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300" firstSheet="5" activeTab="5"/>
  </bookViews>
  <sheets>
    <sheet name="Dashboard" sheetId="1" r:id="rId1"/>
    <sheet name="Barang Masuk" sheetId="2" r:id="rId2"/>
    <sheet name="Barang Keluar" sheetId="3" r:id="rId3"/>
    <sheet name="Laporan Pengeluaran" sheetId="4" r:id="rId4"/>
    <sheet name="Master Barang" sheetId="5" r:id="rId5"/>
    <sheet name="rekap pengeluaran peraltan" sheetId="6" r:id="rId6"/>
    <sheet name="rekap order dan menu" sheetId="7" r:id="rId7"/>
    <sheet name="rekap limbah tercatat" sheetId="8" r:id="rId8"/>
    <sheet name="rekap stock peralatan datang" sheetId="9" r:id="rId9"/>
  </sheets>
  <calcPr calcId="144525"/>
</workbook>
</file>

<file path=xl/sharedStrings.xml><?xml version="1.0" encoding="utf-8"?>
<sst xmlns="http://schemas.openxmlformats.org/spreadsheetml/2006/main" count="539">
  <si>
    <t>REKAP STOK GUDANG SPPG</t>
  </si>
  <si>
    <t>PERIODE LAPORAN</t>
  </si>
  <si>
    <t>SEARCH BARANG</t>
  </si>
  <si>
    <t>Tanggal Mulai</t>
  </si>
  <si>
    <t>Tanggal Akhir</t>
  </si>
  <si>
    <t>Ketik kode / nama:</t>
  </si>
  <si>
    <t/>
  </si>
  <si>
    <t>01/01/2026</t>
  </si>
  <si>
    <t>31/12/2026</t>
  </si>
  <si>
    <t>Kode</t>
  </si>
  <si>
    <t>Nama Barang</t>
  </si>
  <si>
    <t>Stok</t>
  </si>
  <si>
    <t>Status</t>
  </si>
  <si>
    <t>Stok Akhir</t>
  </si>
  <si>
    <t>Stok Minimum</t>
  </si>
  <si>
    <t>Kekurangan</t>
  </si>
  <si>
    <t>KPI</t>
  </si>
  <si>
    <t>Nilai</t>
  </si>
  <si>
    <t>Total Jenis Barang</t>
  </si>
  <si>
    <t>Total Stok Awal</t>
  </si>
  <si>
    <t>Total Barang Masuk</t>
  </si>
  <si>
    <t>Total Barang Keluar</t>
  </si>
  <si>
    <t>Barang Tipis/Habis</t>
  </si>
  <si>
    <t>Tanggal</t>
  </si>
  <si>
    <t>No. Dokumen</t>
  </si>
  <si>
    <t>Kode Barang</t>
  </si>
  <si>
    <t>Qty Masuk</t>
  </si>
  <si>
    <t>Satuan</t>
  </si>
  <si>
    <t>Supplier/Sumber</t>
  </si>
  <si>
    <t>Keterangan</t>
  </si>
  <si>
    <t>PRL-002</t>
  </si>
  <si>
    <t>Qty Keluar</t>
  </si>
  <si>
    <t>Tujuan/Pengambil</t>
  </si>
  <si>
    <t>LAPORAN PENGELUARAN</t>
  </si>
  <si>
    <t>REKAP HARIAN</t>
  </si>
  <si>
    <t>REKAP MINGGUAN</t>
  </si>
  <si>
    <t>PENGELUARAN HARIAN PER BARANG</t>
  </si>
  <si>
    <t>Qty Keluar Periode</t>
  </si>
  <si>
    <t>Awal Minggu</t>
  </si>
  <si>
    <t>Akhir Minggu</t>
  </si>
  <si>
    <t>Qty</t>
  </si>
  <si>
    <t>Kategori</t>
  </si>
  <si>
    <t>Stok Awal</t>
  </si>
  <si>
    <t>Lokasi/Rak</t>
  </si>
  <si>
    <t>Column1</t>
  </si>
  <si>
    <t>PRL-001</t>
  </si>
  <si>
    <t>natura desinfectant food grade 5l</t>
  </si>
  <si>
    <t>peralatan</t>
  </si>
  <si>
    <t>pcs</t>
  </si>
  <si>
    <t>gudang peralatan</t>
  </si>
  <si>
    <t>tanggal so gudang per 21 september 2026</t>
  </si>
  <si>
    <t>sunlight cairan pencuci piring 5l</t>
  </si>
  <si>
    <t>PRL-003</t>
  </si>
  <si>
    <t>oixs cleaner 1l</t>
  </si>
  <si>
    <t>PRL-004</t>
  </si>
  <si>
    <t>be clean tissue serbaguna</t>
  </si>
  <si>
    <t>PRL-005</t>
  </si>
  <si>
    <t>spons cuci hijau</t>
  </si>
  <si>
    <t>PRL-006</t>
  </si>
  <si>
    <t>sabut cuci stainless</t>
  </si>
  <si>
    <t>PRL-007</t>
  </si>
  <si>
    <t>plastik kresek besar merah 50pc</t>
  </si>
  <si>
    <t>pack</t>
  </si>
  <si>
    <t>PRL-008</t>
  </si>
  <si>
    <t>lap besar</t>
  </si>
  <si>
    <t>PRL-009</t>
  </si>
  <si>
    <t>lap microfiber</t>
  </si>
  <si>
    <t>PRL-010</t>
  </si>
  <si>
    <t>lap kecil</t>
  </si>
  <si>
    <t>PRL-011</t>
  </si>
  <si>
    <t>kanebo kecil</t>
  </si>
  <si>
    <t>PRL-012</t>
  </si>
  <si>
    <t>plastik 1/4kg joyoboyo 100 lembar</t>
  </si>
  <si>
    <t>PRL-013</t>
  </si>
  <si>
    <t>sarung tangan plastik kaka 100 pcs</t>
  </si>
  <si>
    <t>PRL-014</t>
  </si>
  <si>
    <t>optima trashbag 80x100</t>
  </si>
  <si>
    <t>PRL-015</t>
  </si>
  <si>
    <t>optima trashbag 60x100</t>
  </si>
  <si>
    <t>PRL-016</t>
  </si>
  <si>
    <t>rajawali trashbag 30x40</t>
  </si>
  <si>
    <t>PRL-017</t>
  </si>
  <si>
    <t>onemed masker biru 3 play 50 pcs</t>
  </si>
  <si>
    <t>PRL-018</t>
  </si>
  <si>
    <t>onemed masker biru 3 play hijab 50 pcs</t>
  </si>
  <si>
    <t>PRL-019</t>
  </si>
  <si>
    <t>neo health masker biru 3 play 50 pcs</t>
  </si>
  <si>
    <t>PRL-020</t>
  </si>
  <si>
    <t>baymed masker hijau 3 play hijau 50 pcs</t>
  </si>
  <si>
    <t>PRL-021</t>
  </si>
  <si>
    <t>altamed nurse cap penutup kepala 100 pcs</t>
  </si>
  <si>
    <t>PRL-022</t>
  </si>
  <si>
    <t>sabun cuci tangan</t>
  </si>
  <si>
    <t>PRL-023</t>
  </si>
  <si>
    <t>gayung kecil</t>
  </si>
  <si>
    <t>PRL-024</t>
  </si>
  <si>
    <t>cikrak kecil</t>
  </si>
  <si>
    <t>PRL-025</t>
  </si>
  <si>
    <t>petromax plastik kecil 12x24 100 lembar</t>
  </si>
  <si>
    <t>PRL-026</t>
  </si>
  <si>
    <t xml:space="preserve">lancar kresek kecil bening </t>
  </si>
  <si>
    <t>PRL-027</t>
  </si>
  <si>
    <t>kresek klin warna warni kecil</t>
  </si>
  <si>
    <t>PRL-028</t>
  </si>
  <si>
    <t>ctik plastik 7x10 100 pcs</t>
  </si>
  <si>
    <t>PRL-029</t>
  </si>
  <si>
    <t>ctik plastik 6x10 100 pcs</t>
  </si>
  <si>
    <t>PRL-030</t>
  </si>
  <si>
    <t>klip plastik 25x16 100 pcs</t>
  </si>
  <si>
    <t>PRL-031</t>
  </si>
  <si>
    <t>tempat saus 20 ml</t>
  </si>
  <si>
    <t>PRL-032</t>
  </si>
  <si>
    <t>plastik packaging ag box uk sedang</t>
  </si>
  <si>
    <t>PRL-033</t>
  </si>
  <si>
    <t xml:space="preserve">rekap pengeluaran barang peralatan </t>
  </si>
  <si>
    <t>tanggal</t>
  </si>
  <si>
    <t>nama</t>
  </si>
  <si>
    <t xml:space="preserve">qty </t>
  </si>
  <si>
    <t>jam ambil</t>
  </si>
  <si>
    <t xml:space="preserve">relawan </t>
  </si>
  <si>
    <t>pic</t>
  </si>
  <si>
    <t>total penggunaan per periode 1 mingguan</t>
  </si>
  <si>
    <t>qty</t>
  </si>
  <si>
    <t>20 sept 2026</t>
  </si>
  <si>
    <t>kresek merah</t>
  </si>
  <si>
    <t xml:space="preserve">1 pack </t>
  </si>
  <si>
    <t>19.55</t>
  </si>
  <si>
    <t>roni</t>
  </si>
  <si>
    <t>teguh</t>
  </si>
  <si>
    <t>trashbag 80x10</t>
  </si>
  <si>
    <t>20.30</t>
  </si>
  <si>
    <t>puspitasari</t>
  </si>
  <si>
    <t>ade</t>
  </si>
  <si>
    <t>obat mylanta</t>
  </si>
  <si>
    <t>1 kaplet</t>
  </si>
  <si>
    <t>21.37</t>
  </si>
  <si>
    <t>saiful</t>
  </si>
  <si>
    <t>handsaplast</t>
  </si>
  <si>
    <t>2 biji</t>
  </si>
  <si>
    <t>23.00</t>
  </si>
  <si>
    <t>nafis</t>
  </si>
  <si>
    <t>23.17</t>
  </si>
  <si>
    <t>usli</t>
  </si>
  <si>
    <t>tissue</t>
  </si>
  <si>
    <t>b sri</t>
  </si>
  <si>
    <t>21 sept 2026</t>
  </si>
  <si>
    <t xml:space="preserve">sarung tangan </t>
  </si>
  <si>
    <t>1 bendel</t>
  </si>
  <si>
    <t>trash bag 80x10</t>
  </si>
  <si>
    <t>01.36</t>
  </si>
  <si>
    <t>masker 1 pack hijab</t>
  </si>
  <si>
    <t>03.03</t>
  </si>
  <si>
    <t>lutvya</t>
  </si>
  <si>
    <t>riski</t>
  </si>
  <si>
    <t>plastik buah</t>
  </si>
  <si>
    <t>7 pack</t>
  </si>
  <si>
    <t>trashbag 60x10</t>
  </si>
  <si>
    <t>03.21</t>
  </si>
  <si>
    <t>05.57</t>
  </si>
  <si>
    <t>bu sri</t>
  </si>
  <si>
    <t>08.19</t>
  </si>
  <si>
    <t>nabila</t>
  </si>
  <si>
    <t>rinso softergent</t>
  </si>
  <si>
    <t>10.02</t>
  </si>
  <si>
    <t>akmal</t>
  </si>
  <si>
    <t>12.18</t>
  </si>
  <si>
    <t>dudin</t>
  </si>
  <si>
    <t>sunlight</t>
  </si>
  <si>
    <t>1 jurigen</t>
  </si>
  <si>
    <t>12.20</t>
  </si>
  <si>
    <t>zenli</t>
  </si>
  <si>
    <t>wipol oxyklin</t>
  </si>
  <si>
    <t>13.40</t>
  </si>
  <si>
    <t>18.15</t>
  </si>
  <si>
    <t>anggita</t>
  </si>
  <si>
    <t>sarung tangan plastik</t>
  </si>
  <si>
    <t>angita</t>
  </si>
  <si>
    <t>1pack</t>
  </si>
  <si>
    <t>20.55</t>
  </si>
  <si>
    <t>salonpas koyo</t>
  </si>
  <si>
    <t>1 biji</t>
  </si>
  <si>
    <t>minyak kayu putih</t>
  </si>
  <si>
    <t>1 botol</t>
  </si>
  <si>
    <t>bu nur</t>
  </si>
  <si>
    <t>handsaplast koyo</t>
  </si>
  <si>
    <t>22 sept 2026</t>
  </si>
  <si>
    <t>00.29</t>
  </si>
  <si>
    <t>04.38</t>
  </si>
  <si>
    <t>lutfiya</t>
  </si>
  <si>
    <t>soklin softergent kecil</t>
  </si>
  <si>
    <t>1 pcs</t>
  </si>
  <si>
    <t>08.23</t>
  </si>
  <si>
    <t>andri</t>
  </si>
  <si>
    <t>sarung tangan karet biru</t>
  </si>
  <si>
    <t>09.24</t>
  </si>
  <si>
    <t>mansur</t>
  </si>
  <si>
    <t>sunlight jurigen 5l</t>
  </si>
  <si>
    <t>13.48</t>
  </si>
  <si>
    <t>19.43</t>
  </si>
  <si>
    <t>20.00</t>
  </si>
  <si>
    <t>saipul</t>
  </si>
  <si>
    <t>tissue dapur besar</t>
  </si>
  <si>
    <t>trashbag 80/100</t>
  </si>
  <si>
    <t>23 sept 2026</t>
  </si>
  <si>
    <t>hansaplast luka</t>
  </si>
  <si>
    <t>03.37</t>
  </si>
  <si>
    <t>arip</t>
  </si>
  <si>
    <t>sunlight jerigen 5l</t>
  </si>
  <si>
    <t>05.12</t>
  </si>
  <si>
    <t>12.05</t>
  </si>
  <si>
    <t>atta</t>
  </si>
  <si>
    <t>13.35</t>
  </si>
  <si>
    <t>fasa</t>
  </si>
  <si>
    <t>19.39</t>
  </si>
  <si>
    <t>22.58</t>
  </si>
  <si>
    <t>24 sept 2026</t>
  </si>
  <si>
    <t xml:space="preserve">plastik wrap </t>
  </si>
  <si>
    <t>1 gulung</t>
  </si>
  <si>
    <t>01.00</t>
  </si>
  <si>
    <t xml:space="preserve">anggita </t>
  </si>
  <si>
    <t>sarung tangan biru</t>
  </si>
  <si>
    <t>1 pack</t>
  </si>
  <si>
    <t>08.12</t>
  </si>
  <si>
    <t>sunlight 5l jurigen</t>
  </si>
  <si>
    <t>feri</t>
  </si>
  <si>
    <t>1 bag</t>
  </si>
  <si>
    <t>14.10</t>
  </si>
  <si>
    <t>17.20</t>
  </si>
  <si>
    <t xml:space="preserve">sarung tangan plastik </t>
  </si>
  <si>
    <t>17.21</t>
  </si>
  <si>
    <t>17.22</t>
  </si>
  <si>
    <t>altamed harnet 100pcs</t>
  </si>
  <si>
    <t>17.23</t>
  </si>
  <si>
    <t>17.24</t>
  </si>
  <si>
    <t>19.20</t>
  </si>
  <si>
    <t>22.40</t>
  </si>
  <si>
    <t>galon</t>
  </si>
  <si>
    <t>02.12</t>
  </si>
  <si>
    <t>eskadon</t>
  </si>
  <si>
    <t>1 pack (4pcs)</t>
  </si>
  <si>
    <t>08.04</t>
  </si>
  <si>
    <t>bowo</t>
  </si>
  <si>
    <t>mixagrip</t>
  </si>
  <si>
    <t>ryan</t>
  </si>
  <si>
    <t>08.28</t>
  </si>
  <si>
    <t>08.41</t>
  </si>
  <si>
    <t>alfi</t>
  </si>
  <si>
    <t>11.29</t>
  </si>
  <si>
    <t>rekap menu, po dan bahan perperiode</t>
  </si>
  <si>
    <t>periode tanggal 20-24 september 2026</t>
  </si>
  <si>
    <t xml:space="preserve">total pengeluaran bahan permingguan </t>
  </si>
  <si>
    <t>sisa bahan gudang</t>
  </si>
  <si>
    <t xml:space="preserve">no </t>
  </si>
  <si>
    <t>total penerima manfaat</t>
  </si>
  <si>
    <t>menu</t>
  </si>
  <si>
    <t>tanggal po berarti h-1</t>
  </si>
  <si>
    <t>kategori</t>
  </si>
  <si>
    <t>nama barang</t>
  </si>
  <si>
    <t>datang dan timbang</t>
  </si>
  <si>
    <t>supplier</t>
  </si>
  <si>
    <t>jam datang</t>
  </si>
  <si>
    <t>catatan</t>
  </si>
  <si>
    <t>no</t>
  </si>
  <si>
    <t>total</t>
  </si>
  <si>
    <t>satuan</t>
  </si>
  <si>
    <t>nasi putih</t>
  </si>
  <si>
    <t>senin, 20 sept 2026</t>
  </si>
  <si>
    <t>minggu, 19 sept 2026</t>
  </si>
  <si>
    <t>protein</t>
  </si>
  <si>
    <t>ayam potong</t>
  </si>
  <si>
    <t>264 kg</t>
  </si>
  <si>
    <t>264kg</t>
  </si>
  <si>
    <t>ayam segar fajar</t>
  </si>
  <si>
    <t>09.00</t>
  </si>
  <si>
    <t>protein hewani</t>
  </si>
  <si>
    <t>kg</t>
  </si>
  <si>
    <t>ayam krispi sambal dan selada</t>
  </si>
  <si>
    <t xml:space="preserve">tahu putih </t>
  </si>
  <si>
    <t>520 pcs</t>
  </si>
  <si>
    <t>520pcs</t>
  </si>
  <si>
    <t>tahu rio</t>
  </si>
  <si>
    <t>09.30</t>
  </si>
  <si>
    <t>telur ayam</t>
  </si>
  <si>
    <t>krat</t>
  </si>
  <si>
    <t>tahu cabe garam</t>
  </si>
  <si>
    <t>ayam fillet dada tanpa kulit</t>
  </si>
  <si>
    <t>steam buncis wortel</t>
  </si>
  <si>
    <t>sembako</t>
  </si>
  <si>
    <t>gula 1 kg</t>
  </si>
  <si>
    <t>10pcs</t>
  </si>
  <si>
    <t>10kg</t>
  </si>
  <si>
    <t>lain lain</t>
  </si>
  <si>
    <t>lontong</t>
  </si>
  <si>
    <t>royco</t>
  </si>
  <si>
    <t>2 dus</t>
  </si>
  <si>
    <t>2dus</t>
  </si>
  <si>
    <t>b3</t>
  </si>
  <si>
    <t xml:space="preserve">soda kue </t>
  </si>
  <si>
    <t>1kg</t>
  </si>
  <si>
    <t>tumpang grosir</t>
  </si>
  <si>
    <t>14.53</t>
  </si>
  <si>
    <t>protein nabati</t>
  </si>
  <si>
    <t>tahu kotak</t>
  </si>
  <si>
    <t>t segitiga</t>
  </si>
  <si>
    <t>3 sak</t>
  </si>
  <si>
    <t>3sak</t>
  </si>
  <si>
    <t>tempe</t>
  </si>
  <si>
    <t>layah</t>
  </si>
  <si>
    <t>ayam krispi dan orak arik telur</t>
  </si>
  <si>
    <t>tropical 2l</t>
  </si>
  <si>
    <t>9 dus</t>
  </si>
  <si>
    <t>9dus</t>
  </si>
  <si>
    <t>tahu sutra</t>
  </si>
  <si>
    <t>tahu kecap</t>
  </si>
  <si>
    <t>beras mentari 25kg</t>
  </si>
  <si>
    <t>7 sak</t>
  </si>
  <si>
    <t>7sak</t>
  </si>
  <si>
    <t>sak</t>
  </si>
  <si>
    <t>sayur dan buah</t>
  </si>
  <si>
    <t>buncis</t>
  </si>
  <si>
    <t>65kg</t>
  </si>
  <si>
    <t>66kg</t>
  </si>
  <si>
    <t>minyak goreng tropical 2l</t>
  </si>
  <si>
    <t>dus</t>
  </si>
  <si>
    <t>wortel</t>
  </si>
  <si>
    <t>tomat buah</t>
  </si>
  <si>
    <t>25 kg</t>
  </si>
  <si>
    <t>25kg</t>
  </si>
  <si>
    <t>tepung segitiga</t>
  </si>
  <si>
    <t>cabe rawit</t>
  </si>
  <si>
    <t>8kg</t>
  </si>
  <si>
    <t>pak beni</t>
  </si>
  <si>
    <t>16.19</t>
  </si>
  <si>
    <t>gula 1kg</t>
  </si>
  <si>
    <t>daun jeruk</t>
  </si>
  <si>
    <t>soda kue 1kg</t>
  </si>
  <si>
    <t>bawang putih</t>
  </si>
  <si>
    <t>terasi</t>
  </si>
  <si>
    <t>bawang merah</t>
  </si>
  <si>
    <t>5kg</t>
  </si>
  <si>
    <t>mie kuning</t>
  </si>
  <si>
    <t>daun bawang</t>
  </si>
  <si>
    <t>saos tomat delmonte 1kg</t>
  </si>
  <si>
    <t>jeruk limau</t>
  </si>
  <si>
    <t>1/2kg</t>
  </si>
  <si>
    <t>saos sambal delmonte 1kg</t>
  </si>
  <si>
    <t>cabe kriting</t>
  </si>
  <si>
    <t>susu plain 115ml</t>
  </si>
  <si>
    <t>melon</t>
  </si>
  <si>
    <t>121pc</t>
  </si>
  <si>
    <t>207kg</t>
  </si>
  <si>
    <t>tepung panir</t>
  </si>
  <si>
    <t>tambahan terasi</t>
  </si>
  <si>
    <t>garam</t>
  </si>
  <si>
    <t>bal</t>
  </si>
  <si>
    <t>kulit lumpia merk finna</t>
  </si>
  <si>
    <t>bumbu bmm kari</t>
  </si>
  <si>
    <t>selasa,21 sept 2026</t>
  </si>
  <si>
    <t>15krat</t>
  </si>
  <si>
    <t>ayam segar tumpang</t>
  </si>
  <si>
    <t>08.30</t>
  </si>
  <si>
    <t>bumbu sasa kari 40kg</t>
  </si>
  <si>
    <t>telur dadar isi mie dan bayam bumbu balado</t>
  </si>
  <si>
    <t>470bks</t>
  </si>
  <si>
    <t>16.58</t>
  </si>
  <si>
    <t xml:space="preserve">santan 1l </t>
  </si>
  <si>
    <t>tahu sutra goreng isis 2 peranak</t>
  </si>
  <si>
    <t>petis udang super</t>
  </si>
  <si>
    <t>pakco bawang putih</t>
  </si>
  <si>
    <t xml:space="preserve">galon cleo </t>
  </si>
  <si>
    <t>susu 115 ml frisian flag</t>
  </si>
  <si>
    <t>mie kuning (15kg)</t>
  </si>
  <si>
    <t>9pack</t>
  </si>
  <si>
    <t>15.07</t>
  </si>
  <si>
    <t>madu botol</t>
  </si>
  <si>
    <t>saos tomat delmonte 1kg (10pcs)</t>
  </si>
  <si>
    <t>4dus</t>
  </si>
  <si>
    <t>sayur</t>
  </si>
  <si>
    <t>saos sambal delmonte 1kg (10pcs)</t>
  </si>
  <si>
    <t>telur dadar isi mie dan bayam</t>
  </si>
  <si>
    <t xml:space="preserve">cabe rawit </t>
  </si>
  <si>
    <t>pakcoy bawang putih</t>
  </si>
  <si>
    <t xml:space="preserve">pakcoy </t>
  </si>
  <si>
    <t>220kg</t>
  </si>
  <si>
    <t>230kg</t>
  </si>
  <si>
    <t xml:space="preserve">bayam </t>
  </si>
  <si>
    <t>30kg</t>
  </si>
  <si>
    <t>33kg</t>
  </si>
  <si>
    <t>mas widi</t>
  </si>
  <si>
    <t>16.32</t>
  </si>
  <si>
    <t>2kg</t>
  </si>
  <si>
    <t>anggur</t>
  </si>
  <si>
    <t>2krat</t>
  </si>
  <si>
    <t>susu plain 115 ml frisian flag</t>
  </si>
  <si>
    <t>3044pc</t>
  </si>
  <si>
    <t>3060pc</t>
  </si>
  <si>
    <t>kacang tanah</t>
  </si>
  <si>
    <t>cabe keriting</t>
  </si>
  <si>
    <t>pakcoy</t>
  </si>
  <si>
    <t>rabu 22 september 2026</t>
  </si>
  <si>
    <t>145kg</t>
  </si>
  <si>
    <t>25 sak, kali 6 = 150kg</t>
  </si>
  <si>
    <t>08.09</t>
  </si>
  <si>
    <t>bayam</t>
  </si>
  <si>
    <t>ayam katsu</t>
  </si>
  <si>
    <t>527pcs</t>
  </si>
  <si>
    <t>curry sauce wortel dan kentang</t>
  </si>
  <si>
    <t>1 krat</t>
  </si>
  <si>
    <t>ayam segar tulus besar</t>
  </si>
  <si>
    <t>12.35</t>
  </si>
  <si>
    <t>bawang bombay</t>
  </si>
  <si>
    <t>tahu goreng</t>
  </si>
  <si>
    <t>kubis</t>
  </si>
  <si>
    <t>labu siam</t>
  </si>
  <si>
    <t>1 sak</t>
  </si>
  <si>
    <t>15.44</t>
  </si>
  <si>
    <t>kacang panjang</t>
  </si>
  <si>
    <t>minyak goreng</t>
  </si>
  <si>
    <t>6 ktn</t>
  </si>
  <si>
    <t>selada</t>
  </si>
  <si>
    <t>2 bal</t>
  </si>
  <si>
    <t>kentang</t>
  </si>
  <si>
    <t>martabak tahu</t>
  </si>
  <si>
    <t>daun salam</t>
  </si>
  <si>
    <t>50kg</t>
  </si>
  <si>
    <t>sledri</t>
  </si>
  <si>
    <t>kemangi</t>
  </si>
  <si>
    <t>16.05</t>
  </si>
  <si>
    <t>jagung manis</t>
  </si>
  <si>
    <t>sereh</t>
  </si>
  <si>
    <t>kelengkeng</t>
  </si>
  <si>
    <t>12krat</t>
  </si>
  <si>
    <t>12krat (12,2kgx12)</t>
  </si>
  <si>
    <t>buah</t>
  </si>
  <si>
    <t>2bal</t>
  </si>
  <si>
    <t xml:space="preserve">anggur </t>
  </si>
  <si>
    <t>bumbu kari jepang sasa 40gr</t>
  </si>
  <si>
    <t>20 pack</t>
  </si>
  <si>
    <t>20pack</t>
  </si>
  <si>
    <t>kulit lumpia merk fina</t>
  </si>
  <si>
    <t>250pcs</t>
  </si>
  <si>
    <t>260pcs</t>
  </si>
  <si>
    <t xml:space="preserve">semangka </t>
  </si>
  <si>
    <t>gado gado</t>
  </si>
  <si>
    <t>kamis 23 sept 2026</t>
  </si>
  <si>
    <t>21 krat</t>
  </si>
  <si>
    <t>asam jawa 1/4kg</t>
  </si>
  <si>
    <t>77 layah</t>
  </si>
  <si>
    <t>telur rebus</t>
  </si>
  <si>
    <t>tahu putih</t>
  </si>
  <si>
    <t>510pcs</t>
  </si>
  <si>
    <t>tempe goreng tahu goreng</t>
  </si>
  <si>
    <t>sayur rebus</t>
  </si>
  <si>
    <t>minyak goreng 2l perkt 6pcs</t>
  </si>
  <si>
    <t>5 karton</t>
  </si>
  <si>
    <t>1 karton</t>
  </si>
  <si>
    <t>santan 1l perkrtn 12pcs</t>
  </si>
  <si>
    <t>galon le minerale (cleo)</t>
  </si>
  <si>
    <t>3060pcs</t>
  </si>
  <si>
    <t>1200+1350+550=3100pcs</t>
  </si>
  <si>
    <t>40kg</t>
  </si>
  <si>
    <t>35kg</t>
  </si>
  <si>
    <t>45kg</t>
  </si>
  <si>
    <t xml:space="preserve">selada </t>
  </si>
  <si>
    <t>15kg</t>
  </si>
  <si>
    <t>cabe merah</t>
  </si>
  <si>
    <t>3kg</t>
  </si>
  <si>
    <t>petis udang super 1kg</t>
  </si>
  <si>
    <t>1/4kg</t>
  </si>
  <si>
    <t>6kg</t>
  </si>
  <si>
    <t>87pc</t>
  </si>
  <si>
    <t>353kg</t>
  </si>
  <si>
    <t>ayam woku kemangi</t>
  </si>
  <si>
    <t>jumat 24 sept 2026</t>
  </si>
  <si>
    <t>ayam potong 10 pc</t>
  </si>
  <si>
    <t>310kg</t>
  </si>
  <si>
    <t xml:space="preserve">ayam segar fajar </t>
  </si>
  <si>
    <t>tempe goreng</t>
  </si>
  <si>
    <t xml:space="preserve">tempe </t>
  </si>
  <si>
    <t>78 layah</t>
  </si>
  <si>
    <t>buncis dan jagung</t>
  </si>
  <si>
    <t>5ktn</t>
  </si>
  <si>
    <t>madu botol besar</t>
  </si>
  <si>
    <t>1pc</t>
  </si>
  <si>
    <t>honey garlic chicken</t>
  </si>
  <si>
    <t>1 ikat</t>
  </si>
  <si>
    <t>1ikat / 900gr</t>
  </si>
  <si>
    <t>12kg</t>
  </si>
  <si>
    <t>15.45</t>
  </si>
  <si>
    <t>kemangi ikat besar</t>
  </si>
  <si>
    <t>3 ikat</t>
  </si>
  <si>
    <t>50buah</t>
  </si>
  <si>
    <t>20,2 kg, per kg 3 pcs = +- 60cps</t>
  </si>
  <si>
    <t>30,25+19,95= 50,05kg</t>
  </si>
  <si>
    <t>49,70kg</t>
  </si>
  <si>
    <t>rekap limbah sppg jeru tumpang</t>
  </si>
  <si>
    <t>periode 18-25 september 2026</t>
  </si>
  <si>
    <t>hari</t>
  </si>
  <si>
    <t>jenis limbah</t>
  </si>
  <si>
    <t>jumlah</t>
  </si>
  <si>
    <t>jumat</t>
  </si>
  <si>
    <t>karbohidrat</t>
  </si>
  <si>
    <t xml:space="preserve">protein hewani </t>
  </si>
  <si>
    <t xml:space="preserve">protein nabati </t>
  </si>
  <si>
    <t xml:space="preserve">buah </t>
  </si>
  <si>
    <t>hitung rumus</t>
  </si>
  <si>
    <t>senin</t>
  </si>
  <si>
    <t>selasa</t>
  </si>
  <si>
    <t>rabu</t>
  </si>
  <si>
    <t>total hitung limbah</t>
  </si>
  <si>
    <t>limbah</t>
  </si>
  <si>
    <t>kamis</t>
  </si>
  <si>
    <t>total keseluruhan limbah :</t>
  </si>
  <si>
    <t>stok bahan peralatan datang sppg jeru tumpang</t>
  </si>
  <si>
    <t>tanggal datang</t>
  </si>
  <si>
    <t>keterangan / catatan</t>
  </si>
  <si>
    <t xml:space="preserve">pembelian </t>
  </si>
  <si>
    <t xml:space="preserve">* stok gudang dan belum dibayar jika ada </t>
  </si>
  <si>
    <t>trashbag 80x100</t>
  </si>
  <si>
    <t>5pack</t>
  </si>
  <si>
    <t xml:space="preserve"> </t>
  </si>
  <si>
    <t>shopee</t>
  </si>
  <si>
    <t>trashbag 60x100</t>
  </si>
  <si>
    <t>15pack</t>
  </si>
  <si>
    <t>altamed nurse cap 100pcs</t>
  </si>
  <si>
    <t>5 pack</t>
  </si>
  <si>
    <t>blue sarung tangan karet large 100pcs</t>
  </si>
  <si>
    <t>17 pack</t>
  </si>
  <si>
    <t>1dus</t>
  </si>
  <si>
    <t>ambil dari stok yang sudah ada dulu 1 dus + 1pc</t>
  </si>
  <si>
    <t>tissue dapur kecil tidak ada merk</t>
  </si>
  <si>
    <t>50pcs</t>
  </si>
  <si>
    <t>superpel jurigen 5l</t>
  </si>
  <si>
    <t>4pcs</t>
  </si>
  <si>
    <t>vixal 1l</t>
  </si>
  <si>
    <t>2pcs</t>
  </si>
  <si>
    <t>thinwall 200 ml</t>
  </si>
  <si>
    <t>8 pack</t>
  </si>
  <si>
    <t>tali rafia 1 ball</t>
  </si>
</sst>
</file>

<file path=xl/styles.xml><?xml version="1.0" encoding="utf-8"?>
<styleSheet xmlns="http://schemas.openxmlformats.org/spreadsheetml/2006/main">
  <numFmts count="6">
    <numFmt numFmtId="176" formatCode="dd\-mmm"/>
    <numFmt numFmtId="177" formatCode="dd\-mmm\-yy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8"/>
      <name val="Calibri"/>
      <charset val="134"/>
    </font>
    <font>
      <b/>
      <sz val="11"/>
      <name val="Calibri"/>
      <charset val="134"/>
    </font>
    <font>
      <b/>
      <sz val="18"/>
      <color rgb="FFFFFFFF"/>
      <name val="Calibri"/>
      <charset val="134"/>
    </font>
    <font>
      <b/>
      <sz val="13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34" borderId="0">
      <alignment vertical="center"/>
    </xf>
    <xf numFmtId="0" fontId="14" fillId="38" borderId="0">
      <alignment vertical="center"/>
    </xf>
    <xf numFmtId="0" fontId="9" fillId="28" borderId="0">
      <alignment vertical="center"/>
    </xf>
    <xf numFmtId="0" fontId="9" fillId="18" borderId="0">
      <alignment vertical="center"/>
    </xf>
    <xf numFmtId="0" fontId="14" fillId="37" borderId="0">
      <alignment vertical="center"/>
    </xf>
    <xf numFmtId="0" fontId="14" fillId="35" borderId="0">
      <alignment vertical="center"/>
    </xf>
    <xf numFmtId="0" fontId="9" fillId="21" borderId="0">
      <alignment vertical="center"/>
    </xf>
    <xf numFmtId="0" fontId="9" fillId="32" borderId="0">
      <alignment vertical="center"/>
    </xf>
    <xf numFmtId="0" fontId="14" fillId="30" borderId="0">
      <alignment vertical="center"/>
    </xf>
    <xf numFmtId="0" fontId="9" fillId="20" borderId="0">
      <alignment vertical="center"/>
    </xf>
    <xf numFmtId="0" fontId="26" fillId="0" borderId="22">
      <alignment vertical="center"/>
    </xf>
    <xf numFmtId="0" fontId="14" fillId="29" borderId="0">
      <alignment vertical="center"/>
    </xf>
    <xf numFmtId="0" fontId="9" fillId="36" borderId="0">
      <alignment vertical="center"/>
    </xf>
    <xf numFmtId="0" fontId="9" fillId="25" borderId="0">
      <alignment vertical="center"/>
    </xf>
    <xf numFmtId="0" fontId="14" fillId="24" borderId="0">
      <alignment vertical="center"/>
    </xf>
    <xf numFmtId="0" fontId="9" fillId="22" borderId="0">
      <alignment vertical="center"/>
    </xf>
    <xf numFmtId="0" fontId="14" fillId="27" borderId="0">
      <alignment vertical="center"/>
    </xf>
    <xf numFmtId="0" fontId="14" fillId="23" borderId="0">
      <alignment vertical="center"/>
    </xf>
    <xf numFmtId="0" fontId="9" fillId="17" borderId="0">
      <alignment vertical="center"/>
    </xf>
    <xf numFmtId="0" fontId="13" fillId="10" borderId="0">
      <alignment vertical="center"/>
    </xf>
    <xf numFmtId="0" fontId="9" fillId="11" borderId="0">
      <alignment vertical="center"/>
    </xf>
    <xf numFmtId="0" fontId="22" fillId="19" borderId="0">
      <alignment vertical="center"/>
    </xf>
    <xf numFmtId="0" fontId="14" fillId="26" borderId="0">
      <alignment vertical="center"/>
    </xf>
    <xf numFmtId="0" fontId="21" fillId="0" borderId="19">
      <alignment vertical="center"/>
    </xf>
    <xf numFmtId="0" fontId="20" fillId="15" borderId="18">
      <alignment vertical="center"/>
    </xf>
    <xf numFmtId="44" fontId="0" fillId="0" borderId="0">
      <alignment vertical="center"/>
    </xf>
    <xf numFmtId="0" fontId="14" fillId="33" borderId="0">
      <alignment vertical="center"/>
    </xf>
    <xf numFmtId="0" fontId="0" fillId="31" borderId="21">
      <alignment vertical="center"/>
    </xf>
    <xf numFmtId="0" fontId="19" fillId="16" borderId="17">
      <alignment vertical="center"/>
    </xf>
    <xf numFmtId="0" fontId="18" fillId="0" borderId="0">
      <alignment vertical="center"/>
    </xf>
    <xf numFmtId="0" fontId="17" fillId="15" borderId="17">
      <alignment vertical="center"/>
    </xf>
    <xf numFmtId="0" fontId="16" fillId="13" borderId="0">
      <alignment vertical="center"/>
    </xf>
    <xf numFmtId="0" fontId="18" fillId="0" borderId="20">
      <alignment vertical="center"/>
    </xf>
    <xf numFmtId="0" fontId="25" fillId="0" borderId="0">
      <alignment vertical="center"/>
    </xf>
    <xf numFmtId="0" fontId="15" fillId="0" borderId="16">
      <alignment vertical="center"/>
    </xf>
    <xf numFmtId="41" fontId="0" fillId="0" borderId="0">
      <alignment vertical="center"/>
    </xf>
    <xf numFmtId="0" fontId="14" fillId="12" borderId="0">
      <alignment vertical="center"/>
    </xf>
    <xf numFmtId="0" fontId="27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4" fillId="14" borderId="0">
      <alignment vertical="center"/>
    </xf>
    <xf numFmtId="0" fontId="11" fillId="0" borderId="0">
      <alignment vertical="center"/>
    </xf>
    <xf numFmtId="0" fontId="24" fillId="0" borderId="16">
      <alignment vertical="center"/>
    </xf>
    <xf numFmtId="43" fontId="0" fillId="0" borderId="0">
      <alignment vertical="center"/>
    </xf>
    <xf numFmtId="0" fontId="10" fillId="9" borderId="15">
      <alignment vertical="center"/>
    </xf>
    <xf numFmtId="0" fontId="9" fillId="8" borderId="0">
      <alignment vertical="center"/>
    </xf>
    <xf numFmtId="9" fontId="0" fillId="0" borderId="0">
      <alignment vertical="center"/>
    </xf>
  </cellStyleXfs>
  <cellXfs count="56">
    <xf numFmtId="0" fontId="0" fillId="0" borderId="0" xfId="0"/>
    <xf numFmtId="177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/>
    </xf>
    <xf numFmtId="0" fontId="1" fillId="0" borderId="0" xfId="0" applyFo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0" borderId="12" xfId="0" applyBorder="1" applyAlignment="1">
      <alignment horizontal="center"/>
    </xf>
    <xf numFmtId="0" fontId="0" fillId="0" borderId="1" xfId="0" applyBorder="1" applyAlignment="1"/>
    <xf numFmtId="177" fontId="1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0" xfId="0" applyFont="1" applyBorder="1"/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176" fontId="0" fillId="0" borderId="8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13" xfId="0" applyFont="1" applyFill="1" applyBorder="1"/>
    <xf numFmtId="0" fontId="0" fillId="0" borderId="13" xfId="0" applyFont="1" applyBorder="1"/>
    <xf numFmtId="0" fontId="4" fillId="6" borderId="14" xfId="0" applyFont="1" applyFill="1" applyBorder="1" applyAlignment="1">
      <alignment horizontal="center"/>
    </xf>
    <xf numFmtId="0" fontId="5" fillId="0" borderId="0" xfId="0" applyFont="1"/>
    <xf numFmtId="58" fontId="0" fillId="0" borderId="0" xfId="0" applyNumberFormat="1"/>
    <xf numFmtId="0" fontId="6" fillId="0" borderId="0" xfId="0" applyFont="1"/>
    <xf numFmtId="0" fontId="4" fillId="6" borderId="0" xfId="0" applyFont="1" applyFill="1"/>
    <xf numFmtId="4" fontId="0" fillId="0" borderId="0" xfId="0" applyNumberFormat="1"/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0" borderId="14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Masuk2" displayName="tblMasuk2" ref="A1:H1001">
  <autoFilter ref="A1:H1001"/>
  <tableColumns count="8">
    <tableColumn id="1" name="Tanggal"/>
    <tableColumn id="2" name="No. Dokumen"/>
    <tableColumn id="3" name="Kode Barang"/>
    <tableColumn id="4" name="Nama Barang"/>
    <tableColumn id="5" name="Qty Masuk"/>
    <tableColumn id="6" name="Satuan"/>
    <tableColumn id="7" name="Supplier/Sumber"/>
    <tableColumn id="8" name="Keterang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Keluar2" displayName="tblKeluar2" ref="A1:H1001">
  <autoFilter ref="A1:H1001"/>
  <tableColumns count="8">
    <tableColumn id="1" name="Tanggal"/>
    <tableColumn id="2" name="No. Dokumen"/>
    <tableColumn id="3" name="Kode Barang"/>
    <tableColumn id="4" name="Nama Barang"/>
    <tableColumn id="5" name="Qty Keluar"/>
    <tableColumn id="6" name="Satuan"/>
    <tableColumn id="7" name="Tujuan/Pengambil"/>
    <tableColumn id="8" name="Keterang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rang" displayName="tblBarang" ref="A1:I34">
  <autoFilter ref="A1:I34"/>
  <tableColumns count="9">
    <tableColumn id="1" name="Kode Barang"/>
    <tableColumn id="2" name="Nama Barang"/>
    <tableColumn id="3" name="Kategori"/>
    <tableColumn id="4" name="Satuan"/>
    <tableColumn id="5" name="Stok Awal"/>
    <tableColumn id="6" name="Stok Minimum"/>
    <tableColumn id="7" name="Lokasi/Rak"/>
    <tableColumn id="8" name="Keterangan"/>
    <tableColumn id="9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16"/>
  <sheetViews>
    <sheetView workbookViewId="0">
      <pane ySplit="1" topLeftCell="A2" activePane="bottomLeft" state="frozen"/>
      <selection/>
      <selection pane="bottomLeft" activeCell="F33" sqref="F33"/>
    </sheetView>
  </sheetViews>
  <sheetFormatPr defaultColWidth="9" defaultRowHeight="14"/>
  <cols>
    <col min="1" max="6" width="30" customWidth="1"/>
    <col min="7" max="11" width="12" customWidth="1"/>
    <col min="12" max="12" width="22" customWidth="1"/>
    <col min="13" max="13" width="30" customWidth="1"/>
    <col min="14" max="14" width="15" customWidth="1"/>
    <col min="15" max="15" width="22" customWidth="1"/>
  </cols>
  <sheetData>
    <row r="1" ht="22.4" spans="1:1">
      <c r="A1" s="53" t="s">
        <v>0</v>
      </c>
    </row>
    <row r="3" spans="1:12">
      <c r="A3" s="50" t="s">
        <v>1</v>
      </c>
      <c r="L3" s="50" t="s">
        <v>2</v>
      </c>
    </row>
    <row r="4" spans="1:13">
      <c r="A4" t="s">
        <v>3</v>
      </c>
      <c r="B4" t="s">
        <v>4</v>
      </c>
      <c r="L4" t="s">
        <v>5</v>
      </c>
      <c r="M4" t="s">
        <v>6</v>
      </c>
    </row>
    <row r="5" spans="1:2">
      <c r="A5" s="49" t="s">
        <v>7</v>
      </c>
      <c r="B5" s="49" t="s">
        <v>8</v>
      </c>
    </row>
    <row r="6" spans="12:15">
      <c r="L6" s="51" t="s">
        <v>9</v>
      </c>
      <c r="M6" s="51" t="s">
        <v>10</v>
      </c>
      <c r="N6" s="51" t="s">
        <v>11</v>
      </c>
      <c r="O6" s="51" t="s">
        <v>12</v>
      </c>
    </row>
    <row r="7" ht="16.4" spans="1:12">
      <c r="A7" s="54"/>
      <c r="L7" t="str">
        <f>IF(M4="","",FILTER('Master Barang'!A2:A500,(ISNUMBER(SEARCH(M4,'Master Barang'!A2:A500&amp;""))+ISNUMBER(SEARCH(M4,'Master Barang'!B2:B500&amp;"")))&gt;0,"Tidak ditemukan"))</f>
        <v/>
      </c>
    </row>
    <row r="8" spans="1:6">
      <c r="A8" s="47" t="s">
        <v>9</v>
      </c>
      <c r="B8" s="47" t="s">
        <v>10</v>
      </c>
      <c r="C8" s="47" t="s">
        <v>13</v>
      </c>
      <c r="D8" s="47" t="s">
        <v>14</v>
      </c>
      <c r="E8" s="47" t="s">
        <v>15</v>
      </c>
      <c r="F8" s="47" t="s">
        <v>12</v>
      </c>
    </row>
    <row r="9" spans="1:6">
      <c r="A9" s="55" t="str">
        <f>IFERROR('Master Barang'!A2,"")</f>
        <v>PRL-001</v>
      </c>
      <c r="B9" s="55" t="str">
        <f>IF(A9="","",'Master Barang'!B2)</f>
        <v>natura desinfectant food grade 5l</v>
      </c>
      <c r="C9" s="55">
        <f>IF(A9="","",'Master Barang'!E2+SUMIF('Barang Masuk'!$C:$C,A9,'Barang Masuk'!$E:$E)-SUMIF('Barang Keluar'!$C:$C,A9,'Barang Keluar'!$E:$E))</f>
        <v>2</v>
      </c>
      <c r="D9" s="55">
        <f>IF(A9="","",'Master Barang'!F2)</f>
        <v>5</v>
      </c>
      <c r="E9" s="55">
        <f t="shared" ref="E9:E72" si="0">IF(A9="","",MAX(0,D9-C9))</f>
        <v>3</v>
      </c>
      <c r="F9" s="55" t="str">
        <f t="shared" ref="F9:F72" si="1">IF(A9="","",IF(C9&lt;=0,"HABIS - BUAT PO",IF(C9&lt;=D9,"TIPIS - BUAT PO","AMAN")))</f>
        <v>TIPIS - BUAT PO</v>
      </c>
    </row>
    <row r="10" spans="1:6">
      <c r="A10" s="55" t="str">
        <f>IFERROR('Master Barang'!A3,"")</f>
        <v>PRL-002</v>
      </c>
      <c r="B10" s="55" t="str">
        <f>IF(A10="","",'Master Barang'!B3)</f>
        <v>sunlight cairan pencuci piring 5l</v>
      </c>
      <c r="C10" s="55">
        <f>IF(A10="","",'Master Barang'!E3+SUMIF('Barang Masuk'!$C:$C,A10,'Barang Masuk'!$E:$E)-SUMIF('Barang Keluar'!$C:$C,A10,'Barang Keluar'!$E:$E))</f>
        <v>4</v>
      </c>
      <c r="D10" s="55">
        <f>IF(A10="","",'Master Barang'!F3)</f>
        <v>5</v>
      </c>
      <c r="E10" s="55">
        <f t="shared" si="0"/>
        <v>1</v>
      </c>
      <c r="F10" s="55" t="str">
        <f t="shared" si="1"/>
        <v>TIPIS - BUAT PO</v>
      </c>
    </row>
    <row r="11" spans="1:6">
      <c r="A11" s="55" t="str">
        <f>IFERROR('Master Barang'!A4,"")</f>
        <v>PRL-003</v>
      </c>
      <c r="B11" s="55" t="str">
        <f>IF(A11="","",'Master Barang'!B4)</f>
        <v>oixs cleaner 1l</v>
      </c>
      <c r="C11" s="55">
        <f>IF(A11="","",'Master Barang'!E4+SUMIF('Barang Masuk'!$C:$C,A11,'Barang Masuk'!$E:$E)-SUMIF('Barang Keluar'!$C:$C,A11,'Barang Keluar'!$E:$E))</f>
        <v>1</v>
      </c>
      <c r="D11" s="55">
        <f>IF(A11="","",'Master Barang'!F4)</f>
        <v>5</v>
      </c>
      <c r="E11" s="55">
        <f t="shared" si="0"/>
        <v>4</v>
      </c>
      <c r="F11" s="55" t="str">
        <f t="shared" si="1"/>
        <v>TIPIS - BUAT PO</v>
      </c>
    </row>
    <row r="12" spans="1:6">
      <c r="A12" s="55" t="str">
        <f>IFERROR('Master Barang'!A5,"")</f>
        <v>PRL-004</v>
      </c>
      <c r="B12" s="55" t="str">
        <f>IF(A12="","",'Master Barang'!B5)</f>
        <v>be clean tissue serbaguna</v>
      </c>
      <c r="C12" s="55">
        <f>IF(A12="","",'Master Barang'!E5+SUMIF('Barang Masuk'!$C:$C,A12,'Barang Masuk'!$E:$E)-SUMIF('Barang Keluar'!$C:$C,A12,'Barang Keluar'!$E:$E))</f>
        <v>3</v>
      </c>
      <c r="D12" s="55">
        <f>IF(A12="","",'Master Barang'!F5)</f>
        <v>5</v>
      </c>
      <c r="E12" s="55">
        <f t="shared" si="0"/>
        <v>2</v>
      </c>
      <c r="F12" s="55" t="str">
        <f t="shared" si="1"/>
        <v>TIPIS - BUAT PO</v>
      </c>
    </row>
    <row r="13" spans="1:6">
      <c r="A13" s="55" t="str">
        <f>IFERROR('Master Barang'!A6,"")</f>
        <v>PRL-005</v>
      </c>
      <c r="B13" s="55" t="str">
        <f>IF(A13="","",'Master Barang'!B6)</f>
        <v>spons cuci hijau</v>
      </c>
      <c r="C13" s="55">
        <f>IF(A13="","",'Master Barang'!E6+SUMIF('Barang Masuk'!$C:$C,A13,'Barang Masuk'!$E:$E)-SUMIF('Barang Keluar'!$C:$C,A13,'Barang Keluar'!$E:$E))</f>
        <v>37</v>
      </c>
      <c r="D13" s="55">
        <f>IF(A13="","",'Master Barang'!F6)</f>
        <v>10</v>
      </c>
      <c r="E13" s="55">
        <f t="shared" si="0"/>
        <v>0</v>
      </c>
      <c r="F13" s="55" t="str">
        <f t="shared" si="1"/>
        <v>AMAN</v>
      </c>
    </row>
    <row r="14" spans="1:6">
      <c r="A14" s="55" t="str">
        <f>IFERROR('Master Barang'!A7,"")</f>
        <v>PRL-006</v>
      </c>
      <c r="B14" s="55" t="str">
        <f>IF(A14="","",'Master Barang'!B7)</f>
        <v>sabut cuci stainless</v>
      </c>
      <c r="C14" s="55">
        <f>IF(A14="","",'Master Barang'!E7+SUMIF('Barang Masuk'!$C:$C,A14,'Barang Masuk'!$E:$E)-SUMIF('Barang Keluar'!$C:$C,A14,'Barang Keluar'!$E:$E))</f>
        <v>22</v>
      </c>
      <c r="D14" s="55">
        <f>IF(A14="","",'Master Barang'!F7)</f>
        <v>5</v>
      </c>
      <c r="E14" s="55">
        <f t="shared" si="0"/>
        <v>0</v>
      </c>
      <c r="F14" s="55" t="str">
        <f t="shared" si="1"/>
        <v>AMAN</v>
      </c>
    </row>
    <row r="15" spans="1:6">
      <c r="A15" s="55" t="str">
        <f>IFERROR('Master Barang'!A8,"")</f>
        <v>PRL-007</v>
      </c>
      <c r="B15" s="55" t="str">
        <f>IF(A15="","",'Master Barang'!B8)</f>
        <v>plastik kresek besar merah 50pc</v>
      </c>
      <c r="C15" s="55">
        <f>IF(A15="","",'Master Barang'!E8+SUMIF('Barang Masuk'!$C:$C,A15,'Barang Masuk'!$E:$E)-SUMIF('Barang Keluar'!$C:$C,A15,'Barang Keluar'!$E:$E))</f>
        <v>8</v>
      </c>
      <c r="D15" s="55">
        <f>IF(A15="","",'Master Barang'!F8)</f>
        <v>5</v>
      </c>
      <c r="E15" s="55">
        <f t="shared" si="0"/>
        <v>0</v>
      </c>
      <c r="F15" s="55" t="str">
        <f t="shared" si="1"/>
        <v>AMAN</v>
      </c>
    </row>
    <row r="16" spans="1:6">
      <c r="A16" s="55" t="str">
        <f>IFERROR('Master Barang'!A9,"")</f>
        <v>PRL-008</v>
      </c>
      <c r="B16" s="55" t="str">
        <f>IF(A16="","",'Master Barang'!B9)</f>
        <v>lap besar</v>
      </c>
      <c r="C16" s="55">
        <f>IF(A16="","",'Master Barang'!E9+SUMIF('Barang Masuk'!$C:$C,A16,'Barang Masuk'!$E:$E)-SUMIF('Barang Keluar'!$C:$C,A16,'Barang Keluar'!$E:$E))</f>
        <v>4</v>
      </c>
      <c r="D16" s="55">
        <f>IF(A16="","",'Master Barang'!F9)</f>
        <v>5</v>
      </c>
      <c r="E16" s="55">
        <f t="shared" si="0"/>
        <v>1</v>
      </c>
      <c r="F16" s="55" t="str">
        <f t="shared" si="1"/>
        <v>TIPIS - BUAT PO</v>
      </c>
    </row>
    <row r="17" spans="1:6">
      <c r="A17" s="55" t="str">
        <f>IFERROR('Master Barang'!A10,"")</f>
        <v>PRL-009</v>
      </c>
      <c r="B17" s="55" t="str">
        <f>IF(A17="","",'Master Barang'!B10)</f>
        <v>lap microfiber</v>
      </c>
      <c r="C17" s="55">
        <f>IF(A17="","",'Master Barang'!E10+SUMIF('Barang Masuk'!$C:$C,A17,'Barang Masuk'!$E:$E)-SUMIF('Barang Keluar'!$C:$C,A17,'Barang Keluar'!$E:$E))</f>
        <v>67</v>
      </c>
      <c r="D17" s="55">
        <f>IF(A17="","",'Master Barang'!F10)</f>
        <v>5</v>
      </c>
      <c r="E17" s="55">
        <f t="shared" si="0"/>
        <v>0</v>
      </c>
      <c r="F17" s="55" t="str">
        <f t="shared" si="1"/>
        <v>AMAN</v>
      </c>
    </row>
    <row r="18" spans="1:6">
      <c r="A18" s="55" t="str">
        <f>IFERROR('Master Barang'!A11,"")</f>
        <v>PRL-010</v>
      </c>
      <c r="B18" s="55" t="str">
        <f>IF(A18="","",'Master Barang'!B11)</f>
        <v>lap kecil</v>
      </c>
      <c r="C18" s="55">
        <f>IF(A18="","",'Master Barang'!E11+SUMIF('Barang Masuk'!$C:$C,A18,'Barang Masuk'!$E:$E)-SUMIF('Barang Keluar'!$C:$C,A18,'Barang Keluar'!$E:$E))</f>
        <v>7</v>
      </c>
      <c r="D18" s="55">
        <f>IF(A18="","",'Master Barang'!F11)</f>
        <v>5</v>
      </c>
      <c r="E18" s="55">
        <f t="shared" si="0"/>
        <v>0</v>
      </c>
      <c r="F18" s="55" t="str">
        <f t="shared" si="1"/>
        <v>AMAN</v>
      </c>
    </row>
    <row r="19" spans="1:6">
      <c r="A19" s="55" t="str">
        <f>IFERROR('Master Barang'!A12,"")</f>
        <v>PRL-011</v>
      </c>
      <c r="B19" s="55" t="str">
        <f>IF(A19="","",'Master Barang'!B12)</f>
        <v>kanebo kecil</v>
      </c>
      <c r="C19" s="55">
        <f>IF(A19="","",'Master Barang'!E12+SUMIF('Barang Masuk'!$C:$C,A19,'Barang Masuk'!$E:$E)-SUMIF('Barang Keluar'!$C:$C,A19,'Barang Keluar'!$E:$E))</f>
        <v>6</v>
      </c>
      <c r="D19" s="55">
        <f>IF(A19="","",'Master Barang'!F12)</f>
        <v>5</v>
      </c>
      <c r="E19" s="55">
        <f t="shared" si="0"/>
        <v>0</v>
      </c>
      <c r="F19" s="55" t="str">
        <f t="shared" si="1"/>
        <v>AMAN</v>
      </c>
    </row>
    <row r="20" spans="1:6">
      <c r="A20" s="55" t="str">
        <f>IFERROR('Master Barang'!A13,"")</f>
        <v>PRL-012</v>
      </c>
      <c r="B20" s="55" t="str">
        <f>IF(A20="","",'Master Barang'!B13)</f>
        <v>plastik 1/4kg joyoboyo 100 lembar</v>
      </c>
      <c r="C20" s="55">
        <f>IF(A20="","",'Master Barang'!E13+SUMIF('Barang Masuk'!$C:$C,A20,'Barang Masuk'!$E:$E)-SUMIF('Barang Keluar'!$C:$C,A20,'Barang Keluar'!$E:$E))</f>
        <v>28</v>
      </c>
      <c r="D20" s="55">
        <f>IF(A20="","",'Master Barang'!F13)</f>
        <v>5</v>
      </c>
      <c r="E20" s="55">
        <f t="shared" si="0"/>
        <v>0</v>
      </c>
      <c r="F20" s="55" t="str">
        <f t="shared" si="1"/>
        <v>AMAN</v>
      </c>
    </row>
    <row r="21" spans="1:6">
      <c r="A21" s="55" t="str">
        <f>IFERROR('Master Barang'!A14,"")</f>
        <v>PRL-013</v>
      </c>
      <c r="B21" s="55" t="str">
        <f>IF(A21="","",'Master Barang'!B14)</f>
        <v>sarung tangan plastik kaka 100 pcs</v>
      </c>
      <c r="C21" s="55">
        <f>IF(A21="","",'Master Barang'!E14+SUMIF('Barang Masuk'!$C:$C,A21,'Barang Masuk'!$E:$E)-SUMIF('Barang Keluar'!$C:$C,A21,'Barang Keluar'!$E:$E))</f>
        <v>21</v>
      </c>
      <c r="D21" s="55">
        <f>IF(A21="","",'Master Barang'!F14)</f>
        <v>5</v>
      </c>
      <c r="E21" s="55">
        <f t="shared" si="0"/>
        <v>0</v>
      </c>
      <c r="F21" s="55" t="str">
        <f t="shared" si="1"/>
        <v>AMAN</v>
      </c>
    </row>
    <row r="22" spans="1:6">
      <c r="A22" s="55" t="str">
        <f>IFERROR('Master Barang'!A15,"")</f>
        <v>PRL-014</v>
      </c>
      <c r="B22" s="55" t="str">
        <f>IF(A22="","",'Master Barang'!B15)</f>
        <v>optima trashbag 80x100</v>
      </c>
      <c r="C22" s="55">
        <f>IF(A22="","",'Master Barang'!E15+SUMIF('Barang Masuk'!$C:$C,A22,'Barang Masuk'!$E:$E)-SUMIF('Barang Keluar'!$C:$C,A22,'Barang Keluar'!$E:$E))</f>
        <v>7</v>
      </c>
      <c r="D22" s="55">
        <f>IF(A22="","",'Master Barang'!F15)</f>
        <v>5</v>
      </c>
      <c r="E22" s="55">
        <f t="shared" si="0"/>
        <v>0</v>
      </c>
      <c r="F22" s="55" t="str">
        <f t="shared" si="1"/>
        <v>AMAN</v>
      </c>
    </row>
    <row r="23" spans="1:6">
      <c r="A23" s="55" t="str">
        <f>IFERROR('Master Barang'!A16,"")</f>
        <v>PRL-015</v>
      </c>
      <c r="B23" s="55" t="str">
        <f>IF(A23="","",'Master Barang'!B16)</f>
        <v>optima trashbag 60x100</v>
      </c>
      <c r="C23" s="55">
        <f>IF(A23="","",'Master Barang'!E16+SUMIF('Barang Masuk'!$C:$C,A23,'Barang Masuk'!$E:$E)-SUMIF('Barang Keluar'!$C:$C,A23,'Barang Keluar'!$E:$E))</f>
        <v>1</v>
      </c>
      <c r="D23" s="55">
        <f>IF(A23="","",'Master Barang'!F16)</f>
        <v>5</v>
      </c>
      <c r="E23" s="55">
        <f t="shared" si="0"/>
        <v>4</v>
      </c>
      <c r="F23" s="55" t="str">
        <f t="shared" si="1"/>
        <v>TIPIS - BUAT PO</v>
      </c>
    </row>
    <row r="24" spans="1:6">
      <c r="A24" s="55" t="str">
        <f>IFERROR('Master Barang'!A17,"")</f>
        <v>PRL-016</v>
      </c>
      <c r="B24" s="55" t="str">
        <f>IF(A24="","",'Master Barang'!B17)</f>
        <v>rajawali trashbag 30x40</v>
      </c>
      <c r="C24" s="55">
        <f>IF(A24="","",'Master Barang'!E17+SUMIF('Barang Masuk'!$C:$C,A24,'Barang Masuk'!$E:$E)-SUMIF('Barang Keluar'!$C:$C,A24,'Barang Keluar'!$E:$E))</f>
        <v>1.5</v>
      </c>
      <c r="D24" s="55">
        <f>IF(A24="","",'Master Barang'!F17)</f>
        <v>5</v>
      </c>
      <c r="E24" s="55">
        <f t="shared" si="0"/>
        <v>3.5</v>
      </c>
      <c r="F24" s="55" t="str">
        <f t="shared" si="1"/>
        <v>TIPIS - BUAT PO</v>
      </c>
    </row>
    <row r="25" spans="1:6">
      <c r="A25" s="55" t="str">
        <f>IFERROR('Master Barang'!A18,"")</f>
        <v>PRL-017</v>
      </c>
      <c r="B25" s="55" t="str">
        <f>IF(A25="","",'Master Barang'!B18)</f>
        <v>onemed masker biru 3 play 50 pcs</v>
      </c>
      <c r="C25" s="55">
        <f>IF(A25="","",'Master Barang'!E18+SUMIF('Barang Masuk'!$C:$C,A25,'Barang Masuk'!$E:$E)-SUMIF('Barang Keluar'!$C:$C,A25,'Barang Keluar'!$E:$E))</f>
        <v>6</v>
      </c>
      <c r="D25" s="55">
        <f>IF(A25="","",'Master Barang'!F18)</f>
        <v>2</v>
      </c>
      <c r="E25" s="55">
        <f t="shared" si="0"/>
        <v>0</v>
      </c>
      <c r="F25" s="55" t="str">
        <f t="shared" si="1"/>
        <v>AMAN</v>
      </c>
    </row>
    <row r="26" spans="1:6">
      <c r="A26" s="55" t="str">
        <f>IFERROR('Master Barang'!A19,"")</f>
        <v>PRL-018</v>
      </c>
      <c r="B26" s="55" t="str">
        <f>IF(A26="","",'Master Barang'!B19)</f>
        <v>onemed masker biru 3 play hijab 50 pcs</v>
      </c>
      <c r="C26" s="55">
        <f>IF(A26="","",'Master Barang'!E19+SUMIF('Barang Masuk'!$C:$C,A26,'Barang Masuk'!$E:$E)-SUMIF('Barang Keluar'!$C:$C,A26,'Barang Keluar'!$E:$E))</f>
        <v>1</v>
      </c>
      <c r="D26" s="55">
        <f>IF(A26="","",'Master Barang'!F19)</f>
        <v>2</v>
      </c>
      <c r="E26" s="55">
        <f t="shared" si="0"/>
        <v>1</v>
      </c>
      <c r="F26" s="55" t="str">
        <f t="shared" si="1"/>
        <v>TIPIS - BUAT PO</v>
      </c>
    </row>
    <row r="27" spans="1:6">
      <c r="A27" s="55" t="str">
        <f>IFERROR('Master Barang'!A20,"")</f>
        <v>PRL-019</v>
      </c>
      <c r="B27" s="55" t="str">
        <f>IF(A27="","",'Master Barang'!B20)</f>
        <v>neo health masker biru 3 play 50 pcs</v>
      </c>
      <c r="C27" s="55">
        <f>IF(A27="","",'Master Barang'!E20+SUMIF('Barang Masuk'!$C:$C,A27,'Barang Masuk'!$E:$E)-SUMIF('Barang Keluar'!$C:$C,A27,'Barang Keluar'!$E:$E))</f>
        <v>9</v>
      </c>
      <c r="D27" s="55">
        <f>IF(A27="","",'Master Barang'!F20)</f>
        <v>2</v>
      </c>
      <c r="E27" s="55">
        <f t="shared" si="0"/>
        <v>0</v>
      </c>
      <c r="F27" s="55" t="str">
        <f t="shared" si="1"/>
        <v>AMAN</v>
      </c>
    </row>
    <row r="28" spans="1:6">
      <c r="A28" s="55" t="str">
        <f>IFERROR('Master Barang'!A21,"")</f>
        <v>PRL-020</v>
      </c>
      <c r="B28" s="55" t="str">
        <f>IF(A28="","",'Master Barang'!B21)</f>
        <v>baymed masker hijau 3 play hijau 50 pcs</v>
      </c>
      <c r="C28" s="55">
        <f>IF(A28="","",'Master Barang'!E21+SUMIF('Barang Masuk'!$C:$C,A28,'Barang Masuk'!$E:$E)-SUMIF('Barang Keluar'!$C:$C,A28,'Barang Keluar'!$E:$E))</f>
        <v>2</v>
      </c>
      <c r="D28" s="55">
        <f>IF(A28="","",'Master Barang'!F21)</f>
        <v>2</v>
      </c>
      <c r="E28" s="55">
        <f t="shared" si="0"/>
        <v>0</v>
      </c>
      <c r="F28" s="55" t="str">
        <f t="shared" si="1"/>
        <v>TIPIS - BUAT PO</v>
      </c>
    </row>
    <row r="29" spans="1:6">
      <c r="A29" s="55" t="str">
        <f>IFERROR('Master Barang'!A22,"")</f>
        <v>PRL-021</v>
      </c>
      <c r="B29" s="55" t="str">
        <f>IF(A29="","",'Master Barang'!B22)</f>
        <v>altamed nurse cap penutup kepala 100 pcs</v>
      </c>
      <c r="C29" s="55">
        <f>IF(A29="","",'Master Barang'!E22+SUMIF('Barang Masuk'!$C:$C,A29,'Barang Masuk'!$E:$E)-SUMIF('Barang Keluar'!$C:$C,A29,'Barang Keluar'!$E:$E))</f>
        <v>5</v>
      </c>
      <c r="D29" s="55">
        <f>IF(A29="","",'Master Barang'!F22)</f>
        <v>2</v>
      </c>
      <c r="E29" s="55">
        <f t="shared" si="0"/>
        <v>0</v>
      </c>
      <c r="F29" s="55" t="str">
        <f t="shared" si="1"/>
        <v>AMAN</v>
      </c>
    </row>
    <row r="30" spans="1:6">
      <c r="A30" s="55" t="str">
        <f>IFERROR('Master Barang'!A23,"")</f>
        <v>PRL-022</v>
      </c>
      <c r="B30" s="55" t="str">
        <f>IF(A30="","",'Master Barang'!B23)</f>
        <v>sabun cuci tangan</v>
      </c>
      <c r="C30" s="55">
        <f>IF(A30="","",'Master Barang'!E23+SUMIF('Barang Masuk'!$C:$C,A30,'Barang Masuk'!$E:$E)-SUMIF('Barang Keluar'!$C:$C,A30,'Barang Keluar'!$E:$E))</f>
        <v>1</v>
      </c>
      <c r="D30" s="55">
        <f>IF(A30="","",'Master Barang'!F23)</f>
        <v>2</v>
      </c>
      <c r="E30" s="55">
        <f t="shared" si="0"/>
        <v>1</v>
      </c>
      <c r="F30" s="55" t="str">
        <f t="shared" si="1"/>
        <v>TIPIS - BUAT PO</v>
      </c>
    </row>
    <row r="31" spans="1:6">
      <c r="A31" s="55" t="str">
        <f>IFERROR('Master Barang'!A24,"")</f>
        <v>PRL-023</v>
      </c>
      <c r="B31" s="55" t="str">
        <f>IF(A31="","",'Master Barang'!B24)</f>
        <v>gayung kecil</v>
      </c>
      <c r="C31" s="55">
        <f>IF(A31="","",'Master Barang'!E24+SUMIF('Barang Masuk'!$C:$C,A31,'Barang Masuk'!$E:$E)-SUMIF('Barang Keluar'!$C:$C,A31,'Barang Keluar'!$E:$E))</f>
        <v>1</v>
      </c>
      <c r="D31" s="55">
        <f>IF(A31="","",'Master Barang'!F24)</f>
        <v>2</v>
      </c>
      <c r="E31" s="55">
        <f t="shared" si="0"/>
        <v>1</v>
      </c>
      <c r="F31" s="55" t="str">
        <f t="shared" si="1"/>
        <v>TIPIS - BUAT PO</v>
      </c>
    </row>
    <row r="32" spans="1:6">
      <c r="A32" s="55" t="str">
        <f>IFERROR('Master Barang'!A25,"")</f>
        <v>PRL-024</v>
      </c>
      <c r="B32" s="55" t="str">
        <f>IF(A32="","",'Master Barang'!B25)</f>
        <v>cikrak kecil</v>
      </c>
      <c r="C32" s="55">
        <f>IF(A32="","",'Master Barang'!E25+SUMIF('Barang Masuk'!$C:$C,A32,'Barang Masuk'!$E:$E)-SUMIF('Barang Keluar'!$C:$C,A32,'Barang Keluar'!$E:$E))</f>
        <v>1</v>
      </c>
      <c r="D32" s="55">
        <f>IF(A32="","",'Master Barang'!F25)</f>
        <v>2</v>
      </c>
      <c r="E32" s="55">
        <f t="shared" si="0"/>
        <v>1</v>
      </c>
      <c r="F32" s="55" t="str">
        <f t="shared" si="1"/>
        <v>TIPIS - BUAT PO</v>
      </c>
    </row>
    <row r="33" spans="1:6">
      <c r="A33" s="55" t="str">
        <f>IFERROR('Master Barang'!A26,"")</f>
        <v>PRL-025</v>
      </c>
      <c r="B33" s="55" t="str">
        <f>IF(A33="","",'Master Barang'!B26)</f>
        <v>petromax plastik kecil 12x24 100 lembar</v>
      </c>
      <c r="C33" s="55">
        <f>IF(A33="","",'Master Barang'!E26+SUMIF('Barang Masuk'!$C:$C,A33,'Barang Masuk'!$E:$E)-SUMIF('Barang Keluar'!$C:$C,A33,'Barang Keluar'!$E:$E))</f>
        <v>1</v>
      </c>
      <c r="D33" s="55">
        <f>IF(A33="","",'Master Barang'!F26)</f>
        <v>2</v>
      </c>
      <c r="E33" s="55">
        <f t="shared" si="0"/>
        <v>1</v>
      </c>
      <c r="F33" s="55" t="str">
        <f t="shared" si="1"/>
        <v>TIPIS - BUAT PO</v>
      </c>
    </row>
    <row r="34" spans="1:6">
      <c r="A34" s="55" t="str">
        <f>IFERROR('Master Barang'!A27,"")</f>
        <v>PRL-026</v>
      </c>
      <c r="B34" s="55" t="str">
        <f>IF(A34="","",'Master Barang'!B27)</f>
        <v>lancar kresek kecil bening </v>
      </c>
      <c r="C34" s="55">
        <f>IF(A34="","",'Master Barang'!E27+SUMIF('Barang Masuk'!$C:$C,A34,'Barang Masuk'!$E:$E)-SUMIF('Barang Keluar'!$C:$C,A34,'Barang Keluar'!$E:$E))</f>
        <v>2.5</v>
      </c>
      <c r="D34" s="55">
        <f>IF(A34="","",'Master Barang'!F27)</f>
        <v>2</v>
      </c>
      <c r="E34" s="55">
        <f t="shared" si="0"/>
        <v>0</v>
      </c>
      <c r="F34" s="55" t="str">
        <f t="shared" si="1"/>
        <v>AMAN</v>
      </c>
    </row>
    <row r="35" spans="1:6">
      <c r="A35" s="55" t="str">
        <f>IFERROR('Master Barang'!A28,"")</f>
        <v>PRL-027</v>
      </c>
      <c r="B35" s="55" t="str">
        <f>IF(A35="","",'Master Barang'!B28)</f>
        <v>kresek klin warna warni kecil</v>
      </c>
      <c r="C35" s="55">
        <f>IF(A35="","",'Master Barang'!E28+SUMIF('Barang Masuk'!$C:$C,A35,'Barang Masuk'!$E:$E)-SUMIF('Barang Keluar'!$C:$C,A35,'Barang Keluar'!$E:$E))</f>
        <v>2</v>
      </c>
      <c r="D35" s="55">
        <f>IF(A35="","",'Master Barang'!F28)</f>
        <v>2</v>
      </c>
      <c r="E35" s="55">
        <f t="shared" si="0"/>
        <v>0</v>
      </c>
      <c r="F35" s="55" t="str">
        <f t="shared" si="1"/>
        <v>TIPIS - BUAT PO</v>
      </c>
    </row>
    <row r="36" spans="1:6">
      <c r="A36" s="55" t="str">
        <f>IFERROR('Master Barang'!A29,"")</f>
        <v>PRL-028</v>
      </c>
      <c r="B36" s="55" t="str">
        <f>IF(A36="","",'Master Barang'!B29)</f>
        <v>ctik plastik 7x10 100 pcs</v>
      </c>
      <c r="C36" s="55">
        <f>IF(A36="","",'Master Barang'!E29+SUMIF('Barang Masuk'!$C:$C,A36,'Barang Masuk'!$E:$E)-SUMIF('Barang Keluar'!$C:$C,A36,'Barang Keluar'!$E:$E))</f>
        <v>81</v>
      </c>
      <c r="D36" s="55">
        <f>IF(A36="","",'Master Barang'!F29)</f>
        <v>2</v>
      </c>
      <c r="E36" s="55">
        <f t="shared" si="0"/>
        <v>0</v>
      </c>
      <c r="F36" s="55" t="str">
        <f t="shared" si="1"/>
        <v>AMAN</v>
      </c>
    </row>
    <row r="37" spans="1:6">
      <c r="A37" s="55" t="str">
        <f>IFERROR('Master Barang'!A30,"")</f>
        <v>PRL-029</v>
      </c>
      <c r="B37" s="55" t="str">
        <f>IF(A37="","",'Master Barang'!B30)</f>
        <v>ctik plastik 6x10 100 pcs</v>
      </c>
      <c r="C37" s="55">
        <f>IF(A37="","",'Master Barang'!E30+SUMIF('Barang Masuk'!$C:$C,A37,'Barang Masuk'!$E:$E)-SUMIF('Barang Keluar'!$C:$C,A37,'Barang Keluar'!$E:$E))</f>
        <v>13</v>
      </c>
      <c r="D37" s="55">
        <f>IF(A37="","",'Master Barang'!F30)</f>
        <v>2</v>
      </c>
      <c r="E37" s="55">
        <f t="shared" si="0"/>
        <v>0</v>
      </c>
      <c r="F37" s="55" t="str">
        <f t="shared" si="1"/>
        <v>AMAN</v>
      </c>
    </row>
    <row r="38" spans="1:6">
      <c r="A38" s="55" t="str">
        <f>IFERROR('Master Barang'!A31,"")</f>
        <v>PRL-030</v>
      </c>
      <c r="B38" s="55" t="str">
        <f>IF(A38="","",'Master Barang'!B31)</f>
        <v>klip plastik 25x16 100 pcs</v>
      </c>
      <c r="C38" s="55">
        <f>IF(A38="","",'Master Barang'!E31+SUMIF('Barang Masuk'!$C:$C,A38,'Barang Masuk'!$E:$E)-SUMIF('Barang Keluar'!$C:$C,A38,'Barang Keluar'!$E:$E))</f>
        <v>1</v>
      </c>
      <c r="D38" s="55">
        <f>IF(A38="","",'Master Barang'!F31)</f>
        <v>2</v>
      </c>
      <c r="E38" s="55">
        <f t="shared" si="0"/>
        <v>1</v>
      </c>
      <c r="F38" s="55" t="str">
        <f t="shared" si="1"/>
        <v>TIPIS - BUAT PO</v>
      </c>
    </row>
    <row r="39" spans="1:6">
      <c r="A39" s="55" t="str">
        <f>IFERROR('Master Barang'!A32,"")</f>
        <v>PRL-031</v>
      </c>
      <c r="B39" s="55" t="str">
        <f>IF(A39="","",'Master Barang'!B32)</f>
        <v>tempat saus 20 ml</v>
      </c>
      <c r="C39" s="55">
        <f>IF(A39="","",'Master Barang'!E32+SUMIF('Barang Masuk'!$C:$C,A39,'Barang Masuk'!$E:$E)-SUMIF('Barang Keluar'!$C:$C,A39,'Barang Keluar'!$E:$E))</f>
        <v>20</v>
      </c>
      <c r="D39" s="55">
        <f>IF(A39="","",'Master Barang'!F32)</f>
        <v>2</v>
      </c>
      <c r="E39" s="55">
        <f t="shared" si="0"/>
        <v>0</v>
      </c>
      <c r="F39" s="55" t="str">
        <f t="shared" si="1"/>
        <v>AMAN</v>
      </c>
    </row>
    <row r="40" spans="1:6">
      <c r="A40" s="55" t="str">
        <f>IFERROR('Master Barang'!A33,"")</f>
        <v>PRL-032</v>
      </c>
      <c r="B40" s="55" t="str">
        <f>IF(A40="","",'Master Barang'!B33)</f>
        <v>plastik packaging ag box uk sedang</v>
      </c>
      <c r="C40" s="55">
        <f>IF(A40="","",'Master Barang'!E33+SUMIF('Barang Masuk'!$C:$C,A40,'Barang Masuk'!$E:$E)-SUMIF('Barang Keluar'!$C:$C,A40,'Barang Keluar'!$E:$E))</f>
        <v>2000</v>
      </c>
      <c r="D40" s="55">
        <f>IF(A40="","",'Master Barang'!F33)</f>
        <v>100</v>
      </c>
      <c r="E40" s="55">
        <f t="shared" si="0"/>
        <v>0</v>
      </c>
      <c r="F40" s="55" t="str">
        <f t="shared" si="1"/>
        <v>AMAN</v>
      </c>
    </row>
    <row r="41" spans="1:6">
      <c r="A41" s="55" t="str">
        <f>IFERROR('Master Barang'!A34,"")</f>
        <v>PRL-033</v>
      </c>
      <c r="B41" s="55">
        <f>IF(A41="","",'Master Barang'!B34)</f>
        <v>0</v>
      </c>
      <c r="C41" s="55">
        <f>IF(A41="","",'Master Barang'!E34+SUMIF('Barang Masuk'!$C:$C,A41,'Barang Masuk'!$E:$E)-SUMIF('Barang Keluar'!$C:$C,A41,'Barang Keluar'!$E:$E))</f>
        <v>0</v>
      </c>
      <c r="D41" s="55">
        <f>IF(A41="","",'Master Barang'!F34)</f>
        <v>0</v>
      </c>
      <c r="E41" s="55">
        <f t="shared" si="0"/>
        <v>0</v>
      </c>
      <c r="F41" s="55" t="str">
        <f t="shared" si="1"/>
        <v>HABIS - BUAT PO</v>
      </c>
    </row>
    <row r="42" spans="1:6">
      <c r="A42" s="55">
        <f>IFERROR('Master Barang'!A35,"")</f>
        <v>0</v>
      </c>
      <c r="B42" s="55">
        <f>IF(A42="","",'Master Barang'!B35)</f>
        <v>0</v>
      </c>
      <c r="C42" s="55">
        <f>IF(A42="","",'Master Barang'!E35+SUMIF('Barang Masuk'!$C:$C,A42,'Barang Masuk'!$E:$E)-SUMIF('Barang Keluar'!$C:$C,A42,'Barang Keluar'!$E:$E))</f>
        <v>0</v>
      </c>
      <c r="D42" s="55">
        <f>IF(A42="","",'Master Barang'!F35)</f>
        <v>0</v>
      </c>
      <c r="E42" s="55">
        <f t="shared" si="0"/>
        <v>0</v>
      </c>
      <c r="F42" s="55" t="str">
        <f t="shared" si="1"/>
        <v>HABIS - BUAT PO</v>
      </c>
    </row>
    <row r="43" spans="1:6">
      <c r="A43" s="55">
        <f>IFERROR('Master Barang'!A36,"")</f>
        <v>0</v>
      </c>
      <c r="B43" s="55">
        <f>IF(A43="","",'Master Barang'!B36)</f>
        <v>0</v>
      </c>
      <c r="C43" s="55">
        <f>IF(A43="","",'Master Barang'!E36+SUMIF('Barang Masuk'!$C:$C,A43,'Barang Masuk'!$E:$E)-SUMIF('Barang Keluar'!$C:$C,A43,'Barang Keluar'!$E:$E))</f>
        <v>0</v>
      </c>
      <c r="D43" s="55">
        <f>IF(A43="","",'Master Barang'!F36)</f>
        <v>0</v>
      </c>
      <c r="E43" s="55">
        <f t="shared" si="0"/>
        <v>0</v>
      </c>
      <c r="F43" s="55" t="str">
        <f t="shared" si="1"/>
        <v>HABIS - BUAT PO</v>
      </c>
    </row>
    <row r="44" spans="1:6">
      <c r="A44" s="55">
        <f>IFERROR('Master Barang'!A37,"")</f>
        <v>0</v>
      </c>
      <c r="B44" s="55">
        <f>IF(A44="","",'Master Barang'!B37)</f>
        <v>0</v>
      </c>
      <c r="C44" s="55">
        <f>IF(A44="","",'Master Barang'!E37+SUMIF('Barang Masuk'!$C:$C,A44,'Barang Masuk'!$E:$E)-SUMIF('Barang Keluar'!$C:$C,A44,'Barang Keluar'!$E:$E))</f>
        <v>0</v>
      </c>
      <c r="D44" s="55">
        <f>IF(A44="","",'Master Barang'!F37)</f>
        <v>0</v>
      </c>
      <c r="E44" s="55">
        <f t="shared" si="0"/>
        <v>0</v>
      </c>
      <c r="F44" s="55" t="str">
        <f t="shared" si="1"/>
        <v>HABIS - BUAT PO</v>
      </c>
    </row>
    <row r="45" spans="1:6">
      <c r="A45" s="55">
        <f>IFERROR('Master Barang'!A38,"")</f>
        <v>0</v>
      </c>
      <c r="B45" s="55">
        <f>IF(A45="","",'Master Barang'!B38)</f>
        <v>0</v>
      </c>
      <c r="C45" s="55">
        <f>IF(A45="","",'Master Barang'!E38+SUMIF('Barang Masuk'!$C:$C,A45,'Barang Masuk'!$E:$E)-SUMIF('Barang Keluar'!$C:$C,A45,'Barang Keluar'!$E:$E))</f>
        <v>0</v>
      </c>
      <c r="D45" s="55">
        <f>IF(A45="","",'Master Barang'!F38)</f>
        <v>0</v>
      </c>
      <c r="E45" s="55">
        <f t="shared" si="0"/>
        <v>0</v>
      </c>
      <c r="F45" s="55" t="str">
        <f t="shared" si="1"/>
        <v>HABIS - BUAT PO</v>
      </c>
    </row>
    <row r="46" spans="1:6">
      <c r="A46" s="55">
        <f>IFERROR('Master Barang'!A39,"")</f>
        <v>0</v>
      </c>
      <c r="B46" s="55">
        <f>IF(A46="","",'Master Barang'!B39)</f>
        <v>0</v>
      </c>
      <c r="C46" s="55">
        <f>IF(A46="","",'Master Barang'!E39+SUMIF('Barang Masuk'!$C:$C,A46,'Barang Masuk'!$E:$E)-SUMIF('Barang Keluar'!$C:$C,A46,'Barang Keluar'!$E:$E))</f>
        <v>0</v>
      </c>
      <c r="D46" s="55">
        <f>IF(A46="","",'Master Barang'!F39)</f>
        <v>0</v>
      </c>
      <c r="E46" s="55">
        <f t="shared" si="0"/>
        <v>0</v>
      </c>
      <c r="F46" s="55" t="str">
        <f t="shared" si="1"/>
        <v>HABIS - BUAT PO</v>
      </c>
    </row>
    <row r="47" spans="1:6">
      <c r="A47" s="55">
        <f>IFERROR('Master Barang'!A40,"")</f>
        <v>0</v>
      </c>
      <c r="B47" s="55">
        <f>IF(A47="","",'Master Barang'!B40)</f>
        <v>0</v>
      </c>
      <c r="C47" s="55">
        <f>IF(A47="","",'Master Barang'!E40+SUMIF('Barang Masuk'!$C:$C,A47,'Barang Masuk'!$E:$E)-SUMIF('Barang Keluar'!$C:$C,A47,'Barang Keluar'!$E:$E))</f>
        <v>0</v>
      </c>
      <c r="D47" s="55">
        <f>IF(A47="","",'Master Barang'!F40)</f>
        <v>0</v>
      </c>
      <c r="E47" s="55">
        <f t="shared" si="0"/>
        <v>0</v>
      </c>
      <c r="F47" s="55" t="str">
        <f t="shared" si="1"/>
        <v>HABIS - BUAT PO</v>
      </c>
    </row>
    <row r="48" spans="1:6">
      <c r="A48" s="55">
        <f>IFERROR('Master Barang'!A41,"")</f>
        <v>0</v>
      </c>
      <c r="B48" s="55">
        <f>IF(A48="","",'Master Barang'!B41)</f>
        <v>0</v>
      </c>
      <c r="C48" s="55">
        <f>IF(A48="","",'Master Barang'!E41+SUMIF('Barang Masuk'!$C:$C,A48,'Barang Masuk'!$E:$E)-SUMIF('Barang Keluar'!$C:$C,A48,'Barang Keluar'!$E:$E))</f>
        <v>0</v>
      </c>
      <c r="D48" s="55">
        <f>IF(A48="","",'Master Barang'!F41)</f>
        <v>0</v>
      </c>
      <c r="E48" s="55">
        <f t="shared" si="0"/>
        <v>0</v>
      </c>
      <c r="F48" s="55" t="str">
        <f t="shared" si="1"/>
        <v>HABIS - BUAT PO</v>
      </c>
    </row>
    <row r="49" spans="1:6">
      <c r="A49" s="55">
        <f>IFERROR('Master Barang'!A42,"")</f>
        <v>0</v>
      </c>
      <c r="B49" s="55">
        <f>IF(A49="","",'Master Barang'!B42)</f>
        <v>0</v>
      </c>
      <c r="C49" s="55">
        <f>IF(A49="","",'Master Barang'!E42+SUMIF('Barang Masuk'!$C:$C,A49,'Barang Masuk'!$E:$E)-SUMIF('Barang Keluar'!$C:$C,A49,'Barang Keluar'!$E:$E))</f>
        <v>0</v>
      </c>
      <c r="D49" s="55">
        <f>IF(A49="","",'Master Barang'!F42)</f>
        <v>0</v>
      </c>
      <c r="E49" s="55">
        <f t="shared" si="0"/>
        <v>0</v>
      </c>
      <c r="F49" s="55" t="str">
        <f t="shared" si="1"/>
        <v>HABIS - BUAT PO</v>
      </c>
    </row>
    <row r="50" spans="1:6">
      <c r="A50" s="55">
        <f>IFERROR('Master Barang'!A43,"")</f>
        <v>0</v>
      </c>
      <c r="B50" s="55">
        <f>IF(A50="","",'Master Barang'!B43)</f>
        <v>0</v>
      </c>
      <c r="C50" s="55">
        <f>IF(A50="","",'Master Barang'!E43+SUMIF('Barang Masuk'!$C:$C,A50,'Barang Masuk'!$E:$E)-SUMIF('Barang Keluar'!$C:$C,A50,'Barang Keluar'!$E:$E))</f>
        <v>0</v>
      </c>
      <c r="D50" s="55">
        <f>IF(A50="","",'Master Barang'!F43)</f>
        <v>0</v>
      </c>
      <c r="E50" s="55">
        <f t="shared" si="0"/>
        <v>0</v>
      </c>
      <c r="F50" s="55" t="str">
        <f t="shared" si="1"/>
        <v>HABIS - BUAT PO</v>
      </c>
    </row>
    <row r="51" spans="1:6">
      <c r="A51" s="55">
        <f>IFERROR('Master Barang'!A44,"")</f>
        <v>0</v>
      </c>
      <c r="B51" s="55">
        <f>IF(A51="","",'Master Barang'!B44)</f>
        <v>0</v>
      </c>
      <c r="C51" s="55">
        <f>IF(A51="","",'Master Barang'!E44+SUMIF('Barang Masuk'!$C:$C,A51,'Barang Masuk'!$E:$E)-SUMIF('Barang Keluar'!$C:$C,A51,'Barang Keluar'!$E:$E))</f>
        <v>0</v>
      </c>
      <c r="D51" s="55">
        <f>IF(A51="","",'Master Barang'!F44)</f>
        <v>0</v>
      </c>
      <c r="E51" s="55">
        <f t="shared" si="0"/>
        <v>0</v>
      </c>
      <c r="F51" s="55" t="str">
        <f t="shared" si="1"/>
        <v>HABIS - BUAT PO</v>
      </c>
    </row>
    <row r="52" spans="1:6">
      <c r="A52" s="55">
        <f>IFERROR('Master Barang'!A45,"")</f>
        <v>0</v>
      </c>
      <c r="B52" s="55">
        <f>IF(A52="","",'Master Barang'!B45)</f>
        <v>0</v>
      </c>
      <c r="C52" s="55">
        <f>IF(A52="","",'Master Barang'!E45+SUMIF('Barang Masuk'!$C:$C,A52,'Barang Masuk'!$E:$E)-SUMIF('Barang Keluar'!$C:$C,A52,'Barang Keluar'!$E:$E))</f>
        <v>0</v>
      </c>
      <c r="D52" s="55">
        <f>IF(A52="","",'Master Barang'!F45)</f>
        <v>0</v>
      </c>
      <c r="E52" s="55">
        <f t="shared" si="0"/>
        <v>0</v>
      </c>
      <c r="F52" s="55" t="str">
        <f t="shared" si="1"/>
        <v>HABIS - BUAT PO</v>
      </c>
    </row>
    <row r="53" spans="1:6">
      <c r="A53" s="55">
        <f>IFERROR('Master Barang'!A46,"")</f>
        <v>0</v>
      </c>
      <c r="B53" s="55">
        <f>IF(A53="","",'Master Barang'!B46)</f>
        <v>0</v>
      </c>
      <c r="C53" s="55">
        <f>IF(A53="","",'Master Barang'!E46+SUMIF('Barang Masuk'!$C:$C,A53,'Barang Masuk'!$E:$E)-SUMIF('Barang Keluar'!$C:$C,A53,'Barang Keluar'!$E:$E))</f>
        <v>0</v>
      </c>
      <c r="D53" s="55">
        <f>IF(A53="","",'Master Barang'!F46)</f>
        <v>0</v>
      </c>
      <c r="E53" s="55">
        <f t="shared" si="0"/>
        <v>0</v>
      </c>
      <c r="F53" s="55" t="str">
        <f t="shared" si="1"/>
        <v>HABIS - BUAT PO</v>
      </c>
    </row>
    <row r="54" spans="1:6">
      <c r="A54" s="55">
        <f>IFERROR('Master Barang'!A47,"")</f>
        <v>0</v>
      </c>
      <c r="B54" s="55">
        <f>IF(A54="","",'Master Barang'!B47)</f>
        <v>0</v>
      </c>
      <c r="C54" s="55">
        <f>IF(A54="","",'Master Barang'!E47+SUMIF('Barang Masuk'!$C:$C,A54,'Barang Masuk'!$E:$E)-SUMIF('Barang Keluar'!$C:$C,A54,'Barang Keluar'!$E:$E))</f>
        <v>0</v>
      </c>
      <c r="D54" s="55">
        <f>IF(A54="","",'Master Barang'!F47)</f>
        <v>0</v>
      </c>
      <c r="E54" s="55">
        <f t="shared" si="0"/>
        <v>0</v>
      </c>
      <c r="F54" s="55" t="str">
        <f t="shared" si="1"/>
        <v>HABIS - BUAT PO</v>
      </c>
    </row>
    <row r="55" spans="1:6">
      <c r="A55" s="55">
        <f>IFERROR('Master Barang'!A48,"")</f>
        <v>0</v>
      </c>
      <c r="B55" s="55">
        <f>IF(A55="","",'Master Barang'!B48)</f>
        <v>0</v>
      </c>
      <c r="C55" s="55">
        <f>IF(A55="","",'Master Barang'!E48+SUMIF('Barang Masuk'!$C:$C,A55,'Barang Masuk'!$E:$E)-SUMIF('Barang Keluar'!$C:$C,A55,'Barang Keluar'!$E:$E))</f>
        <v>0</v>
      </c>
      <c r="D55" s="55">
        <f>IF(A55="","",'Master Barang'!F48)</f>
        <v>0</v>
      </c>
      <c r="E55" s="55">
        <f t="shared" si="0"/>
        <v>0</v>
      </c>
      <c r="F55" s="55" t="str">
        <f t="shared" si="1"/>
        <v>HABIS - BUAT PO</v>
      </c>
    </row>
    <row r="56" spans="1:6">
      <c r="A56" s="55">
        <f>IFERROR('Master Barang'!A49,"")</f>
        <v>0</v>
      </c>
      <c r="B56" s="55">
        <f>IF(A56="","",'Master Barang'!B49)</f>
        <v>0</v>
      </c>
      <c r="C56" s="55">
        <f>IF(A56="","",'Master Barang'!E49+SUMIF('Barang Masuk'!$C:$C,A56,'Barang Masuk'!$E:$E)-SUMIF('Barang Keluar'!$C:$C,A56,'Barang Keluar'!$E:$E))</f>
        <v>0</v>
      </c>
      <c r="D56" s="55">
        <f>IF(A56="","",'Master Barang'!F49)</f>
        <v>0</v>
      </c>
      <c r="E56" s="55">
        <f t="shared" si="0"/>
        <v>0</v>
      </c>
      <c r="F56" s="55" t="str">
        <f t="shared" si="1"/>
        <v>HABIS - BUAT PO</v>
      </c>
    </row>
    <row r="57" spans="1:6">
      <c r="A57" s="55">
        <f>IFERROR('Master Barang'!A50,"")</f>
        <v>0</v>
      </c>
      <c r="B57" s="55">
        <f>IF(A57="","",'Master Barang'!B50)</f>
        <v>0</v>
      </c>
      <c r="C57" s="55">
        <f>IF(A57="","",'Master Barang'!E50+SUMIF('Barang Masuk'!$C:$C,A57,'Barang Masuk'!$E:$E)-SUMIF('Barang Keluar'!$C:$C,A57,'Barang Keluar'!$E:$E))</f>
        <v>0</v>
      </c>
      <c r="D57" s="55">
        <f>IF(A57="","",'Master Barang'!F50)</f>
        <v>0</v>
      </c>
      <c r="E57" s="55">
        <f t="shared" si="0"/>
        <v>0</v>
      </c>
      <c r="F57" s="55" t="str">
        <f t="shared" si="1"/>
        <v>HABIS - BUAT PO</v>
      </c>
    </row>
    <row r="58" spans="1:6">
      <c r="A58" s="55">
        <f>IFERROR('Master Barang'!A51,"")</f>
        <v>0</v>
      </c>
      <c r="B58" s="55">
        <f>IF(A58="","",'Master Barang'!B51)</f>
        <v>0</v>
      </c>
      <c r="C58" s="55">
        <f>IF(A58="","",'Master Barang'!E51+SUMIF('Barang Masuk'!$C:$C,A58,'Barang Masuk'!$E:$E)-SUMIF('Barang Keluar'!$C:$C,A58,'Barang Keluar'!$E:$E))</f>
        <v>0</v>
      </c>
      <c r="D58" s="55">
        <f>IF(A58="","",'Master Barang'!F51)</f>
        <v>0</v>
      </c>
      <c r="E58" s="55">
        <f t="shared" si="0"/>
        <v>0</v>
      </c>
      <c r="F58" s="55" t="str">
        <f t="shared" si="1"/>
        <v>HABIS - BUAT PO</v>
      </c>
    </row>
    <row r="59" spans="1:6">
      <c r="A59" s="55">
        <f>IFERROR('Master Barang'!A52,"")</f>
        <v>0</v>
      </c>
      <c r="B59" s="55">
        <f>IF(A59="","",'Master Barang'!B52)</f>
        <v>0</v>
      </c>
      <c r="C59" s="55">
        <f>IF(A59="","",'Master Barang'!E52+SUMIF('Barang Masuk'!$C:$C,A59,'Barang Masuk'!$E:$E)-SUMIF('Barang Keluar'!$C:$C,A59,'Barang Keluar'!$E:$E))</f>
        <v>0</v>
      </c>
      <c r="D59" s="55">
        <f>IF(A59="","",'Master Barang'!F52)</f>
        <v>0</v>
      </c>
      <c r="E59" s="55">
        <f t="shared" si="0"/>
        <v>0</v>
      </c>
      <c r="F59" s="55" t="str">
        <f t="shared" si="1"/>
        <v>HABIS - BUAT PO</v>
      </c>
    </row>
    <row r="60" spans="1:6">
      <c r="A60" s="55">
        <f>IFERROR('Master Barang'!A53,"")</f>
        <v>0</v>
      </c>
      <c r="B60" s="55">
        <f>IF(A60="","",'Master Barang'!B53)</f>
        <v>0</v>
      </c>
      <c r="C60" s="55">
        <f>IF(A60="","",'Master Barang'!E53+SUMIF('Barang Masuk'!$C:$C,A60,'Barang Masuk'!$E:$E)-SUMIF('Barang Keluar'!$C:$C,A60,'Barang Keluar'!$E:$E))</f>
        <v>0</v>
      </c>
      <c r="D60" s="55">
        <f>IF(A60="","",'Master Barang'!F53)</f>
        <v>0</v>
      </c>
      <c r="E60" s="55">
        <f t="shared" si="0"/>
        <v>0</v>
      </c>
      <c r="F60" s="55" t="str">
        <f t="shared" si="1"/>
        <v>HABIS - BUAT PO</v>
      </c>
    </row>
    <row r="61" spans="1:6">
      <c r="A61" s="55">
        <f>IFERROR('Master Barang'!A54,"")</f>
        <v>0</v>
      </c>
      <c r="B61" s="55">
        <f>IF(A61="","",'Master Barang'!B54)</f>
        <v>0</v>
      </c>
      <c r="C61" s="55">
        <f>IF(A61="","",'Master Barang'!E54+SUMIF('Barang Masuk'!$C:$C,A61,'Barang Masuk'!$E:$E)-SUMIF('Barang Keluar'!$C:$C,A61,'Barang Keluar'!$E:$E))</f>
        <v>0</v>
      </c>
      <c r="D61" s="55">
        <f>IF(A61="","",'Master Barang'!F54)</f>
        <v>0</v>
      </c>
      <c r="E61" s="55">
        <f t="shared" si="0"/>
        <v>0</v>
      </c>
      <c r="F61" s="55" t="str">
        <f t="shared" si="1"/>
        <v>HABIS - BUAT PO</v>
      </c>
    </row>
    <row r="62" spans="1:6">
      <c r="A62" s="55">
        <f>IFERROR('Master Barang'!A55,"")</f>
        <v>0</v>
      </c>
      <c r="B62" s="55">
        <f>IF(A62="","",'Master Barang'!B55)</f>
        <v>0</v>
      </c>
      <c r="C62" s="55">
        <f>IF(A62="","",'Master Barang'!E55+SUMIF('Barang Masuk'!$C:$C,A62,'Barang Masuk'!$E:$E)-SUMIF('Barang Keluar'!$C:$C,A62,'Barang Keluar'!$E:$E))</f>
        <v>0</v>
      </c>
      <c r="D62" s="55">
        <f>IF(A62="","",'Master Barang'!F55)</f>
        <v>0</v>
      </c>
      <c r="E62" s="55">
        <f t="shared" si="0"/>
        <v>0</v>
      </c>
      <c r="F62" s="55" t="str">
        <f t="shared" si="1"/>
        <v>HABIS - BUAT PO</v>
      </c>
    </row>
    <row r="63" spans="1:6">
      <c r="A63" s="55">
        <f>IFERROR('Master Barang'!A56,"")</f>
        <v>0</v>
      </c>
      <c r="B63" s="55">
        <f>IF(A63="","",'Master Barang'!B56)</f>
        <v>0</v>
      </c>
      <c r="C63" s="55">
        <f>IF(A63="","",'Master Barang'!E56+SUMIF('Barang Masuk'!$C:$C,A63,'Barang Masuk'!$E:$E)-SUMIF('Barang Keluar'!$C:$C,A63,'Barang Keluar'!$E:$E))</f>
        <v>0</v>
      </c>
      <c r="D63" s="55">
        <f>IF(A63="","",'Master Barang'!F56)</f>
        <v>0</v>
      </c>
      <c r="E63" s="55">
        <f t="shared" si="0"/>
        <v>0</v>
      </c>
      <c r="F63" s="55" t="str">
        <f t="shared" si="1"/>
        <v>HABIS - BUAT PO</v>
      </c>
    </row>
    <row r="64" spans="1:6">
      <c r="A64" s="55">
        <f>IFERROR('Master Barang'!A57,"")</f>
        <v>0</v>
      </c>
      <c r="B64" s="55">
        <f>IF(A64="","",'Master Barang'!B57)</f>
        <v>0</v>
      </c>
      <c r="C64" s="55">
        <f>IF(A64="","",'Master Barang'!E57+SUMIF('Barang Masuk'!$C:$C,A64,'Barang Masuk'!$E:$E)-SUMIF('Barang Keluar'!$C:$C,A64,'Barang Keluar'!$E:$E))</f>
        <v>0</v>
      </c>
      <c r="D64" s="55">
        <f>IF(A64="","",'Master Barang'!F57)</f>
        <v>0</v>
      </c>
      <c r="E64" s="55">
        <f t="shared" si="0"/>
        <v>0</v>
      </c>
      <c r="F64" s="55" t="str">
        <f t="shared" si="1"/>
        <v>HABIS - BUAT PO</v>
      </c>
    </row>
    <row r="65" spans="1:6">
      <c r="A65" s="55">
        <f>IFERROR('Master Barang'!A58,"")</f>
        <v>0</v>
      </c>
      <c r="B65" s="55">
        <f>IF(A65="","",'Master Barang'!B58)</f>
        <v>0</v>
      </c>
      <c r="C65" s="55">
        <f>IF(A65="","",'Master Barang'!E58+SUMIF('Barang Masuk'!$C:$C,A65,'Barang Masuk'!$E:$E)-SUMIF('Barang Keluar'!$C:$C,A65,'Barang Keluar'!$E:$E))</f>
        <v>0</v>
      </c>
      <c r="D65" s="55">
        <f>IF(A65="","",'Master Barang'!F58)</f>
        <v>0</v>
      </c>
      <c r="E65" s="55">
        <f t="shared" si="0"/>
        <v>0</v>
      </c>
      <c r="F65" s="55" t="str">
        <f t="shared" si="1"/>
        <v>HABIS - BUAT PO</v>
      </c>
    </row>
    <row r="66" spans="1:6">
      <c r="A66" s="55">
        <f>IFERROR('Master Barang'!A59,"")</f>
        <v>0</v>
      </c>
      <c r="B66" s="55">
        <f>IF(A66="","",'Master Barang'!B59)</f>
        <v>0</v>
      </c>
      <c r="C66" s="55">
        <f>IF(A66="","",'Master Barang'!E59+SUMIF('Barang Masuk'!$C:$C,A66,'Barang Masuk'!$E:$E)-SUMIF('Barang Keluar'!$C:$C,A66,'Barang Keluar'!$E:$E))</f>
        <v>0</v>
      </c>
      <c r="D66" s="55">
        <f>IF(A66="","",'Master Barang'!F59)</f>
        <v>0</v>
      </c>
      <c r="E66" s="55">
        <f t="shared" si="0"/>
        <v>0</v>
      </c>
      <c r="F66" s="55" t="str">
        <f t="shared" si="1"/>
        <v>HABIS - BUAT PO</v>
      </c>
    </row>
    <row r="67" spans="1:6">
      <c r="A67" s="55">
        <f>IFERROR('Master Barang'!A60,"")</f>
        <v>0</v>
      </c>
      <c r="B67" s="55">
        <f>IF(A67="","",'Master Barang'!B60)</f>
        <v>0</v>
      </c>
      <c r="C67" s="55">
        <f>IF(A67="","",'Master Barang'!E60+SUMIF('Barang Masuk'!$C:$C,A67,'Barang Masuk'!$E:$E)-SUMIF('Barang Keluar'!$C:$C,A67,'Barang Keluar'!$E:$E))</f>
        <v>0</v>
      </c>
      <c r="D67" s="55">
        <f>IF(A67="","",'Master Barang'!F60)</f>
        <v>0</v>
      </c>
      <c r="E67" s="55">
        <f t="shared" si="0"/>
        <v>0</v>
      </c>
      <c r="F67" s="55" t="str">
        <f t="shared" si="1"/>
        <v>HABIS - BUAT PO</v>
      </c>
    </row>
    <row r="68" spans="1:6">
      <c r="A68" s="55">
        <f>IFERROR('Master Barang'!A61,"")</f>
        <v>0</v>
      </c>
      <c r="B68" s="55">
        <f>IF(A68="","",'Master Barang'!B61)</f>
        <v>0</v>
      </c>
      <c r="C68" s="55">
        <f>IF(A68="","",'Master Barang'!E61+SUMIF('Barang Masuk'!$C:$C,A68,'Barang Masuk'!$E:$E)-SUMIF('Barang Keluar'!$C:$C,A68,'Barang Keluar'!$E:$E))</f>
        <v>0</v>
      </c>
      <c r="D68" s="55">
        <f>IF(A68="","",'Master Barang'!F61)</f>
        <v>0</v>
      </c>
      <c r="E68" s="55">
        <f t="shared" si="0"/>
        <v>0</v>
      </c>
      <c r="F68" s="55" t="str">
        <f t="shared" si="1"/>
        <v>HABIS - BUAT PO</v>
      </c>
    </row>
    <row r="69" spans="1:6">
      <c r="A69" s="55">
        <f>IFERROR('Master Barang'!A62,"")</f>
        <v>0</v>
      </c>
      <c r="B69" s="55">
        <f>IF(A69="","",'Master Barang'!B62)</f>
        <v>0</v>
      </c>
      <c r="C69" s="55">
        <f>IF(A69="","",'Master Barang'!E62+SUMIF('Barang Masuk'!$C:$C,A69,'Barang Masuk'!$E:$E)-SUMIF('Barang Keluar'!$C:$C,A69,'Barang Keluar'!$E:$E))</f>
        <v>0</v>
      </c>
      <c r="D69" s="55">
        <f>IF(A69="","",'Master Barang'!F62)</f>
        <v>0</v>
      </c>
      <c r="E69" s="55">
        <f t="shared" si="0"/>
        <v>0</v>
      </c>
      <c r="F69" s="55" t="str">
        <f t="shared" si="1"/>
        <v>HABIS - BUAT PO</v>
      </c>
    </row>
    <row r="70" spans="1:6">
      <c r="A70" s="55">
        <f>IFERROR('Master Barang'!A63,"")</f>
        <v>0</v>
      </c>
      <c r="B70" s="55">
        <f>IF(A70="","",'Master Barang'!B63)</f>
        <v>0</v>
      </c>
      <c r="C70" s="55">
        <f>IF(A70="","",'Master Barang'!E63+SUMIF('Barang Masuk'!$C:$C,A70,'Barang Masuk'!$E:$E)-SUMIF('Barang Keluar'!$C:$C,A70,'Barang Keluar'!$E:$E))</f>
        <v>0</v>
      </c>
      <c r="D70" s="55">
        <f>IF(A70="","",'Master Barang'!F63)</f>
        <v>0</v>
      </c>
      <c r="E70" s="55">
        <f t="shared" si="0"/>
        <v>0</v>
      </c>
      <c r="F70" s="55" t="str">
        <f t="shared" si="1"/>
        <v>HABIS - BUAT PO</v>
      </c>
    </row>
    <row r="71" spans="1:6">
      <c r="A71" s="55">
        <f>IFERROR('Master Barang'!A64,"")</f>
        <v>0</v>
      </c>
      <c r="B71" s="55">
        <f>IF(A71="","",'Master Barang'!B64)</f>
        <v>0</v>
      </c>
      <c r="C71" s="55">
        <f>IF(A71="","",'Master Barang'!E64+SUMIF('Barang Masuk'!$C:$C,A71,'Barang Masuk'!$E:$E)-SUMIF('Barang Keluar'!$C:$C,A71,'Barang Keluar'!$E:$E))</f>
        <v>0</v>
      </c>
      <c r="D71" s="55">
        <f>IF(A71="","",'Master Barang'!F64)</f>
        <v>0</v>
      </c>
      <c r="E71" s="55">
        <f t="shared" si="0"/>
        <v>0</v>
      </c>
      <c r="F71" s="55" t="str">
        <f t="shared" si="1"/>
        <v>HABIS - BUAT PO</v>
      </c>
    </row>
    <row r="72" spans="1:6">
      <c r="A72" s="55">
        <f>IFERROR('Master Barang'!A65,"")</f>
        <v>0</v>
      </c>
      <c r="B72" s="55">
        <f>IF(A72="","",'Master Barang'!B65)</f>
        <v>0</v>
      </c>
      <c r="C72" s="55">
        <f>IF(A72="","",'Master Barang'!E65+SUMIF('Barang Masuk'!$C:$C,A72,'Barang Masuk'!$E:$E)-SUMIF('Barang Keluar'!$C:$C,A72,'Barang Keluar'!$E:$E))</f>
        <v>0</v>
      </c>
      <c r="D72" s="55">
        <f>IF(A72="","",'Master Barang'!F65)</f>
        <v>0</v>
      </c>
      <c r="E72" s="55">
        <f t="shared" si="0"/>
        <v>0</v>
      </c>
      <c r="F72" s="55" t="str">
        <f t="shared" si="1"/>
        <v>HABIS - BUAT PO</v>
      </c>
    </row>
    <row r="73" spans="1:6">
      <c r="A73" s="55">
        <f>IFERROR('Master Barang'!A66,"")</f>
        <v>0</v>
      </c>
      <c r="B73" s="55">
        <f>IF(A73="","",'Master Barang'!B66)</f>
        <v>0</v>
      </c>
      <c r="C73" s="55">
        <f>IF(A73="","",'Master Barang'!E66+SUMIF('Barang Masuk'!$C:$C,A73,'Barang Masuk'!$E:$E)-SUMIF('Barang Keluar'!$C:$C,A73,'Barang Keluar'!$E:$E))</f>
        <v>0</v>
      </c>
      <c r="D73" s="55">
        <f>IF(A73="","",'Master Barang'!F66)</f>
        <v>0</v>
      </c>
      <c r="E73" s="55">
        <f t="shared" ref="E73:E108" si="2">IF(A73="","",MAX(0,D73-C73))</f>
        <v>0</v>
      </c>
      <c r="F73" s="55" t="str">
        <f t="shared" ref="F73:F108" si="3">IF(A73="","",IF(C73&lt;=0,"HABIS - BUAT PO",IF(C73&lt;=D73,"TIPIS - BUAT PO","AMAN")))</f>
        <v>HABIS - BUAT PO</v>
      </c>
    </row>
    <row r="74" spans="1:6">
      <c r="A74" s="55">
        <f>IFERROR('Master Barang'!A67,"")</f>
        <v>0</v>
      </c>
      <c r="B74" s="55">
        <f>IF(A74="","",'Master Barang'!B67)</f>
        <v>0</v>
      </c>
      <c r="C74" s="55">
        <f>IF(A74="","",'Master Barang'!E67+SUMIF('Barang Masuk'!$C:$C,A74,'Barang Masuk'!$E:$E)-SUMIF('Barang Keluar'!$C:$C,A74,'Barang Keluar'!$E:$E))</f>
        <v>0</v>
      </c>
      <c r="D74" s="55">
        <f>IF(A74="","",'Master Barang'!F67)</f>
        <v>0</v>
      </c>
      <c r="E74" s="55">
        <f t="shared" si="2"/>
        <v>0</v>
      </c>
      <c r="F74" s="55" t="str">
        <f t="shared" si="3"/>
        <v>HABIS - BUAT PO</v>
      </c>
    </row>
    <row r="75" spans="1:6">
      <c r="A75" s="55">
        <f>IFERROR('Master Barang'!A68,"")</f>
        <v>0</v>
      </c>
      <c r="B75" s="55">
        <f>IF(A75="","",'Master Barang'!B68)</f>
        <v>0</v>
      </c>
      <c r="C75" s="55">
        <f>IF(A75="","",'Master Barang'!E68+SUMIF('Barang Masuk'!$C:$C,A75,'Barang Masuk'!$E:$E)-SUMIF('Barang Keluar'!$C:$C,A75,'Barang Keluar'!$E:$E))</f>
        <v>0</v>
      </c>
      <c r="D75" s="55">
        <f>IF(A75="","",'Master Barang'!F68)</f>
        <v>0</v>
      </c>
      <c r="E75" s="55">
        <f t="shared" si="2"/>
        <v>0</v>
      </c>
      <c r="F75" s="55" t="str">
        <f t="shared" si="3"/>
        <v>HABIS - BUAT PO</v>
      </c>
    </row>
    <row r="76" spans="1:6">
      <c r="A76" s="55">
        <f>IFERROR('Master Barang'!A69,"")</f>
        <v>0</v>
      </c>
      <c r="B76" s="55">
        <f>IF(A76="","",'Master Barang'!B69)</f>
        <v>0</v>
      </c>
      <c r="C76" s="55">
        <f>IF(A76="","",'Master Barang'!E69+SUMIF('Barang Masuk'!$C:$C,A76,'Barang Masuk'!$E:$E)-SUMIF('Barang Keluar'!$C:$C,A76,'Barang Keluar'!$E:$E))</f>
        <v>0</v>
      </c>
      <c r="D76" s="55">
        <f>IF(A76="","",'Master Barang'!F69)</f>
        <v>0</v>
      </c>
      <c r="E76" s="55">
        <f t="shared" si="2"/>
        <v>0</v>
      </c>
      <c r="F76" s="55" t="str">
        <f t="shared" si="3"/>
        <v>HABIS - BUAT PO</v>
      </c>
    </row>
    <row r="77" spans="1:6">
      <c r="A77" s="55">
        <f>IFERROR('Master Barang'!A70,"")</f>
        <v>0</v>
      </c>
      <c r="B77" s="55">
        <f>IF(A77="","",'Master Barang'!B70)</f>
        <v>0</v>
      </c>
      <c r="C77" s="55">
        <f>IF(A77="","",'Master Barang'!E70+SUMIF('Barang Masuk'!$C:$C,A77,'Barang Masuk'!$E:$E)-SUMIF('Barang Keluar'!$C:$C,A77,'Barang Keluar'!$E:$E))</f>
        <v>0</v>
      </c>
      <c r="D77" s="55">
        <f>IF(A77="","",'Master Barang'!F70)</f>
        <v>0</v>
      </c>
      <c r="E77" s="55">
        <f t="shared" si="2"/>
        <v>0</v>
      </c>
      <c r="F77" s="55" t="str">
        <f t="shared" si="3"/>
        <v>HABIS - BUAT PO</v>
      </c>
    </row>
    <row r="78" spans="1:6">
      <c r="A78" s="55">
        <f>IFERROR('Master Barang'!A71,"")</f>
        <v>0</v>
      </c>
      <c r="B78" s="55">
        <f>IF(A78="","",'Master Barang'!B71)</f>
        <v>0</v>
      </c>
      <c r="C78" s="55">
        <f>IF(A78="","",'Master Barang'!E71+SUMIF('Barang Masuk'!$C:$C,A78,'Barang Masuk'!$E:$E)-SUMIF('Barang Keluar'!$C:$C,A78,'Barang Keluar'!$E:$E))</f>
        <v>0</v>
      </c>
      <c r="D78" s="55">
        <f>IF(A78="","",'Master Barang'!F71)</f>
        <v>0</v>
      </c>
      <c r="E78" s="55">
        <f t="shared" si="2"/>
        <v>0</v>
      </c>
      <c r="F78" s="55" t="str">
        <f t="shared" si="3"/>
        <v>HABIS - BUAT PO</v>
      </c>
    </row>
    <row r="79" spans="1:6">
      <c r="A79" s="55">
        <f>IFERROR('Master Barang'!A72,"")</f>
        <v>0</v>
      </c>
      <c r="B79" s="55">
        <f>IF(A79="","",'Master Barang'!B72)</f>
        <v>0</v>
      </c>
      <c r="C79" s="55">
        <f>IF(A79="","",'Master Barang'!E72+SUMIF('Barang Masuk'!$C:$C,A79,'Barang Masuk'!$E:$E)-SUMIF('Barang Keluar'!$C:$C,A79,'Barang Keluar'!$E:$E))</f>
        <v>0</v>
      </c>
      <c r="D79" s="55">
        <f>IF(A79="","",'Master Barang'!F72)</f>
        <v>0</v>
      </c>
      <c r="E79" s="55">
        <f t="shared" si="2"/>
        <v>0</v>
      </c>
      <c r="F79" s="55" t="str">
        <f t="shared" si="3"/>
        <v>HABIS - BUAT PO</v>
      </c>
    </row>
    <row r="80" spans="1:6">
      <c r="A80" s="55">
        <f>IFERROR('Master Barang'!A73,"")</f>
        <v>0</v>
      </c>
      <c r="B80" s="55">
        <f>IF(A80="","",'Master Barang'!B73)</f>
        <v>0</v>
      </c>
      <c r="C80" s="55">
        <f>IF(A80="","",'Master Barang'!E73+SUMIF('Barang Masuk'!$C:$C,A80,'Barang Masuk'!$E:$E)-SUMIF('Barang Keluar'!$C:$C,A80,'Barang Keluar'!$E:$E))</f>
        <v>0</v>
      </c>
      <c r="D80" s="55">
        <f>IF(A80="","",'Master Barang'!F73)</f>
        <v>0</v>
      </c>
      <c r="E80" s="55">
        <f t="shared" si="2"/>
        <v>0</v>
      </c>
      <c r="F80" s="55" t="str">
        <f t="shared" si="3"/>
        <v>HABIS - BUAT PO</v>
      </c>
    </row>
    <row r="81" spans="1:6">
      <c r="A81" s="55">
        <f>IFERROR('Master Barang'!A74,"")</f>
        <v>0</v>
      </c>
      <c r="B81" s="55">
        <f>IF(A81="","",'Master Barang'!B74)</f>
        <v>0</v>
      </c>
      <c r="C81" s="55">
        <f>IF(A81="","",'Master Barang'!E74+SUMIF('Barang Masuk'!$C:$C,A81,'Barang Masuk'!$E:$E)-SUMIF('Barang Keluar'!$C:$C,A81,'Barang Keluar'!$E:$E))</f>
        <v>0</v>
      </c>
      <c r="D81" s="55">
        <f>IF(A81="","",'Master Barang'!F74)</f>
        <v>0</v>
      </c>
      <c r="E81" s="55">
        <f t="shared" si="2"/>
        <v>0</v>
      </c>
      <c r="F81" s="55" t="str">
        <f t="shared" si="3"/>
        <v>HABIS - BUAT PO</v>
      </c>
    </row>
    <row r="82" spans="1:6">
      <c r="A82" s="55">
        <f>IFERROR('Master Barang'!A75,"")</f>
        <v>0</v>
      </c>
      <c r="B82" s="55">
        <f>IF(A82="","",'Master Barang'!B75)</f>
        <v>0</v>
      </c>
      <c r="C82" s="55">
        <f>IF(A82="","",'Master Barang'!E75+SUMIF('Barang Masuk'!$C:$C,A82,'Barang Masuk'!$E:$E)-SUMIF('Barang Keluar'!$C:$C,A82,'Barang Keluar'!$E:$E))</f>
        <v>0</v>
      </c>
      <c r="D82" s="55">
        <f>IF(A82="","",'Master Barang'!F75)</f>
        <v>0</v>
      </c>
      <c r="E82" s="55">
        <f t="shared" si="2"/>
        <v>0</v>
      </c>
      <c r="F82" s="55" t="str">
        <f t="shared" si="3"/>
        <v>HABIS - BUAT PO</v>
      </c>
    </row>
    <row r="83" spans="1:6">
      <c r="A83" s="55">
        <f>IFERROR('Master Barang'!A76,"")</f>
        <v>0</v>
      </c>
      <c r="B83" s="55">
        <f>IF(A83="","",'Master Barang'!B76)</f>
        <v>0</v>
      </c>
      <c r="C83" s="55">
        <f>IF(A83="","",'Master Barang'!E76+SUMIF('Barang Masuk'!$C:$C,A83,'Barang Masuk'!$E:$E)-SUMIF('Barang Keluar'!$C:$C,A83,'Barang Keluar'!$E:$E))</f>
        <v>0</v>
      </c>
      <c r="D83" s="55">
        <f>IF(A83="","",'Master Barang'!F76)</f>
        <v>0</v>
      </c>
      <c r="E83" s="55">
        <f t="shared" si="2"/>
        <v>0</v>
      </c>
      <c r="F83" s="55" t="str">
        <f t="shared" si="3"/>
        <v>HABIS - BUAT PO</v>
      </c>
    </row>
    <row r="84" spans="1:6">
      <c r="A84" s="55">
        <f>IFERROR('Master Barang'!A77,"")</f>
        <v>0</v>
      </c>
      <c r="B84" s="55">
        <f>IF(A84="","",'Master Barang'!B77)</f>
        <v>0</v>
      </c>
      <c r="C84" s="55">
        <f>IF(A84="","",'Master Barang'!E77+SUMIF('Barang Masuk'!$C:$C,A84,'Barang Masuk'!$E:$E)-SUMIF('Barang Keluar'!$C:$C,A84,'Barang Keluar'!$E:$E))</f>
        <v>0</v>
      </c>
      <c r="D84" s="55">
        <f>IF(A84="","",'Master Barang'!F77)</f>
        <v>0</v>
      </c>
      <c r="E84" s="55">
        <f t="shared" si="2"/>
        <v>0</v>
      </c>
      <c r="F84" s="55" t="str">
        <f t="shared" si="3"/>
        <v>HABIS - BUAT PO</v>
      </c>
    </row>
    <row r="85" spans="1:6">
      <c r="A85" s="55">
        <f>IFERROR('Master Barang'!A78,"")</f>
        <v>0</v>
      </c>
      <c r="B85" s="55">
        <f>IF(A85="","",'Master Barang'!B78)</f>
        <v>0</v>
      </c>
      <c r="C85" s="55">
        <f>IF(A85="","",'Master Barang'!E78+SUMIF('Barang Masuk'!$C:$C,A85,'Barang Masuk'!$E:$E)-SUMIF('Barang Keluar'!$C:$C,A85,'Barang Keluar'!$E:$E))</f>
        <v>0</v>
      </c>
      <c r="D85" s="55">
        <f>IF(A85="","",'Master Barang'!F78)</f>
        <v>0</v>
      </c>
      <c r="E85" s="55">
        <f t="shared" si="2"/>
        <v>0</v>
      </c>
      <c r="F85" s="55" t="str">
        <f t="shared" si="3"/>
        <v>HABIS - BUAT PO</v>
      </c>
    </row>
    <row r="86" spans="1:6">
      <c r="A86" s="55">
        <f>IFERROR('Master Barang'!A79,"")</f>
        <v>0</v>
      </c>
      <c r="B86" s="55">
        <f>IF(A86="","",'Master Barang'!B79)</f>
        <v>0</v>
      </c>
      <c r="C86" s="55">
        <f>IF(A86="","",'Master Barang'!E79+SUMIF('Barang Masuk'!$C:$C,A86,'Barang Masuk'!$E:$E)-SUMIF('Barang Keluar'!$C:$C,A86,'Barang Keluar'!$E:$E))</f>
        <v>0</v>
      </c>
      <c r="D86" s="55">
        <f>IF(A86="","",'Master Barang'!F79)</f>
        <v>0</v>
      </c>
      <c r="E86" s="55">
        <f t="shared" si="2"/>
        <v>0</v>
      </c>
      <c r="F86" s="55" t="str">
        <f t="shared" si="3"/>
        <v>HABIS - BUAT PO</v>
      </c>
    </row>
    <row r="87" spans="1:6">
      <c r="A87" s="55">
        <f>IFERROR('Master Barang'!A80,"")</f>
        <v>0</v>
      </c>
      <c r="B87" s="55">
        <f>IF(A87="","",'Master Barang'!B80)</f>
        <v>0</v>
      </c>
      <c r="C87" s="55">
        <f>IF(A87="","",'Master Barang'!E80+SUMIF('Barang Masuk'!$C:$C,A87,'Barang Masuk'!$E:$E)-SUMIF('Barang Keluar'!$C:$C,A87,'Barang Keluar'!$E:$E))</f>
        <v>0</v>
      </c>
      <c r="D87" s="55">
        <f>IF(A87="","",'Master Barang'!F80)</f>
        <v>0</v>
      </c>
      <c r="E87" s="55">
        <f t="shared" si="2"/>
        <v>0</v>
      </c>
      <c r="F87" s="55" t="str">
        <f t="shared" si="3"/>
        <v>HABIS - BUAT PO</v>
      </c>
    </row>
    <row r="88" spans="1:6">
      <c r="A88" s="55">
        <f>IFERROR('Master Barang'!A81,"")</f>
        <v>0</v>
      </c>
      <c r="B88" s="55">
        <f>IF(A88="","",'Master Barang'!B81)</f>
        <v>0</v>
      </c>
      <c r="C88" s="55">
        <f>IF(A88="","",'Master Barang'!E81+SUMIF('Barang Masuk'!$C:$C,A88,'Barang Masuk'!$E:$E)-SUMIF('Barang Keluar'!$C:$C,A88,'Barang Keluar'!$E:$E))</f>
        <v>0</v>
      </c>
      <c r="D88" s="55">
        <f>IF(A88="","",'Master Barang'!F81)</f>
        <v>0</v>
      </c>
      <c r="E88" s="55">
        <f t="shared" si="2"/>
        <v>0</v>
      </c>
      <c r="F88" s="55" t="str">
        <f t="shared" si="3"/>
        <v>HABIS - BUAT PO</v>
      </c>
    </row>
    <row r="89" spans="1:6">
      <c r="A89" s="55">
        <f>IFERROR('Master Barang'!A82,"")</f>
        <v>0</v>
      </c>
      <c r="B89" s="55">
        <f>IF(A89="","",'Master Barang'!B82)</f>
        <v>0</v>
      </c>
      <c r="C89" s="55">
        <f>IF(A89="","",'Master Barang'!E82+SUMIF('Barang Masuk'!$C:$C,A89,'Barang Masuk'!$E:$E)-SUMIF('Barang Keluar'!$C:$C,A89,'Barang Keluar'!$E:$E))</f>
        <v>0</v>
      </c>
      <c r="D89" s="55">
        <f>IF(A89="","",'Master Barang'!F82)</f>
        <v>0</v>
      </c>
      <c r="E89" s="55">
        <f t="shared" si="2"/>
        <v>0</v>
      </c>
      <c r="F89" s="55" t="str">
        <f t="shared" si="3"/>
        <v>HABIS - BUAT PO</v>
      </c>
    </row>
    <row r="90" spans="1:6">
      <c r="A90" s="55">
        <f>IFERROR('Master Barang'!A83,"")</f>
        <v>0</v>
      </c>
      <c r="B90" s="55">
        <f>IF(A90="","",'Master Barang'!B83)</f>
        <v>0</v>
      </c>
      <c r="C90" s="55">
        <f>IF(A90="","",'Master Barang'!E83+SUMIF('Barang Masuk'!$C:$C,A90,'Barang Masuk'!$E:$E)-SUMIF('Barang Keluar'!$C:$C,A90,'Barang Keluar'!$E:$E))</f>
        <v>0</v>
      </c>
      <c r="D90" s="55">
        <f>IF(A90="","",'Master Barang'!F83)</f>
        <v>0</v>
      </c>
      <c r="E90" s="55">
        <f t="shared" si="2"/>
        <v>0</v>
      </c>
      <c r="F90" s="55" t="str">
        <f t="shared" si="3"/>
        <v>HABIS - BUAT PO</v>
      </c>
    </row>
    <row r="91" spans="1:6">
      <c r="A91" s="55">
        <f>IFERROR('Master Barang'!A84,"")</f>
        <v>0</v>
      </c>
      <c r="B91" s="55">
        <f>IF(A91="","",'Master Barang'!B84)</f>
        <v>0</v>
      </c>
      <c r="C91" s="55">
        <f>IF(A91="","",'Master Barang'!E84+SUMIF('Barang Masuk'!$C:$C,A91,'Barang Masuk'!$E:$E)-SUMIF('Barang Keluar'!$C:$C,A91,'Barang Keluar'!$E:$E))</f>
        <v>0</v>
      </c>
      <c r="D91" s="55">
        <f>IF(A91="","",'Master Barang'!F84)</f>
        <v>0</v>
      </c>
      <c r="E91" s="55">
        <f t="shared" si="2"/>
        <v>0</v>
      </c>
      <c r="F91" s="55" t="str">
        <f t="shared" si="3"/>
        <v>HABIS - BUAT PO</v>
      </c>
    </row>
    <row r="92" spans="1:6">
      <c r="A92" s="55">
        <f>IFERROR('Master Barang'!A85,"")</f>
        <v>0</v>
      </c>
      <c r="B92" s="55">
        <f>IF(A92="","",'Master Barang'!B85)</f>
        <v>0</v>
      </c>
      <c r="C92" s="55">
        <f>IF(A92="","",'Master Barang'!E85+SUMIF('Barang Masuk'!$C:$C,A92,'Barang Masuk'!$E:$E)-SUMIF('Barang Keluar'!$C:$C,A92,'Barang Keluar'!$E:$E))</f>
        <v>0</v>
      </c>
      <c r="D92" s="55">
        <f>IF(A92="","",'Master Barang'!F85)</f>
        <v>0</v>
      </c>
      <c r="E92" s="55">
        <f t="shared" si="2"/>
        <v>0</v>
      </c>
      <c r="F92" s="55" t="str">
        <f t="shared" si="3"/>
        <v>HABIS - BUAT PO</v>
      </c>
    </row>
    <row r="93" spans="1:6">
      <c r="A93" s="55">
        <f>IFERROR('Master Barang'!A86,"")</f>
        <v>0</v>
      </c>
      <c r="B93" s="55">
        <f>IF(A93="","",'Master Barang'!B86)</f>
        <v>0</v>
      </c>
      <c r="C93" s="55">
        <f>IF(A93="","",'Master Barang'!E86+SUMIF('Barang Masuk'!$C:$C,A93,'Barang Masuk'!$E:$E)-SUMIF('Barang Keluar'!$C:$C,A93,'Barang Keluar'!$E:$E))</f>
        <v>0</v>
      </c>
      <c r="D93" s="55">
        <f>IF(A93="","",'Master Barang'!F86)</f>
        <v>0</v>
      </c>
      <c r="E93" s="55">
        <f t="shared" si="2"/>
        <v>0</v>
      </c>
      <c r="F93" s="55" t="str">
        <f t="shared" si="3"/>
        <v>HABIS - BUAT PO</v>
      </c>
    </row>
    <row r="94" spans="1:6">
      <c r="A94" s="55">
        <f>IFERROR('Master Barang'!A87,"")</f>
        <v>0</v>
      </c>
      <c r="B94" s="55">
        <f>IF(A94="","",'Master Barang'!B87)</f>
        <v>0</v>
      </c>
      <c r="C94" s="55">
        <f>IF(A94="","",'Master Barang'!E87+SUMIF('Barang Masuk'!$C:$C,A94,'Barang Masuk'!$E:$E)-SUMIF('Barang Keluar'!$C:$C,A94,'Barang Keluar'!$E:$E))</f>
        <v>0</v>
      </c>
      <c r="D94" s="55">
        <f>IF(A94="","",'Master Barang'!F87)</f>
        <v>0</v>
      </c>
      <c r="E94" s="55">
        <f t="shared" si="2"/>
        <v>0</v>
      </c>
      <c r="F94" s="55" t="str">
        <f t="shared" si="3"/>
        <v>HABIS - BUAT PO</v>
      </c>
    </row>
    <row r="95" spans="1:6">
      <c r="A95" s="55">
        <f>IFERROR('Master Barang'!A88,"")</f>
        <v>0</v>
      </c>
      <c r="B95" s="55">
        <f>IF(A95="","",'Master Barang'!B88)</f>
        <v>0</v>
      </c>
      <c r="C95" s="55">
        <f>IF(A95="","",'Master Barang'!E88+SUMIF('Barang Masuk'!$C:$C,A95,'Barang Masuk'!$E:$E)-SUMIF('Barang Keluar'!$C:$C,A95,'Barang Keluar'!$E:$E))</f>
        <v>0</v>
      </c>
      <c r="D95" s="55">
        <f>IF(A95="","",'Master Barang'!F88)</f>
        <v>0</v>
      </c>
      <c r="E95" s="55">
        <f t="shared" si="2"/>
        <v>0</v>
      </c>
      <c r="F95" s="55" t="str">
        <f t="shared" si="3"/>
        <v>HABIS - BUAT PO</v>
      </c>
    </row>
    <row r="96" spans="1:6">
      <c r="A96" s="55">
        <f>IFERROR('Master Barang'!A89,"")</f>
        <v>0</v>
      </c>
      <c r="B96" s="55">
        <f>IF(A96="","",'Master Barang'!B89)</f>
        <v>0</v>
      </c>
      <c r="C96" s="55">
        <f>IF(A96="","",'Master Barang'!E89+SUMIF('Barang Masuk'!$C:$C,A96,'Barang Masuk'!$E:$E)-SUMIF('Barang Keluar'!$C:$C,A96,'Barang Keluar'!$E:$E))</f>
        <v>0</v>
      </c>
      <c r="D96" s="55">
        <f>IF(A96="","",'Master Barang'!F89)</f>
        <v>0</v>
      </c>
      <c r="E96" s="55">
        <f t="shared" si="2"/>
        <v>0</v>
      </c>
      <c r="F96" s="55" t="str">
        <f t="shared" si="3"/>
        <v>HABIS - BUAT PO</v>
      </c>
    </row>
    <row r="97" spans="1:6">
      <c r="A97" s="55">
        <f>IFERROR('Master Barang'!A90,"")</f>
        <v>0</v>
      </c>
      <c r="B97" s="55">
        <f>IF(A97="","",'Master Barang'!B90)</f>
        <v>0</v>
      </c>
      <c r="C97" s="55">
        <f>IF(A97="","",'Master Barang'!E90+SUMIF('Barang Masuk'!$C:$C,A97,'Barang Masuk'!$E:$E)-SUMIF('Barang Keluar'!$C:$C,A97,'Barang Keluar'!$E:$E))</f>
        <v>0</v>
      </c>
      <c r="D97" s="55">
        <f>IF(A97="","",'Master Barang'!F90)</f>
        <v>0</v>
      </c>
      <c r="E97" s="55">
        <f t="shared" si="2"/>
        <v>0</v>
      </c>
      <c r="F97" s="55" t="str">
        <f t="shared" si="3"/>
        <v>HABIS - BUAT PO</v>
      </c>
    </row>
    <row r="98" spans="1:6">
      <c r="A98" s="55">
        <f>IFERROR('Master Barang'!A91,"")</f>
        <v>0</v>
      </c>
      <c r="B98" s="55">
        <f>IF(A98="","",'Master Barang'!B91)</f>
        <v>0</v>
      </c>
      <c r="C98" s="55">
        <f>IF(A98="","",'Master Barang'!E91+SUMIF('Barang Masuk'!$C:$C,A98,'Barang Masuk'!$E:$E)-SUMIF('Barang Keluar'!$C:$C,A98,'Barang Keluar'!$E:$E))</f>
        <v>0</v>
      </c>
      <c r="D98" s="55">
        <f>IF(A98="","",'Master Barang'!F91)</f>
        <v>0</v>
      </c>
      <c r="E98" s="55">
        <f t="shared" si="2"/>
        <v>0</v>
      </c>
      <c r="F98" s="55" t="str">
        <f t="shared" si="3"/>
        <v>HABIS - BUAT PO</v>
      </c>
    </row>
    <row r="99" spans="1:6">
      <c r="A99" s="55">
        <f>IFERROR('Master Barang'!A92,"")</f>
        <v>0</v>
      </c>
      <c r="B99" s="55">
        <f>IF(A99="","",'Master Barang'!B92)</f>
        <v>0</v>
      </c>
      <c r="C99" s="55">
        <f>IF(A99="","",'Master Barang'!E92+SUMIF('Barang Masuk'!$C:$C,A99,'Barang Masuk'!$E:$E)-SUMIF('Barang Keluar'!$C:$C,A99,'Barang Keluar'!$E:$E))</f>
        <v>0</v>
      </c>
      <c r="D99" s="55">
        <f>IF(A99="","",'Master Barang'!F92)</f>
        <v>0</v>
      </c>
      <c r="E99" s="55">
        <f t="shared" si="2"/>
        <v>0</v>
      </c>
      <c r="F99" s="55" t="str">
        <f t="shared" si="3"/>
        <v>HABIS - BUAT PO</v>
      </c>
    </row>
    <row r="100" spans="1:6">
      <c r="A100" s="55">
        <f>IFERROR('Master Barang'!A93,"")</f>
        <v>0</v>
      </c>
      <c r="B100" s="55">
        <f>IF(A100="","",'Master Barang'!B93)</f>
        <v>0</v>
      </c>
      <c r="C100" s="55">
        <f>IF(A100="","",'Master Barang'!E93+SUMIF('Barang Masuk'!$C:$C,A100,'Barang Masuk'!$E:$E)-SUMIF('Barang Keluar'!$C:$C,A100,'Barang Keluar'!$E:$E))</f>
        <v>0</v>
      </c>
      <c r="D100" s="55">
        <f>IF(A100="","",'Master Barang'!F93)</f>
        <v>0</v>
      </c>
      <c r="E100" s="55">
        <f t="shared" si="2"/>
        <v>0</v>
      </c>
      <c r="F100" s="55" t="str">
        <f t="shared" si="3"/>
        <v>HABIS - BUAT PO</v>
      </c>
    </row>
    <row r="101" spans="1:6">
      <c r="A101" s="55">
        <f>IFERROR('Master Barang'!A94,"")</f>
        <v>0</v>
      </c>
      <c r="B101" s="55">
        <f>IF(A101="","",'Master Barang'!B94)</f>
        <v>0</v>
      </c>
      <c r="C101" s="55">
        <f>IF(A101="","",'Master Barang'!E94+SUMIF('Barang Masuk'!$C:$C,A101,'Barang Masuk'!$E:$E)-SUMIF('Barang Keluar'!$C:$C,A101,'Barang Keluar'!$E:$E))</f>
        <v>0</v>
      </c>
      <c r="D101" s="55">
        <f>IF(A101="","",'Master Barang'!F94)</f>
        <v>0</v>
      </c>
      <c r="E101" s="55">
        <f t="shared" si="2"/>
        <v>0</v>
      </c>
      <c r="F101" s="55" t="str">
        <f t="shared" si="3"/>
        <v>HABIS - BUAT PO</v>
      </c>
    </row>
    <row r="102" spans="1:6">
      <c r="A102" s="55">
        <f>IFERROR('Master Barang'!A95,"")</f>
        <v>0</v>
      </c>
      <c r="B102" s="55">
        <f>IF(A102="","",'Master Barang'!B95)</f>
        <v>0</v>
      </c>
      <c r="C102" s="55">
        <f>IF(A102="","",'Master Barang'!E95+SUMIF('Barang Masuk'!$C:$C,A102,'Barang Masuk'!$E:$E)-SUMIF('Barang Keluar'!$C:$C,A102,'Barang Keluar'!$E:$E))</f>
        <v>0</v>
      </c>
      <c r="D102" s="55">
        <f>IF(A102="","",'Master Barang'!F95)</f>
        <v>0</v>
      </c>
      <c r="E102" s="55">
        <f t="shared" si="2"/>
        <v>0</v>
      </c>
      <c r="F102" s="55" t="str">
        <f t="shared" si="3"/>
        <v>HABIS - BUAT PO</v>
      </c>
    </row>
    <row r="103" spans="1:6">
      <c r="A103" s="55">
        <f>IFERROR('Master Barang'!A96,"")</f>
        <v>0</v>
      </c>
      <c r="B103" s="55">
        <f>IF(A103="","",'Master Barang'!B96)</f>
        <v>0</v>
      </c>
      <c r="C103" s="55">
        <f>IF(A103="","",'Master Barang'!E96+SUMIF('Barang Masuk'!$C:$C,A103,'Barang Masuk'!$E:$E)-SUMIF('Barang Keluar'!$C:$C,A103,'Barang Keluar'!$E:$E))</f>
        <v>0</v>
      </c>
      <c r="D103" s="55">
        <f>IF(A103="","",'Master Barang'!F96)</f>
        <v>0</v>
      </c>
      <c r="E103" s="55">
        <f t="shared" si="2"/>
        <v>0</v>
      </c>
      <c r="F103" s="55" t="str">
        <f t="shared" si="3"/>
        <v>HABIS - BUAT PO</v>
      </c>
    </row>
    <row r="104" spans="1:6">
      <c r="A104" s="55">
        <f>IFERROR('Master Barang'!A97,"")</f>
        <v>0</v>
      </c>
      <c r="B104" s="55">
        <f>IF(A104="","",'Master Barang'!B97)</f>
        <v>0</v>
      </c>
      <c r="C104" s="55">
        <f>IF(A104="","",'Master Barang'!E97+SUMIF('Barang Masuk'!$C:$C,A104,'Barang Masuk'!$E:$E)-SUMIF('Barang Keluar'!$C:$C,A104,'Barang Keluar'!$E:$E))</f>
        <v>0</v>
      </c>
      <c r="D104" s="55">
        <f>IF(A104="","",'Master Barang'!F97)</f>
        <v>0</v>
      </c>
      <c r="E104" s="55">
        <f t="shared" si="2"/>
        <v>0</v>
      </c>
      <c r="F104" s="55" t="str">
        <f t="shared" si="3"/>
        <v>HABIS - BUAT PO</v>
      </c>
    </row>
    <row r="105" spans="1:6">
      <c r="A105" s="55">
        <f>IFERROR('Master Barang'!A98,"")</f>
        <v>0</v>
      </c>
      <c r="B105" s="55">
        <f>IF(A105="","",'Master Barang'!B98)</f>
        <v>0</v>
      </c>
      <c r="C105" s="55">
        <f>IF(A105="","",'Master Barang'!E98+SUMIF('Barang Masuk'!$C:$C,A105,'Barang Masuk'!$E:$E)-SUMIF('Barang Keluar'!$C:$C,A105,'Barang Keluar'!$E:$E))</f>
        <v>0</v>
      </c>
      <c r="D105" s="55">
        <f>IF(A105="","",'Master Barang'!F98)</f>
        <v>0</v>
      </c>
      <c r="E105" s="55">
        <f t="shared" si="2"/>
        <v>0</v>
      </c>
      <c r="F105" s="55" t="str">
        <f t="shared" si="3"/>
        <v>HABIS - BUAT PO</v>
      </c>
    </row>
    <row r="106" spans="1:6">
      <c r="A106" s="55">
        <f>IFERROR('Master Barang'!A99,"")</f>
        <v>0</v>
      </c>
      <c r="B106" s="55">
        <f>IF(A106="","",'Master Barang'!B99)</f>
        <v>0</v>
      </c>
      <c r="C106" s="55">
        <f>IF(A106="","",'Master Barang'!E99+SUMIF('Barang Masuk'!$C:$C,A106,'Barang Masuk'!$E:$E)-SUMIF('Barang Keluar'!$C:$C,A106,'Barang Keluar'!$E:$E))</f>
        <v>0</v>
      </c>
      <c r="D106" s="55">
        <f>IF(A106="","",'Master Barang'!F99)</f>
        <v>0</v>
      </c>
      <c r="E106" s="55">
        <f t="shared" si="2"/>
        <v>0</v>
      </c>
      <c r="F106" s="55" t="str">
        <f t="shared" si="3"/>
        <v>HABIS - BUAT PO</v>
      </c>
    </row>
    <row r="107" spans="1:6">
      <c r="A107" s="55">
        <f>IFERROR('Master Barang'!A100,"")</f>
        <v>0</v>
      </c>
      <c r="B107" s="55">
        <f>IF(A107="","",'Master Barang'!B100)</f>
        <v>0</v>
      </c>
      <c r="C107" s="55">
        <f>IF(A107="","",'Master Barang'!E100+SUMIF('Barang Masuk'!$C:$C,A107,'Barang Masuk'!$E:$E)-SUMIF('Barang Keluar'!$C:$C,A107,'Barang Keluar'!$E:$E))</f>
        <v>0</v>
      </c>
      <c r="D107" s="55">
        <f>IF(A107="","",'Master Barang'!F100)</f>
        <v>0</v>
      </c>
      <c r="E107" s="55">
        <f t="shared" si="2"/>
        <v>0</v>
      </c>
      <c r="F107" s="55" t="str">
        <f t="shared" si="3"/>
        <v>HABIS - BUAT PO</v>
      </c>
    </row>
    <row r="108" spans="1:6">
      <c r="A108" s="55">
        <f>IFERROR('Master Barang'!A101,"")</f>
        <v>0</v>
      </c>
      <c r="B108" s="55">
        <f>IF(A108="","",'Master Barang'!B101)</f>
        <v>0</v>
      </c>
      <c r="C108" s="55">
        <f>IF(A108="","",'Master Barang'!E101+SUMIF('Barang Masuk'!$C:$C,A108,'Barang Masuk'!$E:$E)-SUMIF('Barang Keluar'!$C:$C,A108,'Barang Keluar'!$E:$E))</f>
        <v>0</v>
      </c>
      <c r="D108" s="55">
        <f>IF(A108="","",'Master Barang'!F101)</f>
        <v>0</v>
      </c>
      <c r="E108" s="55">
        <f t="shared" si="2"/>
        <v>0</v>
      </c>
      <c r="F108" s="55" t="str">
        <f t="shared" si="3"/>
        <v>HABIS - BUAT PO</v>
      </c>
    </row>
    <row r="111" spans="1:2">
      <c r="A111" s="47" t="s">
        <v>16</v>
      </c>
      <c r="B111" s="47" t="s">
        <v>17</v>
      </c>
    </row>
    <row r="112" spans="1:2">
      <c r="A112" t="s">
        <v>18</v>
      </c>
      <c r="B112">
        <f>COUNTA('Master Barang'!A2:A500)</f>
        <v>33</v>
      </c>
    </row>
    <row r="113" spans="1:2">
      <c r="A113" t="s">
        <v>19</v>
      </c>
      <c r="B113">
        <f>SUM('Master Barang'!E2:E500)</f>
        <v>2366</v>
      </c>
    </row>
    <row r="114" spans="1:2">
      <c r="A114" t="s">
        <v>20</v>
      </c>
      <c r="B114">
        <f>SUM('Barang Masuk'!E2:E1001)</f>
        <v>0</v>
      </c>
    </row>
    <row r="115" spans="1:2">
      <c r="A115" t="s">
        <v>21</v>
      </c>
      <c r="B115">
        <f>SUM('Barang Keluar'!E2:E1001)</f>
        <v>0</v>
      </c>
    </row>
    <row r="116" spans="1:2">
      <c r="A116" t="s">
        <v>22</v>
      </c>
      <c r="B116">
        <f>COUNTIF(F9:F108,"&lt;&gt;AMAN")-COUNTIF(F9:F108,"")</f>
        <v>83</v>
      </c>
    </row>
  </sheetData>
  <mergeCells count="2">
    <mergeCell ref="A1:J1"/>
    <mergeCell ref="A7:J7"/>
  </mergeCells>
  <conditionalFormatting sqref="F9:F108">
    <cfRule type="expression" dxfId="0" priority="1">
      <formula>F9="HABIS - BUAT PO"</formula>
    </cfRule>
    <cfRule type="expression" dxfId="1" priority="2">
      <formula>F9="TIPIS - BUAT PO"</formula>
    </cfRule>
    <cfRule type="expression" dxfId="2" priority="3">
      <formula>F9="AMAN"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01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4" outlineLevelCol="7"/>
  <cols>
    <col min="1" max="1" width="12" customWidth="1"/>
    <col min="2" max="3" width="13" customWidth="1"/>
    <col min="4" max="4" width="30" customWidth="1"/>
    <col min="5" max="5" width="12" customWidth="1"/>
    <col min="6" max="6" width="30" customWidth="1"/>
    <col min="7" max="7" width="17" customWidth="1"/>
    <col min="8" max="8" width="12" customWidth="1"/>
  </cols>
  <sheetData>
    <row r="1" spans="1:8">
      <c r="A1" s="47" t="s">
        <v>23</v>
      </c>
      <c r="B1" s="47" t="s">
        <v>24</v>
      </c>
      <c r="C1" s="47" t="s">
        <v>25</v>
      </c>
      <c r="D1" s="47" t="s">
        <v>10</v>
      </c>
      <c r="E1" s="47" t="s">
        <v>26</v>
      </c>
      <c r="F1" s="47" t="s">
        <v>27</v>
      </c>
      <c r="G1" s="47" t="s">
        <v>28</v>
      </c>
      <c r="H1" s="47" t="s">
        <v>29</v>
      </c>
    </row>
    <row r="2" spans="1:6">
      <c r="A2" s="49"/>
      <c r="C2" t="s">
        <v>30</v>
      </c>
      <c r="D2" t="str">
        <f>IFERROR(XLOOKUP(C2,'Master Barang'!$A:$A,'Master Barang'!$B:$B,""),"")</f>
        <v/>
      </c>
      <c r="E2" s="52"/>
      <c r="F2" t="str">
        <f>IFERROR(XLOOKUP(C2,'Master Barang'!$A:$A,'Master Barang'!$D:$D,""),"")</f>
        <v/>
      </c>
    </row>
    <row r="3" spans="1:6">
      <c r="A3" s="49"/>
      <c r="D3" t="str">
        <f>IFERROR(XLOOKUP(C3,'Master Barang'!$A:$A,'Master Barang'!$B:$B,""),"")</f>
        <v/>
      </c>
      <c r="E3" s="52"/>
      <c r="F3" t="str">
        <f>IFERROR(XLOOKUP(C3,'Master Barang'!$A:$A,'Master Barang'!$D:$D,""),"")</f>
        <v/>
      </c>
    </row>
    <row r="4" spans="1:6">
      <c r="A4" s="49"/>
      <c r="D4" t="str">
        <f>IFERROR(XLOOKUP(C4,'Master Barang'!$A:$A,'Master Barang'!$B:$B,""),"")</f>
        <v/>
      </c>
      <c r="E4" s="52"/>
      <c r="F4" t="str">
        <f>IFERROR(XLOOKUP(C4,'Master Barang'!$A:$A,'Master Barang'!$D:$D,""),"")</f>
        <v/>
      </c>
    </row>
    <row r="5" spans="1:6">
      <c r="A5" s="49"/>
      <c r="D5" t="str">
        <f>IFERROR(XLOOKUP(C5,'Master Barang'!$A:$A,'Master Barang'!$B:$B,""),"")</f>
        <v/>
      </c>
      <c r="E5" s="52"/>
      <c r="F5" t="str">
        <f>IFERROR(XLOOKUP(C5,'Master Barang'!$A:$A,'Master Barang'!$D:$D,""),"")</f>
        <v/>
      </c>
    </row>
    <row r="6" spans="1:6">
      <c r="A6" s="49"/>
      <c r="D6" t="str">
        <f>IFERROR(XLOOKUP(C6,'Master Barang'!$A:$A,'Master Barang'!$B:$B,""),"")</f>
        <v/>
      </c>
      <c r="E6" s="52"/>
      <c r="F6" t="str">
        <f>IFERROR(XLOOKUP(C6,'Master Barang'!$A:$A,'Master Barang'!$D:$D,""),"")</f>
        <v/>
      </c>
    </row>
    <row r="7" spans="1:6">
      <c r="A7" s="49"/>
      <c r="D7" t="str">
        <f>IFERROR(XLOOKUP(C7,'Master Barang'!$A:$A,'Master Barang'!$B:$B,""),"")</f>
        <v/>
      </c>
      <c r="E7" s="52"/>
      <c r="F7" t="str">
        <f>IFERROR(XLOOKUP(C7,'Master Barang'!$A:$A,'Master Barang'!$D:$D,""),"")</f>
        <v/>
      </c>
    </row>
    <row r="8" spans="1:6">
      <c r="A8" s="49"/>
      <c r="D8" t="str">
        <f>IFERROR(XLOOKUP(C8,'Master Barang'!$A:$A,'Master Barang'!$B:$B,""),"")</f>
        <v/>
      </c>
      <c r="E8" s="52"/>
      <c r="F8" t="str">
        <f>IFERROR(XLOOKUP(C8,'Master Barang'!$A:$A,'Master Barang'!$D:$D,""),"")</f>
        <v/>
      </c>
    </row>
    <row r="9" spans="1:6">
      <c r="A9" s="49"/>
      <c r="D9" t="str">
        <f>IFERROR(XLOOKUP(C9,'Master Barang'!$A:$A,'Master Barang'!$B:$B,""),"")</f>
        <v/>
      </c>
      <c r="E9" s="52"/>
      <c r="F9" t="str">
        <f>IFERROR(XLOOKUP(C9,'Master Barang'!$A:$A,'Master Barang'!$D:$D,""),"")</f>
        <v/>
      </c>
    </row>
    <row r="10" spans="1:6">
      <c r="A10" s="49"/>
      <c r="D10" t="str">
        <f>IFERROR(XLOOKUP(C10,'Master Barang'!$A:$A,'Master Barang'!$B:$B,""),"")</f>
        <v/>
      </c>
      <c r="E10" s="52"/>
      <c r="F10" t="str">
        <f>IFERROR(XLOOKUP(C10,'Master Barang'!$A:$A,'Master Barang'!$D:$D,""),"")</f>
        <v/>
      </c>
    </row>
    <row r="11" spans="1:6">
      <c r="A11" s="49"/>
      <c r="D11" t="str">
        <f>IFERROR(XLOOKUP(C11,'Master Barang'!$A:$A,'Master Barang'!$B:$B,""),"")</f>
        <v/>
      </c>
      <c r="E11" s="52"/>
      <c r="F11" t="str">
        <f>IFERROR(XLOOKUP(C11,'Master Barang'!$A:$A,'Master Barang'!$D:$D,""),"")</f>
        <v/>
      </c>
    </row>
    <row r="12" spans="1:6">
      <c r="A12" s="49"/>
      <c r="D12" t="str">
        <f>IFERROR(XLOOKUP(C12,'Master Barang'!$A:$A,'Master Barang'!$B:$B,""),"")</f>
        <v/>
      </c>
      <c r="E12" s="52"/>
      <c r="F12" t="str">
        <f>IFERROR(XLOOKUP(C12,'Master Barang'!$A:$A,'Master Barang'!$D:$D,""),"")</f>
        <v/>
      </c>
    </row>
    <row r="13" spans="1:6">
      <c r="A13" s="49"/>
      <c r="D13" t="str">
        <f>IFERROR(XLOOKUP(C13,'Master Barang'!$A:$A,'Master Barang'!$B:$B,""),"")</f>
        <v/>
      </c>
      <c r="E13" s="52"/>
      <c r="F13" t="str">
        <f>IFERROR(XLOOKUP(C13,'Master Barang'!$A:$A,'Master Barang'!$D:$D,""),"")</f>
        <v/>
      </c>
    </row>
    <row r="14" spans="1:6">
      <c r="A14" s="49"/>
      <c r="D14" t="str">
        <f>IFERROR(XLOOKUP(C14,'Master Barang'!$A:$A,'Master Barang'!$B:$B,""),"")</f>
        <v/>
      </c>
      <c r="E14" s="52"/>
      <c r="F14" t="str">
        <f>IFERROR(XLOOKUP(C14,'Master Barang'!$A:$A,'Master Barang'!$D:$D,""),"")</f>
        <v/>
      </c>
    </row>
    <row r="15" spans="1:6">
      <c r="A15" s="49"/>
      <c r="D15" t="str">
        <f>IFERROR(XLOOKUP(C15,'Master Barang'!$A:$A,'Master Barang'!$B:$B,""),"")</f>
        <v/>
      </c>
      <c r="E15" s="52"/>
      <c r="F15" t="str">
        <f>IFERROR(XLOOKUP(C15,'Master Barang'!$A:$A,'Master Barang'!$D:$D,""),"")</f>
        <v/>
      </c>
    </row>
    <row r="16" spans="1:6">
      <c r="A16" s="49"/>
      <c r="D16" t="str">
        <f>IFERROR(XLOOKUP(C16,'Master Barang'!$A:$A,'Master Barang'!$B:$B,""),"")</f>
        <v/>
      </c>
      <c r="E16" s="52"/>
      <c r="F16" t="str">
        <f>IFERROR(XLOOKUP(C16,'Master Barang'!$A:$A,'Master Barang'!$D:$D,""),"")</f>
        <v/>
      </c>
    </row>
    <row r="17" spans="1:6">
      <c r="A17" s="49"/>
      <c r="D17" t="str">
        <f>IFERROR(XLOOKUP(C17,'Master Barang'!$A:$A,'Master Barang'!$B:$B,""),"")</f>
        <v/>
      </c>
      <c r="E17" s="52"/>
      <c r="F17" t="str">
        <f>IFERROR(XLOOKUP(C17,'Master Barang'!$A:$A,'Master Barang'!$D:$D,""),"")</f>
        <v/>
      </c>
    </row>
    <row r="18" spans="1:6">
      <c r="A18" s="49"/>
      <c r="D18" t="str">
        <f>IFERROR(XLOOKUP(C18,'Master Barang'!$A:$A,'Master Barang'!$B:$B,""),"")</f>
        <v/>
      </c>
      <c r="E18" s="52"/>
      <c r="F18" t="str">
        <f>IFERROR(XLOOKUP(C18,'Master Barang'!$A:$A,'Master Barang'!$D:$D,""),"")</f>
        <v/>
      </c>
    </row>
    <row r="19" spans="1:6">
      <c r="A19" s="49"/>
      <c r="D19" t="str">
        <f>IFERROR(XLOOKUP(C19,'Master Barang'!$A:$A,'Master Barang'!$B:$B,""),"")</f>
        <v/>
      </c>
      <c r="E19" s="52"/>
      <c r="F19" t="str">
        <f>IFERROR(XLOOKUP(C19,'Master Barang'!$A:$A,'Master Barang'!$D:$D,""),"")</f>
        <v/>
      </c>
    </row>
    <row r="20" spans="1:6">
      <c r="A20" s="49"/>
      <c r="D20" t="str">
        <f>IFERROR(XLOOKUP(C20,'Master Barang'!$A:$A,'Master Barang'!$B:$B,""),"")</f>
        <v/>
      </c>
      <c r="E20" s="52"/>
      <c r="F20" t="str">
        <f>IFERROR(XLOOKUP(C20,'Master Barang'!$A:$A,'Master Barang'!$D:$D,""),"")</f>
        <v/>
      </c>
    </row>
    <row r="21" spans="1:6">
      <c r="A21" s="49"/>
      <c r="D21" t="str">
        <f>IFERROR(XLOOKUP(C21,'Master Barang'!$A:$A,'Master Barang'!$B:$B,""),"")</f>
        <v/>
      </c>
      <c r="E21" s="52"/>
      <c r="F21" t="str">
        <f>IFERROR(XLOOKUP(C21,'Master Barang'!$A:$A,'Master Barang'!$D:$D,""),"")</f>
        <v/>
      </c>
    </row>
    <row r="22" spans="1:6">
      <c r="A22" s="49"/>
      <c r="D22" t="str">
        <f>IFERROR(XLOOKUP(C22,'Master Barang'!$A:$A,'Master Barang'!$B:$B,""),"")</f>
        <v/>
      </c>
      <c r="E22" s="52"/>
      <c r="F22" t="str">
        <f>IFERROR(XLOOKUP(C22,'Master Barang'!$A:$A,'Master Barang'!$D:$D,""),"")</f>
        <v/>
      </c>
    </row>
    <row r="23" spans="1:6">
      <c r="A23" s="49"/>
      <c r="D23" t="str">
        <f>IFERROR(XLOOKUP(C23,'Master Barang'!$A:$A,'Master Barang'!$B:$B,""),"")</f>
        <v/>
      </c>
      <c r="E23" s="52"/>
      <c r="F23" t="str">
        <f>IFERROR(XLOOKUP(C23,'Master Barang'!$A:$A,'Master Barang'!$D:$D,""),"")</f>
        <v/>
      </c>
    </row>
    <row r="24" spans="1:6">
      <c r="A24" s="49"/>
      <c r="D24" t="str">
        <f>IFERROR(XLOOKUP(C24,'Master Barang'!$A:$A,'Master Barang'!$B:$B,""),"")</f>
        <v/>
      </c>
      <c r="E24" s="52"/>
      <c r="F24" t="str">
        <f>IFERROR(XLOOKUP(C24,'Master Barang'!$A:$A,'Master Barang'!$D:$D,""),"")</f>
        <v/>
      </c>
    </row>
    <row r="25" spans="1:6">
      <c r="A25" s="49"/>
      <c r="D25" t="str">
        <f>IFERROR(XLOOKUP(C25,'Master Barang'!$A:$A,'Master Barang'!$B:$B,""),"")</f>
        <v/>
      </c>
      <c r="E25" s="52"/>
      <c r="F25" t="str">
        <f>IFERROR(XLOOKUP(C25,'Master Barang'!$A:$A,'Master Barang'!$D:$D,""),"")</f>
        <v/>
      </c>
    </row>
    <row r="26" spans="1:6">
      <c r="A26" s="49"/>
      <c r="D26" t="str">
        <f>IFERROR(XLOOKUP(C26,'Master Barang'!$A:$A,'Master Barang'!$B:$B,""),"")</f>
        <v/>
      </c>
      <c r="E26" s="52"/>
      <c r="F26" t="str">
        <f>IFERROR(XLOOKUP(C26,'Master Barang'!$A:$A,'Master Barang'!$D:$D,""),"")</f>
        <v/>
      </c>
    </row>
    <row r="27" spans="1:6">
      <c r="A27" s="49"/>
      <c r="D27" t="str">
        <f>IFERROR(XLOOKUP(C27,'Master Barang'!$A:$A,'Master Barang'!$B:$B,""),"")</f>
        <v/>
      </c>
      <c r="E27" s="52"/>
      <c r="F27" t="str">
        <f>IFERROR(XLOOKUP(C27,'Master Barang'!$A:$A,'Master Barang'!$D:$D,""),"")</f>
        <v/>
      </c>
    </row>
    <row r="28" spans="1:6">
      <c r="A28" s="49"/>
      <c r="D28" t="str">
        <f>IFERROR(XLOOKUP(C28,'Master Barang'!$A:$A,'Master Barang'!$B:$B,""),"")</f>
        <v/>
      </c>
      <c r="E28" s="52"/>
      <c r="F28" t="str">
        <f>IFERROR(XLOOKUP(C28,'Master Barang'!$A:$A,'Master Barang'!$D:$D,""),"")</f>
        <v/>
      </c>
    </row>
    <row r="29" spans="1:6">
      <c r="A29" s="49"/>
      <c r="D29" t="str">
        <f>IFERROR(XLOOKUP(C29,'Master Barang'!$A:$A,'Master Barang'!$B:$B,""),"")</f>
        <v/>
      </c>
      <c r="E29" s="52"/>
      <c r="F29" t="str">
        <f>IFERROR(XLOOKUP(C29,'Master Barang'!$A:$A,'Master Barang'!$D:$D,""),"")</f>
        <v/>
      </c>
    </row>
    <row r="30" spans="1:6">
      <c r="A30" s="49"/>
      <c r="D30" t="str">
        <f>IFERROR(XLOOKUP(C30,'Master Barang'!$A:$A,'Master Barang'!$B:$B,""),"")</f>
        <v/>
      </c>
      <c r="E30" s="52"/>
      <c r="F30" t="str">
        <f>IFERROR(XLOOKUP(C30,'Master Barang'!$A:$A,'Master Barang'!$D:$D,""),"")</f>
        <v/>
      </c>
    </row>
    <row r="31" spans="1:6">
      <c r="A31" s="49"/>
      <c r="D31" t="str">
        <f>IFERROR(XLOOKUP(C31,'Master Barang'!$A:$A,'Master Barang'!$B:$B,""),"")</f>
        <v/>
      </c>
      <c r="E31" s="52"/>
      <c r="F31" t="str">
        <f>IFERROR(XLOOKUP(C31,'Master Barang'!$A:$A,'Master Barang'!$D:$D,""),"")</f>
        <v/>
      </c>
    </row>
    <row r="32" spans="1:6">
      <c r="A32" s="49"/>
      <c r="D32" t="str">
        <f>IFERROR(XLOOKUP(C32,'Master Barang'!$A:$A,'Master Barang'!$B:$B,""),"")</f>
        <v/>
      </c>
      <c r="E32" s="52"/>
      <c r="F32" t="str">
        <f>IFERROR(XLOOKUP(C32,'Master Barang'!$A:$A,'Master Barang'!$D:$D,""),"")</f>
        <v/>
      </c>
    </row>
    <row r="33" spans="1:6">
      <c r="A33" s="49"/>
      <c r="D33" t="str">
        <f>IFERROR(XLOOKUP(C33,'Master Barang'!$A:$A,'Master Barang'!$B:$B,""),"")</f>
        <v/>
      </c>
      <c r="E33" s="52"/>
      <c r="F33" t="str">
        <f>IFERROR(XLOOKUP(C33,'Master Barang'!$A:$A,'Master Barang'!$D:$D,""),"")</f>
        <v/>
      </c>
    </row>
    <row r="34" spans="1:6">
      <c r="A34" s="49"/>
      <c r="D34" t="str">
        <f>IFERROR(XLOOKUP(C34,'Master Barang'!$A:$A,'Master Barang'!$B:$B,""),"")</f>
        <v/>
      </c>
      <c r="E34" s="52"/>
      <c r="F34" t="str">
        <f>IFERROR(XLOOKUP(C34,'Master Barang'!$A:$A,'Master Barang'!$D:$D,""),"")</f>
        <v/>
      </c>
    </row>
    <row r="35" spans="1:6">
      <c r="A35" s="49"/>
      <c r="D35" t="str">
        <f>IFERROR(XLOOKUP(C35,'Master Barang'!$A:$A,'Master Barang'!$B:$B,""),"")</f>
        <v/>
      </c>
      <c r="E35" s="52"/>
      <c r="F35" t="str">
        <f>IFERROR(XLOOKUP(C35,'Master Barang'!$A:$A,'Master Barang'!$D:$D,""),"")</f>
        <v/>
      </c>
    </row>
    <row r="36" spans="1:6">
      <c r="A36" s="49"/>
      <c r="D36" t="str">
        <f>IFERROR(XLOOKUP(C36,'Master Barang'!$A:$A,'Master Barang'!$B:$B,""),"")</f>
        <v/>
      </c>
      <c r="E36" s="52"/>
      <c r="F36" t="str">
        <f>IFERROR(XLOOKUP(C36,'Master Barang'!$A:$A,'Master Barang'!$D:$D,""),"")</f>
        <v/>
      </c>
    </row>
    <row r="37" spans="1:6">
      <c r="A37" s="49"/>
      <c r="D37" t="str">
        <f>IFERROR(XLOOKUP(C37,'Master Barang'!$A:$A,'Master Barang'!$B:$B,""),"")</f>
        <v/>
      </c>
      <c r="E37" s="52"/>
      <c r="F37" t="str">
        <f>IFERROR(XLOOKUP(C37,'Master Barang'!$A:$A,'Master Barang'!$D:$D,""),"")</f>
        <v/>
      </c>
    </row>
    <row r="38" spans="1:6">
      <c r="A38" s="49"/>
      <c r="D38" t="str">
        <f>IFERROR(XLOOKUP(C38,'Master Barang'!$A:$A,'Master Barang'!$B:$B,""),"")</f>
        <v/>
      </c>
      <c r="E38" s="52"/>
      <c r="F38" t="str">
        <f>IFERROR(XLOOKUP(C38,'Master Barang'!$A:$A,'Master Barang'!$D:$D,""),"")</f>
        <v/>
      </c>
    </row>
    <row r="39" spans="1:6">
      <c r="A39" s="49"/>
      <c r="D39" t="str">
        <f>IFERROR(XLOOKUP(C39,'Master Barang'!$A:$A,'Master Barang'!$B:$B,""),"")</f>
        <v/>
      </c>
      <c r="E39" s="52"/>
      <c r="F39" t="str">
        <f>IFERROR(XLOOKUP(C39,'Master Barang'!$A:$A,'Master Barang'!$D:$D,""),"")</f>
        <v/>
      </c>
    </row>
    <row r="40" spans="1:6">
      <c r="A40" s="49"/>
      <c r="D40" t="str">
        <f>IFERROR(XLOOKUP(C40,'Master Barang'!$A:$A,'Master Barang'!$B:$B,""),"")</f>
        <v/>
      </c>
      <c r="E40" s="52"/>
      <c r="F40" t="str">
        <f>IFERROR(XLOOKUP(C40,'Master Barang'!$A:$A,'Master Barang'!$D:$D,""),"")</f>
        <v/>
      </c>
    </row>
    <row r="41" spans="1:6">
      <c r="A41" s="49"/>
      <c r="D41" t="str">
        <f>IFERROR(XLOOKUP(C41,'Master Barang'!$A:$A,'Master Barang'!$B:$B,""),"")</f>
        <v/>
      </c>
      <c r="E41" s="52"/>
      <c r="F41" t="str">
        <f>IFERROR(XLOOKUP(C41,'Master Barang'!$A:$A,'Master Barang'!$D:$D,""),"")</f>
        <v/>
      </c>
    </row>
    <row r="42" spans="1:6">
      <c r="A42" s="49"/>
      <c r="D42" t="str">
        <f>IFERROR(XLOOKUP(C42,'Master Barang'!$A:$A,'Master Barang'!$B:$B,""),"")</f>
        <v/>
      </c>
      <c r="E42" s="52"/>
      <c r="F42" t="str">
        <f>IFERROR(XLOOKUP(C42,'Master Barang'!$A:$A,'Master Barang'!$D:$D,""),"")</f>
        <v/>
      </c>
    </row>
    <row r="43" spans="1:6">
      <c r="A43" s="49"/>
      <c r="D43" t="str">
        <f>IFERROR(XLOOKUP(C43,'Master Barang'!$A:$A,'Master Barang'!$B:$B,""),"")</f>
        <v/>
      </c>
      <c r="E43" s="52"/>
      <c r="F43" t="str">
        <f>IFERROR(XLOOKUP(C43,'Master Barang'!$A:$A,'Master Barang'!$D:$D,""),"")</f>
        <v/>
      </c>
    </row>
    <row r="44" spans="1:6">
      <c r="A44" s="49"/>
      <c r="D44" t="str">
        <f>IFERROR(XLOOKUP(C44,'Master Barang'!$A:$A,'Master Barang'!$B:$B,""),"")</f>
        <v/>
      </c>
      <c r="E44" s="52"/>
      <c r="F44" t="str">
        <f>IFERROR(XLOOKUP(C44,'Master Barang'!$A:$A,'Master Barang'!$D:$D,""),"")</f>
        <v/>
      </c>
    </row>
    <row r="45" spans="1:6">
      <c r="A45" s="49"/>
      <c r="D45" t="str">
        <f>IFERROR(XLOOKUP(C45,'Master Barang'!$A:$A,'Master Barang'!$B:$B,""),"")</f>
        <v/>
      </c>
      <c r="E45" s="52"/>
      <c r="F45" t="str">
        <f>IFERROR(XLOOKUP(C45,'Master Barang'!$A:$A,'Master Barang'!$D:$D,""),"")</f>
        <v/>
      </c>
    </row>
    <row r="46" spans="1:6">
      <c r="A46" s="49"/>
      <c r="D46" t="str">
        <f>IFERROR(XLOOKUP(C46,'Master Barang'!$A:$A,'Master Barang'!$B:$B,""),"")</f>
        <v/>
      </c>
      <c r="E46" s="52"/>
      <c r="F46" t="str">
        <f>IFERROR(XLOOKUP(C46,'Master Barang'!$A:$A,'Master Barang'!$D:$D,""),"")</f>
        <v/>
      </c>
    </row>
    <row r="47" spans="1:6">
      <c r="A47" s="49"/>
      <c r="D47" t="str">
        <f>IFERROR(XLOOKUP(C47,'Master Barang'!$A:$A,'Master Barang'!$B:$B,""),"")</f>
        <v/>
      </c>
      <c r="E47" s="52"/>
      <c r="F47" t="str">
        <f>IFERROR(XLOOKUP(C47,'Master Barang'!$A:$A,'Master Barang'!$D:$D,""),"")</f>
        <v/>
      </c>
    </row>
    <row r="48" spans="1:6">
      <c r="A48" s="49"/>
      <c r="D48" t="str">
        <f>IFERROR(XLOOKUP(C48,'Master Barang'!$A:$A,'Master Barang'!$B:$B,""),"")</f>
        <v/>
      </c>
      <c r="E48" s="52"/>
      <c r="F48" t="str">
        <f>IFERROR(XLOOKUP(C48,'Master Barang'!$A:$A,'Master Barang'!$D:$D,""),"")</f>
        <v/>
      </c>
    </row>
    <row r="49" spans="1:6">
      <c r="A49" s="49"/>
      <c r="D49" t="str">
        <f>IFERROR(XLOOKUP(C49,'Master Barang'!$A:$A,'Master Barang'!$B:$B,""),"")</f>
        <v/>
      </c>
      <c r="E49" s="52"/>
      <c r="F49" t="str">
        <f>IFERROR(XLOOKUP(C49,'Master Barang'!$A:$A,'Master Barang'!$D:$D,""),"")</f>
        <v/>
      </c>
    </row>
    <row r="50" spans="1:6">
      <c r="A50" s="49"/>
      <c r="D50" t="str">
        <f>IFERROR(XLOOKUP(C50,'Master Barang'!$A:$A,'Master Barang'!$B:$B,""),"")</f>
        <v/>
      </c>
      <c r="E50" s="52"/>
      <c r="F50" t="str">
        <f>IFERROR(XLOOKUP(C50,'Master Barang'!$A:$A,'Master Barang'!$D:$D,""),"")</f>
        <v/>
      </c>
    </row>
    <row r="51" spans="1:6">
      <c r="A51" s="49"/>
      <c r="D51" t="str">
        <f>IFERROR(XLOOKUP(C51,'Master Barang'!$A:$A,'Master Barang'!$B:$B,""),"")</f>
        <v/>
      </c>
      <c r="E51" s="52"/>
      <c r="F51" t="str">
        <f>IFERROR(XLOOKUP(C51,'Master Barang'!$A:$A,'Master Barang'!$D:$D,""),"")</f>
        <v/>
      </c>
    </row>
    <row r="52" spans="1:6">
      <c r="A52" s="49"/>
      <c r="D52" t="str">
        <f>IFERROR(XLOOKUP(C52,'Master Barang'!$A:$A,'Master Barang'!$B:$B,""),"")</f>
        <v/>
      </c>
      <c r="E52" s="52"/>
      <c r="F52" t="str">
        <f>IFERROR(XLOOKUP(C52,'Master Barang'!$A:$A,'Master Barang'!$D:$D,""),"")</f>
        <v/>
      </c>
    </row>
    <row r="53" spans="1:6">
      <c r="A53" s="49"/>
      <c r="D53" t="str">
        <f>IFERROR(XLOOKUP(C53,'Master Barang'!$A:$A,'Master Barang'!$B:$B,""),"")</f>
        <v/>
      </c>
      <c r="E53" s="52"/>
      <c r="F53" t="str">
        <f>IFERROR(XLOOKUP(C53,'Master Barang'!$A:$A,'Master Barang'!$D:$D,""),"")</f>
        <v/>
      </c>
    </row>
    <row r="54" spans="1:6">
      <c r="A54" s="49"/>
      <c r="D54" t="str">
        <f>IFERROR(XLOOKUP(C54,'Master Barang'!$A:$A,'Master Barang'!$B:$B,""),"")</f>
        <v/>
      </c>
      <c r="E54" s="52"/>
      <c r="F54" t="str">
        <f>IFERROR(XLOOKUP(C54,'Master Barang'!$A:$A,'Master Barang'!$D:$D,""),"")</f>
        <v/>
      </c>
    </row>
    <row r="55" spans="1:6">
      <c r="A55" s="49"/>
      <c r="D55" t="str">
        <f>IFERROR(XLOOKUP(C55,'Master Barang'!$A:$A,'Master Barang'!$B:$B,""),"")</f>
        <v/>
      </c>
      <c r="E55" s="52"/>
      <c r="F55" t="str">
        <f>IFERROR(XLOOKUP(C55,'Master Barang'!$A:$A,'Master Barang'!$D:$D,""),"")</f>
        <v/>
      </c>
    </row>
    <row r="56" spans="1:6">
      <c r="A56" s="49"/>
      <c r="D56" t="str">
        <f>IFERROR(XLOOKUP(C56,'Master Barang'!$A:$A,'Master Barang'!$B:$B,""),"")</f>
        <v/>
      </c>
      <c r="E56" s="52"/>
      <c r="F56" t="str">
        <f>IFERROR(XLOOKUP(C56,'Master Barang'!$A:$A,'Master Barang'!$D:$D,""),"")</f>
        <v/>
      </c>
    </row>
    <row r="57" spans="1:6">
      <c r="A57" s="49"/>
      <c r="D57" t="str">
        <f>IFERROR(XLOOKUP(C57,'Master Barang'!$A:$A,'Master Barang'!$B:$B,""),"")</f>
        <v/>
      </c>
      <c r="E57" s="52"/>
      <c r="F57" t="str">
        <f>IFERROR(XLOOKUP(C57,'Master Barang'!$A:$A,'Master Barang'!$D:$D,""),"")</f>
        <v/>
      </c>
    </row>
    <row r="58" spans="1:6">
      <c r="A58" s="49"/>
      <c r="D58" t="str">
        <f>IFERROR(XLOOKUP(C58,'Master Barang'!$A:$A,'Master Barang'!$B:$B,""),"")</f>
        <v/>
      </c>
      <c r="E58" s="52"/>
      <c r="F58" t="str">
        <f>IFERROR(XLOOKUP(C58,'Master Barang'!$A:$A,'Master Barang'!$D:$D,""),"")</f>
        <v/>
      </c>
    </row>
    <row r="59" spans="1:6">
      <c r="A59" s="49"/>
      <c r="D59" t="str">
        <f>IFERROR(XLOOKUP(C59,'Master Barang'!$A:$A,'Master Barang'!$B:$B,""),"")</f>
        <v/>
      </c>
      <c r="E59" s="52"/>
      <c r="F59" t="str">
        <f>IFERROR(XLOOKUP(C59,'Master Barang'!$A:$A,'Master Barang'!$D:$D,""),"")</f>
        <v/>
      </c>
    </row>
    <row r="60" spans="1:6">
      <c r="A60" s="49"/>
      <c r="D60" t="str">
        <f>IFERROR(XLOOKUP(C60,'Master Barang'!$A:$A,'Master Barang'!$B:$B,""),"")</f>
        <v/>
      </c>
      <c r="E60" s="52"/>
      <c r="F60" t="str">
        <f>IFERROR(XLOOKUP(C60,'Master Barang'!$A:$A,'Master Barang'!$D:$D,""),"")</f>
        <v/>
      </c>
    </row>
    <row r="61" spans="1:6">
      <c r="A61" s="49"/>
      <c r="D61" t="str">
        <f>IFERROR(XLOOKUP(C61,'Master Barang'!$A:$A,'Master Barang'!$B:$B,""),"")</f>
        <v/>
      </c>
      <c r="E61" s="52"/>
      <c r="F61" t="str">
        <f>IFERROR(XLOOKUP(C61,'Master Barang'!$A:$A,'Master Barang'!$D:$D,""),"")</f>
        <v/>
      </c>
    </row>
    <row r="62" spans="1:6">
      <c r="A62" s="49"/>
      <c r="D62" t="str">
        <f>IFERROR(XLOOKUP(C62,'Master Barang'!$A:$A,'Master Barang'!$B:$B,""),"")</f>
        <v/>
      </c>
      <c r="E62" s="52"/>
      <c r="F62" t="str">
        <f>IFERROR(XLOOKUP(C62,'Master Barang'!$A:$A,'Master Barang'!$D:$D,""),"")</f>
        <v/>
      </c>
    </row>
    <row r="63" spans="1:6">
      <c r="A63" s="49"/>
      <c r="D63" t="str">
        <f>IFERROR(XLOOKUP(C63,'Master Barang'!$A:$A,'Master Barang'!$B:$B,""),"")</f>
        <v/>
      </c>
      <c r="E63" s="52"/>
      <c r="F63" t="str">
        <f>IFERROR(XLOOKUP(C63,'Master Barang'!$A:$A,'Master Barang'!$D:$D,""),"")</f>
        <v/>
      </c>
    </row>
    <row r="64" spans="1:6">
      <c r="A64" s="49"/>
      <c r="D64" t="str">
        <f>IFERROR(XLOOKUP(C64,'Master Barang'!$A:$A,'Master Barang'!$B:$B,""),"")</f>
        <v/>
      </c>
      <c r="E64" s="52"/>
      <c r="F64" t="str">
        <f>IFERROR(XLOOKUP(C64,'Master Barang'!$A:$A,'Master Barang'!$D:$D,""),"")</f>
        <v/>
      </c>
    </row>
    <row r="65" spans="1:6">
      <c r="A65" s="49"/>
      <c r="D65" t="str">
        <f>IFERROR(XLOOKUP(C65,'Master Barang'!$A:$A,'Master Barang'!$B:$B,""),"")</f>
        <v/>
      </c>
      <c r="E65" s="52"/>
      <c r="F65" t="str">
        <f>IFERROR(XLOOKUP(C65,'Master Barang'!$A:$A,'Master Barang'!$D:$D,""),"")</f>
        <v/>
      </c>
    </row>
    <row r="66" spans="1:6">
      <c r="A66" s="49"/>
      <c r="D66" t="str">
        <f>IFERROR(XLOOKUP(C66,'Master Barang'!$A:$A,'Master Barang'!$B:$B,""),"")</f>
        <v/>
      </c>
      <c r="E66" s="52"/>
      <c r="F66" t="str">
        <f>IFERROR(XLOOKUP(C66,'Master Barang'!$A:$A,'Master Barang'!$D:$D,""),"")</f>
        <v/>
      </c>
    </row>
    <row r="67" spans="1:6">
      <c r="A67" s="49"/>
      <c r="D67" t="str">
        <f>IFERROR(XLOOKUP(C67,'Master Barang'!$A:$A,'Master Barang'!$B:$B,""),"")</f>
        <v/>
      </c>
      <c r="E67" s="52"/>
      <c r="F67" t="str">
        <f>IFERROR(XLOOKUP(C67,'Master Barang'!$A:$A,'Master Barang'!$D:$D,""),"")</f>
        <v/>
      </c>
    </row>
    <row r="68" spans="1:6">
      <c r="A68" s="49"/>
      <c r="D68" t="str">
        <f>IFERROR(XLOOKUP(C68,'Master Barang'!$A:$A,'Master Barang'!$B:$B,""),"")</f>
        <v/>
      </c>
      <c r="E68" s="52"/>
      <c r="F68" t="str">
        <f>IFERROR(XLOOKUP(C68,'Master Barang'!$A:$A,'Master Barang'!$D:$D,""),"")</f>
        <v/>
      </c>
    </row>
    <row r="69" spans="1:6">
      <c r="A69" s="49"/>
      <c r="D69" t="str">
        <f>IFERROR(XLOOKUP(C69,'Master Barang'!$A:$A,'Master Barang'!$B:$B,""),"")</f>
        <v/>
      </c>
      <c r="E69" s="52"/>
      <c r="F69" t="str">
        <f>IFERROR(XLOOKUP(C69,'Master Barang'!$A:$A,'Master Barang'!$D:$D,""),"")</f>
        <v/>
      </c>
    </row>
    <row r="70" spans="1:6">
      <c r="A70" s="49"/>
      <c r="D70" t="str">
        <f>IFERROR(XLOOKUP(C70,'Master Barang'!$A:$A,'Master Barang'!$B:$B,""),"")</f>
        <v/>
      </c>
      <c r="E70" s="52"/>
      <c r="F70" t="str">
        <f>IFERROR(XLOOKUP(C70,'Master Barang'!$A:$A,'Master Barang'!$D:$D,""),"")</f>
        <v/>
      </c>
    </row>
    <row r="71" spans="1:6">
      <c r="A71" s="49"/>
      <c r="D71" t="str">
        <f>IFERROR(XLOOKUP(C71,'Master Barang'!$A:$A,'Master Barang'!$B:$B,""),"")</f>
        <v/>
      </c>
      <c r="E71" s="52"/>
      <c r="F71" t="str">
        <f>IFERROR(XLOOKUP(C71,'Master Barang'!$A:$A,'Master Barang'!$D:$D,""),"")</f>
        <v/>
      </c>
    </row>
    <row r="72" spans="1:6">
      <c r="A72" s="49"/>
      <c r="D72" t="str">
        <f>IFERROR(XLOOKUP(C72,'Master Barang'!$A:$A,'Master Barang'!$B:$B,""),"")</f>
        <v/>
      </c>
      <c r="E72" s="52"/>
      <c r="F72" t="str">
        <f>IFERROR(XLOOKUP(C72,'Master Barang'!$A:$A,'Master Barang'!$D:$D,""),"")</f>
        <v/>
      </c>
    </row>
    <row r="73" spans="1:6">
      <c r="A73" s="49"/>
      <c r="D73" t="str">
        <f>IFERROR(XLOOKUP(C73,'Master Barang'!$A:$A,'Master Barang'!$B:$B,""),"")</f>
        <v/>
      </c>
      <c r="E73" s="52"/>
      <c r="F73" t="str">
        <f>IFERROR(XLOOKUP(C73,'Master Barang'!$A:$A,'Master Barang'!$D:$D,""),"")</f>
        <v/>
      </c>
    </row>
    <row r="74" spans="1:6">
      <c r="A74" s="49"/>
      <c r="D74" t="str">
        <f>IFERROR(XLOOKUP(C74,'Master Barang'!$A:$A,'Master Barang'!$B:$B,""),"")</f>
        <v/>
      </c>
      <c r="E74" s="52"/>
      <c r="F74" t="str">
        <f>IFERROR(XLOOKUP(C74,'Master Barang'!$A:$A,'Master Barang'!$D:$D,""),"")</f>
        <v/>
      </c>
    </row>
    <row r="75" spans="1:6">
      <c r="A75" s="49"/>
      <c r="D75" t="str">
        <f>IFERROR(XLOOKUP(C75,'Master Barang'!$A:$A,'Master Barang'!$B:$B,""),"")</f>
        <v/>
      </c>
      <c r="E75" s="52"/>
      <c r="F75" t="str">
        <f>IFERROR(XLOOKUP(C75,'Master Barang'!$A:$A,'Master Barang'!$D:$D,""),"")</f>
        <v/>
      </c>
    </row>
    <row r="76" spans="1:6">
      <c r="A76" s="49"/>
      <c r="D76" t="str">
        <f>IFERROR(XLOOKUP(C76,'Master Barang'!$A:$A,'Master Barang'!$B:$B,""),"")</f>
        <v/>
      </c>
      <c r="E76" s="52"/>
      <c r="F76" t="str">
        <f>IFERROR(XLOOKUP(C76,'Master Barang'!$A:$A,'Master Barang'!$D:$D,""),"")</f>
        <v/>
      </c>
    </row>
    <row r="77" spans="1:6">
      <c r="A77" s="49"/>
      <c r="D77" t="str">
        <f>IFERROR(XLOOKUP(C77,'Master Barang'!$A:$A,'Master Barang'!$B:$B,""),"")</f>
        <v/>
      </c>
      <c r="E77" s="52"/>
      <c r="F77" t="str">
        <f>IFERROR(XLOOKUP(C77,'Master Barang'!$A:$A,'Master Barang'!$D:$D,""),"")</f>
        <v/>
      </c>
    </row>
    <row r="78" spans="1:6">
      <c r="A78" s="49"/>
      <c r="D78" t="str">
        <f>IFERROR(XLOOKUP(C78,'Master Barang'!$A:$A,'Master Barang'!$B:$B,""),"")</f>
        <v/>
      </c>
      <c r="E78" s="52"/>
      <c r="F78" t="str">
        <f>IFERROR(XLOOKUP(C78,'Master Barang'!$A:$A,'Master Barang'!$D:$D,""),"")</f>
        <v/>
      </c>
    </row>
    <row r="79" spans="1:6">
      <c r="A79" s="49"/>
      <c r="D79" t="str">
        <f>IFERROR(XLOOKUP(C79,'Master Barang'!$A:$A,'Master Barang'!$B:$B,""),"")</f>
        <v/>
      </c>
      <c r="E79" s="52"/>
      <c r="F79" t="str">
        <f>IFERROR(XLOOKUP(C79,'Master Barang'!$A:$A,'Master Barang'!$D:$D,""),"")</f>
        <v/>
      </c>
    </row>
    <row r="80" spans="1:6">
      <c r="A80" s="49"/>
      <c r="D80" t="str">
        <f>IFERROR(XLOOKUP(C80,'Master Barang'!$A:$A,'Master Barang'!$B:$B,""),"")</f>
        <v/>
      </c>
      <c r="E80" s="52"/>
      <c r="F80" t="str">
        <f>IFERROR(XLOOKUP(C80,'Master Barang'!$A:$A,'Master Barang'!$D:$D,""),"")</f>
        <v/>
      </c>
    </row>
    <row r="81" spans="1:6">
      <c r="A81" s="49"/>
      <c r="D81" t="str">
        <f>IFERROR(XLOOKUP(C81,'Master Barang'!$A:$A,'Master Barang'!$B:$B,""),"")</f>
        <v/>
      </c>
      <c r="E81" s="52"/>
      <c r="F81" t="str">
        <f>IFERROR(XLOOKUP(C81,'Master Barang'!$A:$A,'Master Barang'!$D:$D,""),"")</f>
        <v/>
      </c>
    </row>
    <row r="82" spans="1:6">
      <c r="A82" s="49"/>
      <c r="D82" t="str">
        <f>IFERROR(XLOOKUP(C82,'Master Barang'!$A:$A,'Master Barang'!$B:$B,""),"")</f>
        <v/>
      </c>
      <c r="E82" s="52"/>
      <c r="F82" t="str">
        <f>IFERROR(XLOOKUP(C82,'Master Barang'!$A:$A,'Master Barang'!$D:$D,""),"")</f>
        <v/>
      </c>
    </row>
    <row r="83" spans="1:6">
      <c r="A83" s="49"/>
      <c r="D83" t="str">
        <f>IFERROR(XLOOKUP(C83,'Master Barang'!$A:$A,'Master Barang'!$B:$B,""),"")</f>
        <v/>
      </c>
      <c r="E83" s="52"/>
      <c r="F83" t="str">
        <f>IFERROR(XLOOKUP(C83,'Master Barang'!$A:$A,'Master Barang'!$D:$D,""),"")</f>
        <v/>
      </c>
    </row>
    <row r="84" spans="1:6">
      <c r="A84" s="49"/>
      <c r="D84" t="str">
        <f>IFERROR(XLOOKUP(C84,'Master Barang'!$A:$A,'Master Barang'!$B:$B,""),"")</f>
        <v/>
      </c>
      <c r="E84" s="52"/>
      <c r="F84" t="str">
        <f>IFERROR(XLOOKUP(C84,'Master Barang'!$A:$A,'Master Barang'!$D:$D,""),"")</f>
        <v/>
      </c>
    </row>
    <row r="85" spans="1:6">
      <c r="A85" s="49"/>
      <c r="D85" t="str">
        <f>IFERROR(XLOOKUP(C85,'Master Barang'!$A:$A,'Master Barang'!$B:$B,""),"")</f>
        <v/>
      </c>
      <c r="E85" s="52"/>
      <c r="F85" t="str">
        <f>IFERROR(XLOOKUP(C85,'Master Barang'!$A:$A,'Master Barang'!$D:$D,""),"")</f>
        <v/>
      </c>
    </row>
    <row r="86" spans="1:6">
      <c r="A86" s="49"/>
      <c r="D86" t="str">
        <f>IFERROR(XLOOKUP(C86,'Master Barang'!$A:$A,'Master Barang'!$B:$B,""),"")</f>
        <v/>
      </c>
      <c r="E86" s="52"/>
      <c r="F86" t="str">
        <f>IFERROR(XLOOKUP(C86,'Master Barang'!$A:$A,'Master Barang'!$D:$D,""),"")</f>
        <v/>
      </c>
    </row>
    <row r="87" spans="1:6">
      <c r="A87" s="49"/>
      <c r="D87" t="str">
        <f>IFERROR(XLOOKUP(C87,'Master Barang'!$A:$A,'Master Barang'!$B:$B,""),"")</f>
        <v/>
      </c>
      <c r="E87" s="52"/>
      <c r="F87" t="str">
        <f>IFERROR(XLOOKUP(C87,'Master Barang'!$A:$A,'Master Barang'!$D:$D,""),"")</f>
        <v/>
      </c>
    </row>
    <row r="88" spans="1:6">
      <c r="A88" s="49"/>
      <c r="D88" t="str">
        <f>IFERROR(XLOOKUP(C88,'Master Barang'!$A:$A,'Master Barang'!$B:$B,""),"")</f>
        <v/>
      </c>
      <c r="E88" s="52"/>
      <c r="F88" t="str">
        <f>IFERROR(XLOOKUP(C88,'Master Barang'!$A:$A,'Master Barang'!$D:$D,""),"")</f>
        <v/>
      </c>
    </row>
    <row r="89" spans="1:6">
      <c r="A89" s="49"/>
      <c r="D89" t="str">
        <f>IFERROR(XLOOKUP(C89,'Master Barang'!$A:$A,'Master Barang'!$B:$B,""),"")</f>
        <v/>
      </c>
      <c r="E89" s="52"/>
      <c r="F89" t="str">
        <f>IFERROR(XLOOKUP(C89,'Master Barang'!$A:$A,'Master Barang'!$D:$D,""),"")</f>
        <v/>
      </c>
    </row>
    <row r="90" spans="1:6">
      <c r="A90" s="49"/>
      <c r="D90" t="str">
        <f>IFERROR(XLOOKUP(C90,'Master Barang'!$A:$A,'Master Barang'!$B:$B,""),"")</f>
        <v/>
      </c>
      <c r="E90" s="52"/>
      <c r="F90" t="str">
        <f>IFERROR(XLOOKUP(C90,'Master Barang'!$A:$A,'Master Barang'!$D:$D,""),"")</f>
        <v/>
      </c>
    </row>
    <row r="91" spans="1:6">
      <c r="A91" s="49"/>
      <c r="D91" t="str">
        <f>IFERROR(XLOOKUP(C91,'Master Barang'!$A:$A,'Master Barang'!$B:$B,""),"")</f>
        <v/>
      </c>
      <c r="E91" s="52"/>
      <c r="F91" t="str">
        <f>IFERROR(XLOOKUP(C91,'Master Barang'!$A:$A,'Master Barang'!$D:$D,""),"")</f>
        <v/>
      </c>
    </row>
    <row r="92" spans="1:6">
      <c r="A92" s="49"/>
      <c r="D92" t="str">
        <f>IFERROR(XLOOKUP(C92,'Master Barang'!$A:$A,'Master Barang'!$B:$B,""),"")</f>
        <v/>
      </c>
      <c r="E92" s="52"/>
      <c r="F92" t="str">
        <f>IFERROR(XLOOKUP(C92,'Master Barang'!$A:$A,'Master Barang'!$D:$D,""),"")</f>
        <v/>
      </c>
    </row>
    <row r="93" spans="1:6">
      <c r="A93" s="49"/>
      <c r="D93" t="str">
        <f>IFERROR(XLOOKUP(C93,'Master Barang'!$A:$A,'Master Barang'!$B:$B,""),"")</f>
        <v/>
      </c>
      <c r="E93" s="52"/>
      <c r="F93" t="str">
        <f>IFERROR(XLOOKUP(C93,'Master Barang'!$A:$A,'Master Barang'!$D:$D,""),"")</f>
        <v/>
      </c>
    </row>
    <row r="94" spans="1:6">
      <c r="A94" s="49"/>
      <c r="D94" t="str">
        <f>IFERROR(XLOOKUP(C94,'Master Barang'!$A:$A,'Master Barang'!$B:$B,""),"")</f>
        <v/>
      </c>
      <c r="E94" s="52"/>
      <c r="F94" t="str">
        <f>IFERROR(XLOOKUP(C94,'Master Barang'!$A:$A,'Master Barang'!$D:$D,""),"")</f>
        <v/>
      </c>
    </row>
    <row r="95" spans="1:6">
      <c r="A95" s="49"/>
      <c r="D95" t="str">
        <f>IFERROR(XLOOKUP(C95,'Master Barang'!$A:$A,'Master Barang'!$B:$B,""),"")</f>
        <v/>
      </c>
      <c r="E95" s="52"/>
      <c r="F95" t="str">
        <f>IFERROR(XLOOKUP(C95,'Master Barang'!$A:$A,'Master Barang'!$D:$D,""),"")</f>
        <v/>
      </c>
    </row>
    <row r="96" spans="1:6">
      <c r="A96" s="49"/>
      <c r="D96" t="str">
        <f>IFERROR(XLOOKUP(C96,'Master Barang'!$A:$A,'Master Barang'!$B:$B,""),"")</f>
        <v/>
      </c>
      <c r="E96" s="52"/>
      <c r="F96" t="str">
        <f>IFERROR(XLOOKUP(C96,'Master Barang'!$A:$A,'Master Barang'!$D:$D,""),"")</f>
        <v/>
      </c>
    </row>
    <row r="97" spans="1:6">
      <c r="A97" s="49"/>
      <c r="D97" t="str">
        <f>IFERROR(XLOOKUP(C97,'Master Barang'!$A:$A,'Master Barang'!$B:$B,""),"")</f>
        <v/>
      </c>
      <c r="E97" s="52"/>
      <c r="F97" t="str">
        <f>IFERROR(XLOOKUP(C97,'Master Barang'!$A:$A,'Master Barang'!$D:$D,""),"")</f>
        <v/>
      </c>
    </row>
    <row r="98" spans="1:6">
      <c r="A98" s="49"/>
      <c r="D98" t="str">
        <f>IFERROR(XLOOKUP(C98,'Master Barang'!$A:$A,'Master Barang'!$B:$B,""),"")</f>
        <v/>
      </c>
      <c r="E98" s="52"/>
      <c r="F98" t="str">
        <f>IFERROR(XLOOKUP(C98,'Master Barang'!$A:$A,'Master Barang'!$D:$D,""),"")</f>
        <v/>
      </c>
    </row>
    <row r="99" spans="1:6">
      <c r="A99" s="49"/>
      <c r="D99" t="str">
        <f>IFERROR(XLOOKUP(C99,'Master Barang'!$A:$A,'Master Barang'!$B:$B,""),"")</f>
        <v/>
      </c>
      <c r="E99" s="52"/>
      <c r="F99" t="str">
        <f>IFERROR(XLOOKUP(C99,'Master Barang'!$A:$A,'Master Barang'!$D:$D,""),"")</f>
        <v/>
      </c>
    </row>
    <row r="100" spans="1:6">
      <c r="A100" s="49"/>
      <c r="D100" t="str">
        <f>IFERROR(XLOOKUP(C100,'Master Barang'!$A:$A,'Master Barang'!$B:$B,""),"")</f>
        <v/>
      </c>
      <c r="E100" s="52"/>
      <c r="F100" t="str">
        <f>IFERROR(XLOOKUP(C100,'Master Barang'!$A:$A,'Master Barang'!$D:$D,""),"")</f>
        <v/>
      </c>
    </row>
    <row r="101" spans="1:6">
      <c r="A101" s="49"/>
      <c r="D101" t="str">
        <f>IFERROR(XLOOKUP(C101,'Master Barang'!$A:$A,'Master Barang'!$B:$B,""),"")</f>
        <v/>
      </c>
      <c r="E101" s="52"/>
      <c r="F101" t="str">
        <f>IFERROR(XLOOKUP(C101,'Master Barang'!$A:$A,'Master Barang'!$D:$D,""),"")</f>
        <v/>
      </c>
    </row>
    <row r="102" spans="1:6">
      <c r="A102" s="49"/>
      <c r="D102" t="str">
        <f>IFERROR(XLOOKUP(C102,'Master Barang'!$A:$A,'Master Barang'!$B:$B,""),"")</f>
        <v/>
      </c>
      <c r="E102" s="52"/>
      <c r="F102" t="str">
        <f>IFERROR(XLOOKUP(C102,'Master Barang'!$A:$A,'Master Barang'!$D:$D,""),"")</f>
        <v/>
      </c>
    </row>
    <row r="103" spans="1:6">
      <c r="A103" s="49"/>
      <c r="D103" t="str">
        <f>IFERROR(XLOOKUP(C103,'Master Barang'!$A:$A,'Master Barang'!$B:$B,""),"")</f>
        <v/>
      </c>
      <c r="E103" s="52"/>
      <c r="F103" t="str">
        <f>IFERROR(XLOOKUP(C103,'Master Barang'!$A:$A,'Master Barang'!$D:$D,""),"")</f>
        <v/>
      </c>
    </row>
    <row r="104" spans="1:6">
      <c r="A104" s="49"/>
      <c r="D104" t="str">
        <f>IFERROR(XLOOKUP(C104,'Master Barang'!$A:$A,'Master Barang'!$B:$B,""),"")</f>
        <v/>
      </c>
      <c r="E104" s="52"/>
      <c r="F104" t="str">
        <f>IFERROR(XLOOKUP(C104,'Master Barang'!$A:$A,'Master Barang'!$D:$D,""),"")</f>
        <v/>
      </c>
    </row>
    <row r="105" spans="1:6">
      <c r="A105" s="49"/>
      <c r="D105" t="str">
        <f>IFERROR(XLOOKUP(C105,'Master Barang'!$A:$A,'Master Barang'!$B:$B,""),"")</f>
        <v/>
      </c>
      <c r="E105" s="52"/>
      <c r="F105" t="str">
        <f>IFERROR(XLOOKUP(C105,'Master Barang'!$A:$A,'Master Barang'!$D:$D,""),"")</f>
        <v/>
      </c>
    </row>
    <row r="106" spans="1:6">
      <c r="A106" s="49"/>
      <c r="D106" t="str">
        <f>IFERROR(XLOOKUP(C106,'Master Barang'!$A:$A,'Master Barang'!$B:$B,""),"")</f>
        <v/>
      </c>
      <c r="E106" s="52"/>
      <c r="F106" t="str">
        <f>IFERROR(XLOOKUP(C106,'Master Barang'!$A:$A,'Master Barang'!$D:$D,""),"")</f>
        <v/>
      </c>
    </row>
    <row r="107" spans="1:6">
      <c r="A107" s="49"/>
      <c r="D107" t="str">
        <f>IFERROR(XLOOKUP(C107,'Master Barang'!$A:$A,'Master Barang'!$B:$B,""),"")</f>
        <v/>
      </c>
      <c r="E107" s="52"/>
      <c r="F107" t="str">
        <f>IFERROR(XLOOKUP(C107,'Master Barang'!$A:$A,'Master Barang'!$D:$D,""),"")</f>
        <v/>
      </c>
    </row>
    <row r="108" spans="1:6">
      <c r="A108" s="49"/>
      <c r="D108" t="str">
        <f>IFERROR(XLOOKUP(C108,'Master Barang'!$A:$A,'Master Barang'!$B:$B,""),"")</f>
        <v/>
      </c>
      <c r="E108" s="52"/>
      <c r="F108" t="str">
        <f>IFERROR(XLOOKUP(C108,'Master Barang'!$A:$A,'Master Barang'!$D:$D,""),"")</f>
        <v/>
      </c>
    </row>
    <row r="109" spans="1:6">
      <c r="A109" s="49"/>
      <c r="D109" t="str">
        <f>IFERROR(XLOOKUP(C109,'Master Barang'!$A:$A,'Master Barang'!$B:$B,""),"")</f>
        <v/>
      </c>
      <c r="E109" s="52"/>
      <c r="F109" t="str">
        <f>IFERROR(XLOOKUP(C109,'Master Barang'!$A:$A,'Master Barang'!$D:$D,""),"")</f>
        <v/>
      </c>
    </row>
    <row r="110" spans="1:6">
      <c r="A110" s="49"/>
      <c r="D110" t="str">
        <f>IFERROR(XLOOKUP(C110,'Master Barang'!$A:$A,'Master Barang'!$B:$B,""),"")</f>
        <v/>
      </c>
      <c r="E110" s="52"/>
      <c r="F110" t="str">
        <f>IFERROR(XLOOKUP(C110,'Master Barang'!$A:$A,'Master Barang'!$D:$D,""),"")</f>
        <v/>
      </c>
    </row>
    <row r="111" spans="1:6">
      <c r="A111" s="49"/>
      <c r="D111" t="str">
        <f>IFERROR(XLOOKUP(C111,'Master Barang'!$A:$A,'Master Barang'!$B:$B,""),"")</f>
        <v/>
      </c>
      <c r="E111" s="52"/>
      <c r="F111" t="str">
        <f>IFERROR(XLOOKUP(C111,'Master Barang'!$A:$A,'Master Barang'!$D:$D,""),"")</f>
        <v/>
      </c>
    </row>
    <row r="112" spans="1:6">
      <c r="A112" s="49"/>
      <c r="D112" t="str">
        <f>IFERROR(XLOOKUP(C112,'Master Barang'!$A:$A,'Master Barang'!$B:$B,""),"")</f>
        <v/>
      </c>
      <c r="E112" s="52"/>
      <c r="F112" t="str">
        <f>IFERROR(XLOOKUP(C112,'Master Barang'!$A:$A,'Master Barang'!$D:$D,""),"")</f>
        <v/>
      </c>
    </row>
    <row r="113" spans="1:6">
      <c r="A113" s="49"/>
      <c r="D113" t="str">
        <f>IFERROR(XLOOKUP(C113,'Master Barang'!$A:$A,'Master Barang'!$B:$B,""),"")</f>
        <v/>
      </c>
      <c r="E113" s="52"/>
      <c r="F113" t="str">
        <f>IFERROR(XLOOKUP(C113,'Master Barang'!$A:$A,'Master Barang'!$D:$D,""),"")</f>
        <v/>
      </c>
    </row>
    <row r="114" spans="1:6">
      <c r="A114" s="49"/>
      <c r="D114" t="str">
        <f>IFERROR(XLOOKUP(C114,'Master Barang'!$A:$A,'Master Barang'!$B:$B,""),"")</f>
        <v/>
      </c>
      <c r="E114" s="52"/>
      <c r="F114" t="str">
        <f>IFERROR(XLOOKUP(C114,'Master Barang'!$A:$A,'Master Barang'!$D:$D,""),"")</f>
        <v/>
      </c>
    </row>
    <row r="115" spans="1:6">
      <c r="A115" s="49"/>
      <c r="D115" t="str">
        <f>IFERROR(XLOOKUP(C115,'Master Barang'!$A:$A,'Master Barang'!$B:$B,""),"")</f>
        <v/>
      </c>
      <c r="E115" s="52"/>
      <c r="F115" t="str">
        <f>IFERROR(XLOOKUP(C115,'Master Barang'!$A:$A,'Master Barang'!$D:$D,""),"")</f>
        <v/>
      </c>
    </row>
    <row r="116" spans="1:6">
      <c r="A116" s="49"/>
      <c r="D116" t="str">
        <f>IFERROR(XLOOKUP(C116,'Master Barang'!$A:$A,'Master Barang'!$B:$B,""),"")</f>
        <v/>
      </c>
      <c r="E116" s="52"/>
      <c r="F116" t="str">
        <f>IFERROR(XLOOKUP(C116,'Master Barang'!$A:$A,'Master Barang'!$D:$D,""),"")</f>
        <v/>
      </c>
    </row>
    <row r="117" spans="1:6">
      <c r="A117" s="49"/>
      <c r="D117" t="str">
        <f>IFERROR(XLOOKUP(C117,'Master Barang'!$A:$A,'Master Barang'!$B:$B,""),"")</f>
        <v/>
      </c>
      <c r="E117" s="52"/>
      <c r="F117" t="str">
        <f>IFERROR(XLOOKUP(C117,'Master Barang'!$A:$A,'Master Barang'!$D:$D,""),"")</f>
        <v/>
      </c>
    </row>
    <row r="118" spans="1:6">
      <c r="A118" s="49"/>
      <c r="D118" t="str">
        <f>IFERROR(XLOOKUP(C118,'Master Barang'!$A:$A,'Master Barang'!$B:$B,""),"")</f>
        <v/>
      </c>
      <c r="E118" s="52"/>
      <c r="F118" t="str">
        <f>IFERROR(XLOOKUP(C118,'Master Barang'!$A:$A,'Master Barang'!$D:$D,""),"")</f>
        <v/>
      </c>
    </row>
    <row r="119" spans="1:6">
      <c r="A119" s="49"/>
      <c r="D119" t="str">
        <f>IFERROR(XLOOKUP(C119,'Master Barang'!$A:$A,'Master Barang'!$B:$B,""),"")</f>
        <v/>
      </c>
      <c r="E119" s="52"/>
      <c r="F119" t="str">
        <f>IFERROR(XLOOKUP(C119,'Master Barang'!$A:$A,'Master Barang'!$D:$D,""),"")</f>
        <v/>
      </c>
    </row>
    <row r="120" spans="1:6">
      <c r="A120" s="49"/>
      <c r="D120" t="str">
        <f>IFERROR(XLOOKUP(C120,'Master Barang'!$A:$A,'Master Barang'!$B:$B,""),"")</f>
        <v/>
      </c>
      <c r="E120" s="52"/>
      <c r="F120" t="str">
        <f>IFERROR(XLOOKUP(C120,'Master Barang'!$A:$A,'Master Barang'!$D:$D,""),"")</f>
        <v/>
      </c>
    </row>
    <row r="121" spans="1:6">
      <c r="A121" s="49"/>
      <c r="D121" t="str">
        <f>IFERROR(XLOOKUP(C121,'Master Barang'!$A:$A,'Master Barang'!$B:$B,""),"")</f>
        <v/>
      </c>
      <c r="E121" s="52"/>
      <c r="F121" t="str">
        <f>IFERROR(XLOOKUP(C121,'Master Barang'!$A:$A,'Master Barang'!$D:$D,""),"")</f>
        <v/>
      </c>
    </row>
    <row r="122" spans="1:6">
      <c r="A122" s="49"/>
      <c r="D122" t="str">
        <f>IFERROR(XLOOKUP(C122,'Master Barang'!$A:$A,'Master Barang'!$B:$B,""),"")</f>
        <v/>
      </c>
      <c r="E122" s="52"/>
      <c r="F122" t="str">
        <f>IFERROR(XLOOKUP(C122,'Master Barang'!$A:$A,'Master Barang'!$D:$D,""),"")</f>
        <v/>
      </c>
    </row>
    <row r="123" spans="1:6">
      <c r="A123" s="49"/>
      <c r="D123" t="str">
        <f>IFERROR(XLOOKUP(C123,'Master Barang'!$A:$A,'Master Barang'!$B:$B,""),"")</f>
        <v/>
      </c>
      <c r="E123" s="52"/>
      <c r="F123" t="str">
        <f>IFERROR(XLOOKUP(C123,'Master Barang'!$A:$A,'Master Barang'!$D:$D,""),"")</f>
        <v/>
      </c>
    </row>
    <row r="124" spans="1:6">
      <c r="A124" s="49"/>
      <c r="D124" t="str">
        <f>IFERROR(XLOOKUP(C124,'Master Barang'!$A:$A,'Master Barang'!$B:$B,""),"")</f>
        <v/>
      </c>
      <c r="E124" s="52"/>
      <c r="F124" t="str">
        <f>IFERROR(XLOOKUP(C124,'Master Barang'!$A:$A,'Master Barang'!$D:$D,""),"")</f>
        <v/>
      </c>
    </row>
    <row r="125" spans="1:6">
      <c r="A125" s="49"/>
      <c r="D125" t="str">
        <f>IFERROR(XLOOKUP(C125,'Master Barang'!$A:$A,'Master Barang'!$B:$B,""),"")</f>
        <v/>
      </c>
      <c r="E125" s="52"/>
      <c r="F125" t="str">
        <f>IFERROR(XLOOKUP(C125,'Master Barang'!$A:$A,'Master Barang'!$D:$D,""),"")</f>
        <v/>
      </c>
    </row>
    <row r="126" spans="1:6">
      <c r="A126" s="49"/>
      <c r="D126" t="str">
        <f>IFERROR(XLOOKUP(C126,'Master Barang'!$A:$A,'Master Barang'!$B:$B,""),"")</f>
        <v/>
      </c>
      <c r="E126" s="52"/>
      <c r="F126" t="str">
        <f>IFERROR(XLOOKUP(C126,'Master Barang'!$A:$A,'Master Barang'!$D:$D,""),"")</f>
        <v/>
      </c>
    </row>
    <row r="127" spans="1:6">
      <c r="A127" s="49"/>
      <c r="D127" t="str">
        <f>IFERROR(XLOOKUP(C127,'Master Barang'!$A:$A,'Master Barang'!$B:$B,""),"")</f>
        <v/>
      </c>
      <c r="E127" s="52"/>
      <c r="F127" t="str">
        <f>IFERROR(XLOOKUP(C127,'Master Barang'!$A:$A,'Master Barang'!$D:$D,""),"")</f>
        <v/>
      </c>
    </row>
    <row r="128" spans="1:6">
      <c r="A128" s="49"/>
      <c r="D128" t="str">
        <f>IFERROR(XLOOKUP(C128,'Master Barang'!$A:$A,'Master Barang'!$B:$B,""),"")</f>
        <v/>
      </c>
      <c r="E128" s="52"/>
      <c r="F128" t="str">
        <f>IFERROR(XLOOKUP(C128,'Master Barang'!$A:$A,'Master Barang'!$D:$D,""),"")</f>
        <v/>
      </c>
    </row>
    <row r="129" spans="1:6">
      <c r="A129" s="49"/>
      <c r="D129" t="str">
        <f>IFERROR(XLOOKUP(C129,'Master Barang'!$A:$A,'Master Barang'!$B:$B,""),"")</f>
        <v/>
      </c>
      <c r="E129" s="52"/>
      <c r="F129" t="str">
        <f>IFERROR(XLOOKUP(C129,'Master Barang'!$A:$A,'Master Barang'!$D:$D,""),"")</f>
        <v/>
      </c>
    </row>
    <row r="130" spans="1:6">
      <c r="A130" s="49"/>
      <c r="D130" t="str">
        <f>IFERROR(XLOOKUP(C130,'Master Barang'!$A:$A,'Master Barang'!$B:$B,""),"")</f>
        <v/>
      </c>
      <c r="E130" s="52"/>
      <c r="F130" t="str">
        <f>IFERROR(XLOOKUP(C130,'Master Barang'!$A:$A,'Master Barang'!$D:$D,""),"")</f>
        <v/>
      </c>
    </row>
    <row r="131" spans="1:6">
      <c r="A131" s="49"/>
      <c r="D131" t="str">
        <f>IFERROR(XLOOKUP(C131,'Master Barang'!$A:$A,'Master Barang'!$B:$B,""),"")</f>
        <v/>
      </c>
      <c r="E131" s="52"/>
      <c r="F131" t="str">
        <f>IFERROR(XLOOKUP(C131,'Master Barang'!$A:$A,'Master Barang'!$D:$D,""),"")</f>
        <v/>
      </c>
    </row>
    <row r="132" spans="1:6">
      <c r="A132" s="49"/>
      <c r="D132" t="str">
        <f>IFERROR(XLOOKUP(C132,'Master Barang'!$A:$A,'Master Barang'!$B:$B,""),"")</f>
        <v/>
      </c>
      <c r="E132" s="52"/>
      <c r="F132" t="str">
        <f>IFERROR(XLOOKUP(C132,'Master Barang'!$A:$A,'Master Barang'!$D:$D,""),"")</f>
        <v/>
      </c>
    </row>
    <row r="133" spans="1:6">
      <c r="A133" s="49"/>
      <c r="D133" t="str">
        <f>IFERROR(XLOOKUP(C133,'Master Barang'!$A:$A,'Master Barang'!$B:$B,""),"")</f>
        <v/>
      </c>
      <c r="E133" s="52"/>
      <c r="F133" t="str">
        <f>IFERROR(XLOOKUP(C133,'Master Barang'!$A:$A,'Master Barang'!$D:$D,""),"")</f>
        <v/>
      </c>
    </row>
    <row r="134" spans="1:6">
      <c r="A134" s="49"/>
      <c r="D134" t="str">
        <f>IFERROR(XLOOKUP(C134,'Master Barang'!$A:$A,'Master Barang'!$B:$B,""),"")</f>
        <v/>
      </c>
      <c r="E134" s="52"/>
      <c r="F134" t="str">
        <f>IFERROR(XLOOKUP(C134,'Master Barang'!$A:$A,'Master Barang'!$D:$D,""),"")</f>
        <v/>
      </c>
    </row>
    <row r="135" spans="1:6">
      <c r="A135" s="49"/>
      <c r="D135" t="str">
        <f>IFERROR(XLOOKUP(C135,'Master Barang'!$A:$A,'Master Barang'!$B:$B,""),"")</f>
        <v/>
      </c>
      <c r="E135" s="52"/>
      <c r="F135" t="str">
        <f>IFERROR(XLOOKUP(C135,'Master Barang'!$A:$A,'Master Barang'!$D:$D,""),"")</f>
        <v/>
      </c>
    </row>
    <row r="136" spans="1:6">
      <c r="A136" s="49"/>
      <c r="D136" t="str">
        <f>IFERROR(XLOOKUP(C136,'Master Barang'!$A:$A,'Master Barang'!$B:$B,""),"")</f>
        <v/>
      </c>
      <c r="E136" s="52"/>
      <c r="F136" t="str">
        <f>IFERROR(XLOOKUP(C136,'Master Barang'!$A:$A,'Master Barang'!$D:$D,""),"")</f>
        <v/>
      </c>
    </row>
    <row r="137" spans="1:6">
      <c r="A137" s="49"/>
      <c r="D137" t="str">
        <f>IFERROR(XLOOKUP(C137,'Master Barang'!$A:$A,'Master Barang'!$B:$B,""),"")</f>
        <v/>
      </c>
      <c r="E137" s="52"/>
      <c r="F137" t="str">
        <f>IFERROR(XLOOKUP(C137,'Master Barang'!$A:$A,'Master Barang'!$D:$D,""),"")</f>
        <v/>
      </c>
    </row>
    <row r="138" spans="1:6">
      <c r="A138" s="49"/>
      <c r="D138" t="str">
        <f>IFERROR(XLOOKUP(C138,'Master Barang'!$A:$A,'Master Barang'!$B:$B,""),"")</f>
        <v/>
      </c>
      <c r="E138" s="52"/>
      <c r="F138" t="str">
        <f>IFERROR(XLOOKUP(C138,'Master Barang'!$A:$A,'Master Barang'!$D:$D,""),"")</f>
        <v/>
      </c>
    </row>
    <row r="139" spans="1:6">
      <c r="A139" s="49"/>
      <c r="D139" t="str">
        <f>IFERROR(XLOOKUP(C139,'Master Barang'!$A:$A,'Master Barang'!$B:$B,""),"")</f>
        <v/>
      </c>
      <c r="E139" s="52"/>
      <c r="F139" t="str">
        <f>IFERROR(XLOOKUP(C139,'Master Barang'!$A:$A,'Master Barang'!$D:$D,""),"")</f>
        <v/>
      </c>
    </row>
    <row r="140" spans="1:6">
      <c r="A140" s="49"/>
      <c r="D140" t="str">
        <f>IFERROR(XLOOKUP(C140,'Master Barang'!$A:$A,'Master Barang'!$B:$B,""),"")</f>
        <v/>
      </c>
      <c r="E140" s="52"/>
      <c r="F140" t="str">
        <f>IFERROR(XLOOKUP(C140,'Master Barang'!$A:$A,'Master Barang'!$D:$D,""),"")</f>
        <v/>
      </c>
    </row>
    <row r="141" spans="1:6">
      <c r="A141" s="49"/>
      <c r="D141" t="str">
        <f>IFERROR(XLOOKUP(C141,'Master Barang'!$A:$A,'Master Barang'!$B:$B,""),"")</f>
        <v/>
      </c>
      <c r="E141" s="52"/>
      <c r="F141" t="str">
        <f>IFERROR(XLOOKUP(C141,'Master Barang'!$A:$A,'Master Barang'!$D:$D,""),"")</f>
        <v/>
      </c>
    </row>
    <row r="142" spans="1:6">
      <c r="A142" s="49"/>
      <c r="D142" t="str">
        <f>IFERROR(XLOOKUP(C142,'Master Barang'!$A:$A,'Master Barang'!$B:$B,""),"")</f>
        <v/>
      </c>
      <c r="E142" s="52"/>
      <c r="F142" t="str">
        <f>IFERROR(XLOOKUP(C142,'Master Barang'!$A:$A,'Master Barang'!$D:$D,""),"")</f>
        <v/>
      </c>
    </row>
    <row r="143" spans="1:6">
      <c r="A143" s="49"/>
      <c r="D143" t="str">
        <f>IFERROR(XLOOKUP(C143,'Master Barang'!$A:$A,'Master Barang'!$B:$B,""),"")</f>
        <v/>
      </c>
      <c r="E143" s="52"/>
      <c r="F143" t="str">
        <f>IFERROR(XLOOKUP(C143,'Master Barang'!$A:$A,'Master Barang'!$D:$D,""),"")</f>
        <v/>
      </c>
    </row>
    <row r="144" spans="1:6">
      <c r="A144" s="49"/>
      <c r="D144" t="str">
        <f>IFERROR(XLOOKUP(C144,'Master Barang'!$A:$A,'Master Barang'!$B:$B,""),"")</f>
        <v/>
      </c>
      <c r="E144" s="52"/>
      <c r="F144" t="str">
        <f>IFERROR(XLOOKUP(C144,'Master Barang'!$A:$A,'Master Barang'!$D:$D,""),"")</f>
        <v/>
      </c>
    </row>
    <row r="145" spans="1:6">
      <c r="A145" s="49"/>
      <c r="D145" t="str">
        <f>IFERROR(XLOOKUP(C145,'Master Barang'!$A:$A,'Master Barang'!$B:$B,""),"")</f>
        <v/>
      </c>
      <c r="E145" s="52"/>
      <c r="F145" t="str">
        <f>IFERROR(XLOOKUP(C145,'Master Barang'!$A:$A,'Master Barang'!$D:$D,""),"")</f>
        <v/>
      </c>
    </row>
    <row r="146" spans="1:6">
      <c r="A146" s="49"/>
      <c r="D146" t="str">
        <f>IFERROR(XLOOKUP(C146,'Master Barang'!$A:$A,'Master Barang'!$B:$B,""),"")</f>
        <v/>
      </c>
      <c r="E146" s="52"/>
      <c r="F146" t="str">
        <f>IFERROR(XLOOKUP(C146,'Master Barang'!$A:$A,'Master Barang'!$D:$D,""),"")</f>
        <v/>
      </c>
    </row>
    <row r="147" spans="1:6">
      <c r="A147" s="49"/>
      <c r="D147" t="str">
        <f>IFERROR(XLOOKUP(C147,'Master Barang'!$A:$A,'Master Barang'!$B:$B,""),"")</f>
        <v/>
      </c>
      <c r="E147" s="52"/>
      <c r="F147" t="str">
        <f>IFERROR(XLOOKUP(C147,'Master Barang'!$A:$A,'Master Barang'!$D:$D,""),"")</f>
        <v/>
      </c>
    </row>
    <row r="148" spans="1:6">
      <c r="A148" s="49"/>
      <c r="D148" t="str">
        <f>IFERROR(XLOOKUP(C148,'Master Barang'!$A:$A,'Master Barang'!$B:$B,""),"")</f>
        <v/>
      </c>
      <c r="E148" s="52"/>
      <c r="F148" t="str">
        <f>IFERROR(XLOOKUP(C148,'Master Barang'!$A:$A,'Master Barang'!$D:$D,""),"")</f>
        <v/>
      </c>
    </row>
    <row r="149" spans="1:6">
      <c r="A149" s="49"/>
      <c r="D149" t="str">
        <f>IFERROR(XLOOKUP(C149,'Master Barang'!$A:$A,'Master Barang'!$B:$B,""),"")</f>
        <v/>
      </c>
      <c r="E149" s="52"/>
      <c r="F149" t="str">
        <f>IFERROR(XLOOKUP(C149,'Master Barang'!$A:$A,'Master Barang'!$D:$D,""),"")</f>
        <v/>
      </c>
    </row>
    <row r="150" spans="1:6">
      <c r="A150" s="49"/>
      <c r="D150" t="str">
        <f>IFERROR(XLOOKUP(C150,'Master Barang'!$A:$A,'Master Barang'!$B:$B,""),"")</f>
        <v/>
      </c>
      <c r="E150" s="52"/>
      <c r="F150" t="str">
        <f>IFERROR(XLOOKUP(C150,'Master Barang'!$A:$A,'Master Barang'!$D:$D,""),"")</f>
        <v/>
      </c>
    </row>
    <row r="151" spans="1:6">
      <c r="A151" s="49"/>
      <c r="D151" t="str">
        <f>IFERROR(XLOOKUP(C151,'Master Barang'!$A:$A,'Master Barang'!$B:$B,""),"")</f>
        <v/>
      </c>
      <c r="E151" s="52"/>
      <c r="F151" t="str">
        <f>IFERROR(XLOOKUP(C151,'Master Barang'!$A:$A,'Master Barang'!$D:$D,""),"")</f>
        <v/>
      </c>
    </row>
    <row r="152" spans="1:6">
      <c r="A152" s="49"/>
      <c r="D152" t="str">
        <f>IFERROR(XLOOKUP(C152,'Master Barang'!$A:$A,'Master Barang'!$B:$B,""),"")</f>
        <v/>
      </c>
      <c r="E152" s="52"/>
      <c r="F152" t="str">
        <f>IFERROR(XLOOKUP(C152,'Master Barang'!$A:$A,'Master Barang'!$D:$D,""),"")</f>
        <v/>
      </c>
    </row>
    <row r="153" spans="1:6">
      <c r="A153" s="49"/>
      <c r="D153" t="str">
        <f>IFERROR(XLOOKUP(C153,'Master Barang'!$A:$A,'Master Barang'!$B:$B,""),"")</f>
        <v/>
      </c>
      <c r="E153" s="52"/>
      <c r="F153" t="str">
        <f>IFERROR(XLOOKUP(C153,'Master Barang'!$A:$A,'Master Barang'!$D:$D,""),"")</f>
        <v/>
      </c>
    </row>
    <row r="154" spans="1:6">
      <c r="A154" s="49"/>
      <c r="D154" t="str">
        <f>IFERROR(XLOOKUP(C154,'Master Barang'!$A:$A,'Master Barang'!$B:$B,""),"")</f>
        <v/>
      </c>
      <c r="E154" s="52"/>
      <c r="F154" t="str">
        <f>IFERROR(XLOOKUP(C154,'Master Barang'!$A:$A,'Master Barang'!$D:$D,""),"")</f>
        <v/>
      </c>
    </row>
    <row r="155" spans="1:6">
      <c r="A155" s="49"/>
      <c r="D155" t="str">
        <f>IFERROR(XLOOKUP(C155,'Master Barang'!$A:$A,'Master Barang'!$B:$B,""),"")</f>
        <v/>
      </c>
      <c r="E155" s="52"/>
      <c r="F155" t="str">
        <f>IFERROR(XLOOKUP(C155,'Master Barang'!$A:$A,'Master Barang'!$D:$D,""),"")</f>
        <v/>
      </c>
    </row>
    <row r="156" spans="1:6">
      <c r="A156" s="49"/>
      <c r="D156" t="str">
        <f>IFERROR(XLOOKUP(C156,'Master Barang'!$A:$A,'Master Barang'!$B:$B,""),"")</f>
        <v/>
      </c>
      <c r="E156" s="52"/>
      <c r="F156" t="str">
        <f>IFERROR(XLOOKUP(C156,'Master Barang'!$A:$A,'Master Barang'!$D:$D,""),"")</f>
        <v/>
      </c>
    </row>
    <row r="157" spans="1:6">
      <c r="A157" s="49"/>
      <c r="D157" t="str">
        <f>IFERROR(XLOOKUP(C157,'Master Barang'!$A:$A,'Master Barang'!$B:$B,""),"")</f>
        <v/>
      </c>
      <c r="E157" s="52"/>
      <c r="F157" t="str">
        <f>IFERROR(XLOOKUP(C157,'Master Barang'!$A:$A,'Master Barang'!$D:$D,""),"")</f>
        <v/>
      </c>
    </row>
    <row r="158" spans="1:6">
      <c r="A158" s="49"/>
      <c r="D158" t="str">
        <f>IFERROR(XLOOKUP(C158,'Master Barang'!$A:$A,'Master Barang'!$B:$B,""),"")</f>
        <v/>
      </c>
      <c r="E158" s="52"/>
      <c r="F158" t="str">
        <f>IFERROR(XLOOKUP(C158,'Master Barang'!$A:$A,'Master Barang'!$D:$D,""),"")</f>
        <v/>
      </c>
    </row>
    <row r="159" spans="1:6">
      <c r="A159" s="49"/>
      <c r="D159" t="str">
        <f>IFERROR(XLOOKUP(C159,'Master Barang'!$A:$A,'Master Barang'!$B:$B,""),"")</f>
        <v/>
      </c>
      <c r="E159" s="52"/>
      <c r="F159" t="str">
        <f>IFERROR(XLOOKUP(C159,'Master Barang'!$A:$A,'Master Barang'!$D:$D,""),"")</f>
        <v/>
      </c>
    </row>
    <row r="160" spans="1:6">
      <c r="A160" s="49"/>
      <c r="D160" t="str">
        <f>IFERROR(XLOOKUP(C160,'Master Barang'!$A:$A,'Master Barang'!$B:$B,""),"")</f>
        <v/>
      </c>
      <c r="E160" s="52"/>
      <c r="F160" t="str">
        <f>IFERROR(XLOOKUP(C160,'Master Barang'!$A:$A,'Master Barang'!$D:$D,""),"")</f>
        <v/>
      </c>
    </row>
    <row r="161" spans="1:6">
      <c r="A161" s="49"/>
      <c r="D161" t="str">
        <f>IFERROR(XLOOKUP(C161,'Master Barang'!$A:$A,'Master Barang'!$B:$B,""),"")</f>
        <v/>
      </c>
      <c r="E161" s="52"/>
      <c r="F161" t="str">
        <f>IFERROR(XLOOKUP(C161,'Master Barang'!$A:$A,'Master Barang'!$D:$D,""),"")</f>
        <v/>
      </c>
    </row>
    <row r="162" spans="1:6">
      <c r="A162" s="49"/>
      <c r="D162" t="str">
        <f>IFERROR(XLOOKUP(C162,'Master Barang'!$A:$A,'Master Barang'!$B:$B,""),"")</f>
        <v/>
      </c>
      <c r="E162" s="52"/>
      <c r="F162" t="str">
        <f>IFERROR(XLOOKUP(C162,'Master Barang'!$A:$A,'Master Barang'!$D:$D,""),"")</f>
        <v/>
      </c>
    </row>
    <row r="163" spans="1:6">
      <c r="A163" s="49"/>
      <c r="D163" t="str">
        <f>IFERROR(XLOOKUP(C163,'Master Barang'!$A:$A,'Master Barang'!$B:$B,""),"")</f>
        <v/>
      </c>
      <c r="E163" s="52"/>
      <c r="F163" t="str">
        <f>IFERROR(XLOOKUP(C163,'Master Barang'!$A:$A,'Master Barang'!$D:$D,""),"")</f>
        <v/>
      </c>
    </row>
    <row r="164" spans="1:6">
      <c r="A164" s="49"/>
      <c r="D164" t="str">
        <f>IFERROR(XLOOKUP(C164,'Master Barang'!$A:$A,'Master Barang'!$B:$B,""),"")</f>
        <v/>
      </c>
      <c r="E164" s="52"/>
      <c r="F164" t="str">
        <f>IFERROR(XLOOKUP(C164,'Master Barang'!$A:$A,'Master Barang'!$D:$D,""),"")</f>
        <v/>
      </c>
    </row>
    <row r="165" spans="1:6">
      <c r="A165" s="49"/>
      <c r="D165" t="str">
        <f>IFERROR(XLOOKUP(C165,'Master Barang'!$A:$A,'Master Barang'!$B:$B,""),"")</f>
        <v/>
      </c>
      <c r="E165" s="52"/>
      <c r="F165" t="str">
        <f>IFERROR(XLOOKUP(C165,'Master Barang'!$A:$A,'Master Barang'!$D:$D,""),"")</f>
        <v/>
      </c>
    </row>
    <row r="166" spans="1:6">
      <c r="A166" s="49"/>
      <c r="D166" t="str">
        <f>IFERROR(XLOOKUP(C166,'Master Barang'!$A:$A,'Master Barang'!$B:$B,""),"")</f>
        <v/>
      </c>
      <c r="E166" s="52"/>
      <c r="F166" t="str">
        <f>IFERROR(XLOOKUP(C166,'Master Barang'!$A:$A,'Master Barang'!$D:$D,""),"")</f>
        <v/>
      </c>
    </row>
    <row r="167" spans="1:6">
      <c r="A167" s="49"/>
      <c r="D167" t="str">
        <f>IFERROR(XLOOKUP(C167,'Master Barang'!$A:$A,'Master Barang'!$B:$B,""),"")</f>
        <v/>
      </c>
      <c r="E167" s="52"/>
      <c r="F167" t="str">
        <f>IFERROR(XLOOKUP(C167,'Master Barang'!$A:$A,'Master Barang'!$D:$D,""),"")</f>
        <v/>
      </c>
    </row>
    <row r="168" spans="1:6">
      <c r="A168" s="49"/>
      <c r="D168" t="str">
        <f>IFERROR(XLOOKUP(C168,'Master Barang'!$A:$A,'Master Barang'!$B:$B,""),"")</f>
        <v/>
      </c>
      <c r="E168" s="52"/>
      <c r="F168" t="str">
        <f>IFERROR(XLOOKUP(C168,'Master Barang'!$A:$A,'Master Barang'!$D:$D,""),"")</f>
        <v/>
      </c>
    </row>
    <row r="169" spans="1:6">
      <c r="A169" s="49"/>
      <c r="D169" t="str">
        <f>IFERROR(XLOOKUP(C169,'Master Barang'!$A:$A,'Master Barang'!$B:$B,""),"")</f>
        <v/>
      </c>
      <c r="E169" s="52"/>
      <c r="F169" t="str">
        <f>IFERROR(XLOOKUP(C169,'Master Barang'!$A:$A,'Master Barang'!$D:$D,""),"")</f>
        <v/>
      </c>
    </row>
    <row r="170" spans="1:6">
      <c r="A170" s="49"/>
      <c r="D170" t="str">
        <f>IFERROR(XLOOKUP(C170,'Master Barang'!$A:$A,'Master Barang'!$B:$B,""),"")</f>
        <v/>
      </c>
      <c r="E170" s="52"/>
      <c r="F170" t="str">
        <f>IFERROR(XLOOKUP(C170,'Master Barang'!$A:$A,'Master Barang'!$D:$D,""),"")</f>
        <v/>
      </c>
    </row>
    <row r="171" spans="1:6">
      <c r="A171" s="49"/>
      <c r="D171" t="str">
        <f>IFERROR(XLOOKUP(C171,'Master Barang'!$A:$A,'Master Barang'!$B:$B,""),"")</f>
        <v/>
      </c>
      <c r="E171" s="52"/>
      <c r="F171" t="str">
        <f>IFERROR(XLOOKUP(C171,'Master Barang'!$A:$A,'Master Barang'!$D:$D,""),"")</f>
        <v/>
      </c>
    </row>
    <row r="172" spans="1:6">
      <c r="A172" s="49"/>
      <c r="D172" t="str">
        <f>IFERROR(XLOOKUP(C172,'Master Barang'!$A:$A,'Master Barang'!$B:$B,""),"")</f>
        <v/>
      </c>
      <c r="E172" s="52"/>
      <c r="F172" t="str">
        <f>IFERROR(XLOOKUP(C172,'Master Barang'!$A:$A,'Master Barang'!$D:$D,""),"")</f>
        <v/>
      </c>
    </row>
    <row r="173" spans="1:6">
      <c r="A173" s="49"/>
      <c r="D173" t="str">
        <f>IFERROR(XLOOKUP(C173,'Master Barang'!$A:$A,'Master Barang'!$B:$B,""),"")</f>
        <v/>
      </c>
      <c r="E173" s="52"/>
      <c r="F173" t="str">
        <f>IFERROR(XLOOKUP(C173,'Master Barang'!$A:$A,'Master Barang'!$D:$D,""),"")</f>
        <v/>
      </c>
    </row>
    <row r="174" spans="1:6">
      <c r="A174" s="49"/>
      <c r="D174" t="str">
        <f>IFERROR(XLOOKUP(C174,'Master Barang'!$A:$A,'Master Barang'!$B:$B,""),"")</f>
        <v/>
      </c>
      <c r="E174" s="52"/>
      <c r="F174" t="str">
        <f>IFERROR(XLOOKUP(C174,'Master Barang'!$A:$A,'Master Barang'!$D:$D,""),"")</f>
        <v/>
      </c>
    </row>
    <row r="175" spans="1:6">
      <c r="A175" s="49"/>
      <c r="D175" t="str">
        <f>IFERROR(XLOOKUP(C175,'Master Barang'!$A:$A,'Master Barang'!$B:$B,""),"")</f>
        <v/>
      </c>
      <c r="E175" s="52"/>
      <c r="F175" t="str">
        <f>IFERROR(XLOOKUP(C175,'Master Barang'!$A:$A,'Master Barang'!$D:$D,""),"")</f>
        <v/>
      </c>
    </row>
    <row r="176" spans="1:6">
      <c r="A176" s="49"/>
      <c r="D176" t="str">
        <f>IFERROR(XLOOKUP(C176,'Master Barang'!$A:$A,'Master Barang'!$B:$B,""),"")</f>
        <v/>
      </c>
      <c r="E176" s="52"/>
      <c r="F176" t="str">
        <f>IFERROR(XLOOKUP(C176,'Master Barang'!$A:$A,'Master Barang'!$D:$D,""),"")</f>
        <v/>
      </c>
    </row>
    <row r="177" spans="1:6">
      <c r="A177" s="49"/>
      <c r="D177" t="str">
        <f>IFERROR(XLOOKUP(C177,'Master Barang'!$A:$A,'Master Barang'!$B:$B,""),"")</f>
        <v/>
      </c>
      <c r="E177" s="52"/>
      <c r="F177" t="str">
        <f>IFERROR(XLOOKUP(C177,'Master Barang'!$A:$A,'Master Barang'!$D:$D,""),"")</f>
        <v/>
      </c>
    </row>
    <row r="178" spans="1:6">
      <c r="A178" s="49"/>
      <c r="D178" t="str">
        <f>IFERROR(XLOOKUP(C178,'Master Barang'!$A:$A,'Master Barang'!$B:$B,""),"")</f>
        <v/>
      </c>
      <c r="E178" s="52"/>
      <c r="F178" t="str">
        <f>IFERROR(XLOOKUP(C178,'Master Barang'!$A:$A,'Master Barang'!$D:$D,""),"")</f>
        <v/>
      </c>
    </row>
    <row r="179" spans="1:6">
      <c r="A179" s="49"/>
      <c r="D179" t="str">
        <f>IFERROR(XLOOKUP(C179,'Master Barang'!$A:$A,'Master Barang'!$B:$B,""),"")</f>
        <v/>
      </c>
      <c r="E179" s="52"/>
      <c r="F179" t="str">
        <f>IFERROR(XLOOKUP(C179,'Master Barang'!$A:$A,'Master Barang'!$D:$D,""),"")</f>
        <v/>
      </c>
    </row>
    <row r="180" spans="1:6">
      <c r="A180" s="49"/>
      <c r="D180" t="str">
        <f>IFERROR(XLOOKUP(C180,'Master Barang'!$A:$A,'Master Barang'!$B:$B,""),"")</f>
        <v/>
      </c>
      <c r="E180" s="52"/>
      <c r="F180" t="str">
        <f>IFERROR(XLOOKUP(C180,'Master Barang'!$A:$A,'Master Barang'!$D:$D,""),"")</f>
        <v/>
      </c>
    </row>
    <row r="181" spans="1:6">
      <c r="A181" s="49"/>
      <c r="D181" t="str">
        <f>IFERROR(XLOOKUP(C181,'Master Barang'!$A:$A,'Master Barang'!$B:$B,""),"")</f>
        <v/>
      </c>
      <c r="E181" s="52"/>
      <c r="F181" t="str">
        <f>IFERROR(XLOOKUP(C181,'Master Barang'!$A:$A,'Master Barang'!$D:$D,""),"")</f>
        <v/>
      </c>
    </row>
    <row r="182" spans="1:6">
      <c r="A182" s="49"/>
      <c r="D182" t="str">
        <f>IFERROR(XLOOKUP(C182,'Master Barang'!$A:$A,'Master Barang'!$B:$B,""),"")</f>
        <v/>
      </c>
      <c r="E182" s="52"/>
      <c r="F182" t="str">
        <f>IFERROR(XLOOKUP(C182,'Master Barang'!$A:$A,'Master Barang'!$D:$D,""),"")</f>
        <v/>
      </c>
    </row>
    <row r="183" spans="1:6">
      <c r="A183" s="49"/>
      <c r="D183" t="str">
        <f>IFERROR(XLOOKUP(C183,'Master Barang'!$A:$A,'Master Barang'!$B:$B,""),"")</f>
        <v/>
      </c>
      <c r="E183" s="52"/>
      <c r="F183" t="str">
        <f>IFERROR(XLOOKUP(C183,'Master Barang'!$A:$A,'Master Barang'!$D:$D,""),"")</f>
        <v/>
      </c>
    </row>
    <row r="184" spans="1:6">
      <c r="A184" s="49"/>
      <c r="D184" t="str">
        <f>IFERROR(XLOOKUP(C184,'Master Barang'!$A:$A,'Master Barang'!$B:$B,""),"")</f>
        <v/>
      </c>
      <c r="E184" s="52"/>
      <c r="F184" t="str">
        <f>IFERROR(XLOOKUP(C184,'Master Barang'!$A:$A,'Master Barang'!$D:$D,""),"")</f>
        <v/>
      </c>
    </row>
    <row r="185" spans="1:6">
      <c r="A185" s="49"/>
      <c r="D185" t="str">
        <f>IFERROR(XLOOKUP(C185,'Master Barang'!$A:$A,'Master Barang'!$B:$B,""),"")</f>
        <v/>
      </c>
      <c r="E185" s="52"/>
      <c r="F185" t="str">
        <f>IFERROR(XLOOKUP(C185,'Master Barang'!$A:$A,'Master Barang'!$D:$D,""),"")</f>
        <v/>
      </c>
    </row>
    <row r="186" spans="1:6">
      <c r="A186" s="49"/>
      <c r="D186" t="str">
        <f>IFERROR(XLOOKUP(C186,'Master Barang'!$A:$A,'Master Barang'!$B:$B,""),"")</f>
        <v/>
      </c>
      <c r="E186" s="52"/>
      <c r="F186" t="str">
        <f>IFERROR(XLOOKUP(C186,'Master Barang'!$A:$A,'Master Barang'!$D:$D,""),"")</f>
        <v/>
      </c>
    </row>
    <row r="187" spans="1:6">
      <c r="A187" s="49"/>
      <c r="D187" t="str">
        <f>IFERROR(XLOOKUP(C187,'Master Barang'!$A:$A,'Master Barang'!$B:$B,""),"")</f>
        <v/>
      </c>
      <c r="E187" s="52"/>
      <c r="F187" t="str">
        <f>IFERROR(XLOOKUP(C187,'Master Barang'!$A:$A,'Master Barang'!$D:$D,""),"")</f>
        <v/>
      </c>
    </row>
    <row r="188" spans="1:6">
      <c r="A188" s="49"/>
      <c r="D188" t="str">
        <f>IFERROR(XLOOKUP(C188,'Master Barang'!$A:$A,'Master Barang'!$B:$B,""),"")</f>
        <v/>
      </c>
      <c r="E188" s="52"/>
      <c r="F188" t="str">
        <f>IFERROR(XLOOKUP(C188,'Master Barang'!$A:$A,'Master Barang'!$D:$D,""),"")</f>
        <v/>
      </c>
    </row>
    <row r="189" spans="1:6">
      <c r="A189" s="49"/>
      <c r="D189" t="str">
        <f>IFERROR(XLOOKUP(C189,'Master Barang'!$A:$A,'Master Barang'!$B:$B,""),"")</f>
        <v/>
      </c>
      <c r="E189" s="52"/>
      <c r="F189" t="str">
        <f>IFERROR(XLOOKUP(C189,'Master Barang'!$A:$A,'Master Barang'!$D:$D,""),"")</f>
        <v/>
      </c>
    </row>
    <row r="190" spans="1:6">
      <c r="A190" s="49"/>
      <c r="D190" t="str">
        <f>IFERROR(XLOOKUP(C190,'Master Barang'!$A:$A,'Master Barang'!$B:$B,""),"")</f>
        <v/>
      </c>
      <c r="E190" s="52"/>
      <c r="F190" t="str">
        <f>IFERROR(XLOOKUP(C190,'Master Barang'!$A:$A,'Master Barang'!$D:$D,""),"")</f>
        <v/>
      </c>
    </row>
    <row r="191" spans="1:6">
      <c r="A191" s="49"/>
      <c r="D191" t="str">
        <f>IFERROR(XLOOKUP(C191,'Master Barang'!$A:$A,'Master Barang'!$B:$B,""),"")</f>
        <v/>
      </c>
      <c r="E191" s="52"/>
      <c r="F191" t="str">
        <f>IFERROR(XLOOKUP(C191,'Master Barang'!$A:$A,'Master Barang'!$D:$D,""),"")</f>
        <v/>
      </c>
    </row>
    <row r="192" spans="1:6">
      <c r="A192" s="49"/>
      <c r="D192" t="str">
        <f>IFERROR(XLOOKUP(C192,'Master Barang'!$A:$A,'Master Barang'!$B:$B,""),"")</f>
        <v/>
      </c>
      <c r="E192" s="52"/>
      <c r="F192" t="str">
        <f>IFERROR(XLOOKUP(C192,'Master Barang'!$A:$A,'Master Barang'!$D:$D,""),"")</f>
        <v/>
      </c>
    </row>
    <row r="193" spans="1:6">
      <c r="A193" s="49"/>
      <c r="D193" t="str">
        <f>IFERROR(XLOOKUP(C193,'Master Barang'!$A:$A,'Master Barang'!$B:$B,""),"")</f>
        <v/>
      </c>
      <c r="E193" s="52"/>
      <c r="F193" t="str">
        <f>IFERROR(XLOOKUP(C193,'Master Barang'!$A:$A,'Master Barang'!$D:$D,""),"")</f>
        <v/>
      </c>
    </row>
    <row r="194" spans="1:6">
      <c r="A194" s="49"/>
      <c r="D194" t="str">
        <f>IFERROR(XLOOKUP(C194,'Master Barang'!$A:$A,'Master Barang'!$B:$B,""),"")</f>
        <v/>
      </c>
      <c r="E194" s="52"/>
      <c r="F194" t="str">
        <f>IFERROR(XLOOKUP(C194,'Master Barang'!$A:$A,'Master Barang'!$D:$D,""),"")</f>
        <v/>
      </c>
    </row>
    <row r="195" spans="1:6">
      <c r="A195" s="49"/>
      <c r="D195" t="str">
        <f>IFERROR(XLOOKUP(C195,'Master Barang'!$A:$A,'Master Barang'!$B:$B,""),"")</f>
        <v/>
      </c>
      <c r="E195" s="52"/>
      <c r="F195" t="str">
        <f>IFERROR(XLOOKUP(C195,'Master Barang'!$A:$A,'Master Barang'!$D:$D,""),"")</f>
        <v/>
      </c>
    </row>
    <row r="196" spans="1:6">
      <c r="A196" s="49"/>
      <c r="D196" t="str">
        <f>IFERROR(XLOOKUP(C196,'Master Barang'!$A:$A,'Master Barang'!$B:$B,""),"")</f>
        <v/>
      </c>
      <c r="E196" s="52"/>
      <c r="F196" t="str">
        <f>IFERROR(XLOOKUP(C196,'Master Barang'!$A:$A,'Master Barang'!$D:$D,""),"")</f>
        <v/>
      </c>
    </row>
    <row r="197" spans="1:6">
      <c r="A197" s="49"/>
      <c r="D197" t="str">
        <f>IFERROR(XLOOKUP(C197,'Master Barang'!$A:$A,'Master Barang'!$B:$B,""),"")</f>
        <v/>
      </c>
      <c r="E197" s="52"/>
      <c r="F197" t="str">
        <f>IFERROR(XLOOKUP(C197,'Master Barang'!$A:$A,'Master Barang'!$D:$D,""),"")</f>
        <v/>
      </c>
    </row>
    <row r="198" spans="1:6">
      <c r="A198" s="49"/>
      <c r="D198" t="str">
        <f>IFERROR(XLOOKUP(C198,'Master Barang'!$A:$A,'Master Barang'!$B:$B,""),"")</f>
        <v/>
      </c>
      <c r="E198" s="52"/>
      <c r="F198" t="str">
        <f>IFERROR(XLOOKUP(C198,'Master Barang'!$A:$A,'Master Barang'!$D:$D,""),"")</f>
        <v/>
      </c>
    </row>
    <row r="199" spans="1:6">
      <c r="A199" s="49"/>
      <c r="D199" t="str">
        <f>IFERROR(XLOOKUP(C199,'Master Barang'!$A:$A,'Master Barang'!$B:$B,""),"")</f>
        <v/>
      </c>
      <c r="E199" s="52"/>
      <c r="F199" t="str">
        <f>IFERROR(XLOOKUP(C199,'Master Barang'!$A:$A,'Master Barang'!$D:$D,""),"")</f>
        <v/>
      </c>
    </row>
    <row r="200" spans="1:6">
      <c r="A200" s="49"/>
      <c r="D200" t="str">
        <f>IFERROR(XLOOKUP(C200,'Master Barang'!$A:$A,'Master Barang'!$B:$B,""),"")</f>
        <v/>
      </c>
      <c r="E200" s="52"/>
      <c r="F200" t="str">
        <f>IFERROR(XLOOKUP(C200,'Master Barang'!$A:$A,'Master Barang'!$D:$D,""),"")</f>
        <v/>
      </c>
    </row>
    <row r="201" spans="1:6">
      <c r="A201" s="49"/>
      <c r="D201" t="str">
        <f>IFERROR(XLOOKUP(C201,'Master Barang'!$A:$A,'Master Barang'!$B:$B,""),"")</f>
        <v/>
      </c>
      <c r="E201" s="52"/>
      <c r="F201" t="str">
        <f>IFERROR(XLOOKUP(C201,'Master Barang'!$A:$A,'Master Barang'!$D:$D,""),"")</f>
        <v/>
      </c>
    </row>
    <row r="202" spans="1:6">
      <c r="A202" s="49"/>
      <c r="D202" t="str">
        <f>IFERROR(XLOOKUP(C202,'Master Barang'!$A:$A,'Master Barang'!$B:$B,""),"")</f>
        <v/>
      </c>
      <c r="E202" s="52"/>
      <c r="F202" t="str">
        <f>IFERROR(XLOOKUP(C202,'Master Barang'!$A:$A,'Master Barang'!$D:$D,""),"")</f>
        <v/>
      </c>
    </row>
    <row r="203" spans="1:6">
      <c r="A203" s="49"/>
      <c r="D203" t="str">
        <f>IFERROR(XLOOKUP(C203,'Master Barang'!$A:$A,'Master Barang'!$B:$B,""),"")</f>
        <v/>
      </c>
      <c r="E203" s="52"/>
      <c r="F203" t="str">
        <f>IFERROR(XLOOKUP(C203,'Master Barang'!$A:$A,'Master Barang'!$D:$D,""),"")</f>
        <v/>
      </c>
    </row>
    <row r="204" spans="1:6">
      <c r="A204" s="49"/>
      <c r="D204" t="str">
        <f>IFERROR(XLOOKUP(C204,'Master Barang'!$A:$A,'Master Barang'!$B:$B,""),"")</f>
        <v/>
      </c>
      <c r="E204" s="52"/>
      <c r="F204" t="str">
        <f>IFERROR(XLOOKUP(C204,'Master Barang'!$A:$A,'Master Barang'!$D:$D,""),"")</f>
        <v/>
      </c>
    </row>
    <row r="205" spans="1:6">
      <c r="A205" s="49"/>
      <c r="D205" t="str">
        <f>IFERROR(XLOOKUP(C205,'Master Barang'!$A:$A,'Master Barang'!$B:$B,""),"")</f>
        <v/>
      </c>
      <c r="E205" s="52"/>
      <c r="F205" t="str">
        <f>IFERROR(XLOOKUP(C205,'Master Barang'!$A:$A,'Master Barang'!$D:$D,""),"")</f>
        <v/>
      </c>
    </row>
    <row r="206" spans="1:6">
      <c r="A206" s="49"/>
      <c r="D206" t="str">
        <f>IFERROR(XLOOKUP(C206,'Master Barang'!$A:$A,'Master Barang'!$B:$B,""),"")</f>
        <v/>
      </c>
      <c r="E206" s="52"/>
      <c r="F206" t="str">
        <f>IFERROR(XLOOKUP(C206,'Master Barang'!$A:$A,'Master Barang'!$D:$D,""),"")</f>
        <v/>
      </c>
    </row>
    <row r="207" spans="1:6">
      <c r="A207" s="49"/>
      <c r="D207" t="str">
        <f>IFERROR(XLOOKUP(C207,'Master Barang'!$A:$A,'Master Barang'!$B:$B,""),"")</f>
        <v/>
      </c>
      <c r="E207" s="52"/>
      <c r="F207" t="str">
        <f>IFERROR(XLOOKUP(C207,'Master Barang'!$A:$A,'Master Barang'!$D:$D,""),"")</f>
        <v/>
      </c>
    </row>
    <row r="208" spans="1:6">
      <c r="A208" s="49"/>
      <c r="D208" t="str">
        <f>IFERROR(XLOOKUP(C208,'Master Barang'!$A:$A,'Master Barang'!$B:$B,""),"")</f>
        <v/>
      </c>
      <c r="E208" s="52"/>
      <c r="F208" t="str">
        <f>IFERROR(XLOOKUP(C208,'Master Barang'!$A:$A,'Master Barang'!$D:$D,""),"")</f>
        <v/>
      </c>
    </row>
    <row r="209" spans="1:6">
      <c r="A209" s="49"/>
      <c r="D209" t="str">
        <f>IFERROR(XLOOKUP(C209,'Master Barang'!$A:$A,'Master Barang'!$B:$B,""),"")</f>
        <v/>
      </c>
      <c r="E209" s="52"/>
      <c r="F209" t="str">
        <f>IFERROR(XLOOKUP(C209,'Master Barang'!$A:$A,'Master Barang'!$D:$D,""),"")</f>
        <v/>
      </c>
    </row>
    <row r="210" spans="1:6">
      <c r="A210" s="49"/>
      <c r="D210" t="str">
        <f>IFERROR(XLOOKUP(C210,'Master Barang'!$A:$A,'Master Barang'!$B:$B,""),"")</f>
        <v/>
      </c>
      <c r="E210" s="52"/>
      <c r="F210" t="str">
        <f>IFERROR(XLOOKUP(C210,'Master Barang'!$A:$A,'Master Barang'!$D:$D,""),"")</f>
        <v/>
      </c>
    </row>
    <row r="211" spans="1:6">
      <c r="A211" s="49"/>
      <c r="D211" t="str">
        <f>IFERROR(XLOOKUP(C211,'Master Barang'!$A:$A,'Master Barang'!$B:$B,""),"")</f>
        <v/>
      </c>
      <c r="E211" s="52"/>
      <c r="F211" t="str">
        <f>IFERROR(XLOOKUP(C211,'Master Barang'!$A:$A,'Master Barang'!$D:$D,""),"")</f>
        <v/>
      </c>
    </row>
    <row r="212" spans="1:6">
      <c r="A212" s="49"/>
      <c r="D212" t="str">
        <f>IFERROR(XLOOKUP(C212,'Master Barang'!$A:$A,'Master Barang'!$B:$B,""),"")</f>
        <v/>
      </c>
      <c r="E212" s="52"/>
      <c r="F212" t="str">
        <f>IFERROR(XLOOKUP(C212,'Master Barang'!$A:$A,'Master Barang'!$D:$D,""),"")</f>
        <v/>
      </c>
    </row>
    <row r="213" spans="1:6">
      <c r="A213" s="49"/>
      <c r="D213" t="str">
        <f>IFERROR(XLOOKUP(C213,'Master Barang'!$A:$A,'Master Barang'!$B:$B,""),"")</f>
        <v/>
      </c>
      <c r="E213" s="52"/>
      <c r="F213" t="str">
        <f>IFERROR(XLOOKUP(C213,'Master Barang'!$A:$A,'Master Barang'!$D:$D,""),"")</f>
        <v/>
      </c>
    </row>
    <row r="214" spans="1:6">
      <c r="A214" s="49"/>
      <c r="D214" t="str">
        <f>IFERROR(XLOOKUP(C214,'Master Barang'!$A:$A,'Master Barang'!$B:$B,""),"")</f>
        <v/>
      </c>
      <c r="E214" s="52"/>
      <c r="F214" t="str">
        <f>IFERROR(XLOOKUP(C214,'Master Barang'!$A:$A,'Master Barang'!$D:$D,""),"")</f>
        <v/>
      </c>
    </row>
    <row r="215" spans="1:6">
      <c r="A215" s="49"/>
      <c r="D215" t="str">
        <f>IFERROR(XLOOKUP(C215,'Master Barang'!$A:$A,'Master Barang'!$B:$B,""),"")</f>
        <v/>
      </c>
      <c r="E215" s="52"/>
      <c r="F215" t="str">
        <f>IFERROR(XLOOKUP(C215,'Master Barang'!$A:$A,'Master Barang'!$D:$D,""),"")</f>
        <v/>
      </c>
    </row>
    <row r="216" spans="1:6">
      <c r="A216" s="49"/>
      <c r="D216" t="str">
        <f>IFERROR(XLOOKUP(C216,'Master Barang'!$A:$A,'Master Barang'!$B:$B,""),"")</f>
        <v/>
      </c>
      <c r="E216" s="52"/>
      <c r="F216" t="str">
        <f>IFERROR(XLOOKUP(C216,'Master Barang'!$A:$A,'Master Barang'!$D:$D,""),"")</f>
        <v/>
      </c>
    </row>
    <row r="217" spans="1:6">
      <c r="A217" s="49"/>
      <c r="D217" t="str">
        <f>IFERROR(XLOOKUP(C217,'Master Barang'!$A:$A,'Master Barang'!$B:$B,""),"")</f>
        <v/>
      </c>
      <c r="E217" s="52"/>
      <c r="F217" t="str">
        <f>IFERROR(XLOOKUP(C217,'Master Barang'!$A:$A,'Master Barang'!$D:$D,""),"")</f>
        <v/>
      </c>
    </row>
    <row r="218" spans="1:6">
      <c r="A218" s="49"/>
      <c r="D218" t="str">
        <f>IFERROR(XLOOKUP(C218,'Master Barang'!$A:$A,'Master Barang'!$B:$B,""),"")</f>
        <v/>
      </c>
      <c r="E218" s="52"/>
      <c r="F218" t="str">
        <f>IFERROR(XLOOKUP(C218,'Master Barang'!$A:$A,'Master Barang'!$D:$D,""),"")</f>
        <v/>
      </c>
    </row>
    <row r="219" spans="1:6">
      <c r="A219" s="49"/>
      <c r="D219" t="str">
        <f>IFERROR(XLOOKUP(C219,'Master Barang'!$A:$A,'Master Barang'!$B:$B,""),"")</f>
        <v/>
      </c>
      <c r="E219" s="52"/>
      <c r="F219" t="str">
        <f>IFERROR(XLOOKUP(C219,'Master Barang'!$A:$A,'Master Barang'!$D:$D,""),"")</f>
        <v/>
      </c>
    </row>
    <row r="220" spans="1:6">
      <c r="A220" s="49"/>
      <c r="D220" t="str">
        <f>IFERROR(XLOOKUP(C220,'Master Barang'!$A:$A,'Master Barang'!$B:$B,""),"")</f>
        <v/>
      </c>
      <c r="E220" s="52"/>
      <c r="F220" t="str">
        <f>IFERROR(XLOOKUP(C220,'Master Barang'!$A:$A,'Master Barang'!$D:$D,""),"")</f>
        <v/>
      </c>
    </row>
    <row r="221" spans="1:6">
      <c r="A221" s="49"/>
      <c r="D221" t="str">
        <f>IFERROR(XLOOKUP(C221,'Master Barang'!$A:$A,'Master Barang'!$B:$B,""),"")</f>
        <v/>
      </c>
      <c r="E221" s="52"/>
      <c r="F221" t="str">
        <f>IFERROR(XLOOKUP(C221,'Master Barang'!$A:$A,'Master Barang'!$D:$D,""),"")</f>
        <v/>
      </c>
    </row>
    <row r="222" spans="1:6">
      <c r="A222" s="49"/>
      <c r="D222" t="str">
        <f>IFERROR(XLOOKUP(C222,'Master Barang'!$A:$A,'Master Barang'!$B:$B,""),"")</f>
        <v/>
      </c>
      <c r="E222" s="52"/>
      <c r="F222" t="str">
        <f>IFERROR(XLOOKUP(C222,'Master Barang'!$A:$A,'Master Barang'!$D:$D,""),"")</f>
        <v/>
      </c>
    </row>
    <row r="223" spans="1:6">
      <c r="A223" s="49"/>
      <c r="D223" t="str">
        <f>IFERROR(XLOOKUP(C223,'Master Barang'!$A:$A,'Master Barang'!$B:$B,""),"")</f>
        <v/>
      </c>
      <c r="E223" s="52"/>
      <c r="F223" t="str">
        <f>IFERROR(XLOOKUP(C223,'Master Barang'!$A:$A,'Master Barang'!$D:$D,""),"")</f>
        <v/>
      </c>
    </row>
    <row r="224" spans="1:6">
      <c r="A224" s="49"/>
      <c r="D224" t="str">
        <f>IFERROR(XLOOKUP(C224,'Master Barang'!$A:$A,'Master Barang'!$B:$B,""),"")</f>
        <v/>
      </c>
      <c r="E224" s="52"/>
      <c r="F224" t="str">
        <f>IFERROR(XLOOKUP(C224,'Master Barang'!$A:$A,'Master Barang'!$D:$D,""),"")</f>
        <v/>
      </c>
    </row>
    <row r="225" spans="1:6">
      <c r="A225" s="49"/>
      <c r="D225" t="str">
        <f>IFERROR(XLOOKUP(C225,'Master Barang'!$A:$A,'Master Barang'!$B:$B,""),"")</f>
        <v/>
      </c>
      <c r="E225" s="52"/>
      <c r="F225" t="str">
        <f>IFERROR(XLOOKUP(C225,'Master Barang'!$A:$A,'Master Barang'!$D:$D,""),"")</f>
        <v/>
      </c>
    </row>
    <row r="226" spans="1:6">
      <c r="A226" s="49"/>
      <c r="D226" t="str">
        <f>IFERROR(XLOOKUP(C226,'Master Barang'!$A:$A,'Master Barang'!$B:$B,""),"")</f>
        <v/>
      </c>
      <c r="E226" s="52"/>
      <c r="F226" t="str">
        <f>IFERROR(XLOOKUP(C226,'Master Barang'!$A:$A,'Master Barang'!$D:$D,""),"")</f>
        <v/>
      </c>
    </row>
    <row r="227" spans="1:6">
      <c r="A227" s="49"/>
      <c r="D227" t="str">
        <f>IFERROR(XLOOKUP(C227,'Master Barang'!$A:$A,'Master Barang'!$B:$B,""),"")</f>
        <v/>
      </c>
      <c r="E227" s="52"/>
      <c r="F227" t="str">
        <f>IFERROR(XLOOKUP(C227,'Master Barang'!$A:$A,'Master Barang'!$D:$D,""),"")</f>
        <v/>
      </c>
    </row>
    <row r="228" spans="1:6">
      <c r="A228" s="49"/>
      <c r="D228" t="str">
        <f>IFERROR(XLOOKUP(C228,'Master Barang'!$A:$A,'Master Barang'!$B:$B,""),"")</f>
        <v/>
      </c>
      <c r="E228" s="52"/>
      <c r="F228" t="str">
        <f>IFERROR(XLOOKUP(C228,'Master Barang'!$A:$A,'Master Barang'!$D:$D,""),"")</f>
        <v/>
      </c>
    </row>
    <row r="229" spans="1:6">
      <c r="A229" s="49"/>
      <c r="D229" t="str">
        <f>IFERROR(XLOOKUP(C229,'Master Barang'!$A:$A,'Master Barang'!$B:$B,""),"")</f>
        <v/>
      </c>
      <c r="E229" s="52"/>
      <c r="F229" t="str">
        <f>IFERROR(XLOOKUP(C229,'Master Barang'!$A:$A,'Master Barang'!$D:$D,""),"")</f>
        <v/>
      </c>
    </row>
    <row r="230" spans="1:6">
      <c r="A230" s="49"/>
      <c r="D230" t="str">
        <f>IFERROR(XLOOKUP(C230,'Master Barang'!$A:$A,'Master Barang'!$B:$B,""),"")</f>
        <v/>
      </c>
      <c r="E230" s="52"/>
      <c r="F230" t="str">
        <f>IFERROR(XLOOKUP(C230,'Master Barang'!$A:$A,'Master Barang'!$D:$D,""),"")</f>
        <v/>
      </c>
    </row>
    <row r="231" spans="1:6">
      <c r="A231" s="49"/>
      <c r="D231" t="str">
        <f>IFERROR(XLOOKUP(C231,'Master Barang'!$A:$A,'Master Barang'!$B:$B,""),"")</f>
        <v/>
      </c>
      <c r="E231" s="52"/>
      <c r="F231" t="str">
        <f>IFERROR(XLOOKUP(C231,'Master Barang'!$A:$A,'Master Barang'!$D:$D,""),"")</f>
        <v/>
      </c>
    </row>
    <row r="232" spans="1:6">
      <c r="A232" s="49"/>
      <c r="D232" t="str">
        <f>IFERROR(XLOOKUP(C232,'Master Barang'!$A:$A,'Master Barang'!$B:$B,""),"")</f>
        <v/>
      </c>
      <c r="E232" s="52"/>
      <c r="F232" t="str">
        <f>IFERROR(XLOOKUP(C232,'Master Barang'!$A:$A,'Master Barang'!$D:$D,""),"")</f>
        <v/>
      </c>
    </row>
    <row r="233" spans="1:6">
      <c r="A233" s="49"/>
      <c r="D233" t="str">
        <f>IFERROR(XLOOKUP(C233,'Master Barang'!$A:$A,'Master Barang'!$B:$B,""),"")</f>
        <v/>
      </c>
      <c r="E233" s="52"/>
      <c r="F233" t="str">
        <f>IFERROR(XLOOKUP(C233,'Master Barang'!$A:$A,'Master Barang'!$D:$D,""),"")</f>
        <v/>
      </c>
    </row>
    <row r="234" spans="1:6">
      <c r="A234" s="49"/>
      <c r="D234" t="str">
        <f>IFERROR(XLOOKUP(C234,'Master Barang'!$A:$A,'Master Barang'!$B:$B,""),"")</f>
        <v/>
      </c>
      <c r="E234" s="52"/>
      <c r="F234" t="str">
        <f>IFERROR(XLOOKUP(C234,'Master Barang'!$A:$A,'Master Barang'!$D:$D,""),"")</f>
        <v/>
      </c>
    </row>
    <row r="235" spans="1:6">
      <c r="A235" s="49"/>
      <c r="D235" t="str">
        <f>IFERROR(XLOOKUP(C235,'Master Barang'!$A:$A,'Master Barang'!$B:$B,""),"")</f>
        <v/>
      </c>
      <c r="E235" s="52"/>
      <c r="F235" t="str">
        <f>IFERROR(XLOOKUP(C235,'Master Barang'!$A:$A,'Master Barang'!$D:$D,""),"")</f>
        <v/>
      </c>
    </row>
    <row r="236" spans="1:6">
      <c r="A236" s="49"/>
      <c r="D236" t="str">
        <f>IFERROR(XLOOKUP(C236,'Master Barang'!$A:$A,'Master Barang'!$B:$B,""),"")</f>
        <v/>
      </c>
      <c r="E236" s="52"/>
      <c r="F236" t="str">
        <f>IFERROR(XLOOKUP(C236,'Master Barang'!$A:$A,'Master Barang'!$D:$D,""),"")</f>
        <v/>
      </c>
    </row>
    <row r="237" spans="1:6">
      <c r="A237" s="49"/>
      <c r="D237" t="str">
        <f>IFERROR(XLOOKUP(C237,'Master Barang'!$A:$A,'Master Barang'!$B:$B,""),"")</f>
        <v/>
      </c>
      <c r="E237" s="52"/>
      <c r="F237" t="str">
        <f>IFERROR(XLOOKUP(C237,'Master Barang'!$A:$A,'Master Barang'!$D:$D,""),"")</f>
        <v/>
      </c>
    </row>
    <row r="238" spans="1:6">
      <c r="A238" s="49"/>
      <c r="D238" t="str">
        <f>IFERROR(XLOOKUP(C238,'Master Barang'!$A:$A,'Master Barang'!$B:$B,""),"")</f>
        <v/>
      </c>
      <c r="E238" s="52"/>
      <c r="F238" t="str">
        <f>IFERROR(XLOOKUP(C238,'Master Barang'!$A:$A,'Master Barang'!$D:$D,""),"")</f>
        <v/>
      </c>
    </row>
    <row r="239" spans="1:6">
      <c r="A239" s="49"/>
      <c r="D239" t="str">
        <f>IFERROR(XLOOKUP(C239,'Master Barang'!$A:$A,'Master Barang'!$B:$B,""),"")</f>
        <v/>
      </c>
      <c r="E239" s="52"/>
      <c r="F239" t="str">
        <f>IFERROR(XLOOKUP(C239,'Master Barang'!$A:$A,'Master Barang'!$D:$D,""),"")</f>
        <v/>
      </c>
    </row>
    <row r="240" spans="1:6">
      <c r="A240" s="49"/>
      <c r="D240" t="str">
        <f>IFERROR(XLOOKUP(C240,'Master Barang'!$A:$A,'Master Barang'!$B:$B,""),"")</f>
        <v/>
      </c>
      <c r="E240" s="52"/>
      <c r="F240" t="str">
        <f>IFERROR(XLOOKUP(C240,'Master Barang'!$A:$A,'Master Barang'!$D:$D,""),"")</f>
        <v/>
      </c>
    </row>
    <row r="241" spans="1:6">
      <c r="A241" s="49"/>
      <c r="D241" t="str">
        <f>IFERROR(XLOOKUP(C241,'Master Barang'!$A:$A,'Master Barang'!$B:$B,""),"")</f>
        <v/>
      </c>
      <c r="E241" s="52"/>
      <c r="F241" t="str">
        <f>IFERROR(XLOOKUP(C241,'Master Barang'!$A:$A,'Master Barang'!$D:$D,""),"")</f>
        <v/>
      </c>
    </row>
    <row r="242" spans="1:6">
      <c r="A242" s="49"/>
      <c r="D242" t="str">
        <f>IFERROR(XLOOKUP(C242,'Master Barang'!$A:$A,'Master Barang'!$B:$B,""),"")</f>
        <v/>
      </c>
      <c r="E242" s="52"/>
      <c r="F242" t="str">
        <f>IFERROR(XLOOKUP(C242,'Master Barang'!$A:$A,'Master Barang'!$D:$D,""),"")</f>
        <v/>
      </c>
    </row>
    <row r="243" spans="1:6">
      <c r="A243" s="49"/>
      <c r="D243" t="str">
        <f>IFERROR(XLOOKUP(C243,'Master Barang'!$A:$A,'Master Barang'!$B:$B,""),"")</f>
        <v/>
      </c>
      <c r="E243" s="52"/>
      <c r="F243" t="str">
        <f>IFERROR(XLOOKUP(C243,'Master Barang'!$A:$A,'Master Barang'!$D:$D,""),"")</f>
        <v/>
      </c>
    </row>
    <row r="244" spans="1:6">
      <c r="A244" s="49"/>
      <c r="D244" t="str">
        <f>IFERROR(XLOOKUP(C244,'Master Barang'!$A:$A,'Master Barang'!$B:$B,""),"")</f>
        <v/>
      </c>
      <c r="E244" s="52"/>
      <c r="F244" t="str">
        <f>IFERROR(XLOOKUP(C244,'Master Barang'!$A:$A,'Master Barang'!$D:$D,""),"")</f>
        <v/>
      </c>
    </row>
    <row r="245" spans="1:6">
      <c r="A245" s="49"/>
      <c r="D245" t="str">
        <f>IFERROR(XLOOKUP(C245,'Master Barang'!$A:$A,'Master Barang'!$B:$B,""),"")</f>
        <v/>
      </c>
      <c r="E245" s="52"/>
      <c r="F245" t="str">
        <f>IFERROR(XLOOKUP(C245,'Master Barang'!$A:$A,'Master Barang'!$D:$D,""),"")</f>
        <v/>
      </c>
    </row>
    <row r="246" spans="1:6">
      <c r="A246" s="49"/>
      <c r="D246" t="str">
        <f>IFERROR(XLOOKUP(C246,'Master Barang'!$A:$A,'Master Barang'!$B:$B,""),"")</f>
        <v/>
      </c>
      <c r="E246" s="52"/>
      <c r="F246" t="str">
        <f>IFERROR(XLOOKUP(C246,'Master Barang'!$A:$A,'Master Barang'!$D:$D,""),"")</f>
        <v/>
      </c>
    </row>
    <row r="247" spans="1:6">
      <c r="A247" s="49"/>
      <c r="D247" t="str">
        <f>IFERROR(XLOOKUP(C247,'Master Barang'!$A:$A,'Master Barang'!$B:$B,""),"")</f>
        <v/>
      </c>
      <c r="E247" s="52"/>
      <c r="F247" t="str">
        <f>IFERROR(XLOOKUP(C247,'Master Barang'!$A:$A,'Master Barang'!$D:$D,""),"")</f>
        <v/>
      </c>
    </row>
    <row r="248" spans="1:6">
      <c r="A248" s="49"/>
      <c r="D248" t="str">
        <f>IFERROR(XLOOKUP(C248,'Master Barang'!$A:$A,'Master Barang'!$B:$B,""),"")</f>
        <v/>
      </c>
      <c r="E248" s="52"/>
      <c r="F248" t="str">
        <f>IFERROR(XLOOKUP(C248,'Master Barang'!$A:$A,'Master Barang'!$D:$D,""),"")</f>
        <v/>
      </c>
    </row>
    <row r="249" spans="1:6">
      <c r="A249" s="49"/>
      <c r="D249" t="str">
        <f>IFERROR(XLOOKUP(C249,'Master Barang'!$A:$A,'Master Barang'!$B:$B,""),"")</f>
        <v/>
      </c>
      <c r="E249" s="52"/>
      <c r="F249" t="str">
        <f>IFERROR(XLOOKUP(C249,'Master Barang'!$A:$A,'Master Barang'!$D:$D,""),"")</f>
        <v/>
      </c>
    </row>
    <row r="250" spans="1:6">
      <c r="A250" s="49"/>
      <c r="D250" t="str">
        <f>IFERROR(XLOOKUP(C250,'Master Barang'!$A:$A,'Master Barang'!$B:$B,""),"")</f>
        <v/>
      </c>
      <c r="E250" s="52"/>
      <c r="F250" t="str">
        <f>IFERROR(XLOOKUP(C250,'Master Barang'!$A:$A,'Master Barang'!$D:$D,""),"")</f>
        <v/>
      </c>
    </row>
    <row r="251" spans="1:6">
      <c r="A251" s="49"/>
      <c r="D251" t="str">
        <f>IFERROR(XLOOKUP(C251,'Master Barang'!$A:$A,'Master Barang'!$B:$B,""),"")</f>
        <v/>
      </c>
      <c r="E251" s="52"/>
      <c r="F251" t="str">
        <f>IFERROR(XLOOKUP(C251,'Master Barang'!$A:$A,'Master Barang'!$D:$D,""),"")</f>
        <v/>
      </c>
    </row>
    <row r="252" spans="1:6">
      <c r="A252" s="49"/>
      <c r="D252" t="str">
        <f>IFERROR(XLOOKUP(C252,'Master Barang'!$A:$A,'Master Barang'!$B:$B,""),"")</f>
        <v/>
      </c>
      <c r="E252" s="52"/>
      <c r="F252" t="str">
        <f>IFERROR(XLOOKUP(C252,'Master Barang'!$A:$A,'Master Barang'!$D:$D,""),"")</f>
        <v/>
      </c>
    </row>
    <row r="253" spans="1:6">
      <c r="A253" s="49"/>
      <c r="D253" t="str">
        <f>IFERROR(XLOOKUP(C253,'Master Barang'!$A:$A,'Master Barang'!$B:$B,""),"")</f>
        <v/>
      </c>
      <c r="E253" s="52"/>
      <c r="F253" t="str">
        <f>IFERROR(XLOOKUP(C253,'Master Barang'!$A:$A,'Master Barang'!$D:$D,""),"")</f>
        <v/>
      </c>
    </row>
    <row r="254" spans="1:6">
      <c r="A254" s="49"/>
      <c r="D254" t="str">
        <f>IFERROR(XLOOKUP(C254,'Master Barang'!$A:$A,'Master Barang'!$B:$B,""),"")</f>
        <v/>
      </c>
      <c r="E254" s="52"/>
      <c r="F254" t="str">
        <f>IFERROR(XLOOKUP(C254,'Master Barang'!$A:$A,'Master Barang'!$D:$D,""),"")</f>
        <v/>
      </c>
    </row>
    <row r="255" spans="1:6">
      <c r="A255" s="49"/>
      <c r="D255" t="str">
        <f>IFERROR(XLOOKUP(C255,'Master Barang'!$A:$A,'Master Barang'!$B:$B,""),"")</f>
        <v/>
      </c>
      <c r="E255" s="52"/>
      <c r="F255" t="str">
        <f>IFERROR(XLOOKUP(C255,'Master Barang'!$A:$A,'Master Barang'!$D:$D,""),"")</f>
        <v/>
      </c>
    </row>
    <row r="256" spans="1:6">
      <c r="A256" s="49"/>
      <c r="D256" t="str">
        <f>IFERROR(XLOOKUP(C256,'Master Barang'!$A:$A,'Master Barang'!$B:$B,""),"")</f>
        <v/>
      </c>
      <c r="E256" s="52"/>
      <c r="F256" t="str">
        <f>IFERROR(XLOOKUP(C256,'Master Barang'!$A:$A,'Master Barang'!$D:$D,""),"")</f>
        <v/>
      </c>
    </row>
    <row r="257" spans="1:6">
      <c r="A257" s="49"/>
      <c r="D257" t="str">
        <f>IFERROR(XLOOKUP(C257,'Master Barang'!$A:$A,'Master Barang'!$B:$B,""),"")</f>
        <v/>
      </c>
      <c r="E257" s="52"/>
      <c r="F257" t="str">
        <f>IFERROR(XLOOKUP(C257,'Master Barang'!$A:$A,'Master Barang'!$D:$D,""),"")</f>
        <v/>
      </c>
    </row>
    <row r="258" spans="1:6">
      <c r="A258" s="49"/>
      <c r="D258" t="str">
        <f>IFERROR(XLOOKUP(C258,'Master Barang'!$A:$A,'Master Barang'!$B:$B,""),"")</f>
        <v/>
      </c>
      <c r="E258" s="52"/>
      <c r="F258" t="str">
        <f>IFERROR(XLOOKUP(C258,'Master Barang'!$A:$A,'Master Barang'!$D:$D,""),"")</f>
        <v/>
      </c>
    </row>
    <row r="259" spans="1:6">
      <c r="A259" s="49"/>
      <c r="D259" t="str">
        <f>IFERROR(XLOOKUP(C259,'Master Barang'!$A:$A,'Master Barang'!$B:$B,""),"")</f>
        <v/>
      </c>
      <c r="E259" s="52"/>
      <c r="F259" t="str">
        <f>IFERROR(XLOOKUP(C259,'Master Barang'!$A:$A,'Master Barang'!$D:$D,""),"")</f>
        <v/>
      </c>
    </row>
    <row r="260" spans="1:6">
      <c r="A260" s="49"/>
      <c r="D260" t="str">
        <f>IFERROR(XLOOKUP(C260,'Master Barang'!$A:$A,'Master Barang'!$B:$B,""),"")</f>
        <v/>
      </c>
      <c r="E260" s="52"/>
      <c r="F260" t="str">
        <f>IFERROR(XLOOKUP(C260,'Master Barang'!$A:$A,'Master Barang'!$D:$D,""),"")</f>
        <v/>
      </c>
    </row>
    <row r="261" spans="1:6">
      <c r="A261" s="49"/>
      <c r="D261" t="str">
        <f>IFERROR(XLOOKUP(C261,'Master Barang'!$A:$A,'Master Barang'!$B:$B,""),"")</f>
        <v/>
      </c>
      <c r="E261" s="52"/>
      <c r="F261" t="str">
        <f>IFERROR(XLOOKUP(C261,'Master Barang'!$A:$A,'Master Barang'!$D:$D,""),"")</f>
        <v/>
      </c>
    </row>
    <row r="262" spans="1:6">
      <c r="A262" s="49"/>
      <c r="D262" t="str">
        <f>IFERROR(XLOOKUP(C262,'Master Barang'!$A:$A,'Master Barang'!$B:$B,""),"")</f>
        <v/>
      </c>
      <c r="E262" s="52"/>
      <c r="F262" t="str">
        <f>IFERROR(XLOOKUP(C262,'Master Barang'!$A:$A,'Master Barang'!$D:$D,""),"")</f>
        <v/>
      </c>
    </row>
    <row r="263" spans="1:6">
      <c r="A263" s="49"/>
      <c r="D263" t="str">
        <f>IFERROR(XLOOKUP(C263,'Master Barang'!$A:$A,'Master Barang'!$B:$B,""),"")</f>
        <v/>
      </c>
      <c r="E263" s="52"/>
      <c r="F263" t="str">
        <f>IFERROR(XLOOKUP(C263,'Master Barang'!$A:$A,'Master Barang'!$D:$D,""),"")</f>
        <v/>
      </c>
    </row>
    <row r="264" spans="1:6">
      <c r="A264" s="49"/>
      <c r="D264" t="str">
        <f>IFERROR(XLOOKUP(C264,'Master Barang'!$A:$A,'Master Barang'!$B:$B,""),"")</f>
        <v/>
      </c>
      <c r="E264" s="52"/>
      <c r="F264" t="str">
        <f>IFERROR(XLOOKUP(C264,'Master Barang'!$A:$A,'Master Barang'!$D:$D,""),"")</f>
        <v/>
      </c>
    </row>
    <row r="265" spans="1:6">
      <c r="A265" s="49"/>
      <c r="D265" t="str">
        <f>IFERROR(XLOOKUP(C265,'Master Barang'!$A:$A,'Master Barang'!$B:$B,""),"")</f>
        <v/>
      </c>
      <c r="E265" s="52"/>
      <c r="F265" t="str">
        <f>IFERROR(XLOOKUP(C265,'Master Barang'!$A:$A,'Master Barang'!$D:$D,""),"")</f>
        <v/>
      </c>
    </row>
    <row r="266" spans="1:6">
      <c r="A266" s="49"/>
      <c r="D266" t="str">
        <f>IFERROR(XLOOKUP(C266,'Master Barang'!$A:$A,'Master Barang'!$B:$B,""),"")</f>
        <v/>
      </c>
      <c r="E266" s="52"/>
      <c r="F266" t="str">
        <f>IFERROR(XLOOKUP(C266,'Master Barang'!$A:$A,'Master Barang'!$D:$D,""),"")</f>
        <v/>
      </c>
    </row>
    <row r="267" spans="1:6">
      <c r="A267" s="49"/>
      <c r="D267" t="str">
        <f>IFERROR(XLOOKUP(C267,'Master Barang'!$A:$A,'Master Barang'!$B:$B,""),"")</f>
        <v/>
      </c>
      <c r="E267" s="52"/>
      <c r="F267" t="str">
        <f>IFERROR(XLOOKUP(C267,'Master Barang'!$A:$A,'Master Barang'!$D:$D,""),"")</f>
        <v/>
      </c>
    </row>
    <row r="268" spans="1:6">
      <c r="A268" s="49"/>
      <c r="D268" t="str">
        <f>IFERROR(XLOOKUP(C268,'Master Barang'!$A:$A,'Master Barang'!$B:$B,""),"")</f>
        <v/>
      </c>
      <c r="E268" s="52"/>
      <c r="F268" t="str">
        <f>IFERROR(XLOOKUP(C268,'Master Barang'!$A:$A,'Master Barang'!$D:$D,""),"")</f>
        <v/>
      </c>
    </row>
    <row r="269" spans="1:6">
      <c r="A269" s="49"/>
      <c r="D269" t="str">
        <f>IFERROR(XLOOKUP(C269,'Master Barang'!$A:$A,'Master Barang'!$B:$B,""),"")</f>
        <v/>
      </c>
      <c r="E269" s="52"/>
      <c r="F269" t="str">
        <f>IFERROR(XLOOKUP(C269,'Master Barang'!$A:$A,'Master Barang'!$D:$D,""),"")</f>
        <v/>
      </c>
    </row>
    <row r="270" spans="1:6">
      <c r="A270" s="49"/>
      <c r="D270" t="str">
        <f>IFERROR(XLOOKUP(C270,'Master Barang'!$A:$A,'Master Barang'!$B:$B,""),"")</f>
        <v/>
      </c>
      <c r="E270" s="52"/>
      <c r="F270" t="str">
        <f>IFERROR(XLOOKUP(C270,'Master Barang'!$A:$A,'Master Barang'!$D:$D,""),"")</f>
        <v/>
      </c>
    </row>
    <row r="271" spans="1:6">
      <c r="A271" s="49"/>
      <c r="D271" t="str">
        <f>IFERROR(XLOOKUP(C271,'Master Barang'!$A:$A,'Master Barang'!$B:$B,""),"")</f>
        <v/>
      </c>
      <c r="E271" s="52"/>
      <c r="F271" t="str">
        <f>IFERROR(XLOOKUP(C271,'Master Barang'!$A:$A,'Master Barang'!$D:$D,""),"")</f>
        <v/>
      </c>
    </row>
    <row r="272" spans="1:6">
      <c r="A272" s="49"/>
      <c r="D272" t="str">
        <f>IFERROR(XLOOKUP(C272,'Master Barang'!$A:$A,'Master Barang'!$B:$B,""),"")</f>
        <v/>
      </c>
      <c r="E272" s="52"/>
      <c r="F272" t="str">
        <f>IFERROR(XLOOKUP(C272,'Master Barang'!$A:$A,'Master Barang'!$D:$D,""),"")</f>
        <v/>
      </c>
    </row>
    <row r="273" spans="1:6">
      <c r="A273" s="49"/>
      <c r="D273" t="str">
        <f>IFERROR(XLOOKUP(C273,'Master Barang'!$A:$A,'Master Barang'!$B:$B,""),"")</f>
        <v/>
      </c>
      <c r="E273" s="52"/>
      <c r="F273" t="str">
        <f>IFERROR(XLOOKUP(C273,'Master Barang'!$A:$A,'Master Barang'!$D:$D,""),"")</f>
        <v/>
      </c>
    </row>
    <row r="274" spans="1:6">
      <c r="A274" s="49"/>
      <c r="D274" t="str">
        <f>IFERROR(XLOOKUP(C274,'Master Barang'!$A:$A,'Master Barang'!$B:$B,""),"")</f>
        <v/>
      </c>
      <c r="E274" s="52"/>
      <c r="F274" t="str">
        <f>IFERROR(XLOOKUP(C274,'Master Barang'!$A:$A,'Master Barang'!$D:$D,""),"")</f>
        <v/>
      </c>
    </row>
    <row r="275" spans="1:6">
      <c r="A275" s="49"/>
      <c r="D275" t="str">
        <f>IFERROR(XLOOKUP(C275,'Master Barang'!$A:$A,'Master Barang'!$B:$B,""),"")</f>
        <v/>
      </c>
      <c r="E275" s="52"/>
      <c r="F275" t="str">
        <f>IFERROR(XLOOKUP(C275,'Master Barang'!$A:$A,'Master Barang'!$D:$D,""),"")</f>
        <v/>
      </c>
    </row>
    <row r="276" spans="1:6">
      <c r="A276" s="49"/>
      <c r="D276" t="str">
        <f>IFERROR(XLOOKUP(C276,'Master Barang'!$A:$A,'Master Barang'!$B:$B,""),"")</f>
        <v/>
      </c>
      <c r="E276" s="52"/>
      <c r="F276" t="str">
        <f>IFERROR(XLOOKUP(C276,'Master Barang'!$A:$A,'Master Barang'!$D:$D,""),"")</f>
        <v/>
      </c>
    </row>
    <row r="277" spans="1:6">
      <c r="A277" s="49"/>
      <c r="D277" t="str">
        <f>IFERROR(XLOOKUP(C277,'Master Barang'!$A:$A,'Master Barang'!$B:$B,""),"")</f>
        <v/>
      </c>
      <c r="E277" s="52"/>
      <c r="F277" t="str">
        <f>IFERROR(XLOOKUP(C277,'Master Barang'!$A:$A,'Master Barang'!$D:$D,""),"")</f>
        <v/>
      </c>
    </row>
    <row r="278" spans="1:6">
      <c r="A278" s="49"/>
      <c r="D278" t="str">
        <f>IFERROR(XLOOKUP(C278,'Master Barang'!$A:$A,'Master Barang'!$B:$B,""),"")</f>
        <v/>
      </c>
      <c r="E278" s="52"/>
      <c r="F278" t="str">
        <f>IFERROR(XLOOKUP(C278,'Master Barang'!$A:$A,'Master Barang'!$D:$D,""),"")</f>
        <v/>
      </c>
    </row>
    <row r="279" spans="1:6">
      <c r="A279" s="49"/>
      <c r="D279" t="str">
        <f>IFERROR(XLOOKUP(C279,'Master Barang'!$A:$A,'Master Barang'!$B:$B,""),"")</f>
        <v/>
      </c>
      <c r="E279" s="52"/>
      <c r="F279" t="str">
        <f>IFERROR(XLOOKUP(C279,'Master Barang'!$A:$A,'Master Barang'!$D:$D,""),"")</f>
        <v/>
      </c>
    </row>
    <row r="280" spans="1:6">
      <c r="A280" s="49"/>
      <c r="D280" t="str">
        <f>IFERROR(XLOOKUP(C280,'Master Barang'!$A:$A,'Master Barang'!$B:$B,""),"")</f>
        <v/>
      </c>
      <c r="E280" s="52"/>
      <c r="F280" t="str">
        <f>IFERROR(XLOOKUP(C280,'Master Barang'!$A:$A,'Master Barang'!$D:$D,""),"")</f>
        <v/>
      </c>
    </row>
    <row r="281" spans="1:6">
      <c r="A281" s="49"/>
      <c r="D281" t="str">
        <f>IFERROR(XLOOKUP(C281,'Master Barang'!$A:$A,'Master Barang'!$B:$B,""),"")</f>
        <v/>
      </c>
      <c r="E281" s="52"/>
      <c r="F281" t="str">
        <f>IFERROR(XLOOKUP(C281,'Master Barang'!$A:$A,'Master Barang'!$D:$D,""),"")</f>
        <v/>
      </c>
    </row>
    <row r="282" spans="1:6">
      <c r="A282" s="49"/>
      <c r="D282" t="str">
        <f>IFERROR(XLOOKUP(C282,'Master Barang'!$A:$A,'Master Barang'!$B:$B,""),"")</f>
        <v/>
      </c>
      <c r="E282" s="52"/>
      <c r="F282" t="str">
        <f>IFERROR(XLOOKUP(C282,'Master Barang'!$A:$A,'Master Barang'!$D:$D,""),"")</f>
        <v/>
      </c>
    </row>
    <row r="283" spans="1:6">
      <c r="A283" s="49"/>
      <c r="D283" t="str">
        <f>IFERROR(XLOOKUP(C283,'Master Barang'!$A:$A,'Master Barang'!$B:$B,""),"")</f>
        <v/>
      </c>
      <c r="E283" s="52"/>
      <c r="F283" t="str">
        <f>IFERROR(XLOOKUP(C283,'Master Barang'!$A:$A,'Master Barang'!$D:$D,""),"")</f>
        <v/>
      </c>
    </row>
    <row r="284" spans="1:6">
      <c r="A284" s="49"/>
      <c r="D284" t="str">
        <f>IFERROR(XLOOKUP(C284,'Master Barang'!$A:$A,'Master Barang'!$B:$B,""),"")</f>
        <v/>
      </c>
      <c r="E284" s="52"/>
      <c r="F284" t="str">
        <f>IFERROR(XLOOKUP(C284,'Master Barang'!$A:$A,'Master Barang'!$D:$D,""),"")</f>
        <v/>
      </c>
    </row>
    <row r="285" spans="1:6">
      <c r="A285" s="49"/>
      <c r="D285" t="str">
        <f>IFERROR(XLOOKUP(C285,'Master Barang'!$A:$A,'Master Barang'!$B:$B,""),"")</f>
        <v/>
      </c>
      <c r="E285" s="52"/>
      <c r="F285" t="str">
        <f>IFERROR(XLOOKUP(C285,'Master Barang'!$A:$A,'Master Barang'!$D:$D,""),"")</f>
        <v/>
      </c>
    </row>
    <row r="286" spans="1:6">
      <c r="A286" s="49"/>
      <c r="D286" t="str">
        <f>IFERROR(XLOOKUP(C286,'Master Barang'!$A:$A,'Master Barang'!$B:$B,""),"")</f>
        <v/>
      </c>
      <c r="E286" s="52"/>
      <c r="F286" t="str">
        <f>IFERROR(XLOOKUP(C286,'Master Barang'!$A:$A,'Master Barang'!$D:$D,""),"")</f>
        <v/>
      </c>
    </row>
    <row r="287" spans="1:6">
      <c r="A287" s="49"/>
      <c r="D287" t="str">
        <f>IFERROR(XLOOKUP(C287,'Master Barang'!$A:$A,'Master Barang'!$B:$B,""),"")</f>
        <v/>
      </c>
      <c r="E287" s="52"/>
      <c r="F287" t="str">
        <f>IFERROR(XLOOKUP(C287,'Master Barang'!$A:$A,'Master Barang'!$D:$D,""),"")</f>
        <v/>
      </c>
    </row>
    <row r="288" spans="1:6">
      <c r="A288" s="49"/>
      <c r="D288" t="str">
        <f>IFERROR(XLOOKUP(C288,'Master Barang'!$A:$A,'Master Barang'!$B:$B,""),"")</f>
        <v/>
      </c>
      <c r="E288" s="52"/>
      <c r="F288" t="str">
        <f>IFERROR(XLOOKUP(C288,'Master Barang'!$A:$A,'Master Barang'!$D:$D,""),"")</f>
        <v/>
      </c>
    </row>
    <row r="289" spans="1:6">
      <c r="A289" s="49"/>
      <c r="D289" t="str">
        <f>IFERROR(XLOOKUP(C289,'Master Barang'!$A:$A,'Master Barang'!$B:$B,""),"")</f>
        <v/>
      </c>
      <c r="E289" s="52"/>
      <c r="F289" t="str">
        <f>IFERROR(XLOOKUP(C289,'Master Barang'!$A:$A,'Master Barang'!$D:$D,""),"")</f>
        <v/>
      </c>
    </row>
    <row r="290" spans="1:6">
      <c r="A290" s="49"/>
      <c r="D290" t="str">
        <f>IFERROR(XLOOKUP(C290,'Master Barang'!$A:$A,'Master Barang'!$B:$B,""),"")</f>
        <v/>
      </c>
      <c r="E290" s="52"/>
      <c r="F290" t="str">
        <f>IFERROR(XLOOKUP(C290,'Master Barang'!$A:$A,'Master Barang'!$D:$D,""),"")</f>
        <v/>
      </c>
    </row>
    <row r="291" spans="1:6">
      <c r="A291" s="49"/>
      <c r="D291" t="str">
        <f>IFERROR(XLOOKUP(C291,'Master Barang'!$A:$A,'Master Barang'!$B:$B,""),"")</f>
        <v/>
      </c>
      <c r="E291" s="52"/>
      <c r="F291" t="str">
        <f>IFERROR(XLOOKUP(C291,'Master Barang'!$A:$A,'Master Barang'!$D:$D,""),"")</f>
        <v/>
      </c>
    </row>
    <row r="292" spans="1:6">
      <c r="A292" s="49"/>
      <c r="D292" t="str">
        <f>IFERROR(XLOOKUP(C292,'Master Barang'!$A:$A,'Master Barang'!$B:$B,""),"")</f>
        <v/>
      </c>
      <c r="E292" s="52"/>
      <c r="F292" t="str">
        <f>IFERROR(XLOOKUP(C292,'Master Barang'!$A:$A,'Master Barang'!$D:$D,""),"")</f>
        <v/>
      </c>
    </row>
    <row r="293" spans="1:6">
      <c r="A293" s="49"/>
      <c r="D293" t="str">
        <f>IFERROR(XLOOKUP(C293,'Master Barang'!$A:$A,'Master Barang'!$B:$B,""),"")</f>
        <v/>
      </c>
      <c r="E293" s="52"/>
      <c r="F293" t="str">
        <f>IFERROR(XLOOKUP(C293,'Master Barang'!$A:$A,'Master Barang'!$D:$D,""),"")</f>
        <v/>
      </c>
    </row>
    <row r="294" spans="1:6">
      <c r="A294" s="49"/>
      <c r="D294" t="str">
        <f>IFERROR(XLOOKUP(C294,'Master Barang'!$A:$A,'Master Barang'!$B:$B,""),"")</f>
        <v/>
      </c>
      <c r="E294" s="52"/>
      <c r="F294" t="str">
        <f>IFERROR(XLOOKUP(C294,'Master Barang'!$A:$A,'Master Barang'!$D:$D,""),"")</f>
        <v/>
      </c>
    </row>
    <row r="295" spans="1:6">
      <c r="A295" s="49"/>
      <c r="D295" t="str">
        <f>IFERROR(XLOOKUP(C295,'Master Barang'!$A:$A,'Master Barang'!$B:$B,""),"")</f>
        <v/>
      </c>
      <c r="E295" s="52"/>
      <c r="F295" t="str">
        <f>IFERROR(XLOOKUP(C295,'Master Barang'!$A:$A,'Master Barang'!$D:$D,""),"")</f>
        <v/>
      </c>
    </row>
    <row r="296" spans="1:6">
      <c r="A296" s="49"/>
      <c r="D296" t="str">
        <f>IFERROR(XLOOKUP(C296,'Master Barang'!$A:$A,'Master Barang'!$B:$B,""),"")</f>
        <v/>
      </c>
      <c r="E296" s="52"/>
      <c r="F296" t="str">
        <f>IFERROR(XLOOKUP(C296,'Master Barang'!$A:$A,'Master Barang'!$D:$D,""),"")</f>
        <v/>
      </c>
    </row>
    <row r="297" spans="1:6">
      <c r="A297" s="49"/>
      <c r="D297" t="str">
        <f>IFERROR(XLOOKUP(C297,'Master Barang'!$A:$A,'Master Barang'!$B:$B,""),"")</f>
        <v/>
      </c>
      <c r="E297" s="52"/>
      <c r="F297" t="str">
        <f>IFERROR(XLOOKUP(C297,'Master Barang'!$A:$A,'Master Barang'!$D:$D,""),"")</f>
        <v/>
      </c>
    </row>
    <row r="298" spans="1:6">
      <c r="A298" s="49"/>
      <c r="D298" t="str">
        <f>IFERROR(XLOOKUP(C298,'Master Barang'!$A:$A,'Master Barang'!$B:$B,""),"")</f>
        <v/>
      </c>
      <c r="E298" s="52"/>
      <c r="F298" t="str">
        <f>IFERROR(XLOOKUP(C298,'Master Barang'!$A:$A,'Master Barang'!$D:$D,""),"")</f>
        <v/>
      </c>
    </row>
    <row r="299" spans="1:6">
      <c r="A299" s="49"/>
      <c r="D299" t="str">
        <f>IFERROR(XLOOKUP(C299,'Master Barang'!$A:$A,'Master Barang'!$B:$B,""),"")</f>
        <v/>
      </c>
      <c r="E299" s="52"/>
      <c r="F299" t="str">
        <f>IFERROR(XLOOKUP(C299,'Master Barang'!$A:$A,'Master Barang'!$D:$D,""),"")</f>
        <v/>
      </c>
    </row>
    <row r="300" spans="1:6">
      <c r="A300" s="49"/>
      <c r="D300" t="str">
        <f>IFERROR(XLOOKUP(C300,'Master Barang'!$A:$A,'Master Barang'!$B:$B,""),"")</f>
        <v/>
      </c>
      <c r="E300" s="52"/>
      <c r="F300" t="str">
        <f>IFERROR(XLOOKUP(C300,'Master Barang'!$A:$A,'Master Barang'!$D:$D,""),"")</f>
        <v/>
      </c>
    </row>
    <row r="301" spans="1:6">
      <c r="A301" s="49"/>
      <c r="D301" t="str">
        <f>IFERROR(XLOOKUP(C301,'Master Barang'!$A:$A,'Master Barang'!$B:$B,""),"")</f>
        <v/>
      </c>
      <c r="E301" s="52"/>
      <c r="F301" t="str">
        <f>IFERROR(XLOOKUP(C301,'Master Barang'!$A:$A,'Master Barang'!$D:$D,""),"")</f>
        <v/>
      </c>
    </row>
    <row r="302" spans="1:6">
      <c r="A302" s="49"/>
      <c r="D302" t="str">
        <f>IFERROR(XLOOKUP(C302,'Master Barang'!$A:$A,'Master Barang'!$B:$B,""),"")</f>
        <v/>
      </c>
      <c r="E302" s="52"/>
      <c r="F302" t="str">
        <f>IFERROR(XLOOKUP(C302,'Master Barang'!$A:$A,'Master Barang'!$D:$D,""),"")</f>
        <v/>
      </c>
    </row>
    <row r="303" spans="1:6">
      <c r="A303" s="49"/>
      <c r="D303" t="str">
        <f>IFERROR(XLOOKUP(C303,'Master Barang'!$A:$A,'Master Barang'!$B:$B,""),"")</f>
        <v/>
      </c>
      <c r="E303" s="52"/>
      <c r="F303" t="str">
        <f>IFERROR(XLOOKUP(C303,'Master Barang'!$A:$A,'Master Barang'!$D:$D,""),"")</f>
        <v/>
      </c>
    </row>
    <row r="304" spans="1:6">
      <c r="A304" s="49"/>
      <c r="D304" t="str">
        <f>IFERROR(XLOOKUP(C304,'Master Barang'!$A:$A,'Master Barang'!$B:$B,""),"")</f>
        <v/>
      </c>
      <c r="E304" s="52"/>
      <c r="F304" t="str">
        <f>IFERROR(XLOOKUP(C304,'Master Barang'!$A:$A,'Master Barang'!$D:$D,""),"")</f>
        <v/>
      </c>
    </row>
    <row r="305" spans="1:6">
      <c r="A305" s="49"/>
      <c r="D305" t="str">
        <f>IFERROR(XLOOKUP(C305,'Master Barang'!$A:$A,'Master Barang'!$B:$B,""),"")</f>
        <v/>
      </c>
      <c r="E305" s="52"/>
      <c r="F305" t="str">
        <f>IFERROR(XLOOKUP(C305,'Master Barang'!$A:$A,'Master Barang'!$D:$D,""),"")</f>
        <v/>
      </c>
    </row>
    <row r="306" spans="1:6">
      <c r="A306" s="49"/>
      <c r="D306" t="str">
        <f>IFERROR(XLOOKUP(C306,'Master Barang'!$A:$A,'Master Barang'!$B:$B,""),"")</f>
        <v/>
      </c>
      <c r="E306" s="52"/>
      <c r="F306" t="str">
        <f>IFERROR(XLOOKUP(C306,'Master Barang'!$A:$A,'Master Barang'!$D:$D,""),"")</f>
        <v/>
      </c>
    </row>
    <row r="307" spans="1:6">
      <c r="A307" s="49"/>
      <c r="D307" t="str">
        <f>IFERROR(XLOOKUP(C307,'Master Barang'!$A:$A,'Master Barang'!$B:$B,""),"")</f>
        <v/>
      </c>
      <c r="E307" s="52"/>
      <c r="F307" t="str">
        <f>IFERROR(XLOOKUP(C307,'Master Barang'!$A:$A,'Master Barang'!$D:$D,""),"")</f>
        <v/>
      </c>
    </row>
    <row r="308" spans="1:6">
      <c r="A308" s="49"/>
      <c r="D308" t="str">
        <f>IFERROR(XLOOKUP(C308,'Master Barang'!$A:$A,'Master Barang'!$B:$B,""),"")</f>
        <v/>
      </c>
      <c r="E308" s="52"/>
      <c r="F308" t="str">
        <f>IFERROR(XLOOKUP(C308,'Master Barang'!$A:$A,'Master Barang'!$D:$D,""),"")</f>
        <v/>
      </c>
    </row>
    <row r="309" spans="1:6">
      <c r="A309" s="49"/>
      <c r="D309" t="str">
        <f>IFERROR(XLOOKUP(C309,'Master Barang'!$A:$A,'Master Barang'!$B:$B,""),"")</f>
        <v/>
      </c>
      <c r="E309" s="52"/>
      <c r="F309" t="str">
        <f>IFERROR(XLOOKUP(C309,'Master Barang'!$A:$A,'Master Barang'!$D:$D,""),"")</f>
        <v/>
      </c>
    </row>
    <row r="310" spans="1:6">
      <c r="A310" s="49"/>
      <c r="D310" t="str">
        <f>IFERROR(XLOOKUP(C310,'Master Barang'!$A:$A,'Master Barang'!$B:$B,""),"")</f>
        <v/>
      </c>
      <c r="E310" s="52"/>
      <c r="F310" t="str">
        <f>IFERROR(XLOOKUP(C310,'Master Barang'!$A:$A,'Master Barang'!$D:$D,""),"")</f>
        <v/>
      </c>
    </row>
    <row r="311" spans="1:6">
      <c r="A311" s="49"/>
      <c r="D311" t="str">
        <f>IFERROR(XLOOKUP(C311,'Master Barang'!$A:$A,'Master Barang'!$B:$B,""),"")</f>
        <v/>
      </c>
      <c r="E311" s="52"/>
      <c r="F311" t="str">
        <f>IFERROR(XLOOKUP(C311,'Master Barang'!$A:$A,'Master Barang'!$D:$D,""),"")</f>
        <v/>
      </c>
    </row>
    <row r="312" spans="1:6">
      <c r="A312" s="49"/>
      <c r="D312" t="str">
        <f>IFERROR(XLOOKUP(C312,'Master Barang'!$A:$A,'Master Barang'!$B:$B,""),"")</f>
        <v/>
      </c>
      <c r="E312" s="52"/>
      <c r="F312" t="str">
        <f>IFERROR(XLOOKUP(C312,'Master Barang'!$A:$A,'Master Barang'!$D:$D,""),"")</f>
        <v/>
      </c>
    </row>
    <row r="313" spans="1:6">
      <c r="A313" s="49"/>
      <c r="D313" t="str">
        <f>IFERROR(XLOOKUP(C313,'Master Barang'!$A:$A,'Master Barang'!$B:$B,""),"")</f>
        <v/>
      </c>
      <c r="E313" s="52"/>
      <c r="F313" t="str">
        <f>IFERROR(XLOOKUP(C313,'Master Barang'!$A:$A,'Master Barang'!$D:$D,""),"")</f>
        <v/>
      </c>
    </row>
    <row r="314" spans="1:6">
      <c r="A314" s="49"/>
      <c r="D314" t="str">
        <f>IFERROR(XLOOKUP(C314,'Master Barang'!$A:$A,'Master Barang'!$B:$B,""),"")</f>
        <v/>
      </c>
      <c r="E314" s="52"/>
      <c r="F314" t="str">
        <f>IFERROR(XLOOKUP(C314,'Master Barang'!$A:$A,'Master Barang'!$D:$D,""),"")</f>
        <v/>
      </c>
    </row>
    <row r="315" spans="1:6">
      <c r="A315" s="49"/>
      <c r="D315" t="str">
        <f>IFERROR(XLOOKUP(C315,'Master Barang'!$A:$A,'Master Barang'!$B:$B,""),"")</f>
        <v/>
      </c>
      <c r="E315" s="52"/>
      <c r="F315" t="str">
        <f>IFERROR(XLOOKUP(C315,'Master Barang'!$A:$A,'Master Barang'!$D:$D,""),"")</f>
        <v/>
      </c>
    </row>
    <row r="316" spans="1:6">
      <c r="A316" s="49"/>
      <c r="D316" t="str">
        <f>IFERROR(XLOOKUP(C316,'Master Barang'!$A:$A,'Master Barang'!$B:$B,""),"")</f>
        <v/>
      </c>
      <c r="E316" s="52"/>
      <c r="F316" t="str">
        <f>IFERROR(XLOOKUP(C316,'Master Barang'!$A:$A,'Master Barang'!$D:$D,""),"")</f>
        <v/>
      </c>
    </row>
    <row r="317" spans="1:6">
      <c r="A317" s="49"/>
      <c r="D317" t="str">
        <f>IFERROR(XLOOKUP(C317,'Master Barang'!$A:$A,'Master Barang'!$B:$B,""),"")</f>
        <v/>
      </c>
      <c r="E317" s="52"/>
      <c r="F317" t="str">
        <f>IFERROR(XLOOKUP(C317,'Master Barang'!$A:$A,'Master Barang'!$D:$D,""),"")</f>
        <v/>
      </c>
    </row>
    <row r="318" spans="1:6">
      <c r="A318" s="49"/>
      <c r="D318" t="str">
        <f>IFERROR(XLOOKUP(C318,'Master Barang'!$A:$A,'Master Barang'!$B:$B,""),"")</f>
        <v/>
      </c>
      <c r="E318" s="52"/>
      <c r="F318" t="str">
        <f>IFERROR(XLOOKUP(C318,'Master Barang'!$A:$A,'Master Barang'!$D:$D,""),"")</f>
        <v/>
      </c>
    </row>
    <row r="319" spans="1:6">
      <c r="A319" s="49"/>
      <c r="D319" t="str">
        <f>IFERROR(XLOOKUP(C319,'Master Barang'!$A:$A,'Master Barang'!$B:$B,""),"")</f>
        <v/>
      </c>
      <c r="E319" s="52"/>
      <c r="F319" t="str">
        <f>IFERROR(XLOOKUP(C319,'Master Barang'!$A:$A,'Master Barang'!$D:$D,""),"")</f>
        <v/>
      </c>
    </row>
    <row r="320" spans="1:6">
      <c r="A320" s="49"/>
      <c r="D320" t="str">
        <f>IFERROR(XLOOKUP(C320,'Master Barang'!$A:$A,'Master Barang'!$B:$B,""),"")</f>
        <v/>
      </c>
      <c r="E320" s="52"/>
      <c r="F320" t="str">
        <f>IFERROR(XLOOKUP(C320,'Master Barang'!$A:$A,'Master Barang'!$D:$D,""),"")</f>
        <v/>
      </c>
    </row>
    <row r="321" spans="1:6">
      <c r="A321" s="49"/>
      <c r="D321" t="str">
        <f>IFERROR(XLOOKUP(C321,'Master Barang'!$A:$A,'Master Barang'!$B:$B,""),"")</f>
        <v/>
      </c>
      <c r="E321" s="52"/>
      <c r="F321" t="str">
        <f>IFERROR(XLOOKUP(C321,'Master Barang'!$A:$A,'Master Barang'!$D:$D,""),"")</f>
        <v/>
      </c>
    </row>
    <row r="322" spans="1:6">
      <c r="A322" s="49"/>
      <c r="D322" t="str">
        <f>IFERROR(XLOOKUP(C322,'Master Barang'!$A:$A,'Master Barang'!$B:$B,""),"")</f>
        <v/>
      </c>
      <c r="E322" s="52"/>
      <c r="F322" t="str">
        <f>IFERROR(XLOOKUP(C322,'Master Barang'!$A:$A,'Master Barang'!$D:$D,""),"")</f>
        <v/>
      </c>
    </row>
    <row r="323" spans="1:6">
      <c r="A323" s="49"/>
      <c r="D323" t="str">
        <f>IFERROR(XLOOKUP(C323,'Master Barang'!$A:$A,'Master Barang'!$B:$B,""),"")</f>
        <v/>
      </c>
      <c r="E323" s="52"/>
      <c r="F323" t="str">
        <f>IFERROR(XLOOKUP(C323,'Master Barang'!$A:$A,'Master Barang'!$D:$D,""),"")</f>
        <v/>
      </c>
    </row>
    <row r="324" spans="1:6">
      <c r="A324" s="49"/>
      <c r="D324" t="str">
        <f>IFERROR(XLOOKUP(C324,'Master Barang'!$A:$A,'Master Barang'!$B:$B,""),"")</f>
        <v/>
      </c>
      <c r="E324" s="52"/>
      <c r="F324" t="str">
        <f>IFERROR(XLOOKUP(C324,'Master Barang'!$A:$A,'Master Barang'!$D:$D,""),"")</f>
        <v/>
      </c>
    </row>
    <row r="325" spans="1:6">
      <c r="A325" s="49"/>
      <c r="D325" t="str">
        <f>IFERROR(XLOOKUP(C325,'Master Barang'!$A:$A,'Master Barang'!$B:$B,""),"")</f>
        <v/>
      </c>
      <c r="E325" s="52"/>
      <c r="F325" t="str">
        <f>IFERROR(XLOOKUP(C325,'Master Barang'!$A:$A,'Master Barang'!$D:$D,""),"")</f>
        <v/>
      </c>
    </row>
    <row r="326" spans="1:6">
      <c r="A326" s="49"/>
      <c r="D326" t="str">
        <f>IFERROR(XLOOKUP(C326,'Master Barang'!$A:$A,'Master Barang'!$B:$B,""),"")</f>
        <v/>
      </c>
      <c r="E326" s="52"/>
      <c r="F326" t="str">
        <f>IFERROR(XLOOKUP(C326,'Master Barang'!$A:$A,'Master Barang'!$D:$D,""),"")</f>
        <v/>
      </c>
    </row>
    <row r="327" spans="1:6">
      <c r="A327" s="49"/>
      <c r="D327" t="str">
        <f>IFERROR(XLOOKUP(C327,'Master Barang'!$A:$A,'Master Barang'!$B:$B,""),"")</f>
        <v/>
      </c>
      <c r="E327" s="52"/>
      <c r="F327" t="str">
        <f>IFERROR(XLOOKUP(C327,'Master Barang'!$A:$A,'Master Barang'!$D:$D,""),"")</f>
        <v/>
      </c>
    </row>
    <row r="328" spans="1:6">
      <c r="A328" s="49"/>
      <c r="D328" t="str">
        <f>IFERROR(XLOOKUP(C328,'Master Barang'!$A:$A,'Master Barang'!$B:$B,""),"")</f>
        <v/>
      </c>
      <c r="E328" s="52"/>
      <c r="F328" t="str">
        <f>IFERROR(XLOOKUP(C328,'Master Barang'!$A:$A,'Master Barang'!$D:$D,""),"")</f>
        <v/>
      </c>
    </row>
    <row r="329" spans="1:6">
      <c r="A329" s="49"/>
      <c r="D329" t="str">
        <f>IFERROR(XLOOKUP(C329,'Master Barang'!$A:$A,'Master Barang'!$B:$B,""),"")</f>
        <v/>
      </c>
      <c r="E329" s="52"/>
      <c r="F329" t="str">
        <f>IFERROR(XLOOKUP(C329,'Master Barang'!$A:$A,'Master Barang'!$D:$D,""),"")</f>
        <v/>
      </c>
    </row>
    <row r="330" spans="1:6">
      <c r="A330" s="49"/>
      <c r="D330" t="str">
        <f>IFERROR(XLOOKUP(C330,'Master Barang'!$A:$A,'Master Barang'!$B:$B,""),"")</f>
        <v/>
      </c>
      <c r="E330" s="52"/>
      <c r="F330" t="str">
        <f>IFERROR(XLOOKUP(C330,'Master Barang'!$A:$A,'Master Barang'!$D:$D,""),"")</f>
        <v/>
      </c>
    </row>
    <row r="331" spans="1:6">
      <c r="A331" s="49"/>
      <c r="D331" t="str">
        <f>IFERROR(XLOOKUP(C331,'Master Barang'!$A:$A,'Master Barang'!$B:$B,""),"")</f>
        <v/>
      </c>
      <c r="E331" s="52"/>
      <c r="F331" t="str">
        <f>IFERROR(XLOOKUP(C331,'Master Barang'!$A:$A,'Master Barang'!$D:$D,""),"")</f>
        <v/>
      </c>
    </row>
    <row r="332" spans="1:6">
      <c r="A332" s="49"/>
      <c r="D332" t="str">
        <f>IFERROR(XLOOKUP(C332,'Master Barang'!$A:$A,'Master Barang'!$B:$B,""),"")</f>
        <v/>
      </c>
      <c r="E332" s="52"/>
      <c r="F332" t="str">
        <f>IFERROR(XLOOKUP(C332,'Master Barang'!$A:$A,'Master Barang'!$D:$D,""),"")</f>
        <v/>
      </c>
    </row>
    <row r="333" spans="1:6">
      <c r="A333" s="49"/>
      <c r="D333" t="str">
        <f>IFERROR(XLOOKUP(C333,'Master Barang'!$A:$A,'Master Barang'!$B:$B,""),"")</f>
        <v/>
      </c>
      <c r="E333" s="52"/>
      <c r="F333" t="str">
        <f>IFERROR(XLOOKUP(C333,'Master Barang'!$A:$A,'Master Barang'!$D:$D,""),"")</f>
        <v/>
      </c>
    </row>
    <row r="334" spans="1:6">
      <c r="A334" s="49"/>
      <c r="D334" t="str">
        <f>IFERROR(XLOOKUP(C334,'Master Barang'!$A:$A,'Master Barang'!$B:$B,""),"")</f>
        <v/>
      </c>
      <c r="E334" s="52"/>
      <c r="F334" t="str">
        <f>IFERROR(XLOOKUP(C334,'Master Barang'!$A:$A,'Master Barang'!$D:$D,""),"")</f>
        <v/>
      </c>
    </row>
    <row r="335" spans="1:6">
      <c r="A335" s="49"/>
      <c r="D335" t="str">
        <f>IFERROR(XLOOKUP(C335,'Master Barang'!$A:$A,'Master Barang'!$B:$B,""),"")</f>
        <v/>
      </c>
      <c r="E335" s="52"/>
      <c r="F335" t="str">
        <f>IFERROR(XLOOKUP(C335,'Master Barang'!$A:$A,'Master Barang'!$D:$D,""),"")</f>
        <v/>
      </c>
    </row>
    <row r="336" spans="1:6">
      <c r="A336" s="49"/>
      <c r="D336" t="str">
        <f>IFERROR(XLOOKUP(C336,'Master Barang'!$A:$A,'Master Barang'!$B:$B,""),"")</f>
        <v/>
      </c>
      <c r="E336" s="52"/>
      <c r="F336" t="str">
        <f>IFERROR(XLOOKUP(C336,'Master Barang'!$A:$A,'Master Barang'!$D:$D,""),"")</f>
        <v/>
      </c>
    </row>
    <row r="337" spans="1:6">
      <c r="A337" s="49"/>
      <c r="D337" t="str">
        <f>IFERROR(XLOOKUP(C337,'Master Barang'!$A:$A,'Master Barang'!$B:$B,""),"")</f>
        <v/>
      </c>
      <c r="E337" s="52"/>
      <c r="F337" t="str">
        <f>IFERROR(XLOOKUP(C337,'Master Barang'!$A:$A,'Master Barang'!$D:$D,""),"")</f>
        <v/>
      </c>
    </row>
    <row r="338" spans="1:6">
      <c r="A338" s="49"/>
      <c r="D338" t="str">
        <f>IFERROR(XLOOKUP(C338,'Master Barang'!$A:$A,'Master Barang'!$B:$B,""),"")</f>
        <v/>
      </c>
      <c r="E338" s="52"/>
      <c r="F338" t="str">
        <f>IFERROR(XLOOKUP(C338,'Master Barang'!$A:$A,'Master Barang'!$D:$D,""),"")</f>
        <v/>
      </c>
    </row>
    <row r="339" spans="1:6">
      <c r="A339" s="49"/>
      <c r="D339" t="str">
        <f>IFERROR(XLOOKUP(C339,'Master Barang'!$A:$A,'Master Barang'!$B:$B,""),"")</f>
        <v/>
      </c>
      <c r="E339" s="52"/>
      <c r="F339" t="str">
        <f>IFERROR(XLOOKUP(C339,'Master Barang'!$A:$A,'Master Barang'!$D:$D,""),"")</f>
        <v/>
      </c>
    </row>
    <row r="340" spans="1:6">
      <c r="A340" s="49"/>
      <c r="D340" t="str">
        <f>IFERROR(XLOOKUP(C340,'Master Barang'!$A:$A,'Master Barang'!$B:$B,""),"")</f>
        <v/>
      </c>
      <c r="E340" s="52"/>
      <c r="F340" t="str">
        <f>IFERROR(XLOOKUP(C340,'Master Barang'!$A:$A,'Master Barang'!$D:$D,""),"")</f>
        <v/>
      </c>
    </row>
    <row r="341" spans="1:6">
      <c r="A341" s="49"/>
      <c r="D341" t="str">
        <f>IFERROR(XLOOKUP(C341,'Master Barang'!$A:$A,'Master Barang'!$B:$B,""),"")</f>
        <v/>
      </c>
      <c r="E341" s="52"/>
      <c r="F341" t="str">
        <f>IFERROR(XLOOKUP(C341,'Master Barang'!$A:$A,'Master Barang'!$D:$D,""),"")</f>
        <v/>
      </c>
    </row>
    <row r="342" spans="1:6">
      <c r="A342" s="49"/>
      <c r="D342" t="str">
        <f>IFERROR(XLOOKUP(C342,'Master Barang'!$A:$A,'Master Barang'!$B:$B,""),"")</f>
        <v/>
      </c>
      <c r="E342" s="52"/>
      <c r="F342" t="str">
        <f>IFERROR(XLOOKUP(C342,'Master Barang'!$A:$A,'Master Barang'!$D:$D,""),"")</f>
        <v/>
      </c>
    </row>
    <row r="343" spans="1:6">
      <c r="A343" s="49"/>
      <c r="D343" t="str">
        <f>IFERROR(XLOOKUP(C343,'Master Barang'!$A:$A,'Master Barang'!$B:$B,""),"")</f>
        <v/>
      </c>
      <c r="E343" s="52"/>
      <c r="F343" t="str">
        <f>IFERROR(XLOOKUP(C343,'Master Barang'!$A:$A,'Master Barang'!$D:$D,""),"")</f>
        <v/>
      </c>
    </row>
    <row r="344" spans="1:6">
      <c r="A344" s="49"/>
      <c r="D344" t="str">
        <f>IFERROR(XLOOKUP(C344,'Master Barang'!$A:$A,'Master Barang'!$B:$B,""),"")</f>
        <v/>
      </c>
      <c r="E344" s="52"/>
      <c r="F344" t="str">
        <f>IFERROR(XLOOKUP(C344,'Master Barang'!$A:$A,'Master Barang'!$D:$D,""),"")</f>
        <v/>
      </c>
    </row>
    <row r="345" spans="1:6">
      <c r="A345" s="49"/>
      <c r="D345" t="str">
        <f>IFERROR(XLOOKUP(C345,'Master Barang'!$A:$A,'Master Barang'!$B:$B,""),"")</f>
        <v/>
      </c>
      <c r="E345" s="52"/>
      <c r="F345" t="str">
        <f>IFERROR(XLOOKUP(C345,'Master Barang'!$A:$A,'Master Barang'!$D:$D,""),"")</f>
        <v/>
      </c>
    </row>
    <row r="346" spans="1:6">
      <c r="A346" s="49"/>
      <c r="D346" t="str">
        <f>IFERROR(XLOOKUP(C346,'Master Barang'!$A:$A,'Master Barang'!$B:$B,""),"")</f>
        <v/>
      </c>
      <c r="E346" s="52"/>
      <c r="F346" t="str">
        <f>IFERROR(XLOOKUP(C346,'Master Barang'!$A:$A,'Master Barang'!$D:$D,""),"")</f>
        <v/>
      </c>
    </row>
    <row r="347" spans="1:6">
      <c r="A347" s="49"/>
      <c r="D347" t="str">
        <f>IFERROR(XLOOKUP(C347,'Master Barang'!$A:$A,'Master Barang'!$B:$B,""),"")</f>
        <v/>
      </c>
      <c r="E347" s="52"/>
      <c r="F347" t="str">
        <f>IFERROR(XLOOKUP(C347,'Master Barang'!$A:$A,'Master Barang'!$D:$D,""),"")</f>
        <v/>
      </c>
    </row>
    <row r="348" spans="1:6">
      <c r="A348" s="49"/>
      <c r="D348" t="str">
        <f>IFERROR(XLOOKUP(C348,'Master Barang'!$A:$A,'Master Barang'!$B:$B,""),"")</f>
        <v/>
      </c>
      <c r="E348" s="52"/>
      <c r="F348" t="str">
        <f>IFERROR(XLOOKUP(C348,'Master Barang'!$A:$A,'Master Barang'!$D:$D,""),"")</f>
        <v/>
      </c>
    </row>
    <row r="349" spans="1:6">
      <c r="A349" s="49"/>
      <c r="D349" t="str">
        <f>IFERROR(XLOOKUP(C349,'Master Barang'!$A:$A,'Master Barang'!$B:$B,""),"")</f>
        <v/>
      </c>
      <c r="E349" s="52"/>
      <c r="F349" t="str">
        <f>IFERROR(XLOOKUP(C349,'Master Barang'!$A:$A,'Master Barang'!$D:$D,""),"")</f>
        <v/>
      </c>
    </row>
    <row r="350" spans="1:6">
      <c r="A350" s="49"/>
      <c r="D350" t="str">
        <f>IFERROR(XLOOKUP(C350,'Master Barang'!$A:$A,'Master Barang'!$B:$B,""),"")</f>
        <v/>
      </c>
      <c r="E350" s="52"/>
      <c r="F350" t="str">
        <f>IFERROR(XLOOKUP(C350,'Master Barang'!$A:$A,'Master Barang'!$D:$D,""),"")</f>
        <v/>
      </c>
    </row>
    <row r="351" spans="1:6">
      <c r="A351" s="49"/>
      <c r="D351" t="str">
        <f>IFERROR(XLOOKUP(C351,'Master Barang'!$A:$A,'Master Barang'!$B:$B,""),"")</f>
        <v/>
      </c>
      <c r="E351" s="52"/>
      <c r="F351" t="str">
        <f>IFERROR(XLOOKUP(C351,'Master Barang'!$A:$A,'Master Barang'!$D:$D,""),"")</f>
        <v/>
      </c>
    </row>
    <row r="352" spans="1:6">
      <c r="A352" s="49"/>
      <c r="D352" t="str">
        <f>IFERROR(XLOOKUP(C352,'Master Barang'!$A:$A,'Master Barang'!$B:$B,""),"")</f>
        <v/>
      </c>
      <c r="E352" s="52"/>
      <c r="F352" t="str">
        <f>IFERROR(XLOOKUP(C352,'Master Barang'!$A:$A,'Master Barang'!$D:$D,""),"")</f>
        <v/>
      </c>
    </row>
    <row r="353" spans="1:6">
      <c r="A353" s="49"/>
      <c r="D353" t="str">
        <f>IFERROR(XLOOKUP(C353,'Master Barang'!$A:$A,'Master Barang'!$B:$B,""),"")</f>
        <v/>
      </c>
      <c r="E353" s="52"/>
      <c r="F353" t="str">
        <f>IFERROR(XLOOKUP(C353,'Master Barang'!$A:$A,'Master Barang'!$D:$D,""),"")</f>
        <v/>
      </c>
    </row>
    <row r="354" spans="1:6">
      <c r="A354" s="49"/>
      <c r="D354" t="str">
        <f>IFERROR(XLOOKUP(C354,'Master Barang'!$A:$A,'Master Barang'!$B:$B,""),"")</f>
        <v/>
      </c>
      <c r="E354" s="52"/>
      <c r="F354" t="str">
        <f>IFERROR(XLOOKUP(C354,'Master Barang'!$A:$A,'Master Barang'!$D:$D,""),"")</f>
        <v/>
      </c>
    </row>
    <row r="355" spans="1:6">
      <c r="A355" s="49"/>
      <c r="D355" t="str">
        <f>IFERROR(XLOOKUP(C355,'Master Barang'!$A:$A,'Master Barang'!$B:$B,""),"")</f>
        <v/>
      </c>
      <c r="E355" s="52"/>
      <c r="F355" t="str">
        <f>IFERROR(XLOOKUP(C355,'Master Barang'!$A:$A,'Master Barang'!$D:$D,""),"")</f>
        <v/>
      </c>
    </row>
    <row r="356" spans="1:6">
      <c r="A356" s="49"/>
      <c r="D356" t="str">
        <f>IFERROR(XLOOKUP(C356,'Master Barang'!$A:$A,'Master Barang'!$B:$B,""),"")</f>
        <v/>
      </c>
      <c r="E356" s="52"/>
      <c r="F356" t="str">
        <f>IFERROR(XLOOKUP(C356,'Master Barang'!$A:$A,'Master Barang'!$D:$D,""),"")</f>
        <v/>
      </c>
    </row>
    <row r="357" spans="1:6">
      <c r="A357" s="49"/>
      <c r="D357" t="str">
        <f>IFERROR(XLOOKUP(C357,'Master Barang'!$A:$A,'Master Barang'!$B:$B,""),"")</f>
        <v/>
      </c>
      <c r="E357" s="52"/>
      <c r="F357" t="str">
        <f>IFERROR(XLOOKUP(C357,'Master Barang'!$A:$A,'Master Barang'!$D:$D,""),"")</f>
        <v/>
      </c>
    </row>
    <row r="358" spans="1:6">
      <c r="A358" s="49"/>
      <c r="D358" t="str">
        <f>IFERROR(XLOOKUP(C358,'Master Barang'!$A:$A,'Master Barang'!$B:$B,""),"")</f>
        <v/>
      </c>
      <c r="E358" s="52"/>
      <c r="F358" t="str">
        <f>IFERROR(XLOOKUP(C358,'Master Barang'!$A:$A,'Master Barang'!$D:$D,""),"")</f>
        <v/>
      </c>
    </row>
    <row r="359" spans="1:6">
      <c r="A359" s="49"/>
      <c r="D359" t="str">
        <f>IFERROR(XLOOKUP(C359,'Master Barang'!$A:$A,'Master Barang'!$B:$B,""),"")</f>
        <v/>
      </c>
      <c r="E359" s="52"/>
      <c r="F359" t="str">
        <f>IFERROR(XLOOKUP(C359,'Master Barang'!$A:$A,'Master Barang'!$D:$D,""),"")</f>
        <v/>
      </c>
    </row>
    <row r="360" spans="1:6">
      <c r="A360" s="49"/>
      <c r="D360" t="str">
        <f>IFERROR(XLOOKUP(C360,'Master Barang'!$A:$A,'Master Barang'!$B:$B,""),"")</f>
        <v/>
      </c>
      <c r="E360" s="52"/>
      <c r="F360" t="str">
        <f>IFERROR(XLOOKUP(C360,'Master Barang'!$A:$A,'Master Barang'!$D:$D,""),"")</f>
        <v/>
      </c>
    </row>
    <row r="361" spans="1:6">
      <c r="A361" s="49"/>
      <c r="D361" t="str">
        <f>IFERROR(XLOOKUP(C361,'Master Barang'!$A:$A,'Master Barang'!$B:$B,""),"")</f>
        <v/>
      </c>
      <c r="E361" s="52"/>
      <c r="F361" t="str">
        <f>IFERROR(XLOOKUP(C361,'Master Barang'!$A:$A,'Master Barang'!$D:$D,""),"")</f>
        <v/>
      </c>
    </row>
    <row r="362" spans="1:6">
      <c r="A362" s="49"/>
      <c r="D362" t="str">
        <f>IFERROR(XLOOKUP(C362,'Master Barang'!$A:$A,'Master Barang'!$B:$B,""),"")</f>
        <v/>
      </c>
      <c r="E362" s="52"/>
      <c r="F362" t="str">
        <f>IFERROR(XLOOKUP(C362,'Master Barang'!$A:$A,'Master Barang'!$D:$D,""),"")</f>
        <v/>
      </c>
    </row>
    <row r="363" spans="1:6">
      <c r="A363" s="49"/>
      <c r="D363" t="str">
        <f>IFERROR(XLOOKUP(C363,'Master Barang'!$A:$A,'Master Barang'!$B:$B,""),"")</f>
        <v/>
      </c>
      <c r="E363" s="52"/>
      <c r="F363" t="str">
        <f>IFERROR(XLOOKUP(C363,'Master Barang'!$A:$A,'Master Barang'!$D:$D,""),"")</f>
        <v/>
      </c>
    </row>
    <row r="364" spans="1:6">
      <c r="A364" s="49"/>
      <c r="D364" t="str">
        <f>IFERROR(XLOOKUP(C364,'Master Barang'!$A:$A,'Master Barang'!$B:$B,""),"")</f>
        <v/>
      </c>
      <c r="E364" s="52"/>
      <c r="F364" t="str">
        <f>IFERROR(XLOOKUP(C364,'Master Barang'!$A:$A,'Master Barang'!$D:$D,""),"")</f>
        <v/>
      </c>
    </row>
    <row r="365" spans="1:6">
      <c r="A365" s="49"/>
      <c r="D365" t="str">
        <f>IFERROR(XLOOKUP(C365,'Master Barang'!$A:$A,'Master Barang'!$B:$B,""),"")</f>
        <v/>
      </c>
      <c r="E365" s="52"/>
      <c r="F365" t="str">
        <f>IFERROR(XLOOKUP(C365,'Master Barang'!$A:$A,'Master Barang'!$D:$D,""),"")</f>
        <v/>
      </c>
    </row>
    <row r="366" spans="1:6">
      <c r="A366" s="49"/>
      <c r="D366" t="str">
        <f>IFERROR(XLOOKUP(C366,'Master Barang'!$A:$A,'Master Barang'!$B:$B,""),"")</f>
        <v/>
      </c>
      <c r="E366" s="52"/>
      <c r="F366" t="str">
        <f>IFERROR(XLOOKUP(C366,'Master Barang'!$A:$A,'Master Barang'!$D:$D,""),"")</f>
        <v/>
      </c>
    </row>
    <row r="367" spans="1:6">
      <c r="A367" s="49"/>
      <c r="D367" t="str">
        <f>IFERROR(XLOOKUP(C367,'Master Barang'!$A:$A,'Master Barang'!$B:$B,""),"")</f>
        <v/>
      </c>
      <c r="E367" s="52"/>
      <c r="F367" t="str">
        <f>IFERROR(XLOOKUP(C367,'Master Barang'!$A:$A,'Master Barang'!$D:$D,""),"")</f>
        <v/>
      </c>
    </row>
    <row r="368" spans="1:6">
      <c r="A368" s="49"/>
      <c r="D368" t="str">
        <f>IFERROR(XLOOKUP(C368,'Master Barang'!$A:$A,'Master Barang'!$B:$B,""),"")</f>
        <v/>
      </c>
      <c r="E368" s="52"/>
      <c r="F368" t="str">
        <f>IFERROR(XLOOKUP(C368,'Master Barang'!$A:$A,'Master Barang'!$D:$D,""),"")</f>
        <v/>
      </c>
    </row>
    <row r="369" spans="1:6">
      <c r="A369" s="49"/>
      <c r="D369" t="str">
        <f>IFERROR(XLOOKUP(C369,'Master Barang'!$A:$A,'Master Barang'!$B:$B,""),"")</f>
        <v/>
      </c>
      <c r="E369" s="52"/>
      <c r="F369" t="str">
        <f>IFERROR(XLOOKUP(C369,'Master Barang'!$A:$A,'Master Barang'!$D:$D,""),"")</f>
        <v/>
      </c>
    </row>
    <row r="370" spans="1:6">
      <c r="A370" s="49"/>
      <c r="D370" t="str">
        <f>IFERROR(XLOOKUP(C370,'Master Barang'!$A:$A,'Master Barang'!$B:$B,""),"")</f>
        <v/>
      </c>
      <c r="E370" s="52"/>
      <c r="F370" t="str">
        <f>IFERROR(XLOOKUP(C370,'Master Barang'!$A:$A,'Master Barang'!$D:$D,""),"")</f>
        <v/>
      </c>
    </row>
    <row r="371" spans="1:6">
      <c r="A371" s="49"/>
      <c r="D371" t="str">
        <f>IFERROR(XLOOKUP(C371,'Master Barang'!$A:$A,'Master Barang'!$B:$B,""),"")</f>
        <v/>
      </c>
      <c r="E371" s="52"/>
      <c r="F371" t="str">
        <f>IFERROR(XLOOKUP(C371,'Master Barang'!$A:$A,'Master Barang'!$D:$D,""),"")</f>
        <v/>
      </c>
    </row>
    <row r="372" spans="1:6">
      <c r="A372" s="49"/>
      <c r="D372" t="str">
        <f>IFERROR(XLOOKUP(C372,'Master Barang'!$A:$A,'Master Barang'!$B:$B,""),"")</f>
        <v/>
      </c>
      <c r="E372" s="52"/>
      <c r="F372" t="str">
        <f>IFERROR(XLOOKUP(C372,'Master Barang'!$A:$A,'Master Barang'!$D:$D,""),"")</f>
        <v/>
      </c>
    </row>
    <row r="373" spans="1:6">
      <c r="A373" s="49"/>
      <c r="D373" t="str">
        <f>IFERROR(XLOOKUP(C373,'Master Barang'!$A:$A,'Master Barang'!$B:$B,""),"")</f>
        <v/>
      </c>
      <c r="E373" s="52"/>
      <c r="F373" t="str">
        <f>IFERROR(XLOOKUP(C373,'Master Barang'!$A:$A,'Master Barang'!$D:$D,""),"")</f>
        <v/>
      </c>
    </row>
    <row r="374" spans="1:6">
      <c r="A374" s="49"/>
      <c r="D374" t="str">
        <f>IFERROR(XLOOKUP(C374,'Master Barang'!$A:$A,'Master Barang'!$B:$B,""),"")</f>
        <v/>
      </c>
      <c r="E374" s="52"/>
      <c r="F374" t="str">
        <f>IFERROR(XLOOKUP(C374,'Master Barang'!$A:$A,'Master Barang'!$D:$D,""),"")</f>
        <v/>
      </c>
    </row>
    <row r="375" spans="1:6">
      <c r="A375" s="49"/>
      <c r="D375" t="str">
        <f>IFERROR(XLOOKUP(C375,'Master Barang'!$A:$A,'Master Barang'!$B:$B,""),"")</f>
        <v/>
      </c>
      <c r="E375" s="52"/>
      <c r="F375" t="str">
        <f>IFERROR(XLOOKUP(C375,'Master Barang'!$A:$A,'Master Barang'!$D:$D,""),"")</f>
        <v/>
      </c>
    </row>
    <row r="376" spans="1:6">
      <c r="A376" s="49"/>
      <c r="D376" t="str">
        <f>IFERROR(XLOOKUP(C376,'Master Barang'!$A:$A,'Master Barang'!$B:$B,""),"")</f>
        <v/>
      </c>
      <c r="E376" s="52"/>
      <c r="F376" t="str">
        <f>IFERROR(XLOOKUP(C376,'Master Barang'!$A:$A,'Master Barang'!$D:$D,""),"")</f>
        <v/>
      </c>
    </row>
    <row r="377" spans="1:6">
      <c r="A377" s="49"/>
      <c r="D377" t="str">
        <f>IFERROR(XLOOKUP(C377,'Master Barang'!$A:$A,'Master Barang'!$B:$B,""),"")</f>
        <v/>
      </c>
      <c r="E377" s="52"/>
      <c r="F377" t="str">
        <f>IFERROR(XLOOKUP(C377,'Master Barang'!$A:$A,'Master Barang'!$D:$D,""),"")</f>
        <v/>
      </c>
    </row>
    <row r="378" spans="1:6">
      <c r="A378" s="49"/>
      <c r="D378" t="str">
        <f>IFERROR(XLOOKUP(C378,'Master Barang'!$A:$A,'Master Barang'!$B:$B,""),"")</f>
        <v/>
      </c>
      <c r="E378" s="52"/>
      <c r="F378" t="str">
        <f>IFERROR(XLOOKUP(C378,'Master Barang'!$A:$A,'Master Barang'!$D:$D,""),"")</f>
        <v/>
      </c>
    </row>
    <row r="379" spans="1:6">
      <c r="A379" s="49"/>
      <c r="D379" t="str">
        <f>IFERROR(XLOOKUP(C379,'Master Barang'!$A:$A,'Master Barang'!$B:$B,""),"")</f>
        <v/>
      </c>
      <c r="E379" s="52"/>
      <c r="F379" t="str">
        <f>IFERROR(XLOOKUP(C379,'Master Barang'!$A:$A,'Master Barang'!$D:$D,""),"")</f>
        <v/>
      </c>
    </row>
    <row r="380" spans="1:6">
      <c r="A380" s="49"/>
      <c r="D380" t="str">
        <f>IFERROR(XLOOKUP(C380,'Master Barang'!$A:$A,'Master Barang'!$B:$B,""),"")</f>
        <v/>
      </c>
      <c r="E380" s="52"/>
      <c r="F380" t="str">
        <f>IFERROR(XLOOKUP(C380,'Master Barang'!$A:$A,'Master Barang'!$D:$D,""),"")</f>
        <v/>
      </c>
    </row>
    <row r="381" spans="1:6">
      <c r="A381" s="49"/>
      <c r="D381" t="str">
        <f>IFERROR(XLOOKUP(C381,'Master Barang'!$A:$A,'Master Barang'!$B:$B,""),"")</f>
        <v/>
      </c>
      <c r="E381" s="52"/>
      <c r="F381" t="str">
        <f>IFERROR(XLOOKUP(C381,'Master Barang'!$A:$A,'Master Barang'!$D:$D,""),"")</f>
        <v/>
      </c>
    </row>
    <row r="382" spans="1:6">
      <c r="A382" s="49"/>
      <c r="D382" t="str">
        <f>IFERROR(XLOOKUP(C382,'Master Barang'!$A:$A,'Master Barang'!$B:$B,""),"")</f>
        <v/>
      </c>
      <c r="E382" s="52"/>
      <c r="F382" t="str">
        <f>IFERROR(XLOOKUP(C382,'Master Barang'!$A:$A,'Master Barang'!$D:$D,""),"")</f>
        <v/>
      </c>
    </row>
    <row r="383" spans="1:6">
      <c r="A383" s="49"/>
      <c r="D383" t="str">
        <f>IFERROR(XLOOKUP(C383,'Master Barang'!$A:$A,'Master Barang'!$B:$B,""),"")</f>
        <v/>
      </c>
      <c r="E383" s="52"/>
      <c r="F383" t="str">
        <f>IFERROR(XLOOKUP(C383,'Master Barang'!$A:$A,'Master Barang'!$D:$D,""),"")</f>
        <v/>
      </c>
    </row>
    <row r="384" spans="1:6">
      <c r="A384" s="49"/>
      <c r="D384" t="str">
        <f>IFERROR(XLOOKUP(C384,'Master Barang'!$A:$A,'Master Barang'!$B:$B,""),"")</f>
        <v/>
      </c>
      <c r="E384" s="52"/>
      <c r="F384" t="str">
        <f>IFERROR(XLOOKUP(C384,'Master Barang'!$A:$A,'Master Barang'!$D:$D,""),"")</f>
        <v/>
      </c>
    </row>
    <row r="385" spans="1:6">
      <c r="A385" s="49"/>
      <c r="D385" t="str">
        <f>IFERROR(XLOOKUP(C385,'Master Barang'!$A:$A,'Master Barang'!$B:$B,""),"")</f>
        <v/>
      </c>
      <c r="E385" s="52"/>
      <c r="F385" t="str">
        <f>IFERROR(XLOOKUP(C385,'Master Barang'!$A:$A,'Master Barang'!$D:$D,""),"")</f>
        <v/>
      </c>
    </row>
    <row r="386" spans="1:6">
      <c r="A386" s="49"/>
      <c r="D386" t="str">
        <f>IFERROR(XLOOKUP(C386,'Master Barang'!$A:$A,'Master Barang'!$B:$B,""),"")</f>
        <v/>
      </c>
      <c r="E386" s="52"/>
      <c r="F386" t="str">
        <f>IFERROR(XLOOKUP(C386,'Master Barang'!$A:$A,'Master Barang'!$D:$D,""),"")</f>
        <v/>
      </c>
    </row>
    <row r="387" spans="1:6">
      <c r="A387" s="49"/>
      <c r="D387" t="str">
        <f>IFERROR(XLOOKUP(C387,'Master Barang'!$A:$A,'Master Barang'!$B:$B,""),"")</f>
        <v/>
      </c>
      <c r="E387" s="52"/>
      <c r="F387" t="str">
        <f>IFERROR(XLOOKUP(C387,'Master Barang'!$A:$A,'Master Barang'!$D:$D,""),"")</f>
        <v/>
      </c>
    </row>
    <row r="388" spans="1:6">
      <c r="A388" s="49"/>
      <c r="D388" t="str">
        <f>IFERROR(XLOOKUP(C388,'Master Barang'!$A:$A,'Master Barang'!$B:$B,""),"")</f>
        <v/>
      </c>
      <c r="E388" s="52"/>
      <c r="F388" t="str">
        <f>IFERROR(XLOOKUP(C388,'Master Barang'!$A:$A,'Master Barang'!$D:$D,""),"")</f>
        <v/>
      </c>
    </row>
    <row r="389" spans="1:6">
      <c r="A389" s="49"/>
      <c r="D389" t="str">
        <f>IFERROR(XLOOKUP(C389,'Master Barang'!$A:$A,'Master Barang'!$B:$B,""),"")</f>
        <v/>
      </c>
      <c r="E389" s="52"/>
      <c r="F389" t="str">
        <f>IFERROR(XLOOKUP(C389,'Master Barang'!$A:$A,'Master Barang'!$D:$D,""),"")</f>
        <v/>
      </c>
    </row>
    <row r="390" spans="1:6">
      <c r="A390" s="49"/>
      <c r="D390" t="str">
        <f>IFERROR(XLOOKUP(C390,'Master Barang'!$A:$A,'Master Barang'!$B:$B,""),"")</f>
        <v/>
      </c>
      <c r="E390" s="52"/>
      <c r="F390" t="str">
        <f>IFERROR(XLOOKUP(C390,'Master Barang'!$A:$A,'Master Barang'!$D:$D,""),"")</f>
        <v/>
      </c>
    </row>
    <row r="391" spans="1:6">
      <c r="A391" s="49"/>
      <c r="D391" t="str">
        <f>IFERROR(XLOOKUP(C391,'Master Barang'!$A:$A,'Master Barang'!$B:$B,""),"")</f>
        <v/>
      </c>
      <c r="E391" s="52"/>
      <c r="F391" t="str">
        <f>IFERROR(XLOOKUP(C391,'Master Barang'!$A:$A,'Master Barang'!$D:$D,""),"")</f>
        <v/>
      </c>
    </row>
    <row r="392" spans="1:6">
      <c r="A392" s="49"/>
      <c r="D392" t="str">
        <f>IFERROR(XLOOKUP(C392,'Master Barang'!$A:$A,'Master Barang'!$B:$B,""),"")</f>
        <v/>
      </c>
      <c r="E392" s="52"/>
      <c r="F392" t="str">
        <f>IFERROR(XLOOKUP(C392,'Master Barang'!$A:$A,'Master Barang'!$D:$D,""),"")</f>
        <v/>
      </c>
    </row>
    <row r="393" spans="1:6">
      <c r="A393" s="49"/>
      <c r="D393" t="str">
        <f>IFERROR(XLOOKUP(C393,'Master Barang'!$A:$A,'Master Barang'!$B:$B,""),"")</f>
        <v/>
      </c>
      <c r="E393" s="52"/>
      <c r="F393" t="str">
        <f>IFERROR(XLOOKUP(C393,'Master Barang'!$A:$A,'Master Barang'!$D:$D,""),"")</f>
        <v/>
      </c>
    </row>
    <row r="394" spans="1:6">
      <c r="A394" s="49"/>
      <c r="D394" t="str">
        <f>IFERROR(XLOOKUP(C394,'Master Barang'!$A:$A,'Master Barang'!$B:$B,""),"")</f>
        <v/>
      </c>
      <c r="E394" s="52"/>
      <c r="F394" t="str">
        <f>IFERROR(XLOOKUP(C394,'Master Barang'!$A:$A,'Master Barang'!$D:$D,""),"")</f>
        <v/>
      </c>
    </row>
    <row r="395" spans="1:6">
      <c r="A395" s="49"/>
      <c r="D395" t="str">
        <f>IFERROR(XLOOKUP(C395,'Master Barang'!$A:$A,'Master Barang'!$B:$B,""),"")</f>
        <v/>
      </c>
      <c r="E395" s="52"/>
      <c r="F395" t="str">
        <f>IFERROR(XLOOKUP(C395,'Master Barang'!$A:$A,'Master Barang'!$D:$D,""),"")</f>
        <v/>
      </c>
    </row>
    <row r="396" spans="1:6">
      <c r="A396" s="49"/>
      <c r="D396" t="str">
        <f>IFERROR(XLOOKUP(C396,'Master Barang'!$A:$A,'Master Barang'!$B:$B,""),"")</f>
        <v/>
      </c>
      <c r="E396" s="52"/>
      <c r="F396" t="str">
        <f>IFERROR(XLOOKUP(C396,'Master Barang'!$A:$A,'Master Barang'!$D:$D,""),"")</f>
        <v/>
      </c>
    </row>
    <row r="397" spans="1:6">
      <c r="A397" s="49"/>
      <c r="D397" t="str">
        <f>IFERROR(XLOOKUP(C397,'Master Barang'!$A:$A,'Master Barang'!$B:$B,""),"")</f>
        <v/>
      </c>
      <c r="E397" s="52"/>
      <c r="F397" t="str">
        <f>IFERROR(XLOOKUP(C397,'Master Barang'!$A:$A,'Master Barang'!$D:$D,""),"")</f>
        <v/>
      </c>
    </row>
    <row r="398" spans="1:6">
      <c r="A398" s="49"/>
      <c r="D398" t="str">
        <f>IFERROR(XLOOKUP(C398,'Master Barang'!$A:$A,'Master Barang'!$B:$B,""),"")</f>
        <v/>
      </c>
      <c r="E398" s="52"/>
      <c r="F398" t="str">
        <f>IFERROR(XLOOKUP(C398,'Master Barang'!$A:$A,'Master Barang'!$D:$D,""),"")</f>
        <v/>
      </c>
    </row>
    <row r="399" spans="1:6">
      <c r="A399" s="49"/>
      <c r="D399" t="str">
        <f>IFERROR(XLOOKUP(C399,'Master Barang'!$A:$A,'Master Barang'!$B:$B,""),"")</f>
        <v/>
      </c>
      <c r="E399" s="52"/>
      <c r="F399" t="str">
        <f>IFERROR(XLOOKUP(C399,'Master Barang'!$A:$A,'Master Barang'!$D:$D,""),"")</f>
        <v/>
      </c>
    </row>
    <row r="400" spans="1:6">
      <c r="A400" s="49"/>
      <c r="D400" t="str">
        <f>IFERROR(XLOOKUP(C400,'Master Barang'!$A:$A,'Master Barang'!$B:$B,""),"")</f>
        <v/>
      </c>
      <c r="E400" s="52"/>
      <c r="F400" t="str">
        <f>IFERROR(XLOOKUP(C400,'Master Barang'!$A:$A,'Master Barang'!$D:$D,""),"")</f>
        <v/>
      </c>
    </row>
    <row r="401" spans="1:6">
      <c r="A401" s="49"/>
      <c r="D401" t="str">
        <f>IFERROR(XLOOKUP(C401,'Master Barang'!$A:$A,'Master Barang'!$B:$B,""),"")</f>
        <v/>
      </c>
      <c r="E401" s="52"/>
      <c r="F401" t="str">
        <f>IFERROR(XLOOKUP(C401,'Master Barang'!$A:$A,'Master Barang'!$D:$D,""),"")</f>
        <v/>
      </c>
    </row>
    <row r="402" spans="1:6">
      <c r="A402" s="49"/>
      <c r="D402" t="str">
        <f>IFERROR(XLOOKUP(C402,'Master Barang'!$A:$A,'Master Barang'!$B:$B,""),"")</f>
        <v/>
      </c>
      <c r="E402" s="52"/>
      <c r="F402" t="str">
        <f>IFERROR(XLOOKUP(C402,'Master Barang'!$A:$A,'Master Barang'!$D:$D,""),"")</f>
        <v/>
      </c>
    </row>
    <row r="403" spans="1:6">
      <c r="A403" s="49"/>
      <c r="D403" t="str">
        <f>IFERROR(XLOOKUP(C403,'Master Barang'!$A:$A,'Master Barang'!$B:$B,""),"")</f>
        <v/>
      </c>
      <c r="E403" s="52"/>
      <c r="F403" t="str">
        <f>IFERROR(XLOOKUP(C403,'Master Barang'!$A:$A,'Master Barang'!$D:$D,""),"")</f>
        <v/>
      </c>
    </row>
    <row r="404" spans="1:6">
      <c r="A404" s="49"/>
      <c r="D404" t="str">
        <f>IFERROR(XLOOKUP(C404,'Master Barang'!$A:$A,'Master Barang'!$B:$B,""),"")</f>
        <v/>
      </c>
      <c r="E404" s="52"/>
      <c r="F404" t="str">
        <f>IFERROR(XLOOKUP(C404,'Master Barang'!$A:$A,'Master Barang'!$D:$D,""),"")</f>
        <v/>
      </c>
    </row>
    <row r="405" spans="1:6">
      <c r="A405" s="49"/>
      <c r="D405" t="str">
        <f>IFERROR(XLOOKUP(C405,'Master Barang'!$A:$A,'Master Barang'!$B:$B,""),"")</f>
        <v/>
      </c>
      <c r="E405" s="52"/>
      <c r="F405" t="str">
        <f>IFERROR(XLOOKUP(C405,'Master Barang'!$A:$A,'Master Barang'!$D:$D,""),"")</f>
        <v/>
      </c>
    </row>
    <row r="406" spans="1:6">
      <c r="A406" s="49"/>
      <c r="D406" t="str">
        <f>IFERROR(XLOOKUP(C406,'Master Barang'!$A:$A,'Master Barang'!$B:$B,""),"")</f>
        <v/>
      </c>
      <c r="E406" s="52"/>
      <c r="F406" t="str">
        <f>IFERROR(XLOOKUP(C406,'Master Barang'!$A:$A,'Master Barang'!$D:$D,""),"")</f>
        <v/>
      </c>
    </row>
    <row r="407" spans="1:6">
      <c r="A407" s="49"/>
      <c r="D407" t="str">
        <f>IFERROR(XLOOKUP(C407,'Master Barang'!$A:$A,'Master Barang'!$B:$B,""),"")</f>
        <v/>
      </c>
      <c r="E407" s="52"/>
      <c r="F407" t="str">
        <f>IFERROR(XLOOKUP(C407,'Master Barang'!$A:$A,'Master Barang'!$D:$D,""),"")</f>
        <v/>
      </c>
    </row>
    <row r="408" spans="1:6">
      <c r="A408" s="49"/>
      <c r="D408" t="str">
        <f>IFERROR(XLOOKUP(C408,'Master Barang'!$A:$A,'Master Barang'!$B:$B,""),"")</f>
        <v/>
      </c>
      <c r="E408" s="52"/>
      <c r="F408" t="str">
        <f>IFERROR(XLOOKUP(C408,'Master Barang'!$A:$A,'Master Barang'!$D:$D,""),"")</f>
        <v/>
      </c>
    </row>
    <row r="409" spans="1:6">
      <c r="A409" s="49"/>
      <c r="D409" t="str">
        <f>IFERROR(XLOOKUP(C409,'Master Barang'!$A:$A,'Master Barang'!$B:$B,""),"")</f>
        <v/>
      </c>
      <c r="E409" s="52"/>
      <c r="F409" t="str">
        <f>IFERROR(XLOOKUP(C409,'Master Barang'!$A:$A,'Master Barang'!$D:$D,""),"")</f>
        <v/>
      </c>
    </row>
    <row r="410" spans="1:6">
      <c r="A410" s="49"/>
      <c r="D410" t="str">
        <f>IFERROR(XLOOKUP(C410,'Master Barang'!$A:$A,'Master Barang'!$B:$B,""),"")</f>
        <v/>
      </c>
      <c r="E410" s="52"/>
      <c r="F410" t="str">
        <f>IFERROR(XLOOKUP(C410,'Master Barang'!$A:$A,'Master Barang'!$D:$D,""),"")</f>
        <v/>
      </c>
    </row>
    <row r="411" spans="1:6">
      <c r="A411" s="49"/>
      <c r="D411" t="str">
        <f>IFERROR(XLOOKUP(C411,'Master Barang'!$A:$A,'Master Barang'!$B:$B,""),"")</f>
        <v/>
      </c>
      <c r="E411" s="52"/>
      <c r="F411" t="str">
        <f>IFERROR(XLOOKUP(C411,'Master Barang'!$A:$A,'Master Barang'!$D:$D,""),"")</f>
        <v/>
      </c>
    </row>
    <row r="412" spans="1:6">
      <c r="A412" s="49"/>
      <c r="D412" t="str">
        <f>IFERROR(XLOOKUP(C412,'Master Barang'!$A:$A,'Master Barang'!$B:$B,""),"")</f>
        <v/>
      </c>
      <c r="E412" s="52"/>
      <c r="F412" t="str">
        <f>IFERROR(XLOOKUP(C412,'Master Barang'!$A:$A,'Master Barang'!$D:$D,""),"")</f>
        <v/>
      </c>
    </row>
    <row r="413" spans="1:6">
      <c r="A413" s="49"/>
      <c r="D413" t="str">
        <f>IFERROR(XLOOKUP(C413,'Master Barang'!$A:$A,'Master Barang'!$B:$B,""),"")</f>
        <v/>
      </c>
      <c r="E413" s="52"/>
      <c r="F413" t="str">
        <f>IFERROR(XLOOKUP(C413,'Master Barang'!$A:$A,'Master Barang'!$D:$D,""),"")</f>
        <v/>
      </c>
    </row>
    <row r="414" spans="1:6">
      <c r="A414" s="49"/>
      <c r="D414" t="str">
        <f>IFERROR(XLOOKUP(C414,'Master Barang'!$A:$A,'Master Barang'!$B:$B,""),"")</f>
        <v/>
      </c>
      <c r="E414" s="52"/>
      <c r="F414" t="str">
        <f>IFERROR(XLOOKUP(C414,'Master Barang'!$A:$A,'Master Barang'!$D:$D,""),"")</f>
        <v/>
      </c>
    </row>
    <row r="415" spans="1:6">
      <c r="A415" s="49"/>
      <c r="D415" t="str">
        <f>IFERROR(XLOOKUP(C415,'Master Barang'!$A:$A,'Master Barang'!$B:$B,""),"")</f>
        <v/>
      </c>
      <c r="E415" s="52"/>
      <c r="F415" t="str">
        <f>IFERROR(XLOOKUP(C415,'Master Barang'!$A:$A,'Master Barang'!$D:$D,""),"")</f>
        <v/>
      </c>
    </row>
    <row r="416" spans="1:6">
      <c r="A416" s="49"/>
      <c r="D416" t="str">
        <f>IFERROR(XLOOKUP(C416,'Master Barang'!$A:$A,'Master Barang'!$B:$B,""),"")</f>
        <v/>
      </c>
      <c r="E416" s="52"/>
      <c r="F416" t="str">
        <f>IFERROR(XLOOKUP(C416,'Master Barang'!$A:$A,'Master Barang'!$D:$D,""),"")</f>
        <v/>
      </c>
    </row>
    <row r="417" spans="1:6">
      <c r="A417" s="49"/>
      <c r="D417" t="str">
        <f>IFERROR(XLOOKUP(C417,'Master Barang'!$A:$A,'Master Barang'!$B:$B,""),"")</f>
        <v/>
      </c>
      <c r="E417" s="52"/>
      <c r="F417" t="str">
        <f>IFERROR(XLOOKUP(C417,'Master Barang'!$A:$A,'Master Barang'!$D:$D,""),"")</f>
        <v/>
      </c>
    </row>
    <row r="418" spans="1:6">
      <c r="A418" s="49"/>
      <c r="D418" t="str">
        <f>IFERROR(XLOOKUP(C418,'Master Barang'!$A:$A,'Master Barang'!$B:$B,""),"")</f>
        <v/>
      </c>
      <c r="E418" s="52"/>
      <c r="F418" t="str">
        <f>IFERROR(XLOOKUP(C418,'Master Barang'!$A:$A,'Master Barang'!$D:$D,""),"")</f>
        <v/>
      </c>
    </row>
    <row r="419" spans="1:6">
      <c r="A419" s="49"/>
      <c r="D419" t="str">
        <f>IFERROR(XLOOKUP(C419,'Master Barang'!$A:$A,'Master Barang'!$B:$B,""),"")</f>
        <v/>
      </c>
      <c r="E419" s="52"/>
      <c r="F419" t="str">
        <f>IFERROR(XLOOKUP(C419,'Master Barang'!$A:$A,'Master Barang'!$D:$D,""),"")</f>
        <v/>
      </c>
    </row>
    <row r="420" spans="1:6">
      <c r="A420" s="49"/>
      <c r="D420" t="str">
        <f>IFERROR(XLOOKUP(C420,'Master Barang'!$A:$A,'Master Barang'!$B:$B,""),"")</f>
        <v/>
      </c>
      <c r="E420" s="52"/>
      <c r="F420" t="str">
        <f>IFERROR(XLOOKUP(C420,'Master Barang'!$A:$A,'Master Barang'!$D:$D,""),"")</f>
        <v/>
      </c>
    </row>
    <row r="421" spans="1:6">
      <c r="A421" s="49"/>
      <c r="D421" t="str">
        <f>IFERROR(XLOOKUP(C421,'Master Barang'!$A:$A,'Master Barang'!$B:$B,""),"")</f>
        <v/>
      </c>
      <c r="E421" s="52"/>
      <c r="F421" t="str">
        <f>IFERROR(XLOOKUP(C421,'Master Barang'!$A:$A,'Master Barang'!$D:$D,""),"")</f>
        <v/>
      </c>
    </row>
    <row r="422" spans="1:6">
      <c r="A422" s="49"/>
      <c r="D422" t="str">
        <f>IFERROR(XLOOKUP(C422,'Master Barang'!$A:$A,'Master Barang'!$B:$B,""),"")</f>
        <v/>
      </c>
      <c r="E422" s="52"/>
      <c r="F422" t="str">
        <f>IFERROR(XLOOKUP(C422,'Master Barang'!$A:$A,'Master Barang'!$D:$D,""),"")</f>
        <v/>
      </c>
    </row>
    <row r="423" spans="1:6">
      <c r="A423" s="49"/>
      <c r="D423" t="str">
        <f>IFERROR(XLOOKUP(C423,'Master Barang'!$A:$A,'Master Barang'!$B:$B,""),"")</f>
        <v/>
      </c>
      <c r="E423" s="52"/>
      <c r="F423" t="str">
        <f>IFERROR(XLOOKUP(C423,'Master Barang'!$A:$A,'Master Barang'!$D:$D,""),"")</f>
        <v/>
      </c>
    </row>
    <row r="424" spans="1:6">
      <c r="A424" s="49"/>
      <c r="D424" t="str">
        <f>IFERROR(XLOOKUP(C424,'Master Barang'!$A:$A,'Master Barang'!$B:$B,""),"")</f>
        <v/>
      </c>
      <c r="E424" s="52"/>
      <c r="F424" t="str">
        <f>IFERROR(XLOOKUP(C424,'Master Barang'!$A:$A,'Master Barang'!$D:$D,""),"")</f>
        <v/>
      </c>
    </row>
    <row r="425" spans="1:6">
      <c r="A425" s="49"/>
      <c r="D425" t="str">
        <f>IFERROR(XLOOKUP(C425,'Master Barang'!$A:$A,'Master Barang'!$B:$B,""),"")</f>
        <v/>
      </c>
      <c r="E425" s="52"/>
      <c r="F425" t="str">
        <f>IFERROR(XLOOKUP(C425,'Master Barang'!$A:$A,'Master Barang'!$D:$D,""),"")</f>
        <v/>
      </c>
    </row>
    <row r="426" spans="1:6">
      <c r="A426" s="49"/>
      <c r="D426" t="str">
        <f>IFERROR(XLOOKUP(C426,'Master Barang'!$A:$A,'Master Barang'!$B:$B,""),"")</f>
        <v/>
      </c>
      <c r="E426" s="52"/>
      <c r="F426" t="str">
        <f>IFERROR(XLOOKUP(C426,'Master Barang'!$A:$A,'Master Barang'!$D:$D,""),"")</f>
        <v/>
      </c>
    </row>
    <row r="427" spans="1:6">
      <c r="A427" s="49"/>
      <c r="D427" t="str">
        <f>IFERROR(XLOOKUP(C427,'Master Barang'!$A:$A,'Master Barang'!$B:$B,""),"")</f>
        <v/>
      </c>
      <c r="E427" s="52"/>
      <c r="F427" t="str">
        <f>IFERROR(XLOOKUP(C427,'Master Barang'!$A:$A,'Master Barang'!$D:$D,""),"")</f>
        <v/>
      </c>
    </row>
    <row r="428" spans="1:6">
      <c r="A428" s="49"/>
      <c r="D428" t="str">
        <f>IFERROR(XLOOKUP(C428,'Master Barang'!$A:$A,'Master Barang'!$B:$B,""),"")</f>
        <v/>
      </c>
      <c r="E428" s="52"/>
      <c r="F428" t="str">
        <f>IFERROR(XLOOKUP(C428,'Master Barang'!$A:$A,'Master Barang'!$D:$D,""),"")</f>
        <v/>
      </c>
    </row>
    <row r="429" spans="1:6">
      <c r="A429" s="49"/>
      <c r="D429" t="str">
        <f>IFERROR(XLOOKUP(C429,'Master Barang'!$A:$A,'Master Barang'!$B:$B,""),"")</f>
        <v/>
      </c>
      <c r="E429" s="52"/>
      <c r="F429" t="str">
        <f>IFERROR(XLOOKUP(C429,'Master Barang'!$A:$A,'Master Barang'!$D:$D,""),"")</f>
        <v/>
      </c>
    </row>
    <row r="430" spans="1:6">
      <c r="A430" s="49"/>
      <c r="D430" t="str">
        <f>IFERROR(XLOOKUP(C430,'Master Barang'!$A:$A,'Master Barang'!$B:$B,""),"")</f>
        <v/>
      </c>
      <c r="E430" s="52"/>
      <c r="F430" t="str">
        <f>IFERROR(XLOOKUP(C430,'Master Barang'!$A:$A,'Master Barang'!$D:$D,""),"")</f>
        <v/>
      </c>
    </row>
    <row r="431" spans="1:6">
      <c r="A431" s="49"/>
      <c r="D431" t="str">
        <f>IFERROR(XLOOKUP(C431,'Master Barang'!$A:$A,'Master Barang'!$B:$B,""),"")</f>
        <v/>
      </c>
      <c r="E431" s="52"/>
      <c r="F431" t="str">
        <f>IFERROR(XLOOKUP(C431,'Master Barang'!$A:$A,'Master Barang'!$D:$D,""),"")</f>
        <v/>
      </c>
    </row>
    <row r="432" spans="1:6">
      <c r="A432" s="49"/>
      <c r="D432" t="str">
        <f>IFERROR(XLOOKUP(C432,'Master Barang'!$A:$A,'Master Barang'!$B:$B,""),"")</f>
        <v/>
      </c>
      <c r="E432" s="52"/>
      <c r="F432" t="str">
        <f>IFERROR(XLOOKUP(C432,'Master Barang'!$A:$A,'Master Barang'!$D:$D,""),"")</f>
        <v/>
      </c>
    </row>
    <row r="433" spans="1:6">
      <c r="A433" s="49"/>
      <c r="D433" t="str">
        <f>IFERROR(XLOOKUP(C433,'Master Barang'!$A:$A,'Master Barang'!$B:$B,""),"")</f>
        <v/>
      </c>
      <c r="E433" s="52"/>
      <c r="F433" t="str">
        <f>IFERROR(XLOOKUP(C433,'Master Barang'!$A:$A,'Master Barang'!$D:$D,""),"")</f>
        <v/>
      </c>
    </row>
    <row r="434" spans="1:6">
      <c r="A434" s="49"/>
      <c r="D434" t="str">
        <f>IFERROR(XLOOKUP(C434,'Master Barang'!$A:$A,'Master Barang'!$B:$B,""),"")</f>
        <v/>
      </c>
      <c r="E434" s="52"/>
      <c r="F434" t="str">
        <f>IFERROR(XLOOKUP(C434,'Master Barang'!$A:$A,'Master Barang'!$D:$D,""),"")</f>
        <v/>
      </c>
    </row>
    <row r="435" spans="1:6">
      <c r="A435" s="49"/>
      <c r="D435" t="str">
        <f>IFERROR(XLOOKUP(C435,'Master Barang'!$A:$A,'Master Barang'!$B:$B,""),"")</f>
        <v/>
      </c>
      <c r="E435" s="52"/>
      <c r="F435" t="str">
        <f>IFERROR(XLOOKUP(C435,'Master Barang'!$A:$A,'Master Barang'!$D:$D,""),"")</f>
        <v/>
      </c>
    </row>
    <row r="436" spans="1:6">
      <c r="A436" s="49"/>
      <c r="D436" t="str">
        <f>IFERROR(XLOOKUP(C436,'Master Barang'!$A:$A,'Master Barang'!$B:$B,""),"")</f>
        <v/>
      </c>
      <c r="E436" s="52"/>
      <c r="F436" t="str">
        <f>IFERROR(XLOOKUP(C436,'Master Barang'!$A:$A,'Master Barang'!$D:$D,""),"")</f>
        <v/>
      </c>
    </row>
    <row r="437" spans="1:6">
      <c r="A437" s="49"/>
      <c r="D437" t="str">
        <f>IFERROR(XLOOKUP(C437,'Master Barang'!$A:$A,'Master Barang'!$B:$B,""),"")</f>
        <v/>
      </c>
      <c r="E437" s="52"/>
      <c r="F437" t="str">
        <f>IFERROR(XLOOKUP(C437,'Master Barang'!$A:$A,'Master Barang'!$D:$D,""),"")</f>
        <v/>
      </c>
    </row>
    <row r="438" spans="1:6">
      <c r="A438" s="49"/>
      <c r="D438" t="str">
        <f>IFERROR(XLOOKUP(C438,'Master Barang'!$A:$A,'Master Barang'!$B:$B,""),"")</f>
        <v/>
      </c>
      <c r="E438" s="52"/>
      <c r="F438" t="str">
        <f>IFERROR(XLOOKUP(C438,'Master Barang'!$A:$A,'Master Barang'!$D:$D,""),"")</f>
        <v/>
      </c>
    </row>
    <row r="439" spans="1:6">
      <c r="A439" s="49"/>
      <c r="D439" t="str">
        <f>IFERROR(XLOOKUP(C439,'Master Barang'!$A:$A,'Master Barang'!$B:$B,""),"")</f>
        <v/>
      </c>
      <c r="E439" s="52"/>
      <c r="F439" t="str">
        <f>IFERROR(XLOOKUP(C439,'Master Barang'!$A:$A,'Master Barang'!$D:$D,""),"")</f>
        <v/>
      </c>
    </row>
    <row r="440" spans="1:6">
      <c r="A440" s="49"/>
      <c r="D440" t="str">
        <f>IFERROR(XLOOKUP(C440,'Master Barang'!$A:$A,'Master Barang'!$B:$B,""),"")</f>
        <v/>
      </c>
      <c r="E440" s="52"/>
      <c r="F440" t="str">
        <f>IFERROR(XLOOKUP(C440,'Master Barang'!$A:$A,'Master Barang'!$D:$D,""),"")</f>
        <v/>
      </c>
    </row>
    <row r="441" spans="1:6">
      <c r="A441" s="49"/>
      <c r="D441" t="str">
        <f>IFERROR(XLOOKUP(C441,'Master Barang'!$A:$A,'Master Barang'!$B:$B,""),"")</f>
        <v/>
      </c>
      <c r="E441" s="52"/>
      <c r="F441" t="str">
        <f>IFERROR(XLOOKUP(C441,'Master Barang'!$A:$A,'Master Barang'!$D:$D,""),"")</f>
        <v/>
      </c>
    </row>
    <row r="442" spans="1:6">
      <c r="A442" s="49"/>
      <c r="D442" t="str">
        <f>IFERROR(XLOOKUP(C442,'Master Barang'!$A:$A,'Master Barang'!$B:$B,""),"")</f>
        <v/>
      </c>
      <c r="E442" s="52"/>
      <c r="F442" t="str">
        <f>IFERROR(XLOOKUP(C442,'Master Barang'!$A:$A,'Master Barang'!$D:$D,""),"")</f>
        <v/>
      </c>
    </row>
    <row r="443" spans="1:6">
      <c r="A443" s="49"/>
      <c r="D443" t="str">
        <f>IFERROR(XLOOKUP(C443,'Master Barang'!$A:$A,'Master Barang'!$B:$B,""),"")</f>
        <v/>
      </c>
      <c r="E443" s="52"/>
      <c r="F443" t="str">
        <f>IFERROR(XLOOKUP(C443,'Master Barang'!$A:$A,'Master Barang'!$D:$D,""),"")</f>
        <v/>
      </c>
    </row>
    <row r="444" spans="1:6">
      <c r="A444" s="49"/>
      <c r="D444" t="str">
        <f>IFERROR(XLOOKUP(C444,'Master Barang'!$A:$A,'Master Barang'!$B:$B,""),"")</f>
        <v/>
      </c>
      <c r="E444" s="52"/>
      <c r="F444" t="str">
        <f>IFERROR(XLOOKUP(C444,'Master Barang'!$A:$A,'Master Barang'!$D:$D,""),"")</f>
        <v/>
      </c>
    </row>
    <row r="445" spans="1:6">
      <c r="A445" s="49"/>
      <c r="D445" t="str">
        <f>IFERROR(XLOOKUP(C445,'Master Barang'!$A:$A,'Master Barang'!$B:$B,""),"")</f>
        <v/>
      </c>
      <c r="E445" s="52"/>
      <c r="F445" t="str">
        <f>IFERROR(XLOOKUP(C445,'Master Barang'!$A:$A,'Master Barang'!$D:$D,""),"")</f>
        <v/>
      </c>
    </row>
    <row r="446" spans="1:6">
      <c r="A446" s="49"/>
      <c r="D446" t="str">
        <f>IFERROR(XLOOKUP(C446,'Master Barang'!$A:$A,'Master Barang'!$B:$B,""),"")</f>
        <v/>
      </c>
      <c r="E446" s="52"/>
      <c r="F446" t="str">
        <f>IFERROR(XLOOKUP(C446,'Master Barang'!$A:$A,'Master Barang'!$D:$D,""),"")</f>
        <v/>
      </c>
    </row>
    <row r="447" spans="1:6">
      <c r="A447" s="49"/>
      <c r="D447" t="str">
        <f>IFERROR(XLOOKUP(C447,'Master Barang'!$A:$A,'Master Barang'!$B:$B,""),"")</f>
        <v/>
      </c>
      <c r="E447" s="52"/>
      <c r="F447" t="str">
        <f>IFERROR(XLOOKUP(C447,'Master Barang'!$A:$A,'Master Barang'!$D:$D,""),"")</f>
        <v/>
      </c>
    </row>
    <row r="448" spans="1:6">
      <c r="A448" s="49"/>
      <c r="D448" t="str">
        <f>IFERROR(XLOOKUP(C448,'Master Barang'!$A:$A,'Master Barang'!$B:$B,""),"")</f>
        <v/>
      </c>
      <c r="E448" s="52"/>
      <c r="F448" t="str">
        <f>IFERROR(XLOOKUP(C448,'Master Barang'!$A:$A,'Master Barang'!$D:$D,""),"")</f>
        <v/>
      </c>
    </row>
    <row r="449" spans="1:6">
      <c r="A449" s="49"/>
      <c r="D449" t="str">
        <f>IFERROR(XLOOKUP(C449,'Master Barang'!$A:$A,'Master Barang'!$B:$B,""),"")</f>
        <v/>
      </c>
      <c r="E449" s="52"/>
      <c r="F449" t="str">
        <f>IFERROR(XLOOKUP(C449,'Master Barang'!$A:$A,'Master Barang'!$D:$D,""),"")</f>
        <v/>
      </c>
    </row>
    <row r="450" spans="1:6">
      <c r="A450" s="49"/>
      <c r="D450" t="str">
        <f>IFERROR(XLOOKUP(C450,'Master Barang'!$A:$A,'Master Barang'!$B:$B,""),"")</f>
        <v/>
      </c>
      <c r="E450" s="52"/>
      <c r="F450" t="str">
        <f>IFERROR(XLOOKUP(C450,'Master Barang'!$A:$A,'Master Barang'!$D:$D,""),"")</f>
        <v/>
      </c>
    </row>
    <row r="451" spans="1:6">
      <c r="A451" s="49"/>
      <c r="D451" t="str">
        <f>IFERROR(XLOOKUP(C451,'Master Barang'!$A:$A,'Master Barang'!$B:$B,""),"")</f>
        <v/>
      </c>
      <c r="E451" s="52"/>
      <c r="F451" t="str">
        <f>IFERROR(XLOOKUP(C451,'Master Barang'!$A:$A,'Master Barang'!$D:$D,""),"")</f>
        <v/>
      </c>
    </row>
    <row r="452" spans="1:6">
      <c r="A452" s="49"/>
      <c r="D452" t="str">
        <f>IFERROR(XLOOKUP(C452,'Master Barang'!$A:$A,'Master Barang'!$B:$B,""),"")</f>
        <v/>
      </c>
      <c r="E452" s="52"/>
      <c r="F452" t="str">
        <f>IFERROR(XLOOKUP(C452,'Master Barang'!$A:$A,'Master Barang'!$D:$D,""),"")</f>
        <v/>
      </c>
    </row>
    <row r="453" spans="1:6">
      <c r="A453" s="49"/>
      <c r="D453" t="str">
        <f>IFERROR(XLOOKUP(C453,'Master Barang'!$A:$A,'Master Barang'!$B:$B,""),"")</f>
        <v/>
      </c>
      <c r="E453" s="52"/>
      <c r="F453" t="str">
        <f>IFERROR(XLOOKUP(C453,'Master Barang'!$A:$A,'Master Barang'!$D:$D,""),"")</f>
        <v/>
      </c>
    </row>
    <row r="454" spans="1:6">
      <c r="A454" s="49"/>
      <c r="D454" t="str">
        <f>IFERROR(XLOOKUP(C454,'Master Barang'!$A:$A,'Master Barang'!$B:$B,""),"")</f>
        <v/>
      </c>
      <c r="E454" s="52"/>
      <c r="F454" t="str">
        <f>IFERROR(XLOOKUP(C454,'Master Barang'!$A:$A,'Master Barang'!$D:$D,""),"")</f>
        <v/>
      </c>
    </row>
    <row r="455" spans="1:6">
      <c r="A455" s="49"/>
      <c r="D455" t="str">
        <f>IFERROR(XLOOKUP(C455,'Master Barang'!$A:$A,'Master Barang'!$B:$B,""),"")</f>
        <v/>
      </c>
      <c r="E455" s="52"/>
      <c r="F455" t="str">
        <f>IFERROR(XLOOKUP(C455,'Master Barang'!$A:$A,'Master Barang'!$D:$D,""),"")</f>
        <v/>
      </c>
    </row>
    <row r="456" spans="1:6">
      <c r="A456" s="49"/>
      <c r="D456" t="str">
        <f>IFERROR(XLOOKUP(C456,'Master Barang'!$A:$A,'Master Barang'!$B:$B,""),"")</f>
        <v/>
      </c>
      <c r="E456" s="52"/>
      <c r="F456" t="str">
        <f>IFERROR(XLOOKUP(C456,'Master Barang'!$A:$A,'Master Barang'!$D:$D,""),"")</f>
        <v/>
      </c>
    </row>
    <row r="457" spans="1:6">
      <c r="A457" s="49"/>
      <c r="D457" t="str">
        <f>IFERROR(XLOOKUP(C457,'Master Barang'!$A:$A,'Master Barang'!$B:$B,""),"")</f>
        <v/>
      </c>
      <c r="E457" s="52"/>
      <c r="F457" t="str">
        <f>IFERROR(XLOOKUP(C457,'Master Barang'!$A:$A,'Master Barang'!$D:$D,""),"")</f>
        <v/>
      </c>
    </row>
    <row r="458" spans="1:6">
      <c r="A458" s="49"/>
      <c r="D458" t="str">
        <f>IFERROR(XLOOKUP(C458,'Master Barang'!$A:$A,'Master Barang'!$B:$B,""),"")</f>
        <v/>
      </c>
      <c r="E458" s="52"/>
      <c r="F458" t="str">
        <f>IFERROR(XLOOKUP(C458,'Master Barang'!$A:$A,'Master Barang'!$D:$D,""),"")</f>
        <v/>
      </c>
    </row>
    <row r="459" spans="1:6">
      <c r="A459" s="49"/>
      <c r="D459" t="str">
        <f>IFERROR(XLOOKUP(C459,'Master Barang'!$A:$A,'Master Barang'!$B:$B,""),"")</f>
        <v/>
      </c>
      <c r="E459" s="52"/>
      <c r="F459" t="str">
        <f>IFERROR(XLOOKUP(C459,'Master Barang'!$A:$A,'Master Barang'!$D:$D,""),"")</f>
        <v/>
      </c>
    </row>
    <row r="460" spans="1:6">
      <c r="A460" s="49"/>
      <c r="D460" t="str">
        <f>IFERROR(XLOOKUP(C460,'Master Barang'!$A:$A,'Master Barang'!$B:$B,""),"")</f>
        <v/>
      </c>
      <c r="E460" s="52"/>
      <c r="F460" t="str">
        <f>IFERROR(XLOOKUP(C460,'Master Barang'!$A:$A,'Master Barang'!$D:$D,""),"")</f>
        <v/>
      </c>
    </row>
    <row r="461" spans="1:6">
      <c r="A461" s="49"/>
      <c r="D461" t="str">
        <f>IFERROR(XLOOKUP(C461,'Master Barang'!$A:$A,'Master Barang'!$B:$B,""),"")</f>
        <v/>
      </c>
      <c r="E461" s="52"/>
      <c r="F461" t="str">
        <f>IFERROR(XLOOKUP(C461,'Master Barang'!$A:$A,'Master Barang'!$D:$D,""),"")</f>
        <v/>
      </c>
    </row>
    <row r="462" spans="1:6">
      <c r="A462" s="49"/>
      <c r="D462" t="str">
        <f>IFERROR(XLOOKUP(C462,'Master Barang'!$A:$A,'Master Barang'!$B:$B,""),"")</f>
        <v/>
      </c>
      <c r="E462" s="52"/>
      <c r="F462" t="str">
        <f>IFERROR(XLOOKUP(C462,'Master Barang'!$A:$A,'Master Barang'!$D:$D,""),"")</f>
        <v/>
      </c>
    </row>
    <row r="463" spans="1:6">
      <c r="A463" s="49"/>
      <c r="D463" t="str">
        <f>IFERROR(XLOOKUP(C463,'Master Barang'!$A:$A,'Master Barang'!$B:$B,""),"")</f>
        <v/>
      </c>
      <c r="E463" s="52"/>
      <c r="F463" t="str">
        <f>IFERROR(XLOOKUP(C463,'Master Barang'!$A:$A,'Master Barang'!$D:$D,""),"")</f>
        <v/>
      </c>
    </row>
    <row r="464" spans="1:6">
      <c r="A464" s="49"/>
      <c r="D464" t="str">
        <f>IFERROR(XLOOKUP(C464,'Master Barang'!$A:$A,'Master Barang'!$B:$B,""),"")</f>
        <v/>
      </c>
      <c r="E464" s="52"/>
      <c r="F464" t="str">
        <f>IFERROR(XLOOKUP(C464,'Master Barang'!$A:$A,'Master Barang'!$D:$D,""),"")</f>
        <v/>
      </c>
    </row>
    <row r="465" spans="1:6">
      <c r="A465" s="49"/>
      <c r="D465" t="str">
        <f>IFERROR(XLOOKUP(C465,'Master Barang'!$A:$A,'Master Barang'!$B:$B,""),"")</f>
        <v/>
      </c>
      <c r="E465" s="52"/>
      <c r="F465" t="str">
        <f>IFERROR(XLOOKUP(C465,'Master Barang'!$A:$A,'Master Barang'!$D:$D,""),"")</f>
        <v/>
      </c>
    </row>
    <row r="466" spans="1:6">
      <c r="A466" s="49"/>
      <c r="D466" t="str">
        <f>IFERROR(XLOOKUP(C466,'Master Barang'!$A:$A,'Master Barang'!$B:$B,""),"")</f>
        <v/>
      </c>
      <c r="E466" s="52"/>
      <c r="F466" t="str">
        <f>IFERROR(XLOOKUP(C466,'Master Barang'!$A:$A,'Master Barang'!$D:$D,""),"")</f>
        <v/>
      </c>
    </row>
    <row r="467" spans="1:6">
      <c r="A467" s="49"/>
      <c r="D467" t="str">
        <f>IFERROR(XLOOKUP(C467,'Master Barang'!$A:$A,'Master Barang'!$B:$B,""),"")</f>
        <v/>
      </c>
      <c r="E467" s="52"/>
      <c r="F467" t="str">
        <f>IFERROR(XLOOKUP(C467,'Master Barang'!$A:$A,'Master Barang'!$D:$D,""),"")</f>
        <v/>
      </c>
    </row>
    <row r="468" spans="1:6">
      <c r="A468" s="49"/>
      <c r="D468" t="str">
        <f>IFERROR(XLOOKUP(C468,'Master Barang'!$A:$A,'Master Barang'!$B:$B,""),"")</f>
        <v/>
      </c>
      <c r="E468" s="52"/>
      <c r="F468" t="str">
        <f>IFERROR(XLOOKUP(C468,'Master Barang'!$A:$A,'Master Barang'!$D:$D,""),"")</f>
        <v/>
      </c>
    </row>
    <row r="469" spans="1:6">
      <c r="A469" s="49"/>
      <c r="D469" t="str">
        <f>IFERROR(XLOOKUP(C469,'Master Barang'!$A:$A,'Master Barang'!$B:$B,""),"")</f>
        <v/>
      </c>
      <c r="E469" s="52"/>
      <c r="F469" t="str">
        <f>IFERROR(XLOOKUP(C469,'Master Barang'!$A:$A,'Master Barang'!$D:$D,""),"")</f>
        <v/>
      </c>
    </row>
    <row r="470" spans="1:6">
      <c r="A470" s="49"/>
      <c r="D470" t="str">
        <f>IFERROR(XLOOKUP(C470,'Master Barang'!$A:$A,'Master Barang'!$B:$B,""),"")</f>
        <v/>
      </c>
      <c r="E470" s="52"/>
      <c r="F470" t="str">
        <f>IFERROR(XLOOKUP(C470,'Master Barang'!$A:$A,'Master Barang'!$D:$D,""),"")</f>
        <v/>
      </c>
    </row>
    <row r="471" spans="1:6">
      <c r="A471" s="49"/>
      <c r="D471" t="str">
        <f>IFERROR(XLOOKUP(C471,'Master Barang'!$A:$A,'Master Barang'!$B:$B,""),"")</f>
        <v/>
      </c>
      <c r="E471" s="52"/>
      <c r="F471" t="str">
        <f>IFERROR(XLOOKUP(C471,'Master Barang'!$A:$A,'Master Barang'!$D:$D,""),"")</f>
        <v/>
      </c>
    </row>
    <row r="472" spans="1:6">
      <c r="A472" s="49"/>
      <c r="D472" t="str">
        <f>IFERROR(XLOOKUP(C472,'Master Barang'!$A:$A,'Master Barang'!$B:$B,""),"")</f>
        <v/>
      </c>
      <c r="E472" s="52"/>
      <c r="F472" t="str">
        <f>IFERROR(XLOOKUP(C472,'Master Barang'!$A:$A,'Master Barang'!$D:$D,""),"")</f>
        <v/>
      </c>
    </row>
    <row r="473" spans="1:6">
      <c r="A473" s="49"/>
      <c r="D473" t="str">
        <f>IFERROR(XLOOKUP(C473,'Master Barang'!$A:$A,'Master Barang'!$B:$B,""),"")</f>
        <v/>
      </c>
      <c r="E473" s="52"/>
      <c r="F473" t="str">
        <f>IFERROR(XLOOKUP(C473,'Master Barang'!$A:$A,'Master Barang'!$D:$D,""),"")</f>
        <v/>
      </c>
    </row>
    <row r="474" spans="1:6">
      <c r="A474" s="49"/>
      <c r="D474" t="str">
        <f>IFERROR(XLOOKUP(C474,'Master Barang'!$A:$A,'Master Barang'!$B:$B,""),"")</f>
        <v/>
      </c>
      <c r="E474" s="52"/>
      <c r="F474" t="str">
        <f>IFERROR(XLOOKUP(C474,'Master Barang'!$A:$A,'Master Barang'!$D:$D,""),"")</f>
        <v/>
      </c>
    </row>
    <row r="475" spans="1:6">
      <c r="A475" s="49"/>
      <c r="D475" t="str">
        <f>IFERROR(XLOOKUP(C475,'Master Barang'!$A:$A,'Master Barang'!$B:$B,""),"")</f>
        <v/>
      </c>
      <c r="E475" s="52"/>
      <c r="F475" t="str">
        <f>IFERROR(XLOOKUP(C475,'Master Barang'!$A:$A,'Master Barang'!$D:$D,""),"")</f>
        <v/>
      </c>
    </row>
    <row r="476" spans="1:6">
      <c r="A476" s="49"/>
      <c r="D476" t="str">
        <f>IFERROR(XLOOKUP(C476,'Master Barang'!$A:$A,'Master Barang'!$B:$B,""),"")</f>
        <v/>
      </c>
      <c r="E476" s="52"/>
      <c r="F476" t="str">
        <f>IFERROR(XLOOKUP(C476,'Master Barang'!$A:$A,'Master Barang'!$D:$D,""),"")</f>
        <v/>
      </c>
    </row>
    <row r="477" spans="1:6">
      <c r="A477" s="49"/>
      <c r="D477" t="str">
        <f>IFERROR(XLOOKUP(C477,'Master Barang'!$A:$A,'Master Barang'!$B:$B,""),"")</f>
        <v/>
      </c>
      <c r="E477" s="52"/>
      <c r="F477" t="str">
        <f>IFERROR(XLOOKUP(C477,'Master Barang'!$A:$A,'Master Barang'!$D:$D,""),"")</f>
        <v/>
      </c>
    </row>
    <row r="478" spans="1:6">
      <c r="A478" s="49"/>
      <c r="D478" t="str">
        <f>IFERROR(XLOOKUP(C478,'Master Barang'!$A:$A,'Master Barang'!$B:$B,""),"")</f>
        <v/>
      </c>
      <c r="E478" s="52"/>
      <c r="F478" t="str">
        <f>IFERROR(XLOOKUP(C478,'Master Barang'!$A:$A,'Master Barang'!$D:$D,""),"")</f>
        <v/>
      </c>
    </row>
    <row r="479" spans="1:6">
      <c r="A479" s="49"/>
      <c r="D479" t="str">
        <f>IFERROR(XLOOKUP(C479,'Master Barang'!$A:$A,'Master Barang'!$B:$B,""),"")</f>
        <v/>
      </c>
      <c r="E479" s="52"/>
      <c r="F479" t="str">
        <f>IFERROR(XLOOKUP(C479,'Master Barang'!$A:$A,'Master Barang'!$D:$D,""),"")</f>
        <v/>
      </c>
    </row>
    <row r="480" spans="1:6">
      <c r="A480" s="49"/>
      <c r="D480" t="str">
        <f>IFERROR(XLOOKUP(C480,'Master Barang'!$A:$A,'Master Barang'!$B:$B,""),"")</f>
        <v/>
      </c>
      <c r="E480" s="52"/>
      <c r="F480" t="str">
        <f>IFERROR(XLOOKUP(C480,'Master Barang'!$A:$A,'Master Barang'!$D:$D,""),"")</f>
        <v/>
      </c>
    </row>
    <row r="481" spans="1:6">
      <c r="A481" s="49"/>
      <c r="D481" t="str">
        <f>IFERROR(XLOOKUP(C481,'Master Barang'!$A:$A,'Master Barang'!$B:$B,""),"")</f>
        <v/>
      </c>
      <c r="E481" s="52"/>
      <c r="F481" t="str">
        <f>IFERROR(XLOOKUP(C481,'Master Barang'!$A:$A,'Master Barang'!$D:$D,""),"")</f>
        <v/>
      </c>
    </row>
    <row r="482" spans="1:6">
      <c r="A482" s="49"/>
      <c r="D482" t="str">
        <f>IFERROR(XLOOKUP(C482,'Master Barang'!$A:$A,'Master Barang'!$B:$B,""),"")</f>
        <v/>
      </c>
      <c r="E482" s="52"/>
      <c r="F482" t="str">
        <f>IFERROR(XLOOKUP(C482,'Master Barang'!$A:$A,'Master Barang'!$D:$D,""),"")</f>
        <v/>
      </c>
    </row>
    <row r="483" spans="1:6">
      <c r="A483" s="49"/>
      <c r="D483" t="str">
        <f>IFERROR(XLOOKUP(C483,'Master Barang'!$A:$A,'Master Barang'!$B:$B,""),"")</f>
        <v/>
      </c>
      <c r="E483" s="52"/>
      <c r="F483" t="str">
        <f>IFERROR(XLOOKUP(C483,'Master Barang'!$A:$A,'Master Barang'!$D:$D,""),"")</f>
        <v/>
      </c>
    </row>
    <row r="484" spans="1:6">
      <c r="A484" s="49"/>
      <c r="D484" t="str">
        <f>IFERROR(XLOOKUP(C484,'Master Barang'!$A:$A,'Master Barang'!$B:$B,""),"")</f>
        <v/>
      </c>
      <c r="E484" s="52"/>
      <c r="F484" t="str">
        <f>IFERROR(XLOOKUP(C484,'Master Barang'!$A:$A,'Master Barang'!$D:$D,""),"")</f>
        <v/>
      </c>
    </row>
    <row r="485" spans="1:6">
      <c r="A485" s="49"/>
      <c r="D485" t="str">
        <f>IFERROR(XLOOKUP(C485,'Master Barang'!$A:$A,'Master Barang'!$B:$B,""),"")</f>
        <v/>
      </c>
      <c r="E485" s="52"/>
      <c r="F485" t="str">
        <f>IFERROR(XLOOKUP(C485,'Master Barang'!$A:$A,'Master Barang'!$D:$D,""),"")</f>
        <v/>
      </c>
    </row>
    <row r="486" spans="1:6">
      <c r="A486" s="49"/>
      <c r="D486" t="str">
        <f>IFERROR(XLOOKUP(C486,'Master Barang'!$A:$A,'Master Barang'!$B:$B,""),"")</f>
        <v/>
      </c>
      <c r="E486" s="52"/>
      <c r="F486" t="str">
        <f>IFERROR(XLOOKUP(C486,'Master Barang'!$A:$A,'Master Barang'!$D:$D,""),"")</f>
        <v/>
      </c>
    </row>
    <row r="487" spans="1:6">
      <c r="A487" s="49"/>
      <c r="D487" t="str">
        <f>IFERROR(XLOOKUP(C487,'Master Barang'!$A:$A,'Master Barang'!$B:$B,""),"")</f>
        <v/>
      </c>
      <c r="E487" s="52"/>
      <c r="F487" t="str">
        <f>IFERROR(XLOOKUP(C487,'Master Barang'!$A:$A,'Master Barang'!$D:$D,""),"")</f>
        <v/>
      </c>
    </row>
    <row r="488" spans="1:6">
      <c r="A488" s="49"/>
      <c r="D488" t="str">
        <f>IFERROR(XLOOKUP(C488,'Master Barang'!$A:$A,'Master Barang'!$B:$B,""),"")</f>
        <v/>
      </c>
      <c r="E488" s="52"/>
      <c r="F488" t="str">
        <f>IFERROR(XLOOKUP(C488,'Master Barang'!$A:$A,'Master Barang'!$D:$D,""),"")</f>
        <v/>
      </c>
    </row>
    <row r="489" spans="1:6">
      <c r="A489" s="49"/>
      <c r="D489" t="str">
        <f>IFERROR(XLOOKUP(C489,'Master Barang'!$A:$A,'Master Barang'!$B:$B,""),"")</f>
        <v/>
      </c>
      <c r="E489" s="52"/>
      <c r="F489" t="str">
        <f>IFERROR(XLOOKUP(C489,'Master Barang'!$A:$A,'Master Barang'!$D:$D,""),"")</f>
        <v/>
      </c>
    </row>
    <row r="490" spans="1:6">
      <c r="A490" s="49"/>
      <c r="D490" t="str">
        <f>IFERROR(XLOOKUP(C490,'Master Barang'!$A:$A,'Master Barang'!$B:$B,""),"")</f>
        <v/>
      </c>
      <c r="E490" s="52"/>
      <c r="F490" t="str">
        <f>IFERROR(XLOOKUP(C490,'Master Barang'!$A:$A,'Master Barang'!$D:$D,""),"")</f>
        <v/>
      </c>
    </row>
    <row r="491" spans="1:6">
      <c r="A491" s="49"/>
      <c r="D491" t="str">
        <f>IFERROR(XLOOKUP(C491,'Master Barang'!$A:$A,'Master Barang'!$B:$B,""),"")</f>
        <v/>
      </c>
      <c r="E491" s="52"/>
      <c r="F491" t="str">
        <f>IFERROR(XLOOKUP(C491,'Master Barang'!$A:$A,'Master Barang'!$D:$D,""),"")</f>
        <v/>
      </c>
    </row>
    <row r="492" spans="1:6">
      <c r="A492" s="49"/>
      <c r="D492" t="str">
        <f>IFERROR(XLOOKUP(C492,'Master Barang'!$A:$A,'Master Barang'!$B:$B,""),"")</f>
        <v/>
      </c>
      <c r="E492" s="52"/>
      <c r="F492" t="str">
        <f>IFERROR(XLOOKUP(C492,'Master Barang'!$A:$A,'Master Barang'!$D:$D,""),"")</f>
        <v/>
      </c>
    </row>
    <row r="493" spans="1:6">
      <c r="A493" s="49"/>
      <c r="D493" t="str">
        <f>IFERROR(XLOOKUP(C493,'Master Barang'!$A:$A,'Master Barang'!$B:$B,""),"")</f>
        <v/>
      </c>
      <c r="E493" s="52"/>
      <c r="F493" t="str">
        <f>IFERROR(XLOOKUP(C493,'Master Barang'!$A:$A,'Master Barang'!$D:$D,""),"")</f>
        <v/>
      </c>
    </row>
    <row r="494" spans="1:6">
      <c r="A494" s="49"/>
      <c r="D494" t="str">
        <f>IFERROR(XLOOKUP(C494,'Master Barang'!$A:$A,'Master Barang'!$B:$B,""),"")</f>
        <v/>
      </c>
      <c r="E494" s="52"/>
      <c r="F494" t="str">
        <f>IFERROR(XLOOKUP(C494,'Master Barang'!$A:$A,'Master Barang'!$D:$D,""),"")</f>
        <v/>
      </c>
    </row>
    <row r="495" spans="1:6">
      <c r="A495" s="49"/>
      <c r="D495" t="str">
        <f>IFERROR(XLOOKUP(C495,'Master Barang'!$A:$A,'Master Barang'!$B:$B,""),"")</f>
        <v/>
      </c>
      <c r="E495" s="52"/>
      <c r="F495" t="str">
        <f>IFERROR(XLOOKUP(C495,'Master Barang'!$A:$A,'Master Barang'!$D:$D,""),"")</f>
        <v/>
      </c>
    </row>
    <row r="496" spans="1:6">
      <c r="A496" s="49"/>
      <c r="D496" t="str">
        <f>IFERROR(XLOOKUP(C496,'Master Barang'!$A:$A,'Master Barang'!$B:$B,""),"")</f>
        <v/>
      </c>
      <c r="E496" s="52"/>
      <c r="F496" t="str">
        <f>IFERROR(XLOOKUP(C496,'Master Barang'!$A:$A,'Master Barang'!$D:$D,""),"")</f>
        <v/>
      </c>
    </row>
    <row r="497" spans="1:6">
      <c r="A497" s="49"/>
      <c r="D497" t="str">
        <f>IFERROR(XLOOKUP(C497,'Master Barang'!$A:$A,'Master Barang'!$B:$B,""),"")</f>
        <v/>
      </c>
      <c r="E497" s="52"/>
      <c r="F497" t="str">
        <f>IFERROR(XLOOKUP(C497,'Master Barang'!$A:$A,'Master Barang'!$D:$D,""),"")</f>
        <v/>
      </c>
    </row>
    <row r="498" spans="1:6">
      <c r="A498" s="49"/>
      <c r="D498" t="str">
        <f>IFERROR(XLOOKUP(C498,'Master Barang'!$A:$A,'Master Barang'!$B:$B,""),"")</f>
        <v/>
      </c>
      <c r="E498" s="52"/>
      <c r="F498" t="str">
        <f>IFERROR(XLOOKUP(C498,'Master Barang'!$A:$A,'Master Barang'!$D:$D,""),"")</f>
        <v/>
      </c>
    </row>
    <row r="499" spans="1:6">
      <c r="A499" s="49"/>
      <c r="D499" t="str">
        <f>IFERROR(XLOOKUP(C499,'Master Barang'!$A:$A,'Master Barang'!$B:$B,""),"")</f>
        <v/>
      </c>
      <c r="E499" s="52"/>
      <c r="F499" t="str">
        <f>IFERROR(XLOOKUP(C499,'Master Barang'!$A:$A,'Master Barang'!$D:$D,""),"")</f>
        <v/>
      </c>
    </row>
    <row r="500" spans="1:6">
      <c r="A500" s="49"/>
      <c r="D500" t="str">
        <f>IFERROR(XLOOKUP(C500,'Master Barang'!$A:$A,'Master Barang'!$B:$B,""),"")</f>
        <v/>
      </c>
      <c r="E500" s="52"/>
      <c r="F500" t="str">
        <f>IFERROR(XLOOKUP(C500,'Master Barang'!$A:$A,'Master Barang'!$D:$D,""),"")</f>
        <v/>
      </c>
    </row>
    <row r="501" spans="1:6">
      <c r="A501" s="49"/>
      <c r="D501" t="str">
        <f>IFERROR(XLOOKUP(C501,'Master Barang'!$A:$A,'Master Barang'!$B:$B,""),"")</f>
        <v/>
      </c>
      <c r="E501" s="52"/>
      <c r="F501" t="str">
        <f>IFERROR(XLOOKUP(C501,'Master Barang'!$A:$A,'Master Barang'!$D:$D,""),"")</f>
        <v/>
      </c>
    </row>
    <row r="502" spans="1:6">
      <c r="A502" s="49"/>
      <c r="D502" t="str">
        <f>IFERROR(XLOOKUP(C502,'Master Barang'!$A:$A,'Master Barang'!$B:$B,""),"")</f>
        <v/>
      </c>
      <c r="E502" s="52"/>
      <c r="F502" t="str">
        <f>IFERROR(XLOOKUP(C502,'Master Barang'!$A:$A,'Master Barang'!$D:$D,""),"")</f>
        <v/>
      </c>
    </row>
    <row r="503" spans="1:6">
      <c r="A503" s="49"/>
      <c r="D503" t="str">
        <f>IFERROR(XLOOKUP(C503,'Master Barang'!$A:$A,'Master Barang'!$B:$B,""),"")</f>
        <v/>
      </c>
      <c r="E503" s="52"/>
      <c r="F503" t="str">
        <f>IFERROR(XLOOKUP(C503,'Master Barang'!$A:$A,'Master Barang'!$D:$D,""),"")</f>
        <v/>
      </c>
    </row>
    <row r="504" spans="1:6">
      <c r="A504" s="49"/>
      <c r="D504" t="str">
        <f>IFERROR(XLOOKUP(C504,'Master Barang'!$A:$A,'Master Barang'!$B:$B,""),"")</f>
        <v/>
      </c>
      <c r="E504" s="52"/>
      <c r="F504" t="str">
        <f>IFERROR(XLOOKUP(C504,'Master Barang'!$A:$A,'Master Barang'!$D:$D,""),"")</f>
        <v/>
      </c>
    </row>
    <row r="505" spans="1:6">
      <c r="A505" s="49"/>
      <c r="D505" t="str">
        <f>IFERROR(XLOOKUP(C505,'Master Barang'!$A:$A,'Master Barang'!$B:$B,""),"")</f>
        <v/>
      </c>
      <c r="E505" s="52"/>
      <c r="F505" t="str">
        <f>IFERROR(XLOOKUP(C505,'Master Barang'!$A:$A,'Master Barang'!$D:$D,""),"")</f>
        <v/>
      </c>
    </row>
    <row r="506" spans="1:6">
      <c r="A506" s="49"/>
      <c r="D506" t="str">
        <f>IFERROR(XLOOKUP(C506,'Master Barang'!$A:$A,'Master Barang'!$B:$B,""),"")</f>
        <v/>
      </c>
      <c r="E506" s="52"/>
      <c r="F506" t="str">
        <f>IFERROR(XLOOKUP(C506,'Master Barang'!$A:$A,'Master Barang'!$D:$D,""),"")</f>
        <v/>
      </c>
    </row>
    <row r="507" spans="1:6">
      <c r="A507" s="49"/>
      <c r="D507" t="str">
        <f>IFERROR(XLOOKUP(C507,'Master Barang'!$A:$A,'Master Barang'!$B:$B,""),"")</f>
        <v/>
      </c>
      <c r="E507" s="52"/>
      <c r="F507" t="str">
        <f>IFERROR(XLOOKUP(C507,'Master Barang'!$A:$A,'Master Barang'!$D:$D,""),"")</f>
        <v/>
      </c>
    </row>
    <row r="508" spans="1:6">
      <c r="A508" s="49"/>
      <c r="D508" t="str">
        <f>IFERROR(XLOOKUP(C508,'Master Barang'!$A:$A,'Master Barang'!$B:$B,""),"")</f>
        <v/>
      </c>
      <c r="E508" s="52"/>
      <c r="F508" t="str">
        <f>IFERROR(XLOOKUP(C508,'Master Barang'!$A:$A,'Master Barang'!$D:$D,""),"")</f>
        <v/>
      </c>
    </row>
    <row r="509" spans="1:6">
      <c r="A509" s="49"/>
      <c r="D509" t="str">
        <f>IFERROR(XLOOKUP(C509,'Master Barang'!$A:$A,'Master Barang'!$B:$B,""),"")</f>
        <v/>
      </c>
      <c r="E509" s="52"/>
      <c r="F509" t="str">
        <f>IFERROR(XLOOKUP(C509,'Master Barang'!$A:$A,'Master Barang'!$D:$D,""),"")</f>
        <v/>
      </c>
    </row>
    <row r="510" spans="1:6">
      <c r="A510" s="49"/>
      <c r="D510" t="str">
        <f>IFERROR(XLOOKUP(C510,'Master Barang'!$A:$A,'Master Barang'!$B:$B,""),"")</f>
        <v/>
      </c>
      <c r="E510" s="52"/>
      <c r="F510" t="str">
        <f>IFERROR(XLOOKUP(C510,'Master Barang'!$A:$A,'Master Barang'!$D:$D,""),"")</f>
        <v/>
      </c>
    </row>
    <row r="511" spans="1:6">
      <c r="A511" s="49"/>
      <c r="D511" t="str">
        <f>IFERROR(XLOOKUP(C511,'Master Barang'!$A:$A,'Master Barang'!$B:$B,""),"")</f>
        <v/>
      </c>
      <c r="E511" s="52"/>
      <c r="F511" t="str">
        <f>IFERROR(XLOOKUP(C511,'Master Barang'!$A:$A,'Master Barang'!$D:$D,""),"")</f>
        <v/>
      </c>
    </row>
    <row r="512" spans="1:6">
      <c r="A512" s="49"/>
      <c r="D512" t="str">
        <f>IFERROR(XLOOKUP(C512,'Master Barang'!$A:$A,'Master Barang'!$B:$B,""),"")</f>
        <v/>
      </c>
      <c r="E512" s="52"/>
      <c r="F512" t="str">
        <f>IFERROR(XLOOKUP(C512,'Master Barang'!$A:$A,'Master Barang'!$D:$D,""),"")</f>
        <v/>
      </c>
    </row>
    <row r="513" spans="1:6">
      <c r="A513" s="49"/>
      <c r="D513" t="str">
        <f>IFERROR(XLOOKUP(C513,'Master Barang'!$A:$A,'Master Barang'!$B:$B,""),"")</f>
        <v/>
      </c>
      <c r="E513" s="52"/>
      <c r="F513" t="str">
        <f>IFERROR(XLOOKUP(C513,'Master Barang'!$A:$A,'Master Barang'!$D:$D,""),"")</f>
        <v/>
      </c>
    </row>
    <row r="514" spans="1:6">
      <c r="A514" s="49"/>
      <c r="D514" t="str">
        <f>IFERROR(XLOOKUP(C514,'Master Barang'!$A:$A,'Master Barang'!$B:$B,""),"")</f>
        <v/>
      </c>
      <c r="E514" s="52"/>
      <c r="F514" t="str">
        <f>IFERROR(XLOOKUP(C514,'Master Barang'!$A:$A,'Master Barang'!$D:$D,""),"")</f>
        <v/>
      </c>
    </row>
    <row r="515" spans="1:6">
      <c r="A515" s="49"/>
      <c r="D515" t="str">
        <f>IFERROR(XLOOKUP(C515,'Master Barang'!$A:$A,'Master Barang'!$B:$B,""),"")</f>
        <v/>
      </c>
      <c r="E515" s="52"/>
      <c r="F515" t="str">
        <f>IFERROR(XLOOKUP(C515,'Master Barang'!$A:$A,'Master Barang'!$D:$D,""),"")</f>
        <v/>
      </c>
    </row>
    <row r="516" spans="1:6">
      <c r="A516" s="49"/>
      <c r="D516" t="str">
        <f>IFERROR(XLOOKUP(C516,'Master Barang'!$A:$A,'Master Barang'!$B:$B,""),"")</f>
        <v/>
      </c>
      <c r="E516" s="52"/>
      <c r="F516" t="str">
        <f>IFERROR(XLOOKUP(C516,'Master Barang'!$A:$A,'Master Barang'!$D:$D,""),"")</f>
        <v/>
      </c>
    </row>
    <row r="517" spans="1:6">
      <c r="A517" s="49"/>
      <c r="D517" t="str">
        <f>IFERROR(XLOOKUP(C517,'Master Barang'!$A:$A,'Master Barang'!$B:$B,""),"")</f>
        <v/>
      </c>
      <c r="E517" s="52"/>
      <c r="F517" t="str">
        <f>IFERROR(XLOOKUP(C517,'Master Barang'!$A:$A,'Master Barang'!$D:$D,""),"")</f>
        <v/>
      </c>
    </row>
    <row r="518" spans="1:6">
      <c r="A518" s="49"/>
      <c r="D518" t="str">
        <f>IFERROR(XLOOKUP(C518,'Master Barang'!$A:$A,'Master Barang'!$B:$B,""),"")</f>
        <v/>
      </c>
      <c r="E518" s="52"/>
      <c r="F518" t="str">
        <f>IFERROR(XLOOKUP(C518,'Master Barang'!$A:$A,'Master Barang'!$D:$D,""),"")</f>
        <v/>
      </c>
    </row>
    <row r="519" spans="1:6">
      <c r="A519" s="49"/>
      <c r="D519" t="str">
        <f>IFERROR(XLOOKUP(C519,'Master Barang'!$A:$A,'Master Barang'!$B:$B,""),"")</f>
        <v/>
      </c>
      <c r="E519" s="52"/>
      <c r="F519" t="str">
        <f>IFERROR(XLOOKUP(C519,'Master Barang'!$A:$A,'Master Barang'!$D:$D,""),"")</f>
        <v/>
      </c>
    </row>
    <row r="520" spans="1:6">
      <c r="A520" s="49"/>
      <c r="D520" t="str">
        <f>IFERROR(XLOOKUP(C520,'Master Barang'!$A:$A,'Master Barang'!$B:$B,""),"")</f>
        <v/>
      </c>
      <c r="E520" s="52"/>
      <c r="F520" t="str">
        <f>IFERROR(XLOOKUP(C520,'Master Barang'!$A:$A,'Master Barang'!$D:$D,""),"")</f>
        <v/>
      </c>
    </row>
    <row r="521" spans="1:6">
      <c r="A521" s="49"/>
      <c r="D521" t="str">
        <f>IFERROR(XLOOKUP(C521,'Master Barang'!$A:$A,'Master Barang'!$B:$B,""),"")</f>
        <v/>
      </c>
      <c r="E521" s="52"/>
      <c r="F521" t="str">
        <f>IFERROR(XLOOKUP(C521,'Master Barang'!$A:$A,'Master Barang'!$D:$D,""),"")</f>
        <v/>
      </c>
    </row>
    <row r="522" spans="1:6">
      <c r="A522" s="49"/>
      <c r="D522" t="str">
        <f>IFERROR(XLOOKUP(C522,'Master Barang'!$A:$A,'Master Barang'!$B:$B,""),"")</f>
        <v/>
      </c>
      <c r="E522" s="52"/>
      <c r="F522" t="str">
        <f>IFERROR(XLOOKUP(C522,'Master Barang'!$A:$A,'Master Barang'!$D:$D,""),"")</f>
        <v/>
      </c>
    </row>
    <row r="523" spans="1:6">
      <c r="A523" s="49"/>
      <c r="D523" t="str">
        <f>IFERROR(XLOOKUP(C523,'Master Barang'!$A:$A,'Master Barang'!$B:$B,""),"")</f>
        <v/>
      </c>
      <c r="E523" s="52"/>
      <c r="F523" t="str">
        <f>IFERROR(XLOOKUP(C523,'Master Barang'!$A:$A,'Master Barang'!$D:$D,""),"")</f>
        <v/>
      </c>
    </row>
    <row r="524" spans="1:6">
      <c r="A524" s="49"/>
      <c r="D524" t="str">
        <f>IFERROR(XLOOKUP(C524,'Master Barang'!$A:$A,'Master Barang'!$B:$B,""),"")</f>
        <v/>
      </c>
      <c r="E524" s="52"/>
      <c r="F524" t="str">
        <f>IFERROR(XLOOKUP(C524,'Master Barang'!$A:$A,'Master Barang'!$D:$D,""),"")</f>
        <v/>
      </c>
    </row>
    <row r="525" spans="1:6">
      <c r="A525" s="49"/>
      <c r="D525" t="str">
        <f>IFERROR(XLOOKUP(C525,'Master Barang'!$A:$A,'Master Barang'!$B:$B,""),"")</f>
        <v/>
      </c>
      <c r="E525" s="52"/>
      <c r="F525" t="str">
        <f>IFERROR(XLOOKUP(C525,'Master Barang'!$A:$A,'Master Barang'!$D:$D,""),"")</f>
        <v/>
      </c>
    </row>
    <row r="526" spans="1:6">
      <c r="A526" s="49"/>
      <c r="D526" t="str">
        <f>IFERROR(XLOOKUP(C526,'Master Barang'!$A:$A,'Master Barang'!$B:$B,""),"")</f>
        <v/>
      </c>
      <c r="E526" s="52"/>
      <c r="F526" t="str">
        <f>IFERROR(XLOOKUP(C526,'Master Barang'!$A:$A,'Master Barang'!$D:$D,""),"")</f>
        <v/>
      </c>
    </row>
    <row r="527" spans="1:6">
      <c r="A527" s="49"/>
      <c r="D527" t="str">
        <f>IFERROR(XLOOKUP(C527,'Master Barang'!$A:$A,'Master Barang'!$B:$B,""),"")</f>
        <v/>
      </c>
      <c r="E527" s="52"/>
      <c r="F527" t="str">
        <f>IFERROR(XLOOKUP(C527,'Master Barang'!$A:$A,'Master Barang'!$D:$D,""),"")</f>
        <v/>
      </c>
    </row>
    <row r="528" spans="1:6">
      <c r="A528" s="49"/>
      <c r="D528" t="str">
        <f>IFERROR(XLOOKUP(C528,'Master Barang'!$A:$A,'Master Barang'!$B:$B,""),"")</f>
        <v/>
      </c>
      <c r="E528" s="52"/>
      <c r="F528" t="str">
        <f>IFERROR(XLOOKUP(C528,'Master Barang'!$A:$A,'Master Barang'!$D:$D,""),"")</f>
        <v/>
      </c>
    </row>
    <row r="529" spans="1:6">
      <c r="A529" s="49"/>
      <c r="D529" t="str">
        <f>IFERROR(XLOOKUP(C529,'Master Barang'!$A:$A,'Master Barang'!$B:$B,""),"")</f>
        <v/>
      </c>
      <c r="E529" s="52"/>
      <c r="F529" t="str">
        <f>IFERROR(XLOOKUP(C529,'Master Barang'!$A:$A,'Master Barang'!$D:$D,""),"")</f>
        <v/>
      </c>
    </row>
    <row r="530" spans="1:6">
      <c r="A530" s="49"/>
      <c r="D530" t="str">
        <f>IFERROR(XLOOKUP(C530,'Master Barang'!$A:$A,'Master Barang'!$B:$B,""),"")</f>
        <v/>
      </c>
      <c r="E530" s="52"/>
      <c r="F530" t="str">
        <f>IFERROR(XLOOKUP(C530,'Master Barang'!$A:$A,'Master Barang'!$D:$D,""),"")</f>
        <v/>
      </c>
    </row>
    <row r="531" spans="1:6">
      <c r="A531" s="49"/>
      <c r="D531" t="str">
        <f>IFERROR(XLOOKUP(C531,'Master Barang'!$A:$A,'Master Barang'!$B:$B,""),"")</f>
        <v/>
      </c>
      <c r="E531" s="52"/>
      <c r="F531" t="str">
        <f>IFERROR(XLOOKUP(C531,'Master Barang'!$A:$A,'Master Barang'!$D:$D,""),"")</f>
        <v/>
      </c>
    </row>
    <row r="532" spans="1:6">
      <c r="A532" s="49"/>
      <c r="D532" t="str">
        <f>IFERROR(XLOOKUP(C532,'Master Barang'!$A:$A,'Master Barang'!$B:$B,""),"")</f>
        <v/>
      </c>
      <c r="E532" s="52"/>
      <c r="F532" t="str">
        <f>IFERROR(XLOOKUP(C532,'Master Barang'!$A:$A,'Master Barang'!$D:$D,""),"")</f>
        <v/>
      </c>
    </row>
    <row r="533" spans="1:6">
      <c r="A533" s="49"/>
      <c r="D533" t="str">
        <f>IFERROR(XLOOKUP(C533,'Master Barang'!$A:$A,'Master Barang'!$B:$B,""),"")</f>
        <v/>
      </c>
      <c r="E533" s="52"/>
      <c r="F533" t="str">
        <f>IFERROR(XLOOKUP(C533,'Master Barang'!$A:$A,'Master Barang'!$D:$D,""),"")</f>
        <v/>
      </c>
    </row>
    <row r="534" spans="1:6">
      <c r="A534" s="49"/>
      <c r="D534" t="str">
        <f>IFERROR(XLOOKUP(C534,'Master Barang'!$A:$A,'Master Barang'!$B:$B,""),"")</f>
        <v/>
      </c>
      <c r="E534" s="52"/>
      <c r="F534" t="str">
        <f>IFERROR(XLOOKUP(C534,'Master Barang'!$A:$A,'Master Barang'!$D:$D,""),"")</f>
        <v/>
      </c>
    </row>
    <row r="535" spans="1:6">
      <c r="A535" s="49"/>
      <c r="D535" t="str">
        <f>IFERROR(XLOOKUP(C535,'Master Barang'!$A:$A,'Master Barang'!$B:$B,""),"")</f>
        <v/>
      </c>
      <c r="E535" s="52"/>
      <c r="F535" t="str">
        <f>IFERROR(XLOOKUP(C535,'Master Barang'!$A:$A,'Master Barang'!$D:$D,""),"")</f>
        <v/>
      </c>
    </row>
    <row r="536" spans="1:6">
      <c r="A536" s="49"/>
      <c r="D536" t="str">
        <f>IFERROR(XLOOKUP(C536,'Master Barang'!$A:$A,'Master Barang'!$B:$B,""),"")</f>
        <v/>
      </c>
      <c r="E536" s="52"/>
      <c r="F536" t="str">
        <f>IFERROR(XLOOKUP(C536,'Master Barang'!$A:$A,'Master Barang'!$D:$D,""),"")</f>
        <v/>
      </c>
    </row>
    <row r="537" spans="1:6">
      <c r="A537" s="49"/>
      <c r="D537" t="str">
        <f>IFERROR(XLOOKUP(C537,'Master Barang'!$A:$A,'Master Barang'!$B:$B,""),"")</f>
        <v/>
      </c>
      <c r="E537" s="52"/>
      <c r="F537" t="str">
        <f>IFERROR(XLOOKUP(C537,'Master Barang'!$A:$A,'Master Barang'!$D:$D,""),"")</f>
        <v/>
      </c>
    </row>
    <row r="538" spans="1:6">
      <c r="A538" s="49"/>
      <c r="D538" t="str">
        <f>IFERROR(XLOOKUP(C538,'Master Barang'!$A:$A,'Master Barang'!$B:$B,""),"")</f>
        <v/>
      </c>
      <c r="E538" s="52"/>
      <c r="F538" t="str">
        <f>IFERROR(XLOOKUP(C538,'Master Barang'!$A:$A,'Master Barang'!$D:$D,""),"")</f>
        <v/>
      </c>
    </row>
    <row r="539" spans="1:6">
      <c r="A539" s="49"/>
      <c r="D539" t="str">
        <f>IFERROR(XLOOKUP(C539,'Master Barang'!$A:$A,'Master Barang'!$B:$B,""),"")</f>
        <v/>
      </c>
      <c r="E539" s="52"/>
      <c r="F539" t="str">
        <f>IFERROR(XLOOKUP(C539,'Master Barang'!$A:$A,'Master Barang'!$D:$D,""),"")</f>
        <v/>
      </c>
    </row>
    <row r="540" spans="1:6">
      <c r="A540" s="49"/>
      <c r="D540" t="str">
        <f>IFERROR(XLOOKUP(C540,'Master Barang'!$A:$A,'Master Barang'!$B:$B,""),"")</f>
        <v/>
      </c>
      <c r="E540" s="52"/>
      <c r="F540" t="str">
        <f>IFERROR(XLOOKUP(C540,'Master Barang'!$A:$A,'Master Barang'!$D:$D,""),"")</f>
        <v/>
      </c>
    </row>
    <row r="541" spans="1:6">
      <c r="A541" s="49"/>
      <c r="D541" t="str">
        <f>IFERROR(XLOOKUP(C541,'Master Barang'!$A:$A,'Master Barang'!$B:$B,""),"")</f>
        <v/>
      </c>
      <c r="E541" s="52"/>
      <c r="F541" t="str">
        <f>IFERROR(XLOOKUP(C541,'Master Barang'!$A:$A,'Master Barang'!$D:$D,""),"")</f>
        <v/>
      </c>
    </row>
    <row r="542" spans="1:6">
      <c r="A542" s="49"/>
      <c r="D542" t="str">
        <f>IFERROR(XLOOKUP(C542,'Master Barang'!$A:$A,'Master Barang'!$B:$B,""),"")</f>
        <v/>
      </c>
      <c r="E542" s="52"/>
      <c r="F542" t="str">
        <f>IFERROR(XLOOKUP(C542,'Master Barang'!$A:$A,'Master Barang'!$D:$D,""),"")</f>
        <v/>
      </c>
    </row>
    <row r="543" spans="1:6">
      <c r="A543" s="49"/>
      <c r="D543" t="str">
        <f>IFERROR(XLOOKUP(C543,'Master Barang'!$A:$A,'Master Barang'!$B:$B,""),"")</f>
        <v/>
      </c>
      <c r="E543" s="52"/>
      <c r="F543" t="str">
        <f>IFERROR(XLOOKUP(C543,'Master Barang'!$A:$A,'Master Barang'!$D:$D,""),"")</f>
        <v/>
      </c>
    </row>
    <row r="544" spans="1:6">
      <c r="A544" s="49"/>
      <c r="D544" t="str">
        <f>IFERROR(XLOOKUP(C544,'Master Barang'!$A:$A,'Master Barang'!$B:$B,""),"")</f>
        <v/>
      </c>
      <c r="E544" s="52"/>
      <c r="F544" t="str">
        <f>IFERROR(XLOOKUP(C544,'Master Barang'!$A:$A,'Master Barang'!$D:$D,""),"")</f>
        <v/>
      </c>
    </row>
    <row r="545" spans="1:6">
      <c r="A545" s="49"/>
      <c r="D545" t="str">
        <f>IFERROR(XLOOKUP(C545,'Master Barang'!$A:$A,'Master Barang'!$B:$B,""),"")</f>
        <v/>
      </c>
      <c r="E545" s="52"/>
      <c r="F545" t="str">
        <f>IFERROR(XLOOKUP(C545,'Master Barang'!$A:$A,'Master Barang'!$D:$D,""),"")</f>
        <v/>
      </c>
    </row>
    <row r="546" spans="1:6">
      <c r="A546" s="49"/>
      <c r="D546" t="str">
        <f>IFERROR(XLOOKUP(C546,'Master Barang'!$A:$A,'Master Barang'!$B:$B,""),"")</f>
        <v/>
      </c>
      <c r="E546" s="52"/>
      <c r="F546" t="str">
        <f>IFERROR(XLOOKUP(C546,'Master Barang'!$A:$A,'Master Barang'!$D:$D,""),"")</f>
        <v/>
      </c>
    </row>
    <row r="547" spans="1:6">
      <c r="A547" s="49"/>
      <c r="D547" t="str">
        <f>IFERROR(XLOOKUP(C547,'Master Barang'!$A:$A,'Master Barang'!$B:$B,""),"")</f>
        <v/>
      </c>
      <c r="E547" s="52"/>
      <c r="F547" t="str">
        <f>IFERROR(XLOOKUP(C547,'Master Barang'!$A:$A,'Master Barang'!$D:$D,""),"")</f>
        <v/>
      </c>
    </row>
    <row r="548" spans="1:6">
      <c r="A548" s="49"/>
      <c r="D548" t="str">
        <f>IFERROR(XLOOKUP(C548,'Master Barang'!$A:$A,'Master Barang'!$B:$B,""),"")</f>
        <v/>
      </c>
      <c r="E548" s="52"/>
      <c r="F548" t="str">
        <f>IFERROR(XLOOKUP(C548,'Master Barang'!$A:$A,'Master Barang'!$D:$D,""),"")</f>
        <v/>
      </c>
    </row>
    <row r="549" spans="1:6">
      <c r="A549" s="49"/>
      <c r="D549" t="str">
        <f>IFERROR(XLOOKUP(C549,'Master Barang'!$A:$A,'Master Barang'!$B:$B,""),"")</f>
        <v/>
      </c>
      <c r="E549" s="52"/>
      <c r="F549" t="str">
        <f>IFERROR(XLOOKUP(C549,'Master Barang'!$A:$A,'Master Barang'!$D:$D,""),"")</f>
        <v/>
      </c>
    </row>
    <row r="550" spans="1:6">
      <c r="A550" s="49"/>
      <c r="D550" t="str">
        <f>IFERROR(XLOOKUP(C550,'Master Barang'!$A:$A,'Master Barang'!$B:$B,""),"")</f>
        <v/>
      </c>
      <c r="E550" s="52"/>
      <c r="F550" t="str">
        <f>IFERROR(XLOOKUP(C550,'Master Barang'!$A:$A,'Master Barang'!$D:$D,""),"")</f>
        <v/>
      </c>
    </row>
    <row r="551" spans="1:6">
      <c r="A551" s="49"/>
      <c r="D551" t="str">
        <f>IFERROR(XLOOKUP(C551,'Master Barang'!$A:$A,'Master Barang'!$B:$B,""),"")</f>
        <v/>
      </c>
      <c r="E551" s="52"/>
      <c r="F551" t="str">
        <f>IFERROR(XLOOKUP(C551,'Master Barang'!$A:$A,'Master Barang'!$D:$D,""),"")</f>
        <v/>
      </c>
    </row>
    <row r="552" spans="1:6">
      <c r="A552" s="49"/>
      <c r="D552" t="str">
        <f>IFERROR(XLOOKUP(C552,'Master Barang'!$A:$A,'Master Barang'!$B:$B,""),"")</f>
        <v/>
      </c>
      <c r="E552" s="52"/>
      <c r="F552" t="str">
        <f>IFERROR(XLOOKUP(C552,'Master Barang'!$A:$A,'Master Barang'!$D:$D,""),"")</f>
        <v/>
      </c>
    </row>
    <row r="553" spans="1:6">
      <c r="A553" s="49"/>
      <c r="D553" t="str">
        <f>IFERROR(XLOOKUP(C553,'Master Barang'!$A:$A,'Master Barang'!$B:$B,""),"")</f>
        <v/>
      </c>
      <c r="E553" s="52"/>
      <c r="F553" t="str">
        <f>IFERROR(XLOOKUP(C553,'Master Barang'!$A:$A,'Master Barang'!$D:$D,""),"")</f>
        <v/>
      </c>
    </row>
    <row r="554" spans="1:6">
      <c r="A554" s="49"/>
      <c r="D554" t="str">
        <f>IFERROR(XLOOKUP(C554,'Master Barang'!$A:$A,'Master Barang'!$B:$B,""),"")</f>
        <v/>
      </c>
      <c r="E554" s="52"/>
      <c r="F554" t="str">
        <f>IFERROR(XLOOKUP(C554,'Master Barang'!$A:$A,'Master Barang'!$D:$D,""),"")</f>
        <v/>
      </c>
    </row>
    <row r="555" spans="1:6">
      <c r="A555" s="49"/>
      <c r="D555" t="str">
        <f>IFERROR(XLOOKUP(C555,'Master Barang'!$A:$A,'Master Barang'!$B:$B,""),"")</f>
        <v/>
      </c>
      <c r="E555" s="52"/>
      <c r="F555" t="str">
        <f>IFERROR(XLOOKUP(C555,'Master Barang'!$A:$A,'Master Barang'!$D:$D,""),"")</f>
        <v/>
      </c>
    </row>
    <row r="556" spans="1:6">
      <c r="A556" s="49"/>
      <c r="D556" t="str">
        <f>IFERROR(XLOOKUP(C556,'Master Barang'!$A:$A,'Master Barang'!$B:$B,""),"")</f>
        <v/>
      </c>
      <c r="E556" s="52"/>
      <c r="F556" t="str">
        <f>IFERROR(XLOOKUP(C556,'Master Barang'!$A:$A,'Master Barang'!$D:$D,""),"")</f>
        <v/>
      </c>
    </row>
    <row r="557" spans="1:6">
      <c r="A557" s="49"/>
      <c r="D557" t="str">
        <f>IFERROR(XLOOKUP(C557,'Master Barang'!$A:$A,'Master Barang'!$B:$B,""),"")</f>
        <v/>
      </c>
      <c r="E557" s="52"/>
      <c r="F557" t="str">
        <f>IFERROR(XLOOKUP(C557,'Master Barang'!$A:$A,'Master Barang'!$D:$D,""),"")</f>
        <v/>
      </c>
    </row>
    <row r="558" spans="1:6">
      <c r="A558" s="49"/>
      <c r="D558" t="str">
        <f>IFERROR(XLOOKUP(C558,'Master Barang'!$A:$A,'Master Barang'!$B:$B,""),"")</f>
        <v/>
      </c>
      <c r="E558" s="52"/>
      <c r="F558" t="str">
        <f>IFERROR(XLOOKUP(C558,'Master Barang'!$A:$A,'Master Barang'!$D:$D,""),"")</f>
        <v/>
      </c>
    </row>
    <row r="559" spans="1:6">
      <c r="A559" s="49"/>
      <c r="D559" t="str">
        <f>IFERROR(XLOOKUP(C559,'Master Barang'!$A:$A,'Master Barang'!$B:$B,""),"")</f>
        <v/>
      </c>
      <c r="E559" s="52"/>
      <c r="F559" t="str">
        <f>IFERROR(XLOOKUP(C559,'Master Barang'!$A:$A,'Master Barang'!$D:$D,""),"")</f>
        <v/>
      </c>
    </row>
    <row r="560" spans="1:6">
      <c r="A560" s="49"/>
      <c r="D560" t="str">
        <f>IFERROR(XLOOKUP(C560,'Master Barang'!$A:$A,'Master Barang'!$B:$B,""),"")</f>
        <v/>
      </c>
      <c r="E560" s="52"/>
      <c r="F560" t="str">
        <f>IFERROR(XLOOKUP(C560,'Master Barang'!$A:$A,'Master Barang'!$D:$D,""),"")</f>
        <v/>
      </c>
    </row>
    <row r="561" spans="1:6">
      <c r="A561" s="49"/>
      <c r="D561" t="str">
        <f>IFERROR(XLOOKUP(C561,'Master Barang'!$A:$A,'Master Barang'!$B:$B,""),"")</f>
        <v/>
      </c>
      <c r="E561" s="52"/>
      <c r="F561" t="str">
        <f>IFERROR(XLOOKUP(C561,'Master Barang'!$A:$A,'Master Barang'!$D:$D,""),"")</f>
        <v/>
      </c>
    </row>
    <row r="562" spans="1:6">
      <c r="A562" s="49"/>
      <c r="D562" t="str">
        <f>IFERROR(XLOOKUP(C562,'Master Barang'!$A:$A,'Master Barang'!$B:$B,""),"")</f>
        <v/>
      </c>
      <c r="E562" s="52"/>
      <c r="F562" t="str">
        <f>IFERROR(XLOOKUP(C562,'Master Barang'!$A:$A,'Master Barang'!$D:$D,""),"")</f>
        <v/>
      </c>
    </row>
    <row r="563" spans="1:6">
      <c r="A563" s="49"/>
      <c r="D563" t="str">
        <f>IFERROR(XLOOKUP(C563,'Master Barang'!$A:$A,'Master Barang'!$B:$B,""),"")</f>
        <v/>
      </c>
      <c r="E563" s="52"/>
      <c r="F563" t="str">
        <f>IFERROR(XLOOKUP(C563,'Master Barang'!$A:$A,'Master Barang'!$D:$D,""),"")</f>
        <v/>
      </c>
    </row>
    <row r="564" spans="1:6">
      <c r="A564" s="49"/>
      <c r="D564" t="str">
        <f>IFERROR(XLOOKUP(C564,'Master Barang'!$A:$A,'Master Barang'!$B:$B,""),"")</f>
        <v/>
      </c>
      <c r="E564" s="52"/>
      <c r="F564" t="str">
        <f>IFERROR(XLOOKUP(C564,'Master Barang'!$A:$A,'Master Barang'!$D:$D,""),"")</f>
        <v/>
      </c>
    </row>
    <row r="565" spans="1:6">
      <c r="A565" s="49"/>
      <c r="D565" t="str">
        <f>IFERROR(XLOOKUP(C565,'Master Barang'!$A:$A,'Master Barang'!$B:$B,""),"")</f>
        <v/>
      </c>
      <c r="E565" s="52"/>
      <c r="F565" t="str">
        <f>IFERROR(XLOOKUP(C565,'Master Barang'!$A:$A,'Master Barang'!$D:$D,""),"")</f>
        <v/>
      </c>
    </row>
    <row r="566" spans="1:6">
      <c r="A566" s="49"/>
      <c r="D566" t="str">
        <f>IFERROR(XLOOKUP(C566,'Master Barang'!$A:$A,'Master Barang'!$B:$B,""),"")</f>
        <v/>
      </c>
      <c r="E566" s="52"/>
      <c r="F566" t="str">
        <f>IFERROR(XLOOKUP(C566,'Master Barang'!$A:$A,'Master Barang'!$D:$D,""),"")</f>
        <v/>
      </c>
    </row>
    <row r="567" spans="1:6">
      <c r="A567" s="49"/>
      <c r="D567" t="str">
        <f>IFERROR(XLOOKUP(C567,'Master Barang'!$A:$A,'Master Barang'!$B:$B,""),"")</f>
        <v/>
      </c>
      <c r="E567" s="52"/>
      <c r="F567" t="str">
        <f>IFERROR(XLOOKUP(C567,'Master Barang'!$A:$A,'Master Barang'!$D:$D,""),"")</f>
        <v/>
      </c>
    </row>
    <row r="568" spans="1:6">
      <c r="A568" s="49"/>
      <c r="D568" t="str">
        <f>IFERROR(XLOOKUP(C568,'Master Barang'!$A:$A,'Master Barang'!$B:$B,""),"")</f>
        <v/>
      </c>
      <c r="E568" s="52"/>
      <c r="F568" t="str">
        <f>IFERROR(XLOOKUP(C568,'Master Barang'!$A:$A,'Master Barang'!$D:$D,""),"")</f>
        <v/>
      </c>
    </row>
    <row r="569" spans="1:6">
      <c r="A569" s="49"/>
      <c r="D569" t="str">
        <f>IFERROR(XLOOKUP(C569,'Master Barang'!$A:$A,'Master Barang'!$B:$B,""),"")</f>
        <v/>
      </c>
      <c r="E569" s="52"/>
      <c r="F569" t="str">
        <f>IFERROR(XLOOKUP(C569,'Master Barang'!$A:$A,'Master Barang'!$D:$D,""),"")</f>
        <v/>
      </c>
    </row>
    <row r="570" spans="1:6">
      <c r="A570" s="49"/>
      <c r="D570" t="str">
        <f>IFERROR(XLOOKUP(C570,'Master Barang'!$A:$A,'Master Barang'!$B:$B,""),"")</f>
        <v/>
      </c>
      <c r="E570" s="52"/>
      <c r="F570" t="str">
        <f>IFERROR(XLOOKUP(C570,'Master Barang'!$A:$A,'Master Barang'!$D:$D,""),"")</f>
        <v/>
      </c>
    </row>
    <row r="571" spans="1:6">
      <c r="A571" s="49"/>
      <c r="D571" t="str">
        <f>IFERROR(XLOOKUP(C571,'Master Barang'!$A:$A,'Master Barang'!$B:$B,""),"")</f>
        <v/>
      </c>
      <c r="E571" s="52"/>
      <c r="F571" t="str">
        <f>IFERROR(XLOOKUP(C571,'Master Barang'!$A:$A,'Master Barang'!$D:$D,""),"")</f>
        <v/>
      </c>
    </row>
    <row r="572" spans="1:6">
      <c r="A572" s="49"/>
      <c r="D572" t="str">
        <f>IFERROR(XLOOKUP(C572,'Master Barang'!$A:$A,'Master Barang'!$B:$B,""),"")</f>
        <v/>
      </c>
      <c r="E572" s="52"/>
      <c r="F572" t="str">
        <f>IFERROR(XLOOKUP(C572,'Master Barang'!$A:$A,'Master Barang'!$D:$D,""),"")</f>
        <v/>
      </c>
    </row>
    <row r="573" spans="1:6">
      <c r="A573" s="49"/>
      <c r="D573" t="str">
        <f>IFERROR(XLOOKUP(C573,'Master Barang'!$A:$A,'Master Barang'!$B:$B,""),"")</f>
        <v/>
      </c>
      <c r="E573" s="52"/>
      <c r="F573" t="str">
        <f>IFERROR(XLOOKUP(C573,'Master Barang'!$A:$A,'Master Barang'!$D:$D,""),"")</f>
        <v/>
      </c>
    </row>
    <row r="574" spans="1:6">
      <c r="A574" s="49"/>
      <c r="D574" t="str">
        <f>IFERROR(XLOOKUP(C574,'Master Barang'!$A:$A,'Master Barang'!$B:$B,""),"")</f>
        <v/>
      </c>
      <c r="E574" s="52"/>
      <c r="F574" t="str">
        <f>IFERROR(XLOOKUP(C574,'Master Barang'!$A:$A,'Master Barang'!$D:$D,""),"")</f>
        <v/>
      </c>
    </row>
    <row r="575" spans="1:6">
      <c r="A575" s="49"/>
      <c r="D575" t="str">
        <f>IFERROR(XLOOKUP(C575,'Master Barang'!$A:$A,'Master Barang'!$B:$B,""),"")</f>
        <v/>
      </c>
      <c r="E575" s="52"/>
      <c r="F575" t="str">
        <f>IFERROR(XLOOKUP(C575,'Master Barang'!$A:$A,'Master Barang'!$D:$D,""),"")</f>
        <v/>
      </c>
    </row>
    <row r="576" spans="1:6">
      <c r="A576" s="49"/>
      <c r="D576" t="str">
        <f>IFERROR(XLOOKUP(C576,'Master Barang'!$A:$A,'Master Barang'!$B:$B,""),"")</f>
        <v/>
      </c>
      <c r="E576" s="52"/>
      <c r="F576" t="str">
        <f>IFERROR(XLOOKUP(C576,'Master Barang'!$A:$A,'Master Barang'!$D:$D,""),"")</f>
        <v/>
      </c>
    </row>
    <row r="577" spans="1:6">
      <c r="A577" s="49"/>
      <c r="D577" t="str">
        <f>IFERROR(XLOOKUP(C577,'Master Barang'!$A:$A,'Master Barang'!$B:$B,""),"")</f>
        <v/>
      </c>
      <c r="E577" s="52"/>
      <c r="F577" t="str">
        <f>IFERROR(XLOOKUP(C577,'Master Barang'!$A:$A,'Master Barang'!$D:$D,""),"")</f>
        <v/>
      </c>
    </row>
    <row r="578" spans="1:6">
      <c r="A578" s="49"/>
      <c r="D578" t="str">
        <f>IFERROR(XLOOKUP(C578,'Master Barang'!$A:$A,'Master Barang'!$B:$B,""),"")</f>
        <v/>
      </c>
      <c r="E578" s="52"/>
      <c r="F578" t="str">
        <f>IFERROR(XLOOKUP(C578,'Master Barang'!$A:$A,'Master Barang'!$D:$D,""),"")</f>
        <v/>
      </c>
    </row>
    <row r="579" spans="1:6">
      <c r="A579" s="49"/>
      <c r="D579" t="str">
        <f>IFERROR(XLOOKUP(C579,'Master Barang'!$A:$A,'Master Barang'!$B:$B,""),"")</f>
        <v/>
      </c>
      <c r="E579" s="52"/>
      <c r="F579" t="str">
        <f>IFERROR(XLOOKUP(C579,'Master Barang'!$A:$A,'Master Barang'!$D:$D,""),"")</f>
        <v/>
      </c>
    </row>
    <row r="580" spans="1:6">
      <c r="A580" s="49"/>
      <c r="D580" t="str">
        <f>IFERROR(XLOOKUP(C580,'Master Barang'!$A:$A,'Master Barang'!$B:$B,""),"")</f>
        <v/>
      </c>
      <c r="E580" s="52"/>
      <c r="F580" t="str">
        <f>IFERROR(XLOOKUP(C580,'Master Barang'!$A:$A,'Master Barang'!$D:$D,""),"")</f>
        <v/>
      </c>
    </row>
    <row r="581" spans="1:6">
      <c r="A581" s="49"/>
      <c r="D581" t="str">
        <f>IFERROR(XLOOKUP(C581,'Master Barang'!$A:$A,'Master Barang'!$B:$B,""),"")</f>
        <v/>
      </c>
      <c r="E581" s="52"/>
      <c r="F581" t="str">
        <f>IFERROR(XLOOKUP(C581,'Master Barang'!$A:$A,'Master Barang'!$D:$D,""),"")</f>
        <v/>
      </c>
    </row>
    <row r="582" spans="1:6">
      <c r="A582" s="49"/>
      <c r="D582" t="str">
        <f>IFERROR(XLOOKUP(C582,'Master Barang'!$A:$A,'Master Barang'!$B:$B,""),"")</f>
        <v/>
      </c>
      <c r="E582" s="52"/>
      <c r="F582" t="str">
        <f>IFERROR(XLOOKUP(C582,'Master Barang'!$A:$A,'Master Barang'!$D:$D,""),"")</f>
        <v/>
      </c>
    </row>
    <row r="583" spans="1:6">
      <c r="A583" s="49"/>
      <c r="D583" t="str">
        <f>IFERROR(XLOOKUP(C583,'Master Barang'!$A:$A,'Master Barang'!$B:$B,""),"")</f>
        <v/>
      </c>
      <c r="E583" s="52"/>
      <c r="F583" t="str">
        <f>IFERROR(XLOOKUP(C583,'Master Barang'!$A:$A,'Master Barang'!$D:$D,""),"")</f>
        <v/>
      </c>
    </row>
    <row r="584" spans="1:6">
      <c r="A584" s="49"/>
      <c r="D584" t="str">
        <f>IFERROR(XLOOKUP(C584,'Master Barang'!$A:$A,'Master Barang'!$B:$B,""),"")</f>
        <v/>
      </c>
      <c r="E584" s="52"/>
      <c r="F584" t="str">
        <f>IFERROR(XLOOKUP(C584,'Master Barang'!$A:$A,'Master Barang'!$D:$D,""),"")</f>
        <v/>
      </c>
    </row>
    <row r="585" spans="1:6">
      <c r="A585" s="49"/>
      <c r="D585" t="str">
        <f>IFERROR(XLOOKUP(C585,'Master Barang'!$A:$A,'Master Barang'!$B:$B,""),"")</f>
        <v/>
      </c>
      <c r="E585" s="52"/>
      <c r="F585" t="str">
        <f>IFERROR(XLOOKUP(C585,'Master Barang'!$A:$A,'Master Barang'!$D:$D,""),"")</f>
        <v/>
      </c>
    </row>
    <row r="586" spans="1:6">
      <c r="A586" s="49"/>
      <c r="D586" t="str">
        <f>IFERROR(XLOOKUP(C586,'Master Barang'!$A:$A,'Master Barang'!$B:$B,""),"")</f>
        <v/>
      </c>
      <c r="E586" s="52"/>
      <c r="F586" t="str">
        <f>IFERROR(XLOOKUP(C586,'Master Barang'!$A:$A,'Master Barang'!$D:$D,""),"")</f>
        <v/>
      </c>
    </row>
    <row r="587" spans="1:6">
      <c r="A587" s="49"/>
      <c r="D587" t="str">
        <f>IFERROR(XLOOKUP(C587,'Master Barang'!$A:$A,'Master Barang'!$B:$B,""),"")</f>
        <v/>
      </c>
      <c r="E587" s="52"/>
      <c r="F587" t="str">
        <f>IFERROR(XLOOKUP(C587,'Master Barang'!$A:$A,'Master Barang'!$D:$D,""),"")</f>
        <v/>
      </c>
    </row>
    <row r="588" spans="1:6">
      <c r="A588" s="49"/>
      <c r="D588" t="str">
        <f>IFERROR(XLOOKUP(C588,'Master Barang'!$A:$A,'Master Barang'!$B:$B,""),"")</f>
        <v/>
      </c>
      <c r="E588" s="52"/>
      <c r="F588" t="str">
        <f>IFERROR(XLOOKUP(C588,'Master Barang'!$A:$A,'Master Barang'!$D:$D,""),"")</f>
        <v/>
      </c>
    </row>
    <row r="589" spans="1:6">
      <c r="A589" s="49"/>
      <c r="D589" t="str">
        <f>IFERROR(XLOOKUP(C589,'Master Barang'!$A:$A,'Master Barang'!$B:$B,""),"")</f>
        <v/>
      </c>
      <c r="E589" s="52"/>
      <c r="F589" t="str">
        <f>IFERROR(XLOOKUP(C589,'Master Barang'!$A:$A,'Master Barang'!$D:$D,""),"")</f>
        <v/>
      </c>
    </row>
    <row r="590" spans="1:6">
      <c r="A590" s="49"/>
      <c r="D590" t="str">
        <f>IFERROR(XLOOKUP(C590,'Master Barang'!$A:$A,'Master Barang'!$B:$B,""),"")</f>
        <v/>
      </c>
      <c r="E590" s="52"/>
      <c r="F590" t="str">
        <f>IFERROR(XLOOKUP(C590,'Master Barang'!$A:$A,'Master Barang'!$D:$D,""),"")</f>
        <v/>
      </c>
    </row>
    <row r="591" spans="1:6">
      <c r="A591" s="49"/>
      <c r="D591" t="str">
        <f>IFERROR(XLOOKUP(C591,'Master Barang'!$A:$A,'Master Barang'!$B:$B,""),"")</f>
        <v/>
      </c>
      <c r="E591" s="52"/>
      <c r="F591" t="str">
        <f>IFERROR(XLOOKUP(C591,'Master Barang'!$A:$A,'Master Barang'!$D:$D,""),"")</f>
        <v/>
      </c>
    </row>
    <row r="592" spans="1:6">
      <c r="A592" s="49"/>
      <c r="D592" t="str">
        <f>IFERROR(XLOOKUP(C592,'Master Barang'!$A:$A,'Master Barang'!$B:$B,""),"")</f>
        <v/>
      </c>
      <c r="E592" s="52"/>
      <c r="F592" t="str">
        <f>IFERROR(XLOOKUP(C592,'Master Barang'!$A:$A,'Master Barang'!$D:$D,""),"")</f>
        <v/>
      </c>
    </row>
    <row r="593" spans="1:6">
      <c r="A593" s="49"/>
      <c r="D593" t="str">
        <f>IFERROR(XLOOKUP(C593,'Master Barang'!$A:$A,'Master Barang'!$B:$B,""),"")</f>
        <v/>
      </c>
      <c r="E593" s="52"/>
      <c r="F593" t="str">
        <f>IFERROR(XLOOKUP(C593,'Master Barang'!$A:$A,'Master Barang'!$D:$D,""),"")</f>
        <v/>
      </c>
    </row>
    <row r="594" spans="1:6">
      <c r="A594" s="49"/>
      <c r="D594" t="str">
        <f>IFERROR(XLOOKUP(C594,'Master Barang'!$A:$A,'Master Barang'!$B:$B,""),"")</f>
        <v/>
      </c>
      <c r="E594" s="52"/>
      <c r="F594" t="str">
        <f>IFERROR(XLOOKUP(C594,'Master Barang'!$A:$A,'Master Barang'!$D:$D,""),"")</f>
        <v/>
      </c>
    </row>
    <row r="595" spans="1:6">
      <c r="A595" s="49"/>
      <c r="D595" t="str">
        <f>IFERROR(XLOOKUP(C595,'Master Barang'!$A:$A,'Master Barang'!$B:$B,""),"")</f>
        <v/>
      </c>
      <c r="E595" s="52"/>
      <c r="F595" t="str">
        <f>IFERROR(XLOOKUP(C595,'Master Barang'!$A:$A,'Master Barang'!$D:$D,""),"")</f>
        <v/>
      </c>
    </row>
    <row r="596" spans="1:6">
      <c r="A596" s="49"/>
      <c r="D596" t="str">
        <f>IFERROR(XLOOKUP(C596,'Master Barang'!$A:$A,'Master Barang'!$B:$B,""),"")</f>
        <v/>
      </c>
      <c r="E596" s="52"/>
      <c r="F596" t="str">
        <f>IFERROR(XLOOKUP(C596,'Master Barang'!$A:$A,'Master Barang'!$D:$D,""),"")</f>
        <v/>
      </c>
    </row>
    <row r="597" spans="1:6">
      <c r="A597" s="49"/>
      <c r="D597" t="str">
        <f>IFERROR(XLOOKUP(C597,'Master Barang'!$A:$A,'Master Barang'!$B:$B,""),"")</f>
        <v/>
      </c>
      <c r="E597" s="52"/>
      <c r="F597" t="str">
        <f>IFERROR(XLOOKUP(C597,'Master Barang'!$A:$A,'Master Barang'!$D:$D,""),"")</f>
        <v/>
      </c>
    </row>
    <row r="598" spans="1:6">
      <c r="A598" s="49"/>
      <c r="D598" t="str">
        <f>IFERROR(XLOOKUP(C598,'Master Barang'!$A:$A,'Master Barang'!$B:$B,""),"")</f>
        <v/>
      </c>
      <c r="E598" s="52"/>
      <c r="F598" t="str">
        <f>IFERROR(XLOOKUP(C598,'Master Barang'!$A:$A,'Master Barang'!$D:$D,""),"")</f>
        <v/>
      </c>
    </row>
    <row r="599" spans="1:6">
      <c r="A599" s="49"/>
      <c r="D599" t="str">
        <f>IFERROR(XLOOKUP(C599,'Master Barang'!$A:$A,'Master Barang'!$B:$B,""),"")</f>
        <v/>
      </c>
      <c r="E599" s="52"/>
      <c r="F599" t="str">
        <f>IFERROR(XLOOKUP(C599,'Master Barang'!$A:$A,'Master Barang'!$D:$D,""),"")</f>
        <v/>
      </c>
    </row>
    <row r="600" spans="1:6">
      <c r="A600" s="49"/>
      <c r="D600" t="str">
        <f>IFERROR(XLOOKUP(C600,'Master Barang'!$A:$A,'Master Barang'!$B:$B,""),"")</f>
        <v/>
      </c>
      <c r="E600" s="52"/>
      <c r="F600" t="str">
        <f>IFERROR(XLOOKUP(C600,'Master Barang'!$A:$A,'Master Barang'!$D:$D,""),"")</f>
        <v/>
      </c>
    </row>
    <row r="601" spans="1:6">
      <c r="A601" s="49"/>
      <c r="D601" t="str">
        <f>IFERROR(XLOOKUP(C601,'Master Barang'!$A:$A,'Master Barang'!$B:$B,""),"")</f>
        <v/>
      </c>
      <c r="E601" s="52"/>
      <c r="F601" t="str">
        <f>IFERROR(XLOOKUP(C601,'Master Barang'!$A:$A,'Master Barang'!$D:$D,""),"")</f>
        <v/>
      </c>
    </row>
    <row r="602" spans="1:6">
      <c r="A602" s="49"/>
      <c r="D602" t="str">
        <f>IFERROR(XLOOKUP(C602,'Master Barang'!$A:$A,'Master Barang'!$B:$B,""),"")</f>
        <v/>
      </c>
      <c r="E602" s="52"/>
      <c r="F602" t="str">
        <f>IFERROR(XLOOKUP(C602,'Master Barang'!$A:$A,'Master Barang'!$D:$D,""),"")</f>
        <v/>
      </c>
    </row>
    <row r="603" spans="1:6">
      <c r="A603" s="49"/>
      <c r="D603" t="str">
        <f>IFERROR(XLOOKUP(C603,'Master Barang'!$A:$A,'Master Barang'!$B:$B,""),"")</f>
        <v/>
      </c>
      <c r="E603" s="52"/>
      <c r="F603" t="str">
        <f>IFERROR(XLOOKUP(C603,'Master Barang'!$A:$A,'Master Barang'!$D:$D,""),"")</f>
        <v/>
      </c>
    </row>
    <row r="604" spans="1:6">
      <c r="A604" s="49"/>
      <c r="D604" t="str">
        <f>IFERROR(XLOOKUP(C604,'Master Barang'!$A:$A,'Master Barang'!$B:$B,""),"")</f>
        <v/>
      </c>
      <c r="E604" s="52"/>
      <c r="F604" t="str">
        <f>IFERROR(XLOOKUP(C604,'Master Barang'!$A:$A,'Master Barang'!$D:$D,""),"")</f>
        <v/>
      </c>
    </row>
    <row r="605" spans="1:6">
      <c r="A605" s="49"/>
      <c r="D605" t="str">
        <f>IFERROR(XLOOKUP(C605,'Master Barang'!$A:$A,'Master Barang'!$B:$B,""),"")</f>
        <v/>
      </c>
      <c r="E605" s="52"/>
      <c r="F605" t="str">
        <f>IFERROR(XLOOKUP(C605,'Master Barang'!$A:$A,'Master Barang'!$D:$D,""),"")</f>
        <v/>
      </c>
    </row>
    <row r="606" spans="1:6">
      <c r="A606" s="49"/>
      <c r="D606" t="str">
        <f>IFERROR(XLOOKUP(C606,'Master Barang'!$A:$A,'Master Barang'!$B:$B,""),"")</f>
        <v/>
      </c>
      <c r="E606" s="52"/>
      <c r="F606" t="str">
        <f>IFERROR(XLOOKUP(C606,'Master Barang'!$A:$A,'Master Barang'!$D:$D,""),"")</f>
        <v/>
      </c>
    </row>
    <row r="607" spans="1:6">
      <c r="A607" s="49"/>
      <c r="D607" t="str">
        <f>IFERROR(XLOOKUP(C607,'Master Barang'!$A:$A,'Master Barang'!$B:$B,""),"")</f>
        <v/>
      </c>
      <c r="E607" s="52"/>
      <c r="F607" t="str">
        <f>IFERROR(XLOOKUP(C607,'Master Barang'!$A:$A,'Master Barang'!$D:$D,""),"")</f>
        <v/>
      </c>
    </row>
    <row r="608" spans="1:6">
      <c r="A608" s="49"/>
      <c r="D608" t="str">
        <f>IFERROR(XLOOKUP(C608,'Master Barang'!$A:$A,'Master Barang'!$B:$B,""),"")</f>
        <v/>
      </c>
      <c r="E608" s="52"/>
      <c r="F608" t="str">
        <f>IFERROR(XLOOKUP(C608,'Master Barang'!$A:$A,'Master Barang'!$D:$D,""),"")</f>
        <v/>
      </c>
    </row>
    <row r="609" spans="1:6">
      <c r="A609" s="49"/>
      <c r="D609" t="str">
        <f>IFERROR(XLOOKUP(C609,'Master Barang'!$A:$A,'Master Barang'!$B:$B,""),"")</f>
        <v/>
      </c>
      <c r="E609" s="52"/>
      <c r="F609" t="str">
        <f>IFERROR(XLOOKUP(C609,'Master Barang'!$A:$A,'Master Barang'!$D:$D,""),"")</f>
        <v/>
      </c>
    </row>
    <row r="610" spans="1:6">
      <c r="A610" s="49"/>
      <c r="D610" t="str">
        <f>IFERROR(XLOOKUP(C610,'Master Barang'!$A:$A,'Master Barang'!$B:$B,""),"")</f>
        <v/>
      </c>
      <c r="E610" s="52"/>
      <c r="F610" t="str">
        <f>IFERROR(XLOOKUP(C610,'Master Barang'!$A:$A,'Master Barang'!$D:$D,""),"")</f>
        <v/>
      </c>
    </row>
    <row r="611" spans="1:6">
      <c r="A611" s="49"/>
      <c r="D611" t="str">
        <f>IFERROR(XLOOKUP(C611,'Master Barang'!$A:$A,'Master Barang'!$B:$B,""),"")</f>
        <v/>
      </c>
      <c r="E611" s="52"/>
      <c r="F611" t="str">
        <f>IFERROR(XLOOKUP(C611,'Master Barang'!$A:$A,'Master Barang'!$D:$D,""),"")</f>
        <v/>
      </c>
    </row>
    <row r="612" spans="1:6">
      <c r="A612" s="49"/>
      <c r="D612" t="str">
        <f>IFERROR(XLOOKUP(C612,'Master Barang'!$A:$A,'Master Barang'!$B:$B,""),"")</f>
        <v/>
      </c>
      <c r="E612" s="52"/>
      <c r="F612" t="str">
        <f>IFERROR(XLOOKUP(C612,'Master Barang'!$A:$A,'Master Barang'!$D:$D,""),"")</f>
        <v/>
      </c>
    </row>
    <row r="613" spans="1:6">
      <c r="A613" s="49"/>
      <c r="D613" t="str">
        <f>IFERROR(XLOOKUP(C613,'Master Barang'!$A:$A,'Master Barang'!$B:$B,""),"")</f>
        <v/>
      </c>
      <c r="E613" s="52"/>
      <c r="F613" t="str">
        <f>IFERROR(XLOOKUP(C613,'Master Barang'!$A:$A,'Master Barang'!$D:$D,""),"")</f>
        <v/>
      </c>
    </row>
    <row r="614" spans="1:6">
      <c r="A614" s="49"/>
      <c r="D614" t="str">
        <f>IFERROR(XLOOKUP(C614,'Master Barang'!$A:$A,'Master Barang'!$B:$B,""),"")</f>
        <v/>
      </c>
      <c r="E614" s="52"/>
      <c r="F614" t="str">
        <f>IFERROR(XLOOKUP(C614,'Master Barang'!$A:$A,'Master Barang'!$D:$D,""),"")</f>
        <v/>
      </c>
    </row>
    <row r="615" spans="1:6">
      <c r="A615" s="49"/>
      <c r="D615" t="str">
        <f>IFERROR(XLOOKUP(C615,'Master Barang'!$A:$A,'Master Barang'!$B:$B,""),"")</f>
        <v/>
      </c>
      <c r="E615" s="52"/>
      <c r="F615" t="str">
        <f>IFERROR(XLOOKUP(C615,'Master Barang'!$A:$A,'Master Barang'!$D:$D,""),"")</f>
        <v/>
      </c>
    </row>
    <row r="616" spans="1:6">
      <c r="A616" s="49"/>
      <c r="D616" t="str">
        <f>IFERROR(XLOOKUP(C616,'Master Barang'!$A:$A,'Master Barang'!$B:$B,""),"")</f>
        <v/>
      </c>
      <c r="E616" s="52"/>
      <c r="F616" t="str">
        <f>IFERROR(XLOOKUP(C616,'Master Barang'!$A:$A,'Master Barang'!$D:$D,""),"")</f>
        <v/>
      </c>
    </row>
    <row r="617" spans="1:6">
      <c r="A617" s="49"/>
      <c r="D617" t="str">
        <f>IFERROR(XLOOKUP(C617,'Master Barang'!$A:$A,'Master Barang'!$B:$B,""),"")</f>
        <v/>
      </c>
      <c r="E617" s="52"/>
      <c r="F617" t="str">
        <f>IFERROR(XLOOKUP(C617,'Master Barang'!$A:$A,'Master Barang'!$D:$D,""),"")</f>
        <v/>
      </c>
    </row>
    <row r="618" spans="1:6">
      <c r="A618" s="49"/>
      <c r="D618" t="str">
        <f>IFERROR(XLOOKUP(C618,'Master Barang'!$A:$A,'Master Barang'!$B:$B,""),"")</f>
        <v/>
      </c>
      <c r="E618" s="52"/>
      <c r="F618" t="str">
        <f>IFERROR(XLOOKUP(C618,'Master Barang'!$A:$A,'Master Barang'!$D:$D,""),"")</f>
        <v/>
      </c>
    </row>
    <row r="619" spans="1:6">
      <c r="A619" s="49"/>
      <c r="D619" t="str">
        <f>IFERROR(XLOOKUP(C619,'Master Barang'!$A:$A,'Master Barang'!$B:$B,""),"")</f>
        <v/>
      </c>
      <c r="E619" s="52"/>
      <c r="F619" t="str">
        <f>IFERROR(XLOOKUP(C619,'Master Barang'!$A:$A,'Master Barang'!$D:$D,""),"")</f>
        <v/>
      </c>
    </row>
    <row r="620" spans="1:6">
      <c r="A620" s="49"/>
      <c r="D620" t="str">
        <f>IFERROR(XLOOKUP(C620,'Master Barang'!$A:$A,'Master Barang'!$B:$B,""),"")</f>
        <v/>
      </c>
      <c r="E620" s="52"/>
      <c r="F620" t="str">
        <f>IFERROR(XLOOKUP(C620,'Master Barang'!$A:$A,'Master Barang'!$D:$D,""),"")</f>
        <v/>
      </c>
    </row>
    <row r="621" spans="1:6">
      <c r="A621" s="49"/>
      <c r="D621" t="str">
        <f>IFERROR(XLOOKUP(C621,'Master Barang'!$A:$A,'Master Barang'!$B:$B,""),"")</f>
        <v/>
      </c>
      <c r="E621" s="52"/>
      <c r="F621" t="str">
        <f>IFERROR(XLOOKUP(C621,'Master Barang'!$A:$A,'Master Barang'!$D:$D,""),"")</f>
        <v/>
      </c>
    </row>
    <row r="622" spans="1:6">
      <c r="A622" s="49"/>
      <c r="D622" t="str">
        <f>IFERROR(XLOOKUP(C622,'Master Barang'!$A:$A,'Master Barang'!$B:$B,""),"")</f>
        <v/>
      </c>
      <c r="E622" s="52"/>
      <c r="F622" t="str">
        <f>IFERROR(XLOOKUP(C622,'Master Barang'!$A:$A,'Master Barang'!$D:$D,""),"")</f>
        <v/>
      </c>
    </row>
    <row r="623" spans="1:6">
      <c r="A623" s="49"/>
      <c r="D623" t="str">
        <f>IFERROR(XLOOKUP(C623,'Master Barang'!$A:$A,'Master Barang'!$B:$B,""),"")</f>
        <v/>
      </c>
      <c r="E623" s="52"/>
      <c r="F623" t="str">
        <f>IFERROR(XLOOKUP(C623,'Master Barang'!$A:$A,'Master Barang'!$D:$D,""),"")</f>
        <v/>
      </c>
    </row>
    <row r="624" spans="1:6">
      <c r="A624" s="49"/>
      <c r="D624" t="str">
        <f>IFERROR(XLOOKUP(C624,'Master Barang'!$A:$A,'Master Barang'!$B:$B,""),"")</f>
        <v/>
      </c>
      <c r="E624" s="52"/>
      <c r="F624" t="str">
        <f>IFERROR(XLOOKUP(C624,'Master Barang'!$A:$A,'Master Barang'!$D:$D,""),"")</f>
        <v/>
      </c>
    </row>
    <row r="625" spans="1:6">
      <c r="A625" s="49"/>
      <c r="D625" t="str">
        <f>IFERROR(XLOOKUP(C625,'Master Barang'!$A:$A,'Master Barang'!$B:$B,""),"")</f>
        <v/>
      </c>
      <c r="E625" s="52"/>
      <c r="F625" t="str">
        <f>IFERROR(XLOOKUP(C625,'Master Barang'!$A:$A,'Master Barang'!$D:$D,""),"")</f>
        <v/>
      </c>
    </row>
    <row r="626" spans="1:6">
      <c r="A626" s="49"/>
      <c r="D626" t="str">
        <f>IFERROR(XLOOKUP(C626,'Master Barang'!$A:$A,'Master Barang'!$B:$B,""),"")</f>
        <v/>
      </c>
      <c r="E626" s="52"/>
      <c r="F626" t="str">
        <f>IFERROR(XLOOKUP(C626,'Master Barang'!$A:$A,'Master Barang'!$D:$D,""),"")</f>
        <v/>
      </c>
    </row>
    <row r="627" spans="1:6">
      <c r="A627" s="49"/>
      <c r="D627" t="str">
        <f>IFERROR(XLOOKUP(C627,'Master Barang'!$A:$A,'Master Barang'!$B:$B,""),"")</f>
        <v/>
      </c>
      <c r="E627" s="52"/>
      <c r="F627" t="str">
        <f>IFERROR(XLOOKUP(C627,'Master Barang'!$A:$A,'Master Barang'!$D:$D,""),"")</f>
        <v/>
      </c>
    </row>
    <row r="628" spans="1:6">
      <c r="A628" s="49"/>
      <c r="D628" t="str">
        <f>IFERROR(XLOOKUP(C628,'Master Barang'!$A:$A,'Master Barang'!$B:$B,""),"")</f>
        <v/>
      </c>
      <c r="E628" s="52"/>
      <c r="F628" t="str">
        <f>IFERROR(XLOOKUP(C628,'Master Barang'!$A:$A,'Master Barang'!$D:$D,""),"")</f>
        <v/>
      </c>
    </row>
    <row r="629" spans="1:6">
      <c r="A629" s="49"/>
      <c r="D629" t="str">
        <f>IFERROR(XLOOKUP(C629,'Master Barang'!$A:$A,'Master Barang'!$B:$B,""),"")</f>
        <v/>
      </c>
      <c r="E629" s="52"/>
      <c r="F629" t="str">
        <f>IFERROR(XLOOKUP(C629,'Master Barang'!$A:$A,'Master Barang'!$D:$D,""),"")</f>
        <v/>
      </c>
    </row>
    <row r="630" spans="1:6">
      <c r="A630" s="49"/>
      <c r="D630" t="str">
        <f>IFERROR(XLOOKUP(C630,'Master Barang'!$A:$A,'Master Barang'!$B:$B,""),"")</f>
        <v/>
      </c>
      <c r="E630" s="52"/>
      <c r="F630" t="str">
        <f>IFERROR(XLOOKUP(C630,'Master Barang'!$A:$A,'Master Barang'!$D:$D,""),"")</f>
        <v/>
      </c>
    </row>
    <row r="631" spans="1:6">
      <c r="A631" s="49"/>
      <c r="D631" t="str">
        <f>IFERROR(XLOOKUP(C631,'Master Barang'!$A:$A,'Master Barang'!$B:$B,""),"")</f>
        <v/>
      </c>
      <c r="E631" s="52"/>
      <c r="F631" t="str">
        <f>IFERROR(XLOOKUP(C631,'Master Barang'!$A:$A,'Master Barang'!$D:$D,""),"")</f>
        <v/>
      </c>
    </row>
    <row r="632" spans="1:6">
      <c r="A632" s="49"/>
      <c r="D632" t="str">
        <f>IFERROR(XLOOKUP(C632,'Master Barang'!$A:$A,'Master Barang'!$B:$B,""),"")</f>
        <v/>
      </c>
      <c r="E632" s="52"/>
      <c r="F632" t="str">
        <f>IFERROR(XLOOKUP(C632,'Master Barang'!$A:$A,'Master Barang'!$D:$D,""),"")</f>
        <v/>
      </c>
    </row>
    <row r="633" spans="1:6">
      <c r="A633" s="49"/>
      <c r="D633" t="str">
        <f>IFERROR(XLOOKUP(C633,'Master Barang'!$A:$A,'Master Barang'!$B:$B,""),"")</f>
        <v/>
      </c>
      <c r="E633" s="52"/>
      <c r="F633" t="str">
        <f>IFERROR(XLOOKUP(C633,'Master Barang'!$A:$A,'Master Barang'!$D:$D,""),"")</f>
        <v/>
      </c>
    </row>
    <row r="634" spans="1:6">
      <c r="A634" s="49"/>
      <c r="D634" t="str">
        <f>IFERROR(XLOOKUP(C634,'Master Barang'!$A:$A,'Master Barang'!$B:$B,""),"")</f>
        <v/>
      </c>
      <c r="E634" s="52"/>
      <c r="F634" t="str">
        <f>IFERROR(XLOOKUP(C634,'Master Barang'!$A:$A,'Master Barang'!$D:$D,""),"")</f>
        <v/>
      </c>
    </row>
    <row r="635" spans="1:6">
      <c r="A635" s="49"/>
      <c r="D635" t="str">
        <f>IFERROR(XLOOKUP(C635,'Master Barang'!$A:$A,'Master Barang'!$B:$B,""),"")</f>
        <v/>
      </c>
      <c r="E635" s="52"/>
      <c r="F635" t="str">
        <f>IFERROR(XLOOKUP(C635,'Master Barang'!$A:$A,'Master Barang'!$D:$D,""),"")</f>
        <v/>
      </c>
    </row>
    <row r="636" spans="1:6">
      <c r="A636" s="49"/>
      <c r="D636" t="str">
        <f>IFERROR(XLOOKUP(C636,'Master Barang'!$A:$A,'Master Barang'!$B:$B,""),"")</f>
        <v/>
      </c>
      <c r="E636" s="52"/>
      <c r="F636" t="str">
        <f>IFERROR(XLOOKUP(C636,'Master Barang'!$A:$A,'Master Barang'!$D:$D,""),"")</f>
        <v/>
      </c>
    </row>
    <row r="637" spans="1:6">
      <c r="A637" s="49"/>
      <c r="D637" t="str">
        <f>IFERROR(XLOOKUP(C637,'Master Barang'!$A:$A,'Master Barang'!$B:$B,""),"")</f>
        <v/>
      </c>
      <c r="E637" s="52"/>
      <c r="F637" t="str">
        <f>IFERROR(XLOOKUP(C637,'Master Barang'!$A:$A,'Master Barang'!$D:$D,""),"")</f>
        <v/>
      </c>
    </row>
    <row r="638" spans="1:6">
      <c r="A638" s="49"/>
      <c r="D638" t="str">
        <f>IFERROR(XLOOKUP(C638,'Master Barang'!$A:$A,'Master Barang'!$B:$B,""),"")</f>
        <v/>
      </c>
      <c r="E638" s="52"/>
      <c r="F638" t="str">
        <f>IFERROR(XLOOKUP(C638,'Master Barang'!$A:$A,'Master Barang'!$D:$D,""),"")</f>
        <v/>
      </c>
    </row>
    <row r="639" spans="1:6">
      <c r="A639" s="49"/>
      <c r="D639" t="str">
        <f>IFERROR(XLOOKUP(C639,'Master Barang'!$A:$A,'Master Barang'!$B:$B,""),"")</f>
        <v/>
      </c>
      <c r="E639" s="52"/>
      <c r="F639" t="str">
        <f>IFERROR(XLOOKUP(C639,'Master Barang'!$A:$A,'Master Barang'!$D:$D,""),"")</f>
        <v/>
      </c>
    </row>
    <row r="640" spans="1:6">
      <c r="A640" s="49"/>
      <c r="D640" t="str">
        <f>IFERROR(XLOOKUP(C640,'Master Barang'!$A:$A,'Master Barang'!$B:$B,""),"")</f>
        <v/>
      </c>
      <c r="E640" s="52"/>
      <c r="F640" t="str">
        <f>IFERROR(XLOOKUP(C640,'Master Barang'!$A:$A,'Master Barang'!$D:$D,""),"")</f>
        <v/>
      </c>
    </row>
    <row r="641" spans="1:6">
      <c r="A641" s="49"/>
      <c r="D641" t="str">
        <f>IFERROR(XLOOKUP(C641,'Master Barang'!$A:$A,'Master Barang'!$B:$B,""),"")</f>
        <v/>
      </c>
      <c r="E641" s="52"/>
      <c r="F641" t="str">
        <f>IFERROR(XLOOKUP(C641,'Master Barang'!$A:$A,'Master Barang'!$D:$D,""),"")</f>
        <v/>
      </c>
    </row>
    <row r="642" spans="1:6">
      <c r="A642" s="49"/>
      <c r="D642" t="str">
        <f>IFERROR(XLOOKUP(C642,'Master Barang'!$A:$A,'Master Barang'!$B:$B,""),"")</f>
        <v/>
      </c>
      <c r="E642" s="52"/>
      <c r="F642" t="str">
        <f>IFERROR(XLOOKUP(C642,'Master Barang'!$A:$A,'Master Barang'!$D:$D,""),"")</f>
        <v/>
      </c>
    </row>
    <row r="643" spans="1:6">
      <c r="A643" s="49"/>
      <c r="D643" t="str">
        <f>IFERROR(XLOOKUP(C643,'Master Barang'!$A:$A,'Master Barang'!$B:$B,""),"")</f>
        <v/>
      </c>
      <c r="E643" s="52"/>
      <c r="F643" t="str">
        <f>IFERROR(XLOOKUP(C643,'Master Barang'!$A:$A,'Master Barang'!$D:$D,""),"")</f>
        <v/>
      </c>
    </row>
    <row r="644" spans="1:6">
      <c r="A644" s="49"/>
      <c r="D644" t="str">
        <f>IFERROR(XLOOKUP(C644,'Master Barang'!$A:$A,'Master Barang'!$B:$B,""),"")</f>
        <v/>
      </c>
      <c r="E644" s="52"/>
      <c r="F644" t="str">
        <f>IFERROR(XLOOKUP(C644,'Master Barang'!$A:$A,'Master Barang'!$D:$D,""),"")</f>
        <v/>
      </c>
    </row>
    <row r="645" spans="1:6">
      <c r="A645" s="49"/>
      <c r="D645" t="str">
        <f>IFERROR(XLOOKUP(C645,'Master Barang'!$A:$A,'Master Barang'!$B:$B,""),"")</f>
        <v/>
      </c>
      <c r="E645" s="52"/>
      <c r="F645" t="str">
        <f>IFERROR(XLOOKUP(C645,'Master Barang'!$A:$A,'Master Barang'!$D:$D,""),"")</f>
        <v/>
      </c>
    </row>
    <row r="646" spans="1:6">
      <c r="A646" s="49"/>
      <c r="D646" t="str">
        <f>IFERROR(XLOOKUP(C646,'Master Barang'!$A:$A,'Master Barang'!$B:$B,""),"")</f>
        <v/>
      </c>
      <c r="E646" s="52"/>
      <c r="F646" t="str">
        <f>IFERROR(XLOOKUP(C646,'Master Barang'!$A:$A,'Master Barang'!$D:$D,""),"")</f>
        <v/>
      </c>
    </row>
    <row r="647" spans="1:6">
      <c r="A647" s="49"/>
      <c r="D647" t="str">
        <f>IFERROR(XLOOKUP(C647,'Master Barang'!$A:$A,'Master Barang'!$B:$B,""),"")</f>
        <v/>
      </c>
      <c r="E647" s="52"/>
      <c r="F647" t="str">
        <f>IFERROR(XLOOKUP(C647,'Master Barang'!$A:$A,'Master Barang'!$D:$D,""),"")</f>
        <v/>
      </c>
    </row>
    <row r="648" spans="1:6">
      <c r="A648" s="49"/>
      <c r="D648" t="str">
        <f>IFERROR(XLOOKUP(C648,'Master Barang'!$A:$A,'Master Barang'!$B:$B,""),"")</f>
        <v/>
      </c>
      <c r="E648" s="52"/>
      <c r="F648" t="str">
        <f>IFERROR(XLOOKUP(C648,'Master Barang'!$A:$A,'Master Barang'!$D:$D,""),"")</f>
        <v/>
      </c>
    </row>
    <row r="649" spans="1:6">
      <c r="A649" s="49"/>
      <c r="D649" t="str">
        <f>IFERROR(XLOOKUP(C649,'Master Barang'!$A:$A,'Master Barang'!$B:$B,""),"")</f>
        <v/>
      </c>
      <c r="E649" s="52"/>
      <c r="F649" t="str">
        <f>IFERROR(XLOOKUP(C649,'Master Barang'!$A:$A,'Master Barang'!$D:$D,""),"")</f>
        <v/>
      </c>
    </row>
    <row r="650" spans="1:6">
      <c r="A650" s="49"/>
      <c r="D650" t="str">
        <f>IFERROR(XLOOKUP(C650,'Master Barang'!$A:$A,'Master Barang'!$B:$B,""),"")</f>
        <v/>
      </c>
      <c r="E650" s="52"/>
      <c r="F650" t="str">
        <f>IFERROR(XLOOKUP(C650,'Master Barang'!$A:$A,'Master Barang'!$D:$D,""),"")</f>
        <v/>
      </c>
    </row>
    <row r="651" spans="1:6">
      <c r="A651" s="49"/>
      <c r="D651" t="str">
        <f>IFERROR(XLOOKUP(C651,'Master Barang'!$A:$A,'Master Barang'!$B:$B,""),"")</f>
        <v/>
      </c>
      <c r="E651" s="52"/>
      <c r="F651" t="str">
        <f>IFERROR(XLOOKUP(C651,'Master Barang'!$A:$A,'Master Barang'!$D:$D,""),"")</f>
        <v/>
      </c>
    </row>
    <row r="652" spans="1:6">
      <c r="A652" s="49"/>
      <c r="D652" t="str">
        <f>IFERROR(XLOOKUP(C652,'Master Barang'!$A:$A,'Master Barang'!$B:$B,""),"")</f>
        <v/>
      </c>
      <c r="E652" s="52"/>
      <c r="F652" t="str">
        <f>IFERROR(XLOOKUP(C652,'Master Barang'!$A:$A,'Master Barang'!$D:$D,""),"")</f>
        <v/>
      </c>
    </row>
    <row r="653" spans="1:6">
      <c r="A653" s="49"/>
      <c r="D653" t="str">
        <f>IFERROR(XLOOKUP(C653,'Master Barang'!$A:$A,'Master Barang'!$B:$B,""),"")</f>
        <v/>
      </c>
      <c r="E653" s="52"/>
      <c r="F653" t="str">
        <f>IFERROR(XLOOKUP(C653,'Master Barang'!$A:$A,'Master Barang'!$D:$D,""),"")</f>
        <v/>
      </c>
    </row>
    <row r="654" spans="1:6">
      <c r="A654" s="49"/>
      <c r="D654" t="str">
        <f>IFERROR(XLOOKUP(C654,'Master Barang'!$A:$A,'Master Barang'!$B:$B,""),"")</f>
        <v/>
      </c>
      <c r="E654" s="52"/>
      <c r="F654" t="str">
        <f>IFERROR(XLOOKUP(C654,'Master Barang'!$A:$A,'Master Barang'!$D:$D,""),"")</f>
        <v/>
      </c>
    </row>
    <row r="655" spans="1:6">
      <c r="A655" s="49"/>
      <c r="D655" t="str">
        <f>IFERROR(XLOOKUP(C655,'Master Barang'!$A:$A,'Master Barang'!$B:$B,""),"")</f>
        <v/>
      </c>
      <c r="E655" s="52"/>
      <c r="F655" t="str">
        <f>IFERROR(XLOOKUP(C655,'Master Barang'!$A:$A,'Master Barang'!$D:$D,""),"")</f>
        <v/>
      </c>
    </row>
    <row r="656" spans="1:6">
      <c r="A656" s="49"/>
      <c r="D656" t="str">
        <f>IFERROR(XLOOKUP(C656,'Master Barang'!$A:$A,'Master Barang'!$B:$B,""),"")</f>
        <v/>
      </c>
      <c r="E656" s="52"/>
      <c r="F656" t="str">
        <f>IFERROR(XLOOKUP(C656,'Master Barang'!$A:$A,'Master Barang'!$D:$D,""),"")</f>
        <v/>
      </c>
    </row>
    <row r="657" spans="1:6">
      <c r="A657" s="49"/>
      <c r="D657" t="str">
        <f>IFERROR(XLOOKUP(C657,'Master Barang'!$A:$A,'Master Barang'!$B:$B,""),"")</f>
        <v/>
      </c>
      <c r="E657" s="52"/>
      <c r="F657" t="str">
        <f>IFERROR(XLOOKUP(C657,'Master Barang'!$A:$A,'Master Barang'!$D:$D,""),"")</f>
        <v/>
      </c>
    </row>
    <row r="658" spans="1:6">
      <c r="A658" s="49"/>
      <c r="D658" t="str">
        <f>IFERROR(XLOOKUP(C658,'Master Barang'!$A:$A,'Master Barang'!$B:$B,""),"")</f>
        <v/>
      </c>
      <c r="E658" s="52"/>
      <c r="F658" t="str">
        <f>IFERROR(XLOOKUP(C658,'Master Barang'!$A:$A,'Master Barang'!$D:$D,""),"")</f>
        <v/>
      </c>
    </row>
    <row r="659" spans="1:6">
      <c r="A659" s="49"/>
      <c r="D659" t="str">
        <f>IFERROR(XLOOKUP(C659,'Master Barang'!$A:$A,'Master Barang'!$B:$B,""),"")</f>
        <v/>
      </c>
      <c r="E659" s="52"/>
      <c r="F659" t="str">
        <f>IFERROR(XLOOKUP(C659,'Master Barang'!$A:$A,'Master Barang'!$D:$D,""),"")</f>
        <v/>
      </c>
    </row>
    <row r="660" spans="1:6">
      <c r="A660" s="49"/>
      <c r="D660" t="str">
        <f>IFERROR(XLOOKUP(C660,'Master Barang'!$A:$A,'Master Barang'!$B:$B,""),"")</f>
        <v/>
      </c>
      <c r="E660" s="52"/>
      <c r="F660" t="str">
        <f>IFERROR(XLOOKUP(C660,'Master Barang'!$A:$A,'Master Barang'!$D:$D,""),"")</f>
        <v/>
      </c>
    </row>
    <row r="661" spans="1:6">
      <c r="A661" s="49"/>
      <c r="D661" t="str">
        <f>IFERROR(XLOOKUP(C661,'Master Barang'!$A:$A,'Master Barang'!$B:$B,""),"")</f>
        <v/>
      </c>
      <c r="E661" s="52"/>
      <c r="F661" t="str">
        <f>IFERROR(XLOOKUP(C661,'Master Barang'!$A:$A,'Master Barang'!$D:$D,""),"")</f>
        <v/>
      </c>
    </row>
    <row r="662" spans="1:6">
      <c r="A662" s="49"/>
      <c r="D662" t="str">
        <f>IFERROR(XLOOKUP(C662,'Master Barang'!$A:$A,'Master Barang'!$B:$B,""),"")</f>
        <v/>
      </c>
      <c r="E662" s="52"/>
      <c r="F662" t="str">
        <f>IFERROR(XLOOKUP(C662,'Master Barang'!$A:$A,'Master Barang'!$D:$D,""),"")</f>
        <v/>
      </c>
    </row>
    <row r="663" spans="1:6">
      <c r="A663" s="49"/>
      <c r="D663" t="str">
        <f>IFERROR(XLOOKUP(C663,'Master Barang'!$A:$A,'Master Barang'!$B:$B,""),"")</f>
        <v/>
      </c>
      <c r="E663" s="52"/>
      <c r="F663" t="str">
        <f>IFERROR(XLOOKUP(C663,'Master Barang'!$A:$A,'Master Barang'!$D:$D,""),"")</f>
        <v/>
      </c>
    </row>
    <row r="664" spans="1:6">
      <c r="A664" s="49"/>
      <c r="D664" t="str">
        <f>IFERROR(XLOOKUP(C664,'Master Barang'!$A:$A,'Master Barang'!$B:$B,""),"")</f>
        <v/>
      </c>
      <c r="E664" s="52"/>
      <c r="F664" t="str">
        <f>IFERROR(XLOOKUP(C664,'Master Barang'!$A:$A,'Master Barang'!$D:$D,""),"")</f>
        <v/>
      </c>
    </row>
    <row r="665" spans="1:6">
      <c r="A665" s="49"/>
      <c r="D665" t="str">
        <f>IFERROR(XLOOKUP(C665,'Master Barang'!$A:$A,'Master Barang'!$B:$B,""),"")</f>
        <v/>
      </c>
      <c r="E665" s="52"/>
      <c r="F665" t="str">
        <f>IFERROR(XLOOKUP(C665,'Master Barang'!$A:$A,'Master Barang'!$D:$D,""),"")</f>
        <v/>
      </c>
    </row>
    <row r="666" spans="1:6">
      <c r="A666" s="49"/>
      <c r="D666" t="str">
        <f>IFERROR(XLOOKUP(C666,'Master Barang'!$A:$A,'Master Barang'!$B:$B,""),"")</f>
        <v/>
      </c>
      <c r="E666" s="52"/>
      <c r="F666" t="str">
        <f>IFERROR(XLOOKUP(C666,'Master Barang'!$A:$A,'Master Barang'!$D:$D,""),"")</f>
        <v/>
      </c>
    </row>
    <row r="667" spans="1:6">
      <c r="A667" s="49"/>
      <c r="D667" t="str">
        <f>IFERROR(XLOOKUP(C667,'Master Barang'!$A:$A,'Master Barang'!$B:$B,""),"")</f>
        <v/>
      </c>
      <c r="E667" s="52"/>
      <c r="F667" t="str">
        <f>IFERROR(XLOOKUP(C667,'Master Barang'!$A:$A,'Master Barang'!$D:$D,""),"")</f>
        <v/>
      </c>
    </row>
    <row r="668" spans="1:6">
      <c r="A668" s="49"/>
      <c r="D668" t="str">
        <f>IFERROR(XLOOKUP(C668,'Master Barang'!$A:$A,'Master Barang'!$B:$B,""),"")</f>
        <v/>
      </c>
      <c r="E668" s="52"/>
      <c r="F668" t="str">
        <f>IFERROR(XLOOKUP(C668,'Master Barang'!$A:$A,'Master Barang'!$D:$D,""),"")</f>
        <v/>
      </c>
    </row>
    <row r="669" spans="1:6">
      <c r="A669" s="49"/>
      <c r="D669" t="str">
        <f>IFERROR(XLOOKUP(C669,'Master Barang'!$A:$A,'Master Barang'!$B:$B,""),"")</f>
        <v/>
      </c>
      <c r="E669" s="52"/>
      <c r="F669" t="str">
        <f>IFERROR(XLOOKUP(C669,'Master Barang'!$A:$A,'Master Barang'!$D:$D,""),"")</f>
        <v/>
      </c>
    </row>
    <row r="670" spans="1:6">
      <c r="A670" s="49"/>
      <c r="D670" t="str">
        <f>IFERROR(XLOOKUP(C670,'Master Barang'!$A:$A,'Master Barang'!$B:$B,""),"")</f>
        <v/>
      </c>
      <c r="E670" s="52"/>
      <c r="F670" t="str">
        <f>IFERROR(XLOOKUP(C670,'Master Barang'!$A:$A,'Master Barang'!$D:$D,""),"")</f>
        <v/>
      </c>
    </row>
    <row r="671" spans="1:6">
      <c r="A671" s="49"/>
      <c r="D671" t="str">
        <f>IFERROR(XLOOKUP(C671,'Master Barang'!$A:$A,'Master Barang'!$B:$B,""),"")</f>
        <v/>
      </c>
      <c r="E671" s="52"/>
      <c r="F671" t="str">
        <f>IFERROR(XLOOKUP(C671,'Master Barang'!$A:$A,'Master Barang'!$D:$D,""),"")</f>
        <v/>
      </c>
    </row>
    <row r="672" spans="1:6">
      <c r="A672" s="49"/>
      <c r="D672" t="str">
        <f>IFERROR(XLOOKUP(C672,'Master Barang'!$A:$A,'Master Barang'!$B:$B,""),"")</f>
        <v/>
      </c>
      <c r="E672" s="52"/>
      <c r="F672" t="str">
        <f>IFERROR(XLOOKUP(C672,'Master Barang'!$A:$A,'Master Barang'!$D:$D,""),"")</f>
        <v/>
      </c>
    </row>
    <row r="673" spans="1:6">
      <c r="A673" s="49"/>
      <c r="D673" t="str">
        <f>IFERROR(XLOOKUP(C673,'Master Barang'!$A:$A,'Master Barang'!$B:$B,""),"")</f>
        <v/>
      </c>
      <c r="E673" s="52"/>
      <c r="F673" t="str">
        <f>IFERROR(XLOOKUP(C673,'Master Barang'!$A:$A,'Master Barang'!$D:$D,""),"")</f>
        <v/>
      </c>
    </row>
    <row r="674" spans="1:6">
      <c r="A674" s="49"/>
      <c r="D674" t="str">
        <f>IFERROR(XLOOKUP(C674,'Master Barang'!$A:$A,'Master Barang'!$B:$B,""),"")</f>
        <v/>
      </c>
      <c r="E674" s="52"/>
      <c r="F674" t="str">
        <f>IFERROR(XLOOKUP(C674,'Master Barang'!$A:$A,'Master Barang'!$D:$D,""),"")</f>
        <v/>
      </c>
    </row>
    <row r="675" spans="1:6">
      <c r="A675" s="49"/>
      <c r="D675" t="str">
        <f>IFERROR(XLOOKUP(C675,'Master Barang'!$A:$A,'Master Barang'!$B:$B,""),"")</f>
        <v/>
      </c>
      <c r="E675" s="52"/>
      <c r="F675" t="str">
        <f>IFERROR(XLOOKUP(C675,'Master Barang'!$A:$A,'Master Barang'!$D:$D,""),"")</f>
        <v/>
      </c>
    </row>
    <row r="676" spans="1:6">
      <c r="A676" s="49"/>
      <c r="D676" t="str">
        <f>IFERROR(XLOOKUP(C676,'Master Barang'!$A:$A,'Master Barang'!$B:$B,""),"")</f>
        <v/>
      </c>
      <c r="E676" s="52"/>
      <c r="F676" t="str">
        <f>IFERROR(XLOOKUP(C676,'Master Barang'!$A:$A,'Master Barang'!$D:$D,""),"")</f>
        <v/>
      </c>
    </row>
    <row r="677" spans="1:6">
      <c r="A677" s="49"/>
      <c r="D677" t="str">
        <f>IFERROR(XLOOKUP(C677,'Master Barang'!$A:$A,'Master Barang'!$B:$B,""),"")</f>
        <v/>
      </c>
      <c r="E677" s="52"/>
      <c r="F677" t="str">
        <f>IFERROR(XLOOKUP(C677,'Master Barang'!$A:$A,'Master Barang'!$D:$D,""),"")</f>
        <v/>
      </c>
    </row>
    <row r="678" spans="1:6">
      <c r="A678" s="49"/>
      <c r="D678" t="str">
        <f>IFERROR(XLOOKUP(C678,'Master Barang'!$A:$A,'Master Barang'!$B:$B,""),"")</f>
        <v/>
      </c>
      <c r="E678" s="52"/>
      <c r="F678" t="str">
        <f>IFERROR(XLOOKUP(C678,'Master Barang'!$A:$A,'Master Barang'!$D:$D,""),"")</f>
        <v/>
      </c>
    </row>
    <row r="679" spans="1:6">
      <c r="A679" s="49"/>
      <c r="D679" t="str">
        <f>IFERROR(XLOOKUP(C679,'Master Barang'!$A:$A,'Master Barang'!$B:$B,""),"")</f>
        <v/>
      </c>
      <c r="E679" s="52"/>
      <c r="F679" t="str">
        <f>IFERROR(XLOOKUP(C679,'Master Barang'!$A:$A,'Master Barang'!$D:$D,""),"")</f>
        <v/>
      </c>
    </row>
    <row r="680" spans="1:6">
      <c r="A680" s="49"/>
      <c r="D680" t="str">
        <f>IFERROR(XLOOKUP(C680,'Master Barang'!$A:$A,'Master Barang'!$B:$B,""),"")</f>
        <v/>
      </c>
      <c r="E680" s="52"/>
      <c r="F680" t="str">
        <f>IFERROR(XLOOKUP(C680,'Master Barang'!$A:$A,'Master Barang'!$D:$D,""),"")</f>
        <v/>
      </c>
    </row>
    <row r="681" spans="1:6">
      <c r="A681" s="49"/>
      <c r="D681" t="str">
        <f>IFERROR(XLOOKUP(C681,'Master Barang'!$A:$A,'Master Barang'!$B:$B,""),"")</f>
        <v/>
      </c>
      <c r="E681" s="52"/>
      <c r="F681" t="str">
        <f>IFERROR(XLOOKUP(C681,'Master Barang'!$A:$A,'Master Barang'!$D:$D,""),"")</f>
        <v/>
      </c>
    </row>
    <row r="682" spans="1:6">
      <c r="A682" s="49"/>
      <c r="D682" t="str">
        <f>IFERROR(XLOOKUP(C682,'Master Barang'!$A:$A,'Master Barang'!$B:$B,""),"")</f>
        <v/>
      </c>
      <c r="E682" s="52"/>
      <c r="F682" t="str">
        <f>IFERROR(XLOOKUP(C682,'Master Barang'!$A:$A,'Master Barang'!$D:$D,""),"")</f>
        <v/>
      </c>
    </row>
    <row r="683" spans="1:6">
      <c r="A683" s="49"/>
      <c r="D683" t="str">
        <f>IFERROR(XLOOKUP(C683,'Master Barang'!$A:$A,'Master Barang'!$B:$B,""),"")</f>
        <v/>
      </c>
      <c r="E683" s="52"/>
      <c r="F683" t="str">
        <f>IFERROR(XLOOKUP(C683,'Master Barang'!$A:$A,'Master Barang'!$D:$D,""),"")</f>
        <v/>
      </c>
    </row>
    <row r="684" spans="1:6">
      <c r="A684" s="49"/>
      <c r="D684" t="str">
        <f>IFERROR(XLOOKUP(C684,'Master Barang'!$A:$A,'Master Barang'!$B:$B,""),"")</f>
        <v/>
      </c>
      <c r="E684" s="52"/>
      <c r="F684" t="str">
        <f>IFERROR(XLOOKUP(C684,'Master Barang'!$A:$A,'Master Barang'!$D:$D,""),"")</f>
        <v/>
      </c>
    </row>
    <row r="685" spans="1:6">
      <c r="A685" s="49"/>
      <c r="D685" t="str">
        <f>IFERROR(XLOOKUP(C685,'Master Barang'!$A:$A,'Master Barang'!$B:$B,""),"")</f>
        <v/>
      </c>
      <c r="E685" s="52"/>
      <c r="F685" t="str">
        <f>IFERROR(XLOOKUP(C685,'Master Barang'!$A:$A,'Master Barang'!$D:$D,""),"")</f>
        <v/>
      </c>
    </row>
    <row r="686" spans="1:6">
      <c r="A686" s="49"/>
      <c r="D686" t="str">
        <f>IFERROR(XLOOKUP(C686,'Master Barang'!$A:$A,'Master Barang'!$B:$B,""),"")</f>
        <v/>
      </c>
      <c r="E686" s="52"/>
      <c r="F686" t="str">
        <f>IFERROR(XLOOKUP(C686,'Master Barang'!$A:$A,'Master Barang'!$D:$D,""),"")</f>
        <v/>
      </c>
    </row>
    <row r="687" spans="1:6">
      <c r="A687" s="49"/>
      <c r="D687" t="str">
        <f>IFERROR(XLOOKUP(C687,'Master Barang'!$A:$A,'Master Barang'!$B:$B,""),"")</f>
        <v/>
      </c>
      <c r="E687" s="52"/>
      <c r="F687" t="str">
        <f>IFERROR(XLOOKUP(C687,'Master Barang'!$A:$A,'Master Barang'!$D:$D,""),"")</f>
        <v/>
      </c>
    </row>
    <row r="688" spans="1:6">
      <c r="A688" s="49"/>
      <c r="D688" t="str">
        <f>IFERROR(XLOOKUP(C688,'Master Barang'!$A:$A,'Master Barang'!$B:$B,""),"")</f>
        <v/>
      </c>
      <c r="E688" s="52"/>
      <c r="F688" t="str">
        <f>IFERROR(XLOOKUP(C688,'Master Barang'!$A:$A,'Master Barang'!$D:$D,""),"")</f>
        <v/>
      </c>
    </row>
    <row r="689" spans="1:6">
      <c r="A689" s="49"/>
      <c r="D689" t="str">
        <f>IFERROR(XLOOKUP(C689,'Master Barang'!$A:$A,'Master Barang'!$B:$B,""),"")</f>
        <v/>
      </c>
      <c r="E689" s="52"/>
      <c r="F689" t="str">
        <f>IFERROR(XLOOKUP(C689,'Master Barang'!$A:$A,'Master Barang'!$D:$D,""),"")</f>
        <v/>
      </c>
    </row>
    <row r="690" spans="1:6">
      <c r="A690" s="49"/>
      <c r="D690" t="str">
        <f>IFERROR(XLOOKUP(C690,'Master Barang'!$A:$A,'Master Barang'!$B:$B,""),"")</f>
        <v/>
      </c>
      <c r="E690" s="52"/>
      <c r="F690" t="str">
        <f>IFERROR(XLOOKUP(C690,'Master Barang'!$A:$A,'Master Barang'!$D:$D,""),"")</f>
        <v/>
      </c>
    </row>
    <row r="691" spans="1:6">
      <c r="A691" s="49"/>
      <c r="D691" t="str">
        <f>IFERROR(XLOOKUP(C691,'Master Barang'!$A:$A,'Master Barang'!$B:$B,""),"")</f>
        <v/>
      </c>
      <c r="E691" s="52"/>
      <c r="F691" t="str">
        <f>IFERROR(XLOOKUP(C691,'Master Barang'!$A:$A,'Master Barang'!$D:$D,""),"")</f>
        <v/>
      </c>
    </row>
    <row r="692" spans="1:6">
      <c r="A692" s="49"/>
      <c r="D692" t="str">
        <f>IFERROR(XLOOKUP(C692,'Master Barang'!$A:$A,'Master Barang'!$B:$B,""),"")</f>
        <v/>
      </c>
      <c r="E692" s="52"/>
      <c r="F692" t="str">
        <f>IFERROR(XLOOKUP(C692,'Master Barang'!$A:$A,'Master Barang'!$D:$D,""),"")</f>
        <v/>
      </c>
    </row>
    <row r="693" spans="1:6">
      <c r="A693" s="49"/>
      <c r="D693" t="str">
        <f>IFERROR(XLOOKUP(C693,'Master Barang'!$A:$A,'Master Barang'!$B:$B,""),"")</f>
        <v/>
      </c>
      <c r="E693" s="52"/>
      <c r="F693" t="str">
        <f>IFERROR(XLOOKUP(C693,'Master Barang'!$A:$A,'Master Barang'!$D:$D,""),"")</f>
        <v/>
      </c>
    </row>
    <row r="694" spans="1:6">
      <c r="A694" s="49"/>
      <c r="D694" t="str">
        <f>IFERROR(XLOOKUP(C694,'Master Barang'!$A:$A,'Master Barang'!$B:$B,""),"")</f>
        <v/>
      </c>
      <c r="E694" s="52"/>
      <c r="F694" t="str">
        <f>IFERROR(XLOOKUP(C694,'Master Barang'!$A:$A,'Master Barang'!$D:$D,""),"")</f>
        <v/>
      </c>
    </row>
    <row r="695" spans="1:6">
      <c r="A695" s="49"/>
      <c r="D695" t="str">
        <f>IFERROR(XLOOKUP(C695,'Master Barang'!$A:$A,'Master Barang'!$B:$B,""),"")</f>
        <v/>
      </c>
      <c r="E695" s="52"/>
      <c r="F695" t="str">
        <f>IFERROR(XLOOKUP(C695,'Master Barang'!$A:$A,'Master Barang'!$D:$D,""),"")</f>
        <v/>
      </c>
    </row>
    <row r="696" spans="1:6">
      <c r="A696" s="49"/>
      <c r="D696" t="str">
        <f>IFERROR(XLOOKUP(C696,'Master Barang'!$A:$A,'Master Barang'!$B:$B,""),"")</f>
        <v/>
      </c>
      <c r="E696" s="52"/>
      <c r="F696" t="str">
        <f>IFERROR(XLOOKUP(C696,'Master Barang'!$A:$A,'Master Barang'!$D:$D,""),"")</f>
        <v/>
      </c>
    </row>
    <row r="697" spans="1:6">
      <c r="A697" s="49"/>
      <c r="D697" t="str">
        <f>IFERROR(XLOOKUP(C697,'Master Barang'!$A:$A,'Master Barang'!$B:$B,""),"")</f>
        <v/>
      </c>
      <c r="E697" s="52"/>
      <c r="F697" t="str">
        <f>IFERROR(XLOOKUP(C697,'Master Barang'!$A:$A,'Master Barang'!$D:$D,""),"")</f>
        <v/>
      </c>
    </row>
    <row r="698" spans="1:6">
      <c r="A698" s="49"/>
      <c r="D698" t="str">
        <f>IFERROR(XLOOKUP(C698,'Master Barang'!$A:$A,'Master Barang'!$B:$B,""),"")</f>
        <v/>
      </c>
      <c r="E698" s="52"/>
      <c r="F698" t="str">
        <f>IFERROR(XLOOKUP(C698,'Master Barang'!$A:$A,'Master Barang'!$D:$D,""),"")</f>
        <v/>
      </c>
    </row>
    <row r="699" spans="1:6">
      <c r="A699" s="49"/>
      <c r="D699" t="str">
        <f>IFERROR(XLOOKUP(C699,'Master Barang'!$A:$A,'Master Barang'!$B:$B,""),"")</f>
        <v/>
      </c>
      <c r="E699" s="52"/>
      <c r="F699" t="str">
        <f>IFERROR(XLOOKUP(C699,'Master Barang'!$A:$A,'Master Barang'!$D:$D,""),"")</f>
        <v/>
      </c>
    </row>
    <row r="700" spans="1:6">
      <c r="A700" s="49"/>
      <c r="D700" t="str">
        <f>IFERROR(XLOOKUP(C700,'Master Barang'!$A:$A,'Master Barang'!$B:$B,""),"")</f>
        <v/>
      </c>
      <c r="E700" s="52"/>
      <c r="F700" t="str">
        <f>IFERROR(XLOOKUP(C700,'Master Barang'!$A:$A,'Master Barang'!$D:$D,""),"")</f>
        <v/>
      </c>
    </row>
    <row r="701" spans="1:6">
      <c r="A701" s="49"/>
      <c r="D701" t="str">
        <f>IFERROR(XLOOKUP(C701,'Master Barang'!$A:$A,'Master Barang'!$B:$B,""),"")</f>
        <v/>
      </c>
      <c r="E701" s="52"/>
      <c r="F701" t="str">
        <f>IFERROR(XLOOKUP(C701,'Master Barang'!$A:$A,'Master Barang'!$D:$D,""),"")</f>
        <v/>
      </c>
    </row>
    <row r="702" spans="1:6">
      <c r="A702" s="49"/>
      <c r="D702" t="str">
        <f>IFERROR(XLOOKUP(C702,'Master Barang'!$A:$A,'Master Barang'!$B:$B,""),"")</f>
        <v/>
      </c>
      <c r="E702" s="52"/>
      <c r="F702" t="str">
        <f>IFERROR(XLOOKUP(C702,'Master Barang'!$A:$A,'Master Barang'!$D:$D,""),"")</f>
        <v/>
      </c>
    </row>
    <row r="703" spans="1:6">
      <c r="A703" s="49"/>
      <c r="D703" t="str">
        <f>IFERROR(XLOOKUP(C703,'Master Barang'!$A:$A,'Master Barang'!$B:$B,""),"")</f>
        <v/>
      </c>
      <c r="E703" s="52"/>
      <c r="F703" t="str">
        <f>IFERROR(XLOOKUP(C703,'Master Barang'!$A:$A,'Master Barang'!$D:$D,""),"")</f>
        <v/>
      </c>
    </row>
    <row r="704" spans="1:6">
      <c r="A704" s="49"/>
      <c r="D704" t="str">
        <f>IFERROR(XLOOKUP(C704,'Master Barang'!$A:$A,'Master Barang'!$B:$B,""),"")</f>
        <v/>
      </c>
      <c r="E704" s="52"/>
      <c r="F704" t="str">
        <f>IFERROR(XLOOKUP(C704,'Master Barang'!$A:$A,'Master Barang'!$D:$D,""),"")</f>
        <v/>
      </c>
    </row>
    <row r="705" spans="1:6">
      <c r="A705" s="49"/>
      <c r="D705" t="str">
        <f>IFERROR(XLOOKUP(C705,'Master Barang'!$A:$A,'Master Barang'!$B:$B,""),"")</f>
        <v/>
      </c>
      <c r="E705" s="52"/>
      <c r="F705" t="str">
        <f>IFERROR(XLOOKUP(C705,'Master Barang'!$A:$A,'Master Barang'!$D:$D,""),"")</f>
        <v/>
      </c>
    </row>
    <row r="706" spans="1:6">
      <c r="A706" s="49"/>
      <c r="D706" t="str">
        <f>IFERROR(XLOOKUP(C706,'Master Barang'!$A:$A,'Master Barang'!$B:$B,""),"")</f>
        <v/>
      </c>
      <c r="E706" s="52"/>
      <c r="F706" t="str">
        <f>IFERROR(XLOOKUP(C706,'Master Barang'!$A:$A,'Master Barang'!$D:$D,""),"")</f>
        <v/>
      </c>
    </row>
    <row r="707" spans="1:6">
      <c r="A707" s="49"/>
      <c r="D707" t="str">
        <f>IFERROR(XLOOKUP(C707,'Master Barang'!$A:$A,'Master Barang'!$B:$B,""),"")</f>
        <v/>
      </c>
      <c r="E707" s="52"/>
      <c r="F707" t="str">
        <f>IFERROR(XLOOKUP(C707,'Master Barang'!$A:$A,'Master Barang'!$D:$D,""),"")</f>
        <v/>
      </c>
    </row>
    <row r="708" spans="1:6">
      <c r="A708" s="49"/>
      <c r="D708" t="str">
        <f>IFERROR(XLOOKUP(C708,'Master Barang'!$A:$A,'Master Barang'!$B:$B,""),"")</f>
        <v/>
      </c>
      <c r="E708" s="52"/>
      <c r="F708" t="str">
        <f>IFERROR(XLOOKUP(C708,'Master Barang'!$A:$A,'Master Barang'!$D:$D,""),"")</f>
        <v/>
      </c>
    </row>
    <row r="709" spans="1:6">
      <c r="A709" s="49"/>
      <c r="D709" t="str">
        <f>IFERROR(XLOOKUP(C709,'Master Barang'!$A:$A,'Master Barang'!$B:$B,""),"")</f>
        <v/>
      </c>
      <c r="E709" s="52"/>
      <c r="F709" t="str">
        <f>IFERROR(XLOOKUP(C709,'Master Barang'!$A:$A,'Master Barang'!$D:$D,""),"")</f>
        <v/>
      </c>
    </row>
    <row r="710" spans="1:6">
      <c r="A710" s="49"/>
      <c r="D710" t="str">
        <f>IFERROR(XLOOKUP(C710,'Master Barang'!$A:$A,'Master Barang'!$B:$B,""),"")</f>
        <v/>
      </c>
      <c r="E710" s="52"/>
      <c r="F710" t="str">
        <f>IFERROR(XLOOKUP(C710,'Master Barang'!$A:$A,'Master Barang'!$D:$D,""),"")</f>
        <v/>
      </c>
    </row>
    <row r="711" spans="1:6">
      <c r="A711" s="49"/>
      <c r="D711" t="str">
        <f>IFERROR(XLOOKUP(C711,'Master Barang'!$A:$A,'Master Barang'!$B:$B,""),"")</f>
        <v/>
      </c>
      <c r="E711" s="52"/>
      <c r="F711" t="str">
        <f>IFERROR(XLOOKUP(C711,'Master Barang'!$A:$A,'Master Barang'!$D:$D,""),"")</f>
        <v/>
      </c>
    </row>
    <row r="712" spans="1:6">
      <c r="A712" s="49"/>
      <c r="D712" t="str">
        <f>IFERROR(XLOOKUP(C712,'Master Barang'!$A:$A,'Master Barang'!$B:$B,""),"")</f>
        <v/>
      </c>
      <c r="E712" s="52"/>
      <c r="F712" t="str">
        <f>IFERROR(XLOOKUP(C712,'Master Barang'!$A:$A,'Master Barang'!$D:$D,""),"")</f>
        <v/>
      </c>
    </row>
    <row r="713" spans="1:6">
      <c r="A713" s="49"/>
      <c r="D713" t="str">
        <f>IFERROR(XLOOKUP(C713,'Master Barang'!$A:$A,'Master Barang'!$B:$B,""),"")</f>
        <v/>
      </c>
      <c r="E713" s="52"/>
      <c r="F713" t="str">
        <f>IFERROR(XLOOKUP(C713,'Master Barang'!$A:$A,'Master Barang'!$D:$D,""),"")</f>
        <v/>
      </c>
    </row>
    <row r="714" spans="1:6">
      <c r="A714" s="49"/>
      <c r="D714" t="str">
        <f>IFERROR(XLOOKUP(C714,'Master Barang'!$A:$A,'Master Barang'!$B:$B,""),"")</f>
        <v/>
      </c>
      <c r="E714" s="52"/>
      <c r="F714" t="str">
        <f>IFERROR(XLOOKUP(C714,'Master Barang'!$A:$A,'Master Barang'!$D:$D,""),"")</f>
        <v/>
      </c>
    </row>
    <row r="715" spans="1:6">
      <c r="A715" s="49"/>
      <c r="D715" t="str">
        <f>IFERROR(XLOOKUP(C715,'Master Barang'!$A:$A,'Master Barang'!$B:$B,""),"")</f>
        <v/>
      </c>
      <c r="E715" s="52"/>
      <c r="F715" t="str">
        <f>IFERROR(XLOOKUP(C715,'Master Barang'!$A:$A,'Master Barang'!$D:$D,""),"")</f>
        <v/>
      </c>
    </row>
    <row r="716" spans="1:6">
      <c r="A716" s="49"/>
      <c r="D716" t="str">
        <f>IFERROR(XLOOKUP(C716,'Master Barang'!$A:$A,'Master Barang'!$B:$B,""),"")</f>
        <v/>
      </c>
      <c r="E716" s="52"/>
      <c r="F716" t="str">
        <f>IFERROR(XLOOKUP(C716,'Master Barang'!$A:$A,'Master Barang'!$D:$D,""),"")</f>
        <v/>
      </c>
    </row>
    <row r="717" spans="1:6">
      <c r="A717" s="49"/>
      <c r="D717" t="str">
        <f>IFERROR(XLOOKUP(C717,'Master Barang'!$A:$A,'Master Barang'!$B:$B,""),"")</f>
        <v/>
      </c>
      <c r="E717" s="52"/>
      <c r="F717" t="str">
        <f>IFERROR(XLOOKUP(C717,'Master Barang'!$A:$A,'Master Barang'!$D:$D,""),"")</f>
        <v/>
      </c>
    </row>
    <row r="718" spans="1:6">
      <c r="A718" s="49"/>
      <c r="D718" t="str">
        <f>IFERROR(XLOOKUP(C718,'Master Barang'!$A:$A,'Master Barang'!$B:$B,""),"")</f>
        <v/>
      </c>
      <c r="E718" s="52"/>
      <c r="F718" t="str">
        <f>IFERROR(XLOOKUP(C718,'Master Barang'!$A:$A,'Master Barang'!$D:$D,""),"")</f>
        <v/>
      </c>
    </row>
    <row r="719" spans="1:6">
      <c r="A719" s="49"/>
      <c r="D719" t="str">
        <f>IFERROR(XLOOKUP(C719,'Master Barang'!$A:$A,'Master Barang'!$B:$B,""),"")</f>
        <v/>
      </c>
      <c r="E719" s="52"/>
      <c r="F719" t="str">
        <f>IFERROR(XLOOKUP(C719,'Master Barang'!$A:$A,'Master Barang'!$D:$D,""),"")</f>
        <v/>
      </c>
    </row>
    <row r="720" spans="1:6">
      <c r="A720" s="49"/>
      <c r="D720" t="str">
        <f>IFERROR(XLOOKUP(C720,'Master Barang'!$A:$A,'Master Barang'!$B:$B,""),"")</f>
        <v/>
      </c>
      <c r="E720" s="52"/>
      <c r="F720" t="str">
        <f>IFERROR(XLOOKUP(C720,'Master Barang'!$A:$A,'Master Barang'!$D:$D,""),"")</f>
        <v/>
      </c>
    </row>
    <row r="721" spans="1:6">
      <c r="A721" s="49"/>
      <c r="D721" t="str">
        <f>IFERROR(XLOOKUP(C721,'Master Barang'!$A:$A,'Master Barang'!$B:$B,""),"")</f>
        <v/>
      </c>
      <c r="E721" s="52"/>
      <c r="F721" t="str">
        <f>IFERROR(XLOOKUP(C721,'Master Barang'!$A:$A,'Master Barang'!$D:$D,""),"")</f>
        <v/>
      </c>
    </row>
    <row r="722" spans="1:6">
      <c r="A722" s="49"/>
      <c r="D722" t="str">
        <f>IFERROR(XLOOKUP(C722,'Master Barang'!$A:$A,'Master Barang'!$B:$B,""),"")</f>
        <v/>
      </c>
      <c r="E722" s="52"/>
      <c r="F722" t="str">
        <f>IFERROR(XLOOKUP(C722,'Master Barang'!$A:$A,'Master Barang'!$D:$D,""),"")</f>
        <v/>
      </c>
    </row>
    <row r="723" spans="1:6">
      <c r="A723" s="49"/>
      <c r="D723" t="str">
        <f>IFERROR(XLOOKUP(C723,'Master Barang'!$A:$A,'Master Barang'!$B:$B,""),"")</f>
        <v/>
      </c>
      <c r="E723" s="52"/>
      <c r="F723" t="str">
        <f>IFERROR(XLOOKUP(C723,'Master Barang'!$A:$A,'Master Barang'!$D:$D,""),"")</f>
        <v/>
      </c>
    </row>
    <row r="724" spans="1:6">
      <c r="A724" s="49"/>
      <c r="D724" t="str">
        <f>IFERROR(XLOOKUP(C724,'Master Barang'!$A:$A,'Master Barang'!$B:$B,""),"")</f>
        <v/>
      </c>
      <c r="E724" s="52"/>
      <c r="F724" t="str">
        <f>IFERROR(XLOOKUP(C724,'Master Barang'!$A:$A,'Master Barang'!$D:$D,""),"")</f>
        <v/>
      </c>
    </row>
    <row r="725" spans="1:6">
      <c r="A725" s="49"/>
      <c r="D725" t="str">
        <f>IFERROR(XLOOKUP(C725,'Master Barang'!$A:$A,'Master Barang'!$B:$B,""),"")</f>
        <v/>
      </c>
      <c r="E725" s="52"/>
      <c r="F725" t="str">
        <f>IFERROR(XLOOKUP(C725,'Master Barang'!$A:$A,'Master Barang'!$D:$D,""),"")</f>
        <v/>
      </c>
    </row>
    <row r="726" spans="1:6">
      <c r="A726" s="49"/>
      <c r="D726" t="str">
        <f>IFERROR(XLOOKUP(C726,'Master Barang'!$A:$A,'Master Barang'!$B:$B,""),"")</f>
        <v/>
      </c>
      <c r="E726" s="52"/>
      <c r="F726" t="str">
        <f>IFERROR(XLOOKUP(C726,'Master Barang'!$A:$A,'Master Barang'!$D:$D,""),"")</f>
        <v/>
      </c>
    </row>
    <row r="727" spans="1:6">
      <c r="A727" s="49"/>
      <c r="D727" t="str">
        <f>IFERROR(XLOOKUP(C727,'Master Barang'!$A:$A,'Master Barang'!$B:$B,""),"")</f>
        <v/>
      </c>
      <c r="E727" s="52"/>
      <c r="F727" t="str">
        <f>IFERROR(XLOOKUP(C727,'Master Barang'!$A:$A,'Master Barang'!$D:$D,""),"")</f>
        <v/>
      </c>
    </row>
    <row r="728" spans="1:6">
      <c r="A728" s="49"/>
      <c r="D728" t="str">
        <f>IFERROR(XLOOKUP(C728,'Master Barang'!$A:$A,'Master Barang'!$B:$B,""),"")</f>
        <v/>
      </c>
      <c r="E728" s="52"/>
      <c r="F728" t="str">
        <f>IFERROR(XLOOKUP(C728,'Master Barang'!$A:$A,'Master Barang'!$D:$D,""),"")</f>
        <v/>
      </c>
    </row>
    <row r="729" spans="1:6">
      <c r="A729" s="49"/>
      <c r="D729" t="str">
        <f>IFERROR(XLOOKUP(C729,'Master Barang'!$A:$A,'Master Barang'!$B:$B,""),"")</f>
        <v/>
      </c>
      <c r="E729" s="52"/>
      <c r="F729" t="str">
        <f>IFERROR(XLOOKUP(C729,'Master Barang'!$A:$A,'Master Barang'!$D:$D,""),"")</f>
        <v/>
      </c>
    </row>
    <row r="730" spans="1:6">
      <c r="A730" s="49"/>
      <c r="D730" t="str">
        <f>IFERROR(XLOOKUP(C730,'Master Barang'!$A:$A,'Master Barang'!$B:$B,""),"")</f>
        <v/>
      </c>
      <c r="E730" s="52"/>
      <c r="F730" t="str">
        <f>IFERROR(XLOOKUP(C730,'Master Barang'!$A:$A,'Master Barang'!$D:$D,""),"")</f>
        <v/>
      </c>
    </row>
    <row r="731" spans="1:6">
      <c r="A731" s="49"/>
      <c r="D731" t="str">
        <f>IFERROR(XLOOKUP(C731,'Master Barang'!$A:$A,'Master Barang'!$B:$B,""),"")</f>
        <v/>
      </c>
      <c r="E731" s="52"/>
      <c r="F731" t="str">
        <f>IFERROR(XLOOKUP(C731,'Master Barang'!$A:$A,'Master Barang'!$D:$D,""),"")</f>
        <v/>
      </c>
    </row>
    <row r="732" spans="1:6">
      <c r="A732" s="49"/>
      <c r="D732" t="str">
        <f>IFERROR(XLOOKUP(C732,'Master Barang'!$A:$A,'Master Barang'!$B:$B,""),"")</f>
        <v/>
      </c>
      <c r="E732" s="52"/>
      <c r="F732" t="str">
        <f>IFERROR(XLOOKUP(C732,'Master Barang'!$A:$A,'Master Barang'!$D:$D,""),"")</f>
        <v/>
      </c>
    </row>
    <row r="733" spans="1:6">
      <c r="A733" s="49"/>
      <c r="D733" t="str">
        <f>IFERROR(XLOOKUP(C733,'Master Barang'!$A:$A,'Master Barang'!$B:$B,""),"")</f>
        <v/>
      </c>
      <c r="E733" s="52"/>
      <c r="F733" t="str">
        <f>IFERROR(XLOOKUP(C733,'Master Barang'!$A:$A,'Master Barang'!$D:$D,""),"")</f>
        <v/>
      </c>
    </row>
    <row r="734" spans="1:6">
      <c r="A734" s="49"/>
      <c r="D734" t="str">
        <f>IFERROR(XLOOKUP(C734,'Master Barang'!$A:$A,'Master Barang'!$B:$B,""),"")</f>
        <v/>
      </c>
      <c r="E734" s="52"/>
      <c r="F734" t="str">
        <f>IFERROR(XLOOKUP(C734,'Master Barang'!$A:$A,'Master Barang'!$D:$D,""),"")</f>
        <v/>
      </c>
    </row>
    <row r="735" spans="1:6">
      <c r="A735" s="49"/>
      <c r="D735" t="str">
        <f>IFERROR(XLOOKUP(C735,'Master Barang'!$A:$A,'Master Barang'!$B:$B,""),"")</f>
        <v/>
      </c>
      <c r="E735" s="52"/>
      <c r="F735" t="str">
        <f>IFERROR(XLOOKUP(C735,'Master Barang'!$A:$A,'Master Barang'!$D:$D,""),"")</f>
        <v/>
      </c>
    </row>
    <row r="736" spans="1:6">
      <c r="A736" s="49"/>
      <c r="D736" t="str">
        <f>IFERROR(XLOOKUP(C736,'Master Barang'!$A:$A,'Master Barang'!$B:$B,""),"")</f>
        <v/>
      </c>
      <c r="E736" s="52"/>
      <c r="F736" t="str">
        <f>IFERROR(XLOOKUP(C736,'Master Barang'!$A:$A,'Master Barang'!$D:$D,""),"")</f>
        <v/>
      </c>
    </row>
    <row r="737" spans="1:6">
      <c r="A737" s="49"/>
      <c r="D737" t="str">
        <f>IFERROR(XLOOKUP(C737,'Master Barang'!$A:$A,'Master Barang'!$B:$B,""),"")</f>
        <v/>
      </c>
      <c r="E737" s="52"/>
      <c r="F737" t="str">
        <f>IFERROR(XLOOKUP(C737,'Master Barang'!$A:$A,'Master Barang'!$D:$D,""),"")</f>
        <v/>
      </c>
    </row>
    <row r="738" spans="1:6">
      <c r="A738" s="49"/>
      <c r="D738" t="str">
        <f>IFERROR(XLOOKUP(C738,'Master Barang'!$A:$A,'Master Barang'!$B:$B,""),"")</f>
        <v/>
      </c>
      <c r="E738" s="52"/>
      <c r="F738" t="str">
        <f>IFERROR(XLOOKUP(C738,'Master Barang'!$A:$A,'Master Barang'!$D:$D,""),"")</f>
        <v/>
      </c>
    </row>
    <row r="739" spans="1:6">
      <c r="A739" s="49"/>
      <c r="D739" t="str">
        <f>IFERROR(XLOOKUP(C739,'Master Barang'!$A:$A,'Master Barang'!$B:$B,""),"")</f>
        <v/>
      </c>
      <c r="E739" s="52"/>
      <c r="F739" t="str">
        <f>IFERROR(XLOOKUP(C739,'Master Barang'!$A:$A,'Master Barang'!$D:$D,""),"")</f>
        <v/>
      </c>
    </row>
    <row r="740" spans="1:6">
      <c r="A740" s="49"/>
      <c r="D740" t="str">
        <f>IFERROR(XLOOKUP(C740,'Master Barang'!$A:$A,'Master Barang'!$B:$B,""),"")</f>
        <v/>
      </c>
      <c r="E740" s="52"/>
      <c r="F740" t="str">
        <f>IFERROR(XLOOKUP(C740,'Master Barang'!$A:$A,'Master Barang'!$D:$D,""),"")</f>
        <v/>
      </c>
    </row>
    <row r="741" spans="1:6">
      <c r="A741" s="49"/>
      <c r="D741" t="str">
        <f>IFERROR(XLOOKUP(C741,'Master Barang'!$A:$A,'Master Barang'!$B:$B,""),"")</f>
        <v/>
      </c>
      <c r="E741" s="52"/>
      <c r="F741" t="str">
        <f>IFERROR(XLOOKUP(C741,'Master Barang'!$A:$A,'Master Barang'!$D:$D,""),"")</f>
        <v/>
      </c>
    </row>
    <row r="742" spans="1:6">
      <c r="A742" s="49"/>
      <c r="D742" t="str">
        <f>IFERROR(XLOOKUP(C742,'Master Barang'!$A:$A,'Master Barang'!$B:$B,""),"")</f>
        <v/>
      </c>
      <c r="E742" s="52"/>
      <c r="F742" t="str">
        <f>IFERROR(XLOOKUP(C742,'Master Barang'!$A:$A,'Master Barang'!$D:$D,""),"")</f>
        <v/>
      </c>
    </row>
    <row r="743" spans="1:6">
      <c r="A743" s="49"/>
      <c r="D743" t="str">
        <f>IFERROR(XLOOKUP(C743,'Master Barang'!$A:$A,'Master Barang'!$B:$B,""),"")</f>
        <v/>
      </c>
      <c r="E743" s="52"/>
      <c r="F743" t="str">
        <f>IFERROR(XLOOKUP(C743,'Master Barang'!$A:$A,'Master Barang'!$D:$D,""),"")</f>
        <v/>
      </c>
    </row>
    <row r="744" spans="1:6">
      <c r="A744" s="49"/>
      <c r="D744" t="str">
        <f>IFERROR(XLOOKUP(C744,'Master Barang'!$A:$A,'Master Barang'!$B:$B,""),"")</f>
        <v/>
      </c>
      <c r="E744" s="52"/>
      <c r="F744" t="str">
        <f>IFERROR(XLOOKUP(C744,'Master Barang'!$A:$A,'Master Barang'!$D:$D,""),"")</f>
        <v/>
      </c>
    </row>
    <row r="745" spans="1:6">
      <c r="A745" s="49"/>
      <c r="D745" t="str">
        <f>IFERROR(XLOOKUP(C745,'Master Barang'!$A:$A,'Master Barang'!$B:$B,""),"")</f>
        <v/>
      </c>
      <c r="E745" s="52"/>
      <c r="F745" t="str">
        <f>IFERROR(XLOOKUP(C745,'Master Barang'!$A:$A,'Master Barang'!$D:$D,""),"")</f>
        <v/>
      </c>
    </row>
    <row r="746" spans="1:6">
      <c r="A746" s="49"/>
      <c r="D746" t="str">
        <f>IFERROR(XLOOKUP(C746,'Master Barang'!$A:$A,'Master Barang'!$B:$B,""),"")</f>
        <v/>
      </c>
      <c r="E746" s="52"/>
      <c r="F746" t="str">
        <f>IFERROR(XLOOKUP(C746,'Master Barang'!$A:$A,'Master Barang'!$D:$D,""),"")</f>
        <v/>
      </c>
    </row>
    <row r="747" spans="1:6">
      <c r="A747" s="49"/>
      <c r="D747" t="str">
        <f>IFERROR(XLOOKUP(C747,'Master Barang'!$A:$A,'Master Barang'!$B:$B,""),"")</f>
        <v/>
      </c>
      <c r="E747" s="52"/>
      <c r="F747" t="str">
        <f>IFERROR(XLOOKUP(C747,'Master Barang'!$A:$A,'Master Barang'!$D:$D,""),"")</f>
        <v/>
      </c>
    </row>
    <row r="748" spans="1:6">
      <c r="A748" s="49"/>
      <c r="D748" t="str">
        <f>IFERROR(XLOOKUP(C748,'Master Barang'!$A:$A,'Master Barang'!$B:$B,""),"")</f>
        <v/>
      </c>
      <c r="E748" s="52"/>
      <c r="F748" t="str">
        <f>IFERROR(XLOOKUP(C748,'Master Barang'!$A:$A,'Master Barang'!$D:$D,""),"")</f>
        <v/>
      </c>
    </row>
    <row r="749" spans="1:6">
      <c r="A749" s="49"/>
      <c r="D749" t="str">
        <f>IFERROR(XLOOKUP(C749,'Master Barang'!$A:$A,'Master Barang'!$B:$B,""),"")</f>
        <v/>
      </c>
      <c r="E749" s="52"/>
      <c r="F749" t="str">
        <f>IFERROR(XLOOKUP(C749,'Master Barang'!$A:$A,'Master Barang'!$D:$D,""),"")</f>
        <v/>
      </c>
    </row>
    <row r="750" spans="1:6">
      <c r="A750" s="49"/>
      <c r="D750" t="str">
        <f>IFERROR(XLOOKUP(C750,'Master Barang'!$A:$A,'Master Barang'!$B:$B,""),"")</f>
        <v/>
      </c>
      <c r="E750" s="52"/>
      <c r="F750" t="str">
        <f>IFERROR(XLOOKUP(C750,'Master Barang'!$A:$A,'Master Barang'!$D:$D,""),"")</f>
        <v/>
      </c>
    </row>
    <row r="751" spans="1:6">
      <c r="A751" s="49"/>
      <c r="D751" t="str">
        <f>IFERROR(XLOOKUP(C751,'Master Barang'!$A:$A,'Master Barang'!$B:$B,""),"")</f>
        <v/>
      </c>
      <c r="E751" s="52"/>
      <c r="F751" t="str">
        <f>IFERROR(XLOOKUP(C751,'Master Barang'!$A:$A,'Master Barang'!$D:$D,""),"")</f>
        <v/>
      </c>
    </row>
    <row r="752" spans="1:6">
      <c r="A752" s="49"/>
      <c r="D752" t="str">
        <f>IFERROR(XLOOKUP(C752,'Master Barang'!$A:$A,'Master Barang'!$B:$B,""),"")</f>
        <v/>
      </c>
      <c r="E752" s="52"/>
      <c r="F752" t="str">
        <f>IFERROR(XLOOKUP(C752,'Master Barang'!$A:$A,'Master Barang'!$D:$D,""),"")</f>
        <v/>
      </c>
    </row>
    <row r="753" spans="1:6">
      <c r="A753" s="49"/>
      <c r="D753" t="str">
        <f>IFERROR(XLOOKUP(C753,'Master Barang'!$A:$A,'Master Barang'!$B:$B,""),"")</f>
        <v/>
      </c>
      <c r="E753" s="52"/>
      <c r="F753" t="str">
        <f>IFERROR(XLOOKUP(C753,'Master Barang'!$A:$A,'Master Barang'!$D:$D,""),"")</f>
        <v/>
      </c>
    </row>
    <row r="754" spans="1:6">
      <c r="A754" s="49"/>
      <c r="D754" t="str">
        <f>IFERROR(XLOOKUP(C754,'Master Barang'!$A:$A,'Master Barang'!$B:$B,""),"")</f>
        <v/>
      </c>
      <c r="E754" s="52"/>
      <c r="F754" t="str">
        <f>IFERROR(XLOOKUP(C754,'Master Barang'!$A:$A,'Master Barang'!$D:$D,""),"")</f>
        <v/>
      </c>
    </row>
    <row r="755" spans="1:6">
      <c r="A755" s="49"/>
      <c r="D755" t="str">
        <f>IFERROR(XLOOKUP(C755,'Master Barang'!$A:$A,'Master Barang'!$B:$B,""),"")</f>
        <v/>
      </c>
      <c r="E755" s="52"/>
      <c r="F755" t="str">
        <f>IFERROR(XLOOKUP(C755,'Master Barang'!$A:$A,'Master Barang'!$D:$D,""),"")</f>
        <v/>
      </c>
    </row>
    <row r="756" spans="1:6">
      <c r="A756" s="49"/>
      <c r="D756" t="str">
        <f>IFERROR(XLOOKUP(C756,'Master Barang'!$A:$A,'Master Barang'!$B:$B,""),"")</f>
        <v/>
      </c>
      <c r="E756" s="52"/>
      <c r="F756" t="str">
        <f>IFERROR(XLOOKUP(C756,'Master Barang'!$A:$A,'Master Barang'!$D:$D,""),"")</f>
        <v/>
      </c>
    </row>
    <row r="757" spans="1:6">
      <c r="A757" s="49"/>
      <c r="D757" t="str">
        <f>IFERROR(XLOOKUP(C757,'Master Barang'!$A:$A,'Master Barang'!$B:$B,""),"")</f>
        <v/>
      </c>
      <c r="E757" s="52"/>
      <c r="F757" t="str">
        <f>IFERROR(XLOOKUP(C757,'Master Barang'!$A:$A,'Master Barang'!$D:$D,""),"")</f>
        <v/>
      </c>
    </row>
    <row r="758" spans="1:6">
      <c r="A758" s="49"/>
      <c r="D758" t="str">
        <f>IFERROR(XLOOKUP(C758,'Master Barang'!$A:$A,'Master Barang'!$B:$B,""),"")</f>
        <v/>
      </c>
      <c r="E758" s="52"/>
      <c r="F758" t="str">
        <f>IFERROR(XLOOKUP(C758,'Master Barang'!$A:$A,'Master Barang'!$D:$D,""),"")</f>
        <v/>
      </c>
    </row>
    <row r="759" spans="1:6">
      <c r="A759" s="49"/>
      <c r="D759" t="str">
        <f>IFERROR(XLOOKUP(C759,'Master Barang'!$A:$A,'Master Barang'!$B:$B,""),"")</f>
        <v/>
      </c>
      <c r="E759" s="52"/>
      <c r="F759" t="str">
        <f>IFERROR(XLOOKUP(C759,'Master Barang'!$A:$A,'Master Barang'!$D:$D,""),"")</f>
        <v/>
      </c>
    </row>
    <row r="760" spans="1:6">
      <c r="A760" s="49"/>
      <c r="D760" t="str">
        <f>IFERROR(XLOOKUP(C760,'Master Barang'!$A:$A,'Master Barang'!$B:$B,""),"")</f>
        <v/>
      </c>
      <c r="E760" s="52"/>
      <c r="F760" t="str">
        <f>IFERROR(XLOOKUP(C760,'Master Barang'!$A:$A,'Master Barang'!$D:$D,""),"")</f>
        <v/>
      </c>
    </row>
    <row r="761" spans="1:6">
      <c r="A761" s="49"/>
      <c r="D761" t="str">
        <f>IFERROR(XLOOKUP(C761,'Master Barang'!$A:$A,'Master Barang'!$B:$B,""),"")</f>
        <v/>
      </c>
      <c r="E761" s="52"/>
      <c r="F761" t="str">
        <f>IFERROR(XLOOKUP(C761,'Master Barang'!$A:$A,'Master Barang'!$D:$D,""),"")</f>
        <v/>
      </c>
    </row>
    <row r="762" spans="1:6">
      <c r="A762" s="49"/>
      <c r="D762" t="str">
        <f>IFERROR(XLOOKUP(C762,'Master Barang'!$A:$A,'Master Barang'!$B:$B,""),"")</f>
        <v/>
      </c>
      <c r="E762" s="52"/>
      <c r="F762" t="str">
        <f>IFERROR(XLOOKUP(C762,'Master Barang'!$A:$A,'Master Barang'!$D:$D,""),"")</f>
        <v/>
      </c>
    </row>
    <row r="763" spans="1:6">
      <c r="A763" s="49"/>
      <c r="D763" t="str">
        <f>IFERROR(XLOOKUP(C763,'Master Barang'!$A:$A,'Master Barang'!$B:$B,""),"")</f>
        <v/>
      </c>
      <c r="E763" s="52"/>
      <c r="F763" t="str">
        <f>IFERROR(XLOOKUP(C763,'Master Barang'!$A:$A,'Master Barang'!$D:$D,""),"")</f>
        <v/>
      </c>
    </row>
    <row r="764" spans="1:6">
      <c r="A764" s="49"/>
      <c r="D764" t="str">
        <f>IFERROR(XLOOKUP(C764,'Master Barang'!$A:$A,'Master Barang'!$B:$B,""),"")</f>
        <v/>
      </c>
      <c r="E764" s="52"/>
      <c r="F764" t="str">
        <f>IFERROR(XLOOKUP(C764,'Master Barang'!$A:$A,'Master Barang'!$D:$D,""),"")</f>
        <v/>
      </c>
    </row>
    <row r="765" spans="1:6">
      <c r="A765" s="49"/>
      <c r="D765" t="str">
        <f>IFERROR(XLOOKUP(C765,'Master Barang'!$A:$A,'Master Barang'!$B:$B,""),"")</f>
        <v/>
      </c>
      <c r="E765" s="52"/>
      <c r="F765" t="str">
        <f>IFERROR(XLOOKUP(C765,'Master Barang'!$A:$A,'Master Barang'!$D:$D,""),"")</f>
        <v/>
      </c>
    </row>
    <row r="766" spans="1:6">
      <c r="A766" s="49"/>
      <c r="D766" t="str">
        <f>IFERROR(XLOOKUP(C766,'Master Barang'!$A:$A,'Master Barang'!$B:$B,""),"")</f>
        <v/>
      </c>
      <c r="E766" s="52"/>
      <c r="F766" t="str">
        <f>IFERROR(XLOOKUP(C766,'Master Barang'!$A:$A,'Master Barang'!$D:$D,""),"")</f>
        <v/>
      </c>
    </row>
    <row r="767" spans="1:6">
      <c r="A767" s="49"/>
      <c r="D767" t="str">
        <f>IFERROR(XLOOKUP(C767,'Master Barang'!$A:$A,'Master Barang'!$B:$B,""),"")</f>
        <v/>
      </c>
      <c r="E767" s="52"/>
      <c r="F767" t="str">
        <f>IFERROR(XLOOKUP(C767,'Master Barang'!$A:$A,'Master Barang'!$D:$D,""),"")</f>
        <v/>
      </c>
    </row>
    <row r="768" spans="1:6">
      <c r="A768" s="49"/>
      <c r="D768" t="str">
        <f>IFERROR(XLOOKUP(C768,'Master Barang'!$A:$A,'Master Barang'!$B:$B,""),"")</f>
        <v/>
      </c>
      <c r="E768" s="52"/>
      <c r="F768" t="str">
        <f>IFERROR(XLOOKUP(C768,'Master Barang'!$A:$A,'Master Barang'!$D:$D,""),"")</f>
        <v/>
      </c>
    </row>
    <row r="769" spans="1:6">
      <c r="A769" s="49"/>
      <c r="D769" t="str">
        <f>IFERROR(XLOOKUP(C769,'Master Barang'!$A:$A,'Master Barang'!$B:$B,""),"")</f>
        <v/>
      </c>
      <c r="E769" s="52"/>
      <c r="F769" t="str">
        <f>IFERROR(XLOOKUP(C769,'Master Barang'!$A:$A,'Master Barang'!$D:$D,""),"")</f>
        <v/>
      </c>
    </row>
    <row r="770" spans="1:6">
      <c r="A770" s="49"/>
      <c r="D770" t="str">
        <f>IFERROR(XLOOKUP(C770,'Master Barang'!$A:$A,'Master Barang'!$B:$B,""),"")</f>
        <v/>
      </c>
      <c r="E770" s="52"/>
      <c r="F770" t="str">
        <f>IFERROR(XLOOKUP(C770,'Master Barang'!$A:$A,'Master Barang'!$D:$D,""),"")</f>
        <v/>
      </c>
    </row>
    <row r="771" spans="1:6">
      <c r="A771" s="49"/>
      <c r="D771" t="str">
        <f>IFERROR(XLOOKUP(C771,'Master Barang'!$A:$A,'Master Barang'!$B:$B,""),"")</f>
        <v/>
      </c>
      <c r="E771" s="52"/>
      <c r="F771" t="str">
        <f>IFERROR(XLOOKUP(C771,'Master Barang'!$A:$A,'Master Barang'!$D:$D,""),"")</f>
        <v/>
      </c>
    </row>
    <row r="772" spans="1:6">
      <c r="A772" s="49"/>
      <c r="D772" t="str">
        <f>IFERROR(XLOOKUP(C772,'Master Barang'!$A:$A,'Master Barang'!$B:$B,""),"")</f>
        <v/>
      </c>
      <c r="E772" s="52"/>
      <c r="F772" t="str">
        <f>IFERROR(XLOOKUP(C772,'Master Barang'!$A:$A,'Master Barang'!$D:$D,""),"")</f>
        <v/>
      </c>
    </row>
    <row r="773" spans="1:6">
      <c r="A773" s="49"/>
      <c r="D773" t="str">
        <f>IFERROR(XLOOKUP(C773,'Master Barang'!$A:$A,'Master Barang'!$B:$B,""),"")</f>
        <v/>
      </c>
      <c r="E773" s="52"/>
      <c r="F773" t="str">
        <f>IFERROR(XLOOKUP(C773,'Master Barang'!$A:$A,'Master Barang'!$D:$D,""),"")</f>
        <v/>
      </c>
    </row>
    <row r="774" spans="1:6">
      <c r="A774" s="49"/>
      <c r="D774" t="str">
        <f>IFERROR(XLOOKUP(C774,'Master Barang'!$A:$A,'Master Barang'!$B:$B,""),"")</f>
        <v/>
      </c>
      <c r="E774" s="52"/>
      <c r="F774" t="str">
        <f>IFERROR(XLOOKUP(C774,'Master Barang'!$A:$A,'Master Barang'!$D:$D,""),"")</f>
        <v/>
      </c>
    </row>
    <row r="775" spans="1:6">
      <c r="A775" s="49"/>
      <c r="D775" t="str">
        <f>IFERROR(XLOOKUP(C775,'Master Barang'!$A:$A,'Master Barang'!$B:$B,""),"")</f>
        <v/>
      </c>
      <c r="E775" s="52"/>
      <c r="F775" t="str">
        <f>IFERROR(XLOOKUP(C775,'Master Barang'!$A:$A,'Master Barang'!$D:$D,""),"")</f>
        <v/>
      </c>
    </row>
    <row r="776" spans="1:6">
      <c r="A776" s="49"/>
      <c r="D776" t="str">
        <f>IFERROR(XLOOKUP(C776,'Master Barang'!$A:$A,'Master Barang'!$B:$B,""),"")</f>
        <v/>
      </c>
      <c r="E776" s="52"/>
      <c r="F776" t="str">
        <f>IFERROR(XLOOKUP(C776,'Master Barang'!$A:$A,'Master Barang'!$D:$D,""),"")</f>
        <v/>
      </c>
    </row>
    <row r="777" spans="1:6">
      <c r="A777" s="49"/>
      <c r="D777" t="str">
        <f>IFERROR(XLOOKUP(C777,'Master Barang'!$A:$A,'Master Barang'!$B:$B,""),"")</f>
        <v/>
      </c>
      <c r="E777" s="52"/>
      <c r="F777" t="str">
        <f>IFERROR(XLOOKUP(C777,'Master Barang'!$A:$A,'Master Barang'!$D:$D,""),"")</f>
        <v/>
      </c>
    </row>
    <row r="778" spans="1:6">
      <c r="A778" s="49"/>
      <c r="D778" t="str">
        <f>IFERROR(XLOOKUP(C778,'Master Barang'!$A:$A,'Master Barang'!$B:$B,""),"")</f>
        <v/>
      </c>
      <c r="E778" s="52"/>
      <c r="F778" t="str">
        <f>IFERROR(XLOOKUP(C778,'Master Barang'!$A:$A,'Master Barang'!$D:$D,""),"")</f>
        <v/>
      </c>
    </row>
    <row r="779" spans="1:6">
      <c r="A779" s="49"/>
      <c r="D779" t="str">
        <f>IFERROR(XLOOKUP(C779,'Master Barang'!$A:$A,'Master Barang'!$B:$B,""),"")</f>
        <v/>
      </c>
      <c r="E779" s="52"/>
      <c r="F779" t="str">
        <f>IFERROR(XLOOKUP(C779,'Master Barang'!$A:$A,'Master Barang'!$D:$D,""),"")</f>
        <v/>
      </c>
    </row>
    <row r="780" spans="1:6">
      <c r="A780" s="49"/>
      <c r="D780" t="str">
        <f>IFERROR(XLOOKUP(C780,'Master Barang'!$A:$A,'Master Barang'!$B:$B,""),"")</f>
        <v/>
      </c>
      <c r="E780" s="52"/>
      <c r="F780" t="str">
        <f>IFERROR(XLOOKUP(C780,'Master Barang'!$A:$A,'Master Barang'!$D:$D,""),"")</f>
        <v/>
      </c>
    </row>
    <row r="781" spans="1:6">
      <c r="A781" s="49"/>
      <c r="D781" t="str">
        <f>IFERROR(XLOOKUP(C781,'Master Barang'!$A:$A,'Master Barang'!$B:$B,""),"")</f>
        <v/>
      </c>
      <c r="E781" s="52"/>
      <c r="F781" t="str">
        <f>IFERROR(XLOOKUP(C781,'Master Barang'!$A:$A,'Master Barang'!$D:$D,""),"")</f>
        <v/>
      </c>
    </row>
    <row r="782" spans="1:6">
      <c r="A782" s="49"/>
      <c r="D782" t="str">
        <f>IFERROR(XLOOKUP(C782,'Master Barang'!$A:$A,'Master Barang'!$B:$B,""),"")</f>
        <v/>
      </c>
      <c r="E782" s="52"/>
      <c r="F782" t="str">
        <f>IFERROR(XLOOKUP(C782,'Master Barang'!$A:$A,'Master Barang'!$D:$D,""),"")</f>
        <v/>
      </c>
    </row>
    <row r="783" spans="1:6">
      <c r="A783" s="49"/>
      <c r="D783" t="str">
        <f>IFERROR(XLOOKUP(C783,'Master Barang'!$A:$A,'Master Barang'!$B:$B,""),"")</f>
        <v/>
      </c>
      <c r="E783" s="52"/>
      <c r="F783" t="str">
        <f>IFERROR(XLOOKUP(C783,'Master Barang'!$A:$A,'Master Barang'!$D:$D,""),"")</f>
        <v/>
      </c>
    </row>
    <row r="784" spans="1:6">
      <c r="A784" s="49"/>
      <c r="D784" t="str">
        <f>IFERROR(XLOOKUP(C784,'Master Barang'!$A:$A,'Master Barang'!$B:$B,""),"")</f>
        <v/>
      </c>
      <c r="E784" s="52"/>
      <c r="F784" t="str">
        <f>IFERROR(XLOOKUP(C784,'Master Barang'!$A:$A,'Master Barang'!$D:$D,""),"")</f>
        <v/>
      </c>
    </row>
    <row r="785" spans="1:6">
      <c r="A785" s="49"/>
      <c r="D785" t="str">
        <f>IFERROR(XLOOKUP(C785,'Master Barang'!$A:$A,'Master Barang'!$B:$B,""),"")</f>
        <v/>
      </c>
      <c r="E785" s="52"/>
      <c r="F785" t="str">
        <f>IFERROR(XLOOKUP(C785,'Master Barang'!$A:$A,'Master Barang'!$D:$D,""),"")</f>
        <v/>
      </c>
    </row>
    <row r="786" spans="1:6">
      <c r="A786" s="49"/>
      <c r="D786" t="str">
        <f>IFERROR(XLOOKUP(C786,'Master Barang'!$A:$A,'Master Barang'!$B:$B,""),"")</f>
        <v/>
      </c>
      <c r="E786" s="52"/>
      <c r="F786" t="str">
        <f>IFERROR(XLOOKUP(C786,'Master Barang'!$A:$A,'Master Barang'!$D:$D,""),"")</f>
        <v/>
      </c>
    </row>
    <row r="787" spans="1:6">
      <c r="A787" s="49"/>
      <c r="D787" t="str">
        <f>IFERROR(XLOOKUP(C787,'Master Barang'!$A:$A,'Master Barang'!$B:$B,""),"")</f>
        <v/>
      </c>
      <c r="E787" s="52"/>
      <c r="F787" t="str">
        <f>IFERROR(XLOOKUP(C787,'Master Barang'!$A:$A,'Master Barang'!$D:$D,""),"")</f>
        <v/>
      </c>
    </row>
    <row r="788" spans="1:6">
      <c r="A788" s="49"/>
      <c r="D788" t="str">
        <f>IFERROR(XLOOKUP(C788,'Master Barang'!$A:$A,'Master Barang'!$B:$B,""),"")</f>
        <v/>
      </c>
      <c r="E788" s="52"/>
      <c r="F788" t="str">
        <f>IFERROR(XLOOKUP(C788,'Master Barang'!$A:$A,'Master Barang'!$D:$D,""),"")</f>
        <v/>
      </c>
    </row>
    <row r="789" spans="1:6">
      <c r="A789" s="49"/>
      <c r="D789" t="str">
        <f>IFERROR(XLOOKUP(C789,'Master Barang'!$A:$A,'Master Barang'!$B:$B,""),"")</f>
        <v/>
      </c>
      <c r="E789" s="52"/>
      <c r="F789" t="str">
        <f>IFERROR(XLOOKUP(C789,'Master Barang'!$A:$A,'Master Barang'!$D:$D,""),"")</f>
        <v/>
      </c>
    </row>
    <row r="790" spans="1:6">
      <c r="A790" s="49"/>
      <c r="D790" t="str">
        <f>IFERROR(XLOOKUP(C790,'Master Barang'!$A:$A,'Master Barang'!$B:$B,""),"")</f>
        <v/>
      </c>
      <c r="E790" s="52"/>
      <c r="F790" t="str">
        <f>IFERROR(XLOOKUP(C790,'Master Barang'!$A:$A,'Master Barang'!$D:$D,""),"")</f>
        <v/>
      </c>
    </row>
    <row r="791" spans="1:6">
      <c r="A791" s="49"/>
      <c r="D791" t="str">
        <f>IFERROR(XLOOKUP(C791,'Master Barang'!$A:$A,'Master Barang'!$B:$B,""),"")</f>
        <v/>
      </c>
      <c r="E791" s="52"/>
      <c r="F791" t="str">
        <f>IFERROR(XLOOKUP(C791,'Master Barang'!$A:$A,'Master Barang'!$D:$D,""),"")</f>
        <v/>
      </c>
    </row>
    <row r="792" spans="1:6">
      <c r="A792" s="49"/>
      <c r="D792" t="str">
        <f>IFERROR(XLOOKUP(C792,'Master Barang'!$A:$A,'Master Barang'!$B:$B,""),"")</f>
        <v/>
      </c>
      <c r="E792" s="52"/>
      <c r="F792" t="str">
        <f>IFERROR(XLOOKUP(C792,'Master Barang'!$A:$A,'Master Barang'!$D:$D,""),"")</f>
        <v/>
      </c>
    </row>
    <row r="793" spans="1:6">
      <c r="A793" s="49"/>
      <c r="D793" t="str">
        <f>IFERROR(XLOOKUP(C793,'Master Barang'!$A:$A,'Master Barang'!$B:$B,""),"")</f>
        <v/>
      </c>
      <c r="E793" s="52"/>
      <c r="F793" t="str">
        <f>IFERROR(XLOOKUP(C793,'Master Barang'!$A:$A,'Master Barang'!$D:$D,""),"")</f>
        <v/>
      </c>
    </row>
    <row r="794" spans="1:6">
      <c r="A794" s="49"/>
      <c r="D794" t="str">
        <f>IFERROR(XLOOKUP(C794,'Master Barang'!$A:$A,'Master Barang'!$B:$B,""),"")</f>
        <v/>
      </c>
      <c r="E794" s="52"/>
      <c r="F794" t="str">
        <f>IFERROR(XLOOKUP(C794,'Master Barang'!$A:$A,'Master Barang'!$D:$D,""),"")</f>
        <v/>
      </c>
    </row>
    <row r="795" spans="1:6">
      <c r="A795" s="49"/>
      <c r="D795" t="str">
        <f>IFERROR(XLOOKUP(C795,'Master Barang'!$A:$A,'Master Barang'!$B:$B,""),"")</f>
        <v/>
      </c>
      <c r="E795" s="52"/>
      <c r="F795" t="str">
        <f>IFERROR(XLOOKUP(C795,'Master Barang'!$A:$A,'Master Barang'!$D:$D,""),"")</f>
        <v/>
      </c>
    </row>
    <row r="796" spans="1:6">
      <c r="A796" s="49"/>
      <c r="D796" t="str">
        <f>IFERROR(XLOOKUP(C796,'Master Barang'!$A:$A,'Master Barang'!$B:$B,""),"")</f>
        <v/>
      </c>
      <c r="E796" s="52"/>
      <c r="F796" t="str">
        <f>IFERROR(XLOOKUP(C796,'Master Barang'!$A:$A,'Master Barang'!$D:$D,""),"")</f>
        <v/>
      </c>
    </row>
    <row r="797" spans="1:6">
      <c r="A797" s="49"/>
      <c r="D797" t="str">
        <f>IFERROR(XLOOKUP(C797,'Master Barang'!$A:$A,'Master Barang'!$B:$B,""),"")</f>
        <v/>
      </c>
      <c r="E797" s="52"/>
      <c r="F797" t="str">
        <f>IFERROR(XLOOKUP(C797,'Master Barang'!$A:$A,'Master Barang'!$D:$D,""),"")</f>
        <v/>
      </c>
    </row>
    <row r="798" spans="1:6">
      <c r="A798" s="49"/>
      <c r="D798" t="str">
        <f>IFERROR(XLOOKUP(C798,'Master Barang'!$A:$A,'Master Barang'!$B:$B,""),"")</f>
        <v/>
      </c>
      <c r="E798" s="52"/>
      <c r="F798" t="str">
        <f>IFERROR(XLOOKUP(C798,'Master Barang'!$A:$A,'Master Barang'!$D:$D,""),"")</f>
        <v/>
      </c>
    </row>
    <row r="799" spans="1:6">
      <c r="A799" s="49"/>
      <c r="D799" t="str">
        <f>IFERROR(XLOOKUP(C799,'Master Barang'!$A:$A,'Master Barang'!$B:$B,""),"")</f>
        <v/>
      </c>
      <c r="E799" s="52"/>
      <c r="F799" t="str">
        <f>IFERROR(XLOOKUP(C799,'Master Barang'!$A:$A,'Master Barang'!$D:$D,""),"")</f>
        <v/>
      </c>
    </row>
    <row r="800" spans="1:6">
      <c r="A800" s="49"/>
      <c r="D800" t="str">
        <f>IFERROR(XLOOKUP(C800,'Master Barang'!$A:$A,'Master Barang'!$B:$B,""),"")</f>
        <v/>
      </c>
      <c r="E800" s="52"/>
      <c r="F800" t="str">
        <f>IFERROR(XLOOKUP(C800,'Master Barang'!$A:$A,'Master Barang'!$D:$D,""),"")</f>
        <v/>
      </c>
    </row>
    <row r="801" spans="1:6">
      <c r="A801" s="49"/>
      <c r="D801" t="str">
        <f>IFERROR(XLOOKUP(C801,'Master Barang'!$A:$A,'Master Barang'!$B:$B,""),"")</f>
        <v/>
      </c>
      <c r="E801" s="52"/>
      <c r="F801" t="str">
        <f>IFERROR(XLOOKUP(C801,'Master Barang'!$A:$A,'Master Barang'!$D:$D,""),"")</f>
        <v/>
      </c>
    </row>
    <row r="802" spans="1:6">
      <c r="A802" s="49"/>
      <c r="D802" t="str">
        <f>IFERROR(XLOOKUP(C802,'Master Barang'!$A:$A,'Master Barang'!$B:$B,""),"")</f>
        <v/>
      </c>
      <c r="E802" s="52"/>
      <c r="F802" t="str">
        <f>IFERROR(XLOOKUP(C802,'Master Barang'!$A:$A,'Master Barang'!$D:$D,""),"")</f>
        <v/>
      </c>
    </row>
    <row r="803" spans="1:6">
      <c r="A803" s="49"/>
      <c r="D803" t="str">
        <f>IFERROR(XLOOKUP(C803,'Master Barang'!$A:$A,'Master Barang'!$B:$B,""),"")</f>
        <v/>
      </c>
      <c r="E803" s="52"/>
      <c r="F803" t="str">
        <f>IFERROR(XLOOKUP(C803,'Master Barang'!$A:$A,'Master Barang'!$D:$D,""),"")</f>
        <v/>
      </c>
    </row>
    <row r="804" spans="1:6">
      <c r="A804" s="49"/>
      <c r="D804" t="str">
        <f>IFERROR(XLOOKUP(C804,'Master Barang'!$A:$A,'Master Barang'!$B:$B,""),"")</f>
        <v/>
      </c>
      <c r="E804" s="52"/>
      <c r="F804" t="str">
        <f>IFERROR(XLOOKUP(C804,'Master Barang'!$A:$A,'Master Barang'!$D:$D,""),"")</f>
        <v/>
      </c>
    </row>
    <row r="805" spans="1:6">
      <c r="A805" s="49"/>
      <c r="D805" t="str">
        <f>IFERROR(XLOOKUP(C805,'Master Barang'!$A:$A,'Master Barang'!$B:$B,""),"")</f>
        <v/>
      </c>
      <c r="E805" s="52"/>
      <c r="F805" t="str">
        <f>IFERROR(XLOOKUP(C805,'Master Barang'!$A:$A,'Master Barang'!$D:$D,""),"")</f>
        <v/>
      </c>
    </row>
    <row r="806" spans="1:6">
      <c r="A806" s="49"/>
      <c r="D806" t="str">
        <f>IFERROR(XLOOKUP(C806,'Master Barang'!$A:$A,'Master Barang'!$B:$B,""),"")</f>
        <v/>
      </c>
      <c r="E806" s="52"/>
      <c r="F806" t="str">
        <f>IFERROR(XLOOKUP(C806,'Master Barang'!$A:$A,'Master Barang'!$D:$D,""),"")</f>
        <v/>
      </c>
    </row>
    <row r="807" spans="1:6">
      <c r="A807" s="49"/>
      <c r="D807" t="str">
        <f>IFERROR(XLOOKUP(C807,'Master Barang'!$A:$A,'Master Barang'!$B:$B,""),"")</f>
        <v/>
      </c>
      <c r="E807" s="52"/>
      <c r="F807" t="str">
        <f>IFERROR(XLOOKUP(C807,'Master Barang'!$A:$A,'Master Barang'!$D:$D,""),"")</f>
        <v/>
      </c>
    </row>
    <row r="808" spans="1:6">
      <c r="A808" s="49"/>
      <c r="D808" t="str">
        <f>IFERROR(XLOOKUP(C808,'Master Barang'!$A:$A,'Master Barang'!$B:$B,""),"")</f>
        <v/>
      </c>
      <c r="E808" s="52"/>
      <c r="F808" t="str">
        <f>IFERROR(XLOOKUP(C808,'Master Barang'!$A:$A,'Master Barang'!$D:$D,""),"")</f>
        <v/>
      </c>
    </row>
    <row r="809" spans="1:6">
      <c r="A809" s="49"/>
      <c r="D809" t="str">
        <f>IFERROR(XLOOKUP(C809,'Master Barang'!$A:$A,'Master Barang'!$B:$B,""),"")</f>
        <v/>
      </c>
      <c r="E809" s="52"/>
      <c r="F809" t="str">
        <f>IFERROR(XLOOKUP(C809,'Master Barang'!$A:$A,'Master Barang'!$D:$D,""),"")</f>
        <v/>
      </c>
    </row>
    <row r="810" spans="1:6">
      <c r="A810" s="49"/>
      <c r="D810" t="str">
        <f>IFERROR(XLOOKUP(C810,'Master Barang'!$A:$A,'Master Barang'!$B:$B,""),"")</f>
        <v/>
      </c>
      <c r="E810" s="52"/>
      <c r="F810" t="str">
        <f>IFERROR(XLOOKUP(C810,'Master Barang'!$A:$A,'Master Barang'!$D:$D,""),"")</f>
        <v/>
      </c>
    </row>
    <row r="811" spans="1:6">
      <c r="A811" s="49"/>
      <c r="D811" t="str">
        <f>IFERROR(XLOOKUP(C811,'Master Barang'!$A:$A,'Master Barang'!$B:$B,""),"")</f>
        <v/>
      </c>
      <c r="E811" s="52"/>
      <c r="F811" t="str">
        <f>IFERROR(XLOOKUP(C811,'Master Barang'!$A:$A,'Master Barang'!$D:$D,""),"")</f>
        <v/>
      </c>
    </row>
    <row r="812" spans="1:6">
      <c r="A812" s="49"/>
      <c r="D812" t="str">
        <f>IFERROR(XLOOKUP(C812,'Master Barang'!$A:$A,'Master Barang'!$B:$B,""),"")</f>
        <v/>
      </c>
      <c r="E812" s="52"/>
      <c r="F812" t="str">
        <f>IFERROR(XLOOKUP(C812,'Master Barang'!$A:$A,'Master Barang'!$D:$D,""),"")</f>
        <v/>
      </c>
    </row>
    <row r="813" spans="1:6">
      <c r="A813" s="49"/>
      <c r="D813" t="str">
        <f>IFERROR(XLOOKUP(C813,'Master Barang'!$A:$A,'Master Barang'!$B:$B,""),"")</f>
        <v/>
      </c>
      <c r="E813" s="52"/>
      <c r="F813" t="str">
        <f>IFERROR(XLOOKUP(C813,'Master Barang'!$A:$A,'Master Barang'!$D:$D,""),"")</f>
        <v/>
      </c>
    </row>
    <row r="814" spans="1:6">
      <c r="A814" s="49"/>
      <c r="D814" t="str">
        <f>IFERROR(XLOOKUP(C814,'Master Barang'!$A:$A,'Master Barang'!$B:$B,""),"")</f>
        <v/>
      </c>
      <c r="E814" s="52"/>
      <c r="F814" t="str">
        <f>IFERROR(XLOOKUP(C814,'Master Barang'!$A:$A,'Master Barang'!$D:$D,""),"")</f>
        <v/>
      </c>
    </row>
    <row r="815" spans="1:6">
      <c r="A815" s="49"/>
      <c r="D815" t="str">
        <f>IFERROR(XLOOKUP(C815,'Master Barang'!$A:$A,'Master Barang'!$B:$B,""),"")</f>
        <v/>
      </c>
      <c r="E815" s="52"/>
      <c r="F815" t="str">
        <f>IFERROR(XLOOKUP(C815,'Master Barang'!$A:$A,'Master Barang'!$D:$D,""),"")</f>
        <v/>
      </c>
    </row>
    <row r="816" spans="1:6">
      <c r="A816" s="49"/>
      <c r="D816" t="str">
        <f>IFERROR(XLOOKUP(C816,'Master Barang'!$A:$A,'Master Barang'!$B:$B,""),"")</f>
        <v/>
      </c>
      <c r="E816" s="52"/>
      <c r="F816" t="str">
        <f>IFERROR(XLOOKUP(C816,'Master Barang'!$A:$A,'Master Barang'!$D:$D,""),"")</f>
        <v/>
      </c>
    </row>
    <row r="817" spans="1:6">
      <c r="A817" s="49"/>
      <c r="D817" t="str">
        <f>IFERROR(XLOOKUP(C817,'Master Barang'!$A:$A,'Master Barang'!$B:$B,""),"")</f>
        <v/>
      </c>
      <c r="E817" s="52"/>
      <c r="F817" t="str">
        <f>IFERROR(XLOOKUP(C817,'Master Barang'!$A:$A,'Master Barang'!$D:$D,""),"")</f>
        <v/>
      </c>
    </row>
    <row r="818" spans="1:6">
      <c r="A818" s="49"/>
      <c r="D818" t="str">
        <f>IFERROR(XLOOKUP(C818,'Master Barang'!$A:$A,'Master Barang'!$B:$B,""),"")</f>
        <v/>
      </c>
      <c r="E818" s="52"/>
      <c r="F818" t="str">
        <f>IFERROR(XLOOKUP(C818,'Master Barang'!$A:$A,'Master Barang'!$D:$D,""),"")</f>
        <v/>
      </c>
    </row>
    <row r="819" spans="1:6">
      <c r="A819" s="49"/>
      <c r="D819" t="str">
        <f>IFERROR(XLOOKUP(C819,'Master Barang'!$A:$A,'Master Barang'!$B:$B,""),"")</f>
        <v/>
      </c>
      <c r="E819" s="52"/>
      <c r="F819" t="str">
        <f>IFERROR(XLOOKUP(C819,'Master Barang'!$A:$A,'Master Barang'!$D:$D,""),"")</f>
        <v/>
      </c>
    </row>
    <row r="820" spans="1:6">
      <c r="A820" s="49"/>
      <c r="D820" t="str">
        <f>IFERROR(XLOOKUP(C820,'Master Barang'!$A:$A,'Master Barang'!$B:$B,""),"")</f>
        <v/>
      </c>
      <c r="E820" s="52"/>
      <c r="F820" t="str">
        <f>IFERROR(XLOOKUP(C820,'Master Barang'!$A:$A,'Master Barang'!$D:$D,""),"")</f>
        <v/>
      </c>
    </row>
    <row r="821" spans="1:6">
      <c r="A821" s="49"/>
      <c r="D821" t="str">
        <f>IFERROR(XLOOKUP(C821,'Master Barang'!$A:$A,'Master Barang'!$B:$B,""),"")</f>
        <v/>
      </c>
      <c r="E821" s="52"/>
      <c r="F821" t="str">
        <f>IFERROR(XLOOKUP(C821,'Master Barang'!$A:$A,'Master Barang'!$D:$D,""),"")</f>
        <v/>
      </c>
    </row>
    <row r="822" spans="1:6">
      <c r="A822" s="49"/>
      <c r="D822" t="str">
        <f>IFERROR(XLOOKUP(C822,'Master Barang'!$A:$A,'Master Barang'!$B:$B,""),"")</f>
        <v/>
      </c>
      <c r="E822" s="52"/>
      <c r="F822" t="str">
        <f>IFERROR(XLOOKUP(C822,'Master Barang'!$A:$A,'Master Barang'!$D:$D,""),"")</f>
        <v/>
      </c>
    </row>
    <row r="823" spans="1:6">
      <c r="A823" s="49"/>
      <c r="D823" t="str">
        <f>IFERROR(XLOOKUP(C823,'Master Barang'!$A:$A,'Master Barang'!$B:$B,""),"")</f>
        <v/>
      </c>
      <c r="E823" s="52"/>
      <c r="F823" t="str">
        <f>IFERROR(XLOOKUP(C823,'Master Barang'!$A:$A,'Master Barang'!$D:$D,""),"")</f>
        <v/>
      </c>
    </row>
    <row r="824" spans="1:6">
      <c r="A824" s="49"/>
      <c r="D824" t="str">
        <f>IFERROR(XLOOKUP(C824,'Master Barang'!$A:$A,'Master Barang'!$B:$B,""),"")</f>
        <v/>
      </c>
      <c r="E824" s="52"/>
      <c r="F824" t="str">
        <f>IFERROR(XLOOKUP(C824,'Master Barang'!$A:$A,'Master Barang'!$D:$D,""),"")</f>
        <v/>
      </c>
    </row>
    <row r="825" spans="1:6">
      <c r="A825" s="49"/>
      <c r="D825" t="str">
        <f>IFERROR(XLOOKUP(C825,'Master Barang'!$A:$A,'Master Barang'!$B:$B,""),"")</f>
        <v/>
      </c>
      <c r="E825" s="52"/>
      <c r="F825" t="str">
        <f>IFERROR(XLOOKUP(C825,'Master Barang'!$A:$A,'Master Barang'!$D:$D,""),"")</f>
        <v/>
      </c>
    </row>
    <row r="826" spans="1:6">
      <c r="A826" s="49"/>
      <c r="D826" t="str">
        <f>IFERROR(XLOOKUP(C826,'Master Barang'!$A:$A,'Master Barang'!$B:$B,""),"")</f>
        <v/>
      </c>
      <c r="E826" s="52"/>
      <c r="F826" t="str">
        <f>IFERROR(XLOOKUP(C826,'Master Barang'!$A:$A,'Master Barang'!$D:$D,""),"")</f>
        <v/>
      </c>
    </row>
    <row r="827" spans="1:6">
      <c r="A827" s="49"/>
      <c r="D827" t="str">
        <f>IFERROR(XLOOKUP(C827,'Master Barang'!$A:$A,'Master Barang'!$B:$B,""),"")</f>
        <v/>
      </c>
      <c r="E827" s="52"/>
      <c r="F827" t="str">
        <f>IFERROR(XLOOKUP(C827,'Master Barang'!$A:$A,'Master Barang'!$D:$D,""),"")</f>
        <v/>
      </c>
    </row>
    <row r="828" spans="1:6">
      <c r="A828" s="49"/>
      <c r="D828" t="str">
        <f>IFERROR(XLOOKUP(C828,'Master Barang'!$A:$A,'Master Barang'!$B:$B,""),"")</f>
        <v/>
      </c>
      <c r="E828" s="52"/>
      <c r="F828" t="str">
        <f>IFERROR(XLOOKUP(C828,'Master Barang'!$A:$A,'Master Barang'!$D:$D,""),"")</f>
        <v/>
      </c>
    </row>
    <row r="829" spans="1:6">
      <c r="A829" s="49"/>
      <c r="D829" t="str">
        <f>IFERROR(XLOOKUP(C829,'Master Barang'!$A:$A,'Master Barang'!$B:$B,""),"")</f>
        <v/>
      </c>
      <c r="E829" s="52"/>
      <c r="F829" t="str">
        <f>IFERROR(XLOOKUP(C829,'Master Barang'!$A:$A,'Master Barang'!$D:$D,""),"")</f>
        <v/>
      </c>
    </row>
    <row r="830" spans="1:6">
      <c r="A830" s="49"/>
      <c r="D830" t="str">
        <f>IFERROR(XLOOKUP(C830,'Master Barang'!$A:$A,'Master Barang'!$B:$B,""),"")</f>
        <v/>
      </c>
      <c r="E830" s="52"/>
      <c r="F830" t="str">
        <f>IFERROR(XLOOKUP(C830,'Master Barang'!$A:$A,'Master Barang'!$D:$D,""),"")</f>
        <v/>
      </c>
    </row>
    <row r="831" spans="1:6">
      <c r="A831" s="49"/>
      <c r="D831" t="str">
        <f>IFERROR(XLOOKUP(C831,'Master Barang'!$A:$A,'Master Barang'!$B:$B,""),"")</f>
        <v/>
      </c>
      <c r="E831" s="52"/>
      <c r="F831" t="str">
        <f>IFERROR(XLOOKUP(C831,'Master Barang'!$A:$A,'Master Barang'!$D:$D,""),"")</f>
        <v/>
      </c>
    </row>
    <row r="832" spans="1:6">
      <c r="A832" s="49"/>
      <c r="D832" t="str">
        <f>IFERROR(XLOOKUP(C832,'Master Barang'!$A:$A,'Master Barang'!$B:$B,""),"")</f>
        <v/>
      </c>
      <c r="E832" s="52"/>
      <c r="F832" t="str">
        <f>IFERROR(XLOOKUP(C832,'Master Barang'!$A:$A,'Master Barang'!$D:$D,""),"")</f>
        <v/>
      </c>
    </row>
    <row r="833" spans="1:6">
      <c r="A833" s="49"/>
      <c r="D833" t="str">
        <f>IFERROR(XLOOKUP(C833,'Master Barang'!$A:$A,'Master Barang'!$B:$B,""),"")</f>
        <v/>
      </c>
      <c r="E833" s="52"/>
      <c r="F833" t="str">
        <f>IFERROR(XLOOKUP(C833,'Master Barang'!$A:$A,'Master Barang'!$D:$D,""),"")</f>
        <v/>
      </c>
    </row>
    <row r="834" spans="1:6">
      <c r="A834" s="49"/>
      <c r="D834" t="str">
        <f>IFERROR(XLOOKUP(C834,'Master Barang'!$A:$A,'Master Barang'!$B:$B,""),"")</f>
        <v/>
      </c>
      <c r="E834" s="52"/>
      <c r="F834" t="str">
        <f>IFERROR(XLOOKUP(C834,'Master Barang'!$A:$A,'Master Barang'!$D:$D,""),"")</f>
        <v/>
      </c>
    </row>
    <row r="835" spans="1:6">
      <c r="A835" s="49"/>
      <c r="D835" t="str">
        <f>IFERROR(XLOOKUP(C835,'Master Barang'!$A:$A,'Master Barang'!$B:$B,""),"")</f>
        <v/>
      </c>
      <c r="E835" s="52"/>
      <c r="F835" t="str">
        <f>IFERROR(XLOOKUP(C835,'Master Barang'!$A:$A,'Master Barang'!$D:$D,""),"")</f>
        <v/>
      </c>
    </row>
    <row r="836" spans="1:6">
      <c r="A836" s="49"/>
      <c r="D836" t="str">
        <f>IFERROR(XLOOKUP(C836,'Master Barang'!$A:$A,'Master Barang'!$B:$B,""),"")</f>
        <v/>
      </c>
      <c r="E836" s="52"/>
      <c r="F836" t="str">
        <f>IFERROR(XLOOKUP(C836,'Master Barang'!$A:$A,'Master Barang'!$D:$D,""),"")</f>
        <v/>
      </c>
    </row>
    <row r="837" spans="1:6">
      <c r="A837" s="49"/>
      <c r="D837" t="str">
        <f>IFERROR(XLOOKUP(C837,'Master Barang'!$A:$A,'Master Barang'!$B:$B,""),"")</f>
        <v/>
      </c>
      <c r="E837" s="52"/>
      <c r="F837" t="str">
        <f>IFERROR(XLOOKUP(C837,'Master Barang'!$A:$A,'Master Barang'!$D:$D,""),"")</f>
        <v/>
      </c>
    </row>
    <row r="838" spans="1:6">
      <c r="A838" s="49"/>
      <c r="D838" t="str">
        <f>IFERROR(XLOOKUP(C838,'Master Barang'!$A:$A,'Master Barang'!$B:$B,""),"")</f>
        <v/>
      </c>
      <c r="E838" s="52"/>
      <c r="F838" t="str">
        <f>IFERROR(XLOOKUP(C838,'Master Barang'!$A:$A,'Master Barang'!$D:$D,""),"")</f>
        <v/>
      </c>
    </row>
    <row r="839" spans="1:6">
      <c r="A839" s="49"/>
      <c r="D839" t="str">
        <f>IFERROR(XLOOKUP(C839,'Master Barang'!$A:$A,'Master Barang'!$B:$B,""),"")</f>
        <v/>
      </c>
      <c r="E839" s="52"/>
      <c r="F839" t="str">
        <f>IFERROR(XLOOKUP(C839,'Master Barang'!$A:$A,'Master Barang'!$D:$D,""),"")</f>
        <v/>
      </c>
    </row>
    <row r="840" spans="1:6">
      <c r="A840" s="49"/>
      <c r="D840" t="str">
        <f>IFERROR(XLOOKUP(C840,'Master Barang'!$A:$A,'Master Barang'!$B:$B,""),"")</f>
        <v/>
      </c>
      <c r="E840" s="52"/>
      <c r="F840" t="str">
        <f>IFERROR(XLOOKUP(C840,'Master Barang'!$A:$A,'Master Barang'!$D:$D,""),"")</f>
        <v/>
      </c>
    </row>
    <row r="841" spans="1:6">
      <c r="A841" s="49"/>
      <c r="D841" t="str">
        <f>IFERROR(XLOOKUP(C841,'Master Barang'!$A:$A,'Master Barang'!$B:$B,""),"")</f>
        <v/>
      </c>
      <c r="E841" s="52"/>
      <c r="F841" t="str">
        <f>IFERROR(XLOOKUP(C841,'Master Barang'!$A:$A,'Master Barang'!$D:$D,""),"")</f>
        <v/>
      </c>
    </row>
    <row r="842" spans="1:6">
      <c r="A842" s="49"/>
      <c r="D842" t="str">
        <f>IFERROR(XLOOKUP(C842,'Master Barang'!$A:$A,'Master Barang'!$B:$B,""),"")</f>
        <v/>
      </c>
      <c r="E842" s="52"/>
      <c r="F842" t="str">
        <f>IFERROR(XLOOKUP(C842,'Master Barang'!$A:$A,'Master Barang'!$D:$D,""),"")</f>
        <v/>
      </c>
    </row>
    <row r="843" spans="1:6">
      <c r="A843" s="49"/>
      <c r="D843" t="str">
        <f>IFERROR(XLOOKUP(C843,'Master Barang'!$A:$A,'Master Barang'!$B:$B,""),"")</f>
        <v/>
      </c>
      <c r="E843" s="52"/>
      <c r="F843" t="str">
        <f>IFERROR(XLOOKUP(C843,'Master Barang'!$A:$A,'Master Barang'!$D:$D,""),"")</f>
        <v/>
      </c>
    </row>
    <row r="844" spans="1:6">
      <c r="A844" s="49"/>
      <c r="D844" t="str">
        <f>IFERROR(XLOOKUP(C844,'Master Barang'!$A:$A,'Master Barang'!$B:$B,""),"")</f>
        <v/>
      </c>
      <c r="E844" s="52"/>
      <c r="F844" t="str">
        <f>IFERROR(XLOOKUP(C844,'Master Barang'!$A:$A,'Master Barang'!$D:$D,""),"")</f>
        <v/>
      </c>
    </row>
    <row r="845" spans="1:6">
      <c r="A845" s="49"/>
      <c r="D845" t="str">
        <f>IFERROR(XLOOKUP(C845,'Master Barang'!$A:$A,'Master Barang'!$B:$B,""),"")</f>
        <v/>
      </c>
      <c r="E845" s="52"/>
      <c r="F845" t="str">
        <f>IFERROR(XLOOKUP(C845,'Master Barang'!$A:$A,'Master Barang'!$D:$D,""),"")</f>
        <v/>
      </c>
    </row>
    <row r="846" spans="1:6">
      <c r="A846" s="49"/>
      <c r="D846" t="str">
        <f>IFERROR(XLOOKUP(C846,'Master Barang'!$A:$A,'Master Barang'!$B:$B,""),"")</f>
        <v/>
      </c>
      <c r="E846" s="52"/>
      <c r="F846" t="str">
        <f>IFERROR(XLOOKUP(C846,'Master Barang'!$A:$A,'Master Barang'!$D:$D,""),"")</f>
        <v/>
      </c>
    </row>
    <row r="847" spans="1:6">
      <c r="A847" s="49"/>
      <c r="D847" t="str">
        <f>IFERROR(XLOOKUP(C847,'Master Barang'!$A:$A,'Master Barang'!$B:$B,""),"")</f>
        <v/>
      </c>
      <c r="E847" s="52"/>
      <c r="F847" t="str">
        <f>IFERROR(XLOOKUP(C847,'Master Barang'!$A:$A,'Master Barang'!$D:$D,""),"")</f>
        <v/>
      </c>
    </row>
    <row r="848" spans="1:6">
      <c r="A848" s="49"/>
      <c r="D848" t="str">
        <f>IFERROR(XLOOKUP(C848,'Master Barang'!$A:$A,'Master Barang'!$B:$B,""),"")</f>
        <v/>
      </c>
      <c r="E848" s="52"/>
      <c r="F848" t="str">
        <f>IFERROR(XLOOKUP(C848,'Master Barang'!$A:$A,'Master Barang'!$D:$D,""),"")</f>
        <v/>
      </c>
    </row>
    <row r="849" spans="1:6">
      <c r="A849" s="49"/>
      <c r="D849" t="str">
        <f>IFERROR(XLOOKUP(C849,'Master Barang'!$A:$A,'Master Barang'!$B:$B,""),"")</f>
        <v/>
      </c>
      <c r="E849" s="52"/>
      <c r="F849" t="str">
        <f>IFERROR(XLOOKUP(C849,'Master Barang'!$A:$A,'Master Barang'!$D:$D,""),"")</f>
        <v/>
      </c>
    </row>
    <row r="850" spans="1:6">
      <c r="A850" s="49"/>
      <c r="D850" t="str">
        <f>IFERROR(XLOOKUP(C850,'Master Barang'!$A:$A,'Master Barang'!$B:$B,""),"")</f>
        <v/>
      </c>
      <c r="E850" s="52"/>
      <c r="F850" t="str">
        <f>IFERROR(XLOOKUP(C850,'Master Barang'!$A:$A,'Master Barang'!$D:$D,""),"")</f>
        <v/>
      </c>
    </row>
    <row r="851" spans="1:6">
      <c r="A851" s="49"/>
      <c r="D851" t="str">
        <f>IFERROR(XLOOKUP(C851,'Master Barang'!$A:$A,'Master Barang'!$B:$B,""),"")</f>
        <v/>
      </c>
      <c r="E851" s="52"/>
      <c r="F851" t="str">
        <f>IFERROR(XLOOKUP(C851,'Master Barang'!$A:$A,'Master Barang'!$D:$D,""),"")</f>
        <v/>
      </c>
    </row>
    <row r="852" spans="1:6">
      <c r="A852" s="49"/>
      <c r="D852" t="str">
        <f>IFERROR(XLOOKUP(C852,'Master Barang'!$A:$A,'Master Barang'!$B:$B,""),"")</f>
        <v/>
      </c>
      <c r="E852" s="52"/>
      <c r="F852" t="str">
        <f>IFERROR(XLOOKUP(C852,'Master Barang'!$A:$A,'Master Barang'!$D:$D,""),"")</f>
        <v/>
      </c>
    </row>
    <row r="853" spans="1:6">
      <c r="A853" s="49"/>
      <c r="D853" t="str">
        <f>IFERROR(XLOOKUP(C853,'Master Barang'!$A:$A,'Master Barang'!$B:$B,""),"")</f>
        <v/>
      </c>
      <c r="E853" s="52"/>
      <c r="F853" t="str">
        <f>IFERROR(XLOOKUP(C853,'Master Barang'!$A:$A,'Master Barang'!$D:$D,""),"")</f>
        <v/>
      </c>
    </row>
    <row r="854" spans="1:6">
      <c r="A854" s="49"/>
      <c r="D854" t="str">
        <f>IFERROR(XLOOKUP(C854,'Master Barang'!$A:$A,'Master Barang'!$B:$B,""),"")</f>
        <v/>
      </c>
      <c r="E854" s="52"/>
      <c r="F854" t="str">
        <f>IFERROR(XLOOKUP(C854,'Master Barang'!$A:$A,'Master Barang'!$D:$D,""),"")</f>
        <v/>
      </c>
    </row>
    <row r="855" spans="1:6">
      <c r="A855" s="49"/>
      <c r="D855" t="str">
        <f>IFERROR(XLOOKUP(C855,'Master Barang'!$A:$A,'Master Barang'!$B:$B,""),"")</f>
        <v/>
      </c>
      <c r="E855" s="52"/>
      <c r="F855" t="str">
        <f>IFERROR(XLOOKUP(C855,'Master Barang'!$A:$A,'Master Barang'!$D:$D,""),"")</f>
        <v/>
      </c>
    </row>
    <row r="856" spans="1:6">
      <c r="A856" s="49"/>
      <c r="D856" t="str">
        <f>IFERROR(XLOOKUP(C856,'Master Barang'!$A:$A,'Master Barang'!$B:$B,""),"")</f>
        <v/>
      </c>
      <c r="E856" s="52"/>
      <c r="F856" t="str">
        <f>IFERROR(XLOOKUP(C856,'Master Barang'!$A:$A,'Master Barang'!$D:$D,""),"")</f>
        <v/>
      </c>
    </row>
    <row r="857" spans="1:6">
      <c r="A857" s="49"/>
      <c r="D857" t="str">
        <f>IFERROR(XLOOKUP(C857,'Master Barang'!$A:$A,'Master Barang'!$B:$B,""),"")</f>
        <v/>
      </c>
      <c r="E857" s="52"/>
      <c r="F857" t="str">
        <f>IFERROR(XLOOKUP(C857,'Master Barang'!$A:$A,'Master Barang'!$D:$D,""),"")</f>
        <v/>
      </c>
    </row>
    <row r="858" spans="1:6">
      <c r="A858" s="49"/>
      <c r="D858" t="str">
        <f>IFERROR(XLOOKUP(C858,'Master Barang'!$A:$A,'Master Barang'!$B:$B,""),"")</f>
        <v/>
      </c>
      <c r="E858" s="52"/>
      <c r="F858" t="str">
        <f>IFERROR(XLOOKUP(C858,'Master Barang'!$A:$A,'Master Barang'!$D:$D,""),"")</f>
        <v/>
      </c>
    </row>
    <row r="859" spans="1:6">
      <c r="A859" s="49"/>
      <c r="D859" t="str">
        <f>IFERROR(XLOOKUP(C859,'Master Barang'!$A:$A,'Master Barang'!$B:$B,""),"")</f>
        <v/>
      </c>
      <c r="E859" s="52"/>
      <c r="F859" t="str">
        <f>IFERROR(XLOOKUP(C859,'Master Barang'!$A:$A,'Master Barang'!$D:$D,""),"")</f>
        <v/>
      </c>
    </row>
    <row r="860" spans="1:6">
      <c r="A860" s="49"/>
      <c r="D860" t="str">
        <f>IFERROR(XLOOKUP(C860,'Master Barang'!$A:$A,'Master Barang'!$B:$B,""),"")</f>
        <v/>
      </c>
      <c r="E860" s="52"/>
      <c r="F860" t="str">
        <f>IFERROR(XLOOKUP(C860,'Master Barang'!$A:$A,'Master Barang'!$D:$D,""),"")</f>
        <v/>
      </c>
    </row>
    <row r="861" spans="1:6">
      <c r="A861" s="49"/>
      <c r="D861" t="str">
        <f>IFERROR(XLOOKUP(C861,'Master Barang'!$A:$A,'Master Barang'!$B:$B,""),"")</f>
        <v/>
      </c>
      <c r="E861" s="52"/>
      <c r="F861" t="str">
        <f>IFERROR(XLOOKUP(C861,'Master Barang'!$A:$A,'Master Barang'!$D:$D,""),"")</f>
        <v/>
      </c>
    </row>
    <row r="862" spans="1:6">
      <c r="A862" s="49"/>
      <c r="D862" t="str">
        <f>IFERROR(XLOOKUP(C862,'Master Barang'!$A:$A,'Master Barang'!$B:$B,""),"")</f>
        <v/>
      </c>
      <c r="E862" s="52"/>
      <c r="F862" t="str">
        <f>IFERROR(XLOOKUP(C862,'Master Barang'!$A:$A,'Master Barang'!$D:$D,""),"")</f>
        <v/>
      </c>
    </row>
    <row r="863" spans="1:6">
      <c r="A863" s="49"/>
      <c r="D863" t="str">
        <f>IFERROR(XLOOKUP(C863,'Master Barang'!$A:$A,'Master Barang'!$B:$B,""),"")</f>
        <v/>
      </c>
      <c r="E863" s="52"/>
      <c r="F863" t="str">
        <f>IFERROR(XLOOKUP(C863,'Master Barang'!$A:$A,'Master Barang'!$D:$D,""),"")</f>
        <v/>
      </c>
    </row>
    <row r="864" spans="1:6">
      <c r="A864" s="49"/>
      <c r="D864" t="str">
        <f>IFERROR(XLOOKUP(C864,'Master Barang'!$A:$A,'Master Barang'!$B:$B,""),"")</f>
        <v/>
      </c>
      <c r="E864" s="52"/>
      <c r="F864" t="str">
        <f>IFERROR(XLOOKUP(C864,'Master Barang'!$A:$A,'Master Barang'!$D:$D,""),"")</f>
        <v/>
      </c>
    </row>
    <row r="865" spans="1:6">
      <c r="A865" s="49"/>
      <c r="D865" t="str">
        <f>IFERROR(XLOOKUP(C865,'Master Barang'!$A:$A,'Master Barang'!$B:$B,""),"")</f>
        <v/>
      </c>
      <c r="E865" s="52"/>
      <c r="F865" t="str">
        <f>IFERROR(XLOOKUP(C865,'Master Barang'!$A:$A,'Master Barang'!$D:$D,""),"")</f>
        <v/>
      </c>
    </row>
    <row r="866" spans="1:6">
      <c r="A866" s="49"/>
      <c r="D866" t="str">
        <f>IFERROR(XLOOKUP(C866,'Master Barang'!$A:$A,'Master Barang'!$B:$B,""),"")</f>
        <v/>
      </c>
      <c r="E866" s="52"/>
      <c r="F866" t="str">
        <f>IFERROR(XLOOKUP(C866,'Master Barang'!$A:$A,'Master Barang'!$D:$D,""),"")</f>
        <v/>
      </c>
    </row>
    <row r="867" spans="1:6">
      <c r="A867" s="49"/>
      <c r="D867" t="str">
        <f>IFERROR(XLOOKUP(C867,'Master Barang'!$A:$A,'Master Barang'!$B:$B,""),"")</f>
        <v/>
      </c>
      <c r="E867" s="52"/>
      <c r="F867" t="str">
        <f>IFERROR(XLOOKUP(C867,'Master Barang'!$A:$A,'Master Barang'!$D:$D,""),"")</f>
        <v/>
      </c>
    </row>
    <row r="868" spans="1:6">
      <c r="A868" s="49"/>
      <c r="D868" t="str">
        <f>IFERROR(XLOOKUP(C868,'Master Barang'!$A:$A,'Master Barang'!$B:$B,""),"")</f>
        <v/>
      </c>
      <c r="E868" s="52"/>
      <c r="F868" t="str">
        <f>IFERROR(XLOOKUP(C868,'Master Barang'!$A:$A,'Master Barang'!$D:$D,""),"")</f>
        <v/>
      </c>
    </row>
    <row r="869" spans="1:6">
      <c r="A869" s="49"/>
      <c r="D869" t="str">
        <f>IFERROR(XLOOKUP(C869,'Master Barang'!$A:$A,'Master Barang'!$B:$B,""),"")</f>
        <v/>
      </c>
      <c r="E869" s="52"/>
      <c r="F869" t="str">
        <f>IFERROR(XLOOKUP(C869,'Master Barang'!$A:$A,'Master Barang'!$D:$D,""),"")</f>
        <v/>
      </c>
    </row>
    <row r="870" spans="1:6">
      <c r="A870" s="49"/>
      <c r="D870" t="str">
        <f>IFERROR(XLOOKUP(C870,'Master Barang'!$A:$A,'Master Barang'!$B:$B,""),"")</f>
        <v/>
      </c>
      <c r="E870" s="52"/>
      <c r="F870" t="str">
        <f>IFERROR(XLOOKUP(C870,'Master Barang'!$A:$A,'Master Barang'!$D:$D,""),"")</f>
        <v/>
      </c>
    </row>
    <row r="871" spans="1:6">
      <c r="A871" s="49"/>
      <c r="D871" t="str">
        <f>IFERROR(XLOOKUP(C871,'Master Barang'!$A:$A,'Master Barang'!$B:$B,""),"")</f>
        <v/>
      </c>
      <c r="E871" s="52"/>
      <c r="F871" t="str">
        <f>IFERROR(XLOOKUP(C871,'Master Barang'!$A:$A,'Master Barang'!$D:$D,""),"")</f>
        <v/>
      </c>
    </row>
    <row r="872" spans="1:6">
      <c r="A872" s="49"/>
      <c r="D872" t="str">
        <f>IFERROR(XLOOKUP(C872,'Master Barang'!$A:$A,'Master Barang'!$B:$B,""),"")</f>
        <v/>
      </c>
      <c r="E872" s="52"/>
      <c r="F872" t="str">
        <f>IFERROR(XLOOKUP(C872,'Master Barang'!$A:$A,'Master Barang'!$D:$D,""),"")</f>
        <v/>
      </c>
    </row>
    <row r="873" spans="1:6">
      <c r="A873" s="49"/>
      <c r="D873" t="str">
        <f>IFERROR(XLOOKUP(C873,'Master Barang'!$A:$A,'Master Barang'!$B:$B,""),"")</f>
        <v/>
      </c>
      <c r="E873" s="52"/>
      <c r="F873" t="str">
        <f>IFERROR(XLOOKUP(C873,'Master Barang'!$A:$A,'Master Barang'!$D:$D,""),"")</f>
        <v/>
      </c>
    </row>
    <row r="874" spans="1:6">
      <c r="A874" s="49"/>
      <c r="D874" t="str">
        <f>IFERROR(XLOOKUP(C874,'Master Barang'!$A:$A,'Master Barang'!$B:$B,""),"")</f>
        <v/>
      </c>
      <c r="E874" s="52"/>
      <c r="F874" t="str">
        <f>IFERROR(XLOOKUP(C874,'Master Barang'!$A:$A,'Master Barang'!$D:$D,""),"")</f>
        <v/>
      </c>
    </row>
    <row r="875" spans="1:6">
      <c r="A875" s="49"/>
      <c r="D875" t="str">
        <f>IFERROR(XLOOKUP(C875,'Master Barang'!$A:$A,'Master Barang'!$B:$B,""),"")</f>
        <v/>
      </c>
      <c r="E875" s="52"/>
      <c r="F875" t="str">
        <f>IFERROR(XLOOKUP(C875,'Master Barang'!$A:$A,'Master Barang'!$D:$D,""),"")</f>
        <v/>
      </c>
    </row>
    <row r="876" spans="1:6">
      <c r="A876" s="49"/>
      <c r="D876" t="str">
        <f>IFERROR(XLOOKUP(C876,'Master Barang'!$A:$A,'Master Barang'!$B:$B,""),"")</f>
        <v/>
      </c>
      <c r="E876" s="52"/>
      <c r="F876" t="str">
        <f>IFERROR(XLOOKUP(C876,'Master Barang'!$A:$A,'Master Barang'!$D:$D,""),"")</f>
        <v/>
      </c>
    </row>
    <row r="877" spans="1:6">
      <c r="A877" s="49"/>
      <c r="D877" t="str">
        <f>IFERROR(XLOOKUP(C877,'Master Barang'!$A:$A,'Master Barang'!$B:$B,""),"")</f>
        <v/>
      </c>
      <c r="E877" s="52"/>
      <c r="F877" t="str">
        <f>IFERROR(XLOOKUP(C877,'Master Barang'!$A:$A,'Master Barang'!$D:$D,""),"")</f>
        <v/>
      </c>
    </row>
    <row r="878" spans="1:6">
      <c r="A878" s="49"/>
      <c r="D878" t="str">
        <f>IFERROR(XLOOKUP(C878,'Master Barang'!$A:$A,'Master Barang'!$B:$B,""),"")</f>
        <v/>
      </c>
      <c r="E878" s="52"/>
      <c r="F878" t="str">
        <f>IFERROR(XLOOKUP(C878,'Master Barang'!$A:$A,'Master Barang'!$D:$D,""),"")</f>
        <v/>
      </c>
    </row>
    <row r="879" spans="1:6">
      <c r="A879" s="49"/>
      <c r="D879" t="str">
        <f>IFERROR(XLOOKUP(C879,'Master Barang'!$A:$A,'Master Barang'!$B:$B,""),"")</f>
        <v/>
      </c>
      <c r="E879" s="52"/>
      <c r="F879" t="str">
        <f>IFERROR(XLOOKUP(C879,'Master Barang'!$A:$A,'Master Barang'!$D:$D,""),"")</f>
        <v/>
      </c>
    </row>
    <row r="880" spans="1:6">
      <c r="A880" s="49"/>
      <c r="D880" t="str">
        <f>IFERROR(XLOOKUP(C880,'Master Barang'!$A:$A,'Master Barang'!$B:$B,""),"")</f>
        <v/>
      </c>
      <c r="E880" s="52"/>
      <c r="F880" t="str">
        <f>IFERROR(XLOOKUP(C880,'Master Barang'!$A:$A,'Master Barang'!$D:$D,""),"")</f>
        <v/>
      </c>
    </row>
    <row r="881" spans="1:6">
      <c r="A881" s="49"/>
      <c r="D881" t="str">
        <f>IFERROR(XLOOKUP(C881,'Master Barang'!$A:$A,'Master Barang'!$B:$B,""),"")</f>
        <v/>
      </c>
      <c r="E881" s="52"/>
      <c r="F881" t="str">
        <f>IFERROR(XLOOKUP(C881,'Master Barang'!$A:$A,'Master Barang'!$D:$D,""),"")</f>
        <v/>
      </c>
    </row>
    <row r="882" spans="1:6">
      <c r="A882" s="49"/>
      <c r="D882" t="str">
        <f>IFERROR(XLOOKUP(C882,'Master Barang'!$A:$A,'Master Barang'!$B:$B,""),"")</f>
        <v/>
      </c>
      <c r="E882" s="52"/>
      <c r="F882" t="str">
        <f>IFERROR(XLOOKUP(C882,'Master Barang'!$A:$A,'Master Barang'!$D:$D,""),"")</f>
        <v/>
      </c>
    </row>
    <row r="883" spans="1:6">
      <c r="A883" s="49"/>
      <c r="D883" t="str">
        <f>IFERROR(XLOOKUP(C883,'Master Barang'!$A:$A,'Master Barang'!$B:$B,""),"")</f>
        <v/>
      </c>
      <c r="E883" s="52"/>
      <c r="F883" t="str">
        <f>IFERROR(XLOOKUP(C883,'Master Barang'!$A:$A,'Master Barang'!$D:$D,""),"")</f>
        <v/>
      </c>
    </row>
    <row r="884" spans="1:6">
      <c r="A884" s="49"/>
      <c r="D884" t="str">
        <f>IFERROR(XLOOKUP(C884,'Master Barang'!$A:$A,'Master Barang'!$B:$B,""),"")</f>
        <v/>
      </c>
      <c r="E884" s="52"/>
      <c r="F884" t="str">
        <f>IFERROR(XLOOKUP(C884,'Master Barang'!$A:$A,'Master Barang'!$D:$D,""),"")</f>
        <v/>
      </c>
    </row>
    <row r="885" spans="1:6">
      <c r="A885" s="49"/>
      <c r="D885" t="str">
        <f>IFERROR(XLOOKUP(C885,'Master Barang'!$A:$A,'Master Barang'!$B:$B,""),"")</f>
        <v/>
      </c>
      <c r="E885" s="52"/>
      <c r="F885" t="str">
        <f>IFERROR(XLOOKUP(C885,'Master Barang'!$A:$A,'Master Barang'!$D:$D,""),"")</f>
        <v/>
      </c>
    </row>
    <row r="886" spans="1:6">
      <c r="A886" s="49"/>
      <c r="D886" t="str">
        <f>IFERROR(XLOOKUP(C886,'Master Barang'!$A:$A,'Master Barang'!$B:$B,""),"")</f>
        <v/>
      </c>
      <c r="E886" s="52"/>
      <c r="F886" t="str">
        <f>IFERROR(XLOOKUP(C886,'Master Barang'!$A:$A,'Master Barang'!$D:$D,""),"")</f>
        <v/>
      </c>
    </row>
    <row r="887" spans="1:6">
      <c r="A887" s="49"/>
      <c r="D887" t="str">
        <f>IFERROR(XLOOKUP(C887,'Master Barang'!$A:$A,'Master Barang'!$B:$B,""),"")</f>
        <v/>
      </c>
      <c r="E887" s="52"/>
      <c r="F887" t="str">
        <f>IFERROR(XLOOKUP(C887,'Master Barang'!$A:$A,'Master Barang'!$D:$D,""),"")</f>
        <v/>
      </c>
    </row>
    <row r="888" spans="1:6">
      <c r="A888" s="49"/>
      <c r="D888" t="str">
        <f>IFERROR(XLOOKUP(C888,'Master Barang'!$A:$A,'Master Barang'!$B:$B,""),"")</f>
        <v/>
      </c>
      <c r="E888" s="52"/>
      <c r="F888" t="str">
        <f>IFERROR(XLOOKUP(C888,'Master Barang'!$A:$A,'Master Barang'!$D:$D,""),"")</f>
        <v/>
      </c>
    </row>
    <row r="889" spans="1:6">
      <c r="A889" s="49"/>
      <c r="D889" t="str">
        <f>IFERROR(XLOOKUP(C889,'Master Barang'!$A:$A,'Master Barang'!$B:$B,""),"")</f>
        <v/>
      </c>
      <c r="E889" s="52"/>
      <c r="F889" t="str">
        <f>IFERROR(XLOOKUP(C889,'Master Barang'!$A:$A,'Master Barang'!$D:$D,""),"")</f>
        <v/>
      </c>
    </row>
    <row r="890" spans="1:6">
      <c r="A890" s="49"/>
      <c r="D890" t="str">
        <f>IFERROR(XLOOKUP(C890,'Master Barang'!$A:$A,'Master Barang'!$B:$B,""),"")</f>
        <v/>
      </c>
      <c r="E890" s="52"/>
      <c r="F890" t="str">
        <f>IFERROR(XLOOKUP(C890,'Master Barang'!$A:$A,'Master Barang'!$D:$D,""),"")</f>
        <v/>
      </c>
    </row>
    <row r="891" spans="1:6">
      <c r="A891" s="49"/>
      <c r="D891" t="str">
        <f>IFERROR(XLOOKUP(C891,'Master Barang'!$A:$A,'Master Barang'!$B:$B,""),"")</f>
        <v/>
      </c>
      <c r="E891" s="52"/>
      <c r="F891" t="str">
        <f>IFERROR(XLOOKUP(C891,'Master Barang'!$A:$A,'Master Barang'!$D:$D,""),"")</f>
        <v/>
      </c>
    </row>
    <row r="892" spans="1:6">
      <c r="A892" s="49"/>
      <c r="D892" t="str">
        <f>IFERROR(XLOOKUP(C892,'Master Barang'!$A:$A,'Master Barang'!$B:$B,""),"")</f>
        <v/>
      </c>
      <c r="E892" s="52"/>
      <c r="F892" t="str">
        <f>IFERROR(XLOOKUP(C892,'Master Barang'!$A:$A,'Master Barang'!$D:$D,""),"")</f>
        <v/>
      </c>
    </row>
    <row r="893" spans="1:6">
      <c r="A893" s="49"/>
      <c r="D893" t="str">
        <f>IFERROR(XLOOKUP(C893,'Master Barang'!$A:$A,'Master Barang'!$B:$B,""),"")</f>
        <v/>
      </c>
      <c r="E893" s="52"/>
      <c r="F893" t="str">
        <f>IFERROR(XLOOKUP(C893,'Master Barang'!$A:$A,'Master Barang'!$D:$D,""),"")</f>
        <v/>
      </c>
    </row>
    <row r="894" spans="1:6">
      <c r="A894" s="49"/>
      <c r="D894" t="str">
        <f>IFERROR(XLOOKUP(C894,'Master Barang'!$A:$A,'Master Barang'!$B:$B,""),"")</f>
        <v/>
      </c>
      <c r="E894" s="52"/>
      <c r="F894" t="str">
        <f>IFERROR(XLOOKUP(C894,'Master Barang'!$A:$A,'Master Barang'!$D:$D,""),"")</f>
        <v/>
      </c>
    </row>
    <row r="895" spans="1:6">
      <c r="A895" s="49"/>
      <c r="D895" t="str">
        <f>IFERROR(XLOOKUP(C895,'Master Barang'!$A:$A,'Master Barang'!$B:$B,""),"")</f>
        <v/>
      </c>
      <c r="E895" s="52"/>
      <c r="F895" t="str">
        <f>IFERROR(XLOOKUP(C895,'Master Barang'!$A:$A,'Master Barang'!$D:$D,""),"")</f>
        <v/>
      </c>
    </row>
    <row r="896" spans="1:6">
      <c r="A896" s="49"/>
      <c r="D896" t="str">
        <f>IFERROR(XLOOKUP(C896,'Master Barang'!$A:$A,'Master Barang'!$B:$B,""),"")</f>
        <v/>
      </c>
      <c r="E896" s="52"/>
      <c r="F896" t="str">
        <f>IFERROR(XLOOKUP(C896,'Master Barang'!$A:$A,'Master Barang'!$D:$D,""),"")</f>
        <v/>
      </c>
    </row>
    <row r="897" spans="1:6">
      <c r="A897" s="49"/>
      <c r="D897" t="str">
        <f>IFERROR(XLOOKUP(C897,'Master Barang'!$A:$A,'Master Barang'!$B:$B,""),"")</f>
        <v/>
      </c>
      <c r="E897" s="52"/>
      <c r="F897" t="str">
        <f>IFERROR(XLOOKUP(C897,'Master Barang'!$A:$A,'Master Barang'!$D:$D,""),"")</f>
        <v/>
      </c>
    </row>
    <row r="898" spans="1:6">
      <c r="A898" s="49"/>
      <c r="D898" t="str">
        <f>IFERROR(XLOOKUP(C898,'Master Barang'!$A:$A,'Master Barang'!$B:$B,""),"")</f>
        <v/>
      </c>
      <c r="E898" s="52"/>
      <c r="F898" t="str">
        <f>IFERROR(XLOOKUP(C898,'Master Barang'!$A:$A,'Master Barang'!$D:$D,""),"")</f>
        <v/>
      </c>
    </row>
    <row r="899" spans="1:6">
      <c r="A899" s="49"/>
      <c r="D899" t="str">
        <f>IFERROR(XLOOKUP(C899,'Master Barang'!$A:$A,'Master Barang'!$B:$B,""),"")</f>
        <v/>
      </c>
      <c r="E899" s="52"/>
      <c r="F899" t="str">
        <f>IFERROR(XLOOKUP(C899,'Master Barang'!$A:$A,'Master Barang'!$D:$D,""),"")</f>
        <v/>
      </c>
    </row>
    <row r="900" spans="1:6">
      <c r="A900" s="49"/>
      <c r="D900" t="str">
        <f>IFERROR(XLOOKUP(C900,'Master Barang'!$A:$A,'Master Barang'!$B:$B,""),"")</f>
        <v/>
      </c>
      <c r="E900" s="52"/>
      <c r="F900" t="str">
        <f>IFERROR(XLOOKUP(C900,'Master Barang'!$A:$A,'Master Barang'!$D:$D,""),"")</f>
        <v/>
      </c>
    </row>
    <row r="901" spans="1:6">
      <c r="A901" s="49"/>
      <c r="D901" t="str">
        <f>IFERROR(XLOOKUP(C901,'Master Barang'!$A:$A,'Master Barang'!$B:$B,""),"")</f>
        <v/>
      </c>
      <c r="E901" s="52"/>
      <c r="F901" t="str">
        <f>IFERROR(XLOOKUP(C901,'Master Barang'!$A:$A,'Master Barang'!$D:$D,""),"")</f>
        <v/>
      </c>
    </row>
    <row r="902" spans="1:6">
      <c r="A902" s="49"/>
      <c r="D902" t="str">
        <f>IFERROR(XLOOKUP(C902,'Master Barang'!$A:$A,'Master Barang'!$B:$B,""),"")</f>
        <v/>
      </c>
      <c r="E902" s="52"/>
      <c r="F902" t="str">
        <f>IFERROR(XLOOKUP(C902,'Master Barang'!$A:$A,'Master Barang'!$D:$D,""),"")</f>
        <v/>
      </c>
    </row>
    <row r="903" spans="1:6">
      <c r="A903" s="49"/>
      <c r="D903" t="str">
        <f>IFERROR(XLOOKUP(C903,'Master Barang'!$A:$A,'Master Barang'!$B:$B,""),"")</f>
        <v/>
      </c>
      <c r="E903" s="52"/>
      <c r="F903" t="str">
        <f>IFERROR(XLOOKUP(C903,'Master Barang'!$A:$A,'Master Barang'!$D:$D,""),"")</f>
        <v/>
      </c>
    </row>
    <row r="904" spans="1:6">
      <c r="A904" s="49"/>
      <c r="D904" t="str">
        <f>IFERROR(XLOOKUP(C904,'Master Barang'!$A:$A,'Master Barang'!$B:$B,""),"")</f>
        <v/>
      </c>
      <c r="E904" s="52"/>
      <c r="F904" t="str">
        <f>IFERROR(XLOOKUP(C904,'Master Barang'!$A:$A,'Master Barang'!$D:$D,""),"")</f>
        <v/>
      </c>
    </row>
    <row r="905" spans="1:6">
      <c r="A905" s="49"/>
      <c r="D905" t="str">
        <f>IFERROR(XLOOKUP(C905,'Master Barang'!$A:$A,'Master Barang'!$B:$B,""),"")</f>
        <v/>
      </c>
      <c r="E905" s="52"/>
      <c r="F905" t="str">
        <f>IFERROR(XLOOKUP(C905,'Master Barang'!$A:$A,'Master Barang'!$D:$D,""),"")</f>
        <v/>
      </c>
    </row>
    <row r="906" spans="1:6">
      <c r="A906" s="49"/>
      <c r="D906" t="str">
        <f>IFERROR(XLOOKUP(C906,'Master Barang'!$A:$A,'Master Barang'!$B:$B,""),"")</f>
        <v/>
      </c>
      <c r="E906" s="52"/>
      <c r="F906" t="str">
        <f>IFERROR(XLOOKUP(C906,'Master Barang'!$A:$A,'Master Barang'!$D:$D,""),"")</f>
        <v/>
      </c>
    </row>
    <row r="907" spans="1:6">
      <c r="A907" s="49"/>
      <c r="D907" t="str">
        <f>IFERROR(XLOOKUP(C907,'Master Barang'!$A:$A,'Master Barang'!$B:$B,""),"")</f>
        <v/>
      </c>
      <c r="E907" s="52"/>
      <c r="F907" t="str">
        <f>IFERROR(XLOOKUP(C907,'Master Barang'!$A:$A,'Master Barang'!$D:$D,""),"")</f>
        <v/>
      </c>
    </row>
    <row r="908" spans="1:6">
      <c r="A908" s="49"/>
      <c r="D908" t="str">
        <f>IFERROR(XLOOKUP(C908,'Master Barang'!$A:$A,'Master Barang'!$B:$B,""),"")</f>
        <v/>
      </c>
      <c r="E908" s="52"/>
      <c r="F908" t="str">
        <f>IFERROR(XLOOKUP(C908,'Master Barang'!$A:$A,'Master Barang'!$D:$D,""),"")</f>
        <v/>
      </c>
    </row>
    <row r="909" spans="1:6">
      <c r="A909" s="49"/>
      <c r="D909" t="str">
        <f>IFERROR(XLOOKUP(C909,'Master Barang'!$A:$A,'Master Barang'!$B:$B,""),"")</f>
        <v/>
      </c>
      <c r="E909" s="52"/>
      <c r="F909" t="str">
        <f>IFERROR(XLOOKUP(C909,'Master Barang'!$A:$A,'Master Barang'!$D:$D,""),"")</f>
        <v/>
      </c>
    </row>
    <row r="910" spans="1:6">
      <c r="A910" s="49"/>
      <c r="D910" t="str">
        <f>IFERROR(XLOOKUP(C910,'Master Barang'!$A:$A,'Master Barang'!$B:$B,""),"")</f>
        <v/>
      </c>
      <c r="E910" s="52"/>
      <c r="F910" t="str">
        <f>IFERROR(XLOOKUP(C910,'Master Barang'!$A:$A,'Master Barang'!$D:$D,""),"")</f>
        <v/>
      </c>
    </row>
    <row r="911" spans="1:6">
      <c r="A911" s="49"/>
      <c r="D911" t="str">
        <f>IFERROR(XLOOKUP(C911,'Master Barang'!$A:$A,'Master Barang'!$B:$B,""),"")</f>
        <v/>
      </c>
      <c r="E911" s="52"/>
      <c r="F911" t="str">
        <f>IFERROR(XLOOKUP(C911,'Master Barang'!$A:$A,'Master Barang'!$D:$D,""),"")</f>
        <v/>
      </c>
    </row>
    <row r="912" spans="1:6">
      <c r="A912" s="49"/>
      <c r="D912" t="str">
        <f>IFERROR(XLOOKUP(C912,'Master Barang'!$A:$A,'Master Barang'!$B:$B,""),"")</f>
        <v/>
      </c>
      <c r="E912" s="52"/>
      <c r="F912" t="str">
        <f>IFERROR(XLOOKUP(C912,'Master Barang'!$A:$A,'Master Barang'!$D:$D,""),"")</f>
        <v/>
      </c>
    </row>
    <row r="913" spans="1:6">
      <c r="A913" s="49"/>
      <c r="D913" t="str">
        <f>IFERROR(XLOOKUP(C913,'Master Barang'!$A:$A,'Master Barang'!$B:$B,""),"")</f>
        <v/>
      </c>
      <c r="E913" s="52"/>
      <c r="F913" t="str">
        <f>IFERROR(XLOOKUP(C913,'Master Barang'!$A:$A,'Master Barang'!$D:$D,""),"")</f>
        <v/>
      </c>
    </row>
    <row r="914" spans="1:6">
      <c r="A914" s="49"/>
      <c r="D914" t="str">
        <f>IFERROR(XLOOKUP(C914,'Master Barang'!$A:$A,'Master Barang'!$B:$B,""),"")</f>
        <v/>
      </c>
      <c r="E914" s="52"/>
      <c r="F914" t="str">
        <f>IFERROR(XLOOKUP(C914,'Master Barang'!$A:$A,'Master Barang'!$D:$D,""),"")</f>
        <v/>
      </c>
    </row>
    <row r="915" spans="1:6">
      <c r="A915" s="49"/>
      <c r="D915" t="str">
        <f>IFERROR(XLOOKUP(C915,'Master Barang'!$A:$A,'Master Barang'!$B:$B,""),"")</f>
        <v/>
      </c>
      <c r="E915" s="52"/>
      <c r="F915" t="str">
        <f>IFERROR(XLOOKUP(C915,'Master Barang'!$A:$A,'Master Barang'!$D:$D,""),"")</f>
        <v/>
      </c>
    </row>
    <row r="916" spans="1:6">
      <c r="A916" s="49"/>
      <c r="D916" t="str">
        <f>IFERROR(XLOOKUP(C916,'Master Barang'!$A:$A,'Master Barang'!$B:$B,""),"")</f>
        <v/>
      </c>
      <c r="E916" s="52"/>
      <c r="F916" t="str">
        <f>IFERROR(XLOOKUP(C916,'Master Barang'!$A:$A,'Master Barang'!$D:$D,""),"")</f>
        <v/>
      </c>
    </row>
    <row r="917" spans="1:6">
      <c r="A917" s="49"/>
      <c r="D917" t="str">
        <f>IFERROR(XLOOKUP(C917,'Master Barang'!$A:$A,'Master Barang'!$B:$B,""),"")</f>
        <v/>
      </c>
      <c r="E917" s="52"/>
      <c r="F917" t="str">
        <f>IFERROR(XLOOKUP(C917,'Master Barang'!$A:$A,'Master Barang'!$D:$D,""),"")</f>
        <v/>
      </c>
    </row>
    <row r="918" spans="1:6">
      <c r="A918" s="49"/>
      <c r="D918" t="str">
        <f>IFERROR(XLOOKUP(C918,'Master Barang'!$A:$A,'Master Barang'!$B:$B,""),"")</f>
        <v/>
      </c>
      <c r="E918" s="52"/>
      <c r="F918" t="str">
        <f>IFERROR(XLOOKUP(C918,'Master Barang'!$A:$A,'Master Barang'!$D:$D,""),"")</f>
        <v/>
      </c>
    </row>
    <row r="919" spans="1:6">
      <c r="A919" s="49"/>
      <c r="D919" t="str">
        <f>IFERROR(XLOOKUP(C919,'Master Barang'!$A:$A,'Master Barang'!$B:$B,""),"")</f>
        <v/>
      </c>
      <c r="E919" s="52"/>
      <c r="F919" t="str">
        <f>IFERROR(XLOOKUP(C919,'Master Barang'!$A:$A,'Master Barang'!$D:$D,""),"")</f>
        <v/>
      </c>
    </row>
    <row r="920" spans="1:6">
      <c r="A920" s="49"/>
      <c r="D920" t="str">
        <f>IFERROR(XLOOKUP(C920,'Master Barang'!$A:$A,'Master Barang'!$B:$B,""),"")</f>
        <v/>
      </c>
      <c r="E920" s="52"/>
      <c r="F920" t="str">
        <f>IFERROR(XLOOKUP(C920,'Master Barang'!$A:$A,'Master Barang'!$D:$D,""),"")</f>
        <v/>
      </c>
    </row>
    <row r="921" spans="1:6">
      <c r="A921" s="49"/>
      <c r="D921" t="str">
        <f>IFERROR(XLOOKUP(C921,'Master Barang'!$A:$A,'Master Barang'!$B:$B,""),"")</f>
        <v/>
      </c>
      <c r="E921" s="52"/>
      <c r="F921" t="str">
        <f>IFERROR(XLOOKUP(C921,'Master Barang'!$A:$A,'Master Barang'!$D:$D,""),"")</f>
        <v/>
      </c>
    </row>
    <row r="922" spans="1:6">
      <c r="A922" s="49"/>
      <c r="D922" t="str">
        <f>IFERROR(XLOOKUP(C922,'Master Barang'!$A:$A,'Master Barang'!$B:$B,""),"")</f>
        <v/>
      </c>
      <c r="E922" s="52"/>
      <c r="F922" t="str">
        <f>IFERROR(XLOOKUP(C922,'Master Barang'!$A:$A,'Master Barang'!$D:$D,""),"")</f>
        <v/>
      </c>
    </row>
    <row r="923" spans="1:6">
      <c r="A923" s="49"/>
      <c r="D923" t="str">
        <f>IFERROR(XLOOKUP(C923,'Master Barang'!$A:$A,'Master Barang'!$B:$B,""),"")</f>
        <v/>
      </c>
      <c r="E923" s="52"/>
      <c r="F923" t="str">
        <f>IFERROR(XLOOKUP(C923,'Master Barang'!$A:$A,'Master Barang'!$D:$D,""),"")</f>
        <v/>
      </c>
    </row>
    <row r="924" spans="1:6">
      <c r="A924" s="49"/>
      <c r="D924" t="str">
        <f>IFERROR(XLOOKUP(C924,'Master Barang'!$A:$A,'Master Barang'!$B:$B,""),"")</f>
        <v/>
      </c>
      <c r="E924" s="52"/>
      <c r="F924" t="str">
        <f>IFERROR(XLOOKUP(C924,'Master Barang'!$A:$A,'Master Barang'!$D:$D,""),"")</f>
        <v/>
      </c>
    </row>
    <row r="925" spans="1:6">
      <c r="A925" s="49"/>
      <c r="D925" t="str">
        <f>IFERROR(XLOOKUP(C925,'Master Barang'!$A:$A,'Master Barang'!$B:$B,""),"")</f>
        <v/>
      </c>
      <c r="E925" s="52"/>
      <c r="F925" t="str">
        <f>IFERROR(XLOOKUP(C925,'Master Barang'!$A:$A,'Master Barang'!$D:$D,""),"")</f>
        <v/>
      </c>
    </row>
    <row r="926" spans="1:6">
      <c r="A926" s="49"/>
      <c r="D926" t="str">
        <f>IFERROR(XLOOKUP(C926,'Master Barang'!$A:$A,'Master Barang'!$B:$B,""),"")</f>
        <v/>
      </c>
      <c r="E926" s="52"/>
      <c r="F926" t="str">
        <f>IFERROR(XLOOKUP(C926,'Master Barang'!$A:$A,'Master Barang'!$D:$D,""),"")</f>
        <v/>
      </c>
    </row>
    <row r="927" spans="1:6">
      <c r="A927" s="49"/>
      <c r="D927" t="str">
        <f>IFERROR(XLOOKUP(C927,'Master Barang'!$A:$A,'Master Barang'!$B:$B,""),"")</f>
        <v/>
      </c>
      <c r="E927" s="52"/>
      <c r="F927" t="str">
        <f>IFERROR(XLOOKUP(C927,'Master Barang'!$A:$A,'Master Barang'!$D:$D,""),"")</f>
        <v/>
      </c>
    </row>
    <row r="928" spans="1:6">
      <c r="A928" s="49"/>
      <c r="D928" t="str">
        <f>IFERROR(XLOOKUP(C928,'Master Barang'!$A:$A,'Master Barang'!$B:$B,""),"")</f>
        <v/>
      </c>
      <c r="E928" s="52"/>
      <c r="F928" t="str">
        <f>IFERROR(XLOOKUP(C928,'Master Barang'!$A:$A,'Master Barang'!$D:$D,""),"")</f>
        <v/>
      </c>
    </row>
    <row r="929" spans="1:6">
      <c r="A929" s="49"/>
      <c r="D929" t="str">
        <f>IFERROR(XLOOKUP(C929,'Master Barang'!$A:$A,'Master Barang'!$B:$B,""),"")</f>
        <v/>
      </c>
      <c r="E929" s="52"/>
      <c r="F929" t="str">
        <f>IFERROR(XLOOKUP(C929,'Master Barang'!$A:$A,'Master Barang'!$D:$D,""),"")</f>
        <v/>
      </c>
    </row>
    <row r="930" spans="1:6">
      <c r="A930" s="49"/>
      <c r="D930" t="str">
        <f>IFERROR(XLOOKUP(C930,'Master Barang'!$A:$A,'Master Barang'!$B:$B,""),"")</f>
        <v/>
      </c>
      <c r="E930" s="52"/>
      <c r="F930" t="str">
        <f>IFERROR(XLOOKUP(C930,'Master Barang'!$A:$A,'Master Barang'!$D:$D,""),"")</f>
        <v/>
      </c>
    </row>
    <row r="931" spans="1:6">
      <c r="A931" s="49"/>
      <c r="D931" t="str">
        <f>IFERROR(XLOOKUP(C931,'Master Barang'!$A:$A,'Master Barang'!$B:$B,""),"")</f>
        <v/>
      </c>
      <c r="E931" s="52"/>
      <c r="F931" t="str">
        <f>IFERROR(XLOOKUP(C931,'Master Barang'!$A:$A,'Master Barang'!$D:$D,""),"")</f>
        <v/>
      </c>
    </row>
    <row r="932" spans="1:6">
      <c r="A932" s="49"/>
      <c r="D932" t="str">
        <f>IFERROR(XLOOKUP(C932,'Master Barang'!$A:$A,'Master Barang'!$B:$B,""),"")</f>
        <v/>
      </c>
      <c r="E932" s="52"/>
      <c r="F932" t="str">
        <f>IFERROR(XLOOKUP(C932,'Master Barang'!$A:$A,'Master Barang'!$D:$D,""),"")</f>
        <v/>
      </c>
    </row>
    <row r="933" spans="1:6">
      <c r="A933" s="49"/>
      <c r="D933" t="str">
        <f>IFERROR(XLOOKUP(C933,'Master Barang'!$A:$A,'Master Barang'!$B:$B,""),"")</f>
        <v/>
      </c>
      <c r="E933" s="52"/>
      <c r="F933" t="str">
        <f>IFERROR(XLOOKUP(C933,'Master Barang'!$A:$A,'Master Barang'!$D:$D,""),"")</f>
        <v/>
      </c>
    </row>
    <row r="934" spans="1:6">
      <c r="A934" s="49"/>
      <c r="D934" t="str">
        <f>IFERROR(XLOOKUP(C934,'Master Barang'!$A:$A,'Master Barang'!$B:$B,""),"")</f>
        <v/>
      </c>
      <c r="E934" s="52"/>
      <c r="F934" t="str">
        <f>IFERROR(XLOOKUP(C934,'Master Barang'!$A:$A,'Master Barang'!$D:$D,""),"")</f>
        <v/>
      </c>
    </row>
    <row r="935" spans="1:6">
      <c r="A935" s="49"/>
      <c r="D935" t="str">
        <f>IFERROR(XLOOKUP(C935,'Master Barang'!$A:$A,'Master Barang'!$B:$B,""),"")</f>
        <v/>
      </c>
      <c r="E935" s="52"/>
      <c r="F935" t="str">
        <f>IFERROR(XLOOKUP(C935,'Master Barang'!$A:$A,'Master Barang'!$D:$D,""),"")</f>
        <v/>
      </c>
    </row>
    <row r="936" spans="1:6">
      <c r="A936" s="49"/>
      <c r="D936" t="str">
        <f>IFERROR(XLOOKUP(C936,'Master Barang'!$A:$A,'Master Barang'!$B:$B,""),"")</f>
        <v/>
      </c>
      <c r="E936" s="52"/>
      <c r="F936" t="str">
        <f>IFERROR(XLOOKUP(C936,'Master Barang'!$A:$A,'Master Barang'!$D:$D,""),"")</f>
        <v/>
      </c>
    </row>
    <row r="937" spans="1:6">
      <c r="A937" s="49"/>
      <c r="D937" t="str">
        <f>IFERROR(XLOOKUP(C937,'Master Barang'!$A:$A,'Master Barang'!$B:$B,""),"")</f>
        <v/>
      </c>
      <c r="E937" s="52"/>
      <c r="F937" t="str">
        <f>IFERROR(XLOOKUP(C937,'Master Barang'!$A:$A,'Master Barang'!$D:$D,""),"")</f>
        <v/>
      </c>
    </row>
    <row r="938" spans="1:6">
      <c r="A938" s="49"/>
      <c r="D938" t="str">
        <f>IFERROR(XLOOKUP(C938,'Master Barang'!$A:$A,'Master Barang'!$B:$B,""),"")</f>
        <v/>
      </c>
      <c r="E938" s="52"/>
      <c r="F938" t="str">
        <f>IFERROR(XLOOKUP(C938,'Master Barang'!$A:$A,'Master Barang'!$D:$D,""),"")</f>
        <v/>
      </c>
    </row>
    <row r="939" spans="1:6">
      <c r="A939" s="49"/>
      <c r="D939" t="str">
        <f>IFERROR(XLOOKUP(C939,'Master Barang'!$A:$A,'Master Barang'!$B:$B,""),"")</f>
        <v/>
      </c>
      <c r="E939" s="52"/>
      <c r="F939" t="str">
        <f>IFERROR(XLOOKUP(C939,'Master Barang'!$A:$A,'Master Barang'!$D:$D,""),"")</f>
        <v/>
      </c>
    </row>
    <row r="940" spans="1:6">
      <c r="A940" s="49"/>
      <c r="D940" t="str">
        <f>IFERROR(XLOOKUP(C940,'Master Barang'!$A:$A,'Master Barang'!$B:$B,""),"")</f>
        <v/>
      </c>
      <c r="E940" s="52"/>
      <c r="F940" t="str">
        <f>IFERROR(XLOOKUP(C940,'Master Barang'!$A:$A,'Master Barang'!$D:$D,""),"")</f>
        <v/>
      </c>
    </row>
    <row r="941" spans="1:6">
      <c r="A941" s="49"/>
      <c r="D941" t="str">
        <f>IFERROR(XLOOKUP(C941,'Master Barang'!$A:$A,'Master Barang'!$B:$B,""),"")</f>
        <v/>
      </c>
      <c r="E941" s="52"/>
      <c r="F941" t="str">
        <f>IFERROR(XLOOKUP(C941,'Master Barang'!$A:$A,'Master Barang'!$D:$D,""),"")</f>
        <v/>
      </c>
    </row>
    <row r="942" spans="1:6">
      <c r="A942" s="49"/>
      <c r="D942" t="str">
        <f>IFERROR(XLOOKUP(C942,'Master Barang'!$A:$A,'Master Barang'!$B:$B,""),"")</f>
        <v/>
      </c>
      <c r="E942" s="52"/>
      <c r="F942" t="str">
        <f>IFERROR(XLOOKUP(C942,'Master Barang'!$A:$A,'Master Barang'!$D:$D,""),"")</f>
        <v/>
      </c>
    </row>
    <row r="943" spans="1:6">
      <c r="A943" s="49"/>
      <c r="D943" t="str">
        <f>IFERROR(XLOOKUP(C943,'Master Barang'!$A:$A,'Master Barang'!$B:$B,""),"")</f>
        <v/>
      </c>
      <c r="E943" s="52"/>
      <c r="F943" t="str">
        <f>IFERROR(XLOOKUP(C943,'Master Barang'!$A:$A,'Master Barang'!$D:$D,""),"")</f>
        <v/>
      </c>
    </row>
    <row r="944" spans="1:6">
      <c r="A944" s="49"/>
      <c r="D944" t="str">
        <f>IFERROR(XLOOKUP(C944,'Master Barang'!$A:$A,'Master Barang'!$B:$B,""),"")</f>
        <v/>
      </c>
      <c r="E944" s="52"/>
      <c r="F944" t="str">
        <f>IFERROR(XLOOKUP(C944,'Master Barang'!$A:$A,'Master Barang'!$D:$D,""),"")</f>
        <v/>
      </c>
    </row>
    <row r="945" spans="1:6">
      <c r="A945" s="49"/>
      <c r="D945" t="str">
        <f>IFERROR(XLOOKUP(C945,'Master Barang'!$A:$A,'Master Barang'!$B:$B,""),"")</f>
        <v/>
      </c>
      <c r="E945" s="52"/>
      <c r="F945" t="str">
        <f>IFERROR(XLOOKUP(C945,'Master Barang'!$A:$A,'Master Barang'!$D:$D,""),"")</f>
        <v/>
      </c>
    </row>
    <row r="946" spans="1:6">
      <c r="A946" s="49"/>
      <c r="D946" t="str">
        <f>IFERROR(XLOOKUP(C946,'Master Barang'!$A:$A,'Master Barang'!$B:$B,""),"")</f>
        <v/>
      </c>
      <c r="E946" s="52"/>
      <c r="F946" t="str">
        <f>IFERROR(XLOOKUP(C946,'Master Barang'!$A:$A,'Master Barang'!$D:$D,""),"")</f>
        <v/>
      </c>
    </row>
    <row r="947" spans="1:6">
      <c r="A947" s="49"/>
      <c r="D947" t="str">
        <f>IFERROR(XLOOKUP(C947,'Master Barang'!$A:$A,'Master Barang'!$B:$B,""),"")</f>
        <v/>
      </c>
      <c r="E947" s="52"/>
      <c r="F947" t="str">
        <f>IFERROR(XLOOKUP(C947,'Master Barang'!$A:$A,'Master Barang'!$D:$D,""),"")</f>
        <v/>
      </c>
    </row>
    <row r="948" spans="1:6">
      <c r="A948" s="49"/>
      <c r="D948" t="str">
        <f>IFERROR(XLOOKUP(C948,'Master Barang'!$A:$A,'Master Barang'!$B:$B,""),"")</f>
        <v/>
      </c>
      <c r="E948" s="52"/>
      <c r="F948" t="str">
        <f>IFERROR(XLOOKUP(C948,'Master Barang'!$A:$A,'Master Barang'!$D:$D,""),"")</f>
        <v/>
      </c>
    </row>
    <row r="949" spans="1:6">
      <c r="A949" s="49"/>
      <c r="D949" t="str">
        <f>IFERROR(XLOOKUP(C949,'Master Barang'!$A:$A,'Master Barang'!$B:$B,""),"")</f>
        <v/>
      </c>
      <c r="E949" s="52"/>
      <c r="F949" t="str">
        <f>IFERROR(XLOOKUP(C949,'Master Barang'!$A:$A,'Master Barang'!$D:$D,""),"")</f>
        <v/>
      </c>
    </row>
    <row r="950" spans="1:6">
      <c r="A950" s="49"/>
      <c r="D950" t="str">
        <f>IFERROR(XLOOKUP(C950,'Master Barang'!$A:$A,'Master Barang'!$B:$B,""),"")</f>
        <v/>
      </c>
      <c r="E950" s="52"/>
      <c r="F950" t="str">
        <f>IFERROR(XLOOKUP(C950,'Master Barang'!$A:$A,'Master Barang'!$D:$D,""),"")</f>
        <v/>
      </c>
    </row>
    <row r="951" spans="1:6">
      <c r="A951" s="49"/>
      <c r="D951" t="str">
        <f>IFERROR(XLOOKUP(C951,'Master Barang'!$A:$A,'Master Barang'!$B:$B,""),"")</f>
        <v/>
      </c>
      <c r="E951" s="52"/>
      <c r="F951" t="str">
        <f>IFERROR(XLOOKUP(C951,'Master Barang'!$A:$A,'Master Barang'!$D:$D,""),"")</f>
        <v/>
      </c>
    </row>
    <row r="952" spans="1:6">
      <c r="A952" s="49"/>
      <c r="D952" t="str">
        <f>IFERROR(XLOOKUP(C952,'Master Barang'!$A:$A,'Master Barang'!$B:$B,""),"")</f>
        <v/>
      </c>
      <c r="E952" s="52"/>
      <c r="F952" t="str">
        <f>IFERROR(XLOOKUP(C952,'Master Barang'!$A:$A,'Master Barang'!$D:$D,""),"")</f>
        <v/>
      </c>
    </row>
    <row r="953" spans="1:6">
      <c r="A953" s="49"/>
      <c r="D953" t="str">
        <f>IFERROR(XLOOKUP(C953,'Master Barang'!$A:$A,'Master Barang'!$B:$B,""),"")</f>
        <v/>
      </c>
      <c r="E953" s="52"/>
      <c r="F953" t="str">
        <f>IFERROR(XLOOKUP(C953,'Master Barang'!$A:$A,'Master Barang'!$D:$D,""),"")</f>
        <v/>
      </c>
    </row>
    <row r="954" spans="1:6">
      <c r="A954" s="49"/>
      <c r="D954" t="str">
        <f>IFERROR(XLOOKUP(C954,'Master Barang'!$A:$A,'Master Barang'!$B:$B,""),"")</f>
        <v/>
      </c>
      <c r="E954" s="52"/>
      <c r="F954" t="str">
        <f>IFERROR(XLOOKUP(C954,'Master Barang'!$A:$A,'Master Barang'!$D:$D,""),"")</f>
        <v/>
      </c>
    </row>
    <row r="955" spans="1:6">
      <c r="A955" s="49"/>
      <c r="D955" t="str">
        <f>IFERROR(XLOOKUP(C955,'Master Barang'!$A:$A,'Master Barang'!$B:$B,""),"")</f>
        <v/>
      </c>
      <c r="E955" s="52"/>
      <c r="F955" t="str">
        <f>IFERROR(XLOOKUP(C955,'Master Barang'!$A:$A,'Master Barang'!$D:$D,""),"")</f>
        <v/>
      </c>
    </row>
    <row r="956" spans="1:6">
      <c r="A956" s="49"/>
      <c r="D956" t="str">
        <f>IFERROR(XLOOKUP(C956,'Master Barang'!$A:$A,'Master Barang'!$B:$B,""),"")</f>
        <v/>
      </c>
      <c r="E956" s="52"/>
      <c r="F956" t="str">
        <f>IFERROR(XLOOKUP(C956,'Master Barang'!$A:$A,'Master Barang'!$D:$D,""),"")</f>
        <v/>
      </c>
    </row>
    <row r="957" spans="1:6">
      <c r="A957" s="49"/>
      <c r="D957" t="str">
        <f>IFERROR(XLOOKUP(C957,'Master Barang'!$A:$A,'Master Barang'!$B:$B,""),"")</f>
        <v/>
      </c>
      <c r="E957" s="52"/>
      <c r="F957" t="str">
        <f>IFERROR(XLOOKUP(C957,'Master Barang'!$A:$A,'Master Barang'!$D:$D,""),"")</f>
        <v/>
      </c>
    </row>
    <row r="958" spans="1:6">
      <c r="A958" s="49"/>
      <c r="D958" t="str">
        <f>IFERROR(XLOOKUP(C958,'Master Barang'!$A:$A,'Master Barang'!$B:$B,""),"")</f>
        <v/>
      </c>
      <c r="E958" s="52"/>
      <c r="F958" t="str">
        <f>IFERROR(XLOOKUP(C958,'Master Barang'!$A:$A,'Master Barang'!$D:$D,""),"")</f>
        <v/>
      </c>
    </row>
    <row r="959" spans="1:6">
      <c r="A959" s="49"/>
      <c r="D959" t="str">
        <f>IFERROR(XLOOKUP(C959,'Master Barang'!$A:$A,'Master Barang'!$B:$B,""),"")</f>
        <v/>
      </c>
      <c r="E959" s="52"/>
      <c r="F959" t="str">
        <f>IFERROR(XLOOKUP(C959,'Master Barang'!$A:$A,'Master Barang'!$D:$D,""),"")</f>
        <v/>
      </c>
    </row>
    <row r="960" spans="1:6">
      <c r="A960" s="49"/>
      <c r="D960" t="str">
        <f>IFERROR(XLOOKUP(C960,'Master Barang'!$A:$A,'Master Barang'!$B:$B,""),"")</f>
        <v/>
      </c>
      <c r="E960" s="52"/>
      <c r="F960" t="str">
        <f>IFERROR(XLOOKUP(C960,'Master Barang'!$A:$A,'Master Barang'!$D:$D,""),"")</f>
        <v/>
      </c>
    </row>
    <row r="961" spans="1:6">
      <c r="A961" s="49"/>
      <c r="D961" t="str">
        <f>IFERROR(XLOOKUP(C961,'Master Barang'!$A:$A,'Master Barang'!$B:$B,""),"")</f>
        <v/>
      </c>
      <c r="E961" s="52"/>
      <c r="F961" t="str">
        <f>IFERROR(XLOOKUP(C961,'Master Barang'!$A:$A,'Master Barang'!$D:$D,""),"")</f>
        <v/>
      </c>
    </row>
    <row r="962" spans="1:6">
      <c r="A962" s="49"/>
      <c r="D962" t="str">
        <f>IFERROR(XLOOKUP(C962,'Master Barang'!$A:$A,'Master Barang'!$B:$B,""),"")</f>
        <v/>
      </c>
      <c r="E962" s="52"/>
      <c r="F962" t="str">
        <f>IFERROR(XLOOKUP(C962,'Master Barang'!$A:$A,'Master Barang'!$D:$D,""),"")</f>
        <v/>
      </c>
    </row>
    <row r="963" spans="1:6">
      <c r="A963" s="49"/>
      <c r="D963" t="str">
        <f>IFERROR(XLOOKUP(C963,'Master Barang'!$A:$A,'Master Barang'!$B:$B,""),"")</f>
        <v/>
      </c>
      <c r="E963" s="52"/>
      <c r="F963" t="str">
        <f>IFERROR(XLOOKUP(C963,'Master Barang'!$A:$A,'Master Barang'!$D:$D,""),"")</f>
        <v/>
      </c>
    </row>
    <row r="964" spans="1:6">
      <c r="A964" s="49"/>
      <c r="D964" t="str">
        <f>IFERROR(XLOOKUP(C964,'Master Barang'!$A:$A,'Master Barang'!$B:$B,""),"")</f>
        <v/>
      </c>
      <c r="E964" s="52"/>
      <c r="F964" t="str">
        <f>IFERROR(XLOOKUP(C964,'Master Barang'!$A:$A,'Master Barang'!$D:$D,""),"")</f>
        <v/>
      </c>
    </row>
    <row r="965" spans="1:6">
      <c r="A965" s="49"/>
      <c r="D965" t="str">
        <f>IFERROR(XLOOKUP(C965,'Master Barang'!$A:$A,'Master Barang'!$B:$B,""),"")</f>
        <v/>
      </c>
      <c r="E965" s="52"/>
      <c r="F965" t="str">
        <f>IFERROR(XLOOKUP(C965,'Master Barang'!$A:$A,'Master Barang'!$D:$D,""),"")</f>
        <v/>
      </c>
    </row>
    <row r="966" spans="1:6">
      <c r="A966" s="49"/>
      <c r="D966" t="str">
        <f>IFERROR(XLOOKUP(C966,'Master Barang'!$A:$A,'Master Barang'!$B:$B,""),"")</f>
        <v/>
      </c>
      <c r="E966" s="52"/>
      <c r="F966" t="str">
        <f>IFERROR(XLOOKUP(C966,'Master Barang'!$A:$A,'Master Barang'!$D:$D,""),"")</f>
        <v/>
      </c>
    </row>
    <row r="967" spans="1:6">
      <c r="A967" s="49"/>
      <c r="D967" t="str">
        <f>IFERROR(XLOOKUP(C967,'Master Barang'!$A:$A,'Master Barang'!$B:$B,""),"")</f>
        <v/>
      </c>
      <c r="E967" s="52"/>
      <c r="F967" t="str">
        <f>IFERROR(XLOOKUP(C967,'Master Barang'!$A:$A,'Master Barang'!$D:$D,""),"")</f>
        <v/>
      </c>
    </row>
    <row r="968" spans="1:6">
      <c r="A968" s="49"/>
      <c r="D968" t="str">
        <f>IFERROR(XLOOKUP(C968,'Master Barang'!$A:$A,'Master Barang'!$B:$B,""),"")</f>
        <v/>
      </c>
      <c r="E968" s="52"/>
      <c r="F968" t="str">
        <f>IFERROR(XLOOKUP(C968,'Master Barang'!$A:$A,'Master Barang'!$D:$D,""),"")</f>
        <v/>
      </c>
    </row>
    <row r="969" spans="1:6">
      <c r="A969" s="49"/>
      <c r="D969" t="str">
        <f>IFERROR(XLOOKUP(C969,'Master Barang'!$A:$A,'Master Barang'!$B:$B,""),"")</f>
        <v/>
      </c>
      <c r="E969" s="52"/>
      <c r="F969" t="str">
        <f>IFERROR(XLOOKUP(C969,'Master Barang'!$A:$A,'Master Barang'!$D:$D,""),"")</f>
        <v/>
      </c>
    </row>
    <row r="970" spans="1:6">
      <c r="A970" s="49"/>
      <c r="D970" t="str">
        <f>IFERROR(XLOOKUP(C970,'Master Barang'!$A:$A,'Master Barang'!$B:$B,""),"")</f>
        <v/>
      </c>
      <c r="E970" s="52"/>
      <c r="F970" t="str">
        <f>IFERROR(XLOOKUP(C970,'Master Barang'!$A:$A,'Master Barang'!$D:$D,""),"")</f>
        <v/>
      </c>
    </row>
    <row r="971" spans="1:6">
      <c r="A971" s="49"/>
      <c r="D971" t="str">
        <f>IFERROR(XLOOKUP(C971,'Master Barang'!$A:$A,'Master Barang'!$B:$B,""),"")</f>
        <v/>
      </c>
      <c r="E971" s="52"/>
      <c r="F971" t="str">
        <f>IFERROR(XLOOKUP(C971,'Master Barang'!$A:$A,'Master Barang'!$D:$D,""),"")</f>
        <v/>
      </c>
    </row>
    <row r="972" spans="1:6">
      <c r="A972" s="49"/>
      <c r="D972" t="str">
        <f>IFERROR(XLOOKUP(C972,'Master Barang'!$A:$A,'Master Barang'!$B:$B,""),"")</f>
        <v/>
      </c>
      <c r="E972" s="52"/>
      <c r="F972" t="str">
        <f>IFERROR(XLOOKUP(C972,'Master Barang'!$A:$A,'Master Barang'!$D:$D,""),"")</f>
        <v/>
      </c>
    </row>
    <row r="973" spans="1:6">
      <c r="A973" s="49"/>
      <c r="D973" t="str">
        <f>IFERROR(XLOOKUP(C973,'Master Barang'!$A:$A,'Master Barang'!$B:$B,""),"")</f>
        <v/>
      </c>
      <c r="E973" s="52"/>
      <c r="F973" t="str">
        <f>IFERROR(XLOOKUP(C973,'Master Barang'!$A:$A,'Master Barang'!$D:$D,""),"")</f>
        <v/>
      </c>
    </row>
    <row r="974" spans="1:6">
      <c r="A974" s="49"/>
      <c r="D974" t="str">
        <f>IFERROR(XLOOKUP(C974,'Master Barang'!$A:$A,'Master Barang'!$B:$B,""),"")</f>
        <v/>
      </c>
      <c r="E974" s="52"/>
      <c r="F974" t="str">
        <f>IFERROR(XLOOKUP(C974,'Master Barang'!$A:$A,'Master Barang'!$D:$D,""),"")</f>
        <v/>
      </c>
    </row>
    <row r="975" spans="1:6">
      <c r="A975" s="49"/>
      <c r="D975" t="str">
        <f>IFERROR(XLOOKUP(C975,'Master Barang'!$A:$A,'Master Barang'!$B:$B,""),"")</f>
        <v/>
      </c>
      <c r="E975" s="52"/>
      <c r="F975" t="str">
        <f>IFERROR(XLOOKUP(C975,'Master Barang'!$A:$A,'Master Barang'!$D:$D,""),"")</f>
        <v/>
      </c>
    </row>
    <row r="976" spans="1:6">
      <c r="A976" s="49"/>
      <c r="D976" t="str">
        <f>IFERROR(XLOOKUP(C976,'Master Barang'!$A:$A,'Master Barang'!$B:$B,""),"")</f>
        <v/>
      </c>
      <c r="E976" s="52"/>
      <c r="F976" t="str">
        <f>IFERROR(XLOOKUP(C976,'Master Barang'!$A:$A,'Master Barang'!$D:$D,""),"")</f>
        <v/>
      </c>
    </row>
    <row r="977" spans="1:6">
      <c r="A977" s="49"/>
      <c r="D977" t="str">
        <f>IFERROR(XLOOKUP(C977,'Master Barang'!$A:$A,'Master Barang'!$B:$B,""),"")</f>
        <v/>
      </c>
      <c r="E977" s="52"/>
      <c r="F977" t="str">
        <f>IFERROR(XLOOKUP(C977,'Master Barang'!$A:$A,'Master Barang'!$D:$D,""),"")</f>
        <v/>
      </c>
    </row>
    <row r="978" spans="1:6">
      <c r="A978" s="49"/>
      <c r="D978" t="str">
        <f>IFERROR(XLOOKUP(C978,'Master Barang'!$A:$A,'Master Barang'!$B:$B,""),"")</f>
        <v/>
      </c>
      <c r="E978" s="52"/>
      <c r="F978" t="str">
        <f>IFERROR(XLOOKUP(C978,'Master Barang'!$A:$A,'Master Barang'!$D:$D,""),"")</f>
        <v/>
      </c>
    </row>
    <row r="979" spans="1:6">
      <c r="A979" s="49"/>
      <c r="D979" t="str">
        <f>IFERROR(XLOOKUP(C979,'Master Barang'!$A:$A,'Master Barang'!$B:$B,""),"")</f>
        <v/>
      </c>
      <c r="E979" s="52"/>
      <c r="F979" t="str">
        <f>IFERROR(XLOOKUP(C979,'Master Barang'!$A:$A,'Master Barang'!$D:$D,""),"")</f>
        <v/>
      </c>
    </row>
    <row r="980" spans="1:6">
      <c r="A980" s="49"/>
      <c r="D980" t="str">
        <f>IFERROR(XLOOKUP(C980,'Master Barang'!$A:$A,'Master Barang'!$B:$B,""),"")</f>
        <v/>
      </c>
      <c r="E980" s="52"/>
      <c r="F980" t="str">
        <f>IFERROR(XLOOKUP(C980,'Master Barang'!$A:$A,'Master Barang'!$D:$D,""),"")</f>
        <v/>
      </c>
    </row>
    <row r="981" spans="1:6">
      <c r="A981" s="49"/>
      <c r="D981" t="str">
        <f>IFERROR(XLOOKUP(C981,'Master Barang'!$A:$A,'Master Barang'!$B:$B,""),"")</f>
        <v/>
      </c>
      <c r="E981" s="52"/>
      <c r="F981" t="str">
        <f>IFERROR(XLOOKUP(C981,'Master Barang'!$A:$A,'Master Barang'!$D:$D,""),"")</f>
        <v/>
      </c>
    </row>
    <row r="982" spans="1:6">
      <c r="A982" s="49"/>
      <c r="D982" t="str">
        <f>IFERROR(XLOOKUP(C982,'Master Barang'!$A:$A,'Master Barang'!$B:$B,""),"")</f>
        <v/>
      </c>
      <c r="E982" s="52"/>
      <c r="F982" t="str">
        <f>IFERROR(XLOOKUP(C982,'Master Barang'!$A:$A,'Master Barang'!$D:$D,""),"")</f>
        <v/>
      </c>
    </row>
    <row r="983" spans="1:6">
      <c r="A983" s="49"/>
      <c r="D983" t="str">
        <f>IFERROR(XLOOKUP(C983,'Master Barang'!$A:$A,'Master Barang'!$B:$B,""),"")</f>
        <v/>
      </c>
      <c r="E983" s="52"/>
      <c r="F983" t="str">
        <f>IFERROR(XLOOKUP(C983,'Master Barang'!$A:$A,'Master Barang'!$D:$D,""),"")</f>
        <v/>
      </c>
    </row>
    <row r="984" spans="1:6">
      <c r="A984" s="49"/>
      <c r="D984" t="str">
        <f>IFERROR(XLOOKUP(C984,'Master Barang'!$A:$A,'Master Barang'!$B:$B,""),"")</f>
        <v/>
      </c>
      <c r="E984" s="52"/>
      <c r="F984" t="str">
        <f>IFERROR(XLOOKUP(C984,'Master Barang'!$A:$A,'Master Barang'!$D:$D,""),"")</f>
        <v/>
      </c>
    </row>
    <row r="985" spans="1:6">
      <c r="A985" s="49"/>
      <c r="D985" t="str">
        <f>IFERROR(XLOOKUP(C985,'Master Barang'!$A:$A,'Master Barang'!$B:$B,""),"")</f>
        <v/>
      </c>
      <c r="E985" s="52"/>
      <c r="F985" t="str">
        <f>IFERROR(XLOOKUP(C985,'Master Barang'!$A:$A,'Master Barang'!$D:$D,""),"")</f>
        <v/>
      </c>
    </row>
    <row r="986" spans="1:6">
      <c r="A986" s="49"/>
      <c r="D986" t="str">
        <f>IFERROR(XLOOKUP(C986,'Master Barang'!$A:$A,'Master Barang'!$B:$B,""),"")</f>
        <v/>
      </c>
      <c r="E986" s="52"/>
      <c r="F986" t="str">
        <f>IFERROR(XLOOKUP(C986,'Master Barang'!$A:$A,'Master Barang'!$D:$D,""),"")</f>
        <v/>
      </c>
    </row>
    <row r="987" spans="1:6">
      <c r="A987" s="49"/>
      <c r="D987" t="str">
        <f>IFERROR(XLOOKUP(C987,'Master Barang'!$A:$A,'Master Barang'!$B:$B,""),"")</f>
        <v/>
      </c>
      <c r="E987" s="52"/>
      <c r="F987" t="str">
        <f>IFERROR(XLOOKUP(C987,'Master Barang'!$A:$A,'Master Barang'!$D:$D,""),"")</f>
        <v/>
      </c>
    </row>
    <row r="988" spans="1:6">
      <c r="A988" s="49"/>
      <c r="D988" t="str">
        <f>IFERROR(XLOOKUP(C988,'Master Barang'!$A:$A,'Master Barang'!$B:$B,""),"")</f>
        <v/>
      </c>
      <c r="E988" s="52"/>
      <c r="F988" t="str">
        <f>IFERROR(XLOOKUP(C988,'Master Barang'!$A:$A,'Master Barang'!$D:$D,""),"")</f>
        <v/>
      </c>
    </row>
    <row r="989" spans="1:6">
      <c r="A989" s="49"/>
      <c r="D989" t="str">
        <f>IFERROR(XLOOKUP(C989,'Master Barang'!$A:$A,'Master Barang'!$B:$B,""),"")</f>
        <v/>
      </c>
      <c r="E989" s="52"/>
      <c r="F989" t="str">
        <f>IFERROR(XLOOKUP(C989,'Master Barang'!$A:$A,'Master Barang'!$D:$D,""),"")</f>
        <v/>
      </c>
    </row>
    <row r="990" spans="1:6">
      <c r="A990" s="49"/>
      <c r="D990" t="str">
        <f>IFERROR(XLOOKUP(C990,'Master Barang'!$A:$A,'Master Barang'!$B:$B,""),"")</f>
        <v/>
      </c>
      <c r="E990" s="52"/>
      <c r="F990" t="str">
        <f>IFERROR(XLOOKUP(C990,'Master Barang'!$A:$A,'Master Barang'!$D:$D,""),"")</f>
        <v/>
      </c>
    </row>
    <row r="991" spans="1:6">
      <c r="A991" s="49"/>
      <c r="D991" t="str">
        <f>IFERROR(XLOOKUP(C991,'Master Barang'!$A:$A,'Master Barang'!$B:$B,""),"")</f>
        <v/>
      </c>
      <c r="E991" s="52"/>
      <c r="F991" t="str">
        <f>IFERROR(XLOOKUP(C991,'Master Barang'!$A:$A,'Master Barang'!$D:$D,""),"")</f>
        <v/>
      </c>
    </row>
    <row r="992" spans="1:6">
      <c r="A992" s="49"/>
      <c r="D992" t="str">
        <f>IFERROR(XLOOKUP(C992,'Master Barang'!$A:$A,'Master Barang'!$B:$B,""),"")</f>
        <v/>
      </c>
      <c r="E992" s="52"/>
      <c r="F992" t="str">
        <f>IFERROR(XLOOKUP(C992,'Master Barang'!$A:$A,'Master Barang'!$D:$D,""),"")</f>
        <v/>
      </c>
    </row>
    <row r="993" spans="1:6">
      <c r="A993" s="49"/>
      <c r="D993" t="str">
        <f>IFERROR(XLOOKUP(C993,'Master Barang'!$A:$A,'Master Barang'!$B:$B,""),"")</f>
        <v/>
      </c>
      <c r="E993" s="52"/>
      <c r="F993" t="str">
        <f>IFERROR(XLOOKUP(C993,'Master Barang'!$A:$A,'Master Barang'!$D:$D,""),"")</f>
        <v/>
      </c>
    </row>
    <row r="994" spans="1:6">
      <c r="A994" s="49"/>
      <c r="D994" t="str">
        <f>IFERROR(XLOOKUP(C994,'Master Barang'!$A:$A,'Master Barang'!$B:$B,""),"")</f>
        <v/>
      </c>
      <c r="E994" s="52"/>
      <c r="F994" t="str">
        <f>IFERROR(XLOOKUP(C994,'Master Barang'!$A:$A,'Master Barang'!$D:$D,""),"")</f>
        <v/>
      </c>
    </row>
    <row r="995" spans="1:6">
      <c r="A995" s="49"/>
      <c r="D995" t="str">
        <f>IFERROR(XLOOKUP(C995,'Master Barang'!$A:$A,'Master Barang'!$B:$B,""),"")</f>
        <v/>
      </c>
      <c r="E995" s="52"/>
      <c r="F995" t="str">
        <f>IFERROR(XLOOKUP(C995,'Master Barang'!$A:$A,'Master Barang'!$D:$D,""),"")</f>
        <v/>
      </c>
    </row>
    <row r="996" spans="1:6">
      <c r="A996" s="49"/>
      <c r="D996" t="str">
        <f>IFERROR(XLOOKUP(C996,'Master Barang'!$A:$A,'Master Barang'!$B:$B,""),"")</f>
        <v/>
      </c>
      <c r="E996" s="52"/>
      <c r="F996" t="str">
        <f>IFERROR(XLOOKUP(C996,'Master Barang'!$A:$A,'Master Barang'!$D:$D,""),"")</f>
        <v/>
      </c>
    </row>
    <row r="997" spans="1:6">
      <c r="A997" s="49"/>
      <c r="D997" t="str">
        <f>IFERROR(XLOOKUP(C997,'Master Barang'!$A:$A,'Master Barang'!$B:$B,""),"")</f>
        <v/>
      </c>
      <c r="E997" s="52"/>
      <c r="F997" t="str">
        <f>IFERROR(XLOOKUP(C997,'Master Barang'!$A:$A,'Master Barang'!$D:$D,""),"")</f>
        <v/>
      </c>
    </row>
    <row r="998" spans="1:6">
      <c r="A998" s="49"/>
      <c r="D998" t="str">
        <f>IFERROR(XLOOKUP(C998,'Master Barang'!$A:$A,'Master Barang'!$B:$B,""),"")</f>
        <v/>
      </c>
      <c r="E998" s="52"/>
      <c r="F998" t="str">
        <f>IFERROR(XLOOKUP(C998,'Master Barang'!$A:$A,'Master Barang'!$D:$D,""),"")</f>
        <v/>
      </c>
    </row>
    <row r="999" spans="1:6">
      <c r="A999" s="49"/>
      <c r="D999" t="str">
        <f>IFERROR(XLOOKUP(C999,'Master Barang'!$A:$A,'Master Barang'!$B:$B,""),"")</f>
        <v/>
      </c>
      <c r="E999" s="52"/>
      <c r="F999" t="str">
        <f>IFERROR(XLOOKUP(C999,'Master Barang'!$A:$A,'Master Barang'!$D:$D,""),"")</f>
        <v/>
      </c>
    </row>
    <row r="1000" spans="1:6">
      <c r="A1000" s="49"/>
      <c r="D1000" t="str">
        <f>IFERROR(XLOOKUP(C1000,'Master Barang'!$A:$A,'Master Barang'!$B:$B,""),"")</f>
        <v/>
      </c>
      <c r="E1000" s="52"/>
      <c r="F1000" t="str">
        <f>IFERROR(XLOOKUP(C1000,'Master Barang'!$A:$A,'Master Barang'!$D:$D,""),"")</f>
        <v/>
      </c>
    </row>
    <row r="1001" spans="1:6">
      <c r="A1001" s="49"/>
      <c r="D1001" t="str">
        <f>IFERROR(XLOOKUP(C1001,'Master Barang'!$A:$A,'Master Barang'!$B:$B,""),"")</f>
        <v/>
      </c>
      <c r="E1001" s="52"/>
      <c r="F1001" t="str">
        <f>IFERROR(XLOOKUP(C1001,'Master Barang'!$A:$A,'Master Barang'!$D:$D,""),"")</f>
        <v/>
      </c>
    </row>
  </sheetData>
  <dataValidations count="1">
    <dataValidation type="list" allowBlank="1" showInputMessage="1" showErrorMessage="1" promptTitle="Pilih Barang" prompt="Pilih Kode Barang. Nama barang akan muncul otomatis di kolom sebelahnya." sqref="C2:C1001">
      <formula1>'Master Barang'!$A$2:$A$500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01"/>
  <sheetViews>
    <sheetView workbookViewId="0">
      <pane ySplit="1" topLeftCell="A2" activePane="bottomLeft" state="frozen"/>
      <selection/>
      <selection pane="bottomLeft" activeCell="D27" sqref="D27"/>
    </sheetView>
  </sheetViews>
  <sheetFormatPr defaultColWidth="9" defaultRowHeight="14" outlineLevelCol="7"/>
  <cols>
    <col min="1" max="1" width="12" customWidth="1"/>
    <col min="2" max="3" width="13" customWidth="1"/>
    <col min="4" max="4" width="30" customWidth="1"/>
    <col min="5" max="5" width="12" customWidth="1"/>
    <col min="6" max="6" width="30" customWidth="1"/>
    <col min="7" max="7" width="18" customWidth="1"/>
    <col min="8" max="8" width="12" customWidth="1"/>
  </cols>
  <sheetData>
    <row r="1" spans="1:8">
      <c r="A1" s="47" t="s">
        <v>23</v>
      </c>
      <c r="B1" s="47" t="s">
        <v>24</v>
      </c>
      <c r="C1" s="47" t="s">
        <v>25</v>
      </c>
      <c r="D1" s="47" t="s">
        <v>10</v>
      </c>
      <c r="E1" s="47" t="s">
        <v>31</v>
      </c>
      <c r="F1" s="47" t="s">
        <v>27</v>
      </c>
      <c r="G1" s="47" t="s">
        <v>32</v>
      </c>
      <c r="H1" s="47" t="s">
        <v>29</v>
      </c>
    </row>
    <row r="2" spans="1:6">
      <c r="A2" s="49"/>
      <c r="D2" t="str">
        <f>IFERROR(XLOOKUP(C2,'Master Barang'!$A:$A,'Master Barang'!$B:$B,""),"")</f>
        <v/>
      </c>
      <c r="E2" s="52"/>
      <c r="F2" t="str">
        <f>IFERROR(XLOOKUP(C2,'Master Barang'!$A:$A,'Master Barang'!$D:$D,""),"")</f>
        <v/>
      </c>
    </row>
    <row r="3" spans="1:6">
      <c r="A3" s="49"/>
      <c r="D3" t="str">
        <f>IFERROR(XLOOKUP(C3,'Master Barang'!$A:$A,'Master Barang'!$B:$B,""),"")</f>
        <v/>
      </c>
      <c r="E3" s="52"/>
      <c r="F3" t="str">
        <f>IFERROR(XLOOKUP(C3,'Master Barang'!$A:$A,'Master Barang'!$D:$D,""),"")</f>
        <v/>
      </c>
    </row>
    <row r="4" spans="1:6">
      <c r="A4" s="49"/>
      <c r="D4" t="str">
        <f>IFERROR(XLOOKUP(C4,'Master Barang'!$A:$A,'Master Barang'!$B:$B,""),"")</f>
        <v/>
      </c>
      <c r="E4" s="52"/>
      <c r="F4" t="str">
        <f>IFERROR(XLOOKUP(C4,'Master Barang'!$A:$A,'Master Barang'!$D:$D,""),"")</f>
        <v/>
      </c>
    </row>
    <row r="5" spans="1:6">
      <c r="A5" s="49"/>
      <c r="D5" t="str">
        <f>IFERROR(XLOOKUP(C5,'Master Barang'!$A:$A,'Master Barang'!$B:$B,""),"")</f>
        <v/>
      </c>
      <c r="E5" s="52"/>
      <c r="F5" t="str">
        <f>IFERROR(XLOOKUP(C5,'Master Barang'!$A:$A,'Master Barang'!$D:$D,""),"")</f>
        <v/>
      </c>
    </row>
    <row r="6" spans="1:6">
      <c r="A6" s="49"/>
      <c r="D6" t="str">
        <f>IFERROR(XLOOKUP(C6,'Master Barang'!$A:$A,'Master Barang'!$B:$B,""),"")</f>
        <v/>
      </c>
      <c r="E6" s="52"/>
      <c r="F6" t="str">
        <f>IFERROR(XLOOKUP(C6,'Master Barang'!$A:$A,'Master Barang'!$D:$D,""),"")</f>
        <v/>
      </c>
    </row>
    <row r="7" spans="1:6">
      <c r="A7" s="49"/>
      <c r="D7" t="str">
        <f>IFERROR(XLOOKUP(C7,'Master Barang'!$A:$A,'Master Barang'!$B:$B,""),"")</f>
        <v/>
      </c>
      <c r="E7" s="52"/>
      <c r="F7" t="str">
        <f>IFERROR(XLOOKUP(C7,'Master Barang'!$A:$A,'Master Barang'!$D:$D,""),"")</f>
        <v/>
      </c>
    </row>
    <row r="8" spans="1:6">
      <c r="A8" s="49"/>
      <c r="D8" t="str">
        <f>IFERROR(XLOOKUP(C8,'Master Barang'!$A:$A,'Master Barang'!$B:$B,""),"")</f>
        <v/>
      </c>
      <c r="E8" s="52"/>
      <c r="F8" t="str">
        <f>IFERROR(XLOOKUP(C8,'Master Barang'!$A:$A,'Master Barang'!$D:$D,""),"")</f>
        <v/>
      </c>
    </row>
    <row r="9" spans="1:6">
      <c r="A9" s="49"/>
      <c r="D9" t="str">
        <f>IFERROR(XLOOKUP(C9,'Master Barang'!$A:$A,'Master Barang'!$B:$B,""),"")</f>
        <v/>
      </c>
      <c r="E9" s="52"/>
      <c r="F9" t="str">
        <f>IFERROR(XLOOKUP(C9,'Master Barang'!$A:$A,'Master Barang'!$D:$D,""),"")</f>
        <v/>
      </c>
    </row>
    <row r="10" spans="1:6">
      <c r="A10" s="49"/>
      <c r="D10" t="str">
        <f>IFERROR(XLOOKUP(C10,'Master Barang'!$A:$A,'Master Barang'!$B:$B,""),"")</f>
        <v/>
      </c>
      <c r="E10" s="52"/>
      <c r="F10" t="str">
        <f>IFERROR(XLOOKUP(C10,'Master Barang'!$A:$A,'Master Barang'!$D:$D,""),"")</f>
        <v/>
      </c>
    </row>
    <row r="11" spans="1:6">
      <c r="A11" s="49"/>
      <c r="D11" t="str">
        <f>IFERROR(XLOOKUP(C11,'Master Barang'!$A:$A,'Master Barang'!$B:$B,""),"")</f>
        <v/>
      </c>
      <c r="E11" s="52"/>
      <c r="F11" t="str">
        <f>IFERROR(XLOOKUP(C11,'Master Barang'!$A:$A,'Master Barang'!$D:$D,""),"")</f>
        <v/>
      </c>
    </row>
    <row r="12" spans="1:6">
      <c r="A12" s="49"/>
      <c r="D12" t="str">
        <f>IFERROR(XLOOKUP(C12,'Master Barang'!$A:$A,'Master Barang'!$B:$B,""),"")</f>
        <v/>
      </c>
      <c r="E12" s="52"/>
      <c r="F12" t="str">
        <f>IFERROR(XLOOKUP(C12,'Master Barang'!$A:$A,'Master Barang'!$D:$D,""),"")</f>
        <v/>
      </c>
    </row>
    <row r="13" spans="1:6">
      <c r="A13" s="49"/>
      <c r="D13" t="str">
        <f>IFERROR(XLOOKUP(C13,'Master Barang'!$A:$A,'Master Barang'!$B:$B,""),"")</f>
        <v/>
      </c>
      <c r="E13" s="52"/>
      <c r="F13" t="str">
        <f>IFERROR(XLOOKUP(C13,'Master Barang'!$A:$A,'Master Barang'!$D:$D,""),"")</f>
        <v/>
      </c>
    </row>
    <row r="14" spans="1:6">
      <c r="A14" s="49"/>
      <c r="D14" t="str">
        <f>IFERROR(XLOOKUP(C14,'Master Barang'!$A:$A,'Master Barang'!$B:$B,""),"")</f>
        <v/>
      </c>
      <c r="E14" s="52"/>
      <c r="F14" t="str">
        <f>IFERROR(XLOOKUP(C14,'Master Barang'!$A:$A,'Master Barang'!$D:$D,""),"")</f>
        <v/>
      </c>
    </row>
    <row r="15" spans="1:6">
      <c r="A15" s="49"/>
      <c r="D15" t="str">
        <f>IFERROR(XLOOKUP(C15,'Master Barang'!$A:$A,'Master Barang'!$B:$B,""),"")</f>
        <v/>
      </c>
      <c r="E15" s="52"/>
      <c r="F15" t="str">
        <f>IFERROR(XLOOKUP(C15,'Master Barang'!$A:$A,'Master Barang'!$D:$D,""),"")</f>
        <v/>
      </c>
    </row>
    <row r="16" spans="1:6">
      <c r="A16" s="49"/>
      <c r="D16" t="str">
        <f>IFERROR(XLOOKUP(C16,'Master Barang'!$A:$A,'Master Barang'!$B:$B,""),"")</f>
        <v/>
      </c>
      <c r="E16" s="52"/>
      <c r="F16" t="str">
        <f>IFERROR(XLOOKUP(C16,'Master Barang'!$A:$A,'Master Barang'!$D:$D,""),"")</f>
        <v/>
      </c>
    </row>
    <row r="17" spans="1:6">
      <c r="A17" s="49"/>
      <c r="D17" t="str">
        <f>IFERROR(XLOOKUP(C17,'Master Barang'!$A:$A,'Master Barang'!$B:$B,""),"")</f>
        <v/>
      </c>
      <c r="E17" s="52"/>
      <c r="F17" t="str">
        <f>IFERROR(XLOOKUP(C17,'Master Barang'!$A:$A,'Master Barang'!$D:$D,""),"")</f>
        <v/>
      </c>
    </row>
    <row r="18" spans="1:6">
      <c r="A18" s="49"/>
      <c r="D18" t="str">
        <f>IFERROR(XLOOKUP(C18,'Master Barang'!$A:$A,'Master Barang'!$B:$B,""),"")</f>
        <v/>
      </c>
      <c r="E18" s="52"/>
      <c r="F18" t="str">
        <f>IFERROR(XLOOKUP(C18,'Master Barang'!$A:$A,'Master Barang'!$D:$D,""),"")</f>
        <v/>
      </c>
    </row>
    <row r="19" spans="1:6">
      <c r="A19" s="49"/>
      <c r="D19" t="str">
        <f>IFERROR(XLOOKUP(C19,'Master Barang'!$A:$A,'Master Barang'!$B:$B,""),"")</f>
        <v/>
      </c>
      <c r="E19" s="52"/>
      <c r="F19" t="str">
        <f>IFERROR(XLOOKUP(C19,'Master Barang'!$A:$A,'Master Barang'!$D:$D,""),"")</f>
        <v/>
      </c>
    </row>
    <row r="20" spans="1:6">
      <c r="A20" s="49"/>
      <c r="D20" t="str">
        <f>IFERROR(XLOOKUP(C20,'Master Barang'!$A:$A,'Master Barang'!$B:$B,""),"")</f>
        <v/>
      </c>
      <c r="E20" s="52"/>
      <c r="F20" t="str">
        <f>IFERROR(XLOOKUP(C20,'Master Barang'!$A:$A,'Master Barang'!$D:$D,""),"")</f>
        <v/>
      </c>
    </row>
    <row r="21" spans="1:6">
      <c r="A21" s="49"/>
      <c r="D21" t="str">
        <f>IFERROR(XLOOKUP(C21,'Master Barang'!$A:$A,'Master Barang'!$B:$B,""),"")</f>
        <v/>
      </c>
      <c r="E21" s="52"/>
      <c r="F21" t="str">
        <f>IFERROR(XLOOKUP(C21,'Master Barang'!$A:$A,'Master Barang'!$D:$D,""),"")</f>
        <v/>
      </c>
    </row>
    <row r="22" spans="1:6">
      <c r="A22" s="49"/>
      <c r="D22" t="str">
        <f>IFERROR(XLOOKUP(C22,'Master Barang'!$A:$A,'Master Barang'!$B:$B,""),"")</f>
        <v/>
      </c>
      <c r="E22" s="52"/>
      <c r="F22" t="str">
        <f>IFERROR(XLOOKUP(C22,'Master Barang'!$A:$A,'Master Barang'!$D:$D,""),"")</f>
        <v/>
      </c>
    </row>
    <row r="23" spans="1:6">
      <c r="A23" s="49"/>
      <c r="D23" t="str">
        <f>IFERROR(XLOOKUP(C23,'Master Barang'!$A:$A,'Master Barang'!$B:$B,""),"")</f>
        <v/>
      </c>
      <c r="E23" s="52"/>
      <c r="F23" t="str">
        <f>IFERROR(XLOOKUP(C23,'Master Barang'!$A:$A,'Master Barang'!$D:$D,""),"")</f>
        <v/>
      </c>
    </row>
    <row r="24" spans="1:6">
      <c r="A24" s="49"/>
      <c r="D24" t="str">
        <f>IFERROR(XLOOKUP(C24,'Master Barang'!$A:$A,'Master Barang'!$B:$B,""),"")</f>
        <v/>
      </c>
      <c r="E24" s="52"/>
      <c r="F24" t="str">
        <f>IFERROR(XLOOKUP(C24,'Master Barang'!$A:$A,'Master Barang'!$D:$D,""),"")</f>
        <v/>
      </c>
    </row>
    <row r="25" spans="1:6">
      <c r="A25" s="49"/>
      <c r="D25" t="str">
        <f>IFERROR(XLOOKUP(C25,'Master Barang'!$A:$A,'Master Barang'!$B:$B,""),"")</f>
        <v/>
      </c>
      <c r="E25" s="52"/>
      <c r="F25" t="str">
        <f>IFERROR(XLOOKUP(C25,'Master Barang'!$A:$A,'Master Barang'!$D:$D,""),"")</f>
        <v/>
      </c>
    </row>
    <row r="26" spans="1:6">
      <c r="A26" s="49"/>
      <c r="D26" t="str">
        <f>IFERROR(XLOOKUP(C26,'Master Barang'!$A:$A,'Master Barang'!$B:$B,""),"")</f>
        <v/>
      </c>
      <c r="E26" s="52"/>
      <c r="F26" t="str">
        <f>IFERROR(XLOOKUP(C26,'Master Barang'!$A:$A,'Master Barang'!$D:$D,""),"")</f>
        <v/>
      </c>
    </row>
    <row r="27" spans="1:6">
      <c r="A27" s="49"/>
      <c r="D27" t="str">
        <f>IFERROR(XLOOKUP(C27,'Master Barang'!$A:$A,'Master Barang'!$B:$B,""),"")</f>
        <v/>
      </c>
      <c r="E27" s="52"/>
      <c r="F27" t="str">
        <f>IFERROR(XLOOKUP(C27,'Master Barang'!$A:$A,'Master Barang'!$D:$D,""),"")</f>
        <v/>
      </c>
    </row>
    <row r="28" spans="1:6">
      <c r="A28" s="49"/>
      <c r="D28" t="str">
        <f>IFERROR(XLOOKUP(C28,'Master Barang'!$A:$A,'Master Barang'!$B:$B,""),"")</f>
        <v/>
      </c>
      <c r="E28" s="52"/>
      <c r="F28" t="str">
        <f>IFERROR(XLOOKUP(C28,'Master Barang'!$A:$A,'Master Barang'!$D:$D,""),"")</f>
        <v/>
      </c>
    </row>
    <row r="29" spans="1:6">
      <c r="A29" s="49"/>
      <c r="D29" t="str">
        <f>IFERROR(XLOOKUP(C29,'Master Barang'!$A:$A,'Master Barang'!$B:$B,""),"")</f>
        <v/>
      </c>
      <c r="E29" s="52"/>
      <c r="F29" t="str">
        <f>IFERROR(XLOOKUP(C29,'Master Barang'!$A:$A,'Master Barang'!$D:$D,""),"")</f>
        <v/>
      </c>
    </row>
    <row r="30" spans="1:6">
      <c r="A30" s="49"/>
      <c r="D30" t="str">
        <f>IFERROR(XLOOKUP(C30,'Master Barang'!$A:$A,'Master Barang'!$B:$B,""),"")</f>
        <v/>
      </c>
      <c r="E30" s="52"/>
      <c r="F30" t="str">
        <f>IFERROR(XLOOKUP(C30,'Master Barang'!$A:$A,'Master Barang'!$D:$D,""),"")</f>
        <v/>
      </c>
    </row>
    <row r="31" spans="1:6">
      <c r="A31" s="49"/>
      <c r="D31" t="str">
        <f>IFERROR(XLOOKUP(C31,'Master Barang'!$A:$A,'Master Barang'!$B:$B,""),"")</f>
        <v/>
      </c>
      <c r="E31" s="52"/>
      <c r="F31" t="str">
        <f>IFERROR(XLOOKUP(C31,'Master Barang'!$A:$A,'Master Barang'!$D:$D,""),"")</f>
        <v/>
      </c>
    </row>
    <row r="32" spans="1:6">
      <c r="A32" s="49"/>
      <c r="D32" t="str">
        <f>IFERROR(XLOOKUP(C32,'Master Barang'!$A:$A,'Master Barang'!$B:$B,""),"")</f>
        <v/>
      </c>
      <c r="E32" s="52"/>
      <c r="F32" t="str">
        <f>IFERROR(XLOOKUP(C32,'Master Barang'!$A:$A,'Master Barang'!$D:$D,""),"")</f>
        <v/>
      </c>
    </row>
    <row r="33" spans="1:6">
      <c r="A33" s="49"/>
      <c r="D33" t="str">
        <f>IFERROR(XLOOKUP(C33,'Master Barang'!$A:$A,'Master Barang'!$B:$B,""),"")</f>
        <v/>
      </c>
      <c r="E33" s="52"/>
      <c r="F33" t="str">
        <f>IFERROR(XLOOKUP(C33,'Master Barang'!$A:$A,'Master Barang'!$D:$D,""),"")</f>
        <v/>
      </c>
    </row>
    <row r="34" spans="1:6">
      <c r="A34" s="49"/>
      <c r="D34" t="str">
        <f>IFERROR(XLOOKUP(C34,'Master Barang'!$A:$A,'Master Barang'!$B:$B,""),"")</f>
        <v/>
      </c>
      <c r="E34" s="52"/>
      <c r="F34" t="str">
        <f>IFERROR(XLOOKUP(C34,'Master Barang'!$A:$A,'Master Barang'!$D:$D,""),"")</f>
        <v/>
      </c>
    </row>
    <row r="35" spans="1:6">
      <c r="A35" s="49"/>
      <c r="D35" t="str">
        <f>IFERROR(XLOOKUP(C35,'Master Barang'!$A:$A,'Master Barang'!$B:$B,""),"")</f>
        <v/>
      </c>
      <c r="E35" s="52"/>
      <c r="F35" t="str">
        <f>IFERROR(XLOOKUP(C35,'Master Barang'!$A:$A,'Master Barang'!$D:$D,""),"")</f>
        <v/>
      </c>
    </row>
    <row r="36" spans="1:6">
      <c r="A36" s="49"/>
      <c r="D36" t="str">
        <f>IFERROR(XLOOKUP(C36,'Master Barang'!$A:$A,'Master Barang'!$B:$B,""),"")</f>
        <v/>
      </c>
      <c r="E36" s="52"/>
      <c r="F36" t="str">
        <f>IFERROR(XLOOKUP(C36,'Master Barang'!$A:$A,'Master Barang'!$D:$D,""),"")</f>
        <v/>
      </c>
    </row>
    <row r="37" spans="1:6">
      <c r="A37" s="49"/>
      <c r="D37" t="str">
        <f>IFERROR(XLOOKUP(C37,'Master Barang'!$A:$A,'Master Barang'!$B:$B,""),"")</f>
        <v/>
      </c>
      <c r="E37" s="52"/>
      <c r="F37" t="str">
        <f>IFERROR(XLOOKUP(C37,'Master Barang'!$A:$A,'Master Barang'!$D:$D,""),"")</f>
        <v/>
      </c>
    </row>
    <row r="38" spans="1:6">
      <c r="A38" s="49"/>
      <c r="D38" t="str">
        <f>IFERROR(XLOOKUP(C38,'Master Barang'!$A:$A,'Master Barang'!$B:$B,""),"")</f>
        <v/>
      </c>
      <c r="E38" s="52"/>
      <c r="F38" t="str">
        <f>IFERROR(XLOOKUP(C38,'Master Barang'!$A:$A,'Master Barang'!$D:$D,""),"")</f>
        <v/>
      </c>
    </row>
    <row r="39" spans="1:6">
      <c r="A39" s="49"/>
      <c r="D39" t="str">
        <f>IFERROR(XLOOKUP(C39,'Master Barang'!$A:$A,'Master Barang'!$B:$B,""),"")</f>
        <v/>
      </c>
      <c r="E39" s="52"/>
      <c r="F39" t="str">
        <f>IFERROR(XLOOKUP(C39,'Master Barang'!$A:$A,'Master Barang'!$D:$D,""),"")</f>
        <v/>
      </c>
    </row>
    <row r="40" spans="1:6">
      <c r="A40" s="49"/>
      <c r="D40" t="str">
        <f>IFERROR(XLOOKUP(C40,'Master Barang'!$A:$A,'Master Barang'!$B:$B,""),"")</f>
        <v/>
      </c>
      <c r="E40" s="52"/>
      <c r="F40" t="str">
        <f>IFERROR(XLOOKUP(C40,'Master Barang'!$A:$A,'Master Barang'!$D:$D,""),"")</f>
        <v/>
      </c>
    </row>
    <row r="41" spans="1:6">
      <c r="A41" s="49"/>
      <c r="D41" t="str">
        <f>IFERROR(XLOOKUP(C41,'Master Barang'!$A:$A,'Master Barang'!$B:$B,""),"")</f>
        <v/>
      </c>
      <c r="E41" s="52"/>
      <c r="F41" t="str">
        <f>IFERROR(XLOOKUP(C41,'Master Barang'!$A:$A,'Master Barang'!$D:$D,""),"")</f>
        <v/>
      </c>
    </row>
    <row r="42" spans="1:6">
      <c r="A42" s="49"/>
      <c r="D42" t="str">
        <f>IFERROR(XLOOKUP(C42,'Master Barang'!$A:$A,'Master Barang'!$B:$B,""),"")</f>
        <v/>
      </c>
      <c r="E42" s="52"/>
      <c r="F42" t="str">
        <f>IFERROR(XLOOKUP(C42,'Master Barang'!$A:$A,'Master Barang'!$D:$D,""),"")</f>
        <v/>
      </c>
    </row>
    <row r="43" spans="1:6">
      <c r="A43" s="49"/>
      <c r="D43" t="str">
        <f>IFERROR(XLOOKUP(C43,'Master Barang'!$A:$A,'Master Barang'!$B:$B,""),"")</f>
        <v/>
      </c>
      <c r="E43" s="52"/>
      <c r="F43" t="str">
        <f>IFERROR(XLOOKUP(C43,'Master Barang'!$A:$A,'Master Barang'!$D:$D,""),"")</f>
        <v/>
      </c>
    </row>
    <row r="44" spans="1:6">
      <c r="A44" s="49"/>
      <c r="D44" t="str">
        <f>IFERROR(XLOOKUP(C44,'Master Barang'!$A:$A,'Master Barang'!$B:$B,""),"")</f>
        <v/>
      </c>
      <c r="E44" s="52"/>
      <c r="F44" t="str">
        <f>IFERROR(XLOOKUP(C44,'Master Barang'!$A:$A,'Master Barang'!$D:$D,""),"")</f>
        <v/>
      </c>
    </row>
    <row r="45" spans="1:6">
      <c r="A45" s="49"/>
      <c r="D45" t="str">
        <f>IFERROR(XLOOKUP(C45,'Master Barang'!$A:$A,'Master Barang'!$B:$B,""),"")</f>
        <v/>
      </c>
      <c r="E45" s="52"/>
      <c r="F45" t="str">
        <f>IFERROR(XLOOKUP(C45,'Master Barang'!$A:$A,'Master Barang'!$D:$D,""),"")</f>
        <v/>
      </c>
    </row>
    <row r="46" spans="1:6">
      <c r="A46" s="49"/>
      <c r="D46" t="str">
        <f>IFERROR(XLOOKUP(C46,'Master Barang'!$A:$A,'Master Barang'!$B:$B,""),"")</f>
        <v/>
      </c>
      <c r="E46" s="52"/>
      <c r="F46" t="str">
        <f>IFERROR(XLOOKUP(C46,'Master Barang'!$A:$A,'Master Barang'!$D:$D,""),"")</f>
        <v/>
      </c>
    </row>
    <row r="47" spans="1:6">
      <c r="A47" s="49"/>
      <c r="D47" t="str">
        <f>IFERROR(XLOOKUP(C47,'Master Barang'!$A:$A,'Master Barang'!$B:$B,""),"")</f>
        <v/>
      </c>
      <c r="E47" s="52"/>
      <c r="F47" t="str">
        <f>IFERROR(XLOOKUP(C47,'Master Barang'!$A:$A,'Master Barang'!$D:$D,""),"")</f>
        <v/>
      </c>
    </row>
    <row r="48" spans="1:6">
      <c r="A48" s="49"/>
      <c r="D48" t="str">
        <f>IFERROR(XLOOKUP(C48,'Master Barang'!$A:$A,'Master Barang'!$B:$B,""),"")</f>
        <v/>
      </c>
      <c r="E48" s="52"/>
      <c r="F48" t="str">
        <f>IFERROR(XLOOKUP(C48,'Master Barang'!$A:$A,'Master Barang'!$D:$D,""),"")</f>
        <v/>
      </c>
    </row>
    <row r="49" spans="1:6">
      <c r="A49" s="49"/>
      <c r="D49" t="str">
        <f>IFERROR(XLOOKUP(C49,'Master Barang'!$A:$A,'Master Barang'!$B:$B,""),"")</f>
        <v/>
      </c>
      <c r="E49" s="52"/>
      <c r="F49" t="str">
        <f>IFERROR(XLOOKUP(C49,'Master Barang'!$A:$A,'Master Barang'!$D:$D,""),"")</f>
        <v/>
      </c>
    </row>
    <row r="50" spans="1:6">
      <c r="A50" s="49"/>
      <c r="D50" t="str">
        <f>IFERROR(XLOOKUP(C50,'Master Barang'!$A:$A,'Master Barang'!$B:$B,""),"")</f>
        <v/>
      </c>
      <c r="E50" s="52"/>
      <c r="F50" t="str">
        <f>IFERROR(XLOOKUP(C50,'Master Barang'!$A:$A,'Master Barang'!$D:$D,""),"")</f>
        <v/>
      </c>
    </row>
    <row r="51" spans="1:6">
      <c r="A51" s="49"/>
      <c r="D51" t="str">
        <f>IFERROR(XLOOKUP(C51,'Master Barang'!$A:$A,'Master Barang'!$B:$B,""),"")</f>
        <v/>
      </c>
      <c r="E51" s="52"/>
      <c r="F51" t="str">
        <f>IFERROR(XLOOKUP(C51,'Master Barang'!$A:$A,'Master Barang'!$D:$D,""),"")</f>
        <v/>
      </c>
    </row>
    <row r="52" spans="1:6">
      <c r="A52" s="49"/>
      <c r="D52" t="str">
        <f>IFERROR(XLOOKUP(C52,'Master Barang'!$A:$A,'Master Barang'!$B:$B,""),"")</f>
        <v/>
      </c>
      <c r="E52" s="52"/>
      <c r="F52" t="str">
        <f>IFERROR(XLOOKUP(C52,'Master Barang'!$A:$A,'Master Barang'!$D:$D,""),"")</f>
        <v/>
      </c>
    </row>
    <row r="53" spans="1:6">
      <c r="A53" s="49"/>
      <c r="D53" t="str">
        <f>IFERROR(XLOOKUP(C53,'Master Barang'!$A:$A,'Master Barang'!$B:$B,""),"")</f>
        <v/>
      </c>
      <c r="E53" s="52"/>
      <c r="F53" t="str">
        <f>IFERROR(XLOOKUP(C53,'Master Barang'!$A:$A,'Master Barang'!$D:$D,""),"")</f>
        <v/>
      </c>
    </row>
    <row r="54" spans="1:6">
      <c r="A54" s="49"/>
      <c r="D54" t="str">
        <f>IFERROR(XLOOKUP(C54,'Master Barang'!$A:$A,'Master Barang'!$B:$B,""),"")</f>
        <v/>
      </c>
      <c r="E54" s="52"/>
      <c r="F54" t="str">
        <f>IFERROR(XLOOKUP(C54,'Master Barang'!$A:$A,'Master Barang'!$D:$D,""),"")</f>
        <v/>
      </c>
    </row>
    <row r="55" spans="1:6">
      <c r="A55" s="49"/>
      <c r="D55" t="str">
        <f>IFERROR(XLOOKUP(C55,'Master Barang'!$A:$A,'Master Barang'!$B:$B,""),"")</f>
        <v/>
      </c>
      <c r="E55" s="52"/>
      <c r="F55" t="str">
        <f>IFERROR(XLOOKUP(C55,'Master Barang'!$A:$A,'Master Barang'!$D:$D,""),"")</f>
        <v/>
      </c>
    </row>
    <row r="56" spans="1:6">
      <c r="A56" s="49"/>
      <c r="D56" t="str">
        <f>IFERROR(XLOOKUP(C56,'Master Barang'!$A:$A,'Master Barang'!$B:$B,""),"")</f>
        <v/>
      </c>
      <c r="E56" s="52"/>
      <c r="F56" t="str">
        <f>IFERROR(XLOOKUP(C56,'Master Barang'!$A:$A,'Master Barang'!$D:$D,""),"")</f>
        <v/>
      </c>
    </row>
    <row r="57" spans="1:6">
      <c r="A57" s="49"/>
      <c r="D57" t="str">
        <f>IFERROR(XLOOKUP(C57,'Master Barang'!$A:$A,'Master Barang'!$B:$B,""),"")</f>
        <v/>
      </c>
      <c r="E57" s="52"/>
      <c r="F57" t="str">
        <f>IFERROR(XLOOKUP(C57,'Master Barang'!$A:$A,'Master Barang'!$D:$D,""),"")</f>
        <v/>
      </c>
    </row>
    <row r="58" spans="1:6">
      <c r="A58" s="49"/>
      <c r="D58" t="str">
        <f>IFERROR(XLOOKUP(C58,'Master Barang'!$A:$A,'Master Barang'!$B:$B,""),"")</f>
        <v/>
      </c>
      <c r="E58" s="52"/>
      <c r="F58" t="str">
        <f>IFERROR(XLOOKUP(C58,'Master Barang'!$A:$A,'Master Barang'!$D:$D,""),"")</f>
        <v/>
      </c>
    </row>
    <row r="59" spans="1:6">
      <c r="A59" s="49"/>
      <c r="D59" t="str">
        <f>IFERROR(XLOOKUP(C59,'Master Barang'!$A:$A,'Master Barang'!$B:$B,""),"")</f>
        <v/>
      </c>
      <c r="E59" s="52"/>
      <c r="F59" t="str">
        <f>IFERROR(XLOOKUP(C59,'Master Barang'!$A:$A,'Master Barang'!$D:$D,""),"")</f>
        <v/>
      </c>
    </row>
    <row r="60" spans="1:6">
      <c r="A60" s="49"/>
      <c r="D60" t="str">
        <f>IFERROR(XLOOKUP(C60,'Master Barang'!$A:$A,'Master Barang'!$B:$B,""),"")</f>
        <v/>
      </c>
      <c r="E60" s="52"/>
      <c r="F60" t="str">
        <f>IFERROR(XLOOKUP(C60,'Master Barang'!$A:$A,'Master Barang'!$D:$D,""),"")</f>
        <v/>
      </c>
    </row>
    <row r="61" spans="1:6">
      <c r="A61" s="49"/>
      <c r="D61" t="str">
        <f>IFERROR(XLOOKUP(C61,'Master Barang'!$A:$A,'Master Barang'!$B:$B,""),"")</f>
        <v/>
      </c>
      <c r="E61" s="52"/>
      <c r="F61" t="str">
        <f>IFERROR(XLOOKUP(C61,'Master Barang'!$A:$A,'Master Barang'!$D:$D,""),"")</f>
        <v/>
      </c>
    </row>
    <row r="62" spans="1:6">
      <c r="A62" s="49"/>
      <c r="D62" t="str">
        <f>IFERROR(XLOOKUP(C62,'Master Barang'!$A:$A,'Master Barang'!$B:$B,""),"")</f>
        <v/>
      </c>
      <c r="E62" s="52"/>
      <c r="F62" t="str">
        <f>IFERROR(XLOOKUP(C62,'Master Barang'!$A:$A,'Master Barang'!$D:$D,""),"")</f>
        <v/>
      </c>
    </row>
    <row r="63" spans="1:6">
      <c r="A63" s="49"/>
      <c r="D63" t="str">
        <f>IFERROR(XLOOKUP(C63,'Master Barang'!$A:$A,'Master Barang'!$B:$B,""),"")</f>
        <v/>
      </c>
      <c r="E63" s="52"/>
      <c r="F63" t="str">
        <f>IFERROR(XLOOKUP(C63,'Master Barang'!$A:$A,'Master Barang'!$D:$D,""),"")</f>
        <v/>
      </c>
    </row>
    <row r="64" spans="1:6">
      <c r="A64" s="49"/>
      <c r="D64" t="str">
        <f>IFERROR(XLOOKUP(C64,'Master Barang'!$A:$A,'Master Barang'!$B:$B,""),"")</f>
        <v/>
      </c>
      <c r="E64" s="52"/>
      <c r="F64" t="str">
        <f>IFERROR(XLOOKUP(C64,'Master Barang'!$A:$A,'Master Barang'!$D:$D,""),"")</f>
        <v/>
      </c>
    </row>
    <row r="65" spans="1:6">
      <c r="A65" s="49"/>
      <c r="D65" t="str">
        <f>IFERROR(XLOOKUP(C65,'Master Barang'!$A:$A,'Master Barang'!$B:$B,""),"")</f>
        <v/>
      </c>
      <c r="E65" s="52"/>
      <c r="F65" t="str">
        <f>IFERROR(XLOOKUP(C65,'Master Barang'!$A:$A,'Master Barang'!$D:$D,""),"")</f>
        <v/>
      </c>
    </row>
    <row r="66" spans="1:6">
      <c r="A66" s="49"/>
      <c r="D66" t="str">
        <f>IFERROR(XLOOKUP(C66,'Master Barang'!$A:$A,'Master Barang'!$B:$B,""),"")</f>
        <v/>
      </c>
      <c r="E66" s="52"/>
      <c r="F66" t="str">
        <f>IFERROR(XLOOKUP(C66,'Master Barang'!$A:$A,'Master Barang'!$D:$D,""),"")</f>
        <v/>
      </c>
    </row>
    <row r="67" spans="1:6">
      <c r="A67" s="49"/>
      <c r="D67" t="str">
        <f>IFERROR(XLOOKUP(C67,'Master Barang'!$A:$A,'Master Barang'!$B:$B,""),"")</f>
        <v/>
      </c>
      <c r="E67" s="52"/>
      <c r="F67" t="str">
        <f>IFERROR(XLOOKUP(C67,'Master Barang'!$A:$A,'Master Barang'!$D:$D,""),"")</f>
        <v/>
      </c>
    </row>
    <row r="68" spans="1:6">
      <c r="A68" s="49"/>
      <c r="D68" t="str">
        <f>IFERROR(XLOOKUP(C68,'Master Barang'!$A:$A,'Master Barang'!$B:$B,""),"")</f>
        <v/>
      </c>
      <c r="E68" s="52"/>
      <c r="F68" t="str">
        <f>IFERROR(XLOOKUP(C68,'Master Barang'!$A:$A,'Master Barang'!$D:$D,""),"")</f>
        <v/>
      </c>
    </row>
    <row r="69" spans="1:6">
      <c r="A69" s="49"/>
      <c r="D69" t="str">
        <f>IFERROR(XLOOKUP(C69,'Master Barang'!$A:$A,'Master Barang'!$B:$B,""),"")</f>
        <v/>
      </c>
      <c r="E69" s="52"/>
      <c r="F69" t="str">
        <f>IFERROR(XLOOKUP(C69,'Master Barang'!$A:$A,'Master Barang'!$D:$D,""),"")</f>
        <v/>
      </c>
    </row>
    <row r="70" spans="1:6">
      <c r="A70" s="49"/>
      <c r="D70" t="str">
        <f>IFERROR(XLOOKUP(C70,'Master Barang'!$A:$A,'Master Barang'!$B:$B,""),"")</f>
        <v/>
      </c>
      <c r="E70" s="52"/>
      <c r="F70" t="str">
        <f>IFERROR(XLOOKUP(C70,'Master Barang'!$A:$A,'Master Barang'!$D:$D,""),"")</f>
        <v/>
      </c>
    </row>
    <row r="71" spans="1:6">
      <c r="A71" s="49"/>
      <c r="D71" t="str">
        <f>IFERROR(XLOOKUP(C71,'Master Barang'!$A:$A,'Master Barang'!$B:$B,""),"")</f>
        <v/>
      </c>
      <c r="E71" s="52"/>
      <c r="F71" t="str">
        <f>IFERROR(XLOOKUP(C71,'Master Barang'!$A:$A,'Master Barang'!$D:$D,""),"")</f>
        <v/>
      </c>
    </row>
    <row r="72" spans="1:6">
      <c r="A72" s="49"/>
      <c r="D72" t="str">
        <f>IFERROR(XLOOKUP(C72,'Master Barang'!$A:$A,'Master Barang'!$B:$B,""),"")</f>
        <v/>
      </c>
      <c r="E72" s="52"/>
      <c r="F72" t="str">
        <f>IFERROR(XLOOKUP(C72,'Master Barang'!$A:$A,'Master Barang'!$D:$D,""),"")</f>
        <v/>
      </c>
    </row>
    <row r="73" spans="1:6">
      <c r="A73" s="49"/>
      <c r="D73" t="str">
        <f>IFERROR(XLOOKUP(C73,'Master Barang'!$A:$A,'Master Barang'!$B:$B,""),"")</f>
        <v/>
      </c>
      <c r="E73" s="52"/>
      <c r="F73" t="str">
        <f>IFERROR(XLOOKUP(C73,'Master Barang'!$A:$A,'Master Barang'!$D:$D,""),"")</f>
        <v/>
      </c>
    </row>
    <row r="74" spans="1:6">
      <c r="A74" s="49"/>
      <c r="D74" t="str">
        <f>IFERROR(XLOOKUP(C74,'Master Barang'!$A:$A,'Master Barang'!$B:$B,""),"")</f>
        <v/>
      </c>
      <c r="E74" s="52"/>
      <c r="F74" t="str">
        <f>IFERROR(XLOOKUP(C74,'Master Barang'!$A:$A,'Master Barang'!$D:$D,""),"")</f>
        <v/>
      </c>
    </row>
    <row r="75" spans="1:6">
      <c r="A75" s="49"/>
      <c r="D75" t="str">
        <f>IFERROR(XLOOKUP(C75,'Master Barang'!$A:$A,'Master Barang'!$B:$B,""),"")</f>
        <v/>
      </c>
      <c r="E75" s="52"/>
      <c r="F75" t="str">
        <f>IFERROR(XLOOKUP(C75,'Master Barang'!$A:$A,'Master Barang'!$D:$D,""),"")</f>
        <v/>
      </c>
    </row>
    <row r="76" spans="1:6">
      <c r="A76" s="49"/>
      <c r="D76" t="str">
        <f>IFERROR(XLOOKUP(C76,'Master Barang'!$A:$A,'Master Barang'!$B:$B,""),"")</f>
        <v/>
      </c>
      <c r="E76" s="52"/>
      <c r="F76" t="str">
        <f>IFERROR(XLOOKUP(C76,'Master Barang'!$A:$A,'Master Barang'!$D:$D,""),"")</f>
        <v/>
      </c>
    </row>
    <row r="77" spans="1:6">
      <c r="A77" s="49"/>
      <c r="D77" t="str">
        <f>IFERROR(XLOOKUP(C77,'Master Barang'!$A:$A,'Master Barang'!$B:$B,""),"")</f>
        <v/>
      </c>
      <c r="E77" s="52"/>
      <c r="F77" t="str">
        <f>IFERROR(XLOOKUP(C77,'Master Barang'!$A:$A,'Master Barang'!$D:$D,""),"")</f>
        <v/>
      </c>
    </row>
    <row r="78" spans="1:6">
      <c r="A78" s="49"/>
      <c r="D78" t="str">
        <f>IFERROR(XLOOKUP(C78,'Master Barang'!$A:$A,'Master Barang'!$B:$B,""),"")</f>
        <v/>
      </c>
      <c r="E78" s="52"/>
      <c r="F78" t="str">
        <f>IFERROR(XLOOKUP(C78,'Master Barang'!$A:$A,'Master Barang'!$D:$D,""),"")</f>
        <v/>
      </c>
    </row>
    <row r="79" spans="1:6">
      <c r="A79" s="49"/>
      <c r="D79" t="str">
        <f>IFERROR(XLOOKUP(C79,'Master Barang'!$A:$A,'Master Barang'!$B:$B,""),"")</f>
        <v/>
      </c>
      <c r="E79" s="52"/>
      <c r="F79" t="str">
        <f>IFERROR(XLOOKUP(C79,'Master Barang'!$A:$A,'Master Barang'!$D:$D,""),"")</f>
        <v/>
      </c>
    </row>
    <row r="80" spans="1:6">
      <c r="A80" s="49"/>
      <c r="D80" t="str">
        <f>IFERROR(XLOOKUP(C80,'Master Barang'!$A:$A,'Master Barang'!$B:$B,""),"")</f>
        <v/>
      </c>
      <c r="E80" s="52"/>
      <c r="F80" t="str">
        <f>IFERROR(XLOOKUP(C80,'Master Barang'!$A:$A,'Master Barang'!$D:$D,""),"")</f>
        <v/>
      </c>
    </row>
    <row r="81" spans="1:6">
      <c r="A81" s="49"/>
      <c r="D81" t="str">
        <f>IFERROR(XLOOKUP(C81,'Master Barang'!$A:$A,'Master Barang'!$B:$B,""),"")</f>
        <v/>
      </c>
      <c r="E81" s="52"/>
      <c r="F81" t="str">
        <f>IFERROR(XLOOKUP(C81,'Master Barang'!$A:$A,'Master Barang'!$D:$D,""),"")</f>
        <v/>
      </c>
    </row>
    <row r="82" spans="1:6">
      <c r="A82" s="49"/>
      <c r="D82" t="str">
        <f>IFERROR(XLOOKUP(C82,'Master Barang'!$A:$A,'Master Barang'!$B:$B,""),"")</f>
        <v/>
      </c>
      <c r="E82" s="52"/>
      <c r="F82" t="str">
        <f>IFERROR(XLOOKUP(C82,'Master Barang'!$A:$A,'Master Barang'!$D:$D,""),"")</f>
        <v/>
      </c>
    </row>
    <row r="83" spans="1:6">
      <c r="A83" s="49"/>
      <c r="D83" t="str">
        <f>IFERROR(XLOOKUP(C83,'Master Barang'!$A:$A,'Master Barang'!$B:$B,""),"")</f>
        <v/>
      </c>
      <c r="E83" s="52"/>
      <c r="F83" t="str">
        <f>IFERROR(XLOOKUP(C83,'Master Barang'!$A:$A,'Master Barang'!$D:$D,""),"")</f>
        <v/>
      </c>
    </row>
    <row r="84" spans="1:6">
      <c r="A84" s="49"/>
      <c r="D84" t="str">
        <f>IFERROR(XLOOKUP(C84,'Master Barang'!$A:$A,'Master Barang'!$B:$B,""),"")</f>
        <v/>
      </c>
      <c r="E84" s="52"/>
      <c r="F84" t="str">
        <f>IFERROR(XLOOKUP(C84,'Master Barang'!$A:$A,'Master Barang'!$D:$D,""),"")</f>
        <v/>
      </c>
    </row>
    <row r="85" spans="1:6">
      <c r="A85" s="49"/>
      <c r="D85" t="str">
        <f>IFERROR(XLOOKUP(C85,'Master Barang'!$A:$A,'Master Barang'!$B:$B,""),"")</f>
        <v/>
      </c>
      <c r="E85" s="52"/>
      <c r="F85" t="str">
        <f>IFERROR(XLOOKUP(C85,'Master Barang'!$A:$A,'Master Barang'!$D:$D,""),"")</f>
        <v/>
      </c>
    </row>
    <row r="86" spans="1:6">
      <c r="A86" s="49"/>
      <c r="D86" t="str">
        <f>IFERROR(XLOOKUP(C86,'Master Barang'!$A:$A,'Master Barang'!$B:$B,""),"")</f>
        <v/>
      </c>
      <c r="E86" s="52"/>
      <c r="F86" t="str">
        <f>IFERROR(XLOOKUP(C86,'Master Barang'!$A:$A,'Master Barang'!$D:$D,""),"")</f>
        <v/>
      </c>
    </row>
    <row r="87" spans="1:6">
      <c r="A87" s="49"/>
      <c r="D87" t="str">
        <f>IFERROR(XLOOKUP(C87,'Master Barang'!$A:$A,'Master Barang'!$B:$B,""),"")</f>
        <v/>
      </c>
      <c r="E87" s="52"/>
      <c r="F87" t="str">
        <f>IFERROR(XLOOKUP(C87,'Master Barang'!$A:$A,'Master Barang'!$D:$D,""),"")</f>
        <v/>
      </c>
    </row>
    <row r="88" spans="1:6">
      <c r="A88" s="49"/>
      <c r="D88" t="str">
        <f>IFERROR(XLOOKUP(C88,'Master Barang'!$A:$A,'Master Barang'!$B:$B,""),"")</f>
        <v/>
      </c>
      <c r="E88" s="52"/>
      <c r="F88" t="str">
        <f>IFERROR(XLOOKUP(C88,'Master Barang'!$A:$A,'Master Barang'!$D:$D,""),"")</f>
        <v/>
      </c>
    </row>
    <row r="89" spans="1:6">
      <c r="A89" s="49"/>
      <c r="D89" t="str">
        <f>IFERROR(XLOOKUP(C89,'Master Barang'!$A:$A,'Master Barang'!$B:$B,""),"")</f>
        <v/>
      </c>
      <c r="E89" s="52"/>
      <c r="F89" t="str">
        <f>IFERROR(XLOOKUP(C89,'Master Barang'!$A:$A,'Master Barang'!$D:$D,""),"")</f>
        <v/>
      </c>
    </row>
    <row r="90" spans="1:6">
      <c r="A90" s="49"/>
      <c r="D90" t="str">
        <f>IFERROR(XLOOKUP(C90,'Master Barang'!$A:$A,'Master Barang'!$B:$B,""),"")</f>
        <v/>
      </c>
      <c r="E90" s="52"/>
      <c r="F90" t="str">
        <f>IFERROR(XLOOKUP(C90,'Master Barang'!$A:$A,'Master Barang'!$D:$D,""),"")</f>
        <v/>
      </c>
    </row>
    <row r="91" spans="1:6">
      <c r="A91" s="49"/>
      <c r="D91" t="str">
        <f>IFERROR(XLOOKUP(C91,'Master Barang'!$A:$A,'Master Barang'!$B:$B,""),"")</f>
        <v/>
      </c>
      <c r="E91" s="52"/>
      <c r="F91" t="str">
        <f>IFERROR(XLOOKUP(C91,'Master Barang'!$A:$A,'Master Barang'!$D:$D,""),"")</f>
        <v/>
      </c>
    </row>
    <row r="92" spans="1:6">
      <c r="A92" s="49"/>
      <c r="D92" t="str">
        <f>IFERROR(XLOOKUP(C92,'Master Barang'!$A:$A,'Master Barang'!$B:$B,""),"")</f>
        <v/>
      </c>
      <c r="E92" s="52"/>
      <c r="F92" t="str">
        <f>IFERROR(XLOOKUP(C92,'Master Barang'!$A:$A,'Master Barang'!$D:$D,""),"")</f>
        <v/>
      </c>
    </row>
    <row r="93" spans="1:6">
      <c r="A93" s="49"/>
      <c r="D93" t="str">
        <f>IFERROR(XLOOKUP(C93,'Master Barang'!$A:$A,'Master Barang'!$B:$B,""),"")</f>
        <v/>
      </c>
      <c r="E93" s="52"/>
      <c r="F93" t="str">
        <f>IFERROR(XLOOKUP(C93,'Master Barang'!$A:$A,'Master Barang'!$D:$D,""),"")</f>
        <v/>
      </c>
    </row>
    <row r="94" spans="1:6">
      <c r="A94" s="49"/>
      <c r="D94" t="str">
        <f>IFERROR(XLOOKUP(C94,'Master Barang'!$A:$A,'Master Barang'!$B:$B,""),"")</f>
        <v/>
      </c>
      <c r="E94" s="52"/>
      <c r="F94" t="str">
        <f>IFERROR(XLOOKUP(C94,'Master Barang'!$A:$A,'Master Barang'!$D:$D,""),"")</f>
        <v/>
      </c>
    </row>
    <row r="95" spans="1:6">
      <c r="A95" s="49"/>
      <c r="D95" t="str">
        <f>IFERROR(XLOOKUP(C95,'Master Barang'!$A:$A,'Master Barang'!$B:$B,""),"")</f>
        <v/>
      </c>
      <c r="E95" s="52"/>
      <c r="F95" t="str">
        <f>IFERROR(XLOOKUP(C95,'Master Barang'!$A:$A,'Master Barang'!$D:$D,""),"")</f>
        <v/>
      </c>
    </row>
    <row r="96" spans="1:6">
      <c r="A96" s="49"/>
      <c r="D96" t="str">
        <f>IFERROR(XLOOKUP(C96,'Master Barang'!$A:$A,'Master Barang'!$B:$B,""),"")</f>
        <v/>
      </c>
      <c r="E96" s="52"/>
      <c r="F96" t="str">
        <f>IFERROR(XLOOKUP(C96,'Master Barang'!$A:$A,'Master Barang'!$D:$D,""),"")</f>
        <v/>
      </c>
    </row>
    <row r="97" spans="1:6">
      <c r="A97" s="49"/>
      <c r="D97" t="str">
        <f>IFERROR(XLOOKUP(C97,'Master Barang'!$A:$A,'Master Barang'!$B:$B,""),"")</f>
        <v/>
      </c>
      <c r="E97" s="52"/>
      <c r="F97" t="str">
        <f>IFERROR(XLOOKUP(C97,'Master Barang'!$A:$A,'Master Barang'!$D:$D,""),"")</f>
        <v/>
      </c>
    </row>
    <row r="98" spans="1:6">
      <c r="A98" s="49"/>
      <c r="D98" t="str">
        <f>IFERROR(XLOOKUP(C98,'Master Barang'!$A:$A,'Master Barang'!$B:$B,""),"")</f>
        <v/>
      </c>
      <c r="E98" s="52"/>
      <c r="F98" t="str">
        <f>IFERROR(XLOOKUP(C98,'Master Barang'!$A:$A,'Master Barang'!$D:$D,""),"")</f>
        <v/>
      </c>
    </row>
    <row r="99" spans="1:6">
      <c r="A99" s="49"/>
      <c r="D99" t="str">
        <f>IFERROR(XLOOKUP(C99,'Master Barang'!$A:$A,'Master Barang'!$B:$B,""),"")</f>
        <v/>
      </c>
      <c r="E99" s="52"/>
      <c r="F99" t="str">
        <f>IFERROR(XLOOKUP(C99,'Master Barang'!$A:$A,'Master Barang'!$D:$D,""),"")</f>
        <v/>
      </c>
    </row>
    <row r="100" spans="1:6">
      <c r="A100" s="49"/>
      <c r="D100" t="str">
        <f>IFERROR(XLOOKUP(C100,'Master Barang'!$A:$A,'Master Barang'!$B:$B,""),"")</f>
        <v/>
      </c>
      <c r="E100" s="52"/>
      <c r="F100" t="str">
        <f>IFERROR(XLOOKUP(C100,'Master Barang'!$A:$A,'Master Barang'!$D:$D,""),"")</f>
        <v/>
      </c>
    </row>
    <row r="101" spans="1:6">
      <c r="A101" s="49"/>
      <c r="D101" t="str">
        <f>IFERROR(XLOOKUP(C101,'Master Barang'!$A:$A,'Master Barang'!$B:$B,""),"")</f>
        <v/>
      </c>
      <c r="E101" s="52"/>
      <c r="F101" t="str">
        <f>IFERROR(XLOOKUP(C101,'Master Barang'!$A:$A,'Master Barang'!$D:$D,""),"")</f>
        <v/>
      </c>
    </row>
    <row r="102" spans="1:6">
      <c r="A102" s="49"/>
      <c r="D102" t="str">
        <f>IFERROR(XLOOKUP(C102,'Master Barang'!$A:$A,'Master Barang'!$B:$B,""),"")</f>
        <v/>
      </c>
      <c r="E102" s="52"/>
      <c r="F102" t="str">
        <f>IFERROR(XLOOKUP(C102,'Master Barang'!$A:$A,'Master Barang'!$D:$D,""),"")</f>
        <v/>
      </c>
    </row>
    <row r="103" spans="1:6">
      <c r="A103" s="49"/>
      <c r="D103" t="str">
        <f>IFERROR(XLOOKUP(C103,'Master Barang'!$A:$A,'Master Barang'!$B:$B,""),"")</f>
        <v/>
      </c>
      <c r="E103" s="52"/>
      <c r="F103" t="str">
        <f>IFERROR(XLOOKUP(C103,'Master Barang'!$A:$A,'Master Barang'!$D:$D,""),"")</f>
        <v/>
      </c>
    </row>
    <row r="104" spans="1:6">
      <c r="A104" s="49"/>
      <c r="D104" t="str">
        <f>IFERROR(XLOOKUP(C104,'Master Barang'!$A:$A,'Master Barang'!$B:$B,""),"")</f>
        <v/>
      </c>
      <c r="E104" s="52"/>
      <c r="F104" t="str">
        <f>IFERROR(XLOOKUP(C104,'Master Barang'!$A:$A,'Master Barang'!$D:$D,""),"")</f>
        <v/>
      </c>
    </row>
    <row r="105" spans="1:6">
      <c r="A105" s="49"/>
      <c r="D105" t="str">
        <f>IFERROR(XLOOKUP(C105,'Master Barang'!$A:$A,'Master Barang'!$B:$B,""),"")</f>
        <v/>
      </c>
      <c r="E105" s="52"/>
      <c r="F105" t="str">
        <f>IFERROR(XLOOKUP(C105,'Master Barang'!$A:$A,'Master Barang'!$D:$D,""),"")</f>
        <v/>
      </c>
    </row>
    <row r="106" spans="1:6">
      <c r="A106" s="49"/>
      <c r="D106" t="str">
        <f>IFERROR(XLOOKUP(C106,'Master Barang'!$A:$A,'Master Barang'!$B:$B,""),"")</f>
        <v/>
      </c>
      <c r="E106" s="52"/>
      <c r="F106" t="str">
        <f>IFERROR(XLOOKUP(C106,'Master Barang'!$A:$A,'Master Barang'!$D:$D,""),"")</f>
        <v/>
      </c>
    </row>
    <row r="107" spans="1:6">
      <c r="A107" s="49"/>
      <c r="D107" t="str">
        <f>IFERROR(XLOOKUP(C107,'Master Barang'!$A:$A,'Master Barang'!$B:$B,""),"")</f>
        <v/>
      </c>
      <c r="E107" s="52"/>
      <c r="F107" t="str">
        <f>IFERROR(XLOOKUP(C107,'Master Barang'!$A:$A,'Master Barang'!$D:$D,""),"")</f>
        <v/>
      </c>
    </row>
    <row r="108" spans="1:6">
      <c r="A108" s="49"/>
      <c r="D108" t="str">
        <f>IFERROR(XLOOKUP(C108,'Master Barang'!$A:$A,'Master Barang'!$B:$B,""),"")</f>
        <v/>
      </c>
      <c r="E108" s="52"/>
      <c r="F108" t="str">
        <f>IFERROR(XLOOKUP(C108,'Master Barang'!$A:$A,'Master Barang'!$D:$D,""),"")</f>
        <v/>
      </c>
    </row>
    <row r="109" spans="1:6">
      <c r="A109" s="49"/>
      <c r="D109" t="str">
        <f>IFERROR(XLOOKUP(C109,'Master Barang'!$A:$A,'Master Barang'!$B:$B,""),"")</f>
        <v/>
      </c>
      <c r="E109" s="52"/>
      <c r="F109" t="str">
        <f>IFERROR(XLOOKUP(C109,'Master Barang'!$A:$A,'Master Barang'!$D:$D,""),"")</f>
        <v/>
      </c>
    </row>
    <row r="110" spans="1:6">
      <c r="A110" s="49"/>
      <c r="D110" t="str">
        <f>IFERROR(XLOOKUP(C110,'Master Barang'!$A:$A,'Master Barang'!$B:$B,""),"")</f>
        <v/>
      </c>
      <c r="E110" s="52"/>
      <c r="F110" t="str">
        <f>IFERROR(XLOOKUP(C110,'Master Barang'!$A:$A,'Master Barang'!$D:$D,""),"")</f>
        <v/>
      </c>
    </row>
    <row r="111" spans="1:6">
      <c r="A111" s="49"/>
      <c r="D111" t="str">
        <f>IFERROR(XLOOKUP(C111,'Master Barang'!$A:$A,'Master Barang'!$B:$B,""),"")</f>
        <v/>
      </c>
      <c r="E111" s="52"/>
      <c r="F111" t="str">
        <f>IFERROR(XLOOKUP(C111,'Master Barang'!$A:$A,'Master Barang'!$D:$D,""),"")</f>
        <v/>
      </c>
    </row>
    <row r="112" spans="1:6">
      <c r="A112" s="49"/>
      <c r="D112" t="str">
        <f>IFERROR(XLOOKUP(C112,'Master Barang'!$A:$A,'Master Barang'!$B:$B,""),"")</f>
        <v/>
      </c>
      <c r="E112" s="52"/>
      <c r="F112" t="str">
        <f>IFERROR(XLOOKUP(C112,'Master Barang'!$A:$A,'Master Barang'!$D:$D,""),"")</f>
        <v/>
      </c>
    </row>
    <row r="113" spans="1:6">
      <c r="A113" s="49"/>
      <c r="D113" t="str">
        <f>IFERROR(XLOOKUP(C113,'Master Barang'!$A:$A,'Master Barang'!$B:$B,""),"")</f>
        <v/>
      </c>
      <c r="E113" s="52"/>
      <c r="F113" t="str">
        <f>IFERROR(XLOOKUP(C113,'Master Barang'!$A:$A,'Master Barang'!$D:$D,""),"")</f>
        <v/>
      </c>
    </row>
    <row r="114" spans="1:6">
      <c r="A114" s="49"/>
      <c r="D114" t="str">
        <f>IFERROR(XLOOKUP(C114,'Master Barang'!$A:$A,'Master Barang'!$B:$B,""),"")</f>
        <v/>
      </c>
      <c r="E114" s="52"/>
      <c r="F114" t="str">
        <f>IFERROR(XLOOKUP(C114,'Master Barang'!$A:$A,'Master Barang'!$D:$D,""),"")</f>
        <v/>
      </c>
    </row>
    <row r="115" spans="1:6">
      <c r="A115" s="49"/>
      <c r="D115" t="str">
        <f>IFERROR(XLOOKUP(C115,'Master Barang'!$A:$A,'Master Barang'!$B:$B,""),"")</f>
        <v/>
      </c>
      <c r="E115" s="52"/>
      <c r="F115" t="str">
        <f>IFERROR(XLOOKUP(C115,'Master Barang'!$A:$A,'Master Barang'!$D:$D,""),"")</f>
        <v/>
      </c>
    </row>
    <row r="116" spans="1:6">
      <c r="A116" s="49"/>
      <c r="D116" t="str">
        <f>IFERROR(XLOOKUP(C116,'Master Barang'!$A:$A,'Master Barang'!$B:$B,""),"")</f>
        <v/>
      </c>
      <c r="E116" s="52"/>
      <c r="F116" t="str">
        <f>IFERROR(XLOOKUP(C116,'Master Barang'!$A:$A,'Master Barang'!$D:$D,""),"")</f>
        <v/>
      </c>
    </row>
    <row r="117" spans="1:6">
      <c r="A117" s="49"/>
      <c r="D117" t="str">
        <f>IFERROR(XLOOKUP(C117,'Master Barang'!$A:$A,'Master Barang'!$B:$B,""),"")</f>
        <v/>
      </c>
      <c r="E117" s="52"/>
      <c r="F117" t="str">
        <f>IFERROR(XLOOKUP(C117,'Master Barang'!$A:$A,'Master Barang'!$D:$D,""),"")</f>
        <v/>
      </c>
    </row>
    <row r="118" spans="1:6">
      <c r="A118" s="49"/>
      <c r="D118" t="str">
        <f>IFERROR(XLOOKUP(C118,'Master Barang'!$A:$A,'Master Barang'!$B:$B,""),"")</f>
        <v/>
      </c>
      <c r="E118" s="52"/>
      <c r="F118" t="str">
        <f>IFERROR(XLOOKUP(C118,'Master Barang'!$A:$A,'Master Barang'!$D:$D,""),"")</f>
        <v/>
      </c>
    </row>
    <row r="119" spans="1:6">
      <c r="A119" s="49"/>
      <c r="D119" t="str">
        <f>IFERROR(XLOOKUP(C119,'Master Barang'!$A:$A,'Master Barang'!$B:$B,""),"")</f>
        <v/>
      </c>
      <c r="E119" s="52"/>
      <c r="F119" t="str">
        <f>IFERROR(XLOOKUP(C119,'Master Barang'!$A:$A,'Master Barang'!$D:$D,""),"")</f>
        <v/>
      </c>
    </row>
    <row r="120" spans="1:6">
      <c r="A120" s="49"/>
      <c r="D120" t="str">
        <f>IFERROR(XLOOKUP(C120,'Master Barang'!$A:$A,'Master Barang'!$B:$B,""),"")</f>
        <v/>
      </c>
      <c r="E120" s="52"/>
      <c r="F120" t="str">
        <f>IFERROR(XLOOKUP(C120,'Master Barang'!$A:$A,'Master Barang'!$D:$D,""),"")</f>
        <v/>
      </c>
    </row>
    <row r="121" spans="1:6">
      <c r="A121" s="49"/>
      <c r="D121" t="str">
        <f>IFERROR(XLOOKUP(C121,'Master Barang'!$A:$A,'Master Barang'!$B:$B,""),"")</f>
        <v/>
      </c>
      <c r="E121" s="52"/>
      <c r="F121" t="str">
        <f>IFERROR(XLOOKUP(C121,'Master Barang'!$A:$A,'Master Barang'!$D:$D,""),"")</f>
        <v/>
      </c>
    </row>
    <row r="122" spans="1:6">
      <c r="A122" s="49"/>
      <c r="D122" t="str">
        <f>IFERROR(XLOOKUP(C122,'Master Barang'!$A:$A,'Master Barang'!$B:$B,""),"")</f>
        <v/>
      </c>
      <c r="E122" s="52"/>
      <c r="F122" t="str">
        <f>IFERROR(XLOOKUP(C122,'Master Barang'!$A:$A,'Master Barang'!$D:$D,""),"")</f>
        <v/>
      </c>
    </row>
    <row r="123" spans="1:6">
      <c r="A123" s="49"/>
      <c r="D123" t="str">
        <f>IFERROR(XLOOKUP(C123,'Master Barang'!$A:$A,'Master Barang'!$B:$B,""),"")</f>
        <v/>
      </c>
      <c r="E123" s="52"/>
      <c r="F123" t="str">
        <f>IFERROR(XLOOKUP(C123,'Master Barang'!$A:$A,'Master Barang'!$D:$D,""),"")</f>
        <v/>
      </c>
    </row>
    <row r="124" spans="1:6">
      <c r="A124" s="49"/>
      <c r="D124" t="str">
        <f>IFERROR(XLOOKUP(C124,'Master Barang'!$A:$A,'Master Barang'!$B:$B,""),"")</f>
        <v/>
      </c>
      <c r="E124" s="52"/>
      <c r="F124" t="str">
        <f>IFERROR(XLOOKUP(C124,'Master Barang'!$A:$A,'Master Barang'!$D:$D,""),"")</f>
        <v/>
      </c>
    </row>
    <row r="125" spans="1:6">
      <c r="A125" s="49"/>
      <c r="D125" t="str">
        <f>IFERROR(XLOOKUP(C125,'Master Barang'!$A:$A,'Master Barang'!$B:$B,""),"")</f>
        <v/>
      </c>
      <c r="E125" s="52"/>
      <c r="F125" t="str">
        <f>IFERROR(XLOOKUP(C125,'Master Barang'!$A:$A,'Master Barang'!$D:$D,""),"")</f>
        <v/>
      </c>
    </row>
    <row r="126" spans="1:6">
      <c r="A126" s="49"/>
      <c r="D126" t="str">
        <f>IFERROR(XLOOKUP(C126,'Master Barang'!$A:$A,'Master Barang'!$B:$B,""),"")</f>
        <v/>
      </c>
      <c r="E126" s="52"/>
      <c r="F126" t="str">
        <f>IFERROR(XLOOKUP(C126,'Master Barang'!$A:$A,'Master Barang'!$D:$D,""),"")</f>
        <v/>
      </c>
    </row>
    <row r="127" spans="1:6">
      <c r="A127" s="49"/>
      <c r="D127" t="str">
        <f>IFERROR(XLOOKUP(C127,'Master Barang'!$A:$A,'Master Barang'!$B:$B,""),"")</f>
        <v/>
      </c>
      <c r="E127" s="52"/>
      <c r="F127" t="str">
        <f>IFERROR(XLOOKUP(C127,'Master Barang'!$A:$A,'Master Barang'!$D:$D,""),"")</f>
        <v/>
      </c>
    </row>
    <row r="128" spans="1:6">
      <c r="A128" s="49"/>
      <c r="D128" t="str">
        <f>IFERROR(XLOOKUP(C128,'Master Barang'!$A:$A,'Master Barang'!$B:$B,""),"")</f>
        <v/>
      </c>
      <c r="E128" s="52"/>
      <c r="F128" t="str">
        <f>IFERROR(XLOOKUP(C128,'Master Barang'!$A:$A,'Master Barang'!$D:$D,""),"")</f>
        <v/>
      </c>
    </row>
    <row r="129" spans="1:6">
      <c r="A129" s="49"/>
      <c r="D129" t="str">
        <f>IFERROR(XLOOKUP(C129,'Master Barang'!$A:$A,'Master Barang'!$B:$B,""),"")</f>
        <v/>
      </c>
      <c r="E129" s="52"/>
      <c r="F129" t="str">
        <f>IFERROR(XLOOKUP(C129,'Master Barang'!$A:$A,'Master Barang'!$D:$D,""),"")</f>
        <v/>
      </c>
    </row>
    <row r="130" spans="1:6">
      <c r="A130" s="49"/>
      <c r="D130" t="str">
        <f>IFERROR(XLOOKUP(C130,'Master Barang'!$A:$A,'Master Barang'!$B:$B,""),"")</f>
        <v/>
      </c>
      <c r="E130" s="52"/>
      <c r="F130" t="str">
        <f>IFERROR(XLOOKUP(C130,'Master Barang'!$A:$A,'Master Barang'!$D:$D,""),"")</f>
        <v/>
      </c>
    </row>
    <row r="131" spans="1:6">
      <c r="A131" s="49"/>
      <c r="D131" t="str">
        <f>IFERROR(XLOOKUP(C131,'Master Barang'!$A:$A,'Master Barang'!$B:$B,""),"")</f>
        <v/>
      </c>
      <c r="E131" s="52"/>
      <c r="F131" t="str">
        <f>IFERROR(XLOOKUP(C131,'Master Barang'!$A:$A,'Master Barang'!$D:$D,""),"")</f>
        <v/>
      </c>
    </row>
    <row r="132" spans="1:6">
      <c r="A132" s="49"/>
      <c r="D132" t="str">
        <f>IFERROR(XLOOKUP(C132,'Master Barang'!$A:$A,'Master Barang'!$B:$B,""),"")</f>
        <v/>
      </c>
      <c r="E132" s="52"/>
      <c r="F132" t="str">
        <f>IFERROR(XLOOKUP(C132,'Master Barang'!$A:$A,'Master Barang'!$D:$D,""),"")</f>
        <v/>
      </c>
    </row>
    <row r="133" spans="1:6">
      <c r="A133" s="49"/>
      <c r="D133" t="str">
        <f>IFERROR(XLOOKUP(C133,'Master Barang'!$A:$A,'Master Barang'!$B:$B,""),"")</f>
        <v/>
      </c>
      <c r="E133" s="52"/>
      <c r="F133" t="str">
        <f>IFERROR(XLOOKUP(C133,'Master Barang'!$A:$A,'Master Barang'!$D:$D,""),"")</f>
        <v/>
      </c>
    </row>
    <row r="134" spans="1:6">
      <c r="A134" s="49"/>
      <c r="D134" t="str">
        <f>IFERROR(XLOOKUP(C134,'Master Barang'!$A:$A,'Master Barang'!$B:$B,""),"")</f>
        <v/>
      </c>
      <c r="E134" s="52"/>
      <c r="F134" t="str">
        <f>IFERROR(XLOOKUP(C134,'Master Barang'!$A:$A,'Master Barang'!$D:$D,""),"")</f>
        <v/>
      </c>
    </row>
    <row r="135" spans="1:6">
      <c r="A135" s="49"/>
      <c r="D135" t="str">
        <f>IFERROR(XLOOKUP(C135,'Master Barang'!$A:$A,'Master Barang'!$B:$B,""),"")</f>
        <v/>
      </c>
      <c r="E135" s="52"/>
      <c r="F135" t="str">
        <f>IFERROR(XLOOKUP(C135,'Master Barang'!$A:$A,'Master Barang'!$D:$D,""),"")</f>
        <v/>
      </c>
    </row>
    <row r="136" spans="1:6">
      <c r="A136" s="49"/>
      <c r="D136" t="str">
        <f>IFERROR(XLOOKUP(C136,'Master Barang'!$A:$A,'Master Barang'!$B:$B,""),"")</f>
        <v/>
      </c>
      <c r="E136" s="52"/>
      <c r="F136" t="str">
        <f>IFERROR(XLOOKUP(C136,'Master Barang'!$A:$A,'Master Barang'!$D:$D,""),"")</f>
        <v/>
      </c>
    </row>
    <row r="137" spans="1:6">
      <c r="A137" s="49"/>
      <c r="D137" t="str">
        <f>IFERROR(XLOOKUP(C137,'Master Barang'!$A:$A,'Master Barang'!$B:$B,""),"")</f>
        <v/>
      </c>
      <c r="E137" s="52"/>
      <c r="F137" t="str">
        <f>IFERROR(XLOOKUP(C137,'Master Barang'!$A:$A,'Master Barang'!$D:$D,""),"")</f>
        <v/>
      </c>
    </row>
    <row r="138" spans="1:6">
      <c r="A138" s="49"/>
      <c r="D138" t="str">
        <f>IFERROR(XLOOKUP(C138,'Master Barang'!$A:$A,'Master Barang'!$B:$B,""),"")</f>
        <v/>
      </c>
      <c r="E138" s="52"/>
      <c r="F138" t="str">
        <f>IFERROR(XLOOKUP(C138,'Master Barang'!$A:$A,'Master Barang'!$D:$D,""),"")</f>
        <v/>
      </c>
    </row>
    <row r="139" spans="1:6">
      <c r="A139" s="49"/>
      <c r="D139" t="str">
        <f>IFERROR(XLOOKUP(C139,'Master Barang'!$A:$A,'Master Barang'!$B:$B,""),"")</f>
        <v/>
      </c>
      <c r="E139" s="52"/>
      <c r="F139" t="str">
        <f>IFERROR(XLOOKUP(C139,'Master Barang'!$A:$A,'Master Barang'!$D:$D,""),"")</f>
        <v/>
      </c>
    </row>
    <row r="140" spans="1:6">
      <c r="A140" s="49"/>
      <c r="D140" t="str">
        <f>IFERROR(XLOOKUP(C140,'Master Barang'!$A:$A,'Master Barang'!$B:$B,""),"")</f>
        <v/>
      </c>
      <c r="E140" s="52"/>
      <c r="F140" t="str">
        <f>IFERROR(XLOOKUP(C140,'Master Barang'!$A:$A,'Master Barang'!$D:$D,""),"")</f>
        <v/>
      </c>
    </row>
    <row r="141" spans="1:6">
      <c r="A141" s="49"/>
      <c r="D141" t="str">
        <f>IFERROR(XLOOKUP(C141,'Master Barang'!$A:$A,'Master Barang'!$B:$B,""),"")</f>
        <v/>
      </c>
      <c r="E141" s="52"/>
      <c r="F141" t="str">
        <f>IFERROR(XLOOKUP(C141,'Master Barang'!$A:$A,'Master Barang'!$D:$D,""),"")</f>
        <v/>
      </c>
    </row>
    <row r="142" spans="1:6">
      <c r="A142" s="49"/>
      <c r="D142" t="str">
        <f>IFERROR(XLOOKUP(C142,'Master Barang'!$A:$A,'Master Barang'!$B:$B,""),"")</f>
        <v/>
      </c>
      <c r="E142" s="52"/>
      <c r="F142" t="str">
        <f>IFERROR(XLOOKUP(C142,'Master Barang'!$A:$A,'Master Barang'!$D:$D,""),"")</f>
        <v/>
      </c>
    </row>
    <row r="143" spans="1:6">
      <c r="A143" s="49"/>
      <c r="D143" t="str">
        <f>IFERROR(XLOOKUP(C143,'Master Barang'!$A:$A,'Master Barang'!$B:$B,""),"")</f>
        <v/>
      </c>
      <c r="E143" s="52"/>
      <c r="F143" t="str">
        <f>IFERROR(XLOOKUP(C143,'Master Barang'!$A:$A,'Master Barang'!$D:$D,""),"")</f>
        <v/>
      </c>
    </row>
    <row r="144" spans="1:6">
      <c r="A144" s="49"/>
      <c r="D144" t="str">
        <f>IFERROR(XLOOKUP(C144,'Master Barang'!$A:$A,'Master Barang'!$B:$B,""),"")</f>
        <v/>
      </c>
      <c r="E144" s="52"/>
      <c r="F144" t="str">
        <f>IFERROR(XLOOKUP(C144,'Master Barang'!$A:$A,'Master Barang'!$D:$D,""),"")</f>
        <v/>
      </c>
    </row>
    <row r="145" spans="1:6">
      <c r="A145" s="49"/>
      <c r="D145" t="str">
        <f>IFERROR(XLOOKUP(C145,'Master Barang'!$A:$A,'Master Barang'!$B:$B,""),"")</f>
        <v/>
      </c>
      <c r="E145" s="52"/>
      <c r="F145" t="str">
        <f>IFERROR(XLOOKUP(C145,'Master Barang'!$A:$A,'Master Barang'!$D:$D,""),"")</f>
        <v/>
      </c>
    </row>
    <row r="146" spans="1:6">
      <c r="A146" s="49"/>
      <c r="D146" t="str">
        <f>IFERROR(XLOOKUP(C146,'Master Barang'!$A:$A,'Master Barang'!$B:$B,""),"")</f>
        <v/>
      </c>
      <c r="E146" s="52"/>
      <c r="F146" t="str">
        <f>IFERROR(XLOOKUP(C146,'Master Barang'!$A:$A,'Master Barang'!$D:$D,""),"")</f>
        <v/>
      </c>
    </row>
    <row r="147" spans="1:6">
      <c r="A147" s="49"/>
      <c r="D147" t="str">
        <f>IFERROR(XLOOKUP(C147,'Master Barang'!$A:$A,'Master Barang'!$B:$B,""),"")</f>
        <v/>
      </c>
      <c r="E147" s="52"/>
      <c r="F147" t="str">
        <f>IFERROR(XLOOKUP(C147,'Master Barang'!$A:$A,'Master Barang'!$D:$D,""),"")</f>
        <v/>
      </c>
    </row>
    <row r="148" spans="1:6">
      <c r="A148" s="49"/>
      <c r="D148" t="str">
        <f>IFERROR(XLOOKUP(C148,'Master Barang'!$A:$A,'Master Barang'!$B:$B,""),"")</f>
        <v/>
      </c>
      <c r="E148" s="52"/>
      <c r="F148" t="str">
        <f>IFERROR(XLOOKUP(C148,'Master Barang'!$A:$A,'Master Barang'!$D:$D,""),"")</f>
        <v/>
      </c>
    </row>
    <row r="149" spans="1:6">
      <c r="A149" s="49"/>
      <c r="D149" t="str">
        <f>IFERROR(XLOOKUP(C149,'Master Barang'!$A:$A,'Master Barang'!$B:$B,""),"")</f>
        <v/>
      </c>
      <c r="E149" s="52"/>
      <c r="F149" t="str">
        <f>IFERROR(XLOOKUP(C149,'Master Barang'!$A:$A,'Master Barang'!$D:$D,""),"")</f>
        <v/>
      </c>
    </row>
    <row r="150" spans="1:6">
      <c r="A150" s="49"/>
      <c r="D150" t="str">
        <f>IFERROR(XLOOKUP(C150,'Master Barang'!$A:$A,'Master Barang'!$B:$B,""),"")</f>
        <v/>
      </c>
      <c r="E150" s="52"/>
      <c r="F150" t="str">
        <f>IFERROR(XLOOKUP(C150,'Master Barang'!$A:$A,'Master Barang'!$D:$D,""),"")</f>
        <v/>
      </c>
    </row>
    <row r="151" spans="1:6">
      <c r="A151" s="49"/>
      <c r="D151" t="str">
        <f>IFERROR(XLOOKUP(C151,'Master Barang'!$A:$A,'Master Barang'!$B:$B,""),"")</f>
        <v/>
      </c>
      <c r="E151" s="52"/>
      <c r="F151" t="str">
        <f>IFERROR(XLOOKUP(C151,'Master Barang'!$A:$A,'Master Barang'!$D:$D,""),"")</f>
        <v/>
      </c>
    </row>
    <row r="152" spans="1:6">
      <c r="A152" s="49"/>
      <c r="D152" t="str">
        <f>IFERROR(XLOOKUP(C152,'Master Barang'!$A:$A,'Master Barang'!$B:$B,""),"")</f>
        <v/>
      </c>
      <c r="E152" s="52"/>
      <c r="F152" t="str">
        <f>IFERROR(XLOOKUP(C152,'Master Barang'!$A:$A,'Master Barang'!$D:$D,""),"")</f>
        <v/>
      </c>
    </row>
    <row r="153" spans="1:6">
      <c r="A153" s="49"/>
      <c r="D153" t="str">
        <f>IFERROR(XLOOKUP(C153,'Master Barang'!$A:$A,'Master Barang'!$B:$B,""),"")</f>
        <v/>
      </c>
      <c r="E153" s="52"/>
      <c r="F153" t="str">
        <f>IFERROR(XLOOKUP(C153,'Master Barang'!$A:$A,'Master Barang'!$D:$D,""),"")</f>
        <v/>
      </c>
    </row>
    <row r="154" spans="1:6">
      <c r="A154" s="49"/>
      <c r="D154" t="str">
        <f>IFERROR(XLOOKUP(C154,'Master Barang'!$A:$A,'Master Barang'!$B:$B,""),"")</f>
        <v/>
      </c>
      <c r="E154" s="52"/>
      <c r="F154" t="str">
        <f>IFERROR(XLOOKUP(C154,'Master Barang'!$A:$A,'Master Barang'!$D:$D,""),"")</f>
        <v/>
      </c>
    </row>
    <row r="155" spans="1:6">
      <c r="A155" s="49"/>
      <c r="D155" t="str">
        <f>IFERROR(XLOOKUP(C155,'Master Barang'!$A:$A,'Master Barang'!$B:$B,""),"")</f>
        <v/>
      </c>
      <c r="E155" s="52"/>
      <c r="F155" t="str">
        <f>IFERROR(XLOOKUP(C155,'Master Barang'!$A:$A,'Master Barang'!$D:$D,""),"")</f>
        <v/>
      </c>
    </row>
    <row r="156" spans="1:6">
      <c r="A156" s="49"/>
      <c r="D156" t="str">
        <f>IFERROR(XLOOKUP(C156,'Master Barang'!$A:$A,'Master Barang'!$B:$B,""),"")</f>
        <v/>
      </c>
      <c r="E156" s="52"/>
      <c r="F156" t="str">
        <f>IFERROR(XLOOKUP(C156,'Master Barang'!$A:$A,'Master Barang'!$D:$D,""),"")</f>
        <v/>
      </c>
    </row>
    <row r="157" spans="1:6">
      <c r="A157" s="49"/>
      <c r="D157" t="str">
        <f>IFERROR(XLOOKUP(C157,'Master Barang'!$A:$A,'Master Barang'!$B:$B,""),"")</f>
        <v/>
      </c>
      <c r="E157" s="52"/>
      <c r="F157" t="str">
        <f>IFERROR(XLOOKUP(C157,'Master Barang'!$A:$A,'Master Barang'!$D:$D,""),"")</f>
        <v/>
      </c>
    </row>
    <row r="158" spans="1:6">
      <c r="A158" s="49"/>
      <c r="D158" t="str">
        <f>IFERROR(XLOOKUP(C158,'Master Barang'!$A:$A,'Master Barang'!$B:$B,""),"")</f>
        <v/>
      </c>
      <c r="E158" s="52"/>
      <c r="F158" t="str">
        <f>IFERROR(XLOOKUP(C158,'Master Barang'!$A:$A,'Master Barang'!$D:$D,""),"")</f>
        <v/>
      </c>
    </row>
    <row r="159" spans="1:6">
      <c r="A159" s="49"/>
      <c r="D159" t="str">
        <f>IFERROR(XLOOKUP(C159,'Master Barang'!$A:$A,'Master Barang'!$B:$B,""),"")</f>
        <v/>
      </c>
      <c r="E159" s="52"/>
      <c r="F159" t="str">
        <f>IFERROR(XLOOKUP(C159,'Master Barang'!$A:$A,'Master Barang'!$D:$D,""),"")</f>
        <v/>
      </c>
    </row>
    <row r="160" spans="1:6">
      <c r="A160" s="49"/>
      <c r="D160" t="str">
        <f>IFERROR(XLOOKUP(C160,'Master Barang'!$A:$A,'Master Barang'!$B:$B,""),"")</f>
        <v/>
      </c>
      <c r="E160" s="52"/>
      <c r="F160" t="str">
        <f>IFERROR(XLOOKUP(C160,'Master Barang'!$A:$A,'Master Barang'!$D:$D,""),"")</f>
        <v/>
      </c>
    </row>
    <row r="161" spans="1:6">
      <c r="A161" s="49"/>
      <c r="D161" t="str">
        <f>IFERROR(XLOOKUP(C161,'Master Barang'!$A:$A,'Master Barang'!$B:$B,""),"")</f>
        <v/>
      </c>
      <c r="E161" s="52"/>
      <c r="F161" t="str">
        <f>IFERROR(XLOOKUP(C161,'Master Barang'!$A:$A,'Master Barang'!$D:$D,""),"")</f>
        <v/>
      </c>
    </row>
    <row r="162" spans="1:6">
      <c r="A162" s="49"/>
      <c r="D162" t="str">
        <f>IFERROR(XLOOKUP(C162,'Master Barang'!$A:$A,'Master Barang'!$B:$B,""),"")</f>
        <v/>
      </c>
      <c r="E162" s="52"/>
      <c r="F162" t="str">
        <f>IFERROR(XLOOKUP(C162,'Master Barang'!$A:$A,'Master Barang'!$D:$D,""),"")</f>
        <v/>
      </c>
    </row>
    <row r="163" spans="1:6">
      <c r="A163" s="49"/>
      <c r="D163" t="str">
        <f>IFERROR(XLOOKUP(C163,'Master Barang'!$A:$A,'Master Barang'!$B:$B,""),"")</f>
        <v/>
      </c>
      <c r="E163" s="52"/>
      <c r="F163" t="str">
        <f>IFERROR(XLOOKUP(C163,'Master Barang'!$A:$A,'Master Barang'!$D:$D,""),"")</f>
        <v/>
      </c>
    </row>
    <row r="164" spans="1:6">
      <c r="A164" s="49"/>
      <c r="D164" t="str">
        <f>IFERROR(XLOOKUP(C164,'Master Barang'!$A:$A,'Master Barang'!$B:$B,""),"")</f>
        <v/>
      </c>
      <c r="E164" s="52"/>
      <c r="F164" t="str">
        <f>IFERROR(XLOOKUP(C164,'Master Barang'!$A:$A,'Master Barang'!$D:$D,""),"")</f>
        <v/>
      </c>
    </row>
    <row r="165" spans="1:6">
      <c r="A165" s="49"/>
      <c r="D165" t="str">
        <f>IFERROR(XLOOKUP(C165,'Master Barang'!$A:$A,'Master Barang'!$B:$B,""),"")</f>
        <v/>
      </c>
      <c r="E165" s="52"/>
      <c r="F165" t="str">
        <f>IFERROR(XLOOKUP(C165,'Master Barang'!$A:$A,'Master Barang'!$D:$D,""),"")</f>
        <v/>
      </c>
    </row>
    <row r="166" spans="1:6">
      <c r="A166" s="49"/>
      <c r="D166" t="str">
        <f>IFERROR(XLOOKUP(C166,'Master Barang'!$A:$A,'Master Barang'!$B:$B,""),"")</f>
        <v/>
      </c>
      <c r="E166" s="52"/>
      <c r="F166" t="str">
        <f>IFERROR(XLOOKUP(C166,'Master Barang'!$A:$A,'Master Barang'!$D:$D,""),"")</f>
        <v/>
      </c>
    </row>
    <row r="167" spans="1:6">
      <c r="A167" s="49"/>
      <c r="D167" t="str">
        <f>IFERROR(XLOOKUP(C167,'Master Barang'!$A:$A,'Master Barang'!$B:$B,""),"")</f>
        <v/>
      </c>
      <c r="E167" s="52"/>
      <c r="F167" t="str">
        <f>IFERROR(XLOOKUP(C167,'Master Barang'!$A:$A,'Master Barang'!$D:$D,""),"")</f>
        <v/>
      </c>
    </row>
    <row r="168" spans="1:6">
      <c r="A168" s="49"/>
      <c r="D168" t="str">
        <f>IFERROR(XLOOKUP(C168,'Master Barang'!$A:$A,'Master Barang'!$B:$B,""),"")</f>
        <v/>
      </c>
      <c r="E168" s="52"/>
      <c r="F168" t="str">
        <f>IFERROR(XLOOKUP(C168,'Master Barang'!$A:$A,'Master Barang'!$D:$D,""),"")</f>
        <v/>
      </c>
    </row>
    <row r="169" spans="1:6">
      <c r="A169" s="49"/>
      <c r="D169" t="str">
        <f>IFERROR(XLOOKUP(C169,'Master Barang'!$A:$A,'Master Barang'!$B:$B,""),"")</f>
        <v/>
      </c>
      <c r="E169" s="52"/>
      <c r="F169" t="str">
        <f>IFERROR(XLOOKUP(C169,'Master Barang'!$A:$A,'Master Barang'!$D:$D,""),"")</f>
        <v/>
      </c>
    </row>
    <row r="170" spans="1:6">
      <c r="A170" s="49"/>
      <c r="D170" t="str">
        <f>IFERROR(XLOOKUP(C170,'Master Barang'!$A:$A,'Master Barang'!$B:$B,""),"")</f>
        <v/>
      </c>
      <c r="E170" s="52"/>
      <c r="F170" t="str">
        <f>IFERROR(XLOOKUP(C170,'Master Barang'!$A:$A,'Master Barang'!$D:$D,""),"")</f>
        <v/>
      </c>
    </row>
    <row r="171" spans="1:6">
      <c r="A171" s="49"/>
      <c r="D171" t="str">
        <f>IFERROR(XLOOKUP(C171,'Master Barang'!$A:$A,'Master Barang'!$B:$B,""),"")</f>
        <v/>
      </c>
      <c r="E171" s="52"/>
      <c r="F171" t="str">
        <f>IFERROR(XLOOKUP(C171,'Master Barang'!$A:$A,'Master Barang'!$D:$D,""),"")</f>
        <v/>
      </c>
    </row>
    <row r="172" spans="1:6">
      <c r="A172" s="49"/>
      <c r="D172" t="str">
        <f>IFERROR(XLOOKUP(C172,'Master Barang'!$A:$A,'Master Barang'!$B:$B,""),"")</f>
        <v/>
      </c>
      <c r="E172" s="52"/>
      <c r="F172" t="str">
        <f>IFERROR(XLOOKUP(C172,'Master Barang'!$A:$A,'Master Barang'!$D:$D,""),"")</f>
        <v/>
      </c>
    </row>
    <row r="173" spans="1:6">
      <c r="A173" s="49"/>
      <c r="D173" t="str">
        <f>IFERROR(XLOOKUP(C173,'Master Barang'!$A:$A,'Master Barang'!$B:$B,""),"")</f>
        <v/>
      </c>
      <c r="E173" s="52"/>
      <c r="F173" t="str">
        <f>IFERROR(XLOOKUP(C173,'Master Barang'!$A:$A,'Master Barang'!$D:$D,""),"")</f>
        <v/>
      </c>
    </row>
    <row r="174" spans="1:6">
      <c r="A174" s="49"/>
      <c r="D174" t="str">
        <f>IFERROR(XLOOKUP(C174,'Master Barang'!$A:$A,'Master Barang'!$B:$B,""),"")</f>
        <v/>
      </c>
      <c r="E174" s="52"/>
      <c r="F174" t="str">
        <f>IFERROR(XLOOKUP(C174,'Master Barang'!$A:$A,'Master Barang'!$D:$D,""),"")</f>
        <v/>
      </c>
    </row>
    <row r="175" spans="1:6">
      <c r="A175" s="49"/>
      <c r="D175" t="str">
        <f>IFERROR(XLOOKUP(C175,'Master Barang'!$A:$A,'Master Barang'!$B:$B,""),"")</f>
        <v/>
      </c>
      <c r="E175" s="52"/>
      <c r="F175" t="str">
        <f>IFERROR(XLOOKUP(C175,'Master Barang'!$A:$A,'Master Barang'!$D:$D,""),"")</f>
        <v/>
      </c>
    </row>
    <row r="176" spans="1:6">
      <c r="A176" s="49"/>
      <c r="D176" t="str">
        <f>IFERROR(XLOOKUP(C176,'Master Barang'!$A:$A,'Master Barang'!$B:$B,""),"")</f>
        <v/>
      </c>
      <c r="E176" s="52"/>
      <c r="F176" t="str">
        <f>IFERROR(XLOOKUP(C176,'Master Barang'!$A:$A,'Master Barang'!$D:$D,""),"")</f>
        <v/>
      </c>
    </row>
    <row r="177" spans="1:6">
      <c r="A177" s="49"/>
      <c r="D177" t="str">
        <f>IFERROR(XLOOKUP(C177,'Master Barang'!$A:$A,'Master Barang'!$B:$B,""),"")</f>
        <v/>
      </c>
      <c r="E177" s="52"/>
      <c r="F177" t="str">
        <f>IFERROR(XLOOKUP(C177,'Master Barang'!$A:$A,'Master Barang'!$D:$D,""),"")</f>
        <v/>
      </c>
    </row>
    <row r="178" spans="1:6">
      <c r="A178" s="49"/>
      <c r="D178" t="str">
        <f>IFERROR(XLOOKUP(C178,'Master Barang'!$A:$A,'Master Barang'!$B:$B,""),"")</f>
        <v/>
      </c>
      <c r="E178" s="52"/>
      <c r="F178" t="str">
        <f>IFERROR(XLOOKUP(C178,'Master Barang'!$A:$A,'Master Barang'!$D:$D,""),"")</f>
        <v/>
      </c>
    </row>
    <row r="179" spans="1:6">
      <c r="A179" s="49"/>
      <c r="D179" t="str">
        <f>IFERROR(XLOOKUP(C179,'Master Barang'!$A:$A,'Master Barang'!$B:$B,""),"")</f>
        <v/>
      </c>
      <c r="E179" s="52"/>
      <c r="F179" t="str">
        <f>IFERROR(XLOOKUP(C179,'Master Barang'!$A:$A,'Master Barang'!$D:$D,""),"")</f>
        <v/>
      </c>
    </row>
    <row r="180" spans="1:6">
      <c r="A180" s="49"/>
      <c r="D180" t="str">
        <f>IFERROR(XLOOKUP(C180,'Master Barang'!$A:$A,'Master Barang'!$B:$B,""),"")</f>
        <v/>
      </c>
      <c r="E180" s="52"/>
      <c r="F180" t="str">
        <f>IFERROR(XLOOKUP(C180,'Master Barang'!$A:$A,'Master Barang'!$D:$D,""),"")</f>
        <v/>
      </c>
    </row>
    <row r="181" spans="1:6">
      <c r="A181" s="49"/>
      <c r="D181" t="str">
        <f>IFERROR(XLOOKUP(C181,'Master Barang'!$A:$A,'Master Barang'!$B:$B,""),"")</f>
        <v/>
      </c>
      <c r="E181" s="52"/>
      <c r="F181" t="str">
        <f>IFERROR(XLOOKUP(C181,'Master Barang'!$A:$A,'Master Barang'!$D:$D,""),"")</f>
        <v/>
      </c>
    </row>
    <row r="182" spans="1:6">
      <c r="A182" s="49"/>
      <c r="D182" t="str">
        <f>IFERROR(XLOOKUP(C182,'Master Barang'!$A:$A,'Master Barang'!$B:$B,""),"")</f>
        <v/>
      </c>
      <c r="E182" s="52"/>
      <c r="F182" t="str">
        <f>IFERROR(XLOOKUP(C182,'Master Barang'!$A:$A,'Master Barang'!$D:$D,""),"")</f>
        <v/>
      </c>
    </row>
    <row r="183" spans="1:6">
      <c r="A183" s="49"/>
      <c r="D183" t="str">
        <f>IFERROR(XLOOKUP(C183,'Master Barang'!$A:$A,'Master Barang'!$B:$B,""),"")</f>
        <v/>
      </c>
      <c r="E183" s="52"/>
      <c r="F183" t="str">
        <f>IFERROR(XLOOKUP(C183,'Master Barang'!$A:$A,'Master Barang'!$D:$D,""),"")</f>
        <v/>
      </c>
    </row>
    <row r="184" spans="1:6">
      <c r="A184" s="49"/>
      <c r="D184" t="str">
        <f>IFERROR(XLOOKUP(C184,'Master Barang'!$A:$A,'Master Barang'!$B:$B,""),"")</f>
        <v/>
      </c>
      <c r="E184" s="52"/>
      <c r="F184" t="str">
        <f>IFERROR(XLOOKUP(C184,'Master Barang'!$A:$A,'Master Barang'!$D:$D,""),"")</f>
        <v/>
      </c>
    </row>
    <row r="185" spans="1:6">
      <c r="A185" s="49"/>
      <c r="D185" t="str">
        <f>IFERROR(XLOOKUP(C185,'Master Barang'!$A:$A,'Master Barang'!$B:$B,""),"")</f>
        <v/>
      </c>
      <c r="E185" s="52"/>
      <c r="F185" t="str">
        <f>IFERROR(XLOOKUP(C185,'Master Barang'!$A:$A,'Master Barang'!$D:$D,""),"")</f>
        <v/>
      </c>
    </row>
    <row r="186" spans="1:6">
      <c r="A186" s="49"/>
      <c r="D186" t="str">
        <f>IFERROR(XLOOKUP(C186,'Master Barang'!$A:$A,'Master Barang'!$B:$B,""),"")</f>
        <v/>
      </c>
      <c r="E186" s="52"/>
      <c r="F186" t="str">
        <f>IFERROR(XLOOKUP(C186,'Master Barang'!$A:$A,'Master Barang'!$D:$D,""),"")</f>
        <v/>
      </c>
    </row>
    <row r="187" spans="1:6">
      <c r="A187" s="49"/>
      <c r="D187" t="str">
        <f>IFERROR(XLOOKUP(C187,'Master Barang'!$A:$A,'Master Barang'!$B:$B,""),"")</f>
        <v/>
      </c>
      <c r="E187" s="52"/>
      <c r="F187" t="str">
        <f>IFERROR(XLOOKUP(C187,'Master Barang'!$A:$A,'Master Barang'!$D:$D,""),"")</f>
        <v/>
      </c>
    </row>
    <row r="188" spans="1:6">
      <c r="A188" s="49"/>
      <c r="D188" t="str">
        <f>IFERROR(XLOOKUP(C188,'Master Barang'!$A:$A,'Master Barang'!$B:$B,""),"")</f>
        <v/>
      </c>
      <c r="E188" s="52"/>
      <c r="F188" t="str">
        <f>IFERROR(XLOOKUP(C188,'Master Barang'!$A:$A,'Master Barang'!$D:$D,""),"")</f>
        <v/>
      </c>
    </row>
    <row r="189" spans="1:6">
      <c r="A189" s="49"/>
      <c r="D189" t="str">
        <f>IFERROR(XLOOKUP(C189,'Master Barang'!$A:$A,'Master Barang'!$B:$B,""),"")</f>
        <v/>
      </c>
      <c r="E189" s="52"/>
      <c r="F189" t="str">
        <f>IFERROR(XLOOKUP(C189,'Master Barang'!$A:$A,'Master Barang'!$D:$D,""),"")</f>
        <v/>
      </c>
    </row>
    <row r="190" spans="1:6">
      <c r="A190" s="49"/>
      <c r="D190" t="str">
        <f>IFERROR(XLOOKUP(C190,'Master Barang'!$A:$A,'Master Barang'!$B:$B,""),"")</f>
        <v/>
      </c>
      <c r="E190" s="52"/>
      <c r="F190" t="str">
        <f>IFERROR(XLOOKUP(C190,'Master Barang'!$A:$A,'Master Barang'!$D:$D,""),"")</f>
        <v/>
      </c>
    </row>
    <row r="191" spans="1:6">
      <c r="A191" s="49"/>
      <c r="D191" t="str">
        <f>IFERROR(XLOOKUP(C191,'Master Barang'!$A:$A,'Master Barang'!$B:$B,""),"")</f>
        <v/>
      </c>
      <c r="E191" s="52"/>
      <c r="F191" t="str">
        <f>IFERROR(XLOOKUP(C191,'Master Barang'!$A:$A,'Master Barang'!$D:$D,""),"")</f>
        <v/>
      </c>
    </row>
    <row r="192" spans="1:6">
      <c r="A192" s="49"/>
      <c r="D192" t="str">
        <f>IFERROR(XLOOKUP(C192,'Master Barang'!$A:$A,'Master Barang'!$B:$B,""),"")</f>
        <v/>
      </c>
      <c r="E192" s="52"/>
      <c r="F192" t="str">
        <f>IFERROR(XLOOKUP(C192,'Master Barang'!$A:$A,'Master Barang'!$D:$D,""),"")</f>
        <v/>
      </c>
    </row>
    <row r="193" spans="1:6">
      <c r="A193" s="49"/>
      <c r="D193" t="str">
        <f>IFERROR(XLOOKUP(C193,'Master Barang'!$A:$A,'Master Barang'!$B:$B,""),"")</f>
        <v/>
      </c>
      <c r="E193" s="52"/>
      <c r="F193" t="str">
        <f>IFERROR(XLOOKUP(C193,'Master Barang'!$A:$A,'Master Barang'!$D:$D,""),"")</f>
        <v/>
      </c>
    </row>
    <row r="194" spans="1:6">
      <c r="A194" s="49"/>
      <c r="D194" t="str">
        <f>IFERROR(XLOOKUP(C194,'Master Barang'!$A:$A,'Master Barang'!$B:$B,""),"")</f>
        <v/>
      </c>
      <c r="E194" s="52"/>
      <c r="F194" t="str">
        <f>IFERROR(XLOOKUP(C194,'Master Barang'!$A:$A,'Master Barang'!$D:$D,""),"")</f>
        <v/>
      </c>
    </row>
    <row r="195" spans="1:6">
      <c r="A195" s="49"/>
      <c r="D195" t="str">
        <f>IFERROR(XLOOKUP(C195,'Master Barang'!$A:$A,'Master Barang'!$B:$B,""),"")</f>
        <v/>
      </c>
      <c r="E195" s="52"/>
      <c r="F195" t="str">
        <f>IFERROR(XLOOKUP(C195,'Master Barang'!$A:$A,'Master Barang'!$D:$D,""),"")</f>
        <v/>
      </c>
    </row>
    <row r="196" spans="1:6">
      <c r="A196" s="49"/>
      <c r="D196" t="str">
        <f>IFERROR(XLOOKUP(C196,'Master Barang'!$A:$A,'Master Barang'!$B:$B,""),"")</f>
        <v/>
      </c>
      <c r="E196" s="52"/>
      <c r="F196" t="str">
        <f>IFERROR(XLOOKUP(C196,'Master Barang'!$A:$A,'Master Barang'!$D:$D,""),"")</f>
        <v/>
      </c>
    </row>
    <row r="197" spans="1:6">
      <c r="A197" s="49"/>
      <c r="D197" t="str">
        <f>IFERROR(XLOOKUP(C197,'Master Barang'!$A:$A,'Master Barang'!$B:$B,""),"")</f>
        <v/>
      </c>
      <c r="E197" s="52"/>
      <c r="F197" t="str">
        <f>IFERROR(XLOOKUP(C197,'Master Barang'!$A:$A,'Master Barang'!$D:$D,""),"")</f>
        <v/>
      </c>
    </row>
    <row r="198" spans="1:6">
      <c r="A198" s="49"/>
      <c r="D198" t="str">
        <f>IFERROR(XLOOKUP(C198,'Master Barang'!$A:$A,'Master Barang'!$B:$B,""),"")</f>
        <v/>
      </c>
      <c r="E198" s="52"/>
      <c r="F198" t="str">
        <f>IFERROR(XLOOKUP(C198,'Master Barang'!$A:$A,'Master Barang'!$D:$D,""),"")</f>
        <v/>
      </c>
    </row>
    <row r="199" spans="1:6">
      <c r="A199" s="49"/>
      <c r="D199" t="str">
        <f>IFERROR(XLOOKUP(C199,'Master Barang'!$A:$A,'Master Barang'!$B:$B,""),"")</f>
        <v/>
      </c>
      <c r="E199" s="52"/>
      <c r="F199" t="str">
        <f>IFERROR(XLOOKUP(C199,'Master Barang'!$A:$A,'Master Barang'!$D:$D,""),"")</f>
        <v/>
      </c>
    </row>
    <row r="200" spans="1:6">
      <c r="A200" s="49"/>
      <c r="D200" t="str">
        <f>IFERROR(XLOOKUP(C200,'Master Barang'!$A:$A,'Master Barang'!$B:$B,""),"")</f>
        <v/>
      </c>
      <c r="E200" s="52"/>
      <c r="F200" t="str">
        <f>IFERROR(XLOOKUP(C200,'Master Barang'!$A:$A,'Master Barang'!$D:$D,""),"")</f>
        <v/>
      </c>
    </row>
    <row r="201" spans="1:6">
      <c r="A201" s="49"/>
      <c r="D201" t="str">
        <f>IFERROR(XLOOKUP(C201,'Master Barang'!$A:$A,'Master Barang'!$B:$B,""),"")</f>
        <v/>
      </c>
      <c r="E201" s="52"/>
      <c r="F201" t="str">
        <f>IFERROR(XLOOKUP(C201,'Master Barang'!$A:$A,'Master Barang'!$D:$D,""),"")</f>
        <v/>
      </c>
    </row>
    <row r="202" spans="1:6">
      <c r="A202" s="49"/>
      <c r="D202" t="str">
        <f>IFERROR(XLOOKUP(C202,'Master Barang'!$A:$A,'Master Barang'!$B:$B,""),"")</f>
        <v/>
      </c>
      <c r="E202" s="52"/>
      <c r="F202" t="str">
        <f>IFERROR(XLOOKUP(C202,'Master Barang'!$A:$A,'Master Barang'!$D:$D,""),"")</f>
        <v/>
      </c>
    </row>
    <row r="203" spans="1:6">
      <c r="A203" s="49"/>
      <c r="D203" t="str">
        <f>IFERROR(XLOOKUP(C203,'Master Barang'!$A:$A,'Master Barang'!$B:$B,""),"")</f>
        <v/>
      </c>
      <c r="E203" s="52"/>
      <c r="F203" t="str">
        <f>IFERROR(XLOOKUP(C203,'Master Barang'!$A:$A,'Master Barang'!$D:$D,""),"")</f>
        <v/>
      </c>
    </row>
    <row r="204" spans="1:6">
      <c r="A204" s="49"/>
      <c r="D204" t="str">
        <f>IFERROR(XLOOKUP(C204,'Master Barang'!$A:$A,'Master Barang'!$B:$B,""),"")</f>
        <v/>
      </c>
      <c r="E204" s="52"/>
      <c r="F204" t="str">
        <f>IFERROR(XLOOKUP(C204,'Master Barang'!$A:$A,'Master Barang'!$D:$D,""),"")</f>
        <v/>
      </c>
    </row>
    <row r="205" spans="1:6">
      <c r="A205" s="49"/>
      <c r="D205" t="str">
        <f>IFERROR(XLOOKUP(C205,'Master Barang'!$A:$A,'Master Barang'!$B:$B,""),"")</f>
        <v/>
      </c>
      <c r="E205" s="52"/>
      <c r="F205" t="str">
        <f>IFERROR(XLOOKUP(C205,'Master Barang'!$A:$A,'Master Barang'!$D:$D,""),"")</f>
        <v/>
      </c>
    </row>
    <row r="206" spans="1:6">
      <c r="A206" s="49"/>
      <c r="D206" t="str">
        <f>IFERROR(XLOOKUP(C206,'Master Barang'!$A:$A,'Master Barang'!$B:$B,""),"")</f>
        <v/>
      </c>
      <c r="E206" s="52"/>
      <c r="F206" t="str">
        <f>IFERROR(XLOOKUP(C206,'Master Barang'!$A:$A,'Master Barang'!$D:$D,""),"")</f>
        <v/>
      </c>
    </row>
    <row r="207" spans="1:6">
      <c r="A207" s="49"/>
      <c r="D207" t="str">
        <f>IFERROR(XLOOKUP(C207,'Master Barang'!$A:$A,'Master Barang'!$B:$B,""),"")</f>
        <v/>
      </c>
      <c r="E207" s="52"/>
      <c r="F207" t="str">
        <f>IFERROR(XLOOKUP(C207,'Master Barang'!$A:$A,'Master Barang'!$D:$D,""),"")</f>
        <v/>
      </c>
    </row>
    <row r="208" spans="1:6">
      <c r="A208" s="49"/>
      <c r="D208" t="str">
        <f>IFERROR(XLOOKUP(C208,'Master Barang'!$A:$A,'Master Barang'!$B:$B,""),"")</f>
        <v/>
      </c>
      <c r="E208" s="52"/>
      <c r="F208" t="str">
        <f>IFERROR(XLOOKUP(C208,'Master Barang'!$A:$A,'Master Barang'!$D:$D,""),"")</f>
        <v/>
      </c>
    </row>
    <row r="209" spans="1:6">
      <c r="A209" s="49"/>
      <c r="D209" t="str">
        <f>IFERROR(XLOOKUP(C209,'Master Barang'!$A:$A,'Master Barang'!$B:$B,""),"")</f>
        <v/>
      </c>
      <c r="E209" s="52"/>
      <c r="F209" t="str">
        <f>IFERROR(XLOOKUP(C209,'Master Barang'!$A:$A,'Master Barang'!$D:$D,""),"")</f>
        <v/>
      </c>
    </row>
    <row r="210" spans="1:6">
      <c r="A210" s="49"/>
      <c r="D210" t="str">
        <f>IFERROR(XLOOKUP(C210,'Master Barang'!$A:$A,'Master Barang'!$B:$B,""),"")</f>
        <v/>
      </c>
      <c r="E210" s="52"/>
      <c r="F210" t="str">
        <f>IFERROR(XLOOKUP(C210,'Master Barang'!$A:$A,'Master Barang'!$D:$D,""),"")</f>
        <v/>
      </c>
    </row>
    <row r="211" spans="1:6">
      <c r="A211" s="49"/>
      <c r="D211" t="str">
        <f>IFERROR(XLOOKUP(C211,'Master Barang'!$A:$A,'Master Barang'!$B:$B,""),"")</f>
        <v/>
      </c>
      <c r="E211" s="52"/>
      <c r="F211" t="str">
        <f>IFERROR(XLOOKUP(C211,'Master Barang'!$A:$A,'Master Barang'!$D:$D,""),"")</f>
        <v/>
      </c>
    </row>
    <row r="212" spans="1:6">
      <c r="A212" s="49"/>
      <c r="D212" t="str">
        <f>IFERROR(XLOOKUP(C212,'Master Barang'!$A:$A,'Master Barang'!$B:$B,""),"")</f>
        <v/>
      </c>
      <c r="E212" s="52"/>
      <c r="F212" t="str">
        <f>IFERROR(XLOOKUP(C212,'Master Barang'!$A:$A,'Master Barang'!$D:$D,""),"")</f>
        <v/>
      </c>
    </row>
    <row r="213" spans="1:6">
      <c r="A213" s="49"/>
      <c r="D213" t="str">
        <f>IFERROR(XLOOKUP(C213,'Master Barang'!$A:$A,'Master Barang'!$B:$B,""),"")</f>
        <v/>
      </c>
      <c r="E213" s="52"/>
      <c r="F213" t="str">
        <f>IFERROR(XLOOKUP(C213,'Master Barang'!$A:$A,'Master Barang'!$D:$D,""),"")</f>
        <v/>
      </c>
    </row>
    <row r="214" spans="1:6">
      <c r="A214" s="49"/>
      <c r="D214" t="str">
        <f>IFERROR(XLOOKUP(C214,'Master Barang'!$A:$A,'Master Barang'!$B:$B,""),"")</f>
        <v/>
      </c>
      <c r="E214" s="52"/>
      <c r="F214" t="str">
        <f>IFERROR(XLOOKUP(C214,'Master Barang'!$A:$A,'Master Barang'!$D:$D,""),"")</f>
        <v/>
      </c>
    </row>
    <row r="215" spans="1:6">
      <c r="A215" s="49"/>
      <c r="D215" t="str">
        <f>IFERROR(XLOOKUP(C215,'Master Barang'!$A:$A,'Master Barang'!$B:$B,""),"")</f>
        <v/>
      </c>
      <c r="E215" s="52"/>
      <c r="F215" t="str">
        <f>IFERROR(XLOOKUP(C215,'Master Barang'!$A:$A,'Master Barang'!$D:$D,""),"")</f>
        <v/>
      </c>
    </row>
    <row r="216" spans="1:6">
      <c r="A216" s="49"/>
      <c r="D216" t="str">
        <f>IFERROR(XLOOKUP(C216,'Master Barang'!$A:$A,'Master Barang'!$B:$B,""),"")</f>
        <v/>
      </c>
      <c r="E216" s="52"/>
      <c r="F216" t="str">
        <f>IFERROR(XLOOKUP(C216,'Master Barang'!$A:$A,'Master Barang'!$D:$D,""),"")</f>
        <v/>
      </c>
    </row>
    <row r="217" spans="1:6">
      <c r="A217" s="49"/>
      <c r="D217" t="str">
        <f>IFERROR(XLOOKUP(C217,'Master Barang'!$A:$A,'Master Barang'!$B:$B,""),"")</f>
        <v/>
      </c>
      <c r="E217" s="52"/>
      <c r="F217" t="str">
        <f>IFERROR(XLOOKUP(C217,'Master Barang'!$A:$A,'Master Barang'!$D:$D,""),"")</f>
        <v/>
      </c>
    </row>
    <row r="218" spans="1:6">
      <c r="A218" s="49"/>
      <c r="D218" t="str">
        <f>IFERROR(XLOOKUP(C218,'Master Barang'!$A:$A,'Master Barang'!$B:$B,""),"")</f>
        <v/>
      </c>
      <c r="E218" s="52"/>
      <c r="F218" t="str">
        <f>IFERROR(XLOOKUP(C218,'Master Barang'!$A:$A,'Master Barang'!$D:$D,""),"")</f>
        <v/>
      </c>
    </row>
    <row r="219" spans="1:6">
      <c r="A219" s="49"/>
      <c r="D219" t="str">
        <f>IFERROR(XLOOKUP(C219,'Master Barang'!$A:$A,'Master Barang'!$B:$B,""),"")</f>
        <v/>
      </c>
      <c r="E219" s="52"/>
      <c r="F219" t="str">
        <f>IFERROR(XLOOKUP(C219,'Master Barang'!$A:$A,'Master Barang'!$D:$D,""),"")</f>
        <v/>
      </c>
    </row>
    <row r="220" spans="1:6">
      <c r="A220" s="49"/>
      <c r="D220" t="str">
        <f>IFERROR(XLOOKUP(C220,'Master Barang'!$A:$A,'Master Barang'!$B:$B,""),"")</f>
        <v/>
      </c>
      <c r="E220" s="52"/>
      <c r="F220" t="str">
        <f>IFERROR(XLOOKUP(C220,'Master Barang'!$A:$A,'Master Barang'!$D:$D,""),"")</f>
        <v/>
      </c>
    </row>
    <row r="221" spans="1:6">
      <c r="A221" s="49"/>
      <c r="D221" t="str">
        <f>IFERROR(XLOOKUP(C221,'Master Barang'!$A:$A,'Master Barang'!$B:$B,""),"")</f>
        <v/>
      </c>
      <c r="E221" s="52"/>
      <c r="F221" t="str">
        <f>IFERROR(XLOOKUP(C221,'Master Barang'!$A:$A,'Master Barang'!$D:$D,""),"")</f>
        <v/>
      </c>
    </row>
    <row r="222" spans="1:6">
      <c r="A222" s="49"/>
      <c r="D222" t="str">
        <f>IFERROR(XLOOKUP(C222,'Master Barang'!$A:$A,'Master Barang'!$B:$B,""),"")</f>
        <v/>
      </c>
      <c r="E222" s="52"/>
      <c r="F222" t="str">
        <f>IFERROR(XLOOKUP(C222,'Master Barang'!$A:$A,'Master Barang'!$D:$D,""),"")</f>
        <v/>
      </c>
    </row>
    <row r="223" spans="1:6">
      <c r="A223" s="49"/>
      <c r="D223" t="str">
        <f>IFERROR(XLOOKUP(C223,'Master Barang'!$A:$A,'Master Barang'!$B:$B,""),"")</f>
        <v/>
      </c>
      <c r="E223" s="52"/>
      <c r="F223" t="str">
        <f>IFERROR(XLOOKUP(C223,'Master Barang'!$A:$A,'Master Barang'!$D:$D,""),"")</f>
        <v/>
      </c>
    </row>
    <row r="224" spans="1:6">
      <c r="A224" s="49"/>
      <c r="D224" t="str">
        <f>IFERROR(XLOOKUP(C224,'Master Barang'!$A:$A,'Master Barang'!$B:$B,""),"")</f>
        <v/>
      </c>
      <c r="E224" s="52"/>
      <c r="F224" t="str">
        <f>IFERROR(XLOOKUP(C224,'Master Barang'!$A:$A,'Master Barang'!$D:$D,""),"")</f>
        <v/>
      </c>
    </row>
    <row r="225" spans="1:6">
      <c r="A225" s="49"/>
      <c r="D225" t="str">
        <f>IFERROR(XLOOKUP(C225,'Master Barang'!$A:$A,'Master Barang'!$B:$B,""),"")</f>
        <v/>
      </c>
      <c r="E225" s="52"/>
      <c r="F225" t="str">
        <f>IFERROR(XLOOKUP(C225,'Master Barang'!$A:$A,'Master Barang'!$D:$D,""),"")</f>
        <v/>
      </c>
    </row>
    <row r="226" spans="1:6">
      <c r="A226" s="49"/>
      <c r="D226" t="str">
        <f>IFERROR(XLOOKUP(C226,'Master Barang'!$A:$A,'Master Barang'!$B:$B,""),"")</f>
        <v/>
      </c>
      <c r="E226" s="52"/>
      <c r="F226" t="str">
        <f>IFERROR(XLOOKUP(C226,'Master Barang'!$A:$A,'Master Barang'!$D:$D,""),"")</f>
        <v/>
      </c>
    </row>
    <row r="227" spans="1:6">
      <c r="A227" s="49"/>
      <c r="D227" t="str">
        <f>IFERROR(XLOOKUP(C227,'Master Barang'!$A:$A,'Master Barang'!$B:$B,""),"")</f>
        <v/>
      </c>
      <c r="E227" s="52"/>
      <c r="F227" t="str">
        <f>IFERROR(XLOOKUP(C227,'Master Barang'!$A:$A,'Master Barang'!$D:$D,""),"")</f>
        <v/>
      </c>
    </row>
    <row r="228" spans="1:6">
      <c r="A228" s="49"/>
      <c r="D228" t="str">
        <f>IFERROR(XLOOKUP(C228,'Master Barang'!$A:$A,'Master Barang'!$B:$B,""),"")</f>
        <v/>
      </c>
      <c r="E228" s="52"/>
      <c r="F228" t="str">
        <f>IFERROR(XLOOKUP(C228,'Master Barang'!$A:$A,'Master Barang'!$D:$D,""),"")</f>
        <v/>
      </c>
    </row>
    <row r="229" spans="1:6">
      <c r="A229" s="49"/>
      <c r="D229" t="str">
        <f>IFERROR(XLOOKUP(C229,'Master Barang'!$A:$A,'Master Barang'!$B:$B,""),"")</f>
        <v/>
      </c>
      <c r="E229" s="52"/>
      <c r="F229" t="str">
        <f>IFERROR(XLOOKUP(C229,'Master Barang'!$A:$A,'Master Barang'!$D:$D,""),"")</f>
        <v/>
      </c>
    </row>
    <row r="230" spans="1:6">
      <c r="A230" s="49"/>
      <c r="D230" t="str">
        <f>IFERROR(XLOOKUP(C230,'Master Barang'!$A:$A,'Master Barang'!$B:$B,""),"")</f>
        <v/>
      </c>
      <c r="E230" s="52"/>
      <c r="F230" t="str">
        <f>IFERROR(XLOOKUP(C230,'Master Barang'!$A:$A,'Master Barang'!$D:$D,""),"")</f>
        <v/>
      </c>
    </row>
    <row r="231" spans="1:6">
      <c r="A231" s="49"/>
      <c r="D231" t="str">
        <f>IFERROR(XLOOKUP(C231,'Master Barang'!$A:$A,'Master Barang'!$B:$B,""),"")</f>
        <v/>
      </c>
      <c r="E231" s="52"/>
      <c r="F231" t="str">
        <f>IFERROR(XLOOKUP(C231,'Master Barang'!$A:$A,'Master Barang'!$D:$D,""),"")</f>
        <v/>
      </c>
    </row>
    <row r="232" spans="1:6">
      <c r="A232" s="49"/>
      <c r="D232" t="str">
        <f>IFERROR(XLOOKUP(C232,'Master Barang'!$A:$A,'Master Barang'!$B:$B,""),"")</f>
        <v/>
      </c>
      <c r="E232" s="52"/>
      <c r="F232" t="str">
        <f>IFERROR(XLOOKUP(C232,'Master Barang'!$A:$A,'Master Barang'!$D:$D,""),"")</f>
        <v/>
      </c>
    </row>
    <row r="233" spans="1:6">
      <c r="A233" s="49"/>
      <c r="D233" t="str">
        <f>IFERROR(XLOOKUP(C233,'Master Barang'!$A:$A,'Master Barang'!$B:$B,""),"")</f>
        <v/>
      </c>
      <c r="E233" s="52"/>
      <c r="F233" t="str">
        <f>IFERROR(XLOOKUP(C233,'Master Barang'!$A:$A,'Master Barang'!$D:$D,""),"")</f>
        <v/>
      </c>
    </row>
    <row r="234" spans="1:6">
      <c r="A234" s="49"/>
      <c r="D234" t="str">
        <f>IFERROR(XLOOKUP(C234,'Master Barang'!$A:$A,'Master Barang'!$B:$B,""),"")</f>
        <v/>
      </c>
      <c r="E234" s="52"/>
      <c r="F234" t="str">
        <f>IFERROR(XLOOKUP(C234,'Master Barang'!$A:$A,'Master Barang'!$D:$D,""),"")</f>
        <v/>
      </c>
    </row>
    <row r="235" spans="1:6">
      <c r="A235" s="49"/>
      <c r="D235" t="str">
        <f>IFERROR(XLOOKUP(C235,'Master Barang'!$A:$A,'Master Barang'!$B:$B,""),"")</f>
        <v/>
      </c>
      <c r="E235" s="52"/>
      <c r="F235" t="str">
        <f>IFERROR(XLOOKUP(C235,'Master Barang'!$A:$A,'Master Barang'!$D:$D,""),"")</f>
        <v/>
      </c>
    </row>
    <row r="236" spans="1:6">
      <c r="A236" s="49"/>
      <c r="D236" t="str">
        <f>IFERROR(XLOOKUP(C236,'Master Barang'!$A:$A,'Master Barang'!$B:$B,""),"")</f>
        <v/>
      </c>
      <c r="E236" s="52"/>
      <c r="F236" t="str">
        <f>IFERROR(XLOOKUP(C236,'Master Barang'!$A:$A,'Master Barang'!$D:$D,""),"")</f>
        <v/>
      </c>
    </row>
    <row r="237" spans="1:6">
      <c r="A237" s="49"/>
      <c r="D237" t="str">
        <f>IFERROR(XLOOKUP(C237,'Master Barang'!$A:$A,'Master Barang'!$B:$B,""),"")</f>
        <v/>
      </c>
      <c r="E237" s="52"/>
      <c r="F237" t="str">
        <f>IFERROR(XLOOKUP(C237,'Master Barang'!$A:$A,'Master Barang'!$D:$D,""),"")</f>
        <v/>
      </c>
    </row>
    <row r="238" spans="1:6">
      <c r="A238" s="49"/>
      <c r="D238" t="str">
        <f>IFERROR(XLOOKUP(C238,'Master Barang'!$A:$A,'Master Barang'!$B:$B,""),"")</f>
        <v/>
      </c>
      <c r="E238" s="52"/>
      <c r="F238" t="str">
        <f>IFERROR(XLOOKUP(C238,'Master Barang'!$A:$A,'Master Barang'!$D:$D,""),"")</f>
        <v/>
      </c>
    </row>
    <row r="239" spans="1:6">
      <c r="A239" s="49"/>
      <c r="D239" t="str">
        <f>IFERROR(XLOOKUP(C239,'Master Barang'!$A:$A,'Master Barang'!$B:$B,""),"")</f>
        <v/>
      </c>
      <c r="E239" s="52"/>
      <c r="F239" t="str">
        <f>IFERROR(XLOOKUP(C239,'Master Barang'!$A:$A,'Master Barang'!$D:$D,""),"")</f>
        <v/>
      </c>
    </row>
    <row r="240" spans="1:6">
      <c r="A240" s="49"/>
      <c r="D240" t="str">
        <f>IFERROR(XLOOKUP(C240,'Master Barang'!$A:$A,'Master Barang'!$B:$B,""),"")</f>
        <v/>
      </c>
      <c r="E240" s="52"/>
      <c r="F240" t="str">
        <f>IFERROR(XLOOKUP(C240,'Master Barang'!$A:$A,'Master Barang'!$D:$D,""),"")</f>
        <v/>
      </c>
    </row>
    <row r="241" spans="1:6">
      <c r="A241" s="49"/>
      <c r="D241" t="str">
        <f>IFERROR(XLOOKUP(C241,'Master Barang'!$A:$A,'Master Barang'!$B:$B,""),"")</f>
        <v/>
      </c>
      <c r="E241" s="52"/>
      <c r="F241" t="str">
        <f>IFERROR(XLOOKUP(C241,'Master Barang'!$A:$A,'Master Barang'!$D:$D,""),"")</f>
        <v/>
      </c>
    </row>
    <row r="242" spans="1:6">
      <c r="A242" s="49"/>
      <c r="D242" t="str">
        <f>IFERROR(XLOOKUP(C242,'Master Barang'!$A:$A,'Master Barang'!$B:$B,""),"")</f>
        <v/>
      </c>
      <c r="E242" s="52"/>
      <c r="F242" t="str">
        <f>IFERROR(XLOOKUP(C242,'Master Barang'!$A:$A,'Master Barang'!$D:$D,""),"")</f>
        <v/>
      </c>
    </row>
    <row r="243" spans="1:6">
      <c r="A243" s="49"/>
      <c r="D243" t="str">
        <f>IFERROR(XLOOKUP(C243,'Master Barang'!$A:$A,'Master Barang'!$B:$B,""),"")</f>
        <v/>
      </c>
      <c r="E243" s="52"/>
      <c r="F243" t="str">
        <f>IFERROR(XLOOKUP(C243,'Master Barang'!$A:$A,'Master Barang'!$D:$D,""),"")</f>
        <v/>
      </c>
    </row>
    <row r="244" spans="1:6">
      <c r="A244" s="49"/>
      <c r="D244" t="str">
        <f>IFERROR(XLOOKUP(C244,'Master Barang'!$A:$A,'Master Barang'!$B:$B,""),"")</f>
        <v/>
      </c>
      <c r="E244" s="52"/>
      <c r="F244" t="str">
        <f>IFERROR(XLOOKUP(C244,'Master Barang'!$A:$A,'Master Barang'!$D:$D,""),"")</f>
        <v/>
      </c>
    </row>
    <row r="245" spans="1:6">
      <c r="A245" s="49"/>
      <c r="D245" t="str">
        <f>IFERROR(XLOOKUP(C245,'Master Barang'!$A:$A,'Master Barang'!$B:$B,""),"")</f>
        <v/>
      </c>
      <c r="E245" s="52"/>
      <c r="F245" t="str">
        <f>IFERROR(XLOOKUP(C245,'Master Barang'!$A:$A,'Master Barang'!$D:$D,""),"")</f>
        <v/>
      </c>
    </row>
    <row r="246" spans="1:6">
      <c r="A246" s="49"/>
      <c r="D246" t="str">
        <f>IFERROR(XLOOKUP(C246,'Master Barang'!$A:$A,'Master Barang'!$B:$B,""),"")</f>
        <v/>
      </c>
      <c r="E246" s="52"/>
      <c r="F246" t="str">
        <f>IFERROR(XLOOKUP(C246,'Master Barang'!$A:$A,'Master Barang'!$D:$D,""),"")</f>
        <v/>
      </c>
    </row>
    <row r="247" spans="1:6">
      <c r="A247" s="49"/>
      <c r="D247" t="str">
        <f>IFERROR(XLOOKUP(C247,'Master Barang'!$A:$A,'Master Barang'!$B:$B,""),"")</f>
        <v/>
      </c>
      <c r="E247" s="52"/>
      <c r="F247" t="str">
        <f>IFERROR(XLOOKUP(C247,'Master Barang'!$A:$A,'Master Barang'!$D:$D,""),"")</f>
        <v/>
      </c>
    </row>
    <row r="248" spans="1:6">
      <c r="A248" s="49"/>
      <c r="D248" t="str">
        <f>IFERROR(XLOOKUP(C248,'Master Barang'!$A:$A,'Master Barang'!$B:$B,""),"")</f>
        <v/>
      </c>
      <c r="E248" s="52"/>
      <c r="F248" t="str">
        <f>IFERROR(XLOOKUP(C248,'Master Barang'!$A:$A,'Master Barang'!$D:$D,""),"")</f>
        <v/>
      </c>
    </row>
    <row r="249" spans="1:6">
      <c r="A249" s="49"/>
      <c r="D249" t="str">
        <f>IFERROR(XLOOKUP(C249,'Master Barang'!$A:$A,'Master Barang'!$B:$B,""),"")</f>
        <v/>
      </c>
      <c r="E249" s="52"/>
      <c r="F249" t="str">
        <f>IFERROR(XLOOKUP(C249,'Master Barang'!$A:$A,'Master Barang'!$D:$D,""),"")</f>
        <v/>
      </c>
    </row>
    <row r="250" spans="1:6">
      <c r="A250" s="49"/>
      <c r="D250" t="str">
        <f>IFERROR(XLOOKUP(C250,'Master Barang'!$A:$A,'Master Barang'!$B:$B,""),"")</f>
        <v/>
      </c>
      <c r="E250" s="52"/>
      <c r="F250" t="str">
        <f>IFERROR(XLOOKUP(C250,'Master Barang'!$A:$A,'Master Barang'!$D:$D,""),"")</f>
        <v/>
      </c>
    </row>
    <row r="251" spans="1:6">
      <c r="A251" s="49"/>
      <c r="D251" t="str">
        <f>IFERROR(XLOOKUP(C251,'Master Barang'!$A:$A,'Master Barang'!$B:$B,""),"")</f>
        <v/>
      </c>
      <c r="E251" s="52"/>
      <c r="F251" t="str">
        <f>IFERROR(XLOOKUP(C251,'Master Barang'!$A:$A,'Master Barang'!$D:$D,""),"")</f>
        <v/>
      </c>
    </row>
    <row r="252" spans="1:6">
      <c r="A252" s="49"/>
      <c r="D252" t="str">
        <f>IFERROR(XLOOKUP(C252,'Master Barang'!$A:$A,'Master Barang'!$B:$B,""),"")</f>
        <v/>
      </c>
      <c r="E252" s="52"/>
      <c r="F252" t="str">
        <f>IFERROR(XLOOKUP(C252,'Master Barang'!$A:$A,'Master Barang'!$D:$D,""),"")</f>
        <v/>
      </c>
    </row>
    <row r="253" spans="1:6">
      <c r="A253" s="49"/>
      <c r="D253" t="str">
        <f>IFERROR(XLOOKUP(C253,'Master Barang'!$A:$A,'Master Barang'!$B:$B,""),"")</f>
        <v/>
      </c>
      <c r="E253" s="52"/>
      <c r="F253" t="str">
        <f>IFERROR(XLOOKUP(C253,'Master Barang'!$A:$A,'Master Barang'!$D:$D,""),"")</f>
        <v/>
      </c>
    </row>
    <row r="254" spans="1:6">
      <c r="A254" s="49"/>
      <c r="D254" t="str">
        <f>IFERROR(XLOOKUP(C254,'Master Barang'!$A:$A,'Master Barang'!$B:$B,""),"")</f>
        <v/>
      </c>
      <c r="E254" s="52"/>
      <c r="F254" t="str">
        <f>IFERROR(XLOOKUP(C254,'Master Barang'!$A:$A,'Master Barang'!$D:$D,""),"")</f>
        <v/>
      </c>
    </row>
    <row r="255" spans="1:6">
      <c r="A255" s="49"/>
      <c r="D255" t="str">
        <f>IFERROR(XLOOKUP(C255,'Master Barang'!$A:$A,'Master Barang'!$B:$B,""),"")</f>
        <v/>
      </c>
      <c r="E255" s="52"/>
      <c r="F255" t="str">
        <f>IFERROR(XLOOKUP(C255,'Master Barang'!$A:$A,'Master Barang'!$D:$D,""),"")</f>
        <v/>
      </c>
    </row>
    <row r="256" spans="1:6">
      <c r="A256" s="49"/>
      <c r="D256" t="str">
        <f>IFERROR(XLOOKUP(C256,'Master Barang'!$A:$A,'Master Barang'!$B:$B,""),"")</f>
        <v/>
      </c>
      <c r="E256" s="52"/>
      <c r="F256" t="str">
        <f>IFERROR(XLOOKUP(C256,'Master Barang'!$A:$A,'Master Barang'!$D:$D,""),"")</f>
        <v/>
      </c>
    </row>
    <row r="257" spans="1:6">
      <c r="A257" s="49"/>
      <c r="D257" t="str">
        <f>IFERROR(XLOOKUP(C257,'Master Barang'!$A:$A,'Master Barang'!$B:$B,""),"")</f>
        <v/>
      </c>
      <c r="E257" s="52"/>
      <c r="F257" t="str">
        <f>IFERROR(XLOOKUP(C257,'Master Barang'!$A:$A,'Master Barang'!$D:$D,""),"")</f>
        <v/>
      </c>
    </row>
    <row r="258" spans="1:6">
      <c r="A258" s="49"/>
      <c r="D258" t="str">
        <f>IFERROR(XLOOKUP(C258,'Master Barang'!$A:$A,'Master Barang'!$B:$B,""),"")</f>
        <v/>
      </c>
      <c r="E258" s="52"/>
      <c r="F258" t="str">
        <f>IFERROR(XLOOKUP(C258,'Master Barang'!$A:$A,'Master Barang'!$D:$D,""),"")</f>
        <v/>
      </c>
    </row>
    <row r="259" spans="1:6">
      <c r="A259" s="49"/>
      <c r="D259" t="str">
        <f>IFERROR(XLOOKUP(C259,'Master Barang'!$A:$A,'Master Barang'!$B:$B,""),"")</f>
        <v/>
      </c>
      <c r="E259" s="52"/>
      <c r="F259" t="str">
        <f>IFERROR(XLOOKUP(C259,'Master Barang'!$A:$A,'Master Barang'!$D:$D,""),"")</f>
        <v/>
      </c>
    </row>
    <row r="260" spans="1:6">
      <c r="A260" s="49"/>
      <c r="D260" t="str">
        <f>IFERROR(XLOOKUP(C260,'Master Barang'!$A:$A,'Master Barang'!$B:$B,""),"")</f>
        <v/>
      </c>
      <c r="E260" s="52"/>
      <c r="F260" t="str">
        <f>IFERROR(XLOOKUP(C260,'Master Barang'!$A:$A,'Master Barang'!$D:$D,""),"")</f>
        <v/>
      </c>
    </row>
    <row r="261" spans="1:6">
      <c r="A261" s="49"/>
      <c r="D261" t="str">
        <f>IFERROR(XLOOKUP(C261,'Master Barang'!$A:$A,'Master Barang'!$B:$B,""),"")</f>
        <v/>
      </c>
      <c r="E261" s="52"/>
      <c r="F261" t="str">
        <f>IFERROR(XLOOKUP(C261,'Master Barang'!$A:$A,'Master Barang'!$D:$D,""),"")</f>
        <v/>
      </c>
    </row>
    <row r="262" spans="1:6">
      <c r="A262" s="49"/>
      <c r="D262" t="str">
        <f>IFERROR(XLOOKUP(C262,'Master Barang'!$A:$A,'Master Barang'!$B:$B,""),"")</f>
        <v/>
      </c>
      <c r="E262" s="52"/>
      <c r="F262" t="str">
        <f>IFERROR(XLOOKUP(C262,'Master Barang'!$A:$A,'Master Barang'!$D:$D,""),"")</f>
        <v/>
      </c>
    </row>
    <row r="263" spans="1:6">
      <c r="A263" s="49"/>
      <c r="D263" t="str">
        <f>IFERROR(XLOOKUP(C263,'Master Barang'!$A:$A,'Master Barang'!$B:$B,""),"")</f>
        <v/>
      </c>
      <c r="E263" s="52"/>
      <c r="F263" t="str">
        <f>IFERROR(XLOOKUP(C263,'Master Barang'!$A:$A,'Master Barang'!$D:$D,""),"")</f>
        <v/>
      </c>
    </row>
    <row r="264" spans="1:6">
      <c r="A264" s="49"/>
      <c r="D264" t="str">
        <f>IFERROR(XLOOKUP(C264,'Master Barang'!$A:$A,'Master Barang'!$B:$B,""),"")</f>
        <v/>
      </c>
      <c r="E264" s="52"/>
      <c r="F264" t="str">
        <f>IFERROR(XLOOKUP(C264,'Master Barang'!$A:$A,'Master Barang'!$D:$D,""),"")</f>
        <v/>
      </c>
    </row>
    <row r="265" spans="1:6">
      <c r="A265" s="49"/>
      <c r="D265" t="str">
        <f>IFERROR(XLOOKUP(C265,'Master Barang'!$A:$A,'Master Barang'!$B:$B,""),"")</f>
        <v/>
      </c>
      <c r="E265" s="52"/>
      <c r="F265" t="str">
        <f>IFERROR(XLOOKUP(C265,'Master Barang'!$A:$A,'Master Barang'!$D:$D,""),"")</f>
        <v/>
      </c>
    </row>
    <row r="266" spans="1:6">
      <c r="A266" s="49"/>
      <c r="D266" t="str">
        <f>IFERROR(XLOOKUP(C266,'Master Barang'!$A:$A,'Master Barang'!$B:$B,""),"")</f>
        <v/>
      </c>
      <c r="E266" s="52"/>
      <c r="F266" t="str">
        <f>IFERROR(XLOOKUP(C266,'Master Barang'!$A:$A,'Master Barang'!$D:$D,""),"")</f>
        <v/>
      </c>
    </row>
    <row r="267" spans="1:6">
      <c r="A267" s="49"/>
      <c r="D267" t="str">
        <f>IFERROR(XLOOKUP(C267,'Master Barang'!$A:$A,'Master Barang'!$B:$B,""),"")</f>
        <v/>
      </c>
      <c r="E267" s="52"/>
      <c r="F267" t="str">
        <f>IFERROR(XLOOKUP(C267,'Master Barang'!$A:$A,'Master Barang'!$D:$D,""),"")</f>
        <v/>
      </c>
    </row>
    <row r="268" spans="1:6">
      <c r="A268" s="49"/>
      <c r="D268" t="str">
        <f>IFERROR(XLOOKUP(C268,'Master Barang'!$A:$A,'Master Barang'!$B:$B,""),"")</f>
        <v/>
      </c>
      <c r="E268" s="52"/>
      <c r="F268" t="str">
        <f>IFERROR(XLOOKUP(C268,'Master Barang'!$A:$A,'Master Barang'!$D:$D,""),"")</f>
        <v/>
      </c>
    </row>
    <row r="269" spans="1:6">
      <c r="A269" s="49"/>
      <c r="D269" t="str">
        <f>IFERROR(XLOOKUP(C269,'Master Barang'!$A:$A,'Master Barang'!$B:$B,""),"")</f>
        <v/>
      </c>
      <c r="E269" s="52"/>
      <c r="F269" t="str">
        <f>IFERROR(XLOOKUP(C269,'Master Barang'!$A:$A,'Master Barang'!$D:$D,""),"")</f>
        <v/>
      </c>
    </row>
    <row r="270" spans="1:6">
      <c r="A270" s="49"/>
      <c r="D270" t="str">
        <f>IFERROR(XLOOKUP(C270,'Master Barang'!$A:$A,'Master Barang'!$B:$B,""),"")</f>
        <v/>
      </c>
      <c r="E270" s="52"/>
      <c r="F270" t="str">
        <f>IFERROR(XLOOKUP(C270,'Master Barang'!$A:$A,'Master Barang'!$D:$D,""),"")</f>
        <v/>
      </c>
    </row>
    <row r="271" spans="1:6">
      <c r="A271" s="49"/>
      <c r="D271" t="str">
        <f>IFERROR(XLOOKUP(C271,'Master Barang'!$A:$A,'Master Barang'!$B:$B,""),"")</f>
        <v/>
      </c>
      <c r="E271" s="52"/>
      <c r="F271" t="str">
        <f>IFERROR(XLOOKUP(C271,'Master Barang'!$A:$A,'Master Barang'!$D:$D,""),"")</f>
        <v/>
      </c>
    </row>
    <row r="272" spans="1:6">
      <c r="A272" s="49"/>
      <c r="D272" t="str">
        <f>IFERROR(XLOOKUP(C272,'Master Barang'!$A:$A,'Master Barang'!$B:$B,""),"")</f>
        <v/>
      </c>
      <c r="E272" s="52"/>
      <c r="F272" t="str">
        <f>IFERROR(XLOOKUP(C272,'Master Barang'!$A:$A,'Master Barang'!$D:$D,""),"")</f>
        <v/>
      </c>
    </row>
    <row r="273" spans="1:6">
      <c r="A273" s="49"/>
      <c r="D273" t="str">
        <f>IFERROR(XLOOKUP(C273,'Master Barang'!$A:$A,'Master Barang'!$B:$B,""),"")</f>
        <v/>
      </c>
      <c r="E273" s="52"/>
      <c r="F273" t="str">
        <f>IFERROR(XLOOKUP(C273,'Master Barang'!$A:$A,'Master Barang'!$D:$D,""),"")</f>
        <v/>
      </c>
    </row>
    <row r="274" spans="1:6">
      <c r="A274" s="49"/>
      <c r="D274" t="str">
        <f>IFERROR(XLOOKUP(C274,'Master Barang'!$A:$A,'Master Barang'!$B:$B,""),"")</f>
        <v/>
      </c>
      <c r="E274" s="52"/>
      <c r="F274" t="str">
        <f>IFERROR(XLOOKUP(C274,'Master Barang'!$A:$A,'Master Barang'!$D:$D,""),"")</f>
        <v/>
      </c>
    </row>
    <row r="275" spans="1:6">
      <c r="A275" s="49"/>
      <c r="D275" t="str">
        <f>IFERROR(XLOOKUP(C275,'Master Barang'!$A:$A,'Master Barang'!$B:$B,""),"")</f>
        <v/>
      </c>
      <c r="E275" s="52"/>
      <c r="F275" t="str">
        <f>IFERROR(XLOOKUP(C275,'Master Barang'!$A:$A,'Master Barang'!$D:$D,""),"")</f>
        <v/>
      </c>
    </row>
    <row r="276" spans="1:6">
      <c r="A276" s="49"/>
      <c r="D276" t="str">
        <f>IFERROR(XLOOKUP(C276,'Master Barang'!$A:$A,'Master Barang'!$B:$B,""),"")</f>
        <v/>
      </c>
      <c r="E276" s="52"/>
      <c r="F276" t="str">
        <f>IFERROR(XLOOKUP(C276,'Master Barang'!$A:$A,'Master Barang'!$D:$D,""),"")</f>
        <v/>
      </c>
    </row>
    <row r="277" spans="1:6">
      <c r="A277" s="49"/>
      <c r="D277" t="str">
        <f>IFERROR(XLOOKUP(C277,'Master Barang'!$A:$A,'Master Barang'!$B:$B,""),"")</f>
        <v/>
      </c>
      <c r="E277" s="52"/>
      <c r="F277" t="str">
        <f>IFERROR(XLOOKUP(C277,'Master Barang'!$A:$A,'Master Barang'!$D:$D,""),"")</f>
        <v/>
      </c>
    </row>
    <row r="278" spans="1:6">
      <c r="A278" s="49"/>
      <c r="D278" t="str">
        <f>IFERROR(XLOOKUP(C278,'Master Barang'!$A:$A,'Master Barang'!$B:$B,""),"")</f>
        <v/>
      </c>
      <c r="E278" s="52"/>
      <c r="F278" t="str">
        <f>IFERROR(XLOOKUP(C278,'Master Barang'!$A:$A,'Master Barang'!$D:$D,""),"")</f>
        <v/>
      </c>
    </row>
    <row r="279" spans="1:6">
      <c r="A279" s="49"/>
      <c r="D279" t="str">
        <f>IFERROR(XLOOKUP(C279,'Master Barang'!$A:$A,'Master Barang'!$B:$B,""),"")</f>
        <v/>
      </c>
      <c r="E279" s="52"/>
      <c r="F279" t="str">
        <f>IFERROR(XLOOKUP(C279,'Master Barang'!$A:$A,'Master Barang'!$D:$D,""),"")</f>
        <v/>
      </c>
    </row>
    <row r="280" spans="1:6">
      <c r="A280" s="49"/>
      <c r="D280" t="str">
        <f>IFERROR(XLOOKUP(C280,'Master Barang'!$A:$A,'Master Barang'!$B:$B,""),"")</f>
        <v/>
      </c>
      <c r="E280" s="52"/>
      <c r="F280" t="str">
        <f>IFERROR(XLOOKUP(C280,'Master Barang'!$A:$A,'Master Barang'!$D:$D,""),"")</f>
        <v/>
      </c>
    </row>
    <row r="281" spans="1:6">
      <c r="A281" s="49"/>
      <c r="D281" t="str">
        <f>IFERROR(XLOOKUP(C281,'Master Barang'!$A:$A,'Master Barang'!$B:$B,""),"")</f>
        <v/>
      </c>
      <c r="E281" s="52"/>
      <c r="F281" t="str">
        <f>IFERROR(XLOOKUP(C281,'Master Barang'!$A:$A,'Master Barang'!$D:$D,""),"")</f>
        <v/>
      </c>
    </row>
    <row r="282" spans="1:6">
      <c r="A282" s="49"/>
      <c r="D282" t="str">
        <f>IFERROR(XLOOKUP(C282,'Master Barang'!$A:$A,'Master Barang'!$B:$B,""),"")</f>
        <v/>
      </c>
      <c r="E282" s="52"/>
      <c r="F282" t="str">
        <f>IFERROR(XLOOKUP(C282,'Master Barang'!$A:$A,'Master Barang'!$D:$D,""),"")</f>
        <v/>
      </c>
    </row>
    <row r="283" spans="1:6">
      <c r="A283" s="49"/>
      <c r="D283" t="str">
        <f>IFERROR(XLOOKUP(C283,'Master Barang'!$A:$A,'Master Barang'!$B:$B,""),"")</f>
        <v/>
      </c>
      <c r="E283" s="52"/>
      <c r="F283" t="str">
        <f>IFERROR(XLOOKUP(C283,'Master Barang'!$A:$A,'Master Barang'!$D:$D,""),"")</f>
        <v/>
      </c>
    </row>
    <row r="284" spans="1:6">
      <c r="A284" s="49"/>
      <c r="D284" t="str">
        <f>IFERROR(XLOOKUP(C284,'Master Barang'!$A:$A,'Master Barang'!$B:$B,""),"")</f>
        <v/>
      </c>
      <c r="E284" s="52"/>
      <c r="F284" t="str">
        <f>IFERROR(XLOOKUP(C284,'Master Barang'!$A:$A,'Master Barang'!$D:$D,""),"")</f>
        <v/>
      </c>
    </row>
    <row r="285" spans="1:6">
      <c r="A285" s="49"/>
      <c r="D285" t="str">
        <f>IFERROR(XLOOKUP(C285,'Master Barang'!$A:$A,'Master Barang'!$B:$B,""),"")</f>
        <v/>
      </c>
      <c r="E285" s="52"/>
      <c r="F285" t="str">
        <f>IFERROR(XLOOKUP(C285,'Master Barang'!$A:$A,'Master Barang'!$D:$D,""),"")</f>
        <v/>
      </c>
    </row>
    <row r="286" spans="1:6">
      <c r="A286" s="49"/>
      <c r="D286" t="str">
        <f>IFERROR(XLOOKUP(C286,'Master Barang'!$A:$A,'Master Barang'!$B:$B,""),"")</f>
        <v/>
      </c>
      <c r="E286" s="52"/>
      <c r="F286" t="str">
        <f>IFERROR(XLOOKUP(C286,'Master Barang'!$A:$A,'Master Barang'!$D:$D,""),"")</f>
        <v/>
      </c>
    </row>
    <row r="287" spans="1:6">
      <c r="A287" s="49"/>
      <c r="D287" t="str">
        <f>IFERROR(XLOOKUP(C287,'Master Barang'!$A:$A,'Master Barang'!$B:$B,""),"")</f>
        <v/>
      </c>
      <c r="E287" s="52"/>
      <c r="F287" t="str">
        <f>IFERROR(XLOOKUP(C287,'Master Barang'!$A:$A,'Master Barang'!$D:$D,""),"")</f>
        <v/>
      </c>
    </row>
    <row r="288" spans="1:6">
      <c r="A288" s="49"/>
      <c r="D288" t="str">
        <f>IFERROR(XLOOKUP(C288,'Master Barang'!$A:$A,'Master Barang'!$B:$B,""),"")</f>
        <v/>
      </c>
      <c r="E288" s="52"/>
      <c r="F288" t="str">
        <f>IFERROR(XLOOKUP(C288,'Master Barang'!$A:$A,'Master Barang'!$D:$D,""),"")</f>
        <v/>
      </c>
    </row>
    <row r="289" spans="1:6">
      <c r="A289" s="49"/>
      <c r="D289" t="str">
        <f>IFERROR(XLOOKUP(C289,'Master Barang'!$A:$A,'Master Barang'!$B:$B,""),"")</f>
        <v/>
      </c>
      <c r="E289" s="52"/>
      <c r="F289" t="str">
        <f>IFERROR(XLOOKUP(C289,'Master Barang'!$A:$A,'Master Barang'!$D:$D,""),"")</f>
        <v/>
      </c>
    </row>
    <row r="290" spans="1:6">
      <c r="A290" s="49"/>
      <c r="D290" t="str">
        <f>IFERROR(XLOOKUP(C290,'Master Barang'!$A:$A,'Master Barang'!$B:$B,""),"")</f>
        <v/>
      </c>
      <c r="E290" s="52"/>
      <c r="F290" t="str">
        <f>IFERROR(XLOOKUP(C290,'Master Barang'!$A:$A,'Master Barang'!$D:$D,""),"")</f>
        <v/>
      </c>
    </row>
    <row r="291" spans="1:6">
      <c r="A291" s="49"/>
      <c r="D291" t="str">
        <f>IFERROR(XLOOKUP(C291,'Master Barang'!$A:$A,'Master Barang'!$B:$B,""),"")</f>
        <v/>
      </c>
      <c r="E291" s="52"/>
      <c r="F291" t="str">
        <f>IFERROR(XLOOKUP(C291,'Master Barang'!$A:$A,'Master Barang'!$D:$D,""),"")</f>
        <v/>
      </c>
    </row>
    <row r="292" spans="1:6">
      <c r="A292" s="49"/>
      <c r="D292" t="str">
        <f>IFERROR(XLOOKUP(C292,'Master Barang'!$A:$A,'Master Barang'!$B:$B,""),"")</f>
        <v/>
      </c>
      <c r="E292" s="52"/>
      <c r="F292" t="str">
        <f>IFERROR(XLOOKUP(C292,'Master Barang'!$A:$A,'Master Barang'!$D:$D,""),"")</f>
        <v/>
      </c>
    </row>
    <row r="293" spans="1:6">
      <c r="A293" s="49"/>
      <c r="D293" t="str">
        <f>IFERROR(XLOOKUP(C293,'Master Barang'!$A:$A,'Master Barang'!$B:$B,""),"")</f>
        <v/>
      </c>
      <c r="E293" s="52"/>
      <c r="F293" t="str">
        <f>IFERROR(XLOOKUP(C293,'Master Barang'!$A:$A,'Master Barang'!$D:$D,""),"")</f>
        <v/>
      </c>
    </row>
    <row r="294" spans="1:6">
      <c r="A294" s="49"/>
      <c r="D294" t="str">
        <f>IFERROR(XLOOKUP(C294,'Master Barang'!$A:$A,'Master Barang'!$B:$B,""),"")</f>
        <v/>
      </c>
      <c r="E294" s="52"/>
      <c r="F294" t="str">
        <f>IFERROR(XLOOKUP(C294,'Master Barang'!$A:$A,'Master Barang'!$D:$D,""),"")</f>
        <v/>
      </c>
    </row>
    <row r="295" spans="1:6">
      <c r="A295" s="49"/>
      <c r="D295" t="str">
        <f>IFERROR(XLOOKUP(C295,'Master Barang'!$A:$A,'Master Barang'!$B:$B,""),"")</f>
        <v/>
      </c>
      <c r="E295" s="52"/>
      <c r="F295" t="str">
        <f>IFERROR(XLOOKUP(C295,'Master Barang'!$A:$A,'Master Barang'!$D:$D,""),"")</f>
        <v/>
      </c>
    </row>
    <row r="296" spans="1:6">
      <c r="A296" s="49"/>
      <c r="D296" t="str">
        <f>IFERROR(XLOOKUP(C296,'Master Barang'!$A:$A,'Master Barang'!$B:$B,""),"")</f>
        <v/>
      </c>
      <c r="E296" s="52"/>
      <c r="F296" t="str">
        <f>IFERROR(XLOOKUP(C296,'Master Barang'!$A:$A,'Master Barang'!$D:$D,""),"")</f>
        <v/>
      </c>
    </row>
    <row r="297" spans="1:6">
      <c r="A297" s="49"/>
      <c r="D297" t="str">
        <f>IFERROR(XLOOKUP(C297,'Master Barang'!$A:$A,'Master Barang'!$B:$B,""),"")</f>
        <v/>
      </c>
      <c r="E297" s="52"/>
      <c r="F297" t="str">
        <f>IFERROR(XLOOKUP(C297,'Master Barang'!$A:$A,'Master Barang'!$D:$D,""),"")</f>
        <v/>
      </c>
    </row>
    <row r="298" spans="1:6">
      <c r="A298" s="49"/>
      <c r="D298" t="str">
        <f>IFERROR(XLOOKUP(C298,'Master Barang'!$A:$A,'Master Barang'!$B:$B,""),"")</f>
        <v/>
      </c>
      <c r="E298" s="52"/>
      <c r="F298" t="str">
        <f>IFERROR(XLOOKUP(C298,'Master Barang'!$A:$A,'Master Barang'!$D:$D,""),"")</f>
        <v/>
      </c>
    </row>
    <row r="299" spans="1:6">
      <c r="A299" s="49"/>
      <c r="D299" t="str">
        <f>IFERROR(XLOOKUP(C299,'Master Barang'!$A:$A,'Master Barang'!$B:$B,""),"")</f>
        <v/>
      </c>
      <c r="E299" s="52"/>
      <c r="F299" t="str">
        <f>IFERROR(XLOOKUP(C299,'Master Barang'!$A:$A,'Master Barang'!$D:$D,""),"")</f>
        <v/>
      </c>
    </row>
    <row r="300" spans="1:6">
      <c r="A300" s="49"/>
      <c r="D300" t="str">
        <f>IFERROR(XLOOKUP(C300,'Master Barang'!$A:$A,'Master Barang'!$B:$B,""),"")</f>
        <v/>
      </c>
      <c r="E300" s="52"/>
      <c r="F300" t="str">
        <f>IFERROR(XLOOKUP(C300,'Master Barang'!$A:$A,'Master Barang'!$D:$D,""),"")</f>
        <v/>
      </c>
    </row>
    <row r="301" spans="1:6">
      <c r="A301" s="49"/>
      <c r="D301" t="str">
        <f>IFERROR(XLOOKUP(C301,'Master Barang'!$A:$A,'Master Barang'!$B:$B,""),"")</f>
        <v/>
      </c>
      <c r="E301" s="52"/>
      <c r="F301" t="str">
        <f>IFERROR(XLOOKUP(C301,'Master Barang'!$A:$A,'Master Barang'!$D:$D,""),"")</f>
        <v/>
      </c>
    </row>
    <row r="302" spans="1:6">
      <c r="A302" s="49"/>
      <c r="D302" t="str">
        <f>IFERROR(XLOOKUP(C302,'Master Barang'!$A:$A,'Master Barang'!$B:$B,""),"")</f>
        <v/>
      </c>
      <c r="E302" s="52"/>
      <c r="F302" t="str">
        <f>IFERROR(XLOOKUP(C302,'Master Barang'!$A:$A,'Master Barang'!$D:$D,""),"")</f>
        <v/>
      </c>
    </row>
    <row r="303" spans="1:6">
      <c r="A303" s="49"/>
      <c r="D303" t="str">
        <f>IFERROR(XLOOKUP(C303,'Master Barang'!$A:$A,'Master Barang'!$B:$B,""),"")</f>
        <v/>
      </c>
      <c r="E303" s="52"/>
      <c r="F303" t="str">
        <f>IFERROR(XLOOKUP(C303,'Master Barang'!$A:$A,'Master Barang'!$D:$D,""),"")</f>
        <v/>
      </c>
    </row>
    <row r="304" spans="1:6">
      <c r="A304" s="49"/>
      <c r="D304" t="str">
        <f>IFERROR(XLOOKUP(C304,'Master Barang'!$A:$A,'Master Barang'!$B:$B,""),"")</f>
        <v/>
      </c>
      <c r="E304" s="52"/>
      <c r="F304" t="str">
        <f>IFERROR(XLOOKUP(C304,'Master Barang'!$A:$A,'Master Barang'!$D:$D,""),"")</f>
        <v/>
      </c>
    </row>
    <row r="305" spans="1:6">
      <c r="A305" s="49"/>
      <c r="D305" t="str">
        <f>IFERROR(XLOOKUP(C305,'Master Barang'!$A:$A,'Master Barang'!$B:$B,""),"")</f>
        <v/>
      </c>
      <c r="E305" s="52"/>
      <c r="F305" t="str">
        <f>IFERROR(XLOOKUP(C305,'Master Barang'!$A:$A,'Master Barang'!$D:$D,""),"")</f>
        <v/>
      </c>
    </row>
    <row r="306" spans="1:6">
      <c r="A306" s="49"/>
      <c r="D306" t="str">
        <f>IFERROR(XLOOKUP(C306,'Master Barang'!$A:$A,'Master Barang'!$B:$B,""),"")</f>
        <v/>
      </c>
      <c r="E306" s="52"/>
      <c r="F306" t="str">
        <f>IFERROR(XLOOKUP(C306,'Master Barang'!$A:$A,'Master Barang'!$D:$D,""),"")</f>
        <v/>
      </c>
    </row>
    <row r="307" spans="1:6">
      <c r="A307" s="49"/>
      <c r="D307" t="str">
        <f>IFERROR(XLOOKUP(C307,'Master Barang'!$A:$A,'Master Barang'!$B:$B,""),"")</f>
        <v/>
      </c>
      <c r="E307" s="52"/>
      <c r="F307" t="str">
        <f>IFERROR(XLOOKUP(C307,'Master Barang'!$A:$A,'Master Barang'!$D:$D,""),"")</f>
        <v/>
      </c>
    </row>
    <row r="308" spans="1:6">
      <c r="A308" s="49"/>
      <c r="D308" t="str">
        <f>IFERROR(XLOOKUP(C308,'Master Barang'!$A:$A,'Master Barang'!$B:$B,""),"")</f>
        <v/>
      </c>
      <c r="E308" s="52"/>
      <c r="F308" t="str">
        <f>IFERROR(XLOOKUP(C308,'Master Barang'!$A:$A,'Master Barang'!$D:$D,""),"")</f>
        <v/>
      </c>
    </row>
    <row r="309" spans="1:6">
      <c r="A309" s="49"/>
      <c r="D309" t="str">
        <f>IFERROR(XLOOKUP(C309,'Master Barang'!$A:$A,'Master Barang'!$B:$B,""),"")</f>
        <v/>
      </c>
      <c r="E309" s="52"/>
      <c r="F309" t="str">
        <f>IFERROR(XLOOKUP(C309,'Master Barang'!$A:$A,'Master Barang'!$D:$D,""),"")</f>
        <v/>
      </c>
    </row>
    <row r="310" spans="1:6">
      <c r="A310" s="49"/>
      <c r="D310" t="str">
        <f>IFERROR(XLOOKUP(C310,'Master Barang'!$A:$A,'Master Barang'!$B:$B,""),"")</f>
        <v/>
      </c>
      <c r="E310" s="52"/>
      <c r="F310" t="str">
        <f>IFERROR(XLOOKUP(C310,'Master Barang'!$A:$A,'Master Barang'!$D:$D,""),"")</f>
        <v/>
      </c>
    </row>
    <row r="311" spans="1:6">
      <c r="A311" s="49"/>
      <c r="D311" t="str">
        <f>IFERROR(XLOOKUP(C311,'Master Barang'!$A:$A,'Master Barang'!$B:$B,""),"")</f>
        <v/>
      </c>
      <c r="E311" s="52"/>
      <c r="F311" t="str">
        <f>IFERROR(XLOOKUP(C311,'Master Barang'!$A:$A,'Master Barang'!$D:$D,""),"")</f>
        <v/>
      </c>
    </row>
    <row r="312" spans="1:6">
      <c r="A312" s="49"/>
      <c r="D312" t="str">
        <f>IFERROR(XLOOKUP(C312,'Master Barang'!$A:$A,'Master Barang'!$B:$B,""),"")</f>
        <v/>
      </c>
      <c r="E312" s="52"/>
      <c r="F312" t="str">
        <f>IFERROR(XLOOKUP(C312,'Master Barang'!$A:$A,'Master Barang'!$D:$D,""),"")</f>
        <v/>
      </c>
    </row>
    <row r="313" spans="1:6">
      <c r="A313" s="49"/>
      <c r="D313" t="str">
        <f>IFERROR(XLOOKUP(C313,'Master Barang'!$A:$A,'Master Barang'!$B:$B,""),"")</f>
        <v/>
      </c>
      <c r="E313" s="52"/>
      <c r="F313" t="str">
        <f>IFERROR(XLOOKUP(C313,'Master Barang'!$A:$A,'Master Barang'!$D:$D,""),"")</f>
        <v/>
      </c>
    </row>
    <row r="314" spans="1:6">
      <c r="A314" s="49"/>
      <c r="D314" t="str">
        <f>IFERROR(XLOOKUP(C314,'Master Barang'!$A:$A,'Master Barang'!$B:$B,""),"")</f>
        <v/>
      </c>
      <c r="E314" s="52"/>
      <c r="F314" t="str">
        <f>IFERROR(XLOOKUP(C314,'Master Barang'!$A:$A,'Master Barang'!$D:$D,""),"")</f>
        <v/>
      </c>
    </row>
    <row r="315" spans="1:6">
      <c r="A315" s="49"/>
      <c r="D315" t="str">
        <f>IFERROR(XLOOKUP(C315,'Master Barang'!$A:$A,'Master Barang'!$B:$B,""),"")</f>
        <v/>
      </c>
      <c r="E315" s="52"/>
      <c r="F315" t="str">
        <f>IFERROR(XLOOKUP(C315,'Master Barang'!$A:$A,'Master Barang'!$D:$D,""),"")</f>
        <v/>
      </c>
    </row>
    <row r="316" spans="1:6">
      <c r="A316" s="49"/>
      <c r="D316" t="str">
        <f>IFERROR(XLOOKUP(C316,'Master Barang'!$A:$A,'Master Barang'!$B:$B,""),"")</f>
        <v/>
      </c>
      <c r="E316" s="52"/>
      <c r="F316" t="str">
        <f>IFERROR(XLOOKUP(C316,'Master Barang'!$A:$A,'Master Barang'!$D:$D,""),"")</f>
        <v/>
      </c>
    </row>
    <row r="317" spans="1:6">
      <c r="A317" s="49"/>
      <c r="D317" t="str">
        <f>IFERROR(XLOOKUP(C317,'Master Barang'!$A:$A,'Master Barang'!$B:$B,""),"")</f>
        <v/>
      </c>
      <c r="E317" s="52"/>
      <c r="F317" t="str">
        <f>IFERROR(XLOOKUP(C317,'Master Barang'!$A:$A,'Master Barang'!$D:$D,""),"")</f>
        <v/>
      </c>
    </row>
    <row r="318" spans="1:6">
      <c r="A318" s="49"/>
      <c r="D318" t="str">
        <f>IFERROR(XLOOKUP(C318,'Master Barang'!$A:$A,'Master Barang'!$B:$B,""),"")</f>
        <v/>
      </c>
      <c r="E318" s="52"/>
      <c r="F318" t="str">
        <f>IFERROR(XLOOKUP(C318,'Master Barang'!$A:$A,'Master Barang'!$D:$D,""),"")</f>
        <v/>
      </c>
    </row>
    <row r="319" spans="1:6">
      <c r="A319" s="49"/>
      <c r="D319" t="str">
        <f>IFERROR(XLOOKUP(C319,'Master Barang'!$A:$A,'Master Barang'!$B:$B,""),"")</f>
        <v/>
      </c>
      <c r="E319" s="52"/>
      <c r="F319" t="str">
        <f>IFERROR(XLOOKUP(C319,'Master Barang'!$A:$A,'Master Barang'!$D:$D,""),"")</f>
        <v/>
      </c>
    </row>
    <row r="320" spans="1:6">
      <c r="A320" s="49"/>
      <c r="D320" t="str">
        <f>IFERROR(XLOOKUP(C320,'Master Barang'!$A:$A,'Master Barang'!$B:$B,""),"")</f>
        <v/>
      </c>
      <c r="E320" s="52"/>
      <c r="F320" t="str">
        <f>IFERROR(XLOOKUP(C320,'Master Barang'!$A:$A,'Master Barang'!$D:$D,""),"")</f>
        <v/>
      </c>
    </row>
    <row r="321" spans="1:6">
      <c r="A321" s="49"/>
      <c r="D321" t="str">
        <f>IFERROR(XLOOKUP(C321,'Master Barang'!$A:$A,'Master Barang'!$B:$B,""),"")</f>
        <v/>
      </c>
      <c r="E321" s="52"/>
      <c r="F321" t="str">
        <f>IFERROR(XLOOKUP(C321,'Master Barang'!$A:$A,'Master Barang'!$D:$D,""),"")</f>
        <v/>
      </c>
    </row>
    <row r="322" spans="1:6">
      <c r="A322" s="49"/>
      <c r="D322" t="str">
        <f>IFERROR(XLOOKUP(C322,'Master Barang'!$A:$A,'Master Barang'!$B:$B,""),"")</f>
        <v/>
      </c>
      <c r="E322" s="52"/>
      <c r="F322" t="str">
        <f>IFERROR(XLOOKUP(C322,'Master Barang'!$A:$A,'Master Barang'!$D:$D,""),"")</f>
        <v/>
      </c>
    </row>
    <row r="323" spans="1:6">
      <c r="A323" s="49"/>
      <c r="D323" t="str">
        <f>IFERROR(XLOOKUP(C323,'Master Barang'!$A:$A,'Master Barang'!$B:$B,""),"")</f>
        <v/>
      </c>
      <c r="E323" s="52"/>
      <c r="F323" t="str">
        <f>IFERROR(XLOOKUP(C323,'Master Barang'!$A:$A,'Master Barang'!$D:$D,""),"")</f>
        <v/>
      </c>
    </row>
    <row r="324" spans="1:6">
      <c r="A324" s="49"/>
      <c r="D324" t="str">
        <f>IFERROR(XLOOKUP(C324,'Master Barang'!$A:$A,'Master Barang'!$B:$B,""),"")</f>
        <v/>
      </c>
      <c r="E324" s="52"/>
      <c r="F324" t="str">
        <f>IFERROR(XLOOKUP(C324,'Master Barang'!$A:$A,'Master Barang'!$D:$D,""),"")</f>
        <v/>
      </c>
    </row>
    <row r="325" spans="1:6">
      <c r="A325" s="49"/>
      <c r="D325" t="str">
        <f>IFERROR(XLOOKUP(C325,'Master Barang'!$A:$A,'Master Barang'!$B:$B,""),"")</f>
        <v/>
      </c>
      <c r="E325" s="52"/>
      <c r="F325" t="str">
        <f>IFERROR(XLOOKUP(C325,'Master Barang'!$A:$A,'Master Barang'!$D:$D,""),"")</f>
        <v/>
      </c>
    </row>
    <row r="326" spans="1:6">
      <c r="A326" s="49"/>
      <c r="D326" t="str">
        <f>IFERROR(XLOOKUP(C326,'Master Barang'!$A:$A,'Master Barang'!$B:$B,""),"")</f>
        <v/>
      </c>
      <c r="E326" s="52"/>
      <c r="F326" t="str">
        <f>IFERROR(XLOOKUP(C326,'Master Barang'!$A:$A,'Master Barang'!$D:$D,""),"")</f>
        <v/>
      </c>
    </row>
    <row r="327" spans="1:6">
      <c r="A327" s="49"/>
      <c r="D327" t="str">
        <f>IFERROR(XLOOKUP(C327,'Master Barang'!$A:$A,'Master Barang'!$B:$B,""),"")</f>
        <v/>
      </c>
      <c r="E327" s="52"/>
      <c r="F327" t="str">
        <f>IFERROR(XLOOKUP(C327,'Master Barang'!$A:$A,'Master Barang'!$D:$D,""),"")</f>
        <v/>
      </c>
    </row>
    <row r="328" spans="1:6">
      <c r="A328" s="49"/>
      <c r="D328" t="str">
        <f>IFERROR(XLOOKUP(C328,'Master Barang'!$A:$A,'Master Barang'!$B:$B,""),"")</f>
        <v/>
      </c>
      <c r="E328" s="52"/>
      <c r="F328" t="str">
        <f>IFERROR(XLOOKUP(C328,'Master Barang'!$A:$A,'Master Barang'!$D:$D,""),"")</f>
        <v/>
      </c>
    </row>
    <row r="329" spans="1:6">
      <c r="A329" s="49"/>
      <c r="D329" t="str">
        <f>IFERROR(XLOOKUP(C329,'Master Barang'!$A:$A,'Master Barang'!$B:$B,""),"")</f>
        <v/>
      </c>
      <c r="E329" s="52"/>
      <c r="F329" t="str">
        <f>IFERROR(XLOOKUP(C329,'Master Barang'!$A:$A,'Master Barang'!$D:$D,""),"")</f>
        <v/>
      </c>
    </row>
    <row r="330" spans="1:6">
      <c r="A330" s="49"/>
      <c r="D330" t="str">
        <f>IFERROR(XLOOKUP(C330,'Master Barang'!$A:$A,'Master Barang'!$B:$B,""),"")</f>
        <v/>
      </c>
      <c r="E330" s="52"/>
      <c r="F330" t="str">
        <f>IFERROR(XLOOKUP(C330,'Master Barang'!$A:$A,'Master Barang'!$D:$D,""),"")</f>
        <v/>
      </c>
    </row>
    <row r="331" spans="1:6">
      <c r="A331" s="49"/>
      <c r="D331" t="str">
        <f>IFERROR(XLOOKUP(C331,'Master Barang'!$A:$A,'Master Barang'!$B:$B,""),"")</f>
        <v/>
      </c>
      <c r="E331" s="52"/>
      <c r="F331" t="str">
        <f>IFERROR(XLOOKUP(C331,'Master Barang'!$A:$A,'Master Barang'!$D:$D,""),"")</f>
        <v/>
      </c>
    </row>
    <row r="332" spans="1:6">
      <c r="A332" s="49"/>
      <c r="D332" t="str">
        <f>IFERROR(XLOOKUP(C332,'Master Barang'!$A:$A,'Master Barang'!$B:$B,""),"")</f>
        <v/>
      </c>
      <c r="E332" s="52"/>
      <c r="F332" t="str">
        <f>IFERROR(XLOOKUP(C332,'Master Barang'!$A:$A,'Master Barang'!$D:$D,""),"")</f>
        <v/>
      </c>
    </row>
    <row r="333" spans="1:6">
      <c r="A333" s="49"/>
      <c r="D333" t="str">
        <f>IFERROR(XLOOKUP(C333,'Master Barang'!$A:$A,'Master Barang'!$B:$B,""),"")</f>
        <v/>
      </c>
      <c r="E333" s="52"/>
      <c r="F333" t="str">
        <f>IFERROR(XLOOKUP(C333,'Master Barang'!$A:$A,'Master Barang'!$D:$D,""),"")</f>
        <v/>
      </c>
    </row>
    <row r="334" spans="1:6">
      <c r="A334" s="49"/>
      <c r="D334" t="str">
        <f>IFERROR(XLOOKUP(C334,'Master Barang'!$A:$A,'Master Barang'!$B:$B,""),"")</f>
        <v/>
      </c>
      <c r="E334" s="52"/>
      <c r="F334" t="str">
        <f>IFERROR(XLOOKUP(C334,'Master Barang'!$A:$A,'Master Barang'!$D:$D,""),"")</f>
        <v/>
      </c>
    </row>
    <row r="335" spans="1:6">
      <c r="A335" s="49"/>
      <c r="D335" t="str">
        <f>IFERROR(XLOOKUP(C335,'Master Barang'!$A:$A,'Master Barang'!$B:$B,""),"")</f>
        <v/>
      </c>
      <c r="E335" s="52"/>
      <c r="F335" t="str">
        <f>IFERROR(XLOOKUP(C335,'Master Barang'!$A:$A,'Master Barang'!$D:$D,""),"")</f>
        <v/>
      </c>
    </row>
    <row r="336" spans="1:6">
      <c r="A336" s="49"/>
      <c r="D336" t="str">
        <f>IFERROR(XLOOKUP(C336,'Master Barang'!$A:$A,'Master Barang'!$B:$B,""),"")</f>
        <v/>
      </c>
      <c r="E336" s="52"/>
      <c r="F336" t="str">
        <f>IFERROR(XLOOKUP(C336,'Master Barang'!$A:$A,'Master Barang'!$D:$D,""),"")</f>
        <v/>
      </c>
    </row>
    <row r="337" spans="1:6">
      <c r="A337" s="49"/>
      <c r="D337" t="str">
        <f>IFERROR(XLOOKUP(C337,'Master Barang'!$A:$A,'Master Barang'!$B:$B,""),"")</f>
        <v/>
      </c>
      <c r="E337" s="52"/>
      <c r="F337" t="str">
        <f>IFERROR(XLOOKUP(C337,'Master Barang'!$A:$A,'Master Barang'!$D:$D,""),"")</f>
        <v/>
      </c>
    </row>
    <row r="338" spans="1:6">
      <c r="A338" s="49"/>
      <c r="D338" t="str">
        <f>IFERROR(XLOOKUP(C338,'Master Barang'!$A:$A,'Master Barang'!$B:$B,""),"")</f>
        <v/>
      </c>
      <c r="E338" s="52"/>
      <c r="F338" t="str">
        <f>IFERROR(XLOOKUP(C338,'Master Barang'!$A:$A,'Master Barang'!$D:$D,""),"")</f>
        <v/>
      </c>
    </row>
    <row r="339" spans="1:6">
      <c r="A339" s="49"/>
      <c r="D339" t="str">
        <f>IFERROR(XLOOKUP(C339,'Master Barang'!$A:$A,'Master Barang'!$B:$B,""),"")</f>
        <v/>
      </c>
      <c r="E339" s="52"/>
      <c r="F339" t="str">
        <f>IFERROR(XLOOKUP(C339,'Master Barang'!$A:$A,'Master Barang'!$D:$D,""),"")</f>
        <v/>
      </c>
    </row>
    <row r="340" spans="1:6">
      <c r="A340" s="49"/>
      <c r="D340" t="str">
        <f>IFERROR(XLOOKUP(C340,'Master Barang'!$A:$A,'Master Barang'!$B:$B,""),"")</f>
        <v/>
      </c>
      <c r="E340" s="52"/>
      <c r="F340" t="str">
        <f>IFERROR(XLOOKUP(C340,'Master Barang'!$A:$A,'Master Barang'!$D:$D,""),"")</f>
        <v/>
      </c>
    </row>
    <row r="341" spans="1:6">
      <c r="A341" s="49"/>
      <c r="D341" t="str">
        <f>IFERROR(XLOOKUP(C341,'Master Barang'!$A:$A,'Master Barang'!$B:$B,""),"")</f>
        <v/>
      </c>
      <c r="E341" s="52"/>
      <c r="F341" t="str">
        <f>IFERROR(XLOOKUP(C341,'Master Barang'!$A:$A,'Master Barang'!$D:$D,""),"")</f>
        <v/>
      </c>
    </row>
    <row r="342" spans="1:6">
      <c r="A342" s="49"/>
      <c r="D342" t="str">
        <f>IFERROR(XLOOKUP(C342,'Master Barang'!$A:$A,'Master Barang'!$B:$B,""),"")</f>
        <v/>
      </c>
      <c r="E342" s="52"/>
      <c r="F342" t="str">
        <f>IFERROR(XLOOKUP(C342,'Master Barang'!$A:$A,'Master Barang'!$D:$D,""),"")</f>
        <v/>
      </c>
    </row>
    <row r="343" spans="1:6">
      <c r="A343" s="49"/>
      <c r="D343" t="str">
        <f>IFERROR(XLOOKUP(C343,'Master Barang'!$A:$A,'Master Barang'!$B:$B,""),"")</f>
        <v/>
      </c>
      <c r="E343" s="52"/>
      <c r="F343" t="str">
        <f>IFERROR(XLOOKUP(C343,'Master Barang'!$A:$A,'Master Barang'!$D:$D,""),"")</f>
        <v/>
      </c>
    </row>
    <row r="344" spans="1:6">
      <c r="A344" s="49"/>
      <c r="D344" t="str">
        <f>IFERROR(XLOOKUP(C344,'Master Barang'!$A:$A,'Master Barang'!$B:$B,""),"")</f>
        <v/>
      </c>
      <c r="E344" s="52"/>
      <c r="F344" t="str">
        <f>IFERROR(XLOOKUP(C344,'Master Barang'!$A:$A,'Master Barang'!$D:$D,""),"")</f>
        <v/>
      </c>
    </row>
    <row r="345" spans="1:6">
      <c r="A345" s="49"/>
      <c r="D345" t="str">
        <f>IFERROR(XLOOKUP(C345,'Master Barang'!$A:$A,'Master Barang'!$B:$B,""),"")</f>
        <v/>
      </c>
      <c r="E345" s="52"/>
      <c r="F345" t="str">
        <f>IFERROR(XLOOKUP(C345,'Master Barang'!$A:$A,'Master Barang'!$D:$D,""),"")</f>
        <v/>
      </c>
    </row>
    <row r="346" spans="1:6">
      <c r="A346" s="49"/>
      <c r="D346" t="str">
        <f>IFERROR(XLOOKUP(C346,'Master Barang'!$A:$A,'Master Barang'!$B:$B,""),"")</f>
        <v/>
      </c>
      <c r="E346" s="52"/>
      <c r="F346" t="str">
        <f>IFERROR(XLOOKUP(C346,'Master Barang'!$A:$A,'Master Barang'!$D:$D,""),"")</f>
        <v/>
      </c>
    </row>
    <row r="347" spans="1:6">
      <c r="A347" s="49"/>
      <c r="D347" t="str">
        <f>IFERROR(XLOOKUP(C347,'Master Barang'!$A:$A,'Master Barang'!$B:$B,""),"")</f>
        <v/>
      </c>
      <c r="E347" s="52"/>
      <c r="F347" t="str">
        <f>IFERROR(XLOOKUP(C347,'Master Barang'!$A:$A,'Master Barang'!$D:$D,""),"")</f>
        <v/>
      </c>
    </row>
    <row r="348" spans="1:6">
      <c r="A348" s="49"/>
      <c r="D348" t="str">
        <f>IFERROR(XLOOKUP(C348,'Master Barang'!$A:$A,'Master Barang'!$B:$B,""),"")</f>
        <v/>
      </c>
      <c r="E348" s="52"/>
      <c r="F348" t="str">
        <f>IFERROR(XLOOKUP(C348,'Master Barang'!$A:$A,'Master Barang'!$D:$D,""),"")</f>
        <v/>
      </c>
    </row>
    <row r="349" spans="1:6">
      <c r="A349" s="49"/>
      <c r="D349" t="str">
        <f>IFERROR(XLOOKUP(C349,'Master Barang'!$A:$A,'Master Barang'!$B:$B,""),"")</f>
        <v/>
      </c>
      <c r="E349" s="52"/>
      <c r="F349" t="str">
        <f>IFERROR(XLOOKUP(C349,'Master Barang'!$A:$A,'Master Barang'!$D:$D,""),"")</f>
        <v/>
      </c>
    </row>
    <row r="350" spans="1:6">
      <c r="A350" s="49"/>
      <c r="D350" t="str">
        <f>IFERROR(XLOOKUP(C350,'Master Barang'!$A:$A,'Master Barang'!$B:$B,""),"")</f>
        <v/>
      </c>
      <c r="E350" s="52"/>
      <c r="F350" t="str">
        <f>IFERROR(XLOOKUP(C350,'Master Barang'!$A:$A,'Master Barang'!$D:$D,""),"")</f>
        <v/>
      </c>
    </row>
    <row r="351" spans="1:6">
      <c r="A351" s="49"/>
      <c r="D351" t="str">
        <f>IFERROR(XLOOKUP(C351,'Master Barang'!$A:$A,'Master Barang'!$B:$B,""),"")</f>
        <v/>
      </c>
      <c r="E351" s="52"/>
      <c r="F351" t="str">
        <f>IFERROR(XLOOKUP(C351,'Master Barang'!$A:$A,'Master Barang'!$D:$D,""),"")</f>
        <v/>
      </c>
    </row>
    <row r="352" spans="1:6">
      <c r="A352" s="49"/>
      <c r="D352" t="str">
        <f>IFERROR(XLOOKUP(C352,'Master Barang'!$A:$A,'Master Barang'!$B:$B,""),"")</f>
        <v/>
      </c>
      <c r="E352" s="52"/>
      <c r="F352" t="str">
        <f>IFERROR(XLOOKUP(C352,'Master Barang'!$A:$A,'Master Barang'!$D:$D,""),"")</f>
        <v/>
      </c>
    </row>
    <row r="353" spans="1:6">
      <c r="A353" s="49"/>
      <c r="D353" t="str">
        <f>IFERROR(XLOOKUP(C353,'Master Barang'!$A:$A,'Master Barang'!$B:$B,""),"")</f>
        <v/>
      </c>
      <c r="E353" s="52"/>
      <c r="F353" t="str">
        <f>IFERROR(XLOOKUP(C353,'Master Barang'!$A:$A,'Master Barang'!$D:$D,""),"")</f>
        <v/>
      </c>
    </row>
    <row r="354" spans="1:6">
      <c r="A354" s="49"/>
      <c r="D354" t="str">
        <f>IFERROR(XLOOKUP(C354,'Master Barang'!$A:$A,'Master Barang'!$B:$B,""),"")</f>
        <v/>
      </c>
      <c r="E354" s="52"/>
      <c r="F354" t="str">
        <f>IFERROR(XLOOKUP(C354,'Master Barang'!$A:$A,'Master Barang'!$D:$D,""),"")</f>
        <v/>
      </c>
    </row>
    <row r="355" spans="1:6">
      <c r="A355" s="49"/>
      <c r="D355" t="str">
        <f>IFERROR(XLOOKUP(C355,'Master Barang'!$A:$A,'Master Barang'!$B:$B,""),"")</f>
        <v/>
      </c>
      <c r="E355" s="52"/>
      <c r="F355" t="str">
        <f>IFERROR(XLOOKUP(C355,'Master Barang'!$A:$A,'Master Barang'!$D:$D,""),"")</f>
        <v/>
      </c>
    </row>
    <row r="356" spans="1:6">
      <c r="A356" s="49"/>
      <c r="D356" t="str">
        <f>IFERROR(XLOOKUP(C356,'Master Barang'!$A:$A,'Master Barang'!$B:$B,""),"")</f>
        <v/>
      </c>
      <c r="E356" s="52"/>
      <c r="F356" t="str">
        <f>IFERROR(XLOOKUP(C356,'Master Barang'!$A:$A,'Master Barang'!$D:$D,""),"")</f>
        <v/>
      </c>
    </row>
    <row r="357" spans="1:6">
      <c r="A357" s="49"/>
      <c r="D357" t="str">
        <f>IFERROR(XLOOKUP(C357,'Master Barang'!$A:$A,'Master Barang'!$B:$B,""),"")</f>
        <v/>
      </c>
      <c r="E357" s="52"/>
      <c r="F357" t="str">
        <f>IFERROR(XLOOKUP(C357,'Master Barang'!$A:$A,'Master Barang'!$D:$D,""),"")</f>
        <v/>
      </c>
    </row>
    <row r="358" spans="1:6">
      <c r="A358" s="49"/>
      <c r="D358" t="str">
        <f>IFERROR(XLOOKUP(C358,'Master Barang'!$A:$A,'Master Barang'!$B:$B,""),"")</f>
        <v/>
      </c>
      <c r="E358" s="52"/>
      <c r="F358" t="str">
        <f>IFERROR(XLOOKUP(C358,'Master Barang'!$A:$A,'Master Barang'!$D:$D,""),"")</f>
        <v/>
      </c>
    </row>
    <row r="359" spans="1:6">
      <c r="A359" s="49"/>
      <c r="D359" t="str">
        <f>IFERROR(XLOOKUP(C359,'Master Barang'!$A:$A,'Master Barang'!$B:$B,""),"")</f>
        <v/>
      </c>
      <c r="E359" s="52"/>
      <c r="F359" t="str">
        <f>IFERROR(XLOOKUP(C359,'Master Barang'!$A:$A,'Master Barang'!$D:$D,""),"")</f>
        <v/>
      </c>
    </row>
    <row r="360" spans="1:6">
      <c r="A360" s="49"/>
      <c r="D360" t="str">
        <f>IFERROR(XLOOKUP(C360,'Master Barang'!$A:$A,'Master Barang'!$B:$B,""),"")</f>
        <v/>
      </c>
      <c r="E360" s="52"/>
      <c r="F360" t="str">
        <f>IFERROR(XLOOKUP(C360,'Master Barang'!$A:$A,'Master Barang'!$D:$D,""),"")</f>
        <v/>
      </c>
    </row>
    <row r="361" spans="1:6">
      <c r="A361" s="49"/>
      <c r="D361" t="str">
        <f>IFERROR(XLOOKUP(C361,'Master Barang'!$A:$A,'Master Barang'!$B:$B,""),"")</f>
        <v/>
      </c>
      <c r="E361" s="52"/>
      <c r="F361" t="str">
        <f>IFERROR(XLOOKUP(C361,'Master Barang'!$A:$A,'Master Barang'!$D:$D,""),"")</f>
        <v/>
      </c>
    </row>
    <row r="362" spans="1:6">
      <c r="A362" s="49"/>
      <c r="D362" t="str">
        <f>IFERROR(XLOOKUP(C362,'Master Barang'!$A:$A,'Master Barang'!$B:$B,""),"")</f>
        <v/>
      </c>
      <c r="E362" s="52"/>
      <c r="F362" t="str">
        <f>IFERROR(XLOOKUP(C362,'Master Barang'!$A:$A,'Master Barang'!$D:$D,""),"")</f>
        <v/>
      </c>
    </row>
    <row r="363" spans="1:6">
      <c r="A363" s="49"/>
      <c r="D363" t="str">
        <f>IFERROR(XLOOKUP(C363,'Master Barang'!$A:$A,'Master Barang'!$B:$B,""),"")</f>
        <v/>
      </c>
      <c r="E363" s="52"/>
      <c r="F363" t="str">
        <f>IFERROR(XLOOKUP(C363,'Master Barang'!$A:$A,'Master Barang'!$D:$D,""),"")</f>
        <v/>
      </c>
    </row>
    <row r="364" spans="1:6">
      <c r="A364" s="49"/>
      <c r="D364" t="str">
        <f>IFERROR(XLOOKUP(C364,'Master Barang'!$A:$A,'Master Barang'!$B:$B,""),"")</f>
        <v/>
      </c>
      <c r="E364" s="52"/>
      <c r="F364" t="str">
        <f>IFERROR(XLOOKUP(C364,'Master Barang'!$A:$A,'Master Barang'!$D:$D,""),"")</f>
        <v/>
      </c>
    </row>
    <row r="365" spans="1:6">
      <c r="A365" s="49"/>
      <c r="D365" t="str">
        <f>IFERROR(XLOOKUP(C365,'Master Barang'!$A:$A,'Master Barang'!$B:$B,""),"")</f>
        <v/>
      </c>
      <c r="E365" s="52"/>
      <c r="F365" t="str">
        <f>IFERROR(XLOOKUP(C365,'Master Barang'!$A:$A,'Master Barang'!$D:$D,""),"")</f>
        <v/>
      </c>
    </row>
    <row r="366" spans="1:6">
      <c r="A366" s="49"/>
      <c r="D366" t="str">
        <f>IFERROR(XLOOKUP(C366,'Master Barang'!$A:$A,'Master Barang'!$B:$B,""),"")</f>
        <v/>
      </c>
      <c r="E366" s="52"/>
      <c r="F366" t="str">
        <f>IFERROR(XLOOKUP(C366,'Master Barang'!$A:$A,'Master Barang'!$D:$D,""),"")</f>
        <v/>
      </c>
    </row>
    <row r="367" spans="1:6">
      <c r="A367" s="49"/>
      <c r="D367" t="str">
        <f>IFERROR(XLOOKUP(C367,'Master Barang'!$A:$A,'Master Barang'!$B:$B,""),"")</f>
        <v/>
      </c>
      <c r="E367" s="52"/>
      <c r="F367" t="str">
        <f>IFERROR(XLOOKUP(C367,'Master Barang'!$A:$A,'Master Barang'!$D:$D,""),"")</f>
        <v/>
      </c>
    </row>
    <row r="368" spans="1:6">
      <c r="A368" s="49"/>
      <c r="D368" t="str">
        <f>IFERROR(XLOOKUP(C368,'Master Barang'!$A:$A,'Master Barang'!$B:$B,""),"")</f>
        <v/>
      </c>
      <c r="E368" s="52"/>
      <c r="F368" t="str">
        <f>IFERROR(XLOOKUP(C368,'Master Barang'!$A:$A,'Master Barang'!$D:$D,""),"")</f>
        <v/>
      </c>
    </row>
    <row r="369" spans="1:6">
      <c r="A369" s="49"/>
      <c r="D369" t="str">
        <f>IFERROR(XLOOKUP(C369,'Master Barang'!$A:$A,'Master Barang'!$B:$B,""),"")</f>
        <v/>
      </c>
      <c r="E369" s="52"/>
      <c r="F369" t="str">
        <f>IFERROR(XLOOKUP(C369,'Master Barang'!$A:$A,'Master Barang'!$D:$D,""),"")</f>
        <v/>
      </c>
    </row>
    <row r="370" spans="1:6">
      <c r="A370" s="49"/>
      <c r="D370" t="str">
        <f>IFERROR(XLOOKUP(C370,'Master Barang'!$A:$A,'Master Barang'!$B:$B,""),"")</f>
        <v/>
      </c>
      <c r="E370" s="52"/>
      <c r="F370" t="str">
        <f>IFERROR(XLOOKUP(C370,'Master Barang'!$A:$A,'Master Barang'!$D:$D,""),"")</f>
        <v/>
      </c>
    </row>
    <row r="371" spans="1:6">
      <c r="A371" s="49"/>
      <c r="D371" t="str">
        <f>IFERROR(XLOOKUP(C371,'Master Barang'!$A:$A,'Master Barang'!$B:$B,""),"")</f>
        <v/>
      </c>
      <c r="E371" s="52"/>
      <c r="F371" t="str">
        <f>IFERROR(XLOOKUP(C371,'Master Barang'!$A:$A,'Master Barang'!$D:$D,""),"")</f>
        <v/>
      </c>
    </row>
    <row r="372" spans="1:6">
      <c r="A372" s="49"/>
      <c r="D372" t="str">
        <f>IFERROR(XLOOKUP(C372,'Master Barang'!$A:$A,'Master Barang'!$B:$B,""),"")</f>
        <v/>
      </c>
      <c r="E372" s="52"/>
      <c r="F372" t="str">
        <f>IFERROR(XLOOKUP(C372,'Master Barang'!$A:$A,'Master Barang'!$D:$D,""),"")</f>
        <v/>
      </c>
    </row>
    <row r="373" spans="1:6">
      <c r="A373" s="49"/>
      <c r="D373" t="str">
        <f>IFERROR(XLOOKUP(C373,'Master Barang'!$A:$A,'Master Barang'!$B:$B,""),"")</f>
        <v/>
      </c>
      <c r="E373" s="52"/>
      <c r="F373" t="str">
        <f>IFERROR(XLOOKUP(C373,'Master Barang'!$A:$A,'Master Barang'!$D:$D,""),"")</f>
        <v/>
      </c>
    </row>
    <row r="374" spans="1:6">
      <c r="A374" s="49"/>
      <c r="D374" t="str">
        <f>IFERROR(XLOOKUP(C374,'Master Barang'!$A:$A,'Master Barang'!$B:$B,""),"")</f>
        <v/>
      </c>
      <c r="E374" s="52"/>
      <c r="F374" t="str">
        <f>IFERROR(XLOOKUP(C374,'Master Barang'!$A:$A,'Master Barang'!$D:$D,""),"")</f>
        <v/>
      </c>
    </row>
    <row r="375" spans="1:6">
      <c r="A375" s="49"/>
      <c r="D375" t="str">
        <f>IFERROR(XLOOKUP(C375,'Master Barang'!$A:$A,'Master Barang'!$B:$B,""),"")</f>
        <v/>
      </c>
      <c r="E375" s="52"/>
      <c r="F375" t="str">
        <f>IFERROR(XLOOKUP(C375,'Master Barang'!$A:$A,'Master Barang'!$D:$D,""),"")</f>
        <v/>
      </c>
    </row>
    <row r="376" spans="1:6">
      <c r="A376" s="49"/>
      <c r="D376" t="str">
        <f>IFERROR(XLOOKUP(C376,'Master Barang'!$A:$A,'Master Barang'!$B:$B,""),"")</f>
        <v/>
      </c>
      <c r="E376" s="52"/>
      <c r="F376" t="str">
        <f>IFERROR(XLOOKUP(C376,'Master Barang'!$A:$A,'Master Barang'!$D:$D,""),"")</f>
        <v/>
      </c>
    </row>
    <row r="377" spans="1:6">
      <c r="A377" s="49"/>
      <c r="D377" t="str">
        <f>IFERROR(XLOOKUP(C377,'Master Barang'!$A:$A,'Master Barang'!$B:$B,""),"")</f>
        <v/>
      </c>
      <c r="E377" s="52"/>
      <c r="F377" t="str">
        <f>IFERROR(XLOOKUP(C377,'Master Barang'!$A:$A,'Master Barang'!$D:$D,""),"")</f>
        <v/>
      </c>
    </row>
    <row r="378" spans="1:6">
      <c r="A378" s="49"/>
      <c r="D378" t="str">
        <f>IFERROR(XLOOKUP(C378,'Master Barang'!$A:$A,'Master Barang'!$B:$B,""),"")</f>
        <v/>
      </c>
      <c r="E378" s="52"/>
      <c r="F378" t="str">
        <f>IFERROR(XLOOKUP(C378,'Master Barang'!$A:$A,'Master Barang'!$D:$D,""),"")</f>
        <v/>
      </c>
    </row>
    <row r="379" spans="1:6">
      <c r="A379" s="49"/>
      <c r="D379" t="str">
        <f>IFERROR(XLOOKUP(C379,'Master Barang'!$A:$A,'Master Barang'!$B:$B,""),"")</f>
        <v/>
      </c>
      <c r="E379" s="52"/>
      <c r="F379" t="str">
        <f>IFERROR(XLOOKUP(C379,'Master Barang'!$A:$A,'Master Barang'!$D:$D,""),"")</f>
        <v/>
      </c>
    </row>
    <row r="380" spans="1:6">
      <c r="A380" s="49"/>
      <c r="D380" t="str">
        <f>IFERROR(XLOOKUP(C380,'Master Barang'!$A:$A,'Master Barang'!$B:$B,""),"")</f>
        <v/>
      </c>
      <c r="E380" s="52"/>
      <c r="F380" t="str">
        <f>IFERROR(XLOOKUP(C380,'Master Barang'!$A:$A,'Master Barang'!$D:$D,""),"")</f>
        <v/>
      </c>
    </row>
    <row r="381" spans="1:6">
      <c r="A381" s="49"/>
      <c r="D381" t="str">
        <f>IFERROR(XLOOKUP(C381,'Master Barang'!$A:$A,'Master Barang'!$B:$B,""),"")</f>
        <v/>
      </c>
      <c r="E381" s="52"/>
      <c r="F381" t="str">
        <f>IFERROR(XLOOKUP(C381,'Master Barang'!$A:$A,'Master Barang'!$D:$D,""),"")</f>
        <v/>
      </c>
    </row>
    <row r="382" spans="1:6">
      <c r="A382" s="49"/>
      <c r="D382" t="str">
        <f>IFERROR(XLOOKUP(C382,'Master Barang'!$A:$A,'Master Barang'!$B:$B,""),"")</f>
        <v/>
      </c>
      <c r="E382" s="52"/>
      <c r="F382" t="str">
        <f>IFERROR(XLOOKUP(C382,'Master Barang'!$A:$A,'Master Barang'!$D:$D,""),"")</f>
        <v/>
      </c>
    </row>
    <row r="383" spans="1:6">
      <c r="A383" s="49"/>
      <c r="D383" t="str">
        <f>IFERROR(XLOOKUP(C383,'Master Barang'!$A:$A,'Master Barang'!$B:$B,""),"")</f>
        <v/>
      </c>
      <c r="E383" s="52"/>
      <c r="F383" t="str">
        <f>IFERROR(XLOOKUP(C383,'Master Barang'!$A:$A,'Master Barang'!$D:$D,""),"")</f>
        <v/>
      </c>
    </row>
    <row r="384" spans="1:6">
      <c r="A384" s="49"/>
      <c r="D384" t="str">
        <f>IFERROR(XLOOKUP(C384,'Master Barang'!$A:$A,'Master Barang'!$B:$B,""),"")</f>
        <v/>
      </c>
      <c r="E384" s="52"/>
      <c r="F384" t="str">
        <f>IFERROR(XLOOKUP(C384,'Master Barang'!$A:$A,'Master Barang'!$D:$D,""),"")</f>
        <v/>
      </c>
    </row>
    <row r="385" spans="1:6">
      <c r="A385" s="49"/>
      <c r="D385" t="str">
        <f>IFERROR(XLOOKUP(C385,'Master Barang'!$A:$A,'Master Barang'!$B:$B,""),"")</f>
        <v/>
      </c>
      <c r="E385" s="52"/>
      <c r="F385" t="str">
        <f>IFERROR(XLOOKUP(C385,'Master Barang'!$A:$A,'Master Barang'!$D:$D,""),"")</f>
        <v/>
      </c>
    </row>
    <row r="386" spans="1:6">
      <c r="A386" s="49"/>
      <c r="D386" t="str">
        <f>IFERROR(XLOOKUP(C386,'Master Barang'!$A:$A,'Master Barang'!$B:$B,""),"")</f>
        <v/>
      </c>
      <c r="E386" s="52"/>
      <c r="F386" t="str">
        <f>IFERROR(XLOOKUP(C386,'Master Barang'!$A:$A,'Master Barang'!$D:$D,""),"")</f>
        <v/>
      </c>
    </row>
    <row r="387" spans="1:6">
      <c r="A387" s="49"/>
      <c r="D387" t="str">
        <f>IFERROR(XLOOKUP(C387,'Master Barang'!$A:$A,'Master Barang'!$B:$B,""),"")</f>
        <v/>
      </c>
      <c r="E387" s="52"/>
      <c r="F387" t="str">
        <f>IFERROR(XLOOKUP(C387,'Master Barang'!$A:$A,'Master Barang'!$D:$D,""),"")</f>
        <v/>
      </c>
    </row>
    <row r="388" spans="1:6">
      <c r="A388" s="49"/>
      <c r="D388" t="str">
        <f>IFERROR(XLOOKUP(C388,'Master Barang'!$A:$A,'Master Barang'!$B:$B,""),"")</f>
        <v/>
      </c>
      <c r="E388" s="52"/>
      <c r="F388" t="str">
        <f>IFERROR(XLOOKUP(C388,'Master Barang'!$A:$A,'Master Barang'!$D:$D,""),"")</f>
        <v/>
      </c>
    </row>
    <row r="389" spans="1:6">
      <c r="A389" s="49"/>
      <c r="D389" t="str">
        <f>IFERROR(XLOOKUP(C389,'Master Barang'!$A:$A,'Master Barang'!$B:$B,""),"")</f>
        <v/>
      </c>
      <c r="E389" s="52"/>
      <c r="F389" t="str">
        <f>IFERROR(XLOOKUP(C389,'Master Barang'!$A:$A,'Master Barang'!$D:$D,""),"")</f>
        <v/>
      </c>
    </row>
    <row r="390" spans="1:6">
      <c r="A390" s="49"/>
      <c r="D390" t="str">
        <f>IFERROR(XLOOKUP(C390,'Master Barang'!$A:$A,'Master Barang'!$B:$B,""),"")</f>
        <v/>
      </c>
      <c r="E390" s="52"/>
      <c r="F390" t="str">
        <f>IFERROR(XLOOKUP(C390,'Master Barang'!$A:$A,'Master Barang'!$D:$D,""),"")</f>
        <v/>
      </c>
    </row>
    <row r="391" spans="1:6">
      <c r="A391" s="49"/>
      <c r="D391" t="str">
        <f>IFERROR(XLOOKUP(C391,'Master Barang'!$A:$A,'Master Barang'!$B:$B,""),"")</f>
        <v/>
      </c>
      <c r="E391" s="52"/>
      <c r="F391" t="str">
        <f>IFERROR(XLOOKUP(C391,'Master Barang'!$A:$A,'Master Barang'!$D:$D,""),"")</f>
        <v/>
      </c>
    </row>
    <row r="392" spans="1:6">
      <c r="A392" s="49"/>
      <c r="D392" t="str">
        <f>IFERROR(XLOOKUP(C392,'Master Barang'!$A:$A,'Master Barang'!$B:$B,""),"")</f>
        <v/>
      </c>
      <c r="E392" s="52"/>
      <c r="F392" t="str">
        <f>IFERROR(XLOOKUP(C392,'Master Barang'!$A:$A,'Master Barang'!$D:$D,""),"")</f>
        <v/>
      </c>
    </row>
    <row r="393" spans="1:6">
      <c r="A393" s="49"/>
      <c r="D393" t="str">
        <f>IFERROR(XLOOKUP(C393,'Master Barang'!$A:$A,'Master Barang'!$B:$B,""),"")</f>
        <v/>
      </c>
      <c r="E393" s="52"/>
      <c r="F393" t="str">
        <f>IFERROR(XLOOKUP(C393,'Master Barang'!$A:$A,'Master Barang'!$D:$D,""),"")</f>
        <v/>
      </c>
    </row>
    <row r="394" spans="1:6">
      <c r="A394" s="49"/>
      <c r="D394" t="str">
        <f>IFERROR(XLOOKUP(C394,'Master Barang'!$A:$A,'Master Barang'!$B:$B,""),"")</f>
        <v/>
      </c>
      <c r="E394" s="52"/>
      <c r="F394" t="str">
        <f>IFERROR(XLOOKUP(C394,'Master Barang'!$A:$A,'Master Barang'!$D:$D,""),"")</f>
        <v/>
      </c>
    </row>
    <row r="395" spans="1:6">
      <c r="A395" s="49"/>
      <c r="D395" t="str">
        <f>IFERROR(XLOOKUP(C395,'Master Barang'!$A:$A,'Master Barang'!$B:$B,""),"")</f>
        <v/>
      </c>
      <c r="E395" s="52"/>
      <c r="F395" t="str">
        <f>IFERROR(XLOOKUP(C395,'Master Barang'!$A:$A,'Master Barang'!$D:$D,""),"")</f>
        <v/>
      </c>
    </row>
    <row r="396" spans="1:6">
      <c r="A396" s="49"/>
      <c r="D396" t="str">
        <f>IFERROR(XLOOKUP(C396,'Master Barang'!$A:$A,'Master Barang'!$B:$B,""),"")</f>
        <v/>
      </c>
      <c r="E396" s="52"/>
      <c r="F396" t="str">
        <f>IFERROR(XLOOKUP(C396,'Master Barang'!$A:$A,'Master Barang'!$D:$D,""),"")</f>
        <v/>
      </c>
    </row>
    <row r="397" spans="1:6">
      <c r="A397" s="49"/>
      <c r="D397" t="str">
        <f>IFERROR(XLOOKUP(C397,'Master Barang'!$A:$A,'Master Barang'!$B:$B,""),"")</f>
        <v/>
      </c>
      <c r="E397" s="52"/>
      <c r="F397" t="str">
        <f>IFERROR(XLOOKUP(C397,'Master Barang'!$A:$A,'Master Barang'!$D:$D,""),"")</f>
        <v/>
      </c>
    </row>
    <row r="398" spans="1:6">
      <c r="A398" s="49"/>
      <c r="D398" t="str">
        <f>IFERROR(XLOOKUP(C398,'Master Barang'!$A:$A,'Master Barang'!$B:$B,""),"")</f>
        <v/>
      </c>
      <c r="E398" s="52"/>
      <c r="F398" t="str">
        <f>IFERROR(XLOOKUP(C398,'Master Barang'!$A:$A,'Master Barang'!$D:$D,""),"")</f>
        <v/>
      </c>
    </row>
    <row r="399" spans="1:6">
      <c r="A399" s="49"/>
      <c r="D399" t="str">
        <f>IFERROR(XLOOKUP(C399,'Master Barang'!$A:$A,'Master Barang'!$B:$B,""),"")</f>
        <v/>
      </c>
      <c r="E399" s="52"/>
      <c r="F399" t="str">
        <f>IFERROR(XLOOKUP(C399,'Master Barang'!$A:$A,'Master Barang'!$D:$D,""),"")</f>
        <v/>
      </c>
    </row>
    <row r="400" spans="1:6">
      <c r="A400" s="49"/>
      <c r="D400" t="str">
        <f>IFERROR(XLOOKUP(C400,'Master Barang'!$A:$A,'Master Barang'!$B:$B,""),"")</f>
        <v/>
      </c>
      <c r="E400" s="52"/>
      <c r="F400" t="str">
        <f>IFERROR(XLOOKUP(C400,'Master Barang'!$A:$A,'Master Barang'!$D:$D,""),"")</f>
        <v/>
      </c>
    </row>
    <row r="401" spans="1:6">
      <c r="A401" s="49"/>
      <c r="D401" t="str">
        <f>IFERROR(XLOOKUP(C401,'Master Barang'!$A:$A,'Master Barang'!$B:$B,""),"")</f>
        <v/>
      </c>
      <c r="E401" s="52"/>
      <c r="F401" t="str">
        <f>IFERROR(XLOOKUP(C401,'Master Barang'!$A:$A,'Master Barang'!$D:$D,""),"")</f>
        <v/>
      </c>
    </row>
    <row r="402" spans="1:6">
      <c r="A402" s="49"/>
      <c r="D402" t="str">
        <f>IFERROR(XLOOKUP(C402,'Master Barang'!$A:$A,'Master Barang'!$B:$B,""),"")</f>
        <v/>
      </c>
      <c r="E402" s="52"/>
      <c r="F402" t="str">
        <f>IFERROR(XLOOKUP(C402,'Master Barang'!$A:$A,'Master Barang'!$D:$D,""),"")</f>
        <v/>
      </c>
    </row>
    <row r="403" spans="1:6">
      <c r="A403" s="49"/>
      <c r="D403" t="str">
        <f>IFERROR(XLOOKUP(C403,'Master Barang'!$A:$A,'Master Barang'!$B:$B,""),"")</f>
        <v/>
      </c>
      <c r="E403" s="52"/>
      <c r="F403" t="str">
        <f>IFERROR(XLOOKUP(C403,'Master Barang'!$A:$A,'Master Barang'!$D:$D,""),"")</f>
        <v/>
      </c>
    </row>
    <row r="404" spans="1:6">
      <c r="A404" s="49"/>
      <c r="D404" t="str">
        <f>IFERROR(XLOOKUP(C404,'Master Barang'!$A:$A,'Master Barang'!$B:$B,""),"")</f>
        <v/>
      </c>
      <c r="E404" s="52"/>
      <c r="F404" t="str">
        <f>IFERROR(XLOOKUP(C404,'Master Barang'!$A:$A,'Master Barang'!$D:$D,""),"")</f>
        <v/>
      </c>
    </row>
    <row r="405" spans="1:6">
      <c r="A405" s="49"/>
      <c r="D405" t="str">
        <f>IFERROR(XLOOKUP(C405,'Master Barang'!$A:$A,'Master Barang'!$B:$B,""),"")</f>
        <v/>
      </c>
      <c r="E405" s="52"/>
      <c r="F405" t="str">
        <f>IFERROR(XLOOKUP(C405,'Master Barang'!$A:$A,'Master Barang'!$D:$D,""),"")</f>
        <v/>
      </c>
    </row>
    <row r="406" spans="1:6">
      <c r="A406" s="49"/>
      <c r="D406" t="str">
        <f>IFERROR(XLOOKUP(C406,'Master Barang'!$A:$A,'Master Barang'!$B:$B,""),"")</f>
        <v/>
      </c>
      <c r="E406" s="52"/>
      <c r="F406" t="str">
        <f>IFERROR(XLOOKUP(C406,'Master Barang'!$A:$A,'Master Barang'!$D:$D,""),"")</f>
        <v/>
      </c>
    </row>
    <row r="407" spans="1:6">
      <c r="A407" s="49"/>
      <c r="D407" t="str">
        <f>IFERROR(XLOOKUP(C407,'Master Barang'!$A:$A,'Master Barang'!$B:$B,""),"")</f>
        <v/>
      </c>
      <c r="E407" s="52"/>
      <c r="F407" t="str">
        <f>IFERROR(XLOOKUP(C407,'Master Barang'!$A:$A,'Master Barang'!$D:$D,""),"")</f>
        <v/>
      </c>
    </row>
    <row r="408" spans="1:6">
      <c r="A408" s="49"/>
      <c r="D408" t="str">
        <f>IFERROR(XLOOKUP(C408,'Master Barang'!$A:$A,'Master Barang'!$B:$B,""),"")</f>
        <v/>
      </c>
      <c r="E408" s="52"/>
      <c r="F408" t="str">
        <f>IFERROR(XLOOKUP(C408,'Master Barang'!$A:$A,'Master Barang'!$D:$D,""),"")</f>
        <v/>
      </c>
    </row>
    <row r="409" spans="1:6">
      <c r="A409" s="49"/>
      <c r="D409" t="str">
        <f>IFERROR(XLOOKUP(C409,'Master Barang'!$A:$A,'Master Barang'!$B:$B,""),"")</f>
        <v/>
      </c>
      <c r="E409" s="52"/>
      <c r="F409" t="str">
        <f>IFERROR(XLOOKUP(C409,'Master Barang'!$A:$A,'Master Barang'!$D:$D,""),"")</f>
        <v/>
      </c>
    </row>
    <row r="410" spans="1:6">
      <c r="A410" s="49"/>
      <c r="D410" t="str">
        <f>IFERROR(XLOOKUP(C410,'Master Barang'!$A:$A,'Master Barang'!$B:$B,""),"")</f>
        <v/>
      </c>
      <c r="E410" s="52"/>
      <c r="F410" t="str">
        <f>IFERROR(XLOOKUP(C410,'Master Barang'!$A:$A,'Master Barang'!$D:$D,""),"")</f>
        <v/>
      </c>
    </row>
    <row r="411" spans="1:6">
      <c r="A411" s="49"/>
      <c r="D411" t="str">
        <f>IFERROR(XLOOKUP(C411,'Master Barang'!$A:$A,'Master Barang'!$B:$B,""),"")</f>
        <v/>
      </c>
      <c r="E411" s="52"/>
      <c r="F411" t="str">
        <f>IFERROR(XLOOKUP(C411,'Master Barang'!$A:$A,'Master Barang'!$D:$D,""),"")</f>
        <v/>
      </c>
    </row>
    <row r="412" spans="1:6">
      <c r="A412" s="49"/>
      <c r="D412" t="str">
        <f>IFERROR(XLOOKUP(C412,'Master Barang'!$A:$A,'Master Barang'!$B:$B,""),"")</f>
        <v/>
      </c>
      <c r="E412" s="52"/>
      <c r="F412" t="str">
        <f>IFERROR(XLOOKUP(C412,'Master Barang'!$A:$A,'Master Barang'!$D:$D,""),"")</f>
        <v/>
      </c>
    </row>
    <row r="413" spans="1:6">
      <c r="A413" s="49"/>
      <c r="D413" t="str">
        <f>IFERROR(XLOOKUP(C413,'Master Barang'!$A:$A,'Master Barang'!$B:$B,""),"")</f>
        <v/>
      </c>
      <c r="E413" s="52"/>
      <c r="F413" t="str">
        <f>IFERROR(XLOOKUP(C413,'Master Barang'!$A:$A,'Master Barang'!$D:$D,""),"")</f>
        <v/>
      </c>
    </row>
    <row r="414" spans="1:6">
      <c r="A414" s="49"/>
      <c r="D414" t="str">
        <f>IFERROR(XLOOKUP(C414,'Master Barang'!$A:$A,'Master Barang'!$B:$B,""),"")</f>
        <v/>
      </c>
      <c r="E414" s="52"/>
      <c r="F414" t="str">
        <f>IFERROR(XLOOKUP(C414,'Master Barang'!$A:$A,'Master Barang'!$D:$D,""),"")</f>
        <v/>
      </c>
    </row>
    <row r="415" spans="1:6">
      <c r="A415" s="49"/>
      <c r="D415" t="str">
        <f>IFERROR(XLOOKUP(C415,'Master Barang'!$A:$A,'Master Barang'!$B:$B,""),"")</f>
        <v/>
      </c>
      <c r="E415" s="52"/>
      <c r="F415" t="str">
        <f>IFERROR(XLOOKUP(C415,'Master Barang'!$A:$A,'Master Barang'!$D:$D,""),"")</f>
        <v/>
      </c>
    </row>
    <row r="416" spans="1:6">
      <c r="A416" s="49"/>
      <c r="D416" t="str">
        <f>IFERROR(XLOOKUP(C416,'Master Barang'!$A:$A,'Master Barang'!$B:$B,""),"")</f>
        <v/>
      </c>
      <c r="E416" s="52"/>
      <c r="F416" t="str">
        <f>IFERROR(XLOOKUP(C416,'Master Barang'!$A:$A,'Master Barang'!$D:$D,""),"")</f>
        <v/>
      </c>
    </row>
    <row r="417" spans="1:6">
      <c r="A417" s="49"/>
      <c r="D417" t="str">
        <f>IFERROR(XLOOKUP(C417,'Master Barang'!$A:$A,'Master Barang'!$B:$B,""),"")</f>
        <v/>
      </c>
      <c r="E417" s="52"/>
      <c r="F417" t="str">
        <f>IFERROR(XLOOKUP(C417,'Master Barang'!$A:$A,'Master Barang'!$D:$D,""),"")</f>
        <v/>
      </c>
    </row>
    <row r="418" spans="1:6">
      <c r="A418" s="49"/>
      <c r="D418" t="str">
        <f>IFERROR(XLOOKUP(C418,'Master Barang'!$A:$A,'Master Barang'!$B:$B,""),"")</f>
        <v/>
      </c>
      <c r="E418" s="52"/>
      <c r="F418" t="str">
        <f>IFERROR(XLOOKUP(C418,'Master Barang'!$A:$A,'Master Barang'!$D:$D,""),"")</f>
        <v/>
      </c>
    </row>
    <row r="419" spans="1:6">
      <c r="A419" s="49"/>
      <c r="D419" t="str">
        <f>IFERROR(XLOOKUP(C419,'Master Barang'!$A:$A,'Master Barang'!$B:$B,""),"")</f>
        <v/>
      </c>
      <c r="E419" s="52"/>
      <c r="F419" t="str">
        <f>IFERROR(XLOOKUP(C419,'Master Barang'!$A:$A,'Master Barang'!$D:$D,""),"")</f>
        <v/>
      </c>
    </row>
    <row r="420" spans="1:6">
      <c r="A420" s="49"/>
      <c r="D420" t="str">
        <f>IFERROR(XLOOKUP(C420,'Master Barang'!$A:$A,'Master Barang'!$B:$B,""),"")</f>
        <v/>
      </c>
      <c r="E420" s="52"/>
      <c r="F420" t="str">
        <f>IFERROR(XLOOKUP(C420,'Master Barang'!$A:$A,'Master Barang'!$D:$D,""),"")</f>
        <v/>
      </c>
    </row>
    <row r="421" spans="1:6">
      <c r="A421" s="49"/>
      <c r="D421" t="str">
        <f>IFERROR(XLOOKUP(C421,'Master Barang'!$A:$A,'Master Barang'!$B:$B,""),"")</f>
        <v/>
      </c>
      <c r="E421" s="52"/>
      <c r="F421" t="str">
        <f>IFERROR(XLOOKUP(C421,'Master Barang'!$A:$A,'Master Barang'!$D:$D,""),"")</f>
        <v/>
      </c>
    </row>
    <row r="422" spans="1:6">
      <c r="A422" s="49"/>
      <c r="D422" t="str">
        <f>IFERROR(XLOOKUP(C422,'Master Barang'!$A:$A,'Master Barang'!$B:$B,""),"")</f>
        <v/>
      </c>
      <c r="E422" s="52"/>
      <c r="F422" t="str">
        <f>IFERROR(XLOOKUP(C422,'Master Barang'!$A:$A,'Master Barang'!$D:$D,""),"")</f>
        <v/>
      </c>
    </row>
    <row r="423" spans="1:6">
      <c r="A423" s="49"/>
      <c r="D423" t="str">
        <f>IFERROR(XLOOKUP(C423,'Master Barang'!$A:$A,'Master Barang'!$B:$B,""),"")</f>
        <v/>
      </c>
      <c r="E423" s="52"/>
      <c r="F423" t="str">
        <f>IFERROR(XLOOKUP(C423,'Master Barang'!$A:$A,'Master Barang'!$D:$D,""),"")</f>
        <v/>
      </c>
    </row>
    <row r="424" spans="1:6">
      <c r="A424" s="49"/>
      <c r="D424" t="str">
        <f>IFERROR(XLOOKUP(C424,'Master Barang'!$A:$A,'Master Barang'!$B:$B,""),"")</f>
        <v/>
      </c>
      <c r="E424" s="52"/>
      <c r="F424" t="str">
        <f>IFERROR(XLOOKUP(C424,'Master Barang'!$A:$A,'Master Barang'!$D:$D,""),"")</f>
        <v/>
      </c>
    </row>
    <row r="425" spans="1:6">
      <c r="A425" s="49"/>
      <c r="D425" t="str">
        <f>IFERROR(XLOOKUP(C425,'Master Barang'!$A:$A,'Master Barang'!$B:$B,""),"")</f>
        <v/>
      </c>
      <c r="E425" s="52"/>
      <c r="F425" t="str">
        <f>IFERROR(XLOOKUP(C425,'Master Barang'!$A:$A,'Master Barang'!$D:$D,""),"")</f>
        <v/>
      </c>
    </row>
    <row r="426" spans="1:6">
      <c r="A426" s="49"/>
      <c r="D426" t="str">
        <f>IFERROR(XLOOKUP(C426,'Master Barang'!$A:$A,'Master Barang'!$B:$B,""),"")</f>
        <v/>
      </c>
      <c r="E426" s="52"/>
      <c r="F426" t="str">
        <f>IFERROR(XLOOKUP(C426,'Master Barang'!$A:$A,'Master Barang'!$D:$D,""),"")</f>
        <v/>
      </c>
    </row>
    <row r="427" spans="1:6">
      <c r="A427" s="49"/>
      <c r="D427" t="str">
        <f>IFERROR(XLOOKUP(C427,'Master Barang'!$A:$A,'Master Barang'!$B:$B,""),"")</f>
        <v/>
      </c>
      <c r="E427" s="52"/>
      <c r="F427" t="str">
        <f>IFERROR(XLOOKUP(C427,'Master Barang'!$A:$A,'Master Barang'!$D:$D,""),"")</f>
        <v/>
      </c>
    </row>
    <row r="428" spans="1:6">
      <c r="A428" s="49"/>
      <c r="D428" t="str">
        <f>IFERROR(XLOOKUP(C428,'Master Barang'!$A:$A,'Master Barang'!$B:$B,""),"")</f>
        <v/>
      </c>
      <c r="E428" s="52"/>
      <c r="F428" t="str">
        <f>IFERROR(XLOOKUP(C428,'Master Barang'!$A:$A,'Master Barang'!$D:$D,""),"")</f>
        <v/>
      </c>
    </row>
    <row r="429" spans="1:6">
      <c r="A429" s="49"/>
      <c r="D429" t="str">
        <f>IFERROR(XLOOKUP(C429,'Master Barang'!$A:$A,'Master Barang'!$B:$B,""),"")</f>
        <v/>
      </c>
      <c r="E429" s="52"/>
      <c r="F429" t="str">
        <f>IFERROR(XLOOKUP(C429,'Master Barang'!$A:$A,'Master Barang'!$D:$D,""),"")</f>
        <v/>
      </c>
    </row>
    <row r="430" spans="1:6">
      <c r="A430" s="49"/>
      <c r="D430" t="str">
        <f>IFERROR(XLOOKUP(C430,'Master Barang'!$A:$A,'Master Barang'!$B:$B,""),"")</f>
        <v/>
      </c>
      <c r="E430" s="52"/>
      <c r="F430" t="str">
        <f>IFERROR(XLOOKUP(C430,'Master Barang'!$A:$A,'Master Barang'!$D:$D,""),"")</f>
        <v/>
      </c>
    </row>
    <row r="431" spans="1:6">
      <c r="A431" s="49"/>
      <c r="D431" t="str">
        <f>IFERROR(XLOOKUP(C431,'Master Barang'!$A:$A,'Master Barang'!$B:$B,""),"")</f>
        <v/>
      </c>
      <c r="E431" s="52"/>
      <c r="F431" t="str">
        <f>IFERROR(XLOOKUP(C431,'Master Barang'!$A:$A,'Master Barang'!$D:$D,""),"")</f>
        <v/>
      </c>
    </row>
    <row r="432" spans="1:6">
      <c r="A432" s="49"/>
      <c r="D432" t="str">
        <f>IFERROR(XLOOKUP(C432,'Master Barang'!$A:$A,'Master Barang'!$B:$B,""),"")</f>
        <v/>
      </c>
      <c r="E432" s="52"/>
      <c r="F432" t="str">
        <f>IFERROR(XLOOKUP(C432,'Master Barang'!$A:$A,'Master Barang'!$D:$D,""),"")</f>
        <v/>
      </c>
    </row>
    <row r="433" spans="1:6">
      <c r="A433" s="49"/>
      <c r="D433" t="str">
        <f>IFERROR(XLOOKUP(C433,'Master Barang'!$A:$A,'Master Barang'!$B:$B,""),"")</f>
        <v/>
      </c>
      <c r="E433" s="52"/>
      <c r="F433" t="str">
        <f>IFERROR(XLOOKUP(C433,'Master Barang'!$A:$A,'Master Barang'!$D:$D,""),"")</f>
        <v/>
      </c>
    </row>
    <row r="434" spans="1:6">
      <c r="A434" s="49"/>
      <c r="D434" t="str">
        <f>IFERROR(XLOOKUP(C434,'Master Barang'!$A:$A,'Master Barang'!$B:$B,""),"")</f>
        <v/>
      </c>
      <c r="E434" s="52"/>
      <c r="F434" t="str">
        <f>IFERROR(XLOOKUP(C434,'Master Barang'!$A:$A,'Master Barang'!$D:$D,""),"")</f>
        <v/>
      </c>
    </row>
    <row r="435" spans="1:6">
      <c r="A435" s="49"/>
      <c r="D435" t="str">
        <f>IFERROR(XLOOKUP(C435,'Master Barang'!$A:$A,'Master Barang'!$B:$B,""),"")</f>
        <v/>
      </c>
      <c r="E435" s="52"/>
      <c r="F435" t="str">
        <f>IFERROR(XLOOKUP(C435,'Master Barang'!$A:$A,'Master Barang'!$D:$D,""),"")</f>
        <v/>
      </c>
    </row>
    <row r="436" spans="1:6">
      <c r="A436" s="49"/>
      <c r="D436" t="str">
        <f>IFERROR(XLOOKUP(C436,'Master Barang'!$A:$A,'Master Barang'!$B:$B,""),"")</f>
        <v/>
      </c>
      <c r="E436" s="52"/>
      <c r="F436" t="str">
        <f>IFERROR(XLOOKUP(C436,'Master Barang'!$A:$A,'Master Barang'!$D:$D,""),"")</f>
        <v/>
      </c>
    </row>
    <row r="437" spans="1:6">
      <c r="A437" s="49"/>
      <c r="D437" t="str">
        <f>IFERROR(XLOOKUP(C437,'Master Barang'!$A:$A,'Master Barang'!$B:$B,""),"")</f>
        <v/>
      </c>
      <c r="E437" s="52"/>
      <c r="F437" t="str">
        <f>IFERROR(XLOOKUP(C437,'Master Barang'!$A:$A,'Master Barang'!$D:$D,""),"")</f>
        <v/>
      </c>
    </row>
    <row r="438" spans="1:6">
      <c r="A438" s="49"/>
      <c r="D438" t="str">
        <f>IFERROR(XLOOKUP(C438,'Master Barang'!$A:$A,'Master Barang'!$B:$B,""),"")</f>
        <v/>
      </c>
      <c r="E438" s="52"/>
      <c r="F438" t="str">
        <f>IFERROR(XLOOKUP(C438,'Master Barang'!$A:$A,'Master Barang'!$D:$D,""),"")</f>
        <v/>
      </c>
    </row>
    <row r="439" spans="1:6">
      <c r="A439" s="49"/>
      <c r="D439" t="str">
        <f>IFERROR(XLOOKUP(C439,'Master Barang'!$A:$A,'Master Barang'!$B:$B,""),"")</f>
        <v/>
      </c>
      <c r="E439" s="52"/>
      <c r="F439" t="str">
        <f>IFERROR(XLOOKUP(C439,'Master Barang'!$A:$A,'Master Barang'!$D:$D,""),"")</f>
        <v/>
      </c>
    </row>
    <row r="440" spans="1:6">
      <c r="A440" s="49"/>
      <c r="D440" t="str">
        <f>IFERROR(XLOOKUP(C440,'Master Barang'!$A:$A,'Master Barang'!$B:$B,""),"")</f>
        <v/>
      </c>
      <c r="E440" s="52"/>
      <c r="F440" t="str">
        <f>IFERROR(XLOOKUP(C440,'Master Barang'!$A:$A,'Master Barang'!$D:$D,""),"")</f>
        <v/>
      </c>
    </row>
    <row r="441" spans="1:6">
      <c r="A441" s="49"/>
      <c r="D441" t="str">
        <f>IFERROR(XLOOKUP(C441,'Master Barang'!$A:$A,'Master Barang'!$B:$B,""),"")</f>
        <v/>
      </c>
      <c r="E441" s="52"/>
      <c r="F441" t="str">
        <f>IFERROR(XLOOKUP(C441,'Master Barang'!$A:$A,'Master Barang'!$D:$D,""),"")</f>
        <v/>
      </c>
    </row>
    <row r="442" spans="1:6">
      <c r="A442" s="49"/>
      <c r="D442" t="str">
        <f>IFERROR(XLOOKUP(C442,'Master Barang'!$A:$A,'Master Barang'!$B:$B,""),"")</f>
        <v/>
      </c>
      <c r="E442" s="52"/>
      <c r="F442" t="str">
        <f>IFERROR(XLOOKUP(C442,'Master Barang'!$A:$A,'Master Barang'!$D:$D,""),"")</f>
        <v/>
      </c>
    </row>
    <row r="443" spans="1:6">
      <c r="A443" s="49"/>
      <c r="D443" t="str">
        <f>IFERROR(XLOOKUP(C443,'Master Barang'!$A:$A,'Master Barang'!$B:$B,""),"")</f>
        <v/>
      </c>
      <c r="E443" s="52"/>
      <c r="F443" t="str">
        <f>IFERROR(XLOOKUP(C443,'Master Barang'!$A:$A,'Master Barang'!$D:$D,""),"")</f>
        <v/>
      </c>
    </row>
    <row r="444" spans="1:6">
      <c r="A444" s="49"/>
      <c r="D444" t="str">
        <f>IFERROR(XLOOKUP(C444,'Master Barang'!$A:$A,'Master Barang'!$B:$B,""),"")</f>
        <v/>
      </c>
      <c r="E444" s="52"/>
      <c r="F444" t="str">
        <f>IFERROR(XLOOKUP(C444,'Master Barang'!$A:$A,'Master Barang'!$D:$D,""),"")</f>
        <v/>
      </c>
    </row>
    <row r="445" spans="1:6">
      <c r="A445" s="49"/>
      <c r="D445" t="str">
        <f>IFERROR(XLOOKUP(C445,'Master Barang'!$A:$A,'Master Barang'!$B:$B,""),"")</f>
        <v/>
      </c>
      <c r="E445" s="52"/>
      <c r="F445" t="str">
        <f>IFERROR(XLOOKUP(C445,'Master Barang'!$A:$A,'Master Barang'!$D:$D,""),"")</f>
        <v/>
      </c>
    </row>
    <row r="446" spans="1:6">
      <c r="A446" s="49"/>
      <c r="D446" t="str">
        <f>IFERROR(XLOOKUP(C446,'Master Barang'!$A:$A,'Master Barang'!$B:$B,""),"")</f>
        <v/>
      </c>
      <c r="E446" s="52"/>
      <c r="F446" t="str">
        <f>IFERROR(XLOOKUP(C446,'Master Barang'!$A:$A,'Master Barang'!$D:$D,""),"")</f>
        <v/>
      </c>
    </row>
    <row r="447" spans="1:6">
      <c r="A447" s="49"/>
      <c r="D447" t="str">
        <f>IFERROR(XLOOKUP(C447,'Master Barang'!$A:$A,'Master Barang'!$B:$B,""),"")</f>
        <v/>
      </c>
      <c r="E447" s="52"/>
      <c r="F447" t="str">
        <f>IFERROR(XLOOKUP(C447,'Master Barang'!$A:$A,'Master Barang'!$D:$D,""),"")</f>
        <v/>
      </c>
    </row>
    <row r="448" spans="1:6">
      <c r="A448" s="49"/>
      <c r="D448" t="str">
        <f>IFERROR(XLOOKUP(C448,'Master Barang'!$A:$A,'Master Barang'!$B:$B,""),"")</f>
        <v/>
      </c>
      <c r="E448" s="52"/>
      <c r="F448" t="str">
        <f>IFERROR(XLOOKUP(C448,'Master Barang'!$A:$A,'Master Barang'!$D:$D,""),"")</f>
        <v/>
      </c>
    </row>
    <row r="449" spans="1:6">
      <c r="A449" s="49"/>
      <c r="D449" t="str">
        <f>IFERROR(XLOOKUP(C449,'Master Barang'!$A:$A,'Master Barang'!$B:$B,""),"")</f>
        <v/>
      </c>
      <c r="E449" s="52"/>
      <c r="F449" t="str">
        <f>IFERROR(XLOOKUP(C449,'Master Barang'!$A:$A,'Master Barang'!$D:$D,""),"")</f>
        <v/>
      </c>
    </row>
    <row r="450" spans="1:6">
      <c r="A450" s="49"/>
      <c r="D450" t="str">
        <f>IFERROR(XLOOKUP(C450,'Master Barang'!$A:$A,'Master Barang'!$B:$B,""),"")</f>
        <v/>
      </c>
      <c r="E450" s="52"/>
      <c r="F450" t="str">
        <f>IFERROR(XLOOKUP(C450,'Master Barang'!$A:$A,'Master Barang'!$D:$D,""),"")</f>
        <v/>
      </c>
    </row>
    <row r="451" spans="1:6">
      <c r="A451" s="49"/>
      <c r="D451" t="str">
        <f>IFERROR(XLOOKUP(C451,'Master Barang'!$A:$A,'Master Barang'!$B:$B,""),"")</f>
        <v/>
      </c>
      <c r="E451" s="52"/>
      <c r="F451" t="str">
        <f>IFERROR(XLOOKUP(C451,'Master Barang'!$A:$A,'Master Barang'!$D:$D,""),"")</f>
        <v/>
      </c>
    </row>
    <row r="452" spans="1:6">
      <c r="A452" s="49"/>
      <c r="D452" t="str">
        <f>IFERROR(XLOOKUP(C452,'Master Barang'!$A:$A,'Master Barang'!$B:$B,""),"")</f>
        <v/>
      </c>
      <c r="E452" s="52"/>
      <c r="F452" t="str">
        <f>IFERROR(XLOOKUP(C452,'Master Barang'!$A:$A,'Master Barang'!$D:$D,""),"")</f>
        <v/>
      </c>
    </row>
    <row r="453" spans="1:6">
      <c r="A453" s="49"/>
      <c r="D453" t="str">
        <f>IFERROR(XLOOKUP(C453,'Master Barang'!$A:$A,'Master Barang'!$B:$B,""),"")</f>
        <v/>
      </c>
      <c r="E453" s="52"/>
      <c r="F453" t="str">
        <f>IFERROR(XLOOKUP(C453,'Master Barang'!$A:$A,'Master Barang'!$D:$D,""),"")</f>
        <v/>
      </c>
    </row>
    <row r="454" spans="1:6">
      <c r="A454" s="49"/>
      <c r="D454" t="str">
        <f>IFERROR(XLOOKUP(C454,'Master Barang'!$A:$A,'Master Barang'!$B:$B,""),"")</f>
        <v/>
      </c>
      <c r="E454" s="52"/>
      <c r="F454" t="str">
        <f>IFERROR(XLOOKUP(C454,'Master Barang'!$A:$A,'Master Barang'!$D:$D,""),"")</f>
        <v/>
      </c>
    </row>
    <row r="455" spans="1:6">
      <c r="A455" s="49"/>
      <c r="D455" t="str">
        <f>IFERROR(XLOOKUP(C455,'Master Barang'!$A:$A,'Master Barang'!$B:$B,""),"")</f>
        <v/>
      </c>
      <c r="E455" s="52"/>
      <c r="F455" t="str">
        <f>IFERROR(XLOOKUP(C455,'Master Barang'!$A:$A,'Master Barang'!$D:$D,""),"")</f>
        <v/>
      </c>
    </row>
    <row r="456" spans="1:6">
      <c r="A456" s="49"/>
      <c r="D456" t="str">
        <f>IFERROR(XLOOKUP(C456,'Master Barang'!$A:$A,'Master Barang'!$B:$B,""),"")</f>
        <v/>
      </c>
      <c r="E456" s="52"/>
      <c r="F456" t="str">
        <f>IFERROR(XLOOKUP(C456,'Master Barang'!$A:$A,'Master Barang'!$D:$D,""),"")</f>
        <v/>
      </c>
    </row>
    <row r="457" spans="1:6">
      <c r="A457" s="49"/>
      <c r="D457" t="str">
        <f>IFERROR(XLOOKUP(C457,'Master Barang'!$A:$A,'Master Barang'!$B:$B,""),"")</f>
        <v/>
      </c>
      <c r="E457" s="52"/>
      <c r="F457" t="str">
        <f>IFERROR(XLOOKUP(C457,'Master Barang'!$A:$A,'Master Barang'!$D:$D,""),"")</f>
        <v/>
      </c>
    </row>
    <row r="458" spans="1:6">
      <c r="A458" s="49"/>
      <c r="D458" t="str">
        <f>IFERROR(XLOOKUP(C458,'Master Barang'!$A:$A,'Master Barang'!$B:$B,""),"")</f>
        <v/>
      </c>
      <c r="E458" s="52"/>
      <c r="F458" t="str">
        <f>IFERROR(XLOOKUP(C458,'Master Barang'!$A:$A,'Master Barang'!$D:$D,""),"")</f>
        <v/>
      </c>
    </row>
    <row r="459" spans="1:6">
      <c r="A459" s="49"/>
      <c r="D459" t="str">
        <f>IFERROR(XLOOKUP(C459,'Master Barang'!$A:$A,'Master Barang'!$B:$B,""),"")</f>
        <v/>
      </c>
      <c r="E459" s="52"/>
      <c r="F459" t="str">
        <f>IFERROR(XLOOKUP(C459,'Master Barang'!$A:$A,'Master Barang'!$D:$D,""),"")</f>
        <v/>
      </c>
    </row>
    <row r="460" spans="1:6">
      <c r="A460" s="49"/>
      <c r="D460" t="str">
        <f>IFERROR(XLOOKUP(C460,'Master Barang'!$A:$A,'Master Barang'!$B:$B,""),"")</f>
        <v/>
      </c>
      <c r="E460" s="52"/>
      <c r="F460" t="str">
        <f>IFERROR(XLOOKUP(C460,'Master Barang'!$A:$A,'Master Barang'!$D:$D,""),"")</f>
        <v/>
      </c>
    </row>
    <row r="461" spans="1:6">
      <c r="A461" s="49"/>
      <c r="D461" t="str">
        <f>IFERROR(XLOOKUP(C461,'Master Barang'!$A:$A,'Master Barang'!$B:$B,""),"")</f>
        <v/>
      </c>
      <c r="E461" s="52"/>
      <c r="F461" t="str">
        <f>IFERROR(XLOOKUP(C461,'Master Barang'!$A:$A,'Master Barang'!$D:$D,""),"")</f>
        <v/>
      </c>
    </row>
    <row r="462" spans="1:6">
      <c r="A462" s="49"/>
      <c r="D462" t="str">
        <f>IFERROR(XLOOKUP(C462,'Master Barang'!$A:$A,'Master Barang'!$B:$B,""),"")</f>
        <v/>
      </c>
      <c r="E462" s="52"/>
      <c r="F462" t="str">
        <f>IFERROR(XLOOKUP(C462,'Master Barang'!$A:$A,'Master Barang'!$D:$D,""),"")</f>
        <v/>
      </c>
    </row>
    <row r="463" spans="1:6">
      <c r="A463" s="49"/>
      <c r="D463" t="str">
        <f>IFERROR(XLOOKUP(C463,'Master Barang'!$A:$A,'Master Barang'!$B:$B,""),"")</f>
        <v/>
      </c>
      <c r="E463" s="52"/>
      <c r="F463" t="str">
        <f>IFERROR(XLOOKUP(C463,'Master Barang'!$A:$A,'Master Barang'!$D:$D,""),"")</f>
        <v/>
      </c>
    </row>
    <row r="464" spans="1:6">
      <c r="A464" s="49"/>
      <c r="D464" t="str">
        <f>IFERROR(XLOOKUP(C464,'Master Barang'!$A:$A,'Master Barang'!$B:$B,""),"")</f>
        <v/>
      </c>
      <c r="E464" s="52"/>
      <c r="F464" t="str">
        <f>IFERROR(XLOOKUP(C464,'Master Barang'!$A:$A,'Master Barang'!$D:$D,""),"")</f>
        <v/>
      </c>
    </row>
    <row r="465" spans="1:6">
      <c r="A465" s="49"/>
      <c r="D465" t="str">
        <f>IFERROR(XLOOKUP(C465,'Master Barang'!$A:$A,'Master Barang'!$B:$B,""),"")</f>
        <v/>
      </c>
      <c r="E465" s="52"/>
      <c r="F465" t="str">
        <f>IFERROR(XLOOKUP(C465,'Master Barang'!$A:$A,'Master Barang'!$D:$D,""),"")</f>
        <v/>
      </c>
    </row>
    <row r="466" spans="1:6">
      <c r="A466" s="49"/>
      <c r="D466" t="str">
        <f>IFERROR(XLOOKUP(C466,'Master Barang'!$A:$A,'Master Barang'!$B:$B,""),"")</f>
        <v/>
      </c>
      <c r="E466" s="52"/>
      <c r="F466" t="str">
        <f>IFERROR(XLOOKUP(C466,'Master Barang'!$A:$A,'Master Barang'!$D:$D,""),"")</f>
        <v/>
      </c>
    </row>
    <row r="467" spans="1:6">
      <c r="A467" s="49"/>
      <c r="D467" t="str">
        <f>IFERROR(XLOOKUP(C467,'Master Barang'!$A:$A,'Master Barang'!$B:$B,""),"")</f>
        <v/>
      </c>
      <c r="E467" s="52"/>
      <c r="F467" t="str">
        <f>IFERROR(XLOOKUP(C467,'Master Barang'!$A:$A,'Master Barang'!$D:$D,""),"")</f>
        <v/>
      </c>
    </row>
    <row r="468" spans="1:6">
      <c r="A468" s="49"/>
      <c r="D468" t="str">
        <f>IFERROR(XLOOKUP(C468,'Master Barang'!$A:$A,'Master Barang'!$B:$B,""),"")</f>
        <v/>
      </c>
      <c r="E468" s="52"/>
      <c r="F468" t="str">
        <f>IFERROR(XLOOKUP(C468,'Master Barang'!$A:$A,'Master Barang'!$D:$D,""),"")</f>
        <v/>
      </c>
    </row>
    <row r="469" spans="1:6">
      <c r="A469" s="49"/>
      <c r="D469" t="str">
        <f>IFERROR(XLOOKUP(C469,'Master Barang'!$A:$A,'Master Barang'!$B:$B,""),"")</f>
        <v/>
      </c>
      <c r="E469" s="52"/>
      <c r="F469" t="str">
        <f>IFERROR(XLOOKUP(C469,'Master Barang'!$A:$A,'Master Barang'!$D:$D,""),"")</f>
        <v/>
      </c>
    </row>
    <row r="470" spans="1:6">
      <c r="A470" s="49"/>
      <c r="D470" t="str">
        <f>IFERROR(XLOOKUP(C470,'Master Barang'!$A:$A,'Master Barang'!$B:$B,""),"")</f>
        <v/>
      </c>
      <c r="E470" s="52"/>
      <c r="F470" t="str">
        <f>IFERROR(XLOOKUP(C470,'Master Barang'!$A:$A,'Master Barang'!$D:$D,""),"")</f>
        <v/>
      </c>
    </row>
    <row r="471" spans="1:6">
      <c r="A471" s="49"/>
      <c r="D471" t="str">
        <f>IFERROR(XLOOKUP(C471,'Master Barang'!$A:$A,'Master Barang'!$B:$B,""),"")</f>
        <v/>
      </c>
      <c r="E471" s="52"/>
      <c r="F471" t="str">
        <f>IFERROR(XLOOKUP(C471,'Master Barang'!$A:$A,'Master Barang'!$D:$D,""),"")</f>
        <v/>
      </c>
    </row>
    <row r="472" spans="1:6">
      <c r="A472" s="49"/>
      <c r="D472" t="str">
        <f>IFERROR(XLOOKUP(C472,'Master Barang'!$A:$A,'Master Barang'!$B:$B,""),"")</f>
        <v/>
      </c>
      <c r="E472" s="52"/>
      <c r="F472" t="str">
        <f>IFERROR(XLOOKUP(C472,'Master Barang'!$A:$A,'Master Barang'!$D:$D,""),"")</f>
        <v/>
      </c>
    </row>
    <row r="473" spans="1:6">
      <c r="A473" s="49"/>
      <c r="D473" t="str">
        <f>IFERROR(XLOOKUP(C473,'Master Barang'!$A:$A,'Master Barang'!$B:$B,""),"")</f>
        <v/>
      </c>
      <c r="E473" s="52"/>
      <c r="F473" t="str">
        <f>IFERROR(XLOOKUP(C473,'Master Barang'!$A:$A,'Master Barang'!$D:$D,""),"")</f>
        <v/>
      </c>
    </row>
    <row r="474" spans="1:6">
      <c r="A474" s="49"/>
      <c r="D474" t="str">
        <f>IFERROR(XLOOKUP(C474,'Master Barang'!$A:$A,'Master Barang'!$B:$B,""),"")</f>
        <v/>
      </c>
      <c r="E474" s="52"/>
      <c r="F474" t="str">
        <f>IFERROR(XLOOKUP(C474,'Master Barang'!$A:$A,'Master Barang'!$D:$D,""),"")</f>
        <v/>
      </c>
    </row>
    <row r="475" spans="1:6">
      <c r="A475" s="49"/>
      <c r="D475" t="str">
        <f>IFERROR(XLOOKUP(C475,'Master Barang'!$A:$A,'Master Barang'!$B:$B,""),"")</f>
        <v/>
      </c>
      <c r="E475" s="52"/>
      <c r="F475" t="str">
        <f>IFERROR(XLOOKUP(C475,'Master Barang'!$A:$A,'Master Barang'!$D:$D,""),"")</f>
        <v/>
      </c>
    </row>
    <row r="476" spans="1:6">
      <c r="A476" s="49"/>
      <c r="D476" t="str">
        <f>IFERROR(XLOOKUP(C476,'Master Barang'!$A:$A,'Master Barang'!$B:$B,""),"")</f>
        <v/>
      </c>
      <c r="E476" s="52"/>
      <c r="F476" t="str">
        <f>IFERROR(XLOOKUP(C476,'Master Barang'!$A:$A,'Master Barang'!$D:$D,""),"")</f>
        <v/>
      </c>
    </row>
    <row r="477" spans="1:6">
      <c r="A477" s="49"/>
      <c r="D477" t="str">
        <f>IFERROR(XLOOKUP(C477,'Master Barang'!$A:$A,'Master Barang'!$B:$B,""),"")</f>
        <v/>
      </c>
      <c r="E477" s="52"/>
      <c r="F477" t="str">
        <f>IFERROR(XLOOKUP(C477,'Master Barang'!$A:$A,'Master Barang'!$D:$D,""),"")</f>
        <v/>
      </c>
    </row>
    <row r="478" spans="1:6">
      <c r="A478" s="49"/>
      <c r="D478" t="str">
        <f>IFERROR(XLOOKUP(C478,'Master Barang'!$A:$A,'Master Barang'!$B:$B,""),"")</f>
        <v/>
      </c>
      <c r="E478" s="52"/>
      <c r="F478" t="str">
        <f>IFERROR(XLOOKUP(C478,'Master Barang'!$A:$A,'Master Barang'!$D:$D,""),"")</f>
        <v/>
      </c>
    </row>
    <row r="479" spans="1:6">
      <c r="A479" s="49"/>
      <c r="D479" t="str">
        <f>IFERROR(XLOOKUP(C479,'Master Barang'!$A:$A,'Master Barang'!$B:$B,""),"")</f>
        <v/>
      </c>
      <c r="E479" s="52"/>
      <c r="F479" t="str">
        <f>IFERROR(XLOOKUP(C479,'Master Barang'!$A:$A,'Master Barang'!$D:$D,""),"")</f>
        <v/>
      </c>
    </row>
    <row r="480" spans="1:6">
      <c r="A480" s="49"/>
      <c r="D480" t="str">
        <f>IFERROR(XLOOKUP(C480,'Master Barang'!$A:$A,'Master Barang'!$B:$B,""),"")</f>
        <v/>
      </c>
      <c r="E480" s="52"/>
      <c r="F480" t="str">
        <f>IFERROR(XLOOKUP(C480,'Master Barang'!$A:$A,'Master Barang'!$D:$D,""),"")</f>
        <v/>
      </c>
    </row>
    <row r="481" spans="1:6">
      <c r="A481" s="49"/>
      <c r="D481" t="str">
        <f>IFERROR(XLOOKUP(C481,'Master Barang'!$A:$A,'Master Barang'!$B:$B,""),"")</f>
        <v/>
      </c>
      <c r="E481" s="52"/>
      <c r="F481" t="str">
        <f>IFERROR(XLOOKUP(C481,'Master Barang'!$A:$A,'Master Barang'!$D:$D,""),"")</f>
        <v/>
      </c>
    </row>
    <row r="482" spans="1:6">
      <c r="A482" s="49"/>
      <c r="D482" t="str">
        <f>IFERROR(XLOOKUP(C482,'Master Barang'!$A:$A,'Master Barang'!$B:$B,""),"")</f>
        <v/>
      </c>
      <c r="E482" s="52"/>
      <c r="F482" t="str">
        <f>IFERROR(XLOOKUP(C482,'Master Barang'!$A:$A,'Master Barang'!$D:$D,""),"")</f>
        <v/>
      </c>
    </row>
    <row r="483" spans="1:6">
      <c r="A483" s="49"/>
      <c r="D483" t="str">
        <f>IFERROR(XLOOKUP(C483,'Master Barang'!$A:$A,'Master Barang'!$B:$B,""),"")</f>
        <v/>
      </c>
      <c r="E483" s="52"/>
      <c r="F483" t="str">
        <f>IFERROR(XLOOKUP(C483,'Master Barang'!$A:$A,'Master Barang'!$D:$D,""),"")</f>
        <v/>
      </c>
    </row>
    <row r="484" spans="1:6">
      <c r="A484" s="49"/>
      <c r="D484" t="str">
        <f>IFERROR(XLOOKUP(C484,'Master Barang'!$A:$A,'Master Barang'!$B:$B,""),"")</f>
        <v/>
      </c>
      <c r="E484" s="52"/>
      <c r="F484" t="str">
        <f>IFERROR(XLOOKUP(C484,'Master Barang'!$A:$A,'Master Barang'!$D:$D,""),"")</f>
        <v/>
      </c>
    </row>
    <row r="485" spans="1:6">
      <c r="A485" s="49"/>
      <c r="D485" t="str">
        <f>IFERROR(XLOOKUP(C485,'Master Barang'!$A:$A,'Master Barang'!$B:$B,""),"")</f>
        <v/>
      </c>
      <c r="E485" s="52"/>
      <c r="F485" t="str">
        <f>IFERROR(XLOOKUP(C485,'Master Barang'!$A:$A,'Master Barang'!$D:$D,""),"")</f>
        <v/>
      </c>
    </row>
    <row r="486" spans="1:6">
      <c r="A486" s="49"/>
      <c r="D486" t="str">
        <f>IFERROR(XLOOKUP(C486,'Master Barang'!$A:$A,'Master Barang'!$B:$B,""),"")</f>
        <v/>
      </c>
      <c r="E486" s="52"/>
      <c r="F486" t="str">
        <f>IFERROR(XLOOKUP(C486,'Master Barang'!$A:$A,'Master Barang'!$D:$D,""),"")</f>
        <v/>
      </c>
    </row>
    <row r="487" spans="1:6">
      <c r="A487" s="49"/>
      <c r="D487" t="str">
        <f>IFERROR(XLOOKUP(C487,'Master Barang'!$A:$A,'Master Barang'!$B:$B,""),"")</f>
        <v/>
      </c>
      <c r="E487" s="52"/>
      <c r="F487" t="str">
        <f>IFERROR(XLOOKUP(C487,'Master Barang'!$A:$A,'Master Barang'!$D:$D,""),"")</f>
        <v/>
      </c>
    </row>
    <row r="488" spans="1:6">
      <c r="A488" s="49"/>
      <c r="D488" t="str">
        <f>IFERROR(XLOOKUP(C488,'Master Barang'!$A:$A,'Master Barang'!$B:$B,""),"")</f>
        <v/>
      </c>
      <c r="E488" s="52"/>
      <c r="F488" t="str">
        <f>IFERROR(XLOOKUP(C488,'Master Barang'!$A:$A,'Master Barang'!$D:$D,""),"")</f>
        <v/>
      </c>
    </row>
    <row r="489" spans="1:6">
      <c r="A489" s="49"/>
      <c r="D489" t="str">
        <f>IFERROR(XLOOKUP(C489,'Master Barang'!$A:$A,'Master Barang'!$B:$B,""),"")</f>
        <v/>
      </c>
      <c r="E489" s="52"/>
      <c r="F489" t="str">
        <f>IFERROR(XLOOKUP(C489,'Master Barang'!$A:$A,'Master Barang'!$D:$D,""),"")</f>
        <v/>
      </c>
    </row>
    <row r="490" spans="1:6">
      <c r="A490" s="49"/>
      <c r="D490" t="str">
        <f>IFERROR(XLOOKUP(C490,'Master Barang'!$A:$A,'Master Barang'!$B:$B,""),"")</f>
        <v/>
      </c>
      <c r="E490" s="52"/>
      <c r="F490" t="str">
        <f>IFERROR(XLOOKUP(C490,'Master Barang'!$A:$A,'Master Barang'!$D:$D,""),"")</f>
        <v/>
      </c>
    </row>
    <row r="491" spans="1:6">
      <c r="A491" s="49"/>
      <c r="D491" t="str">
        <f>IFERROR(XLOOKUP(C491,'Master Barang'!$A:$A,'Master Barang'!$B:$B,""),"")</f>
        <v/>
      </c>
      <c r="E491" s="52"/>
      <c r="F491" t="str">
        <f>IFERROR(XLOOKUP(C491,'Master Barang'!$A:$A,'Master Barang'!$D:$D,""),"")</f>
        <v/>
      </c>
    </row>
    <row r="492" spans="1:6">
      <c r="A492" s="49"/>
      <c r="D492" t="str">
        <f>IFERROR(XLOOKUP(C492,'Master Barang'!$A:$A,'Master Barang'!$B:$B,""),"")</f>
        <v/>
      </c>
      <c r="E492" s="52"/>
      <c r="F492" t="str">
        <f>IFERROR(XLOOKUP(C492,'Master Barang'!$A:$A,'Master Barang'!$D:$D,""),"")</f>
        <v/>
      </c>
    </row>
    <row r="493" spans="1:6">
      <c r="A493" s="49"/>
      <c r="D493" t="str">
        <f>IFERROR(XLOOKUP(C493,'Master Barang'!$A:$A,'Master Barang'!$B:$B,""),"")</f>
        <v/>
      </c>
      <c r="E493" s="52"/>
      <c r="F493" t="str">
        <f>IFERROR(XLOOKUP(C493,'Master Barang'!$A:$A,'Master Barang'!$D:$D,""),"")</f>
        <v/>
      </c>
    </row>
    <row r="494" spans="1:6">
      <c r="A494" s="49"/>
      <c r="D494" t="str">
        <f>IFERROR(XLOOKUP(C494,'Master Barang'!$A:$A,'Master Barang'!$B:$B,""),"")</f>
        <v/>
      </c>
      <c r="E494" s="52"/>
      <c r="F494" t="str">
        <f>IFERROR(XLOOKUP(C494,'Master Barang'!$A:$A,'Master Barang'!$D:$D,""),"")</f>
        <v/>
      </c>
    </row>
    <row r="495" spans="1:6">
      <c r="A495" s="49"/>
      <c r="D495" t="str">
        <f>IFERROR(XLOOKUP(C495,'Master Barang'!$A:$A,'Master Barang'!$B:$B,""),"")</f>
        <v/>
      </c>
      <c r="E495" s="52"/>
      <c r="F495" t="str">
        <f>IFERROR(XLOOKUP(C495,'Master Barang'!$A:$A,'Master Barang'!$D:$D,""),"")</f>
        <v/>
      </c>
    </row>
    <row r="496" spans="1:6">
      <c r="A496" s="49"/>
      <c r="D496" t="str">
        <f>IFERROR(XLOOKUP(C496,'Master Barang'!$A:$A,'Master Barang'!$B:$B,""),"")</f>
        <v/>
      </c>
      <c r="E496" s="52"/>
      <c r="F496" t="str">
        <f>IFERROR(XLOOKUP(C496,'Master Barang'!$A:$A,'Master Barang'!$D:$D,""),"")</f>
        <v/>
      </c>
    </row>
    <row r="497" spans="1:6">
      <c r="A497" s="49"/>
      <c r="D497" t="str">
        <f>IFERROR(XLOOKUP(C497,'Master Barang'!$A:$A,'Master Barang'!$B:$B,""),"")</f>
        <v/>
      </c>
      <c r="E497" s="52"/>
      <c r="F497" t="str">
        <f>IFERROR(XLOOKUP(C497,'Master Barang'!$A:$A,'Master Barang'!$D:$D,""),"")</f>
        <v/>
      </c>
    </row>
    <row r="498" spans="1:6">
      <c r="A498" s="49"/>
      <c r="D498" t="str">
        <f>IFERROR(XLOOKUP(C498,'Master Barang'!$A:$A,'Master Barang'!$B:$B,""),"")</f>
        <v/>
      </c>
      <c r="E498" s="52"/>
      <c r="F498" t="str">
        <f>IFERROR(XLOOKUP(C498,'Master Barang'!$A:$A,'Master Barang'!$D:$D,""),"")</f>
        <v/>
      </c>
    </row>
    <row r="499" spans="1:6">
      <c r="A499" s="49"/>
      <c r="D499" t="str">
        <f>IFERROR(XLOOKUP(C499,'Master Barang'!$A:$A,'Master Barang'!$B:$B,""),"")</f>
        <v/>
      </c>
      <c r="E499" s="52"/>
      <c r="F499" t="str">
        <f>IFERROR(XLOOKUP(C499,'Master Barang'!$A:$A,'Master Barang'!$D:$D,""),"")</f>
        <v/>
      </c>
    </row>
    <row r="500" spans="1:6">
      <c r="A500" s="49"/>
      <c r="D500" t="str">
        <f>IFERROR(XLOOKUP(C500,'Master Barang'!$A:$A,'Master Barang'!$B:$B,""),"")</f>
        <v/>
      </c>
      <c r="E500" s="52"/>
      <c r="F500" t="str">
        <f>IFERROR(XLOOKUP(C500,'Master Barang'!$A:$A,'Master Barang'!$D:$D,""),"")</f>
        <v/>
      </c>
    </row>
    <row r="501" spans="1:6">
      <c r="A501" s="49"/>
      <c r="D501" t="str">
        <f>IFERROR(XLOOKUP(C501,'Master Barang'!$A:$A,'Master Barang'!$B:$B,""),"")</f>
        <v/>
      </c>
      <c r="E501" s="52"/>
      <c r="F501" t="str">
        <f>IFERROR(XLOOKUP(C501,'Master Barang'!$A:$A,'Master Barang'!$D:$D,""),"")</f>
        <v/>
      </c>
    </row>
    <row r="502" spans="1:6">
      <c r="A502" s="49"/>
      <c r="D502" t="str">
        <f>IFERROR(XLOOKUP(C502,'Master Barang'!$A:$A,'Master Barang'!$B:$B,""),"")</f>
        <v/>
      </c>
      <c r="E502" s="52"/>
      <c r="F502" t="str">
        <f>IFERROR(XLOOKUP(C502,'Master Barang'!$A:$A,'Master Barang'!$D:$D,""),"")</f>
        <v/>
      </c>
    </row>
    <row r="503" spans="1:6">
      <c r="A503" s="49"/>
      <c r="D503" t="str">
        <f>IFERROR(XLOOKUP(C503,'Master Barang'!$A:$A,'Master Barang'!$B:$B,""),"")</f>
        <v/>
      </c>
      <c r="E503" s="52"/>
      <c r="F503" t="str">
        <f>IFERROR(XLOOKUP(C503,'Master Barang'!$A:$A,'Master Barang'!$D:$D,""),"")</f>
        <v/>
      </c>
    </row>
    <row r="504" spans="1:6">
      <c r="A504" s="49"/>
      <c r="D504" t="str">
        <f>IFERROR(XLOOKUP(C504,'Master Barang'!$A:$A,'Master Barang'!$B:$B,""),"")</f>
        <v/>
      </c>
      <c r="E504" s="52"/>
      <c r="F504" t="str">
        <f>IFERROR(XLOOKUP(C504,'Master Barang'!$A:$A,'Master Barang'!$D:$D,""),"")</f>
        <v/>
      </c>
    </row>
    <row r="505" spans="1:6">
      <c r="A505" s="49"/>
      <c r="D505" t="str">
        <f>IFERROR(XLOOKUP(C505,'Master Barang'!$A:$A,'Master Barang'!$B:$B,""),"")</f>
        <v/>
      </c>
      <c r="E505" s="52"/>
      <c r="F505" t="str">
        <f>IFERROR(XLOOKUP(C505,'Master Barang'!$A:$A,'Master Barang'!$D:$D,""),"")</f>
        <v/>
      </c>
    </row>
    <row r="506" spans="1:6">
      <c r="A506" s="49"/>
      <c r="D506" t="str">
        <f>IFERROR(XLOOKUP(C506,'Master Barang'!$A:$A,'Master Barang'!$B:$B,""),"")</f>
        <v/>
      </c>
      <c r="E506" s="52"/>
      <c r="F506" t="str">
        <f>IFERROR(XLOOKUP(C506,'Master Barang'!$A:$A,'Master Barang'!$D:$D,""),"")</f>
        <v/>
      </c>
    </row>
    <row r="507" spans="1:6">
      <c r="A507" s="49"/>
      <c r="D507" t="str">
        <f>IFERROR(XLOOKUP(C507,'Master Barang'!$A:$A,'Master Barang'!$B:$B,""),"")</f>
        <v/>
      </c>
      <c r="E507" s="52"/>
      <c r="F507" t="str">
        <f>IFERROR(XLOOKUP(C507,'Master Barang'!$A:$A,'Master Barang'!$D:$D,""),"")</f>
        <v/>
      </c>
    </row>
    <row r="508" spans="1:6">
      <c r="A508" s="49"/>
      <c r="D508" t="str">
        <f>IFERROR(XLOOKUP(C508,'Master Barang'!$A:$A,'Master Barang'!$B:$B,""),"")</f>
        <v/>
      </c>
      <c r="E508" s="52"/>
      <c r="F508" t="str">
        <f>IFERROR(XLOOKUP(C508,'Master Barang'!$A:$A,'Master Barang'!$D:$D,""),"")</f>
        <v/>
      </c>
    </row>
    <row r="509" spans="1:6">
      <c r="A509" s="49"/>
      <c r="D509" t="str">
        <f>IFERROR(XLOOKUP(C509,'Master Barang'!$A:$A,'Master Barang'!$B:$B,""),"")</f>
        <v/>
      </c>
      <c r="E509" s="52"/>
      <c r="F509" t="str">
        <f>IFERROR(XLOOKUP(C509,'Master Barang'!$A:$A,'Master Barang'!$D:$D,""),"")</f>
        <v/>
      </c>
    </row>
    <row r="510" spans="1:6">
      <c r="A510" s="49"/>
      <c r="D510" t="str">
        <f>IFERROR(XLOOKUP(C510,'Master Barang'!$A:$A,'Master Barang'!$B:$B,""),"")</f>
        <v/>
      </c>
      <c r="E510" s="52"/>
      <c r="F510" t="str">
        <f>IFERROR(XLOOKUP(C510,'Master Barang'!$A:$A,'Master Barang'!$D:$D,""),"")</f>
        <v/>
      </c>
    </row>
    <row r="511" spans="1:6">
      <c r="A511" s="49"/>
      <c r="D511" t="str">
        <f>IFERROR(XLOOKUP(C511,'Master Barang'!$A:$A,'Master Barang'!$B:$B,""),"")</f>
        <v/>
      </c>
      <c r="E511" s="52"/>
      <c r="F511" t="str">
        <f>IFERROR(XLOOKUP(C511,'Master Barang'!$A:$A,'Master Barang'!$D:$D,""),"")</f>
        <v/>
      </c>
    </row>
    <row r="512" spans="1:6">
      <c r="A512" s="49"/>
      <c r="D512" t="str">
        <f>IFERROR(XLOOKUP(C512,'Master Barang'!$A:$A,'Master Barang'!$B:$B,""),"")</f>
        <v/>
      </c>
      <c r="E512" s="52"/>
      <c r="F512" t="str">
        <f>IFERROR(XLOOKUP(C512,'Master Barang'!$A:$A,'Master Barang'!$D:$D,""),"")</f>
        <v/>
      </c>
    </row>
    <row r="513" spans="1:6">
      <c r="A513" s="49"/>
      <c r="D513" t="str">
        <f>IFERROR(XLOOKUP(C513,'Master Barang'!$A:$A,'Master Barang'!$B:$B,""),"")</f>
        <v/>
      </c>
      <c r="E513" s="52"/>
      <c r="F513" t="str">
        <f>IFERROR(XLOOKUP(C513,'Master Barang'!$A:$A,'Master Barang'!$D:$D,""),"")</f>
        <v/>
      </c>
    </row>
    <row r="514" spans="1:6">
      <c r="A514" s="49"/>
      <c r="D514" t="str">
        <f>IFERROR(XLOOKUP(C514,'Master Barang'!$A:$A,'Master Barang'!$B:$B,""),"")</f>
        <v/>
      </c>
      <c r="E514" s="52"/>
      <c r="F514" t="str">
        <f>IFERROR(XLOOKUP(C514,'Master Barang'!$A:$A,'Master Barang'!$D:$D,""),"")</f>
        <v/>
      </c>
    </row>
    <row r="515" spans="1:6">
      <c r="A515" s="49"/>
      <c r="D515" t="str">
        <f>IFERROR(XLOOKUP(C515,'Master Barang'!$A:$A,'Master Barang'!$B:$B,""),"")</f>
        <v/>
      </c>
      <c r="E515" s="52"/>
      <c r="F515" t="str">
        <f>IFERROR(XLOOKUP(C515,'Master Barang'!$A:$A,'Master Barang'!$D:$D,""),"")</f>
        <v/>
      </c>
    </row>
    <row r="516" spans="1:6">
      <c r="A516" s="49"/>
      <c r="D516" t="str">
        <f>IFERROR(XLOOKUP(C516,'Master Barang'!$A:$A,'Master Barang'!$B:$B,""),"")</f>
        <v/>
      </c>
      <c r="E516" s="52"/>
      <c r="F516" t="str">
        <f>IFERROR(XLOOKUP(C516,'Master Barang'!$A:$A,'Master Barang'!$D:$D,""),"")</f>
        <v/>
      </c>
    </row>
    <row r="517" spans="1:6">
      <c r="A517" s="49"/>
      <c r="D517" t="str">
        <f>IFERROR(XLOOKUP(C517,'Master Barang'!$A:$A,'Master Barang'!$B:$B,""),"")</f>
        <v/>
      </c>
      <c r="E517" s="52"/>
      <c r="F517" t="str">
        <f>IFERROR(XLOOKUP(C517,'Master Barang'!$A:$A,'Master Barang'!$D:$D,""),"")</f>
        <v/>
      </c>
    </row>
    <row r="518" spans="1:6">
      <c r="A518" s="49"/>
      <c r="D518" t="str">
        <f>IFERROR(XLOOKUP(C518,'Master Barang'!$A:$A,'Master Barang'!$B:$B,""),"")</f>
        <v/>
      </c>
      <c r="E518" s="52"/>
      <c r="F518" t="str">
        <f>IFERROR(XLOOKUP(C518,'Master Barang'!$A:$A,'Master Barang'!$D:$D,""),"")</f>
        <v/>
      </c>
    </row>
    <row r="519" spans="1:6">
      <c r="A519" s="49"/>
      <c r="D519" t="str">
        <f>IFERROR(XLOOKUP(C519,'Master Barang'!$A:$A,'Master Barang'!$B:$B,""),"")</f>
        <v/>
      </c>
      <c r="E519" s="52"/>
      <c r="F519" t="str">
        <f>IFERROR(XLOOKUP(C519,'Master Barang'!$A:$A,'Master Barang'!$D:$D,""),"")</f>
        <v/>
      </c>
    </row>
    <row r="520" spans="1:6">
      <c r="A520" s="49"/>
      <c r="D520" t="str">
        <f>IFERROR(XLOOKUP(C520,'Master Barang'!$A:$A,'Master Barang'!$B:$B,""),"")</f>
        <v/>
      </c>
      <c r="E520" s="52"/>
      <c r="F520" t="str">
        <f>IFERROR(XLOOKUP(C520,'Master Barang'!$A:$A,'Master Barang'!$D:$D,""),"")</f>
        <v/>
      </c>
    </row>
    <row r="521" spans="1:6">
      <c r="A521" s="49"/>
      <c r="D521" t="str">
        <f>IFERROR(XLOOKUP(C521,'Master Barang'!$A:$A,'Master Barang'!$B:$B,""),"")</f>
        <v/>
      </c>
      <c r="E521" s="52"/>
      <c r="F521" t="str">
        <f>IFERROR(XLOOKUP(C521,'Master Barang'!$A:$A,'Master Barang'!$D:$D,""),"")</f>
        <v/>
      </c>
    </row>
    <row r="522" spans="1:6">
      <c r="A522" s="49"/>
      <c r="D522" t="str">
        <f>IFERROR(XLOOKUP(C522,'Master Barang'!$A:$A,'Master Barang'!$B:$B,""),"")</f>
        <v/>
      </c>
      <c r="E522" s="52"/>
      <c r="F522" t="str">
        <f>IFERROR(XLOOKUP(C522,'Master Barang'!$A:$A,'Master Barang'!$D:$D,""),"")</f>
        <v/>
      </c>
    </row>
    <row r="523" spans="1:6">
      <c r="A523" s="49"/>
      <c r="D523" t="str">
        <f>IFERROR(XLOOKUP(C523,'Master Barang'!$A:$A,'Master Barang'!$B:$B,""),"")</f>
        <v/>
      </c>
      <c r="E523" s="52"/>
      <c r="F523" t="str">
        <f>IFERROR(XLOOKUP(C523,'Master Barang'!$A:$A,'Master Barang'!$D:$D,""),"")</f>
        <v/>
      </c>
    </row>
    <row r="524" spans="1:6">
      <c r="A524" s="49"/>
      <c r="D524" t="str">
        <f>IFERROR(XLOOKUP(C524,'Master Barang'!$A:$A,'Master Barang'!$B:$B,""),"")</f>
        <v/>
      </c>
      <c r="E524" s="52"/>
      <c r="F524" t="str">
        <f>IFERROR(XLOOKUP(C524,'Master Barang'!$A:$A,'Master Barang'!$D:$D,""),"")</f>
        <v/>
      </c>
    </row>
    <row r="525" spans="1:6">
      <c r="A525" s="49"/>
      <c r="D525" t="str">
        <f>IFERROR(XLOOKUP(C525,'Master Barang'!$A:$A,'Master Barang'!$B:$B,""),"")</f>
        <v/>
      </c>
      <c r="E525" s="52"/>
      <c r="F525" t="str">
        <f>IFERROR(XLOOKUP(C525,'Master Barang'!$A:$A,'Master Barang'!$D:$D,""),"")</f>
        <v/>
      </c>
    </row>
    <row r="526" spans="1:6">
      <c r="A526" s="49"/>
      <c r="D526" t="str">
        <f>IFERROR(XLOOKUP(C526,'Master Barang'!$A:$A,'Master Barang'!$B:$B,""),"")</f>
        <v/>
      </c>
      <c r="E526" s="52"/>
      <c r="F526" t="str">
        <f>IFERROR(XLOOKUP(C526,'Master Barang'!$A:$A,'Master Barang'!$D:$D,""),"")</f>
        <v/>
      </c>
    </row>
    <row r="527" spans="1:6">
      <c r="A527" s="49"/>
      <c r="D527" t="str">
        <f>IFERROR(XLOOKUP(C527,'Master Barang'!$A:$A,'Master Barang'!$B:$B,""),"")</f>
        <v/>
      </c>
      <c r="E527" s="52"/>
      <c r="F527" t="str">
        <f>IFERROR(XLOOKUP(C527,'Master Barang'!$A:$A,'Master Barang'!$D:$D,""),"")</f>
        <v/>
      </c>
    </row>
    <row r="528" spans="1:6">
      <c r="A528" s="49"/>
      <c r="D528" t="str">
        <f>IFERROR(XLOOKUP(C528,'Master Barang'!$A:$A,'Master Barang'!$B:$B,""),"")</f>
        <v/>
      </c>
      <c r="E528" s="52"/>
      <c r="F528" t="str">
        <f>IFERROR(XLOOKUP(C528,'Master Barang'!$A:$A,'Master Barang'!$D:$D,""),"")</f>
        <v/>
      </c>
    </row>
    <row r="529" spans="1:6">
      <c r="A529" s="49"/>
      <c r="D529" t="str">
        <f>IFERROR(XLOOKUP(C529,'Master Barang'!$A:$A,'Master Barang'!$B:$B,""),"")</f>
        <v/>
      </c>
      <c r="E529" s="52"/>
      <c r="F529" t="str">
        <f>IFERROR(XLOOKUP(C529,'Master Barang'!$A:$A,'Master Barang'!$D:$D,""),"")</f>
        <v/>
      </c>
    </row>
    <row r="530" spans="1:6">
      <c r="A530" s="49"/>
      <c r="D530" t="str">
        <f>IFERROR(XLOOKUP(C530,'Master Barang'!$A:$A,'Master Barang'!$B:$B,""),"")</f>
        <v/>
      </c>
      <c r="E530" s="52"/>
      <c r="F530" t="str">
        <f>IFERROR(XLOOKUP(C530,'Master Barang'!$A:$A,'Master Barang'!$D:$D,""),"")</f>
        <v/>
      </c>
    </row>
    <row r="531" spans="1:6">
      <c r="A531" s="49"/>
      <c r="D531" t="str">
        <f>IFERROR(XLOOKUP(C531,'Master Barang'!$A:$A,'Master Barang'!$B:$B,""),"")</f>
        <v/>
      </c>
      <c r="E531" s="52"/>
      <c r="F531" t="str">
        <f>IFERROR(XLOOKUP(C531,'Master Barang'!$A:$A,'Master Barang'!$D:$D,""),"")</f>
        <v/>
      </c>
    </row>
    <row r="532" spans="1:6">
      <c r="A532" s="49"/>
      <c r="D532" t="str">
        <f>IFERROR(XLOOKUP(C532,'Master Barang'!$A:$A,'Master Barang'!$B:$B,""),"")</f>
        <v/>
      </c>
      <c r="E532" s="52"/>
      <c r="F532" t="str">
        <f>IFERROR(XLOOKUP(C532,'Master Barang'!$A:$A,'Master Barang'!$D:$D,""),"")</f>
        <v/>
      </c>
    </row>
    <row r="533" spans="1:6">
      <c r="A533" s="49"/>
      <c r="D533" t="str">
        <f>IFERROR(XLOOKUP(C533,'Master Barang'!$A:$A,'Master Barang'!$B:$B,""),"")</f>
        <v/>
      </c>
      <c r="E533" s="52"/>
      <c r="F533" t="str">
        <f>IFERROR(XLOOKUP(C533,'Master Barang'!$A:$A,'Master Barang'!$D:$D,""),"")</f>
        <v/>
      </c>
    </row>
    <row r="534" spans="1:6">
      <c r="A534" s="49"/>
      <c r="D534" t="str">
        <f>IFERROR(XLOOKUP(C534,'Master Barang'!$A:$A,'Master Barang'!$B:$B,""),"")</f>
        <v/>
      </c>
      <c r="E534" s="52"/>
      <c r="F534" t="str">
        <f>IFERROR(XLOOKUP(C534,'Master Barang'!$A:$A,'Master Barang'!$D:$D,""),"")</f>
        <v/>
      </c>
    </row>
    <row r="535" spans="1:6">
      <c r="A535" s="49"/>
      <c r="D535" t="str">
        <f>IFERROR(XLOOKUP(C535,'Master Barang'!$A:$A,'Master Barang'!$B:$B,""),"")</f>
        <v/>
      </c>
      <c r="E535" s="52"/>
      <c r="F535" t="str">
        <f>IFERROR(XLOOKUP(C535,'Master Barang'!$A:$A,'Master Barang'!$D:$D,""),"")</f>
        <v/>
      </c>
    </row>
    <row r="536" spans="1:6">
      <c r="A536" s="49"/>
      <c r="D536" t="str">
        <f>IFERROR(XLOOKUP(C536,'Master Barang'!$A:$A,'Master Barang'!$B:$B,""),"")</f>
        <v/>
      </c>
      <c r="E536" s="52"/>
      <c r="F536" t="str">
        <f>IFERROR(XLOOKUP(C536,'Master Barang'!$A:$A,'Master Barang'!$D:$D,""),"")</f>
        <v/>
      </c>
    </row>
    <row r="537" spans="1:6">
      <c r="A537" s="49"/>
      <c r="D537" t="str">
        <f>IFERROR(XLOOKUP(C537,'Master Barang'!$A:$A,'Master Barang'!$B:$B,""),"")</f>
        <v/>
      </c>
      <c r="E537" s="52"/>
      <c r="F537" t="str">
        <f>IFERROR(XLOOKUP(C537,'Master Barang'!$A:$A,'Master Barang'!$D:$D,""),"")</f>
        <v/>
      </c>
    </row>
    <row r="538" spans="1:6">
      <c r="A538" s="49"/>
      <c r="D538" t="str">
        <f>IFERROR(XLOOKUP(C538,'Master Barang'!$A:$A,'Master Barang'!$B:$B,""),"")</f>
        <v/>
      </c>
      <c r="E538" s="52"/>
      <c r="F538" t="str">
        <f>IFERROR(XLOOKUP(C538,'Master Barang'!$A:$A,'Master Barang'!$D:$D,""),"")</f>
        <v/>
      </c>
    </row>
    <row r="539" spans="1:6">
      <c r="A539" s="49"/>
      <c r="D539" t="str">
        <f>IFERROR(XLOOKUP(C539,'Master Barang'!$A:$A,'Master Barang'!$B:$B,""),"")</f>
        <v/>
      </c>
      <c r="E539" s="52"/>
      <c r="F539" t="str">
        <f>IFERROR(XLOOKUP(C539,'Master Barang'!$A:$A,'Master Barang'!$D:$D,""),"")</f>
        <v/>
      </c>
    </row>
    <row r="540" spans="1:6">
      <c r="A540" s="49"/>
      <c r="D540" t="str">
        <f>IFERROR(XLOOKUP(C540,'Master Barang'!$A:$A,'Master Barang'!$B:$B,""),"")</f>
        <v/>
      </c>
      <c r="E540" s="52"/>
      <c r="F540" t="str">
        <f>IFERROR(XLOOKUP(C540,'Master Barang'!$A:$A,'Master Barang'!$D:$D,""),"")</f>
        <v/>
      </c>
    </row>
    <row r="541" spans="1:6">
      <c r="A541" s="49"/>
      <c r="D541" t="str">
        <f>IFERROR(XLOOKUP(C541,'Master Barang'!$A:$A,'Master Barang'!$B:$B,""),"")</f>
        <v/>
      </c>
      <c r="E541" s="52"/>
      <c r="F541" t="str">
        <f>IFERROR(XLOOKUP(C541,'Master Barang'!$A:$A,'Master Barang'!$D:$D,""),"")</f>
        <v/>
      </c>
    </row>
    <row r="542" spans="1:6">
      <c r="A542" s="49"/>
      <c r="D542" t="str">
        <f>IFERROR(XLOOKUP(C542,'Master Barang'!$A:$A,'Master Barang'!$B:$B,""),"")</f>
        <v/>
      </c>
      <c r="E542" s="52"/>
      <c r="F542" t="str">
        <f>IFERROR(XLOOKUP(C542,'Master Barang'!$A:$A,'Master Barang'!$D:$D,""),"")</f>
        <v/>
      </c>
    </row>
    <row r="543" spans="1:6">
      <c r="A543" s="49"/>
      <c r="D543" t="str">
        <f>IFERROR(XLOOKUP(C543,'Master Barang'!$A:$A,'Master Barang'!$B:$B,""),"")</f>
        <v/>
      </c>
      <c r="E543" s="52"/>
      <c r="F543" t="str">
        <f>IFERROR(XLOOKUP(C543,'Master Barang'!$A:$A,'Master Barang'!$D:$D,""),"")</f>
        <v/>
      </c>
    </row>
    <row r="544" spans="1:6">
      <c r="A544" s="49"/>
      <c r="D544" t="str">
        <f>IFERROR(XLOOKUP(C544,'Master Barang'!$A:$A,'Master Barang'!$B:$B,""),"")</f>
        <v/>
      </c>
      <c r="E544" s="52"/>
      <c r="F544" t="str">
        <f>IFERROR(XLOOKUP(C544,'Master Barang'!$A:$A,'Master Barang'!$D:$D,""),"")</f>
        <v/>
      </c>
    </row>
    <row r="545" spans="1:6">
      <c r="A545" s="49"/>
      <c r="D545" t="str">
        <f>IFERROR(XLOOKUP(C545,'Master Barang'!$A:$A,'Master Barang'!$B:$B,""),"")</f>
        <v/>
      </c>
      <c r="E545" s="52"/>
      <c r="F545" t="str">
        <f>IFERROR(XLOOKUP(C545,'Master Barang'!$A:$A,'Master Barang'!$D:$D,""),"")</f>
        <v/>
      </c>
    </row>
    <row r="546" spans="1:6">
      <c r="A546" s="49"/>
      <c r="D546" t="str">
        <f>IFERROR(XLOOKUP(C546,'Master Barang'!$A:$A,'Master Barang'!$B:$B,""),"")</f>
        <v/>
      </c>
      <c r="E546" s="52"/>
      <c r="F546" t="str">
        <f>IFERROR(XLOOKUP(C546,'Master Barang'!$A:$A,'Master Barang'!$D:$D,""),"")</f>
        <v/>
      </c>
    </row>
    <row r="547" spans="1:6">
      <c r="A547" s="49"/>
      <c r="D547" t="str">
        <f>IFERROR(XLOOKUP(C547,'Master Barang'!$A:$A,'Master Barang'!$B:$B,""),"")</f>
        <v/>
      </c>
      <c r="E547" s="52"/>
      <c r="F547" t="str">
        <f>IFERROR(XLOOKUP(C547,'Master Barang'!$A:$A,'Master Barang'!$D:$D,""),"")</f>
        <v/>
      </c>
    </row>
    <row r="548" spans="1:6">
      <c r="A548" s="49"/>
      <c r="D548" t="str">
        <f>IFERROR(XLOOKUP(C548,'Master Barang'!$A:$A,'Master Barang'!$B:$B,""),"")</f>
        <v/>
      </c>
      <c r="E548" s="52"/>
      <c r="F548" t="str">
        <f>IFERROR(XLOOKUP(C548,'Master Barang'!$A:$A,'Master Barang'!$D:$D,""),"")</f>
        <v/>
      </c>
    </row>
    <row r="549" spans="1:6">
      <c r="A549" s="49"/>
      <c r="D549" t="str">
        <f>IFERROR(XLOOKUP(C549,'Master Barang'!$A:$A,'Master Barang'!$B:$B,""),"")</f>
        <v/>
      </c>
      <c r="E549" s="52"/>
      <c r="F549" t="str">
        <f>IFERROR(XLOOKUP(C549,'Master Barang'!$A:$A,'Master Barang'!$D:$D,""),"")</f>
        <v/>
      </c>
    </row>
    <row r="550" spans="1:6">
      <c r="A550" s="49"/>
      <c r="D550" t="str">
        <f>IFERROR(XLOOKUP(C550,'Master Barang'!$A:$A,'Master Barang'!$B:$B,""),"")</f>
        <v/>
      </c>
      <c r="E550" s="52"/>
      <c r="F550" t="str">
        <f>IFERROR(XLOOKUP(C550,'Master Barang'!$A:$A,'Master Barang'!$D:$D,""),"")</f>
        <v/>
      </c>
    </row>
    <row r="551" spans="1:6">
      <c r="A551" s="49"/>
      <c r="D551" t="str">
        <f>IFERROR(XLOOKUP(C551,'Master Barang'!$A:$A,'Master Barang'!$B:$B,""),"")</f>
        <v/>
      </c>
      <c r="E551" s="52"/>
      <c r="F551" t="str">
        <f>IFERROR(XLOOKUP(C551,'Master Barang'!$A:$A,'Master Barang'!$D:$D,""),"")</f>
        <v/>
      </c>
    </row>
    <row r="552" spans="1:6">
      <c r="A552" s="49"/>
      <c r="D552" t="str">
        <f>IFERROR(XLOOKUP(C552,'Master Barang'!$A:$A,'Master Barang'!$B:$B,""),"")</f>
        <v/>
      </c>
      <c r="E552" s="52"/>
      <c r="F552" t="str">
        <f>IFERROR(XLOOKUP(C552,'Master Barang'!$A:$A,'Master Barang'!$D:$D,""),"")</f>
        <v/>
      </c>
    </row>
    <row r="553" spans="1:6">
      <c r="A553" s="49"/>
      <c r="D553" t="str">
        <f>IFERROR(XLOOKUP(C553,'Master Barang'!$A:$A,'Master Barang'!$B:$B,""),"")</f>
        <v/>
      </c>
      <c r="E553" s="52"/>
      <c r="F553" t="str">
        <f>IFERROR(XLOOKUP(C553,'Master Barang'!$A:$A,'Master Barang'!$D:$D,""),"")</f>
        <v/>
      </c>
    </row>
    <row r="554" spans="1:6">
      <c r="A554" s="49"/>
      <c r="D554" t="str">
        <f>IFERROR(XLOOKUP(C554,'Master Barang'!$A:$A,'Master Barang'!$B:$B,""),"")</f>
        <v/>
      </c>
      <c r="E554" s="52"/>
      <c r="F554" t="str">
        <f>IFERROR(XLOOKUP(C554,'Master Barang'!$A:$A,'Master Barang'!$D:$D,""),"")</f>
        <v/>
      </c>
    </row>
    <row r="555" spans="1:6">
      <c r="A555" s="49"/>
      <c r="D555" t="str">
        <f>IFERROR(XLOOKUP(C555,'Master Barang'!$A:$A,'Master Barang'!$B:$B,""),"")</f>
        <v/>
      </c>
      <c r="E555" s="52"/>
      <c r="F555" t="str">
        <f>IFERROR(XLOOKUP(C555,'Master Barang'!$A:$A,'Master Barang'!$D:$D,""),"")</f>
        <v/>
      </c>
    </row>
    <row r="556" spans="1:6">
      <c r="A556" s="49"/>
      <c r="D556" t="str">
        <f>IFERROR(XLOOKUP(C556,'Master Barang'!$A:$A,'Master Barang'!$B:$B,""),"")</f>
        <v/>
      </c>
      <c r="E556" s="52"/>
      <c r="F556" t="str">
        <f>IFERROR(XLOOKUP(C556,'Master Barang'!$A:$A,'Master Barang'!$D:$D,""),"")</f>
        <v/>
      </c>
    </row>
    <row r="557" spans="1:6">
      <c r="A557" s="49"/>
      <c r="D557" t="str">
        <f>IFERROR(XLOOKUP(C557,'Master Barang'!$A:$A,'Master Barang'!$B:$B,""),"")</f>
        <v/>
      </c>
      <c r="E557" s="52"/>
      <c r="F557" t="str">
        <f>IFERROR(XLOOKUP(C557,'Master Barang'!$A:$A,'Master Barang'!$D:$D,""),"")</f>
        <v/>
      </c>
    </row>
    <row r="558" spans="1:6">
      <c r="A558" s="49"/>
      <c r="D558" t="str">
        <f>IFERROR(XLOOKUP(C558,'Master Barang'!$A:$A,'Master Barang'!$B:$B,""),"")</f>
        <v/>
      </c>
      <c r="E558" s="52"/>
      <c r="F558" t="str">
        <f>IFERROR(XLOOKUP(C558,'Master Barang'!$A:$A,'Master Barang'!$D:$D,""),"")</f>
        <v/>
      </c>
    </row>
    <row r="559" spans="1:6">
      <c r="A559" s="49"/>
      <c r="D559" t="str">
        <f>IFERROR(XLOOKUP(C559,'Master Barang'!$A:$A,'Master Barang'!$B:$B,""),"")</f>
        <v/>
      </c>
      <c r="E559" s="52"/>
      <c r="F559" t="str">
        <f>IFERROR(XLOOKUP(C559,'Master Barang'!$A:$A,'Master Barang'!$D:$D,""),"")</f>
        <v/>
      </c>
    </row>
    <row r="560" spans="1:6">
      <c r="A560" s="49"/>
      <c r="D560" t="str">
        <f>IFERROR(XLOOKUP(C560,'Master Barang'!$A:$A,'Master Barang'!$B:$B,""),"")</f>
        <v/>
      </c>
      <c r="E560" s="52"/>
      <c r="F560" t="str">
        <f>IFERROR(XLOOKUP(C560,'Master Barang'!$A:$A,'Master Barang'!$D:$D,""),"")</f>
        <v/>
      </c>
    </row>
    <row r="561" spans="1:6">
      <c r="A561" s="49"/>
      <c r="D561" t="str">
        <f>IFERROR(XLOOKUP(C561,'Master Barang'!$A:$A,'Master Barang'!$B:$B,""),"")</f>
        <v/>
      </c>
      <c r="E561" s="52"/>
      <c r="F561" t="str">
        <f>IFERROR(XLOOKUP(C561,'Master Barang'!$A:$A,'Master Barang'!$D:$D,""),"")</f>
        <v/>
      </c>
    </row>
    <row r="562" spans="1:6">
      <c r="A562" s="49"/>
      <c r="D562" t="str">
        <f>IFERROR(XLOOKUP(C562,'Master Barang'!$A:$A,'Master Barang'!$B:$B,""),"")</f>
        <v/>
      </c>
      <c r="E562" s="52"/>
      <c r="F562" t="str">
        <f>IFERROR(XLOOKUP(C562,'Master Barang'!$A:$A,'Master Barang'!$D:$D,""),"")</f>
        <v/>
      </c>
    </row>
    <row r="563" spans="1:6">
      <c r="A563" s="49"/>
      <c r="D563" t="str">
        <f>IFERROR(XLOOKUP(C563,'Master Barang'!$A:$A,'Master Barang'!$B:$B,""),"")</f>
        <v/>
      </c>
      <c r="E563" s="52"/>
      <c r="F563" t="str">
        <f>IFERROR(XLOOKUP(C563,'Master Barang'!$A:$A,'Master Barang'!$D:$D,""),"")</f>
        <v/>
      </c>
    </row>
    <row r="564" spans="1:6">
      <c r="A564" s="49"/>
      <c r="D564" t="str">
        <f>IFERROR(XLOOKUP(C564,'Master Barang'!$A:$A,'Master Barang'!$B:$B,""),"")</f>
        <v/>
      </c>
      <c r="E564" s="52"/>
      <c r="F564" t="str">
        <f>IFERROR(XLOOKUP(C564,'Master Barang'!$A:$A,'Master Barang'!$D:$D,""),"")</f>
        <v/>
      </c>
    </row>
    <row r="565" spans="1:6">
      <c r="A565" s="49"/>
      <c r="D565" t="str">
        <f>IFERROR(XLOOKUP(C565,'Master Barang'!$A:$A,'Master Barang'!$B:$B,""),"")</f>
        <v/>
      </c>
      <c r="E565" s="52"/>
      <c r="F565" t="str">
        <f>IFERROR(XLOOKUP(C565,'Master Barang'!$A:$A,'Master Barang'!$D:$D,""),"")</f>
        <v/>
      </c>
    </row>
    <row r="566" spans="1:6">
      <c r="A566" s="49"/>
      <c r="D566" t="str">
        <f>IFERROR(XLOOKUP(C566,'Master Barang'!$A:$A,'Master Barang'!$B:$B,""),"")</f>
        <v/>
      </c>
      <c r="E566" s="52"/>
      <c r="F566" t="str">
        <f>IFERROR(XLOOKUP(C566,'Master Barang'!$A:$A,'Master Barang'!$D:$D,""),"")</f>
        <v/>
      </c>
    </row>
    <row r="567" spans="1:6">
      <c r="A567" s="49"/>
      <c r="D567" t="str">
        <f>IFERROR(XLOOKUP(C567,'Master Barang'!$A:$A,'Master Barang'!$B:$B,""),"")</f>
        <v/>
      </c>
      <c r="E567" s="52"/>
      <c r="F567" t="str">
        <f>IFERROR(XLOOKUP(C567,'Master Barang'!$A:$A,'Master Barang'!$D:$D,""),"")</f>
        <v/>
      </c>
    </row>
    <row r="568" spans="1:6">
      <c r="A568" s="49"/>
      <c r="D568" t="str">
        <f>IFERROR(XLOOKUP(C568,'Master Barang'!$A:$A,'Master Barang'!$B:$B,""),"")</f>
        <v/>
      </c>
      <c r="E568" s="52"/>
      <c r="F568" t="str">
        <f>IFERROR(XLOOKUP(C568,'Master Barang'!$A:$A,'Master Barang'!$D:$D,""),"")</f>
        <v/>
      </c>
    </row>
    <row r="569" spans="1:6">
      <c r="A569" s="49"/>
      <c r="D569" t="str">
        <f>IFERROR(XLOOKUP(C569,'Master Barang'!$A:$A,'Master Barang'!$B:$B,""),"")</f>
        <v/>
      </c>
      <c r="E569" s="52"/>
      <c r="F569" t="str">
        <f>IFERROR(XLOOKUP(C569,'Master Barang'!$A:$A,'Master Barang'!$D:$D,""),"")</f>
        <v/>
      </c>
    </row>
    <row r="570" spans="1:6">
      <c r="A570" s="49"/>
      <c r="D570" t="str">
        <f>IFERROR(XLOOKUP(C570,'Master Barang'!$A:$A,'Master Barang'!$B:$B,""),"")</f>
        <v/>
      </c>
      <c r="E570" s="52"/>
      <c r="F570" t="str">
        <f>IFERROR(XLOOKUP(C570,'Master Barang'!$A:$A,'Master Barang'!$D:$D,""),"")</f>
        <v/>
      </c>
    </row>
    <row r="571" spans="1:6">
      <c r="A571" s="49"/>
      <c r="D571" t="str">
        <f>IFERROR(XLOOKUP(C571,'Master Barang'!$A:$A,'Master Barang'!$B:$B,""),"")</f>
        <v/>
      </c>
      <c r="E571" s="52"/>
      <c r="F571" t="str">
        <f>IFERROR(XLOOKUP(C571,'Master Barang'!$A:$A,'Master Barang'!$D:$D,""),"")</f>
        <v/>
      </c>
    </row>
    <row r="572" spans="1:6">
      <c r="A572" s="49"/>
      <c r="D572" t="str">
        <f>IFERROR(XLOOKUP(C572,'Master Barang'!$A:$A,'Master Barang'!$B:$B,""),"")</f>
        <v/>
      </c>
      <c r="E572" s="52"/>
      <c r="F572" t="str">
        <f>IFERROR(XLOOKUP(C572,'Master Barang'!$A:$A,'Master Barang'!$D:$D,""),"")</f>
        <v/>
      </c>
    </row>
    <row r="573" spans="1:6">
      <c r="A573" s="49"/>
      <c r="D573" t="str">
        <f>IFERROR(XLOOKUP(C573,'Master Barang'!$A:$A,'Master Barang'!$B:$B,""),"")</f>
        <v/>
      </c>
      <c r="E573" s="52"/>
      <c r="F573" t="str">
        <f>IFERROR(XLOOKUP(C573,'Master Barang'!$A:$A,'Master Barang'!$D:$D,""),"")</f>
        <v/>
      </c>
    </row>
    <row r="574" spans="1:6">
      <c r="A574" s="49"/>
      <c r="D574" t="str">
        <f>IFERROR(XLOOKUP(C574,'Master Barang'!$A:$A,'Master Barang'!$B:$B,""),"")</f>
        <v/>
      </c>
      <c r="E574" s="52"/>
      <c r="F574" t="str">
        <f>IFERROR(XLOOKUP(C574,'Master Barang'!$A:$A,'Master Barang'!$D:$D,""),"")</f>
        <v/>
      </c>
    </row>
    <row r="575" spans="1:6">
      <c r="A575" s="49"/>
      <c r="D575" t="str">
        <f>IFERROR(XLOOKUP(C575,'Master Barang'!$A:$A,'Master Barang'!$B:$B,""),"")</f>
        <v/>
      </c>
      <c r="E575" s="52"/>
      <c r="F575" t="str">
        <f>IFERROR(XLOOKUP(C575,'Master Barang'!$A:$A,'Master Barang'!$D:$D,""),"")</f>
        <v/>
      </c>
    </row>
    <row r="576" spans="1:6">
      <c r="A576" s="49"/>
      <c r="D576" t="str">
        <f>IFERROR(XLOOKUP(C576,'Master Barang'!$A:$A,'Master Barang'!$B:$B,""),"")</f>
        <v/>
      </c>
      <c r="E576" s="52"/>
      <c r="F576" t="str">
        <f>IFERROR(XLOOKUP(C576,'Master Barang'!$A:$A,'Master Barang'!$D:$D,""),"")</f>
        <v/>
      </c>
    </row>
    <row r="577" spans="1:6">
      <c r="A577" s="49"/>
      <c r="D577" t="str">
        <f>IFERROR(XLOOKUP(C577,'Master Barang'!$A:$A,'Master Barang'!$B:$B,""),"")</f>
        <v/>
      </c>
      <c r="E577" s="52"/>
      <c r="F577" t="str">
        <f>IFERROR(XLOOKUP(C577,'Master Barang'!$A:$A,'Master Barang'!$D:$D,""),"")</f>
        <v/>
      </c>
    </row>
    <row r="578" spans="1:6">
      <c r="A578" s="49"/>
      <c r="D578" t="str">
        <f>IFERROR(XLOOKUP(C578,'Master Barang'!$A:$A,'Master Barang'!$B:$B,""),"")</f>
        <v/>
      </c>
      <c r="E578" s="52"/>
      <c r="F578" t="str">
        <f>IFERROR(XLOOKUP(C578,'Master Barang'!$A:$A,'Master Barang'!$D:$D,""),"")</f>
        <v/>
      </c>
    </row>
    <row r="579" spans="1:6">
      <c r="A579" s="49"/>
      <c r="D579" t="str">
        <f>IFERROR(XLOOKUP(C579,'Master Barang'!$A:$A,'Master Barang'!$B:$B,""),"")</f>
        <v/>
      </c>
      <c r="E579" s="52"/>
      <c r="F579" t="str">
        <f>IFERROR(XLOOKUP(C579,'Master Barang'!$A:$A,'Master Barang'!$D:$D,""),"")</f>
        <v/>
      </c>
    </row>
    <row r="580" spans="1:6">
      <c r="A580" s="49"/>
      <c r="D580" t="str">
        <f>IFERROR(XLOOKUP(C580,'Master Barang'!$A:$A,'Master Barang'!$B:$B,""),"")</f>
        <v/>
      </c>
      <c r="E580" s="52"/>
      <c r="F580" t="str">
        <f>IFERROR(XLOOKUP(C580,'Master Barang'!$A:$A,'Master Barang'!$D:$D,""),"")</f>
        <v/>
      </c>
    </row>
    <row r="581" spans="1:6">
      <c r="A581" s="49"/>
      <c r="D581" t="str">
        <f>IFERROR(XLOOKUP(C581,'Master Barang'!$A:$A,'Master Barang'!$B:$B,""),"")</f>
        <v/>
      </c>
      <c r="E581" s="52"/>
      <c r="F581" t="str">
        <f>IFERROR(XLOOKUP(C581,'Master Barang'!$A:$A,'Master Barang'!$D:$D,""),"")</f>
        <v/>
      </c>
    </row>
    <row r="582" spans="1:6">
      <c r="A582" s="49"/>
      <c r="D582" t="str">
        <f>IFERROR(XLOOKUP(C582,'Master Barang'!$A:$A,'Master Barang'!$B:$B,""),"")</f>
        <v/>
      </c>
      <c r="E582" s="52"/>
      <c r="F582" t="str">
        <f>IFERROR(XLOOKUP(C582,'Master Barang'!$A:$A,'Master Barang'!$D:$D,""),"")</f>
        <v/>
      </c>
    </row>
    <row r="583" spans="1:6">
      <c r="A583" s="49"/>
      <c r="D583" t="str">
        <f>IFERROR(XLOOKUP(C583,'Master Barang'!$A:$A,'Master Barang'!$B:$B,""),"")</f>
        <v/>
      </c>
      <c r="E583" s="52"/>
      <c r="F583" t="str">
        <f>IFERROR(XLOOKUP(C583,'Master Barang'!$A:$A,'Master Barang'!$D:$D,""),"")</f>
        <v/>
      </c>
    </row>
    <row r="584" spans="1:6">
      <c r="A584" s="49"/>
      <c r="D584" t="str">
        <f>IFERROR(XLOOKUP(C584,'Master Barang'!$A:$A,'Master Barang'!$B:$B,""),"")</f>
        <v/>
      </c>
      <c r="E584" s="52"/>
      <c r="F584" t="str">
        <f>IFERROR(XLOOKUP(C584,'Master Barang'!$A:$A,'Master Barang'!$D:$D,""),"")</f>
        <v/>
      </c>
    </row>
    <row r="585" spans="1:6">
      <c r="A585" s="49"/>
      <c r="D585" t="str">
        <f>IFERROR(XLOOKUP(C585,'Master Barang'!$A:$A,'Master Barang'!$B:$B,""),"")</f>
        <v/>
      </c>
      <c r="E585" s="52"/>
      <c r="F585" t="str">
        <f>IFERROR(XLOOKUP(C585,'Master Barang'!$A:$A,'Master Barang'!$D:$D,""),"")</f>
        <v/>
      </c>
    </row>
    <row r="586" spans="1:6">
      <c r="A586" s="49"/>
      <c r="D586" t="str">
        <f>IFERROR(XLOOKUP(C586,'Master Barang'!$A:$A,'Master Barang'!$B:$B,""),"")</f>
        <v/>
      </c>
      <c r="E586" s="52"/>
      <c r="F586" t="str">
        <f>IFERROR(XLOOKUP(C586,'Master Barang'!$A:$A,'Master Barang'!$D:$D,""),"")</f>
        <v/>
      </c>
    </row>
    <row r="587" spans="1:6">
      <c r="A587" s="49"/>
      <c r="D587" t="str">
        <f>IFERROR(XLOOKUP(C587,'Master Barang'!$A:$A,'Master Barang'!$B:$B,""),"")</f>
        <v/>
      </c>
      <c r="E587" s="52"/>
      <c r="F587" t="str">
        <f>IFERROR(XLOOKUP(C587,'Master Barang'!$A:$A,'Master Barang'!$D:$D,""),"")</f>
        <v/>
      </c>
    </row>
    <row r="588" spans="1:6">
      <c r="A588" s="49"/>
      <c r="D588" t="str">
        <f>IFERROR(XLOOKUP(C588,'Master Barang'!$A:$A,'Master Barang'!$B:$B,""),"")</f>
        <v/>
      </c>
      <c r="E588" s="52"/>
      <c r="F588" t="str">
        <f>IFERROR(XLOOKUP(C588,'Master Barang'!$A:$A,'Master Barang'!$D:$D,""),"")</f>
        <v/>
      </c>
    </row>
    <row r="589" spans="1:6">
      <c r="A589" s="49"/>
      <c r="D589" t="str">
        <f>IFERROR(XLOOKUP(C589,'Master Barang'!$A:$A,'Master Barang'!$B:$B,""),"")</f>
        <v/>
      </c>
      <c r="E589" s="52"/>
      <c r="F589" t="str">
        <f>IFERROR(XLOOKUP(C589,'Master Barang'!$A:$A,'Master Barang'!$D:$D,""),"")</f>
        <v/>
      </c>
    </row>
    <row r="590" spans="1:6">
      <c r="A590" s="49"/>
      <c r="D590" t="str">
        <f>IFERROR(XLOOKUP(C590,'Master Barang'!$A:$A,'Master Barang'!$B:$B,""),"")</f>
        <v/>
      </c>
      <c r="E590" s="52"/>
      <c r="F590" t="str">
        <f>IFERROR(XLOOKUP(C590,'Master Barang'!$A:$A,'Master Barang'!$D:$D,""),"")</f>
        <v/>
      </c>
    </row>
    <row r="591" spans="1:6">
      <c r="A591" s="49"/>
      <c r="D591" t="str">
        <f>IFERROR(XLOOKUP(C591,'Master Barang'!$A:$A,'Master Barang'!$B:$B,""),"")</f>
        <v/>
      </c>
      <c r="E591" s="52"/>
      <c r="F591" t="str">
        <f>IFERROR(XLOOKUP(C591,'Master Barang'!$A:$A,'Master Barang'!$D:$D,""),"")</f>
        <v/>
      </c>
    </row>
    <row r="592" spans="1:6">
      <c r="A592" s="49"/>
      <c r="D592" t="str">
        <f>IFERROR(XLOOKUP(C592,'Master Barang'!$A:$A,'Master Barang'!$B:$B,""),"")</f>
        <v/>
      </c>
      <c r="E592" s="52"/>
      <c r="F592" t="str">
        <f>IFERROR(XLOOKUP(C592,'Master Barang'!$A:$A,'Master Barang'!$D:$D,""),"")</f>
        <v/>
      </c>
    </row>
    <row r="593" spans="1:6">
      <c r="A593" s="49"/>
      <c r="D593" t="str">
        <f>IFERROR(XLOOKUP(C593,'Master Barang'!$A:$A,'Master Barang'!$B:$B,""),"")</f>
        <v/>
      </c>
      <c r="E593" s="52"/>
      <c r="F593" t="str">
        <f>IFERROR(XLOOKUP(C593,'Master Barang'!$A:$A,'Master Barang'!$D:$D,""),"")</f>
        <v/>
      </c>
    </row>
    <row r="594" spans="1:6">
      <c r="A594" s="49"/>
      <c r="D594" t="str">
        <f>IFERROR(XLOOKUP(C594,'Master Barang'!$A:$A,'Master Barang'!$B:$B,""),"")</f>
        <v/>
      </c>
      <c r="E594" s="52"/>
      <c r="F594" t="str">
        <f>IFERROR(XLOOKUP(C594,'Master Barang'!$A:$A,'Master Barang'!$D:$D,""),"")</f>
        <v/>
      </c>
    </row>
    <row r="595" spans="1:6">
      <c r="A595" s="49"/>
      <c r="D595" t="str">
        <f>IFERROR(XLOOKUP(C595,'Master Barang'!$A:$A,'Master Barang'!$B:$B,""),"")</f>
        <v/>
      </c>
      <c r="E595" s="52"/>
      <c r="F595" t="str">
        <f>IFERROR(XLOOKUP(C595,'Master Barang'!$A:$A,'Master Barang'!$D:$D,""),"")</f>
        <v/>
      </c>
    </row>
    <row r="596" spans="1:6">
      <c r="A596" s="49"/>
      <c r="D596" t="str">
        <f>IFERROR(XLOOKUP(C596,'Master Barang'!$A:$A,'Master Barang'!$B:$B,""),"")</f>
        <v/>
      </c>
      <c r="E596" s="52"/>
      <c r="F596" t="str">
        <f>IFERROR(XLOOKUP(C596,'Master Barang'!$A:$A,'Master Barang'!$D:$D,""),"")</f>
        <v/>
      </c>
    </row>
    <row r="597" spans="1:6">
      <c r="A597" s="49"/>
      <c r="D597" t="str">
        <f>IFERROR(XLOOKUP(C597,'Master Barang'!$A:$A,'Master Barang'!$B:$B,""),"")</f>
        <v/>
      </c>
      <c r="E597" s="52"/>
      <c r="F597" t="str">
        <f>IFERROR(XLOOKUP(C597,'Master Barang'!$A:$A,'Master Barang'!$D:$D,""),"")</f>
        <v/>
      </c>
    </row>
    <row r="598" spans="1:6">
      <c r="A598" s="49"/>
      <c r="D598" t="str">
        <f>IFERROR(XLOOKUP(C598,'Master Barang'!$A:$A,'Master Barang'!$B:$B,""),"")</f>
        <v/>
      </c>
      <c r="E598" s="52"/>
      <c r="F598" t="str">
        <f>IFERROR(XLOOKUP(C598,'Master Barang'!$A:$A,'Master Barang'!$D:$D,""),"")</f>
        <v/>
      </c>
    </row>
    <row r="599" spans="1:6">
      <c r="A599" s="49"/>
      <c r="D599" t="str">
        <f>IFERROR(XLOOKUP(C599,'Master Barang'!$A:$A,'Master Barang'!$B:$B,""),"")</f>
        <v/>
      </c>
      <c r="E599" s="52"/>
      <c r="F599" t="str">
        <f>IFERROR(XLOOKUP(C599,'Master Barang'!$A:$A,'Master Barang'!$D:$D,""),"")</f>
        <v/>
      </c>
    </row>
    <row r="600" spans="1:6">
      <c r="A600" s="49"/>
      <c r="D600" t="str">
        <f>IFERROR(XLOOKUP(C600,'Master Barang'!$A:$A,'Master Barang'!$B:$B,""),"")</f>
        <v/>
      </c>
      <c r="E600" s="52"/>
      <c r="F600" t="str">
        <f>IFERROR(XLOOKUP(C600,'Master Barang'!$A:$A,'Master Barang'!$D:$D,""),"")</f>
        <v/>
      </c>
    </row>
    <row r="601" spans="1:6">
      <c r="A601" s="49"/>
      <c r="D601" t="str">
        <f>IFERROR(XLOOKUP(C601,'Master Barang'!$A:$A,'Master Barang'!$B:$B,""),"")</f>
        <v/>
      </c>
      <c r="E601" s="52"/>
      <c r="F601" t="str">
        <f>IFERROR(XLOOKUP(C601,'Master Barang'!$A:$A,'Master Barang'!$D:$D,""),"")</f>
        <v/>
      </c>
    </row>
    <row r="602" spans="1:6">
      <c r="A602" s="49"/>
      <c r="D602" t="str">
        <f>IFERROR(XLOOKUP(C602,'Master Barang'!$A:$A,'Master Barang'!$B:$B,""),"")</f>
        <v/>
      </c>
      <c r="E602" s="52"/>
      <c r="F602" t="str">
        <f>IFERROR(XLOOKUP(C602,'Master Barang'!$A:$A,'Master Barang'!$D:$D,""),"")</f>
        <v/>
      </c>
    </row>
    <row r="603" spans="1:6">
      <c r="A603" s="49"/>
      <c r="D603" t="str">
        <f>IFERROR(XLOOKUP(C603,'Master Barang'!$A:$A,'Master Barang'!$B:$B,""),"")</f>
        <v/>
      </c>
      <c r="E603" s="52"/>
      <c r="F603" t="str">
        <f>IFERROR(XLOOKUP(C603,'Master Barang'!$A:$A,'Master Barang'!$D:$D,""),"")</f>
        <v/>
      </c>
    </row>
    <row r="604" spans="1:6">
      <c r="A604" s="49"/>
      <c r="D604" t="str">
        <f>IFERROR(XLOOKUP(C604,'Master Barang'!$A:$A,'Master Barang'!$B:$B,""),"")</f>
        <v/>
      </c>
      <c r="E604" s="52"/>
      <c r="F604" t="str">
        <f>IFERROR(XLOOKUP(C604,'Master Barang'!$A:$A,'Master Barang'!$D:$D,""),"")</f>
        <v/>
      </c>
    </row>
    <row r="605" spans="1:6">
      <c r="A605" s="49"/>
      <c r="D605" t="str">
        <f>IFERROR(XLOOKUP(C605,'Master Barang'!$A:$A,'Master Barang'!$B:$B,""),"")</f>
        <v/>
      </c>
      <c r="E605" s="52"/>
      <c r="F605" t="str">
        <f>IFERROR(XLOOKUP(C605,'Master Barang'!$A:$A,'Master Barang'!$D:$D,""),"")</f>
        <v/>
      </c>
    </row>
    <row r="606" spans="1:6">
      <c r="A606" s="49"/>
      <c r="D606" t="str">
        <f>IFERROR(XLOOKUP(C606,'Master Barang'!$A:$A,'Master Barang'!$B:$B,""),"")</f>
        <v/>
      </c>
      <c r="E606" s="52"/>
      <c r="F606" t="str">
        <f>IFERROR(XLOOKUP(C606,'Master Barang'!$A:$A,'Master Barang'!$D:$D,""),"")</f>
        <v/>
      </c>
    </row>
    <row r="607" spans="1:6">
      <c r="A607" s="49"/>
      <c r="D607" t="str">
        <f>IFERROR(XLOOKUP(C607,'Master Barang'!$A:$A,'Master Barang'!$B:$B,""),"")</f>
        <v/>
      </c>
      <c r="E607" s="52"/>
      <c r="F607" t="str">
        <f>IFERROR(XLOOKUP(C607,'Master Barang'!$A:$A,'Master Barang'!$D:$D,""),"")</f>
        <v/>
      </c>
    </row>
    <row r="608" spans="1:6">
      <c r="A608" s="49"/>
      <c r="D608" t="str">
        <f>IFERROR(XLOOKUP(C608,'Master Barang'!$A:$A,'Master Barang'!$B:$B,""),"")</f>
        <v/>
      </c>
      <c r="E608" s="52"/>
      <c r="F608" t="str">
        <f>IFERROR(XLOOKUP(C608,'Master Barang'!$A:$A,'Master Barang'!$D:$D,""),"")</f>
        <v/>
      </c>
    </row>
    <row r="609" spans="1:6">
      <c r="A609" s="49"/>
      <c r="D609" t="str">
        <f>IFERROR(XLOOKUP(C609,'Master Barang'!$A:$A,'Master Barang'!$B:$B,""),"")</f>
        <v/>
      </c>
      <c r="E609" s="52"/>
      <c r="F609" t="str">
        <f>IFERROR(XLOOKUP(C609,'Master Barang'!$A:$A,'Master Barang'!$D:$D,""),"")</f>
        <v/>
      </c>
    </row>
    <row r="610" spans="1:6">
      <c r="A610" s="49"/>
      <c r="D610" t="str">
        <f>IFERROR(XLOOKUP(C610,'Master Barang'!$A:$A,'Master Barang'!$B:$B,""),"")</f>
        <v/>
      </c>
      <c r="E610" s="52"/>
      <c r="F610" t="str">
        <f>IFERROR(XLOOKUP(C610,'Master Barang'!$A:$A,'Master Barang'!$D:$D,""),"")</f>
        <v/>
      </c>
    </row>
    <row r="611" spans="1:6">
      <c r="A611" s="49"/>
      <c r="D611" t="str">
        <f>IFERROR(XLOOKUP(C611,'Master Barang'!$A:$A,'Master Barang'!$B:$B,""),"")</f>
        <v/>
      </c>
      <c r="E611" s="52"/>
      <c r="F611" t="str">
        <f>IFERROR(XLOOKUP(C611,'Master Barang'!$A:$A,'Master Barang'!$D:$D,""),"")</f>
        <v/>
      </c>
    </row>
    <row r="612" spans="1:6">
      <c r="A612" s="49"/>
      <c r="D612" t="str">
        <f>IFERROR(XLOOKUP(C612,'Master Barang'!$A:$A,'Master Barang'!$B:$B,""),"")</f>
        <v/>
      </c>
      <c r="E612" s="52"/>
      <c r="F612" t="str">
        <f>IFERROR(XLOOKUP(C612,'Master Barang'!$A:$A,'Master Barang'!$D:$D,""),"")</f>
        <v/>
      </c>
    </row>
    <row r="613" spans="1:6">
      <c r="A613" s="49"/>
      <c r="D613" t="str">
        <f>IFERROR(XLOOKUP(C613,'Master Barang'!$A:$A,'Master Barang'!$B:$B,""),"")</f>
        <v/>
      </c>
      <c r="E613" s="52"/>
      <c r="F613" t="str">
        <f>IFERROR(XLOOKUP(C613,'Master Barang'!$A:$A,'Master Barang'!$D:$D,""),"")</f>
        <v/>
      </c>
    </row>
    <row r="614" spans="1:6">
      <c r="A614" s="49"/>
      <c r="D614" t="str">
        <f>IFERROR(XLOOKUP(C614,'Master Barang'!$A:$A,'Master Barang'!$B:$B,""),"")</f>
        <v/>
      </c>
      <c r="E614" s="52"/>
      <c r="F614" t="str">
        <f>IFERROR(XLOOKUP(C614,'Master Barang'!$A:$A,'Master Barang'!$D:$D,""),"")</f>
        <v/>
      </c>
    </row>
    <row r="615" spans="1:6">
      <c r="A615" s="49"/>
      <c r="D615" t="str">
        <f>IFERROR(XLOOKUP(C615,'Master Barang'!$A:$A,'Master Barang'!$B:$B,""),"")</f>
        <v/>
      </c>
      <c r="E615" s="52"/>
      <c r="F615" t="str">
        <f>IFERROR(XLOOKUP(C615,'Master Barang'!$A:$A,'Master Barang'!$D:$D,""),"")</f>
        <v/>
      </c>
    </row>
    <row r="616" spans="1:6">
      <c r="A616" s="49"/>
      <c r="D616" t="str">
        <f>IFERROR(XLOOKUP(C616,'Master Barang'!$A:$A,'Master Barang'!$B:$B,""),"")</f>
        <v/>
      </c>
      <c r="E616" s="52"/>
      <c r="F616" t="str">
        <f>IFERROR(XLOOKUP(C616,'Master Barang'!$A:$A,'Master Barang'!$D:$D,""),"")</f>
        <v/>
      </c>
    </row>
    <row r="617" spans="1:6">
      <c r="A617" s="49"/>
      <c r="D617" t="str">
        <f>IFERROR(XLOOKUP(C617,'Master Barang'!$A:$A,'Master Barang'!$B:$B,""),"")</f>
        <v/>
      </c>
      <c r="E617" s="52"/>
      <c r="F617" t="str">
        <f>IFERROR(XLOOKUP(C617,'Master Barang'!$A:$A,'Master Barang'!$D:$D,""),"")</f>
        <v/>
      </c>
    </row>
    <row r="618" spans="1:6">
      <c r="A618" s="49"/>
      <c r="D618" t="str">
        <f>IFERROR(XLOOKUP(C618,'Master Barang'!$A:$A,'Master Barang'!$B:$B,""),"")</f>
        <v/>
      </c>
      <c r="E618" s="52"/>
      <c r="F618" t="str">
        <f>IFERROR(XLOOKUP(C618,'Master Barang'!$A:$A,'Master Barang'!$D:$D,""),"")</f>
        <v/>
      </c>
    </row>
    <row r="619" spans="1:6">
      <c r="A619" s="49"/>
      <c r="D619" t="str">
        <f>IFERROR(XLOOKUP(C619,'Master Barang'!$A:$A,'Master Barang'!$B:$B,""),"")</f>
        <v/>
      </c>
      <c r="E619" s="52"/>
      <c r="F619" t="str">
        <f>IFERROR(XLOOKUP(C619,'Master Barang'!$A:$A,'Master Barang'!$D:$D,""),"")</f>
        <v/>
      </c>
    </row>
    <row r="620" spans="1:6">
      <c r="A620" s="49"/>
      <c r="D620" t="str">
        <f>IFERROR(XLOOKUP(C620,'Master Barang'!$A:$A,'Master Barang'!$B:$B,""),"")</f>
        <v/>
      </c>
      <c r="E620" s="52"/>
      <c r="F620" t="str">
        <f>IFERROR(XLOOKUP(C620,'Master Barang'!$A:$A,'Master Barang'!$D:$D,""),"")</f>
        <v/>
      </c>
    </row>
    <row r="621" spans="1:6">
      <c r="A621" s="49"/>
      <c r="D621" t="str">
        <f>IFERROR(XLOOKUP(C621,'Master Barang'!$A:$A,'Master Barang'!$B:$B,""),"")</f>
        <v/>
      </c>
      <c r="E621" s="52"/>
      <c r="F621" t="str">
        <f>IFERROR(XLOOKUP(C621,'Master Barang'!$A:$A,'Master Barang'!$D:$D,""),"")</f>
        <v/>
      </c>
    </row>
    <row r="622" spans="1:6">
      <c r="A622" s="49"/>
      <c r="D622" t="str">
        <f>IFERROR(XLOOKUP(C622,'Master Barang'!$A:$A,'Master Barang'!$B:$B,""),"")</f>
        <v/>
      </c>
      <c r="E622" s="52"/>
      <c r="F622" t="str">
        <f>IFERROR(XLOOKUP(C622,'Master Barang'!$A:$A,'Master Barang'!$D:$D,""),"")</f>
        <v/>
      </c>
    </row>
    <row r="623" spans="1:6">
      <c r="A623" s="49"/>
      <c r="D623" t="str">
        <f>IFERROR(XLOOKUP(C623,'Master Barang'!$A:$A,'Master Barang'!$B:$B,""),"")</f>
        <v/>
      </c>
      <c r="E623" s="52"/>
      <c r="F623" t="str">
        <f>IFERROR(XLOOKUP(C623,'Master Barang'!$A:$A,'Master Barang'!$D:$D,""),"")</f>
        <v/>
      </c>
    </row>
    <row r="624" spans="1:6">
      <c r="A624" s="49"/>
      <c r="D624" t="str">
        <f>IFERROR(XLOOKUP(C624,'Master Barang'!$A:$A,'Master Barang'!$B:$B,""),"")</f>
        <v/>
      </c>
      <c r="E624" s="52"/>
      <c r="F624" t="str">
        <f>IFERROR(XLOOKUP(C624,'Master Barang'!$A:$A,'Master Barang'!$D:$D,""),"")</f>
        <v/>
      </c>
    </row>
    <row r="625" spans="1:6">
      <c r="A625" s="49"/>
      <c r="D625" t="str">
        <f>IFERROR(XLOOKUP(C625,'Master Barang'!$A:$A,'Master Barang'!$B:$B,""),"")</f>
        <v/>
      </c>
      <c r="E625" s="52"/>
      <c r="F625" t="str">
        <f>IFERROR(XLOOKUP(C625,'Master Barang'!$A:$A,'Master Barang'!$D:$D,""),"")</f>
        <v/>
      </c>
    </row>
    <row r="626" spans="1:6">
      <c r="A626" s="49"/>
      <c r="D626" t="str">
        <f>IFERROR(XLOOKUP(C626,'Master Barang'!$A:$A,'Master Barang'!$B:$B,""),"")</f>
        <v/>
      </c>
      <c r="E626" s="52"/>
      <c r="F626" t="str">
        <f>IFERROR(XLOOKUP(C626,'Master Barang'!$A:$A,'Master Barang'!$D:$D,""),"")</f>
        <v/>
      </c>
    </row>
    <row r="627" spans="1:6">
      <c r="A627" s="49"/>
      <c r="D627" t="str">
        <f>IFERROR(XLOOKUP(C627,'Master Barang'!$A:$A,'Master Barang'!$B:$B,""),"")</f>
        <v/>
      </c>
      <c r="E627" s="52"/>
      <c r="F627" t="str">
        <f>IFERROR(XLOOKUP(C627,'Master Barang'!$A:$A,'Master Barang'!$D:$D,""),"")</f>
        <v/>
      </c>
    </row>
    <row r="628" spans="1:6">
      <c r="A628" s="49"/>
      <c r="D628" t="str">
        <f>IFERROR(XLOOKUP(C628,'Master Barang'!$A:$A,'Master Barang'!$B:$B,""),"")</f>
        <v/>
      </c>
      <c r="E628" s="52"/>
      <c r="F628" t="str">
        <f>IFERROR(XLOOKUP(C628,'Master Barang'!$A:$A,'Master Barang'!$D:$D,""),"")</f>
        <v/>
      </c>
    </row>
    <row r="629" spans="1:6">
      <c r="A629" s="49"/>
      <c r="D629" t="str">
        <f>IFERROR(XLOOKUP(C629,'Master Barang'!$A:$A,'Master Barang'!$B:$B,""),"")</f>
        <v/>
      </c>
      <c r="E629" s="52"/>
      <c r="F629" t="str">
        <f>IFERROR(XLOOKUP(C629,'Master Barang'!$A:$A,'Master Barang'!$D:$D,""),"")</f>
        <v/>
      </c>
    </row>
    <row r="630" spans="1:6">
      <c r="A630" s="49"/>
      <c r="D630" t="str">
        <f>IFERROR(XLOOKUP(C630,'Master Barang'!$A:$A,'Master Barang'!$B:$B,""),"")</f>
        <v/>
      </c>
      <c r="E630" s="52"/>
      <c r="F630" t="str">
        <f>IFERROR(XLOOKUP(C630,'Master Barang'!$A:$A,'Master Barang'!$D:$D,""),"")</f>
        <v/>
      </c>
    </row>
    <row r="631" spans="1:6">
      <c r="A631" s="49"/>
      <c r="D631" t="str">
        <f>IFERROR(XLOOKUP(C631,'Master Barang'!$A:$A,'Master Barang'!$B:$B,""),"")</f>
        <v/>
      </c>
      <c r="E631" s="52"/>
      <c r="F631" t="str">
        <f>IFERROR(XLOOKUP(C631,'Master Barang'!$A:$A,'Master Barang'!$D:$D,""),"")</f>
        <v/>
      </c>
    </row>
    <row r="632" spans="1:6">
      <c r="A632" s="49"/>
      <c r="D632" t="str">
        <f>IFERROR(XLOOKUP(C632,'Master Barang'!$A:$A,'Master Barang'!$B:$B,""),"")</f>
        <v/>
      </c>
      <c r="E632" s="52"/>
      <c r="F632" t="str">
        <f>IFERROR(XLOOKUP(C632,'Master Barang'!$A:$A,'Master Barang'!$D:$D,""),"")</f>
        <v/>
      </c>
    </row>
    <row r="633" spans="1:6">
      <c r="A633" s="49"/>
      <c r="D633" t="str">
        <f>IFERROR(XLOOKUP(C633,'Master Barang'!$A:$A,'Master Barang'!$B:$B,""),"")</f>
        <v/>
      </c>
      <c r="E633" s="52"/>
      <c r="F633" t="str">
        <f>IFERROR(XLOOKUP(C633,'Master Barang'!$A:$A,'Master Barang'!$D:$D,""),"")</f>
        <v/>
      </c>
    </row>
    <row r="634" spans="1:6">
      <c r="A634" s="49"/>
      <c r="D634" t="str">
        <f>IFERROR(XLOOKUP(C634,'Master Barang'!$A:$A,'Master Barang'!$B:$B,""),"")</f>
        <v/>
      </c>
      <c r="E634" s="52"/>
      <c r="F634" t="str">
        <f>IFERROR(XLOOKUP(C634,'Master Barang'!$A:$A,'Master Barang'!$D:$D,""),"")</f>
        <v/>
      </c>
    </row>
    <row r="635" spans="1:6">
      <c r="A635" s="49"/>
      <c r="D635" t="str">
        <f>IFERROR(XLOOKUP(C635,'Master Barang'!$A:$A,'Master Barang'!$B:$B,""),"")</f>
        <v/>
      </c>
      <c r="E635" s="52"/>
      <c r="F635" t="str">
        <f>IFERROR(XLOOKUP(C635,'Master Barang'!$A:$A,'Master Barang'!$D:$D,""),"")</f>
        <v/>
      </c>
    </row>
    <row r="636" spans="1:6">
      <c r="A636" s="49"/>
      <c r="D636" t="str">
        <f>IFERROR(XLOOKUP(C636,'Master Barang'!$A:$A,'Master Barang'!$B:$B,""),"")</f>
        <v/>
      </c>
      <c r="E636" s="52"/>
      <c r="F636" t="str">
        <f>IFERROR(XLOOKUP(C636,'Master Barang'!$A:$A,'Master Barang'!$D:$D,""),"")</f>
        <v/>
      </c>
    </row>
    <row r="637" spans="1:6">
      <c r="A637" s="49"/>
      <c r="D637" t="str">
        <f>IFERROR(XLOOKUP(C637,'Master Barang'!$A:$A,'Master Barang'!$B:$B,""),"")</f>
        <v/>
      </c>
      <c r="E637" s="52"/>
      <c r="F637" t="str">
        <f>IFERROR(XLOOKUP(C637,'Master Barang'!$A:$A,'Master Barang'!$D:$D,""),"")</f>
        <v/>
      </c>
    </row>
    <row r="638" spans="1:6">
      <c r="A638" s="49"/>
      <c r="D638" t="str">
        <f>IFERROR(XLOOKUP(C638,'Master Barang'!$A:$A,'Master Barang'!$B:$B,""),"")</f>
        <v/>
      </c>
      <c r="E638" s="52"/>
      <c r="F638" t="str">
        <f>IFERROR(XLOOKUP(C638,'Master Barang'!$A:$A,'Master Barang'!$D:$D,""),"")</f>
        <v/>
      </c>
    </row>
    <row r="639" spans="1:6">
      <c r="A639" s="49"/>
      <c r="D639" t="str">
        <f>IFERROR(XLOOKUP(C639,'Master Barang'!$A:$A,'Master Barang'!$B:$B,""),"")</f>
        <v/>
      </c>
      <c r="E639" s="52"/>
      <c r="F639" t="str">
        <f>IFERROR(XLOOKUP(C639,'Master Barang'!$A:$A,'Master Barang'!$D:$D,""),"")</f>
        <v/>
      </c>
    </row>
    <row r="640" spans="1:6">
      <c r="A640" s="49"/>
      <c r="D640" t="str">
        <f>IFERROR(XLOOKUP(C640,'Master Barang'!$A:$A,'Master Barang'!$B:$B,""),"")</f>
        <v/>
      </c>
      <c r="E640" s="52"/>
      <c r="F640" t="str">
        <f>IFERROR(XLOOKUP(C640,'Master Barang'!$A:$A,'Master Barang'!$D:$D,""),"")</f>
        <v/>
      </c>
    </row>
    <row r="641" spans="1:6">
      <c r="A641" s="49"/>
      <c r="D641" t="str">
        <f>IFERROR(XLOOKUP(C641,'Master Barang'!$A:$A,'Master Barang'!$B:$B,""),"")</f>
        <v/>
      </c>
      <c r="E641" s="52"/>
      <c r="F641" t="str">
        <f>IFERROR(XLOOKUP(C641,'Master Barang'!$A:$A,'Master Barang'!$D:$D,""),"")</f>
        <v/>
      </c>
    </row>
    <row r="642" spans="1:6">
      <c r="A642" s="49"/>
      <c r="D642" t="str">
        <f>IFERROR(XLOOKUP(C642,'Master Barang'!$A:$A,'Master Barang'!$B:$B,""),"")</f>
        <v/>
      </c>
      <c r="E642" s="52"/>
      <c r="F642" t="str">
        <f>IFERROR(XLOOKUP(C642,'Master Barang'!$A:$A,'Master Barang'!$D:$D,""),"")</f>
        <v/>
      </c>
    </row>
    <row r="643" spans="1:6">
      <c r="A643" s="49"/>
      <c r="D643" t="str">
        <f>IFERROR(XLOOKUP(C643,'Master Barang'!$A:$A,'Master Barang'!$B:$B,""),"")</f>
        <v/>
      </c>
      <c r="E643" s="52"/>
      <c r="F643" t="str">
        <f>IFERROR(XLOOKUP(C643,'Master Barang'!$A:$A,'Master Barang'!$D:$D,""),"")</f>
        <v/>
      </c>
    </row>
    <row r="644" spans="1:6">
      <c r="A644" s="49"/>
      <c r="D644" t="str">
        <f>IFERROR(XLOOKUP(C644,'Master Barang'!$A:$A,'Master Barang'!$B:$B,""),"")</f>
        <v/>
      </c>
      <c r="E644" s="52"/>
      <c r="F644" t="str">
        <f>IFERROR(XLOOKUP(C644,'Master Barang'!$A:$A,'Master Barang'!$D:$D,""),"")</f>
        <v/>
      </c>
    </row>
    <row r="645" spans="1:6">
      <c r="A645" s="49"/>
      <c r="D645" t="str">
        <f>IFERROR(XLOOKUP(C645,'Master Barang'!$A:$A,'Master Barang'!$B:$B,""),"")</f>
        <v/>
      </c>
      <c r="E645" s="52"/>
      <c r="F645" t="str">
        <f>IFERROR(XLOOKUP(C645,'Master Barang'!$A:$A,'Master Barang'!$D:$D,""),"")</f>
        <v/>
      </c>
    </row>
    <row r="646" spans="1:6">
      <c r="A646" s="49"/>
      <c r="D646" t="str">
        <f>IFERROR(XLOOKUP(C646,'Master Barang'!$A:$A,'Master Barang'!$B:$B,""),"")</f>
        <v/>
      </c>
      <c r="E646" s="52"/>
      <c r="F646" t="str">
        <f>IFERROR(XLOOKUP(C646,'Master Barang'!$A:$A,'Master Barang'!$D:$D,""),"")</f>
        <v/>
      </c>
    </row>
    <row r="647" spans="1:6">
      <c r="A647" s="49"/>
      <c r="D647" t="str">
        <f>IFERROR(XLOOKUP(C647,'Master Barang'!$A:$A,'Master Barang'!$B:$B,""),"")</f>
        <v/>
      </c>
      <c r="E647" s="52"/>
      <c r="F647" t="str">
        <f>IFERROR(XLOOKUP(C647,'Master Barang'!$A:$A,'Master Barang'!$D:$D,""),"")</f>
        <v/>
      </c>
    </row>
    <row r="648" spans="1:6">
      <c r="A648" s="49"/>
      <c r="D648" t="str">
        <f>IFERROR(XLOOKUP(C648,'Master Barang'!$A:$A,'Master Barang'!$B:$B,""),"")</f>
        <v/>
      </c>
      <c r="E648" s="52"/>
      <c r="F648" t="str">
        <f>IFERROR(XLOOKUP(C648,'Master Barang'!$A:$A,'Master Barang'!$D:$D,""),"")</f>
        <v/>
      </c>
    </row>
    <row r="649" spans="1:6">
      <c r="A649" s="49"/>
      <c r="D649" t="str">
        <f>IFERROR(XLOOKUP(C649,'Master Barang'!$A:$A,'Master Barang'!$B:$B,""),"")</f>
        <v/>
      </c>
      <c r="E649" s="52"/>
      <c r="F649" t="str">
        <f>IFERROR(XLOOKUP(C649,'Master Barang'!$A:$A,'Master Barang'!$D:$D,""),"")</f>
        <v/>
      </c>
    </row>
    <row r="650" spans="1:6">
      <c r="A650" s="49"/>
      <c r="D650" t="str">
        <f>IFERROR(XLOOKUP(C650,'Master Barang'!$A:$A,'Master Barang'!$B:$B,""),"")</f>
        <v/>
      </c>
      <c r="E650" s="52"/>
      <c r="F650" t="str">
        <f>IFERROR(XLOOKUP(C650,'Master Barang'!$A:$A,'Master Barang'!$D:$D,""),"")</f>
        <v/>
      </c>
    </row>
    <row r="651" spans="1:6">
      <c r="A651" s="49"/>
      <c r="D651" t="str">
        <f>IFERROR(XLOOKUP(C651,'Master Barang'!$A:$A,'Master Barang'!$B:$B,""),"")</f>
        <v/>
      </c>
      <c r="E651" s="52"/>
      <c r="F651" t="str">
        <f>IFERROR(XLOOKUP(C651,'Master Barang'!$A:$A,'Master Barang'!$D:$D,""),"")</f>
        <v/>
      </c>
    </row>
    <row r="652" spans="1:6">
      <c r="A652" s="49"/>
      <c r="D652" t="str">
        <f>IFERROR(XLOOKUP(C652,'Master Barang'!$A:$A,'Master Barang'!$B:$B,""),"")</f>
        <v/>
      </c>
      <c r="E652" s="52"/>
      <c r="F652" t="str">
        <f>IFERROR(XLOOKUP(C652,'Master Barang'!$A:$A,'Master Barang'!$D:$D,""),"")</f>
        <v/>
      </c>
    </row>
    <row r="653" spans="1:6">
      <c r="A653" s="49"/>
      <c r="D653" t="str">
        <f>IFERROR(XLOOKUP(C653,'Master Barang'!$A:$A,'Master Barang'!$B:$B,""),"")</f>
        <v/>
      </c>
      <c r="E653" s="52"/>
      <c r="F653" t="str">
        <f>IFERROR(XLOOKUP(C653,'Master Barang'!$A:$A,'Master Barang'!$D:$D,""),"")</f>
        <v/>
      </c>
    </row>
    <row r="654" spans="1:6">
      <c r="A654" s="49"/>
      <c r="D654" t="str">
        <f>IFERROR(XLOOKUP(C654,'Master Barang'!$A:$A,'Master Barang'!$B:$B,""),"")</f>
        <v/>
      </c>
      <c r="E654" s="52"/>
      <c r="F654" t="str">
        <f>IFERROR(XLOOKUP(C654,'Master Barang'!$A:$A,'Master Barang'!$D:$D,""),"")</f>
        <v/>
      </c>
    </row>
    <row r="655" spans="1:6">
      <c r="A655" s="49"/>
      <c r="D655" t="str">
        <f>IFERROR(XLOOKUP(C655,'Master Barang'!$A:$A,'Master Barang'!$B:$B,""),"")</f>
        <v/>
      </c>
      <c r="E655" s="52"/>
      <c r="F655" t="str">
        <f>IFERROR(XLOOKUP(C655,'Master Barang'!$A:$A,'Master Barang'!$D:$D,""),"")</f>
        <v/>
      </c>
    </row>
    <row r="656" spans="1:6">
      <c r="A656" s="49"/>
      <c r="D656" t="str">
        <f>IFERROR(XLOOKUP(C656,'Master Barang'!$A:$A,'Master Barang'!$B:$B,""),"")</f>
        <v/>
      </c>
      <c r="E656" s="52"/>
      <c r="F656" t="str">
        <f>IFERROR(XLOOKUP(C656,'Master Barang'!$A:$A,'Master Barang'!$D:$D,""),"")</f>
        <v/>
      </c>
    </row>
    <row r="657" spans="1:6">
      <c r="A657" s="49"/>
      <c r="D657" t="str">
        <f>IFERROR(XLOOKUP(C657,'Master Barang'!$A:$A,'Master Barang'!$B:$B,""),"")</f>
        <v/>
      </c>
      <c r="E657" s="52"/>
      <c r="F657" t="str">
        <f>IFERROR(XLOOKUP(C657,'Master Barang'!$A:$A,'Master Barang'!$D:$D,""),"")</f>
        <v/>
      </c>
    </row>
    <row r="658" spans="1:6">
      <c r="A658" s="49"/>
      <c r="D658" t="str">
        <f>IFERROR(XLOOKUP(C658,'Master Barang'!$A:$A,'Master Barang'!$B:$B,""),"")</f>
        <v/>
      </c>
      <c r="E658" s="52"/>
      <c r="F658" t="str">
        <f>IFERROR(XLOOKUP(C658,'Master Barang'!$A:$A,'Master Barang'!$D:$D,""),"")</f>
        <v/>
      </c>
    </row>
    <row r="659" spans="1:6">
      <c r="A659" s="49"/>
      <c r="D659" t="str">
        <f>IFERROR(XLOOKUP(C659,'Master Barang'!$A:$A,'Master Barang'!$B:$B,""),"")</f>
        <v/>
      </c>
      <c r="E659" s="52"/>
      <c r="F659" t="str">
        <f>IFERROR(XLOOKUP(C659,'Master Barang'!$A:$A,'Master Barang'!$D:$D,""),"")</f>
        <v/>
      </c>
    </row>
    <row r="660" spans="1:6">
      <c r="A660" s="49"/>
      <c r="D660" t="str">
        <f>IFERROR(XLOOKUP(C660,'Master Barang'!$A:$A,'Master Barang'!$B:$B,""),"")</f>
        <v/>
      </c>
      <c r="E660" s="52"/>
      <c r="F660" t="str">
        <f>IFERROR(XLOOKUP(C660,'Master Barang'!$A:$A,'Master Barang'!$D:$D,""),"")</f>
        <v/>
      </c>
    </row>
    <row r="661" spans="1:6">
      <c r="A661" s="49"/>
      <c r="D661" t="str">
        <f>IFERROR(XLOOKUP(C661,'Master Barang'!$A:$A,'Master Barang'!$B:$B,""),"")</f>
        <v/>
      </c>
      <c r="E661" s="52"/>
      <c r="F661" t="str">
        <f>IFERROR(XLOOKUP(C661,'Master Barang'!$A:$A,'Master Barang'!$D:$D,""),"")</f>
        <v/>
      </c>
    </row>
    <row r="662" spans="1:6">
      <c r="A662" s="49"/>
      <c r="D662" t="str">
        <f>IFERROR(XLOOKUP(C662,'Master Barang'!$A:$A,'Master Barang'!$B:$B,""),"")</f>
        <v/>
      </c>
      <c r="E662" s="52"/>
      <c r="F662" t="str">
        <f>IFERROR(XLOOKUP(C662,'Master Barang'!$A:$A,'Master Barang'!$D:$D,""),"")</f>
        <v/>
      </c>
    </row>
    <row r="663" spans="1:6">
      <c r="A663" s="49"/>
      <c r="D663" t="str">
        <f>IFERROR(XLOOKUP(C663,'Master Barang'!$A:$A,'Master Barang'!$B:$B,""),"")</f>
        <v/>
      </c>
      <c r="E663" s="52"/>
      <c r="F663" t="str">
        <f>IFERROR(XLOOKUP(C663,'Master Barang'!$A:$A,'Master Barang'!$D:$D,""),"")</f>
        <v/>
      </c>
    </row>
    <row r="664" spans="1:6">
      <c r="A664" s="49"/>
      <c r="D664" t="str">
        <f>IFERROR(XLOOKUP(C664,'Master Barang'!$A:$A,'Master Barang'!$B:$B,""),"")</f>
        <v/>
      </c>
      <c r="E664" s="52"/>
      <c r="F664" t="str">
        <f>IFERROR(XLOOKUP(C664,'Master Barang'!$A:$A,'Master Barang'!$D:$D,""),"")</f>
        <v/>
      </c>
    </row>
    <row r="665" spans="1:6">
      <c r="A665" s="49"/>
      <c r="D665" t="str">
        <f>IFERROR(XLOOKUP(C665,'Master Barang'!$A:$A,'Master Barang'!$B:$B,""),"")</f>
        <v/>
      </c>
      <c r="E665" s="52"/>
      <c r="F665" t="str">
        <f>IFERROR(XLOOKUP(C665,'Master Barang'!$A:$A,'Master Barang'!$D:$D,""),"")</f>
        <v/>
      </c>
    </row>
    <row r="666" spans="1:6">
      <c r="A666" s="49"/>
      <c r="D666" t="str">
        <f>IFERROR(XLOOKUP(C666,'Master Barang'!$A:$A,'Master Barang'!$B:$B,""),"")</f>
        <v/>
      </c>
      <c r="E666" s="52"/>
      <c r="F666" t="str">
        <f>IFERROR(XLOOKUP(C666,'Master Barang'!$A:$A,'Master Barang'!$D:$D,""),"")</f>
        <v/>
      </c>
    </row>
    <row r="667" spans="1:6">
      <c r="A667" s="49"/>
      <c r="D667" t="str">
        <f>IFERROR(XLOOKUP(C667,'Master Barang'!$A:$A,'Master Barang'!$B:$B,""),"")</f>
        <v/>
      </c>
      <c r="E667" s="52"/>
      <c r="F667" t="str">
        <f>IFERROR(XLOOKUP(C667,'Master Barang'!$A:$A,'Master Barang'!$D:$D,""),"")</f>
        <v/>
      </c>
    </row>
    <row r="668" spans="1:6">
      <c r="A668" s="49"/>
      <c r="D668" t="str">
        <f>IFERROR(XLOOKUP(C668,'Master Barang'!$A:$A,'Master Barang'!$B:$B,""),"")</f>
        <v/>
      </c>
      <c r="E668" s="52"/>
      <c r="F668" t="str">
        <f>IFERROR(XLOOKUP(C668,'Master Barang'!$A:$A,'Master Barang'!$D:$D,""),"")</f>
        <v/>
      </c>
    </row>
    <row r="669" spans="1:6">
      <c r="A669" s="49"/>
      <c r="D669" t="str">
        <f>IFERROR(XLOOKUP(C669,'Master Barang'!$A:$A,'Master Barang'!$B:$B,""),"")</f>
        <v/>
      </c>
      <c r="E669" s="52"/>
      <c r="F669" t="str">
        <f>IFERROR(XLOOKUP(C669,'Master Barang'!$A:$A,'Master Barang'!$D:$D,""),"")</f>
        <v/>
      </c>
    </row>
    <row r="670" spans="1:6">
      <c r="A670" s="49"/>
      <c r="D670" t="str">
        <f>IFERROR(XLOOKUP(C670,'Master Barang'!$A:$A,'Master Barang'!$B:$B,""),"")</f>
        <v/>
      </c>
      <c r="E670" s="52"/>
      <c r="F670" t="str">
        <f>IFERROR(XLOOKUP(C670,'Master Barang'!$A:$A,'Master Barang'!$D:$D,""),"")</f>
        <v/>
      </c>
    </row>
    <row r="671" spans="1:6">
      <c r="A671" s="49"/>
      <c r="D671" t="str">
        <f>IFERROR(XLOOKUP(C671,'Master Barang'!$A:$A,'Master Barang'!$B:$B,""),"")</f>
        <v/>
      </c>
      <c r="E671" s="52"/>
      <c r="F671" t="str">
        <f>IFERROR(XLOOKUP(C671,'Master Barang'!$A:$A,'Master Barang'!$D:$D,""),"")</f>
        <v/>
      </c>
    </row>
    <row r="672" spans="1:6">
      <c r="A672" s="49"/>
      <c r="D672" t="str">
        <f>IFERROR(XLOOKUP(C672,'Master Barang'!$A:$A,'Master Barang'!$B:$B,""),"")</f>
        <v/>
      </c>
      <c r="E672" s="52"/>
      <c r="F672" t="str">
        <f>IFERROR(XLOOKUP(C672,'Master Barang'!$A:$A,'Master Barang'!$D:$D,""),"")</f>
        <v/>
      </c>
    </row>
    <row r="673" spans="1:6">
      <c r="A673" s="49"/>
      <c r="D673" t="str">
        <f>IFERROR(XLOOKUP(C673,'Master Barang'!$A:$A,'Master Barang'!$B:$B,""),"")</f>
        <v/>
      </c>
      <c r="E673" s="52"/>
      <c r="F673" t="str">
        <f>IFERROR(XLOOKUP(C673,'Master Barang'!$A:$A,'Master Barang'!$D:$D,""),"")</f>
        <v/>
      </c>
    </row>
    <row r="674" spans="1:6">
      <c r="A674" s="49"/>
      <c r="D674" t="str">
        <f>IFERROR(XLOOKUP(C674,'Master Barang'!$A:$A,'Master Barang'!$B:$B,""),"")</f>
        <v/>
      </c>
      <c r="E674" s="52"/>
      <c r="F674" t="str">
        <f>IFERROR(XLOOKUP(C674,'Master Barang'!$A:$A,'Master Barang'!$D:$D,""),"")</f>
        <v/>
      </c>
    </row>
    <row r="675" spans="1:6">
      <c r="A675" s="49"/>
      <c r="D675" t="str">
        <f>IFERROR(XLOOKUP(C675,'Master Barang'!$A:$A,'Master Barang'!$B:$B,""),"")</f>
        <v/>
      </c>
      <c r="E675" s="52"/>
      <c r="F675" t="str">
        <f>IFERROR(XLOOKUP(C675,'Master Barang'!$A:$A,'Master Barang'!$D:$D,""),"")</f>
        <v/>
      </c>
    </row>
    <row r="676" spans="1:6">
      <c r="A676" s="49"/>
      <c r="D676" t="str">
        <f>IFERROR(XLOOKUP(C676,'Master Barang'!$A:$A,'Master Barang'!$B:$B,""),"")</f>
        <v/>
      </c>
      <c r="E676" s="52"/>
      <c r="F676" t="str">
        <f>IFERROR(XLOOKUP(C676,'Master Barang'!$A:$A,'Master Barang'!$D:$D,""),"")</f>
        <v/>
      </c>
    </row>
    <row r="677" spans="1:6">
      <c r="A677" s="49"/>
      <c r="D677" t="str">
        <f>IFERROR(XLOOKUP(C677,'Master Barang'!$A:$A,'Master Barang'!$B:$B,""),"")</f>
        <v/>
      </c>
      <c r="E677" s="52"/>
      <c r="F677" t="str">
        <f>IFERROR(XLOOKUP(C677,'Master Barang'!$A:$A,'Master Barang'!$D:$D,""),"")</f>
        <v/>
      </c>
    </row>
    <row r="678" spans="1:6">
      <c r="A678" s="49"/>
      <c r="D678" t="str">
        <f>IFERROR(XLOOKUP(C678,'Master Barang'!$A:$A,'Master Barang'!$B:$B,""),"")</f>
        <v/>
      </c>
      <c r="E678" s="52"/>
      <c r="F678" t="str">
        <f>IFERROR(XLOOKUP(C678,'Master Barang'!$A:$A,'Master Barang'!$D:$D,""),"")</f>
        <v/>
      </c>
    </row>
    <row r="679" spans="1:6">
      <c r="A679" s="49"/>
      <c r="D679" t="str">
        <f>IFERROR(XLOOKUP(C679,'Master Barang'!$A:$A,'Master Barang'!$B:$B,""),"")</f>
        <v/>
      </c>
      <c r="E679" s="52"/>
      <c r="F679" t="str">
        <f>IFERROR(XLOOKUP(C679,'Master Barang'!$A:$A,'Master Barang'!$D:$D,""),"")</f>
        <v/>
      </c>
    </row>
    <row r="680" spans="1:6">
      <c r="A680" s="49"/>
      <c r="D680" t="str">
        <f>IFERROR(XLOOKUP(C680,'Master Barang'!$A:$A,'Master Barang'!$B:$B,""),"")</f>
        <v/>
      </c>
      <c r="E680" s="52"/>
      <c r="F680" t="str">
        <f>IFERROR(XLOOKUP(C680,'Master Barang'!$A:$A,'Master Barang'!$D:$D,""),"")</f>
        <v/>
      </c>
    </row>
    <row r="681" spans="1:6">
      <c r="A681" s="49"/>
      <c r="D681" t="str">
        <f>IFERROR(XLOOKUP(C681,'Master Barang'!$A:$A,'Master Barang'!$B:$B,""),"")</f>
        <v/>
      </c>
      <c r="E681" s="52"/>
      <c r="F681" t="str">
        <f>IFERROR(XLOOKUP(C681,'Master Barang'!$A:$A,'Master Barang'!$D:$D,""),"")</f>
        <v/>
      </c>
    </row>
    <row r="682" spans="1:6">
      <c r="A682" s="49"/>
      <c r="D682" t="str">
        <f>IFERROR(XLOOKUP(C682,'Master Barang'!$A:$A,'Master Barang'!$B:$B,""),"")</f>
        <v/>
      </c>
      <c r="E682" s="52"/>
      <c r="F682" t="str">
        <f>IFERROR(XLOOKUP(C682,'Master Barang'!$A:$A,'Master Barang'!$D:$D,""),"")</f>
        <v/>
      </c>
    </row>
    <row r="683" spans="1:6">
      <c r="A683" s="49"/>
      <c r="D683" t="str">
        <f>IFERROR(XLOOKUP(C683,'Master Barang'!$A:$A,'Master Barang'!$B:$B,""),"")</f>
        <v/>
      </c>
      <c r="E683" s="52"/>
      <c r="F683" t="str">
        <f>IFERROR(XLOOKUP(C683,'Master Barang'!$A:$A,'Master Barang'!$D:$D,""),"")</f>
        <v/>
      </c>
    </row>
    <row r="684" spans="1:6">
      <c r="A684" s="49"/>
      <c r="D684" t="str">
        <f>IFERROR(XLOOKUP(C684,'Master Barang'!$A:$A,'Master Barang'!$B:$B,""),"")</f>
        <v/>
      </c>
      <c r="E684" s="52"/>
      <c r="F684" t="str">
        <f>IFERROR(XLOOKUP(C684,'Master Barang'!$A:$A,'Master Barang'!$D:$D,""),"")</f>
        <v/>
      </c>
    </row>
    <row r="685" spans="1:6">
      <c r="A685" s="49"/>
      <c r="D685" t="str">
        <f>IFERROR(XLOOKUP(C685,'Master Barang'!$A:$A,'Master Barang'!$B:$B,""),"")</f>
        <v/>
      </c>
      <c r="E685" s="52"/>
      <c r="F685" t="str">
        <f>IFERROR(XLOOKUP(C685,'Master Barang'!$A:$A,'Master Barang'!$D:$D,""),"")</f>
        <v/>
      </c>
    </row>
    <row r="686" spans="1:6">
      <c r="A686" s="49"/>
      <c r="D686" t="str">
        <f>IFERROR(XLOOKUP(C686,'Master Barang'!$A:$A,'Master Barang'!$B:$B,""),"")</f>
        <v/>
      </c>
      <c r="E686" s="52"/>
      <c r="F686" t="str">
        <f>IFERROR(XLOOKUP(C686,'Master Barang'!$A:$A,'Master Barang'!$D:$D,""),"")</f>
        <v/>
      </c>
    </row>
    <row r="687" spans="1:6">
      <c r="A687" s="49"/>
      <c r="D687" t="str">
        <f>IFERROR(XLOOKUP(C687,'Master Barang'!$A:$A,'Master Barang'!$B:$B,""),"")</f>
        <v/>
      </c>
      <c r="E687" s="52"/>
      <c r="F687" t="str">
        <f>IFERROR(XLOOKUP(C687,'Master Barang'!$A:$A,'Master Barang'!$D:$D,""),"")</f>
        <v/>
      </c>
    </row>
    <row r="688" spans="1:6">
      <c r="A688" s="49"/>
      <c r="D688" t="str">
        <f>IFERROR(XLOOKUP(C688,'Master Barang'!$A:$A,'Master Barang'!$B:$B,""),"")</f>
        <v/>
      </c>
      <c r="E688" s="52"/>
      <c r="F688" t="str">
        <f>IFERROR(XLOOKUP(C688,'Master Barang'!$A:$A,'Master Barang'!$D:$D,""),"")</f>
        <v/>
      </c>
    </row>
    <row r="689" spans="1:6">
      <c r="A689" s="49"/>
      <c r="D689" t="str">
        <f>IFERROR(XLOOKUP(C689,'Master Barang'!$A:$A,'Master Barang'!$B:$B,""),"")</f>
        <v/>
      </c>
      <c r="E689" s="52"/>
      <c r="F689" t="str">
        <f>IFERROR(XLOOKUP(C689,'Master Barang'!$A:$A,'Master Barang'!$D:$D,""),"")</f>
        <v/>
      </c>
    </row>
    <row r="690" spans="1:6">
      <c r="A690" s="49"/>
      <c r="D690" t="str">
        <f>IFERROR(XLOOKUP(C690,'Master Barang'!$A:$A,'Master Barang'!$B:$B,""),"")</f>
        <v/>
      </c>
      <c r="E690" s="52"/>
      <c r="F690" t="str">
        <f>IFERROR(XLOOKUP(C690,'Master Barang'!$A:$A,'Master Barang'!$D:$D,""),"")</f>
        <v/>
      </c>
    </row>
    <row r="691" spans="1:6">
      <c r="A691" s="49"/>
      <c r="D691" t="str">
        <f>IFERROR(XLOOKUP(C691,'Master Barang'!$A:$A,'Master Barang'!$B:$B,""),"")</f>
        <v/>
      </c>
      <c r="E691" s="52"/>
      <c r="F691" t="str">
        <f>IFERROR(XLOOKUP(C691,'Master Barang'!$A:$A,'Master Barang'!$D:$D,""),"")</f>
        <v/>
      </c>
    </row>
    <row r="692" spans="1:6">
      <c r="A692" s="49"/>
      <c r="D692" t="str">
        <f>IFERROR(XLOOKUP(C692,'Master Barang'!$A:$A,'Master Barang'!$B:$B,""),"")</f>
        <v/>
      </c>
      <c r="E692" s="52"/>
      <c r="F692" t="str">
        <f>IFERROR(XLOOKUP(C692,'Master Barang'!$A:$A,'Master Barang'!$D:$D,""),"")</f>
        <v/>
      </c>
    </row>
    <row r="693" spans="1:6">
      <c r="A693" s="49"/>
      <c r="D693" t="str">
        <f>IFERROR(XLOOKUP(C693,'Master Barang'!$A:$A,'Master Barang'!$B:$B,""),"")</f>
        <v/>
      </c>
      <c r="E693" s="52"/>
      <c r="F693" t="str">
        <f>IFERROR(XLOOKUP(C693,'Master Barang'!$A:$A,'Master Barang'!$D:$D,""),"")</f>
        <v/>
      </c>
    </row>
    <row r="694" spans="1:6">
      <c r="A694" s="49"/>
      <c r="D694" t="str">
        <f>IFERROR(XLOOKUP(C694,'Master Barang'!$A:$A,'Master Barang'!$B:$B,""),"")</f>
        <v/>
      </c>
      <c r="E694" s="52"/>
      <c r="F694" t="str">
        <f>IFERROR(XLOOKUP(C694,'Master Barang'!$A:$A,'Master Barang'!$D:$D,""),"")</f>
        <v/>
      </c>
    </row>
    <row r="695" spans="1:6">
      <c r="A695" s="49"/>
      <c r="D695" t="str">
        <f>IFERROR(XLOOKUP(C695,'Master Barang'!$A:$A,'Master Barang'!$B:$B,""),"")</f>
        <v/>
      </c>
      <c r="E695" s="52"/>
      <c r="F695" t="str">
        <f>IFERROR(XLOOKUP(C695,'Master Barang'!$A:$A,'Master Barang'!$D:$D,""),"")</f>
        <v/>
      </c>
    </row>
    <row r="696" spans="1:6">
      <c r="A696" s="49"/>
      <c r="D696" t="str">
        <f>IFERROR(XLOOKUP(C696,'Master Barang'!$A:$A,'Master Barang'!$B:$B,""),"")</f>
        <v/>
      </c>
      <c r="E696" s="52"/>
      <c r="F696" t="str">
        <f>IFERROR(XLOOKUP(C696,'Master Barang'!$A:$A,'Master Barang'!$D:$D,""),"")</f>
        <v/>
      </c>
    </row>
    <row r="697" spans="1:6">
      <c r="A697" s="49"/>
      <c r="D697" t="str">
        <f>IFERROR(XLOOKUP(C697,'Master Barang'!$A:$A,'Master Barang'!$B:$B,""),"")</f>
        <v/>
      </c>
      <c r="E697" s="52"/>
      <c r="F697" t="str">
        <f>IFERROR(XLOOKUP(C697,'Master Barang'!$A:$A,'Master Barang'!$D:$D,""),"")</f>
        <v/>
      </c>
    </row>
    <row r="698" spans="1:6">
      <c r="A698" s="49"/>
      <c r="D698" t="str">
        <f>IFERROR(XLOOKUP(C698,'Master Barang'!$A:$A,'Master Barang'!$B:$B,""),"")</f>
        <v/>
      </c>
      <c r="E698" s="52"/>
      <c r="F698" t="str">
        <f>IFERROR(XLOOKUP(C698,'Master Barang'!$A:$A,'Master Barang'!$D:$D,""),"")</f>
        <v/>
      </c>
    </row>
    <row r="699" spans="1:6">
      <c r="A699" s="49"/>
      <c r="D699" t="str">
        <f>IFERROR(XLOOKUP(C699,'Master Barang'!$A:$A,'Master Barang'!$B:$B,""),"")</f>
        <v/>
      </c>
      <c r="E699" s="52"/>
      <c r="F699" t="str">
        <f>IFERROR(XLOOKUP(C699,'Master Barang'!$A:$A,'Master Barang'!$D:$D,""),"")</f>
        <v/>
      </c>
    </row>
    <row r="700" spans="1:6">
      <c r="A700" s="49"/>
      <c r="D700" t="str">
        <f>IFERROR(XLOOKUP(C700,'Master Barang'!$A:$A,'Master Barang'!$B:$B,""),"")</f>
        <v/>
      </c>
      <c r="E700" s="52"/>
      <c r="F700" t="str">
        <f>IFERROR(XLOOKUP(C700,'Master Barang'!$A:$A,'Master Barang'!$D:$D,""),"")</f>
        <v/>
      </c>
    </row>
    <row r="701" spans="1:6">
      <c r="A701" s="49"/>
      <c r="D701" t="str">
        <f>IFERROR(XLOOKUP(C701,'Master Barang'!$A:$A,'Master Barang'!$B:$B,""),"")</f>
        <v/>
      </c>
      <c r="E701" s="52"/>
      <c r="F701" t="str">
        <f>IFERROR(XLOOKUP(C701,'Master Barang'!$A:$A,'Master Barang'!$D:$D,""),"")</f>
        <v/>
      </c>
    </row>
    <row r="702" spans="1:6">
      <c r="A702" s="49"/>
      <c r="D702" t="str">
        <f>IFERROR(XLOOKUP(C702,'Master Barang'!$A:$A,'Master Barang'!$B:$B,""),"")</f>
        <v/>
      </c>
      <c r="E702" s="52"/>
      <c r="F702" t="str">
        <f>IFERROR(XLOOKUP(C702,'Master Barang'!$A:$A,'Master Barang'!$D:$D,""),"")</f>
        <v/>
      </c>
    </row>
    <row r="703" spans="1:6">
      <c r="A703" s="49"/>
      <c r="D703" t="str">
        <f>IFERROR(XLOOKUP(C703,'Master Barang'!$A:$A,'Master Barang'!$B:$B,""),"")</f>
        <v/>
      </c>
      <c r="E703" s="52"/>
      <c r="F703" t="str">
        <f>IFERROR(XLOOKUP(C703,'Master Barang'!$A:$A,'Master Barang'!$D:$D,""),"")</f>
        <v/>
      </c>
    </row>
    <row r="704" spans="1:6">
      <c r="A704" s="49"/>
      <c r="D704" t="str">
        <f>IFERROR(XLOOKUP(C704,'Master Barang'!$A:$A,'Master Barang'!$B:$B,""),"")</f>
        <v/>
      </c>
      <c r="E704" s="52"/>
      <c r="F704" t="str">
        <f>IFERROR(XLOOKUP(C704,'Master Barang'!$A:$A,'Master Barang'!$D:$D,""),"")</f>
        <v/>
      </c>
    </row>
    <row r="705" spans="1:6">
      <c r="A705" s="49"/>
      <c r="D705" t="str">
        <f>IFERROR(XLOOKUP(C705,'Master Barang'!$A:$A,'Master Barang'!$B:$B,""),"")</f>
        <v/>
      </c>
      <c r="E705" s="52"/>
      <c r="F705" t="str">
        <f>IFERROR(XLOOKUP(C705,'Master Barang'!$A:$A,'Master Barang'!$D:$D,""),"")</f>
        <v/>
      </c>
    </row>
    <row r="706" spans="1:6">
      <c r="A706" s="49"/>
      <c r="D706" t="str">
        <f>IFERROR(XLOOKUP(C706,'Master Barang'!$A:$A,'Master Barang'!$B:$B,""),"")</f>
        <v/>
      </c>
      <c r="E706" s="52"/>
      <c r="F706" t="str">
        <f>IFERROR(XLOOKUP(C706,'Master Barang'!$A:$A,'Master Barang'!$D:$D,""),"")</f>
        <v/>
      </c>
    </row>
    <row r="707" spans="1:6">
      <c r="A707" s="49"/>
      <c r="D707" t="str">
        <f>IFERROR(XLOOKUP(C707,'Master Barang'!$A:$A,'Master Barang'!$B:$B,""),"")</f>
        <v/>
      </c>
      <c r="E707" s="52"/>
      <c r="F707" t="str">
        <f>IFERROR(XLOOKUP(C707,'Master Barang'!$A:$A,'Master Barang'!$D:$D,""),"")</f>
        <v/>
      </c>
    </row>
    <row r="708" spans="1:6">
      <c r="A708" s="49"/>
      <c r="D708" t="str">
        <f>IFERROR(XLOOKUP(C708,'Master Barang'!$A:$A,'Master Barang'!$B:$B,""),"")</f>
        <v/>
      </c>
      <c r="E708" s="52"/>
      <c r="F708" t="str">
        <f>IFERROR(XLOOKUP(C708,'Master Barang'!$A:$A,'Master Barang'!$D:$D,""),"")</f>
        <v/>
      </c>
    </row>
    <row r="709" spans="1:6">
      <c r="A709" s="49"/>
      <c r="D709" t="str">
        <f>IFERROR(XLOOKUP(C709,'Master Barang'!$A:$A,'Master Barang'!$B:$B,""),"")</f>
        <v/>
      </c>
      <c r="E709" s="52"/>
      <c r="F709" t="str">
        <f>IFERROR(XLOOKUP(C709,'Master Barang'!$A:$A,'Master Barang'!$D:$D,""),"")</f>
        <v/>
      </c>
    </row>
    <row r="710" spans="1:6">
      <c r="A710" s="49"/>
      <c r="D710" t="str">
        <f>IFERROR(XLOOKUP(C710,'Master Barang'!$A:$A,'Master Barang'!$B:$B,""),"")</f>
        <v/>
      </c>
      <c r="E710" s="52"/>
      <c r="F710" t="str">
        <f>IFERROR(XLOOKUP(C710,'Master Barang'!$A:$A,'Master Barang'!$D:$D,""),"")</f>
        <v/>
      </c>
    </row>
    <row r="711" spans="1:6">
      <c r="A711" s="49"/>
      <c r="D711" t="str">
        <f>IFERROR(XLOOKUP(C711,'Master Barang'!$A:$A,'Master Barang'!$B:$B,""),"")</f>
        <v/>
      </c>
      <c r="E711" s="52"/>
      <c r="F711" t="str">
        <f>IFERROR(XLOOKUP(C711,'Master Barang'!$A:$A,'Master Barang'!$D:$D,""),"")</f>
        <v/>
      </c>
    </row>
    <row r="712" spans="1:6">
      <c r="A712" s="49"/>
      <c r="D712" t="str">
        <f>IFERROR(XLOOKUP(C712,'Master Barang'!$A:$A,'Master Barang'!$B:$B,""),"")</f>
        <v/>
      </c>
      <c r="E712" s="52"/>
      <c r="F712" t="str">
        <f>IFERROR(XLOOKUP(C712,'Master Barang'!$A:$A,'Master Barang'!$D:$D,""),"")</f>
        <v/>
      </c>
    </row>
    <row r="713" spans="1:6">
      <c r="A713" s="49"/>
      <c r="D713" t="str">
        <f>IFERROR(XLOOKUP(C713,'Master Barang'!$A:$A,'Master Barang'!$B:$B,""),"")</f>
        <v/>
      </c>
      <c r="E713" s="52"/>
      <c r="F713" t="str">
        <f>IFERROR(XLOOKUP(C713,'Master Barang'!$A:$A,'Master Barang'!$D:$D,""),"")</f>
        <v/>
      </c>
    </row>
    <row r="714" spans="1:6">
      <c r="A714" s="49"/>
      <c r="D714" t="str">
        <f>IFERROR(XLOOKUP(C714,'Master Barang'!$A:$A,'Master Barang'!$B:$B,""),"")</f>
        <v/>
      </c>
      <c r="E714" s="52"/>
      <c r="F714" t="str">
        <f>IFERROR(XLOOKUP(C714,'Master Barang'!$A:$A,'Master Barang'!$D:$D,""),"")</f>
        <v/>
      </c>
    </row>
    <row r="715" spans="1:6">
      <c r="A715" s="49"/>
      <c r="D715" t="str">
        <f>IFERROR(XLOOKUP(C715,'Master Barang'!$A:$A,'Master Barang'!$B:$B,""),"")</f>
        <v/>
      </c>
      <c r="E715" s="52"/>
      <c r="F715" t="str">
        <f>IFERROR(XLOOKUP(C715,'Master Barang'!$A:$A,'Master Barang'!$D:$D,""),"")</f>
        <v/>
      </c>
    </row>
    <row r="716" spans="1:6">
      <c r="A716" s="49"/>
      <c r="D716" t="str">
        <f>IFERROR(XLOOKUP(C716,'Master Barang'!$A:$A,'Master Barang'!$B:$B,""),"")</f>
        <v/>
      </c>
      <c r="E716" s="52"/>
      <c r="F716" t="str">
        <f>IFERROR(XLOOKUP(C716,'Master Barang'!$A:$A,'Master Barang'!$D:$D,""),"")</f>
        <v/>
      </c>
    </row>
    <row r="717" spans="1:6">
      <c r="A717" s="49"/>
      <c r="D717" t="str">
        <f>IFERROR(XLOOKUP(C717,'Master Barang'!$A:$A,'Master Barang'!$B:$B,""),"")</f>
        <v/>
      </c>
      <c r="E717" s="52"/>
      <c r="F717" t="str">
        <f>IFERROR(XLOOKUP(C717,'Master Barang'!$A:$A,'Master Barang'!$D:$D,""),"")</f>
        <v/>
      </c>
    </row>
    <row r="718" spans="1:6">
      <c r="A718" s="49"/>
      <c r="D718" t="str">
        <f>IFERROR(XLOOKUP(C718,'Master Barang'!$A:$A,'Master Barang'!$B:$B,""),"")</f>
        <v/>
      </c>
      <c r="E718" s="52"/>
      <c r="F718" t="str">
        <f>IFERROR(XLOOKUP(C718,'Master Barang'!$A:$A,'Master Barang'!$D:$D,""),"")</f>
        <v/>
      </c>
    </row>
    <row r="719" spans="1:6">
      <c r="A719" s="49"/>
      <c r="D719" t="str">
        <f>IFERROR(XLOOKUP(C719,'Master Barang'!$A:$A,'Master Barang'!$B:$B,""),"")</f>
        <v/>
      </c>
      <c r="E719" s="52"/>
      <c r="F719" t="str">
        <f>IFERROR(XLOOKUP(C719,'Master Barang'!$A:$A,'Master Barang'!$D:$D,""),"")</f>
        <v/>
      </c>
    </row>
    <row r="720" spans="1:6">
      <c r="A720" s="49"/>
      <c r="D720" t="str">
        <f>IFERROR(XLOOKUP(C720,'Master Barang'!$A:$A,'Master Barang'!$B:$B,""),"")</f>
        <v/>
      </c>
      <c r="E720" s="52"/>
      <c r="F720" t="str">
        <f>IFERROR(XLOOKUP(C720,'Master Barang'!$A:$A,'Master Barang'!$D:$D,""),"")</f>
        <v/>
      </c>
    </row>
    <row r="721" spans="1:6">
      <c r="A721" s="49"/>
      <c r="D721" t="str">
        <f>IFERROR(XLOOKUP(C721,'Master Barang'!$A:$A,'Master Barang'!$B:$B,""),"")</f>
        <v/>
      </c>
      <c r="E721" s="52"/>
      <c r="F721" t="str">
        <f>IFERROR(XLOOKUP(C721,'Master Barang'!$A:$A,'Master Barang'!$D:$D,""),"")</f>
        <v/>
      </c>
    </row>
    <row r="722" spans="1:6">
      <c r="A722" s="49"/>
      <c r="D722" t="str">
        <f>IFERROR(XLOOKUP(C722,'Master Barang'!$A:$A,'Master Barang'!$B:$B,""),"")</f>
        <v/>
      </c>
      <c r="E722" s="52"/>
      <c r="F722" t="str">
        <f>IFERROR(XLOOKUP(C722,'Master Barang'!$A:$A,'Master Barang'!$D:$D,""),"")</f>
        <v/>
      </c>
    </row>
    <row r="723" spans="1:6">
      <c r="A723" s="49"/>
      <c r="D723" t="str">
        <f>IFERROR(XLOOKUP(C723,'Master Barang'!$A:$A,'Master Barang'!$B:$B,""),"")</f>
        <v/>
      </c>
      <c r="E723" s="52"/>
      <c r="F723" t="str">
        <f>IFERROR(XLOOKUP(C723,'Master Barang'!$A:$A,'Master Barang'!$D:$D,""),"")</f>
        <v/>
      </c>
    </row>
    <row r="724" spans="1:6">
      <c r="A724" s="49"/>
      <c r="D724" t="str">
        <f>IFERROR(XLOOKUP(C724,'Master Barang'!$A:$A,'Master Barang'!$B:$B,""),"")</f>
        <v/>
      </c>
      <c r="E724" s="52"/>
      <c r="F724" t="str">
        <f>IFERROR(XLOOKUP(C724,'Master Barang'!$A:$A,'Master Barang'!$D:$D,""),"")</f>
        <v/>
      </c>
    </row>
    <row r="725" spans="1:6">
      <c r="A725" s="49"/>
      <c r="D725" t="str">
        <f>IFERROR(XLOOKUP(C725,'Master Barang'!$A:$A,'Master Barang'!$B:$B,""),"")</f>
        <v/>
      </c>
      <c r="E725" s="52"/>
      <c r="F725" t="str">
        <f>IFERROR(XLOOKUP(C725,'Master Barang'!$A:$A,'Master Barang'!$D:$D,""),"")</f>
        <v/>
      </c>
    </row>
    <row r="726" spans="1:6">
      <c r="A726" s="49"/>
      <c r="D726" t="str">
        <f>IFERROR(XLOOKUP(C726,'Master Barang'!$A:$A,'Master Barang'!$B:$B,""),"")</f>
        <v/>
      </c>
      <c r="E726" s="52"/>
      <c r="F726" t="str">
        <f>IFERROR(XLOOKUP(C726,'Master Barang'!$A:$A,'Master Barang'!$D:$D,""),"")</f>
        <v/>
      </c>
    </row>
    <row r="727" spans="1:6">
      <c r="A727" s="49"/>
      <c r="D727" t="str">
        <f>IFERROR(XLOOKUP(C727,'Master Barang'!$A:$A,'Master Barang'!$B:$B,""),"")</f>
        <v/>
      </c>
      <c r="E727" s="52"/>
      <c r="F727" t="str">
        <f>IFERROR(XLOOKUP(C727,'Master Barang'!$A:$A,'Master Barang'!$D:$D,""),"")</f>
        <v/>
      </c>
    </row>
    <row r="728" spans="1:6">
      <c r="A728" s="49"/>
      <c r="D728" t="str">
        <f>IFERROR(XLOOKUP(C728,'Master Barang'!$A:$A,'Master Barang'!$B:$B,""),"")</f>
        <v/>
      </c>
      <c r="E728" s="52"/>
      <c r="F728" t="str">
        <f>IFERROR(XLOOKUP(C728,'Master Barang'!$A:$A,'Master Barang'!$D:$D,""),"")</f>
        <v/>
      </c>
    </row>
    <row r="729" spans="1:6">
      <c r="A729" s="49"/>
      <c r="D729" t="str">
        <f>IFERROR(XLOOKUP(C729,'Master Barang'!$A:$A,'Master Barang'!$B:$B,""),"")</f>
        <v/>
      </c>
      <c r="E729" s="52"/>
      <c r="F729" t="str">
        <f>IFERROR(XLOOKUP(C729,'Master Barang'!$A:$A,'Master Barang'!$D:$D,""),"")</f>
        <v/>
      </c>
    </row>
    <row r="730" spans="1:6">
      <c r="A730" s="49"/>
      <c r="D730" t="str">
        <f>IFERROR(XLOOKUP(C730,'Master Barang'!$A:$A,'Master Barang'!$B:$B,""),"")</f>
        <v/>
      </c>
      <c r="E730" s="52"/>
      <c r="F730" t="str">
        <f>IFERROR(XLOOKUP(C730,'Master Barang'!$A:$A,'Master Barang'!$D:$D,""),"")</f>
        <v/>
      </c>
    </row>
    <row r="731" spans="1:6">
      <c r="A731" s="49"/>
      <c r="D731" t="str">
        <f>IFERROR(XLOOKUP(C731,'Master Barang'!$A:$A,'Master Barang'!$B:$B,""),"")</f>
        <v/>
      </c>
      <c r="E731" s="52"/>
      <c r="F731" t="str">
        <f>IFERROR(XLOOKUP(C731,'Master Barang'!$A:$A,'Master Barang'!$D:$D,""),"")</f>
        <v/>
      </c>
    </row>
    <row r="732" spans="1:6">
      <c r="A732" s="49"/>
      <c r="D732" t="str">
        <f>IFERROR(XLOOKUP(C732,'Master Barang'!$A:$A,'Master Barang'!$B:$B,""),"")</f>
        <v/>
      </c>
      <c r="E732" s="52"/>
      <c r="F732" t="str">
        <f>IFERROR(XLOOKUP(C732,'Master Barang'!$A:$A,'Master Barang'!$D:$D,""),"")</f>
        <v/>
      </c>
    </row>
    <row r="733" spans="1:6">
      <c r="A733" s="49"/>
      <c r="D733" t="str">
        <f>IFERROR(XLOOKUP(C733,'Master Barang'!$A:$A,'Master Barang'!$B:$B,""),"")</f>
        <v/>
      </c>
      <c r="E733" s="52"/>
      <c r="F733" t="str">
        <f>IFERROR(XLOOKUP(C733,'Master Barang'!$A:$A,'Master Barang'!$D:$D,""),"")</f>
        <v/>
      </c>
    </row>
    <row r="734" spans="1:6">
      <c r="A734" s="49"/>
      <c r="D734" t="str">
        <f>IFERROR(XLOOKUP(C734,'Master Barang'!$A:$A,'Master Barang'!$B:$B,""),"")</f>
        <v/>
      </c>
      <c r="E734" s="52"/>
      <c r="F734" t="str">
        <f>IFERROR(XLOOKUP(C734,'Master Barang'!$A:$A,'Master Barang'!$D:$D,""),"")</f>
        <v/>
      </c>
    </row>
    <row r="735" spans="1:6">
      <c r="A735" s="49"/>
      <c r="D735" t="str">
        <f>IFERROR(XLOOKUP(C735,'Master Barang'!$A:$A,'Master Barang'!$B:$B,""),"")</f>
        <v/>
      </c>
      <c r="E735" s="52"/>
      <c r="F735" t="str">
        <f>IFERROR(XLOOKUP(C735,'Master Barang'!$A:$A,'Master Barang'!$D:$D,""),"")</f>
        <v/>
      </c>
    </row>
    <row r="736" spans="1:6">
      <c r="A736" s="49"/>
      <c r="D736" t="str">
        <f>IFERROR(XLOOKUP(C736,'Master Barang'!$A:$A,'Master Barang'!$B:$B,""),"")</f>
        <v/>
      </c>
      <c r="E736" s="52"/>
      <c r="F736" t="str">
        <f>IFERROR(XLOOKUP(C736,'Master Barang'!$A:$A,'Master Barang'!$D:$D,""),"")</f>
        <v/>
      </c>
    </row>
    <row r="737" spans="1:6">
      <c r="A737" s="49"/>
      <c r="D737" t="str">
        <f>IFERROR(XLOOKUP(C737,'Master Barang'!$A:$A,'Master Barang'!$B:$B,""),"")</f>
        <v/>
      </c>
      <c r="E737" s="52"/>
      <c r="F737" t="str">
        <f>IFERROR(XLOOKUP(C737,'Master Barang'!$A:$A,'Master Barang'!$D:$D,""),"")</f>
        <v/>
      </c>
    </row>
    <row r="738" spans="1:6">
      <c r="A738" s="49"/>
      <c r="D738" t="str">
        <f>IFERROR(XLOOKUP(C738,'Master Barang'!$A:$A,'Master Barang'!$B:$B,""),"")</f>
        <v/>
      </c>
      <c r="E738" s="52"/>
      <c r="F738" t="str">
        <f>IFERROR(XLOOKUP(C738,'Master Barang'!$A:$A,'Master Barang'!$D:$D,""),"")</f>
        <v/>
      </c>
    </row>
    <row r="739" spans="1:6">
      <c r="A739" s="49"/>
      <c r="D739" t="str">
        <f>IFERROR(XLOOKUP(C739,'Master Barang'!$A:$A,'Master Barang'!$B:$B,""),"")</f>
        <v/>
      </c>
      <c r="E739" s="52"/>
      <c r="F739" t="str">
        <f>IFERROR(XLOOKUP(C739,'Master Barang'!$A:$A,'Master Barang'!$D:$D,""),"")</f>
        <v/>
      </c>
    </row>
    <row r="740" spans="1:6">
      <c r="A740" s="49"/>
      <c r="D740" t="str">
        <f>IFERROR(XLOOKUP(C740,'Master Barang'!$A:$A,'Master Barang'!$B:$B,""),"")</f>
        <v/>
      </c>
      <c r="E740" s="52"/>
      <c r="F740" t="str">
        <f>IFERROR(XLOOKUP(C740,'Master Barang'!$A:$A,'Master Barang'!$D:$D,""),"")</f>
        <v/>
      </c>
    </row>
    <row r="741" spans="1:6">
      <c r="A741" s="49"/>
      <c r="D741" t="str">
        <f>IFERROR(XLOOKUP(C741,'Master Barang'!$A:$A,'Master Barang'!$B:$B,""),"")</f>
        <v/>
      </c>
      <c r="E741" s="52"/>
      <c r="F741" t="str">
        <f>IFERROR(XLOOKUP(C741,'Master Barang'!$A:$A,'Master Barang'!$D:$D,""),"")</f>
        <v/>
      </c>
    </row>
    <row r="742" spans="1:6">
      <c r="A742" s="49"/>
      <c r="D742" t="str">
        <f>IFERROR(XLOOKUP(C742,'Master Barang'!$A:$A,'Master Barang'!$B:$B,""),"")</f>
        <v/>
      </c>
      <c r="E742" s="52"/>
      <c r="F742" t="str">
        <f>IFERROR(XLOOKUP(C742,'Master Barang'!$A:$A,'Master Barang'!$D:$D,""),"")</f>
        <v/>
      </c>
    </row>
    <row r="743" spans="1:6">
      <c r="A743" s="49"/>
      <c r="D743" t="str">
        <f>IFERROR(XLOOKUP(C743,'Master Barang'!$A:$A,'Master Barang'!$B:$B,""),"")</f>
        <v/>
      </c>
      <c r="E743" s="52"/>
      <c r="F743" t="str">
        <f>IFERROR(XLOOKUP(C743,'Master Barang'!$A:$A,'Master Barang'!$D:$D,""),"")</f>
        <v/>
      </c>
    </row>
    <row r="744" spans="1:6">
      <c r="A744" s="49"/>
      <c r="D744" t="str">
        <f>IFERROR(XLOOKUP(C744,'Master Barang'!$A:$A,'Master Barang'!$B:$B,""),"")</f>
        <v/>
      </c>
      <c r="E744" s="52"/>
      <c r="F744" t="str">
        <f>IFERROR(XLOOKUP(C744,'Master Barang'!$A:$A,'Master Barang'!$D:$D,""),"")</f>
        <v/>
      </c>
    </row>
    <row r="745" spans="1:6">
      <c r="A745" s="49"/>
      <c r="D745" t="str">
        <f>IFERROR(XLOOKUP(C745,'Master Barang'!$A:$A,'Master Barang'!$B:$B,""),"")</f>
        <v/>
      </c>
      <c r="E745" s="52"/>
      <c r="F745" t="str">
        <f>IFERROR(XLOOKUP(C745,'Master Barang'!$A:$A,'Master Barang'!$D:$D,""),"")</f>
        <v/>
      </c>
    </row>
    <row r="746" spans="1:6">
      <c r="A746" s="49"/>
      <c r="D746" t="str">
        <f>IFERROR(XLOOKUP(C746,'Master Barang'!$A:$A,'Master Barang'!$B:$B,""),"")</f>
        <v/>
      </c>
      <c r="E746" s="52"/>
      <c r="F746" t="str">
        <f>IFERROR(XLOOKUP(C746,'Master Barang'!$A:$A,'Master Barang'!$D:$D,""),"")</f>
        <v/>
      </c>
    </row>
    <row r="747" spans="1:6">
      <c r="A747" s="49"/>
      <c r="D747" t="str">
        <f>IFERROR(XLOOKUP(C747,'Master Barang'!$A:$A,'Master Barang'!$B:$B,""),"")</f>
        <v/>
      </c>
      <c r="E747" s="52"/>
      <c r="F747" t="str">
        <f>IFERROR(XLOOKUP(C747,'Master Barang'!$A:$A,'Master Barang'!$D:$D,""),"")</f>
        <v/>
      </c>
    </row>
    <row r="748" spans="1:6">
      <c r="A748" s="49"/>
      <c r="D748" t="str">
        <f>IFERROR(XLOOKUP(C748,'Master Barang'!$A:$A,'Master Barang'!$B:$B,""),"")</f>
        <v/>
      </c>
      <c r="E748" s="52"/>
      <c r="F748" t="str">
        <f>IFERROR(XLOOKUP(C748,'Master Barang'!$A:$A,'Master Barang'!$D:$D,""),"")</f>
        <v/>
      </c>
    </row>
    <row r="749" spans="1:6">
      <c r="A749" s="49"/>
      <c r="D749" t="str">
        <f>IFERROR(XLOOKUP(C749,'Master Barang'!$A:$A,'Master Barang'!$B:$B,""),"")</f>
        <v/>
      </c>
      <c r="E749" s="52"/>
      <c r="F749" t="str">
        <f>IFERROR(XLOOKUP(C749,'Master Barang'!$A:$A,'Master Barang'!$D:$D,""),"")</f>
        <v/>
      </c>
    </row>
    <row r="750" spans="1:6">
      <c r="A750" s="49"/>
      <c r="D750" t="str">
        <f>IFERROR(XLOOKUP(C750,'Master Barang'!$A:$A,'Master Barang'!$B:$B,""),"")</f>
        <v/>
      </c>
      <c r="E750" s="52"/>
      <c r="F750" t="str">
        <f>IFERROR(XLOOKUP(C750,'Master Barang'!$A:$A,'Master Barang'!$D:$D,""),"")</f>
        <v/>
      </c>
    </row>
    <row r="751" spans="1:6">
      <c r="A751" s="49"/>
      <c r="D751" t="str">
        <f>IFERROR(XLOOKUP(C751,'Master Barang'!$A:$A,'Master Barang'!$B:$B,""),"")</f>
        <v/>
      </c>
      <c r="E751" s="52"/>
      <c r="F751" t="str">
        <f>IFERROR(XLOOKUP(C751,'Master Barang'!$A:$A,'Master Barang'!$D:$D,""),"")</f>
        <v/>
      </c>
    </row>
    <row r="752" spans="1:6">
      <c r="A752" s="49"/>
      <c r="D752" t="str">
        <f>IFERROR(XLOOKUP(C752,'Master Barang'!$A:$A,'Master Barang'!$B:$B,""),"")</f>
        <v/>
      </c>
      <c r="E752" s="52"/>
      <c r="F752" t="str">
        <f>IFERROR(XLOOKUP(C752,'Master Barang'!$A:$A,'Master Barang'!$D:$D,""),"")</f>
        <v/>
      </c>
    </row>
    <row r="753" spans="1:6">
      <c r="A753" s="49"/>
      <c r="D753" t="str">
        <f>IFERROR(XLOOKUP(C753,'Master Barang'!$A:$A,'Master Barang'!$B:$B,""),"")</f>
        <v/>
      </c>
      <c r="E753" s="52"/>
      <c r="F753" t="str">
        <f>IFERROR(XLOOKUP(C753,'Master Barang'!$A:$A,'Master Barang'!$D:$D,""),"")</f>
        <v/>
      </c>
    </row>
    <row r="754" spans="1:6">
      <c r="A754" s="49"/>
      <c r="D754" t="str">
        <f>IFERROR(XLOOKUP(C754,'Master Barang'!$A:$A,'Master Barang'!$B:$B,""),"")</f>
        <v/>
      </c>
      <c r="E754" s="52"/>
      <c r="F754" t="str">
        <f>IFERROR(XLOOKUP(C754,'Master Barang'!$A:$A,'Master Barang'!$D:$D,""),"")</f>
        <v/>
      </c>
    </row>
    <row r="755" spans="1:6">
      <c r="A755" s="49"/>
      <c r="D755" t="str">
        <f>IFERROR(XLOOKUP(C755,'Master Barang'!$A:$A,'Master Barang'!$B:$B,""),"")</f>
        <v/>
      </c>
      <c r="E755" s="52"/>
      <c r="F755" t="str">
        <f>IFERROR(XLOOKUP(C755,'Master Barang'!$A:$A,'Master Barang'!$D:$D,""),"")</f>
        <v/>
      </c>
    </row>
    <row r="756" spans="1:6">
      <c r="A756" s="49"/>
      <c r="D756" t="str">
        <f>IFERROR(XLOOKUP(C756,'Master Barang'!$A:$A,'Master Barang'!$B:$B,""),"")</f>
        <v/>
      </c>
      <c r="E756" s="52"/>
      <c r="F756" t="str">
        <f>IFERROR(XLOOKUP(C756,'Master Barang'!$A:$A,'Master Barang'!$D:$D,""),"")</f>
        <v/>
      </c>
    </row>
    <row r="757" spans="1:6">
      <c r="A757" s="49"/>
      <c r="D757" t="str">
        <f>IFERROR(XLOOKUP(C757,'Master Barang'!$A:$A,'Master Barang'!$B:$B,""),"")</f>
        <v/>
      </c>
      <c r="E757" s="52"/>
      <c r="F757" t="str">
        <f>IFERROR(XLOOKUP(C757,'Master Barang'!$A:$A,'Master Barang'!$D:$D,""),"")</f>
        <v/>
      </c>
    </row>
    <row r="758" spans="1:6">
      <c r="A758" s="49"/>
      <c r="D758" t="str">
        <f>IFERROR(XLOOKUP(C758,'Master Barang'!$A:$A,'Master Barang'!$B:$B,""),"")</f>
        <v/>
      </c>
      <c r="E758" s="52"/>
      <c r="F758" t="str">
        <f>IFERROR(XLOOKUP(C758,'Master Barang'!$A:$A,'Master Barang'!$D:$D,""),"")</f>
        <v/>
      </c>
    </row>
    <row r="759" spans="1:6">
      <c r="A759" s="49"/>
      <c r="D759" t="str">
        <f>IFERROR(XLOOKUP(C759,'Master Barang'!$A:$A,'Master Barang'!$B:$B,""),"")</f>
        <v/>
      </c>
      <c r="E759" s="52"/>
      <c r="F759" t="str">
        <f>IFERROR(XLOOKUP(C759,'Master Barang'!$A:$A,'Master Barang'!$D:$D,""),"")</f>
        <v/>
      </c>
    </row>
    <row r="760" spans="1:6">
      <c r="A760" s="49"/>
      <c r="D760" t="str">
        <f>IFERROR(XLOOKUP(C760,'Master Barang'!$A:$A,'Master Barang'!$B:$B,""),"")</f>
        <v/>
      </c>
      <c r="E760" s="52"/>
      <c r="F760" t="str">
        <f>IFERROR(XLOOKUP(C760,'Master Barang'!$A:$A,'Master Barang'!$D:$D,""),"")</f>
        <v/>
      </c>
    </row>
    <row r="761" spans="1:6">
      <c r="A761" s="49"/>
      <c r="D761" t="str">
        <f>IFERROR(XLOOKUP(C761,'Master Barang'!$A:$A,'Master Barang'!$B:$B,""),"")</f>
        <v/>
      </c>
      <c r="E761" s="52"/>
      <c r="F761" t="str">
        <f>IFERROR(XLOOKUP(C761,'Master Barang'!$A:$A,'Master Barang'!$D:$D,""),"")</f>
        <v/>
      </c>
    </row>
    <row r="762" spans="1:6">
      <c r="A762" s="49"/>
      <c r="D762" t="str">
        <f>IFERROR(XLOOKUP(C762,'Master Barang'!$A:$A,'Master Barang'!$B:$B,""),"")</f>
        <v/>
      </c>
      <c r="E762" s="52"/>
      <c r="F762" t="str">
        <f>IFERROR(XLOOKUP(C762,'Master Barang'!$A:$A,'Master Barang'!$D:$D,""),"")</f>
        <v/>
      </c>
    </row>
    <row r="763" spans="1:6">
      <c r="A763" s="49"/>
      <c r="D763" t="str">
        <f>IFERROR(XLOOKUP(C763,'Master Barang'!$A:$A,'Master Barang'!$B:$B,""),"")</f>
        <v/>
      </c>
      <c r="E763" s="52"/>
      <c r="F763" t="str">
        <f>IFERROR(XLOOKUP(C763,'Master Barang'!$A:$A,'Master Barang'!$D:$D,""),"")</f>
        <v/>
      </c>
    </row>
    <row r="764" spans="1:6">
      <c r="A764" s="49"/>
      <c r="D764" t="str">
        <f>IFERROR(XLOOKUP(C764,'Master Barang'!$A:$A,'Master Barang'!$B:$B,""),"")</f>
        <v/>
      </c>
      <c r="E764" s="52"/>
      <c r="F764" t="str">
        <f>IFERROR(XLOOKUP(C764,'Master Barang'!$A:$A,'Master Barang'!$D:$D,""),"")</f>
        <v/>
      </c>
    </row>
    <row r="765" spans="1:6">
      <c r="A765" s="49"/>
      <c r="D765" t="str">
        <f>IFERROR(XLOOKUP(C765,'Master Barang'!$A:$A,'Master Barang'!$B:$B,""),"")</f>
        <v/>
      </c>
      <c r="E765" s="52"/>
      <c r="F765" t="str">
        <f>IFERROR(XLOOKUP(C765,'Master Barang'!$A:$A,'Master Barang'!$D:$D,""),"")</f>
        <v/>
      </c>
    </row>
    <row r="766" spans="1:6">
      <c r="A766" s="49"/>
      <c r="D766" t="str">
        <f>IFERROR(XLOOKUP(C766,'Master Barang'!$A:$A,'Master Barang'!$B:$B,""),"")</f>
        <v/>
      </c>
      <c r="E766" s="52"/>
      <c r="F766" t="str">
        <f>IFERROR(XLOOKUP(C766,'Master Barang'!$A:$A,'Master Barang'!$D:$D,""),"")</f>
        <v/>
      </c>
    </row>
    <row r="767" spans="1:6">
      <c r="A767" s="49"/>
      <c r="D767" t="str">
        <f>IFERROR(XLOOKUP(C767,'Master Barang'!$A:$A,'Master Barang'!$B:$B,""),"")</f>
        <v/>
      </c>
      <c r="E767" s="52"/>
      <c r="F767" t="str">
        <f>IFERROR(XLOOKUP(C767,'Master Barang'!$A:$A,'Master Barang'!$D:$D,""),"")</f>
        <v/>
      </c>
    </row>
    <row r="768" spans="1:6">
      <c r="A768" s="49"/>
      <c r="D768" t="str">
        <f>IFERROR(XLOOKUP(C768,'Master Barang'!$A:$A,'Master Barang'!$B:$B,""),"")</f>
        <v/>
      </c>
      <c r="E768" s="52"/>
      <c r="F768" t="str">
        <f>IFERROR(XLOOKUP(C768,'Master Barang'!$A:$A,'Master Barang'!$D:$D,""),"")</f>
        <v/>
      </c>
    </row>
    <row r="769" spans="1:6">
      <c r="A769" s="49"/>
      <c r="D769" t="str">
        <f>IFERROR(XLOOKUP(C769,'Master Barang'!$A:$A,'Master Barang'!$B:$B,""),"")</f>
        <v/>
      </c>
      <c r="E769" s="52"/>
      <c r="F769" t="str">
        <f>IFERROR(XLOOKUP(C769,'Master Barang'!$A:$A,'Master Barang'!$D:$D,""),"")</f>
        <v/>
      </c>
    </row>
    <row r="770" spans="1:6">
      <c r="A770" s="49"/>
      <c r="D770" t="str">
        <f>IFERROR(XLOOKUP(C770,'Master Barang'!$A:$A,'Master Barang'!$B:$B,""),"")</f>
        <v/>
      </c>
      <c r="E770" s="52"/>
      <c r="F770" t="str">
        <f>IFERROR(XLOOKUP(C770,'Master Barang'!$A:$A,'Master Barang'!$D:$D,""),"")</f>
        <v/>
      </c>
    </row>
    <row r="771" spans="1:6">
      <c r="A771" s="49"/>
      <c r="D771" t="str">
        <f>IFERROR(XLOOKUP(C771,'Master Barang'!$A:$A,'Master Barang'!$B:$B,""),"")</f>
        <v/>
      </c>
      <c r="E771" s="52"/>
      <c r="F771" t="str">
        <f>IFERROR(XLOOKUP(C771,'Master Barang'!$A:$A,'Master Barang'!$D:$D,""),"")</f>
        <v/>
      </c>
    </row>
    <row r="772" spans="1:6">
      <c r="A772" s="49"/>
      <c r="D772" t="str">
        <f>IFERROR(XLOOKUP(C772,'Master Barang'!$A:$A,'Master Barang'!$B:$B,""),"")</f>
        <v/>
      </c>
      <c r="E772" s="52"/>
      <c r="F772" t="str">
        <f>IFERROR(XLOOKUP(C772,'Master Barang'!$A:$A,'Master Barang'!$D:$D,""),"")</f>
        <v/>
      </c>
    </row>
    <row r="773" spans="1:6">
      <c r="A773" s="49"/>
      <c r="D773" t="str">
        <f>IFERROR(XLOOKUP(C773,'Master Barang'!$A:$A,'Master Barang'!$B:$B,""),"")</f>
        <v/>
      </c>
      <c r="E773" s="52"/>
      <c r="F773" t="str">
        <f>IFERROR(XLOOKUP(C773,'Master Barang'!$A:$A,'Master Barang'!$D:$D,""),"")</f>
        <v/>
      </c>
    </row>
    <row r="774" spans="1:6">
      <c r="A774" s="49"/>
      <c r="D774" t="str">
        <f>IFERROR(XLOOKUP(C774,'Master Barang'!$A:$A,'Master Barang'!$B:$B,""),"")</f>
        <v/>
      </c>
      <c r="E774" s="52"/>
      <c r="F774" t="str">
        <f>IFERROR(XLOOKUP(C774,'Master Barang'!$A:$A,'Master Barang'!$D:$D,""),"")</f>
        <v/>
      </c>
    </row>
    <row r="775" spans="1:6">
      <c r="A775" s="49"/>
      <c r="D775" t="str">
        <f>IFERROR(XLOOKUP(C775,'Master Barang'!$A:$A,'Master Barang'!$B:$B,""),"")</f>
        <v/>
      </c>
      <c r="E775" s="52"/>
      <c r="F775" t="str">
        <f>IFERROR(XLOOKUP(C775,'Master Barang'!$A:$A,'Master Barang'!$D:$D,""),"")</f>
        <v/>
      </c>
    </row>
    <row r="776" spans="1:6">
      <c r="A776" s="49"/>
      <c r="D776" t="str">
        <f>IFERROR(XLOOKUP(C776,'Master Barang'!$A:$A,'Master Barang'!$B:$B,""),"")</f>
        <v/>
      </c>
      <c r="E776" s="52"/>
      <c r="F776" t="str">
        <f>IFERROR(XLOOKUP(C776,'Master Barang'!$A:$A,'Master Barang'!$D:$D,""),"")</f>
        <v/>
      </c>
    </row>
    <row r="777" spans="1:6">
      <c r="A777" s="49"/>
      <c r="D777" t="str">
        <f>IFERROR(XLOOKUP(C777,'Master Barang'!$A:$A,'Master Barang'!$B:$B,""),"")</f>
        <v/>
      </c>
      <c r="E777" s="52"/>
      <c r="F777" t="str">
        <f>IFERROR(XLOOKUP(C777,'Master Barang'!$A:$A,'Master Barang'!$D:$D,""),"")</f>
        <v/>
      </c>
    </row>
    <row r="778" spans="1:6">
      <c r="A778" s="49"/>
      <c r="D778" t="str">
        <f>IFERROR(XLOOKUP(C778,'Master Barang'!$A:$A,'Master Barang'!$B:$B,""),"")</f>
        <v/>
      </c>
      <c r="E778" s="52"/>
      <c r="F778" t="str">
        <f>IFERROR(XLOOKUP(C778,'Master Barang'!$A:$A,'Master Barang'!$D:$D,""),"")</f>
        <v/>
      </c>
    </row>
    <row r="779" spans="1:6">
      <c r="A779" s="49"/>
      <c r="D779" t="str">
        <f>IFERROR(XLOOKUP(C779,'Master Barang'!$A:$A,'Master Barang'!$B:$B,""),"")</f>
        <v/>
      </c>
      <c r="E779" s="52"/>
      <c r="F779" t="str">
        <f>IFERROR(XLOOKUP(C779,'Master Barang'!$A:$A,'Master Barang'!$D:$D,""),"")</f>
        <v/>
      </c>
    </row>
    <row r="780" spans="1:6">
      <c r="A780" s="49"/>
      <c r="D780" t="str">
        <f>IFERROR(XLOOKUP(C780,'Master Barang'!$A:$A,'Master Barang'!$B:$B,""),"")</f>
        <v/>
      </c>
      <c r="E780" s="52"/>
      <c r="F780" t="str">
        <f>IFERROR(XLOOKUP(C780,'Master Barang'!$A:$A,'Master Barang'!$D:$D,""),"")</f>
        <v/>
      </c>
    </row>
    <row r="781" spans="1:6">
      <c r="A781" s="49"/>
      <c r="D781" t="str">
        <f>IFERROR(XLOOKUP(C781,'Master Barang'!$A:$A,'Master Barang'!$B:$B,""),"")</f>
        <v/>
      </c>
      <c r="E781" s="52"/>
      <c r="F781" t="str">
        <f>IFERROR(XLOOKUP(C781,'Master Barang'!$A:$A,'Master Barang'!$D:$D,""),"")</f>
        <v/>
      </c>
    </row>
    <row r="782" spans="1:6">
      <c r="A782" s="49"/>
      <c r="D782" t="str">
        <f>IFERROR(XLOOKUP(C782,'Master Barang'!$A:$A,'Master Barang'!$B:$B,""),"")</f>
        <v/>
      </c>
      <c r="E782" s="52"/>
      <c r="F782" t="str">
        <f>IFERROR(XLOOKUP(C782,'Master Barang'!$A:$A,'Master Barang'!$D:$D,""),"")</f>
        <v/>
      </c>
    </row>
    <row r="783" spans="1:6">
      <c r="A783" s="49"/>
      <c r="D783" t="str">
        <f>IFERROR(XLOOKUP(C783,'Master Barang'!$A:$A,'Master Barang'!$B:$B,""),"")</f>
        <v/>
      </c>
      <c r="E783" s="52"/>
      <c r="F783" t="str">
        <f>IFERROR(XLOOKUP(C783,'Master Barang'!$A:$A,'Master Barang'!$D:$D,""),"")</f>
        <v/>
      </c>
    </row>
    <row r="784" spans="1:6">
      <c r="A784" s="49"/>
      <c r="D784" t="str">
        <f>IFERROR(XLOOKUP(C784,'Master Barang'!$A:$A,'Master Barang'!$B:$B,""),"")</f>
        <v/>
      </c>
      <c r="E784" s="52"/>
      <c r="F784" t="str">
        <f>IFERROR(XLOOKUP(C784,'Master Barang'!$A:$A,'Master Barang'!$D:$D,""),"")</f>
        <v/>
      </c>
    </row>
    <row r="785" spans="1:6">
      <c r="A785" s="49"/>
      <c r="D785" t="str">
        <f>IFERROR(XLOOKUP(C785,'Master Barang'!$A:$A,'Master Barang'!$B:$B,""),"")</f>
        <v/>
      </c>
      <c r="E785" s="52"/>
      <c r="F785" t="str">
        <f>IFERROR(XLOOKUP(C785,'Master Barang'!$A:$A,'Master Barang'!$D:$D,""),"")</f>
        <v/>
      </c>
    </row>
    <row r="786" spans="1:6">
      <c r="A786" s="49"/>
      <c r="D786" t="str">
        <f>IFERROR(XLOOKUP(C786,'Master Barang'!$A:$A,'Master Barang'!$B:$B,""),"")</f>
        <v/>
      </c>
      <c r="E786" s="52"/>
      <c r="F786" t="str">
        <f>IFERROR(XLOOKUP(C786,'Master Barang'!$A:$A,'Master Barang'!$D:$D,""),"")</f>
        <v/>
      </c>
    </row>
    <row r="787" spans="1:6">
      <c r="A787" s="49"/>
      <c r="D787" t="str">
        <f>IFERROR(XLOOKUP(C787,'Master Barang'!$A:$A,'Master Barang'!$B:$B,""),"")</f>
        <v/>
      </c>
      <c r="E787" s="52"/>
      <c r="F787" t="str">
        <f>IFERROR(XLOOKUP(C787,'Master Barang'!$A:$A,'Master Barang'!$D:$D,""),"")</f>
        <v/>
      </c>
    </row>
    <row r="788" spans="1:6">
      <c r="A788" s="49"/>
      <c r="D788" t="str">
        <f>IFERROR(XLOOKUP(C788,'Master Barang'!$A:$A,'Master Barang'!$B:$B,""),"")</f>
        <v/>
      </c>
      <c r="E788" s="52"/>
      <c r="F788" t="str">
        <f>IFERROR(XLOOKUP(C788,'Master Barang'!$A:$A,'Master Barang'!$D:$D,""),"")</f>
        <v/>
      </c>
    </row>
    <row r="789" spans="1:6">
      <c r="A789" s="49"/>
      <c r="D789" t="str">
        <f>IFERROR(XLOOKUP(C789,'Master Barang'!$A:$A,'Master Barang'!$B:$B,""),"")</f>
        <v/>
      </c>
      <c r="E789" s="52"/>
      <c r="F789" t="str">
        <f>IFERROR(XLOOKUP(C789,'Master Barang'!$A:$A,'Master Barang'!$D:$D,""),"")</f>
        <v/>
      </c>
    </row>
    <row r="790" spans="1:6">
      <c r="A790" s="49"/>
      <c r="D790" t="str">
        <f>IFERROR(XLOOKUP(C790,'Master Barang'!$A:$A,'Master Barang'!$B:$B,""),"")</f>
        <v/>
      </c>
      <c r="E790" s="52"/>
      <c r="F790" t="str">
        <f>IFERROR(XLOOKUP(C790,'Master Barang'!$A:$A,'Master Barang'!$D:$D,""),"")</f>
        <v/>
      </c>
    </row>
    <row r="791" spans="1:6">
      <c r="A791" s="49"/>
      <c r="D791" t="str">
        <f>IFERROR(XLOOKUP(C791,'Master Barang'!$A:$A,'Master Barang'!$B:$B,""),"")</f>
        <v/>
      </c>
      <c r="E791" s="52"/>
      <c r="F791" t="str">
        <f>IFERROR(XLOOKUP(C791,'Master Barang'!$A:$A,'Master Barang'!$D:$D,""),"")</f>
        <v/>
      </c>
    </row>
    <row r="792" spans="1:6">
      <c r="A792" s="49"/>
      <c r="D792" t="str">
        <f>IFERROR(XLOOKUP(C792,'Master Barang'!$A:$A,'Master Barang'!$B:$B,""),"")</f>
        <v/>
      </c>
      <c r="E792" s="52"/>
      <c r="F792" t="str">
        <f>IFERROR(XLOOKUP(C792,'Master Barang'!$A:$A,'Master Barang'!$D:$D,""),"")</f>
        <v/>
      </c>
    </row>
    <row r="793" spans="1:6">
      <c r="A793" s="49"/>
      <c r="D793" t="str">
        <f>IFERROR(XLOOKUP(C793,'Master Barang'!$A:$A,'Master Barang'!$B:$B,""),"")</f>
        <v/>
      </c>
      <c r="E793" s="52"/>
      <c r="F793" t="str">
        <f>IFERROR(XLOOKUP(C793,'Master Barang'!$A:$A,'Master Barang'!$D:$D,""),"")</f>
        <v/>
      </c>
    </row>
    <row r="794" spans="1:6">
      <c r="A794" s="49"/>
      <c r="D794" t="str">
        <f>IFERROR(XLOOKUP(C794,'Master Barang'!$A:$A,'Master Barang'!$B:$B,""),"")</f>
        <v/>
      </c>
      <c r="E794" s="52"/>
      <c r="F794" t="str">
        <f>IFERROR(XLOOKUP(C794,'Master Barang'!$A:$A,'Master Barang'!$D:$D,""),"")</f>
        <v/>
      </c>
    </row>
    <row r="795" spans="1:6">
      <c r="A795" s="49"/>
      <c r="D795" t="str">
        <f>IFERROR(XLOOKUP(C795,'Master Barang'!$A:$A,'Master Barang'!$B:$B,""),"")</f>
        <v/>
      </c>
      <c r="E795" s="52"/>
      <c r="F795" t="str">
        <f>IFERROR(XLOOKUP(C795,'Master Barang'!$A:$A,'Master Barang'!$D:$D,""),"")</f>
        <v/>
      </c>
    </row>
    <row r="796" spans="1:6">
      <c r="A796" s="49"/>
      <c r="D796" t="str">
        <f>IFERROR(XLOOKUP(C796,'Master Barang'!$A:$A,'Master Barang'!$B:$B,""),"")</f>
        <v/>
      </c>
      <c r="E796" s="52"/>
      <c r="F796" t="str">
        <f>IFERROR(XLOOKUP(C796,'Master Barang'!$A:$A,'Master Barang'!$D:$D,""),"")</f>
        <v/>
      </c>
    </row>
    <row r="797" spans="1:6">
      <c r="A797" s="49"/>
      <c r="D797" t="str">
        <f>IFERROR(XLOOKUP(C797,'Master Barang'!$A:$A,'Master Barang'!$B:$B,""),"")</f>
        <v/>
      </c>
      <c r="E797" s="52"/>
      <c r="F797" t="str">
        <f>IFERROR(XLOOKUP(C797,'Master Barang'!$A:$A,'Master Barang'!$D:$D,""),"")</f>
        <v/>
      </c>
    </row>
    <row r="798" spans="1:6">
      <c r="A798" s="49"/>
      <c r="D798" t="str">
        <f>IFERROR(XLOOKUP(C798,'Master Barang'!$A:$A,'Master Barang'!$B:$B,""),"")</f>
        <v/>
      </c>
      <c r="E798" s="52"/>
      <c r="F798" t="str">
        <f>IFERROR(XLOOKUP(C798,'Master Barang'!$A:$A,'Master Barang'!$D:$D,""),"")</f>
        <v/>
      </c>
    </row>
    <row r="799" spans="1:6">
      <c r="A799" s="49"/>
      <c r="D799" t="str">
        <f>IFERROR(XLOOKUP(C799,'Master Barang'!$A:$A,'Master Barang'!$B:$B,""),"")</f>
        <v/>
      </c>
      <c r="E799" s="52"/>
      <c r="F799" t="str">
        <f>IFERROR(XLOOKUP(C799,'Master Barang'!$A:$A,'Master Barang'!$D:$D,""),"")</f>
        <v/>
      </c>
    </row>
    <row r="800" spans="1:6">
      <c r="A800" s="49"/>
      <c r="D800" t="str">
        <f>IFERROR(XLOOKUP(C800,'Master Barang'!$A:$A,'Master Barang'!$B:$B,""),"")</f>
        <v/>
      </c>
      <c r="E800" s="52"/>
      <c r="F800" t="str">
        <f>IFERROR(XLOOKUP(C800,'Master Barang'!$A:$A,'Master Barang'!$D:$D,""),"")</f>
        <v/>
      </c>
    </row>
    <row r="801" spans="1:6">
      <c r="A801" s="49"/>
      <c r="D801" t="str">
        <f>IFERROR(XLOOKUP(C801,'Master Barang'!$A:$A,'Master Barang'!$B:$B,""),"")</f>
        <v/>
      </c>
      <c r="E801" s="52"/>
      <c r="F801" t="str">
        <f>IFERROR(XLOOKUP(C801,'Master Barang'!$A:$A,'Master Barang'!$D:$D,""),"")</f>
        <v/>
      </c>
    </row>
    <row r="802" spans="1:6">
      <c r="A802" s="49"/>
      <c r="D802" t="str">
        <f>IFERROR(XLOOKUP(C802,'Master Barang'!$A:$A,'Master Barang'!$B:$B,""),"")</f>
        <v/>
      </c>
      <c r="E802" s="52"/>
      <c r="F802" t="str">
        <f>IFERROR(XLOOKUP(C802,'Master Barang'!$A:$A,'Master Barang'!$D:$D,""),"")</f>
        <v/>
      </c>
    </row>
    <row r="803" spans="1:6">
      <c r="A803" s="49"/>
      <c r="D803" t="str">
        <f>IFERROR(XLOOKUP(C803,'Master Barang'!$A:$A,'Master Barang'!$B:$B,""),"")</f>
        <v/>
      </c>
      <c r="E803" s="52"/>
      <c r="F803" t="str">
        <f>IFERROR(XLOOKUP(C803,'Master Barang'!$A:$A,'Master Barang'!$D:$D,""),"")</f>
        <v/>
      </c>
    </row>
    <row r="804" spans="1:6">
      <c r="A804" s="49"/>
      <c r="D804" t="str">
        <f>IFERROR(XLOOKUP(C804,'Master Barang'!$A:$A,'Master Barang'!$B:$B,""),"")</f>
        <v/>
      </c>
      <c r="E804" s="52"/>
      <c r="F804" t="str">
        <f>IFERROR(XLOOKUP(C804,'Master Barang'!$A:$A,'Master Barang'!$D:$D,""),"")</f>
        <v/>
      </c>
    </row>
    <row r="805" spans="1:6">
      <c r="A805" s="49"/>
      <c r="D805" t="str">
        <f>IFERROR(XLOOKUP(C805,'Master Barang'!$A:$A,'Master Barang'!$B:$B,""),"")</f>
        <v/>
      </c>
      <c r="E805" s="52"/>
      <c r="F805" t="str">
        <f>IFERROR(XLOOKUP(C805,'Master Barang'!$A:$A,'Master Barang'!$D:$D,""),"")</f>
        <v/>
      </c>
    </row>
    <row r="806" spans="1:6">
      <c r="A806" s="49"/>
      <c r="D806" t="str">
        <f>IFERROR(XLOOKUP(C806,'Master Barang'!$A:$A,'Master Barang'!$B:$B,""),"")</f>
        <v/>
      </c>
      <c r="E806" s="52"/>
      <c r="F806" t="str">
        <f>IFERROR(XLOOKUP(C806,'Master Barang'!$A:$A,'Master Barang'!$D:$D,""),"")</f>
        <v/>
      </c>
    </row>
    <row r="807" spans="1:6">
      <c r="A807" s="49"/>
      <c r="D807" t="str">
        <f>IFERROR(XLOOKUP(C807,'Master Barang'!$A:$A,'Master Barang'!$B:$B,""),"")</f>
        <v/>
      </c>
      <c r="E807" s="52"/>
      <c r="F807" t="str">
        <f>IFERROR(XLOOKUP(C807,'Master Barang'!$A:$A,'Master Barang'!$D:$D,""),"")</f>
        <v/>
      </c>
    </row>
    <row r="808" spans="1:6">
      <c r="A808" s="49"/>
      <c r="D808" t="str">
        <f>IFERROR(XLOOKUP(C808,'Master Barang'!$A:$A,'Master Barang'!$B:$B,""),"")</f>
        <v/>
      </c>
      <c r="E808" s="52"/>
      <c r="F808" t="str">
        <f>IFERROR(XLOOKUP(C808,'Master Barang'!$A:$A,'Master Barang'!$D:$D,""),"")</f>
        <v/>
      </c>
    </row>
    <row r="809" spans="1:6">
      <c r="A809" s="49"/>
      <c r="D809" t="str">
        <f>IFERROR(XLOOKUP(C809,'Master Barang'!$A:$A,'Master Barang'!$B:$B,""),"")</f>
        <v/>
      </c>
      <c r="E809" s="52"/>
      <c r="F809" t="str">
        <f>IFERROR(XLOOKUP(C809,'Master Barang'!$A:$A,'Master Barang'!$D:$D,""),"")</f>
        <v/>
      </c>
    </row>
    <row r="810" spans="1:6">
      <c r="A810" s="49"/>
      <c r="D810" t="str">
        <f>IFERROR(XLOOKUP(C810,'Master Barang'!$A:$A,'Master Barang'!$B:$B,""),"")</f>
        <v/>
      </c>
      <c r="E810" s="52"/>
      <c r="F810" t="str">
        <f>IFERROR(XLOOKUP(C810,'Master Barang'!$A:$A,'Master Barang'!$D:$D,""),"")</f>
        <v/>
      </c>
    </row>
    <row r="811" spans="1:6">
      <c r="A811" s="49"/>
      <c r="D811" t="str">
        <f>IFERROR(XLOOKUP(C811,'Master Barang'!$A:$A,'Master Barang'!$B:$B,""),"")</f>
        <v/>
      </c>
      <c r="E811" s="52"/>
      <c r="F811" t="str">
        <f>IFERROR(XLOOKUP(C811,'Master Barang'!$A:$A,'Master Barang'!$D:$D,""),"")</f>
        <v/>
      </c>
    </row>
    <row r="812" spans="1:6">
      <c r="A812" s="49"/>
      <c r="D812" t="str">
        <f>IFERROR(XLOOKUP(C812,'Master Barang'!$A:$A,'Master Barang'!$B:$B,""),"")</f>
        <v/>
      </c>
      <c r="E812" s="52"/>
      <c r="F812" t="str">
        <f>IFERROR(XLOOKUP(C812,'Master Barang'!$A:$A,'Master Barang'!$D:$D,""),"")</f>
        <v/>
      </c>
    </row>
    <row r="813" spans="1:6">
      <c r="A813" s="49"/>
      <c r="D813" t="str">
        <f>IFERROR(XLOOKUP(C813,'Master Barang'!$A:$A,'Master Barang'!$B:$B,""),"")</f>
        <v/>
      </c>
      <c r="E813" s="52"/>
      <c r="F813" t="str">
        <f>IFERROR(XLOOKUP(C813,'Master Barang'!$A:$A,'Master Barang'!$D:$D,""),"")</f>
        <v/>
      </c>
    </row>
    <row r="814" spans="1:6">
      <c r="A814" s="49"/>
      <c r="D814" t="str">
        <f>IFERROR(XLOOKUP(C814,'Master Barang'!$A:$A,'Master Barang'!$B:$B,""),"")</f>
        <v/>
      </c>
      <c r="E814" s="52"/>
      <c r="F814" t="str">
        <f>IFERROR(XLOOKUP(C814,'Master Barang'!$A:$A,'Master Barang'!$D:$D,""),"")</f>
        <v/>
      </c>
    </row>
    <row r="815" spans="1:6">
      <c r="A815" s="49"/>
      <c r="D815" t="str">
        <f>IFERROR(XLOOKUP(C815,'Master Barang'!$A:$A,'Master Barang'!$B:$B,""),"")</f>
        <v/>
      </c>
      <c r="E815" s="52"/>
      <c r="F815" t="str">
        <f>IFERROR(XLOOKUP(C815,'Master Barang'!$A:$A,'Master Barang'!$D:$D,""),"")</f>
        <v/>
      </c>
    </row>
    <row r="816" spans="1:6">
      <c r="A816" s="49"/>
      <c r="D816" t="str">
        <f>IFERROR(XLOOKUP(C816,'Master Barang'!$A:$A,'Master Barang'!$B:$B,""),"")</f>
        <v/>
      </c>
      <c r="E816" s="52"/>
      <c r="F816" t="str">
        <f>IFERROR(XLOOKUP(C816,'Master Barang'!$A:$A,'Master Barang'!$D:$D,""),"")</f>
        <v/>
      </c>
    </row>
    <row r="817" spans="1:6">
      <c r="A817" s="49"/>
      <c r="D817" t="str">
        <f>IFERROR(XLOOKUP(C817,'Master Barang'!$A:$A,'Master Barang'!$B:$B,""),"")</f>
        <v/>
      </c>
      <c r="E817" s="52"/>
      <c r="F817" t="str">
        <f>IFERROR(XLOOKUP(C817,'Master Barang'!$A:$A,'Master Barang'!$D:$D,""),"")</f>
        <v/>
      </c>
    </row>
    <row r="818" spans="1:6">
      <c r="A818" s="49"/>
      <c r="D818" t="str">
        <f>IFERROR(XLOOKUP(C818,'Master Barang'!$A:$A,'Master Barang'!$B:$B,""),"")</f>
        <v/>
      </c>
      <c r="E818" s="52"/>
      <c r="F818" t="str">
        <f>IFERROR(XLOOKUP(C818,'Master Barang'!$A:$A,'Master Barang'!$D:$D,""),"")</f>
        <v/>
      </c>
    </row>
    <row r="819" spans="1:6">
      <c r="A819" s="49"/>
      <c r="D819" t="str">
        <f>IFERROR(XLOOKUP(C819,'Master Barang'!$A:$A,'Master Barang'!$B:$B,""),"")</f>
        <v/>
      </c>
      <c r="E819" s="52"/>
      <c r="F819" t="str">
        <f>IFERROR(XLOOKUP(C819,'Master Barang'!$A:$A,'Master Barang'!$D:$D,""),"")</f>
        <v/>
      </c>
    </row>
    <row r="820" spans="1:6">
      <c r="A820" s="49"/>
      <c r="D820" t="str">
        <f>IFERROR(XLOOKUP(C820,'Master Barang'!$A:$A,'Master Barang'!$B:$B,""),"")</f>
        <v/>
      </c>
      <c r="E820" s="52"/>
      <c r="F820" t="str">
        <f>IFERROR(XLOOKUP(C820,'Master Barang'!$A:$A,'Master Barang'!$D:$D,""),"")</f>
        <v/>
      </c>
    </row>
    <row r="821" spans="1:6">
      <c r="A821" s="49"/>
      <c r="D821" t="str">
        <f>IFERROR(XLOOKUP(C821,'Master Barang'!$A:$A,'Master Barang'!$B:$B,""),"")</f>
        <v/>
      </c>
      <c r="E821" s="52"/>
      <c r="F821" t="str">
        <f>IFERROR(XLOOKUP(C821,'Master Barang'!$A:$A,'Master Barang'!$D:$D,""),"")</f>
        <v/>
      </c>
    </row>
    <row r="822" spans="1:6">
      <c r="A822" s="49"/>
      <c r="D822" t="str">
        <f>IFERROR(XLOOKUP(C822,'Master Barang'!$A:$A,'Master Barang'!$B:$B,""),"")</f>
        <v/>
      </c>
      <c r="E822" s="52"/>
      <c r="F822" t="str">
        <f>IFERROR(XLOOKUP(C822,'Master Barang'!$A:$A,'Master Barang'!$D:$D,""),"")</f>
        <v/>
      </c>
    </row>
    <row r="823" spans="1:6">
      <c r="A823" s="49"/>
      <c r="D823" t="str">
        <f>IFERROR(XLOOKUP(C823,'Master Barang'!$A:$A,'Master Barang'!$B:$B,""),"")</f>
        <v/>
      </c>
      <c r="E823" s="52"/>
      <c r="F823" t="str">
        <f>IFERROR(XLOOKUP(C823,'Master Barang'!$A:$A,'Master Barang'!$D:$D,""),"")</f>
        <v/>
      </c>
    </row>
    <row r="824" spans="1:6">
      <c r="A824" s="49"/>
      <c r="D824" t="str">
        <f>IFERROR(XLOOKUP(C824,'Master Barang'!$A:$A,'Master Barang'!$B:$B,""),"")</f>
        <v/>
      </c>
      <c r="E824" s="52"/>
      <c r="F824" t="str">
        <f>IFERROR(XLOOKUP(C824,'Master Barang'!$A:$A,'Master Barang'!$D:$D,""),"")</f>
        <v/>
      </c>
    </row>
    <row r="825" spans="1:6">
      <c r="A825" s="49"/>
      <c r="D825" t="str">
        <f>IFERROR(XLOOKUP(C825,'Master Barang'!$A:$A,'Master Barang'!$B:$B,""),"")</f>
        <v/>
      </c>
      <c r="E825" s="52"/>
      <c r="F825" t="str">
        <f>IFERROR(XLOOKUP(C825,'Master Barang'!$A:$A,'Master Barang'!$D:$D,""),"")</f>
        <v/>
      </c>
    </row>
    <row r="826" spans="1:6">
      <c r="A826" s="49"/>
      <c r="D826" t="str">
        <f>IFERROR(XLOOKUP(C826,'Master Barang'!$A:$A,'Master Barang'!$B:$B,""),"")</f>
        <v/>
      </c>
      <c r="E826" s="52"/>
      <c r="F826" t="str">
        <f>IFERROR(XLOOKUP(C826,'Master Barang'!$A:$A,'Master Barang'!$D:$D,""),"")</f>
        <v/>
      </c>
    </row>
    <row r="827" spans="1:6">
      <c r="A827" s="49"/>
      <c r="D827" t="str">
        <f>IFERROR(XLOOKUP(C827,'Master Barang'!$A:$A,'Master Barang'!$B:$B,""),"")</f>
        <v/>
      </c>
      <c r="E827" s="52"/>
      <c r="F827" t="str">
        <f>IFERROR(XLOOKUP(C827,'Master Barang'!$A:$A,'Master Barang'!$D:$D,""),"")</f>
        <v/>
      </c>
    </row>
    <row r="828" spans="1:6">
      <c r="A828" s="49"/>
      <c r="D828" t="str">
        <f>IFERROR(XLOOKUP(C828,'Master Barang'!$A:$A,'Master Barang'!$B:$B,""),"")</f>
        <v/>
      </c>
      <c r="E828" s="52"/>
      <c r="F828" t="str">
        <f>IFERROR(XLOOKUP(C828,'Master Barang'!$A:$A,'Master Barang'!$D:$D,""),"")</f>
        <v/>
      </c>
    </row>
    <row r="829" spans="1:6">
      <c r="A829" s="49"/>
      <c r="D829" t="str">
        <f>IFERROR(XLOOKUP(C829,'Master Barang'!$A:$A,'Master Barang'!$B:$B,""),"")</f>
        <v/>
      </c>
      <c r="E829" s="52"/>
      <c r="F829" t="str">
        <f>IFERROR(XLOOKUP(C829,'Master Barang'!$A:$A,'Master Barang'!$D:$D,""),"")</f>
        <v/>
      </c>
    </row>
    <row r="830" spans="1:6">
      <c r="A830" s="49"/>
      <c r="D830" t="str">
        <f>IFERROR(XLOOKUP(C830,'Master Barang'!$A:$A,'Master Barang'!$B:$B,""),"")</f>
        <v/>
      </c>
      <c r="E830" s="52"/>
      <c r="F830" t="str">
        <f>IFERROR(XLOOKUP(C830,'Master Barang'!$A:$A,'Master Barang'!$D:$D,""),"")</f>
        <v/>
      </c>
    </row>
    <row r="831" spans="1:6">
      <c r="A831" s="49"/>
      <c r="D831" t="str">
        <f>IFERROR(XLOOKUP(C831,'Master Barang'!$A:$A,'Master Barang'!$B:$B,""),"")</f>
        <v/>
      </c>
      <c r="E831" s="52"/>
      <c r="F831" t="str">
        <f>IFERROR(XLOOKUP(C831,'Master Barang'!$A:$A,'Master Barang'!$D:$D,""),"")</f>
        <v/>
      </c>
    </row>
    <row r="832" spans="1:6">
      <c r="A832" s="49"/>
      <c r="D832" t="str">
        <f>IFERROR(XLOOKUP(C832,'Master Barang'!$A:$A,'Master Barang'!$B:$B,""),"")</f>
        <v/>
      </c>
      <c r="E832" s="52"/>
      <c r="F832" t="str">
        <f>IFERROR(XLOOKUP(C832,'Master Barang'!$A:$A,'Master Barang'!$D:$D,""),"")</f>
        <v/>
      </c>
    </row>
    <row r="833" spans="1:6">
      <c r="A833" s="49"/>
      <c r="D833" t="str">
        <f>IFERROR(XLOOKUP(C833,'Master Barang'!$A:$A,'Master Barang'!$B:$B,""),"")</f>
        <v/>
      </c>
      <c r="E833" s="52"/>
      <c r="F833" t="str">
        <f>IFERROR(XLOOKUP(C833,'Master Barang'!$A:$A,'Master Barang'!$D:$D,""),"")</f>
        <v/>
      </c>
    </row>
    <row r="834" spans="1:6">
      <c r="A834" s="49"/>
      <c r="D834" t="str">
        <f>IFERROR(XLOOKUP(C834,'Master Barang'!$A:$A,'Master Barang'!$B:$B,""),"")</f>
        <v/>
      </c>
      <c r="E834" s="52"/>
      <c r="F834" t="str">
        <f>IFERROR(XLOOKUP(C834,'Master Barang'!$A:$A,'Master Barang'!$D:$D,""),"")</f>
        <v/>
      </c>
    </row>
    <row r="835" spans="1:6">
      <c r="A835" s="49"/>
      <c r="D835" t="str">
        <f>IFERROR(XLOOKUP(C835,'Master Barang'!$A:$A,'Master Barang'!$B:$B,""),"")</f>
        <v/>
      </c>
      <c r="E835" s="52"/>
      <c r="F835" t="str">
        <f>IFERROR(XLOOKUP(C835,'Master Barang'!$A:$A,'Master Barang'!$D:$D,""),"")</f>
        <v/>
      </c>
    </row>
    <row r="836" spans="1:6">
      <c r="A836" s="49"/>
      <c r="D836" t="str">
        <f>IFERROR(XLOOKUP(C836,'Master Barang'!$A:$A,'Master Barang'!$B:$B,""),"")</f>
        <v/>
      </c>
      <c r="E836" s="52"/>
      <c r="F836" t="str">
        <f>IFERROR(XLOOKUP(C836,'Master Barang'!$A:$A,'Master Barang'!$D:$D,""),"")</f>
        <v/>
      </c>
    </row>
    <row r="837" spans="1:6">
      <c r="A837" s="49"/>
      <c r="D837" t="str">
        <f>IFERROR(XLOOKUP(C837,'Master Barang'!$A:$A,'Master Barang'!$B:$B,""),"")</f>
        <v/>
      </c>
      <c r="E837" s="52"/>
      <c r="F837" t="str">
        <f>IFERROR(XLOOKUP(C837,'Master Barang'!$A:$A,'Master Barang'!$D:$D,""),"")</f>
        <v/>
      </c>
    </row>
    <row r="838" spans="1:6">
      <c r="A838" s="49"/>
      <c r="D838" t="str">
        <f>IFERROR(XLOOKUP(C838,'Master Barang'!$A:$A,'Master Barang'!$B:$B,""),"")</f>
        <v/>
      </c>
      <c r="E838" s="52"/>
      <c r="F838" t="str">
        <f>IFERROR(XLOOKUP(C838,'Master Barang'!$A:$A,'Master Barang'!$D:$D,""),"")</f>
        <v/>
      </c>
    </row>
    <row r="839" spans="1:6">
      <c r="A839" s="49"/>
      <c r="D839" t="str">
        <f>IFERROR(XLOOKUP(C839,'Master Barang'!$A:$A,'Master Barang'!$B:$B,""),"")</f>
        <v/>
      </c>
      <c r="E839" s="52"/>
      <c r="F839" t="str">
        <f>IFERROR(XLOOKUP(C839,'Master Barang'!$A:$A,'Master Barang'!$D:$D,""),"")</f>
        <v/>
      </c>
    </row>
    <row r="840" spans="1:6">
      <c r="A840" s="49"/>
      <c r="D840" t="str">
        <f>IFERROR(XLOOKUP(C840,'Master Barang'!$A:$A,'Master Barang'!$B:$B,""),"")</f>
        <v/>
      </c>
      <c r="E840" s="52"/>
      <c r="F840" t="str">
        <f>IFERROR(XLOOKUP(C840,'Master Barang'!$A:$A,'Master Barang'!$D:$D,""),"")</f>
        <v/>
      </c>
    </row>
    <row r="841" spans="1:6">
      <c r="A841" s="49"/>
      <c r="D841" t="str">
        <f>IFERROR(XLOOKUP(C841,'Master Barang'!$A:$A,'Master Barang'!$B:$B,""),"")</f>
        <v/>
      </c>
      <c r="E841" s="52"/>
      <c r="F841" t="str">
        <f>IFERROR(XLOOKUP(C841,'Master Barang'!$A:$A,'Master Barang'!$D:$D,""),"")</f>
        <v/>
      </c>
    </row>
    <row r="842" spans="1:6">
      <c r="A842" s="49"/>
      <c r="D842" t="str">
        <f>IFERROR(XLOOKUP(C842,'Master Barang'!$A:$A,'Master Barang'!$B:$B,""),"")</f>
        <v/>
      </c>
      <c r="E842" s="52"/>
      <c r="F842" t="str">
        <f>IFERROR(XLOOKUP(C842,'Master Barang'!$A:$A,'Master Barang'!$D:$D,""),"")</f>
        <v/>
      </c>
    </row>
    <row r="843" spans="1:6">
      <c r="A843" s="49"/>
      <c r="D843" t="str">
        <f>IFERROR(XLOOKUP(C843,'Master Barang'!$A:$A,'Master Barang'!$B:$B,""),"")</f>
        <v/>
      </c>
      <c r="E843" s="52"/>
      <c r="F843" t="str">
        <f>IFERROR(XLOOKUP(C843,'Master Barang'!$A:$A,'Master Barang'!$D:$D,""),"")</f>
        <v/>
      </c>
    </row>
    <row r="844" spans="1:6">
      <c r="A844" s="49"/>
      <c r="D844" t="str">
        <f>IFERROR(XLOOKUP(C844,'Master Barang'!$A:$A,'Master Barang'!$B:$B,""),"")</f>
        <v/>
      </c>
      <c r="E844" s="52"/>
      <c r="F844" t="str">
        <f>IFERROR(XLOOKUP(C844,'Master Barang'!$A:$A,'Master Barang'!$D:$D,""),"")</f>
        <v/>
      </c>
    </row>
    <row r="845" spans="1:6">
      <c r="A845" s="49"/>
      <c r="D845" t="str">
        <f>IFERROR(XLOOKUP(C845,'Master Barang'!$A:$A,'Master Barang'!$B:$B,""),"")</f>
        <v/>
      </c>
      <c r="E845" s="52"/>
      <c r="F845" t="str">
        <f>IFERROR(XLOOKUP(C845,'Master Barang'!$A:$A,'Master Barang'!$D:$D,""),"")</f>
        <v/>
      </c>
    </row>
    <row r="846" spans="1:6">
      <c r="A846" s="49"/>
      <c r="D846" t="str">
        <f>IFERROR(XLOOKUP(C846,'Master Barang'!$A:$A,'Master Barang'!$B:$B,""),"")</f>
        <v/>
      </c>
      <c r="E846" s="52"/>
      <c r="F846" t="str">
        <f>IFERROR(XLOOKUP(C846,'Master Barang'!$A:$A,'Master Barang'!$D:$D,""),"")</f>
        <v/>
      </c>
    </row>
    <row r="847" spans="1:6">
      <c r="A847" s="49"/>
      <c r="D847" t="str">
        <f>IFERROR(XLOOKUP(C847,'Master Barang'!$A:$A,'Master Barang'!$B:$B,""),"")</f>
        <v/>
      </c>
      <c r="E847" s="52"/>
      <c r="F847" t="str">
        <f>IFERROR(XLOOKUP(C847,'Master Barang'!$A:$A,'Master Barang'!$D:$D,""),"")</f>
        <v/>
      </c>
    </row>
    <row r="848" spans="1:6">
      <c r="A848" s="49"/>
      <c r="D848" t="str">
        <f>IFERROR(XLOOKUP(C848,'Master Barang'!$A:$A,'Master Barang'!$B:$B,""),"")</f>
        <v/>
      </c>
      <c r="E848" s="52"/>
      <c r="F848" t="str">
        <f>IFERROR(XLOOKUP(C848,'Master Barang'!$A:$A,'Master Barang'!$D:$D,""),"")</f>
        <v/>
      </c>
    </row>
    <row r="849" spans="1:6">
      <c r="A849" s="49"/>
      <c r="D849" t="str">
        <f>IFERROR(XLOOKUP(C849,'Master Barang'!$A:$A,'Master Barang'!$B:$B,""),"")</f>
        <v/>
      </c>
      <c r="E849" s="52"/>
      <c r="F849" t="str">
        <f>IFERROR(XLOOKUP(C849,'Master Barang'!$A:$A,'Master Barang'!$D:$D,""),"")</f>
        <v/>
      </c>
    </row>
    <row r="850" spans="1:6">
      <c r="A850" s="49"/>
      <c r="D850" t="str">
        <f>IFERROR(XLOOKUP(C850,'Master Barang'!$A:$A,'Master Barang'!$B:$B,""),"")</f>
        <v/>
      </c>
      <c r="E850" s="52"/>
      <c r="F850" t="str">
        <f>IFERROR(XLOOKUP(C850,'Master Barang'!$A:$A,'Master Barang'!$D:$D,""),"")</f>
        <v/>
      </c>
    </row>
    <row r="851" spans="1:6">
      <c r="A851" s="49"/>
      <c r="D851" t="str">
        <f>IFERROR(XLOOKUP(C851,'Master Barang'!$A:$A,'Master Barang'!$B:$B,""),"")</f>
        <v/>
      </c>
      <c r="E851" s="52"/>
      <c r="F851" t="str">
        <f>IFERROR(XLOOKUP(C851,'Master Barang'!$A:$A,'Master Barang'!$D:$D,""),"")</f>
        <v/>
      </c>
    </row>
    <row r="852" spans="1:6">
      <c r="A852" s="49"/>
      <c r="D852" t="str">
        <f>IFERROR(XLOOKUP(C852,'Master Barang'!$A:$A,'Master Barang'!$B:$B,""),"")</f>
        <v/>
      </c>
      <c r="E852" s="52"/>
      <c r="F852" t="str">
        <f>IFERROR(XLOOKUP(C852,'Master Barang'!$A:$A,'Master Barang'!$D:$D,""),"")</f>
        <v/>
      </c>
    </row>
    <row r="853" spans="1:6">
      <c r="A853" s="49"/>
      <c r="D853" t="str">
        <f>IFERROR(XLOOKUP(C853,'Master Barang'!$A:$A,'Master Barang'!$B:$B,""),"")</f>
        <v/>
      </c>
      <c r="E853" s="52"/>
      <c r="F853" t="str">
        <f>IFERROR(XLOOKUP(C853,'Master Barang'!$A:$A,'Master Barang'!$D:$D,""),"")</f>
        <v/>
      </c>
    </row>
    <row r="854" spans="1:6">
      <c r="A854" s="49"/>
      <c r="D854" t="str">
        <f>IFERROR(XLOOKUP(C854,'Master Barang'!$A:$A,'Master Barang'!$B:$B,""),"")</f>
        <v/>
      </c>
      <c r="E854" s="52"/>
      <c r="F854" t="str">
        <f>IFERROR(XLOOKUP(C854,'Master Barang'!$A:$A,'Master Barang'!$D:$D,""),"")</f>
        <v/>
      </c>
    </row>
    <row r="855" spans="1:6">
      <c r="A855" s="49"/>
      <c r="D855" t="str">
        <f>IFERROR(XLOOKUP(C855,'Master Barang'!$A:$A,'Master Barang'!$B:$B,""),"")</f>
        <v/>
      </c>
      <c r="E855" s="52"/>
      <c r="F855" t="str">
        <f>IFERROR(XLOOKUP(C855,'Master Barang'!$A:$A,'Master Barang'!$D:$D,""),"")</f>
        <v/>
      </c>
    </row>
    <row r="856" spans="1:6">
      <c r="A856" s="49"/>
      <c r="D856" t="str">
        <f>IFERROR(XLOOKUP(C856,'Master Barang'!$A:$A,'Master Barang'!$B:$B,""),"")</f>
        <v/>
      </c>
      <c r="E856" s="52"/>
      <c r="F856" t="str">
        <f>IFERROR(XLOOKUP(C856,'Master Barang'!$A:$A,'Master Barang'!$D:$D,""),"")</f>
        <v/>
      </c>
    </row>
    <row r="857" spans="1:6">
      <c r="A857" s="49"/>
      <c r="D857" t="str">
        <f>IFERROR(XLOOKUP(C857,'Master Barang'!$A:$A,'Master Barang'!$B:$B,""),"")</f>
        <v/>
      </c>
      <c r="E857" s="52"/>
      <c r="F857" t="str">
        <f>IFERROR(XLOOKUP(C857,'Master Barang'!$A:$A,'Master Barang'!$D:$D,""),"")</f>
        <v/>
      </c>
    </row>
    <row r="858" spans="1:6">
      <c r="A858" s="49"/>
      <c r="D858" t="str">
        <f>IFERROR(XLOOKUP(C858,'Master Barang'!$A:$A,'Master Barang'!$B:$B,""),"")</f>
        <v/>
      </c>
      <c r="E858" s="52"/>
      <c r="F858" t="str">
        <f>IFERROR(XLOOKUP(C858,'Master Barang'!$A:$A,'Master Barang'!$D:$D,""),"")</f>
        <v/>
      </c>
    </row>
    <row r="859" spans="1:6">
      <c r="A859" s="49"/>
      <c r="D859" t="str">
        <f>IFERROR(XLOOKUP(C859,'Master Barang'!$A:$A,'Master Barang'!$B:$B,""),"")</f>
        <v/>
      </c>
      <c r="E859" s="52"/>
      <c r="F859" t="str">
        <f>IFERROR(XLOOKUP(C859,'Master Barang'!$A:$A,'Master Barang'!$D:$D,""),"")</f>
        <v/>
      </c>
    </row>
    <row r="860" spans="1:6">
      <c r="A860" s="49"/>
      <c r="D860" t="str">
        <f>IFERROR(XLOOKUP(C860,'Master Barang'!$A:$A,'Master Barang'!$B:$B,""),"")</f>
        <v/>
      </c>
      <c r="E860" s="52"/>
      <c r="F860" t="str">
        <f>IFERROR(XLOOKUP(C860,'Master Barang'!$A:$A,'Master Barang'!$D:$D,""),"")</f>
        <v/>
      </c>
    </row>
    <row r="861" spans="1:6">
      <c r="A861" s="49"/>
      <c r="D861" t="str">
        <f>IFERROR(XLOOKUP(C861,'Master Barang'!$A:$A,'Master Barang'!$B:$B,""),"")</f>
        <v/>
      </c>
      <c r="E861" s="52"/>
      <c r="F861" t="str">
        <f>IFERROR(XLOOKUP(C861,'Master Barang'!$A:$A,'Master Barang'!$D:$D,""),"")</f>
        <v/>
      </c>
    </row>
    <row r="862" spans="1:6">
      <c r="A862" s="49"/>
      <c r="D862" t="str">
        <f>IFERROR(XLOOKUP(C862,'Master Barang'!$A:$A,'Master Barang'!$B:$B,""),"")</f>
        <v/>
      </c>
      <c r="E862" s="52"/>
      <c r="F862" t="str">
        <f>IFERROR(XLOOKUP(C862,'Master Barang'!$A:$A,'Master Barang'!$D:$D,""),"")</f>
        <v/>
      </c>
    </row>
    <row r="863" spans="1:6">
      <c r="A863" s="49"/>
      <c r="D863" t="str">
        <f>IFERROR(XLOOKUP(C863,'Master Barang'!$A:$A,'Master Barang'!$B:$B,""),"")</f>
        <v/>
      </c>
      <c r="E863" s="52"/>
      <c r="F863" t="str">
        <f>IFERROR(XLOOKUP(C863,'Master Barang'!$A:$A,'Master Barang'!$D:$D,""),"")</f>
        <v/>
      </c>
    </row>
    <row r="864" spans="1:6">
      <c r="A864" s="49"/>
      <c r="D864" t="str">
        <f>IFERROR(XLOOKUP(C864,'Master Barang'!$A:$A,'Master Barang'!$B:$B,""),"")</f>
        <v/>
      </c>
      <c r="E864" s="52"/>
      <c r="F864" t="str">
        <f>IFERROR(XLOOKUP(C864,'Master Barang'!$A:$A,'Master Barang'!$D:$D,""),"")</f>
        <v/>
      </c>
    </row>
    <row r="865" spans="1:6">
      <c r="A865" s="49"/>
      <c r="D865" t="str">
        <f>IFERROR(XLOOKUP(C865,'Master Barang'!$A:$A,'Master Barang'!$B:$B,""),"")</f>
        <v/>
      </c>
      <c r="E865" s="52"/>
      <c r="F865" t="str">
        <f>IFERROR(XLOOKUP(C865,'Master Barang'!$A:$A,'Master Barang'!$D:$D,""),"")</f>
        <v/>
      </c>
    </row>
    <row r="866" spans="1:6">
      <c r="A866" s="49"/>
      <c r="D866" t="str">
        <f>IFERROR(XLOOKUP(C866,'Master Barang'!$A:$A,'Master Barang'!$B:$B,""),"")</f>
        <v/>
      </c>
      <c r="E866" s="52"/>
      <c r="F866" t="str">
        <f>IFERROR(XLOOKUP(C866,'Master Barang'!$A:$A,'Master Barang'!$D:$D,""),"")</f>
        <v/>
      </c>
    </row>
    <row r="867" spans="1:6">
      <c r="A867" s="49"/>
      <c r="D867" t="str">
        <f>IFERROR(XLOOKUP(C867,'Master Barang'!$A:$A,'Master Barang'!$B:$B,""),"")</f>
        <v/>
      </c>
      <c r="E867" s="52"/>
      <c r="F867" t="str">
        <f>IFERROR(XLOOKUP(C867,'Master Barang'!$A:$A,'Master Barang'!$D:$D,""),"")</f>
        <v/>
      </c>
    </row>
    <row r="868" spans="1:6">
      <c r="A868" s="49"/>
      <c r="D868" t="str">
        <f>IFERROR(XLOOKUP(C868,'Master Barang'!$A:$A,'Master Barang'!$B:$B,""),"")</f>
        <v/>
      </c>
      <c r="E868" s="52"/>
      <c r="F868" t="str">
        <f>IFERROR(XLOOKUP(C868,'Master Barang'!$A:$A,'Master Barang'!$D:$D,""),"")</f>
        <v/>
      </c>
    </row>
    <row r="869" spans="1:6">
      <c r="A869" s="49"/>
      <c r="D869" t="str">
        <f>IFERROR(XLOOKUP(C869,'Master Barang'!$A:$A,'Master Barang'!$B:$B,""),"")</f>
        <v/>
      </c>
      <c r="E869" s="52"/>
      <c r="F869" t="str">
        <f>IFERROR(XLOOKUP(C869,'Master Barang'!$A:$A,'Master Barang'!$D:$D,""),"")</f>
        <v/>
      </c>
    </row>
    <row r="870" spans="1:6">
      <c r="A870" s="49"/>
      <c r="D870" t="str">
        <f>IFERROR(XLOOKUP(C870,'Master Barang'!$A:$A,'Master Barang'!$B:$B,""),"")</f>
        <v/>
      </c>
      <c r="E870" s="52"/>
      <c r="F870" t="str">
        <f>IFERROR(XLOOKUP(C870,'Master Barang'!$A:$A,'Master Barang'!$D:$D,""),"")</f>
        <v/>
      </c>
    </row>
    <row r="871" spans="1:6">
      <c r="A871" s="49"/>
      <c r="D871" t="str">
        <f>IFERROR(XLOOKUP(C871,'Master Barang'!$A:$A,'Master Barang'!$B:$B,""),"")</f>
        <v/>
      </c>
      <c r="E871" s="52"/>
      <c r="F871" t="str">
        <f>IFERROR(XLOOKUP(C871,'Master Barang'!$A:$A,'Master Barang'!$D:$D,""),"")</f>
        <v/>
      </c>
    </row>
    <row r="872" spans="1:6">
      <c r="A872" s="49"/>
      <c r="D872" t="str">
        <f>IFERROR(XLOOKUP(C872,'Master Barang'!$A:$A,'Master Barang'!$B:$B,""),"")</f>
        <v/>
      </c>
      <c r="E872" s="52"/>
      <c r="F872" t="str">
        <f>IFERROR(XLOOKUP(C872,'Master Barang'!$A:$A,'Master Barang'!$D:$D,""),"")</f>
        <v/>
      </c>
    </row>
    <row r="873" spans="1:6">
      <c r="A873" s="49"/>
      <c r="D873" t="str">
        <f>IFERROR(XLOOKUP(C873,'Master Barang'!$A:$A,'Master Barang'!$B:$B,""),"")</f>
        <v/>
      </c>
      <c r="E873" s="52"/>
      <c r="F873" t="str">
        <f>IFERROR(XLOOKUP(C873,'Master Barang'!$A:$A,'Master Barang'!$D:$D,""),"")</f>
        <v/>
      </c>
    </row>
    <row r="874" spans="1:6">
      <c r="A874" s="49"/>
      <c r="D874" t="str">
        <f>IFERROR(XLOOKUP(C874,'Master Barang'!$A:$A,'Master Barang'!$B:$B,""),"")</f>
        <v/>
      </c>
      <c r="E874" s="52"/>
      <c r="F874" t="str">
        <f>IFERROR(XLOOKUP(C874,'Master Barang'!$A:$A,'Master Barang'!$D:$D,""),"")</f>
        <v/>
      </c>
    </row>
    <row r="875" spans="1:6">
      <c r="A875" s="49"/>
      <c r="D875" t="str">
        <f>IFERROR(XLOOKUP(C875,'Master Barang'!$A:$A,'Master Barang'!$B:$B,""),"")</f>
        <v/>
      </c>
      <c r="E875" s="52"/>
      <c r="F875" t="str">
        <f>IFERROR(XLOOKUP(C875,'Master Barang'!$A:$A,'Master Barang'!$D:$D,""),"")</f>
        <v/>
      </c>
    </row>
    <row r="876" spans="1:6">
      <c r="A876" s="49"/>
      <c r="D876" t="str">
        <f>IFERROR(XLOOKUP(C876,'Master Barang'!$A:$A,'Master Barang'!$B:$B,""),"")</f>
        <v/>
      </c>
      <c r="E876" s="52"/>
      <c r="F876" t="str">
        <f>IFERROR(XLOOKUP(C876,'Master Barang'!$A:$A,'Master Barang'!$D:$D,""),"")</f>
        <v/>
      </c>
    </row>
    <row r="877" spans="1:6">
      <c r="A877" s="49"/>
      <c r="D877" t="str">
        <f>IFERROR(XLOOKUP(C877,'Master Barang'!$A:$A,'Master Barang'!$B:$B,""),"")</f>
        <v/>
      </c>
      <c r="E877" s="52"/>
      <c r="F877" t="str">
        <f>IFERROR(XLOOKUP(C877,'Master Barang'!$A:$A,'Master Barang'!$D:$D,""),"")</f>
        <v/>
      </c>
    </row>
    <row r="878" spans="1:6">
      <c r="A878" s="49"/>
      <c r="D878" t="str">
        <f>IFERROR(XLOOKUP(C878,'Master Barang'!$A:$A,'Master Barang'!$B:$B,""),"")</f>
        <v/>
      </c>
      <c r="E878" s="52"/>
      <c r="F878" t="str">
        <f>IFERROR(XLOOKUP(C878,'Master Barang'!$A:$A,'Master Barang'!$D:$D,""),"")</f>
        <v/>
      </c>
    </row>
    <row r="879" spans="1:6">
      <c r="A879" s="49"/>
      <c r="D879" t="str">
        <f>IFERROR(XLOOKUP(C879,'Master Barang'!$A:$A,'Master Barang'!$B:$B,""),"")</f>
        <v/>
      </c>
      <c r="E879" s="52"/>
      <c r="F879" t="str">
        <f>IFERROR(XLOOKUP(C879,'Master Barang'!$A:$A,'Master Barang'!$D:$D,""),"")</f>
        <v/>
      </c>
    </row>
    <row r="880" spans="1:6">
      <c r="A880" s="49"/>
      <c r="D880" t="str">
        <f>IFERROR(XLOOKUP(C880,'Master Barang'!$A:$A,'Master Barang'!$B:$B,""),"")</f>
        <v/>
      </c>
      <c r="E880" s="52"/>
      <c r="F880" t="str">
        <f>IFERROR(XLOOKUP(C880,'Master Barang'!$A:$A,'Master Barang'!$D:$D,""),"")</f>
        <v/>
      </c>
    </row>
    <row r="881" spans="1:6">
      <c r="A881" s="49"/>
      <c r="D881" t="str">
        <f>IFERROR(XLOOKUP(C881,'Master Barang'!$A:$A,'Master Barang'!$B:$B,""),"")</f>
        <v/>
      </c>
      <c r="E881" s="52"/>
      <c r="F881" t="str">
        <f>IFERROR(XLOOKUP(C881,'Master Barang'!$A:$A,'Master Barang'!$D:$D,""),"")</f>
        <v/>
      </c>
    </row>
    <row r="882" spans="1:6">
      <c r="A882" s="49"/>
      <c r="D882" t="str">
        <f>IFERROR(XLOOKUP(C882,'Master Barang'!$A:$A,'Master Barang'!$B:$B,""),"")</f>
        <v/>
      </c>
      <c r="E882" s="52"/>
      <c r="F882" t="str">
        <f>IFERROR(XLOOKUP(C882,'Master Barang'!$A:$A,'Master Barang'!$D:$D,""),"")</f>
        <v/>
      </c>
    </row>
    <row r="883" spans="1:6">
      <c r="A883" s="49"/>
      <c r="D883" t="str">
        <f>IFERROR(XLOOKUP(C883,'Master Barang'!$A:$A,'Master Barang'!$B:$B,""),"")</f>
        <v/>
      </c>
      <c r="E883" s="52"/>
      <c r="F883" t="str">
        <f>IFERROR(XLOOKUP(C883,'Master Barang'!$A:$A,'Master Barang'!$D:$D,""),"")</f>
        <v/>
      </c>
    </row>
    <row r="884" spans="1:6">
      <c r="A884" s="49"/>
      <c r="D884" t="str">
        <f>IFERROR(XLOOKUP(C884,'Master Barang'!$A:$A,'Master Barang'!$B:$B,""),"")</f>
        <v/>
      </c>
      <c r="E884" s="52"/>
      <c r="F884" t="str">
        <f>IFERROR(XLOOKUP(C884,'Master Barang'!$A:$A,'Master Barang'!$D:$D,""),"")</f>
        <v/>
      </c>
    </row>
    <row r="885" spans="1:6">
      <c r="A885" s="49"/>
      <c r="D885" t="str">
        <f>IFERROR(XLOOKUP(C885,'Master Barang'!$A:$A,'Master Barang'!$B:$B,""),"")</f>
        <v/>
      </c>
      <c r="E885" s="52"/>
      <c r="F885" t="str">
        <f>IFERROR(XLOOKUP(C885,'Master Barang'!$A:$A,'Master Barang'!$D:$D,""),"")</f>
        <v/>
      </c>
    </row>
    <row r="886" spans="1:6">
      <c r="A886" s="49"/>
      <c r="D886" t="str">
        <f>IFERROR(XLOOKUP(C886,'Master Barang'!$A:$A,'Master Barang'!$B:$B,""),"")</f>
        <v/>
      </c>
      <c r="E886" s="52"/>
      <c r="F886" t="str">
        <f>IFERROR(XLOOKUP(C886,'Master Barang'!$A:$A,'Master Barang'!$D:$D,""),"")</f>
        <v/>
      </c>
    </row>
    <row r="887" spans="1:6">
      <c r="A887" s="49"/>
      <c r="D887" t="str">
        <f>IFERROR(XLOOKUP(C887,'Master Barang'!$A:$A,'Master Barang'!$B:$B,""),"")</f>
        <v/>
      </c>
      <c r="E887" s="52"/>
      <c r="F887" t="str">
        <f>IFERROR(XLOOKUP(C887,'Master Barang'!$A:$A,'Master Barang'!$D:$D,""),"")</f>
        <v/>
      </c>
    </row>
    <row r="888" spans="1:6">
      <c r="A888" s="49"/>
      <c r="D888" t="str">
        <f>IFERROR(XLOOKUP(C888,'Master Barang'!$A:$A,'Master Barang'!$B:$B,""),"")</f>
        <v/>
      </c>
      <c r="E888" s="52"/>
      <c r="F888" t="str">
        <f>IFERROR(XLOOKUP(C888,'Master Barang'!$A:$A,'Master Barang'!$D:$D,""),"")</f>
        <v/>
      </c>
    </row>
    <row r="889" spans="1:6">
      <c r="A889" s="49"/>
      <c r="D889" t="str">
        <f>IFERROR(XLOOKUP(C889,'Master Barang'!$A:$A,'Master Barang'!$B:$B,""),"")</f>
        <v/>
      </c>
      <c r="E889" s="52"/>
      <c r="F889" t="str">
        <f>IFERROR(XLOOKUP(C889,'Master Barang'!$A:$A,'Master Barang'!$D:$D,""),"")</f>
        <v/>
      </c>
    </row>
    <row r="890" spans="1:6">
      <c r="A890" s="49"/>
      <c r="D890" t="str">
        <f>IFERROR(XLOOKUP(C890,'Master Barang'!$A:$A,'Master Barang'!$B:$B,""),"")</f>
        <v/>
      </c>
      <c r="E890" s="52"/>
      <c r="F890" t="str">
        <f>IFERROR(XLOOKUP(C890,'Master Barang'!$A:$A,'Master Barang'!$D:$D,""),"")</f>
        <v/>
      </c>
    </row>
    <row r="891" spans="1:6">
      <c r="A891" s="49"/>
      <c r="D891" t="str">
        <f>IFERROR(XLOOKUP(C891,'Master Barang'!$A:$A,'Master Barang'!$B:$B,""),"")</f>
        <v/>
      </c>
      <c r="E891" s="52"/>
      <c r="F891" t="str">
        <f>IFERROR(XLOOKUP(C891,'Master Barang'!$A:$A,'Master Barang'!$D:$D,""),"")</f>
        <v/>
      </c>
    </row>
    <row r="892" spans="1:6">
      <c r="A892" s="49"/>
      <c r="D892" t="str">
        <f>IFERROR(XLOOKUP(C892,'Master Barang'!$A:$A,'Master Barang'!$B:$B,""),"")</f>
        <v/>
      </c>
      <c r="E892" s="52"/>
      <c r="F892" t="str">
        <f>IFERROR(XLOOKUP(C892,'Master Barang'!$A:$A,'Master Barang'!$D:$D,""),"")</f>
        <v/>
      </c>
    </row>
    <row r="893" spans="1:6">
      <c r="A893" s="49"/>
      <c r="D893" t="str">
        <f>IFERROR(XLOOKUP(C893,'Master Barang'!$A:$A,'Master Barang'!$B:$B,""),"")</f>
        <v/>
      </c>
      <c r="E893" s="52"/>
      <c r="F893" t="str">
        <f>IFERROR(XLOOKUP(C893,'Master Barang'!$A:$A,'Master Barang'!$D:$D,""),"")</f>
        <v/>
      </c>
    </row>
    <row r="894" spans="1:6">
      <c r="A894" s="49"/>
      <c r="D894" t="str">
        <f>IFERROR(XLOOKUP(C894,'Master Barang'!$A:$A,'Master Barang'!$B:$B,""),"")</f>
        <v/>
      </c>
      <c r="E894" s="52"/>
      <c r="F894" t="str">
        <f>IFERROR(XLOOKUP(C894,'Master Barang'!$A:$A,'Master Barang'!$D:$D,""),"")</f>
        <v/>
      </c>
    </row>
    <row r="895" spans="1:6">
      <c r="A895" s="49"/>
      <c r="D895" t="str">
        <f>IFERROR(XLOOKUP(C895,'Master Barang'!$A:$A,'Master Barang'!$B:$B,""),"")</f>
        <v/>
      </c>
      <c r="E895" s="52"/>
      <c r="F895" t="str">
        <f>IFERROR(XLOOKUP(C895,'Master Barang'!$A:$A,'Master Barang'!$D:$D,""),"")</f>
        <v/>
      </c>
    </row>
    <row r="896" spans="1:6">
      <c r="A896" s="49"/>
      <c r="D896" t="str">
        <f>IFERROR(XLOOKUP(C896,'Master Barang'!$A:$A,'Master Barang'!$B:$B,""),"")</f>
        <v/>
      </c>
      <c r="E896" s="52"/>
      <c r="F896" t="str">
        <f>IFERROR(XLOOKUP(C896,'Master Barang'!$A:$A,'Master Barang'!$D:$D,""),"")</f>
        <v/>
      </c>
    </row>
    <row r="897" spans="1:6">
      <c r="A897" s="49"/>
      <c r="D897" t="str">
        <f>IFERROR(XLOOKUP(C897,'Master Barang'!$A:$A,'Master Barang'!$B:$B,""),"")</f>
        <v/>
      </c>
      <c r="E897" s="52"/>
      <c r="F897" t="str">
        <f>IFERROR(XLOOKUP(C897,'Master Barang'!$A:$A,'Master Barang'!$D:$D,""),"")</f>
        <v/>
      </c>
    </row>
    <row r="898" spans="1:6">
      <c r="A898" s="49"/>
      <c r="D898" t="str">
        <f>IFERROR(XLOOKUP(C898,'Master Barang'!$A:$A,'Master Barang'!$B:$B,""),"")</f>
        <v/>
      </c>
      <c r="E898" s="52"/>
      <c r="F898" t="str">
        <f>IFERROR(XLOOKUP(C898,'Master Barang'!$A:$A,'Master Barang'!$D:$D,""),"")</f>
        <v/>
      </c>
    </row>
    <row r="899" spans="1:6">
      <c r="A899" s="49"/>
      <c r="D899" t="str">
        <f>IFERROR(XLOOKUP(C899,'Master Barang'!$A:$A,'Master Barang'!$B:$B,""),"")</f>
        <v/>
      </c>
      <c r="E899" s="52"/>
      <c r="F899" t="str">
        <f>IFERROR(XLOOKUP(C899,'Master Barang'!$A:$A,'Master Barang'!$D:$D,""),"")</f>
        <v/>
      </c>
    </row>
    <row r="900" spans="1:6">
      <c r="A900" s="49"/>
      <c r="D900" t="str">
        <f>IFERROR(XLOOKUP(C900,'Master Barang'!$A:$A,'Master Barang'!$B:$B,""),"")</f>
        <v/>
      </c>
      <c r="E900" s="52"/>
      <c r="F900" t="str">
        <f>IFERROR(XLOOKUP(C900,'Master Barang'!$A:$A,'Master Barang'!$D:$D,""),"")</f>
        <v/>
      </c>
    </row>
    <row r="901" spans="1:6">
      <c r="A901" s="49"/>
      <c r="D901" t="str">
        <f>IFERROR(XLOOKUP(C901,'Master Barang'!$A:$A,'Master Barang'!$B:$B,""),"")</f>
        <v/>
      </c>
      <c r="E901" s="52"/>
      <c r="F901" t="str">
        <f>IFERROR(XLOOKUP(C901,'Master Barang'!$A:$A,'Master Barang'!$D:$D,""),"")</f>
        <v/>
      </c>
    </row>
    <row r="902" spans="1:6">
      <c r="A902" s="49"/>
      <c r="D902" t="str">
        <f>IFERROR(XLOOKUP(C902,'Master Barang'!$A:$A,'Master Barang'!$B:$B,""),"")</f>
        <v/>
      </c>
      <c r="E902" s="52"/>
      <c r="F902" t="str">
        <f>IFERROR(XLOOKUP(C902,'Master Barang'!$A:$A,'Master Barang'!$D:$D,""),"")</f>
        <v/>
      </c>
    </row>
    <row r="903" spans="1:6">
      <c r="A903" s="49"/>
      <c r="D903" t="str">
        <f>IFERROR(XLOOKUP(C903,'Master Barang'!$A:$A,'Master Barang'!$B:$B,""),"")</f>
        <v/>
      </c>
      <c r="E903" s="52"/>
      <c r="F903" t="str">
        <f>IFERROR(XLOOKUP(C903,'Master Barang'!$A:$A,'Master Barang'!$D:$D,""),"")</f>
        <v/>
      </c>
    </row>
    <row r="904" spans="1:6">
      <c r="A904" s="49"/>
      <c r="D904" t="str">
        <f>IFERROR(XLOOKUP(C904,'Master Barang'!$A:$A,'Master Barang'!$B:$B,""),"")</f>
        <v/>
      </c>
      <c r="E904" s="52"/>
      <c r="F904" t="str">
        <f>IFERROR(XLOOKUP(C904,'Master Barang'!$A:$A,'Master Barang'!$D:$D,""),"")</f>
        <v/>
      </c>
    </row>
    <row r="905" spans="1:6">
      <c r="A905" s="49"/>
      <c r="D905" t="str">
        <f>IFERROR(XLOOKUP(C905,'Master Barang'!$A:$A,'Master Barang'!$B:$B,""),"")</f>
        <v/>
      </c>
      <c r="E905" s="52"/>
      <c r="F905" t="str">
        <f>IFERROR(XLOOKUP(C905,'Master Barang'!$A:$A,'Master Barang'!$D:$D,""),"")</f>
        <v/>
      </c>
    </row>
    <row r="906" spans="1:6">
      <c r="A906" s="49"/>
      <c r="D906" t="str">
        <f>IFERROR(XLOOKUP(C906,'Master Barang'!$A:$A,'Master Barang'!$B:$B,""),"")</f>
        <v/>
      </c>
      <c r="E906" s="52"/>
      <c r="F906" t="str">
        <f>IFERROR(XLOOKUP(C906,'Master Barang'!$A:$A,'Master Barang'!$D:$D,""),"")</f>
        <v/>
      </c>
    </row>
    <row r="907" spans="1:6">
      <c r="A907" s="49"/>
      <c r="D907" t="str">
        <f>IFERROR(XLOOKUP(C907,'Master Barang'!$A:$A,'Master Barang'!$B:$B,""),"")</f>
        <v/>
      </c>
      <c r="E907" s="52"/>
      <c r="F907" t="str">
        <f>IFERROR(XLOOKUP(C907,'Master Barang'!$A:$A,'Master Barang'!$D:$D,""),"")</f>
        <v/>
      </c>
    </row>
    <row r="908" spans="1:6">
      <c r="A908" s="49"/>
      <c r="D908" t="str">
        <f>IFERROR(XLOOKUP(C908,'Master Barang'!$A:$A,'Master Barang'!$B:$B,""),"")</f>
        <v/>
      </c>
      <c r="E908" s="52"/>
      <c r="F908" t="str">
        <f>IFERROR(XLOOKUP(C908,'Master Barang'!$A:$A,'Master Barang'!$D:$D,""),"")</f>
        <v/>
      </c>
    </row>
    <row r="909" spans="1:6">
      <c r="A909" s="49"/>
      <c r="D909" t="str">
        <f>IFERROR(XLOOKUP(C909,'Master Barang'!$A:$A,'Master Barang'!$B:$B,""),"")</f>
        <v/>
      </c>
      <c r="E909" s="52"/>
      <c r="F909" t="str">
        <f>IFERROR(XLOOKUP(C909,'Master Barang'!$A:$A,'Master Barang'!$D:$D,""),"")</f>
        <v/>
      </c>
    </row>
    <row r="910" spans="1:6">
      <c r="A910" s="49"/>
      <c r="D910" t="str">
        <f>IFERROR(XLOOKUP(C910,'Master Barang'!$A:$A,'Master Barang'!$B:$B,""),"")</f>
        <v/>
      </c>
      <c r="E910" s="52"/>
      <c r="F910" t="str">
        <f>IFERROR(XLOOKUP(C910,'Master Barang'!$A:$A,'Master Barang'!$D:$D,""),"")</f>
        <v/>
      </c>
    </row>
    <row r="911" spans="1:6">
      <c r="A911" s="49"/>
      <c r="D911" t="str">
        <f>IFERROR(XLOOKUP(C911,'Master Barang'!$A:$A,'Master Barang'!$B:$B,""),"")</f>
        <v/>
      </c>
      <c r="E911" s="52"/>
      <c r="F911" t="str">
        <f>IFERROR(XLOOKUP(C911,'Master Barang'!$A:$A,'Master Barang'!$D:$D,""),"")</f>
        <v/>
      </c>
    </row>
    <row r="912" spans="1:6">
      <c r="A912" s="49"/>
      <c r="D912" t="str">
        <f>IFERROR(XLOOKUP(C912,'Master Barang'!$A:$A,'Master Barang'!$B:$B,""),"")</f>
        <v/>
      </c>
      <c r="E912" s="52"/>
      <c r="F912" t="str">
        <f>IFERROR(XLOOKUP(C912,'Master Barang'!$A:$A,'Master Barang'!$D:$D,""),"")</f>
        <v/>
      </c>
    </row>
    <row r="913" spans="1:6">
      <c r="A913" s="49"/>
      <c r="D913" t="str">
        <f>IFERROR(XLOOKUP(C913,'Master Barang'!$A:$A,'Master Barang'!$B:$B,""),"")</f>
        <v/>
      </c>
      <c r="E913" s="52"/>
      <c r="F913" t="str">
        <f>IFERROR(XLOOKUP(C913,'Master Barang'!$A:$A,'Master Barang'!$D:$D,""),"")</f>
        <v/>
      </c>
    </row>
    <row r="914" spans="1:6">
      <c r="A914" s="49"/>
      <c r="D914" t="str">
        <f>IFERROR(XLOOKUP(C914,'Master Barang'!$A:$A,'Master Barang'!$B:$B,""),"")</f>
        <v/>
      </c>
      <c r="E914" s="52"/>
      <c r="F914" t="str">
        <f>IFERROR(XLOOKUP(C914,'Master Barang'!$A:$A,'Master Barang'!$D:$D,""),"")</f>
        <v/>
      </c>
    </row>
    <row r="915" spans="1:6">
      <c r="A915" s="49"/>
      <c r="D915" t="str">
        <f>IFERROR(XLOOKUP(C915,'Master Barang'!$A:$A,'Master Barang'!$B:$B,""),"")</f>
        <v/>
      </c>
      <c r="E915" s="52"/>
      <c r="F915" t="str">
        <f>IFERROR(XLOOKUP(C915,'Master Barang'!$A:$A,'Master Barang'!$D:$D,""),"")</f>
        <v/>
      </c>
    </row>
    <row r="916" spans="1:6">
      <c r="A916" s="49"/>
      <c r="D916" t="str">
        <f>IFERROR(XLOOKUP(C916,'Master Barang'!$A:$A,'Master Barang'!$B:$B,""),"")</f>
        <v/>
      </c>
      <c r="E916" s="52"/>
      <c r="F916" t="str">
        <f>IFERROR(XLOOKUP(C916,'Master Barang'!$A:$A,'Master Barang'!$D:$D,""),"")</f>
        <v/>
      </c>
    </row>
    <row r="917" spans="1:6">
      <c r="A917" s="49"/>
      <c r="D917" t="str">
        <f>IFERROR(XLOOKUP(C917,'Master Barang'!$A:$A,'Master Barang'!$B:$B,""),"")</f>
        <v/>
      </c>
      <c r="E917" s="52"/>
      <c r="F917" t="str">
        <f>IFERROR(XLOOKUP(C917,'Master Barang'!$A:$A,'Master Barang'!$D:$D,""),"")</f>
        <v/>
      </c>
    </row>
    <row r="918" spans="1:6">
      <c r="A918" s="49"/>
      <c r="D918" t="str">
        <f>IFERROR(XLOOKUP(C918,'Master Barang'!$A:$A,'Master Barang'!$B:$B,""),"")</f>
        <v/>
      </c>
      <c r="E918" s="52"/>
      <c r="F918" t="str">
        <f>IFERROR(XLOOKUP(C918,'Master Barang'!$A:$A,'Master Barang'!$D:$D,""),"")</f>
        <v/>
      </c>
    </row>
    <row r="919" spans="1:6">
      <c r="A919" s="49"/>
      <c r="D919" t="str">
        <f>IFERROR(XLOOKUP(C919,'Master Barang'!$A:$A,'Master Barang'!$B:$B,""),"")</f>
        <v/>
      </c>
      <c r="E919" s="52"/>
      <c r="F919" t="str">
        <f>IFERROR(XLOOKUP(C919,'Master Barang'!$A:$A,'Master Barang'!$D:$D,""),"")</f>
        <v/>
      </c>
    </row>
    <row r="920" spans="1:6">
      <c r="A920" s="49"/>
      <c r="D920" t="str">
        <f>IFERROR(XLOOKUP(C920,'Master Barang'!$A:$A,'Master Barang'!$B:$B,""),"")</f>
        <v/>
      </c>
      <c r="E920" s="52"/>
      <c r="F920" t="str">
        <f>IFERROR(XLOOKUP(C920,'Master Barang'!$A:$A,'Master Barang'!$D:$D,""),"")</f>
        <v/>
      </c>
    </row>
    <row r="921" spans="1:6">
      <c r="A921" s="49"/>
      <c r="D921" t="str">
        <f>IFERROR(XLOOKUP(C921,'Master Barang'!$A:$A,'Master Barang'!$B:$B,""),"")</f>
        <v/>
      </c>
      <c r="E921" s="52"/>
      <c r="F921" t="str">
        <f>IFERROR(XLOOKUP(C921,'Master Barang'!$A:$A,'Master Barang'!$D:$D,""),"")</f>
        <v/>
      </c>
    </row>
    <row r="922" spans="1:6">
      <c r="A922" s="49"/>
      <c r="D922" t="str">
        <f>IFERROR(XLOOKUP(C922,'Master Barang'!$A:$A,'Master Barang'!$B:$B,""),"")</f>
        <v/>
      </c>
      <c r="E922" s="52"/>
      <c r="F922" t="str">
        <f>IFERROR(XLOOKUP(C922,'Master Barang'!$A:$A,'Master Barang'!$D:$D,""),"")</f>
        <v/>
      </c>
    </row>
    <row r="923" spans="1:6">
      <c r="A923" s="49"/>
      <c r="D923" t="str">
        <f>IFERROR(XLOOKUP(C923,'Master Barang'!$A:$A,'Master Barang'!$B:$B,""),"")</f>
        <v/>
      </c>
      <c r="E923" s="52"/>
      <c r="F923" t="str">
        <f>IFERROR(XLOOKUP(C923,'Master Barang'!$A:$A,'Master Barang'!$D:$D,""),"")</f>
        <v/>
      </c>
    </row>
    <row r="924" spans="1:6">
      <c r="A924" s="49"/>
      <c r="D924" t="str">
        <f>IFERROR(XLOOKUP(C924,'Master Barang'!$A:$A,'Master Barang'!$B:$B,""),"")</f>
        <v/>
      </c>
      <c r="E924" s="52"/>
      <c r="F924" t="str">
        <f>IFERROR(XLOOKUP(C924,'Master Barang'!$A:$A,'Master Barang'!$D:$D,""),"")</f>
        <v/>
      </c>
    </row>
    <row r="925" spans="1:6">
      <c r="A925" s="49"/>
      <c r="D925" t="str">
        <f>IFERROR(XLOOKUP(C925,'Master Barang'!$A:$A,'Master Barang'!$B:$B,""),"")</f>
        <v/>
      </c>
      <c r="E925" s="52"/>
      <c r="F925" t="str">
        <f>IFERROR(XLOOKUP(C925,'Master Barang'!$A:$A,'Master Barang'!$D:$D,""),"")</f>
        <v/>
      </c>
    </row>
    <row r="926" spans="1:6">
      <c r="A926" s="49"/>
      <c r="D926" t="str">
        <f>IFERROR(XLOOKUP(C926,'Master Barang'!$A:$A,'Master Barang'!$B:$B,""),"")</f>
        <v/>
      </c>
      <c r="E926" s="52"/>
      <c r="F926" t="str">
        <f>IFERROR(XLOOKUP(C926,'Master Barang'!$A:$A,'Master Barang'!$D:$D,""),"")</f>
        <v/>
      </c>
    </row>
    <row r="927" spans="1:6">
      <c r="A927" s="49"/>
      <c r="D927" t="str">
        <f>IFERROR(XLOOKUP(C927,'Master Barang'!$A:$A,'Master Barang'!$B:$B,""),"")</f>
        <v/>
      </c>
      <c r="E927" s="52"/>
      <c r="F927" t="str">
        <f>IFERROR(XLOOKUP(C927,'Master Barang'!$A:$A,'Master Barang'!$D:$D,""),"")</f>
        <v/>
      </c>
    </row>
    <row r="928" spans="1:6">
      <c r="A928" s="49"/>
      <c r="D928" t="str">
        <f>IFERROR(XLOOKUP(C928,'Master Barang'!$A:$A,'Master Barang'!$B:$B,""),"")</f>
        <v/>
      </c>
      <c r="E928" s="52"/>
      <c r="F928" t="str">
        <f>IFERROR(XLOOKUP(C928,'Master Barang'!$A:$A,'Master Barang'!$D:$D,""),"")</f>
        <v/>
      </c>
    </row>
    <row r="929" spans="1:6">
      <c r="A929" s="49"/>
      <c r="D929" t="str">
        <f>IFERROR(XLOOKUP(C929,'Master Barang'!$A:$A,'Master Barang'!$B:$B,""),"")</f>
        <v/>
      </c>
      <c r="E929" s="52"/>
      <c r="F929" t="str">
        <f>IFERROR(XLOOKUP(C929,'Master Barang'!$A:$A,'Master Barang'!$D:$D,""),"")</f>
        <v/>
      </c>
    </row>
    <row r="930" spans="1:6">
      <c r="A930" s="49"/>
      <c r="D930" t="str">
        <f>IFERROR(XLOOKUP(C930,'Master Barang'!$A:$A,'Master Barang'!$B:$B,""),"")</f>
        <v/>
      </c>
      <c r="E930" s="52"/>
      <c r="F930" t="str">
        <f>IFERROR(XLOOKUP(C930,'Master Barang'!$A:$A,'Master Barang'!$D:$D,""),"")</f>
        <v/>
      </c>
    </row>
    <row r="931" spans="1:6">
      <c r="A931" s="49"/>
      <c r="D931" t="str">
        <f>IFERROR(XLOOKUP(C931,'Master Barang'!$A:$A,'Master Barang'!$B:$B,""),"")</f>
        <v/>
      </c>
      <c r="E931" s="52"/>
      <c r="F931" t="str">
        <f>IFERROR(XLOOKUP(C931,'Master Barang'!$A:$A,'Master Barang'!$D:$D,""),"")</f>
        <v/>
      </c>
    </row>
    <row r="932" spans="1:6">
      <c r="A932" s="49"/>
      <c r="D932" t="str">
        <f>IFERROR(XLOOKUP(C932,'Master Barang'!$A:$A,'Master Barang'!$B:$B,""),"")</f>
        <v/>
      </c>
      <c r="E932" s="52"/>
      <c r="F932" t="str">
        <f>IFERROR(XLOOKUP(C932,'Master Barang'!$A:$A,'Master Barang'!$D:$D,""),"")</f>
        <v/>
      </c>
    </row>
    <row r="933" spans="1:6">
      <c r="A933" s="49"/>
      <c r="D933" t="str">
        <f>IFERROR(XLOOKUP(C933,'Master Barang'!$A:$A,'Master Barang'!$B:$B,""),"")</f>
        <v/>
      </c>
      <c r="E933" s="52"/>
      <c r="F933" t="str">
        <f>IFERROR(XLOOKUP(C933,'Master Barang'!$A:$A,'Master Barang'!$D:$D,""),"")</f>
        <v/>
      </c>
    </row>
    <row r="934" spans="1:6">
      <c r="A934" s="49"/>
      <c r="D934" t="str">
        <f>IFERROR(XLOOKUP(C934,'Master Barang'!$A:$A,'Master Barang'!$B:$B,""),"")</f>
        <v/>
      </c>
      <c r="E934" s="52"/>
      <c r="F934" t="str">
        <f>IFERROR(XLOOKUP(C934,'Master Barang'!$A:$A,'Master Barang'!$D:$D,""),"")</f>
        <v/>
      </c>
    </row>
    <row r="935" spans="1:6">
      <c r="A935" s="49"/>
      <c r="D935" t="str">
        <f>IFERROR(XLOOKUP(C935,'Master Barang'!$A:$A,'Master Barang'!$B:$B,""),"")</f>
        <v/>
      </c>
      <c r="E935" s="52"/>
      <c r="F935" t="str">
        <f>IFERROR(XLOOKUP(C935,'Master Barang'!$A:$A,'Master Barang'!$D:$D,""),"")</f>
        <v/>
      </c>
    </row>
    <row r="936" spans="1:6">
      <c r="A936" s="49"/>
      <c r="D936" t="str">
        <f>IFERROR(XLOOKUP(C936,'Master Barang'!$A:$A,'Master Barang'!$B:$B,""),"")</f>
        <v/>
      </c>
      <c r="E936" s="52"/>
      <c r="F936" t="str">
        <f>IFERROR(XLOOKUP(C936,'Master Barang'!$A:$A,'Master Barang'!$D:$D,""),"")</f>
        <v/>
      </c>
    </row>
    <row r="937" spans="1:6">
      <c r="A937" s="49"/>
      <c r="D937" t="str">
        <f>IFERROR(XLOOKUP(C937,'Master Barang'!$A:$A,'Master Barang'!$B:$B,""),"")</f>
        <v/>
      </c>
      <c r="E937" s="52"/>
      <c r="F937" t="str">
        <f>IFERROR(XLOOKUP(C937,'Master Barang'!$A:$A,'Master Barang'!$D:$D,""),"")</f>
        <v/>
      </c>
    </row>
    <row r="938" spans="1:6">
      <c r="A938" s="49"/>
      <c r="D938" t="str">
        <f>IFERROR(XLOOKUP(C938,'Master Barang'!$A:$A,'Master Barang'!$B:$B,""),"")</f>
        <v/>
      </c>
      <c r="E938" s="52"/>
      <c r="F938" t="str">
        <f>IFERROR(XLOOKUP(C938,'Master Barang'!$A:$A,'Master Barang'!$D:$D,""),"")</f>
        <v/>
      </c>
    </row>
    <row r="939" spans="1:6">
      <c r="A939" s="49"/>
      <c r="D939" t="str">
        <f>IFERROR(XLOOKUP(C939,'Master Barang'!$A:$A,'Master Barang'!$B:$B,""),"")</f>
        <v/>
      </c>
      <c r="E939" s="52"/>
      <c r="F939" t="str">
        <f>IFERROR(XLOOKUP(C939,'Master Barang'!$A:$A,'Master Barang'!$D:$D,""),"")</f>
        <v/>
      </c>
    </row>
    <row r="940" spans="1:6">
      <c r="A940" s="49"/>
      <c r="D940" t="str">
        <f>IFERROR(XLOOKUP(C940,'Master Barang'!$A:$A,'Master Barang'!$B:$B,""),"")</f>
        <v/>
      </c>
      <c r="E940" s="52"/>
      <c r="F940" t="str">
        <f>IFERROR(XLOOKUP(C940,'Master Barang'!$A:$A,'Master Barang'!$D:$D,""),"")</f>
        <v/>
      </c>
    </row>
    <row r="941" spans="1:6">
      <c r="A941" s="49"/>
      <c r="D941" t="str">
        <f>IFERROR(XLOOKUP(C941,'Master Barang'!$A:$A,'Master Barang'!$B:$B,""),"")</f>
        <v/>
      </c>
      <c r="E941" s="52"/>
      <c r="F941" t="str">
        <f>IFERROR(XLOOKUP(C941,'Master Barang'!$A:$A,'Master Barang'!$D:$D,""),"")</f>
        <v/>
      </c>
    </row>
    <row r="942" spans="1:6">
      <c r="A942" s="49"/>
      <c r="D942" t="str">
        <f>IFERROR(XLOOKUP(C942,'Master Barang'!$A:$A,'Master Barang'!$B:$B,""),"")</f>
        <v/>
      </c>
      <c r="E942" s="52"/>
      <c r="F942" t="str">
        <f>IFERROR(XLOOKUP(C942,'Master Barang'!$A:$A,'Master Barang'!$D:$D,""),"")</f>
        <v/>
      </c>
    </row>
    <row r="943" spans="1:6">
      <c r="A943" s="49"/>
      <c r="D943" t="str">
        <f>IFERROR(XLOOKUP(C943,'Master Barang'!$A:$A,'Master Barang'!$B:$B,""),"")</f>
        <v/>
      </c>
      <c r="E943" s="52"/>
      <c r="F943" t="str">
        <f>IFERROR(XLOOKUP(C943,'Master Barang'!$A:$A,'Master Barang'!$D:$D,""),"")</f>
        <v/>
      </c>
    </row>
    <row r="944" spans="1:6">
      <c r="A944" s="49"/>
      <c r="D944" t="str">
        <f>IFERROR(XLOOKUP(C944,'Master Barang'!$A:$A,'Master Barang'!$B:$B,""),"")</f>
        <v/>
      </c>
      <c r="E944" s="52"/>
      <c r="F944" t="str">
        <f>IFERROR(XLOOKUP(C944,'Master Barang'!$A:$A,'Master Barang'!$D:$D,""),"")</f>
        <v/>
      </c>
    </row>
    <row r="945" spans="1:6">
      <c r="A945" s="49"/>
      <c r="D945" t="str">
        <f>IFERROR(XLOOKUP(C945,'Master Barang'!$A:$A,'Master Barang'!$B:$B,""),"")</f>
        <v/>
      </c>
      <c r="E945" s="52"/>
      <c r="F945" t="str">
        <f>IFERROR(XLOOKUP(C945,'Master Barang'!$A:$A,'Master Barang'!$D:$D,""),"")</f>
        <v/>
      </c>
    </row>
    <row r="946" spans="1:6">
      <c r="A946" s="49"/>
      <c r="D946" t="str">
        <f>IFERROR(XLOOKUP(C946,'Master Barang'!$A:$A,'Master Barang'!$B:$B,""),"")</f>
        <v/>
      </c>
      <c r="E946" s="52"/>
      <c r="F946" t="str">
        <f>IFERROR(XLOOKUP(C946,'Master Barang'!$A:$A,'Master Barang'!$D:$D,""),"")</f>
        <v/>
      </c>
    </row>
    <row r="947" spans="1:6">
      <c r="A947" s="49"/>
      <c r="D947" t="str">
        <f>IFERROR(XLOOKUP(C947,'Master Barang'!$A:$A,'Master Barang'!$B:$B,""),"")</f>
        <v/>
      </c>
      <c r="E947" s="52"/>
      <c r="F947" t="str">
        <f>IFERROR(XLOOKUP(C947,'Master Barang'!$A:$A,'Master Barang'!$D:$D,""),"")</f>
        <v/>
      </c>
    </row>
    <row r="948" spans="1:6">
      <c r="A948" s="49"/>
      <c r="D948" t="str">
        <f>IFERROR(XLOOKUP(C948,'Master Barang'!$A:$A,'Master Barang'!$B:$B,""),"")</f>
        <v/>
      </c>
      <c r="E948" s="52"/>
      <c r="F948" t="str">
        <f>IFERROR(XLOOKUP(C948,'Master Barang'!$A:$A,'Master Barang'!$D:$D,""),"")</f>
        <v/>
      </c>
    </row>
    <row r="949" spans="1:6">
      <c r="A949" s="49"/>
      <c r="D949" t="str">
        <f>IFERROR(XLOOKUP(C949,'Master Barang'!$A:$A,'Master Barang'!$B:$B,""),"")</f>
        <v/>
      </c>
      <c r="E949" s="52"/>
      <c r="F949" t="str">
        <f>IFERROR(XLOOKUP(C949,'Master Barang'!$A:$A,'Master Barang'!$D:$D,""),"")</f>
        <v/>
      </c>
    </row>
    <row r="950" spans="1:6">
      <c r="A950" s="49"/>
      <c r="D950" t="str">
        <f>IFERROR(XLOOKUP(C950,'Master Barang'!$A:$A,'Master Barang'!$B:$B,""),"")</f>
        <v/>
      </c>
      <c r="E950" s="52"/>
      <c r="F950" t="str">
        <f>IFERROR(XLOOKUP(C950,'Master Barang'!$A:$A,'Master Barang'!$D:$D,""),"")</f>
        <v/>
      </c>
    </row>
    <row r="951" spans="1:6">
      <c r="A951" s="49"/>
      <c r="D951" t="str">
        <f>IFERROR(XLOOKUP(C951,'Master Barang'!$A:$A,'Master Barang'!$B:$B,""),"")</f>
        <v/>
      </c>
      <c r="E951" s="52"/>
      <c r="F951" t="str">
        <f>IFERROR(XLOOKUP(C951,'Master Barang'!$A:$A,'Master Barang'!$D:$D,""),"")</f>
        <v/>
      </c>
    </row>
    <row r="952" spans="1:6">
      <c r="A952" s="49"/>
      <c r="D952" t="str">
        <f>IFERROR(XLOOKUP(C952,'Master Barang'!$A:$A,'Master Barang'!$B:$B,""),"")</f>
        <v/>
      </c>
      <c r="E952" s="52"/>
      <c r="F952" t="str">
        <f>IFERROR(XLOOKUP(C952,'Master Barang'!$A:$A,'Master Barang'!$D:$D,""),"")</f>
        <v/>
      </c>
    </row>
    <row r="953" spans="1:6">
      <c r="A953" s="49"/>
      <c r="D953" t="str">
        <f>IFERROR(XLOOKUP(C953,'Master Barang'!$A:$A,'Master Barang'!$B:$B,""),"")</f>
        <v/>
      </c>
      <c r="E953" s="52"/>
      <c r="F953" t="str">
        <f>IFERROR(XLOOKUP(C953,'Master Barang'!$A:$A,'Master Barang'!$D:$D,""),"")</f>
        <v/>
      </c>
    </row>
    <row r="954" spans="1:6">
      <c r="A954" s="49"/>
      <c r="D954" t="str">
        <f>IFERROR(XLOOKUP(C954,'Master Barang'!$A:$A,'Master Barang'!$B:$B,""),"")</f>
        <v/>
      </c>
      <c r="E954" s="52"/>
      <c r="F954" t="str">
        <f>IFERROR(XLOOKUP(C954,'Master Barang'!$A:$A,'Master Barang'!$D:$D,""),"")</f>
        <v/>
      </c>
    </row>
    <row r="955" spans="1:6">
      <c r="A955" s="49"/>
      <c r="D955" t="str">
        <f>IFERROR(XLOOKUP(C955,'Master Barang'!$A:$A,'Master Barang'!$B:$B,""),"")</f>
        <v/>
      </c>
      <c r="E955" s="52"/>
      <c r="F955" t="str">
        <f>IFERROR(XLOOKUP(C955,'Master Barang'!$A:$A,'Master Barang'!$D:$D,""),"")</f>
        <v/>
      </c>
    </row>
    <row r="956" spans="1:6">
      <c r="A956" s="49"/>
      <c r="D956" t="str">
        <f>IFERROR(XLOOKUP(C956,'Master Barang'!$A:$A,'Master Barang'!$B:$B,""),"")</f>
        <v/>
      </c>
      <c r="E956" s="52"/>
      <c r="F956" t="str">
        <f>IFERROR(XLOOKUP(C956,'Master Barang'!$A:$A,'Master Barang'!$D:$D,""),"")</f>
        <v/>
      </c>
    </row>
    <row r="957" spans="1:6">
      <c r="A957" s="49"/>
      <c r="D957" t="str">
        <f>IFERROR(XLOOKUP(C957,'Master Barang'!$A:$A,'Master Barang'!$B:$B,""),"")</f>
        <v/>
      </c>
      <c r="E957" s="52"/>
      <c r="F957" t="str">
        <f>IFERROR(XLOOKUP(C957,'Master Barang'!$A:$A,'Master Barang'!$D:$D,""),"")</f>
        <v/>
      </c>
    </row>
    <row r="958" spans="1:6">
      <c r="A958" s="49"/>
      <c r="D958" t="str">
        <f>IFERROR(XLOOKUP(C958,'Master Barang'!$A:$A,'Master Barang'!$B:$B,""),"")</f>
        <v/>
      </c>
      <c r="E958" s="52"/>
      <c r="F958" t="str">
        <f>IFERROR(XLOOKUP(C958,'Master Barang'!$A:$A,'Master Barang'!$D:$D,""),"")</f>
        <v/>
      </c>
    </row>
    <row r="959" spans="1:6">
      <c r="A959" s="49"/>
      <c r="D959" t="str">
        <f>IFERROR(XLOOKUP(C959,'Master Barang'!$A:$A,'Master Barang'!$B:$B,""),"")</f>
        <v/>
      </c>
      <c r="E959" s="52"/>
      <c r="F959" t="str">
        <f>IFERROR(XLOOKUP(C959,'Master Barang'!$A:$A,'Master Barang'!$D:$D,""),"")</f>
        <v/>
      </c>
    </row>
    <row r="960" spans="1:6">
      <c r="A960" s="49"/>
      <c r="D960" t="str">
        <f>IFERROR(XLOOKUP(C960,'Master Barang'!$A:$A,'Master Barang'!$B:$B,""),"")</f>
        <v/>
      </c>
      <c r="E960" s="52"/>
      <c r="F960" t="str">
        <f>IFERROR(XLOOKUP(C960,'Master Barang'!$A:$A,'Master Barang'!$D:$D,""),"")</f>
        <v/>
      </c>
    </row>
    <row r="961" spans="1:6">
      <c r="A961" s="49"/>
      <c r="D961" t="str">
        <f>IFERROR(XLOOKUP(C961,'Master Barang'!$A:$A,'Master Barang'!$B:$B,""),"")</f>
        <v/>
      </c>
      <c r="E961" s="52"/>
      <c r="F961" t="str">
        <f>IFERROR(XLOOKUP(C961,'Master Barang'!$A:$A,'Master Barang'!$D:$D,""),"")</f>
        <v/>
      </c>
    </row>
    <row r="962" spans="1:6">
      <c r="A962" s="49"/>
      <c r="D962" t="str">
        <f>IFERROR(XLOOKUP(C962,'Master Barang'!$A:$A,'Master Barang'!$B:$B,""),"")</f>
        <v/>
      </c>
      <c r="E962" s="52"/>
      <c r="F962" t="str">
        <f>IFERROR(XLOOKUP(C962,'Master Barang'!$A:$A,'Master Barang'!$D:$D,""),"")</f>
        <v/>
      </c>
    </row>
    <row r="963" spans="1:6">
      <c r="A963" s="49"/>
      <c r="D963" t="str">
        <f>IFERROR(XLOOKUP(C963,'Master Barang'!$A:$A,'Master Barang'!$B:$B,""),"")</f>
        <v/>
      </c>
      <c r="E963" s="52"/>
      <c r="F963" t="str">
        <f>IFERROR(XLOOKUP(C963,'Master Barang'!$A:$A,'Master Barang'!$D:$D,""),"")</f>
        <v/>
      </c>
    </row>
    <row r="964" spans="1:6">
      <c r="A964" s="49"/>
      <c r="D964" t="str">
        <f>IFERROR(XLOOKUP(C964,'Master Barang'!$A:$A,'Master Barang'!$B:$B,""),"")</f>
        <v/>
      </c>
      <c r="E964" s="52"/>
      <c r="F964" t="str">
        <f>IFERROR(XLOOKUP(C964,'Master Barang'!$A:$A,'Master Barang'!$D:$D,""),"")</f>
        <v/>
      </c>
    </row>
    <row r="965" spans="1:6">
      <c r="A965" s="49"/>
      <c r="D965" t="str">
        <f>IFERROR(XLOOKUP(C965,'Master Barang'!$A:$A,'Master Barang'!$B:$B,""),"")</f>
        <v/>
      </c>
      <c r="E965" s="52"/>
      <c r="F965" t="str">
        <f>IFERROR(XLOOKUP(C965,'Master Barang'!$A:$A,'Master Barang'!$D:$D,""),"")</f>
        <v/>
      </c>
    </row>
    <row r="966" spans="1:6">
      <c r="A966" s="49"/>
      <c r="D966" t="str">
        <f>IFERROR(XLOOKUP(C966,'Master Barang'!$A:$A,'Master Barang'!$B:$B,""),"")</f>
        <v/>
      </c>
      <c r="E966" s="52"/>
      <c r="F966" t="str">
        <f>IFERROR(XLOOKUP(C966,'Master Barang'!$A:$A,'Master Barang'!$D:$D,""),"")</f>
        <v/>
      </c>
    </row>
    <row r="967" spans="1:6">
      <c r="A967" s="49"/>
      <c r="D967" t="str">
        <f>IFERROR(XLOOKUP(C967,'Master Barang'!$A:$A,'Master Barang'!$B:$B,""),"")</f>
        <v/>
      </c>
      <c r="E967" s="52"/>
      <c r="F967" t="str">
        <f>IFERROR(XLOOKUP(C967,'Master Barang'!$A:$A,'Master Barang'!$D:$D,""),"")</f>
        <v/>
      </c>
    </row>
    <row r="968" spans="1:6">
      <c r="A968" s="49"/>
      <c r="D968" t="str">
        <f>IFERROR(XLOOKUP(C968,'Master Barang'!$A:$A,'Master Barang'!$B:$B,""),"")</f>
        <v/>
      </c>
      <c r="E968" s="52"/>
      <c r="F968" t="str">
        <f>IFERROR(XLOOKUP(C968,'Master Barang'!$A:$A,'Master Barang'!$D:$D,""),"")</f>
        <v/>
      </c>
    </row>
    <row r="969" spans="1:6">
      <c r="A969" s="49"/>
      <c r="D969" t="str">
        <f>IFERROR(XLOOKUP(C969,'Master Barang'!$A:$A,'Master Barang'!$B:$B,""),"")</f>
        <v/>
      </c>
      <c r="E969" s="52"/>
      <c r="F969" t="str">
        <f>IFERROR(XLOOKUP(C969,'Master Barang'!$A:$A,'Master Barang'!$D:$D,""),"")</f>
        <v/>
      </c>
    </row>
    <row r="970" spans="1:6">
      <c r="A970" s="49"/>
      <c r="D970" t="str">
        <f>IFERROR(XLOOKUP(C970,'Master Barang'!$A:$A,'Master Barang'!$B:$B,""),"")</f>
        <v/>
      </c>
      <c r="E970" s="52"/>
      <c r="F970" t="str">
        <f>IFERROR(XLOOKUP(C970,'Master Barang'!$A:$A,'Master Barang'!$D:$D,""),"")</f>
        <v/>
      </c>
    </row>
    <row r="971" spans="1:6">
      <c r="A971" s="49"/>
      <c r="D971" t="str">
        <f>IFERROR(XLOOKUP(C971,'Master Barang'!$A:$A,'Master Barang'!$B:$B,""),"")</f>
        <v/>
      </c>
      <c r="E971" s="52"/>
      <c r="F971" t="str">
        <f>IFERROR(XLOOKUP(C971,'Master Barang'!$A:$A,'Master Barang'!$D:$D,""),"")</f>
        <v/>
      </c>
    </row>
    <row r="972" spans="1:6">
      <c r="A972" s="49"/>
      <c r="D972" t="str">
        <f>IFERROR(XLOOKUP(C972,'Master Barang'!$A:$A,'Master Barang'!$B:$B,""),"")</f>
        <v/>
      </c>
      <c r="E972" s="52"/>
      <c r="F972" t="str">
        <f>IFERROR(XLOOKUP(C972,'Master Barang'!$A:$A,'Master Barang'!$D:$D,""),"")</f>
        <v/>
      </c>
    </row>
    <row r="973" spans="1:6">
      <c r="A973" s="49"/>
      <c r="D973" t="str">
        <f>IFERROR(XLOOKUP(C973,'Master Barang'!$A:$A,'Master Barang'!$B:$B,""),"")</f>
        <v/>
      </c>
      <c r="E973" s="52"/>
      <c r="F973" t="str">
        <f>IFERROR(XLOOKUP(C973,'Master Barang'!$A:$A,'Master Barang'!$D:$D,""),"")</f>
        <v/>
      </c>
    </row>
    <row r="974" spans="1:6">
      <c r="A974" s="49"/>
      <c r="D974" t="str">
        <f>IFERROR(XLOOKUP(C974,'Master Barang'!$A:$A,'Master Barang'!$B:$B,""),"")</f>
        <v/>
      </c>
      <c r="E974" s="52"/>
      <c r="F974" t="str">
        <f>IFERROR(XLOOKUP(C974,'Master Barang'!$A:$A,'Master Barang'!$D:$D,""),"")</f>
        <v/>
      </c>
    </row>
    <row r="975" spans="1:6">
      <c r="A975" s="49"/>
      <c r="D975" t="str">
        <f>IFERROR(XLOOKUP(C975,'Master Barang'!$A:$A,'Master Barang'!$B:$B,""),"")</f>
        <v/>
      </c>
      <c r="E975" s="52"/>
      <c r="F975" t="str">
        <f>IFERROR(XLOOKUP(C975,'Master Barang'!$A:$A,'Master Barang'!$D:$D,""),"")</f>
        <v/>
      </c>
    </row>
    <row r="976" spans="1:6">
      <c r="A976" s="49"/>
      <c r="D976" t="str">
        <f>IFERROR(XLOOKUP(C976,'Master Barang'!$A:$A,'Master Barang'!$B:$B,""),"")</f>
        <v/>
      </c>
      <c r="E976" s="52"/>
      <c r="F976" t="str">
        <f>IFERROR(XLOOKUP(C976,'Master Barang'!$A:$A,'Master Barang'!$D:$D,""),"")</f>
        <v/>
      </c>
    </row>
    <row r="977" spans="1:6">
      <c r="A977" s="49"/>
      <c r="D977" t="str">
        <f>IFERROR(XLOOKUP(C977,'Master Barang'!$A:$A,'Master Barang'!$B:$B,""),"")</f>
        <v/>
      </c>
      <c r="E977" s="52"/>
      <c r="F977" t="str">
        <f>IFERROR(XLOOKUP(C977,'Master Barang'!$A:$A,'Master Barang'!$D:$D,""),"")</f>
        <v/>
      </c>
    </row>
    <row r="978" spans="1:6">
      <c r="A978" s="49"/>
      <c r="D978" t="str">
        <f>IFERROR(XLOOKUP(C978,'Master Barang'!$A:$A,'Master Barang'!$B:$B,""),"")</f>
        <v/>
      </c>
      <c r="E978" s="52"/>
      <c r="F978" t="str">
        <f>IFERROR(XLOOKUP(C978,'Master Barang'!$A:$A,'Master Barang'!$D:$D,""),"")</f>
        <v/>
      </c>
    </row>
    <row r="979" spans="1:6">
      <c r="A979" s="49"/>
      <c r="D979" t="str">
        <f>IFERROR(XLOOKUP(C979,'Master Barang'!$A:$A,'Master Barang'!$B:$B,""),"")</f>
        <v/>
      </c>
      <c r="E979" s="52"/>
      <c r="F979" t="str">
        <f>IFERROR(XLOOKUP(C979,'Master Barang'!$A:$A,'Master Barang'!$D:$D,""),"")</f>
        <v/>
      </c>
    </row>
    <row r="980" spans="1:6">
      <c r="A980" s="49"/>
      <c r="D980" t="str">
        <f>IFERROR(XLOOKUP(C980,'Master Barang'!$A:$A,'Master Barang'!$B:$B,""),"")</f>
        <v/>
      </c>
      <c r="E980" s="52"/>
      <c r="F980" t="str">
        <f>IFERROR(XLOOKUP(C980,'Master Barang'!$A:$A,'Master Barang'!$D:$D,""),"")</f>
        <v/>
      </c>
    </row>
    <row r="981" spans="1:6">
      <c r="A981" s="49"/>
      <c r="D981" t="str">
        <f>IFERROR(XLOOKUP(C981,'Master Barang'!$A:$A,'Master Barang'!$B:$B,""),"")</f>
        <v/>
      </c>
      <c r="E981" s="52"/>
      <c r="F981" t="str">
        <f>IFERROR(XLOOKUP(C981,'Master Barang'!$A:$A,'Master Barang'!$D:$D,""),"")</f>
        <v/>
      </c>
    </row>
    <row r="982" spans="1:6">
      <c r="A982" s="49"/>
      <c r="D982" t="str">
        <f>IFERROR(XLOOKUP(C982,'Master Barang'!$A:$A,'Master Barang'!$B:$B,""),"")</f>
        <v/>
      </c>
      <c r="E982" s="52"/>
      <c r="F982" t="str">
        <f>IFERROR(XLOOKUP(C982,'Master Barang'!$A:$A,'Master Barang'!$D:$D,""),"")</f>
        <v/>
      </c>
    </row>
    <row r="983" spans="1:6">
      <c r="A983" s="49"/>
      <c r="D983" t="str">
        <f>IFERROR(XLOOKUP(C983,'Master Barang'!$A:$A,'Master Barang'!$B:$B,""),"")</f>
        <v/>
      </c>
      <c r="E983" s="52"/>
      <c r="F983" t="str">
        <f>IFERROR(XLOOKUP(C983,'Master Barang'!$A:$A,'Master Barang'!$D:$D,""),"")</f>
        <v/>
      </c>
    </row>
    <row r="984" spans="1:6">
      <c r="A984" s="49"/>
      <c r="D984" t="str">
        <f>IFERROR(XLOOKUP(C984,'Master Barang'!$A:$A,'Master Barang'!$B:$B,""),"")</f>
        <v/>
      </c>
      <c r="E984" s="52"/>
      <c r="F984" t="str">
        <f>IFERROR(XLOOKUP(C984,'Master Barang'!$A:$A,'Master Barang'!$D:$D,""),"")</f>
        <v/>
      </c>
    </row>
    <row r="985" spans="1:6">
      <c r="A985" s="49"/>
      <c r="D985" t="str">
        <f>IFERROR(XLOOKUP(C985,'Master Barang'!$A:$A,'Master Barang'!$B:$B,""),"")</f>
        <v/>
      </c>
      <c r="E985" s="52"/>
      <c r="F985" t="str">
        <f>IFERROR(XLOOKUP(C985,'Master Barang'!$A:$A,'Master Barang'!$D:$D,""),"")</f>
        <v/>
      </c>
    </row>
    <row r="986" spans="1:6">
      <c r="A986" s="49"/>
      <c r="D986" t="str">
        <f>IFERROR(XLOOKUP(C986,'Master Barang'!$A:$A,'Master Barang'!$B:$B,""),"")</f>
        <v/>
      </c>
      <c r="E986" s="52"/>
      <c r="F986" t="str">
        <f>IFERROR(XLOOKUP(C986,'Master Barang'!$A:$A,'Master Barang'!$D:$D,""),"")</f>
        <v/>
      </c>
    </row>
    <row r="987" spans="1:6">
      <c r="A987" s="49"/>
      <c r="D987" t="str">
        <f>IFERROR(XLOOKUP(C987,'Master Barang'!$A:$A,'Master Barang'!$B:$B,""),"")</f>
        <v/>
      </c>
      <c r="E987" s="52"/>
      <c r="F987" t="str">
        <f>IFERROR(XLOOKUP(C987,'Master Barang'!$A:$A,'Master Barang'!$D:$D,""),"")</f>
        <v/>
      </c>
    </row>
    <row r="988" spans="1:6">
      <c r="A988" s="49"/>
      <c r="D988" t="str">
        <f>IFERROR(XLOOKUP(C988,'Master Barang'!$A:$A,'Master Barang'!$B:$B,""),"")</f>
        <v/>
      </c>
      <c r="E988" s="52"/>
      <c r="F988" t="str">
        <f>IFERROR(XLOOKUP(C988,'Master Barang'!$A:$A,'Master Barang'!$D:$D,""),"")</f>
        <v/>
      </c>
    </row>
    <row r="989" spans="1:6">
      <c r="A989" s="49"/>
      <c r="D989" t="str">
        <f>IFERROR(XLOOKUP(C989,'Master Barang'!$A:$A,'Master Barang'!$B:$B,""),"")</f>
        <v/>
      </c>
      <c r="E989" s="52"/>
      <c r="F989" t="str">
        <f>IFERROR(XLOOKUP(C989,'Master Barang'!$A:$A,'Master Barang'!$D:$D,""),"")</f>
        <v/>
      </c>
    </row>
    <row r="990" spans="1:6">
      <c r="A990" s="49"/>
      <c r="D990" t="str">
        <f>IFERROR(XLOOKUP(C990,'Master Barang'!$A:$A,'Master Barang'!$B:$B,""),"")</f>
        <v/>
      </c>
      <c r="E990" s="52"/>
      <c r="F990" t="str">
        <f>IFERROR(XLOOKUP(C990,'Master Barang'!$A:$A,'Master Barang'!$D:$D,""),"")</f>
        <v/>
      </c>
    </row>
    <row r="991" spans="1:6">
      <c r="A991" s="49"/>
      <c r="D991" t="str">
        <f>IFERROR(XLOOKUP(C991,'Master Barang'!$A:$A,'Master Barang'!$B:$B,""),"")</f>
        <v/>
      </c>
      <c r="E991" s="52"/>
      <c r="F991" t="str">
        <f>IFERROR(XLOOKUP(C991,'Master Barang'!$A:$A,'Master Barang'!$D:$D,""),"")</f>
        <v/>
      </c>
    </row>
    <row r="992" spans="1:6">
      <c r="A992" s="49"/>
      <c r="D992" t="str">
        <f>IFERROR(XLOOKUP(C992,'Master Barang'!$A:$A,'Master Barang'!$B:$B,""),"")</f>
        <v/>
      </c>
      <c r="E992" s="52"/>
      <c r="F992" t="str">
        <f>IFERROR(XLOOKUP(C992,'Master Barang'!$A:$A,'Master Barang'!$D:$D,""),"")</f>
        <v/>
      </c>
    </row>
    <row r="993" spans="1:6">
      <c r="A993" s="49"/>
      <c r="D993" t="str">
        <f>IFERROR(XLOOKUP(C993,'Master Barang'!$A:$A,'Master Barang'!$B:$B,""),"")</f>
        <v/>
      </c>
      <c r="E993" s="52"/>
      <c r="F993" t="str">
        <f>IFERROR(XLOOKUP(C993,'Master Barang'!$A:$A,'Master Barang'!$D:$D,""),"")</f>
        <v/>
      </c>
    </row>
    <row r="994" spans="1:6">
      <c r="A994" s="49"/>
      <c r="D994" t="str">
        <f>IFERROR(XLOOKUP(C994,'Master Barang'!$A:$A,'Master Barang'!$B:$B,""),"")</f>
        <v/>
      </c>
      <c r="E994" s="52"/>
      <c r="F994" t="str">
        <f>IFERROR(XLOOKUP(C994,'Master Barang'!$A:$A,'Master Barang'!$D:$D,""),"")</f>
        <v/>
      </c>
    </row>
    <row r="995" spans="1:6">
      <c r="A995" s="49"/>
      <c r="D995" t="str">
        <f>IFERROR(XLOOKUP(C995,'Master Barang'!$A:$A,'Master Barang'!$B:$B,""),"")</f>
        <v/>
      </c>
      <c r="E995" s="52"/>
      <c r="F995" t="str">
        <f>IFERROR(XLOOKUP(C995,'Master Barang'!$A:$A,'Master Barang'!$D:$D,""),"")</f>
        <v/>
      </c>
    </row>
    <row r="996" spans="1:6">
      <c r="A996" s="49"/>
      <c r="D996" t="str">
        <f>IFERROR(XLOOKUP(C996,'Master Barang'!$A:$A,'Master Barang'!$B:$B,""),"")</f>
        <v/>
      </c>
      <c r="E996" s="52"/>
      <c r="F996" t="str">
        <f>IFERROR(XLOOKUP(C996,'Master Barang'!$A:$A,'Master Barang'!$D:$D,""),"")</f>
        <v/>
      </c>
    </row>
    <row r="997" spans="1:6">
      <c r="A997" s="49"/>
      <c r="D997" t="str">
        <f>IFERROR(XLOOKUP(C997,'Master Barang'!$A:$A,'Master Barang'!$B:$B,""),"")</f>
        <v/>
      </c>
      <c r="E997" s="52"/>
      <c r="F997" t="str">
        <f>IFERROR(XLOOKUP(C997,'Master Barang'!$A:$A,'Master Barang'!$D:$D,""),"")</f>
        <v/>
      </c>
    </row>
    <row r="998" spans="1:6">
      <c r="A998" s="49"/>
      <c r="D998" t="str">
        <f>IFERROR(XLOOKUP(C998,'Master Barang'!$A:$A,'Master Barang'!$B:$B,""),"")</f>
        <v/>
      </c>
      <c r="E998" s="52"/>
      <c r="F998" t="str">
        <f>IFERROR(XLOOKUP(C998,'Master Barang'!$A:$A,'Master Barang'!$D:$D,""),"")</f>
        <v/>
      </c>
    </row>
    <row r="999" spans="1:6">
      <c r="A999" s="49"/>
      <c r="D999" t="str">
        <f>IFERROR(XLOOKUP(C999,'Master Barang'!$A:$A,'Master Barang'!$B:$B,""),"")</f>
        <v/>
      </c>
      <c r="E999" s="52"/>
      <c r="F999" t="str">
        <f>IFERROR(XLOOKUP(C999,'Master Barang'!$A:$A,'Master Barang'!$D:$D,""),"")</f>
        <v/>
      </c>
    </row>
    <row r="1000" spans="1:6">
      <c r="A1000" s="49"/>
      <c r="D1000" t="str">
        <f>IFERROR(XLOOKUP(C1000,'Master Barang'!$A:$A,'Master Barang'!$B:$B,""),"")</f>
        <v/>
      </c>
      <c r="E1000" s="52"/>
      <c r="F1000" t="str">
        <f>IFERROR(XLOOKUP(C1000,'Master Barang'!$A:$A,'Master Barang'!$D:$D,""),"")</f>
        <v/>
      </c>
    </row>
    <row r="1001" spans="1:6">
      <c r="A1001" s="49"/>
      <c r="D1001" t="str">
        <f>IFERROR(XLOOKUP(C1001,'Master Barang'!$A:$A,'Master Barang'!$B:$B,""),"")</f>
        <v/>
      </c>
      <c r="E1001" s="52"/>
      <c r="F1001" t="str">
        <f>IFERROR(XLOOKUP(C1001,'Master Barang'!$A:$A,'Master Barang'!$D:$D,""),"")</f>
        <v/>
      </c>
    </row>
  </sheetData>
  <dataValidations count="1">
    <dataValidation type="list" allowBlank="1" showInputMessage="1" showErrorMessage="1" promptTitle="Pilih Barang" prompt="Pilih Kode Barang. Nama barang akan muncul otomatis di kolom sebelahnya." sqref="C2:C1001">
      <formula1>'Master Barang'!$A$2:$A$500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6607"/>
  <sheetViews>
    <sheetView workbookViewId="0">
      <pane ySplit="1" topLeftCell="A24" activePane="bottomLeft" state="frozen"/>
      <selection/>
      <selection pane="bottomLeft" activeCell="C45" sqref="C45"/>
    </sheetView>
  </sheetViews>
  <sheetFormatPr defaultColWidth="9" defaultRowHeight="14"/>
  <cols>
    <col min="1" max="4" width="30" customWidth="1"/>
    <col min="5" max="5" width="12" customWidth="1"/>
    <col min="6" max="7" width="30" customWidth="1"/>
    <col min="8" max="8" width="12" customWidth="1"/>
    <col min="9" max="9" width="30" customWidth="1"/>
    <col min="10" max="10" width="22" customWidth="1"/>
    <col min="11" max="11" width="30" customWidth="1"/>
    <col min="12" max="12" width="12" customWidth="1"/>
    <col min="13" max="16" width="30" customWidth="1"/>
  </cols>
  <sheetData>
    <row r="1" ht="22.4" spans="1:1">
      <c r="A1" s="48" t="s">
        <v>33</v>
      </c>
    </row>
    <row r="3" spans="1:13">
      <c r="A3" t="s">
        <v>3</v>
      </c>
      <c r="B3" t="s">
        <v>4</v>
      </c>
      <c r="F3" s="50" t="s">
        <v>34</v>
      </c>
      <c r="I3" s="50" t="s">
        <v>35</v>
      </c>
      <c r="M3" s="50" t="s">
        <v>36</v>
      </c>
    </row>
    <row r="4" spans="1:2">
      <c r="A4" s="49" t="s">
        <v>7</v>
      </c>
      <c r="B4" s="49" t="s">
        <v>8</v>
      </c>
    </row>
    <row r="6" spans="1:4">
      <c r="A6" s="47" t="s">
        <v>9</v>
      </c>
      <c r="B6" s="47" t="s">
        <v>10</v>
      </c>
      <c r="C6" s="47" t="s">
        <v>27</v>
      </c>
      <c r="D6" s="47" t="s">
        <v>37</v>
      </c>
    </row>
    <row r="7" spans="1:16">
      <c r="A7" t="str">
        <f>IFERROR('Master Barang'!A2,"")</f>
        <v>PRL-001</v>
      </c>
      <c r="B7" t="str">
        <f>IFERROR('Master Barang'!B2,"")</f>
        <v>natura desinfectant food grade 5l</v>
      </c>
      <c r="C7" t="str">
        <f>IFERROR('Master Barang'!D2,"")</f>
        <v>pcs</v>
      </c>
      <c r="D7">
        <f>IF(A7="","",SUMIFS('Barang Keluar'!$E:$E,'Barang Keluar'!$C:$C,A7,'Barang Keluar'!$A:$A,"&gt;="&amp;$A$4,'Barang Keluar'!$A:$A,"&lt;="&amp;$B$4))</f>
        <v>0</v>
      </c>
      <c r="F7" s="51" t="s">
        <v>23</v>
      </c>
      <c r="G7" s="51" t="s">
        <v>31</v>
      </c>
      <c r="I7" s="51" t="s">
        <v>38</v>
      </c>
      <c r="J7" s="51" t="s">
        <v>39</v>
      </c>
      <c r="K7" s="51" t="s">
        <v>31</v>
      </c>
      <c r="M7" s="51" t="s">
        <v>23</v>
      </c>
      <c r="N7" s="51" t="s">
        <v>9</v>
      </c>
      <c r="O7" s="51" t="s">
        <v>10</v>
      </c>
      <c r="P7" s="51" t="s">
        <v>40</v>
      </c>
    </row>
    <row r="8" spans="1:16">
      <c r="A8" t="str">
        <f>IFERROR('Master Barang'!A3,"")</f>
        <v>PRL-002</v>
      </c>
      <c r="B8" t="str">
        <f>IFERROR('Master Barang'!B3,"")</f>
        <v>sunlight cairan pencuci piring 5l</v>
      </c>
      <c r="C8" t="str">
        <f>IFERROR('Master Barang'!D3,"")</f>
        <v>pcs</v>
      </c>
      <c r="D8">
        <f>IF(A8="","",SUMIFS('Barang Keluar'!$E:$E,'Barang Keluar'!$C:$C,A8,'Barang Keluar'!$A:$A,"&gt;="&amp;$A$4,'Barang Keluar'!$A:$A,"&lt;="&amp;$B$4))</f>
        <v>0</v>
      </c>
      <c r="F8" s="49">
        <f>IF($A$4+ROW()-8&gt;$B$4,"",$A$4+ROW()-8)</f>
        <v>46023</v>
      </c>
      <c r="G8">
        <f>IF(F8="","",SUMIFS('Barang Keluar'!$E:$E,'Barang Keluar'!$A:$A,F8))</f>
        <v>0</v>
      </c>
      <c r="I8" s="49">
        <f>IF($A$4+7*(ROW()-8)-WEEKDAY($A$4,2)+1&gt;$B$4,"",$A$4+7*(ROW()-8)-WEEKDAY($A$4,2)+1)</f>
        <v>46020</v>
      </c>
      <c r="J8" s="49">
        <f t="shared" ref="J8:J60" si="0">IF(I8="","",I8+6)</f>
        <v>46026</v>
      </c>
      <c r="K8">
        <f>IF(I8="","",SUMIFS('Barang Keluar'!$E:$E,'Barang Keluar'!$A:$A,"&gt;="&amp;I8,'Barang Keluar'!$A:$A,"&lt;="&amp;J8))</f>
        <v>0</v>
      </c>
      <c r="M8" s="49">
        <f>IF($A$4+0&gt;$B$4,"",$A$4+0)</f>
        <v>46023</v>
      </c>
      <c r="N8" t="str">
        <f>IF(M8="","",'Master Barang'!A2)</f>
        <v>PRL-001</v>
      </c>
      <c r="O8" t="str">
        <f>IF(N8="","",'Master Barang'!B2)</f>
        <v>natura desinfectant food grade 5l</v>
      </c>
      <c r="P8">
        <f>IF(OR(M8="",N8=""),"",SUMIFS('Barang Keluar'!$E:$E,'Barang Keluar'!$A:$A,M8,'Barang Keluar'!$C:$C,N8))</f>
        <v>0</v>
      </c>
    </row>
    <row r="9" spans="1:16">
      <c r="A9" t="str">
        <f>IFERROR('Master Barang'!A4,"")</f>
        <v>PRL-003</v>
      </c>
      <c r="B9" t="str">
        <f>IFERROR('Master Barang'!B4,"")</f>
        <v>oixs cleaner 1l</v>
      </c>
      <c r="C9" t="str">
        <f>IFERROR('Master Barang'!D4,"")</f>
        <v>pcs</v>
      </c>
      <c r="D9">
        <f>IF(A9="","",SUMIFS('Barang Keluar'!$E:$E,'Barang Keluar'!$C:$C,A9,'Barang Keluar'!$A:$A,"&gt;="&amp;$A$4,'Barang Keluar'!$A:$A,"&lt;="&amp;$B$4))</f>
        <v>0</v>
      </c>
      <c r="F9" s="49">
        <f>IF($A$4+ROW()-8&gt;$B$4,"",$A$4+ROW()-8)</f>
        <v>46024</v>
      </c>
      <c r="G9">
        <f>IF(F9="","",SUMIFS('Barang Keluar'!$E:$E,'Barang Keluar'!$A:$A,F9))</f>
        <v>0</v>
      </c>
      <c r="I9" s="49">
        <f>IF($A$4+7*(ROW()-8)-WEEKDAY($A$4,2)+1&gt;$B$4,"",$A$4+7*(ROW()-8)-WEEKDAY($A$4,2)+1)</f>
        <v>46027</v>
      </c>
      <c r="J9" s="49">
        <f t="shared" si="0"/>
        <v>46033</v>
      </c>
      <c r="K9">
        <f>IF(I9="","",SUMIFS('Barang Keluar'!$E:$E,'Barang Keluar'!$A:$A,"&gt;="&amp;I9,'Barang Keluar'!$A:$A,"&lt;="&amp;J9))</f>
        <v>0</v>
      </c>
      <c r="M9" s="49">
        <f>IF($A$4+0&gt;$B$4,"",$A$4+0)</f>
        <v>46023</v>
      </c>
      <c r="N9" t="str">
        <f>IF(M9="","",'Master Barang'!A3)</f>
        <v>PRL-002</v>
      </c>
      <c r="O9" t="str">
        <f>IF(N9="","",'Master Barang'!B3)</f>
        <v>sunlight cairan pencuci piring 5l</v>
      </c>
      <c r="P9">
        <f>IF(OR(M9="",N9=""),"",SUMIFS('Barang Keluar'!$E:$E,'Barang Keluar'!$A:$A,M9,'Barang Keluar'!$C:$C,N9))</f>
        <v>0</v>
      </c>
    </row>
    <row r="10" spans="1:16">
      <c r="A10" t="str">
        <f>IFERROR('Master Barang'!A5,"")</f>
        <v>PRL-004</v>
      </c>
      <c r="B10" t="str">
        <f>IFERROR('Master Barang'!B5,"")</f>
        <v>be clean tissue serbaguna</v>
      </c>
      <c r="C10" t="str">
        <f>IFERROR('Master Barang'!D5,"")</f>
        <v>pcs</v>
      </c>
      <c r="D10">
        <f>IF(A10="","",SUMIFS('Barang Keluar'!$E:$E,'Barang Keluar'!$C:$C,A10,'Barang Keluar'!$A:$A,"&gt;="&amp;$A$4,'Barang Keluar'!$A:$A,"&lt;="&amp;$B$4))</f>
        <v>0</v>
      </c>
      <c r="F10" s="49">
        <f>IF($A$4+ROW()-8&gt;$B$4,"",$A$4+ROW()-8)</f>
        <v>46025</v>
      </c>
      <c r="G10">
        <f>IF(F10="","",SUMIFS('Barang Keluar'!$E:$E,'Barang Keluar'!$A:$A,F10))</f>
        <v>0</v>
      </c>
      <c r="I10" s="49">
        <f>IF($A$4+7*(ROW()-8)-WEEKDAY($A$4,2)+1&gt;$B$4,"",$A$4+7*(ROW()-8)-WEEKDAY($A$4,2)+1)</f>
        <v>46034</v>
      </c>
      <c r="J10" s="49">
        <f t="shared" si="0"/>
        <v>46040</v>
      </c>
      <c r="K10">
        <f>IF(I10="","",SUMIFS('Barang Keluar'!$E:$E,'Barang Keluar'!$A:$A,"&gt;="&amp;I10,'Barang Keluar'!$A:$A,"&lt;="&amp;J10))</f>
        <v>0</v>
      </c>
      <c r="M10" s="49">
        <f>IF($A$4+0&gt;$B$4,"",$A$4+0)</f>
        <v>46023</v>
      </c>
      <c r="N10" t="str">
        <f>IF(M10="","",'Master Barang'!A4)</f>
        <v>PRL-003</v>
      </c>
      <c r="O10" t="str">
        <f>IF(N10="","",'Master Barang'!B4)</f>
        <v>oixs cleaner 1l</v>
      </c>
      <c r="P10">
        <f>IF(OR(M10="",N10=""),"",SUMIFS('Barang Keluar'!$E:$E,'Barang Keluar'!$A:$A,M10,'Barang Keluar'!$C:$C,N10))</f>
        <v>0</v>
      </c>
    </row>
    <row r="11" spans="1:16">
      <c r="A11" t="str">
        <f>IFERROR('Master Barang'!A6,"")</f>
        <v>PRL-005</v>
      </c>
      <c r="B11" t="str">
        <f>IFERROR('Master Barang'!B6,"")</f>
        <v>spons cuci hijau</v>
      </c>
      <c r="C11" t="str">
        <f>IFERROR('Master Barang'!D6,"")</f>
        <v>pcs</v>
      </c>
      <c r="D11">
        <f>IF(A11="","",SUMIFS('Barang Keluar'!$E:$E,'Barang Keluar'!$C:$C,A11,'Barang Keluar'!$A:$A,"&gt;="&amp;$A$4,'Barang Keluar'!$A:$A,"&lt;="&amp;$B$4))</f>
        <v>0</v>
      </c>
      <c r="F11" s="49">
        <f>IF($A$4+ROW()-8&gt;$B$4,"",$A$4+ROW()-8)</f>
        <v>46026</v>
      </c>
      <c r="G11">
        <f>IF(F11="","",SUMIFS('Barang Keluar'!$E:$E,'Barang Keluar'!$A:$A,F11))</f>
        <v>0</v>
      </c>
      <c r="I11" s="49">
        <f>IF($A$4+7*(ROW()-8)-WEEKDAY($A$4,2)+1&gt;$B$4,"",$A$4+7*(ROW()-8)-WEEKDAY($A$4,2)+1)</f>
        <v>46041</v>
      </c>
      <c r="J11" s="49">
        <f t="shared" si="0"/>
        <v>46047</v>
      </c>
      <c r="K11">
        <f>IF(I11="","",SUMIFS('Barang Keluar'!$E:$E,'Barang Keluar'!$A:$A,"&gt;="&amp;I11,'Barang Keluar'!$A:$A,"&lt;="&amp;J11))</f>
        <v>0</v>
      </c>
      <c r="M11" s="49">
        <f>IF($A$4+0&gt;$B$4,"",$A$4+0)</f>
        <v>46023</v>
      </c>
      <c r="N11" t="str">
        <f>IF(M11="","",'Master Barang'!A5)</f>
        <v>PRL-004</v>
      </c>
      <c r="O11" t="str">
        <f>IF(N11="","",'Master Barang'!B5)</f>
        <v>be clean tissue serbaguna</v>
      </c>
      <c r="P11">
        <f>IF(OR(M11="",N11=""),"",SUMIFS('Barang Keluar'!$E:$E,'Barang Keluar'!$A:$A,M11,'Barang Keluar'!$C:$C,N11))</f>
        <v>0</v>
      </c>
    </row>
    <row r="12" spans="1:16">
      <c r="A12" t="str">
        <f>IFERROR('Master Barang'!A7,"")</f>
        <v>PRL-006</v>
      </c>
      <c r="B12" t="str">
        <f>IFERROR('Master Barang'!B7,"")</f>
        <v>sabut cuci stainless</v>
      </c>
      <c r="C12" t="str">
        <f>IFERROR('Master Barang'!D7,"")</f>
        <v>pcs</v>
      </c>
      <c r="D12">
        <f>IF(A12="","",SUMIFS('Barang Keluar'!$E:$E,'Barang Keluar'!$C:$C,A12,'Barang Keluar'!$A:$A,"&gt;="&amp;$A$4,'Barang Keluar'!$A:$A,"&lt;="&amp;$B$4))</f>
        <v>0</v>
      </c>
      <c r="F12" s="49">
        <f>IF($A$4+ROW()-8&gt;$B$4,"",$A$4+ROW()-8)</f>
        <v>46027</v>
      </c>
      <c r="G12">
        <f>IF(F12="","",SUMIFS('Barang Keluar'!$E:$E,'Barang Keluar'!$A:$A,F12))</f>
        <v>0</v>
      </c>
      <c r="I12" s="49">
        <f>IF($A$4+7*(ROW()-8)-WEEKDAY($A$4,2)+1&gt;$B$4,"",$A$4+7*(ROW()-8)-WEEKDAY($A$4,2)+1)</f>
        <v>46048</v>
      </c>
      <c r="J12" s="49">
        <f t="shared" si="0"/>
        <v>46054</v>
      </c>
      <c r="K12">
        <f>IF(I12="","",SUMIFS('Barang Keluar'!$E:$E,'Barang Keluar'!$A:$A,"&gt;="&amp;I12,'Barang Keluar'!$A:$A,"&lt;="&amp;J12))</f>
        <v>0</v>
      </c>
      <c r="M12" s="49">
        <f>IF($A$4+0&gt;$B$4,"",$A$4+0)</f>
        <v>46023</v>
      </c>
      <c r="N12" t="str">
        <f>IF(M12="","",'Master Barang'!A6)</f>
        <v>PRL-005</v>
      </c>
      <c r="O12" t="str">
        <f>IF(N12="","",'Master Barang'!B6)</f>
        <v>spons cuci hijau</v>
      </c>
      <c r="P12">
        <f>IF(OR(M12="",N12=""),"",SUMIFS('Barang Keluar'!$E:$E,'Barang Keluar'!$A:$A,M12,'Barang Keluar'!$C:$C,N12))</f>
        <v>0</v>
      </c>
    </row>
    <row r="13" spans="1:16">
      <c r="A13" t="str">
        <f>IFERROR('Master Barang'!A8,"")</f>
        <v>PRL-007</v>
      </c>
      <c r="B13" t="str">
        <f>IFERROR('Master Barang'!B8,"")</f>
        <v>plastik kresek besar merah 50pc</v>
      </c>
      <c r="C13" t="str">
        <f>IFERROR('Master Barang'!D8,"")</f>
        <v>pack</v>
      </c>
      <c r="D13">
        <f>IF(A13="","",SUMIFS('Barang Keluar'!$E:$E,'Barang Keluar'!$C:$C,A13,'Barang Keluar'!$A:$A,"&gt;="&amp;$A$4,'Barang Keluar'!$A:$A,"&lt;="&amp;$B$4))</f>
        <v>0</v>
      </c>
      <c r="F13" s="49">
        <f>IF($A$4+ROW()-8&gt;$B$4,"",$A$4+ROW()-8)</f>
        <v>46028</v>
      </c>
      <c r="G13">
        <f>IF(F13="","",SUMIFS('Barang Keluar'!$E:$E,'Barang Keluar'!$A:$A,F13))</f>
        <v>0</v>
      </c>
      <c r="I13" s="49">
        <f>IF($A$4+7*(ROW()-8)-WEEKDAY($A$4,2)+1&gt;$B$4,"",$A$4+7*(ROW()-8)-WEEKDAY($A$4,2)+1)</f>
        <v>46055</v>
      </c>
      <c r="J13" s="49">
        <f t="shared" si="0"/>
        <v>46061</v>
      </c>
      <c r="K13">
        <f>IF(I13="","",SUMIFS('Barang Keluar'!$E:$E,'Barang Keluar'!$A:$A,"&gt;="&amp;I13,'Barang Keluar'!$A:$A,"&lt;="&amp;J13))</f>
        <v>0</v>
      </c>
      <c r="M13" s="49">
        <f>IF($A$4+0&gt;$B$4,"",$A$4+0)</f>
        <v>46023</v>
      </c>
      <c r="N13" t="str">
        <f>IF(M13="","",'Master Barang'!A7)</f>
        <v>PRL-006</v>
      </c>
      <c r="O13" t="str">
        <f>IF(N13="","",'Master Barang'!B7)</f>
        <v>sabut cuci stainless</v>
      </c>
      <c r="P13">
        <f>IF(OR(M13="",N13=""),"",SUMIFS('Barang Keluar'!$E:$E,'Barang Keluar'!$A:$A,M13,'Barang Keluar'!$C:$C,N13))</f>
        <v>0</v>
      </c>
    </row>
    <row r="14" spans="1:16">
      <c r="A14" t="str">
        <f>IFERROR('Master Barang'!A9,"")</f>
        <v>PRL-008</v>
      </c>
      <c r="B14" t="str">
        <f>IFERROR('Master Barang'!B9,"")</f>
        <v>lap besar</v>
      </c>
      <c r="C14" t="str">
        <f>IFERROR('Master Barang'!D9,"")</f>
        <v>pcs</v>
      </c>
      <c r="D14">
        <f>IF(A14="","",SUMIFS('Barang Keluar'!$E:$E,'Barang Keluar'!$C:$C,A14,'Barang Keluar'!$A:$A,"&gt;="&amp;$A$4,'Barang Keluar'!$A:$A,"&lt;="&amp;$B$4))</f>
        <v>0</v>
      </c>
      <c r="F14" s="49">
        <f>IF($A$4+ROW()-8&gt;$B$4,"",$A$4+ROW()-8)</f>
        <v>46029</v>
      </c>
      <c r="G14">
        <f>IF(F14="","",SUMIFS('Barang Keluar'!$E:$E,'Barang Keluar'!$A:$A,F14))</f>
        <v>0</v>
      </c>
      <c r="I14" s="49">
        <f>IF($A$4+7*(ROW()-8)-WEEKDAY($A$4,2)+1&gt;$B$4,"",$A$4+7*(ROW()-8)-WEEKDAY($A$4,2)+1)</f>
        <v>46062</v>
      </c>
      <c r="J14" s="49">
        <f t="shared" si="0"/>
        <v>46068</v>
      </c>
      <c r="K14">
        <f>IF(I14="","",SUMIFS('Barang Keluar'!$E:$E,'Barang Keluar'!$A:$A,"&gt;="&amp;I14,'Barang Keluar'!$A:$A,"&lt;="&amp;J14))</f>
        <v>0</v>
      </c>
      <c r="M14" s="49">
        <f>IF($A$4+0&gt;$B$4,"",$A$4+0)</f>
        <v>46023</v>
      </c>
      <c r="N14" t="str">
        <f>IF(M14="","",'Master Barang'!A8)</f>
        <v>PRL-007</v>
      </c>
      <c r="O14" t="str">
        <f>IF(N14="","",'Master Barang'!B8)</f>
        <v>plastik kresek besar merah 50pc</v>
      </c>
      <c r="P14">
        <f>IF(OR(M14="",N14=""),"",SUMIFS('Barang Keluar'!$E:$E,'Barang Keluar'!$A:$A,M14,'Barang Keluar'!$C:$C,N14))</f>
        <v>0</v>
      </c>
    </row>
    <row r="15" spans="1:16">
      <c r="A15" t="str">
        <f>IFERROR('Master Barang'!A10,"")</f>
        <v>PRL-009</v>
      </c>
      <c r="B15" t="str">
        <f>IFERROR('Master Barang'!B10,"")</f>
        <v>lap microfiber</v>
      </c>
      <c r="C15" t="str">
        <f>IFERROR('Master Barang'!D10,"")</f>
        <v>pcs</v>
      </c>
      <c r="D15">
        <f>IF(A15="","",SUMIFS('Barang Keluar'!$E:$E,'Barang Keluar'!$C:$C,A15,'Barang Keluar'!$A:$A,"&gt;="&amp;$A$4,'Barang Keluar'!$A:$A,"&lt;="&amp;$B$4))</f>
        <v>0</v>
      </c>
      <c r="F15" s="49">
        <f>IF($A$4+ROW()-8&gt;$B$4,"",$A$4+ROW()-8)</f>
        <v>46030</v>
      </c>
      <c r="G15">
        <f>IF(F15="","",SUMIFS('Barang Keluar'!$E:$E,'Barang Keluar'!$A:$A,F15))</f>
        <v>0</v>
      </c>
      <c r="I15" s="49">
        <f>IF($A$4+7*(ROW()-8)-WEEKDAY($A$4,2)+1&gt;$B$4,"",$A$4+7*(ROW()-8)-WEEKDAY($A$4,2)+1)</f>
        <v>46069</v>
      </c>
      <c r="J15" s="49">
        <f t="shared" si="0"/>
        <v>46075</v>
      </c>
      <c r="K15">
        <f>IF(I15="","",SUMIFS('Barang Keluar'!$E:$E,'Barang Keluar'!$A:$A,"&gt;="&amp;I15,'Barang Keluar'!$A:$A,"&lt;="&amp;J15))</f>
        <v>0</v>
      </c>
      <c r="M15" s="49">
        <f>IF($A$4+0&gt;$B$4,"",$A$4+0)</f>
        <v>46023</v>
      </c>
      <c r="N15" t="str">
        <f>IF(M15="","",'Master Barang'!A9)</f>
        <v>PRL-008</v>
      </c>
      <c r="O15" t="str">
        <f>IF(N15="","",'Master Barang'!B9)</f>
        <v>lap besar</v>
      </c>
      <c r="P15">
        <f>IF(OR(M15="",N15=""),"",SUMIFS('Barang Keluar'!$E:$E,'Barang Keluar'!$A:$A,M15,'Barang Keluar'!$C:$C,N15))</f>
        <v>0</v>
      </c>
    </row>
    <row r="16" spans="1:16">
      <c r="A16" t="str">
        <f>IFERROR('Master Barang'!A11,"")</f>
        <v>PRL-010</v>
      </c>
      <c r="B16" t="str">
        <f>IFERROR('Master Barang'!B11,"")</f>
        <v>lap kecil</v>
      </c>
      <c r="C16" t="str">
        <f>IFERROR('Master Barang'!D11,"")</f>
        <v>pcs</v>
      </c>
      <c r="D16">
        <f>IF(A16="","",SUMIFS('Barang Keluar'!$E:$E,'Barang Keluar'!$C:$C,A16,'Barang Keluar'!$A:$A,"&gt;="&amp;$A$4,'Barang Keluar'!$A:$A,"&lt;="&amp;$B$4))</f>
        <v>0</v>
      </c>
      <c r="F16" s="49">
        <f>IF($A$4+ROW()-8&gt;$B$4,"",$A$4+ROW()-8)</f>
        <v>46031</v>
      </c>
      <c r="G16">
        <f>IF(F16="","",SUMIFS('Barang Keluar'!$E:$E,'Barang Keluar'!$A:$A,F16))</f>
        <v>0</v>
      </c>
      <c r="I16" s="49">
        <f>IF($A$4+7*(ROW()-8)-WEEKDAY($A$4,2)+1&gt;$B$4,"",$A$4+7*(ROW()-8)-WEEKDAY($A$4,2)+1)</f>
        <v>46076</v>
      </c>
      <c r="J16" s="49">
        <f t="shared" si="0"/>
        <v>46082</v>
      </c>
      <c r="K16">
        <f>IF(I16="","",SUMIFS('Barang Keluar'!$E:$E,'Barang Keluar'!$A:$A,"&gt;="&amp;I16,'Barang Keluar'!$A:$A,"&lt;="&amp;J16))</f>
        <v>0</v>
      </c>
      <c r="M16" s="49">
        <f>IF($A$4+0&gt;$B$4,"",$A$4+0)</f>
        <v>46023</v>
      </c>
      <c r="N16" t="str">
        <f>IF(M16="","",'Master Barang'!A10)</f>
        <v>PRL-009</v>
      </c>
      <c r="O16" t="str">
        <f>IF(N16="","",'Master Barang'!B10)</f>
        <v>lap microfiber</v>
      </c>
      <c r="P16">
        <f>IF(OR(M16="",N16=""),"",SUMIFS('Barang Keluar'!$E:$E,'Barang Keluar'!$A:$A,M16,'Barang Keluar'!$C:$C,N16))</f>
        <v>0</v>
      </c>
    </row>
    <row r="17" spans="1:16">
      <c r="A17" t="str">
        <f>IFERROR('Master Barang'!A12,"")</f>
        <v>PRL-011</v>
      </c>
      <c r="B17" t="str">
        <f>IFERROR('Master Barang'!B12,"")</f>
        <v>kanebo kecil</v>
      </c>
      <c r="C17" t="str">
        <f>IFERROR('Master Barang'!D12,"")</f>
        <v>pcs</v>
      </c>
      <c r="D17">
        <f>IF(A17="","",SUMIFS('Barang Keluar'!$E:$E,'Barang Keluar'!$C:$C,A17,'Barang Keluar'!$A:$A,"&gt;="&amp;$A$4,'Barang Keluar'!$A:$A,"&lt;="&amp;$B$4))</f>
        <v>0</v>
      </c>
      <c r="F17" s="49">
        <f>IF($A$4+ROW()-8&gt;$B$4,"",$A$4+ROW()-8)</f>
        <v>46032</v>
      </c>
      <c r="G17">
        <f>IF(F17="","",SUMIFS('Barang Keluar'!$E:$E,'Barang Keluar'!$A:$A,F17))</f>
        <v>0</v>
      </c>
      <c r="I17" s="49">
        <f>IF($A$4+7*(ROW()-8)-WEEKDAY($A$4,2)+1&gt;$B$4,"",$A$4+7*(ROW()-8)-WEEKDAY($A$4,2)+1)</f>
        <v>46083</v>
      </c>
      <c r="J17" s="49">
        <f t="shared" si="0"/>
        <v>46089</v>
      </c>
      <c r="K17">
        <f>IF(I17="","",SUMIFS('Barang Keluar'!$E:$E,'Barang Keluar'!$A:$A,"&gt;="&amp;I17,'Barang Keluar'!$A:$A,"&lt;="&amp;J17))</f>
        <v>0</v>
      </c>
      <c r="M17" s="49">
        <f>IF($A$4+0&gt;$B$4,"",$A$4+0)</f>
        <v>46023</v>
      </c>
      <c r="N17" t="str">
        <f>IF(M17="","",'Master Barang'!A11)</f>
        <v>PRL-010</v>
      </c>
      <c r="O17" t="str">
        <f>IF(N17="","",'Master Barang'!B11)</f>
        <v>lap kecil</v>
      </c>
      <c r="P17">
        <f>IF(OR(M17="",N17=""),"",SUMIFS('Barang Keluar'!$E:$E,'Barang Keluar'!$A:$A,M17,'Barang Keluar'!$C:$C,N17))</f>
        <v>0</v>
      </c>
    </row>
    <row r="18" spans="1:16">
      <c r="A18" t="str">
        <f>IFERROR('Master Barang'!A13,"")</f>
        <v>PRL-012</v>
      </c>
      <c r="B18" t="str">
        <f>IFERROR('Master Barang'!B13,"")</f>
        <v>plastik 1/4kg joyoboyo 100 lembar</v>
      </c>
      <c r="C18" t="str">
        <f>IFERROR('Master Barang'!D13,"")</f>
        <v>pack</v>
      </c>
      <c r="D18">
        <f>IF(A18="","",SUMIFS('Barang Keluar'!$E:$E,'Barang Keluar'!$C:$C,A18,'Barang Keluar'!$A:$A,"&gt;="&amp;$A$4,'Barang Keluar'!$A:$A,"&lt;="&amp;$B$4))</f>
        <v>0</v>
      </c>
      <c r="F18" s="49">
        <f>IF($A$4+ROW()-8&gt;$B$4,"",$A$4+ROW()-8)</f>
        <v>46033</v>
      </c>
      <c r="G18">
        <f>IF(F18="","",SUMIFS('Barang Keluar'!$E:$E,'Barang Keluar'!$A:$A,F18))</f>
        <v>0</v>
      </c>
      <c r="I18" s="49">
        <f>IF($A$4+7*(ROW()-8)-WEEKDAY($A$4,2)+1&gt;$B$4,"",$A$4+7*(ROW()-8)-WEEKDAY($A$4,2)+1)</f>
        <v>46090</v>
      </c>
      <c r="J18" s="49">
        <f t="shared" si="0"/>
        <v>46096</v>
      </c>
      <c r="K18">
        <f>IF(I18="","",SUMIFS('Barang Keluar'!$E:$E,'Barang Keluar'!$A:$A,"&gt;="&amp;I18,'Barang Keluar'!$A:$A,"&lt;="&amp;J18))</f>
        <v>0</v>
      </c>
      <c r="M18" s="49">
        <f>IF($A$4+0&gt;$B$4,"",$A$4+0)</f>
        <v>46023</v>
      </c>
      <c r="N18" t="str">
        <f>IF(M18="","",'Master Barang'!A12)</f>
        <v>PRL-011</v>
      </c>
      <c r="O18" t="str">
        <f>IF(N18="","",'Master Barang'!B12)</f>
        <v>kanebo kecil</v>
      </c>
      <c r="P18">
        <f>IF(OR(M18="",N18=""),"",SUMIFS('Barang Keluar'!$E:$E,'Barang Keluar'!$A:$A,M18,'Barang Keluar'!$C:$C,N18))</f>
        <v>0</v>
      </c>
    </row>
    <row r="19" spans="1:16">
      <c r="A19" t="str">
        <f>IFERROR('Master Barang'!A14,"")</f>
        <v>PRL-013</v>
      </c>
      <c r="B19" t="str">
        <f>IFERROR('Master Barang'!B14,"")</f>
        <v>sarung tangan plastik kaka 100 pcs</v>
      </c>
      <c r="C19" t="str">
        <f>IFERROR('Master Barang'!D14,"")</f>
        <v>pack</v>
      </c>
      <c r="D19">
        <f>IF(A19="","",SUMIFS('Barang Keluar'!$E:$E,'Barang Keluar'!$C:$C,A19,'Barang Keluar'!$A:$A,"&gt;="&amp;$A$4,'Barang Keluar'!$A:$A,"&lt;="&amp;$B$4))</f>
        <v>0</v>
      </c>
      <c r="F19" s="49">
        <f>IF($A$4+ROW()-8&gt;$B$4,"",$A$4+ROW()-8)</f>
        <v>46034</v>
      </c>
      <c r="G19">
        <f>IF(F19="","",SUMIFS('Barang Keluar'!$E:$E,'Barang Keluar'!$A:$A,F19))</f>
        <v>0</v>
      </c>
      <c r="I19" s="49">
        <f>IF($A$4+7*(ROW()-8)-WEEKDAY($A$4,2)+1&gt;$B$4,"",$A$4+7*(ROW()-8)-WEEKDAY($A$4,2)+1)</f>
        <v>46097</v>
      </c>
      <c r="J19" s="49">
        <f t="shared" si="0"/>
        <v>46103</v>
      </c>
      <c r="K19">
        <f>IF(I19="","",SUMIFS('Barang Keluar'!$E:$E,'Barang Keluar'!$A:$A,"&gt;="&amp;I19,'Barang Keluar'!$A:$A,"&lt;="&amp;J19))</f>
        <v>0</v>
      </c>
      <c r="M19" s="49">
        <f>IF($A$4+0&gt;$B$4,"",$A$4+0)</f>
        <v>46023</v>
      </c>
      <c r="N19" t="str">
        <f>IF(M19="","",'Master Barang'!A13)</f>
        <v>PRL-012</v>
      </c>
      <c r="O19" t="str">
        <f>IF(N19="","",'Master Barang'!B13)</f>
        <v>plastik 1/4kg joyoboyo 100 lembar</v>
      </c>
      <c r="P19">
        <f>IF(OR(M19="",N19=""),"",SUMIFS('Barang Keluar'!$E:$E,'Barang Keluar'!$A:$A,M19,'Barang Keluar'!$C:$C,N19))</f>
        <v>0</v>
      </c>
    </row>
    <row r="20" spans="1:16">
      <c r="A20" t="str">
        <f>IFERROR('Master Barang'!A15,"")</f>
        <v>PRL-014</v>
      </c>
      <c r="B20" t="str">
        <f>IFERROR('Master Barang'!B15,"")</f>
        <v>optima trashbag 80x100</v>
      </c>
      <c r="C20" t="str">
        <f>IFERROR('Master Barang'!D15,"")</f>
        <v>pack</v>
      </c>
      <c r="D20">
        <f>IF(A20="","",SUMIFS('Barang Keluar'!$E:$E,'Barang Keluar'!$C:$C,A20,'Barang Keluar'!$A:$A,"&gt;="&amp;$A$4,'Barang Keluar'!$A:$A,"&lt;="&amp;$B$4))</f>
        <v>0</v>
      </c>
      <c r="F20" s="49">
        <f>IF($A$4+ROW()-8&gt;$B$4,"",$A$4+ROW()-8)</f>
        <v>46035</v>
      </c>
      <c r="G20">
        <f>IF(F20="","",SUMIFS('Barang Keluar'!$E:$E,'Barang Keluar'!$A:$A,F20))</f>
        <v>0</v>
      </c>
      <c r="I20" s="49">
        <f>IF($A$4+7*(ROW()-8)-WEEKDAY($A$4,2)+1&gt;$B$4,"",$A$4+7*(ROW()-8)-WEEKDAY($A$4,2)+1)</f>
        <v>46104</v>
      </c>
      <c r="J20" s="49">
        <f t="shared" si="0"/>
        <v>46110</v>
      </c>
      <c r="K20">
        <f>IF(I20="","",SUMIFS('Barang Keluar'!$E:$E,'Barang Keluar'!$A:$A,"&gt;="&amp;I20,'Barang Keluar'!$A:$A,"&lt;="&amp;J20))</f>
        <v>0</v>
      </c>
      <c r="M20" s="49">
        <f>IF($A$4+0&gt;$B$4,"",$A$4+0)</f>
        <v>46023</v>
      </c>
      <c r="N20" t="str">
        <f>IF(M20="","",'Master Barang'!A14)</f>
        <v>PRL-013</v>
      </c>
      <c r="O20" t="str">
        <f>IF(N20="","",'Master Barang'!B14)</f>
        <v>sarung tangan plastik kaka 100 pcs</v>
      </c>
      <c r="P20">
        <f>IF(OR(M20="",N20=""),"",SUMIFS('Barang Keluar'!$E:$E,'Barang Keluar'!$A:$A,M20,'Barang Keluar'!$C:$C,N20))</f>
        <v>0</v>
      </c>
    </row>
    <row r="21" spans="1:16">
      <c r="A21" t="str">
        <f>IFERROR('Master Barang'!A16,"")</f>
        <v>PRL-015</v>
      </c>
      <c r="B21" t="str">
        <f>IFERROR('Master Barang'!B16,"")</f>
        <v>optima trashbag 60x100</v>
      </c>
      <c r="C21" t="str">
        <f>IFERROR('Master Barang'!D16,"")</f>
        <v>pack</v>
      </c>
      <c r="D21">
        <f>IF(A21="","",SUMIFS('Barang Keluar'!$E:$E,'Barang Keluar'!$C:$C,A21,'Barang Keluar'!$A:$A,"&gt;="&amp;$A$4,'Barang Keluar'!$A:$A,"&lt;="&amp;$B$4))</f>
        <v>0</v>
      </c>
      <c r="F21" s="49">
        <f>IF($A$4+ROW()-8&gt;$B$4,"",$A$4+ROW()-8)</f>
        <v>46036</v>
      </c>
      <c r="G21">
        <f>IF(F21="","",SUMIFS('Barang Keluar'!$E:$E,'Barang Keluar'!$A:$A,F21))</f>
        <v>0</v>
      </c>
      <c r="I21" s="49">
        <f>IF($A$4+7*(ROW()-8)-WEEKDAY($A$4,2)+1&gt;$B$4,"",$A$4+7*(ROW()-8)-WEEKDAY($A$4,2)+1)</f>
        <v>46111</v>
      </c>
      <c r="J21" s="49">
        <f t="shared" si="0"/>
        <v>46117</v>
      </c>
      <c r="K21">
        <f>IF(I21="","",SUMIFS('Barang Keluar'!$E:$E,'Barang Keluar'!$A:$A,"&gt;="&amp;I21,'Barang Keluar'!$A:$A,"&lt;="&amp;J21))</f>
        <v>0</v>
      </c>
      <c r="M21" s="49">
        <f>IF($A$4+0&gt;$B$4,"",$A$4+0)</f>
        <v>46023</v>
      </c>
      <c r="N21" t="str">
        <f>IF(M21="","",'Master Barang'!A15)</f>
        <v>PRL-014</v>
      </c>
      <c r="O21" t="str">
        <f>IF(N21="","",'Master Barang'!B15)</f>
        <v>optima trashbag 80x100</v>
      </c>
      <c r="P21">
        <f>IF(OR(M21="",N21=""),"",SUMIFS('Barang Keluar'!$E:$E,'Barang Keluar'!$A:$A,M21,'Barang Keluar'!$C:$C,N21))</f>
        <v>0</v>
      </c>
    </row>
    <row r="22" spans="1:16">
      <c r="A22" t="str">
        <f>IFERROR('Master Barang'!A17,"")</f>
        <v>PRL-016</v>
      </c>
      <c r="B22" t="str">
        <f>IFERROR('Master Barang'!B17,"")</f>
        <v>rajawali trashbag 30x40</v>
      </c>
      <c r="C22" t="str">
        <f>IFERROR('Master Barang'!D17,"")</f>
        <v>pack</v>
      </c>
      <c r="D22">
        <f>IF(A22="","",SUMIFS('Barang Keluar'!$E:$E,'Barang Keluar'!$C:$C,A22,'Barang Keluar'!$A:$A,"&gt;="&amp;$A$4,'Barang Keluar'!$A:$A,"&lt;="&amp;$B$4))</f>
        <v>0</v>
      </c>
      <c r="F22" s="49">
        <f>IF($A$4+ROW()-8&gt;$B$4,"",$A$4+ROW()-8)</f>
        <v>46037</v>
      </c>
      <c r="G22">
        <f>IF(F22="","",SUMIFS('Barang Keluar'!$E:$E,'Barang Keluar'!$A:$A,F22))</f>
        <v>0</v>
      </c>
      <c r="I22" s="49">
        <f>IF($A$4+7*(ROW()-8)-WEEKDAY($A$4,2)+1&gt;$B$4,"",$A$4+7*(ROW()-8)-WEEKDAY($A$4,2)+1)</f>
        <v>46118</v>
      </c>
      <c r="J22" s="49">
        <f t="shared" si="0"/>
        <v>46124</v>
      </c>
      <c r="K22">
        <f>IF(I22="","",SUMIFS('Barang Keluar'!$E:$E,'Barang Keluar'!$A:$A,"&gt;="&amp;I22,'Barang Keluar'!$A:$A,"&lt;="&amp;J22))</f>
        <v>0</v>
      </c>
      <c r="M22" s="49">
        <f>IF($A$4+0&gt;$B$4,"",$A$4+0)</f>
        <v>46023</v>
      </c>
      <c r="N22" t="str">
        <f>IF(M22="","",'Master Barang'!A16)</f>
        <v>PRL-015</v>
      </c>
      <c r="O22" t="str">
        <f>IF(N22="","",'Master Barang'!B16)</f>
        <v>optima trashbag 60x100</v>
      </c>
      <c r="P22">
        <f>IF(OR(M22="",N22=""),"",SUMIFS('Barang Keluar'!$E:$E,'Barang Keluar'!$A:$A,M22,'Barang Keluar'!$C:$C,N22))</f>
        <v>0</v>
      </c>
    </row>
    <row r="23" spans="1:16">
      <c r="A23" t="str">
        <f>IFERROR('Master Barang'!A18,"")</f>
        <v>PRL-017</v>
      </c>
      <c r="B23" t="str">
        <f>IFERROR('Master Barang'!B18,"")</f>
        <v>onemed masker biru 3 play 50 pcs</v>
      </c>
      <c r="C23" t="str">
        <f>IFERROR('Master Barang'!D18,"")</f>
        <v>pack</v>
      </c>
      <c r="D23">
        <f>IF(A23="","",SUMIFS('Barang Keluar'!$E:$E,'Barang Keluar'!$C:$C,A23,'Barang Keluar'!$A:$A,"&gt;="&amp;$A$4,'Barang Keluar'!$A:$A,"&lt;="&amp;$B$4))</f>
        <v>0</v>
      </c>
      <c r="F23" s="49">
        <f>IF($A$4+ROW()-8&gt;$B$4,"",$A$4+ROW()-8)</f>
        <v>46038</v>
      </c>
      <c r="G23">
        <f>IF(F23="","",SUMIFS('Barang Keluar'!$E:$E,'Barang Keluar'!$A:$A,F23))</f>
        <v>0</v>
      </c>
      <c r="I23" s="49">
        <f>IF($A$4+7*(ROW()-8)-WEEKDAY($A$4,2)+1&gt;$B$4,"",$A$4+7*(ROW()-8)-WEEKDAY($A$4,2)+1)</f>
        <v>46125</v>
      </c>
      <c r="J23" s="49">
        <f t="shared" si="0"/>
        <v>46131</v>
      </c>
      <c r="K23">
        <f>IF(I23="","",SUMIFS('Barang Keluar'!$E:$E,'Barang Keluar'!$A:$A,"&gt;="&amp;I23,'Barang Keluar'!$A:$A,"&lt;="&amp;J23))</f>
        <v>0</v>
      </c>
      <c r="M23" s="49">
        <f>IF($A$4+0&gt;$B$4,"",$A$4+0)</f>
        <v>46023</v>
      </c>
      <c r="N23" t="str">
        <f>IF(M23="","",'Master Barang'!A17)</f>
        <v>PRL-016</v>
      </c>
      <c r="O23" t="str">
        <f>IF(N23="","",'Master Barang'!B17)</f>
        <v>rajawali trashbag 30x40</v>
      </c>
      <c r="P23">
        <f>IF(OR(M23="",N23=""),"",SUMIFS('Barang Keluar'!$E:$E,'Barang Keluar'!$A:$A,M23,'Barang Keluar'!$C:$C,N23))</f>
        <v>0</v>
      </c>
    </row>
    <row r="24" spans="1:16">
      <c r="A24" t="str">
        <f>IFERROR('Master Barang'!A19,"")</f>
        <v>PRL-018</v>
      </c>
      <c r="B24" t="str">
        <f>IFERROR('Master Barang'!B19,"")</f>
        <v>onemed masker biru 3 play hijab 50 pcs</v>
      </c>
      <c r="C24" t="str">
        <f>IFERROR('Master Barang'!D19,"")</f>
        <v>pack</v>
      </c>
      <c r="D24">
        <f>IF(A24="","",SUMIFS('Barang Keluar'!$E:$E,'Barang Keluar'!$C:$C,A24,'Barang Keluar'!$A:$A,"&gt;="&amp;$A$4,'Barang Keluar'!$A:$A,"&lt;="&amp;$B$4))</f>
        <v>0</v>
      </c>
      <c r="F24" s="49">
        <f>IF($A$4+ROW()-8&gt;$B$4,"",$A$4+ROW()-8)</f>
        <v>46039</v>
      </c>
      <c r="G24">
        <f>IF(F24="","",SUMIFS('Barang Keluar'!$E:$E,'Barang Keluar'!$A:$A,F24))</f>
        <v>0</v>
      </c>
      <c r="I24" s="49">
        <f>IF($A$4+7*(ROW()-8)-WEEKDAY($A$4,2)+1&gt;$B$4,"",$A$4+7*(ROW()-8)-WEEKDAY($A$4,2)+1)</f>
        <v>46132</v>
      </c>
      <c r="J24" s="49">
        <f t="shared" si="0"/>
        <v>46138</v>
      </c>
      <c r="K24">
        <f>IF(I24="","",SUMIFS('Barang Keluar'!$E:$E,'Barang Keluar'!$A:$A,"&gt;="&amp;I24,'Barang Keluar'!$A:$A,"&lt;="&amp;J24))</f>
        <v>0</v>
      </c>
      <c r="M24" s="49">
        <f>IF($A$4+0&gt;$B$4,"",$A$4+0)</f>
        <v>46023</v>
      </c>
      <c r="N24" t="str">
        <f>IF(M24="","",'Master Barang'!A18)</f>
        <v>PRL-017</v>
      </c>
      <c r="O24" t="str">
        <f>IF(N24="","",'Master Barang'!B18)</f>
        <v>onemed masker biru 3 play 50 pcs</v>
      </c>
      <c r="P24">
        <f>IF(OR(M24="",N24=""),"",SUMIFS('Barang Keluar'!$E:$E,'Barang Keluar'!$A:$A,M24,'Barang Keluar'!$C:$C,N24))</f>
        <v>0</v>
      </c>
    </row>
    <row r="25" spans="1:16">
      <c r="A25" t="str">
        <f>IFERROR('Master Barang'!A20,"")</f>
        <v>PRL-019</v>
      </c>
      <c r="B25" t="str">
        <f>IFERROR('Master Barang'!B20,"")</f>
        <v>neo health masker biru 3 play 50 pcs</v>
      </c>
      <c r="C25" t="str">
        <f>IFERROR('Master Barang'!D20,"")</f>
        <v>pack</v>
      </c>
      <c r="D25">
        <f>IF(A25="","",SUMIFS('Barang Keluar'!$E:$E,'Barang Keluar'!$C:$C,A25,'Barang Keluar'!$A:$A,"&gt;="&amp;$A$4,'Barang Keluar'!$A:$A,"&lt;="&amp;$B$4))</f>
        <v>0</v>
      </c>
      <c r="F25" s="49">
        <f>IF($A$4+ROW()-8&gt;$B$4,"",$A$4+ROW()-8)</f>
        <v>46040</v>
      </c>
      <c r="G25">
        <f>IF(F25="","",SUMIFS('Barang Keluar'!$E:$E,'Barang Keluar'!$A:$A,F25))</f>
        <v>0</v>
      </c>
      <c r="I25" s="49">
        <f>IF($A$4+7*(ROW()-8)-WEEKDAY($A$4,2)+1&gt;$B$4,"",$A$4+7*(ROW()-8)-WEEKDAY($A$4,2)+1)</f>
        <v>46139</v>
      </c>
      <c r="J25" s="49">
        <f t="shared" si="0"/>
        <v>46145</v>
      </c>
      <c r="K25">
        <f>IF(I25="","",SUMIFS('Barang Keluar'!$E:$E,'Barang Keluar'!$A:$A,"&gt;="&amp;I25,'Barang Keluar'!$A:$A,"&lt;="&amp;J25))</f>
        <v>0</v>
      </c>
      <c r="M25" s="49">
        <f>IF($A$4+0&gt;$B$4,"",$A$4+0)</f>
        <v>46023</v>
      </c>
      <c r="N25" t="str">
        <f>IF(M25="","",'Master Barang'!A19)</f>
        <v>PRL-018</v>
      </c>
      <c r="O25" t="str">
        <f>IF(N25="","",'Master Barang'!B19)</f>
        <v>onemed masker biru 3 play hijab 50 pcs</v>
      </c>
      <c r="P25">
        <f>IF(OR(M25="",N25=""),"",SUMIFS('Barang Keluar'!$E:$E,'Barang Keluar'!$A:$A,M25,'Barang Keluar'!$C:$C,N25))</f>
        <v>0</v>
      </c>
    </row>
    <row r="26" spans="1:16">
      <c r="A26" t="str">
        <f>IFERROR('Master Barang'!A21,"")</f>
        <v>PRL-020</v>
      </c>
      <c r="B26" t="str">
        <f>IFERROR('Master Barang'!B21,"")</f>
        <v>baymed masker hijau 3 play hijau 50 pcs</v>
      </c>
      <c r="C26" t="str">
        <f>IFERROR('Master Barang'!D21,"")</f>
        <v>pack</v>
      </c>
      <c r="D26">
        <f>IF(A26="","",SUMIFS('Barang Keluar'!$E:$E,'Barang Keluar'!$C:$C,A26,'Barang Keluar'!$A:$A,"&gt;="&amp;$A$4,'Barang Keluar'!$A:$A,"&lt;="&amp;$B$4))</f>
        <v>0</v>
      </c>
      <c r="F26" s="49">
        <f>IF($A$4+ROW()-8&gt;$B$4,"",$A$4+ROW()-8)</f>
        <v>46041</v>
      </c>
      <c r="G26">
        <f>IF(F26="","",SUMIFS('Barang Keluar'!$E:$E,'Barang Keluar'!$A:$A,F26))</f>
        <v>0</v>
      </c>
      <c r="I26" s="49">
        <f>IF($A$4+7*(ROW()-8)-WEEKDAY($A$4,2)+1&gt;$B$4,"",$A$4+7*(ROW()-8)-WEEKDAY($A$4,2)+1)</f>
        <v>46146</v>
      </c>
      <c r="J26" s="49">
        <f t="shared" si="0"/>
        <v>46152</v>
      </c>
      <c r="K26">
        <f>IF(I26="","",SUMIFS('Barang Keluar'!$E:$E,'Barang Keluar'!$A:$A,"&gt;="&amp;I26,'Barang Keluar'!$A:$A,"&lt;="&amp;J26))</f>
        <v>0</v>
      </c>
      <c r="M26" s="49">
        <f>IF($A$4+0&gt;$B$4,"",$A$4+0)</f>
        <v>46023</v>
      </c>
      <c r="N26" t="str">
        <f>IF(M26="","",'Master Barang'!A20)</f>
        <v>PRL-019</v>
      </c>
      <c r="O26" t="str">
        <f>IF(N26="","",'Master Barang'!B20)</f>
        <v>neo health masker biru 3 play 50 pcs</v>
      </c>
      <c r="P26">
        <f>IF(OR(M26="",N26=""),"",SUMIFS('Barang Keluar'!$E:$E,'Barang Keluar'!$A:$A,M26,'Barang Keluar'!$C:$C,N26))</f>
        <v>0</v>
      </c>
    </row>
    <row r="27" spans="1:16">
      <c r="A27" t="str">
        <f>IFERROR('Master Barang'!A22,"")</f>
        <v>PRL-021</v>
      </c>
      <c r="B27" t="str">
        <f>IFERROR('Master Barang'!B22,"")</f>
        <v>altamed nurse cap penutup kepala 100 pcs</v>
      </c>
      <c r="C27" t="str">
        <f>IFERROR('Master Barang'!D22,"")</f>
        <v>pack</v>
      </c>
      <c r="D27">
        <f>IF(A27="","",SUMIFS('Barang Keluar'!$E:$E,'Barang Keluar'!$C:$C,A27,'Barang Keluar'!$A:$A,"&gt;="&amp;$A$4,'Barang Keluar'!$A:$A,"&lt;="&amp;$B$4))</f>
        <v>0</v>
      </c>
      <c r="F27" s="49">
        <f>IF($A$4+ROW()-8&gt;$B$4,"",$A$4+ROW()-8)</f>
        <v>46042</v>
      </c>
      <c r="G27">
        <f>IF(F27="","",SUMIFS('Barang Keluar'!$E:$E,'Barang Keluar'!$A:$A,F27))</f>
        <v>0</v>
      </c>
      <c r="I27" s="49">
        <f>IF($A$4+7*(ROW()-8)-WEEKDAY($A$4,2)+1&gt;$B$4,"",$A$4+7*(ROW()-8)-WEEKDAY($A$4,2)+1)</f>
        <v>46153</v>
      </c>
      <c r="J27" s="49">
        <f t="shared" si="0"/>
        <v>46159</v>
      </c>
      <c r="K27">
        <f>IF(I27="","",SUMIFS('Barang Keluar'!$E:$E,'Barang Keluar'!$A:$A,"&gt;="&amp;I27,'Barang Keluar'!$A:$A,"&lt;="&amp;J27))</f>
        <v>0</v>
      </c>
      <c r="M27" s="49">
        <f>IF($A$4+0&gt;$B$4,"",$A$4+0)</f>
        <v>46023</v>
      </c>
      <c r="N27" t="str">
        <f>IF(M27="","",'Master Barang'!A21)</f>
        <v>PRL-020</v>
      </c>
      <c r="O27" t="str">
        <f>IF(N27="","",'Master Barang'!B21)</f>
        <v>baymed masker hijau 3 play hijau 50 pcs</v>
      </c>
      <c r="P27">
        <f>IF(OR(M27="",N27=""),"",SUMIFS('Barang Keluar'!$E:$E,'Barang Keluar'!$A:$A,M27,'Barang Keluar'!$C:$C,N27))</f>
        <v>0</v>
      </c>
    </row>
    <row r="28" spans="1:16">
      <c r="A28" t="str">
        <f>IFERROR('Master Barang'!A23,"")</f>
        <v>PRL-022</v>
      </c>
      <c r="B28" t="str">
        <f>IFERROR('Master Barang'!B23,"")</f>
        <v>sabun cuci tangan</v>
      </c>
      <c r="C28" t="str">
        <f>IFERROR('Master Barang'!D23,"")</f>
        <v>pcs</v>
      </c>
      <c r="D28">
        <f>IF(A28="","",SUMIFS('Barang Keluar'!$E:$E,'Barang Keluar'!$C:$C,A28,'Barang Keluar'!$A:$A,"&gt;="&amp;$A$4,'Barang Keluar'!$A:$A,"&lt;="&amp;$B$4))</f>
        <v>0</v>
      </c>
      <c r="F28" s="49">
        <f>IF($A$4+ROW()-8&gt;$B$4,"",$A$4+ROW()-8)</f>
        <v>46043</v>
      </c>
      <c r="G28">
        <f>IF(F28="","",SUMIFS('Barang Keluar'!$E:$E,'Barang Keluar'!$A:$A,F28))</f>
        <v>0</v>
      </c>
      <c r="I28" s="49">
        <f>IF($A$4+7*(ROW()-8)-WEEKDAY($A$4,2)+1&gt;$B$4,"",$A$4+7*(ROW()-8)-WEEKDAY($A$4,2)+1)</f>
        <v>46160</v>
      </c>
      <c r="J28" s="49">
        <f t="shared" si="0"/>
        <v>46166</v>
      </c>
      <c r="K28">
        <f>IF(I28="","",SUMIFS('Barang Keluar'!$E:$E,'Barang Keluar'!$A:$A,"&gt;="&amp;I28,'Barang Keluar'!$A:$A,"&lt;="&amp;J28))</f>
        <v>0</v>
      </c>
      <c r="M28" s="49">
        <f>IF($A$4+0&gt;$B$4,"",$A$4+0)</f>
        <v>46023</v>
      </c>
      <c r="N28" t="str">
        <f>IF(M28="","",'Master Barang'!A22)</f>
        <v>PRL-021</v>
      </c>
      <c r="O28" t="str">
        <f>IF(N28="","",'Master Barang'!B22)</f>
        <v>altamed nurse cap penutup kepala 100 pcs</v>
      </c>
      <c r="P28">
        <f>IF(OR(M28="",N28=""),"",SUMIFS('Barang Keluar'!$E:$E,'Barang Keluar'!$A:$A,M28,'Barang Keluar'!$C:$C,N28))</f>
        <v>0</v>
      </c>
    </row>
    <row r="29" spans="1:16">
      <c r="A29" t="str">
        <f>IFERROR('Master Barang'!A24,"")</f>
        <v>PRL-023</v>
      </c>
      <c r="B29" t="str">
        <f>IFERROR('Master Barang'!B24,"")</f>
        <v>gayung kecil</v>
      </c>
      <c r="C29" t="str">
        <f>IFERROR('Master Barang'!D24,"")</f>
        <v>pcs</v>
      </c>
      <c r="D29">
        <f>IF(A29="","",SUMIFS('Barang Keluar'!$E:$E,'Barang Keluar'!$C:$C,A29,'Barang Keluar'!$A:$A,"&gt;="&amp;$A$4,'Barang Keluar'!$A:$A,"&lt;="&amp;$B$4))</f>
        <v>0</v>
      </c>
      <c r="F29" s="49">
        <f>IF($A$4+ROW()-8&gt;$B$4,"",$A$4+ROW()-8)</f>
        <v>46044</v>
      </c>
      <c r="G29">
        <f>IF(F29="","",SUMIFS('Barang Keluar'!$E:$E,'Barang Keluar'!$A:$A,F29))</f>
        <v>0</v>
      </c>
      <c r="I29" s="49">
        <f>IF($A$4+7*(ROW()-8)-WEEKDAY($A$4,2)+1&gt;$B$4,"",$A$4+7*(ROW()-8)-WEEKDAY($A$4,2)+1)</f>
        <v>46167</v>
      </c>
      <c r="J29" s="49">
        <f t="shared" si="0"/>
        <v>46173</v>
      </c>
      <c r="K29">
        <f>IF(I29="","",SUMIFS('Barang Keluar'!$E:$E,'Barang Keluar'!$A:$A,"&gt;="&amp;I29,'Barang Keluar'!$A:$A,"&lt;="&amp;J29))</f>
        <v>0</v>
      </c>
      <c r="M29" s="49">
        <f>IF($A$4+0&gt;$B$4,"",$A$4+0)</f>
        <v>46023</v>
      </c>
      <c r="N29" t="str">
        <f>IF(M29="","",'Master Barang'!A23)</f>
        <v>PRL-022</v>
      </c>
      <c r="O29" t="str">
        <f>IF(N29="","",'Master Barang'!B23)</f>
        <v>sabun cuci tangan</v>
      </c>
      <c r="P29">
        <f>IF(OR(M29="",N29=""),"",SUMIFS('Barang Keluar'!$E:$E,'Barang Keluar'!$A:$A,M29,'Barang Keluar'!$C:$C,N29))</f>
        <v>0</v>
      </c>
    </row>
    <row r="30" spans="1:16">
      <c r="A30" t="str">
        <f>IFERROR('Master Barang'!A25,"")</f>
        <v>PRL-024</v>
      </c>
      <c r="B30" t="str">
        <f>IFERROR('Master Barang'!B25,"")</f>
        <v>cikrak kecil</v>
      </c>
      <c r="C30" t="str">
        <f>IFERROR('Master Barang'!D25,"")</f>
        <v>pcs</v>
      </c>
      <c r="D30">
        <f>IF(A30="","",SUMIFS('Barang Keluar'!$E:$E,'Barang Keluar'!$C:$C,A30,'Barang Keluar'!$A:$A,"&gt;="&amp;$A$4,'Barang Keluar'!$A:$A,"&lt;="&amp;$B$4))</f>
        <v>0</v>
      </c>
      <c r="F30" s="49">
        <f>IF($A$4+ROW()-8&gt;$B$4,"",$A$4+ROW()-8)</f>
        <v>46045</v>
      </c>
      <c r="G30">
        <f>IF(F30="","",SUMIFS('Barang Keluar'!$E:$E,'Barang Keluar'!$A:$A,F30))</f>
        <v>0</v>
      </c>
      <c r="I30" s="49">
        <f>IF($A$4+7*(ROW()-8)-WEEKDAY($A$4,2)+1&gt;$B$4,"",$A$4+7*(ROW()-8)-WEEKDAY($A$4,2)+1)</f>
        <v>46174</v>
      </c>
      <c r="J30" s="49">
        <f t="shared" si="0"/>
        <v>46180</v>
      </c>
      <c r="K30">
        <f>IF(I30="","",SUMIFS('Barang Keluar'!$E:$E,'Barang Keluar'!$A:$A,"&gt;="&amp;I30,'Barang Keluar'!$A:$A,"&lt;="&amp;J30))</f>
        <v>0</v>
      </c>
      <c r="M30" s="49">
        <f>IF($A$4+0&gt;$B$4,"",$A$4+0)</f>
        <v>46023</v>
      </c>
      <c r="N30" t="str">
        <f>IF(M30="","",'Master Barang'!A24)</f>
        <v>PRL-023</v>
      </c>
      <c r="O30" t="str">
        <f>IF(N30="","",'Master Barang'!B24)</f>
        <v>gayung kecil</v>
      </c>
      <c r="P30">
        <f>IF(OR(M30="",N30=""),"",SUMIFS('Barang Keluar'!$E:$E,'Barang Keluar'!$A:$A,M30,'Barang Keluar'!$C:$C,N30))</f>
        <v>0</v>
      </c>
    </row>
    <row r="31" spans="1:16">
      <c r="A31" t="str">
        <f>IFERROR('Master Barang'!A26,"")</f>
        <v>PRL-025</v>
      </c>
      <c r="B31" t="str">
        <f>IFERROR('Master Barang'!B26,"")</f>
        <v>petromax plastik kecil 12x24 100 lembar</v>
      </c>
      <c r="C31" t="str">
        <f>IFERROR('Master Barang'!D26,"")</f>
        <v>pack</v>
      </c>
      <c r="D31">
        <f>IF(A31="","",SUMIFS('Barang Keluar'!$E:$E,'Barang Keluar'!$C:$C,A31,'Barang Keluar'!$A:$A,"&gt;="&amp;$A$4,'Barang Keluar'!$A:$A,"&lt;="&amp;$B$4))</f>
        <v>0</v>
      </c>
      <c r="F31" s="49">
        <f>IF($A$4+ROW()-8&gt;$B$4,"",$A$4+ROW()-8)</f>
        <v>46046</v>
      </c>
      <c r="G31">
        <f>IF(F31="","",SUMIFS('Barang Keluar'!$E:$E,'Barang Keluar'!$A:$A,F31))</f>
        <v>0</v>
      </c>
      <c r="I31" s="49">
        <f>IF($A$4+7*(ROW()-8)-WEEKDAY($A$4,2)+1&gt;$B$4,"",$A$4+7*(ROW()-8)-WEEKDAY($A$4,2)+1)</f>
        <v>46181</v>
      </c>
      <c r="J31" s="49">
        <f t="shared" si="0"/>
        <v>46187</v>
      </c>
      <c r="K31">
        <f>IF(I31="","",SUMIFS('Barang Keluar'!$E:$E,'Barang Keluar'!$A:$A,"&gt;="&amp;I31,'Barang Keluar'!$A:$A,"&lt;="&amp;J31))</f>
        <v>0</v>
      </c>
      <c r="M31" s="49">
        <f>IF($A$4+0&gt;$B$4,"",$A$4+0)</f>
        <v>46023</v>
      </c>
      <c r="N31" t="str">
        <f>IF(M31="","",'Master Barang'!A25)</f>
        <v>PRL-024</v>
      </c>
      <c r="O31" t="str">
        <f>IF(N31="","",'Master Barang'!B25)</f>
        <v>cikrak kecil</v>
      </c>
      <c r="P31">
        <f>IF(OR(M31="",N31=""),"",SUMIFS('Barang Keluar'!$E:$E,'Barang Keluar'!$A:$A,M31,'Barang Keluar'!$C:$C,N31))</f>
        <v>0</v>
      </c>
    </row>
    <row r="32" spans="1:16">
      <c r="A32" t="str">
        <f>IFERROR('Master Barang'!A27,"")</f>
        <v>PRL-026</v>
      </c>
      <c r="B32" t="str">
        <f>IFERROR('Master Barang'!B27,"")</f>
        <v>lancar kresek kecil bening </v>
      </c>
      <c r="C32" t="str">
        <f>IFERROR('Master Barang'!D27,"")</f>
        <v>pack</v>
      </c>
      <c r="D32">
        <f>IF(A32="","",SUMIFS('Barang Keluar'!$E:$E,'Barang Keluar'!$C:$C,A32,'Barang Keluar'!$A:$A,"&gt;="&amp;$A$4,'Barang Keluar'!$A:$A,"&lt;="&amp;$B$4))</f>
        <v>0</v>
      </c>
      <c r="F32" s="49">
        <f>IF($A$4+ROW()-8&gt;$B$4,"",$A$4+ROW()-8)</f>
        <v>46047</v>
      </c>
      <c r="G32">
        <f>IF(F32="","",SUMIFS('Barang Keluar'!$E:$E,'Barang Keluar'!$A:$A,F32))</f>
        <v>0</v>
      </c>
      <c r="I32" s="49">
        <f>IF($A$4+7*(ROW()-8)-WEEKDAY($A$4,2)+1&gt;$B$4,"",$A$4+7*(ROW()-8)-WEEKDAY($A$4,2)+1)</f>
        <v>46188</v>
      </c>
      <c r="J32" s="49">
        <f t="shared" si="0"/>
        <v>46194</v>
      </c>
      <c r="K32">
        <f>IF(I32="","",SUMIFS('Barang Keluar'!$E:$E,'Barang Keluar'!$A:$A,"&gt;="&amp;I32,'Barang Keluar'!$A:$A,"&lt;="&amp;J32))</f>
        <v>0</v>
      </c>
      <c r="M32" s="49">
        <f>IF($A$4+0&gt;$B$4,"",$A$4+0)</f>
        <v>46023</v>
      </c>
      <c r="N32" t="str">
        <f>IF(M32="","",'Master Barang'!A26)</f>
        <v>PRL-025</v>
      </c>
      <c r="O32" t="str">
        <f>IF(N32="","",'Master Barang'!B26)</f>
        <v>petromax plastik kecil 12x24 100 lembar</v>
      </c>
      <c r="P32">
        <f>IF(OR(M32="",N32=""),"",SUMIFS('Barang Keluar'!$E:$E,'Barang Keluar'!$A:$A,M32,'Barang Keluar'!$C:$C,N32))</f>
        <v>0</v>
      </c>
    </row>
    <row r="33" spans="1:16">
      <c r="A33" t="str">
        <f>IFERROR('Master Barang'!A28,"")</f>
        <v>PRL-027</v>
      </c>
      <c r="B33" t="str">
        <f>IFERROR('Master Barang'!B28,"")</f>
        <v>kresek klin warna warni kecil</v>
      </c>
      <c r="C33" t="str">
        <f>IFERROR('Master Barang'!D28,"")</f>
        <v>pack</v>
      </c>
      <c r="D33">
        <f>IF(A33="","",SUMIFS('Barang Keluar'!$E:$E,'Barang Keluar'!$C:$C,A33,'Barang Keluar'!$A:$A,"&gt;="&amp;$A$4,'Barang Keluar'!$A:$A,"&lt;="&amp;$B$4))</f>
        <v>0</v>
      </c>
      <c r="F33" s="49">
        <f>IF($A$4+ROW()-8&gt;$B$4,"",$A$4+ROW()-8)</f>
        <v>46048</v>
      </c>
      <c r="G33">
        <f>IF(F33="","",SUMIFS('Barang Keluar'!$E:$E,'Barang Keluar'!$A:$A,F33))</f>
        <v>0</v>
      </c>
      <c r="I33" s="49">
        <f>IF($A$4+7*(ROW()-8)-WEEKDAY($A$4,2)+1&gt;$B$4,"",$A$4+7*(ROW()-8)-WEEKDAY($A$4,2)+1)</f>
        <v>46195</v>
      </c>
      <c r="J33" s="49">
        <f t="shared" si="0"/>
        <v>46201</v>
      </c>
      <c r="K33">
        <f>IF(I33="","",SUMIFS('Barang Keluar'!$E:$E,'Barang Keluar'!$A:$A,"&gt;="&amp;I33,'Barang Keluar'!$A:$A,"&lt;="&amp;J33))</f>
        <v>0</v>
      </c>
      <c r="M33" s="49">
        <f>IF($A$4+0&gt;$B$4,"",$A$4+0)</f>
        <v>46023</v>
      </c>
      <c r="N33" t="str">
        <f>IF(M33="","",'Master Barang'!A27)</f>
        <v>PRL-026</v>
      </c>
      <c r="O33" t="str">
        <f>IF(N33="","",'Master Barang'!B27)</f>
        <v>lancar kresek kecil bening </v>
      </c>
      <c r="P33">
        <f>IF(OR(M33="",N33=""),"",SUMIFS('Barang Keluar'!$E:$E,'Barang Keluar'!$A:$A,M33,'Barang Keluar'!$C:$C,N33))</f>
        <v>0</v>
      </c>
    </row>
    <row r="34" spans="1:16">
      <c r="A34" t="str">
        <f>IFERROR('Master Barang'!A29,"")</f>
        <v>PRL-028</v>
      </c>
      <c r="B34" t="str">
        <f>IFERROR('Master Barang'!B29,"")</f>
        <v>ctik plastik 7x10 100 pcs</v>
      </c>
      <c r="C34" t="str">
        <f>IFERROR('Master Barang'!D29,"")</f>
        <v>pack</v>
      </c>
      <c r="D34">
        <f>IF(A34="","",SUMIFS('Barang Keluar'!$E:$E,'Barang Keluar'!$C:$C,A34,'Barang Keluar'!$A:$A,"&gt;="&amp;$A$4,'Barang Keluar'!$A:$A,"&lt;="&amp;$B$4))</f>
        <v>0</v>
      </c>
      <c r="F34" s="49">
        <f>IF($A$4+ROW()-8&gt;$B$4,"",$A$4+ROW()-8)</f>
        <v>46049</v>
      </c>
      <c r="G34">
        <f>IF(F34="","",SUMIFS('Barang Keluar'!$E:$E,'Barang Keluar'!$A:$A,F34))</f>
        <v>0</v>
      </c>
      <c r="I34" s="49">
        <f>IF($A$4+7*(ROW()-8)-WEEKDAY($A$4,2)+1&gt;$B$4,"",$A$4+7*(ROW()-8)-WEEKDAY($A$4,2)+1)</f>
        <v>46202</v>
      </c>
      <c r="J34" s="49">
        <f t="shared" si="0"/>
        <v>46208</v>
      </c>
      <c r="K34">
        <f>IF(I34="","",SUMIFS('Barang Keluar'!$E:$E,'Barang Keluar'!$A:$A,"&gt;="&amp;I34,'Barang Keluar'!$A:$A,"&lt;="&amp;J34))</f>
        <v>0</v>
      </c>
      <c r="M34" s="49">
        <f>IF($A$4+0&gt;$B$4,"",$A$4+0)</f>
        <v>46023</v>
      </c>
      <c r="N34" t="str">
        <f>IF(M34="","",'Master Barang'!A28)</f>
        <v>PRL-027</v>
      </c>
      <c r="O34" t="str">
        <f>IF(N34="","",'Master Barang'!B28)</f>
        <v>kresek klin warna warni kecil</v>
      </c>
      <c r="P34">
        <f>IF(OR(M34="",N34=""),"",SUMIFS('Barang Keluar'!$E:$E,'Barang Keluar'!$A:$A,M34,'Barang Keluar'!$C:$C,N34))</f>
        <v>0</v>
      </c>
    </row>
    <row r="35" spans="1:16">
      <c r="A35" t="str">
        <f>IFERROR('Master Barang'!A30,"")</f>
        <v>PRL-029</v>
      </c>
      <c r="B35" t="str">
        <f>IFERROR('Master Barang'!B30,"")</f>
        <v>ctik plastik 6x10 100 pcs</v>
      </c>
      <c r="C35" t="str">
        <f>IFERROR('Master Barang'!D30,"")</f>
        <v>pack</v>
      </c>
      <c r="D35">
        <f>IF(A35="","",SUMIFS('Barang Keluar'!$E:$E,'Barang Keluar'!$C:$C,A35,'Barang Keluar'!$A:$A,"&gt;="&amp;$A$4,'Barang Keluar'!$A:$A,"&lt;="&amp;$B$4))</f>
        <v>0</v>
      </c>
      <c r="F35" s="49">
        <f>IF($A$4+ROW()-8&gt;$B$4,"",$A$4+ROW()-8)</f>
        <v>46050</v>
      </c>
      <c r="G35">
        <f>IF(F35="","",SUMIFS('Barang Keluar'!$E:$E,'Barang Keluar'!$A:$A,F35))</f>
        <v>0</v>
      </c>
      <c r="I35" s="49">
        <f>IF($A$4+7*(ROW()-8)-WEEKDAY($A$4,2)+1&gt;$B$4,"",$A$4+7*(ROW()-8)-WEEKDAY($A$4,2)+1)</f>
        <v>46209</v>
      </c>
      <c r="J35" s="49">
        <f t="shared" si="0"/>
        <v>46215</v>
      </c>
      <c r="K35">
        <f>IF(I35="","",SUMIFS('Barang Keluar'!$E:$E,'Barang Keluar'!$A:$A,"&gt;="&amp;I35,'Barang Keluar'!$A:$A,"&lt;="&amp;J35))</f>
        <v>0</v>
      </c>
      <c r="M35" s="49">
        <f>IF($A$4+0&gt;$B$4,"",$A$4+0)</f>
        <v>46023</v>
      </c>
      <c r="N35" t="str">
        <f>IF(M35="","",'Master Barang'!A29)</f>
        <v>PRL-028</v>
      </c>
      <c r="O35" t="str">
        <f>IF(N35="","",'Master Barang'!B29)</f>
        <v>ctik plastik 7x10 100 pcs</v>
      </c>
      <c r="P35">
        <f>IF(OR(M35="",N35=""),"",SUMIFS('Barang Keluar'!$E:$E,'Barang Keluar'!$A:$A,M35,'Barang Keluar'!$C:$C,N35))</f>
        <v>0</v>
      </c>
    </row>
    <row r="36" spans="1:16">
      <c r="A36" t="str">
        <f>IFERROR('Master Barang'!A31,"")</f>
        <v>PRL-030</v>
      </c>
      <c r="B36" t="str">
        <f>IFERROR('Master Barang'!B31,"")</f>
        <v>klip plastik 25x16 100 pcs</v>
      </c>
      <c r="C36" t="str">
        <f>IFERROR('Master Barang'!D31,"")</f>
        <v>pack</v>
      </c>
      <c r="D36">
        <f>IF(A36="","",SUMIFS('Barang Keluar'!$E:$E,'Barang Keluar'!$C:$C,A36,'Barang Keluar'!$A:$A,"&gt;="&amp;$A$4,'Barang Keluar'!$A:$A,"&lt;="&amp;$B$4))</f>
        <v>0</v>
      </c>
      <c r="F36" s="49">
        <f>IF($A$4+ROW()-8&gt;$B$4,"",$A$4+ROW()-8)</f>
        <v>46051</v>
      </c>
      <c r="G36">
        <f>IF(F36="","",SUMIFS('Barang Keluar'!$E:$E,'Barang Keluar'!$A:$A,F36))</f>
        <v>0</v>
      </c>
      <c r="I36" s="49">
        <f>IF($A$4+7*(ROW()-8)-WEEKDAY($A$4,2)+1&gt;$B$4,"",$A$4+7*(ROW()-8)-WEEKDAY($A$4,2)+1)</f>
        <v>46216</v>
      </c>
      <c r="J36" s="49">
        <f t="shared" si="0"/>
        <v>46222</v>
      </c>
      <c r="K36">
        <f>IF(I36="","",SUMIFS('Barang Keluar'!$E:$E,'Barang Keluar'!$A:$A,"&gt;="&amp;I36,'Barang Keluar'!$A:$A,"&lt;="&amp;J36))</f>
        <v>0</v>
      </c>
      <c r="M36" s="49">
        <f>IF($A$4+0&gt;$B$4,"",$A$4+0)</f>
        <v>46023</v>
      </c>
      <c r="N36" t="str">
        <f>IF(M36="","",'Master Barang'!A30)</f>
        <v>PRL-029</v>
      </c>
      <c r="O36" t="str">
        <f>IF(N36="","",'Master Barang'!B30)</f>
        <v>ctik plastik 6x10 100 pcs</v>
      </c>
      <c r="P36">
        <f>IF(OR(M36="",N36=""),"",SUMIFS('Barang Keluar'!$E:$E,'Barang Keluar'!$A:$A,M36,'Barang Keluar'!$C:$C,N36))</f>
        <v>0</v>
      </c>
    </row>
    <row r="37" spans="1:16">
      <c r="A37" t="str">
        <f>IFERROR('Master Barang'!A32,"")</f>
        <v>PRL-031</v>
      </c>
      <c r="B37" t="str">
        <f>IFERROR('Master Barang'!B32,"")</f>
        <v>tempat saus 20 ml</v>
      </c>
      <c r="C37" t="str">
        <f>IFERROR('Master Barang'!D32,"")</f>
        <v>pcs</v>
      </c>
      <c r="D37">
        <f>IF(A37="","",SUMIFS('Barang Keluar'!$E:$E,'Barang Keluar'!$C:$C,A37,'Barang Keluar'!$A:$A,"&gt;="&amp;$A$4,'Barang Keluar'!$A:$A,"&lt;="&amp;$B$4))</f>
        <v>0</v>
      </c>
      <c r="F37" s="49">
        <f>IF($A$4+ROW()-8&gt;$B$4,"",$A$4+ROW()-8)</f>
        <v>46052</v>
      </c>
      <c r="G37">
        <f>IF(F37="","",SUMIFS('Barang Keluar'!$E:$E,'Barang Keluar'!$A:$A,F37))</f>
        <v>0</v>
      </c>
      <c r="I37" s="49">
        <f>IF($A$4+7*(ROW()-8)-WEEKDAY($A$4,2)+1&gt;$B$4,"",$A$4+7*(ROW()-8)-WEEKDAY($A$4,2)+1)</f>
        <v>46223</v>
      </c>
      <c r="J37" s="49">
        <f t="shared" si="0"/>
        <v>46229</v>
      </c>
      <c r="K37">
        <f>IF(I37="","",SUMIFS('Barang Keluar'!$E:$E,'Barang Keluar'!$A:$A,"&gt;="&amp;I37,'Barang Keluar'!$A:$A,"&lt;="&amp;J37))</f>
        <v>0</v>
      </c>
      <c r="M37" s="49">
        <f>IF($A$4+0&gt;$B$4,"",$A$4+0)</f>
        <v>46023</v>
      </c>
      <c r="N37" t="str">
        <f>IF(M37="","",'Master Barang'!A31)</f>
        <v>PRL-030</v>
      </c>
      <c r="O37" t="str">
        <f>IF(N37="","",'Master Barang'!B31)</f>
        <v>klip plastik 25x16 100 pcs</v>
      </c>
      <c r="P37">
        <f>IF(OR(M37="",N37=""),"",SUMIFS('Barang Keluar'!$E:$E,'Barang Keluar'!$A:$A,M37,'Barang Keluar'!$C:$C,N37))</f>
        <v>0</v>
      </c>
    </row>
    <row r="38" spans="1:16">
      <c r="A38" t="str">
        <f>IFERROR('Master Barang'!A33,"")</f>
        <v>PRL-032</v>
      </c>
      <c r="B38" t="str">
        <f>IFERROR('Master Barang'!B33,"")</f>
        <v>plastik packaging ag box uk sedang</v>
      </c>
      <c r="C38" t="str">
        <f>IFERROR('Master Barang'!D33,"")</f>
        <v>pcs</v>
      </c>
      <c r="D38">
        <f>IF(A38="","",SUMIFS('Barang Keluar'!$E:$E,'Barang Keluar'!$C:$C,A38,'Barang Keluar'!$A:$A,"&gt;="&amp;$A$4,'Barang Keluar'!$A:$A,"&lt;="&amp;$B$4))</f>
        <v>0</v>
      </c>
      <c r="F38" s="49">
        <f>IF($A$4+ROW()-8&gt;$B$4,"",$A$4+ROW()-8)</f>
        <v>46053</v>
      </c>
      <c r="G38">
        <f>IF(F38="","",SUMIFS('Barang Keluar'!$E:$E,'Barang Keluar'!$A:$A,F38))</f>
        <v>0</v>
      </c>
      <c r="I38" s="49">
        <f>IF($A$4+7*(ROW()-8)-WEEKDAY($A$4,2)+1&gt;$B$4,"",$A$4+7*(ROW()-8)-WEEKDAY($A$4,2)+1)</f>
        <v>46230</v>
      </c>
      <c r="J38" s="49">
        <f t="shared" si="0"/>
        <v>46236</v>
      </c>
      <c r="K38">
        <f>IF(I38="","",SUMIFS('Barang Keluar'!$E:$E,'Barang Keluar'!$A:$A,"&gt;="&amp;I38,'Barang Keluar'!$A:$A,"&lt;="&amp;J38))</f>
        <v>0</v>
      </c>
      <c r="M38" s="49">
        <f>IF($A$4+0&gt;$B$4,"",$A$4+0)</f>
        <v>46023</v>
      </c>
      <c r="N38" t="str">
        <f>IF(M38="","",'Master Barang'!A32)</f>
        <v>PRL-031</v>
      </c>
      <c r="O38" t="str">
        <f>IF(N38="","",'Master Barang'!B32)</f>
        <v>tempat saus 20 ml</v>
      </c>
      <c r="P38">
        <f>IF(OR(M38="",N38=""),"",SUMIFS('Barang Keluar'!$E:$E,'Barang Keluar'!$A:$A,M38,'Barang Keluar'!$C:$C,N38))</f>
        <v>0</v>
      </c>
    </row>
    <row r="39" spans="1:16">
      <c r="A39" t="str">
        <f>IFERROR('Master Barang'!A34,"")</f>
        <v>PRL-033</v>
      </c>
      <c r="B39">
        <f>IFERROR('Master Barang'!B34,"")</f>
        <v>0</v>
      </c>
      <c r="C39">
        <f>IFERROR('Master Barang'!D34,"")</f>
        <v>0</v>
      </c>
      <c r="D39">
        <f>IF(A39="","",SUMIFS('Barang Keluar'!$E:$E,'Barang Keluar'!$C:$C,A39,'Barang Keluar'!$A:$A,"&gt;="&amp;$A$4,'Barang Keluar'!$A:$A,"&lt;="&amp;$B$4))</f>
        <v>0</v>
      </c>
      <c r="F39" s="49">
        <f>IF($A$4+ROW()-8&gt;$B$4,"",$A$4+ROW()-8)</f>
        <v>46054</v>
      </c>
      <c r="G39">
        <f>IF(F39="","",SUMIFS('Barang Keluar'!$E:$E,'Barang Keluar'!$A:$A,F39))</f>
        <v>0</v>
      </c>
      <c r="I39" s="49">
        <f>IF($A$4+7*(ROW()-8)-WEEKDAY($A$4,2)+1&gt;$B$4,"",$A$4+7*(ROW()-8)-WEEKDAY($A$4,2)+1)</f>
        <v>46237</v>
      </c>
      <c r="J39" s="49">
        <f t="shared" si="0"/>
        <v>46243</v>
      </c>
      <c r="K39">
        <f>IF(I39="","",SUMIFS('Barang Keluar'!$E:$E,'Barang Keluar'!$A:$A,"&gt;="&amp;I39,'Barang Keluar'!$A:$A,"&lt;="&amp;J39))</f>
        <v>0</v>
      </c>
      <c r="M39" s="49">
        <f>IF($A$4+0&gt;$B$4,"",$A$4+0)</f>
        <v>46023</v>
      </c>
      <c r="N39" t="str">
        <f>IF(M39="","",'Master Barang'!A33)</f>
        <v>PRL-032</v>
      </c>
      <c r="O39" t="str">
        <f>IF(N39="","",'Master Barang'!B33)</f>
        <v>plastik packaging ag box uk sedang</v>
      </c>
      <c r="P39">
        <f>IF(OR(M39="",N39=""),"",SUMIFS('Barang Keluar'!$E:$E,'Barang Keluar'!$A:$A,M39,'Barang Keluar'!$C:$C,N39))</f>
        <v>0</v>
      </c>
    </row>
    <row r="40" spans="1:16">
      <c r="A40">
        <f>IFERROR('Master Barang'!A35,"")</f>
        <v>0</v>
      </c>
      <c r="B40">
        <f>IFERROR('Master Barang'!B35,"")</f>
        <v>0</v>
      </c>
      <c r="C40">
        <f>IFERROR('Master Barang'!D35,"")</f>
        <v>0</v>
      </c>
      <c r="D40">
        <f>IF(A40="","",SUMIFS('Barang Keluar'!$E:$E,'Barang Keluar'!$C:$C,A40,'Barang Keluar'!$A:$A,"&gt;="&amp;$A$4,'Barang Keluar'!$A:$A,"&lt;="&amp;$B$4))</f>
        <v>0</v>
      </c>
      <c r="F40" s="49">
        <f>IF($A$4+ROW()-8&gt;$B$4,"",$A$4+ROW()-8)</f>
        <v>46055</v>
      </c>
      <c r="G40">
        <f>IF(F40="","",SUMIFS('Barang Keluar'!$E:$E,'Barang Keluar'!$A:$A,F40))</f>
        <v>0</v>
      </c>
      <c r="I40" s="49">
        <f>IF($A$4+7*(ROW()-8)-WEEKDAY($A$4,2)+1&gt;$B$4,"",$A$4+7*(ROW()-8)-WEEKDAY($A$4,2)+1)</f>
        <v>46244</v>
      </c>
      <c r="J40" s="49">
        <f t="shared" si="0"/>
        <v>46250</v>
      </c>
      <c r="K40">
        <f>IF(I40="","",SUMIFS('Barang Keluar'!$E:$E,'Barang Keluar'!$A:$A,"&gt;="&amp;I40,'Barang Keluar'!$A:$A,"&lt;="&amp;J40))</f>
        <v>0</v>
      </c>
      <c r="M40" s="49">
        <f>IF($A$4+0&gt;$B$4,"",$A$4+0)</f>
        <v>46023</v>
      </c>
      <c r="N40" t="str">
        <f>IF(M40="","",'Master Barang'!A34)</f>
        <v>PRL-033</v>
      </c>
      <c r="O40">
        <f>IF(N40="","",'Master Barang'!B34)</f>
        <v>0</v>
      </c>
      <c r="P40">
        <f>IF(OR(M40="",N40=""),"",SUMIFS('Barang Keluar'!$E:$E,'Barang Keluar'!$A:$A,M40,'Barang Keluar'!$C:$C,N40))</f>
        <v>0</v>
      </c>
    </row>
    <row r="41" spans="1:16">
      <c r="A41">
        <f>IFERROR('Master Barang'!A36,"")</f>
        <v>0</v>
      </c>
      <c r="B41">
        <f>IFERROR('Master Barang'!B36,"")</f>
        <v>0</v>
      </c>
      <c r="C41">
        <f>IFERROR('Master Barang'!D36,"")</f>
        <v>0</v>
      </c>
      <c r="D41">
        <f>IF(A41="","",SUMIFS('Barang Keluar'!$E:$E,'Barang Keluar'!$C:$C,A41,'Barang Keluar'!$A:$A,"&gt;="&amp;$A$4,'Barang Keluar'!$A:$A,"&lt;="&amp;$B$4))</f>
        <v>0</v>
      </c>
      <c r="F41" s="49">
        <f>IF($A$4+ROW()-8&gt;$B$4,"",$A$4+ROW()-8)</f>
        <v>46056</v>
      </c>
      <c r="G41">
        <f>IF(F41="","",SUMIFS('Barang Keluar'!$E:$E,'Barang Keluar'!$A:$A,F41))</f>
        <v>0</v>
      </c>
      <c r="I41" s="49">
        <f>IF($A$4+7*(ROW()-8)-WEEKDAY($A$4,2)+1&gt;$B$4,"",$A$4+7*(ROW()-8)-WEEKDAY($A$4,2)+1)</f>
        <v>46251</v>
      </c>
      <c r="J41" s="49">
        <f t="shared" si="0"/>
        <v>46257</v>
      </c>
      <c r="K41">
        <f>IF(I41="","",SUMIFS('Barang Keluar'!$E:$E,'Barang Keluar'!$A:$A,"&gt;="&amp;I41,'Barang Keluar'!$A:$A,"&lt;="&amp;J41))</f>
        <v>0</v>
      </c>
      <c r="M41" s="49">
        <f>IF($A$4+0&gt;$B$4,"",$A$4+0)</f>
        <v>46023</v>
      </c>
      <c r="N41">
        <f>IF(M41="","",'Master Barang'!A35)</f>
        <v>0</v>
      </c>
      <c r="O41">
        <f>IF(N41="","",'Master Barang'!B35)</f>
        <v>0</v>
      </c>
      <c r="P41">
        <f>IF(OR(M41="",N41=""),"",SUMIFS('Barang Keluar'!$E:$E,'Barang Keluar'!$A:$A,M41,'Barang Keluar'!$C:$C,N41))</f>
        <v>0</v>
      </c>
    </row>
    <row r="42" spans="1:16">
      <c r="A42">
        <f>IFERROR('Master Barang'!A37,"")</f>
        <v>0</v>
      </c>
      <c r="B42">
        <f>IFERROR('Master Barang'!B37,"")</f>
        <v>0</v>
      </c>
      <c r="C42">
        <f>IFERROR('Master Barang'!D37,"")</f>
        <v>0</v>
      </c>
      <c r="D42">
        <f>IF(A42="","",SUMIFS('Barang Keluar'!$E:$E,'Barang Keluar'!$C:$C,A42,'Barang Keluar'!$A:$A,"&gt;="&amp;$A$4,'Barang Keluar'!$A:$A,"&lt;="&amp;$B$4))</f>
        <v>0</v>
      </c>
      <c r="F42" s="49">
        <f>IF($A$4+ROW()-8&gt;$B$4,"",$A$4+ROW()-8)</f>
        <v>46057</v>
      </c>
      <c r="G42">
        <f>IF(F42="","",SUMIFS('Barang Keluar'!$E:$E,'Barang Keluar'!$A:$A,F42))</f>
        <v>0</v>
      </c>
      <c r="I42" s="49">
        <f>IF($A$4+7*(ROW()-8)-WEEKDAY($A$4,2)+1&gt;$B$4,"",$A$4+7*(ROW()-8)-WEEKDAY($A$4,2)+1)</f>
        <v>46258</v>
      </c>
      <c r="J42" s="49">
        <f t="shared" si="0"/>
        <v>46264</v>
      </c>
      <c r="K42">
        <f>IF(I42="","",SUMIFS('Barang Keluar'!$E:$E,'Barang Keluar'!$A:$A,"&gt;="&amp;I42,'Barang Keluar'!$A:$A,"&lt;="&amp;J42))</f>
        <v>0</v>
      </c>
      <c r="M42" s="49">
        <f>IF($A$4+0&gt;$B$4,"",$A$4+0)</f>
        <v>46023</v>
      </c>
      <c r="N42">
        <f>IF(M42="","",'Master Barang'!A36)</f>
        <v>0</v>
      </c>
      <c r="O42">
        <f>IF(N42="","",'Master Barang'!B36)</f>
        <v>0</v>
      </c>
      <c r="P42">
        <f>IF(OR(M42="",N42=""),"",SUMIFS('Barang Keluar'!$E:$E,'Barang Keluar'!$A:$A,M42,'Barang Keluar'!$C:$C,N42))</f>
        <v>0</v>
      </c>
    </row>
    <row r="43" spans="1:16">
      <c r="A43">
        <f>IFERROR('Master Barang'!A38,"")</f>
        <v>0</v>
      </c>
      <c r="B43">
        <f>IFERROR('Master Barang'!B38,"")</f>
        <v>0</v>
      </c>
      <c r="C43">
        <f>IFERROR('Master Barang'!D38,"")</f>
        <v>0</v>
      </c>
      <c r="D43">
        <f>IF(A43="","",SUMIFS('Barang Keluar'!$E:$E,'Barang Keluar'!$C:$C,A43,'Barang Keluar'!$A:$A,"&gt;="&amp;$A$4,'Barang Keluar'!$A:$A,"&lt;="&amp;$B$4))</f>
        <v>0</v>
      </c>
      <c r="F43" s="49">
        <f>IF($A$4+ROW()-8&gt;$B$4,"",$A$4+ROW()-8)</f>
        <v>46058</v>
      </c>
      <c r="G43">
        <f>IF(F43="","",SUMIFS('Barang Keluar'!$E:$E,'Barang Keluar'!$A:$A,F43))</f>
        <v>0</v>
      </c>
      <c r="I43" s="49">
        <f>IF($A$4+7*(ROW()-8)-WEEKDAY($A$4,2)+1&gt;$B$4,"",$A$4+7*(ROW()-8)-WEEKDAY($A$4,2)+1)</f>
        <v>46265</v>
      </c>
      <c r="J43" s="49">
        <f t="shared" si="0"/>
        <v>46271</v>
      </c>
      <c r="K43">
        <f>IF(I43="","",SUMIFS('Barang Keluar'!$E:$E,'Barang Keluar'!$A:$A,"&gt;="&amp;I43,'Barang Keluar'!$A:$A,"&lt;="&amp;J43))</f>
        <v>0</v>
      </c>
      <c r="M43" s="49">
        <f>IF($A$4+0&gt;$B$4,"",$A$4+0)</f>
        <v>46023</v>
      </c>
      <c r="N43">
        <f>IF(M43="","",'Master Barang'!A37)</f>
        <v>0</v>
      </c>
      <c r="O43">
        <f>IF(N43="","",'Master Barang'!B37)</f>
        <v>0</v>
      </c>
      <c r="P43">
        <f>IF(OR(M43="",N43=""),"",SUMIFS('Barang Keluar'!$E:$E,'Barang Keluar'!$A:$A,M43,'Barang Keluar'!$C:$C,N43))</f>
        <v>0</v>
      </c>
    </row>
    <row r="44" spans="1:16">
      <c r="A44">
        <f>IFERROR('Master Barang'!A39,"")</f>
        <v>0</v>
      </c>
      <c r="B44">
        <f>IFERROR('Master Barang'!B39,"")</f>
        <v>0</v>
      </c>
      <c r="C44">
        <f>IFERROR('Master Barang'!D39,"")</f>
        <v>0</v>
      </c>
      <c r="D44">
        <f>IF(A44="","",SUMIFS('Barang Keluar'!$E:$E,'Barang Keluar'!$C:$C,A44,'Barang Keluar'!$A:$A,"&gt;="&amp;$A$4,'Barang Keluar'!$A:$A,"&lt;="&amp;$B$4))</f>
        <v>0</v>
      </c>
      <c r="F44" s="49">
        <f>IF($A$4+ROW()-8&gt;$B$4,"",$A$4+ROW()-8)</f>
        <v>46059</v>
      </c>
      <c r="G44">
        <f>IF(F44="","",SUMIFS('Barang Keluar'!$E:$E,'Barang Keluar'!$A:$A,F44))</f>
        <v>0</v>
      </c>
      <c r="I44" s="49">
        <f>IF($A$4+7*(ROW()-8)-WEEKDAY($A$4,2)+1&gt;$B$4,"",$A$4+7*(ROW()-8)-WEEKDAY($A$4,2)+1)</f>
        <v>46272</v>
      </c>
      <c r="J44" s="49">
        <f t="shared" si="0"/>
        <v>46278</v>
      </c>
      <c r="K44">
        <f>IF(I44="","",SUMIFS('Barang Keluar'!$E:$E,'Barang Keluar'!$A:$A,"&gt;="&amp;I44,'Barang Keluar'!$A:$A,"&lt;="&amp;J44))</f>
        <v>0</v>
      </c>
      <c r="M44" s="49">
        <f>IF($A$4+0&gt;$B$4,"",$A$4+0)</f>
        <v>46023</v>
      </c>
      <c r="N44">
        <f>IF(M44="","",'Master Barang'!A38)</f>
        <v>0</v>
      </c>
      <c r="O44">
        <f>IF(N44="","",'Master Barang'!B38)</f>
        <v>0</v>
      </c>
      <c r="P44">
        <f>IF(OR(M44="",N44=""),"",SUMIFS('Barang Keluar'!$E:$E,'Barang Keluar'!$A:$A,M44,'Barang Keluar'!$C:$C,N44))</f>
        <v>0</v>
      </c>
    </row>
    <row r="45" spans="1:16">
      <c r="A45">
        <f>IFERROR('Master Barang'!A40,"")</f>
        <v>0</v>
      </c>
      <c r="B45">
        <f>IFERROR('Master Barang'!B40,"")</f>
        <v>0</v>
      </c>
      <c r="C45">
        <f>IFERROR('Master Barang'!D40,"")</f>
        <v>0</v>
      </c>
      <c r="D45">
        <f>IF(A45="","",SUMIFS('Barang Keluar'!$E:$E,'Barang Keluar'!$C:$C,A45,'Barang Keluar'!$A:$A,"&gt;="&amp;$A$4,'Barang Keluar'!$A:$A,"&lt;="&amp;$B$4))</f>
        <v>0</v>
      </c>
      <c r="F45" s="49">
        <f>IF($A$4+ROW()-8&gt;$B$4,"",$A$4+ROW()-8)</f>
        <v>46060</v>
      </c>
      <c r="G45">
        <f>IF(F45="","",SUMIFS('Barang Keluar'!$E:$E,'Barang Keluar'!$A:$A,F45))</f>
        <v>0</v>
      </c>
      <c r="I45" s="49">
        <f>IF($A$4+7*(ROW()-8)-WEEKDAY($A$4,2)+1&gt;$B$4,"",$A$4+7*(ROW()-8)-WEEKDAY($A$4,2)+1)</f>
        <v>46279</v>
      </c>
      <c r="J45" s="49">
        <f t="shared" si="0"/>
        <v>46285</v>
      </c>
      <c r="K45">
        <f>IF(I45="","",SUMIFS('Barang Keluar'!$E:$E,'Barang Keluar'!$A:$A,"&gt;="&amp;I45,'Barang Keluar'!$A:$A,"&lt;="&amp;J45))</f>
        <v>0</v>
      </c>
      <c r="M45" s="49">
        <f>IF($A$4+0&gt;$B$4,"",$A$4+0)</f>
        <v>46023</v>
      </c>
      <c r="N45">
        <f>IF(M45="","",'Master Barang'!A39)</f>
        <v>0</v>
      </c>
      <c r="O45">
        <f>IF(N45="","",'Master Barang'!B39)</f>
        <v>0</v>
      </c>
      <c r="P45">
        <f>IF(OR(M45="",N45=""),"",SUMIFS('Barang Keluar'!$E:$E,'Barang Keluar'!$A:$A,M45,'Barang Keluar'!$C:$C,N45))</f>
        <v>0</v>
      </c>
    </row>
    <row r="46" spans="1:16">
      <c r="A46">
        <f>IFERROR('Master Barang'!A41,"")</f>
        <v>0</v>
      </c>
      <c r="B46">
        <f>IFERROR('Master Barang'!B41,"")</f>
        <v>0</v>
      </c>
      <c r="C46">
        <f>IFERROR('Master Barang'!D41,"")</f>
        <v>0</v>
      </c>
      <c r="D46">
        <f>IF(A46="","",SUMIFS('Barang Keluar'!$E:$E,'Barang Keluar'!$C:$C,A46,'Barang Keluar'!$A:$A,"&gt;="&amp;$A$4,'Barang Keluar'!$A:$A,"&lt;="&amp;$B$4))</f>
        <v>0</v>
      </c>
      <c r="F46" s="49">
        <f>IF($A$4+ROW()-8&gt;$B$4,"",$A$4+ROW()-8)</f>
        <v>46061</v>
      </c>
      <c r="G46">
        <f>IF(F46="","",SUMIFS('Barang Keluar'!$E:$E,'Barang Keluar'!$A:$A,F46))</f>
        <v>0</v>
      </c>
      <c r="I46" s="49">
        <f>IF($A$4+7*(ROW()-8)-WEEKDAY($A$4,2)+1&gt;$B$4,"",$A$4+7*(ROW()-8)-WEEKDAY($A$4,2)+1)</f>
        <v>46286</v>
      </c>
      <c r="J46" s="49">
        <f t="shared" si="0"/>
        <v>46292</v>
      </c>
      <c r="K46">
        <f>IF(I46="","",SUMIFS('Barang Keluar'!$E:$E,'Barang Keluar'!$A:$A,"&gt;="&amp;I46,'Barang Keluar'!$A:$A,"&lt;="&amp;J46))</f>
        <v>0</v>
      </c>
      <c r="M46" s="49">
        <f>IF($A$4+0&gt;$B$4,"",$A$4+0)</f>
        <v>46023</v>
      </c>
      <c r="N46">
        <f>IF(M46="","",'Master Barang'!A40)</f>
        <v>0</v>
      </c>
      <c r="O46">
        <f>IF(N46="","",'Master Barang'!B40)</f>
        <v>0</v>
      </c>
      <c r="P46">
        <f>IF(OR(M46="",N46=""),"",SUMIFS('Barang Keluar'!$E:$E,'Barang Keluar'!$A:$A,M46,'Barang Keluar'!$C:$C,N46))</f>
        <v>0</v>
      </c>
    </row>
    <row r="47" spans="1:16">
      <c r="A47">
        <f>IFERROR('Master Barang'!A42,"")</f>
        <v>0</v>
      </c>
      <c r="B47">
        <f>IFERROR('Master Barang'!B42,"")</f>
        <v>0</v>
      </c>
      <c r="C47">
        <f>IFERROR('Master Barang'!D42,"")</f>
        <v>0</v>
      </c>
      <c r="D47">
        <f>IF(A47="","",SUMIFS('Barang Keluar'!$E:$E,'Barang Keluar'!$C:$C,A47,'Barang Keluar'!$A:$A,"&gt;="&amp;$A$4,'Barang Keluar'!$A:$A,"&lt;="&amp;$B$4))</f>
        <v>0</v>
      </c>
      <c r="F47" s="49">
        <f>IF($A$4+ROW()-8&gt;$B$4,"",$A$4+ROW()-8)</f>
        <v>46062</v>
      </c>
      <c r="G47">
        <f>IF(F47="","",SUMIFS('Barang Keluar'!$E:$E,'Barang Keluar'!$A:$A,F47))</f>
        <v>0</v>
      </c>
      <c r="I47" s="49">
        <f>IF($A$4+7*(ROW()-8)-WEEKDAY($A$4,2)+1&gt;$B$4,"",$A$4+7*(ROW()-8)-WEEKDAY($A$4,2)+1)</f>
        <v>46293</v>
      </c>
      <c r="J47" s="49">
        <f t="shared" si="0"/>
        <v>46299</v>
      </c>
      <c r="K47">
        <f>IF(I47="","",SUMIFS('Barang Keluar'!$E:$E,'Barang Keluar'!$A:$A,"&gt;="&amp;I47,'Barang Keluar'!$A:$A,"&lt;="&amp;J47))</f>
        <v>0</v>
      </c>
      <c r="M47" s="49">
        <f>IF($A$4+0&gt;$B$4,"",$A$4+0)</f>
        <v>46023</v>
      </c>
      <c r="N47">
        <f>IF(M47="","",'Master Barang'!A41)</f>
        <v>0</v>
      </c>
      <c r="O47">
        <f>IF(N47="","",'Master Barang'!B41)</f>
        <v>0</v>
      </c>
      <c r="P47">
        <f>IF(OR(M47="",N47=""),"",SUMIFS('Barang Keluar'!$E:$E,'Barang Keluar'!$A:$A,M47,'Barang Keluar'!$C:$C,N47))</f>
        <v>0</v>
      </c>
    </row>
    <row r="48" spans="1:16">
      <c r="A48">
        <f>IFERROR('Master Barang'!A43,"")</f>
        <v>0</v>
      </c>
      <c r="B48">
        <f>IFERROR('Master Barang'!B43,"")</f>
        <v>0</v>
      </c>
      <c r="C48">
        <f>IFERROR('Master Barang'!D43,"")</f>
        <v>0</v>
      </c>
      <c r="D48">
        <f>IF(A48="","",SUMIFS('Barang Keluar'!$E:$E,'Barang Keluar'!$C:$C,A48,'Barang Keluar'!$A:$A,"&gt;="&amp;$A$4,'Barang Keluar'!$A:$A,"&lt;="&amp;$B$4))</f>
        <v>0</v>
      </c>
      <c r="F48" s="49">
        <f>IF($A$4+ROW()-8&gt;$B$4,"",$A$4+ROW()-8)</f>
        <v>46063</v>
      </c>
      <c r="G48">
        <f>IF(F48="","",SUMIFS('Barang Keluar'!$E:$E,'Barang Keluar'!$A:$A,F48))</f>
        <v>0</v>
      </c>
      <c r="I48" s="49">
        <f>IF($A$4+7*(ROW()-8)-WEEKDAY($A$4,2)+1&gt;$B$4,"",$A$4+7*(ROW()-8)-WEEKDAY($A$4,2)+1)</f>
        <v>46300</v>
      </c>
      <c r="J48" s="49">
        <f t="shared" si="0"/>
        <v>46306</v>
      </c>
      <c r="K48">
        <f>IF(I48="","",SUMIFS('Barang Keluar'!$E:$E,'Barang Keluar'!$A:$A,"&gt;="&amp;I48,'Barang Keluar'!$A:$A,"&lt;="&amp;J48))</f>
        <v>0</v>
      </c>
      <c r="M48" s="49">
        <f>IF($A$4+0&gt;$B$4,"",$A$4+0)</f>
        <v>46023</v>
      </c>
      <c r="N48">
        <f>IF(M48="","",'Master Barang'!A42)</f>
        <v>0</v>
      </c>
      <c r="O48">
        <f>IF(N48="","",'Master Barang'!B42)</f>
        <v>0</v>
      </c>
      <c r="P48">
        <f>IF(OR(M48="",N48=""),"",SUMIFS('Barang Keluar'!$E:$E,'Barang Keluar'!$A:$A,M48,'Barang Keluar'!$C:$C,N48))</f>
        <v>0</v>
      </c>
    </row>
    <row r="49" spans="1:16">
      <c r="A49">
        <f>IFERROR('Master Barang'!A44,"")</f>
        <v>0</v>
      </c>
      <c r="B49">
        <f>IFERROR('Master Barang'!B44,"")</f>
        <v>0</v>
      </c>
      <c r="C49">
        <f>IFERROR('Master Barang'!D44,"")</f>
        <v>0</v>
      </c>
      <c r="D49">
        <f>IF(A49="","",SUMIFS('Barang Keluar'!$E:$E,'Barang Keluar'!$C:$C,A49,'Barang Keluar'!$A:$A,"&gt;="&amp;$A$4,'Barang Keluar'!$A:$A,"&lt;="&amp;$B$4))</f>
        <v>0</v>
      </c>
      <c r="F49" s="49">
        <f>IF($A$4+ROW()-8&gt;$B$4,"",$A$4+ROW()-8)</f>
        <v>46064</v>
      </c>
      <c r="G49">
        <f>IF(F49="","",SUMIFS('Barang Keluar'!$E:$E,'Barang Keluar'!$A:$A,F49))</f>
        <v>0</v>
      </c>
      <c r="I49" s="49">
        <f>IF($A$4+7*(ROW()-8)-WEEKDAY($A$4,2)+1&gt;$B$4,"",$A$4+7*(ROW()-8)-WEEKDAY($A$4,2)+1)</f>
        <v>46307</v>
      </c>
      <c r="J49" s="49">
        <f t="shared" si="0"/>
        <v>46313</v>
      </c>
      <c r="K49">
        <f>IF(I49="","",SUMIFS('Barang Keluar'!$E:$E,'Barang Keluar'!$A:$A,"&gt;="&amp;I49,'Barang Keluar'!$A:$A,"&lt;="&amp;J49))</f>
        <v>0</v>
      </c>
      <c r="M49" s="49">
        <f>IF($A$4+0&gt;$B$4,"",$A$4+0)</f>
        <v>46023</v>
      </c>
      <c r="N49">
        <f>IF(M49="","",'Master Barang'!A43)</f>
        <v>0</v>
      </c>
      <c r="O49">
        <f>IF(N49="","",'Master Barang'!B43)</f>
        <v>0</v>
      </c>
      <c r="P49">
        <f>IF(OR(M49="",N49=""),"",SUMIFS('Barang Keluar'!$E:$E,'Barang Keluar'!$A:$A,M49,'Barang Keluar'!$C:$C,N49))</f>
        <v>0</v>
      </c>
    </row>
    <row r="50" spans="1:16">
      <c r="A50">
        <f>IFERROR('Master Barang'!A45,"")</f>
        <v>0</v>
      </c>
      <c r="B50">
        <f>IFERROR('Master Barang'!B45,"")</f>
        <v>0</v>
      </c>
      <c r="C50">
        <f>IFERROR('Master Barang'!D45,"")</f>
        <v>0</v>
      </c>
      <c r="D50">
        <f>IF(A50="","",SUMIFS('Barang Keluar'!$E:$E,'Barang Keluar'!$C:$C,A50,'Barang Keluar'!$A:$A,"&gt;="&amp;$A$4,'Barang Keluar'!$A:$A,"&lt;="&amp;$B$4))</f>
        <v>0</v>
      </c>
      <c r="F50" s="49">
        <f>IF($A$4+ROW()-8&gt;$B$4,"",$A$4+ROW()-8)</f>
        <v>46065</v>
      </c>
      <c r="G50">
        <f>IF(F50="","",SUMIFS('Barang Keluar'!$E:$E,'Barang Keluar'!$A:$A,F50))</f>
        <v>0</v>
      </c>
      <c r="I50" s="49">
        <f>IF($A$4+7*(ROW()-8)-WEEKDAY($A$4,2)+1&gt;$B$4,"",$A$4+7*(ROW()-8)-WEEKDAY($A$4,2)+1)</f>
        <v>46314</v>
      </c>
      <c r="J50" s="49">
        <f t="shared" si="0"/>
        <v>46320</v>
      </c>
      <c r="K50">
        <f>IF(I50="","",SUMIFS('Barang Keluar'!$E:$E,'Barang Keluar'!$A:$A,"&gt;="&amp;I50,'Barang Keluar'!$A:$A,"&lt;="&amp;J50))</f>
        <v>0</v>
      </c>
      <c r="M50" s="49">
        <f>IF($A$4+0&gt;$B$4,"",$A$4+0)</f>
        <v>46023</v>
      </c>
      <c r="N50">
        <f>IF(M50="","",'Master Barang'!A44)</f>
        <v>0</v>
      </c>
      <c r="O50">
        <f>IF(N50="","",'Master Barang'!B44)</f>
        <v>0</v>
      </c>
      <c r="P50">
        <f>IF(OR(M50="",N50=""),"",SUMIFS('Barang Keluar'!$E:$E,'Barang Keluar'!$A:$A,M50,'Barang Keluar'!$C:$C,N50))</f>
        <v>0</v>
      </c>
    </row>
    <row r="51" spans="1:16">
      <c r="A51">
        <f>IFERROR('Master Barang'!A46,"")</f>
        <v>0</v>
      </c>
      <c r="B51">
        <f>IFERROR('Master Barang'!B46,"")</f>
        <v>0</v>
      </c>
      <c r="C51">
        <f>IFERROR('Master Barang'!D46,"")</f>
        <v>0</v>
      </c>
      <c r="D51">
        <f>IF(A51="","",SUMIFS('Barang Keluar'!$E:$E,'Barang Keluar'!$C:$C,A51,'Barang Keluar'!$A:$A,"&gt;="&amp;$A$4,'Barang Keluar'!$A:$A,"&lt;="&amp;$B$4))</f>
        <v>0</v>
      </c>
      <c r="F51" s="49">
        <f>IF($A$4+ROW()-8&gt;$B$4,"",$A$4+ROW()-8)</f>
        <v>46066</v>
      </c>
      <c r="G51">
        <f>IF(F51="","",SUMIFS('Barang Keluar'!$E:$E,'Barang Keluar'!$A:$A,F51))</f>
        <v>0</v>
      </c>
      <c r="I51" s="49">
        <f>IF($A$4+7*(ROW()-8)-WEEKDAY($A$4,2)+1&gt;$B$4,"",$A$4+7*(ROW()-8)-WEEKDAY($A$4,2)+1)</f>
        <v>46321</v>
      </c>
      <c r="J51" s="49">
        <f t="shared" si="0"/>
        <v>46327</v>
      </c>
      <c r="K51">
        <f>IF(I51="","",SUMIFS('Barang Keluar'!$E:$E,'Barang Keluar'!$A:$A,"&gt;="&amp;I51,'Barang Keluar'!$A:$A,"&lt;="&amp;J51))</f>
        <v>0</v>
      </c>
      <c r="M51" s="49">
        <f>IF($A$4+0&gt;$B$4,"",$A$4+0)</f>
        <v>46023</v>
      </c>
      <c r="N51">
        <f>IF(M51="","",'Master Barang'!A45)</f>
        <v>0</v>
      </c>
      <c r="O51">
        <f>IF(N51="","",'Master Barang'!B45)</f>
        <v>0</v>
      </c>
      <c r="P51">
        <f>IF(OR(M51="",N51=""),"",SUMIFS('Barang Keluar'!$E:$E,'Barang Keluar'!$A:$A,M51,'Barang Keluar'!$C:$C,N51))</f>
        <v>0</v>
      </c>
    </row>
    <row r="52" spans="1:16">
      <c r="A52">
        <f>IFERROR('Master Barang'!A47,"")</f>
        <v>0</v>
      </c>
      <c r="B52">
        <f>IFERROR('Master Barang'!B47,"")</f>
        <v>0</v>
      </c>
      <c r="C52">
        <f>IFERROR('Master Barang'!D47,"")</f>
        <v>0</v>
      </c>
      <c r="D52">
        <f>IF(A52="","",SUMIFS('Barang Keluar'!$E:$E,'Barang Keluar'!$C:$C,A52,'Barang Keluar'!$A:$A,"&gt;="&amp;$A$4,'Barang Keluar'!$A:$A,"&lt;="&amp;$B$4))</f>
        <v>0</v>
      </c>
      <c r="F52" s="49">
        <f>IF($A$4+ROW()-8&gt;$B$4,"",$A$4+ROW()-8)</f>
        <v>46067</v>
      </c>
      <c r="G52">
        <f>IF(F52="","",SUMIFS('Barang Keluar'!$E:$E,'Barang Keluar'!$A:$A,F52))</f>
        <v>0</v>
      </c>
      <c r="I52" s="49">
        <f>IF($A$4+7*(ROW()-8)-WEEKDAY($A$4,2)+1&gt;$B$4,"",$A$4+7*(ROW()-8)-WEEKDAY($A$4,2)+1)</f>
        <v>46328</v>
      </c>
      <c r="J52" s="49">
        <f t="shared" si="0"/>
        <v>46334</v>
      </c>
      <c r="K52">
        <f>IF(I52="","",SUMIFS('Barang Keluar'!$E:$E,'Barang Keluar'!$A:$A,"&gt;="&amp;I52,'Barang Keluar'!$A:$A,"&lt;="&amp;J52))</f>
        <v>0</v>
      </c>
      <c r="M52" s="49">
        <f>IF($A$4+0&gt;$B$4,"",$A$4+0)</f>
        <v>46023</v>
      </c>
      <c r="N52">
        <f>IF(M52="","",'Master Barang'!A46)</f>
        <v>0</v>
      </c>
      <c r="O52">
        <f>IF(N52="","",'Master Barang'!B46)</f>
        <v>0</v>
      </c>
      <c r="P52">
        <f>IF(OR(M52="",N52=""),"",SUMIFS('Barang Keluar'!$E:$E,'Barang Keluar'!$A:$A,M52,'Barang Keluar'!$C:$C,N52))</f>
        <v>0</v>
      </c>
    </row>
    <row r="53" spans="1:16">
      <c r="A53">
        <f>IFERROR('Master Barang'!A48,"")</f>
        <v>0</v>
      </c>
      <c r="B53">
        <f>IFERROR('Master Barang'!B48,"")</f>
        <v>0</v>
      </c>
      <c r="C53">
        <f>IFERROR('Master Barang'!D48,"")</f>
        <v>0</v>
      </c>
      <c r="D53">
        <f>IF(A53="","",SUMIFS('Barang Keluar'!$E:$E,'Barang Keluar'!$C:$C,A53,'Barang Keluar'!$A:$A,"&gt;="&amp;$A$4,'Barang Keluar'!$A:$A,"&lt;="&amp;$B$4))</f>
        <v>0</v>
      </c>
      <c r="F53" s="49">
        <f>IF($A$4+ROW()-8&gt;$B$4,"",$A$4+ROW()-8)</f>
        <v>46068</v>
      </c>
      <c r="G53">
        <f>IF(F53="","",SUMIFS('Barang Keluar'!$E:$E,'Barang Keluar'!$A:$A,F53))</f>
        <v>0</v>
      </c>
      <c r="I53" s="49">
        <f>IF($A$4+7*(ROW()-8)-WEEKDAY($A$4,2)+1&gt;$B$4,"",$A$4+7*(ROW()-8)-WEEKDAY($A$4,2)+1)</f>
        <v>46335</v>
      </c>
      <c r="J53" s="49">
        <f t="shared" si="0"/>
        <v>46341</v>
      </c>
      <c r="K53">
        <f>IF(I53="","",SUMIFS('Barang Keluar'!$E:$E,'Barang Keluar'!$A:$A,"&gt;="&amp;I53,'Barang Keluar'!$A:$A,"&lt;="&amp;J53))</f>
        <v>0</v>
      </c>
      <c r="M53" s="49">
        <f>IF($A$4+0&gt;$B$4,"",$A$4+0)</f>
        <v>46023</v>
      </c>
      <c r="N53">
        <f>IF(M53="","",'Master Barang'!A47)</f>
        <v>0</v>
      </c>
      <c r="O53">
        <f>IF(N53="","",'Master Barang'!B47)</f>
        <v>0</v>
      </c>
      <c r="P53">
        <f>IF(OR(M53="",N53=""),"",SUMIFS('Barang Keluar'!$E:$E,'Barang Keluar'!$A:$A,M53,'Barang Keluar'!$C:$C,N53))</f>
        <v>0</v>
      </c>
    </row>
    <row r="54" spans="1:16">
      <c r="A54">
        <f>IFERROR('Master Barang'!A49,"")</f>
        <v>0</v>
      </c>
      <c r="B54">
        <f>IFERROR('Master Barang'!B49,"")</f>
        <v>0</v>
      </c>
      <c r="C54">
        <f>IFERROR('Master Barang'!D49,"")</f>
        <v>0</v>
      </c>
      <c r="D54">
        <f>IF(A54="","",SUMIFS('Barang Keluar'!$E:$E,'Barang Keluar'!$C:$C,A54,'Barang Keluar'!$A:$A,"&gt;="&amp;$A$4,'Barang Keluar'!$A:$A,"&lt;="&amp;$B$4))</f>
        <v>0</v>
      </c>
      <c r="F54" s="49">
        <f>IF($A$4+ROW()-8&gt;$B$4,"",$A$4+ROW()-8)</f>
        <v>46069</v>
      </c>
      <c r="G54">
        <f>IF(F54="","",SUMIFS('Barang Keluar'!$E:$E,'Barang Keluar'!$A:$A,F54))</f>
        <v>0</v>
      </c>
      <c r="I54" s="49">
        <f>IF($A$4+7*(ROW()-8)-WEEKDAY($A$4,2)+1&gt;$B$4,"",$A$4+7*(ROW()-8)-WEEKDAY($A$4,2)+1)</f>
        <v>46342</v>
      </c>
      <c r="J54" s="49">
        <f t="shared" si="0"/>
        <v>46348</v>
      </c>
      <c r="K54">
        <f>IF(I54="","",SUMIFS('Barang Keluar'!$E:$E,'Barang Keluar'!$A:$A,"&gt;="&amp;I54,'Barang Keluar'!$A:$A,"&lt;="&amp;J54))</f>
        <v>0</v>
      </c>
      <c r="M54" s="49">
        <f>IF($A$4+0&gt;$B$4,"",$A$4+0)</f>
        <v>46023</v>
      </c>
      <c r="N54">
        <f>IF(M54="","",'Master Barang'!A48)</f>
        <v>0</v>
      </c>
      <c r="O54">
        <f>IF(N54="","",'Master Barang'!B48)</f>
        <v>0</v>
      </c>
      <c r="P54">
        <f>IF(OR(M54="",N54=""),"",SUMIFS('Barang Keluar'!$E:$E,'Barang Keluar'!$A:$A,M54,'Barang Keluar'!$C:$C,N54))</f>
        <v>0</v>
      </c>
    </row>
    <row r="55" spans="1:16">
      <c r="A55">
        <f>IFERROR('Master Barang'!A50,"")</f>
        <v>0</v>
      </c>
      <c r="B55">
        <f>IFERROR('Master Barang'!B50,"")</f>
        <v>0</v>
      </c>
      <c r="C55">
        <f>IFERROR('Master Barang'!D50,"")</f>
        <v>0</v>
      </c>
      <c r="D55">
        <f>IF(A55="","",SUMIFS('Barang Keluar'!$E:$E,'Barang Keluar'!$C:$C,A55,'Barang Keluar'!$A:$A,"&gt;="&amp;$A$4,'Barang Keluar'!$A:$A,"&lt;="&amp;$B$4))</f>
        <v>0</v>
      </c>
      <c r="F55" s="49">
        <f>IF($A$4+ROW()-8&gt;$B$4,"",$A$4+ROW()-8)</f>
        <v>46070</v>
      </c>
      <c r="G55">
        <f>IF(F55="","",SUMIFS('Barang Keluar'!$E:$E,'Barang Keluar'!$A:$A,F55))</f>
        <v>0</v>
      </c>
      <c r="I55" s="49">
        <f>IF($A$4+7*(ROW()-8)-WEEKDAY($A$4,2)+1&gt;$B$4,"",$A$4+7*(ROW()-8)-WEEKDAY($A$4,2)+1)</f>
        <v>46349</v>
      </c>
      <c r="J55" s="49">
        <f t="shared" si="0"/>
        <v>46355</v>
      </c>
      <c r="K55">
        <f>IF(I55="","",SUMIFS('Barang Keluar'!$E:$E,'Barang Keluar'!$A:$A,"&gt;="&amp;I55,'Barang Keluar'!$A:$A,"&lt;="&amp;J55))</f>
        <v>0</v>
      </c>
      <c r="M55" s="49">
        <f>IF($A$4+0&gt;$B$4,"",$A$4+0)</f>
        <v>46023</v>
      </c>
      <c r="N55">
        <f>IF(M55="","",'Master Barang'!A49)</f>
        <v>0</v>
      </c>
      <c r="O55">
        <f>IF(N55="","",'Master Barang'!B49)</f>
        <v>0</v>
      </c>
      <c r="P55">
        <f>IF(OR(M55="",N55=""),"",SUMIFS('Barang Keluar'!$E:$E,'Barang Keluar'!$A:$A,M55,'Barang Keluar'!$C:$C,N55))</f>
        <v>0</v>
      </c>
    </row>
    <row r="56" spans="1:16">
      <c r="A56">
        <f>IFERROR('Master Barang'!A51,"")</f>
        <v>0</v>
      </c>
      <c r="B56">
        <f>IFERROR('Master Barang'!B51,"")</f>
        <v>0</v>
      </c>
      <c r="C56">
        <f>IFERROR('Master Barang'!D51,"")</f>
        <v>0</v>
      </c>
      <c r="D56">
        <f>IF(A56="","",SUMIFS('Barang Keluar'!$E:$E,'Barang Keluar'!$C:$C,A56,'Barang Keluar'!$A:$A,"&gt;="&amp;$A$4,'Barang Keluar'!$A:$A,"&lt;="&amp;$B$4))</f>
        <v>0</v>
      </c>
      <c r="F56" s="49">
        <f>IF($A$4+ROW()-8&gt;$B$4,"",$A$4+ROW()-8)</f>
        <v>46071</v>
      </c>
      <c r="G56">
        <f>IF(F56="","",SUMIFS('Barang Keluar'!$E:$E,'Barang Keluar'!$A:$A,F56))</f>
        <v>0</v>
      </c>
      <c r="I56" s="49">
        <f>IF($A$4+7*(ROW()-8)-WEEKDAY($A$4,2)+1&gt;$B$4,"",$A$4+7*(ROW()-8)-WEEKDAY($A$4,2)+1)</f>
        <v>46356</v>
      </c>
      <c r="J56" s="49">
        <f t="shared" si="0"/>
        <v>46362</v>
      </c>
      <c r="K56">
        <f>IF(I56="","",SUMIFS('Barang Keluar'!$E:$E,'Barang Keluar'!$A:$A,"&gt;="&amp;I56,'Barang Keluar'!$A:$A,"&lt;="&amp;J56))</f>
        <v>0</v>
      </c>
      <c r="M56" s="49">
        <f>IF($A$4+0&gt;$B$4,"",$A$4+0)</f>
        <v>46023</v>
      </c>
      <c r="N56">
        <f>IF(M56="","",'Master Barang'!A50)</f>
        <v>0</v>
      </c>
      <c r="O56">
        <f>IF(N56="","",'Master Barang'!B50)</f>
        <v>0</v>
      </c>
      <c r="P56">
        <f>IF(OR(M56="",N56=""),"",SUMIFS('Barang Keluar'!$E:$E,'Barang Keluar'!$A:$A,M56,'Barang Keluar'!$C:$C,N56))</f>
        <v>0</v>
      </c>
    </row>
    <row r="57" spans="1:16">
      <c r="A57">
        <f>IFERROR('Master Barang'!A52,"")</f>
        <v>0</v>
      </c>
      <c r="B57">
        <f>IFERROR('Master Barang'!B52,"")</f>
        <v>0</v>
      </c>
      <c r="C57">
        <f>IFERROR('Master Barang'!D52,"")</f>
        <v>0</v>
      </c>
      <c r="D57">
        <f>IF(A57="","",SUMIFS('Barang Keluar'!$E:$E,'Barang Keluar'!$C:$C,A57,'Barang Keluar'!$A:$A,"&gt;="&amp;$A$4,'Barang Keluar'!$A:$A,"&lt;="&amp;$B$4))</f>
        <v>0</v>
      </c>
      <c r="F57" s="49">
        <f>IF($A$4+ROW()-8&gt;$B$4,"",$A$4+ROW()-8)</f>
        <v>46072</v>
      </c>
      <c r="G57">
        <f>IF(F57="","",SUMIFS('Barang Keluar'!$E:$E,'Barang Keluar'!$A:$A,F57))</f>
        <v>0</v>
      </c>
      <c r="I57" s="49">
        <f>IF($A$4+7*(ROW()-8)-WEEKDAY($A$4,2)+1&gt;$B$4,"",$A$4+7*(ROW()-8)-WEEKDAY($A$4,2)+1)</f>
        <v>46363</v>
      </c>
      <c r="J57" s="49">
        <f t="shared" si="0"/>
        <v>46369</v>
      </c>
      <c r="K57">
        <f>IF(I57="","",SUMIFS('Barang Keluar'!$E:$E,'Barang Keluar'!$A:$A,"&gt;="&amp;I57,'Barang Keluar'!$A:$A,"&lt;="&amp;J57))</f>
        <v>0</v>
      </c>
      <c r="M57" s="49">
        <f>IF($A$4+0&gt;$B$4,"",$A$4+0)</f>
        <v>46023</v>
      </c>
      <c r="N57">
        <f>IF(M57="","",'Master Barang'!A51)</f>
        <v>0</v>
      </c>
      <c r="O57">
        <f>IF(N57="","",'Master Barang'!B51)</f>
        <v>0</v>
      </c>
      <c r="P57">
        <f>IF(OR(M57="",N57=""),"",SUMIFS('Barang Keluar'!$E:$E,'Barang Keluar'!$A:$A,M57,'Barang Keluar'!$C:$C,N57))</f>
        <v>0</v>
      </c>
    </row>
    <row r="58" spans="1:16">
      <c r="A58">
        <f>IFERROR('Master Barang'!A53,"")</f>
        <v>0</v>
      </c>
      <c r="B58">
        <f>IFERROR('Master Barang'!B53,"")</f>
        <v>0</v>
      </c>
      <c r="C58">
        <f>IFERROR('Master Barang'!D53,"")</f>
        <v>0</v>
      </c>
      <c r="D58">
        <f>IF(A58="","",SUMIFS('Barang Keluar'!$E:$E,'Barang Keluar'!$C:$C,A58,'Barang Keluar'!$A:$A,"&gt;="&amp;$A$4,'Barang Keluar'!$A:$A,"&lt;="&amp;$B$4))</f>
        <v>0</v>
      </c>
      <c r="F58" s="49">
        <f>IF($A$4+ROW()-8&gt;$B$4,"",$A$4+ROW()-8)</f>
        <v>46073</v>
      </c>
      <c r="G58">
        <f>IF(F58="","",SUMIFS('Barang Keluar'!$E:$E,'Barang Keluar'!$A:$A,F58))</f>
        <v>0</v>
      </c>
      <c r="I58" s="49">
        <f>IF($A$4+7*(ROW()-8)-WEEKDAY($A$4,2)+1&gt;$B$4,"",$A$4+7*(ROW()-8)-WEEKDAY($A$4,2)+1)</f>
        <v>46370</v>
      </c>
      <c r="J58" s="49">
        <f t="shared" si="0"/>
        <v>46376</v>
      </c>
      <c r="K58">
        <f>IF(I58="","",SUMIFS('Barang Keluar'!$E:$E,'Barang Keluar'!$A:$A,"&gt;="&amp;I58,'Barang Keluar'!$A:$A,"&lt;="&amp;J58))</f>
        <v>0</v>
      </c>
      <c r="M58" s="49">
        <f>IF($A$4+0&gt;$B$4,"",$A$4+0)</f>
        <v>46023</v>
      </c>
      <c r="N58">
        <f>IF(M58="","",'Master Barang'!A52)</f>
        <v>0</v>
      </c>
      <c r="O58">
        <f>IF(N58="","",'Master Barang'!B52)</f>
        <v>0</v>
      </c>
      <c r="P58">
        <f>IF(OR(M58="",N58=""),"",SUMIFS('Barang Keluar'!$E:$E,'Barang Keluar'!$A:$A,M58,'Barang Keluar'!$C:$C,N58))</f>
        <v>0</v>
      </c>
    </row>
    <row r="59" spans="1:16">
      <c r="A59">
        <f>IFERROR('Master Barang'!A54,"")</f>
        <v>0</v>
      </c>
      <c r="B59">
        <f>IFERROR('Master Barang'!B54,"")</f>
        <v>0</v>
      </c>
      <c r="C59">
        <f>IFERROR('Master Barang'!D54,"")</f>
        <v>0</v>
      </c>
      <c r="D59">
        <f>IF(A59="","",SUMIFS('Barang Keluar'!$E:$E,'Barang Keluar'!$C:$C,A59,'Barang Keluar'!$A:$A,"&gt;="&amp;$A$4,'Barang Keluar'!$A:$A,"&lt;="&amp;$B$4))</f>
        <v>0</v>
      </c>
      <c r="F59" s="49">
        <f>IF($A$4+ROW()-8&gt;$B$4,"",$A$4+ROW()-8)</f>
        <v>46074</v>
      </c>
      <c r="G59">
        <f>IF(F59="","",SUMIFS('Barang Keluar'!$E:$E,'Barang Keluar'!$A:$A,F59))</f>
        <v>0</v>
      </c>
      <c r="I59" s="49">
        <f>IF($A$4+7*(ROW()-8)-WEEKDAY($A$4,2)+1&gt;$B$4,"",$A$4+7*(ROW()-8)-WEEKDAY($A$4,2)+1)</f>
        <v>46377</v>
      </c>
      <c r="J59" s="49">
        <f t="shared" si="0"/>
        <v>46383</v>
      </c>
      <c r="K59">
        <f>IF(I59="","",SUMIFS('Barang Keluar'!$E:$E,'Barang Keluar'!$A:$A,"&gt;="&amp;I59,'Barang Keluar'!$A:$A,"&lt;="&amp;J59))</f>
        <v>0</v>
      </c>
      <c r="M59" s="49">
        <f>IF($A$4+0&gt;$B$4,"",$A$4+0)</f>
        <v>46023</v>
      </c>
      <c r="N59">
        <f>IF(M59="","",'Master Barang'!A53)</f>
        <v>0</v>
      </c>
      <c r="O59">
        <f>IF(N59="","",'Master Barang'!B53)</f>
        <v>0</v>
      </c>
      <c r="P59">
        <f>IF(OR(M59="",N59=""),"",SUMIFS('Barang Keluar'!$E:$E,'Barang Keluar'!$A:$A,M59,'Barang Keluar'!$C:$C,N59))</f>
        <v>0</v>
      </c>
    </row>
    <row r="60" spans="1:16">
      <c r="A60">
        <f>IFERROR('Master Barang'!A55,"")</f>
        <v>0</v>
      </c>
      <c r="B60">
        <f>IFERROR('Master Barang'!B55,"")</f>
        <v>0</v>
      </c>
      <c r="C60">
        <f>IFERROR('Master Barang'!D55,"")</f>
        <v>0</v>
      </c>
      <c r="D60">
        <f>IF(A60="","",SUMIFS('Barang Keluar'!$E:$E,'Barang Keluar'!$C:$C,A60,'Barang Keluar'!$A:$A,"&gt;="&amp;$A$4,'Barang Keluar'!$A:$A,"&lt;="&amp;$B$4))</f>
        <v>0</v>
      </c>
      <c r="F60" s="49">
        <f>IF($A$4+ROW()-8&gt;$B$4,"",$A$4+ROW()-8)</f>
        <v>46075</v>
      </c>
      <c r="G60">
        <f>IF(F60="","",SUMIFS('Barang Keluar'!$E:$E,'Barang Keluar'!$A:$A,F60))</f>
        <v>0</v>
      </c>
      <c r="I60" s="49">
        <f>IF($A$4+7*(ROW()-8)-WEEKDAY($A$4,2)+1&gt;$B$4,"",$A$4+7*(ROW()-8)-WEEKDAY($A$4,2)+1)</f>
        <v>46384</v>
      </c>
      <c r="J60" s="49">
        <f t="shared" si="0"/>
        <v>46390</v>
      </c>
      <c r="K60">
        <f>IF(I60="","",SUMIFS('Barang Keluar'!$E:$E,'Barang Keluar'!$A:$A,"&gt;="&amp;I60,'Barang Keluar'!$A:$A,"&lt;="&amp;J60))</f>
        <v>0</v>
      </c>
      <c r="M60" s="49">
        <f>IF($A$4+0&gt;$B$4,"",$A$4+0)</f>
        <v>46023</v>
      </c>
      <c r="N60">
        <f>IF(M60="","",'Master Barang'!A54)</f>
        <v>0</v>
      </c>
      <c r="O60">
        <f>IF(N60="","",'Master Barang'!B54)</f>
        <v>0</v>
      </c>
      <c r="P60">
        <f>IF(OR(M60="",N60=""),"",SUMIFS('Barang Keluar'!$E:$E,'Barang Keluar'!$A:$A,M60,'Barang Keluar'!$C:$C,N60))</f>
        <v>0</v>
      </c>
    </row>
    <row r="61" spans="1:16">
      <c r="A61">
        <f>IFERROR('Master Barang'!A56,"")</f>
        <v>0</v>
      </c>
      <c r="B61">
        <f>IFERROR('Master Barang'!B56,"")</f>
        <v>0</v>
      </c>
      <c r="C61">
        <f>IFERROR('Master Barang'!D56,"")</f>
        <v>0</v>
      </c>
      <c r="D61">
        <f>IF(A61="","",SUMIFS('Barang Keluar'!$E:$E,'Barang Keluar'!$C:$C,A61,'Barang Keluar'!$A:$A,"&gt;="&amp;$A$4,'Barang Keluar'!$A:$A,"&lt;="&amp;$B$4))</f>
        <v>0</v>
      </c>
      <c r="F61" s="49">
        <f>IF($A$4+ROW()-8&gt;$B$4,"",$A$4+ROW()-8)</f>
        <v>46076</v>
      </c>
      <c r="G61">
        <f>IF(F61="","",SUMIFS('Barang Keluar'!$E:$E,'Barang Keluar'!$A:$A,F61))</f>
        <v>0</v>
      </c>
      <c r="M61" s="49">
        <f>IF($A$4+0&gt;$B$4,"",$A$4+0)</f>
        <v>46023</v>
      </c>
      <c r="N61">
        <f>IF(M61="","",'Master Barang'!A55)</f>
        <v>0</v>
      </c>
      <c r="O61">
        <f>IF(N61="","",'Master Barang'!B55)</f>
        <v>0</v>
      </c>
      <c r="P61">
        <f>IF(OR(M61="",N61=""),"",SUMIFS('Barang Keluar'!$E:$E,'Barang Keluar'!$A:$A,M61,'Barang Keluar'!$C:$C,N61))</f>
        <v>0</v>
      </c>
    </row>
    <row r="62" spans="1:16">
      <c r="A62">
        <f>IFERROR('Master Barang'!A57,"")</f>
        <v>0</v>
      </c>
      <c r="B62">
        <f>IFERROR('Master Barang'!B57,"")</f>
        <v>0</v>
      </c>
      <c r="C62">
        <f>IFERROR('Master Barang'!D57,"")</f>
        <v>0</v>
      </c>
      <c r="D62">
        <f>IF(A62="","",SUMIFS('Barang Keluar'!$E:$E,'Barang Keluar'!$C:$C,A62,'Barang Keluar'!$A:$A,"&gt;="&amp;$A$4,'Barang Keluar'!$A:$A,"&lt;="&amp;$B$4))</f>
        <v>0</v>
      </c>
      <c r="F62" s="49">
        <f>IF($A$4+ROW()-8&gt;$B$4,"",$A$4+ROW()-8)</f>
        <v>46077</v>
      </c>
      <c r="G62">
        <f>IF(F62="","",SUMIFS('Barang Keluar'!$E:$E,'Barang Keluar'!$A:$A,F62))</f>
        <v>0</v>
      </c>
      <c r="M62" s="49">
        <f>IF($A$4+0&gt;$B$4,"",$A$4+0)</f>
        <v>46023</v>
      </c>
      <c r="N62">
        <f>IF(M62="","",'Master Barang'!A56)</f>
        <v>0</v>
      </c>
      <c r="O62">
        <f>IF(N62="","",'Master Barang'!B56)</f>
        <v>0</v>
      </c>
      <c r="P62">
        <f>IF(OR(M62="",N62=""),"",SUMIFS('Barang Keluar'!$E:$E,'Barang Keluar'!$A:$A,M62,'Barang Keluar'!$C:$C,N62))</f>
        <v>0</v>
      </c>
    </row>
    <row r="63" spans="1:16">
      <c r="A63">
        <f>IFERROR('Master Barang'!A58,"")</f>
        <v>0</v>
      </c>
      <c r="B63">
        <f>IFERROR('Master Barang'!B58,"")</f>
        <v>0</v>
      </c>
      <c r="C63">
        <f>IFERROR('Master Barang'!D58,"")</f>
        <v>0</v>
      </c>
      <c r="D63">
        <f>IF(A63="","",SUMIFS('Barang Keluar'!$E:$E,'Barang Keluar'!$C:$C,A63,'Barang Keluar'!$A:$A,"&gt;="&amp;$A$4,'Barang Keluar'!$A:$A,"&lt;="&amp;$B$4))</f>
        <v>0</v>
      </c>
      <c r="F63" s="49">
        <f>IF($A$4+ROW()-8&gt;$B$4,"",$A$4+ROW()-8)</f>
        <v>46078</v>
      </c>
      <c r="G63">
        <f>IF(F63="","",SUMIFS('Barang Keluar'!$E:$E,'Barang Keluar'!$A:$A,F63))</f>
        <v>0</v>
      </c>
      <c r="M63" s="49">
        <f>IF($A$4+0&gt;$B$4,"",$A$4+0)</f>
        <v>46023</v>
      </c>
      <c r="N63">
        <f>IF(M63="","",'Master Barang'!A57)</f>
        <v>0</v>
      </c>
      <c r="O63">
        <f>IF(N63="","",'Master Barang'!B57)</f>
        <v>0</v>
      </c>
      <c r="P63">
        <f>IF(OR(M63="",N63=""),"",SUMIFS('Barang Keluar'!$E:$E,'Barang Keluar'!$A:$A,M63,'Barang Keluar'!$C:$C,N63))</f>
        <v>0</v>
      </c>
    </row>
    <row r="64" spans="1:16">
      <c r="A64">
        <f>IFERROR('Master Barang'!A59,"")</f>
        <v>0</v>
      </c>
      <c r="B64">
        <f>IFERROR('Master Barang'!B59,"")</f>
        <v>0</v>
      </c>
      <c r="C64">
        <f>IFERROR('Master Barang'!D59,"")</f>
        <v>0</v>
      </c>
      <c r="D64">
        <f>IF(A64="","",SUMIFS('Barang Keluar'!$E:$E,'Barang Keluar'!$C:$C,A64,'Barang Keluar'!$A:$A,"&gt;="&amp;$A$4,'Barang Keluar'!$A:$A,"&lt;="&amp;$B$4))</f>
        <v>0</v>
      </c>
      <c r="F64" s="49">
        <f>IF($A$4+ROW()-8&gt;$B$4,"",$A$4+ROW()-8)</f>
        <v>46079</v>
      </c>
      <c r="G64">
        <f>IF(F64="","",SUMIFS('Barang Keluar'!$E:$E,'Barang Keluar'!$A:$A,F64))</f>
        <v>0</v>
      </c>
      <c r="M64" s="49">
        <f>IF($A$4+0&gt;$B$4,"",$A$4+0)</f>
        <v>46023</v>
      </c>
      <c r="N64">
        <f>IF(M64="","",'Master Barang'!A58)</f>
        <v>0</v>
      </c>
      <c r="O64">
        <f>IF(N64="","",'Master Barang'!B58)</f>
        <v>0</v>
      </c>
      <c r="P64">
        <f>IF(OR(M64="",N64=""),"",SUMIFS('Barang Keluar'!$E:$E,'Barang Keluar'!$A:$A,M64,'Barang Keluar'!$C:$C,N64))</f>
        <v>0</v>
      </c>
    </row>
    <row r="65" spans="1:16">
      <c r="A65">
        <f>IFERROR('Master Barang'!A60,"")</f>
        <v>0</v>
      </c>
      <c r="B65">
        <f>IFERROR('Master Barang'!B60,"")</f>
        <v>0</v>
      </c>
      <c r="C65">
        <f>IFERROR('Master Barang'!D60,"")</f>
        <v>0</v>
      </c>
      <c r="D65">
        <f>IF(A65="","",SUMIFS('Barang Keluar'!$E:$E,'Barang Keluar'!$C:$C,A65,'Barang Keluar'!$A:$A,"&gt;="&amp;$A$4,'Barang Keluar'!$A:$A,"&lt;="&amp;$B$4))</f>
        <v>0</v>
      </c>
      <c r="F65" s="49">
        <f>IF($A$4+ROW()-8&gt;$B$4,"",$A$4+ROW()-8)</f>
        <v>46080</v>
      </c>
      <c r="G65">
        <f>IF(F65="","",SUMIFS('Barang Keluar'!$E:$E,'Barang Keluar'!$A:$A,F65))</f>
        <v>0</v>
      </c>
      <c r="M65" s="49">
        <f>IF($A$4+0&gt;$B$4,"",$A$4+0)</f>
        <v>46023</v>
      </c>
      <c r="N65">
        <f>IF(M65="","",'Master Barang'!A59)</f>
        <v>0</v>
      </c>
      <c r="O65">
        <f>IF(N65="","",'Master Barang'!B59)</f>
        <v>0</v>
      </c>
      <c r="P65">
        <f>IF(OR(M65="",N65=""),"",SUMIFS('Barang Keluar'!$E:$E,'Barang Keluar'!$A:$A,M65,'Barang Keluar'!$C:$C,N65))</f>
        <v>0</v>
      </c>
    </row>
    <row r="66" spans="1:16">
      <c r="A66">
        <f>IFERROR('Master Barang'!A61,"")</f>
        <v>0</v>
      </c>
      <c r="B66">
        <f>IFERROR('Master Barang'!B61,"")</f>
        <v>0</v>
      </c>
      <c r="C66">
        <f>IFERROR('Master Barang'!D61,"")</f>
        <v>0</v>
      </c>
      <c r="D66">
        <f>IF(A66="","",SUMIFS('Barang Keluar'!$E:$E,'Barang Keluar'!$C:$C,A66,'Barang Keluar'!$A:$A,"&gt;="&amp;$A$4,'Barang Keluar'!$A:$A,"&lt;="&amp;$B$4))</f>
        <v>0</v>
      </c>
      <c r="F66" s="49">
        <f>IF($A$4+ROW()-8&gt;$B$4,"",$A$4+ROW()-8)</f>
        <v>46081</v>
      </c>
      <c r="G66">
        <f>IF(F66="","",SUMIFS('Barang Keluar'!$E:$E,'Barang Keluar'!$A:$A,F66))</f>
        <v>0</v>
      </c>
      <c r="M66" s="49">
        <f>IF($A$4+0&gt;$B$4,"",$A$4+0)</f>
        <v>46023</v>
      </c>
      <c r="N66">
        <f>IF(M66="","",'Master Barang'!A60)</f>
        <v>0</v>
      </c>
      <c r="O66">
        <f>IF(N66="","",'Master Barang'!B60)</f>
        <v>0</v>
      </c>
      <c r="P66">
        <f>IF(OR(M66="",N66=""),"",SUMIFS('Barang Keluar'!$E:$E,'Barang Keluar'!$A:$A,M66,'Barang Keluar'!$C:$C,N66))</f>
        <v>0</v>
      </c>
    </row>
    <row r="67" spans="1:16">
      <c r="A67">
        <f>IFERROR('Master Barang'!A62,"")</f>
        <v>0</v>
      </c>
      <c r="B67">
        <f>IFERROR('Master Barang'!B62,"")</f>
        <v>0</v>
      </c>
      <c r="C67">
        <f>IFERROR('Master Barang'!D62,"")</f>
        <v>0</v>
      </c>
      <c r="D67">
        <f>IF(A67="","",SUMIFS('Barang Keluar'!$E:$E,'Barang Keluar'!$C:$C,A67,'Barang Keluar'!$A:$A,"&gt;="&amp;$A$4,'Barang Keluar'!$A:$A,"&lt;="&amp;$B$4))</f>
        <v>0</v>
      </c>
      <c r="F67" s="49">
        <f>IF($A$4+ROW()-8&gt;$B$4,"",$A$4+ROW()-8)</f>
        <v>46082</v>
      </c>
      <c r="G67">
        <f>IF(F67="","",SUMIFS('Barang Keluar'!$E:$E,'Barang Keluar'!$A:$A,F67))</f>
        <v>0</v>
      </c>
      <c r="M67" s="49">
        <f>IF($A$4+0&gt;$B$4,"",$A$4+0)</f>
        <v>46023</v>
      </c>
      <c r="N67">
        <f>IF(M67="","",'Master Barang'!A61)</f>
        <v>0</v>
      </c>
      <c r="O67">
        <f>IF(N67="","",'Master Barang'!B61)</f>
        <v>0</v>
      </c>
      <c r="P67">
        <f>IF(OR(M67="",N67=""),"",SUMIFS('Barang Keluar'!$E:$E,'Barang Keluar'!$A:$A,M67,'Barang Keluar'!$C:$C,N67))</f>
        <v>0</v>
      </c>
    </row>
    <row r="68" spans="1:16">
      <c r="A68">
        <f>IFERROR('Master Barang'!A63,"")</f>
        <v>0</v>
      </c>
      <c r="B68">
        <f>IFERROR('Master Barang'!B63,"")</f>
        <v>0</v>
      </c>
      <c r="C68">
        <f>IFERROR('Master Barang'!D63,"")</f>
        <v>0</v>
      </c>
      <c r="D68">
        <f>IF(A68="","",SUMIFS('Barang Keluar'!$E:$E,'Barang Keluar'!$C:$C,A68,'Barang Keluar'!$A:$A,"&gt;="&amp;$A$4,'Barang Keluar'!$A:$A,"&lt;="&amp;$B$4))</f>
        <v>0</v>
      </c>
      <c r="F68" s="49">
        <f>IF($A$4+ROW()-8&gt;$B$4,"",$A$4+ROW()-8)</f>
        <v>46083</v>
      </c>
      <c r="G68">
        <f>IF(F68="","",SUMIFS('Barang Keluar'!$E:$E,'Barang Keluar'!$A:$A,F68))</f>
        <v>0</v>
      </c>
      <c r="M68" s="49">
        <f>IF($A$4+0&gt;$B$4,"",$A$4+0)</f>
        <v>46023</v>
      </c>
      <c r="N68">
        <f>IF(M68="","",'Master Barang'!A62)</f>
        <v>0</v>
      </c>
      <c r="O68">
        <f>IF(N68="","",'Master Barang'!B62)</f>
        <v>0</v>
      </c>
      <c r="P68">
        <f>IF(OR(M68="",N68=""),"",SUMIFS('Barang Keluar'!$E:$E,'Barang Keluar'!$A:$A,M68,'Barang Keluar'!$C:$C,N68))</f>
        <v>0</v>
      </c>
    </row>
    <row r="69" spans="1:16">
      <c r="A69">
        <f>IFERROR('Master Barang'!A64,"")</f>
        <v>0</v>
      </c>
      <c r="B69">
        <f>IFERROR('Master Barang'!B64,"")</f>
        <v>0</v>
      </c>
      <c r="C69">
        <f>IFERROR('Master Barang'!D64,"")</f>
        <v>0</v>
      </c>
      <c r="D69">
        <f>IF(A69="","",SUMIFS('Barang Keluar'!$E:$E,'Barang Keluar'!$C:$C,A69,'Barang Keluar'!$A:$A,"&gt;="&amp;$A$4,'Barang Keluar'!$A:$A,"&lt;="&amp;$B$4))</f>
        <v>0</v>
      </c>
      <c r="F69" s="49">
        <f>IF($A$4+ROW()-8&gt;$B$4,"",$A$4+ROW()-8)</f>
        <v>46084</v>
      </c>
      <c r="G69">
        <f>IF(F69="","",SUMIFS('Barang Keluar'!$E:$E,'Barang Keluar'!$A:$A,F69))</f>
        <v>0</v>
      </c>
      <c r="M69" s="49">
        <f>IF($A$4+0&gt;$B$4,"",$A$4+0)</f>
        <v>46023</v>
      </c>
      <c r="N69">
        <f>IF(M69="","",'Master Barang'!A63)</f>
        <v>0</v>
      </c>
      <c r="O69">
        <f>IF(N69="","",'Master Barang'!B63)</f>
        <v>0</v>
      </c>
      <c r="P69">
        <f>IF(OR(M69="",N69=""),"",SUMIFS('Barang Keluar'!$E:$E,'Barang Keluar'!$A:$A,M69,'Barang Keluar'!$C:$C,N69))</f>
        <v>0</v>
      </c>
    </row>
    <row r="70" spans="1:16">
      <c r="A70">
        <f>IFERROR('Master Barang'!A65,"")</f>
        <v>0</v>
      </c>
      <c r="B70">
        <f>IFERROR('Master Barang'!B65,"")</f>
        <v>0</v>
      </c>
      <c r="C70">
        <f>IFERROR('Master Barang'!D65,"")</f>
        <v>0</v>
      </c>
      <c r="D70">
        <f>IF(A70="","",SUMIFS('Barang Keluar'!$E:$E,'Barang Keluar'!$C:$C,A70,'Barang Keluar'!$A:$A,"&gt;="&amp;$A$4,'Barang Keluar'!$A:$A,"&lt;="&amp;$B$4))</f>
        <v>0</v>
      </c>
      <c r="F70" s="49">
        <f>IF($A$4+ROW()-8&gt;$B$4,"",$A$4+ROW()-8)</f>
        <v>46085</v>
      </c>
      <c r="G70">
        <f>IF(F70="","",SUMIFS('Barang Keluar'!$E:$E,'Barang Keluar'!$A:$A,F70))</f>
        <v>0</v>
      </c>
      <c r="M70" s="49">
        <f>IF($A$4+0&gt;$B$4,"",$A$4+0)</f>
        <v>46023</v>
      </c>
      <c r="N70">
        <f>IF(M70="","",'Master Barang'!A64)</f>
        <v>0</v>
      </c>
      <c r="O70">
        <f>IF(N70="","",'Master Barang'!B64)</f>
        <v>0</v>
      </c>
      <c r="P70">
        <f>IF(OR(M70="",N70=""),"",SUMIFS('Barang Keluar'!$E:$E,'Barang Keluar'!$A:$A,M70,'Barang Keluar'!$C:$C,N70))</f>
        <v>0</v>
      </c>
    </row>
    <row r="71" spans="1:16">
      <c r="A71">
        <f>IFERROR('Master Barang'!A66,"")</f>
        <v>0</v>
      </c>
      <c r="B71">
        <f>IFERROR('Master Barang'!B66,"")</f>
        <v>0</v>
      </c>
      <c r="C71">
        <f>IFERROR('Master Barang'!D66,"")</f>
        <v>0</v>
      </c>
      <c r="D71">
        <f>IF(A71="","",SUMIFS('Barang Keluar'!$E:$E,'Barang Keluar'!$C:$C,A71,'Barang Keluar'!$A:$A,"&gt;="&amp;$A$4,'Barang Keluar'!$A:$A,"&lt;="&amp;$B$4))</f>
        <v>0</v>
      </c>
      <c r="F71" s="49">
        <f>IF($A$4+ROW()-8&gt;$B$4,"",$A$4+ROW()-8)</f>
        <v>46086</v>
      </c>
      <c r="G71">
        <f>IF(F71="","",SUMIFS('Barang Keluar'!$E:$E,'Barang Keluar'!$A:$A,F71))</f>
        <v>0</v>
      </c>
      <c r="M71" s="49">
        <f>IF($A$4+0&gt;$B$4,"",$A$4+0)</f>
        <v>46023</v>
      </c>
      <c r="N71">
        <f>IF(M71="","",'Master Barang'!A65)</f>
        <v>0</v>
      </c>
      <c r="O71">
        <f>IF(N71="","",'Master Barang'!B65)</f>
        <v>0</v>
      </c>
      <c r="P71">
        <f>IF(OR(M71="",N71=""),"",SUMIFS('Barang Keluar'!$E:$E,'Barang Keluar'!$A:$A,M71,'Barang Keluar'!$C:$C,N71))</f>
        <v>0</v>
      </c>
    </row>
    <row r="72" spans="1:16">
      <c r="A72">
        <f>IFERROR('Master Barang'!A67,"")</f>
        <v>0</v>
      </c>
      <c r="B72">
        <f>IFERROR('Master Barang'!B67,"")</f>
        <v>0</v>
      </c>
      <c r="C72">
        <f>IFERROR('Master Barang'!D67,"")</f>
        <v>0</v>
      </c>
      <c r="D72">
        <f>IF(A72="","",SUMIFS('Barang Keluar'!$E:$E,'Barang Keluar'!$C:$C,A72,'Barang Keluar'!$A:$A,"&gt;="&amp;$A$4,'Barang Keluar'!$A:$A,"&lt;="&amp;$B$4))</f>
        <v>0</v>
      </c>
      <c r="F72" s="49">
        <f>IF($A$4+ROW()-8&gt;$B$4,"",$A$4+ROW()-8)</f>
        <v>46087</v>
      </c>
      <c r="G72">
        <f>IF(F72="","",SUMIFS('Barang Keluar'!$E:$E,'Barang Keluar'!$A:$A,F72))</f>
        <v>0</v>
      </c>
      <c r="M72" s="49">
        <f>IF($A$4+0&gt;$B$4,"",$A$4+0)</f>
        <v>46023</v>
      </c>
      <c r="N72">
        <f>IF(M72="","",'Master Barang'!A66)</f>
        <v>0</v>
      </c>
      <c r="O72">
        <f>IF(N72="","",'Master Barang'!B66)</f>
        <v>0</v>
      </c>
      <c r="P72">
        <f>IF(OR(M72="",N72=""),"",SUMIFS('Barang Keluar'!$E:$E,'Barang Keluar'!$A:$A,M72,'Barang Keluar'!$C:$C,N72))</f>
        <v>0</v>
      </c>
    </row>
    <row r="73" spans="1:16">
      <c r="A73">
        <f>IFERROR('Master Barang'!A68,"")</f>
        <v>0</v>
      </c>
      <c r="B73">
        <f>IFERROR('Master Barang'!B68,"")</f>
        <v>0</v>
      </c>
      <c r="C73">
        <f>IFERROR('Master Barang'!D68,"")</f>
        <v>0</v>
      </c>
      <c r="D73">
        <f>IF(A73="","",SUMIFS('Barang Keluar'!$E:$E,'Barang Keluar'!$C:$C,A73,'Barang Keluar'!$A:$A,"&gt;="&amp;$A$4,'Barang Keluar'!$A:$A,"&lt;="&amp;$B$4))</f>
        <v>0</v>
      </c>
      <c r="F73" s="49">
        <f>IF($A$4+ROW()-8&gt;$B$4,"",$A$4+ROW()-8)</f>
        <v>46088</v>
      </c>
      <c r="G73">
        <f>IF(F73="","",SUMIFS('Barang Keluar'!$E:$E,'Barang Keluar'!$A:$A,F73))</f>
        <v>0</v>
      </c>
      <c r="M73" s="49">
        <f>IF($A$4+0&gt;$B$4,"",$A$4+0)</f>
        <v>46023</v>
      </c>
      <c r="N73">
        <f>IF(M73="","",'Master Barang'!A67)</f>
        <v>0</v>
      </c>
      <c r="O73">
        <f>IF(N73="","",'Master Barang'!B67)</f>
        <v>0</v>
      </c>
      <c r="P73">
        <f>IF(OR(M73="",N73=""),"",SUMIFS('Barang Keluar'!$E:$E,'Barang Keluar'!$A:$A,M73,'Barang Keluar'!$C:$C,N73))</f>
        <v>0</v>
      </c>
    </row>
    <row r="74" spans="1:16">
      <c r="A74">
        <f>IFERROR('Master Barang'!A69,"")</f>
        <v>0</v>
      </c>
      <c r="B74">
        <f>IFERROR('Master Barang'!B69,"")</f>
        <v>0</v>
      </c>
      <c r="C74">
        <f>IFERROR('Master Barang'!D69,"")</f>
        <v>0</v>
      </c>
      <c r="D74">
        <f>IF(A74="","",SUMIFS('Barang Keluar'!$E:$E,'Barang Keluar'!$C:$C,A74,'Barang Keluar'!$A:$A,"&gt;="&amp;$A$4,'Barang Keluar'!$A:$A,"&lt;="&amp;$B$4))</f>
        <v>0</v>
      </c>
      <c r="F74" s="49">
        <f>IF($A$4+ROW()-8&gt;$B$4,"",$A$4+ROW()-8)</f>
        <v>46089</v>
      </c>
      <c r="G74">
        <f>IF(F74="","",SUMIFS('Barang Keluar'!$E:$E,'Barang Keluar'!$A:$A,F74))</f>
        <v>0</v>
      </c>
      <c r="M74" s="49">
        <f>IF($A$4+0&gt;$B$4,"",$A$4+0)</f>
        <v>46023</v>
      </c>
      <c r="N74">
        <f>IF(M74="","",'Master Barang'!A68)</f>
        <v>0</v>
      </c>
      <c r="O74">
        <f>IF(N74="","",'Master Barang'!B68)</f>
        <v>0</v>
      </c>
      <c r="P74">
        <f>IF(OR(M74="",N74=""),"",SUMIFS('Barang Keluar'!$E:$E,'Barang Keluar'!$A:$A,M74,'Barang Keluar'!$C:$C,N74))</f>
        <v>0</v>
      </c>
    </row>
    <row r="75" spans="1:16">
      <c r="A75">
        <f>IFERROR('Master Barang'!A70,"")</f>
        <v>0</v>
      </c>
      <c r="B75">
        <f>IFERROR('Master Barang'!B70,"")</f>
        <v>0</v>
      </c>
      <c r="C75">
        <f>IFERROR('Master Barang'!D70,"")</f>
        <v>0</v>
      </c>
      <c r="D75">
        <f>IF(A75="","",SUMIFS('Barang Keluar'!$E:$E,'Barang Keluar'!$C:$C,A75,'Barang Keluar'!$A:$A,"&gt;="&amp;$A$4,'Barang Keluar'!$A:$A,"&lt;="&amp;$B$4))</f>
        <v>0</v>
      </c>
      <c r="F75" s="49">
        <f>IF($A$4+ROW()-8&gt;$B$4,"",$A$4+ROW()-8)</f>
        <v>46090</v>
      </c>
      <c r="G75">
        <f>IF(F75="","",SUMIFS('Barang Keluar'!$E:$E,'Barang Keluar'!$A:$A,F75))</f>
        <v>0</v>
      </c>
      <c r="M75" s="49">
        <f>IF($A$4+0&gt;$B$4,"",$A$4+0)</f>
        <v>46023</v>
      </c>
      <c r="N75">
        <f>IF(M75="","",'Master Barang'!A69)</f>
        <v>0</v>
      </c>
      <c r="O75">
        <f>IF(N75="","",'Master Barang'!B69)</f>
        <v>0</v>
      </c>
      <c r="P75">
        <f>IF(OR(M75="",N75=""),"",SUMIFS('Barang Keluar'!$E:$E,'Barang Keluar'!$A:$A,M75,'Barang Keluar'!$C:$C,N75))</f>
        <v>0</v>
      </c>
    </row>
    <row r="76" spans="1:16">
      <c r="A76">
        <f>IFERROR('Master Barang'!A71,"")</f>
        <v>0</v>
      </c>
      <c r="B76">
        <f>IFERROR('Master Barang'!B71,"")</f>
        <v>0</v>
      </c>
      <c r="C76">
        <f>IFERROR('Master Barang'!D71,"")</f>
        <v>0</v>
      </c>
      <c r="D76">
        <f>IF(A76="","",SUMIFS('Barang Keluar'!$E:$E,'Barang Keluar'!$C:$C,A76,'Barang Keluar'!$A:$A,"&gt;="&amp;$A$4,'Barang Keluar'!$A:$A,"&lt;="&amp;$B$4))</f>
        <v>0</v>
      </c>
      <c r="F76" s="49">
        <f>IF($A$4+ROW()-8&gt;$B$4,"",$A$4+ROW()-8)</f>
        <v>46091</v>
      </c>
      <c r="G76">
        <f>IF(F76="","",SUMIFS('Barang Keluar'!$E:$E,'Barang Keluar'!$A:$A,F76))</f>
        <v>0</v>
      </c>
      <c r="M76" s="49">
        <f>IF($A$4+0&gt;$B$4,"",$A$4+0)</f>
        <v>46023</v>
      </c>
      <c r="N76">
        <f>IF(M76="","",'Master Barang'!A70)</f>
        <v>0</v>
      </c>
      <c r="O76">
        <f>IF(N76="","",'Master Barang'!B70)</f>
        <v>0</v>
      </c>
      <c r="P76">
        <f>IF(OR(M76="",N76=""),"",SUMIFS('Barang Keluar'!$E:$E,'Barang Keluar'!$A:$A,M76,'Barang Keluar'!$C:$C,N76))</f>
        <v>0</v>
      </c>
    </row>
    <row r="77" spans="1:16">
      <c r="A77">
        <f>IFERROR('Master Barang'!A72,"")</f>
        <v>0</v>
      </c>
      <c r="B77">
        <f>IFERROR('Master Barang'!B72,"")</f>
        <v>0</v>
      </c>
      <c r="C77">
        <f>IFERROR('Master Barang'!D72,"")</f>
        <v>0</v>
      </c>
      <c r="D77">
        <f>IF(A77="","",SUMIFS('Barang Keluar'!$E:$E,'Barang Keluar'!$C:$C,A77,'Barang Keluar'!$A:$A,"&gt;="&amp;$A$4,'Barang Keluar'!$A:$A,"&lt;="&amp;$B$4))</f>
        <v>0</v>
      </c>
      <c r="F77" s="49">
        <f>IF($A$4+ROW()-8&gt;$B$4,"",$A$4+ROW()-8)</f>
        <v>46092</v>
      </c>
      <c r="G77">
        <f>IF(F77="","",SUMIFS('Barang Keluar'!$E:$E,'Barang Keluar'!$A:$A,F77))</f>
        <v>0</v>
      </c>
      <c r="M77" s="49">
        <f>IF($A$4+0&gt;$B$4,"",$A$4+0)</f>
        <v>46023</v>
      </c>
      <c r="N77">
        <f>IF(M77="","",'Master Barang'!A71)</f>
        <v>0</v>
      </c>
      <c r="O77">
        <f>IF(N77="","",'Master Barang'!B71)</f>
        <v>0</v>
      </c>
      <c r="P77">
        <f>IF(OR(M77="",N77=""),"",SUMIFS('Barang Keluar'!$E:$E,'Barang Keluar'!$A:$A,M77,'Barang Keluar'!$C:$C,N77))</f>
        <v>0</v>
      </c>
    </row>
    <row r="78" spans="1:16">
      <c r="A78">
        <f>IFERROR('Master Barang'!A73,"")</f>
        <v>0</v>
      </c>
      <c r="B78">
        <f>IFERROR('Master Barang'!B73,"")</f>
        <v>0</v>
      </c>
      <c r="C78">
        <f>IFERROR('Master Barang'!D73,"")</f>
        <v>0</v>
      </c>
      <c r="D78">
        <f>IF(A78="","",SUMIFS('Barang Keluar'!$E:$E,'Barang Keluar'!$C:$C,A78,'Barang Keluar'!$A:$A,"&gt;="&amp;$A$4,'Barang Keluar'!$A:$A,"&lt;="&amp;$B$4))</f>
        <v>0</v>
      </c>
      <c r="F78" s="49">
        <f>IF($A$4+ROW()-8&gt;$B$4,"",$A$4+ROW()-8)</f>
        <v>46093</v>
      </c>
      <c r="G78">
        <f>IF(F78="","",SUMIFS('Barang Keluar'!$E:$E,'Barang Keluar'!$A:$A,F78))</f>
        <v>0</v>
      </c>
      <c r="M78" s="49">
        <f>IF($A$4+0&gt;$B$4,"",$A$4+0)</f>
        <v>46023</v>
      </c>
      <c r="N78">
        <f>IF(M78="","",'Master Barang'!A72)</f>
        <v>0</v>
      </c>
      <c r="O78">
        <f>IF(N78="","",'Master Barang'!B72)</f>
        <v>0</v>
      </c>
      <c r="P78">
        <f>IF(OR(M78="",N78=""),"",SUMIFS('Barang Keluar'!$E:$E,'Barang Keluar'!$A:$A,M78,'Barang Keluar'!$C:$C,N78))</f>
        <v>0</v>
      </c>
    </row>
    <row r="79" spans="1:16">
      <c r="A79">
        <f>IFERROR('Master Barang'!A74,"")</f>
        <v>0</v>
      </c>
      <c r="B79">
        <f>IFERROR('Master Barang'!B74,"")</f>
        <v>0</v>
      </c>
      <c r="C79">
        <f>IFERROR('Master Barang'!D74,"")</f>
        <v>0</v>
      </c>
      <c r="D79">
        <f>IF(A79="","",SUMIFS('Barang Keluar'!$E:$E,'Barang Keluar'!$C:$C,A79,'Barang Keluar'!$A:$A,"&gt;="&amp;$A$4,'Barang Keluar'!$A:$A,"&lt;="&amp;$B$4))</f>
        <v>0</v>
      </c>
      <c r="F79" s="49">
        <f>IF($A$4+ROW()-8&gt;$B$4,"",$A$4+ROW()-8)</f>
        <v>46094</v>
      </c>
      <c r="G79">
        <f>IF(F79="","",SUMIFS('Barang Keluar'!$E:$E,'Barang Keluar'!$A:$A,F79))</f>
        <v>0</v>
      </c>
      <c r="M79" s="49">
        <f>IF($A$4+0&gt;$B$4,"",$A$4+0)</f>
        <v>46023</v>
      </c>
      <c r="N79">
        <f>IF(M79="","",'Master Barang'!A73)</f>
        <v>0</v>
      </c>
      <c r="O79">
        <f>IF(N79="","",'Master Barang'!B73)</f>
        <v>0</v>
      </c>
      <c r="P79">
        <f>IF(OR(M79="",N79=""),"",SUMIFS('Barang Keluar'!$E:$E,'Barang Keluar'!$A:$A,M79,'Barang Keluar'!$C:$C,N79))</f>
        <v>0</v>
      </c>
    </row>
    <row r="80" spans="1:16">
      <c r="A80">
        <f>IFERROR('Master Barang'!A75,"")</f>
        <v>0</v>
      </c>
      <c r="B80">
        <f>IFERROR('Master Barang'!B75,"")</f>
        <v>0</v>
      </c>
      <c r="C80">
        <f>IFERROR('Master Barang'!D75,"")</f>
        <v>0</v>
      </c>
      <c r="D80">
        <f>IF(A80="","",SUMIFS('Barang Keluar'!$E:$E,'Barang Keluar'!$C:$C,A80,'Barang Keluar'!$A:$A,"&gt;="&amp;$A$4,'Barang Keluar'!$A:$A,"&lt;="&amp;$B$4))</f>
        <v>0</v>
      </c>
      <c r="F80" s="49">
        <f>IF($A$4+ROW()-8&gt;$B$4,"",$A$4+ROW()-8)</f>
        <v>46095</v>
      </c>
      <c r="G80">
        <f>IF(F80="","",SUMIFS('Barang Keluar'!$E:$E,'Barang Keluar'!$A:$A,F80))</f>
        <v>0</v>
      </c>
      <c r="M80" s="49">
        <f>IF($A$4+0&gt;$B$4,"",$A$4+0)</f>
        <v>46023</v>
      </c>
      <c r="N80">
        <f>IF(M80="","",'Master Barang'!A74)</f>
        <v>0</v>
      </c>
      <c r="O80">
        <f>IF(N80="","",'Master Barang'!B74)</f>
        <v>0</v>
      </c>
      <c r="P80">
        <f>IF(OR(M80="",N80=""),"",SUMIFS('Barang Keluar'!$E:$E,'Barang Keluar'!$A:$A,M80,'Barang Keluar'!$C:$C,N80))</f>
        <v>0</v>
      </c>
    </row>
    <row r="81" spans="1:16">
      <c r="A81">
        <f>IFERROR('Master Barang'!A76,"")</f>
        <v>0</v>
      </c>
      <c r="B81">
        <f>IFERROR('Master Barang'!B76,"")</f>
        <v>0</v>
      </c>
      <c r="C81">
        <f>IFERROR('Master Barang'!D76,"")</f>
        <v>0</v>
      </c>
      <c r="D81">
        <f>IF(A81="","",SUMIFS('Barang Keluar'!$E:$E,'Barang Keluar'!$C:$C,A81,'Barang Keluar'!$A:$A,"&gt;="&amp;$A$4,'Barang Keluar'!$A:$A,"&lt;="&amp;$B$4))</f>
        <v>0</v>
      </c>
      <c r="F81" s="49">
        <f>IF($A$4+ROW()-8&gt;$B$4,"",$A$4+ROW()-8)</f>
        <v>46096</v>
      </c>
      <c r="G81">
        <f>IF(F81="","",SUMIFS('Barang Keluar'!$E:$E,'Barang Keluar'!$A:$A,F81))</f>
        <v>0</v>
      </c>
      <c r="M81" s="49">
        <f>IF($A$4+0&gt;$B$4,"",$A$4+0)</f>
        <v>46023</v>
      </c>
      <c r="N81">
        <f>IF(M81="","",'Master Barang'!A75)</f>
        <v>0</v>
      </c>
      <c r="O81">
        <f>IF(N81="","",'Master Barang'!B75)</f>
        <v>0</v>
      </c>
      <c r="P81">
        <f>IF(OR(M81="",N81=""),"",SUMIFS('Barang Keluar'!$E:$E,'Barang Keluar'!$A:$A,M81,'Barang Keluar'!$C:$C,N81))</f>
        <v>0</v>
      </c>
    </row>
    <row r="82" spans="1:16">
      <c r="A82">
        <f>IFERROR('Master Barang'!A77,"")</f>
        <v>0</v>
      </c>
      <c r="B82">
        <f>IFERROR('Master Barang'!B77,"")</f>
        <v>0</v>
      </c>
      <c r="C82">
        <f>IFERROR('Master Barang'!D77,"")</f>
        <v>0</v>
      </c>
      <c r="D82">
        <f>IF(A82="","",SUMIFS('Barang Keluar'!$E:$E,'Barang Keluar'!$C:$C,A82,'Barang Keluar'!$A:$A,"&gt;="&amp;$A$4,'Barang Keluar'!$A:$A,"&lt;="&amp;$B$4))</f>
        <v>0</v>
      </c>
      <c r="F82" s="49">
        <f>IF($A$4+ROW()-8&gt;$B$4,"",$A$4+ROW()-8)</f>
        <v>46097</v>
      </c>
      <c r="G82">
        <f>IF(F82="","",SUMIFS('Barang Keluar'!$E:$E,'Barang Keluar'!$A:$A,F82))</f>
        <v>0</v>
      </c>
      <c r="M82" s="49">
        <f>IF($A$4+0&gt;$B$4,"",$A$4+0)</f>
        <v>46023</v>
      </c>
      <c r="N82">
        <f>IF(M82="","",'Master Barang'!A76)</f>
        <v>0</v>
      </c>
      <c r="O82">
        <f>IF(N82="","",'Master Barang'!B76)</f>
        <v>0</v>
      </c>
      <c r="P82">
        <f>IF(OR(M82="",N82=""),"",SUMIFS('Barang Keluar'!$E:$E,'Barang Keluar'!$A:$A,M82,'Barang Keluar'!$C:$C,N82))</f>
        <v>0</v>
      </c>
    </row>
    <row r="83" spans="1:16">
      <c r="A83">
        <f>IFERROR('Master Barang'!A78,"")</f>
        <v>0</v>
      </c>
      <c r="B83">
        <f>IFERROR('Master Barang'!B78,"")</f>
        <v>0</v>
      </c>
      <c r="C83">
        <f>IFERROR('Master Barang'!D78,"")</f>
        <v>0</v>
      </c>
      <c r="D83">
        <f>IF(A83="","",SUMIFS('Barang Keluar'!$E:$E,'Barang Keluar'!$C:$C,A83,'Barang Keluar'!$A:$A,"&gt;="&amp;$A$4,'Barang Keluar'!$A:$A,"&lt;="&amp;$B$4))</f>
        <v>0</v>
      </c>
      <c r="F83" s="49">
        <f>IF($A$4+ROW()-8&gt;$B$4,"",$A$4+ROW()-8)</f>
        <v>46098</v>
      </c>
      <c r="G83">
        <f>IF(F83="","",SUMIFS('Barang Keluar'!$E:$E,'Barang Keluar'!$A:$A,F83))</f>
        <v>0</v>
      </c>
      <c r="M83" s="49">
        <f>IF($A$4+0&gt;$B$4,"",$A$4+0)</f>
        <v>46023</v>
      </c>
      <c r="N83">
        <f>IF(M83="","",'Master Barang'!A77)</f>
        <v>0</v>
      </c>
      <c r="O83">
        <f>IF(N83="","",'Master Barang'!B77)</f>
        <v>0</v>
      </c>
      <c r="P83">
        <f>IF(OR(M83="",N83=""),"",SUMIFS('Barang Keluar'!$E:$E,'Barang Keluar'!$A:$A,M83,'Barang Keluar'!$C:$C,N83))</f>
        <v>0</v>
      </c>
    </row>
    <row r="84" spans="1:16">
      <c r="A84">
        <f>IFERROR('Master Barang'!A79,"")</f>
        <v>0</v>
      </c>
      <c r="B84">
        <f>IFERROR('Master Barang'!B79,"")</f>
        <v>0</v>
      </c>
      <c r="C84">
        <f>IFERROR('Master Barang'!D79,"")</f>
        <v>0</v>
      </c>
      <c r="D84">
        <f>IF(A84="","",SUMIFS('Barang Keluar'!$E:$E,'Barang Keluar'!$C:$C,A84,'Barang Keluar'!$A:$A,"&gt;="&amp;$A$4,'Barang Keluar'!$A:$A,"&lt;="&amp;$B$4))</f>
        <v>0</v>
      </c>
      <c r="F84" s="49">
        <f>IF($A$4+ROW()-8&gt;$B$4,"",$A$4+ROW()-8)</f>
        <v>46099</v>
      </c>
      <c r="G84">
        <f>IF(F84="","",SUMIFS('Barang Keluar'!$E:$E,'Barang Keluar'!$A:$A,F84))</f>
        <v>0</v>
      </c>
      <c r="M84" s="49">
        <f>IF($A$4+0&gt;$B$4,"",$A$4+0)</f>
        <v>46023</v>
      </c>
      <c r="N84">
        <f>IF(M84="","",'Master Barang'!A78)</f>
        <v>0</v>
      </c>
      <c r="O84">
        <f>IF(N84="","",'Master Barang'!B78)</f>
        <v>0</v>
      </c>
      <c r="P84">
        <f>IF(OR(M84="",N84=""),"",SUMIFS('Barang Keluar'!$E:$E,'Barang Keluar'!$A:$A,M84,'Barang Keluar'!$C:$C,N84))</f>
        <v>0</v>
      </c>
    </row>
    <row r="85" spans="1:16">
      <c r="A85">
        <f>IFERROR('Master Barang'!A80,"")</f>
        <v>0</v>
      </c>
      <c r="B85">
        <f>IFERROR('Master Barang'!B80,"")</f>
        <v>0</v>
      </c>
      <c r="C85">
        <f>IFERROR('Master Barang'!D80,"")</f>
        <v>0</v>
      </c>
      <c r="D85">
        <f>IF(A85="","",SUMIFS('Barang Keluar'!$E:$E,'Barang Keluar'!$C:$C,A85,'Barang Keluar'!$A:$A,"&gt;="&amp;$A$4,'Barang Keluar'!$A:$A,"&lt;="&amp;$B$4))</f>
        <v>0</v>
      </c>
      <c r="F85" s="49">
        <f>IF($A$4+ROW()-8&gt;$B$4,"",$A$4+ROW()-8)</f>
        <v>46100</v>
      </c>
      <c r="G85">
        <f>IF(F85="","",SUMIFS('Barang Keluar'!$E:$E,'Barang Keluar'!$A:$A,F85))</f>
        <v>0</v>
      </c>
      <c r="M85" s="49">
        <f>IF($A$4+0&gt;$B$4,"",$A$4+0)</f>
        <v>46023</v>
      </c>
      <c r="N85">
        <f>IF(M85="","",'Master Barang'!A79)</f>
        <v>0</v>
      </c>
      <c r="O85">
        <f>IF(N85="","",'Master Barang'!B79)</f>
        <v>0</v>
      </c>
      <c r="P85">
        <f>IF(OR(M85="",N85=""),"",SUMIFS('Barang Keluar'!$E:$E,'Barang Keluar'!$A:$A,M85,'Barang Keluar'!$C:$C,N85))</f>
        <v>0</v>
      </c>
    </row>
    <row r="86" spans="1:16">
      <c r="A86">
        <f>IFERROR('Master Barang'!A81,"")</f>
        <v>0</v>
      </c>
      <c r="B86">
        <f>IFERROR('Master Barang'!B81,"")</f>
        <v>0</v>
      </c>
      <c r="C86">
        <f>IFERROR('Master Barang'!D81,"")</f>
        <v>0</v>
      </c>
      <c r="D86">
        <f>IF(A86="","",SUMIFS('Barang Keluar'!$E:$E,'Barang Keluar'!$C:$C,A86,'Barang Keluar'!$A:$A,"&gt;="&amp;$A$4,'Barang Keluar'!$A:$A,"&lt;="&amp;$B$4))</f>
        <v>0</v>
      </c>
      <c r="F86" s="49">
        <f>IF($A$4+ROW()-8&gt;$B$4,"",$A$4+ROW()-8)</f>
        <v>46101</v>
      </c>
      <c r="G86">
        <f>IF(F86="","",SUMIFS('Barang Keluar'!$E:$E,'Barang Keluar'!$A:$A,F86))</f>
        <v>0</v>
      </c>
      <c r="M86" s="49">
        <f>IF($A$4+0&gt;$B$4,"",$A$4+0)</f>
        <v>46023</v>
      </c>
      <c r="N86">
        <f>IF(M86="","",'Master Barang'!A80)</f>
        <v>0</v>
      </c>
      <c r="O86">
        <f>IF(N86="","",'Master Barang'!B80)</f>
        <v>0</v>
      </c>
      <c r="P86">
        <f>IF(OR(M86="",N86=""),"",SUMIFS('Barang Keluar'!$E:$E,'Barang Keluar'!$A:$A,M86,'Barang Keluar'!$C:$C,N86))</f>
        <v>0</v>
      </c>
    </row>
    <row r="87" spans="1:16">
      <c r="A87">
        <f>IFERROR('Master Barang'!A82,"")</f>
        <v>0</v>
      </c>
      <c r="B87">
        <f>IFERROR('Master Barang'!B82,"")</f>
        <v>0</v>
      </c>
      <c r="C87">
        <f>IFERROR('Master Barang'!D82,"")</f>
        <v>0</v>
      </c>
      <c r="D87">
        <f>IF(A87="","",SUMIFS('Barang Keluar'!$E:$E,'Barang Keluar'!$C:$C,A87,'Barang Keluar'!$A:$A,"&gt;="&amp;$A$4,'Barang Keluar'!$A:$A,"&lt;="&amp;$B$4))</f>
        <v>0</v>
      </c>
      <c r="F87" s="49">
        <f>IF($A$4+ROW()-8&gt;$B$4,"",$A$4+ROW()-8)</f>
        <v>46102</v>
      </c>
      <c r="G87">
        <f>IF(F87="","",SUMIFS('Barang Keluar'!$E:$E,'Barang Keluar'!$A:$A,F87))</f>
        <v>0</v>
      </c>
      <c r="M87" s="49">
        <f>IF($A$4+0&gt;$B$4,"",$A$4+0)</f>
        <v>46023</v>
      </c>
      <c r="N87">
        <f>IF(M87="","",'Master Barang'!A81)</f>
        <v>0</v>
      </c>
      <c r="O87">
        <f>IF(N87="","",'Master Barang'!B81)</f>
        <v>0</v>
      </c>
      <c r="P87">
        <f>IF(OR(M87="",N87=""),"",SUMIFS('Barang Keluar'!$E:$E,'Barang Keluar'!$A:$A,M87,'Barang Keluar'!$C:$C,N87))</f>
        <v>0</v>
      </c>
    </row>
    <row r="88" spans="1:16">
      <c r="A88">
        <f>IFERROR('Master Barang'!A83,"")</f>
        <v>0</v>
      </c>
      <c r="B88">
        <f>IFERROR('Master Barang'!B83,"")</f>
        <v>0</v>
      </c>
      <c r="C88">
        <f>IFERROR('Master Barang'!D83,"")</f>
        <v>0</v>
      </c>
      <c r="D88">
        <f>IF(A88="","",SUMIFS('Barang Keluar'!$E:$E,'Barang Keluar'!$C:$C,A88,'Barang Keluar'!$A:$A,"&gt;="&amp;$A$4,'Barang Keluar'!$A:$A,"&lt;="&amp;$B$4))</f>
        <v>0</v>
      </c>
      <c r="F88" s="49">
        <f>IF($A$4+ROW()-8&gt;$B$4,"",$A$4+ROW()-8)</f>
        <v>46103</v>
      </c>
      <c r="G88">
        <f>IF(F88="","",SUMIFS('Barang Keluar'!$E:$E,'Barang Keluar'!$A:$A,F88))</f>
        <v>0</v>
      </c>
      <c r="M88" s="49">
        <f>IF($A$4+0&gt;$B$4,"",$A$4+0)</f>
        <v>46023</v>
      </c>
      <c r="N88">
        <f>IF(M88="","",'Master Barang'!A82)</f>
        <v>0</v>
      </c>
      <c r="O88">
        <f>IF(N88="","",'Master Barang'!B82)</f>
        <v>0</v>
      </c>
      <c r="P88">
        <f>IF(OR(M88="",N88=""),"",SUMIFS('Barang Keluar'!$E:$E,'Barang Keluar'!$A:$A,M88,'Barang Keluar'!$C:$C,N88))</f>
        <v>0</v>
      </c>
    </row>
    <row r="89" spans="1:16">
      <c r="A89">
        <f>IFERROR('Master Barang'!A84,"")</f>
        <v>0</v>
      </c>
      <c r="B89">
        <f>IFERROR('Master Barang'!B84,"")</f>
        <v>0</v>
      </c>
      <c r="C89">
        <f>IFERROR('Master Barang'!D84,"")</f>
        <v>0</v>
      </c>
      <c r="D89">
        <f>IF(A89="","",SUMIFS('Barang Keluar'!$E:$E,'Barang Keluar'!$C:$C,A89,'Barang Keluar'!$A:$A,"&gt;="&amp;$A$4,'Barang Keluar'!$A:$A,"&lt;="&amp;$B$4))</f>
        <v>0</v>
      </c>
      <c r="F89" s="49">
        <f>IF($A$4+ROW()-8&gt;$B$4,"",$A$4+ROW()-8)</f>
        <v>46104</v>
      </c>
      <c r="G89">
        <f>IF(F89="","",SUMIFS('Barang Keluar'!$E:$E,'Barang Keluar'!$A:$A,F89))</f>
        <v>0</v>
      </c>
      <c r="M89" s="49">
        <f>IF($A$4+0&gt;$B$4,"",$A$4+0)</f>
        <v>46023</v>
      </c>
      <c r="N89">
        <f>IF(M89="","",'Master Barang'!A83)</f>
        <v>0</v>
      </c>
      <c r="O89">
        <f>IF(N89="","",'Master Barang'!B83)</f>
        <v>0</v>
      </c>
      <c r="P89">
        <f>IF(OR(M89="",N89=""),"",SUMIFS('Barang Keluar'!$E:$E,'Barang Keluar'!$A:$A,M89,'Barang Keluar'!$C:$C,N89))</f>
        <v>0</v>
      </c>
    </row>
    <row r="90" spans="1:16">
      <c r="A90">
        <f>IFERROR('Master Barang'!A85,"")</f>
        <v>0</v>
      </c>
      <c r="B90">
        <f>IFERROR('Master Barang'!B85,"")</f>
        <v>0</v>
      </c>
      <c r="C90">
        <f>IFERROR('Master Barang'!D85,"")</f>
        <v>0</v>
      </c>
      <c r="D90">
        <f>IF(A90="","",SUMIFS('Barang Keluar'!$E:$E,'Barang Keluar'!$C:$C,A90,'Barang Keluar'!$A:$A,"&gt;="&amp;$A$4,'Barang Keluar'!$A:$A,"&lt;="&amp;$B$4))</f>
        <v>0</v>
      </c>
      <c r="F90" s="49">
        <f>IF($A$4+ROW()-8&gt;$B$4,"",$A$4+ROW()-8)</f>
        <v>46105</v>
      </c>
      <c r="G90">
        <f>IF(F90="","",SUMIFS('Barang Keluar'!$E:$E,'Barang Keluar'!$A:$A,F90))</f>
        <v>0</v>
      </c>
      <c r="M90" s="49">
        <f>IF($A$4+0&gt;$B$4,"",$A$4+0)</f>
        <v>46023</v>
      </c>
      <c r="N90">
        <f>IF(M90="","",'Master Barang'!A84)</f>
        <v>0</v>
      </c>
      <c r="O90">
        <f>IF(N90="","",'Master Barang'!B84)</f>
        <v>0</v>
      </c>
      <c r="P90">
        <f>IF(OR(M90="",N90=""),"",SUMIFS('Barang Keluar'!$E:$E,'Barang Keluar'!$A:$A,M90,'Barang Keluar'!$C:$C,N90))</f>
        <v>0</v>
      </c>
    </row>
    <row r="91" spans="1:16">
      <c r="A91">
        <f>IFERROR('Master Barang'!A86,"")</f>
        <v>0</v>
      </c>
      <c r="B91">
        <f>IFERROR('Master Barang'!B86,"")</f>
        <v>0</v>
      </c>
      <c r="C91">
        <f>IFERROR('Master Barang'!D86,"")</f>
        <v>0</v>
      </c>
      <c r="D91">
        <f>IF(A91="","",SUMIFS('Barang Keluar'!$E:$E,'Barang Keluar'!$C:$C,A91,'Barang Keluar'!$A:$A,"&gt;="&amp;$A$4,'Barang Keluar'!$A:$A,"&lt;="&amp;$B$4))</f>
        <v>0</v>
      </c>
      <c r="F91" s="49">
        <f>IF($A$4+ROW()-8&gt;$B$4,"",$A$4+ROW()-8)</f>
        <v>46106</v>
      </c>
      <c r="G91">
        <f>IF(F91="","",SUMIFS('Barang Keluar'!$E:$E,'Barang Keluar'!$A:$A,F91))</f>
        <v>0</v>
      </c>
      <c r="M91" s="49">
        <f>IF($A$4+0&gt;$B$4,"",$A$4+0)</f>
        <v>46023</v>
      </c>
      <c r="N91">
        <f>IF(M91="","",'Master Barang'!A85)</f>
        <v>0</v>
      </c>
      <c r="O91">
        <f>IF(N91="","",'Master Barang'!B85)</f>
        <v>0</v>
      </c>
      <c r="P91">
        <f>IF(OR(M91="",N91=""),"",SUMIFS('Barang Keluar'!$E:$E,'Barang Keluar'!$A:$A,M91,'Barang Keluar'!$C:$C,N91))</f>
        <v>0</v>
      </c>
    </row>
    <row r="92" spans="1:16">
      <c r="A92">
        <f>IFERROR('Master Barang'!A87,"")</f>
        <v>0</v>
      </c>
      <c r="B92">
        <f>IFERROR('Master Barang'!B87,"")</f>
        <v>0</v>
      </c>
      <c r="C92">
        <f>IFERROR('Master Barang'!D87,"")</f>
        <v>0</v>
      </c>
      <c r="D92">
        <f>IF(A92="","",SUMIFS('Barang Keluar'!$E:$E,'Barang Keluar'!$C:$C,A92,'Barang Keluar'!$A:$A,"&gt;="&amp;$A$4,'Barang Keluar'!$A:$A,"&lt;="&amp;$B$4))</f>
        <v>0</v>
      </c>
      <c r="F92" s="49">
        <f>IF($A$4+ROW()-8&gt;$B$4,"",$A$4+ROW()-8)</f>
        <v>46107</v>
      </c>
      <c r="G92">
        <f>IF(F92="","",SUMIFS('Barang Keluar'!$E:$E,'Barang Keluar'!$A:$A,F92))</f>
        <v>0</v>
      </c>
      <c r="M92" s="49">
        <f>IF($A$4+0&gt;$B$4,"",$A$4+0)</f>
        <v>46023</v>
      </c>
      <c r="N92">
        <f>IF(M92="","",'Master Barang'!A86)</f>
        <v>0</v>
      </c>
      <c r="O92">
        <f>IF(N92="","",'Master Barang'!B86)</f>
        <v>0</v>
      </c>
      <c r="P92">
        <f>IF(OR(M92="",N92=""),"",SUMIFS('Barang Keluar'!$E:$E,'Barang Keluar'!$A:$A,M92,'Barang Keluar'!$C:$C,N92))</f>
        <v>0</v>
      </c>
    </row>
    <row r="93" spans="1:16">
      <c r="A93">
        <f>IFERROR('Master Barang'!A88,"")</f>
        <v>0</v>
      </c>
      <c r="B93">
        <f>IFERROR('Master Barang'!B88,"")</f>
        <v>0</v>
      </c>
      <c r="C93">
        <f>IFERROR('Master Barang'!D88,"")</f>
        <v>0</v>
      </c>
      <c r="D93">
        <f>IF(A93="","",SUMIFS('Barang Keluar'!$E:$E,'Barang Keluar'!$C:$C,A93,'Barang Keluar'!$A:$A,"&gt;="&amp;$A$4,'Barang Keluar'!$A:$A,"&lt;="&amp;$B$4))</f>
        <v>0</v>
      </c>
      <c r="F93" s="49">
        <f>IF($A$4+ROW()-8&gt;$B$4,"",$A$4+ROW()-8)</f>
        <v>46108</v>
      </c>
      <c r="G93">
        <f>IF(F93="","",SUMIFS('Barang Keluar'!$E:$E,'Barang Keluar'!$A:$A,F93))</f>
        <v>0</v>
      </c>
      <c r="M93" s="49">
        <f>IF($A$4+0&gt;$B$4,"",$A$4+0)</f>
        <v>46023</v>
      </c>
      <c r="N93">
        <f>IF(M93="","",'Master Barang'!A87)</f>
        <v>0</v>
      </c>
      <c r="O93">
        <f>IF(N93="","",'Master Barang'!B87)</f>
        <v>0</v>
      </c>
      <c r="P93">
        <f>IF(OR(M93="",N93=""),"",SUMIFS('Barang Keluar'!$E:$E,'Barang Keluar'!$A:$A,M93,'Barang Keluar'!$C:$C,N93))</f>
        <v>0</v>
      </c>
    </row>
    <row r="94" spans="1:16">
      <c r="A94">
        <f>IFERROR('Master Barang'!A89,"")</f>
        <v>0</v>
      </c>
      <c r="B94">
        <f>IFERROR('Master Barang'!B89,"")</f>
        <v>0</v>
      </c>
      <c r="C94">
        <f>IFERROR('Master Barang'!D89,"")</f>
        <v>0</v>
      </c>
      <c r="D94">
        <f>IF(A94="","",SUMIFS('Barang Keluar'!$E:$E,'Barang Keluar'!$C:$C,A94,'Barang Keluar'!$A:$A,"&gt;="&amp;$A$4,'Barang Keluar'!$A:$A,"&lt;="&amp;$B$4))</f>
        <v>0</v>
      </c>
      <c r="F94" s="49">
        <f>IF($A$4+ROW()-8&gt;$B$4,"",$A$4+ROW()-8)</f>
        <v>46109</v>
      </c>
      <c r="G94">
        <f>IF(F94="","",SUMIFS('Barang Keluar'!$E:$E,'Barang Keluar'!$A:$A,F94))</f>
        <v>0</v>
      </c>
      <c r="M94" s="49">
        <f>IF($A$4+0&gt;$B$4,"",$A$4+0)</f>
        <v>46023</v>
      </c>
      <c r="N94">
        <f>IF(M94="","",'Master Barang'!A88)</f>
        <v>0</v>
      </c>
      <c r="O94">
        <f>IF(N94="","",'Master Barang'!B88)</f>
        <v>0</v>
      </c>
      <c r="P94">
        <f>IF(OR(M94="",N94=""),"",SUMIFS('Barang Keluar'!$E:$E,'Barang Keluar'!$A:$A,M94,'Barang Keluar'!$C:$C,N94))</f>
        <v>0</v>
      </c>
    </row>
    <row r="95" spans="1:16">
      <c r="A95">
        <f>IFERROR('Master Barang'!A90,"")</f>
        <v>0</v>
      </c>
      <c r="B95">
        <f>IFERROR('Master Barang'!B90,"")</f>
        <v>0</v>
      </c>
      <c r="C95">
        <f>IFERROR('Master Barang'!D90,"")</f>
        <v>0</v>
      </c>
      <c r="D95">
        <f>IF(A95="","",SUMIFS('Barang Keluar'!$E:$E,'Barang Keluar'!$C:$C,A95,'Barang Keluar'!$A:$A,"&gt;="&amp;$A$4,'Barang Keluar'!$A:$A,"&lt;="&amp;$B$4))</f>
        <v>0</v>
      </c>
      <c r="F95" s="49">
        <f>IF($A$4+ROW()-8&gt;$B$4,"",$A$4+ROW()-8)</f>
        <v>46110</v>
      </c>
      <c r="G95">
        <f>IF(F95="","",SUMIFS('Barang Keluar'!$E:$E,'Barang Keluar'!$A:$A,F95))</f>
        <v>0</v>
      </c>
      <c r="M95" s="49">
        <f>IF($A$4+0&gt;$B$4,"",$A$4+0)</f>
        <v>46023</v>
      </c>
      <c r="N95">
        <f>IF(M95="","",'Master Barang'!A89)</f>
        <v>0</v>
      </c>
      <c r="O95">
        <f>IF(N95="","",'Master Barang'!B89)</f>
        <v>0</v>
      </c>
      <c r="P95">
        <f>IF(OR(M95="",N95=""),"",SUMIFS('Barang Keluar'!$E:$E,'Barang Keluar'!$A:$A,M95,'Barang Keluar'!$C:$C,N95))</f>
        <v>0</v>
      </c>
    </row>
    <row r="96" spans="1:16">
      <c r="A96">
        <f>IFERROR('Master Barang'!A91,"")</f>
        <v>0</v>
      </c>
      <c r="B96">
        <f>IFERROR('Master Barang'!B91,"")</f>
        <v>0</v>
      </c>
      <c r="C96">
        <f>IFERROR('Master Barang'!D91,"")</f>
        <v>0</v>
      </c>
      <c r="D96">
        <f>IF(A96="","",SUMIFS('Barang Keluar'!$E:$E,'Barang Keluar'!$C:$C,A96,'Barang Keluar'!$A:$A,"&gt;="&amp;$A$4,'Barang Keluar'!$A:$A,"&lt;="&amp;$B$4))</f>
        <v>0</v>
      </c>
      <c r="F96" s="49">
        <f>IF($A$4+ROW()-8&gt;$B$4,"",$A$4+ROW()-8)</f>
        <v>46111</v>
      </c>
      <c r="G96">
        <f>IF(F96="","",SUMIFS('Barang Keluar'!$E:$E,'Barang Keluar'!$A:$A,F96))</f>
        <v>0</v>
      </c>
      <c r="M96" s="49">
        <f>IF($A$4+0&gt;$B$4,"",$A$4+0)</f>
        <v>46023</v>
      </c>
      <c r="N96">
        <f>IF(M96="","",'Master Barang'!A90)</f>
        <v>0</v>
      </c>
      <c r="O96">
        <f>IF(N96="","",'Master Barang'!B90)</f>
        <v>0</v>
      </c>
      <c r="P96">
        <f>IF(OR(M96="",N96=""),"",SUMIFS('Barang Keluar'!$E:$E,'Barang Keluar'!$A:$A,M96,'Barang Keluar'!$C:$C,N96))</f>
        <v>0</v>
      </c>
    </row>
    <row r="97" spans="1:16">
      <c r="A97">
        <f>IFERROR('Master Barang'!A92,"")</f>
        <v>0</v>
      </c>
      <c r="B97">
        <f>IFERROR('Master Barang'!B92,"")</f>
        <v>0</v>
      </c>
      <c r="C97">
        <f>IFERROR('Master Barang'!D92,"")</f>
        <v>0</v>
      </c>
      <c r="D97">
        <f>IF(A97="","",SUMIFS('Barang Keluar'!$E:$E,'Barang Keluar'!$C:$C,A97,'Barang Keluar'!$A:$A,"&gt;="&amp;$A$4,'Barang Keluar'!$A:$A,"&lt;="&amp;$B$4))</f>
        <v>0</v>
      </c>
      <c r="F97" s="49">
        <f>IF($A$4+ROW()-8&gt;$B$4,"",$A$4+ROW()-8)</f>
        <v>46112</v>
      </c>
      <c r="G97">
        <f>IF(F97="","",SUMIFS('Barang Keluar'!$E:$E,'Barang Keluar'!$A:$A,F97))</f>
        <v>0</v>
      </c>
      <c r="M97" s="49">
        <f>IF($A$4+0&gt;$B$4,"",$A$4+0)</f>
        <v>46023</v>
      </c>
      <c r="N97">
        <f>IF(M97="","",'Master Barang'!A91)</f>
        <v>0</v>
      </c>
      <c r="O97">
        <f>IF(N97="","",'Master Barang'!B91)</f>
        <v>0</v>
      </c>
      <c r="P97">
        <f>IF(OR(M97="",N97=""),"",SUMIFS('Barang Keluar'!$E:$E,'Barang Keluar'!$A:$A,M97,'Barang Keluar'!$C:$C,N97))</f>
        <v>0</v>
      </c>
    </row>
    <row r="98" spans="1:16">
      <c r="A98">
        <f>IFERROR('Master Barang'!A93,"")</f>
        <v>0</v>
      </c>
      <c r="B98">
        <f>IFERROR('Master Barang'!B93,"")</f>
        <v>0</v>
      </c>
      <c r="C98">
        <f>IFERROR('Master Barang'!D93,"")</f>
        <v>0</v>
      </c>
      <c r="D98">
        <f>IF(A98="","",SUMIFS('Barang Keluar'!$E:$E,'Barang Keluar'!$C:$C,A98,'Barang Keluar'!$A:$A,"&gt;="&amp;$A$4,'Barang Keluar'!$A:$A,"&lt;="&amp;$B$4))</f>
        <v>0</v>
      </c>
      <c r="F98" s="49">
        <f>IF($A$4+ROW()-8&gt;$B$4,"",$A$4+ROW()-8)</f>
        <v>46113</v>
      </c>
      <c r="G98">
        <f>IF(F98="","",SUMIFS('Barang Keluar'!$E:$E,'Barang Keluar'!$A:$A,F98))</f>
        <v>0</v>
      </c>
      <c r="M98" s="49">
        <f>IF($A$4+0&gt;$B$4,"",$A$4+0)</f>
        <v>46023</v>
      </c>
      <c r="N98">
        <f>IF(M98="","",'Master Barang'!A92)</f>
        <v>0</v>
      </c>
      <c r="O98">
        <f>IF(N98="","",'Master Barang'!B92)</f>
        <v>0</v>
      </c>
      <c r="P98">
        <f>IF(OR(M98="",N98=""),"",SUMIFS('Barang Keluar'!$E:$E,'Barang Keluar'!$A:$A,M98,'Barang Keluar'!$C:$C,N98))</f>
        <v>0</v>
      </c>
    </row>
    <row r="99" spans="1:16">
      <c r="A99">
        <f>IFERROR('Master Barang'!A94,"")</f>
        <v>0</v>
      </c>
      <c r="B99">
        <f>IFERROR('Master Barang'!B94,"")</f>
        <v>0</v>
      </c>
      <c r="C99">
        <f>IFERROR('Master Barang'!D94,"")</f>
        <v>0</v>
      </c>
      <c r="D99">
        <f>IF(A99="","",SUMIFS('Barang Keluar'!$E:$E,'Barang Keluar'!$C:$C,A99,'Barang Keluar'!$A:$A,"&gt;="&amp;$A$4,'Barang Keluar'!$A:$A,"&lt;="&amp;$B$4))</f>
        <v>0</v>
      </c>
      <c r="F99" s="49">
        <f>IF($A$4+ROW()-8&gt;$B$4,"",$A$4+ROW()-8)</f>
        <v>46114</v>
      </c>
      <c r="G99">
        <f>IF(F99="","",SUMIFS('Barang Keluar'!$E:$E,'Barang Keluar'!$A:$A,F99))</f>
        <v>0</v>
      </c>
      <c r="M99" s="49">
        <f>IF($A$4+0&gt;$B$4,"",$A$4+0)</f>
        <v>46023</v>
      </c>
      <c r="N99">
        <f>IF(M99="","",'Master Barang'!A93)</f>
        <v>0</v>
      </c>
      <c r="O99">
        <f>IF(N99="","",'Master Barang'!B93)</f>
        <v>0</v>
      </c>
      <c r="P99">
        <f>IF(OR(M99="",N99=""),"",SUMIFS('Barang Keluar'!$E:$E,'Barang Keluar'!$A:$A,M99,'Barang Keluar'!$C:$C,N99))</f>
        <v>0</v>
      </c>
    </row>
    <row r="100" spans="1:16">
      <c r="A100">
        <f>IFERROR('Master Barang'!A95,"")</f>
        <v>0</v>
      </c>
      <c r="B100">
        <f>IFERROR('Master Barang'!B95,"")</f>
        <v>0</v>
      </c>
      <c r="C100">
        <f>IFERROR('Master Barang'!D95,"")</f>
        <v>0</v>
      </c>
      <c r="D100">
        <f>IF(A100="","",SUMIFS('Barang Keluar'!$E:$E,'Barang Keluar'!$C:$C,A100,'Barang Keluar'!$A:$A,"&gt;="&amp;$A$4,'Barang Keluar'!$A:$A,"&lt;="&amp;$B$4))</f>
        <v>0</v>
      </c>
      <c r="F100" s="49">
        <f>IF($A$4+ROW()-8&gt;$B$4,"",$A$4+ROW()-8)</f>
        <v>46115</v>
      </c>
      <c r="G100">
        <f>IF(F100="","",SUMIFS('Barang Keluar'!$E:$E,'Barang Keluar'!$A:$A,F100))</f>
        <v>0</v>
      </c>
      <c r="M100" s="49">
        <f>IF($A$4+0&gt;$B$4,"",$A$4+0)</f>
        <v>46023</v>
      </c>
      <c r="N100">
        <f>IF(M100="","",'Master Barang'!A94)</f>
        <v>0</v>
      </c>
      <c r="O100">
        <f>IF(N100="","",'Master Barang'!B94)</f>
        <v>0</v>
      </c>
      <c r="P100">
        <f>IF(OR(M100="",N100=""),"",SUMIFS('Barang Keluar'!$E:$E,'Barang Keluar'!$A:$A,M100,'Barang Keluar'!$C:$C,N100))</f>
        <v>0</v>
      </c>
    </row>
    <row r="101" spans="1:16">
      <c r="A101">
        <f>IFERROR('Master Barang'!A96,"")</f>
        <v>0</v>
      </c>
      <c r="B101">
        <f>IFERROR('Master Barang'!B96,"")</f>
        <v>0</v>
      </c>
      <c r="C101">
        <f>IFERROR('Master Barang'!D96,"")</f>
        <v>0</v>
      </c>
      <c r="D101">
        <f>IF(A101="","",SUMIFS('Barang Keluar'!$E:$E,'Barang Keluar'!$C:$C,A101,'Barang Keluar'!$A:$A,"&gt;="&amp;$A$4,'Barang Keluar'!$A:$A,"&lt;="&amp;$B$4))</f>
        <v>0</v>
      </c>
      <c r="F101" s="49">
        <f>IF($A$4+ROW()-8&gt;$B$4,"",$A$4+ROW()-8)</f>
        <v>46116</v>
      </c>
      <c r="G101">
        <f>IF(F101="","",SUMIFS('Barang Keluar'!$E:$E,'Barang Keluar'!$A:$A,F101))</f>
        <v>0</v>
      </c>
      <c r="M101" s="49">
        <f>IF($A$4+0&gt;$B$4,"",$A$4+0)</f>
        <v>46023</v>
      </c>
      <c r="N101">
        <f>IF(M101="","",'Master Barang'!A95)</f>
        <v>0</v>
      </c>
      <c r="O101">
        <f>IF(N101="","",'Master Barang'!B95)</f>
        <v>0</v>
      </c>
      <c r="P101">
        <f>IF(OR(M101="",N101=""),"",SUMIFS('Barang Keluar'!$E:$E,'Barang Keluar'!$A:$A,M101,'Barang Keluar'!$C:$C,N101))</f>
        <v>0</v>
      </c>
    </row>
    <row r="102" spans="1:16">
      <c r="A102">
        <f>IFERROR('Master Barang'!A97,"")</f>
        <v>0</v>
      </c>
      <c r="B102">
        <f>IFERROR('Master Barang'!B97,"")</f>
        <v>0</v>
      </c>
      <c r="C102">
        <f>IFERROR('Master Barang'!D97,"")</f>
        <v>0</v>
      </c>
      <c r="D102">
        <f>IF(A102="","",SUMIFS('Barang Keluar'!$E:$E,'Barang Keluar'!$C:$C,A102,'Barang Keluar'!$A:$A,"&gt;="&amp;$A$4,'Barang Keluar'!$A:$A,"&lt;="&amp;$B$4))</f>
        <v>0</v>
      </c>
      <c r="F102" s="49">
        <f>IF($A$4+ROW()-8&gt;$B$4,"",$A$4+ROW()-8)</f>
        <v>46117</v>
      </c>
      <c r="G102">
        <f>IF(F102="","",SUMIFS('Barang Keluar'!$E:$E,'Barang Keluar'!$A:$A,F102))</f>
        <v>0</v>
      </c>
      <c r="M102" s="49">
        <f>IF($A$4+0&gt;$B$4,"",$A$4+0)</f>
        <v>46023</v>
      </c>
      <c r="N102">
        <f>IF(M102="","",'Master Barang'!A96)</f>
        <v>0</v>
      </c>
      <c r="O102">
        <f>IF(N102="","",'Master Barang'!B96)</f>
        <v>0</v>
      </c>
      <c r="P102">
        <f>IF(OR(M102="",N102=""),"",SUMIFS('Barang Keluar'!$E:$E,'Barang Keluar'!$A:$A,M102,'Barang Keluar'!$C:$C,N102))</f>
        <v>0</v>
      </c>
    </row>
    <row r="103" spans="1:16">
      <c r="A103">
        <f>IFERROR('Master Barang'!A98,"")</f>
        <v>0</v>
      </c>
      <c r="B103">
        <f>IFERROR('Master Barang'!B98,"")</f>
        <v>0</v>
      </c>
      <c r="C103">
        <f>IFERROR('Master Barang'!D98,"")</f>
        <v>0</v>
      </c>
      <c r="D103">
        <f>IF(A103="","",SUMIFS('Barang Keluar'!$E:$E,'Barang Keluar'!$C:$C,A103,'Barang Keluar'!$A:$A,"&gt;="&amp;$A$4,'Barang Keluar'!$A:$A,"&lt;="&amp;$B$4))</f>
        <v>0</v>
      </c>
      <c r="F103" s="49">
        <f>IF($A$4+ROW()-8&gt;$B$4,"",$A$4+ROW()-8)</f>
        <v>46118</v>
      </c>
      <c r="G103">
        <f>IF(F103="","",SUMIFS('Barang Keluar'!$E:$E,'Barang Keluar'!$A:$A,F103))</f>
        <v>0</v>
      </c>
      <c r="M103" s="49">
        <f>IF($A$4+0&gt;$B$4,"",$A$4+0)</f>
        <v>46023</v>
      </c>
      <c r="N103">
        <f>IF(M103="","",'Master Barang'!A97)</f>
        <v>0</v>
      </c>
      <c r="O103">
        <f>IF(N103="","",'Master Barang'!B97)</f>
        <v>0</v>
      </c>
      <c r="P103">
        <f>IF(OR(M103="",N103=""),"",SUMIFS('Barang Keluar'!$E:$E,'Barang Keluar'!$A:$A,M103,'Barang Keluar'!$C:$C,N103))</f>
        <v>0</v>
      </c>
    </row>
    <row r="104" spans="1:16">
      <c r="A104">
        <f>IFERROR('Master Barang'!A99,"")</f>
        <v>0</v>
      </c>
      <c r="B104">
        <f>IFERROR('Master Barang'!B99,"")</f>
        <v>0</v>
      </c>
      <c r="C104">
        <f>IFERROR('Master Barang'!D99,"")</f>
        <v>0</v>
      </c>
      <c r="D104">
        <f>IF(A104="","",SUMIFS('Barang Keluar'!$E:$E,'Barang Keluar'!$C:$C,A104,'Barang Keluar'!$A:$A,"&gt;="&amp;$A$4,'Barang Keluar'!$A:$A,"&lt;="&amp;$B$4))</f>
        <v>0</v>
      </c>
      <c r="F104" s="49">
        <f>IF($A$4+ROW()-8&gt;$B$4,"",$A$4+ROW()-8)</f>
        <v>46119</v>
      </c>
      <c r="G104">
        <f>IF(F104="","",SUMIFS('Barang Keluar'!$E:$E,'Barang Keluar'!$A:$A,F104))</f>
        <v>0</v>
      </c>
      <c r="M104" s="49">
        <f>IF($A$4+0&gt;$B$4,"",$A$4+0)</f>
        <v>46023</v>
      </c>
      <c r="N104">
        <f>IF(M104="","",'Master Barang'!A98)</f>
        <v>0</v>
      </c>
      <c r="O104">
        <f>IF(N104="","",'Master Barang'!B98)</f>
        <v>0</v>
      </c>
      <c r="P104">
        <f>IF(OR(M104="",N104=""),"",SUMIFS('Barang Keluar'!$E:$E,'Barang Keluar'!$A:$A,M104,'Barang Keluar'!$C:$C,N104))</f>
        <v>0</v>
      </c>
    </row>
    <row r="105" spans="1:16">
      <c r="A105">
        <f>IFERROR('Master Barang'!A100,"")</f>
        <v>0</v>
      </c>
      <c r="B105">
        <f>IFERROR('Master Barang'!B100,"")</f>
        <v>0</v>
      </c>
      <c r="C105">
        <f>IFERROR('Master Barang'!D100,"")</f>
        <v>0</v>
      </c>
      <c r="D105">
        <f>IF(A105="","",SUMIFS('Barang Keluar'!$E:$E,'Barang Keluar'!$C:$C,A105,'Barang Keluar'!$A:$A,"&gt;="&amp;$A$4,'Barang Keluar'!$A:$A,"&lt;="&amp;$B$4))</f>
        <v>0</v>
      </c>
      <c r="F105" s="49">
        <f>IF($A$4+ROW()-8&gt;$B$4,"",$A$4+ROW()-8)</f>
        <v>46120</v>
      </c>
      <c r="G105">
        <f>IF(F105="","",SUMIFS('Barang Keluar'!$E:$E,'Barang Keluar'!$A:$A,F105))</f>
        <v>0</v>
      </c>
      <c r="M105" s="49">
        <f>IF($A$4+0&gt;$B$4,"",$A$4+0)</f>
        <v>46023</v>
      </c>
      <c r="N105">
        <f>IF(M105="","",'Master Barang'!A99)</f>
        <v>0</v>
      </c>
      <c r="O105">
        <f>IF(N105="","",'Master Barang'!B99)</f>
        <v>0</v>
      </c>
      <c r="P105">
        <f>IF(OR(M105="",N105=""),"",SUMIFS('Barang Keluar'!$E:$E,'Barang Keluar'!$A:$A,M105,'Barang Keluar'!$C:$C,N105))</f>
        <v>0</v>
      </c>
    </row>
    <row r="106" spans="1:16">
      <c r="A106">
        <f>IFERROR('Master Barang'!A101,"")</f>
        <v>0</v>
      </c>
      <c r="B106">
        <f>IFERROR('Master Barang'!B101,"")</f>
        <v>0</v>
      </c>
      <c r="C106">
        <f>IFERROR('Master Barang'!D101,"")</f>
        <v>0</v>
      </c>
      <c r="D106">
        <f>IF(A106="","",SUMIFS('Barang Keluar'!$E:$E,'Barang Keluar'!$C:$C,A106,'Barang Keluar'!$A:$A,"&gt;="&amp;$A$4,'Barang Keluar'!$A:$A,"&lt;="&amp;$B$4))</f>
        <v>0</v>
      </c>
      <c r="F106" s="49">
        <f>IF($A$4+ROW()-8&gt;$B$4,"",$A$4+ROW()-8)</f>
        <v>46121</v>
      </c>
      <c r="G106">
        <f>IF(F106="","",SUMIFS('Barang Keluar'!$E:$E,'Barang Keluar'!$A:$A,F106))</f>
        <v>0</v>
      </c>
      <c r="M106" s="49">
        <f>IF($A$4+0&gt;$B$4,"",$A$4+0)</f>
        <v>46023</v>
      </c>
      <c r="N106">
        <f>IF(M106="","",'Master Barang'!A100)</f>
        <v>0</v>
      </c>
      <c r="O106">
        <f>IF(N106="","",'Master Barang'!B100)</f>
        <v>0</v>
      </c>
      <c r="P106">
        <f>IF(OR(M106="",N106=""),"",SUMIFS('Barang Keluar'!$E:$E,'Barang Keluar'!$A:$A,M106,'Barang Keluar'!$C:$C,N106))</f>
        <v>0</v>
      </c>
    </row>
    <row r="107" spans="1:16">
      <c r="A107">
        <f>IFERROR('Master Barang'!A102,"")</f>
        <v>0</v>
      </c>
      <c r="B107">
        <f>IFERROR('Master Barang'!B102,"")</f>
        <v>0</v>
      </c>
      <c r="C107">
        <f>IFERROR('Master Barang'!D102,"")</f>
        <v>0</v>
      </c>
      <c r="D107">
        <f>IF(A107="","",SUMIFS('Barang Keluar'!$E:$E,'Barang Keluar'!$C:$C,A107,'Barang Keluar'!$A:$A,"&gt;="&amp;$A$4,'Barang Keluar'!$A:$A,"&lt;="&amp;$B$4))</f>
        <v>0</v>
      </c>
      <c r="F107" s="49">
        <f>IF($A$4+ROW()-8&gt;$B$4,"",$A$4+ROW()-8)</f>
        <v>46122</v>
      </c>
      <c r="G107">
        <f>IF(F107="","",SUMIFS('Barang Keluar'!$E:$E,'Barang Keluar'!$A:$A,F107))</f>
        <v>0</v>
      </c>
      <c r="M107" s="49">
        <f>IF($A$4+0&gt;$B$4,"",$A$4+0)</f>
        <v>46023</v>
      </c>
      <c r="N107">
        <f>IF(M107="","",'Master Barang'!A101)</f>
        <v>0</v>
      </c>
      <c r="O107">
        <f>IF(N107="","",'Master Barang'!B101)</f>
        <v>0</v>
      </c>
      <c r="P107">
        <f>IF(OR(M107="",N107=""),"",SUMIFS('Barang Keluar'!$E:$E,'Barang Keluar'!$A:$A,M107,'Barang Keluar'!$C:$C,N107))</f>
        <v>0</v>
      </c>
    </row>
    <row r="108" spans="1:16">
      <c r="A108">
        <f>IFERROR('Master Barang'!A103,"")</f>
        <v>0</v>
      </c>
      <c r="B108">
        <f>IFERROR('Master Barang'!B103,"")</f>
        <v>0</v>
      </c>
      <c r="C108">
        <f>IFERROR('Master Barang'!D103,"")</f>
        <v>0</v>
      </c>
      <c r="D108">
        <f>IF(A108="","",SUMIFS('Barang Keluar'!$E:$E,'Barang Keluar'!$C:$C,A108,'Barang Keluar'!$A:$A,"&gt;="&amp;$A$4,'Barang Keluar'!$A:$A,"&lt;="&amp;$B$4))</f>
        <v>0</v>
      </c>
      <c r="F108" s="49">
        <f>IF($A$4+ROW()-8&gt;$B$4,"",$A$4+ROW()-8)</f>
        <v>46123</v>
      </c>
      <c r="G108">
        <f>IF(F108="","",SUMIFS('Barang Keluar'!$E:$E,'Barang Keluar'!$A:$A,F108))</f>
        <v>0</v>
      </c>
      <c r="M108" s="49">
        <f>IF($A$4+1&gt;$B$4,"",$A$4+1)</f>
        <v>46024</v>
      </c>
      <c r="N108" t="str">
        <f>IF(M108="","",'Master Barang'!A2)</f>
        <v>PRL-001</v>
      </c>
      <c r="O108" t="str">
        <f>IF(N108="","",'Master Barang'!B2)</f>
        <v>natura desinfectant food grade 5l</v>
      </c>
      <c r="P108">
        <f>IF(OR(M108="",N108=""),"",SUMIFS('Barang Keluar'!$E:$E,'Barang Keluar'!$A:$A,M108,'Barang Keluar'!$C:$C,N108))</f>
        <v>0</v>
      </c>
    </row>
    <row r="109" spans="1:16">
      <c r="A109">
        <f>IFERROR('Master Barang'!A104,"")</f>
        <v>0</v>
      </c>
      <c r="B109">
        <f>IFERROR('Master Barang'!B104,"")</f>
        <v>0</v>
      </c>
      <c r="C109">
        <f>IFERROR('Master Barang'!D104,"")</f>
        <v>0</v>
      </c>
      <c r="D109">
        <f>IF(A109="","",SUMIFS('Barang Keluar'!$E:$E,'Barang Keluar'!$C:$C,A109,'Barang Keluar'!$A:$A,"&gt;="&amp;$A$4,'Barang Keluar'!$A:$A,"&lt;="&amp;$B$4))</f>
        <v>0</v>
      </c>
      <c r="F109" s="49">
        <f>IF($A$4+ROW()-8&gt;$B$4,"",$A$4+ROW()-8)</f>
        <v>46124</v>
      </c>
      <c r="G109">
        <f>IF(F109="","",SUMIFS('Barang Keluar'!$E:$E,'Barang Keluar'!$A:$A,F109))</f>
        <v>0</v>
      </c>
      <c r="M109" s="49">
        <f>IF($A$4+1&gt;$B$4,"",$A$4+1)</f>
        <v>46024</v>
      </c>
      <c r="N109" t="str">
        <f>IF(M109="","",'Master Barang'!A3)</f>
        <v>PRL-002</v>
      </c>
      <c r="O109" t="str">
        <f>IF(N109="","",'Master Barang'!B3)</f>
        <v>sunlight cairan pencuci piring 5l</v>
      </c>
      <c r="P109">
        <f>IF(OR(M109="",N109=""),"",SUMIFS('Barang Keluar'!$E:$E,'Barang Keluar'!$A:$A,M109,'Barang Keluar'!$C:$C,N109))</f>
        <v>0</v>
      </c>
    </row>
    <row r="110" spans="1:16">
      <c r="A110">
        <f>IFERROR('Master Barang'!A105,"")</f>
        <v>0</v>
      </c>
      <c r="B110">
        <f>IFERROR('Master Barang'!B105,"")</f>
        <v>0</v>
      </c>
      <c r="C110">
        <f>IFERROR('Master Barang'!D105,"")</f>
        <v>0</v>
      </c>
      <c r="D110">
        <f>IF(A110="","",SUMIFS('Barang Keluar'!$E:$E,'Barang Keluar'!$C:$C,A110,'Barang Keluar'!$A:$A,"&gt;="&amp;$A$4,'Barang Keluar'!$A:$A,"&lt;="&amp;$B$4))</f>
        <v>0</v>
      </c>
      <c r="F110" s="49">
        <f>IF($A$4+ROW()-8&gt;$B$4,"",$A$4+ROW()-8)</f>
        <v>46125</v>
      </c>
      <c r="G110">
        <f>IF(F110="","",SUMIFS('Barang Keluar'!$E:$E,'Barang Keluar'!$A:$A,F110))</f>
        <v>0</v>
      </c>
      <c r="M110" s="49">
        <f>IF($A$4+1&gt;$B$4,"",$A$4+1)</f>
        <v>46024</v>
      </c>
      <c r="N110" t="str">
        <f>IF(M110="","",'Master Barang'!A4)</f>
        <v>PRL-003</v>
      </c>
      <c r="O110" t="str">
        <f>IF(N110="","",'Master Barang'!B4)</f>
        <v>oixs cleaner 1l</v>
      </c>
      <c r="P110">
        <f>IF(OR(M110="",N110=""),"",SUMIFS('Barang Keluar'!$E:$E,'Barang Keluar'!$A:$A,M110,'Barang Keluar'!$C:$C,N110))</f>
        <v>0</v>
      </c>
    </row>
    <row r="111" spans="1:16">
      <c r="A111">
        <f>IFERROR('Master Barang'!A106,"")</f>
        <v>0</v>
      </c>
      <c r="B111">
        <f>IFERROR('Master Barang'!B106,"")</f>
        <v>0</v>
      </c>
      <c r="C111">
        <f>IFERROR('Master Barang'!D106,"")</f>
        <v>0</v>
      </c>
      <c r="D111">
        <f>IF(A111="","",SUMIFS('Barang Keluar'!$E:$E,'Barang Keluar'!$C:$C,A111,'Barang Keluar'!$A:$A,"&gt;="&amp;$A$4,'Barang Keluar'!$A:$A,"&lt;="&amp;$B$4))</f>
        <v>0</v>
      </c>
      <c r="F111" s="49">
        <f>IF($A$4+ROW()-8&gt;$B$4,"",$A$4+ROW()-8)</f>
        <v>46126</v>
      </c>
      <c r="G111">
        <f>IF(F111="","",SUMIFS('Barang Keluar'!$E:$E,'Barang Keluar'!$A:$A,F111))</f>
        <v>0</v>
      </c>
      <c r="M111" s="49">
        <f>IF($A$4+1&gt;$B$4,"",$A$4+1)</f>
        <v>46024</v>
      </c>
      <c r="N111" t="str">
        <f>IF(M111="","",'Master Barang'!A5)</f>
        <v>PRL-004</v>
      </c>
      <c r="O111" t="str">
        <f>IF(N111="","",'Master Barang'!B5)</f>
        <v>be clean tissue serbaguna</v>
      </c>
      <c r="P111">
        <f>IF(OR(M111="",N111=""),"",SUMIFS('Barang Keluar'!$E:$E,'Barang Keluar'!$A:$A,M111,'Barang Keluar'!$C:$C,N111))</f>
        <v>0</v>
      </c>
    </row>
    <row r="112" spans="1:16">
      <c r="A112">
        <f>IFERROR('Master Barang'!A107,"")</f>
        <v>0</v>
      </c>
      <c r="B112">
        <f>IFERROR('Master Barang'!B107,"")</f>
        <v>0</v>
      </c>
      <c r="C112">
        <f>IFERROR('Master Barang'!D107,"")</f>
        <v>0</v>
      </c>
      <c r="D112">
        <f>IF(A112="","",SUMIFS('Barang Keluar'!$E:$E,'Barang Keluar'!$C:$C,A112,'Barang Keluar'!$A:$A,"&gt;="&amp;$A$4,'Barang Keluar'!$A:$A,"&lt;="&amp;$B$4))</f>
        <v>0</v>
      </c>
      <c r="F112" s="49">
        <f>IF($A$4+ROW()-8&gt;$B$4,"",$A$4+ROW()-8)</f>
        <v>46127</v>
      </c>
      <c r="G112">
        <f>IF(F112="","",SUMIFS('Barang Keluar'!$E:$E,'Barang Keluar'!$A:$A,F112))</f>
        <v>0</v>
      </c>
      <c r="M112" s="49">
        <f>IF($A$4+1&gt;$B$4,"",$A$4+1)</f>
        <v>46024</v>
      </c>
      <c r="N112" t="str">
        <f>IF(M112="","",'Master Barang'!A6)</f>
        <v>PRL-005</v>
      </c>
      <c r="O112" t="str">
        <f>IF(N112="","",'Master Barang'!B6)</f>
        <v>spons cuci hijau</v>
      </c>
      <c r="P112">
        <f>IF(OR(M112="",N112=""),"",SUMIFS('Barang Keluar'!$E:$E,'Barang Keluar'!$A:$A,M112,'Barang Keluar'!$C:$C,N112))</f>
        <v>0</v>
      </c>
    </row>
    <row r="113" spans="1:16">
      <c r="A113">
        <f>IFERROR('Master Barang'!A108,"")</f>
        <v>0</v>
      </c>
      <c r="B113">
        <f>IFERROR('Master Barang'!B108,"")</f>
        <v>0</v>
      </c>
      <c r="C113">
        <f>IFERROR('Master Barang'!D108,"")</f>
        <v>0</v>
      </c>
      <c r="D113">
        <f>IF(A113="","",SUMIFS('Barang Keluar'!$E:$E,'Barang Keluar'!$C:$C,A113,'Barang Keluar'!$A:$A,"&gt;="&amp;$A$4,'Barang Keluar'!$A:$A,"&lt;="&amp;$B$4))</f>
        <v>0</v>
      </c>
      <c r="F113" s="49">
        <f>IF($A$4+ROW()-8&gt;$B$4,"",$A$4+ROW()-8)</f>
        <v>46128</v>
      </c>
      <c r="G113">
        <f>IF(F113="","",SUMIFS('Barang Keluar'!$E:$E,'Barang Keluar'!$A:$A,F113))</f>
        <v>0</v>
      </c>
      <c r="M113" s="49">
        <f>IF($A$4+1&gt;$B$4,"",$A$4+1)</f>
        <v>46024</v>
      </c>
      <c r="N113" t="str">
        <f>IF(M113="","",'Master Barang'!A7)</f>
        <v>PRL-006</v>
      </c>
      <c r="O113" t="str">
        <f>IF(N113="","",'Master Barang'!B7)</f>
        <v>sabut cuci stainless</v>
      </c>
      <c r="P113">
        <f>IF(OR(M113="",N113=""),"",SUMIFS('Barang Keluar'!$E:$E,'Barang Keluar'!$A:$A,M113,'Barang Keluar'!$C:$C,N113))</f>
        <v>0</v>
      </c>
    </row>
    <row r="114" spans="1:16">
      <c r="A114">
        <f>IFERROR('Master Barang'!A109,"")</f>
        <v>0</v>
      </c>
      <c r="B114">
        <f>IFERROR('Master Barang'!B109,"")</f>
        <v>0</v>
      </c>
      <c r="C114">
        <f>IFERROR('Master Barang'!D109,"")</f>
        <v>0</v>
      </c>
      <c r="D114">
        <f>IF(A114="","",SUMIFS('Barang Keluar'!$E:$E,'Barang Keluar'!$C:$C,A114,'Barang Keluar'!$A:$A,"&gt;="&amp;$A$4,'Barang Keluar'!$A:$A,"&lt;="&amp;$B$4))</f>
        <v>0</v>
      </c>
      <c r="F114" s="49">
        <f>IF($A$4+ROW()-8&gt;$B$4,"",$A$4+ROW()-8)</f>
        <v>46129</v>
      </c>
      <c r="G114">
        <f>IF(F114="","",SUMIFS('Barang Keluar'!$E:$E,'Barang Keluar'!$A:$A,F114))</f>
        <v>0</v>
      </c>
      <c r="M114" s="49">
        <f>IF($A$4+1&gt;$B$4,"",$A$4+1)</f>
        <v>46024</v>
      </c>
      <c r="N114" t="str">
        <f>IF(M114="","",'Master Barang'!A8)</f>
        <v>PRL-007</v>
      </c>
      <c r="O114" t="str">
        <f>IF(N114="","",'Master Barang'!B8)</f>
        <v>plastik kresek besar merah 50pc</v>
      </c>
      <c r="P114">
        <f>IF(OR(M114="",N114=""),"",SUMIFS('Barang Keluar'!$E:$E,'Barang Keluar'!$A:$A,M114,'Barang Keluar'!$C:$C,N114))</f>
        <v>0</v>
      </c>
    </row>
    <row r="115" spans="1:16">
      <c r="A115">
        <f>IFERROR('Master Barang'!A110,"")</f>
        <v>0</v>
      </c>
      <c r="B115">
        <f>IFERROR('Master Barang'!B110,"")</f>
        <v>0</v>
      </c>
      <c r="C115">
        <f>IFERROR('Master Barang'!D110,"")</f>
        <v>0</v>
      </c>
      <c r="D115">
        <f>IF(A115="","",SUMIFS('Barang Keluar'!$E:$E,'Barang Keluar'!$C:$C,A115,'Barang Keluar'!$A:$A,"&gt;="&amp;$A$4,'Barang Keluar'!$A:$A,"&lt;="&amp;$B$4))</f>
        <v>0</v>
      </c>
      <c r="F115" s="49">
        <f>IF($A$4+ROW()-8&gt;$B$4,"",$A$4+ROW()-8)</f>
        <v>46130</v>
      </c>
      <c r="G115">
        <f>IF(F115="","",SUMIFS('Barang Keluar'!$E:$E,'Barang Keluar'!$A:$A,F115))</f>
        <v>0</v>
      </c>
      <c r="M115" s="49">
        <f>IF($A$4+1&gt;$B$4,"",$A$4+1)</f>
        <v>46024</v>
      </c>
      <c r="N115" t="str">
        <f>IF(M115="","",'Master Barang'!A9)</f>
        <v>PRL-008</v>
      </c>
      <c r="O115" t="str">
        <f>IF(N115="","",'Master Barang'!B9)</f>
        <v>lap besar</v>
      </c>
      <c r="P115">
        <f>IF(OR(M115="",N115=""),"",SUMIFS('Barang Keluar'!$E:$E,'Barang Keluar'!$A:$A,M115,'Barang Keluar'!$C:$C,N115))</f>
        <v>0</v>
      </c>
    </row>
    <row r="116" spans="1:16">
      <c r="A116">
        <f>IFERROR('Master Barang'!A111,"")</f>
        <v>0</v>
      </c>
      <c r="B116">
        <f>IFERROR('Master Barang'!B111,"")</f>
        <v>0</v>
      </c>
      <c r="C116">
        <f>IFERROR('Master Barang'!D111,"")</f>
        <v>0</v>
      </c>
      <c r="D116">
        <f>IF(A116="","",SUMIFS('Barang Keluar'!$E:$E,'Barang Keluar'!$C:$C,A116,'Barang Keluar'!$A:$A,"&gt;="&amp;$A$4,'Barang Keluar'!$A:$A,"&lt;="&amp;$B$4))</f>
        <v>0</v>
      </c>
      <c r="F116" s="49">
        <f>IF($A$4+ROW()-8&gt;$B$4,"",$A$4+ROW()-8)</f>
        <v>46131</v>
      </c>
      <c r="G116">
        <f>IF(F116="","",SUMIFS('Barang Keluar'!$E:$E,'Barang Keluar'!$A:$A,F116))</f>
        <v>0</v>
      </c>
      <c r="M116" s="49">
        <f>IF($A$4+1&gt;$B$4,"",$A$4+1)</f>
        <v>46024</v>
      </c>
      <c r="N116" t="str">
        <f>IF(M116="","",'Master Barang'!A10)</f>
        <v>PRL-009</v>
      </c>
      <c r="O116" t="str">
        <f>IF(N116="","",'Master Barang'!B10)</f>
        <v>lap microfiber</v>
      </c>
      <c r="P116">
        <f>IF(OR(M116="",N116=""),"",SUMIFS('Barang Keluar'!$E:$E,'Barang Keluar'!$A:$A,M116,'Barang Keluar'!$C:$C,N116))</f>
        <v>0</v>
      </c>
    </row>
    <row r="117" spans="1:16">
      <c r="A117">
        <f>IFERROR('Master Barang'!A112,"")</f>
        <v>0</v>
      </c>
      <c r="B117">
        <f>IFERROR('Master Barang'!B112,"")</f>
        <v>0</v>
      </c>
      <c r="C117">
        <f>IFERROR('Master Barang'!D112,"")</f>
        <v>0</v>
      </c>
      <c r="D117">
        <f>IF(A117="","",SUMIFS('Barang Keluar'!$E:$E,'Barang Keluar'!$C:$C,A117,'Barang Keluar'!$A:$A,"&gt;="&amp;$A$4,'Barang Keluar'!$A:$A,"&lt;="&amp;$B$4))</f>
        <v>0</v>
      </c>
      <c r="F117" s="49">
        <f>IF($A$4+ROW()-8&gt;$B$4,"",$A$4+ROW()-8)</f>
        <v>46132</v>
      </c>
      <c r="G117">
        <f>IF(F117="","",SUMIFS('Barang Keluar'!$E:$E,'Barang Keluar'!$A:$A,F117))</f>
        <v>0</v>
      </c>
      <c r="M117" s="49">
        <f>IF($A$4+1&gt;$B$4,"",$A$4+1)</f>
        <v>46024</v>
      </c>
      <c r="N117" t="str">
        <f>IF(M117="","",'Master Barang'!A11)</f>
        <v>PRL-010</v>
      </c>
      <c r="O117" t="str">
        <f>IF(N117="","",'Master Barang'!B11)</f>
        <v>lap kecil</v>
      </c>
      <c r="P117">
        <f>IF(OR(M117="",N117=""),"",SUMIFS('Barang Keluar'!$E:$E,'Barang Keluar'!$A:$A,M117,'Barang Keluar'!$C:$C,N117))</f>
        <v>0</v>
      </c>
    </row>
    <row r="118" spans="1:16">
      <c r="A118">
        <f>IFERROR('Master Barang'!A113,"")</f>
        <v>0</v>
      </c>
      <c r="B118">
        <f>IFERROR('Master Barang'!B113,"")</f>
        <v>0</v>
      </c>
      <c r="C118">
        <f>IFERROR('Master Barang'!D113,"")</f>
        <v>0</v>
      </c>
      <c r="D118">
        <f>IF(A118="","",SUMIFS('Barang Keluar'!$E:$E,'Barang Keluar'!$C:$C,A118,'Barang Keluar'!$A:$A,"&gt;="&amp;$A$4,'Barang Keluar'!$A:$A,"&lt;="&amp;$B$4))</f>
        <v>0</v>
      </c>
      <c r="F118" s="49">
        <f>IF($A$4+ROW()-8&gt;$B$4,"",$A$4+ROW()-8)</f>
        <v>46133</v>
      </c>
      <c r="G118">
        <f>IF(F118="","",SUMIFS('Barang Keluar'!$E:$E,'Barang Keluar'!$A:$A,F118))</f>
        <v>0</v>
      </c>
      <c r="M118" s="49">
        <f>IF($A$4+1&gt;$B$4,"",$A$4+1)</f>
        <v>46024</v>
      </c>
      <c r="N118" t="str">
        <f>IF(M118="","",'Master Barang'!A12)</f>
        <v>PRL-011</v>
      </c>
      <c r="O118" t="str">
        <f>IF(N118="","",'Master Barang'!B12)</f>
        <v>kanebo kecil</v>
      </c>
      <c r="P118">
        <f>IF(OR(M118="",N118=""),"",SUMIFS('Barang Keluar'!$E:$E,'Barang Keluar'!$A:$A,M118,'Barang Keluar'!$C:$C,N118))</f>
        <v>0</v>
      </c>
    </row>
    <row r="119" spans="1:16">
      <c r="A119">
        <f>IFERROR('Master Barang'!A114,"")</f>
        <v>0</v>
      </c>
      <c r="B119">
        <f>IFERROR('Master Barang'!B114,"")</f>
        <v>0</v>
      </c>
      <c r="C119">
        <f>IFERROR('Master Barang'!D114,"")</f>
        <v>0</v>
      </c>
      <c r="D119">
        <f>IF(A119="","",SUMIFS('Barang Keluar'!$E:$E,'Barang Keluar'!$C:$C,A119,'Barang Keluar'!$A:$A,"&gt;="&amp;$A$4,'Barang Keluar'!$A:$A,"&lt;="&amp;$B$4))</f>
        <v>0</v>
      </c>
      <c r="F119" s="49">
        <f>IF($A$4+ROW()-8&gt;$B$4,"",$A$4+ROW()-8)</f>
        <v>46134</v>
      </c>
      <c r="G119">
        <f>IF(F119="","",SUMIFS('Barang Keluar'!$E:$E,'Barang Keluar'!$A:$A,F119))</f>
        <v>0</v>
      </c>
      <c r="M119" s="49">
        <f>IF($A$4+1&gt;$B$4,"",$A$4+1)</f>
        <v>46024</v>
      </c>
      <c r="N119" t="str">
        <f>IF(M119="","",'Master Barang'!A13)</f>
        <v>PRL-012</v>
      </c>
      <c r="O119" t="str">
        <f>IF(N119="","",'Master Barang'!B13)</f>
        <v>plastik 1/4kg joyoboyo 100 lembar</v>
      </c>
      <c r="P119">
        <f>IF(OR(M119="",N119=""),"",SUMIFS('Barang Keluar'!$E:$E,'Barang Keluar'!$A:$A,M119,'Barang Keluar'!$C:$C,N119))</f>
        <v>0</v>
      </c>
    </row>
    <row r="120" spans="1:16">
      <c r="A120">
        <f>IFERROR('Master Barang'!A115,"")</f>
        <v>0</v>
      </c>
      <c r="B120">
        <f>IFERROR('Master Barang'!B115,"")</f>
        <v>0</v>
      </c>
      <c r="C120">
        <f>IFERROR('Master Barang'!D115,"")</f>
        <v>0</v>
      </c>
      <c r="D120">
        <f>IF(A120="","",SUMIFS('Barang Keluar'!$E:$E,'Barang Keluar'!$C:$C,A120,'Barang Keluar'!$A:$A,"&gt;="&amp;$A$4,'Barang Keluar'!$A:$A,"&lt;="&amp;$B$4))</f>
        <v>0</v>
      </c>
      <c r="F120" s="49">
        <f>IF($A$4+ROW()-8&gt;$B$4,"",$A$4+ROW()-8)</f>
        <v>46135</v>
      </c>
      <c r="G120">
        <f>IF(F120="","",SUMIFS('Barang Keluar'!$E:$E,'Barang Keluar'!$A:$A,F120))</f>
        <v>0</v>
      </c>
      <c r="M120" s="49">
        <f>IF($A$4+1&gt;$B$4,"",$A$4+1)</f>
        <v>46024</v>
      </c>
      <c r="N120" t="str">
        <f>IF(M120="","",'Master Barang'!A14)</f>
        <v>PRL-013</v>
      </c>
      <c r="O120" t="str">
        <f>IF(N120="","",'Master Barang'!B14)</f>
        <v>sarung tangan plastik kaka 100 pcs</v>
      </c>
      <c r="P120">
        <f>IF(OR(M120="",N120=""),"",SUMIFS('Barang Keluar'!$E:$E,'Barang Keluar'!$A:$A,M120,'Barang Keluar'!$C:$C,N120))</f>
        <v>0</v>
      </c>
    </row>
    <row r="121" spans="1:16">
      <c r="A121">
        <f>IFERROR('Master Barang'!A116,"")</f>
        <v>0</v>
      </c>
      <c r="B121">
        <f>IFERROR('Master Barang'!B116,"")</f>
        <v>0</v>
      </c>
      <c r="C121">
        <f>IFERROR('Master Barang'!D116,"")</f>
        <v>0</v>
      </c>
      <c r="D121">
        <f>IF(A121="","",SUMIFS('Barang Keluar'!$E:$E,'Barang Keluar'!$C:$C,A121,'Barang Keluar'!$A:$A,"&gt;="&amp;$A$4,'Barang Keluar'!$A:$A,"&lt;="&amp;$B$4))</f>
        <v>0</v>
      </c>
      <c r="F121" s="49">
        <f>IF($A$4+ROW()-8&gt;$B$4,"",$A$4+ROW()-8)</f>
        <v>46136</v>
      </c>
      <c r="G121">
        <f>IF(F121="","",SUMIFS('Barang Keluar'!$E:$E,'Barang Keluar'!$A:$A,F121))</f>
        <v>0</v>
      </c>
      <c r="M121" s="49">
        <f>IF($A$4+1&gt;$B$4,"",$A$4+1)</f>
        <v>46024</v>
      </c>
      <c r="N121" t="str">
        <f>IF(M121="","",'Master Barang'!A15)</f>
        <v>PRL-014</v>
      </c>
      <c r="O121" t="str">
        <f>IF(N121="","",'Master Barang'!B15)</f>
        <v>optima trashbag 80x100</v>
      </c>
      <c r="P121">
        <f>IF(OR(M121="",N121=""),"",SUMIFS('Barang Keluar'!$E:$E,'Barang Keluar'!$A:$A,M121,'Barang Keluar'!$C:$C,N121))</f>
        <v>0</v>
      </c>
    </row>
    <row r="122" spans="1:16">
      <c r="A122">
        <f>IFERROR('Master Barang'!A117,"")</f>
        <v>0</v>
      </c>
      <c r="B122">
        <f>IFERROR('Master Barang'!B117,"")</f>
        <v>0</v>
      </c>
      <c r="C122">
        <f>IFERROR('Master Barang'!D117,"")</f>
        <v>0</v>
      </c>
      <c r="D122">
        <f>IF(A122="","",SUMIFS('Barang Keluar'!$E:$E,'Barang Keluar'!$C:$C,A122,'Barang Keluar'!$A:$A,"&gt;="&amp;$A$4,'Barang Keluar'!$A:$A,"&lt;="&amp;$B$4))</f>
        <v>0</v>
      </c>
      <c r="F122" s="49">
        <f>IF($A$4+ROW()-8&gt;$B$4,"",$A$4+ROW()-8)</f>
        <v>46137</v>
      </c>
      <c r="G122">
        <f>IF(F122="","",SUMIFS('Barang Keluar'!$E:$E,'Barang Keluar'!$A:$A,F122))</f>
        <v>0</v>
      </c>
      <c r="M122" s="49">
        <f>IF($A$4+1&gt;$B$4,"",$A$4+1)</f>
        <v>46024</v>
      </c>
      <c r="N122" t="str">
        <f>IF(M122="","",'Master Barang'!A16)</f>
        <v>PRL-015</v>
      </c>
      <c r="O122" t="str">
        <f>IF(N122="","",'Master Barang'!B16)</f>
        <v>optima trashbag 60x100</v>
      </c>
      <c r="P122">
        <f>IF(OR(M122="",N122=""),"",SUMIFS('Barang Keluar'!$E:$E,'Barang Keluar'!$A:$A,M122,'Barang Keluar'!$C:$C,N122))</f>
        <v>0</v>
      </c>
    </row>
    <row r="123" spans="1:16">
      <c r="A123">
        <f>IFERROR('Master Barang'!A118,"")</f>
        <v>0</v>
      </c>
      <c r="B123">
        <f>IFERROR('Master Barang'!B118,"")</f>
        <v>0</v>
      </c>
      <c r="C123">
        <f>IFERROR('Master Barang'!D118,"")</f>
        <v>0</v>
      </c>
      <c r="D123">
        <f>IF(A123="","",SUMIFS('Barang Keluar'!$E:$E,'Barang Keluar'!$C:$C,A123,'Barang Keluar'!$A:$A,"&gt;="&amp;$A$4,'Barang Keluar'!$A:$A,"&lt;="&amp;$B$4))</f>
        <v>0</v>
      </c>
      <c r="F123" s="49">
        <f>IF($A$4+ROW()-8&gt;$B$4,"",$A$4+ROW()-8)</f>
        <v>46138</v>
      </c>
      <c r="G123">
        <f>IF(F123="","",SUMIFS('Barang Keluar'!$E:$E,'Barang Keluar'!$A:$A,F123))</f>
        <v>0</v>
      </c>
      <c r="M123" s="49">
        <f>IF($A$4+1&gt;$B$4,"",$A$4+1)</f>
        <v>46024</v>
      </c>
      <c r="N123" t="str">
        <f>IF(M123="","",'Master Barang'!A17)</f>
        <v>PRL-016</v>
      </c>
      <c r="O123" t="str">
        <f>IF(N123="","",'Master Barang'!B17)</f>
        <v>rajawali trashbag 30x40</v>
      </c>
      <c r="P123">
        <f>IF(OR(M123="",N123=""),"",SUMIFS('Barang Keluar'!$E:$E,'Barang Keluar'!$A:$A,M123,'Barang Keluar'!$C:$C,N123))</f>
        <v>0</v>
      </c>
    </row>
    <row r="124" spans="1:16">
      <c r="A124">
        <f>IFERROR('Master Barang'!A119,"")</f>
        <v>0</v>
      </c>
      <c r="B124">
        <f>IFERROR('Master Barang'!B119,"")</f>
        <v>0</v>
      </c>
      <c r="C124">
        <f>IFERROR('Master Barang'!D119,"")</f>
        <v>0</v>
      </c>
      <c r="D124">
        <f>IF(A124="","",SUMIFS('Barang Keluar'!$E:$E,'Barang Keluar'!$C:$C,A124,'Barang Keluar'!$A:$A,"&gt;="&amp;$A$4,'Barang Keluar'!$A:$A,"&lt;="&amp;$B$4))</f>
        <v>0</v>
      </c>
      <c r="F124" s="49">
        <f>IF($A$4+ROW()-8&gt;$B$4,"",$A$4+ROW()-8)</f>
        <v>46139</v>
      </c>
      <c r="G124">
        <f>IF(F124="","",SUMIFS('Barang Keluar'!$E:$E,'Barang Keluar'!$A:$A,F124))</f>
        <v>0</v>
      </c>
      <c r="M124" s="49">
        <f>IF($A$4+1&gt;$B$4,"",$A$4+1)</f>
        <v>46024</v>
      </c>
      <c r="N124" t="str">
        <f>IF(M124="","",'Master Barang'!A18)</f>
        <v>PRL-017</v>
      </c>
      <c r="O124" t="str">
        <f>IF(N124="","",'Master Barang'!B18)</f>
        <v>onemed masker biru 3 play 50 pcs</v>
      </c>
      <c r="P124">
        <f>IF(OR(M124="",N124=""),"",SUMIFS('Barang Keluar'!$E:$E,'Barang Keluar'!$A:$A,M124,'Barang Keluar'!$C:$C,N124))</f>
        <v>0</v>
      </c>
    </row>
    <row r="125" spans="1:16">
      <c r="A125">
        <f>IFERROR('Master Barang'!A120,"")</f>
        <v>0</v>
      </c>
      <c r="B125">
        <f>IFERROR('Master Barang'!B120,"")</f>
        <v>0</v>
      </c>
      <c r="C125">
        <f>IFERROR('Master Barang'!D120,"")</f>
        <v>0</v>
      </c>
      <c r="D125">
        <f>IF(A125="","",SUMIFS('Barang Keluar'!$E:$E,'Barang Keluar'!$C:$C,A125,'Barang Keluar'!$A:$A,"&gt;="&amp;$A$4,'Barang Keluar'!$A:$A,"&lt;="&amp;$B$4))</f>
        <v>0</v>
      </c>
      <c r="F125" s="49">
        <f>IF($A$4+ROW()-8&gt;$B$4,"",$A$4+ROW()-8)</f>
        <v>46140</v>
      </c>
      <c r="G125">
        <f>IF(F125="","",SUMIFS('Barang Keluar'!$E:$E,'Barang Keluar'!$A:$A,F125))</f>
        <v>0</v>
      </c>
      <c r="M125" s="49">
        <f>IF($A$4+1&gt;$B$4,"",$A$4+1)</f>
        <v>46024</v>
      </c>
      <c r="N125" t="str">
        <f>IF(M125="","",'Master Barang'!A19)</f>
        <v>PRL-018</v>
      </c>
      <c r="O125" t="str">
        <f>IF(N125="","",'Master Barang'!B19)</f>
        <v>onemed masker biru 3 play hijab 50 pcs</v>
      </c>
      <c r="P125">
        <f>IF(OR(M125="",N125=""),"",SUMIFS('Barang Keluar'!$E:$E,'Barang Keluar'!$A:$A,M125,'Barang Keluar'!$C:$C,N125))</f>
        <v>0</v>
      </c>
    </row>
    <row r="126" spans="1:16">
      <c r="A126">
        <f>IFERROR('Master Barang'!A121,"")</f>
        <v>0</v>
      </c>
      <c r="B126">
        <f>IFERROR('Master Barang'!B121,"")</f>
        <v>0</v>
      </c>
      <c r="C126">
        <f>IFERROR('Master Barang'!D121,"")</f>
        <v>0</v>
      </c>
      <c r="D126">
        <f>IF(A126="","",SUMIFS('Barang Keluar'!$E:$E,'Barang Keluar'!$C:$C,A126,'Barang Keluar'!$A:$A,"&gt;="&amp;$A$4,'Barang Keluar'!$A:$A,"&lt;="&amp;$B$4))</f>
        <v>0</v>
      </c>
      <c r="F126" s="49">
        <f>IF($A$4+ROW()-8&gt;$B$4,"",$A$4+ROW()-8)</f>
        <v>46141</v>
      </c>
      <c r="G126">
        <f>IF(F126="","",SUMIFS('Barang Keluar'!$E:$E,'Barang Keluar'!$A:$A,F126))</f>
        <v>0</v>
      </c>
      <c r="M126" s="49">
        <f>IF($A$4+1&gt;$B$4,"",$A$4+1)</f>
        <v>46024</v>
      </c>
      <c r="N126" t="str">
        <f>IF(M126="","",'Master Barang'!A20)</f>
        <v>PRL-019</v>
      </c>
      <c r="O126" t="str">
        <f>IF(N126="","",'Master Barang'!B20)</f>
        <v>neo health masker biru 3 play 50 pcs</v>
      </c>
      <c r="P126">
        <f>IF(OR(M126="",N126=""),"",SUMIFS('Barang Keluar'!$E:$E,'Barang Keluar'!$A:$A,M126,'Barang Keluar'!$C:$C,N126))</f>
        <v>0</v>
      </c>
    </row>
    <row r="127" spans="1:16">
      <c r="A127">
        <f>IFERROR('Master Barang'!A122,"")</f>
        <v>0</v>
      </c>
      <c r="B127">
        <f>IFERROR('Master Barang'!B122,"")</f>
        <v>0</v>
      </c>
      <c r="C127">
        <f>IFERROR('Master Barang'!D122,"")</f>
        <v>0</v>
      </c>
      <c r="D127">
        <f>IF(A127="","",SUMIFS('Barang Keluar'!$E:$E,'Barang Keluar'!$C:$C,A127,'Barang Keluar'!$A:$A,"&gt;="&amp;$A$4,'Barang Keluar'!$A:$A,"&lt;="&amp;$B$4))</f>
        <v>0</v>
      </c>
      <c r="F127" s="49">
        <f>IF($A$4+ROW()-8&gt;$B$4,"",$A$4+ROW()-8)</f>
        <v>46142</v>
      </c>
      <c r="G127">
        <f>IF(F127="","",SUMIFS('Barang Keluar'!$E:$E,'Barang Keluar'!$A:$A,F127))</f>
        <v>0</v>
      </c>
      <c r="M127" s="49">
        <f>IF($A$4+1&gt;$B$4,"",$A$4+1)</f>
        <v>46024</v>
      </c>
      <c r="N127" t="str">
        <f>IF(M127="","",'Master Barang'!A21)</f>
        <v>PRL-020</v>
      </c>
      <c r="O127" t="str">
        <f>IF(N127="","",'Master Barang'!B21)</f>
        <v>baymed masker hijau 3 play hijau 50 pcs</v>
      </c>
      <c r="P127">
        <f>IF(OR(M127="",N127=""),"",SUMIFS('Barang Keluar'!$E:$E,'Barang Keluar'!$A:$A,M127,'Barang Keluar'!$C:$C,N127))</f>
        <v>0</v>
      </c>
    </row>
    <row r="128" spans="1:16">
      <c r="A128">
        <f>IFERROR('Master Barang'!A123,"")</f>
        <v>0</v>
      </c>
      <c r="B128">
        <f>IFERROR('Master Barang'!B123,"")</f>
        <v>0</v>
      </c>
      <c r="C128">
        <f>IFERROR('Master Barang'!D123,"")</f>
        <v>0</v>
      </c>
      <c r="D128">
        <f>IF(A128="","",SUMIFS('Barang Keluar'!$E:$E,'Barang Keluar'!$C:$C,A128,'Barang Keluar'!$A:$A,"&gt;="&amp;$A$4,'Barang Keluar'!$A:$A,"&lt;="&amp;$B$4))</f>
        <v>0</v>
      </c>
      <c r="F128" s="49">
        <f>IF($A$4+ROW()-8&gt;$B$4,"",$A$4+ROW()-8)</f>
        <v>46143</v>
      </c>
      <c r="G128">
        <f>IF(F128="","",SUMIFS('Barang Keluar'!$E:$E,'Barang Keluar'!$A:$A,F128))</f>
        <v>0</v>
      </c>
      <c r="M128" s="49">
        <f>IF($A$4+1&gt;$B$4,"",$A$4+1)</f>
        <v>46024</v>
      </c>
      <c r="N128" t="str">
        <f>IF(M128="","",'Master Barang'!A22)</f>
        <v>PRL-021</v>
      </c>
      <c r="O128" t="str">
        <f>IF(N128="","",'Master Barang'!B22)</f>
        <v>altamed nurse cap penutup kepala 100 pcs</v>
      </c>
      <c r="P128">
        <f>IF(OR(M128="",N128=""),"",SUMIFS('Barang Keluar'!$E:$E,'Barang Keluar'!$A:$A,M128,'Barang Keluar'!$C:$C,N128))</f>
        <v>0</v>
      </c>
    </row>
    <row r="129" spans="1:16">
      <c r="A129">
        <f>IFERROR('Master Barang'!A124,"")</f>
        <v>0</v>
      </c>
      <c r="B129">
        <f>IFERROR('Master Barang'!B124,"")</f>
        <v>0</v>
      </c>
      <c r="C129">
        <f>IFERROR('Master Barang'!D124,"")</f>
        <v>0</v>
      </c>
      <c r="D129">
        <f>IF(A129="","",SUMIFS('Barang Keluar'!$E:$E,'Barang Keluar'!$C:$C,A129,'Barang Keluar'!$A:$A,"&gt;="&amp;$A$4,'Barang Keluar'!$A:$A,"&lt;="&amp;$B$4))</f>
        <v>0</v>
      </c>
      <c r="F129" s="49">
        <f>IF($A$4+ROW()-8&gt;$B$4,"",$A$4+ROW()-8)</f>
        <v>46144</v>
      </c>
      <c r="G129">
        <f>IF(F129="","",SUMIFS('Barang Keluar'!$E:$E,'Barang Keluar'!$A:$A,F129))</f>
        <v>0</v>
      </c>
      <c r="M129" s="49">
        <f>IF($A$4+1&gt;$B$4,"",$A$4+1)</f>
        <v>46024</v>
      </c>
      <c r="N129" t="str">
        <f>IF(M129="","",'Master Barang'!A23)</f>
        <v>PRL-022</v>
      </c>
      <c r="O129" t="str">
        <f>IF(N129="","",'Master Barang'!B23)</f>
        <v>sabun cuci tangan</v>
      </c>
      <c r="P129">
        <f>IF(OR(M129="",N129=""),"",SUMIFS('Barang Keluar'!$E:$E,'Barang Keluar'!$A:$A,M129,'Barang Keluar'!$C:$C,N129))</f>
        <v>0</v>
      </c>
    </row>
    <row r="130" spans="1:16">
      <c r="A130">
        <f>IFERROR('Master Barang'!A125,"")</f>
        <v>0</v>
      </c>
      <c r="B130">
        <f>IFERROR('Master Barang'!B125,"")</f>
        <v>0</v>
      </c>
      <c r="C130">
        <f>IFERROR('Master Barang'!D125,"")</f>
        <v>0</v>
      </c>
      <c r="D130">
        <f>IF(A130="","",SUMIFS('Barang Keluar'!$E:$E,'Barang Keluar'!$C:$C,A130,'Barang Keluar'!$A:$A,"&gt;="&amp;$A$4,'Barang Keluar'!$A:$A,"&lt;="&amp;$B$4))</f>
        <v>0</v>
      </c>
      <c r="F130" s="49">
        <f>IF($A$4+ROW()-8&gt;$B$4,"",$A$4+ROW()-8)</f>
        <v>46145</v>
      </c>
      <c r="G130">
        <f>IF(F130="","",SUMIFS('Barang Keluar'!$E:$E,'Barang Keluar'!$A:$A,F130))</f>
        <v>0</v>
      </c>
      <c r="M130" s="49">
        <f>IF($A$4+1&gt;$B$4,"",$A$4+1)</f>
        <v>46024</v>
      </c>
      <c r="N130" t="str">
        <f>IF(M130="","",'Master Barang'!A24)</f>
        <v>PRL-023</v>
      </c>
      <c r="O130" t="str">
        <f>IF(N130="","",'Master Barang'!B24)</f>
        <v>gayung kecil</v>
      </c>
      <c r="P130">
        <f>IF(OR(M130="",N130=""),"",SUMIFS('Barang Keluar'!$E:$E,'Barang Keluar'!$A:$A,M130,'Barang Keluar'!$C:$C,N130))</f>
        <v>0</v>
      </c>
    </row>
    <row r="131" spans="1:16">
      <c r="A131">
        <f>IFERROR('Master Barang'!A126,"")</f>
        <v>0</v>
      </c>
      <c r="B131">
        <f>IFERROR('Master Barang'!B126,"")</f>
        <v>0</v>
      </c>
      <c r="C131">
        <f>IFERROR('Master Barang'!D126,"")</f>
        <v>0</v>
      </c>
      <c r="D131">
        <f>IF(A131="","",SUMIFS('Barang Keluar'!$E:$E,'Barang Keluar'!$C:$C,A131,'Barang Keluar'!$A:$A,"&gt;="&amp;$A$4,'Barang Keluar'!$A:$A,"&lt;="&amp;$B$4))</f>
        <v>0</v>
      </c>
      <c r="F131" s="49">
        <f>IF($A$4+ROW()-8&gt;$B$4,"",$A$4+ROW()-8)</f>
        <v>46146</v>
      </c>
      <c r="G131">
        <f>IF(F131="","",SUMIFS('Barang Keluar'!$E:$E,'Barang Keluar'!$A:$A,F131))</f>
        <v>0</v>
      </c>
      <c r="M131" s="49">
        <f>IF($A$4+1&gt;$B$4,"",$A$4+1)</f>
        <v>46024</v>
      </c>
      <c r="N131" t="str">
        <f>IF(M131="","",'Master Barang'!A25)</f>
        <v>PRL-024</v>
      </c>
      <c r="O131" t="str">
        <f>IF(N131="","",'Master Barang'!B25)</f>
        <v>cikrak kecil</v>
      </c>
      <c r="P131">
        <f>IF(OR(M131="",N131=""),"",SUMIFS('Barang Keluar'!$E:$E,'Barang Keluar'!$A:$A,M131,'Barang Keluar'!$C:$C,N131))</f>
        <v>0</v>
      </c>
    </row>
    <row r="132" spans="1:16">
      <c r="A132">
        <f>IFERROR('Master Barang'!A127,"")</f>
        <v>0</v>
      </c>
      <c r="B132">
        <f>IFERROR('Master Barang'!B127,"")</f>
        <v>0</v>
      </c>
      <c r="C132">
        <f>IFERROR('Master Barang'!D127,"")</f>
        <v>0</v>
      </c>
      <c r="D132">
        <f>IF(A132="","",SUMIFS('Barang Keluar'!$E:$E,'Barang Keluar'!$C:$C,A132,'Barang Keluar'!$A:$A,"&gt;="&amp;$A$4,'Barang Keluar'!$A:$A,"&lt;="&amp;$B$4))</f>
        <v>0</v>
      </c>
      <c r="F132" s="49">
        <f>IF($A$4+ROW()-8&gt;$B$4,"",$A$4+ROW()-8)</f>
        <v>46147</v>
      </c>
      <c r="G132">
        <f>IF(F132="","",SUMIFS('Barang Keluar'!$E:$E,'Barang Keluar'!$A:$A,F132))</f>
        <v>0</v>
      </c>
      <c r="M132" s="49">
        <f>IF($A$4+1&gt;$B$4,"",$A$4+1)</f>
        <v>46024</v>
      </c>
      <c r="N132" t="str">
        <f>IF(M132="","",'Master Barang'!A26)</f>
        <v>PRL-025</v>
      </c>
      <c r="O132" t="str">
        <f>IF(N132="","",'Master Barang'!B26)</f>
        <v>petromax plastik kecil 12x24 100 lembar</v>
      </c>
      <c r="P132">
        <f>IF(OR(M132="",N132=""),"",SUMIFS('Barang Keluar'!$E:$E,'Barang Keluar'!$A:$A,M132,'Barang Keluar'!$C:$C,N132))</f>
        <v>0</v>
      </c>
    </row>
    <row r="133" spans="1:16">
      <c r="A133">
        <f>IFERROR('Master Barang'!A128,"")</f>
        <v>0</v>
      </c>
      <c r="B133">
        <f>IFERROR('Master Barang'!B128,"")</f>
        <v>0</v>
      </c>
      <c r="C133">
        <f>IFERROR('Master Barang'!D128,"")</f>
        <v>0</v>
      </c>
      <c r="D133">
        <f>IF(A133="","",SUMIFS('Barang Keluar'!$E:$E,'Barang Keluar'!$C:$C,A133,'Barang Keluar'!$A:$A,"&gt;="&amp;$A$4,'Barang Keluar'!$A:$A,"&lt;="&amp;$B$4))</f>
        <v>0</v>
      </c>
      <c r="F133" s="49">
        <f>IF($A$4+ROW()-8&gt;$B$4,"",$A$4+ROW()-8)</f>
        <v>46148</v>
      </c>
      <c r="G133">
        <f>IF(F133="","",SUMIFS('Barang Keluar'!$E:$E,'Barang Keluar'!$A:$A,F133))</f>
        <v>0</v>
      </c>
      <c r="M133" s="49">
        <f>IF($A$4+1&gt;$B$4,"",$A$4+1)</f>
        <v>46024</v>
      </c>
      <c r="N133" t="str">
        <f>IF(M133="","",'Master Barang'!A27)</f>
        <v>PRL-026</v>
      </c>
      <c r="O133" t="str">
        <f>IF(N133="","",'Master Barang'!B27)</f>
        <v>lancar kresek kecil bening </v>
      </c>
      <c r="P133">
        <f>IF(OR(M133="",N133=""),"",SUMIFS('Barang Keluar'!$E:$E,'Barang Keluar'!$A:$A,M133,'Barang Keluar'!$C:$C,N133))</f>
        <v>0</v>
      </c>
    </row>
    <row r="134" spans="1:16">
      <c r="A134">
        <f>IFERROR('Master Barang'!A129,"")</f>
        <v>0</v>
      </c>
      <c r="B134">
        <f>IFERROR('Master Barang'!B129,"")</f>
        <v>0</v>
      </c>
      <c r="C134">
        <f>IFERROR('Master Barang'!D129,"")</f>
        <v>0</v>
      </c>
      <c r="D134">
        <f>IF(A134="","",SUMIFS('Barang Keluar'!$E:$E,'Barang Keluar'!$C:$C,A134,'Barang Keluar'!$A:$A,"&gt;="&amp;$A$4,'Barang Keluar'!$A:$A,"&lt;="&amp;$B$4))</f>
        <v>0</v>
      </c>
      <c r="F134" s="49">
        <f>IF($A$4+ROW()-8&gt;$B$4,"",$A$4+ROW()-8)</f>
        <v>46149</v>
      </c>
      <c r="G134">
        <f>IF(F134="","",SUMIFS('Barang Keluar'!$E:$E,'Barang Keluar'!$A:$A,F134))</f>
        <v>0</v>
      </c>
      <c r="M134" s="49">
        <f>IF($A$4+1&gt;$B$4,"",$A$4+1)</f>
        <v>46024</v>
      </c>
      <c r="N134" t="str">
        <f>IF(M134="","",'Master Barang'!A28)</f>
        <v>PRL-027</v>
      </c>
      <c r="O134" t="str">
        <f>IF(N134="","",'Master Barang'!B28)</f>
        <v>kresek klin warna warni kecil</v>
      </c>
      <c r="P134">
        <f>IF(OR(M134="",N134=""),"",SUMIFS('Barang Keluar'!$E:$E,'Barang Keluar'!$A:$A,M134,'Barang Keluar'!$C:$C,N134))</f>
        <v>0</v>
      </c>
    </row>
    <row r="135" spans="1:16">
      <c r="A135">
        <f>IFERROR('Master Barang'!A130,"")</f>
        <v>0</v>
      </c>
      <c r="B135">
        <f>IFERROR('Master Barang'!B130,"")</f>
        <v>0</v>
      </c>
      <c r="C135">
        <f>IFERROR('Master Barang'!D130,"")</f>
        <v>0</v>
      </c>
      <c r="D135">
        <f>IF(A135="","",SUMIFS('Barang Keluar'!$E:$E,'Barang Keluar'!$C:$C,A135,'Barang Keluar'!$A:$A,"&gt;="&amp;$A$4,'Barang Keluar'!$A:$A,"&lt;="&amp;$B$4))</f>
        <v>0</v>
      </c>
      <c r="F135" s="49">
        <f>IF($A$4+ROW()-8&gt;$B$4,"",$A$4+ROW()-8)</f>
        <v>46150</v>
      </c>
      <c r="G135">
        <f>IF(F135="","",SUMIFS('Barang Keluar'!$E:$E,'Barang Keluar'!$A:$A,F135))</f>
        <v>0</v>
      </c>
      <c r="M135" s="49">
        <f>IF($A$4+1&gt;$B$4,"",$A$4+1)</f>
        <v>46024</v>
      </c>
      <c r="N135" t="str">
        <f>IF(M135="","",'Master Barang'!A29)</f>
        <v>PRL-028</v>
      </c>
      <c r="O135" t="str">
        <f>IF(N135="","",'Master Barang'!B29)</f>
        <v>ctik plastik 7x10 100 pcs</v>
      </c>
      <c r="P135">
        <f>IF(OR(M135="",N135=""),"",SUMIFS('Barang Keluar'!$E:$E,'Barang Keluar'!$A:$A,M135,'Barang Keluar'!$C:$C,N135))</f>
        <v>0</v>
      </c>
    </row>
    <row r="136" spans="1:16">
      <c r="A136">
        <f>IFERROR('Master Barang'!A131,"")</f>
        <v>0</v>
      </c>
      <c r="B136">
        <f>IFERROR('Master Barang'!B131,"")</f>
        <v>0</v>
      </c>
      <c r="C136">
        <f>IFERROR('Master Barang'!D131,"")</f>
        <v>0</v>
      </c>
      <c r="D136">
        <f>IF(A136="","",SUMIFS('Barang Keluar'!$E:$E,'Barang Keluar'!$C:$C,A136,'Barang Keluar'!$A:$A,"&gt;="&amp;$A$4,'Barang Keluar'!$A:$A,"&lt;="&amp;$B$4))</f>
        <v>0</v>
      </c>
      <c r="F136" s="49">
        <f>IF($A$4+ROW()-8&gt;$B$4,"",$A$4+ROW()-8)</f>
        <v>46151</v>
      </c>
      <c r="G136">
        <f>IF(F136="","",SUMIFS('Barang Keluar'!$E:$E,'Barang Keluar'!$A:$A,F136))</f>
        <v>0</v>
      </c>
      <c r="M136" s="49">
        <f>IF($A$4+1&gt;$B$4,"",$A$4+1)</f>
        <v>46024</v>
      </c>
      <c r="N136" t="str">
        <f>IF(M136="","",'Master Barang'!A30)</f>
        <v>PRL-029</v>
      </c>
      <c r="O136" t="str">
        <f>IF(N136="","",'Master Barang'!B30)</f>
        <v>ctik plastik 6x10 100 pcs</v>
      </c>
      <c r="P136">
        <f>IF(OR(M136="",N136=""),"",SUMIFS('Barang Keluar'!$E:$E,'Barang Keluar'!$A:$A,M136,'Barang Keluar'!$C:$C,N136))</f>
        <v>0</v>
      </c>
    </row>
    <row r="137" spans="1:16">
      <c r="A137">
        <f>IFERROR('Master Barang'!A132,"")</f>
        <v>0</v>
      </c>
      <c r="B137">
        <f>IFERROR('Master Barang'!B132,"")</f>
        <v>0</v>
      </c>
      <c r="C137">
        <f>IFERROR('Master Barang'!D132,"")</f>
        <v>0</v>
      </c>
      <c r="D137">
        <f>IF(A137="","",SUMIFS('Barang Keluar'!$E:$E,'Barang Keluar'!$C:$C,A137,'Barang Keluar'!$A:$A,"&gt;="&amp;$A$4,'Barang Keluar'!$A:$A,"&lt;="&amp;$B$4))</f>
        <v>0</v>
      </c>
      <c r="F137" s="49">
        <f>IF($A$4+ROW()-8&gt;$B$4,"",$A$4+ROW()-8)</f>
        <v>46152</v>
      </c>
      <c r="G137">
        <f>IF(F137="","",SUMIFS('Barang Keluar'!$E:$E,'Barang Keluar'!$A:$A,F137))</f>
        <v>0</v>
      </c>
      <c r="M137" s="49">
        <f>IF($A$4+1&gt;$B$4,"",$A$4+1)</f>
        <v>46024</v>
      </c>
      <c r="N137" t="str">
        <f>IF(M137="","",'Master Barang'!A31)</f>
        <v>PRL-030</v>
      </c>
      <c r="O137" t="str">
        <f>IF(N137="","",'Master Barang'!B31)</f>
        <v>klip plastik 25x16 100 pcs</v>
      </c>
      <c r="P137">
        <f>IF(OR(M137="",N137=""),"",SUMIFS('Barang Keluar'!$E:$E,'Barang Keluar'!$A:$A,M137,'Barang Keluar'!$C:$C,N137))</f>
        <v>0</v>
      </c>
    </row>
    <row r="138" spans="1:16">
      <c r="A138">
        <f>IFERROR('Master Barang'!A133,"")</f>
        <v>0</v>
      </c>
      <c r="B138">
        <f>IFERROR('Master Barang'!B133,"")</f>
        <v>0</v>
      </c>
      <c r="C138">
        <f>IFERROR('Master Barang'!D133,"")</f>
        <v>0</v>
      </c>
      <c r="D138">
        <f>IF(A138="","",SUMIFS('Barang Keluar'!$E:$E,'Barang Keluar'!$C:$C,A138,'Barang Keluar'!$A:$A,"&gt;="&amp;$A$4,'Barang Keluar'!$A:$A,"&lt;="&amp;$B$4))</f>
        <v>0</v>
      </c>
      <c r="F138" s="49">
        <f>IF($A$4+ROW()-8&gt;$B$4,"",$A$4+ROW()-8)</f>
        <v>46153</v>
      </c>
      <c r="G138">
        <f>IF(F138="","",SUMIFS('Barang Keluar'!$E:$E,'Barang Keluar'!$A:$A,F138))</f>
        <v>0</v>
      </c>
      <c r="M138" s="49">
        <f>IF($A$4+1&gt;$B$4,"",$A$4+1)</f>
        <v>46024</v>
      </c>
      <c r="N138" t="str">
        <f>IF(M138="","",'Master Barang'!A32)</f>
        <v>PRL-031</v>
      </c>
      <c r="O138" t="str">
        <f>IF(N138="","",'Master Barang'!B32)</f>
        <v>tempat saus 20 ml</v>
      </c>
      <c r="P138">
        <f>IF(OR(M138="",N138=""),"",SUMIFS('Barang Keluar'!$E:$E,'Barang Keluar'!$A:$A,M138,'Barang Keluar'!$C:$C,N138))</f>
        <v>0</v>
      </c>
    </row>
    <row r="139" spans="1:16">
      <c r="A139">
        <f>IFERROR('Master Barang'!A134,"")</f>
        <v>0</v>
      </c>
      <c r="B139">
        <f>IFERROR('Master Barang'!B134,"")</f>
        <v>0</v>
      </c>
      <c r="C139">
        <f>IFERROR('Master Barang'!D134,"")</f>
        <v>0</v>
      </c>
      <c r="D139">
        <f>IF(A139="","",SUMIFS('Barang Keluar'!$E:$E,'Barang Keluar'!$C:$C,A139,'Barang Keluar'!$A:$A,"&gt;="&amp;$A$4,'Barang Keluar'!$A:$A,"&lt;="&amp;$B$4))</f>
        <v>0</v>
      </c>
      <c r="F139" s="49">
        <f>IF($A$4+ROW()-8&gt;$B$4,"",$A$4+ROW()-8)</f>
        <v>46154</v>
      </c>
      <c r="G139">
        <f>IF(F139="","",SUMIFS('Barang Keluar'!$E:$E,'Barang Keluar'!$A:$A,F139))</f>
        <v>0</v>
      </c>
      <c r="M139" s="49">
        <f>IF($A$4+1&gt;$B$4,"",$A$4+1)</f>
        <v>46024</v>
      </c>
      <c r="N139" t="str">
        <f>IF(M139="","",'Master Barang'!A33)</f>
        <v>PRL-032</v>
      </c>
      <c r="O139" t="str">
        <f>IF(N139="","",'Master Barang'!B33)</f>
        <v>plastik packaging ag box uk sedang</v>
      </c>
      <c r="P139">
        <f>IF(OR(M139="",N139=""),"",SUMIFS('Barang Keluar'!$E:$E,'Barang Keluar'!$A:$A,M139,'Barang Keluar'!$C:$C,N139))</f>
        <v>0</v>
      </c>
    </row>
    <row r="140" spans="1:16">
      <c r="A140">
        <f>IFERROR('Master Barang'!A135,"")</f>
        <v>0</v>
      </c>
      <c r="B140">
        <f>IFERROR('Master Barang'!B135,"")</f>
        <v>0</v>
      </c>
      <c r="C140">
        <f>IFERROR('Master Barang'!D135,"")</f>
        <v>0</v>
      </c>
      <c r="D140">
        <f>IF(A140="","",SUMIFS('Barang Keluar'!$E:$E,'Barang Keluar'!$C:$C,A140,'Barang Keluar'!$A:$A,"&gt;="&amp;$A$4,'Barang Keluar'!$A:$A,"&lt;="&amp;$B$4))</f>
        <v>0</v>
      </c>
      <c r="F140" s="49">
        <f>IF($A$4+ROW()-8&gt;$B$4,"",$A$4+ROW()-8)</f>
        <v>46155</v>
      </c>
      <c r="G140">
        <f>IF(F140="","",SUMIFS('Barang Keluar'!$E:$E,'Barang Keluar'!$A:$A,F140))</f>
        <v>0</v>
      </c>
      <c r="M140" s="49">
        <f>IF($A$4+1&gt;$B$4,"",$A$4+1)</f>
        <v>46024</v>
      </c>
      <c r="N140" t="str">
        <f>IF(M140="","",'Master Barang'!A34)</f>
        <v>PRL-033</v>
      </c>
      <c r="O140">
        <f>IF(N140="","",'Master Barang'!B34)</f>
        <v>0</v>
      </c>
      <c r="P140">
        <f>IF(OR(M140="",N140=""),"",SUMIFS('Barang Keluar'!$E:$E,'Barang Keluar'!$A:$A,M140,'Barang Keluar'!$C:$C,N140))</f>
        <v>0</v>
      </c>
    </row>
    <row r="141" spans="1:16">
      <c r="A141">
        <f>IFERROR('Master Barang'!A136,"")</f>
        <v>0</v>
      </c>
      <c r="B141">
        <f>IFERROR('Master Barang'!B136,"")</f>
        <v>0</v>
      </c>
      <c r="C141">
        <f>IFERROR('Master Barang'!D136,"")</f>
        <v>0</v>
      </c>
      <c r="D141">
        <f>IF(A141="","",SUMIFS('Barang Keluar'!$E:$E,'Barang Keluar'!$C:$C,A141,'Barang Keluar'!$A:$A,"&gt;="&amp;$A$4,'Barang Keluar'!$A:$A,"&lt;="&amp;$B$4))</f>
        <v>0</v>
      </c>
      <c r="F141" s="49">
        <f>IF($A$4+ROW()-8&gt;$B$4,"",$A$4+ROW()-8)</f>
        <v>46156</v>
      </c>
      <c r="G141">
        <f>IF(F141="","",SUMIFS('Barang Keluar'!$E:$E,'Barang Keluar'!$A:$A,F141))</f>
        <v>0</v>
      </c>
      <c r="M141" s="49">
        <f>IF($A$4+1&gt;$B$4,"",$A$4+1)</f>
        <v>46024</v>
      </c>
      <c r="N141">
        <f>IF(M141="","",'Master Barang'!A35)</f>
        <v>0</v>
      </c>
      <c r="O141">
        <f>IF(N141="","",'Master Barang'!B35)</f>
        <v>0</v>
      </c>
      <c r="P141">
        <f>IF(OR(M141="",N141=""),"",SUMIFS('Barang Keluar'!$E:$E,'Barang Keluar'!$A:$A,M141,'Barang Keluar'!$C:$C,N141))</f>
        <v>0</v>
      </c>
    </row>
    <row r="142" spans="1:16">
      <c r="A142">
        <f>IFERROR('Master Barang'!A137,"")</f>
        <v>0</v>
      </c>
      <c r="B142">
        <f>IFERROR('Master Barang'!B137,"")</f>
        <v>0</v>
      </c>
      <c r="C142">
        <f>IFERROR('Master Barang'!D137,"")</f>
        <v>0</v>
      </c>
      <c r="D142">
        <f>IF(A142="","",SUMIFS('Barang Keluar'!$E:$E,'Barang Keluar'!$C:$C,A142,'Barang Keluar'!$A:$A,"&gt;="&amp;$A$4,'Barang Keluar'!$A:$A,"&lt;="&amp;$B$4))</f>
        <v>0</v>
      </c>
      <c r="F142" s="49">
        <f>IF($A$4+ROW()-8&gt;$B$4,"",$A$4+ROW()-8)</f>
        <v>46157</v>
      </c>
      <c r="G142">
        <f>IF(F142="","",SUMIFS('Barang Keluar'!$E:$E,'Barang Keluar'!$A:$A,F142))</f>
        <v>0</v>
      </c>
      <c r="M142" s="49">
        <f>IF($A$4+1&gt;$B$4,"",$A$4+1)</f>
        <v>46024</v>
      </c>
      <c r="N142">
        <f>IF(M142="","",'Master Barang'!A36)</f>
        <v>0</v>
      </c>
      <c r="O142">
        <f>IF(N142="","",'Master Barang'!B36)</f>
        <v>0</v>
      </c>
      <c r="P142">
        <f>IF(OR(M142="",N142=""),"",SUMIFS('Barang Keluar'!$E:$E,'Barang Keluar'!$A:$A,M142,'Barang Keluar'!$C:$C,N142))</f>
        <v>0</v>
      </c>
    </row>
    <row r="143" spans="1:16">
      <c r="A143">
        <f>IFERROR('Master Barang'!A138,"")</f>
        <v>0</v>
      </c>
      <c r="B143">
        <f>IFERROR('Master Barang'!B138,"")</f>
        <v>0</v>
      </c>
      <c r="C143">
        <f>IFERROR('Master Barang'!D138,"")</f>
        <v>0</v>
      </c>
      <c r="D143">
        <f>IF(A143="","",SUMIFS('Barang Keluar'!$E:$E,'Barang Keluar'!$C:$C,A143,'Barang Keluar'!$A:$A,"&gt;="&amp;$A$4,'Barang Keluar'!$A:$A,"&lt;="&amp;$B$4))</f>
        <v>0</v>
      </c>
      <c r="F143" s="49">
        <f>IF($A$4+ROW()-8&gt;$B$4,"",$A$4+ROW()-8)</f>
        <v>46158</v>
      </c>
      <c r="G143">
        <f>IF(F143="","",SUMIFS('Barang Keluar'!$E:$E,'Barang Keluar'!$A:$A,F143))</f>
        <v>0</v>
      </c>
      <c r="M143" s="49">
        <f>IF($A$4+1&gt;$B$4,"",$A$4+1)</f>
        <v>46024</v>
      </c>
      <c r="N143">
        <f>IF(M143="","",'Master Barang'!A37)</f>
        <v>0</v>
      </c>
      <c r="O143">
        <f>IF(N143="","",'Master Barang'!B37)</f>
        <v>0</v>
      </c>
      <c r="P143">
        <f>IF(OR(M143="",N143=""),"",SUMIFS('Barang Keluar'!$E:$E,'Barang Keluar'!$A:$A,M143,'Barang Keluar'!$C:$C,N143))</f>
        <v>0</v>
      </c>
    </row>
    <row r="144" spans="1:16">
      <c r="A144">
        <f>IFERROR('Master Barang'!A139,"")</f>
        <v>0</v>
      </c>
      <c r="B144">
        <f>IFERROR('Master Barang'!B139,"")</f>
        <v>0</v>
      </c>
      <c r="C144">
        <f>IFERROR('Master Barang'!D139,"")</f>
        <v>0</v>
      </c>
      <c r="D144">
        <f>IF(A144="","",SUMIFS('Barang Keluar'!$E:$E,'Barang Keluar'!$C:$C,A144,'Barang Keluar'!$A:$A,"&gt;="&amp;$A$4,'Barang Keluar'!$A:$A,"&lt;="&amp;$B$4))</f>
        <v>0</v>
      </c>
      <c r="F144" s="49">
        <f>IF($A$4+ROW()-8&gt;$B$4,"",$A$4+ROW()-8)</f>
        <v>46159</v>
      </c>
      <c r="G144">
        <f>IF(F144="","",SUMIFS('Barang Keluar'!$E:$E,'Barang Keluar'!$A:$A,F144))</f>
        <v>0</v>
      </c>
      <c r="M144" s="49">
        <f>IF($A$4+1&gt;$B$4,"",$A$4+1)</f>
        <v>46024</v>
      </c>
      <c r="N144">
        <f>IF(M144="","",'Master Barang'!A38)</f>
        <v>0</v>
      </c>
      <c r="O144">
        <f>IF(N144="","",'Master Barang'!B38)</f>
        <v>0</v>
      </c>
      <c r="P144">
        <f>IF(OR(M144="",N144=""),"",SUMIFS('Barang Keluar'!$E:$E,'Barang Keluar'!$A:$A,M144,'Barang Keluar'!$C:$C,N144))</f>
        <v>0</v>
      </c>
    </row>
    <row r="145" spans="1:16">
      <c r="A145">
        <f>IFERROR('Master Barang'!A140,"")</f>
        <v>0</v>
      </c>
      <c r="B145">
        <f>IFERROR('Master Barang'!B140,"")</f>
        <v>0</v>
      </c>
      <c r="C145">
        <f>IFERROR('Master Barang'!D140,"")</f>
        <v>0</v>
      </c>
      <c r="D145">
        <f>IF(A145="","",SUMIFS('Barang Keluar'!$E:$E,'Barang Keluar'!$C:$C,A145,'Barang Keluar'!$A:$A,"&gt;="&amp;$A$4,'Barang Keluar'!$A:$A,"&lt;="&amp;$B$4))</f>
        <v>0</v>
      </c>
      <c r="F145" s="49">
        <f>IF($A$4+ROW()-8&gt;$B$4,"",$A$4+ROW()-8)</f>
        <v>46160</v>
      </c>
      <c r="G145">
        <f>IF(F145="","",SUMIFS('Barang Keluar'!$E:$E,'Barang Keluar'!$A:$A,F145))</f>
        <v>0</v>
      </c>
      <c r="M145" s="49">
        <f>IF($A$4+1&gt;$B$4,"",$A$4+1)</f>
        <v>46024</v>
      </c>
      <c r="N145">
        <f>IF(M145="","",'Master Barang'!A39)</f>
        <v>0</v>
      </c>
      <c r="O145">
        <f>IF(N145="","",'Master Barang'!B39)</f>
        <v>0</v>
      </c>
      <c r="P145">
        <f>IF(OR(M145="",N145=""),"",SUMIFS('Barang Keluar'!$E:$E,'Barang Keluar'!$A:$A,M145,'Barang Keluar'!$C:$C,N145))</f>
        <v>0</v>
      </c>
    </row>
    <row r="146" spans="1:16">
      <c r="A146">
        <f>IFERROR('Master Barang'!A141,"")</f>
        <v>0</v>
      </c>
      <c r="B146">
        <f>IFERROR('Master Barang'!B141,"")</f>
        <v>0</v>
      </c>
      <c r="C146">
        <f>IFERROR('Master Barang'!D141,"")</f>
        <v>0</v>
      </c>
      <c r="D146">
        <f>IF(A146="","",SUMIFS('Barang Keluar'!$E:$E,'Barang Keluar'!$C:$C,A146,'Barang Keluar'!$A:$A,"&gt;="&amp;$A$4,'Barang Keluar'!$A:$A,"&lt;="&amp;$B$4))</f>
        <v>0</v>
      </c>
      <c r="F146" s="49">
        <f>IF($A$4+ROW()-8&gt;$B$4,"",$A$4+ROW()-8)</f>
        <v>46161</v>
      </c>
      <c r="G146">
        <f>IF(F146="","",SUMIFS('Barang Keluar'!$E:$E,'Barang Keluar'!$A:$A,F146))</f>
        <v>0</v>
      </c>
      <c r="M146" s="49">
        <f>IF($A$4+1&gt;$B$4,"",$A$4+1)</f>
        <v>46024</v>
      </c>
      <c r="N146">
        <f>IF(M146="","",'Master Barang'!A40)</f>
        <v>0</v>
      </c>
      <c r="O146">
        <f>IF(N146="","",'Master Barang'!B40)</f>
        <v>0</v>
      </c>
      <c r="P146">
        <f>IF(OR(M146="",N146=""),"",SUMIFS('Barang Keluar'!$E:$E,'Barang Keluar'!$A:$A,M146,'Barang Keluar'!$C:$C,N146))</f>
        <v>0</v>
      </c>
    </row>
    <row r="147" spans="1:16">
      <c r="A147">
        <f>IFERROR('Master Barang'!A142,"")</f>
        <v>0</v>
      </c>
      <c r="B147">
        <f>IFERROR('Master Barang'!B142,"")</f>
        <v>0</v>
      </c>
      <c r="C147">
        <f>IFERROR('Master Barang'!D142,"")</f>
        <v>0</v>
      </c>
      <c r="D147">
        <f>IF(A147="","",SUMIFS('Barang Keluar'!$E:$E,'Barang Keluar'!$C:$C,A147,'Barang Keluar'!$A:$A,"&gt;="&amp;$A$4,'Barang Keluar'!$A:$A,"&lt;="&amp;$B$4))</f>
        <v>0</v>
      </c>
      <c r="F147" s="49">
        <f>IF($A$4+ROW()-8&gt;$B$4,"",$A$4+ROW()-8)</f>
        <v>46162</v>
      </c>
      <c r="G147">
        <f>IF(F147="","",SUMIFS('Barang Keluar'!$E:$E,'Barang Keluar'!$A:$A,F147))</f>
        <v>0</v>
      </c>
      <c r="M147" s="49">
        <f>IF($A$4+1&gt;$B$4,"",$A$4+1)</f>
        <v>46024</v>
      </c>
      <c r="N147">
        <f>IF(M147="","",'Master Barang'!A41)</f>
        <v>0</v>
      </c>
      <c r="O147">
        <f>IF(N147="","",'Master Barang'!B41)</f>
        <v>0</v>
      </c>
      <c r="P147">
        <f>IF(OR(M147="",N147=""),"",SUMIFS('Barang Keluar'!$E:$E,'Barang Keluar'!$A:$A,M147,'Barang Keluar'!$C:$C,N147))</f>
        <v>0</v>
      </c>
    </row>
    <row r="148" spans="1:16">
      <c r="A148">
        <f>IFERROR('Master Barang'!A143,"")</f>
        <v>0</v>
      </c>
      <c r="B148">
        <f>IFERROR('Master Barang'!B143,"")</f>
        <v>0</v>
      </c>
      <c r="C148">
        <f>IFERROR('Master Barang'!D143,"")</f>
        <v>0</v>
      </c>
      <c r="D148">
        <f>IF(A148="","",SUMIFS('Barang Keluar'!$E:$E,'Barang Keluar'!$C:$C,A148,'Barang Keluar'!$A:$A,"&gt;="&amp;$A$4,'Barang Keluar'!$A:$A,"&lt;="&amp;$B$4))</f>
        <v>0</v>
      </c>
      <c r="F148" s="49">
        <f>IF($A$4+ROW()-8&gt;$B$4,"",$A$4+ROW()-8)</f>
        <v>46163</v>
      </c>
      <c r="G148">
        <f>IF(F148="","",SUMIFS('Barang Keluar'!$E:$E,'Barang Keluar'!$A:$A,F148))</f>
        <v>0</v>
      </c>
      <c r="M148" s="49">
        <f>IF($A$4+1&gt;$B$4,"",$A$4+1)</f>
        <v>46024</v>
      </c>
      <c r="N148">
        <f>IF(M148="","",'Master Barang'!A42)</f>
        <v>0</v>
      </c>
      <c r="O148">
        <f>IF(N148="","",'Master Barang'!B42)</f>
        <v>0</v>
      </c>
      <c r="P148">
        <f>IF(OR(M148="",N148=""),"",SUMIFS('Barang Keluar'!$E:$E,'Barang Keluar'!$A:$A,M148,'Barang Keluar'!$C:$C,N148))</f>
        <v>0</v>
      </c>
    </row>
    <row r="149" spans="1:16">
      <c r="A149">
        <f>IFERROR('Master Barang'!A144,"")</f>
        <v>0</v>
      </c>
      <c r="B149">
        <f>IFERROR('Master Barang'!B144,"")</f>
        <v>0</v>
      </c>
      <c r="C149">
        <f>IFERROR('Master Barang'!D144,"")</f>
        <v>0</v>
      </c>
      <c r="D149">
        <f>IF(A149="","",SUMIFS('Barang Keluar'!$E:$E,'Barang Keluar'!$C:$C,A149,'Barang Keluar'!$A:$A,"&gt;="&amp;$A$4,'Barang Keluar'!$A:$A,"&lt;="&amp;$B$4))</f>
        <v>0</v>
      </c>
      <c r="F149" s="49">
        <f>IF($A$4+ROW()-8&gt;$B$4,"",$A$4+ROW()-8)</f>
        <v>46164</v>
      </c>
      <c r="G149">
        <f>IF(F149="","",SUMIFS('Barang Keluar'!$E:$E,'Barang Keluar'!$A:$A,F149))</f>
        <v>0</v>
      </c>
      <c r="M149" s="49">
        <f>IF($A$4+1&gt;$B$4,"",$A$4+1)</f>
        <v>46024</v>
      </c>
      <c r="N149">
        <f>IF(M149="","",'Master Barang'!A43)</f>
        <v>0</v>
      </c>
      <c r="O149">
        <f>IF(N149="","",'Master Barang'!B43)</f>
        <v>0</v>
      </c>
      <c r="P149">
        <f>IF(OR(M149="",N149=""),"",SUMIFS('Barang Keluar'!$E:$E,'Barang Keluar'!$A:$A,M149,'Barang Keluar'!$C:$C,N149))</f>
        <v>0</v>
      </c>
    </row>
    <row r="150" spans="1:16">
      <c r="A150">
        <f>IFERROR('Master Barang'!A145,"")</f>
        <v>0</v>
      </c>
      <c r="B150">
        <f>IFERROR('Master Barang'!B145,"")</f>
        <v>0</v>
      </c>
      <c r="C150">
        <f>IFERROR('Master Barang'!D145,"")</f>
        <v>0</v>
      </c>
      <c r="D150">
        <f>IF(A150="","",SUMIFS('Barang Keluar'!$E:$E,'Barang Keluar'!$C:$C,A150,'Barang Keluar'!$A:$A,"&gt;="&amp;$A$4,'Barang Keluar'!$A:$A,"&lt;="&amp;$B$4))</f>
        <v>0</v>
      </c>
      <c r="F150" s="49">
        <f>IF($A$4+ROW()-8&gt;$B$4,"",$A$4+ROW()-8)</f>
        <v>46165</v>
      </c>
      <c r="G150">
        <f>IF(F150="","",SUMIFS('Barang Keluar'!$E:$E,'Barang Keluar'!$A:$A,F150))</f>
        <v>0</v>
      </c>
      <c r="M150" s="49">
        <f>IF($A$4+1&gt;$B$4,"",$A$4+1)</f>
        <v>46024</v>
      </c>
      <c r="N150">
        <f>IF(M150="","",'Master Barang'!A44)</f>
        <v>0</v>
      </c>
      <c r="O150">
        <f>IF(N150="","",'Master Barang'!B44)</f>
        <v>0</v>
      </c>
      <c r="P150">
        <f>IF(OR(M150="",N150=""),"",SUMIFS('Barang Keluar'!$E:$E,'Barang Keluar'!$A:$A,M150,'Barang Keluar'!$C:$C,N150))</f>
        <v>0</v>
      </c>
    </row>
    <row r="151" spans="1:16">
      <c r="A151">
        <f>IFERROR('Master Barang'!A146,"")</f>
        <v>0</v>
      </c>
      <c r="B151">
        <f>IFERROR('Master Barang'!B146,"")</f>
        <v>0</v>
      </c>
      <c r="C151">
        <f>IFERROR('Master Barang'!D146,"")</f>
        <v>0</v>
      </c>
      <c r="D151">
        <f>IF(A151="","",SUMIFS('Barang Keluar'!$E:$E,'Barang Keluar'!$C:$C,A151,'Barang Keluar'!$A:$A,"&gt;="&amp;$A$4,'Barang Keluar'!$A:$A,"&lt;="&amp;$B$4))</f>
        <v>0</v>
      </c>
      <c r="F151" s="49">
        <f>IF($A$4+ROW()-8&gt;$B$4,"",$A$4+ROW()-8)</f>
        <v>46166</v>
      </c>
      <c r="G151">
        <f>IF(F151="","",SUMIFS('Barang Keluar'!$E:$E,'Barang Keluar'!$A:$A,F151))</f>
        <v>0</v>
      </c>
      <c r="M151" s="49">
        <f>IF($A$4+1&gt;$B$4,"",$A$4+1)</f>
        <v>46024</v>
      </c>
      <c r="N151">
        <f>IF(M151="","",'Master Barang'!A45)</f>
        <v>0</v>
      </c>
      <c r="O151">
        <f>IF(N151="","",'Master Barang'!B45)</f>
        <v>0</v>
      </c>
      <c r="P151">
        <f>IF(OR(M151="",N151=""),"",SUMIFS('Barang Keluar'!$E:$E,'Barang Keluar'!$A:$A,M151,'Barang Keluar'!$C:$C,N151))</f>
        <v>0</v>
      </c>
    </row>
    <row r="152" spans="1:16">
      <c r="A152">
        <f>IFERROR('Master Barang'!A147,"")</f>
        <v>0</v>
      </c>
      <c r="B152">
        <f>IFERROR('Master Barang'!B147,"")</f>
        <v>0</v>
      </c>
      <c r="C152">
        <f>IFERROR('Master Barang'!D147,"")</f>
        <v>0</v>
      </c>
      <c r="D152">
        <f>IF(A152="","",SUMIFS('Barang Keluar'!$E:$E,'Barang Keluar'!$C:$C,A152,'Barang Keluar'!$A:$A,"&gt;="&amp;$A$4,'Barang Keluar'!$A:$A,"&lt;="&amp;$B$4))</f>
        <v>0</v>
      </c>
      <c r="F152" s="49">
        <f>IF($A$4+ROW()-8&gt;$B$4,"",$A$4+ROW()-8)</f>
        <v>46167</v>
      </c>
      <c r="G152">
        <f>IF(F152="","",SUMIFS('Barang Keluar'!$E:$E,'Barang Keluar'!$A:$A,F152))</f>
        <v>0</v>
      </c>
      <c r="M152" s="49">
        <f>IF($A$4+1&gt;$B$4,"",$A$4+1)</f>
        <v>46024</v>
      </c>
      <c r="N152">
        <f>IF(M152="","",'Master Barang'!A46)</f>
        <v>0</v>
      </c>
      <c r="O152">
        <f>IF(N152="","",'Master Barang'!B46)</f>
        <v>0</v>
      </c>
      <c r="P152">
        <f>IF(OR(M152="",N152=""),"",SUMIFS('Barang Keluar'!$E:$E,'Barang Keluar'!$A:$A,M152,'Barang Keluar'!$C:$C,N152))</f>
        <v>0</v>
      </c>
    </row>
    <row r="153" spans="1:16">
      <c r="A153">
        <f>IFERROR('Master Barang'!A148,"")</f>
        <v>0</v>
      </c>
      <c r="B153">
        <f>IFERROR('Master Barang'!B148,"")</f>
        <v>0</v>
      </c>
      <c r="C153">
        <f>IFERROR('Master Barang'!D148,"")</f>
        <v>0</v>
      </c>
      <c r="D153">
        <f>IF(A153="","",SUMIFS('Barang Keluar'!$E:$E,'Barang Keluar'!$C:$C,A153,'Barang Keluar'!$A:$A,"&gt;="&amp;$A$4,'Barang Keluar'!$A:$A,"&lt;="&amp;$B$4))</f>
        <v>0</v>
      </c>
      <c r="F153" s="49">
        <f>IF($A$4+ROW()-8&gt;$B$4,"",$A$4+ROW()-8)</f>
        <v>46168</v>
      </c>
      <c r="G153">
        <f>IF(F153="","",SUMIFS('Barang Keluar'!$E:$E,'Barang Keluar'!$A:$A,F153))</f>
        <v>0</v>
      </c>
      <c r="M153" s="49">
        <f>IF($A$4+1&gt;$B$4,"",$A$4+1)</f>
        <v>46024</v>
      </c>
      <c r="N153">
        <f>IF(M153="","",'Master Barang'!A47)</f>
        <v>0</v>
      </c>
      <c r="O153">
        <f>IF(N153="","",'Master Barang'!B47)</f>
        <v>0</v>
      </c>
      <c r="P153">
        <f>IF(OR(M153="",N153=""),"",SUMIFS('Barang Keluar'!$E:$E,'Barang Keluar'!$A:$A,M153,'Barang Keluar'!$C:$C,N153))</f>
        <v>0</v>
      </c>
    </row>
    <row r="154" spans="1:16">
      <c r="A154">
        <f>IFERROR('Master Barang'!A149,"")</f>
        <v>0</v>
      </c>
      <c r="B154">
        <f>IFERROR('Master Barang'!B149,"")</f>
        <v>0</v>
      </c>
      <c r="C154">
        <f>IFERROR('Master Barang'!D149,"")</f>
        <v>0</v>
      </c>
      <c r="D154">
        <f>IF(A154="","",SUMIFS('Barang Keluar'!$E:$E,'Barang Keluar'!$C:$C,A154,'Barang Keluar'!$A:$A,"&gt;="&amp;$A$4,'Barang Keluar'!$A:$A,"&lt;="&amp;$B$4))</f>
        <v>0</v>
      </c>
      <c r="F154" s="49">
        <f>IF($A$4+ROW()-8&gt;$B$4,"",$A$4+ROW()-8)</f>
        <v>46169</v>
      </c>
      <c r="G154">
        <f>IF(F154="","",SUMIFS('Barang Keluar'!$E:$E,'Barang Keluar'!$A:$A,F154))</f>
        <v>0</v>
      </c>
      <c r="M154" s="49">
        <f>IF($A$4+1&gt;$B$4,"",$A$4+1)</f>
        <v>46024</v>
      </c>
      <c r="N154">
        <f>IF(M154="","",'Master Barang'!A48)</f>
        <v>0</v>
      </c>
      <c r="O154">
        <f>IF(N154="","",'Master Barang'!B48)</f>
        <v>0</v>
      </c>
      <c r="P154">
        <f>IF(OR(M154="",N154=""),"",SUMIFS('Barang Keluar'!$E:$E,'Barang Keluar'!$A:$A,M154,'Barang Keluar'!$C:$C,N154))</f>
        <v>0</v>
      </c>
    </row>
    <row r="155" spans="1:16">
      <c r="A155">
        <f>IFERROR('Master Barang'!A150,"")</f>
        <v>0</v>
      </c>
      <c r="B155">
        <f>IFERROR('Master Barang'!B150,"")</f>
        <v>0</v>
      </c>
      <c r="C155">
        <f>IFERROR('Master Barang'!D150,"")</f>
        <v>0</v>
      </c>
      <c r="D155">
        <f>IF(A155="","",SUMIFS('Barang Keluar'!$E:$E,'Barang Keluar'!$C:$C,A155,'Barang Keluar'!$A:$A,"&gt;="&amp;$A$4,'Barang Keluar'!$A:$A,"&lt;="&amp;$B$4))</f>
        <v>0</v>
      </c>
      <c r="F155" s="49">
        <f>IF($A$4+ROW()-8&gt;$B$4,"",$A$4+ROW()-8)</f>
        <v>46170</v>
      </c>
      <c r="G155">
        <f>IF(F155="","",SUMIFS('Barang Keluar'!$E:$E,'Barang Keluar'!$A:$A,F155))</f>
        <v>0</v>
      </c>
      <c r="M155" s="49">
        <f>IF($A$4+1&gt;$B$4,"",$A$4+1)</f>
        <v>46024</v>
      </c>
      <c r="N155">
        <f>IF(M155="","",'Master Barang'!A49)</f>
        <v>0</v>
      </c>
      <c r="O155">
        <f>IF(N155="","",'Master Barang'!B49)</f>
        <v>0</v>
      </c>
      <c r="P155">
        <f>IF(OR(M155="",N155=""),"",SUMIFS('Barang Keluar'!$E:$E,'Barang Keluar'!$A:$A,M155,'Barang Keluar'!$C:$C,N155))</f>
        <v>0</v>
      </c>
    </row>
    <row r="156" spans="1:16">
      <c r="A156">
        <f>IFERROR('Master Barang'!A151,"")</f>
        <v>0</v>
      </c>
      <c r="B156">
        <f>IFERROR('Master Barang'!B151,"")</f>
        <v>0</v>
      </c>
      <c r="C156">
        <f>IFERROR('Master Barang'!D151,"")</f>
        <v>0</v>
      </c>
      <c r="D156">
        <f>IF(A156="","",SUMIFS('Barang Keluar'!$E:$E,'Barang Keluar'!$C:$C,A156,'Barang Keluar'!$A:$A,"&gt;="&amp;$A$4,'Barang Keluar'!$A:$A,"&lt;="&amp;$B$4))</f>
        <v>0</v>
      </c>
      <c r="F156" s="49">
        <f>IF($A$4+ROW()-8&gt;$B$4,"",$A$4+ROW()-8)</f>
        <v>46171</v>
      </c>
      <c r="G156">
        <f>IF(F156="","",SUMIFS('Barang Keluar'!$E:$E,'Barang Keluar'!$A:$A,F156))</f>
        <v>0</v>
      </c>
      <c r="M156" s="49">
        <f>IF($A$4+1&gt;$B$4,"",$A$4+1)</f>
        <v>46024</v>
      </c>
      <c r="N156">
        <f>IF(M156="","",'Master Barang'!A50)</f>
        <v>0</v>
      </c>
      <c r="O156">
        <f>IF(N156="","",'Master Barang'!B50)</f>
        <v>0</v>
      </c>
      <c r="P156">
        <f>IF(OR(M156="",N156=""),"",SUMIFS('Barang Keluar'!$E:$E,'Barang Keluar'!$A:$A,M156,'Barang Keluar'!$C:$C,N156))</f>
        <v>0</v>
      </c>
    </row>
    <row r="157" spans="1:16">
      <c r="A157">
        <f>IFERROR('Master Barang'!A152,"")</f>
        <v>0</v>
      </c>
      <c r="B157">
        <f>IFERROR('Master Barang'!B152,"")</f>
        <v>0</v>
      </c>
      <c r="C157">
        <f>IFERROR('Master Barang'!D152,"")</f>
        <v>0</v>
      </c>
      <c r="D157">
        <f>IF(A157="","",SUMIFS('Barang Keluar'!$E:$E,'Barang Keluar'!$C:$C,A157,'Barang Keluar'!$A:$A,"&gt;="&amp;$A$4,'Barang Keluar'!$A:$A,"&lt;="&amp;$B$4))</f>
        <v>0</v>
      </c>
      <c r="F157" s="49">
        <f>IF($A$4+ROW()-8&gt;$B$4,"",$A$4+ROW()-8)</f>
        <v>46172</v>
      </c>
      <c r="G157">
        <f>IF(F157="","",SUMIFS('Barang Keluar'!$E:$E,'Barang Keluar'!$A:$A,F157))</f>
        <v>0</v>
      </c>
      <c r="M157" s="49">
        <f>IF($A$4+1&gt;$B$4,"",$A$4+1)</f>
        <v>46024</v>
      </c>
      <c r="N157">
        <f>IF(M157="","",'Master Barang'!A51)</f>
        <v>0</v>
      </c>
      <c r="O157">
        <f>IF(N157="","",'Master Barang'!B51)</f>
        <v>0</v>
      </c>
      <c r="P157">
        <f>IF(OR(M157="",N157=""),"",SUMIFS('Barang Keluar'!$E:$E,'Barang Keluar'!$A:$A,M157,'Barang Keluar'!$C:$C,N157))</f>
        <v>0</v>
      </c>
    </row>
    <row r="158" spans="1:16">
      <c r="A158">
        <f>IFERROR('Master Barang'!A153,"")</f>
        <v>0</v>
      </c>
      <c r="B158">
        <f>IFERROR('Master Barang'!B153,"")</f>
        <v>0</v>
      </c>
      <c r="C158">
        <f>IFERROR('Master Barang'!D153,"")</f>
        <v>0</v>
      </c>
      <c r="D158">
        <f>IF(A158="","",SUMIFS('Barang Keluar'!$E:$E,'Barang Keluar'!$C:$C,A158,'Barang Keluar'!$A:$A,"&gt;="&amp;$A$4,'Barang Keluar'!$A:$A,"&lt;="&amp;$B$4))</f>
        <v>0</v>
      </c>
      <c r="F158" s="49">
        <f>IF($A$4+ROW()-8&gt;$B$4,"",$A$4+ROW()-8)</f>
        <v>46173</v>
      </c>
      <c r="G158">
        <f>IF(F158="","",SUMIFS('Barang Keluar'!$E:$E,'Barang Keluar'!$A:$A,F158))</f>
        <v>0</v>
      </c>
      <c r="M158" s="49">
        <f>IF($A$4+1&gt;$B$4,"",$A$4+1)</f>
        <v>46024</v>
      </c>
      <c r="N158">
        <f>IF(M158="","",'Master Barang'!A52)</f>
        <v>0</v>
      </c>
      <c r="O158">
        <f>IF(N158="","",'Master Barang'!B52)</f>
        <v>0</v>
      </c>
      <c r="P158">
        <f>IF(OR(M158="",N158=""),"",SUMIFS('Barang Keluar'!$E:$E,'Barang Keluar'!$A:$A,M158,'Barang Keluar'!$C:$C,N158))</f>
        <v>0</v>
      </c>
    </row>
    <row r="159" spans="1:16">
      <c r="A159">
        <f>IFERROR('Master Barang'!A154,"")</f>
        <v>0</v>
      </c>
      <c r="B159">
        <f>IFERROR('Master Barang'!B154,"")</f>
        <v>0</v>
      </c>
      <c r="C159">
        <f>IFERROR('Master Barang'!D154,"")</f>
        <v>0</v>
      </c>
      <c r="D159">
        <f>IF(A159="","",SUMIFS('Barang Keluar'!$E:$E,'Barang Keluar'!$C:$C,A159,'Barang Keluar'!$A:$A,"&gt;="&amp;$A$4,'Barang Keluar'!$A:$A,"&lt;="&amp;$B$4))</f>
        <v>0</v>
      </c>
      <c r="F159" s="49">
        <f>IF($A$4+ROW()-8&gt;$B$4,"",$A$4+ROW()-8)</f>
        <v>46174</v>
      </c>
      <c r="G159">
        <f>IF(F159="","",SUMIFS('Barang Keluar'!$E:$E,'Barang Keluar'!$A:$A,F159))</f>
        <v>0</v>
      </c>
      <c r="M159" s="49">
        <f>IF($A$4+1&gt;$B$4,"",$A$4+1)</f>
        <v>46024</v>
      </c>
      <c r="N159">
        <f>IF(M159="","",'Master Barang'!A53)</f>
        <v>0</v>
      </c>
      <c r="O159">
        <f>IF(N159="","",'Master Barang'!B53)</f>
        <v>0</v>
      </c>
      <c r="P159">
        <f>IF(OR(M159="",N159=""),"",SUMIFS('Barang Keluar'!$E:$E,'Barang Keluar'!$A:$A,M159,'Barang Keluar'!$C:$C,N159))</f>
        <v>0</v>
      </c>
    </row>
    <row r="160" spans="1:16">
      <c r="A160">
        <f>IFERROR('Master Barang'!A155,"")</f>
        <v>0</v>
      </c>
      <c r="B160">
        <f>IFERROR('Master Barang'!B155,"")</f>
        <v>0</v>
      </c>
      <c r="C160">
        <f>IFERROR('Master Barang'!D155,"")</f>
        <v>0</v>
      </c>
      <c r="D160">
        <f>IF(A160="","",SUMIFS('Barang Keluar'!$E:$E,'Barang Keluar'!$C:$C,A160,'Barang Keluar'!$A:$A,"&gt;="&amp;$A$4,'Barang Keluar'!$A:$A,"&lt;="&amp;$B$4))</f>
        <v>0</v>
      </c>
      <c r="F160" s="49">
        <f>IF($A$4+ROW()-8&gt;$B$4,"",$A$4+ROW()-8)</f>
        <v>46175</v>
      </c>
      <c r="G160">
        <f>IF(F160="","",SUMIFS('Barang Keluar'!$E:$E,'Barang Keluar'!$A:$A,F160))</f>
        <v>0</v>
      </c>
      <c r="M160" s="49">
        <f>IF($A$4+1&gt;$B$4,"",$A$4+1)</f>
        <v>46024</v>
      </c>
      <c r="N160">
        <f>IF(M160="","",'Master Barang'!A54)</f>
        <v>0</v>
      </c>
      <c r="O160">
        <f>IF(N160="","",'Master Barang'!B54)</f>
        <v>0</v>
      </c>
      <c r="P160">
        <f>IF(OR(M160="",N160=""),"",SUMIFS('Barang Keluar'!$E:$E,'Barang Keluar'!$A:$A,M160,'Barang Keluar'!$C:$C,N160))</f>
        <v>0</v>
      </c>
    </row>
    <row r="161" spans="1:16">
      <c r="A161">
        <f>IFERROR('Master Barang'!A156,"")</f>
        <v>0</v>
      </c>
      <c r="B161">
        <f>IFERROR('Master Barang'!B156,"")</f>
        <v>0</v>
      </c>
      <c r="C161">
        <f>IFERROR('Master Barang'!D156,"")</f>
        <v>0</v>
      </c>
      <c r="D161">
        <f>IF(A161="","",SUMIFS('Barang Keluar'!$E:$E,'Barang Keluar'!$C:$C,A161,'Barang Keluar'!$A:$A,"&gt;="&amp;$A$4,'Barang Keluar'!$A:$A,"&lt;="&amp;$B$4))</f>
        <v>0</v>
      </c>
      <c r="F161" s="49">
        <f>IF($A$4+ROW()-8&gt;$B$4,"",$A$4+ROW()-8)</f>
        <v>46176</v>
      </c>
      <c r="G161">
        <f>IF(F161="","",SUMIFS('Barang Keluar'!$E:$E,'Barang Keluar'!$A:$A,F161))</f>
        <v>0</v>
      </c>
      <c r="M161" s="49">
        <f>IF($A$4+1&gt;$B$4,"",$A$4+1)</f>
        <v>46024</v>
      </c>
      <c r="N161">
        <f>IF(M161="","",'Master Barang'!A55)</f>
        <v>0</v>
      </c>
      <c r="O161">
        <f>IF(N161="","",'Master Barang'!B55)</f>
        <v>0</v>
      </c>
      <c r="P161">
        <f>IF(OR(M161="",N161=""),"",SUMIFS('Barang Keluar'!$E:$E,'Barang Keluar'!$A:$A,M161,'Barang Keluar'!$C:$C,N161))</f>
        <v>0</v>
      </c>
    </row>
    <row r="162" spans="1:16">
      <c r="A162">
        <f>IFERROR('Master Barang'!A157,"")</f>
        <v>0</v>
      </c>
      <c r="B162">
        <f>IFERROR('Master Barang'!B157,"")</f>
        <v>0</v>
      </c>
      <c r="C162">
        <f>IFERROR('Master Barang'!D157,"")</f>
        <v>0</v>
      </c>
      <c r="D162">
        <f>IF(A162="","",SUMIFS('Barang Keluar'!$E:$E,'Barang Keluar'!$C:$C,A162,'Barang Keluar'!$A:$A,"&gt;="&amp;$A$4,'Barang Keluar'!$A:$A,"&lt;="&amp;$B$4))</f>
        <v>0</v>
      </c>
      <c r="F162" s="49">
        <f>IF($A$4+ROW()-8&gt;$B$4,"",$A$4+ROW()-8)</f>
        <v>46177</v>
      </c>
      <c r="G162">
        <f>IF(F162="","",SUMIFS('Barang Keluar'!$E:$E,'Barang Keluar'!$A:$A,F162))</f>
        <v>0</v>
      </c>
      <c r="M162" s="49">
        <f>IF($A$4+1&gt;$B$4,"",$A$4+1)</f>
        <v>46024</v>
      </c>
      <c r="N162">
        <f>IF(M162="","",'Master Barang'!A56)</f>
        <v>0</v>
      </c>
      <c r="O162">
        <f>IF(N162="","",'Master Barang'!B56)</f>
        <v>0</v>
      </c>
      <c r="P162">
        <f>IF(OR(M162="",N162=""),"",SUMIFS('Barang Keluar'!$E:$E,'Barang Keluar'!$A:$A,M162,'Barang Keluar'!$C:$C,N162))</f>
        <v>0</v>
      </c>
    </row>
    <row r="163" spans="1:16">
      <c r="A163">
        <f>IFERROR('Master Barang'!A158,"")</f>
        <v>0</v>
      </c>
      <c r="B163">
        <f>IFERROR('Master Barang'!B158,"")</f>
        <v>0</v>
      </c>
      <c r="C163">
        <f>IFERROR('Master Barang'!D158,"")</f>
        <v>0</v>
      </c>
      <c r="D163">
        <f>IF(A163="","",SUMIFS('Barang Keluar'!$E:$E,'Barang Keluar'!$C:$C,A163,'Barang Keluar'!$A:$A,"&gt;="&amp;$A$4,'Barang Keluar'!$A:$A,"&lt;="&amp;$B$4))</f>
        <v>0</v>
      </c>
      <c r="F163" s="49">
        <f>IF($A$4+ROW()-8&gt;$B$4,"",$A$4+ROW()-8)</f>
        <v>46178</v>
      </c>
      <c r="G163">
        <f>IF(F163="","",SUMIFS('Barang Keluar'!$E:$E,'Barang Keluar'!$A:$A,F163))</f>
        <v>0</v>
      </c>
      <c r="M163" s="49">
        <f>IF($A$4+1&gt;$B$4,"",$A$4+1)</f>
        <v>46024</v>
      </c>
      <c r="N163">
        <f>IF(M163="","",'Master Barang'!A57)</f>
        <v>0</v>
      </c>
      <c r="O163">
        <f>IF(N163="","",'Master Barang'!B57)</f>
        <v>0</v>
      </c>
      <c r="P163">
        <f>IF(OR(M163="",N163=""),"",SUMIFS('Barang Keluar'!$E:$E,'Barang Keluar'!$A:$A,M163,'Barang Keluar'!$C:$C,N163))</f>
        <v>0</v>
      </c>
    </row>
    <row r="164" spans="1:16">
      <c r="A164">
        <f>IFERROR('Master Barang'!A159,"")</f>
        <v>0</v>
      </c>
      <c r="B164">
        <f>IFERROR('Master Barang'!B159,"")</f>
        <v>0</v>
      </c>
      <c r="C164">
        <f>IFERROR('Master Barang'!D159,"")</f>
        <v>0</v>
      </c>
      <c r="D164">
        <f>IF(A164="","",SUMIFS('Barang Keluar'!$E:$E,'Barang Keluar'!$C:$C,A164,'Barang Keluar'!$A:$A,"&gt;="&amp;$A$4,'Barang Keluar'!$A:$A,"&lt;="&amp;$B$4))</f>
        <v>0</v>
      </c>
      <c r="F164" s="49">
        <f>IF($A$4+ROW()-8&gt;$B$4,"",$A$4+ROW()-8)</f>
        <v>46179</v>
      </c>
      <c r="G164">
        <f>IF(F164="","",SUMIFS('Barang Keluar'!$E:$E,'Barang Keluar'!$A:$A,F164))</f>
        <v>0</v>
      </c>
      <c r="M164" s="49">
        <f>IF($A$4+1&gt;$B$4,"",$A$4+1)</f>
        <v>46024</v>
      </c>
      <c r="N164">
        <f>IF(M164="","",'Master Barang'!A58)</f>
        <v>0</v>
      </c>
      <c r="O164">
        <f>IF(N164="","",'Master Barang'!B58)</f>
        <v>0</v>
      </c>
      <c r="P164">
        <f>IF(OR(M164="",N164=""),"",SUMIFS('Barang Keluar'!$E:$E,'Barang Keluar'!$A:$A,M164,'Barang Keluar'!$C:$C,N164))</f>
        <v>0</v>
      </c>
    </row>
    <row r="165" spans="1:16">
      <c r="A165">
        <f>IFERROR('Master Barang'!A160,"")</f>
        <v>0</v>
      </c>
      <c r="B165">
        <f>IFERROR('Master Barang'!B160,"")</f>
        <v>0</v>
      </c>
      <c r="C165">
        <f>IFERROR('Master Barang'!D160,"")</f>
        <v>0</v>
      </c>
      <c r="D165">
        <f>IF(A165="","",SUMIFS('Barang Keluar'!$E:$E,'Barang Keluar'!$C:$C,A165,'Barang Keluar'!$A:$A,"&gt;="&amp;$A$4,'Barang Keluar'!$A:$A,"&lt;="&amp;$B$4))</f>
        <v>0</v>
      </c>
      <c r="F165" s="49">
        <f>IF($A$4+ROW()-8&gt;$B$4,"",$A$4+ROW()-8)</f>
        <v>46180</v>
      </c>
      <c r="G165">
        <f>IF(F165="","",SUMIFS('Barang Keluar'!$E:$E,'Barang Keluar'!$A:$A,F165))</f>
        <v>0</v>
      </c>
      <c r="M165" s="49">
        <f>IF($A$4+1&gt;$B$4,"",$A$4+1)</f>
        <v>46024</v>
      </c>
      <c r="N165">
        <f>IF(M165="","",'Master Barang'!A59)</f>
        <v>0</v>
      </c>
      <c r="O165">
        <f>IF(N165="","",'Master Barang'!B59)</f>
        <v>0</v>
      </c>
      <c r="P165">
        <f>IF(OR(M165="",N165=""),"",SUMIFS('Barang Keluar'!$E:$E,'Barang Keluar'!$A:$A,M165,'Barang Keluar'!$C:$C,N165))</f>
        <v>0</v>
      </c>
    </row>
    <row r="166" spans="1:16">
      <c r="A166">
        <f>IFERROR('Master Barang'!A161,"")</f>
        <v>0</v>
      </c>
      <c r="B166">
        <f>IFERROR('Master Barang'!B161,"")</f>
        <v>0</v>
      </c>
      <c r="C166">
        <f>IFERROR('Master Barang'!D161,"")</f>
        <v>0</v>
      </c>
      <c r="D166">
        <f>IF(A166="","",SUMIFS('Barang Keluar'!$E:$E,'Barang Keluar'!$C:$C,A166,'Barang Keluar'!$A:$A,"&gt;="&amp;$A$4,'Barang Keluar'!$A:$A,"&lt;="&amp;$B$4))</f>
        <v>0</v>
      </c>
      <c r="F166" s="49">
        <f>IF($A$4+ROW()-8&gt;$B$4,"",$A$4+ROW()-8)</f>
        <v>46181</v>
      </c>
      <c r="G166">
        <f>IF(F166="","",SUMIFS('Barang Keluar'!$E:$E,'Barang Keluar'!$A:$A,F166))</f>
        <v>0</v>
      </c>
      <c r="M166" s="49">
        <f>IF($A$4+1&gt;$B$4,"",$A$4+1)</f>
        <v>46024</v>
      </c>
      <c r="N166">
        <f>IF(M166="","",'Master Barang'!A60)</f>
        <v>0</v>
      </c>
      <c r="O166">
        <f>IF(N166="","",'Master Barang'!B60)</f>
        <v>0</v>
      </c>
      <c r="P166">
        <f>IF(OR(M166="",N166=""),"",SUMIFS('Barang Keluar'!$E:$E,'Barang Keluar'!$A:$A,M166,'Barang Keluar'!$C:$C,N166))</f>
        <v>0</v>
      </c>
    </row>
    <row r="167" spans="1:16">
      <c r="A167">
        <f>IFERROR('Master Barang'!A162,"")</f>
        <v>0</v>
      </c>
      <c r="B167">
        <f>IFERROR('Master Barang'!B162,"")</f>
        <v>0</v>
      </c>
      <c r="C167">
        <f>IFERROR('Master Barang'!D162,"")</f>
        <v>0</v>
      </c>
      <c r="D167">
        <f>IF(A167="","",SUMIFS('Barang Keluar'!$E:$E,'Barang Keluar'!$C:$C,A167,'Barang Keluar'!$A:$A,"&gt;="&amp;$A$4,'Barang Keluar'!$A:$A,"&lt;="&amp;$B$4))</f>
        <v>0</v>
      </c>
      <c r="F167" s="49">
        <f>IF($A$4+ROW()-8&gt;$B$4,"",$A$4+ROW()-8)</f>
        <v>46182</v>
      </c>
      <c r="G167">
        <f>IF(F167="","",SUMIFS('Barang Keluar'!$E:$E,'Barang Keluar'!$A:$A,F167))</f>
        <v>0</v>
      </c>
      <c r="M167" s="49">
        <f>IF($A$4+1&gt;$B$4,"",$A$4+1)</f>
        <v>46024</v>
      </c>
      <c r="N167">
        <f>IF(M167="","",'Master Barang'!A61)</f>
        <v>0</v>
      </c>
      <c r="O167">
        <f>IF(N167="","",'Master Barang'!B61)</f>
        <v>0</v>
      </c>
      <c r="P167">
        <f>IF(OR(M167="",N167=""),"",SUMIFS('Barang Keluar'!$E:$E,'Barang Keluar'!$A:$A,M167,'Barang Keluar'!$C:$C,N167))</f>
        <v>0</v>
      </c>
    </row>
    <row r="168" spans="1:16">
      <c r="A168">
        <f>IFERROR('Master Barang'!A163,"")</f>
        <v>0</v>
      </c>
      <c r="B168">
        <f>IFERROR('Master Barang'!B163,"")</f>
        <v>0</v>
      </c>
      <c r="C168">
        <f>IFERROR('Master Barang'!D163,"")</f>
        <v>0</v>
      </c>
      <c r="D168">
        <f>IF(A168="","",SUMIFS('Barang Keluar'!$E:$E,'Barang Keluar'!$C:$C,A168,'Barang Keluar'!$A:$A,"&gt;="&amp;$A$4,'Barang Keluar'!$A:$A,"&lt;="&amp;$B$4))</f>
        <v>0</v>
      </c>
      <c r="F168" s="49">
        <f>IF($A$4+ROW()-8&gt;$B$4,"",$A$4+ROW()-8)</f>
        <v>46183</v>
      </c>
      <c r="G168">
        <f>IF(F168="","",SUMIFS('Barang Keluar'!$E:$E,'Barang Keluar'!$A:$A,F168))</f>
        <v>0</v>
      </c>
      <c r="M168" s="49">
        <f>IF($A$4+1&gt;$B$4,"",$A$4+1)</f>
        <v>46024</v>
      </c>
      <c r="N168">
        <f>IF(M168="","",'Master Barang'!A62)</f>
        <v>0</v>
      </c>
      <c r="O168">
        <f>IF(N168="","",'Master Barang'!B62)</f>
        <v>0</v>
      </c>
      <c r="P168">
        <f>IF(OR(M168="",N168=""),"",SUMIFS('Barang Keluar'!$E:$E,'Barang Keluar'!$A:$A,M168,'Barang Keluar'!$C:$C,N168))</f>
        <v>0</v>
      </c>
    </row>
    <row r="169" spans="1:16">
      <c r="A169">
        <f>IFERROR('Master Barang'!A164,"")</f>
        <v>0</v>
      </c>
      <c r="B169">
        <f>IFERROR('Master Barang'!B164,"")</f>
        <v>0</v>
      </c>
      <c r="C169">
        <f>IFERROR('Master Barang'!D164,"")</f>
        <v>0</v>
      </c>
      <c r="D169">
        <f>IF(A169="","",SUMIFS('Barang Keluar'!$E:$E,'Barang Keluar'!$C:$C,A169,'Barang Keluar'!$A:$A,"&gt;="&amp;$A$4,'Barang Keluar'!$A:$A,"&lt;="&amp;$B$4))</f>
        <v>0</v>
      </c>
      <c r="F169" s="49">
        <f>IF($A$4+ROW()-8&gt;$B$4,"",$A$4+ROW()-8)</f>
        <v>46184</v>
      </c>
      <c r="G169">
        <f>IF(F169="","",SUMIFS('Barang Keluar'!$E:$E,'Barang Keluar'!$A:$A,F169))</f>
        <v>0</v>
      </c>
      <c r="M169" s="49">
        <f>IF($A$4+1&gt;$B$4,"",$A$4+1)</f>
        <v>46024</v>
      </c>
      <c r="N169">
        <f>IF(M169="","",'Master Barang'!A63)</f>
        <v>0</v>
      </c>
      <c r="O169">
        <f>IF(N169="","",'Master Barang'!B63)</f>
        <v>0</v>
      </c>
      <c r="P169">
        <f>IF(OR(M169="",N169=""),"",SUMIFS('Barang Keluar'!$E:$E,'Barang Keluar'!$A:$A,M169,'Barang Keluar'!$C:$C,N169))</f>
        <v>0</v>
      </c>
    </row>
    <row r="170" spans="1:16">
      <c r="A170">
        <f>IFERROR('Master Barang'!A165,"")</f>
        <v>0</v>
      </c>
      <c r="B170">
        <f>IFERROR('Master Barang'!B165,"")</f>
        <v>0</v>
      </c>
      <c r="C170">
        <f>IFERROR('Master Barang'!D165,"")</f>
        <v>0</v>
      </c>
      <c r="D170">
        <f>IF(A170="","",SUMIFS('Barang Keluar'!$E:$E,'Barang Keluar'!$C:$C,A170,'Barang Keluar'!$A:$A,"&gt;="&amp;$A$4,'Barang Keluar'!$A:$A,"&lt;="&amp;$B$4))</f>
        <v>0</v>
      </c>
      <c r="F170" s="49">
        <f>IF($A$4+ROW()-8&gt;$B$4,"",$A$4+ROW()-8)</f>
        <v>46185</v>
      </c>
      <c r="G170">
        <f>IF(F170="","",SUMIFS('Barang Keluar'!$E:$E,'Barang Keluar'!$A:$A,F170))</f>
        <v>0</v>
      </c>
      <c r="M170" s="49">
        <f>IF($A$4+1&gt;$B$4,"",$A$4+1)</f>
        <v>46024</v>
      </c>
      <c r="N170">
        <f>IF(M170="","",'Master Barang'!A64)</f>
        <v>0</v>
      </c>
      <c r="O170">
        <f>IF(N170="","",'Master Barang'!B64)</f>
        <v>0</v>
      </c>
      <c r="P170">
        <f>IF(OR(M170="",N170=""),"",SUMIFS('Barang Keluar'!$E:$E,'Barang Keluar'!$A:$A,M170,'Barang Keluar'!$C:$C,N170))</f>
        <v>0</v>
      </c>
    </row>
    <row r="171" spans="1:16">
      <c r="A171">
        <f>IFERROR('Master Barang'!A166,"")</f>
        <v>0</v>
      </c>
      <c r="B171">
        <f>IFERROR('Master Barang'!B166,"")</f>
        <v>0</v>
      </c>
      <c r="C171">
        <f>IFERROR('Master Barang'!D166,"")</f>
        <v>0</v>
      </c>
      <c r="D171">
        <f>IF(A171="","",SUMIFS('Barang Keluar'!$E:$E,'Barang Keluar'!$C:$C,A171,'Barang Keluar'!$A:$A,"&gt;="&amp;$A$4,'Barang Keluar'!$A:$A,"&lt;="&amp;$B$4))</f>
        <v>0</v>
      </c>
      <c r="F171" s="49">
        <f>IF($A$4+ROW()-8&gt;$B$4,"",$A$4+ROW()-8)</f>
        <v>46186</v>
      </c>
      <c r="G171">
        <f>IF(F171="","",SUMIFS('Barang Keluar'!$E:$E,'Barang Keluar'!$A:$A,F171))</f>
        <v>0</v>
      </c>
      <c r="M171" s="49">
        <f>IF($A$4+1&gt;$B$4,"",$A$4+1)</f>
        <v>46024</v>
      </c>
      <c r="N171">
        <f>IF(M171="","",'Master Barang'!A65)</f>
        <v>0</v>
      </c>
      <c r="O171">
        <f>IF(N171="","",'Master Barang'!B65)</f>
        <v>0</v>
      </c>
      <c r="P171">
        <f>IF(OR(M171="",N171=""),"",SUMIFS('Barang Keluar'!$E:$E,'Barang Keluar'!$A:$A,M171,'Barang Keluar'!$C:$C,N171))</f>
        <v>0</v>
      </c>
    </row>
    <row r="172" spans="1:16">
      <c r="A172">
        <f>IFERROR('Master Barang'!A167,"")</f>
        <v>0</v>
      </c>
      <c r="B172">
        <f>IFERROR('Master Barang'!B167,"")</f>
        <v>0</v>
      </c>
      <c r="C172">
        <f>IFERROR('Master Barang'!D167,"")</f>
        <v>0</v>
      </c>
      <c r="D172">
        <f>IF(A172="","",SUMIFS('Barang Keluar'!$E:$E,'Barang Keluar'!$C:$C,A172,'Barang Keluar'!$A:$A,"&gt;="&amp;$A$4,'Barang Keluar'!$A:$A,"&lt;="&amp;$B$4))</f>
        <v>0</v>
      </c>
      <c r="F172" s="49">
        <f>IF($A$4+ROW()-8&gt;$B$4,"",$A$4+ROW()-8)</f>
        <v>46187</v>
      </c>
      <c r="G172">
        <f>IF(F172="","",SUMIFS('Barang Keluar'!$E:$E,'Barang Keluar'!$A:$A,F172))</f>
        <v>0</v>
      </c>
      <c r="M172" s="49">
        <f>IF($A$4+1&gt;$B$4,"",$A$4+1)</f>
        <v>46024</v>
      </c>
      <c r="N172">
        <f>IF(M172="","",'Master Barang'!A66)</f>
        <v>0</v>
      </c>
      <c r="O172">
        <f>IF(N172="","",'Master Barang'!B66)</f>
        <v>0</v>
      </c>
      <c r="P172">
        <f>IF(OR(M172="",N172=""),"",SUMIFS('Barang Keluar'!$E:$E,'Barang Keluar'!$A:$A,M172,'Barang Keluar'!$C:$C,N172))</f>
        <v>0</v>
      </c>
    </row>
    <row r="173" spans="1:16">
      <c r="A173">
        <f>IFERROR('Master Barang'!A168,"")</f>
        <v>0</v>
      </c>
      <c r="B173">
        <f>IFERROR('Master Barang'!B168,"")</f>
        <v>0</v>
      </c>
      <c r="C173">
        <f>IFERROR('Master Barang'!D168,"")</f>
        <v>0</v>
      </c>
      <c r="D173">
        <f>IF(A173="","",SUMIFS('Barang Keluar'!$E:$E,'Barang Keluar'!$C:$C,A173,'Barang Keluar'!$A:$A,"&gt;="&amp;$A$4,'Barang Keluar'!$A:$A,"&lt;="&amp;$B$4))</f>
        <v>0</v>
      </c>
      <c r="F173" s="49">
        <f>IF($A$4+ROW()-8&gt;$B$4,"",$A$4+ROW()-8)</f>
        <v>46188</v>
      </c>
      <c r="G173">
        <f>IF(F173="","",SUMIFS('Barang Keluar'!$E:$E,'Barang Keluar'!$A:$A,F173))</f>
        <v>0</v>
      </c>
      <c r="M173" s="49">
        <f>IF($A$4+1&gt;$B$4,"",$A$4+1)</f>
        <v>46024</v>
      </c>
      <c r="N173">
        <f>IF(M173="","",'Master Barang'!A67)</f>
        <v>0</v>
      </c>
      <c r="O173">
        <f>IF(N173="","",'Master Barang'!B67)</f>
        <v>0</v>
      </c>
      <c r="P173">
        <f>IF(OR(M173="",N173=""),"",SUMIFS('Barang Keluar'!$E:$E,'Barang Keluar'!$A:$A,M173,'Barang Keluar'!$C:$C,N173))</f>
        <v>0</v>
      </c>
    </row>
    <row r="174" spans="1:16">
      <c r="A174">
        <f>IFERROR('Master Barang'!A169,"")</f>
        <v>0</v>
      </c>
      <c r="B174">
        <f>IFERROR('Master Barang'!B169,"")</f>
        <v>0</v>
      </c>
      <c r="C174">
        <f>IFERROR('Master Barang'!D169,"")</f>
        <v>0</v>
      </c>
      <c r="D174">
        <f>IF(A174="","",SUMIFS('Barang Keluar'!$E:$E,'Barang Keluar'!$C:$C,A174,'Barang Keluar'!$A:$A,"&gt;="&amp;$A$4,'Barang Keluar'!$A:$A,"&lt;="&amp;$B$4))</f>
        <v>0</v>
      </c>
      <c r="F174" s="49">
        <f>IF($A$4+ROW()-8&gt;$B$4,"",$A$4+ROW()-8)</f>
        <v>46189</v>
      </c>
      <c r="G174">
        <f>IF(F174="","",SUMIFS('Barang Keluar'!$E:$E,'Barang Keluar'!$A:$A,F174))</f>
        <v>0</v>
      </c>
      <c r="M174" s="49">
        <f>IF($A$4+1&gt;$B$4,"",$A$4+1)</f>
        <v>46024</v>
      </c>
      <c r="N174">
        <f>IF(M174="","",'Master Barang'!A68)</f>
        <v>0</v>
      </c>
      <c r="O174">
        <f>IF(N174="","",'Master Barang'!B68)</f>
        <v>0</v>
      </c>
      <c r="P174">
        <f>IF(OR(M174="",N174=""),"",SUMIFS('Barang Keluar'!$E:$E,'Barang Keluar'!$A:$A,M174,'Barang Keluar'!$C:$C,N174))</f>
        <v>0</v>
      </c>
    </row>
    <row r="175" spans="1:16">
      <c r="A175">
        <f>IFERROR('Master Barang'!A170,"")</f>
        <v>0</v>
      </c>
      <c r="B175">
        <f>IFERROR('Master Barang'!B170,"")</f>
        <v>0</v>
      </c>
      <c r="C175">
        <f>IFERROR('Master Barang'!D170,"")</f>
        <v>0</v>
      </c>
      <c r="D175">
        <f>IF(A175="","",SUMIFS('Barang Keluar'!$E:$E,'Barang Keluar'!$C:$C,A175,'Barang Keluar'!$A:$A,"&gt;="&amp;$A$4,'Barang Keluar'!$A:$A,"&lt;="&amp;$B$4))</f>
        <v>0</v>
      </c>
      <c r="F175" s="49">
        <f>IF($A$4+ROW()-8&gt;$B$4,"",$A$4+ROW()-8)</f>
        <v>46190</v>
      </c>
      <c r="G175">
        <f>IF(F175="","",SUMIFS('Barang Keluar'!$E:$E,'Barang Keluar'!$A:$A,F175))</f>
        <v>0</v>
      </c>
      <c r="M175" s="49">
        <f>IF($A$4+1&gt;$B$4,"",$A$4+1)</f>
        <v>46024</v>
      </c>
      <c r="N175">
        <f>IF(M175="","",'Master Barang'!A69)</f>
        <v>0</v>
      </c>
      <c r="O175">
        <f>IF(N175="","",'Master Barang'!B69)</f>
        <v>0</v>
      </c>
      <c r="P175">
        <f>IF(OR(M175="",N175=""),"",SUMIFS('Barang Keluar'!$E:$E,'Barang Keluar'!$A:$A,M175,'Barang Keluar'!$C:$C,N175))</f>
        <v>0</v>
      </c>
    </row>
    <row r="176" spans="1:16">
      <c r="A176">
        <f>IFERROR('Master Barang'!A171,"")</f>
        <v>0</v>
      </c>
      <c r="B176">
        <f>IFERROR('Master Barang'!B171,"")</f>
        <v>0</v>
      </c>
      <c r="C176">
        <f>IFERROR('Master Barang'!D171,"")</f>
        <v>0</v>
      </c>
      <c r="D176">
        <f>IF(A176="","",SUMIFS('Barang Keluar'!$E:$E,'Barang Keluar'!$C:$C,A176,'Barang Keluar'!$A:$A,"&gt;="&amp;$A$4,'Barang Keluar'!$A:$A,"&lt;="&amp;$B$4))</f>
        <v>0</v>
      </c>
      <c r="F176" s="49">
        <f>IF($A$4+ROW()-8&gt;$B$4,"",$A$4+ROW()-8)</f>
        <v>46191</v>
      </c>
      <c r="G176">
        <f>IF(F176="","",SUMIFS('Barang Keluar'!$E:$E,'Barang Keluar'!$A:$A,F176))</f>
        <v>0</v>
      </c>
      <c r="M176" s="49">
        <f>IF($A$4+1&gt;$B$4,"",$A$4+1)</f>
        <v>46024</v>
      </c>
      <c r="N176">
        <f>IF(M176="","",'Master Barang'!A70)</f>
        <v>0</v>
      </c>
      <c r="O176">
        <f>IF(N176="","",'Master Barang'!B70)</f>
        <v>0</v>
      </c>
      <c r="P176">
        <f>IF(OR(M176="",N176=""),"",SUMIFS('Barang Keluar'!$E:$E,'Barang Keluar'!$A:$A,M176,'Barang Keluar'!$C:$C,N176))</f>
        <v>0</v>
      </c>
    </row>
    <row r="177" spans="1:16">
      <c r="A177">
        <f>IFERROR('Master Barang'!A172,"")</f>
        <v>0</v>
      </c>
      <c r="B177">
        <f>IFERROR('Master Barang'!B172,"")</f>
        <v>0</v>
      </c>
      <c r="C177">
        <f>IFERROR('Master Barang'!D172,"")</f>
        <v>0</v>
      </c>
      <c r="D177">
        <f>IF(A177="","",SUMIFS('Barang Keluar'!$E:$E,'Barang Keluar'!$C:$C,A177,'Barang Keluar'!$A:$A,"&gt;="&amp;$A$4,'Barang Keluar'!$A:$A,"&lt;="&amp;$B$4))</f>
        <v>0</v>
      </c>
      <c r="F177" s="49">
        <f>IF($A$4+ROW()-8&gt;$B$4,"",$A$4+ROW()-8)</f>
        <v>46192</v>
      </c>
      <c r="G177">
        <f>IF(F177="","",SUMIFS('Barang Keluar'!$E:$E,'Barang Keluar'!$A:$A,F177))</f>
        <v>0</v>
      </c>
      <c r="M177" s="49">
        <f>IF($A$4+1&gt;$B$4,"",$A$4+1)</f>
        <v>46024</v>
      </c>
      <c r="N177">
        <f>IF(M177="","",'Master Barang'!A71)</f>
        <v>0</v>
      </c>
      <c r="O177">
        <f>IF(N177="","",'Master Barang'!B71)</f>
        <v>0</v>
      </c>
      <c r="P177">
        <f>IF(OR(M177="",N177=""),"",SUMIFS('Barang Keluar'!$E:$E,'Barang Keluar'!$A:$A,M177,'Barang Keluar'!$C:$C,N177))</f>
        <v>0</v>
      </c>
    </row>
    <row r="178" spans="1:16">
      <c r="A178">
        <f>IFERROR('Master Barang'!A173,"")</f>
        <v>0</v>
      </c>
      <c r="B178">
        <f>IFERROR('Master Barang'!B173,"")</f>
        <v>0</v>
      </c>
      <c r="C178">
        <f>IFERROR('Master Barang'!D173,"")</f>
        <v>0</v>
      </c>
      <c r="D178">
        <f>IF(A178="","",SUMIFS('Barang Keluar'!$E:$E,'Barang Keluar'!$C:$C,A178,'Barang Keluar'!$A:$A,"&gt;="&amp;$A$4,'Barang Keluar'!$A:$A,"&lt;="&amp;$B$4))</f>
        <v>0</v>
      </c>
      <c r="F178" s="49">
        <f>IF($A$4+ROW()-8&gt;$B$4,"",$A$4+ROW()-8)</f>
        <v>46193</v>
      </c>
      <c r="G178">
        <f>IF(F178="","",SUMIFS('Barang Keluar'!$E:$E,'Barang Keluar'!$A:$A,F178))</f>
        <v>0</v>
      </c>
      <c r="M178" s="49">
        <f>IF($A$4+1&gt;$B$4,"",$A$4+1)</f>
        <v>46024</v>
      </c>
      <c r="N178">
        <f>IF(M178="","",'Master Barang'!A72)</f>
        <v>0</v>
      </c>
      <c r="O178">
        <f>IF(N178="","",'Master Barang'!B72)</f>
        <v>0</v>
      </c>
      <c r="P178">
        <f>IF(OR(M178="",N178=""),"",SUMIFS('Barang Keluar'!$E:$E,'Barang Keluar'!$A:$A,M178,'Barang Keluar'!$C:$C,N178))</f>
        <v>0</v>
      </c>
    </row>
    <row r="179" spans="1:16">
      <c r="A179">
        <f>IFERROR('Master Barang'!A174,"")</f>
        <v>0</v>
      </c>
      <c r="B179">
        <f>IFERROR('Master Barang'!B174,"")</f>
        <v>0</v>
      </c>
      <c r="C179">
        <f>IFERROR('Master Barang'!D174,"")</f>
        <v>0</v>
      </c>
      <c r="D179">
        <f>IF(A179="","",SUMIFS('Barang Keluar'!$E:$E,'Barang Keluar'!$C:$C,A179,'Barang Keluar'!$A:$A,"&gt;="&amp;$A$4,'Barang Keluar'!$A:$A,"&lt;="&amp;$B$4))</f>
        <v>0</v>
      </c>
      <c r="F179" s="49">
        <f>IF($A$4+ROW()-8&gt;$B$4,"",$A$4+ROW()-8)</f>
        <v>46194</v>
      </c>
      <c r="G179">
        <f>IF(F179="","",SUMIFS('Barang Keluar'!$E:$E,'Barang Keluar'!$A:$A,F179))</f>
        <v>0</v>
      </c>
      <c r="M179" s="49">
        <f>IF($A$4+1&gt;$B$4,"",$A$4+1)</f>
        <v>46024</v>
      </c>
      <c r="N179">
        <f>IF(M179="","",'Master Barang'!A73)</f>
        <v>0</v>
      </c>
      <c r="O179">
        <f>IF(N179="","",'Master Barang'!B73)</f>
        <v>0</v>
      </c>
      <c r="P179">
        <f>IF(OR(M179="",N179=""),"",SUMIFS('Barang Keluar'!$E:$E,'Barang Keluar'!$A:$A,M179,'Barang Keluar'!$C:$C,N179))</f>
        <v>0</v>
      </c>
    </row>
    <row r="180" spans="1:16">
      <c r="A180">
        <f>IFERROR('Master Barang'!A175,"")</f>
        <v>0</v>
      </c>
      <c r="B180">
        <f>IFERROR('Master Barang'!B175,"")</f>
        <v>0</v>
      </c>
      <c r="C180">
        <f>IFERROR('Master Barang'!D175,"")</f>
        <v>0</v>
      </c>
      <c r="D180">
        <f>IF(A180="","",SUMIFS('Barang Keluar'!$E:$E,'Barang Keluar'!$C:$C,A180,'Barang Keluar'!$A:$A,"&gt;="&amp;$A$4,'Barang Keluar'!$A:$A,"&lt;="&amp;$B$4))</f>
        <v>0</v>
      </c>
      <c r="F180" s="49">
        <f>IF($A$4+ROW()-8&gt;$B$4,"",$A$4+ROW()-8)</f>
        <v>46195</v>
      </c>
      <c r="G180">
        <f>IF(F180="","",SUMIFS('Barang Keluar'!$E:$E,'Barang Keluar'!$A:$A,F180))</f>
        <v>0</v>
      </c>
      <c r="M180" s="49">
        <f>IF($A$4+1&gt;$B$4,"",$A$4+1)</f>
        <v>46024</v>
      </c>
      <c r="N180">
        <f>IF(M180="","",'Master Barang'!A74)</f>
        <v>0</v>
      </c>
      <c r="O180">
        <f>IF(N180="","",'Master Barang'!B74)</f>
        <v>0</v>
      </c>
      <c r="P180">
        <f>IF(OR(M180="",N180=""),"",SUMIFS('Barang Keluar'!$E:$E,'Barang Keluar'!$A:$A,M180,'Barang Keluar'!$C:$C,N180))</f>
        <v>0</v>
      </c>
    </row>
    <row r="181" spans="1:16">
      <c r="A181">
        <f>IFERROR('Master Barang'!A176,"")</f>
        <v>0</v>
      </c>
      <c r="B181">
        <f>IFERROR('Master Barang'!B176,"")</f>
        <v>0</v>
      </c>
      <c r="C181">
        <f>IFERROR('Master Barang'!D176,"")</f>
        <v>0</v>
      </c>
      <c r="D181">
        <f>IF(A181="","",SUMIFS('Barang Keluar'!$E:$E,'Barang Keluar'!$C:$C,A181,'Barang Keluar'!$A:$A,"&gt;="&amp;$A$4,'Barang Keluar'!$A:$A,"&lt;="&amp;$B$4))</f>
        <v>0</v>
      </c>
      <c r="F181" s="49">
        <f>IF($A$4+ROW()-8&gt;$B$4,"",$A$4+ROW()-8)</f>
        <v>46196</v>
      </c>
      <c r="G181">
        <f>IF(F181="","",SUMIFS('Barang Keluar'!$E:$E,'Barang Keluar'!$A:$A,F181))</f>
        <v>0</v>
      </c>
      <c r="M181" s="49">
        <f>IF($A$4+1&gt;$B$4,"",$A$4+1)</f>
        <v>46024</v>
      </c>
      <c r="N181">
        <f>IF(M181="","",'Master Barang'!A75)</f>
        <v>0</v>
      </c>
      <c r="O181">
        <f>IF(N181="","",'Master Barang'!B75)</f>
        <v>0</v>
      </c>
      <c r="P181">
        <f>IF(OR(M181="",N181=""),"",SUMIFS('Barang Keluar'!$E:$E,'Barang Keluar'!$A:$A,M181,'Barang Keluar'!$C:$C,N181))</f>
        <v>0</v>
      </c>
    </row>
    <row r="182" spans="1:16">
      <c r="A182">
        <f>IFERROR('Master Barang'!A177,"")</f>
        <v>0</v>
      </c>
      <c r="B182">
        <f>IFERROR('Master Barang'!B177,"")</f>
        <v>0</v>
      </c>
      <c r="C182">
        <f>IFERROR('Master Barang'!D177,"")</f>
        <v>0</v>
      </c>
      <c r="D182">
        <f>IF(A182="","",SUMIFS('Barang Keluar'!$E:$E,'Barang Keluar'!$C:$C,A182,'Barang Keluar'!$A:$A,"&gt;="&amp;$A$4,'Barang Keluar'!$A:$A,"&lt;="&amp;$B$4))</f>
        <v>0</v>
      </c>
      <c r="F182" s="49">
        <f>IF($A$4+ROW()-8&gt;$B$4,"",$A$4+ROW()-8)</f>
        <v>46197</v>
      </c>
      <c r="G182">
        <f>IF(F182="","",SUMIFS('Barang Keluar'!$E:$E,'Barang Keluar'!$A:$A,F182))</f>
        <v>0</v>
      </c>
      <c r="M182" s="49">
        <f>IF($A$4+1&gt;$B$4,"",$A$4+1)</f>
        <v>46024</v>
      </c>
      <c r="N182">
        <f>IF(M182="","",'Master Barang'!A76)</f>
        <v>0</v>
      </c>
      <c r="O182">
        <f>IF(N182="","",'Master Barang'!B76)</f>
        <v>0</v>
      </c>
      <c r="P182">
        <f>IF(OR(M182="",N182=""),"",SUMIFS('Barang Keluar'!$E:$E,'Barang Keluar'!$A:$A,M182,'Barang Keluar'!$C:$C,N182))</f>
        <v>0</v>
      </c>
    </row>
    <row r="183" spans="1:16">
      <c r="A183">
        <f>IFERROR('Master Barang'!A178,"")</f>
        <v>0</v>
      </c>
      <c r="B183">
        <f>IFERROR('Master Barang'!B178,"")</f>
        <v>0</v>
      </c>
      <c r="C183">
        <f>IFERROR('Master Barang'!D178,"")</f>
        <v>0</v>
      </c>
      <c r="D183">
        <f>IF(A183="","",SUMIFS('Barang Keluar'!$E:$E,'Barang Keluar'!$C:$C,A183,'Barang Keluar'!$A:$A,"&gt;="&amp;$A$4,'Barang Keluar'!$A:$A,"&lt;="&amp;$B$4))</f>
        <v>0</v>
      </c>
      <c r="F183" s="49">
        <f>IF($A$4+ROW()-8&gt;$B$4,"",$A$4+ROW()-8)</f>
        <v>46198</v>
      </c>
      <c r="G183">
        <f>IF(F183="","",SUMIFS('Barang Keluar'!$E:$E,'Barang Keluar'!$A:$A,F183))</f>
        <v>0</v>
      </c>
      <c r="M183" s="49">
        <f>IF($A$4+1&gt;$B$4,"",$A$4+1)</f>
        <v>46024</v>
      </c>
      <c r="N183">
        <f>IF(M183="","",'Master Barang'!A77)</f>
        <v>0</v>
      </c>
      <c r="O183">
        <f>IF(N183="","",'Master Barang'!B77)</f>
        <v>0</v>
      </c>
      <c r="P183">
        <f>IF(OR(M183="",N183=""),"",SUMIFS('Barang Keluar'!$E:$E,'Barang Keluar'!$A:$A,M183,'Barang Keluar'!$C:$C,N183))</f>
        <v>0</v>
      </c>
    </row>
    <row r="184" spans="1:16">
      <c r="A184">
        <f>IFERROR('Master Barang'!A179,"")</f>
        <v>0</v>
      </c>
      <c r="B184">
        <f>IFERROR('Master Barang'!B179,"")</f>
        <v>0</v>
      </c>
      <c r="C184">
        <f>IFERROR('Master Barang'!D179,"")</f>
        <v>0</v>
      </c>
      <c r="D184">
        <f>IF(A184="","",SUMIFS('Barang Keluar'!$E:$E,'Barang Keluar'!$C:$C,A184,'Barang Keluar'!$A:$A,"&gt;="&amp;$A$4,'Barang Keluar'!$A:$A,"&lt;="&amp;$B$4))</f>
        <v>0</v>
      </c>
      <c r="F184" s="49">
        <f>IF($A$4+ROW()-8&gt;$B$4,"",$A$4+ROW()-8)</f>
        <v>46199</v>
      </c>
      <c r="G184">
        <f>IF(F184="","",SUMIFS('Barang Keluar'!$E:$E,'Barang Keluar'!$A:$A,F184))</f>
        <v>0</v>
      </c>
      <c r="M184" s="49">
        <f>IF($A$4+1&gt;$B$4,"",$A$4+1)</f>
        <v>46024</v>
      </c>
      <c r="N184">
        <f>IF(M184="","",'Master Barang'!A78)</f>
        <v>0</v>
      </c>
      <c r="O184">
        <f>IF(N184="","",'Master Barang'!B78)</f>
        <v>0</v>
      </c>
      <c r="P184">
        <f>IF(OR(M184="",N184=""),"",SUMIFS('Barang Keluar'!$E:$E,'Barang Keluar'!$A:$A,M184,'Barang Keluar'!$C:$C,N184))</f>
        <v>0</v>
      </c>
    </row>
    <row r="185" spans="1:16">
      <c r="A185">
        <f>IFERROR('Master Barang'!A180,"")</f>
        <v>0</v>
      </c>
      <c r="B185">
        <f>IFERROR('Master Barang'!B180,"")</f>
        <v>0</v>
      </c>
      <c r="C185">
        <f>IFERROR('Master Barang'!D180,"")</f>
        <v>0</v>
      </c>
      <c r="D185">
        <f>IF(A185="","",SUMIFS('Barang Keluar'!$E:$E,'Barang Keluar'!$C:$C,A185,'Barang Keluar'!$A:$A,"&gt;="&amp;$A$4,'Barang Keluar'!$A:$A,"&lt;="&amp;$B$4))</f>
        <v>0</v>
      </c>
      <c r="F185" s="49">
        <f>IF($A$4+ROW()-8&gt;$B$4,"",$A$4+ROW()-8)</f>
        <v>46200</v>
      </c>
      <c r="G185">
        <f>IF(F185="","",SUMIFS('Barang Keluar'!$E:$E,'Barang Keluar'!$A:$A,F185))</f>
        <v>0</v>
      </c>
      <c r="M185" s="49">
        <f>IF($A$4+1&gt;$B$4,"",$A$4+1)</f>
        <v>46024</v>
      </c>
      <c r="N185">
        <f>IF(M185="","",'Master Barang'!A79)</f>
        <v>0</v>
      </c>
      <c r="O185">
        <f>IF(N185="","",'Master Barang'!B79)</f>
        <v>0</v>
      </c>
      <c r="P185">
        <f>IF(OR(M185="",N185=""),"",SUMIFS('Barang Keluar'!$E:$E,'Barang Keluar'!$A:$A,M185,'Barang Keluar'!$C:$C,N185))</f>
        <v>0</v>
      </c>
    </row>
    <row r="186" spans="1:16">
      <c r="A186">
        <f>IFERROR('Master Barang'!A181,"")</f>
        <v>0</v>
      </c>
      <c r="B186">
        <f>IFERROR('Master Barang'!B181,"")</f>
        <v>0</v>
      </c>
      <c r="C186">
        <f>IFERROR('Master Barang'!D181,"")</f>
        <v>0</v>
      </c>
      <c r="D186">
        <f>IF(A186="","",SUMIFS('Barang Keluar'!$E:$E,'Barang Keluar'!$C:$C,A186,'Barang Keluar'!$A:$A,"&gt;="&amp;$A$4,'Barang Keluar'!$A:$A,"&lt;="&amp;$B$4))</f>
        <v>0</v>
      </c>
      <c r="F186" s="49">
        <f>IF($A$4+ROW()-8&gt;$B$4,"",$A$4+ROW()-8)</f>
        <v>46201</v>
      </c>
      <c r="G186">
        <f>IF(F186="","",SUMIFS('Barang Keluar'!$E:$E,'Barang Keluar'!$A:$A,F186))</f>
        <v>0</v>
      </c>
      <c r="M186" s="49">
        <f>IF($A$4+1&gt;$B$4,"",$A$4+1)</f>
        <v>46024</v>
      </c>
      <c r="N186">
        <f>IF(M186="","",'Master Barang'!A80)</f>
        <v>0</v>
      </c>
      <c r="O186">
        <f>IF(N186="","",'Master Barang'!B80)</f>
        <v>0</v>
      </c>
      <c r="P186">
        <f>IF(OR(M186="",N186=""),"",SUMIFS('Barang Keluar'!$E:$E,'Barang Keluar'!$A:$A,M186,'Barang Keluar'!$C:$C,N186))</f>
        <v>0</v>
      </c>
    </row>
    <row r="187" spans="1:16">
      <c r="A187">
        <f>IFERROR('Master Barang'!A182,"")</f>
        <v>0</v>
      </c>
      <c r="B187">
        <f>IFERROR('Master Barang'!B182,"")</f>
        <v>0</v>
      </c>
      <c r="C187">
        <f>IFERROR('Master Barang'!D182,"")</f>
        <v>0</v>
      </c>
      <c r="D187">
        <f>IF(A187="","",SUMIFS('Barang Keluar'!$E:$E,'Barang Keluar'!$C:$C,A187,'Barang Keluar'!$A:$A,"&gt;="&amp;$A$4,'Barang Keluar'!$A:$A,"&lt;="&amp;$B$4))</f>
        <v>0</v>
      </c>
      <c r="F187" s="49">
        <f>IF($A$4+ROW()-8&gt;$B$4,"",$A$4+ROW()-8)</f>
        <v>46202</v>
      </c>
      <c r="G187">
        <f>IF(F187="","",SUMIFS('Barang Keluar'!$E:$E,'Barang Keluar'!$A:$A,F187))</f>
        <v>0</v>
      </c>
      <c r="M187" s="49">
        <f>IF($A$4+1&gt;$B$4,"",$A$4+1)</f>
        <v>46024</v>
      </c>
      <c r="N187">
        <f>IF(M187="","",'Master Barang'!A81)</f>
        <v>0</v>
      </c>
      <c r="O187">
        <f>IF(N187="","",'Master Barang'!B81)</f>
        <v>0</v>
      </c>
      <c r="P187">
        <f>IF(OR(M187="",N187=""),"",SUMIFS('Barang Keluar'!$E:$E,'Barang Keluar'!$A:$A,M187,'Barang Keluar'!$C:$C,N187))</f>
        <v>0</v>
      </c>
    </row>
    <row r="188" spans="1:16">
      <c r="A188">
        <f>IFERROR('Master Barang'!A183,"")</f>
        <v>0</v>
      </c>
      <c r="B188">
        <f>IFERROR('Master Barang'!B183,"")</f>
        <v>0</v>
      </c>
      <c r="C188">
        <f>IFERROR('Master Barang'!D183,"")</f>
        <v>0</v>
      </c>
      <c r="D188">
        <f>IF(A188="","",SUMIFS('Barang Keluar'!$E:$E,'Barang Keluar'!$C:$C,A188,'Barang Keluar'!$A:$A,"&gt;="&amp;$A$4,'Barang Keluar'!$A:$A,"&lt;="&amp;$B$4))</f>
        <v>0</v>
      </c>
      <c r="F188" s="49">
        <f>IF($A$4+ROW()-8&gt;$B$4,"",$A$4+ROW()-8)</f>
        <v>46203</v>
      </c>
      <c r="G188">
        <f>IF(F188="","",SUMIFS('Barang Keluar'!$E:$E,'Barang Keluar'!$A:$A,F188))</f>
        <v>0</v>
      </c>
      <c r="M188" s="49">
        <f>IF($A$4+1&gt;$B$4,"",$A$4+1)</f>
        <v>46024</v>
      </c>
      <c r="N188">
        <f>IF(M188="","",'Master Barang'!A82)</f>
        <v>0</v>
      </c>
      <c r="O188">
        <f>IF(N188="","",'Master Barang'!B82)</f>
        <v>0</v>
      </c>
      <c r="P188">
        <f>IF(OR(M188="",N188=""),"",SUMIFS('Barang Keluar'!$E:$E,'Barang Keluar'!$A:$A,M188,'Barang Keluar'!$C:$C,N188))</f>
        <v>0</v>
      </c>
    </row>
    <row r="189" spans="1:16">
      <c r="A189">
        <f>IFERROR('Master Barang'!A184,"")</f>
        <v>0</v>
      </c>
      <c r="B189">
        <f>IFERROR('Master Barang'!B184,"")</f>
        <v>0</v>
      </c>
      <c r="C189">
        <f>IFERROR('Master Barang'!D184,"")</f>
        <v>0</v>
      </c>
      <c r="D189">
        <f>IF(A189="","",SUMIFS('Barang Keluar'!$E:$E,'Barang Keluar'!$C:$C,A189,'Barang Keluar'!$A:$A,"&gt;="&amp;$A$4,'Barang Keluar'!$A:$A,"&lt;="&amp;$B$4))</f>
        <v>0</v>
      </c>
      <c r="F189" s="49">
        <f>IF($A$4+ROW()-8&gt;$B$4,"",$A$4+ROW()-8)</f>
        <v>46204</v>
      </c>
      <c r="G189">
        <f>IF(F189="","",SUMIFS('Barang Keluar'!$E:$E,'Barang Keluar'!$A:$A,F189))</f>
        <v>0</v>
      </c>
      <c r="M189" s="49">
        <f>IF($A$4+1&gt;$B$4,"",$A$4+1)</f>
        <v>46024</v>
      </c>
      <c r="N189">
        <f>IF(M189="","",'Master Barang'!A83)</f>
        <v>0</v>
      </c>
      <c r="O189">
        <f>IF(N189="","",'Master Barang'!B83)</f>
        <v>0</v>
      </c>
      <c r="P189">
        <f>IF(OR(M189="",N189=""),"",SUMIFS('Barang Keluar'!$E:$E,'Barang Keluar'!$A:$A,M189,'Barang Keluar'!$C:$C,N189))</f>
        <v>0</v>
      </c>
    </row>
    <row r="190" spans="1:16">
      <c r="A190">
        <f>IFERROR('Master Barang'!A185,"")</f>
        <v>0</v>
      </c>
      <c r="B190">
        <f>IFERROR('Master Barang'!B185,"")</f>
        <v>0</v>
      </c>
      <c r="C190">
        <f>IFERROR('Master Barang'!D185,"")</f>
        <v>0</v>
      </c>
      <c r="D190">
        <f>IF(A190="","",SUMIFS('Barang Keluar'!$E:$E,'Barang Keluar'!$C:$C,A190,'Barang Keluar'!$A:$A,"&gt;="&amp;$A$4,'Barang Keluar'!$A:$A,"&lt;="&amp;$B$4))</f>
        <v>0</v>
      </c>
      <c r="F190" s="49">
        <f>IF($A$4+ROW()-8&gt;$B$4,"",$A$4+ROW()-8)</f>
        <v>46205</v>
      </c>
      <c r="G190">
        <f>IF(F190="","",SUMIFS('Barang Keluar'!$E:$E,'Barang Keluar'!$A:$A,F190))</f>
        <v>0</v>
      </c>
      <c r="M190" s="49">
        <f>IF($A$4+1&gt;$B$4,"",$A$4+1)</f>
        <v>46024</v>
      </c>
      <c r="N190">
        <f>IF(M190="","",'Master Barang'!A84)</f>
        <v>0</v>
      </c>
      <c r="O190">
        <f>IF(N190="","",'Master Barang'!B84)</f>
        <v>0</v>
      </c>
      <c r="P190">
        <f>IF(OR(M190="",N190=""),"",SUMIFS('Barang Keluar'!$E:$E,'Barang Keluar'!$A:$A,M190,'Barang Keluar'!$C:$C,N190))</f>
        <v>0</v>
      </c>
    </row>
    <row r="191" spans="1:16">
      <c r="A191">
        <f>IFERROR('Master Barang'!A186,"")</f>
        <v>0</v>
      </c>
      <c r="B191">
        <f>IFERROR('Master Barang'!B186,"")</f>
        <v>0</v>
      </c>
      <c r="C191">
        <f>IFERROR('Master Barang'!D186,"")</f>
        <v>0</v>
      </c>
      <c r="D191">
        <f>IF(A191="","",SUMIFS('Barang Keluar'!$E:$E,'Barang Keluar'!$C:$C,A191,'Barang Keluar'!$A:$A,"&gt;="&amp;$A$4,'Barang Keluar'!$A:$A,"&lt;="&amp;$B$4))</f>
        <v>0</v>
      </c>
      <c r="F191" s="49">
        <f>IF($A$4+ROW()-8&gt;$B$4,"",$A$4+ROW()-8)</f>
        <v>46206</v>
      </c>
      <c r="G191">
        <f>IF(F191="","",SUMIFS('Barang Keluar'!$E:$E,'Barang Keluar'!$A:$A,F191))</f>
        <v>0</v>
      </c>
      <c r="M191" s="49">
        <f>IF($A$4+1&gt;$B$4,"",$A$4+1)</f>
        <v>46024</v>
      </c>
      <c r="N191">
        <f>IF(M191="","",'Master Barang'!A85)</f>
        <v>0</v>
      </c>
      <c r="O191">
        <f>IF(N191="","",'Master Barang'!B85)</f>
        <v>0</v>
      </c>
      <c r="P191">
        <f>IF(OR(M191="",N191=""),"",SUMIFS('Barang Keluar'!$E:$E,'Barang Keluar'!$A:$A,M191,'Barang Keluar'!$C:$C,N191))</f>
        <v>0</v>
      </c>
    </row>
    <row r="192" spans="1:16">
      <c r="A192">
        <f>IFERROR('Master Barang'!A187,"")</f>
        <v>0</v>
      </c>
      <c r="B192">
        <f>IFERROR('Master Barang'!B187,"")</f>
        <v>0</v>
      </c>
      <c r="C192">
        <f>IFERROR('Master Barang'!D187,"")</f>
        <v>0</v>
      </c>
      <c r="D192">
        <f>IF(A192="","",SUMIFS('Barang Keluar'!$E:$E,'Barang Keluar'!$C:$C,A192,'Barang Keluar'!$A:$A,"&gt;="&amp;$A$4,'Barang Keluar'!$A:$A,"&lt;="&amp;$B$4))</f>
        <v>0</v>
      </c>
      <c r="F192" s="49">
        <f>IF($A$4+ROW()-8&gt;$B$4,"",$A$4+ROW()-8)</f>
        <v>46207</v>
      </c>
      <c r="G192">
        <f>IF(F192="","",SUMIFS('Barang Keluar'!$E:$E,'Barang Keluar'!$A:$A,F192))</f>
        <v>0</v>
      </c>
      <c r="M192" s="49">
        <f>IF($A$4+1&gt;$B$4,"",$A$4+1)</f>
        <v>46024</v>
      </c>
      <c r="N192">
        <f>IF(M192="","",'Master Barang'!A86)</f>
        <v>0</v>
      </c>
      <c r="O192">
        <f>IF(N192="","",'Master Barang'!B86)</f>
        <v>0</v>
      </c>
      <c r="P192">
        <f>IF(OR(M192="",N192=""),"",SUMIFS('Barang Keluar'!$E:$E,'Barang Keluar'!$A:$A,M192,'Barang Keluar'!$C:$C,N192))</f>
        <v>0</v>
      </c>
    </row>
    <row r="193" spans="1:16">
      <c r="A193">
        <f>IFERROR('Master Barang'!A188,"")</f>
        <v>0</v>
      </c>
      <c r="B193">
        <f>IFERROR('Master Barang'!B188,"")</f>
        <v>0</v>
      </c>
      <c r="C193">
        <f>IFERROR('Master Barang'!D188,"")</f>
        <v>0</v>
      </c>
      <c r="D193">
        <f>IF(A193="","",SUMIFS('Barang Keluar'!$E:$E,'Barang Keluar'!$C:$C,A193,'Barang Keluar'!$A:$A,"&gt;="&amp;$A$4,'Barang Keluar'!$A:$A,"&lt;="&amp;$B$4))</f>
        <v>0</v>
      </c>
      <c r="F193" s="49">
        <f>IF($A$4+ROW()-8&gt;$B$4,"",$A$4+ROW()-8)</f>
        <v>46208</v>
      </c>
      <c r="G193">
        <f>IF(F193="","",SUMIFS('Barang Keluar'!$E:$E,'Barang Keluar'!$A:$A,F193))</f>
        <v>0</v>
      </c>
      <c r="M193" s="49">
        <f>IF($A$4+1&gt;$B$4,"",$A$4+1)</f>
        <v>46024</v>
      </c>
      <c r="N193">
        <f>IF(M193="","",'Master Barang'!A87)</f>
        <v>0</v>
      </c>
      <c r="O193">
        <f>IF(N193="","",'Master Barang'!B87)</f>
        <v>0</v>
      </c>
      <c r="P193">
        <f>IF(OR(M193="",N193=""),"",SUMIFS('Barang Keluar'!$E:$E,'Barang Keluar'!$A:$A,M193,'Barang Keluar'!$C:$C,N193))</f>
        <v>0</v>
      </c>
    </row>
    <row r="194" spans="1:16">
      <c r="A194">
        <f>IFERROR('Master Barang'!A189,"")</f>
        <v>0</v>
      </c>
      <c r="B194">
        <f>IFERROR('Master Barang'!B189,"")</f>
        <v>0</v>
      </c>
      <c r="C194">
        <f>IFERROR('Master Barang'!D189,"")</f>
        <v>0</v>
      </c>
      <c r="D194">
        <f>IF(A194="","",SUMIFS('Barang Keluar'!$E:$E,'Barang Keluar'!$C:$C,A194,'Barang Keluar'!$A:$A,"&gt;="&amp;$A$4,'Barang Keluar'!$A:$A,"&lt;="&amp;$B$4))</f>
        <v>0</v>
      </c>
      <c r="F194" s="49">
        <f>IF($A$4+ROW()-8&gt;$B$4,"",$A$4+ROW()-8)</f>
        <v>46209</v>
      </c>
      <c r="G194">
        <f>IF(F194="","",SUMIFS('Barang Keluar'!$E:$E,'Barang Keluar'!$A:$A,F194))</f>
        <v>0</v>
      </c>
      <c r="M194" s="49">
        <f>IF($A$4+1&gt;$B$4,"",$A$4+1)</f>
        <v>46024</v>
      </c>
      <c r="N194">
        <f>IF(M194="","",'Master Barang'!A88)</f>
        <v>0</v>
      </c>
      <c r="O194">
        <f>IF(N194="","",'Master Barang'!B88)</f>
        <v>0</v>
      </c>
      <c r="P194">
        <f>IF(OR(M194="",N194=""),"",SUMIFS('Barang Keluar'!$E:$E,'Barang Keluar'!$A:$A,M194,'Barang Keluar'!$C:$C,N194))</f>
        <v>0</v>
      </c>
    </row>
    <row r="195" spans="1:16">
      <c r="A195">
        <f>IFERROR('Master Barang'!A190,"")</f>
        <v>0</v>
      </c>
      <c r="B195">
        <f>IFERROR('Master Barang'!B190,"")</f>
        <v>0</v>
      </c>
      <c r="C195">
        <f>IFERROR('Master Barang'!D190,"")</f>
        <v>0</v>
      </c>
      <c r="D195">
        <f>IF(A195="","",SUMIFS('Barang Keluar'!$E:$E,'Barang Keluar'!$C:$C,A195,'Barang Keluar'!$A:$A,"&gt;="&amp;$A$4,'Barang Keluar'!$A:$A,"&lt;="&amp;$B$4))</f>
        <v>0</v>
      </c>
      <c r="F195" s="49">
        <f>IF($A$4+ROW()-8&gt;$B$4,"",$A$4+ROW()-8)</f>
        <v>46210</v>
      </c>
      <c r="G195">
        <f>IF(F195="","",SUMIFS('Barang Keluar'!$E:$E,'Barang Keluar'!$A:$A,F195))</f>
        <v>0</v>
      </c>
      <c r="M195" s="49">
        <f>IF($A$4+1&gt;$B$4,"",$A$4+1)</f>
        <v>46024</v>
      </c>
      <c r="N195">
        <f>IF(M195="","",'Master Barang'!A89)</f>
        <v>0</v>
      </c>
      <c r="O195">
        <f>IF(N195="","",'Master Barang'!B89)</f>
        <v>0</v>
      </c>
      <c r="P195">
        <f>IF(OR(M195="",N195=""),"",SUMIFS('Barang Keluar'!$E:$E,'Barang Keluar'!$A:$A,M195,'Barang Keluar'!$C:$C,N195))</f>
        <v>0</v>
      </c>
    </row>
    <row r="196" spans="1:16">
      <c r="A196">
        <f>IFERROR('Master Barang'!A191,"")</f>
        <v>0</v>
      </c>
      <c r="B196">
        <f>IFERROR('Master Barang'!B191,"")</f>
        <v>0</v>
      </c>
      <c r="C196">
        <f>IFERROR('Master Barang'!D191,"")</f>
        <v>0</v>
      </c>
      <c r="D196">
        <f>IF(A196="","",SUMIFS('Barang Keluar'!$E:$E,'Barang Keluar'!$C:$C,A196,'Barang Keluar'!$A:$A,"&gt;="&amp;$A$4,'Barang Keluar'!$A:$A,"&lt;="&amp;$B$4))</f>
        <v>0</v>
      </c>
      <c r="F196" s="49">
        <f>IF($A$4+ROW()-8&gt;$B$4,"",$A$4+ROW()-8)</f>
        <v>46211</v>
      </c>
      <c r="G196">
        <f>IF(F196="","",SUMIFS('Barang Keluar'!$E:$E,'Barang Keluar'!$A:$A,F196))</f>
        <v>0</v>
      </c>
      <c r="M196" s="49">
        <f>IF($A$4+1&gt;$B$4,"",$A$4+1)</f>
        <v>46024</v>
      </c>
      <c r="N196">
        <f>IF(M196="","",'Master Barang'!A90)</f>
        <v>0</v>
      </c>
      <c r="O196">
        <f>IF(N196="","",'Master Barang'!B90)</f>
        <v>0</v>
      </c>
      <c r="P196">
        <f>IF(OR(M196="",N196=""),"",SUMIFS('Barang Keluar'!$E:$E,'Barang Keluar'!$A:$A,M196,'Barang Keluar'!$C:$C,N196))</f>
        <v>0</v>
      </c>
    </row>
    <row r="197" spans="1:16">
      <c r="A197">
        <f>IFERROR('Master Barang'!A192,"")</f>
        <v>0</v>
      </c>
      <c r="B197">
        <f>IFERROR('Master Barang'!B192,"")</f>
        <v>0</v>
      </c>
      <c r="C197">
        <f>IFERROR('Master Barang'!D192,"")</f>
        <v>0</v>
      </c>
      <c r="D197">
        <f>IF(A197="","",SUMIFS('Barang Keluar'!$E:$E,'Barang Keluar'!$C:$C,A197,'Barang Keluar'!$A:$A,"&gt;="&amp;$A$4,'Barang Keluar'!$A:$A,"&lt;="&amp;$B$4))</f>
        <v>0</v>
      </c>
      <c r="F197" s="49">
        <f>IF($A$4+ROW()-8&gt;$B$4,"",$A$4+ROW()-8)</f>
        <v>46212</v>
      </c>
      <c r="G197">
        <f>IF(F197="","",SUMIFS('Barang Keluar'!$E:$E,'Barang Keluar'!$A:$A,F197))</f>
        <v>0</v>
      </c>
      <c r="M197" s="49">
        <f>IF($A$4+1&gt;$B$4,"",$A$4+1)</f>
        <v>46024</v>
      </c>
      <c r="N197">
        <f>IF(M197="","",'Master Barang'!A91)</f>
        <v>0</v>
      </c>
      <c r="O197">
        <f>IF(N197="","",'Master Barang'!B91)</f>
        <v>0</v>
      </c>
      <c r="P197">
        <f>IF(OR(M197="",N197=""),"",SUMIFS('Barang Keluar'!$E:$E,'Barang Keluar'!$A:$A,M197,'Barang Keluar'!$C:$C,N197))</f>
        <v>0</v>
      </c>
    </row>
    <row r="198" spans="1:16">
      <c r="A198">
        <f>IFERROR('Master Barang'!A193,"")</f>
        <v>0</v>
      </c>
      <c r="B198">
        <f>IFERROR('Master Barang'!B193,"")</f>
        <v>0</v>
      </c>
      <c r="C198">
        <f>IFERROR('Master Barang'!D193,"")</f>
        <v>0</v>
      </c>
      <c r="D198">
        <f>IF(A198="","",SUMIFS('Barang Keluar'!$E:$E,'Barang Keluar'!$C:$C,A198,'Barang Keluar'!$A:$A,"&gt;="&amp;$A$4,'Barang Keluar'!$A:$A,"&lt;="&amp;$B$4))</f>
        <v>0</v>
      </c>
      <c r="F198" s="49">
        <f>IF($A$4+ROW()-8&gt;$B$4,"",$A$4+ROW()-8)</f>
        <v>46213</v>
      </c>
      <c r="G198">
        <f>IF(F198="","",SUMIFS('Barang Keluar'!$E:$E,'Barang Keluar'!$A:$A,F198))</f>
        <v>0</v>
      </c>
      <c r="M198" s="49">
        <f>IF($A$4+1&gt;$B$4,"",$A$4+1)</f>
        <v>46024</v>
      </c>
      <c r="N198">
        <f>IF(M198="","",'Master Barang'!A92)</f>
        <v>0</v>
      </c>
      <c r="O198">
        <f>IF(N198="","",'Master Barang'!B92)</f>
        <v>0</v>
      </c>
      <c r="P198">
        <f>IF(OR(M198="",N198=""),"",SUMIFS('Barang Keluar'!$E:$E,'Barang Keluar'!$A:$A,M198,'Barang Keluar'!$C:$C,N198))</f>
        <v>0</v>
      </c>
    </row>
    <row r="199" spans="1:16">
      <c r="A199">
        <f>IFERROR('Master Barang'!A194,"")</f>
        <v>0</v>
      </c>
      <c r="B199">
        <f>IFERROR('Master Barang'!B194,"")</f>
        <v>0</v>
      </c>
      <c r="C199">
        <f>IFERROR('Master Barang'!D194,"")</f>
        <v>0</v>
      </c>
      <c r="D199">
        <f>IF(A199="","",SUMIFS('Barang Keluar'!$E:$E,'Barang Keluar'!$C:$C,A199,'Barang Keluar'!$A:$A,"&gt;="&amp;$A$4,'Barang Keluar'!$A:$A,"&lt;="&amp;$B$4))</f>
        <v>0</v>
      </c>
      <c r="F199" s="49">
        <f>IF($A$4+ROW()-8&gt;$B$4,"",$A$4+ROW()-8)</f>
        <v>46214</v>
      </c>
      <c r="G199">
        <f>IF(F199="","",SUMIFS('Barang Keluar'!$E:$E,'Barang Keluar'!$A:$A,F199))</f>
        <v>0</v>
      </c>
      <c r="M199" s="49">
        <f>IF($A$4+1&gt;$B$4,"",$A$4+1)</f>
        <v>46024</v>
      </c>
      <c r="N199">
        <f>IF(M199="","",'Master Barang'!A93)</f>
        <v>0</v>
      </c>
      <c r="O199">
        <f>IF(N199="","",'Master Barang'!B93)</f>
        <v>0</v>
      </c>
      <c r="P199">
        <f>IF(OR(M199="",N199=""),"",SUMIFS('Barang Keluar'!$E:$E,'Barang Keluar'!$A:$A,M199,'Barang Keluar'!$C:$C,N199))</f>
        <v>0</v>
      </c>
    </row>
    <row r="200" spans="1:16">
      <c r="A200">
        <f>IFERROR('Master Barang'!A195,"")</f>
        <v>0</v>
      </c>
      <c r="B200">
        <f>IFERROR('Master Barang'!B195,"")</f>
        <v>0</v>
      </c>
      <c r="C200">
        <f>IFERROR('Master Barang'!D195,"")</f>
        <v>0</v>
      </c>
      <c r="D200">
        <f>IF(A200="","",SUMIFS('Barang Keluar'!$E:$E,'Barang Keluar'!$C:$C,A200,'Barang Keluar'!$A:$A,"&gt;="&amp;$A$4,'Barang Keluar'!$A:$A,"&lt;="&amp;$B$4))</f>
        <v>0</v>
      </c>
      <c r="F200" s="49">
        <f>IF($A$4+ROW()-8&gt;$B$4,"",$A$4+ROW()-8)</f>
        <v>46215</v>
      </c>
      <c r="G200">
        <f>IF(F200="","",SUMIFS('Barang Keluar'!$E:$E,'Barang Keluar'!$A:$A,F200))</f>
        <v>0</v>
      </c>
      <c r="M200" s="49">
        <f>IF($A$4+1&gt;$B$4,"",$A$4+1)</f>
        <v>46024</v>
      </c>
      <c r="N200">
        <f>IF(M200="","",'Master Barang'!A94)</f>
        <v>0</v>
      </c>
      <c r="O200">
        <f>IF(N200="","",'Master Barang'!B94)</f>
        <v>0</v>
      </c>
      <c r="P200">
        <f>IF(OR(M200="",N200=""),"",SUMIFS('Barang Keluar'!$E:$E,'Barang Keluar'!$A:$A,M200,'Barang Keluar'!$C:$C,N200))</f>
        <v>0</v>
      </c>
    </row>
    <row r="201" spans="1:16">
      <c r="A201">
        <f>IFERROR('Master Barang'!A196,"")</f>
        <v>0</v>
      </c>
      <c r="B201">
        <f>IFERROR('Master Barang'!B196,"")</f>
        <v>0</v>
      </c>
      <c r="C201">
        <f>IFERROR('Master Barang'!D196,"")</f>
        <v>0</v>
      </c>
      <c r="D201">
        <f>IF(A201="","",SUMIFS('Barang Keluar'!$E:$E,'Barang Keluar'!$C:$C,A201,'Barang Keluar'!$A:$A,"&gt;="&amp;$A$4,'Barang Keluar'!$A:$A,"&lt;="&amp;$B$4))</f>
        <v>0</v>
      </c>
      <c r="F201" s="49">
        <f>IF($A$4+ROW()-8&gt;$B$4,"",$A$4+ROW()-8)</f>
        <v>46216</v>
      </c>
      <c r="G201">
        <f>IF(F201="","",SUMIFS('Barang Keluar'!$E:$E,'Barang Keluar'!$A:$A,F201))</f>
        <v>0</v>
      </c>
      <c r="M201" s="49">
        <f>IF($A$4+1&gt;$B$4,"",$A$4+1)</f>
        <v>46024</v>
      </c>
      <c r="N201">
        <f>IF(M201="","",'Master Barang'!A95)</f>
        <v>0</v>
      </c>
      <c r="O201">
        <f>IF(N201="","",'Master Barang'!B95)</f>
        <v>0</v>
      </c>
      <c r="P201">
        <f>IF(OR(M201="",N201=""),"",SUMIFS('Barang Keluar'!$E:$E,'Barang Keluar'!$A:$A,M201,'Barang Keluar'!$C:$C,N201))</f>
        <v>0</v>
      </c>
    </row>
    <row r="202" spans="1:16">
      <c r="A202">
        <f>IFERROR('Master Barang'!A197,"")</f>
        <v>0</v>
      </c>
      <c r="B202">
        <f>IFERROR('Master Barang'!B197,"")</f>
        <v>0</v>
      </c>
      <c r="C202">
        <f>IFERROR('Master Barang'!D197,"")</f>
        <v>0</v>
      </c>
      <c r="D202">
        <f>IF(A202="","",SUMIFS('Barang Keluar'!$E:$E,'Barang Keluar'!$C:$C,A202,'Barang Keluar'!$A:$A,"&gt;="&amp;$A$4,'Barang Keluar'!$A:$A,"&lt;="&amp;$B$4))</f>
        <v>0</v>
      </c>
      <c r="F202" s="49">
        <f>IF($A$4+ROW()-8&gt;$B$4,"",$A$4+ROW()-8)</f>
        <v>46217</v>
      </c>
      <c r="G202">
        <f>IF(F202="","",SUMIFS('Barang Keluar'!$E:$E,'Barang Keluar'!$A:$A,F202))</f>
        <v>0</v>
      </c>
      <c r="M202" s="49">
        <f>IF($A$4+1&gt;$B$4,"",$A$4+1)</f>
        <v>46024</v>
      </c>
      <c r="N202">
        <f>IF(M202="","",'Master Barang'!A96)</f>
        <v>0</v>
      </c>
      <c r="O202">
        <f>IF(N202="","",'Master Barang'!B96)</f>
        <v>0</v>
      </c>
      <c r="P202">
        <f>IF(OR(M202="",N202=""),"",SUMIFS('Barang Keluar'!$E:$E,'Barang Keluar'!$A:$A,M202,'Barang Keluar'!$C:$C,N202))</f>
        <v>0</v>
      </c>
    </row>
    <row r="203" spans="1:16">
      <c r="A203">
        <f>IFERROR('Master Barang'!A198,"")</f>
        <v>0</v>
      </c>
      <c r="B203">
        <f>IFERROR('Master Barang'!B198,"")</f>
        <v>0</v>
      </c>
      <c r="C203">
        <f>IFERROR('Master Barang'!D198,"")</f>
        <v>0</v>
      </c>
      <c r="D203">
        <f>IF(A203="","",SUMIFS('Barang Keluar'!$E:$E,'Barang Keluar'!$C:$C,A203,'Barang Keluar'!$A:$A,"&gt;="&amp;$A$4,'Barang Keluar'!$A:$A,"&lt;="&amp;$B$4))</f>
        <v>0</v>
      </c>
      <c r="F203" s="49">
        <f>IF($A$4+ROW()-8&gt;$B$4,"",$A$4+ROW()-8)</f>
        <v>46218</v>
      </c>
      <c r="G203">
        <f>IF(F203="","",SUMIFS('Barang Keluar'!$E:$E,'Barang Keluar'!$A:$A,F203))</f>
        <v>0</v>
      </c>
      <c r="M203" s="49">
        <f>IF($A$4+1&gt;$B$4,"",$A$4+1)</f>
        <v>46024</v>
      </c>
      <c r="N203">
        <f>IF(M203="","",'Master Barang'!A97)</f>
        <v>0</v>
      </c>
      <c r="O203">
        <f>IF(N203="","",'Master Barang'!B97)</f>
        <v>0</v>
      </c>
      <c r="P203">
        <f>IF(OR(M203="",N203=""),"",SUMIFS('Barang Keluar'!$E:$E,'Barang Keluar'!$A:$A,M203,'Barang Keluar'!$C:$C,N203))</f>
        <v>0</v>
      </c>
    </row>
    <row r="204" spans="1:16">
      <c r="A204">
        <f>IFERROR('Master Barang'!A199,"")</f>
        <v>0</v>
      </c>
      <c r="B204">
        <f>IFERROR('Master Barang'!B199,"")</f>
        <v>0</v>
      </c>
      <c r="C204">
        <f>IFERROR('Master Barang'!D199,"")</f>
        <v>0</v>
      </c>
      <c r="D204">
        <f>IF(A204="","",SUMIFS('Barang Keluar'!$E:$E,'Barang Keluar'!$C:$C,A204,'Barang Keluar'!$A:$A,"&gt;="&amp;$A$4,'Barang Keluar'!$A:$A,"&lt;="&amp;$B$4))</f>
        <v>0</v>
      </c>
      <c r="F204" s="49">
        <f>IF($A$4+ROW()-8&gt;$B$4,"",$A$4+ROW()-8)</f>
        <v>46219</v>
      </c>
      <c r="G204">
        <f>IF(F204="","",SUMIFS('Barang Keluar'!$E:$E,'Barang Keluar'!$A:$A,F204))</f>
        <v>0</v>
      </c>
      <c r="M204" s="49">
        <f>IF($A$4+1&gt;$B$4,"",$A$4+1)</f>
        <v>46024</v>
      </c>
      <c r="N204">
        <f>IF(M204="","",'Master Barang'!A98)</f>
        <v>0</v>
      </c>
      <c r="O204">
        <f>IF(N204="","",'Master Barang'!B98)</f>
        <v>0</v>
      </c>
      <c r="P204">
        <f>IF(OR(M204="",N204=""),"",SUMIFS('Barang Keluar'!$E:$E,'Barang Keluar'!$A:$A,M204,'Barang Keluar'!$C:$C,N204))</f>
        <v>0</v>
      </c>
    </row>
    <row r="205" spans="1:16">
      <c r="A205">
        <f>IFERROR('Master Barang'!A200,"")</f>
        <v>0</v>
      </c>
      <c r="B205">
        <f>IFERROR('Master Barang'!B200,"")</f>
        <v>0</v>
      </c>
      <c r="C205">
        <f>IFERROR('Master Barang'!D200,"")</f>
        <v>0</v>
      </c>
      <c r="D205">
        <f>IF(A205="","",SUMIFS('Barang Keluar'!$E:$E,'Barang Keluar'!$C:$C,A205,'Barang Keluar'!$A:$A,"&gt;="&amp;$A$4,'Barang Keluar'!$A:$A,"&lt;="&amp;$B$4))</f>
        <v>0</v>
      </c>
      <c r="F205" s="49">
        <f>IF($A$4+ROW()-8&gt;$B$4,"",$A$4+ROW()-8)</f>
        <v>46220</v>
      </c>
      <c r="G205">
        <f>IF(F205="","",SUMIFS('Barang Keluar'!$E:$E,'Barang Keluar'!$A:$A,F205))</f>
        <v>0</v>
      </c>
      <c r="M205" s="49">
        <f>IF($A$4+1&gt;$B$4,"",$A$4+1)</f>
        <v>46024</v>
      </c>
      <c r="N205">
        <f>IF(M205="","",'Master Barang'!A99)</f>
        <v>0</v>
      </c>
      <c r="O205">
        <f>IF(N205="","",'Master Barang'!B99)</f>
        <v>0</v>
      </c>
      <c r="P205">
        <f>IF(OR(M205="",N205=""),"",SUMIFS('Barang Keluar'!$E:$E,'Barang Keluar'!$A:$A,M205,'Barang Keluar'!$C:$C,N205))</f>
        <v>0</v>
      </c>
    </row>
    <row r="206" spans="1:16">
      <c r="A206">
        <f>IFERROR('Master Barang'!A201,"")</f>
        <v>0</v>
      </c>
      <c r="B206">
        <f>IFERROR('Master Barang'!B201,"")</f>
        <v>0</v>
      </c>
      <c r="C206">
        <f>IFERROR('Master Barang'!D201,"")</f>
        <v>0</v>
      </c>
      <c r="D206">
        <f>IF(A206="","",SUMIFS('Barang Keluar'!$E:$E,'Barang Keluar'!$C:$C,A206,'Barang Keluar'!$A:$A,"&gt;="&amp;$A$4,'Barang Keluar'!$A:$A,"&lt;="&amp;$B$4))</f>
        <v>0</v>
      </c>
      <c r="F206" s="49">
        <f>IF($A$4+ROW()-8&gt;$B$4,"",$A$4+ROW()-8)</f>
        <v>46221</v>
      </c>
      <c r="G206">
        <f>IF(F206="","",SUMIFS('Barang Keluar'!$E:$E,'Barang Keluar'!$A:$A,F206))</f>
        <v>0</v>
      </c>
      <c r="M206" s="49">
        <f>IF($A$4+1&gt;$B$4,"",$A$4+1)</f>
        <v>46024</v>
      </c>
      <c r="N206">
        <f>IF(M206="","",'Master Barang'!A100)</f>
        <v>0</v>
      </c>
      <c r="O206">
        <f>IF(N206="","",'Master Barang'!B100)</f>
        <v>0</v>
      </c>
      <c r="P206">
        <f>IF(OR(M206="",N206=""),"",SUMIFS('Barang Keluar'!$E:$E,'Barang Keluar'!$A:$A,M206,'Barang Keluar'!$C:$C,N206))</f>
        <v>0</v>
      </c>
    </row>
    <row r="207" spans="1:16">
      <c r="A207">
        <f>IFERROR('Master Barang'!A202,"")</f>
        <v>0</v>
      </c>
      <c r="B207">
        <f>IFERROR('Master Barang'!B202,"")</f>
        <v>0</v>
      </c>
      <c r="C207">
        <f>IFERROR('Master Barang'!D202,"")</f>
        <v>0</v>
      </c>
      <c r="D207">
        <f>IF(A207="","",SUMIFS('Barang Keluar'!$E:$E,'Barang Keluar'!$C:$C,A207,'Barang Keluar'!$A:$A,"&gt;="&amp;$A$4,'Barang Keluar'!$A:$A,"&lt;="&amp;$B$4))</f>
        <v>0</v>
      </c>
      <c r="F207" s="49">
        <f>IF($A$4+ROW()-8&gt;$B$4,"",$A$4+ROW()-8)</f>
        <v>46222</v>
      </c>
      <c r="G207">
        <f>IF(F207="","",SUMIFS('Barang Keluar'!$E:$E,'Barang Keluar'!$A:$A,F207))</f>
        <v>0</v>
      </c>
      <c r="M207" s="49">
        <f>IF($A$4+1&gt;$B$4,"",$A$4+1)</f>
        <v>46024</v>
      </c>
      <c r="N207">
        <f>IF(M207="","",'Master Barang'!A101)</f>
        <v>0</v>
      </c>
      <c r="O207">
        <f>IF(N207="","",'Master Barang'!B101)</f>
        <v>0</v>
      </c>
      <c r="P207">
        <f>IF(OR(M207="",N207=""),"",SUMIFS('Barang Keluar'!$E:$E,'Barang Keluar'!$A:$A,M207,'Barang Keluar'!$C:$C,N207))</f>
        <v>0</v>
      </c>
    </row>
    <row r="208" spans="1:16">
      <c r="A208">
        <f>IFERROR('Master Barang'!A203,"")</f>
        <v>0</v>
      </c>
      <c r="B208">
        <f>IFERROR('Master Barang'!B203,"")</f>
        <v>0</v>
      </c>
      <c r="C208">
        <f>IFERROR('Master Barang'!D203,"")</f>
        <v>0</v>
      </c>
      <c r="D208">
        <f>IF(A208="","",SUMIFS('Barang Keluar'!$E:$E,'Barang Keluar'!$C:$C,A208,'Barang Keluar'!$A:$A,"&gt;="&amp;$A$4,'Barang Keluar'!$A:$A,"&lt;="&amp;$B$4))</f>
        <v>0</v>
      </c>
      <c r="F208" s="49">
        <f>IF($A$4+ROW()-8&gt;$B$4,"",$A$4+ROW()-8)</f>
        <v>46223</v>
      </c>
      <c r="G208">
        <f>IF(F208="","",SUMIFS('Barang Keluar'!$E:$E,'Barang Keluar'!$A:$A,F208))</f>
        <v>0</v>
      </c>
      <c r="M208" s="49">
        <f>IF($A$4+2&gt;$B$4,"",$A$4+2)</f>
        <v>46025</v>
      </c>
      <c r="N208" t="str">
        <f>IF(M208="","",'Master Barang'!A2)</f>
        <v>PRL-001</v>
      </c>
      <c r="O208" t="str">
        <f>IF(N208="","",'Master Barang'!B2)</f>
        <v>natura desinfectant food grade 5l</v>
      </c>
      <c r="P208">
        <f>IF(OR(M208="",N208=""),"",SUMIFS('Barang Keluar'!$E:$E,'Barang Keluar'!$A:$A,M208,'Barang Keluar'!$C:$C,N208))</f>
        <v>0</v>
      </c>
    </row>
    <row r="209" spans="1:16">
      <c r="A209">
        <f>IFERROR('Master Barang'!A204,"")</f>
        <v>0</v>
      </c>
      <c r="B209">
        <f>IFERROR('Master Barang'!B204,"")</f>
        <v>0</v>
      </c>
      <c r="C209">
        <f>IFERROR('Master Barang'!D204,"")</f>
        <v>0</v>
      </c>
      <c r="D209">
        <f>IF(A209="","",SUMIFS('Barang Keluar'!$E:$E,'Barang Keluar'!$C:$C,A209,'Barang Keluar'!$A:$A,"&gt;="&amp;$A$4,'Barang Keluar'!$A:$A,"&lt;="&amp;$B$4))</f>
        <v>0</v>
      </c>
      <c r="F209" s="49">
        <f>IF($A$4+ROW()-8&gt;$B$4,"",$A$4+ROW()-8)</f>
        <v>46224</v>
      </c>
      <c r="G209">
        <f>IF(F209="","",SUMIFS('Barang Keluar'!$E:$E,'Barang Keluar'!$A:$A,F209))</f>
        <v>0</v>
      </c>
      <c r="M209" s="49">
        <f>IF($A$4+2&gt;$B$4,"",$A$4+2)</f>
        <v>46025</v>
      </c>
      <c r="N209" t="str">
        <f>IF(M209="","",'Master Barang'!A3)</f>
        <v>PRL-002</v>
      </c>
      <c r="O209" t="str">
        <f>IF(N209="","",'Master Barang'!B3)</f>
        <v>sunlight cairan pencuci piring 5l</v>
      </c>
      <c r="P209">
        <f>IF(OR(M209="",N209=""),"",SUMIFS('Barang Keluar'!$E:$E,'Barang Keluar'!$A:$A,M209,'Barang Keluar'!$C:$C,N209))</f>
        <v>0</v>
      </c>
    </row>
    <row r="210" spans="1:16">
      <c r="A210">
        <f>IFERROR('Master Barang'!A205,"")</f>
        <v>0</v>
      </c>
      <c r="B210">
        <f>IFERROR('Master Barang'!B205,"")</f>
        <v>0</v>
      </c>
      <c r="C210">
        <f>IFERROR('Master Barang'!D205,"")</f>
        <v>0</v>
      </c>
      <c r="D210">
        <f>IF(A210="","",SUMIFS('Barang Keluar'!$E:$E,'Barang Keluar'!$C:$C,A210,'Barang Keluar'!$A:$A,"&gt;="&amp;$A$4,'Barang Keluar'!$A:$A,"&lt;="&amp;$B$4))</f>
        <v>0</v>
      </c>
      <c r="F210" s="49">
        <f>IF($A$4+ROW()-8&gt;$B$4,"",$A$4+ROW()-8)</f>
        <v>46225</v>
      </c>
      <c r="G210">
        <f>IF(F210="","",SUMIFS('Barang Keluar'!$E:$E,'Barang Keluar'!$A:$A,F210))</f>
        <v>0</v>
      </c>
      <c r="M210" s="49">
        <f>IF($A$4+2&gt;$B$4,"",$A$4+2)</f>
        <v>46025</v>
      </c>
      <c r="N210" t="str">
        <f>IF(M210="","",'Master Barang'!A4)</f>
        <v>PRL-003</v>
      </c>
      <c r="O210" t="str">
        <f>IF(N210="","",'Master Barang'!B4)</f>
        <v>oixs cleaner 1l</v>
      </c>
      <c r="P210">
        <f>IF(OR(M210="",N210=""),"",SUMIFS('Barang Keluar'!$E:$E,'Barang Keluar'!$A:$A,M210,'Barang Keluar'!$C:$C,N210))</f>
        <v>0</v>
      </c>
    </row>
    <row r="211" spans="1:16">
      <c r="A211">
        <f>IFERROR('Master Barang'!A206,"")</f>
        <v>0</v>
      </c>
      <c r="B211">
        <f>IFERROR('Master Barang'!B206,"")</f>
        <v>0</v>
      </c>
      <c r="C211">
        <f>IFERROR('Master Barang'!D206,"")</f>
        <v>0</v>
      </c>
      <c r="D211">
        <f>IF(A211="","",SUMIFS('Barang Keluar'!$E:$E,'Barang Keluar'!$C:$C,A211,'Barang Keluar'!$A:$A,"&gt;="&amp;$A$4,'Barang Keluar'!$A:$A,"&lt;="&amp;$B$4))</f>
        <v>0</v>
      </c>
      <c r="F211" s="49">
        <f>IF($A$4+ROW()-8&gt;$B$4,"",$A$4+ROW()-8)</f>
        <v>46226</v>
      </c>
      <c r="G211">
        <f>IF(F211="","",SUMIFS('Barang Keluar'!$E:$E,'Barang Keluar'!$A:$A,F211))</f>
        <v>0</v>
      </c>
      <c r="M211" s="49">
        <f>IF($A$4+2&gt;$B$4,"",$A$4+2)</f>
        <v>46025</v>
      </c>
      <c r="N211" t="str">
        <f>IF(M211="","",'Master Barang'!A5)</f>
        <v>PRL-004</v>
      </c>
      <c r="O211" t="str">
        <f>IF(N211="","",'Master Barang'!B5)</f>
        <v>be clean tissue serbaguna</v>
      </c>
      <c r="P211">
        <f>IF(OR(M211="",N211=""),"",SUMIFS('Barang Keluar'!$E:$E,'Barang Keluar'!$A:$A,M211,'Barang Keluar'!$C:$C,N211))</f>
        <v>0</v>
      </c>
    </row>
    <row r="212" spans="1:16">
      <c r="A212">
        <f>IFERROR('Master Barang'!A207,"")</f>
        <v>0</v>
      </c>
      <c r="B212">
        <f>IFERROR('Master Barang'!B207,"")</f>
        <v>0</v>
      </c>
      <c r="C212">
        <f>IFERROR('Master Barang'!D207,"")</f>
        <v>0</v>
      </c>
      <c r="D212">
        <f>IF(A212="","",SUMIFS('Barang Keluar'!$E:$E,'Barang Keluar'!$C:$C,A212,'Barang Keluar'!$A:$A,"&gt;="&amp;$A$4,'Barang Keluar'!$A:$A,"&lt;="&amp;$B$4))</f>
        <v>0</v>
      </c>
      <c r="F212" s="49">
        <f>IF($A$4+ROW()-8&gt;$B$4,"",$A$4+ROW()-8)</f>
        <v>46227</v>
      </c>
      <c r="G212">
        <f>IF(F212="","",SUMIFS('Barang Keluar'!$E:$E,'Barang Keluar'!$A:$A,F212))</f>
        <v>0</v>
      </c>
      <c r="M212" s="49">
        <f>IF($A$4+2&gt;$B$4,"",$A$4+2)</f>
        <v>46025</v>
      </c>
      <c r="N212" t="str">
        <f>IF(M212="","",'Master Barang'!A6)</f>
        <v>PRL-005</v>
      </c>
      <c r="O212" t="str">
        <f>IF(N212="","",'Master Barang'!B6)</f>
        <v>spons cuci hijau</v>
      </c>
      <c r="P212">
        <f>IF(OR(M212="",N212=""),"",SUMIFS('Barang Keluar'!$E:$E,'Barang Keluar'!$A:$A,M212,'Barang Keluar'!$C:$C,N212))</f>
        <v>0</v>
      </c>
    </row>
    <row r="213" spans="1:16">
      <c r="A213">
        <f>IFERROR('Master Barang'!A208,"")</f>
        <v>0</v>
      </c>
      <c r="B213">
        <f>IFERROR('Master Barang'!B208,"")</f>
        <v>0</v>
      </c>
      <c r="C213">
        <f>IFERROR('Master Barang'!D208,"")</f>
        <v>0</v>
      </c>
      <c r="D213">
        <f>IF(A213="","",SUMIFS('Barang Keluar'!$E:$E,'Barang Keluar'!$C:$C,A213,'Barang Keluar'!$A:$A,"&gt;="&amp;$A$4,'Barang Keluar'!$A:$A,"&lt;="&amp;$B$4))</f>
        <v>0</v>
      </c>
      <c r="F213" s="49">
        <f>IF($A$4+ROW()-8&gt;$B$4,"",$A$4+ROW()-8)</f>
        <v>46228</v>
      </c>
      <c r="G213">
        <f>IF(F213="","",SUMIFS('Barang Keluar'!$E:$E,'Barang Keluar'!$A:$A,F213))</f>
        <v>0</v>
      </c>
      <c r="M213" s="49">
        <f>IF($A$4+2&gt;$B$4,"",$A$4+2)</f>
        <v>46025</v>
      </c>
      <c r="N213" t="str">
        <f>IF(M213="","",'Master Barang'!A7)</f>
        <v>PRL-006</v>
      </c>
      <c r="O213" t="str">
        <f>IF(N213="","",'Master Barang'!B7)</f>
        <v>sabut cuci stainless</v>
      </c>
      <c r="P213">
        <f>IF(OR(M213="",N213=""),"",SUMIFS('Barang Keluar'!$E:$E,'Barang Keluar'!$A:$A,M213,'Barang Keluar'!$C:$C,N213))</f>
        <v>0</v>
      </c>
    </row>
    <row r="214" spans="1:16">
      <c r="A214">
        <f>IFERROR('Master Barang'!A209,"")</f>
        <v>0</v>
      </c>
      <c r="B214">
        <f>IFERROR('Master Barang'!B209,"")</f>
        <v>0</v>
      </c>
      <c r="C214">
        <f>IFERROR('Master Barang'!D209,"")</f>
        <v>0</v>
      </c>
      <c r="D214">
        <f>IF(A214="","",SUMIFS('Barang Keluar'!$E:$E,'Barang Keluar'!$C:$C,A214,'Barang Keluar'!$A:$A,"&gt;="&amp;$A$4,'Barang Keluar'!$A:$A,"&lt;="&amp;$B$4))</f>
        <v>0</v>
      </c>
      <c r="F214" s="49">
        <f>IF($A$4+ROW()-8&gt;$B$4,"",$A$4+ROW()-8)</f>
        <v>46229</v>
      </c>
      <c r="G214">
        <f>IF(F214="","",SUMIFS('Barang Keluar'!$E:$E,'Barang Keluar'!$A:$A,F214))</f>
        <v>0</v>
      </c>
      <c r="M214" s="49">
        <f>IF($A$4+2&gt;$B$4,"",$A$4+2)</f>
        <v>46025</v>
      </c>
      <c r="N214" t="str">
        <f>IF(M214="","",'Master Barang'!A8)</f>
        <v>PRL-007</v>
      </c>
      <c r="O214" t="str">
        <f>IF(N214="","",'Master Barang'!B8)</f>
        <v>plastik kresek besar merah 50pc</v>
      </c>
      <c r="P214">
        <f>IF(OR(M214="",N214=""),"",SUMIFS('Barang Keluar'!$E:$E,'Barang Keluar'!$A:$A,M214,'Barang Keluar'!$C:$C,N214))</f>
        <v>0</v>
      </c>
    </row>
    <row r="215" spans="1:16">
      <c r="A215">
        <f>IFERROR('Master Barang'!A210,"")</f>
        <v>0</v>
      </c>
      <c r="B215">
        <f>IFERROR('Master Barang'!B210,"")</f>
        <v>0</v>
      </c>
      <c r="C215">
        <f>IFERROR('Master Barang'!D210,"")</f>
        <v>0</v>
      </c>
      <c r="D215">
        <f>IF(A215="","",SUMIFS('Barang Keluar'!$E:$E,'Barang Keluar'!$C:$C,A215,'Barang Keluar'!$A:$A,"&gt;="&amp;$A$4,'Barang Keluar'!$A:$A,"&lt;="&amp;$B$4))</f>
        <v>0</v>
      </c>
      <c r="F215" s="49">
        <f>IF($A$4+ROW()-8&gt;$B$4,"",$A$4+ROW()-8)</f>
        <v>46230</v>
      </c>
      <c r="G215">
        <f>IF(F215="","",SUMIFS('Barang Keluar'!$E:$E,'Barang Keluar'!$A:$A,F215))</f>
        <v>0</v>
      </c>
      <c r="M215" s="49">
        <f>IF($A$4+2&gt;$B$4,"",$A$4+2)</f>
        <v>46025</v>
      </c>
      <c r="N215" t="str">
        <f>IF(M215="","",'Master Barang'!A9)</f>
        <v>PRL-008</v>
      </c>
      <c r="O215" t="str">
        <f>IF(N215="","",'Master Barang'!B9)</f>
        <v>lap besar</v>
      </c>
      <c r="P215">
        <f>IF(OR(M215="",N215=""),"",SUMIFS('Barang Keluar'!$E:$E,'Barang Keluar'!$A:$A,M215,'Barang Keluar'!$C:$C,N215))</f>
        <v>0</v>
      </c>
    </row>
    <row r="216" spans="1:16">
      <c r="A216">
        <f>IFERROR('Master Barang'!A211,"")</f>
        <v>0</v>
      </c>
      <c r="B216">
        <f>IFERROR('Master Barang'!B211,"")</f>
        <v>0</v>
      </c>
      <c r="C216">
        <f>IFERROR('Master Barang'!D211,"")</f>
        <v>0</v>
      </c>
      <c r="D216">
        <f>IF(A216="","",SUMIFS('Barang Keluar'!$E:$E,'Barang Keluar'!$C:$C,A216,'Barang Keluar'!$A:$A,"&gt;="&amp;$A$4,'Barang Keluar'!$A:$A,"&lt;="&amp;$B$4))</f>
        <v>0</v>
      </c>
      <c r="F216" s="49">
        <f>IF($A$4+ROW()-8&gt;$B$4,"",$A$4+ROW()-8)</f>
        <v>46231</v>
      </c>
      <c r="G216">
        <f>IF(F216="","",SUMIFS('Barang Keluar'!$E:$E,'Barang Keluar'!$A:$A,F216))</f>
        <v>0</v>
      </c>
      <c r="M216" s="49">
        <f>IF($A$4+2&gt;$B$4,"",$A$4+2)</f>
        <v>46025</v>
      </c>
      <c r="N216" t="str">
        <f>IF(M216="","",'Master Barang'!A10)</f>
        <v>PRL-009</v>
      </c>
      <c r="O216" t="str">
        <f>IF(N216="","",'Master Barang'!B10)</f>
        <v>lap microfiber</v>
      </c>
      <c r="P216">
        <f>IF(OR(M216="",N216=""),"",SUMIFS('Barang Keluar'!$E:$E,'Barang Keluar'!$A:$A,M216,'Barang Keluar'!$C:$C,N216))</f>
        <v>0</v>
      </c>
    </row>
    <row r="217" spans="1:16">
      <c r="A217">
        <f>IFERROR('Master Barang'!A212,"")</f>
        <v>0</v>
      </c>
      <c r="B217">
        <f>IFERROR('Master Barang'!B212,"")</f>
        <v>0</v>
      </c>
      <c r="C217">
        <f>IFERROR('Master Barang'!D212,"")</f>
        <v>0</v>
      </c>
      <c r="D217">
        <f>IF(A217="","",SUMIFS('Barang Keluar'!$E:$E,'Barang Keluar'!$C:$C,A217,'Barang Keluar'!$A:$A,"&gt;="&amp;$A$4,'Barang Keluar'!$A:$A,"&lt;="&amp;$B$4))</f>
        <v>0</v>
      </c>
      <c r="F217" s="49">
        <f>IF($A$4+ROW()-8&gt;$B$4,"",$A$4+ROW()-8)</f>
        <v>46232</v>
      </c>
      <c r="G217">
        <f>IF(F217="","",SUMIFS('Barang Keluar'!$E:$E,'Barang Keluar'!$A:$A,F217))</f>
        <v>0</v>
      </c>
      <c r="M217" s="49">
        <f>IF($A$4+2&gt;$B$4,"",$A$4+2)</f>
        <v>46025</v>
      </c>
      <c r="N217" t="str">
        <f>IF(M217="","",'Master Barang'!A11)</f>
        <v>PRL-010</v>
      </c>
      <c r="O217" t="str">
        <f>IF(N217="","",'Master Barang'!B11)</f>
        <v>lap kecil</v>
      </c>
      <c r="P217">
        <f>IF(OR(M217="",N217=""),"",SUMIFS('Barang Keluar'!$E:$E,'Barang Keluar'!$A:$A,M217,'Barang Keluar'!$C:$C,N217))</f>
        <v>0</v>
      </c>
    </row>
    <row r="218" spans="1:16">
      <c r="A218">
        <f>IFERROR('Master Barang'!A213,"")</f>
        <v>0</v>
      </c>
      <c r="B218">
        <f>IFERROR('Master Barang'!B213,"")</f>
        <v>0</v>
      </c>
      <c r="C218">
        <f>IFERROR('Master Barang'!D213,"")</f>
        <v>0</v>
      </c>
      <c r="D218">
        <f>IF(A218="","",SUMIFS('Barang Keluar'!$E:$E,'Barang Keluar'!$C:$C,A218,'Barang Keluar'!$A:$A,"&gt;="&amp;$A$4,'Barang Keluar'!$A:$A,"&lt;="&amp;$B$4))</f>
        <v>0</v>
      </c>
      <c r="F218" s="49">
        <f>IF($A$4+ROW()-8&gt;$B$4,"",$A$4+ROW()-8)</f>
        <v>46233</v>
      </c>
      <c r="G218">
        <f>IF(F218="","",SUMIFS('Barang Keluar'!$E:$E,'Barang Keluar'!$A:$A,F218))</f>
        <v>0</v>
      </c>
      <c r="M218" s="49">
        <f>IF($A$4+2&gt;$B$4,"",$A$4+2)</f>
        <v>46025</v>
      </c>
      <c r="N218" t="str">
        <f>IF(M218="","",'Master Barang'!A12)</f>
        <v>PRL-011</v>
      </c>
      <c r="O218" t="str">
        <f>IF(N218="","",'Master Barang'!B12)</f>
        <v>kanebo kecil</v>
      </c>
      <c r="P218">
        <f>IF(OR(M218="",N218=""),"",SUMIFS('Barang Keluar'!$E:$E,'Barang Keluar'!$A:$A,M218,'Barang Keluar'!$C:$C,N218))</f>
        <v>0</v>
      </c>
    </row>
    <row r="219" spans="1:16">
      <c r="A219">
        <f>IFERROR('Master Barang'!A214,"")</f>
        <v>0</v>
      </c>
      <c r="B219">
        <f>IFERROR('Master Barang'!B214,"")</f>
        <v>0</v>
      </c>
      <c r="C219">
        <f>IFERROR('Master Barang'!D214,"")</f>
        <v>0</v>
      </c>
      <c r="D219">
        <f>IF(A219="","",SUMIFS('Barang Keluar'!$E:$E,'Barang Keluar'!$C:$C,A219,'Barang Keluar'!$A:$A,"&gt;="&amp;$A$4,'Barang Keluar'!$A:$A,"&lt;="&amp;$B$4))</f>
        <v>0</v>
      </c>
      <c r="F219" s="49">
        <f>IF($A$4+ROW()-8&gt;$B$4,"",$A$4+ROW()-8)</f>
        <v>46234</v>
      </c>
      <c r="G219">
        <f>IF(F219="","",SUMIFS('Barang Keluar'!$E:$E,'Barang Keluar'!$A:$A,F219))</f>
        <v>0</v>
      </c>
      <c r="M219" s="49">
        <f>IF($A$4+2&gt;$B$4,"",$A$4+2)</f>
        <v>46025</v>
      </c>
      <c r="N219" t="str">
        <f>IF(M219="","",'Master Barang'!A13)</f>
        <v>PRL-012</v>
      </c>
      <c r="O219" t="str">
        <f>IF(N219="","",'Master Barang'!B13)</f>
        <v>plastik 1/4kg joyoboyo 100 lembar</v>
      </c>
      <c r="P219">
        <f>IF(OR(M219="",N219=""),"",SUMIFS('Barang Keluar'!$E:$E,'Barang Keluar'!$A:$A,M219,'Barang Keluar'!$C:$C,N219))</f>
        <v>0</v>
      </c>
    </row>
    <row r="220" spans="1:16">
      <c r="A220">
        <f>IFERROR('Master Barang'!A215,"")</f>
        <v>0</v>
      </c>
      <c r="B220">
        <f>IFERROR('Master Barang'!B215,"")</f>
        <v>0</v>
      </c>
      <c r="C220">
        <f>IFERROR('Master Barang'!D215,"")</f>
        <v>0</v>
      </c>
      <c r="D220">
        <f>IF(A220="","",SUMIFS('Barang Keluar'!$E:$E,'Barang Keluar'!$C:$C,A220,'Barang Keluar'!$A:$A,"&gt;="&amp;$A$4,'Barang Keluar'!$A:$A,"&lt;="&amp;$B$4))</f>
        <v>0</v>
      </c>
      <c r="F220" s="49">
        <f>IF($A$4+ROW()-8&gt;$B$4,"",$A$4+ROW()-8)</f>
        <v>46235</v>
      </c>
      <c r="G220">
        <f>IF(F220="","",SUMIFS('Barang Keluar'!$E:$E,'Barang Keluar'!$A:$A,F220))</f>
        <v>0</v>
      </c>
      <c r="M220" s="49">
        <f>IF($A$4+2&gt;$B$4,"",$A$4+2)</f>
        <v>46025</v>
      </c>
      <c r="N220" t="str">
        <f>IF(M220="","",'Master Barang'!A14)</f>
        <v>PRL-013</v>
      </c>
      <c r="O220" t="str">
        <f>IF(N220="","",'Master Barang'!B14)</f>
        <v>sarung tangan plastik kaka 100 pcs</v>
      </c>
      <c r="P220">
        <f>IF(OR(M220="",N220=""),"",SUMIFS('Barang Keluar'!$E:$E,'Barang Keluar'!$A:$A,M220,'Barang Keluar'!$C:$C,N220))</f>
        <v>0</v>
      </c>
    </row>
    <row r="221" spans="1:16">
      <c r="A221">
        <f>IFERROR('Master Barang'!A216,"")</f>
        <v>0</v>
      </c>
      <c r="B221">
        <f>IFERROR('Master Barang'!B216,"")</f>
        <v>0</v>
      </c>
      <c r="C221">
        <f>IFERROR('Master Barang'!D216,"")</f>
        <v>0</v>
      </c>
      <c r="D221">
        <f>IF(A221="","",SUMIFS('Barang Keluar'!$E:$E,'Barang Keluar'!$C:$C,A221,'Barang Keluar'!$A:$A,"&gt;="&amp;$A$4,'Barang Keluar'!$A:$A,"&lt;="&amp;$B$4))</f>
        <v>0</v>
      </c>
      <c r="F221" s="49">
        <f>IF($A$4+ROW()-8&gt;$B$4,"",$A$4+ROW()-8)</f>
        <v>46236</v>
      </c>
      <c r="G221">
        <f>IF(F221="","",SUMIFS('Barang Keluar'!$E:$E,'Barang Keluar'!$A:$A,F221))</f>
        <v>0</v>
      </c>
      <c r="M221" s="49">
        <f>IF($A$4+2&gt;$B$4,"",$A$4+2)</f>
        <v>46025</v>
      </c>
      <c r="N221" t="str">
        <f>IF(M221="","",'Master Barang'!A15)</f>
        <v>PRL-014</v>
      </c>
      <c r="O221" t="str">
        <f>IF(N221="","",'Master Barang'!B15)</f>
        <v>optima trashbag 80x100</v>
      </c>
      <c r="P221">
        <f>IF(OR(M221="",N221=""),"",SUMIFS('Barang Keluar'!$E:$E,'Barang Keluar'!$A:$A,M221,'Barang Keluar'!$C:$C,N221))</f>
        <v>0</v>
      </c>
    </row>
    <row r="222" spans="1:16">
      <c r="A222">
        <f>IFERROR('Master Barang'!A217,"")</f>
        <v>0</v>
      </c>
      <c r="B222">
        <f>IFERROR('Master Barang'!B217,"")</f>
        <v>0</v>
      </c>
      <c r="C222">
        <f>IFERROR('Master Barang'!D217,"")</f>
        <v>0</v>
      </c>
      <c r="D222">
        <f>IF(A222="","",SUMIFS('Barang Keluar'!$E:$E,'Barang Keluar'!$C:$C,A222,'Barang Keluar'!$A:$A,"&gt;="&amp;$A$4,'Barang Keluar'!$A:$A,"&lt;="&amp;$B$4))</f>
        <v>0</v>
      </c>
      <c r="F222" s="49">
        <f>IF($A$4+ROW()-8&gt;$B$4,"",$A$4+ROW()-8)</f>
        <v>46237</v>
      </c>
      <c r="G222">
        <f>IF(F222="","",SUMIFS('Barang Keluar'!$E:$E,'Barang Keluar'!$A:$A,F222))</f>
        <v>0</v>
      </c>
      <c r="M222" s="49">
        <f>IF($A$4+2&gt;$B$4,"",$A$4+2)</f>
        <v>46025</v>
      </c>
      <c r="N222" t="str">
        <f>IF(M222="","",'Master Barang'!A16)</f>
        <v>PRL-015</v>
      </c>
      <c r="O222" t="str">
        <f>IF(N222="","",'Master Barang'!B16)</f>
        <v>optima trashbag 60x100</v>
      </c>
      <c r="P222">
        <f>IF(OR(M222="",N222=""),"",SUMIFS('Barang Keluar'!$E:$E,'Barang Keluar'!$A:$A,M222,'Barang Keluar'!$C:$C,N222))</f>
        <v>0</v>
      </c>
    </row>
    <row r="223" spans="1:16">
      <c r="A223">
        <f>IFERROR('Master Barang'!A218,"")</f>
        <v>0</v>
      </c>
      <c r="B223">
        <f>IFERROR('Master Barang'!B218,"")</f>
        <v>0</v>
      </c>
      <c r="C223">
        <f>IFERROR('Master Barang'!D218,"")</f>
        <v>0</v>
      </c>
      <c r="D223">
        <f>IF(A223="","",SUMIFS('Barang Keluar'!$E:$E,'Barang Keluar'!$C:$C,A223,'Barang Keluar'!$A:$A,"&gt;="&amp;$A$4,'Barang Keluar'!$A:$A,"&lt;="&amp;$B$4))</f>
        <v>0</v>
      </c>
      <c r="F223" s="49">
        <f>IF($A$4+ROW()-8&gt;$B$4,"",$A$4+ROW()-8)</f>
        <v>46238</v>
      </c>
      <c r="G223">
        <f>IF(F223="","",SUMIFS('Barang Keluar'!$E:$E,'Barang Keluar'!$A:$A,F223))</f>
        <v>0</v>
      </c>
      <c r="M223" s="49">
        <f>IF($A$4+2&gt;$B$4,"",$A$4+2)</f>
        <v>46025</v>
      </c>
      <c r="N223" t="str">
        <f>IF(M223="","",'Master Barang'!A17)</f>
        <v>PRL-016</v>
      </c>
      <c r="O223" t="str">
        <f>IF(N223="","",'Master Barang'!B17)</f>
        <v>rajawali trashbag 30x40</v>
      </c>
      <c r="P223">
        <f>IF(OR(M223="",N223=""),"",SUMIFS('Barang Keluar'!$E:$E,'Barang Keluar'!$A:$A,M223,'Barang Keluar'!$C:$C,N223))</f>
        <v>0</v>
      </c>
    </row>
    <row r="224" spans="1:16">
      <c r="A224">
        <f>IFERROR('Master Barang'!A219,"")</f>
        <v>0</v>
      </c>
      <c r="B224">
        <f>IFERROR('Master Barang'!B219,"")</f>
        <v>0</v>
      </c>
      <c r="C224">
        <f>IFERROR('Master Barang'!D219,"")</f>
        <v>0</v>
      </c>
      <c r="D224">
        <f>IF(A224="","",SUMIFS('Barang Keluar'!$E:$E,'Barang Keluar'!$C:$C,A224,'Barang Keluar'!$A:$A,"&gt;="&amp;$A$4,'Barang Keluar'!$A:$A,"&lt;="&amp;$B$4))</f>
        <v>0</v>
      </c>
      <c r="F224" s="49">
        <f>IF($A$4+ROW()-8&gt;$B$4,"",$A$4+ROW()-8)</f>
        <v>46239</v>
      </c>
      <c r="G224">
        <f>IF(F224="","",SUMIFS('Barang Keluar'!$E:$E,'Barang Keluar'!$A:$A,F224))</f>
        <v>0</v>
      </c>
      <c r="M224" s="49">
        <f>IF($A$4+2&gt;$B$4,"",$A$4+2)</f>
        <v>46025</v>
      </c>
      <c r="N224" t="str">
        <f>IF(M224="","",'Master Barang'!A18)</f>
        <v>PRL-017</v>
      </c>
      <c r="O224" t="str">
        <f>IF(N224="","",'Master Barang'!B18)</f>
        <v>onemed masker biru 3 play 50 pcs</v>
      </c>
      <c r="P224">
        <f>IF(OR(M224="",N224=""),"",SUMIFS('Barang Keluar'!$E:$E,'Barang Keluar'!$A:$A,M224,'Barang Keluar'!$C:$C,N224))</f>
        <v>0</v>
      </c>
    </row>
    <row r="225" spans="1:16">
      <c r="A225">
        <f>IFERROR('Master Barang'!A220,"")</f>
        <v>0</v>
      </c>
      <c r="B225">
        <f>IFERROR('Master Barang'!B220,"")</f>
        <v>0</v>
      </c>
      <c r="C225">
        <f>IFERROR('Master Barang'!D220,"")</f>
        <v>0</v>
      </c>
      <c r="D225">
        <f>IF(A225="","",SUMIFS('Barang Keluar'!$E:$E,'Barang Keluar'!$C:$C,A225,'Barang Keluar'!$A:$A,"&gt;="&amp;$A$4,'Barang Keluar'!$A:$A,"&lt;="&amp;$B$4))</f>
        <v>0</v>
      </c>
      <c r="F225" s="49">
        <f>IF($A$4+ROW()-8&gt;$B$4,"",$A$4+ROW()-8)</f>
        <v>46240</v>
      </c>
      <c r="G225">
        <f>IF(F225="","",SUMIFS('Barang Keluar'!$E:$E,'Barang Keluar'!$A:$A,F225))</f>
        <v>0</v>
      </c>
      <c r="M225" s="49">
        <f>IF($A$4+2&gt;$B$4,"",$A$4+2)</f>
        <v>46025</v>
      </c>
      <c r="N225" t="str">
        <f>IF(M225="","",'Master Barang'!A19)</f>
        <v>PRL-018</v>
      </c>
      <c r="O225" t="str">
        <f>IF(N225="","",'Master Barang'!B19)</f>
        <v>onemed masker biru 3 play hijab 50 pcs</v>
      </c>
      <c r="P225">
        <f>IF(OR(M225="",N225=""),"",SUMIFS('Barang Keluar'!$E:$E,'Barang Keluar'!$A:$A,M225,'Barang Keluar'!$C:$C,N225))</f>
        <v>0</v>
      </c>
    </row>
    <row r="226" spans="1:16">
      <c r="A226">
        <f>IFERROR('Master Barang'!A221,"")</f>
        <v>0</v>
      </c>
      <c r="B226">
        <f>IFERROR('Master Barang'!B221,"")</f>
        <v>0</v>
      </c>
      <c r="C226">
        <f>IFERROR('Master Barang'!D221,"")</f>
        <v>0</v>
      </c>
      <c r="D226">
        <f>IF(A226="","",SUMIFS('Barang Keluar'!$E:$E,'Barang Keluar'!$C:$C,A226,'Barang Keluar'!$A:$A,"&gt;="&amp;$A$4,'Barang Keluar'!$A:$A,"&lt;="&amp;$B$4))</f>
        <v>0</v>
      </c>
      <c r="F226" s="49">
        <f>IF($A$4+ROW()-8&gt;$B$4,"",$A$4+ROW()-8)</f>
        <v>46241</v>
      </c>
      <c r="G226">
        <f>IF(F226="","",SUMIFS('Barang Keluar'!$E:$E,'Barang Keluar'!$A:$A,F226))</f>
        <v>0</v>
      </c>
      <c r="M226" s="49">
        <f>IF($A$4+2&gt;$B$4,"",$A$4+2)</f>
        <v>46025</v>
      </c>
      <c r="N226" t="str">
        <f>IF(M226="","",'Master Barang'!A20)</f>
        <v>PRL-019</v>
      </c>
      <c r="O226" t="str">
        <f>IF(N226="","",'Master Barang'!B20)</f>
        <v>neo health masker biru 3 play 50 pcs</v>
      </c>
      <c r="P226">
        <f>IF(OR(M226="",N226=""),"",SUMIFS('Barang Keluar'!$E:$E,'Barang Keluar'!$A:$A,M226,'Barang Keluar'!$C:$C,N226))</f>
        <v>0</v>
      </c>
    </row>
    <row r="227" spans="1:16">
      <c r="A227">
        <f>IFERROR('Master Barang'!A222,"")</f>
        <v>0</v>
      </c>
      <c r="B227">
        <f>IFERROR('Master Barang'!B222,"")</f>
        <v>0</v>
      </c>
      <c r="C227">
        <f>IFERROR('Master Barang'!D222,"")</f>
        <v>0</v>
      </c>
      <c r="D227">
        <f>IF(A227="","",SUMIFS('Barang Keluar'!$E:$E,'Barang Keluar'!$C:$C,A227,'Barang Keluar'!$A:$A,"&gt;="&amp;$A$4,'Barang Keluar'!$A:$A,"&lt;="&amp;$B$4))</f>
        <v>0</v>
      </c>
      <c r="F227" s="49">
        <f>IF($A$4+ROW()-8&gt;$B$4,"",$A$4+ROW()-8)</f>
        <v>46242</v>
      </c>
      <c r="G227">
        <f>IF(F227="","",SUMIFS('Barang Keluar'!$E:$E,'Barang Keluar'!$A:$A,F227))</f>
        <v>0</v>
      </c>
      <c r="M227" s="49">
        <f>IF($A$4+2&gt;$B$4,"",$A$4+2)</f>
        <v>46025</v>
      </c>
      <c r="N227" t="str">
        <f>IF(M227="","",'Master Barang'!A21)</f>
        <v>PRL-020</v>
      </c>
      <c r="O227" t="str">
        <f>IF(N227="","",'Master Barang'!B21)</f>
        <v>baymed masker hijau 3 play hijau 50 pcs</v>
      </c>
      <c r="P227">
        <f>IF(OR(M227="",N227=""),"",SUMIFS('Barang Keluar'!$E:$E,'Barang Keluar'!$A:$A,M227,'Barang Keluar'!$C:$C,N227))</f>
        <v>0</v>
      </c>
    </row>
    <row r="228" spans="1:16">
      <c r="A228">
        <f>IFERROR('Master Barang'!A223,"")</f>
        <v>0</v>
      </c>
      <c r="B228">
        <f>IFERROR('Master Barang'!B223,"")</f>
        <v>0</v>
      </c>
      <c r="C228">
        <f>IFERROR('Master Barang'!D223,"")</f>
        <v>0</v>
      </c>
      <c r="D228">
        <f>IF(A228="","",SUMIFS('Barang Keluar'!$E:$E,'Barang Keluar'!$C:$C,A228,'Barang Keluar'!$A:$A,"&gt;="&amp;$A$4,'Barang Keluar'!$A:$A,"&lt;="&amp;$B$4))</f>
        <v>0</v>
      </c>
      <c r="F228" s="49">
        <f>IF($A$4+ROW()-8&gt;$B$4,"",$A$4+ROW()-8)</f>
        <v>46243</v>
      </c>
      <c r="G228">
        <f>IF(F228="","",SUMIFS('Barang Keluar'!$E:$E,'Barang Keluar'!$A:$A,F228))</f>
        <v>0</v>
      </c>
      <c r="M228" s="49">
        <f>IF($A$4+2&gt;$B$4,"",$A$4+2)</f>
        <v>46025</v>
      </c>
      <c r="N228" t="str">
        <f>IF(M228="","",'Master Barang'!A22)</f>
        <v>PRL-021</v>
      </c>
      <c r="O228" t="str">
        <f>IF(N228="","",'Master Barang'!B22)</f>
        <v>altamed nurse cap penutup kepala 100 pcs</v>
      </c>
      <c r="P228">
        <f>IF(OR(M228="",N228=""),"",SUMIFS('Barang Keluar'!$E:$E,'Barang Keluar'!$A:$A,M228,'Barang Keluar'!$C:$C,N228))</f>
        <v>0</v>
      </c>
    </row>
    <row r="229" spans="1:16">
      <c r="A229">
        <f>IFERROR('Master Barang'!A224,"")</f>
        <v>0</v>
      </c>
      <c r="B229">
        <f>IFERROR('Master Barang'!B224,"")</f>
        <v>0</v>
      </c>
      <c r="C229">
        <f>IFERROR('Master Barang'!D224,"")</f>
        <v>0</v>
      </c>
      <c r="D229">
        <f>IF(A229="","",SUMIFS('Barang Keluar'!$E:$E,'Barang Keluar'!$C:$C,A229,'Barang Keluar'!$A:$A,"&gt;="&amp;$A$4,'Barang Keluar'!$A:$A,"&lt;="&amp;$B$4))</f>
        <v>0</v>
      </c>
      <c r="F229" s="49">
        <f>IF($A$4+ROW()-8&gt;$B$4,"",$A$4+ROW()-8)</f>
        <v>46244</v>
      </c>
      <c r="G229">
        <f>IF(F229="","",SUMIFS('Barang Keluar'!$E:$E,'Barang Keluar'!$A:$A,F229))</f>
        <v>0</v>
      </c>
      <c r="M229" s="49">
        <f>IF($A$4+2&gt;$B$4,"",$A$4+2)</f>
        <v>46025</v>
      </c>
      <c r="N229" t="str">
        <f>IF(M229="","",'Master Barang'!A23)</f>
        <v>PRL-022</v>
      </c>
      <c r="O229" t="str">
        <f>IF(N229="","",'Master Barang'!B23)</f>
        <v>sabun cuci tangan</v>
      </c>
      <c r="P229">
        <f>IF(OR(M229="",N229=""),"",SUMIFS('Barang Keluar'!$E:$E,'Barang Keluar'!$A:$A,M229,'Barang Keluar'!$C:$C,N229))</f>
        <v>0</v>
      </c>
    </row>
    <row r="230" spans="1:16">
      <c r="A230">
        <f>IFERROR('Master Barang'!A225,"")</f>
        <v>0</v>
      </c>
      <c r="B230">
        <f>IFERROR('Master Barang'!B225,"")</f>
        <v>0</v>
      </c>
      <c r="C230">
        <f>IFERROR('Master Barang'!D225,"")</f>
        <v>0</v>
      </c>
      <c r="D230">
        <f>IF(A230="","",SUMIFS('Barang Keluar'!$E:$E,'Barang Keluar'!$C:$C,A230,'Barang Keluar'!$A:$A,"&gt;="&amp;$A$4,'Barang Keluar'!$A:$A,"&lt;="&amp;$B$4))</f>
        <v>0</v>
      </c>
      <c r="F230" s="49">
        <f>IF($A$4+ROW()-8&gt;$B$4,"",$A$4+ROW()-8)</f>
        <v>46245</v>
      </c>
      <c r="G230">
        <f>IF(F230="","",SUMIFS('Barang Keluar'!$E:$E,'Barang Keluar'!$A:$A,F230))</f>
        <v>0</v>
      </c>
      <c r="M230" s="49">
        <f>IF($A$4+2&gt;$B$4,"",$A$4+2)</f>
        <v>46025</v>
      </c>
      <c r="N230" t="str">
        <f>IF(M230="","",'Master Barang'!A24)</f>
        <v>PRL-023</v>
      </c>
      <c r="O230" t="str">
        <f>IF(N230="","",'Master Barang'!B24)</f>
        <v>gayung kecil</v>
      </c>
      <c r="P230">
        <f>IF(OR(M230="",N230=""),"",SUMIFS('Barang Keluar'!$E:$E,'Barang Keluar'!$A:$A,M230,'Barang Keluar'!$C:$C,N230))</f>
        <v>0</v>
      </c>
    </row>
    <row r="231" spans="1:16">
      <c r="A231">
        <f>IFERROR('Master Barang'!A226,"")</f>
        <v>0</v>
      </c>
      <c r="B231">
        <f>IFERROR('Master Barang'!B226,"")</f>
        <v>0</v>
      </c>
      <c r="C231">
        <f>IFERROR('Master Barang'!D226,"")</f>
        <v>0</v>
      </c>
      <c r="D231">
        <f>IF(A231="","",SUMIFS('Barang Keluar'!$E:$E,'Barang Keluar'!$C:$C,A231,'Barang Keluar'!$A:$A,"&gt;="&amp;$A$4,'Barang Keluar'!$A:$A,"&lt;="&amp;$B$4))</f>
        <v>0</v>
      </c>
      <c r="F231" s="49">
        <f>IF($A$4+ROW()-8&gt;$B$4,"",$A$4+ROW()-8)</f>
        <v>46246</v>
      </c>
      <c r="G231">
        <f>IF(F231="","",SUMIFS('Barang Keluar'!$E:$E,'Barang Keluar'!$A:$A,F231))</f>
        <v>0</v>
      </c>
      <c r="M231" s="49">
        <f>IF($A$4+2&gt;$B$4,"",$A$4+2)</f>
        <v>46025</v>
      </c>
      <c r="N231" t="str">
        <f>IF(M231="","",'Master Barang'!A25)</f>
        <v>PRL-024</v>
      </c>
      <c r="O231" t="str">
        <f>IF(N231="","",'Master Barang'!B25)</f>
        <v>cikrak kecil</v>
      </c>
      <c r="P231">
        <f>IF(OR(M231="",N231=""),"",SUMIFS('Barang Keluar'!$E:$E,'Barang Keluar'!$A:$A,M231,'Barang Keluar'!$C:$C,N231))</f>
        <v>0</v>
      </c>
    </row>
    <row r="232" spans="1:16">
      <c r="A232">
        <f>IFERROR('Master Barang'!A227,"")</f>
        <v>0</v>
      </c>
      <c r="B232">
        <f>IFERROR('Master Barang'!B227,"")</f>
        <v>0</v>
      </c>
      <c r="C232">
        <f>IFERROR('Master Barang'!D227,"")</f>
        <v>0</v>
      </c>
      <c r="D232">
        <f>IF(A232="","",SUMIFS('Barang Keluar'!$E:$E,'Barang Keluar'!$C:$C,A232,'Barang Keluar'!$A:$A,"&gt;="&amp;$A$4,'Barang Keluar'!$A:$A,"&lt;="&amp;$B$4))</f>
        <v>0</v>
      </c>
      <c r="F232" s="49">
        <f>IF($A$4+ROW()-8&gt;$B$4,"",$A$4+ROW()-8)</f>
        <v>46247</v>
      </c>
      <c r="G232">
        <f>IF(F232="","",SUMIFS('Barang Keluar'!$E:$E,'Barang Keluar'!$A:$A,F232))</f>
        <v>0</v>
      </c>
      <c r="M232" s="49">
        <f>IF($A$4+2&gt;$B$4,"",$A$4+2)</f>
        <v>46025</v>
      </c>
      <c r="N232" t="str">
        <f>IF(M232="","",'Master Barang'!A26)</f>
        <v>PRL-025</v>
      </c>
      <c r="O232" t="str">
        <f>IF(N232="","",'Master Barang'!B26)</f>
        <v>petromax plastik kecil 12x24 100 lembar</v>
      </c>
      <c r="P232">
        <f>IF(OR(M232="",N232=""),"",SUMIFS('Barang Keluar'!$E:$E,'Barang Keluar'!$A:$A,M232,'Barang Keluar'!$C:$C,N232))</f>
        <v>0</v>
      </c>
    </row>
    <row r="233" spans="1:16">
      <c r="A233">
        <f>IFERROR('Master Barang'!A228,"")</f>
        <v>0</v>
      </c>
      <c r="B233">
        <f>IFERROR('Master Barang'!B228,"")</f>
        <v>0</v>
      </c>
      <c r="C233">
        <f>IFERROR('Master Barang'!D228,"")</f>
        <v>0</v>
      </c>
      <c r="D233">
        <f>IF(A233="","",SUMIFS('Barang Keluar'!$E:$E,'Barang Keluar'!$C:$C,A233,'Barang Keluar'!$A:$A,"&gt;="&amp;$A$4,'Barang Keluar'!$A:$A,"&lt;="&amp;$B$4))</f>
        <v>0</v>
      </c>
      <c r="F233" s="49">
        <f>IF($A$4+ROW()-8&gt;$B$4,"",$A$4+ROW()-8)</f>
        <v>46248</v>
      </c>
      <c r="G233">
        <f>IF(F233="","",SUMIFS('Barang Keluar'!$E:$E,'Barang Keluar'!$A:$A,F233))</f>
        <v>0</v>
      </c>
      <c r="M233" s="49">
        <f>IF($A$4+2&gt;$B$4,"",$A$4+2)</f>
        <v>46025</v>
      </c>
      <c r="N233" t="str">
        <f>IF(M233="","",'Master Barang'!A27)</f>
        <v>PRL-026</v>
      </c>
      <c r="O233" t="str">
        <f>IF(N233="","",'Master Barang'!B27)</f>
        <v>lancar kresek kecil bening </v>
      </c>
      <c r="P233">
        <f>IF(OR(M233="",N233=""),"",SUMIFS('Barang Keluar'!$E:$E,'Barang Keluar'!$A:$A,M233,'Barang Keluar'!$C:$C,N233))</f>
        <v>0</v>
      </c>
    </row>
    <row r="234" spans="1:16">
      <c r="A234">
        <f>IFERROR('Master Barang'!A229,"")</f>
        <v>0</v>
      </c>
      <c r="B234">
        <f>IFERROR('Master Barang'!B229,"")</f>
        <v>0</v>
      </c>
      <c r="C234">
        <f>IFERROR('Master Barang'!D229,"")</f>
        <v>0</v>
      </c>
      <c r="D234">
        <f>IF(A234="","",SUMIFS('Barang Keluar'!$E:$E,'Barang Keluar'!$C:$C,A234,'Barang Keluar'!$A:$A,"&gt;="&amp;$A$4,'Barang Keluar'!$A:$A,"&lt;="&amp;$B$4))</f>
        <v>0</v>
      </c>
      <c r="F234" s="49">
        <f>IF($A$4+ROW()-8&gt;$B$4,"",$A$4+ROW()-8)</f>
        <v>46249</v>
      </c>
      <c r="G234">
        <f>IF(F234="","",SUMIFS('Barang Keluar'!$E:$E,'Barang Keluar'!$A:$A,F234))</f>
        <v>0</v>
      </c>
      <c r="M234" s="49">
        <f>IF($A$4+2&gt;$B$4,"",$A$4+2)</f>
        <v>46025</v>
      </c>
      <c r="N234" t="str">
        <f>IF(M234="","",'Master Barang'!A28)</f>
        <v>PRL-027</v>
      </c>
      <c r="O234" t="str">
        <f>IF(N234="","",'Master Barang'!B28)</f>
        <v>kresek klin warna warni kecil</v>
      </c>
      <c r="P234">
        <f>IF(OR(M234="",N234=""),"",SUMIFS('Barang Keluar'!$E:$E,'Barang Keluar'!$A:$A,M234,'Barang Keluar'!$C:$C,N234))</f>
        <v>0</v>
      </c>
    </row>
    <row r="235" spans="1:16">
      <c r="A235">
        <f>IFERROR('Master Barang'!A230,"")</f>
        <v>0</v>
      </c>
      <c r="B235">
        <f>IFERROR('Master Barang'!B230,"")</f>
        <v>0</v>
      </c>
      <c r="C235">
        <f>IFERROR('Master Barang'!D230,"")</f>
        <v>0</v>
      </c>
      <c r="D235">
        <f>IF(A235="","",SUMIFS('Barang Keluar'!$E:$E,'Barang Keluar'!$C:$C,A235,'Barang Keluar'!$A:$A,"&gt;="&amp;$A$4,'Barang Keluar'!$A:$A,"&lt;="&amp;$B$4))</f>
        <v>0</v>
      </c>
      <c r="F235" s="49">
        <f>IF($A$4+ROW()-8&gt;$B$4,"",$A$4+ROW()-8)</f>
        <v>46250</v>
      </c>
      <c r="G235">
        <f>IF(F235="","",SUMIFS('Barang Keluar'!$E:$E,'Barang Keluar'!$A:$A,F235))</f>
        <v>0</v>
      </c>
      <c r="M235" s="49">
        <f>IF($A$4+2&gt;$B$4,"",$A$4+2)</f>
        <v>46025</v>
      </c>
      <c r="N235" t="str">
        <f>IF(M235="","",'Master Barang'!A29)</f>
        <v>PRL-028</v>
      </c>
      <c r="O235" t="str">
        <f>IF(N235="","",'Master Barang'!B29)</f>
        <v>ctik plastik 7x10 100 pcs</v>
      </c>
      <c r="P235">
        <f>IF(OR(M235="",N235=""),"",SUMIFS('Barang Keluar'!$E:$E,'Barang Keluar'!$A:$A,M235,'Barang Keluar'!$C:$C,N235))</f>
        <v>0</v>
      </c>
    </row>
    <row r="236" spans="1:16">
      <c r="A236">
        <f>IFERROR('Master Barang'!A231,"")</f>
        <v>0</v>
      </c>
      <c r="B236">
        <f>IFERROR('Master Barang'!B231,"")</f>
        <v>0</v>
      </c>
      <c r="C236">
        <f>IFERROR('Master Barang'!D231,"")</f>
        <v>0</v>
      </c>
      <c r="D236">
        <f>IF(A236="","",SUMIFS('Barang Keluar'!$E:$E,'Barang Keluar'!$C:$C,A236,'Barang Keluar'!$A:$A,"&gt;="&amp;$A$4,'Barang Keluar'!$A:$A,"&lt;="&amp;$B$4))</f>
        <v>0</v>
      </c>
      <c r="F236" s="49">
        <f>IF($A$4+ROW()-8&gt;$B$4,"",$A$4+ROW()-8)</f>
        <v>46251</v>
      </c>
      <c r="G236">
        <f>IF(F236="","",SUMIFS('Barang Keluar'!$E:$E,'Barang Keluar'!$A:$A,F236))</f>
        <v>0</v>
      </c>
      <c r="M236" s="49">
        <f>IF($A$4+2&gt;$B$4,"",$A$4+2)</f>
        <v>46025</v>
      </c>
      <c r="N236" t="str">
        <f>IF(M236="","",'Master Barang'!A30)</f>
        <v>PRL-029</v>
      </c>
      <c r="O236" t="str">
        <f>IF(N236="","",'Master Barang'!B30)</f>
        <v>ctik plastik 6x10 100 pcs</v>
      </c>
      <c r="P236">
        <f>IF(OR(M236="",N236=""),"",SUMIFS('Barang Keluar'!$E:$E,'Barang Keluar'!$A:$A,M236,'Barang Keluar'!$C:$C,N236))</f>
        <v>0</v>
      </c>
    </row>
    <row r="237" spans="1:16">
      <c r="A237">
        <f>IFERROR('Master Barang'!A232,"")</f>
        <v>0</v>
      </c>
      <c r="B237">
        <f>IFERROR('Master Barang'!B232,"")</f>
        <v>0</v>
      </c>
      <c r="C237">
        <f>IFERROR('Master Barang'!D232,"")</f>
        <v>0</v>
      </c>
      <c r="D237">
        <f>IF(A237="","",SUMIFS('Barang Keluar'!$E:$E,'Barang Keluar'!$C:$C,A237,'Barang Keluar'!$A:$A,"&gt;="&amp;$A$4,'Barang Keluar'!$A:$A,"&lt;="&amp;$B$4))</f>
        <v>0</v>
      </c>
      <c r="F237" s="49">
        <f>IF($A$4+ROW()-8&gt;$B$4,"",$A$4+ROW()-8)</f>
        <v>46252</v>
      </c>
      <c r="G237">
        <f>IF(F237="","",SUMIFS('Barang Keluar'!$E:$E,'Barang Keluar'!$A:$A,F237))</f>
        <v>0</v>
      </c>
      <c r="M237" s="49">
        <f>IF($A$4+2&gt;$B$4,"",$A$4+2)</f>
        <v>46025</v>
      </c>
      <c r="N237" t="str">
        <f>IF(M237="","",'Master Barang'!A31)</f>
        <v>PRL-030</v>
      </c>
      <c r="O237" t="str">
        <f>IF(N237="","",'Master Barang'!B31)</f>
        <v>klip plastik 25x16 100 pcs</v>
      </c>
      <c r="P237">
        <f>IF(OR(M237="",N237=""),"",SUMIFS('Barang Keluar'!$E:$E,'Barang Keluar'!$A:$A,M237,'Barang Keluar'!$C:$C,N237))</f>
        <v>0</v>
      </c>
    </row>
    <row r="238" spans="1:16">
      <c r="A238">
        <f>IFERROR('Master Barang'!A233,"")</f>
        <v>0</v>
      </c>
      <c r="B238">
        <f>IFERROR('Master Barang'!B233,"")</f>
        <v>0</v>
      </c>
      <c r="C238">
        <f>IFERROR('Master Barang'!D233,"")</f>
        <v>0</v>
      </c>
      <c r="D238">
        <f>IF(A238="","",SUMIFS('Barang Keluar'!$E:$E,'Barang Keluar'!$C:$C,A238,'Barang Keluar'!$A:$A,"&gt;="&amp;$A$4,'Barang Keluar'!$A:$A,"&lt;="&amp;$B$4))</f>
        <v>0</v>
      </c>
      <c r="F238" s="49">
        <f>IF($A$4+ROW()-8&gt;$B$4,"",$A$4+ROW()-8)</f>
        <v>46253</v>
      </c>
      <c r="G238">
        <f>IF(F238="","",SUMIFS('Barang Keluar'!$E:$E,'Barang Keluar'!$A:$A,F238))</f>
        <v>0</v>
      </c>
      <c r="M238" s="49">
        <f>IF($A$4+2&gt;$B$4,"",$A$4+2)</f>
        <v>46025</v>
      </c>
      <c r="N238" t="str">
        <f>IF(M238="","",'Master Barang'!A32)</f>
        <v>PRL-031</v>
      </c>
      <c r="O238" t="str">
        <f>IF(N238="","",'Master Barang'!B32)</f>
        <v>tempat saus 20 ml</v>
      </c>
      <c r="P238">
        <f>IF(OR(M238="",N238=""),"",SUMIFS('Barang Keluar'!$E:$E,'Barang Keluar'!$A:$A,M238,'Barang Keluar'!$C:$C,N238))</f>
        <v>0</v>
      </c>
    </row>
    <row r="239" spans="1:16">
      <c r="A239">
        <f>IFERROR('Master Barang'!A234,"")</f>
        <v>0</v>
      </c>
      <c r="B239">
        <f>IFERROR('Master Barang'!B234,"")</f>
        <v>0</v>
      </c>
      <c r="C239">
        <f>IFERROR('Master Barang'!D234,"")</f>
        <v>0</v>
      </c>
      <c r="D239">
        <f>IF(A239="","",SUMIFS('Barang Keluar'!$E:$E,'Barang Keluar'!$C:$C,A239,'Barang Keluar'!$A:$A,"&gt;="&amp;$A$4,'Barang Keluar'!$A:$A,"&lt;="&amp;$B$4))</f>
        <v>0</v>
      </c>
      <c r="F239" s="49">
        <f>IF($A$4+ROW()-8&gt;$B$4,"",$A$4+ROW()-8)</f>
        <v>46254</v>
      </c>
      <c r="G239">
        <f>IF(F239="","",SUMIFS('Barang Keluar'!$E:$E,'Barang Keluar'!$A:$A,F239))</f>
        <v>0</v>
      </c>
      <c r="M239" s="49">
        <f>IF($A$4+2&gt;$B$4,"",$A$4+2)</f>
        <v>46025</v>
      </c>
      <c r="N239" t="str">
        <f>IF(M239="","",'Master Barang'!A33)</f>
        <v>PRL-032</v>
      </c>
      <c r="O239" t="str">
        <f>IF(N239="","",'Master Barang'!B33)</f>
        <v>plastik packaging ag box uk sedang</v>
      </c>
      <c r="P239">
        <f>IF(OR(M239="",N239=""),"",SUMIFS('Barang Keluar'!$E:$E,'Barang Keluar'!$A:$A,M239,'Barang Keluar'!$C:$C,N239))</f>
        <v>0</v>
      </c>
    </row>
    <row r="240" spans="1:16">
      <c r="A240">
        <f>IFERROR('Master Barang'!A235,"")</f>
        <v>0</v>
      </c>
      <c r="B240">
        <f>IFERROR('Master Barang'!B235,"")</f>
        <v>0</v>
      </c>
      <c r="C240">
        <f>IFERROR('Master Barang'!D235,"")</f>
        <v>0</v>
      </c>
      <c r="D240">
        <f>IF(A240="","",SUMIFS('Barang Keluar'!$E:$E,'Barang Keluar'!$C:$C,A240,'Barang Keluar'!$A:$A,"&gt;="&amp;$A$4,'Barang Keluar'!$A:$A,"&lt;="&amp;$B$4))</f>
        <v>0</v>
      </c>
      <c r="F240" s="49">
        <f>IF($A$4+ROW()-8&gt;$B$4,"",$A$4+ROW()-8)</f>
        <v>46255</v>
      </c>
      <c r="G240">
        <f>IF(F240="","",SUMIFS('Barang Keluar'!$E:$E,'Barang Keluar'!$A:$A,F240))</f>
        <v>0</v>
      </c>
      <c r="M240" s="49">
        <f>IF($A$4+2&gt;$B$4,"",$A$4+2)</f>
        <v>46025</v>
      </c>
      <c r="N240" t="str">
        <f>IF(M240="","",'Master Barang'!A34)</f>
        <v>PRL-033</v>
      </c>
      <c r="O240">
        <f>IF(N240="","",'Master Barang'!B34)</f>
        <v>0</v>
      </c>
      <c r="P240">
        <f>IF(OR(M240="",N240=""),"",SUMIFS('Barang Keluar'!$E:$E,'Barang Keluar'!$A:$A,M240,'Barang Keluar'!$C:$C,N240))</f>
        <v>0</v>
      </c>
    </row>
    <row r="241" spans="1:16">
      <c r="A241">
        <f>IFERROR('Master Barang'!A236,"")</f>
        <v>0</v>
      </c>
      <c r="B241">
        <f>IFERROR('Master Barang'!B236,"")</f>
        <v>0</v>
      </c>
      <c r="C241">
        <f>IFERROR('Master Barang'!D236,"")</f>
        <v>0</v>
      </c>
      <c r="D241">
        <f>IF(A241="","",SUMIFS('Barang Keluar'!$E:$E,'Barang Keluar'!$C:$C,A241,'Barang Keluar'!$A:$A,"&gt;="&amp;$A$4,'Barang Keluar'!$A:$A,"&lt;="&amp;$B$4))</f>
        <v>0</v>
      </c>
      <c r="F241" s="49">
        <f>IF($A$4+ROW()-8&gt;$B$4,"",$A$4+ROW()-8)</f>
        <v>46256</v>
      </c>
      <c r="G241">
        <f>IF(F241="","",SUMIFS('Barang Keluar'!$E:$E,'Barang Keluar'!$A:$A,F241))</f>
        <v>0</v>
      </c>
      <c r="M241" s="49">
        <f>IF($A$4+2&gt;$B$4,"",$A$4+2)</f>
        <v>46025</v>
      </c>
      <c r="N241">
        <f>IF(M241="","",'Master Barang'!A35)</f>
        <v>0</v>
      </c>
      <c r="O241">
        <f>IF(N241="","",'Master Barang'!B35)</f>
        <v>0</v>
      </c>
      <c r="P241">
        <f>IF(OR(M241="",N241=""),"",SUMIFS('Barang Keluar'!$E:$E,'Barang Keluar'!$A:$A,M241,'Barang Keluar'!$C:$C,N241))</f>
        <v>0</v>
      </c>
    </row>
    <row r="242" spans="1:16">
      <c r="A242">
        <f>IFERROR('Master Barang'!A237,"")</f>
        <v>0</v>
      </c>
      <c r="B242">
        <f>IFERROR('Master Barang'!B237,"")</f>
        <v>0</v>
      </c>
      <c r="C242">
        <f>IFERROR('Master Barang'!D237,"")</f>
        <v>0</v>
      </c>
      <c r="D242">
        <f>IF(A242="","",SUMIFS('Barang Keluar'!$E:$E,'Barang Keluar'!$C:$C,A242,'Barang Keluar'!$A:$A,"&gt;="&amp;$A$4,'Barang Keluar'!$A:$A,"&lt;="&amp;$B$4))</f>
        <v>0</v>
      </c>
      <c r="F242" s="49">
        <f>IF($A$4+ROW()-8&gt;$B$4,"",$A$4+ROW()-8)</f>
        <v>46257</v>
      </c>
      <c r="G242">
        <f>IF(F242="","",SUMIFS('Barang Keluar'!$E:$E,'Barang Keluar'!$A:$A,F242))</f>
        <v>0</v>
      </c>
      <c r="M242" s="49">
        <f>IF($A$4+2&gt;$B$4,"",$A$4+2)</f>
        <v>46025</v>
      </c>
      <c r="N242">
        <f>IF(M242="","",'Master Barang'!A36)</f>
        <v>0</v>
      </c>
      <c r="O242">
        <f>IF(N242="","",'Master Barang'!B36)</f>
        <v>0</v>
      </c>
      <c r="P242">
        <f>IF(OR(M242="",N242=""),"",SUMIFS('Barang Keluar'!$E:$E,'Barang Keluar'!$A:$A,M242,'Barang Keluar'!$C:$C,N242))</f>
        <v>0</v>
      </c>
    </row>
    <row r="243" spans="1:16">
      <c r="A243">
        <f>IFERROR('Master Barang'!A238,"")</f>
        <v>0</v>
      </c>
      <c r="B243">
        <f>IFERROR('Master Barang'!B238,"")</f>
        <v>0</v>
      </c>
      <c r="C243">
        <f>IFERROR('Master Barang'!D238,"")</f>
        <v>0</v>
      </c>
      <c r="D243">
        <f>IF(A243="","",SUMIFS('Barang Keluar'!$E:$E,'Barang Keluar'!$C:$C,A243,'Barang Keluar'!$A:$A,"&gt;="&amp;$A$4,'Barang Keluar'!$A:$A,"&lt;="&amp;$B$4))</f>
        <v>0</v>
      </c>
      <c r="F243" s="49">
        <f>IF($A$4+ROW()-8&gt;$B$4,"",$A$4+ROW()-8)</f>
        <v>46258</v>
      </c>
      <c r="G243">
        <f>IF(F243="","",SUMIFS('Barang Keluar'!$E:$E,'Barang Keluar'!$A:$A,F243))</f>
        <v>0</v>
      </c>
      <c r="M243" s="49">
        <f>IF($A$4+2&gt;$B$4,"",$A$4+2)</f>
        <v>46025</v>
      </c>
      <c r="N243">
        <f>IF(M243="","",'Master Barang'!A37)</f>
        <v>0</v>
      </c>
      <c r="O243">
        <f>IF(N243="","",'Master Barang'!B37)</f>
        <v>0</v>
      </c>
      <c r="P243">
        <f>IF(OR(M243="",N243=""),"",SUMIFS('Barang Keluar'!$E:$E,'Barang Keluar'!$A:$A,M243,'Barang Keluar'!$C:$C,N243))</f>
        <v>0</v>
      </c>
    </row>
    <row r="244" spans="1:16">
      <c r="A244">
        <f>IFERROR('Master Barang'!A239,"")</f>
        <v>0</v>
      </c>
      <c r="B244">
        <f>IFERROR('Master Barang'!B239,"")</f>
        <v>0</v>
      </c>
      <c r="C244">
        <f>IFERROR('Master Barang'!D239,"")</f>
        <v>0</v>
      </c>
      <c r="D244">
        <f>IF(A244="","",SUMIFS('Barang Keluar'!$E:$E,'Barang Keluar'!$C:$C,A244,'Barang Keluar'!$A:$A,"&gt;="&amp;$A$4,'Barang Keluar'!$A:$A,"&lt;="&amp;$B$4))</f>
        <v>0</v>
      </c>
      <c r="F244" s="49">
        <f>IF($A$4+ROW()-8&gt;$B$4,"",$A$4+ROW()-8)</f>
        <v>46259</v>
      </c>
      <c r="G244">
        <f>IF(F244="","",SUMIFS('Barang Keluar'!$E:$E,'Barang Keluar'!$A:$A,F244))</f>
        <v>0</v>
      </c>
      <c r="M244" s="49">
        <f>IF($A$4+2&gt;$B$4,"",$A$4+2)</f>
        <v>46025</v>
      </c>
      <c r="N244">
        <f>IF(M244="","",'Master Barang'!A38)</f>
        <v>0</v>
      </c>
      <c r="O244">
        <f>IF(N244="","",'Master Barang'!B38)</f>
        <v>0</v>
      </c>
      <c r="P244">
        <f>IF(OR(M244="",N244=""),"",SUMIFS('Barang Keluar'!$E:$E,'Barang Keluar'!$A:$A,M244,'Barang Keluar'!$C:$C,N244))</f>
        <v>0</v>
      </c>
    </row>
    <row r="245" spans="1:16">
      <c r="A245">
        <f>IFERROR('Master Barang'!A240,"")</f>
        <v>0</v>
      </c>
      <c r="B245">
        <f>IFERROR('Master Barang'!B240,"")</f>
        <v>0</v>
      </c>
      <c r="C245">
        <f>IFERROR('Master Barang'!D240,"")</f>
        <v>0</v>
      </c>
      <c r="D245">
        <f>IF(A245="","",SUMIFS('Barang Keluar'!$E:$E,'Barang Keluar'!$C:$C,A245,'Barang Keluar'!$A:$A,"&gt;="&amp;$A$4,'Barang Keluar'!$A:$A,"&lt;="&amp;$B$4))</f>
        <v>0</v>
      </c>
      <c r="F245" s="49">
        <f>IF($A$4+ROW()-8&gt;$B$4,"",$A$4+ROW()-8)</f>
        <v>46260</v>
      </c>
      <c r="G245">
        <f>IF(F245="","",SUMIFS('Barang Keluar'!$E:$E,'Barang Keluar'!$A:$A,F245))</f>
        <v>0</v>
      </c>
      <c r="M245" s="49">
        <f>IF($A$4+2&gt;$B$4,"",$A$4+2)</f>
        <v>46025</v>
      </c>
      <c r="N245">
        <f>IF(M245="","",'Master Barang'!A39)</f>
        <v>0</v>
      </c>
      <c r="O245">
        <f>IF(N245="","",'Master Barang'!B39)</f>
        <v>0</v>
      </c>
      <c r="P245">
        <f>IF(OR(M245="",N245=""),"",SUMIFS('Barang Keluar'!$E:$E,'Barang Keluar'!$A:$A,M245,'Barang Keluar'!$C:$C,N245))</f>
        <v>0</v>
      </c>
    </row>
    <row r="246" spans="1:16">
      <c r="A246">
        <f>IFERROR('Master Barang'!A241,"")</f>
        <v>0</v>
      </c>
      <c r="B246">
        <f>IFERROR('Master Barang'!B241,"")</f>
        <v>0</v>
      </c>
      <c r="C246">
        <f>IFERROR('Master Barang'!D241,"")</f>
        <v>0</v>
      </c>
      <c r="D246">
        <f>IF(A246="","",SUMIFS('Barang Keluar'!$E:$E,'Barang Keluar'!$C:$C,A246,'Barang Keluar'!$A:$A,"&gt;="&amp;$A$4,'Barang Keluar'!$A:$A,"&lt;="&amp;$B$4))</f>
        <v>0</v>
      </c>
      <c r="F246" s="49">
        <f>IF($A$4+ROW()-8&gt;$B$4,"",$A$4+ROW()-8)</f>
        <v>46261</v>
      </c>
      <c r="G246">
        <f>IF(F246="","",SUMIFS('Barang Keluar'!$E:$E,'Barang Keluar'!$A:$A,F246))</f>
        <v>0</v>
      </c>
      <c r="M246" s="49">
        <f>IF($A$4+2&gt;$B$4,"",$A$4+2)</f>
        <v>46025</v>
      </c>
      <c r="N246">
        <f>IF(M246="","",'Master Barang'!A40)</f>
        <v>0</v>
      </c>
      <c r="O246">
        <f>IF(N246="","",'Master Barang'!B40)</f>
        <v>0</v>
      </c>
      <c r="P246">
        <f>IF(OR(M246="",N246=""),"",SUMIFS('Barang Keluar'!$E:$E,'Barang Keluar'!$A:$A,M246,'Barang Keluar'!$C:$C,N246))</f>
        <v>0</v>
      </c>
    </row>
    <row r="247" spans="1:16">
      <c r="A247">
        <f>IFERROR('Master Barang'!A242,"")</f>
        <v>0</v>
      </c>
      <c r="B247">
        <f>IFERROR('Master Barang'!B242,"")</f>
        <v>0</v>
      </c>
      <c r="C247">
        <f>IFERROR('Master Barang'!D242,"")</f>
        <v>0</v>
      </c>
      <c r="D247">
        <f>IF(A247="","",SUMIFS('Barang Keluar'!$E:$E,'Barang Keluar'!$C:$C,A247,'Barang Keluar'!$A:$A,"&gt;="&amp;$A$4,'Barang Keluar'!$A:$A,"&lt;="&amp;$B$4))</f>
        <v>0</v>
      </c>
      <c r="F247" s="49">
        <f>IF($A$4+ROW()-8&gt;$B$4,"",$A$4+ROW()-8)</f>
        <v>46262</v>
      </c>
      <c r="G247">
        <f>IF(F247="","",SUMIFS('Barang Keluar'!$E:$E,'Barang Keluar'!$A:$A,F247))</f>
        <v>0</v>
      </c>
      <c r="M247" s="49">
        <f>IF($A$4+2&gt;$B$4,"",$A$4+2)</f>
        <v>46025</v>
      </c>
      <c r="N247">
        <f>IF(M247="","",'Master Barang'!A41)</f>
        <v>0</v>
      </c>
      <c r="O247">
        <f>IF(N247="","",'Master Barang'!B41)</f>
        <v>0</v>
      </c>
      <c r="P247">
        <f>IF(OR(M247="",N247=""),"",SUMIFS('Barang Keluar'!$E:$E,'Barang Keluar'!$A:$A,M247,'Barang Keluar'!$C:$C,N247))</f>
        <v>0</v>
      </c>
    </row>
    <row r="248" spans="1:16">
      <c r="A248">
        <f>IFERROR('Master Barang'!A243,"")</f>
        <v>0</v>
      </c>
      <c r="B248">
        <f>IFERROR('Master Barang'!B243,"")</f>
        <v>0</v>
      </c>
      <c r="C248">
        <f>IFERROR('Master Barang'!D243,"")</f>
        <v>0</v>
      </c>
      <c r="D248">
        <f>IF(A248="","",SUMIFS('Barang Keluar'!$E:$E,'Barang Keluar'!$C:$C,A248,'Barang Keluar'!$A:$A,"&gt;="&amp;$A$4,'Barang Keluar'!$A:$A,"&lt;="&amp;$B$4))</f>
        <v>0</v>
      </c>
      <c r="F248" s="49">
        <f>IF($A$4+ROW()-8&gt;$B$4,"",$A$4+ROW()-8)</f>
        <v>46263</v>
      </c>
      <c r="G248">
        <f>IF(F248="","",SUMIFS('Barang Keluar'!$E:$E,'Barang Keluar'!$A:$A,F248))</f>
        <v>0</v>
      </c>
      <c r="M248" s="49">
        <f>IF($A$4+2&gt;$B$4,"",$A$4+2)</f>
        <v>46025</v>
      </c>
      <c r="N248">
        <f>IF(M248="","",'Master Barang'!A42)</f>
        <v>0</v>
      </c>
      <c r="O248">
        <f>IF(N248="","",'Master Barang'!B42)</f>
        <v>0</v>
      </c>
      <c r="P248">
        <f>IF(OR(M248="",N248=""),"",SUMIFS('Barang Keluar'!$E:$E,'Barang Keluar'!$A:$A,M248,'Barang Keluar'!$C:$C,N248))</f>
        <v>0</v>
      </c>
    </row>
    <row r="249" spans="1:16">
      <c r="A249">
        <f>IFERROR('Master Barang'!A244,"")</f>
        <v>0</v>
      </c>
      <c r="B249">
        <f>IFERROR('Master Barang'!B244,"")</f>
        <v>0</v>
      </c>
      <c r="C249">
        <f>IFERROR('Master Barang'!D244,"")</f>
        <v>0</v>
      </c>
      <c r="D249">
        <f>IF(A249="","",SUMIFS('Barang Keluar'!$E:$E,'Barang Keluar'!$C:$C,A249,'Barang Keluar'!$A:$A,"&gt;="&amp;$A$4,'Barang Keluar'!$A:$A,"&lt;="&amp;$B$4))</f>
        <v>0</v>
      </c>
      <c r="F249" s="49">
        <f>IF($A$4+ROW()-8&gt;$B$4,"",$A$4+ROW()-8)</f>
        <v>46264</v>
      </c>
      <c r="G249">
        <f>IF(F249="","",SUMIFS('Barang Keluar'!$E:$E,'Barang Keluar'!$A:$A,F249))</f>
        <v>0</v>
      </c>
      <c r="M249" s="49">
        <f>IF($A$4+2&gt;$B$4,"",$A$4+2)</f>
        <v>46025</v>
      </c>
      <c r="N249">
        <f>IF(M249="","",'Master Barang'!A43)</f>
        <v>0</v>
      </c>
      <c r="O249">
        <f>IF(N249="","",'Master Barang'!B43)</f>
        <v>0</v>
      </c>
      <c r="P249">
        <f>IF(OR(M249="",N249=""),"",SUMIFS('Barang Keluar'!$E:$E,'Barang Keluar'!$A:$A,M249,'Barang Keluar'!$C:$C,N249))</f>
        <v>0</v>
      </c>
    </row>
    <row r="250" spans="1:16">
      <c r="A250">
        <f>IFERROR('Master Barang'!A245,"")</f>
        <v>0</v>
      </c>
      <c r="B250">
        <f>IFERROR('Master Barang'!B245,"")</f>
        <v>0</v>
      </c>
      <c r="C250">
        <f>IFERROR('Master Barang'!D245,"")</f>
        <v>0</v>
      </c>
      <c r="D250">
        <f>IF(A250="","",SUMIFS('Barang Keluar'!$E:$E,'Barang Keluar'!$C:$C,A250,'Barang Keluar'!$A:$A,"&gt;="&amp;$A$4,'Barang Keluar'!$A:$A,"&lt;="&amp;$B$4))</f>
        <v>0</v>
      </c>
      <c r="F250" s="49">
        <f>IF($A$4+ROW()-8&gt;$B$4,"",$A$4+ROW()-8)</f>
        <v>46265</v>
      </c>
      <c r="G250">
        <f>IF(F250="","",SUMIFS('Barang Keluar'!$E:$E,'Barang Keluar'!$A:$A,F250))</f>
        <v>0</v>
      </c>
      <c r="M250" s="49">
        <f>IF($A$4+2&gt;$B$4,"",$A$4+2)</f>
        <v>46025</v>
      </c>
      <c r="N250">
        <f>IF(M250="","",'Master Barang'!A44)</f>
        <v>0</v>
      </c>
      <c r="O250">
        <f>IF(N250="","",'Master Barang'!B44)</f>
        <v>0</v>
      </c>
      <c r="P250">
        <f>IF(OR(M250="",N250=""),"",SUMIFS('Barang Keluar'!$E:$E,'Barang Keluar'!$A:$A,M250,'Barang Keluar'!$C:$C,N250))</f>
        <v>0</v>
      </c>
    </row>
    <row r="251" spans="1:16">
      <c r="A251">
        <f>IFERROR('Master Barang'!A246,"")</f>
        <v>0</v>
      </c>
      <c r="B251">
        <f>IFERROR('Master Barang'!B246,"")</f>
        <v>0</v>
      </c>
      <c r="C251">
        <f>IFERROR('Master Barang'!D246,"")</f>
        <v>0</v>
      </c>
      <c r="D251">
        <f>IF(A251="","",SUMIFS('Barang Keluar'!$E:$E,'Barang Keluar'!$C:$C,A251,'Barang Keluar'!$A:$A,"&gt;="&amp;$A$4,'Barang Keluar'!$A:$A,"&lt;="&amp;$B$4))</f>
        <v>0</v>
      </c>
      <c r="F251" s="49">
        <f>IF($A$4+ROW()-8&gt;$B$4,"",$A$4+ROW()-8)</f>
        <v>46266</v>
      </c>
      <c r="G251">
        <f>IF(F251="","",SUMIFS('Barang Keluar'!$E:$E,'Barang Keluar'!$A:$A,F251))</f>
        <v>0</v>
      </c>
      <c r="M251" s="49">
        <f>IF($A$4+2&gt;$B$4,"",$A$4+2)</f>
        <v>46025</v>
      </c>
      <c r="N251">
        <f>IF(M251="","",'Master Barang'!A45)</f>
        <v>0</v>
      </c>
      <c r="O251">
        <f>IF(N251="","",'Master Barang'!B45)</f>
        <v>0</v>
      </c>
      <c r="P251">
        <f>IF(OR(M251="",N251=""),"",SUMIFS('Barang Keluar'!$E:$E,'Barang Keluar'!$A:$A,M251,'Barang Keluar'!$C:$C,N251))</f>
        <v>0</v>
      </c>
    </row>
    <row r="252" spans="1:16">
      <c r="A252">
        <f>IFERROR('Master Barang'!A247,"")</f>
        <v>0</v>
      </c>
      <c r="B252">
        <f>IFERROR('Master Barang'!B247,"")</f>
        <v>0</v>
      </c>
      <c r="C252">
        <f>IFERROR('Master Barang'!D247,"")</f>
        <v>0</v>
      </c>
      <c r="D252">
        <f>IF(A252="","",SUMIFS('Barang Keluar'!$E:$E,'Barang Keluar'!$C:$C,A252,'Barang Keluar'!$A:$A,"&gt;="&amp;$A$4,'Barang Keluar'!$A:$A,"&lt;="&amp;$B$4))</f>
        <v>0</v>
      </c>
      <c r="F252" s="49">
        <f>IF($A$4+ROW()-8&gt;$B$4,"",$A$4+ROW()-8)</f>
        <v>46267</v>
      </c>
      <c r="G252">
        <f>IF(F252="","",SUMIFS('Barang Keluar'!$E:$E,'Barang Keluar'!$A:$A,F252))</f>
        <v>0</v>
      </c>
      <c r="M252" s="49">
        <f>IF($A$4+2&gt;$B$4,"",$A$4+2)</f>
        <v>46025</v>
      </c>
      <c r="N252">
        <f>IF(M252="","",'Master Barang'!A46)</f>
        <v>0</v>
      </c>
      <c r="O252">
        <f>IF(N252="","",'Master Barang'!B46)</f>
        <v>0</v>
      </c>
      <c r="P252">
        <f>IF(OR(M252="",N252=""),"",SUMIFS('Barang Keluar'!$E:$E,'Barang Keluar'!$A:$A,M252,'Barang Keluar'!$C:$C,N252))</f>
        <v>0</v>
      </c>
    </row>
    <row r="253" spans="1:16">
      <c r="A253">
        <f>IFERROR('Master Barang'!A248,"")</f>
        <v>0</v>
      </c>
      <c r="B253">
        <f>IFERROR('Master Barang'!B248,"")</f>
        <v>0</v>
      </c>
      <c r="C253">
        <f>IFERROR('Master Barang'!D248,"")</f>
        <v>0</v>
      </c>
      <c r="D253">
        <f>IF(A253="","",SUMIFS('Barang Keluar'!$E:$E,'Barang Keluar'!$C:$C,A253,'Barang Keluar'!$A:$A,"&gt;="&amp;$A$4,'Barang Keluar'!$A:$A,"&lt;="&amp;$B$4))</f>
        <v>0</v>
      </c>
      <c r="F253" s="49">
        <f>IF($A$4+ROW()-8&gt;$B$4,"",$A$4+ROW()-8)</f>
        <v>46268</v>
      </c>
      <c r="G253">
        <f>IF(F253="","",SUMIFS('Barang Keluar'!$E:$E,'Barang Keluar'!$A:$A,F253))</f>
        <v>0</v>
      </c>
      <c r="M253" s="49">
        <f>IF($A$4+2&gt;$B$4,"",$A$4+2)</f>
        <v>46025</v>
      </c>
      <c r="N253">
        <f>IF(M253="","",'Master Barang'!A47)</f>
        <v>0</v>
      </c>
      <c r="O253">
        <f>IF(N253="","",'Master Barang'!B47)</f>
        <v>0</v>
      </c>
      <c r="P253">
        <f>IF(OR(M253="",N253=""),"",SUMIFS('Barang Keluar'!$E:$E,'Barang Keluar'!$A:$A,M253,'Barang Keluar'!$C:$C,N253))</f>
        <v>0</v>
      </c>
    </row>
    <row r="254" spans="1:16">
      <c r="A254">
        <f>IFERROR('Master Barang'!A249,"")</f>
        <v>0</v>
      </c>
      <c r="B254">
        <f>IFERROR('Master Barang'!B249,"")</f>
        <v>0</v>
      </c>
      <c r="C254">
        <f>IFERROR('Master Barang'!D249,"")</f>
        <v>0</v>
      </c>
      <c r="D254">
        <f>IF(A254="","",SUMIFS('Barang Keluar'!$E:$E,'Barang Keluar'!$C:$C,A254,'Barang Keluar'!$A:$A,"&gt;="&amp;$A$4,'Barang Keluar'!$A:$A,"&lt;="&amp;$B$4))</f>
        <v>0</v>
      </c>
      <c r="F254" s="49">
        <f>IF($A$4+ROW()-8&gt;$B$4,"",$A$4+ROW()-8)</f>
        <v>46269</v>
      </c>
      <c r="G254">
        <f>IF(F254="","",SUMIFS('Barang Keluar'!$E:$E,'Barang Keluar'!$A:$A,F254))</f>
        <v>0</v>
      </c>
      <c r="M254" s="49">
        <f>IF($A$4+2&gt;$B$4,"",$A$4+2)</f>
        <v>46025</v>
      </c>
      <c r="N254">
        <f>IF(M254="","",'Master Barang'!A48)</f>
        <v>0</v>
      </c>
      <c r="O254">
        <f>IF(N254="","",'Master Barang'!B48)</f>
        <v>0</v>
      </c>
      <c r="P254">
        <f>IF(OR(M254="",N254=""),"",SUMIFS('Barang Keluar'!$E:$E,'Barang Keluar'!$A:$A,M254,'Barang Keluar'!$C:$C,N254))</f>
        <v>0</v>
      </c>
    </row>
    <row r="255" spans="1:16">
      <c r="A255">
        <f>IFERROR('Master Barang'!A250,"")</f>
        <v>0</v>
      </c>
      <c r="B255">
        <f>IFERROR('Master Barang'!B250,"")</f>
        <v>0</v>
      </c>
      <c r="C255">
        <f>IFERROR('Master Barang'!D250,"")</f>
        <v>0</v>
      </c>
      <c r="D255">
        <f>IF(A255="","",SUMIFS('Barang Keluar'!$E:$E,'Barang Keluar'!$C:$C,A255,'Barang Keluar'!$A:$A,"&gt;="&amp;$A$4,'Barang Keluar'!$A:$A,"&lt;="&amp;$B$4))</f>
        <v>0</v>
      </c>
      <c r="F255" s="49">
        <f>IF($A$4+ROW()-8&gt;$B$4,"",$A$4+ROW()-8)</f>
        <v>46270</v>
      </c>
      <c r="G255">
        <f>IF(F255="","",SUMIFS('Barang Keluar'!$E:$E,'Barang Keluar'!$A:$A,F255))</f>
        <v>0</v>
      </c>
      <c r="M255" s="49">
        <f>IF($A$4+2&gt;$B$4,"",$A$4+2)</f>
        <v>46025</v>
      </c>
      <c r="N255">
        <f>IF(M255="","",'Master Barang'!A49)</f>
        <v>0</v>
      </c>
      <c r="O255">
        <f>IF(N255="","",'Master Barang'!B49)</f>
        <v>0</v>
      </c>
      <c r="P255">
        <f>IF(OR(M255="",N255=""),"",SUMIFS('Barang Keluar'!$E:$E,'Barang Keluar'!$A:$A,M255,'Barang Keluar'!$C:$C,N255))</f>
        <v>0</v>
      </c>
    </row>
    <row r="256" spans="1:16">
      <c r="A256">
        <f>IFERROR('Master Barang'!A251,"")</f>
        <v>0</v>
      </c>
      <c r="B256">
        <f>IFERROR('Master Barang'!B251,"")</f>
        <v>0</v>
      </c>
      <c r="C256">
        <f>IFERROR('Master Barang'!D251,"")</f>
        <v>0</v>
      </c>
      <c r="D256">
        <f>IF(A256="","",SUMIFS('Barang Keluar'!$E:$E,'Barang Keluar'!$C:$C,A256,'Barang Keluar'!$A:$A,"&gt;="&amp;$A$4,'Barang Keluar'!$A:$A,"&lt;="&amp;$B$4))</f>
        <v>0</v>
      </c>
      <c r="F256" s="49">
        <f>IF($A$4+ROW()-8&gt;$B$4,"",$A$4+ROW()-8)</f>
        <v>46271</v>
      </c>
      <c r="G256">
        <f>IF(F256="","",SUMIFS('Barang Keluar'!$E:$E,'Barang Keluar'!$A:$A,F256))</f>
        <v>0</v>
      </c>
      <c r="M256" s="49">
        <f>IF($A$4+2&gt;$B$4,"",$A$4+2)</f>
        <v>46025</v>
      </c>
      <c r="N256">
        <f>IF(M256="","",'Master Barang'!A50)</f>
        <v>0</v>
      </c>
      <c r="O256">
        <f>IF(N256="","",'Master Barang'!B50)</f>
        <v>0</v>
      </c>
      <c r="P256">
        <f>IF(OR(M256="",N256=""),"",SUMIFS('Barang Keluar'!$E:$E,'Barang Keluar'!$A:$A,M256,'Barang Keluar'!$C:$C,N256))</f>
        <v>0</v>
      </c>
    </row>
    <row r="257" spans="1:16">
      <c r="A257">
        <f>IFERROR('Master Barang'!A252,"")</f>
        <v>0</v>
      </c>
      <c r="B257">
        <f>IFERROR('Master Barang'!B252,"")</f>
        <v>0</v>
      </c>
      <c r="C257">
        <f>IFERROR('Master Barang'!D252,"")</f>
        <v>0</v>
      </c>
      <c r="D257">
        <f>IF(A257="","",SUMIFS('Barang Keluar'!$E:$E,'Barang Keluar'!$C:$C,A257,'Barang Keluar'!$A:$A,"&gt;="&amp;$A$4,'Barang Keluar'!$A:$A,"&lt;="&amp;$B$4))</f>
        <v>0</v>
      </c>
      <c r="F257" s="49">
        <f>IF($A$4+ROW()-8&gt;$B$4,"",$A$4+ROW()-8)</f>
        <v>46272</v>
      </c>
      <c r="G257">
        <f>IF(F257="","",SUMIFS('Barang Keluar'!$E:$E,'Barang Keluar'!$A:$A,F257))</f>
        <v>0</v>
      </c>
      <c r="M257" s="49">
        <f>IF($A$4+2&gt;$B$4,"",$A$4+2)</f>
        <v>46025</v>
      </c>
      <c r="N257">
        <f>IF(M257="","",'Master Barang'!A51)</f>
        <v>0</v>
      </c>
      <c r="O257">
        <f>IF(N257="","",'Master Barang'!B51)</f>
        <v>0</v>
      </c>
      <c r="P257">
        <f>IF(OR(M257="",N257=""),"",SUMIFS('Barang Keluar'!$E:$E,'Barang Keluar'!$A:$A,M257,'Barang Keluar'!$C:$C,N257))</f>
        <v>0</v>
      </c>
    </row>
    <row r="258" spans="1:16">
      <c r="A258">
        <f>IFERROR('Master Barang'!A253,"")</f>
        <v>0</v>
      </c>
      <c r="B258">
        <f>IFERROR('Master Barang'!B253,"")</f>
        <v>0</v>
      </c>
      <c r="C258">
        <f>IFERROR('Master Barang'!D253,"")</f>
        <v>0</v>
      </c>
      <c r="D258">
        <f>IF(A258="","",SUMIFS('Barang Keluar'!$E:$E,'Barang Keluar'!$C:$C,A258,'Barang Keluar'!$A:$A,"&gt;="&amp;$A$4,'Barang Keluar'!$A:$A,"&lt;="&amp;$B$4))</f>
        <v>0</v>
      </c>
      <c r="F258" s="49">
        <f>IF($A$4+ROW()-8&gt;$B$4,"",$A$4+ROW()-8)</f>
        <v>46273</v>
      </c>
      <c r="G258">
        <f>IF(F258="","",SUMIFS('Barang Keluar'!$E:$E,'Barang Keluar'!$A:$A,F258))</f>
        <v>0</v>
      </c>
      <c r="M258" s="49">
        <f>IF($A$4+2&gt;$B$4,"",$A$4+2)</f>
        <v>46025</v>
      </c>
      <c r="N258">
        <f>IF(M258="","",'Master Barang'!A52)</f>
        <v>0</v>
      </c>
      <c r="O258">
        <f>IF(N258="","",'Master Barang'!B52)</f>
        <v>0</v>
      </c>
      <c r="P258">
        <f>IF(OR(M258="",N258=""),"",SUMIFS('Barang Keluar'!$E:$E,'Barang Keluar'!$A:$A,M258,'Barang Keluar'!$C:$C,N258))</f>
        <v>0</v>
      </c>
    </row>
    <row r="259" spans="1:16">
      <c r="A259">
        <f>IFERROR('Master Barang'!A254,"")</f>
        <v>0</v>
      </c>
      <c r="B259">
        <f>IFERROR('Master Barang'!B254,"")</f>
        <v>0</v>
      </c>
      <c r="C259">
        <f>IFERROR('Master Barang'!D254,"")</f>
        <v>0</v>
      </c>
      <c r="D259">
        <f>IF(A259="","",SUMIFS('Barang Keluar'!$E:$E,'Barang Keluar'!$C:$C,A259,'Barang Keluar'!$A:$A,"&gt;="&amp;$A$4,'Barang Keluar'!$A:$A,"&lt;="&amp;$B$4))</f>
        <v>0</v>
      </c>
      <c r="F259" s="49">
        <f>IF($A$4+ROW()-8&gt;$B$4,"",$A$4+ROW()-8)</f>
        <v>46274</v>
      </c>
      <c r="G259">
        <f>IF(F259="","",SUMIFS('Barang Keluar'!$E:$E,'Barang Keluar'!$A:$A,F259))</f>
        <v>0</v>
      </c>
      <c r="M259" s="49">
        <f>IF($A$4+2&gt;$B$4,"",$A$4+2)</f>
        <v>46025</v>
      </c>
      <c r="N259">
        <f>IF(M259="","",'Master Barang'!A53)</f>
        <v>0</v>
      </c>
      <c r="O259">
        <f>IF(N259="","",'Master Barang'!B53)</f>
        <v>0</v>
      </c>
      <c r="P259">
        <f>IF(OR(M259="",N259=""),"",SUMIFS('Barang Keluar'!$E:$E,'Barang Keluar'!$A:$A,M259,'Barang Keluar'!$C:$C,N259))</f>
        <v>0</v>
      </c>
    </row>
    <row r="260" spans="1:16">
      <c r="A260">
        <f>IFERROR('Master Barang'!A255,"")</f>
        <v>0</v>
      </c>
      <c r="B260">
        <f>IFERROR('Master Barang'!B255,"")</f>
        <v>0</v>
      </c>
      <c r="C260">
        <f>IFERROR('Master Barang'!D255,"")</f>
        <v>0</v>
      </c>
      <c r="D260">
        <f>IF(A260="","",SUMIFS('Barang Keluar'!$E:$E,'Barang Keluar'!$C:$C,A260,'Barang Keluar'!$A:$A,"&gt;="&amp;$A$4,'Barang Keluar'!$A:$A,"&lt;="&amp;$B$4))</f>
        <v>0</v>
      </c>
      <c r="F260" s="49">
        <f>IF($A$4+ROW()-8&gt;$B$4,"",$A$4+ROW()-8)</f>
        <v>46275</v>
      </c>
      <c r="G260">
        <f>IF(F260="","",SUMIFS('Barang Keluar'!$E:$E,'Barang Keluar'!$A:$A,F260))</f>
        <v>0</v>
      </c>
      <c r="M260" s="49">
        <f>IF($A$4+2&gt;$B$4,"",$A$4+2)</f>
        <v>46025</v>
      </c>
      <c r="N260">
        <f>IF(M260="","",'Master Barang'!A54)</f>
        <v>0</v>
      </c>
      <c r="O260">
        <f>IF(N260="","",'Master Barang'!B54)</f>
        <v>0</v>
      </c>
      <c r="P260">
        <f>IF(OR(M260="",N260=""),"",SUMIFS('Barang Keluar'!$E:$E,'Barang Keluar'!$A:$A,M260,'Barang Keluar'!$C:$C,N260))</f>
        <v>0</v>
      </c>
    </row>
    <row r="261" spans="1:16">
      <c r="A261">
        <f>IFERROR('Master Barang'!A256,"")</f>
        <v>0</v>
      </c>
      <c r="B261">
        <f>IFERROR('Master Barang'!B256,"")</f>
        <v>0</v>
      </c>
      <c r="C261">
        <f>IFERROR('Master Barang'!D256,"")</f>
        <v>0</v>
      </c>
      <c r="D261">
        <f>IF(A261="","",SUMIFS('Barang Keluar'!$E:$E,'Barang Keluar'!$C:$C,A261,'Barang Keluar'!$A:$A,"&gt;="&amp;$A$4,'Barang Keluar'!$A:$A,"&lt;="&amp;$B$4))</f>
        <v>0</v>
      </c>
      <c r="F261" s="49">
        <f>IF($A$4+ROW()-8&gt;$B$4,"",$A$4+ROW()-8)</f>
        <v>46276</v>
      </c>
      <c r="G261">
        <f>IF(F261="","",SUMIFS('Barang Keluar'!$E:$E,'Barang Keluar'!$A:$A,F261))</f>
        <v>0</v>
      </c>
      <c r="M261" s="49">
        <f>IF($A$4+2&gt;$B$4,"",$A$4+2)</f>
        <v>46025</v>
      </c>
      <c r="N261">
        <f>IF(M261="","",'Master Barang'!A55)</f>
        <v>0</v>
      </c>
      <c r="O261">
        <f>IF(N261="","",'Master Barang'!B55)</f>
        <v>0</v>
      </c>
      <c r="P261">
        <f>IF(OR(M261="",N261=""),"",SUMIFS('Barang Keluar'!$E:$E,'Barang Keluar'!$A:$A,M261,'Barang Keluar'!$C:$C,N261))</f>
        <v>0</v>
      </c>
    </row>
    <row r="262" spans="1:16">
      <c r="A262">
        <f>IFERROR('Master Barang'!A257,"")</f>
        <v>0</v>
      </c>
      <c r="B262">
        <f>IFERROR('Master Barang'!B257,"")</f>
        <v>0</v>
      </c>
      <c r="C262">
        <f>IFERROR('Master Barang'!D257,"")</f>
        <v>0</v>
      </c>
      <c r="D262">
        <f>IF(A262="","",SUMIFS('Barang Keluar'!$E:$E,'Barang Keluar'!$C:$C,A262,'Barang Keluar'!$A:$A,"&gt;="&amp;$A$4,'Barang Keluar'!$A:$A,"&lt;="&amp;$B$4))</f>
        <v>0</v>
      </c>
      <c r="F262" s="49">
        <f>IF($A$4+ROW()-8&gt;$B$4,"",$A$4+ROW()-8)</f>
        <v>46277</v>
      </c>
      <c r="G262">
        <f>IF(F262="","",SUMIFS('Barang Keluar'!$E:$E,'Barang Keluar'!$A:$A,F262))</f>
        <v>0</v>
      </c>
      <c r="M262" s="49">
        <f>IF($A$4+2&gt;$B$4,"",$A$4+2)</f>
        <v>46025</v>
      </c>
      <c r="N262">
        <f>IF(M262="","",'Master Barang'!A56)</f>
        <v>0</v>
      </c>
      <c r="O262">
        <f>IF(N262="","",'Master Barang'!B56)</f>
        <v>0</v>
      </c>
      <c r="P262">
        <f>IF(OR(M262="",N262=""),"",SUMIFS('Barang Keluar'!$E:$E,'Barang Keluar'!$A:$A,M262,'Barang Keluar'!$C:$C,N262))</f>
        <v>0</v>
      </c>
    </row>
    <row r="263" spans="1:16">
      <c r="A263">
        <f>IFERROR('Master Barang'!A258,"")</f>
        <v>0</v>
      </c>
      <c r="B263">
        <f>IFERROR('Master Barang'!B258,"")</f>
        <v>0</v>
      </c>
      <c r="C263">
        <f>IFERROR('Master Barang'!D258,"")</f>
        <v>0</v>
      </c>
      <c r="D263">
        <f>IF(A263="","",SUMIFS('Barang Keluar'!$E:$E,'Barang Keluar'!$C:$C,A263,'Barang Keluar'!$A:$A,"&gt;="&amp;$A$4,'Barang Keluar'!$A:$A,"&lt;="&amp;$B$4))</f>
        <v>0</v>
      </c>
      <c r="F263" s="49">
        <f>IF($A$4+ROW()-8&gt;$B$4,"",$A$4+ROW()-8)</f>
        <v>46278</v>
      </c>
      <c r="G263">
        <f>IF(F263="","",SUMIFS('Barang Keluar'!$E:$E,'Barang Keluar'!$A:$A,F263))</f>
        <v>0</v>
      </c>
      <c r="M263" s="49">
        <f>IF($A$4+2&gt;$B$4,"",$A$4+2)</f>
        <v>46025</v>
      </c>
      <c r="N263">
        <f>IF(M263="","",'Master Barang'!A57)</f>
        <v>0</v>
      </c>
      <c r="O263">
        <f>IF(N263="","",'Master Barang'!B57)</f>
        <v>0</v>
      </c>
      <c r="P263">
        <f>IF(OR(M263="",N263=""),"",SUMIFS('Barang Keluar'!$E:$E,'Barang Keluar'!$A:$A,M263,'Barang Keluar'!$C:$C,N263))</f>
        <v>0</v>
      </c>
    </row>
    <row r="264" spans="1:16">
      <c r="A264">
        <f>IFERROR('Master Barang'!A259,"")</f>
        <v>0</v>
      </c>
      <c r="B264">
        <f>IFERROR('Master Barang'!B259,"")</f>
        <v>0</v>
      </c>
      <c r="C264">
        <f>IFERROR('Master Barang'!D259,"")</f>
        <v>0</v>
      </c>
      <c r="D264">
        <f>IF(A264="","",SUMIFS('Barang Keluar'!$E:$E,'Barang Keluar'!$C:$C,A264,'Barang Keluar'!$A:$A,"&gt;="&amp;$A$4,'Barang Keluar'!$A:$A,"&lt;="&amp;$B$4))</f>
        <v>0</v>
      </c>
      <c r="F264" s="49">
        <f>IF($A$4+ROW()-8&gt;$B$4,"",$A$4+ROW()-8)</f>
        <v>46279</v>
      </c>
      <c r="G264">
        <f>IF(F264="","",SUMIFS('Barang Keluar'!$E:$E,'Barang Keluar'!$A:$A,F264))</f>
        <v>0</v>
      </c>
      <c r="M264" s="49">
        <f>IF($A$4+2&gt;$B$4,"",$A$4+2)</f>
        <v>46025</v>
      </c>
      <c r="N264">
        <f>IF(M264="","",'Master Barang'!A58)</f>
        <v>0</v>
      </c>
      <c r="O264">
        <f>IF(N264="","",'Master Barang'!B58)</f>
        <v>0</v>
      </c>
      <c r="P264">
        <f>IF(OR(M264="",N264=""),"",SUMIFS('Barang Keluar'!$E:$E,'Barang Keluar'!$A:$A,M264,'Barang Keluar'!$C:$C,N264))</f>
        <v>0</v>
      </c>
    </row>
    <row r="265" spans="1:16">
      <c r="A265">
        <f>IFERROR('Master Barang'!A260,"")</f>
        <v>0</v>
      </c>
      <c r="B265">
        <f>IFERROR('Master Barang'!B260,"")</f>
        <v>0</v>
      </c>
      <c r="C265">
        <f>IFERROR('Master Barang'!D260,"")</f>
        <v>0</v>
      </c>
      <c r="D265">
        <f>IF(A265="","",SUMIFS('Barang Keluar'!$E:$E,'Barang Keluar'!$C:$C,A265,'Barang Keluar'!$A:$A,"&gt;="&amp;$A$4,'Barang Keluar'!$A:$A,"&lt;="&amp;$B$4))</f>
        <v>0</v>
      </c>
      <c r="F265" s="49">
        <f>IF($A$4+ROW()-8&gt;$B$4,"",$A$4+ROW()-8)</f>
        <v>46280</v>
      </c>
      <c r="G265">
        <f>IF(F265="","",SUMIFS('Barang Keluar'!$E:$E,'Barang Keluar'!$A:$A,F265))</f>
        <v>0</v>
      </c>
      <c r="M265" s="49">
        <f>IF($A$4+2&gt;$B$4,"",$A$4+2)</f>
        <v>46025</v>
      </c>
      <c r="N265">
        <f>IF(M265="","",'Master Barang'!A59)</f>
        <v>0</v>
      </c>
      <c r="O265">
        <f>IF(N265="","",'Master Barang'!B59)</f>
        <v>0</v>
      </c>
      <c r="P265">
        <f>IF(OR(M265="",N265=""),"",SUMIFS('Barang Keluar'!$E:$E,'Barang Keluar'!$A:$A,M265,'Barang Keluar'!$C:$C,N265))</f>
        <v>0</v>
      </c>
    </row>
    <row r="266" spans="1:16">
      <c r="A266">
        <f>IFERROR('Master Barang'!A261,"")</f>
        <v>0</v>
      </c>
      <c r="B266">
        <f>IFERROR('Master Barang'!B261,"")</f>
        <v>0</v>
      </c>
      <c r="C266">
        <f>IFERROR('Master Barang'!D261,"")</f>
        <v>0</v>
      </c>
      <c r="D266">
        <f>IF(A266="","",SUMIFS('Barang Keluar'!$E:$E,'Barang Keluar'!$C:$C,A266,'Barang Keluar'!$A:$A,"&gt;="&amp;$A$4,'Barang Keluar'!$A:$A,"&lt;="&amp;$B$4))</f>
        <v>0</v>
      </c>
      <c r="F266" s="49">
        <f>IF($A$4+ROW()-8&gt;$B$4,"",$A$4+ROW()-8)</f>
        <v>46281</v>
      </c>
      <c r="G266">
        <f>IF(F266="","",SUMIFS('Barang Keluar'!$E:$E,'Barang Keluar'!$A:$A,F266))</f>
        <v>0</v>
      </c>
      <c r="M266" s="49">
        <f>IF($A$4+2&gt;$B$4,"",$A$4+2)</f>
        <v>46025</v>
      </c>
      <c r="N266">
        <f>IF(M266="","",'Master Barang'!A60)</f>
        <v>0</v>
      </c>
      <c r="O266">
        <f>IF(N266="","",'Master Barang'!B60)</f>
        <v>0</v>
      </c>
      <c r="P266">
        <f>IF(OR(M266="",N266=""),"",SUMIFS('Barang Keluar'!$E:$E,'Barang Keluar'!$A:$A,M266,'Barang Keluar'!$C:$C,N266))</f>
        <v>0</v>
      </c>
    </row>
    <row r="267" spans="1:16">
      <c r="A267">
        <f>IFERROR('Master Barang'!A262,"")</f>
        <v>0</v>
      </c>
      <c r="B267">
        <f>IFERROR('Master Barang'!B262,"")</f>
        <v>0</v>
      </c>
      <c r="C267">
        <f>IFERROR('Master Barang'!D262,"")</f>
        <v>0</v>
      </c>
      <c r="D267">
        <f>IF(A267="","",SUMIFS('Barang Keluar'!$E:$E,'Barang Keluar'!$C:$C,A267,'Barang Keluar'!$A:$A,"&gt;="&amp;$A$4,'Barang Keluar'!$A:$A,"&lt;="&amp;$B$4))</f>
        <v>0</v>
      </c>
      <c r="F267" s="49">
        <f>IF($A$4+ROW()-8&gt;$B$4,"",$A$4+ROW()-8)</f>
        <v>46282</v>
      </c>
      <c r="G267">
        <f>IF(F267="","",SUMIFS('Barang Keluar'!$E:$E,'Barang Keluar'!$A:$A,F267))</f>
        <v>0</v>
      </c>
      <c r="M267" s="49">
        <f>IF($A$4+2&gt;$B$4,"",$A$4+2)</f>
        <v>46025</v>
      </c>
      <c r="N267">
        <f>IF(M267="","",'Master Barang'!A61)</f>
        <v>0</v>
      </c>
      <c r="O267">
        <f>IF(N267="","",'Master Barang'!B61)</f>
        <v>0</v>
      </c>
      <c r="P267">
        <f>IF(OR(M267="",N267=""),"",SUMIFS('Barang Keluar'!$E:$E,'Barang Keluar'!$A:$A,M267,'Barang Keluar'!$C:$C,N267))</f>
        <v>0</v>
      </c>
    </row>
    <row r="268" spans="1:16">
      <c r="A268">
        <f>IFERROR('Master Barang'!A263,"")</f>
        <v>0</v>
      </c>
      <c r="B268">
        <f>IFERROR('Master Barang'!B263,"")</f>
        <v>0</v>
      </c>
      <c r="C268">
        <f>IFERROR('Master Barang'!D263,"")</f>
        <v>0</v>
      </c>
      <c r="D268">
        <f>IF(A268="","",SUMIFS('Barang Keluar'!$E:$E,'Barang Keluar'!$C:$C,A268,'Barang Keluar'!$A:$A,"&gt;="&amp;$A$4,'Barang Keluar'!$A:$A,"&lt;="&amp;$B$4))</f>
        <v>0</v>
      </c>
      <c r="F268" s="49">
        <f>IF($A$4+ROW()-8&gt;$B$4,"",$A$4+ROW()-8)</f>
        <v>46283</v>
      </c>
      <c r="G268">
        <f>IF(F268="","",SUMIFS('Barang Keluar'!$E:$E,'Barang Keluar'!$A:$A,F268))</f>
        <v>0</v>
      </c>
      <c r="M268" s="49">
        <f>IF($A$4+2&gt;$B$4,"",$A$4+2)</f>
        <v>46025</v>
      </c>
      <c r="N268">
        <f>IF(M268="","",'Master Barang'!A62)</f>
        <v>0</v>
      </c>
      <c r="O268">
        <f>IF(N268="","",'Master Barang'!B62)</f>
        <v>0</v>
      </c>
      <c r="P268">
        <f>IF(OR(M268="",N268=""),"",SUMIFS('Barang Keluar'!$E:$E,'Barang Keluar'!$A:$A,M268,'Barang Keluar'!$C:$C,N268))</f>
        <v>0</v>
      </c>
    </row>
    <row r="269" spans="1:16">
      <c r="A269">
        <f>IFERROR('Master Barang'!A264,"")</f>
        <v>0</v>
      </c>
      <c r="B269">
        <f>IFERROR('Master Barang'!B264,"")</f>
        <v>0</v>
      </c>
      <c r="C269">
        <f>IFERROR('Master Barang'!D264,"")</f>
        <v>0</v>
      </c>
      <c r="D269">
        <f>IF(A269="","",SUMIFS('Barang Keluar'!$E:$E,'Barang Keluar'!$C:$C,A269,'Barang Keluar'!$A:$A,"&gt;="&amp;$A$4,'Barang Keluar'!$A:$A,"&lt;="&amp;$B$4))</f>
        <v>0</v>
      </c>
      <c r="F269" s="49">
        <f>IF($A$4+ROW()-8&gt;$B$4,"",$A$4+ROW()-8)</f>
        <v>46284</v>
      </c>
      <c r="G269">
        <f>IF(F269="","",SUMIFS('Barang Keluar'!$E:$E,'Barang Keluar'!$A:$A,F269))</f>
        <v>0</v>
      </c>
      <c r="M269" s="49">
        <f>IF($A$4+2&gt;$B$4,"",$A$4+2)</f>
        <v>46025</v>
      </c>
      <c r="N269">
        <f>IF(M269="","",'Master Barang'!A63)</f>
        <v>0</v>
      </c>
      <c r="O269">
        <f>IF(N269="","",'Master Barang'!B63)</f>
        <v>0</v>
      </c>
      <c r="P269">
        <f>IF(OR(M269="",N269=""),"",SUMIFS('Barang Keluar'!$E:$E,'Barang Keluar'!$A:$A,M269,'Barang Keluar'!$C:$C,N269))</f>
        <v>0</v>
      </c>
    </row>
    <row r="270" spans="1:16">
      <c r="A270">
        <f>IFERROR('Master Barang'!A265,"")</f>
        <v>0</v>
      </c>
      <c r="B270">
        <f>IFERROR('Master Barang'!B265,"")</f>
        <v>0</v>
      </c>
      <c r="C270">
        <f>IFERROR('Master Barang'!D265,"")</f>
        <v>0</v>
      </c>
      <c r="D270">
        <f>IF(A270="","",SUMIFS('Barang Keluar'!$E:$E,'Barang Keluar'!$C:$C,A270,'Barang Keluar'!$A:$A,"&gt;="&amp;$A$4,'Barang Keluar'!$A:$A,"&lt;="&amp;$B$4))</f>
        <v>0</v>
      </c>
      <c r="F270" s="49">
        <f>IF($A$4+ROW()-8&gt;$B$4,"",$A$4+ROW()-8)</f>
        <v>46285</v>
      </c>
      <c r="G270">
        <f>IF(F270="","",SUMIFS('Barang Keluar'!$E:$E,'Barang Keluar'!$A:$A,F270))</f>
        <v>0</v>
      </c>
      <c r="M270" s="49">
        <f>IF($A$4+2&gt;$B$4,"",$A$4+2)</f>
        <v>46025</v>
      </c>
      <c r="N270">
        <f>IF(M270="","",'Master Barang'!A64)</f>
        <v>0</v>
      </c>
      <c r="O270">
        <f>IF(N270="","",'Master Barang'!B64)</f>
        <v>0</v>
      </c>
      <c r="P270">
        <f>IF(OR(M270="",N270=""),"",SUMIFS('Barang Keluar'!$E:$E,'Barang Keluar'!$A:$A,M270,'Barang Keluar'!$C:$C,N270))</f>
        <v>0</v>
      </c>
    </row>
    <row r="271" spans="1:16">
      <c r="A271">
        <f>IFERROR('Master Barang'!A266,"")</f>
        <v>0</v>
      </c>
      <c r="B271">
        <f>IFERROR('Master Barang'!B266,"")</f>
        <v>0</v>
      </c>
      <c r="C271">
        <f>IFERROR('Master Barang'!D266,"")</f>
        <v>0</v>
      </c>
      <c r="D271">
        <f>IF(A271="","",SUMIFS('Barang Keluar'!$E:$E,'Barang Keluar'!$C:$C,A271,'Barang Keluar'!$A:$A,"&gt;="&amp;$A$4,'Barang Keluar'!$A:$A,"&lt;="&amp;$B$4))</f>
        <v>0</v>
      </c>
      <c r="F271" s="49">
        <f>IF($A$4+ROW()-8&gt;$B$4,"",$A$4+ROW()-8)</f>
        <v>46286</v>
      </c>
      <c r="G271">
        <f>IF(F271="","",SUMIFS('Barang Keluar'!$E:$E,'Barang Keluar'!$A:$A,F271))</f>
        <v>0</v>
      </c>
      <c r="M271" s="49">
        <f>IF($A$4+2&gt;$B$4,"",$A$4+2)</f>
        <v>46025</v>
      </c>
      <c r="N271">
        <f>IF(M271="","",'Master Barang'!A65)</f>
        <v>0</v>
      </c>
      <c r="O271">
        <f>IF(N271="","",'Master Barang'!B65)</f>
        <v>0</v>
      </c>
      <c r="P271">
        <f>IF(OR(M271="",N271=""),"",SUMIFS('Barang Keluar'!$E:$E,'Barang Keluar'!$A:$A,M271,'Barang Keluar'!$C:$C,N271))</f>
        <v>0</v>
      </c>
    </row>
    <row r="272" spans="1:16">
      <c r="A272">
        <f>IFERROR('Master Barang'!A267,"")</f>
        <v>0</v>
      </c>
      <c r="B272">
        <f>IFERROR('Master Barang'!B267,"")</f>
        <v>0</v>
      </c>
      <c r="C272">
        <f>IFERROR('Master Barang'!D267,"")</f>
        <v>0</v>
      </c>
      <c r="D272">
        <f>IF(A272="","",SUMIFS('Barang Keluar'!$E:$E,'Barang Keluar'!$C:$C,A272,'Barang Keluar'!$A:$A,"&gt;="&amp;$A$4,'Barang Keluar'!$A:$A,"&lt;="&amp;$B$4))</f>
        <v>0</v>
      </c>
      <c r="F272" s="49">
        <f>IF($A$4+ROW()-8&gt;$B$4,"",$A$4+ROW()-8)</f>
        <v>46287</v>
      </c>
      <c r="G272">
        <f>IF(F272="","",SUMIFS('Barang Keluar'!$E:$E,'Barang Keluar'!$A:$A,F272))</f>
        <v>0</v>
      </c>
      <c r="M272" s="49">
        <f>IF($A$4+2&gt;$B$4,"",$A$4+2)</f>
        <v>46025</v>
      </c>
      <c r="N272">
        <f>IF(M272="","",'Master Barang'!A66)</f>
        <v>0</v>
      </c>
      <c r="O272">
        <f>IF(N272="","",'Master Barang'!B66)</f>
        <v>0</v>
      </c>
      <c r="P272">
        <f>IF(OR(M272="",N272=""),"",SUMIFS('Barang Keluar'!$E:$E,'Barang Keluar'!$A:$A,M272,'Barang Keluar'!$C:$C,N272))</f>
        <v>0</v>
      </c>
    </row>
    <row r="273" spans="1:16">
      <c r="A273">
        <f>IFERROR('Master Barang'!A268,"")</f>
        <v>0</v>
      </c>
      <c r="B273">
        <f>IFERROR('Master Barang'!B268,"")</f>
        <v>0</v>
      </c>
      <c r="C273">
        <f>IFERROR('Master Barang'!D268,"")</f>
        <v>0</v>
      </c>
      <c r="D273">
        <f>IF(A273="","",SUMIFS('Barang Keluar'!$E:$E,'Barang Keluar'!$C:$C,A273,'Barang Keluar'!$A:$A,"&gt;="&amp;$A$4,'Barang Keluar'!$A:$A,"&lt;="&amp;$B$4))</f>
        <v>0</v>
      </c>
      <c r="F273" s="49">
        <f>IF($A$4+ROW()-8&gt;$B$4,"",$A$4+ROW()-8)</f>
        <v>46288</v>
      </c>
      <c r="G273">
        <f>IF(F273="","",SUMIFS('Barang Keluar'!$E:$E,'Barang Keluar'!$A:$A,F273))</f>
        <v>0</v>
      </c>
      <c r="M273" s="49">
        <f>IF($A$4+2&gt;$B$4,"",$A$4+2)</f>
        <v>46025</v>
      </c>
      <c r="N273">
        <f>IF(M273="","",'Master Barang'!A67)</f>
        <v>0</v>
      </c>
      <c r="O273">
        <f>IF(N273="","",'Master Barang'!B67)</f>
        <v>0</v>
      </c>
      <c r="P273">
        <f>IF(OR(M273="",N273=""),"",SUMIFS('Barang Keluar'!$E:$E,'Barang Keluar'!$A:$A,M273,'Barang Keluar'!$C:$C,N273))</f>
        <v>0</v>
      </c>
    </row>
    <row r="274" spans="1:16">
      <c r="A274">
        <f>IFERROR('Master Barang'!A269,"")</f>
        <v>0</v>
      </c>
      <c r="B274">
        <f>IFERROR('Master Barang'!B269,"")</f>
        <v>0</v>
      </c>
      <c r="C274">
        <f>IFERROR('Master Barang'!D269,"")</f>
        <v>0</v>
      </c>
      <c r="D274">
        <f>IF(A274="","",SUMIFS('Barang Keluar'!$E:$E,'Barang Keluar'!$C:$C,A274,'Barang Keluar'!$A:$A,"&gt;="&amp;$A$4,'Barang Keluar'!$A:$A,"&lt;="&amp;$B$4))</f>
        <v>0</v>
      </c>
      <c r="F274" s="49">
        <f>IF($A$4+ROW()-8&gt;$B$4,"",$A$4+ROW()-8)</f>
        <v>46289</v>
      </c>
      <c r="G274">
        <f>IF(F274="","",SUMIFS('Barang Keluar'!$E:$E,'Barang Keluar'!$A:$A,F274))</f>
        <v>0</v>
      </c>
      <c r="M274" s="49">
        <f>IF($A$4+2&gt;$B$4,"",$A$4+2)</f>
        <v>46025</v>
      </c>
      <c r="N274">
        <f>IF(M274="","",'Master Barang'!A68)</f>
        <v>0</v>
      </c>
      <c r="O274">
        <f>IF(N274="","",'Master Barang'!B68)</f>
        <v>0</v>
      </c>
      <c r="P274">
        <f>IF(OR(M274="",N274=""),"",SUMIFS('Barang Keluar'!$E:$E,'Barang Keluar'!$A:$A,M274,'Barang Keluar'!$C:$C,N274))</f>
        <v>0</v>
      </c>
    </row>
    <row r="275" spans="1:16">
      <c r="A275">
        <f>IFERROR('Master Barang'!A270,"")</f>
        <v>0</v>
      </c>
      <c r="B275">
        <f>IFERROR('Master Barang'!B270,"")</f>
        <v>0</v>
      </c>
      <c r="C275">
        <f>IFERROR('Master Barang'!D270,"")</f>
        <v>0</v>
      </c>
      <c r="D275">
        <f>IF(A275="","",SUMIFS('Barang Keluar'!$E:$E,'Barang Keluar'!$C:$C,A275,'Barang Keluar'!$A:$A,"&gt;="&amp;$A$4,'Barang Keluar'!$A:$A,"&lt;="&amp;$B$4))</f>
        <v>0</v>
      </c>
      <c r="F275" s="49">
        <f>IF($A$4+ROW()-8&gt;$B$4,"",$A$4+ROW()-8)</f>
        <v>46290</v>
      </c>
      <c r="G275">
        <f>IF(F275="","",SUMIFS('Barang Keluar'!$E:$E,'Barang Keluar'!$A:$A,F275))</f>
        <v>0</v>
      </c>
      <c r="M275" s="49">
        <f>IF($A$4+2&gt;$B$4,"",$A$4+2)</f>
        <v>46025</v>
      </c>
      <c r="N275">
        <f>IF(M275="","",'Master Barang'!A69)</f>
        <v>0</v>
      </c>
      <c r="O275">
        <f>IF(N275="","",'Master Barang'!B69)</f>
        <v>0</v>
      </c>
      <c r="P275">
        <f>IF(OR(M275="",N275=""),"",SUMIFS('Barang Keluar'!$E:$E,'Barang Keluar'!$A:$A,M275,'Barang Keluar'!$C:$C,N275))</f>
        <v>0</v>
      </c>
    </row>
    <row r="276" spans="1:16">
      <c r="A276">
        <f>IFERROR('Master Barang'!A271,"")</f>
        <v>0</v>
      </c>
      <c r="B276">
        <f>IFERROR('Master Barang'!B271,"")</f>
        <v>0</v>
      </c>
      <c r="C276">
        <f>IFERROR('Master Barang'!D271,"")</f>
        <v>0</v>
      </c>
      <c r="D276">
        <f>IF(A276="","",SUMIFS('Barang Keluar'!$E:$E,'Barang Keluar'!$C:$C,A276,'Barang Keluar'!$A:$A,"&gt;="&amp;$A$4,'Barang Keluar'!$A:$A,"&lt;="&amp;$B$4))</f>
        <v>0</v>
      </c>
      <c r="F276" s="49">
        <f>IF($A$4+ROW()-8&gt;$B$4,"",$A$4+ROW()-8)</f>
        <v>46291</v>
      </c>
      <c r="G276">
        <f>IF(F276="","",SUMIFS('Barang Keluar'!$E:$E,'Barang Keluar'!$A:$A,F276))</f>
        <v>0</v>
      </c>
      <c r="M276" s="49">
        <f>IF($A$4+2&gt;$B$4,"",$A$4+2)</f>
        <v>46025</v>
      </c>
      <c r="N276">
        <f>IF(M276="","",'Master Barang'!A70)</f>
        <v>0</v>
      </c>
      <c r="O276">
        <f>IF(N276="","",'Master Barang'!B70)</f>
        <v>0</v>
      </c>
      <c r="P276">
        <f>IF(OR(M276="",N276=""),"",SUMIFS('Barang Keluar'!$E:$E,'Barang Keluar'!$A:$A,M276,'Barang Keluar'!$C:$C,N276))</f>
        <v>0</v>
      </c>
    </row>
    <row r="277" spans="1:16">
      <c r="A277">
        <f>IFERROR('Master Barang'!A272,"")</f>
        <v>0</v>
      </c>
      <c r="B277">
        <f>IFERROR('Master Barang'!B272,"")</f>
        <v>0</v>
      </c>
      <c r="C277">
        <f>IFERROR('Master Barang'!D272,"")</f>
        <v>0</v>
      </c>
      <c r="D277">
        <f>IF(A277="","",SUMIFS('Barang Keluar'!$E:$E,'Barang Keluar'!$C:$C,A277,'Barang Keluar'!$A:$A,"&gt;="&amp;$A$4,'Barang Keluar'!$A:$A,"&lt;="&amp;$B$4))</f>
        <v>0</v>
      </c>
      <c r="F277" s="49">
        <f>IF($A$4+ROW()-8&gt;$B$4,"",$A$4+ROW()-8)</f>
        <v>46292</v>
      </c>
      <c r="G277">
        <f>IF(F277="","",SUMIFS('Barang Keluar'!$E:$E,'Barang Keluar'!$A:$A,F277))</f>
        <v>0</v>
      </c>
      <c r="M277" s="49">
        <f>IF($A$4+2&gt;$B$4,"",$A$4+2)</f>
        <v>46025</v>
      </c>
      <c r="N277">
        <f>IF(M277="","",'Master Barang'!A71)</f>
        <v>0</v>
      </c>
      <c r="O277">
        <f>IF(N277="","",'Master Barang'!B71)</f>
        <v>0</v>
      </c>
      <c r="P277">
        <f>IF(OR(M277="",N277=""),"",SUMIFS('Barang Keluar'!$E:$E,'Barang Keluar'!$A:$A,M277,'Barang Keluar'!$C:$C,N277))</f>
        <v>0</v>
      </c>
    </row>
    <row r="278" spans="1:16">
      <c r="A278">
        <f>IFERROR('Master Barang'!A273,"")</f>
        <v>0</v>
      </c>
      <c r="B278">
        <f>IFERROR('Master Barang'!B273,"")</f>
        <v>0</v>
      </c>
      <c r="C278">
        <f>IFERROR('Master Barang'!D273,"")</f>
        <v>0</v>
      </c>
      <c r="D278">
        <f>IF(A278="","",SUMIFS('Barang Keluar'!$E:$E,'Barang Keluar'!$C:$C,A278,'Barang Keluar'!$A:$A,"&gt;="&amp;$A$4,'Barang Keluar'!$A:$A,"&lt;="&amp;$B$4))</f>
        <v>0</v>
      </c>
      <c r="F278" s="49">
        <f>IF($A$4+ROW()-8&gt;$B$4,"",$A$4+ROW()-8)</f>
        <v>46293</v>
      </c>
      <c r="G278">
        <f>IF(F278="","",SUMIFS('Barang Keluar'!$E:$E,'Barang Keluar'!$A:$A,F278))</f>
        <v>0</v>
      </c>
      <c r="M278" s="49">
        <f>IF($A$4+2&gt;$B$4,"",$A$4+2)</f>
        <v>46025</v>
      </c>
      <c r="N278">
        <f>IF(M278="","",'Master Barang'!A72)</f>
        <v>0</v>
      </c>
      <c r="O278">
        <f>IF(N278="","",'Master Barang'!B72)</f>
        <v>0</v>
      </c>
      <c r="P278">
        <f>IF(OR(M278="",N278=""),"",SUMIFS('Barang Keluar'!$E:$E,'Barang Keluar'!$A:$A,M278,'Barang Keluar'!$C:$C,N278))</f>
        <v>0</v>
      </c>
    </row>
    <row r="279" spans="1:16">
      <c r="A279">
        <f>IFERROR('Master Barang'!A274,"")</f>
        <v>0</v>
      </c>
      <c r="B279">
        <f>IFERROR('Master Barang'!B274,"")</f>
        <v>0</v>
      </c>
      <c r="C279">
        <f>IFERROR('Master Barang'!D274,"")</f>
        <v>0</v>
      </c>
      <c r="D279">
        <f>IF(A279="","",SUMIFS('Barang Keluar'!$E:$E,'Barang Keluar'!$C:$C,A279,'Barang Keluar'!$A:$A,"&gt;="&amp;$A$4,'Barang Keluar'!$A:$A,"&lt;="&amp;$B$4))</f>
        <v>0</v>
      </c>
      <c r="F279" s="49">
        <f>IF($A$4+ROW()-8&gt;$B$4,"",$A$4+ROW()-8)</f>
        <v>46294</v>
      </c>
      <c r="G279">
        <f>IF(F279="","",SUMIFS('Barang Keluar'!$E:$E,'Barang Keluar'!$A:$A,F279))</f>
        <v>0</v>
      </c>
      <c r="M279" s="49">
        <f>IF($A$4+2&gt;$B$4,"",$A$4+2)</f>
        <v>46025</v>
      </c>
      <c r="N279">
        <f>IF(M279="","",'Master Barang'!A73)</f>
        <v>0</v>
      </c>
      <c r="O279">
        <f>IF(N279="","",'Master Barang'!B73)</f>
        <v>0</v>
      </c>
      <c r="P279">
        <f>IF(OR(M279="",N279=""),"",SUMIFS('Barang Keluar'!$E:$E,'Barang Keluar'!$A:$A,M279,'Barang Keluar'!$C:$C,N279))</f>
        <v>0</v>
      </c>
    </row>
    <row r="280" spans="1:16">
      <c r="A280">
        <f>IFERROR('Master Barang'!A275,"")</f>
        <v>0</v>
      </c>
      <c r="B280">
        <f>IFERROR('Master Barang'!B275,"")</f>
        <v>0</v>
      </c>
      <c r="C280">
        <f>IFERROR('Master Barang'!D275,"")</f>
        <v>0</v>
      </c>
      <c r="D280">
        <f>IF(A280="","",SUMIFS('Barang Keluar'!$E:$E,'Barang Keluar'!$C:$C,A280,'Barang Keluar'!$A:$A,"&gt;="&amp;$A$4,'Barang Keluar'!$A:$A,"&lt;="&amp;$B$4))</f>
        <v>0</v>
      </c>
      <c r="F280" s="49">
        <f>IF($A$4+ROW()-8&gt;$B$4,"",$A$4+ROW()-8)</f>
        <v>46295</v>
      </c>
      <c r="G280">
        <f>IF(F280="","",SUMIFS('Barang Keluar'!$E:$E,'Barang Keluar'!$A:$A,F280))</f>
        <v>0</v>
      </c>
      <c r="M280" s="49">
        <f>IF($A$4+2&gt;$B$4,"",$A$4+2)</f>
        <v>46025</v>
      </c>
      <c r="N280">
        <f>IF(M280="","",'Master Barang'!A74)</f>
        <v>0</v>
      </c>
      <c r="O280">
        <f>IF(N280="","",'Master Barang'!B74)</f>
        <v>0</v>
      </c>
      <c r="P280">
        <f>IF(OR(M280="",N280=""),"",SUMIFS('Barang Keluar'!$E:$E,'Barang Keluar'!$A:$A,M280,'Barang Keluar'!$C:$C,N280))</f>
        <v>0</v>
      </c>
    </row>
    <row r="281" spans="1:16">
      <c r="A281">
        <f>IFERROR('Master Barang'!A276,"")</f>
        <v>0</v>
      </c>
      <c r="B281">
        <f>IFERROR('Master Barang'!B276,"")</f>
        <v>0</v>
      </c>
      <c r="C281">
        <f>IFERROR('Master Barang'!D276,"")</f>
        <v>0</v>
      </c>
      <c r="D281">
        <f>IF(A281="","",SUMIFS('Barang Keluar'!$E:$E,'Barang Keluar'!$C:$C,A281,'Barang Keluar'!$A:$A,"&gt;="&amp;$A$4,'Barang Keluar'!$A:$A,"&lt;="&amp;$B$4))</f>
        <v>0</v>
      </c>
      <c r="F281" s="49">
        <f>IF($A$4+ROW()-8&gt;$B$4,"",$A$4+ROW()-8)</f>
        <v>46296</v>
      </c>
      <c r="G281">
        <f>IF(F281="","",SUMIFS('Barang Keluar'!$E:$E,'Barang Keluar'!$A:$A,F281))</f>
        <v>0</v>
      </c>
      <c r="M281" s="49">
        <f>IF($A$4+2&gt;$B$4,"",$A$4+2)</f>
        <v>46025</v>
      </c>
      <c r="N281">
        <f>IF(M281="","",'Master Barang'!A75)</f>
        <v>0</v>
      </c>
      <c r="O281">
        <f>IF(N281="","",'Master Barang'!B75)</f>
        <v>0</v>
      </c>
      <c r="P281">
        <f>IF(OR(M281="",N281=""),"",SUMIFS('Barang Keluar'!$E:$E,'Barang Keluar'!$A:$A,M281,'Barang Keluar'!$C:$C,N281))</f>
        <v>0</v>
      </c>
    </row>
    <row r="282" spans="1:16">
      <c r="A282">
        <f>IFERROR('Master Barang'!A277,"")</f>
        <v>0</v>
      </c>
      <c r="B282">
        <f>IFERROR('Master Barang'!B277,"")</f>
        <v>0</v>
      </c>
      <c r="C282">
        <f>IFERROR('Master Barang'!D277,"")</f>
        <v>0</v>
      </c>
      <c r="D282">
        <f>IF(A282="","",SUMIFS('Barang Keluar'!$E:$E,'Barang Keluar'!$C:$C,A282,'Barang Keluar'!$A:$A,"&gt;="&amp;$A$4,'Barang Keluar'!$A:$A,"&lt;="&amp;$B$4))</f>
        <v>0</v>
      </c>
      <c r="F282" s="49">
        <f>IF($A$4+ROW()-8&gt;$B$4,"",$A$4+ROW()-8)</f>
        <v>46297</v>
      </c>
      <c r="G282">
        <f>IF(F282="","",SUMIFS('Barang Keluar'!$E:$E,'Barang Keluar'!$A:$A,F282))</f>
        <v>0</v>
      </c>
      <c r="M282" s="49">
        <f>IF($A$4+2&gt;$B$4,"",$A$4+2)</f>
        <v>46025</v>
      </c>
      <c r="N282">
        <f>IF(M282="","",'Master Barang'!A76)</f>
        <v>0</v>
      </c>
      <c r="O282">
        <f>IF(N282="","",'Master Barang'!B76)</f>
        <v>0</v>
      </c>
      <c r="P282">
        <f>IF(OR(M282="",N282=""),"",SUMIFS('Barang Keluar'!$E:$E,'Barang Keluar'!$A:$A,M282,'Barang Keluar'!$C:$C,N282))</f>
        <v>0</v>
      </c>
    </row>
    <row r="283" spans="1:16">
      <c r="A283">
        <f>IFERROR('Master Barang'!A278,"")</f>
        <v>0</v>
      </c>
      <c r="B283">
        <f>IFERROR('Master Barang'!B278,"")</f>
        <v>0</v>
      </c>
      <c r="C283">
        <f>IFERROR('Master Barang'!D278,"")</f>
        <v>0</v>
      </c>
      <c r="D283">
        <f>IF(A283="","",SUMIFS('Barang Keluar'!$E:$E,'Barang Keluar'!$C:$C,A283,'Barang Keluar'!$A:$A,"&gt;="&amp;$A$4,'Barang Keluar'!$A:$A,"&lt;="&amp;$B$4))</f>
        <v>0</v>
      </c>
      <c r="F283" s="49">
        <f>IF($A$4+ROW()-8&gt;$B$4,"",$A$4+ROW()-8)</f>
        <v>46298</v>
      </c>
      <c r="G283">
        <f>IF(F283="","",SUMIFS('Barang Keluar'!$E:$E,'Barang Keluar'!$A:$A,F283))</f>
        <v>0</v>
      </c>
      <c r="M283" s="49">
        <f>IF($A$4+2&gt;$B$4,"",$A$4+2)</f>
        <v>46025</v>
      </c>
      <c r="N283">
        <f>IF(M283="","",'Master Barang'!A77)</f>
        <v>0</v>
      </c>
      <c r="O283">
        <f>IF(N283="","",'Master Barang'!B77)</f>
        <v>0</v>
      </c>
      <c r="P283">
        <f>IF(OR(M283="",N283=""),"",SUMIFS('Barang Keluar'!$E:$E,'Barang Keluar'!$A:$A,M283,'Barang Keluar'!$C:$C,N283))</f>
        <v>0</v>
      </c>
    </row>
    <row r="284" spans="1:16">
      <c r="A284">
        <f>IFERROR('Master Barang'!A279,"")</f>
        <v>0</v>
      </c>
      <c r="B284">
        <f>IFERROR('Master Barang'!B279,"")</f>
        <v>0</v>
      </c>
      <c r="C284">
        <f>IFERROR('Master Barang'!D279,"")</f>
        <v>0</v>
      </c>
      <c r="D284">
        <f>IF(A284="","",SUMIFS('Barang Keluar'!$E:$E,'Barang Keluar'!$C:$C,A284,'Barang Keluar'!$A:$A,"&gt;="&amp;$A$4,'Barang Keluar'!$A:$A,"&lt;="&amp;$B$4))</f>
        <v>0</v>
      </c>
      <c r="F284" s="49">
        <f>IF($A$4+ROW()-8&gt;$B$4,"",$A$4+ROW()-8)</f>
        <v>46299</v>
      </c>
      <c r="G284">
        <f>IF(F284="","",SUMIFS('Barang Keluar'!$E:$E,'Barang Keluar'!$A:$A,F284))</f>
        <v>0</v>
      </c>
      <c r="M284" s="49">
        <f>IF($A$4+2&gt;$B$4,"",$A$4+2)</f>
        <v>46025</v>
      </c>
      <c r="N284">
        <f>IF(M284="","",'Master Barang'!A78)</f>
        <v>0</v>
      </c>
      <c r="O284">
        <f>IF(N284="","",'Master Barang'!B78)</f>
        <v>0</v>
      </c>
      <c r="P284">
        <f>IF(OR(M284="",N284=""),"",SUMIFS('Barang Keluar'!$E:$E,'Barang Keluar'!$A:$A,M284,'Barang Keluar'!$C:$C,N284))</f>
        <v>0</v>
      </c>
    </row>
    <row r="285" spans="1:16">
      <c r="A285">
        <f>IFERROR('Master Barang'!A280,"")</f>
        <v>0</v>
      </c>
      <c r="B285">
        <f>IFERROR('Master Barang'!B280,"")</f>
        <v>0</v>
      </c>
      <c r="C285">
        <f>IFERROR('Master Barang'!D280,"")</f>
        <v>0</v>
      </c>
      <c r="D285">
        <f>IF(A285="","",SUMIFS('Barang Keluar'!$E:$E,'Barang Keluar'!$C:$C,A285,'Barang Keluar'!$A:$A,"&gt;="&amp;$A$4,'Barang Keluar'!$A:$A,"&lt;="&amp;$B$4))</f>
        <v>0</v>
      </c>
      <c r="F285" s="49">
        <f>IF($A$4+ROW()-8&gt;$B$4,"",$A$4+ROW()-8)</f>
        <v>46300</v>
      </c>
      <c r="G285">
        <f>IF(F285="","",SUMIFS('Barang Keluar'!$E:$E,'Barang Keluar'!$A:$A,F285))</f>
        <v>0</v>
      </c>
      <c r="M285" s="49">
        <f>IF($A$4+2&gt;$B$4,"",$A$4+2)</f>
        <v>46025</v>
      </c>
      <c r="N285">
        <f>IF(M285="","",'Master Barang'!A79)</f>
        <v>0</v>
      </c>
      <c r="O285">
        <f>IF(N285="","",'Master Barang'!B79)</f>
        <v>0</v>
      </c>
      <c r="P285">
        <f>IF(OR(M285="",N285=""),"",SUMIFS('Barang Keluar'!$E:$E,'Barang Keluar'!$A:$A,M285,'Barang Keluar'!$C:$C,N285))</f>
        <v>0</v>
      </c>
    </row>
    <row r="286" spans="1:16">
      <c r="A286">
        <f>IFERROR('Master Barang'!A281,"")</f>
        <v>0</v>
      </c>
      <c r="B286">
        <f>IFERROR('Master Barang'!B281,"")</f>
        <v>0</v>
      </c>
      <c r="C286">
        <f>IFERROR('Master Barang'!D281,"")</f>
        <v>0</v>
      </c>
      <c r="D286">
        <f>IF(A286="","",SUMIFS('Barang Keluar'!$E:$E,'Barang Keluar'!$C:$C,A286,'Barang Keluar'!$A:$A,"&gt;="&amp;$A$4,'Barang Keluar'!$A:$A,"&lt;="&amp;$B$4))</f>
        <v>0</v>
      </c>
      <c r="F286" s="49">
        <f>IF($A$4+ROW()-8&gt;$B$4,"",$A$4+ROW()-8)</f>
        <v>46301</v>
      </c>
      <c r="G286">
        <f>IF(F286="","",SUMIFS('Barang Keluar'!$E:$E,'Barang Keluar'!$A:$A,F286))</f>
        <v>0</v>
      </c>
      <c r="M286" s="49">
        <f>IF($A$4+2&gt;$B$4,"",$A$4+2)</f>
        <v>46025</v>
      </c>
      <c r="N286">
        <f>IF(M286="","",'Master Barang'!A80)</f>
        <v>0</v>
      </c>
      <c r="O286">
        <f>IF(N286="","",'Master Barang'!B80)</f>
        <v>0</v>
      </c>
      <c r="P286">
        <f>IF(OR(M286="",N286=""),"",SUMIFS('Barang Keluar'!$E:$E,'Barang Keluar'!$A:$A,M286,'Barang Keluar'!$C:$C,N286))</f>
        <v>0</v>
      </c>
    </row>
    <row r="287" spans="1:16">
      <c r="A287">
        <f>IFERROR('Master Barang'!A282,"")</f>
        <v>0</v>
      </c>
      <c r="B287">
        <f>IFERROR('Master Barang'!B282,"")</f>
        <v>0</v>
      </c>
      <c r="C287">
        <f>IFERROR('Master Barang'!D282,"")</f>
        <v>0</v>
      </c>
      <c r="D287">
        <f>IF(A287="","",SUMIFS('Barang Keluar'!$E:$E,'Barang Keluar'!$C:$C,A287,'Barang Keluar'!$A:$A,"&gt;="&amp;$A$4,'Barang Keluar'!$A:$A,"&lt;="&amp;$B$4))</f>
        <v>0</v>
      </c>
      <c r="F287" s="49">
        <f>IF($A$4+ROW()-8&gt;$B$4,"",$A$4+ROW()-8)</f>
        <v>46302</v>
      </c>
      <c r="G287">
        <f>IF(F287="","",SUMIFS('Barang Keluar'!$E:$E,'Barang Keluar'!$A:$A,F287))</f>
        <v>0</v>
      </c>
      <c r="M287" s="49">
        <f>IF($A$4+2&gt;$B$4,"",$A$4+2)</f>
        <v>46025</v>
      </c>
      <c r="N287">
        <f>IF(M287="","",'Master Barang'!A81)</f>
        <v>0</v>
      </c>
      <c r="O287">
        <f>IF(N287="","",'Master Barang'!B81)</f>
        <v>0</v>
      </c>
      <c r="P287">
        <f>IF(OR(M287="",N287=""),"",SUMIFS('Barang Keluar'!$E:$E,'Barang Keluar'!$A:$A,M287,'Barang Keluar'!$C:$C,N287))</f>
        <v>0</v>
      </c>
    </row>
    <row r="288" spans="1:16">
      <c r="A288">
        <f>IFERROR('Master Barang'!A283,"")</f>
        <v>0</v>
      </c>
      <c r="B288">
        <f>IFERROR('Master Barang'!B283,"")</f>
        <v>0</v>
      </c>
      <c r="C288">
        <f>IFERROR('Master Barang'!D283,"")</f>
        <v>0</v>
      </c>
      <c r="D288">
        <f>IF(A288="","",SUMIFS('Barang Keluar'!$E:$E,'Barang Keluar'!$C:$C,A288,'Barang Keluar'!$A:$A,"&gt;="&amp;$A$4,'Barang Keluar'!$A:$A,"&lt;="&amp;$B$4))</f>
        <v>0</v>
      </c>
      <c r="F288" s="49">
        <f>IF($A$4+ROW()-8&gt;$B$4,"",$A$4+ROW()-8)</f>
        <v>46303</v>
      </c>
      <c r="G288">
        <f>IF(F288="","",SUMIFS('Barang Keluar'!$E:$E,'Barang Keluar'!$A:$A,F288))</f>
        <v>0</v>
      </c>
      <c r="M288" s="49">
        <f>IF($A$4+2&gt;$B$4,"",$A$4+2)</f>
        <v>46025</v>
      </c>
      <c r="N288">
        <f>IF(M288="","",'Master Barang'!A82)</f>
        <v>0</v>
      </c>
      <c r="O288">
        <f>IF(N288="","",'Master Barang'!B82)</f>
        <v>0</v>
      </c>
      <c r="P288">
        <f>IF(OR(M288="",N288=""),"",SUMIFS('Barang Keluar'!$E:$E,'Barang Keluar'!$A:$A,M288,'Barang Keluar'!$C:$C,N288))</f>
        <v>0</v>
      </c>
    </row>
    <row r="289" spans="1:16">
      <c r="A289">
        <f>IFERROR('Master Barang'!A284,"")</f>
        <v>0</v>
      </c>
      <c r="B289">
        <f>IFERROR('Master Barang'!B284,"")</f>
        <v>0</v>
      </c>
      <c r="C289">
        <f>IFERROR('Master Barang'!D284,"")</f>
        <v>0</v>
      </c>
      <c r="D289">
        <f>IF(A289="","",SUMIFS('Barang Keluar'!$E:$E,'Barang Keluar'!$C:$C,A289,'Barang Keluar'!$A:$A,"&gt;="&amp;$A$4,'Barang Keluar'!$A:$A,"&lt;="&amp;$B$4))</f>
        <v>0</v>
      </c>
      <c r="F289" s="49">
        <f>IF($A$4+ROW()-8&gt;$B$4,"",$A$4+ROW()-8)</f>
        <v>46304</v>
      </c>
      <c r="G289">
        <f>IF(F289="","",SUMIFS('Barang Keluar'!$E:$E,'Barang Keluar'!$A:$A,F289))</f>
        <v>0</v>
      </c>
      <c r="M289" s="49">
        <f>IF($A$4+2&gt;$B$4,"",$A$4+2)</f>
        <v>46025</v>
      </c>
      <c r="N289">
        <f>IF(M289="","",'Master Barang'!A83)</f>
        <v>0</v>
      </c>
      <c r="O289">
        <f>IF(N289="","",'Master Barang'!B83)</f>
        <v>0</v>
      </c>
      <c r="P289">
        <f>IF(OR(M289="",N289=""),"",SUMIFS('Barang Keluar'!$E:$E,'Barang Keluar'!$A:$A,M289,'Barang Keluar'!$C:$C,N289))</f>
        <v>0</v>
      </c>
    </row>
    <row r="290" spans="1:16">
      <c r="A290">
        <f>IFERROR('Master Barang'!A285,"")</f>
        <v>0</v>
      </c>
      <c r="B290">
        <f>IFERROR('Master Barang'!B285,"")</f>
        <v>0</v>
      </c>
      <c r="C290">
        <f>IFERROR('Master Barang'!D285,"")</f>
        <v>0</v>
      </c>
      <c r="D290">
        <f>IF(A290="","",SUMIFS('Barang Keluar'!$E:$E,'Barang Keluar'!$C:$C,A290,'Barang Keluar'!$A:$A,"&gt;="&amp;$A$4,'Barang Keluar'!$A:$A,"&lt;="&amp;$B$4))</f>
        <v>0</v>
      </c>
      <c r="F290" s="49">
        <f>IF($A$4+ROW()-8&gt;$B$4,"",$A$4+ROW()-8)</f>
        <v>46305</v>
      </c>
      <c r="G290">
        <f>IF(F290="","",SUMIFS('Barang Keluar'!$E:$E,'Barang Keluar'!$A:$A,F290))</f>
        <v>0</v>
      </c>
      <c r="M290" s="49">
        <f>IF($A$4+2&gt;$B$4,"",$A$4+2)</f>
        <v>46025</v>
      </c>
      <c r="N290">
        <f>IF(M290="","",'Master Barang'!A84)</f>
        <v>0</v>
      </c>
      <c r="O290">
        <f>IF(N290="","",'Master Barang'!B84)</f>
        <v>0</v>
      </c>
      <c r="P290">
        <f>IF(OR(M290="",N290=""),"",SUMIFS('Barang Keluar'!$E:$E,'Barang Keluar'!$A:$A,M290,'Barang Keluar'!$C:$C,N290))</f>
        <v>0</v>
      </c>
    </row>
    <row r="291" spans="1:16">
      <c r="A291">
        <f>IFERROR('Master Barang'!A286,"")</f>
        <v>0</v>
      </c>
      <c r="B291">
        <f>IFERROR('Master Barang'!B286,"")</f>
        <v>0</v>
      </c>
      <c r="C291">
        <f>IFERROR('Master Barang'!D286,"")</f>
        <v>0</v>
      </c>
      <c r="D291">
        <f>IF(A291="","",SUMIFS('Barang Keluar'!$E:$E,'Barang Keluar'!$C:$C,A291,'Barang Keluar'!$A:$A,"&gt;="&amp;$A$4,'Barang Keluar'!$A:$A,"&lt;="&amp;$B$4))</f>
        <v>0</v>
      </c>
      <c r="F291" s="49">
        <f>IF($A$4+ROW()-8&gt;$B$4,"",$A$4+ROW()-8)</f>
        <v>46306</v>
      </c>
      <c r="G291">
        <f>IF(F291="","",SUMIFS('Barang Keluar'!$E:$E,'Barang Keluar'!$A:$A,F291))</f>
        <v>0</v>
      </c>
      <c r="M291" s="49">
        <f>IF($A$4+2&gt;$B$4,"",$A$4+2)</f>
        <v>46025</v>
      </c>
      <c r="N291">
        <f>IF(M291="","",'Master Barang'!A85)</f>
        <v>0</v>
      </c>
      <c r="O291">
        <f>IF(N291="","",'Master Barang'!B85)</f>
        <v>0</v>
      </c>
      <c r="P291">
        <f>IF(OR(M291="",N291=""),"",SUMIFS('Barang Keluar'!$E:$E,'Barang Keluar'!$A:$A,M291,'Barang Keluar'!$C:$C,N291))</f>
        <v>0</v>
      </c>
    </row>
    <row r="292" spans="1:16">
      <c r="A292">
        <f>IFERROR('Master Barang'!A287,"")</f>
        <v>0</v>
      </c>
      <c r="B292">
        <f>IFERROR('Master Barang'!B287,"")</f>
        <v>0</v>
      </c>
      <c r="C292">
        <f>IFERROR('Master Barang'!D287,"")</f>
        <v>0</v>
      </c>
      <c r="D292">
        <f>IF(A292="","",SUMIFS('Barang Keluar'!$E:$E,'Barang Keluar'!$C:$C,A292,'Barang Keluar'!$A:$A,"&gt;="&amp;$A$4,'Barang Keluar'!$A:$A,"&lt;="&amp;$B$4))</f>
        <v>0</v>
      </c>
      <c r="F292" s="49">
        <f>IF($A$4+ROW()-8&gt;$B$4,"",$A$4+ROW()-8)</f>
        <v>46307</v>
      </c>
      <c r="G292">
        <f>IF(F292="","",SUMIFS('Barang Keluar'!$E:$E,'Barang Keluar'!$A:$A,F292))</f>
        <v>0</v>
      </c>
      <c r="M292" s="49">
        <f>IF($A$4+2&gt;$B$4,"",$A$4+2)</f>
        <v>46025</v>
      </c>
      <c r="N292">
        <f>IF(M292="","",'Master Barang'!A86)</f>
        <v>0</v>
      </c>
      <c r="O292">
        <f>IF(N292="","",'Master Barang'!B86)</f>
        <v>0</v>
      </c>
      <c r="P292">
        <f>IF(OR(M292="",N292=""),"",SUMIFS('Barang Keluar'!$E:$E,'Barang Keluar'!$A:$A,M292,'Barang Keluar'!$C:$C,N292))</f>
        <v>0</v>
      </c>
    </row>
    <row r="293" spans="1:16">
      <c r="A293">
        <f>IFERROR('Master Barang'!A288,"")</f>
        <v>0</v>
      </c>
      <c r="B293">
        <f>IFERROR('Master Barang'!B288,"")</f>
        <v>0</v>
      </c>
      <c r="C293">
        <f>IFERROR('Master Barang'!D288,"")</f>
        <v>0</v>
      </c>
      <c r="D293">
        <f>IF(A293="","",SUMIFS('Barang Keluar'!$E:$E,'Barang Keluar'!$C:$C,A293,'Barang Keluar'!$A:$A,"&gt;="&amp;$A$4,'Barang Keluar'!$A:$A,"&lt;="&amp;$B$4))</f>
        <v>0</v>
      </c>
      <c r="F293" s="49">
        <f>IF($A$4+ROW()-8&gt;$B$4,"",$A$4+ROW()-8)</f>
        <v>46308</v>
      </c>
      <c r="G293">
        <f>IF(F293="","",SUMIFS('Barang Keluar'!$E:$E,'Barang Keluar'!$A:$A,F293))</f>
        <v>0</v>
      </c>
      <c r="M293" s="49">
        <f>IF($A$4+2&gt;$B$4,"",$A$4+2)</f>
        <v>46025</v>
      </c>
      <c r="N293">
        <f>IF(M293="","",'Master Barang'!A87)</f>
        <v>0</v>
      </c>
      <c r="O293">
        <f>IF(N293="","",'Master Barang'!B87)</f>
        <v>0</v>
      </c>
      <c r="P293">
        <f>IF(OR(M293="",N293=""),"",SUMIFS('Barang Keluar'!$E:$E,'Barang Keluar'!$A:$A,M293,'Barang Keluar'!$C:$C,N293))</f>
        <v>0</v>
      </c>
    </row>
    <row r="294" spans="1:16">
      <c r="A294">
        <f>IFERROR('Master Barang'!A289,"")</f>
        <v>0</v>
      </c>
      <c r="B294">
        <f>IFERROR('Master Barang'!B289,"")</f>
        <v>0</v>
      </c>
      <c r="C294">
        <f>IFERROR('Master Barang'!D289,"")</f>
        <v>0</v>
      </c>
      <c r="D294">
        <f>IF(A294="","",SUMIFS('Barang Keluar'!$E:$E,'Barang Keluar'!$C:$C,A294,'Barang Keluar'!$A:$A,"&gt;="&amp;$A$4,'Barang Keluar'!$A:$A,"&lt;="&amp;$B$4))</f>
        <v>0</v>
      </c>
      <c r="F294" s="49">
        <f>IF($A$4+ROW()-8&gt;$B$4,"",$A$4+ROW()-8)</f>
        <v>46309</v>
      </c>
      <c r="G294">
        <f>IF(F294="","",SUMIFS('Barang Keluar'!$E:$E,'Barang Keluar'!$A:$A,F294))</f>
        <v>0</v>
      </c>
      <c r="M294" s="49">
        <f>IF($A$4+2&gt;$B$4,"",$A$4+2)</f>
        <v>46025</v>
      </c>
      <c r="N294">
        <f>IF(M294="","",'Master Barang'!A88)</f>
        <v>0</v>
      </c>
      <c r="O294">
        <f>IF(N294="","",'Master Barang'!B88)</f>
        <v>0</v>
      </c>
      <c r="P294">
        <f>IF(OR(M294="",N294=""),"",SUMIFS('Barang Keluar'!$E:$E,'Barang Keluar'!$A:$A,M294,'Barang Keluar'!$C:$C,N294))</f>
        <v>0</v>
      </c>
    </row>
    <row r="295" spans="1:16">
      <c r="A295">
        <f>IFERROR('Master Barang'!A290,"")</f>
        <v>0</v>
      </c>
      <c r="B295">
        <f>IFERROR('Master Barang'!B290,"")</f>
        <v>0</v>
      </c>
      <c r="C295">
        <f>IFERROR('Master Barang'!D290,"")</f>
        <v>0</v>
      </c>
      <c r="D295">
        <f>IF(A295="","",SUMIFS('Barang Keluar'!$E:$E,'Barang Keluar'!$C:$C,A295,'Barang Keluar'!$A:$A,"&gt;="&amp;$A$4,'Barang Keluar'!$A:$A,"&lt;="&amp;$B$4))</f>
        <v>0</v>
      </c>
      <c r="F295" s="49">
        <f>IF($A$4+ROW()-8&gt;$B$4,"",$A$4+ROW()-8)</f>
        <v>46310</v>
      </c>
      <c r="G295">
        <f>IF(F295="","",SUMIFS('Barang Keluar'!$E:$E,'Barang Keluar'!$A:$A,F295))</f>
        <v>0</v>
      </c>
      <c r="M295" s="49">
        <f>IF($A$4+2&gt;$B$4,"",$A$4+2)</f>
        <v>46025</v>
      </c>
      <c r="N295">
        <f>IF(M295="","",'Master Barang'!A89)</f>
        <v>0</v>
      </c>
      <c r="O295">
        <f>IF(N295="","",'Master Barang'!B89)</f>
        <v>0</v>
      </c>
      <c r="P295">
        <f>IF(OR(M295="",N295=""),"",SUMIFS('Barang Keluar'!$E:$E,'Barang Keluar'!$A:$A,M295,'Barang Keluar'!$C:$C,N295))</f>
        <v>0</v>
      </c>
    </row>
    <row r="296" spans="1:16">
      <c r="A296">
        <f>IFERROR('Master Barang'!A291,"")</f>
        <v>0</v>
      </c>
      <c r="B296">
        <f>IFERROR('Master Barang'!B291,"")</f>
        <v>0</v>
      </c>
      <c r="C296">
        <f>IFERROR('Master Barang'!D291,"")</f>
        <v>0</v>
      </c>
      <c r="D296">
        <f>IF(A296="","",SUMIFS('Barang Keluar'!$E:$E,'Barang Keluar'!$C:$C,A296,'Barang Keluar'!$A:$A,"&gt;="&amp;$A$4,'Barang Keluar'!$A:$A,"&lt;="&amp;$B$4))</f>
        <v>0</v>
      </c>
      <c r="F296" s="49">
        <f>IF($A$4+ROW()-8&gt;$B$4,"",$A$4+ROW()-8)</f>
        <v>46311</v>
      </c>
      <c r="G296">
        <f>IF(F296="","",SUMIFS('Barang Keluar'!$E:$E,'Barang Keluar'!$A:$A,F296))</f>
        <v>0</v>
      </c>
      <c r="M296" s="49">
        <f>IF($A$4+2&gt;$B$4,"",$A$4+2)</f>
        <v>46025</v>
      </c>
      <c r="N296">
        <f>IF(M296="","",'Master Barang'!A90)</f>
        <v>0</v>
      </c>
      <c r="O296">
        <f>IF(N296="","",'Master Barang'!B90)</f>
        <v>0</v>
      </c>
      <c r="P296">
        <f>IF(OR(M296="",N296=""),"",SUMIFS('Barang Keluar'!$E:$E,'Barang Keluar'!$A:$A,M296,'Barang Keluar'!$C:$C,N296))</f>
        <v>0</v>
      </c>
    </row>
    <row r="297" spans="1:16">
      <c r="A297">
        <f>IFERROR('Master Barang'!A292,"")</f>
        <v>0</v>
      </c>
      <c r="B297">
        <f>IFERROR('Master Barang'!B292,"")</f>
        <v>0</v>
      </c>
      <c r="C297">
        <f>IFERROR('Master Barang'!D292,"")</f>
        <v>0</v>
      </c>
      <c r="D297">
        <f>IF(A297="","",SUMIFS('Barang Keluar'!$E:$E,'Barang Keluar'!$C:$C,A297,'Barang Keluar'!$A:$A,"&gt;="&amp;$A$4,'Barang Keluar'!$A:$A,"&lt;="&amp;$B$4))</f>
        <v>0</v>
      </c>
      <c r="F297" s="49">
        <f>IF($A$4+ROW()-8&gt;$B$4,"",$A$4+ROW()-8)</f>
        <v>46312</v>
      </c>
      <c r="G297">
        <f>IF(F297="","",SUMIFS('Barang Keluar'!$E:$E,'Barang Keluar'!$A:$A,F297))</f>
        <v>0</v>
      </c>
      <c r="M297" s="49">
        <f>IF($A$4+2&gt;$B$4,"",$A$4+2)</f>
        <v>46025</v>
      </c>
      <c r="N297">
        <f>IF(M297="","",'Master Barang'!A91)</f>
        <v>0</v>
      </c>
      <c r="O297">
        <f>IF(N297="","",'Master Barang'!B91)</f>
        <v>0</v>
      </c>
      <c r="P297">
        <f>IF(OR(M297="",N297=""),"",SUMIFS('Barang Keluar'!$E:$E,'Barang Keluar'!$A:$A,M297,'Barang Keluar'!$C:$C,N297))</f>
        <v>0</v>
      </c>
    </row>
    <row r="298" spans="1:16">
      <c r="A298">
        <f>IFERROR('Master Barang'!A293,"")</f>
        <v>0</v>
      </c>
      <c r="B298">
        <f>IFERROR('Master Barang'!B293,"")</f>
        <v>0</v>
      </c>
      <c r="C298">
        <f>IFERROR('Master Barang'!D293,"")</f>
        <v>0</v>
      </c>
      <c r="D298">
        <f>IF(A298="","",SUMIFS('Barang Keluar'!$E:$E,'Barang Keluar'!$C:$C,A298,'Barang Keluar'!$A:$A,"&gt;="&amp;$A$4,'Barang Keluar'!$A:$A,"&lt;="&amp;$B$4))</f>
        <v>0</v>
      </c>
      <c r="F298" s="49">
        <f>IF($A$4+ROW()-8&gt;$B$4,"",$A$4+ROW()-8)</f>
        <v>46313</v>
      </c>
      <c r="G298">
        <f>IF(F298="","",SUMIFS('Barang Keluar'!$E:$E,'Barang Keluar'!$A:$A,F298))</f>
        <v>0</v>
      </c>
      <c r="M298" s="49">
        <f>IF($A$4+2&gt;$B$4,"",$A$4+2)</f>
        <v>46025</v>
      </c>
      <c r="N298">
        <f>IF(M298="","",'Master Barang'!A92)</f>
        <v>0</v>
      </c>
      <c r="O298">
        <f>IF(N298="","",'Master Barang'!B92)</f>
        <v>0</v>
      </c>
      <c r="P298">
        <f>IF(OR(M298="",N298=""),"",SUMIFS('Barang Keluar'!$E:$E,'Barang Keluar'!$A:$A,M298,'Barang Keluar'!$C:$C,N298))</f>
        <v>0</v>
      </c>
    </row>
    <row r="299" spans="1:16">
      <c r="A299">
        <f>IFERROR('Master Barang'!A294,"")</f>
        <v>0</v>
      </c>
      <c r="B299">
        <f>IFERROR('Master Barang'!B294,"")</f>
        <v>0</v>
      </c>
      <c r="C299">
        <f>IFERROR('Master Barang'!D294,"")</f>
        <v>0</v>
      </c>
      <c r="D299">
        <f>IF(A299="","",SUMIFS('Barang Keluar'!$E:$E,'Barang Keluar'!$C:$C,A299,'Barang Keluar'!$A:$A,"&gt;="&amp;$A$4,'Barang Keluar'!$A:$A,"&lt;="&amp;$B$4))</f>
        <v>0</v>
      </c>
      <c r="F299" s="49">
        <f>IF($A$4+ROW()-8&gt;$B$4,"",$A$4+ROW()-8)</f>
        <v>46314</v>
      </c>
      <c r="G299">
        <f>IF(F299="","",SUMIFS('Barang Keluar'!$E:$E,'Barang Keluar'!$A:$A,F299))</f>
        <v>0</v>
      </c>
      <c r="M299" s="49">
        <f>IF($A$4+2&gt;$B$4,"",$A$4+2)</f>
        <v>46025</v>
      </c>
      <c r="N299">
        <f>IF(M299="","",'Master Barang'!A93)</f>
        <v>0</v>
      </c>
      <c r="O299">
        <f>IF(N299="","",'Master Barang'!B93)</f>
        <v>0</v>
      </c>
      <c r="P299">
        <f>IF(OR(M299="",N299=""),"",SUMIFS('Barang Keluar'!$E:$E,'Barang Keluar'!$A:$A,M299,'Barang Keluar'!$C:$C,N299))</f>
        <v>0</v>
      </c>
    </row>
    <row r="300" spans="1:16">
      <c r="A300">
        <f>IFERROR('Master Barang'!A295,"")</f>
        <v>0</v>
      </c>
      <c r="B300">
        <f>IFERROR('Master Barang'!B295,"")</f>
        <v>0</v>
      </c>
      <c r="C300">
        <f>IFERROR('Master Barang'!D295,"")</f>
        <v>0</v>
      </c>
      <c r="D300">
        <f>IF(A300="","",SUMIFS('Barang Keluar'!$E:$E,'Barang Keluar'!$C:$C,A300,'Barang Keluar'!$A:$A,"&gt;="&amp;$A$4,'Barang Keluar'!$A:$A,"&lt;="&amp;$B$4))</f>
        <v>0</v>
      </c>
      <c r="F300" s="49">
        <f>IF($A$4+ROW()-8&gt;$B$4,"",$A$4+ROW()-8)</f>
        <v>46315</v>
      </c>
      <c r="G300">
        <f>IF(F300="","",SUMIFS('Barang Keluar'!$E:$E,'Barang Keluar'!$A:$A,F300))</f>
        <v>0</v>
      </c>
      <c r="M300" s="49">
        <f>IF($A$4+2&gt;$B$4,"",$A$4+2)</f>
        <v>46025</v>
      </c>
      <c r="N300">
        <f>IF(M300="","",'Master Barang'!A94)</f>
        <v>0</v>
      </c>
      <c r="O300">
        <f>IF(N300="","",'Master Barang'!B94)</f>
        <v>0</v>
      </c>
      <c r="P300">
        <f>IF(OR(M300="",N300=""),"",SUMIFS('Barang Keluar'!$E:$E,'Barang Keluar'!$A:$A,M300,'Barang Keluar'!$C:$C,N300))</f>
        <v>0</v>
      </c>
    </row>
    <row r="301" spans="1:16">
      <c r="A301">
        <f>IFERROR('Master Barang'!A296,"")</f>
        <v>0</v>
      </c>
      <c r="B301">
        <f>IFERROR('Master Barang'!B296,"")</f>
        <v>0</v>
      </c>
      <c r="C301">
        <f>IFERROR('Master Barang'!D296,"")</f>
        <v>0</v>
      </c>
      <c r="D301">
        <f>IF(A301="","",SUMIFS('Barang Keluar'!$E:$E,'Barang Keluar'!$C:$C,A301,'Barang Keluar'!$A:$A,"&gt;="&amp;$A$4,'Barang Keluar'!$A:$A,"&lt;="&amp;$B$4))</f>
        <v>0</v>
      </c>
      <c r="F301" s="49">
        <f>IF($A$4+ROW()-8&gt;$B$4,"",$A$4+ROW()-8)</f>
        <v>46316</v>
      </c>
      <c r="G301">
        <f>IF(F301="","",SUMIFS('Barang Keluar'!$E:$E,'Barang Keluar'!$A:$A,F301))</f>
        <v>0</v>
      </c>
      <c r="M301" s="49">
        <f>IF($A$4+2&gt;$B$4,"",$A$4+2)</f>
        <v>46025</v>
      </c>
      <c r="N301">
        <f>IF(M301="","",'Master Barang'!A95)</f>
        <v>0</v>
      </c>
      <c r="O301">
        <f>IF(N301="","",'Master Barang'!B95)</f>
        <v>0</v>
      </c>
      <c r="P301">
        <f>IF(OR(M301="",N301=""),"",SUMIFS('Barang Keluar'!$E:$E,'Barang Keluar'!$A:$A,M301,'Barang Keluar'!$C:$C,N301))</f>
        <v>0</v>
      </c>
    </row>
    <row r="302" spans="1:16">
      <c r="A302">
        <f>IFERROR('Master Barang'!A297,"")</f>
        <v>0</v>
      </c>
      <c r="B302">
        <f>IFERROR('Master Barang'!B297,"")</f>
        <v>0</v>
      </c>
      <c r="C302">
        <f>IFERROR('Master Barang'!D297,"")</f>
        <v>0</v>
      </c>
      <c r="D302">
        <f>IF(A302="","",SUMIFS('Barang Keluar'!$E:$E,'Barang Keluar'!$C:$C,A302,'Barang Keluar'!$A:$A,"&gt;="&amp;$A$4,'Barang Keluar'!$A:$A,"&lt;="&amp;$B$4))</f>
        <v>0</v>
      </c>
      <c r="F302" s="49">
        <f>IF($A$4+ROW()-8&gt;$B$4,"",$A$4+ROW()-8)</f>
        <v>46317</v>
      </c>
      <c r="G302">
        <f>IF(F302="","",SUMIFS('Barang Keluar'!$E:$E,'Barang Keluar'!$A:$A,F302))</f>
        <v>0</v>
      </c>
      <c r="M302" s="49">
        <f>IF($A$4+2&gt;$B$4,"",$A$4+2)</f>
        <v>46025</v>
      </c>
      <c r="N302">
        <f>IF(M302="","",'Master Barang'!A96)</f>
        <v>0</v>
      </c>
      <c r="O302">
        <f>IF(N302="","",'Master Barang'!B96)</f>
        <v>0</v>
      </c>
      <c r="P302">
        <f>IF(OR(M302="",N302=""),"",SUMIFS('Barang Keluar'!$E:$E,'Barang Keluar'!$A:$A,M302,'Barang Keluar'!$C:$C,N302))</f>
        <v>0</v>
      </c>
    </row>
    <row r="303" spans="1:16">
      <c r="A303">
        <f>IFERROR('Master Barang'!A298,"")</f>
        <v>0</v>
      </c>
      <c r="B303">
        <f>IFERROR('Master Barang'!B298,"")</f>
        <v>0</v>
      </c>
      <c r="C303">
        <f>IFERROR('Master Barang'!D298,"")</f>
        <v>0</v>
      </c>
      <c r="D303">
        <f>IF(A303="","",SUMIFS('Barang Keluar'!$E:$E,'Barang Keluar'!$C:$C,A303,'Barang Keluar'!$A:$A,"&gt;="&amp;$A$4,'Barang Keluar'!$A:$A,"&lt;="&amp;$B$4))</f>
        <v>0</v>
      </c>
      <c r="F303" s="49">
        <f>IF($A$4+ROW()-8&gt;$B$4,"",$A$4+ROW()-8)</f>
        <v>46318</v>
      </c>
      <c r="G303">
        <f>IF(F303="","",SUMIFS('Barang Keluar'!$E:$E,'Barang Keluar'!$A:$A,F303))</f>
        <v>0</v>
      </c>
      <c r="M303" s="49">
        <f>IF($A$4+2&gt;$B$4,"",$A$4+2)</f>
        <v>46025</v>
      </c>
      <c r="N303">
        <f>IF(M303="","",'Master Barang'!A97)</f>
        <v>0</v>
      </c>
      <c r="O303">
        <f>IF(N303="","",'Master Barang'!B97)</f>
        <v>0</v>
      </c>
      <c r="P303">
        <f>IF(OR(M303="",N303=""),"",SUMIFS('Barang Keluar'!$E:$E,'Barang Keluar'!$A:$A,M303,'Barang Keluar'!$C:$C,N303))</f>
        <v>0</v>
      </c>
    </row>
    <row r="304" spans="1:16">
      <c r="A304">
        <f>IFERROR('Master Barang'!A299,"")</f>
        <v>0</v>
      </c>
      <c r="B304">
        <f>IFERROR('Master Barang'!B299,"")</f>
        <v>0</v>
      </c>
      <c r="C304">
        <f>IFERROR('Master Barang'!D299,"")</f>
        <v>0</v>
      </c>
      <c r="D304">
        <f>IF(A304="","",SUMIFS('Barang Keluar'!$E:$E,'Barang Keluar'!$C:$C,A304,'Barang Keluar'!$A:$A,"&gt;="&amp;$A$4,'Barang Keluar'!$A:$A,"&lt;="&amp;$B$4))</f>
        <v>0</v>
      </c>
      <c r="F304" s="49">
        <f>IF($A$4+ROW()-8&gt;$B$4,"",$A$4+ROW()-8)</f>
        <v>46319</v>
      </c>
      <c r="G304">
        <f>IF(F304="","",SUMIFS('Barang Keluar'!$E:$E,'Barang Keluar'!$A:$A,F304))</f>
        <v>0</v>
      </c>
      <c r="M304" s="49">
        <f>IF($A$4+2&gt;$B$4,"",$A$4+2)</f>
        <v>46025</v>
      </c>
      <c r="N304">
        <f>IF(M304="","",'Master Barang'!A98)</f>
        <v>0</v>
      </c>
      <c r="O304">
        <f>IF(N304="","",'Master Barang'!B98)</f>
        <v>0</v>
      </c>
      <c r="P304">
        <f>IF(OR(M304="",N304=""),"",SUMIFS('Barang Keluar'!$E:$E,'Barang Keluar'!$A:$A,M304,'Barang Keluar'!$C:$C,N304))</f>
        <v>0</v>
      </c>
    </row>
    <row r="305" spans="1:16">
      <c r="A305">
        <f>IFERROR('Master Barang'!A300,"")</f>
        <v>0</v>
      </c>
      <c r="B305">
        <f>IFERROR('Master Barang'!B300,"")</f>
        <v>0</v>
      </c>
      <c r="C305">
        <f>IFERROR('Master Barang'!D300,"")</f>
        <v>0</v>
      </c>
      <c r="D305">
        <f>IF(A305="","",SUMIFS('Barang Keluar'!$E:$E,'Barang Keluar'!$C:$C,A305,'Barang Keluar'!$A:$A,"&gt;="&amp;$A$4,'Barang Keluar'!$A:$A,"&lt;="&amp;$B$4))</f>
        <v>0</v>
      </c>
      <c r="F305" s="49">
        <f>IF($A$4+ROW()-8&gt;$B$4,"",$A$4+ROW()-8)</f>
        <v>46320</v>
      </c>
      <c r="G305">
        <f>IF(F305="","",SUMIFS('Barang Keluar'!$E:$E,'Barang Keluar'!$A:$A,F305))</f>
        <v>0</v>
      </c>
      <c r="M305" s="49">
        <f>IF($A$4+2&gt;$B$4,"",$A$4+2)</f>
        <v>46025</v>
      </c>
      <c r="N305">
        <f>IF(M305="","",'Master Barang'!A99)</f>
        <v>0</v>
      </c>
      <c r="O305">
        <f>IF(N305="","",'Master Barang'!B99)</f>
        <v>0</v>
      </c>
      <c r="P305">
        <f>IF(OR(M305="",N305=""),"",SUMIFS('Barang Keluar'!$E:$E,'Barang Keluar'!$A:$A,M305,'Barang Keluar'!$C:$C,N305))</f>
        <v>0</v>
      </c>
    </row>
    <row r="306" spans="1:16">
      <c r="A306">
        <f>IFERROR('Master Barang'!A301,"")</f>
        <v>0</v>
      </c>
      <c r="B306">
        <f>IFERROR('Master Barang'!B301,"")</f>
        <v>0</v>
      </c>
      <c r="C306">
        <f>IFERROR('Master Barang'!D301,"")</f>
        <v>0</v>
      </c>
      <c r="D306">
        <f>IF(A306="","",SUMIFS('Barang Keluar'!$E:$E,'Barang Keluar'!$C:$C,A306,'Barang Keluar'!$A:$A,"&gt;="&amp;$A$4,'Barang Keluar'!$A:$A,"&lt;="&amp;$B$4))</f>
        <v>0</v>
      </c>
      <c r="F306" s="49">
        <f>IF($A$4+ROW()-8&gt;$B$4,"",$A$4+ROW()-8)</f>
        <v>46321</v>
      </c>
      <c r="G306">
        <f>IF(F306="","",SUMIFS('Barang Keluar'!$E:$E,'Barang Keluar'!$A:$A,F306))</f>
        <v>0</v>
      </c>
      <c r="M306" s="49">
        <f>IF($A$4+2&gt;$B$4,"",$A$4+2)</f>
        <v>46025</v>
      </c>
      <c r="N306">
        <f>IF(M306="","",'Master Barang'!A100)</f>
        <v>0</v>
      </c>
      <c r="O306">
        <f>IF(N306="","",'Master Barang'!B100)</f>
        <v>0</v>
      </c>
      <c r="P306">
        <f>IF(OR(M306="",N306=""),"",SUMIFS('Barang Keluar'!$E:$E,'Barang Keluar'!$A:$A,M306,'Barang Keluar'!$C:$C,N306))</f>
        <v>0</v>
      </c>
    </row>
    <row r="307" spans="1:16">
      <c r="A307">
        <f>IFERROR('Master Barang'!A302,"")</f>
        <v>0</v>
      </c>
      <c r="B307">
        <f>IFERROR('Master Barang'!B302,"")</f>
        <v>0</v>
      </c>
      <c r="C307">
        <f>IFERROR('Master Barang'!D302,"")</f>
        <v>0</v>
      </c>
      <c r="D307">
        <f>IF(A307="","",SUMIFS('Barang Keluar'!$E:$E,'Barang Keluar'!$C:$C,A307,'Barang Keluar'!$A:$A,"&gt;="&amp;$A$4,'Barang Keluar'!$A:$A,"&lt;="&amp;$B$4))</f>
        <v>0</v>
      </c>
      <c r="F307" s="49">
        <f>IF($A$4+ROW()-8&gt;$B$4,"",$A$4+ROW()-8)</f>
        <v>46322</v>
      </c>
      <c r="G307">
        <f>IF(F307="","",SUMIFS('Barang Keluar'!$E:$E,'Barang Keluar'!$A:$A,F307))</f>
        <v>0</v>
      </c>
      <c r="M307" s="49">
        <f>IF($A$4+2&gt;$B$4,"",$A$4+2)</f>
        <v>46025</v>
      </c>
      <c r="N307">
        <f>IF(M307="","",'Master Barang'!A101)</f>
        <v>0</v>
      </c>
      <c r="O307">
        <f>IF(N307="","",'Master Barang'!B101)</f>
        <v>0</v>
      </c>
      <c r="P307">
        <f>IF(OR(M307="",N307=""),"",SUMIFS('Barang Keluar'!$E:$E,'Barang Keluar'!$A:$A,M307,'Barang Keluar'!$C:$C,N307))</f>
        <v>0</v>
      </c>
    </row>
    <row r="308" spans="1:16">
      <c r="A308">
        <f>IFERROR('Master Barang'!A303,"")</f>
        <v>0</v>
      </c>
      <c r="B308">
        <f>IFERROR('Master Barang'!B303,"")</f>
        <v>0</v>
      </c>
      <c r="C308">
        <f>IFERROR('Master Barang'!D303,"")</f>
        <v>0</v>
      </c>
      <c r="D308">
        <f>IF(A308="","",SUMIFS('Barang Keluar'!$E:$E,'Barang Keluar'!$C:$C,A308,'Barang Keluar'!$A:$A,"&gt;="&amp;$A$4,'Barang Keluar'!$A:$A,"&lt;="&amp;$B$4))</f>
        <v>0</v>
      </c>
      <c r="F308" s="49">
        <f>IF($A$4+ROW()-8&gt;$B$4,"",$A$4+ROW()-8)</f>
        <v>46323</v>
      </c>
      <c r="G308">
        <f>IF(F308="","",SUMIFS('Barang Keluar'!$E:$E,'Barang Keluar'!$A:$A,F308))</f>
        <v>0</v>
      </c>
      <c r="M308" s="49">
        <f>IF($A$4+3&gt;$B$4,"",$A$4+3)</f>
        <v>46026</v>
      </c>
      <c r="N308" t="str">
        <f>IF(M308="","",'Master Barang'!A2)</f>
        <v>PRL-001</v>
      </c>
      <c r="O308" t="str">
        <f>IF(N308="","",'Master Barang'!B2)</f>
        <v>natura desinfectant food grade 5l</v>
      </c>
      <c r="P308">
        <f>IF(OR(M308="",N308=""),"",SUMIFS('Barang Keluar'!$E:$E,'Barang Keluar'!$A:$A,M308,'Barang Keluar'!$C:$C,N308))</f>
        <v>0</v>
      </c>
    </row>
    <row r="309" spans="1:16">
      <c r="A309">
        <f>IFERROR('Master Barang'!A304,"")</f>
        <v>0</v>
      </c>
      <c r="B309">
        <f>IFERROR('Master Barang'!B304,"")</f>
        <v>0</v>
      </c>
      <c r="C309">
        <f>IFERROR('Master Barang'!D304,"")</f>
        <v>0</v>
      </c>
      <c r="D309">
        <f>IF(A309="","",SUMIFS('Barang Keluar'!$E:$E,'Barang Keluar'!$C:$C,A309,'Barang Keluar'!$A:$A,"&gt;="&amp;$A$4,'Barang Keluar'!$A:$A,"&lt;="&amp;$B$4))</f>
        <v>0</v>
      </c>
      <c r="F309" s="49">
        <f>IF($A$4+ROW()-8&gt;$B$4,"",$A$4+ROW()-8)</f>
        <v>46324</v>
      </c>
      <c r="G309">
        <f>IF(F309="","",SUMIFS('Barang Keluar'!$E:$E,'Barang Keluar'!$A:$A,F309))</f>
        <v>0</v>
      </c>
      <c r="M309" s="49">
        <f>IF($A$4+3&gt;$B$4,"",$A$4+3)</f>
        <v>46026</v>
      </c>
      <c r="N309" t="str">
        <f>IF(M309="","",'Master Barang'!A3)</f>
        <v>PRL-002</v>
      </c>
      <c r="O309" t="str">
        <f>IF(N309="","",'Master Barang'!B3)</f>
        <v>sunlight cairan pencuci piring 5l</v>
      </c>
      <c r="P309">
        <f>IF(OR(M309="",N309=""),"",SUMIFS('Barang Keluar'!$E:$E,'Barang Keluar'!$A:$A,M309,'Barang Keluar'!$C:$C,N309))</f>
        <v>0</v>
      </c>
    </row>
    <row r="310" spans="1:16">
      <c r="A310">
        <f>IFERROR('Master Barang'!A305,"")</f>
        <v>0</v>
      </c>
      <c r="B310">
        <f>IFERROR('Master Barang'!B305,"")</f>
        <v>0</v>
      </c>
      <c r="C310">
        <f>IFERROR('Master Barang'!D305,"")</f>
        <v>0</v>
      </c>
      <c r="D310">
        <f>IF(A310="","",SUMIFS('Barang Keluar'!$E:$E,'Barang Keluar'!$C:$C,A310,'Barang Keluar'!$A:$A,"&gt;="&amp;$A$4,'Barang Keluar'!$A:$A,"&lt;="&amp;$B$4))</f>
        <v>0</v>
      </c>
      <c r="F310" s="49">
        <f>IF($A$4+ROW()-8&gt;$B$4,"",$A$4+ROW()-8)</f>
        <v>46325</v>
      </c>
      <c r="G310">
        <f>IF(F310="","",SUMIFS('Barang Keluar'!$E:$E,'Barang Keluar'!$A:$A,F310))</f>
        <v>0</v>
      </c>
      <c r="M310" s="49">
        <f>IF($A$4+3&gt;$B$4,"",$A$4+3)</f>
        <v>46026</v>
      </c>
      <c r="N310" t="str">
        <f>IF(M310="","",'Master Barang'!A4)</f>
        <v>PRL-003</v>
      </c>
      <c r="O310" t="str">
        <f>IF(N310="","",'Master Barang'!B4)</f>
        <v>oixs cleaner 1l</v>
      </c>
      <c r="P310">
        <f>IF(OR(M310="",N310=""),"",SUMIFS('Barang Keluar'!$E:$E,'Barang Keluar'!$A:$A,M310,'Barang Keluar'!$C:$C,N310))</f>
        <v>0</v>
      </c>
    </row>
    <row r="311" spans="1:16">
      <c r="A311">
        <f>IFERROR('Master Barang'!A306,"")</f>
        <v>0</v>
      </c>
      <c r="B311">
        <f>IFERROR('Master Barang'!B306,"")</f>
        <v>0</v>
      </c>
      <c r="C311">
        <f>IFERROR('Master Barang'!D306,"")</f>
        <v>0</v>
      </c>
      <c r="D311">
        <f>IF(A311="","",SUMIFS('Barang Keluar'!$E:$E,'Barang Keluar'!$C:$C,A311,'Barang Keluar'!$A:$A,"&gt;="&amp;$A$4,'Barang Keluar'!$A:$A,"&lt;="&amp;$B$4))</f>
        <v>0</v>
      </c>
      <c r="F311" s="49">
        <f>IF($A$4+ROW()-8&gt;$B$4,"",$A$4+ROW()-8)</f>
        <v>46326</v>
      </c>
      <c r="G311">
        <f>IF(F311="","",SUMIFS('Barang Keluar'!$E:$E,'Barang Keluar'!$A:$A,F311))</f>
        <v>0</v>
      </c>
      <c r="M311" s="49">
        <f>IF($A$4+3&gt;$B$4,"",$A$4+3)</f>
        <v>46026</v>
      </c>
      <c r="N311" t="str">
        <f>IF(M311="","",'Master Barang'!A5)</f>
        <v>PRL-004</v>
      </c>
      <c r="O311" t="str">
        <f>IF(N311="","",'Master Barang'!B5)</f>
        <v>be clean tissue serbaguna</v>
      </c>
      <c r="P311">
        <f>IF(OR(M311="",N311=""),"",SUMIFS('Barang Keluar'!$E:$E,'Barang Keluar'!$A:$A,M311,'Barang Keluar'!$C:$C,N311))</f>
        <v>0</v>
      </c>
    </row>
    <row r="312" spans="1:16">
      <c r="A312">
        <f>IFERROR('Master Barang'!A307,"")</f>
        <v>0</v>
      </c>
      <c r="B312">
        <f>IFERROR('Master Barang'!B307,"")</f>
        <v>0</v>
      </c>
      <c r="C312">
        <f>IFERROR('Master Barang'!D307,"")</f>
        <v>0</v>
      </c>
      <c r="D312">
        <f>IF(A312="","",SUMIFS('Barang Keluar'!$E:$E,'Barang Keluar'!$C:$C,A312,'Barang Keluar'!$A:$A,"&gt;="&amp;$A$4,'Barang Keluar'!$A:$A,"&lt;="&amp;$B$4))</f>
        <v>0</v>
      </c>
      <c r="F312" s="49">
        <f>IF($A$4+ROW()-8&gt;$B$4,"",$A$4+ROW()-8)</f>
        <v>46327</v>
      </c>
      <c r="G312">
        <f>IF(F312="","",SUMIFS('Barang Keluar'!$E:$E,'Barang Keluar'!$A:$A,F312))</f>
        <v>0</v>
      </c>
      <c r="M312" s="49">
        <f>IF($A$4+3&gt;$B$4,"",$A$4+3)</f>
        <v>46026</v>
      </c>
      <c r="N312" t="str">
        <f>IF(M312="","",'Master Barang'!A6)</f>
        <v>PRL-005</v>
      </c>
      <c r="O312" t="str">
        <f>IF(N312="","",'Master Barang'!B6)</f>
        <v>spons cuci hijau</v>
      </c>
      <c r="P312">
        <f>IF(OR(M312="",N312=""),"",SUMIFS('Barang Keluar'!$E:$E,'Barang Keluar'!$A:$A,M312,'Barang Keluar'!$C:$C,N312))</f>
        <v>0</v>
      </c>
    </row>
    <row r="313" spans="1:16">
      <c r="A313">
        <f>IFERROR('Master Barang'!A308,"")</f>
        <v>0</v>
      </c>
      <c r="B313">
        <f>IFERROR('Master Barang'!B308,"")</f>
        <v>0</v>
      </c>
      <c r="C313">
        <f>IFERROR('Master Barang'!D308,"")</f>
        <v>0</v>
      </c>
      <c r="D313">
        <f>IF(A313="","",SUMIFS('Barang Keluar'!$E:$E,'Barang Keluar'!$C:$C,A313,'Barang Keluar'!$A:$A,"&gt;="&amp;$A$4,'Barang Keluar'!$A:$A,"&lt;="&amp;$B$4))</f>
        <v>0</v>
      </c>
      <c r="F313" s="49">
        <f>IF($A$4+ROW()-8&gt;$B$4,"",$A$4+ROW()-8)</f>
        <v>46328</v>
      </c>
      <c r="G313">
        <f>IF(F313="","",SUMIFS('Barang Keluar'!$E:$E,'Barang Keluar'!$A:$A,F313))</f>
        <v>0</v>
      </c>
      <c r="M313" s="49">
        <f>IF($A$4+3&gt;$B$4,"",$A$4+3)</f>
        <v>46026</v>
      </c>
      <c r="N313" t="str">
        <f>IF(M313="","",'Master Barang'!A7)</f>
        <v>PRL-006</v>
      </c>
      <c r="O313" t="str">
        <f>IF(N313="","",'Master Barang'!B7)</f>
        <v>sabut cuci stainless</v>
      </c>
      <c r="P313">
        <f>IF(OR(M313="",N313=""),"",SUMIFS('Barang Keluar'!$E:$E,'Barang Keluar'!$A:$A,M313,'Barang Keluar'!$C:$C,N313))</f>
        <v>0</v>
      </c>
    </row>
    <row r="314" spans="1:16">
      <c r="A314">
        <f>IFERROR('Master Barang'!A309,"")</f>
        <v>0</v>
      </c>
      <c r="B314">
        <f>IFERROR('Master Barang'!B309,"")</f>
        <v>0</v>
      </c>
      <c r="C314">
        <f>IFERROR('Master Barang'!D309,"")</f>
        <v>0</v>
      </c>
      <c r="D314">
        <f>IF(A314="","",SUMIFS('Barang Keluar'!$E:$E,'Barang Keluar'!$C:$C,A314,'Barang Keluar'!$A:$A,"&gt;="&amp;$A$4,'Barang Keluar'!$A:$A,"&lt;="&amp;$B$4))</f>
        <v>0</v>
      </c>
      <c r="F314" s="49">
        <f>IF($A$4+ROW()-8&gt;$B$4,"",$A$4+ROW()-8)</f>
        <v>46329</v>
      </c>
      <c r="G314">
        <f>IF(F314="","",SUMIFS('Barang Keluar'!$E:$E,'Barang Keluar'!$A:$A,F314))</f>
        <v>0</v>
      </c>
      <c r="M314" s="49">
        <f>IF($A$4+3&gt;$B$4,"",$A$4+3)</f>
        <v>46026</v>
      </c>
      <c r="N314" t="str">
        <f>IF(M314="","",'Master Barang'!A8)</f>
        <v>PRL-007</v>
      </c>
      <c r="O314" t="str">
        <f>IF(N314="","",'Master Barang'!B8)</f>
        <v>plastik kresek besar merah 50pc</v>
      </c>
      <c r="P314">
        <f>IF(OR(M314="",N314=""),"",SUMIFS('Barang Keluar'!$E:$E,'Barang Keluar'!$A:$A,M314,'Barang Keluar'!$C:$C,N314))</f>
        <v>0</v>
      </c>
    </row>
    <row r="315" spans="1:16">
      <c r="A315">
        <f>IFERROR('Master Barang'!A310,"")</f>
        <v>0</v>
      </c>
      <c r="B315">
        <f>IFERROR('Master Barang'!B310,"")</f>
        <v>0</v>
      </c>
      <c r="C315">
        <f>IFERROR('Master Barang'!D310,"")</f>
        <v>0</v>
      </c>
      <c r="D315">
        <f>IF(A315="","",SUMIFS('Barang Keluar'!$E:$E,'Barang Keluar'!$C:$C,A315,'Barang Keluar'!$A:$A,"&gt;="&amp;$A$4,'Barang Keluar'!$A:$A,"&lt;="&amp;$B$4))</f>
        <v>0</v>
      </c>
      <c r="F315" s="49">
        <f>IF($A$4+ROW()-8&gt;$B$4,"",$A$4+ROW()-8)</f>
        <v>46330</v>
      </c>
      <c r="G315">
        <f>IF(F315="","",SUMIFS('Barang Keluar'!$E:$E,'Barang Keluar'!$A:$A,F315))</f>
        <v>0</v>
      </c>
      <c r="M315" s="49">
        <f>IF($A$4+3&gt;$B$4,"",$A$4+3)</f>
        <v>46026</v>
      </c>
      <c r="N315" t="str">
        <f>IF(M315="","",'Master Barang'!A9)</f>
        <v>PRL-008</v>
      </c>
      <c r="O315" t="str">
        <f>IF(N315="","",'Master Barang'!B9)</f>
        <v>lap besar</v>
      </c>
      <c r="P315">
        <f>IF(OR(M315="",N315=""),"",SUMIFS('Barang Keluar'!$E:$E,'Barang Keluar'!$A:$A,M315,'Barang Keluar'!$C:$C,N315))</f>
        <v>0</v>
      </c>
    </row>
    <row r="316" spans="1:16">
      <c r="A316">
        <f>IFERROR('Master Barang'!A311,"")</f>
        <v>0</v>
      </c>
      <c r="B316">
        <f>IFERROR('Master Barang'!B311,"")</f>
        <v>0</v>
      </c>
      <c r="C316">
        <f>IFERROR('Master Barang'!D311,"")</f>
        <v>0</v>
      </c>
      <c r="D316">
        <f>IF(A316="","",SUMIFS('Barang Keluar'!$E:$E,'Barang Keluar'!$C:$C,A316,'Barang Keluar'!$A:$A,"&gt;="&amp;$A$4,'Barang Keluar'!$A:$A,"&lt;="&amp;$B$4))</f>
        <v>0</v>
      </c>
      <c r="F316" s="49">
        <f>IF($A$4+ROW()-8&gt;$B$4,"",$A$4+ROW()-8)</f>
        <v>46331</v>
      </c>
      <c r="G316">
        <f>IF(F316="","",SUMIFS('Barang Keluar'!$E:$E,'Barang Keluar'!$A:$A,F316))</f>
        <v>0</v>
      </c>
      <c r="M316" s="49">
        <f>IF($A$4+3&gt;$B$4,"",$A$4+3)</f>
        <v>46026</v>
      </c>
      <c r="N316" t="str">
        <f>IF(M316="","",'Master Barang'!A10)</f>
        <v>PRL-009</v>
      </c>
      <c r="O316" t="str">
        <f>IF(N316="","",'Master Barang'!B10)</f>
        <v>lap microfiber</v>
      </c>
      <c r="P316">
        <f>IF(OR(M316="",N316=""),"",SUMIFS('Barang Keluar'!$E:$E,'Barang Keluar'!$A:$A,M316,'Barang Keluar'!$C:$C,N316))</f>
        <v>0</v>
      </c>
    </row>
    <row r="317" spans="1:16">
      <c r="A317">
        <f>IFERROR('Master Barang'!A312,"")</f>
        <v>0</v>
      </c>
      <c r="B317">
        <f>IFERROR('Master Barang'!B312,"")</f>
        <v>0</v>
      </c>
      <c r="C317">
        <f>IFERROR('Master Barang'!D312,"")</f>
        <v>0</v>
      </c>
      <c r="D317">
        <f>IF(A317="","",SUMIFS('Barang Keluar'!$E:$E,'Barang Keluar'!$C:$C,A317,'Barang Keluar'!$A:$A,"&gt;="&amp;$A$4,'Barang Keluar'!$A:$A,"&lt;="&amp;$B$4))</f>
        <v>0</v>
      </c>
      <c r="F317" s="49">
        <f>IF($A$4+ROW()-8&gt;$B$4,"",$A$4+ROW()-8)</f>
        <v>46332</v>
      </c>
      <c r="G317">
        <f>IF(F317="","",SUMIFS('Barang Keluar'!$E:$E,'Barang Keluar'!$A:$A,F317))</f>
        <v>0</v>
      </c>
      <c r="M317" s="49">
        <f>IF($A$4+3&gt;$B$4,"",$A$4+3)</f>
        <v>46026</v>
      </c>
      <c r="N317" t="str">
        <f>IF(M317="","",'Master Barang'!A11)</f>
        <v>PRL-010</v>
      </c>
      <c r="O317" t="str">
        <f>IF(N317="","",'Master Barang'!B11)</f>
        <v>lap kecil</v>
      </c>
      <c r="P317">
        <f>IF(OR(M317="",N317=""),"",SUMIFS('Barang Keluar'!$E:$E,'Barang Keluar'!$A:$A,M317,'Barang Keluar'!$C:$C,N317))</f>
        <v>0</v>
      </c>
    </row>
    <row r="318" spans="1:16">
      <c r="A318">
        <f>IFERROR('Master Barang'!A313,"")</f>
        <v>0</v>
      </c>
      <c r="B318">
        <f>IFERROR('Master Barang'!B313,"")</f>
        <v>0</v>
      </c>
      <c r="C318">
        <f>IFERROR('Master Barang'!D313,"")</f>
        <v>0</v>
      </c>
      <c r="D318">
        <f>IF(A318="","",SUMIFS('Barang Keluar'!$E:$E,'Barang Keluar'!$C:$C,A318,'Barang Keluar'!$A:$A,"&gt;="&amp;$A$4,'Barang Keluar'!$A:$A,"&lt;="&amp;$B$4))</f>
        <v>0</v>
      </c>
      <c r="F318" s="49">
        <f>IF($A$4+ROW()-8&gt;$B$4,"",$A$4+ROW()-8)</f>
        <v>46333</v>
      </c>
      <c r="G318">
        <f>IF(F318="","",SUMIFS('Barang Keluar'!$E:$E,'Barang Keluar'!$A:$A,F318))</f>
        <v>0</v>
      </c>
      <c r="M318" s="49">
        <f>IF($A$4+3&gt;$B$4,"",$A$4+3)</f>
        <v>46026</v>
      </c>
      <c r="N318" t="str">
        <f>IF(M318="","",'Master Barang'!A12)</f>
        <v>PRL-011</v>
      </c>
      <c r="O318" t="str">
        <f>IF(N318="","",'Master Barang'!B12)</f>
        <v>kanebo kecil</v>
      </c>
      <c r="P318">
        <f>IF(OR(M318="",N318=""),"",SUMIFS('Barang Keluar'!$E:$E,'Barang Keluar'!$A:$A,M318,'Barang Keluar'!$C:$C,N318))</f>
        <v>0</v>
      </c>
    </row>
    <row r="319" spans="1:16">
      <c r="A319">
        <f>IFERROR('Master Barang'!A314,"")</f>
        <v>0</v>
      </c>
      <c r="B319">
        <f>IFERROR('Master Barang'!B314,"")</f>
        <v>0</v>
      </c>
      <c r="C319">
        <f>IFERROR('Master Barang'!D314,"")</f>
        <v>0</v>
      </c>
      <c r="D319">
        <f>IF(A319="","",SUMIFS('Barang Keluar'!$E:$E,'Barang Keluar'!$C:$C,A319,'Barang Keluar'!$A:$A,"&gt;="&amp;$A$4,'Barang Keluar'!$A:$A,"&lt;="&amp;$B$4))</f>
        <v>0</v>
      </c>
      <c r="F319" s="49">
        <f>IF($A$4+ROW()-8&gt;$B$4,"",$A$4+ROW()-8)</f>
        <v>46334</v>
      </c>
      <c r="G319">
        <f>IF(F319="","",SUMIFS('Barang Keluar'!$E:$E,'Barang Keluar'!$A:$A,F319))</f>
        <v>0</v>
      </c>
      <c r="M319" s="49">
        <f>IF($A$4+3&gt;$B$4,"",$A$4+3)</f>
        <v>46026</v>
      </c>
      <c r="N319" t="str">
        <f>IF(M319="","",'Master Barang'!A13)</f>
        <v>PRL-012</v>
      </c>
      <c r="O319" t="str">
        <f>IF(N319="","",'Master Barang'!B13)</f>
        <v>plastik 1/4kg joyoboyo 100 lembar</v>
      </c>
      <c r="P319">
        <f>IF(OR(M319="",N319=""),"",SUMIFS('Barang Keluar'!$E:$E,'Barang Keluar'!$A:$A,M319,'Barang Keluar'!$C:$C,N319))</f>
        <v>0</v>
      </c>
    </row>
    <row r="320" spans="1:16">
      <c r="A320">
        <f>IFERROR('Master Barang'!A315,"")</f>
        <v>0</v>
      </c>
      <c r="B320">
        <f>IFERROR('Master Barang'!B315,"")</f>
        <v>0</v>
      </c>
      <c r="C320">
        <f>IFERROR('Master Barang'!D315,"")</f>
        <v>0</v>
      </c>
      <c r="D320">
        <f>IF(A320="","",SUMIFS('Barang Keluar'!$E:$E,'Barang Keluar'!$C:$C,A320,'Barang Keluar'!$A:$A,"&gt;="&amp;$A$4,'Barang Keluar'!$A:$A,"&lt;="&amp;$B$4))</f>
        <v>0</v>
      </c>
      <c r="F320" s="49">
        <f>IF($A$4+ROW()-8&gt;$B$4,"",$A$4+ROW()-8)</f>
        <v>46335</v>
      </c>
      <c r="G320">
        <f>IF(F320="","",SUMIFS('Barang Keluar'!$E:$E,'Barang Keluar'!$A:$A,F320))</f>
        <v>0</v>
      </c>
      <c r="M320" s="49">
        <f>IF($A$4+3&gt;$B$4,"",$A$4+3)</f>
        <v>46026</v>
      </c>
      <c r="N320" t="str">
        <f>IF(M320="","",'Master Barang'!A14)</f>
        <v>PRL-013</v>
      </c>
      <c r="O320" t="str">
        <f>IF(N320="","",'Master Barang'!B14)</f>
        <v>sarung tangan plastik kaka 100 pcs</v>
      </c>
      <c r="P320">
        <f>IF(OR(M320="",N320=""),"",SUMIFS('Barang Keluar'!$E:$E,'Barang Keluar'!$A:$A,M320,'Barang Keluar'!$C:$C,N320))</f>
        <v>0</v>
      </c>
    </row>
    <row r="321" spans="1:16">
      <c r="A321">
        <f>IFERROR('Master Barang'!A316,"")</f>
        <v>0</v>
      </c>
      <c r="B321">
        <f>IFERROR('Master Barang'!B316,"")</f>
        <v>0</v>
      </c>
      <c r="C321">
        <f>IFERROR('Master Barang'!D316,"")</f>
        <v>0</v>
      </c>
      <c r="D321">
        <f>IF(A321="","",SUMIFS('Barang Keluar'!$E:$E,'Barang Keluar'!$C:$C,A321,'Barang Keluar'!$A:$A,"&gt;="&amp;$A$4,'Barang Keluar'!$A:$A,"&lt;="&amp;$B$4))</f>
        <v>0</v>
      </c>
      <c r="F321" s="49">
        <f>IF($A$4+ROW()-8&gt;$B$4,"",$A$4+ROW()-8)</f>
        <v>46336</v>
      </c>
      <c r="G321">
        <f>IF(F321="","",SUMIFS('Barang Keluar'!$E:$E,'Barang Keluar'!$A:$A,F321))</f>
        <v>0</v>
      </c>
      <c r="M321" s="49">
        <f>IF($A$4+3&gt;$B$4,"",$A$4+3)</f>
        <v>46026</v>
      </c>
      <c r="N321" t="str">
        <f>IF(M321="","",'Master Barang'!A15)</f>
        <v>PRL-014</v>
      </c>
      <c r="O321" t="str">
        <f>IF(N321="","",'Master Barang'!B15)</f>
        <v>optima trashbag 80x100</v>
      </c>
      <c r="P321">
        <f>IF(OR(M321="",N321=""),"",SUMIFS('Barang Keluar'!$E:$E,'Barang Keluar'!$A:$A,M321,'Barang Keluar'!$C:$C,N321))</f>
        <v>0</v>
      </c>
    </row>
    <row r="322" spans="1:16">
      <c r="A322">
        <f>IFERROR('Master Barang'!A317,"")</f>
        <v>0</v>
      </c>
      <c r="B322">
        <f>IFERROR('Master Barang'!B317,"")</f>
        <v>0</v>
      </c>
      <c r="C322">
        <f>IFERROR('Master Barang'!D317,"")</f>
        <v>0</v>
      </c>
      <c r="D322">
        <f>IF(A322="","",SUMIFS('Barang Keluar'!$E:$E,'Barang Keluar'!$C:$C,A322,'Barang Keluar'!$A:$A,"&gt;="&amp;$A$4,'Barang Keluar'!$A:$A,"&lt;="&amp;$B$4))</f>
        <v>0</v>
      </c>
      <c r="F322" s="49">
        <f>IF($A$4+ROW()-8&gt;$B$4,"",$A$4+ROW()-8)</f>
        <v>46337</v>
      </c>
      <c r="G322">
        <f>IF(F322="","",SUMIFS('Barang Keluar'!$E:$E,'Barang Keluar'!$A:$A,F322))</f>
        <v>0</v>
      </c>
      <c r="M322" s="49">
        <f>IF($A$4+3&gt;$B$4,"",$A$4+3)</f>
        <v>46026</v>
      </c>
      <c r="N322" t="str">
        <f>IF(M322="","",'Master Barang'!A16)</f>
        <v>PRL-015</v>
      </c>
      <c r="O322" t="str">
        <f>IF(N322="","",'Master Barang'!B16)</f>
        <v>optima trashbag 60x100</v>
      </c>
      <c r="P322">
        <f>IF(OR(M322="",N322=""),"",SUMIFS('Barang Keluar'!$E:$E,'Barang Keluar'!$A:$A,M322,'Barang Keluar'!$C:$C,N322))</f>
        <v>0</v>
      </c>
    </row>
    <row r="323" spans="1:16">
      <c r="A323">
        <f>IFERROR('Master Barang'!A318,"")</f>
        <v>0</v>
      </c>
      <c r="B323">
        <f>IFERROR('Master Barang'!B318,"")</f>
        <v>0</v>
      </c>
      <c r="C323">
        <f>IFERROR('Master Barang'!D318,"")</f>
        <v>0</v>
      </c>
      <c r="D323">
        <f>IF(A323="","",SUMIFS('Barang Keluar'!$E:$E,'Barang Keluar'!$C:$C,A323,'Barang Keluar'!$A:$A,"&gt;="&amp;$A$4,'Barang Keluar'!$A:$A,"&lt;="&amp;$B$4))</f>
        <v>0</v>
      </c>
      <c r="F323" s="49">
        <f>IF($A$4+ROW()-8&gt;$B$4,"",$A$4+ROW()-8)</f>
        <v>46338</v>
      </c>
      <c r="G323">
        <f>IF(F323="","",SUMIFS('Barang Keluar'!$E:$E,'Barang Keluar'!$A:$A,F323))</f>
        <v>0</v>
      </c>
      <c r="M323" s="49">
        <f>IF($A$4+3&gt;$B$4,"",$A$4+3)</f>
        <v>46026</v>
      </c>
      <c r="N323" t="str">
        <f>IF(M323="","",'Master Barang'!A17)</f>
        <v>PRL-016</v>
      </c>
      <c r="O323" t="str">
        <f>IF(N323="","",'Master Barang'!B17)</f>
        <v>rajawali trashbag 30x40</v>
      </c>
      <c r="P323">
        <f>IF(OR(M323="",N323=""),"",SUMIFS('Barang Keluar'!$E:$E,'Barang Keluar'!$A:$A,M323,'Barang Keluar'!$C:$C,N323))</f>
        <v>0</v>
      </c>
    </row>
    <row r="324" spans="1:16">
      <c r="A324">
        <f>IFERROR('Master Barang'!A319,"")</f>
        <v>0</v>
      </c>
      <c r="B324">
        <f>IFERROR('Master Barang'!B319,"")</f>
        <v>0</v>
      </c>
      <c r="C324">
        <f>IFERROR('Master Barang'!D319,"")</f>
        <v>0</v>
      </c>
      <c r="D324">
        <f>IF(A324="","",SUMIFS('Barang Keluar'!$E:$E,'Barang Keluar'!$C:$C,A324,'Barang Keluar'!$A:$A,"&gt;="&amp;$A$4,'Barang Keluar'!$A:$A,"&lt;="&amp;$B$4))</f>
        <v>0</v>
      </c>
      <c r="F324" s="49">
        <f>IF($A$4+ROW()-8&gt;$B$4,"",$A$4+ROW()-8)</f>
        <v>46339</v>
      </c>
      <c r="G324">
        <f>IF(F324="","",SUMIFS('Barang Keluar'!$E:$E,'Barang Keluar'!$A:$A,F324))</f>
        <v>0</v>
      </c>
      <c r="M324" s="49">
        <f>IF($A$4+3&gt;$B$4,"",$A$4+3)</f>
        <v>46026</v>
      </c>
      <c r="N324" t="str">
        <f>IF(M324="","",'Master Barang'!A18)</f>
        <v>PRL-017</v>
      </c>
      <c r="O324" t="str">
        <f>IF(N324="","",'Master Barang'!B18)</f>
        <v>onemed masker biru 3 play 50 pcs</v>
      </c>
      <c r="P324">
        <f>IF(OR(M324="",N324=""),"",SUMIFS('Barang Keluar'!$E:$E,'Barang Keluar'!$A:$A,M324,'Barang Keluar'!$C:$C,N324))</f>
        <v>0</v>
      </c>
    </row>
    <row r="325" spans="1:16">
      <c r="A325">
        <f>IFERROR('Master Barang'!A320,"")</f>
        <v>0</v>
      </c>
      <c r="B325">
        <f>IFERROR('Master Barang'!B320,"")</f>
        <v>0</v>
      </c>
      <c r="C325">
        <f>IFERROR('Master Barang'!D320,"")</f>
        <v>0</v>
      </c>
      <c r="D325">
        <f>IF(A325="","",SUMIFS('Barang Keluar'!$E:$E,'Barang Keluar'!$C:$C,A325,'Barang Keluar'!$A:$A,"&gt;="&amp;$A$4,'Barang Keluar'!$A:$A,"&lt;="&amp;$B$4))</f>
        <v>0</v>
      </c>
      <c r="F325" s="49">
        <f>IF($A$4+ROW()-8&gt;$B$4,"",$A$4+ROW()-8)</f>
        <v>46340</v>
      </c>
      <c r="G325">
        <f>IF(F325="","",SUMIFS('Barang Keluar'!$E:$E,'Barang Keluar'!$A:$A,F325))</f>
        <v>0</v>
      </c>
      <c r="M325" s="49">
        <f>IF($A$4+3&gt;$B$4,"",$A$4+3)</f>
        <v>46026</v>
      </c>
      <c r="N325" t="str">
        <f>IF(M325="","",'Master Barang'!A19)</f>
        <v>PRL-018</v>
      </c>
      <c r="O325" t="str">
        <f>IF(N325="","",'Master Barang'!B19)</f>
        <v>onemed masker biru 3 play hijab 50 pcs</v>
      </c>
      <c r="P325">
        <f>IF(OR(M325="",N325=""),"",SUMIFS('Barang Keluar'!$E:$E,'Barang Keluar'!$A:$A,M325,'Barang Keluar'!$C:$C,N325))</f>
        <v>0</v>
      </c>
    </row>
    <row r="326" spans="1:16">
      <c r="A326">
        <f>IFERROR('Master Barang'!A321,"")</f>
        <v>0</v>
      </c>
      <c r="B326">
        <f>IFERROR('Master Barang'!B321,"")</f>
        <v>0</v>
      </c>
      <c r="C326">
        <f>IFERROR('Master Barang'!D321,"")</f>
        <v>0</v>
      </c>
      <c r="D326">
        <f>IF(A326="","",SUMIFS('Barang Keluar'!$E:$E,'Barang Keluar'!$C:$C,A326,'Barang Keluar'!$A:$A,"&gt;="&amp;$A$4,'Barang Keluar'!$A:$A,"&lt;="&amp;$B$4))</f>
        <v>0</v>
      </c>
      <c r="F326" s="49">
        <f>IF($A$4+ROW()-8&gt;$B$4,"",$A$4+ROW()-8)</f>
        <v>46341</v>
      </c>
      <c r="G326">
        <f>IF(F326="","",SUMIFS('Barang Keluar'!$E:$E,'Barang Keluar'!$A:$A,F326))</f>
        <v>0</v>
      </c>
      <c r="M326" s="49">
        <f>IF($A$4+3&gt;$B$4,"",$A$4+3)</f>
        <v>46026</v>
      </c>
      <c r="N326" t="str">
        <f>IF(M326="","",'Master Barang'!A20)</f>
        <v>PRL-019</v>
      </c>
      <c r="O326" t="str">
        <f>IF(N326="","",'Master Barang'!B20)</f>
        <v>neo health masker biru 3 play 50 pcs</v>
      </c>
      <c r="P326">
        <f>IF(OR(M326="",N326=""),"",SUMIFS('Barang Keluar'!$E:$E,'Barang Keluar'!$A:$A,M326,'Barang Keluar'!$C:$C,N326))</f>
        <v>0</v>
      </c>
    </row>
    <row r="327" spans="1:16">
      <c r="A327">
        <f>IFERROR('Master Barang'!A322,"")</f>
        <v>0</v>
      </c>
      <c r="B327">
        <f>IFERROR('Master Barang'!B322,"")</f>
        <v>0</v>
      </c>
      <c r="C327">
        <f>IFERROR('Master Barang'!D322,"")</f>
        <v>0</v>
      </c>
      <c r="D327">
        <f>IF(A327="","",SUMIFS('Barang Keluar'!$E:$E,'Barang Keluar'!$C:$C,A327,'Barang Keluar'!$A:$A,"&gt;="&amp;$A$4,'Barang Keluar'!$A:$A,"&lt;="&amp;$B$4))</f>
        <v>0</v>
      </c>
      <c r="F327" s="49">
        <f>IF($A$4+ROW()-8&gt;$B$4,"",$A$4+ROW()-8)</f>
        <v>46342</v>
      </c>
      <c r="G327">
        <f>IF(F327="","",SUMIFS('Barang Keluar'!$E:$E,'Barang Keluar'!$A:$A,F327))</f>
        <v>0</v>
      </c>
      <c r="M327" s="49">
        <f>IF($A$4+3&gt;$B$4,"",$A$4+3)</f>
        <v>46026</v>
      </c>
      <c r="N327" t="str">
        <f>IF(M327="","",'Master Barang'!A21)</f>
        <v>PRL-020</v>
      </c>
      <c r="O327" t="str">
        <f>IF(N327="","",'Master Barang'!B21)</f>
        <v>baymed masker hijau 3 play hijau 50 pcs</v>
      </c>
      <c r="P327">
        <f>IF(OR(M327="",N327=""),"",SUMIFS('Barang Keluar'!$E:$E,'Barang Keluar'!$A:$A,M327,'Barang Keluar'!$C:$C,N327))</f>
        <v>0</v>
      </c>
    </row>
    <row r="328" spans="1:16">
      <c r="A328">
        <f>IFERROR('Master Barang'!A323,"")</f>
        <v>0</v>
      </c>
      <c r="B328">
        <f>IFERROR('Master Barang'!B323,"")</f>
        <v>0</v>
      </c>
      <c r="C328">
        <f>IFERROR('Master Barang'!D323,"")</f>
        <v>0</v>
      </c>
      <c r="D328">
        <f>IF(A328="","",SUMIFS('Barang Keluar'!$E:$E,'Barang Keluar'!$C:$C,A328,'Barang Keluar'!$A:$A,"&gt;="&amp;$A$4,'Barang Keluar'!$A:$A,"&lt;="&amp;$B$4))</f>
        <v>0</v>
      </c>
      <c r="F328" s="49">
        <f>IF($A$4+ROW()-8&gt;$B$4,"",$A$4+ROW()-8)</f>
        <v>46343</v>
      </c>
      <c r="G328">
        <f>IF(F328="","",SUMIFS('Barang Keluar'!$E:$E,'Barang Keluar'!$A:$A,F328))</f>
        <v>0</v>
      </c>
      <c r="M328" s="49">
        <f>IF($A$4+3&gt;$B$4,"",$A$4+3)</f>
        <v>46026</v>
      </c>
      <c r="N328" t="str">
        <f>IF(M328="","",'Master Barang'!A22)</f>
        <v>PRL-021</v>
      </c>
      <c r="O328" t="str">
        <f>IF(N328="","",'Master Barang'!B22)</f>
        <v>altamed nurse cap penutup kepala 100 pcs</v>
      </c>
      <c r="P328">
        <f>IF(OR(M328="",N328=""),"",SUMIFS('Barang Keluar'!$E:$E,'Barang Keluar'!$A:$A,M328,'Barang Keluar'!$C:$C,N328))</f>
        <v>0</v>
      </c>
    </row>
    <row r="329" spans="1:16">
      <c r="A329">
        <f>IFERROR('Master Barang'!A324,"")</f>
        <v>0</v>
      </c>
      <c r="B329">
        <f>IFERROR('Master Barang'!B324,"")</f>
        <v>0</v>
      </c>
      <c r="C329">
        <f>IFERROR('Master Barang'!D324,"")</f>
        <v>0</v>
      </c>
      <c r="D329">
        <f>IF(A329="","",SUMIFS('Barang Keluar'!$E:$E,'Barang Keluar'!$C:$C,A329,'Barang Keluar'!$A:$A,"&gt;="&amp;$A$4,'Barang Keluar'!$A:$A,"&lt;="&amp;$B$4))</f>
        <v>0</v>
      </c>
      <c r="F329" s="49">
        <f>IF($A$4+ROW()-8&gt;$B$4,"",$A$4+ROW()-8)</f>
        <v>46344</v>
      </c>
      <c r="G329">
        <f>IF(F329="","",SUMIFS('Barang Keluar'!$E:$E,'Barang Keluar'!$A:$A,F329))</f>
        <v>0</v>
      </c>
      <c r="M329" s="49">
        <f>IF($A$4+3&gt;$B$4,"",$A$4+3)</f>
        <v>46026</v>
      </c>
      <c r="N329" t="str">
        <f>IF(M329="","",'Master Barang'!A23)</f>
        <v>PRL-022</v>
      </c>
      <c r="O329" t="str">
        <f>IF(N329="","",'Master Barang'!B23)</f>
        <v>sabun cuci tangan</v>
      </c>
      <c r="P329">
        <f>IF(OR(M329="",N329=""),"",SUMIFS('Barang Keluar'!$E:$E,'Barang Keluar'!$A:$A,M329,'Barang Keluar'!$C:$C,N329))</f>
        <v>0</v>
      </c>
    </row>
    <row r="330" spans="1:16">
      <c r="A330">
        <f>IFERROR('Master Barang'!A325,"")</f>
        <v>0</v>
      </c>
      <c r="B330">
        <f>IFERROR('Master Barang'!B325,"")</f>
        <v>0</v>
      </c>
      <c r="C330">
        <f>IFERROR('Master Barang'!D325,"")</f>
        <v>0</v>
      </c>
      <c r="D330">
        <f>IF(A330="","",SUMIFS('Barang Keluar'!$E:$E,'Barang Keluar'!$C:$C,A330,'Barang Keluar'!$A:$A,"&gt;="&amp;$A$4,'Barang Keluar'!$A:$A,"&lt;="&amp;$B$4))</f>
        <v>0</v>
      </c>
      <c r="F330" s="49">
        <f>IF($A$4+ROW()-8&gt;$B$4,"",$A$4+ROW()-8)</f>
        <v>46345</v>
      </c>
      <c r="G330">
        <f>IF(F330="","",SUMIFS('Barang Keluar'!$E:$E,'Barang Keluar'!$A:$A,F330))</f>
        <v>0</v>
      </c>
      <c r="M330" s="49">
        <f>IF($A$4+3&gt;$B$4,"",$A$4+3)</f>
        <v>46026</v>
      </c>
      <c r="N330" t="str">
        <f>IF(M330="","",'Master Barang'!A24)</f>
        <v>PRL-023</v>
      </c>
      <c r="O330" t="str">
        <f>IF(N330="","",'Master Barang'!B24)</f>
        <v>gayung kecil</v>
      </c>
      <c r="P330">
        <f>IF(OR(M330="",N330=""),"",SUMIFS('Barang Keluar'!$E:$E,'Barang Keluar'!$A:$A,M330,'Barang Keluar'!$C:$C,N330))</f>
        <v>0</v>
      </c>
    </row>
    <row r="331" spans="1:16">
      <c r="A331">
        <f>IFERROR('Master Barang'!A326,"")</f>
        <v>0</v>
      </c>
      <c r="B331">
        <f>IFERROR('Master Barang'!B326,"")</f>
        <v>0</v>
      </c>
      <c r="C331">
        <f>IFERROR('Master Barang'!D326,"")</f>
        <v>0</v>
      </c>
      <c r="D331">
        <f>IF(A331="","",SUMIFS('Barang Keluar'!$E:$E,'Barang Keluar'!$C:$C,A331,'Barang Keluar'!$A:$A,"&gt;="&amp;$A$4,'Barang Keluar'!$A:$A,"&lt;="&amp;$B$4))</f>
        <v>0</v>
      </c>
      <c r="F331" s="49">
        <f>IF($A$4+ROW()-8&gt;$B$4,"",$A$4+ROW()-8)</f>
        <v>46346</v>
      </c>
      <c r="G331">
        <f>IF(F331="","",SUMIFS('Barang Keluar'!$E:$E,'Barang Keluar'!$A:$A,F331))</f>
        <v>0</v>
      </c>
      <c r="M331" s="49">
        <f>IF($A$4+3&gt;$B$4,"",$A$4+3)</f>
        <v>46026</v>
      </c>
      <c r="N331" t="str">
        <f>IF(M331="","",'Master Barang'!A25)</f>
        <v>PRL-024</v>
      </c>
      <c r="O331" t="str">
        <f>IF(N331="","",'Master Barang'!B25)</f>
        <v>cikrak kecil</v>
      </c>
      <c r="P331">
        <f>IF(OR(M331="",N331=""),"",SUMIFS('Barang Keluar'!$E:$E,'Barang Keluar'!$A:$A,M331,'Barang Keluar'!$C:$C,N331))</f>
        <v>0</v>
      </c>
    </row>
    <row r="332" spans="1:16">
      <c r="A332">
        <f>IFERROR('Master Barang'!A327,"")</f>
        <v>0</v>
      </c>
      <c r="B332">
        <f>IFERROR('Master Barang'!B327,"")</f>
        <v>0</v>
      </c>
      <c r="C332">
        <f>IFERROR('Master Barang'!D327,"")</f>
        <v>0</v>
      </c>
      <c r="D332">
        <f>IF(A332="","",SUMIFS('Barang Keluar'!$E:$E,'Barang Keluar'!$C:$C,A332,'Barang Keluar'!$A:$A,"&gt;="&amp;$A$4,'Barang Keluar'!$A:$A,"&lt;="&amp;$B$4))</f>
        <v>0</v>
      </c>
      <c r="F332" s="49">
        <f>IF($A$4+ROW()-8&gt;$B$4,"",$A$4+ROW()-8)</f>
        <v>46347</v>
      </c>
      <c r="G332">
        <f>IF(F332="","",SUMIFS('Barang Keluar'!$E:$E,'Barang Keluar'!$A:$A,F332))</f>
        <v>0</v>
      </c>
      <c r="M332" s="49">
        <f>IF($A$4+3&gt;$B$4,"",$A$4+3)</f>
        <v>46026</v>
      </c>
      <c r="N332" t="str">
        <f>IF(M332="","",'Master Barang'!A26)</f>
        <v>PRL-025</v>
      </c>
      <c r="O332" t="str">
        <f>IF(N332="","",'Master Barang'!B26)</f>
        <v>petromax plastik kecil 12x24 100 lembar</v>
      </c>
      <c r="P332">
        <f>IF(OR(M332="",N332=""),"",SUMIFS('Barang Keluar'!$E:$E,'Barang Keluar'!$A:$A,M332,'Barang Keluar'!$C:$C,N332))</f>
        <v>0</v>
      </c>
    </row>
    <row r="333" spans="1:16">
      <c r="A333">
        <f>IFERROR('Master Barang'!A328,"")</f>
        <v>0</v>
      </c>
      <c r="B333">
        <f>IFERROR('Master Barang'!B328,"")</f>
        <v>0</v>
      </c>
      <c r="C333">
        <f>IFERROR('Master Barang'!D328,"")</f>
        <v>0</v>
      </c>
      <c r="D333">
        <f>IF(A333="","",SUMIFS('Barang Keluar'!$E:$E,'Barang Keluar'!$C:$C,A333,'Barang Keluar'!$A:$A,"&gt;="&amp;$A$4,'Barang Keluar'!$A:$A,"&lt;="&amp;$B$4))</f>
        <v>0</v>
      </c>
      <c r="F333" s="49">
        <f>IF($A$4+ROW()-8&gt;$B$4,"",$A$4+ROW()-8)</f>
        <v>46348</v>
      </c>
      <c r="G333">
        <f>IF(F333="","",SUMIFS('Barang Keluar'!$E:$E,'Barang Keluar'!$A:$A,F333))</f>
        <v>0</v>
      </c>
      <c r="M333" s="49">
        <f>IF($A$4+3&gt;$B$4,"",$A$4+3)</f>
        <v>46026</v>
      </c>
      <c r="N333" t="str">
        <f>IF(M333="","",'Master Barang'!A27)</f>
        <v>PRL-026</v>
      </c>
      <c r="O333" t="str">
        <f>IF(N333="","",'Master Barang'!B27)</f>
        <v>lancar kresek kecil bening </v>
      </c>
      <c r="P333">
        <f>IF(OR(M333="",N333=""),"",SUMIFS('Barang Keluar'!$E:$E,'Barang Keluar'!$A:$A,M333,'Barang Keluar'!$C:$C,N333))</f>
        <v>0</v>
      </c>
    </row>
    <row r="334" spans="1:16">
      <c r="A334">
        <f>IFERROR('Master Barang'!A329,"")</f>
        <v>0</v>
      </c>
      <c r="B334">
        <f>IFERROR('Master Barang'!B329,"")</f>
        <v>0</v>
      </c>
      <c r="C334">
        <f>IFERROR('Master Barang'!D329,"")</f>
        <v>0</v>
      </c>
      <c r="D334">
        <f>IF(A334="","",SUMIFS('Barang Keluar'!$E:$E,'Barang Keluar'!$C:$C,A334,'Barang Keluar'!$A:$A,"&gt;="&amp;$A$4,'Barang Keluar'!$A:$A,"&lt;="&amp;$B$4))</f>
        <v>0</v>
      </c>
      <c r="F334" s="49">
        <f>IF($A$4+ROW()-8&gt;$B$4,"",$A$4+ROW()-8)</f>
        <v>46349</v>
      </c>
      <c r="G334">
        <f>IF(F334="","",SUMIFS('Barang Keluar'!$E:$E,'Barang Keluar'!$A:$A,F334))</f>
        <v>0</v>
      </c>
      <c r="M334" s="49">
        <f>IF($A$4+3&gt;$B$4,"",$A$4+3)</f>
        <v>46026</v>
      </c>
      <c r="N334" t="str">
        <f>IF(M334="","",'Master Barang'!A28)</f>
        <v>PRL-027</v>
      </c>
      <c r="O334" t="str">
        <f>IF(N334="","",'Master Barang'!B28)</f>
        <v>kresek klin warna warni kecil</v>
      </c>
      <c r="P334">
        <f>IF(OR(M334="",N334=""),"",SUMIFS('Barang Keluar'!$E:$E,'Barang Keluar'!$A:$A,M334,'Barang Keluar'!$C:$C,N334))</f>
        <v>0</v>
      </c>
    </row>
    <row r="335" spans="1:16">
      <c r="A335">
        <f>IFERROR('Master Barang'!A330,"")</f>
        <v>0</v>
      </c>
      <c r="B335">
        <f>IFERROR('Master Barang'!B330,"")</f>
        <v>0</v>
      </c>
      <c r="C335">
        <f>IFERROR('Master Barang'!D330,"")</f>
        <v>0</v>
      </c>
      <c r="D335">
        <f>IF(A335="","",SUMIFS('Barang Keluar'!$E:$E,'Barang Keluar'!$C:$C,A335,'Barang Keluar'!$A:$A,"&gt;="&amp;$A$4,'Barang Keluar'!$A:$A,"&lt;="&amp;$B$4))</f>
        <v>0</v>
      </c>
      <c r="F335" s="49">
        <f>IF($A$4+ROW()-8&gt;$B$4,"",$A$4+ROW()-8)</f>
        <v>46350</v>
      </c>
      <c r="G335">
        <f>IF(F335="","",SUMIFS('Barang Keluar'!$E:$E,'Barang Keluar'!$A:$A,F335))</f>
        <v>0</v>
      </c>
      <c r="M335" s="49">
        <f>IF($A$4+3&gt;$B$4,"",$A$4+3)</f>
        <v>46026</v>
      </c>
      <c r="N335" t="str">
        <f>IF(M335="","",'Master Barang'!A29)</f>
        <v>PRL-028</v>
      </c>
      <c r="O335" t="str">
        <f>IF(N335="","",'Master Barang'!B29)</f>
        <v>ctik plastik 7x10 100 pcs</v>
      </c>
      <c r="P335">
        <f>IF(OR(M335="",N335=""),"",SUMIFS('Barang Keluar'!$E:$E,'Barang Keluar'!$A:$A,M335,'Barang Keluar'!$C:$C,N335))</f>
        <v>0</v>
      </c>
    </row>
    <row r="336" spans="1:16">
      <c r="A336">
        <f>IFERROR('Master Barang'!A331,"")</f>
        <v>0</v>
      </c>
      <c r="B336">
        <f>IFERROR('Master Barang'!B331,"")</f>
        <v>0</v>
      </c>
      <c r="C336">
        <f>IFERROR('Master Barang'!D331,"")</f>
        <v>0</v>
      </c>
      <c r="D336">
        <f>IF(A336="","",SUMIFS('Barang Keluar'!$E:$E,'Barang Keluar'!$C:$C,A336,'Barang Keluar'!$A:$A,"&gt;="&amp;$A$4,'Barang Keluar'!$A:$A,"&lt;="&amp;$B$4))</f>
        <v>0</v>
      </c>
      <c r="F336" s="49">
        <f>IF($A$4+ROW()-8&gt;$B$4,"",$A$4+ROW()-8)</f>
        <v>46351</v>
      </c>
      <c r="G336">
        <f>IF(F336="","",SUMIFS('Barang Keluar'!$E:$E,'Barang Keluar'!$A:$A,F336))</f>
        <v>0</v>
      </c>
      <c r="M336" s="49">
        <f>IF($A$4+3&gt;$B$4,"",$A$4+3)</f>
        <v>46026</v>
      </c>
      <c r="N336" t="str">
        <f>IF(M336="","",'Master Barang'!A30)</f>
        <v>PRL-029</v>
      </c>
      <c r="O336" t="str">
        <f>IF(N336="","",'Master Barang'!B30)</f>
        <v>ctik plastik 6x10 100 pcs</v>
      </c>
      <c r="P336">
        <f>IF(OR(M336="",N336=""),"",SUMIFS('Barang Keluar'!$E:$E,'Barang Keluar'!$A:$A,M336,'Barang Keluar'!$C:$C,N336))</f>
        <v>0</v>
      </c>
    </row>
    <row r="337" spans="1:16">
      <c r="A337">
        <f>IFERROR('Master Barang'!A332,"")</f>
        <v>0</v>
      </c>
      <c r="B337">
        <f>IFERROR('Master Barang'!B332,"")</f>
        <v>0</v>
      </c>
      <c r="C337">
        <f>IFERROR('Master Barang'!D332,"")</f>
        <v>0</v>
      </c>
      <c r="D337">
        <f>IF(A337="","",SUMIFS('Barang Keluar'!$E:$E,'Barang Keluar'!$C:$C,A337,'Barang Keluar'!$A:$A,"&gt;="&amp;$A$4,'Barang Keluar'!$A:$A,"&lt;="&amp;$B$4))</f>
        <v>0</v>
      </c>
      <c r="F337" s="49">
        <f>IF($A$4+ROW()-8&gt;$B$4,"",$A$4+ROW()-8)</f>
        <v>46352</v>
      </c>
      <c r="G337">
        <f>IF(F337="","",SUMIFS('Barang Keluar'!$E:$E,'Barang Keluar'!$A:$A,F337))</f>
        <v>0</v>
      </c>
      <c r="M337" s="49">
        <f>IF($A$4+3&gt;$B$4,"",$A$4+3)</f>
        <v>46026</v>
      </c>
      <c r="N337" t="str">
        <f>IF(M337="","",'Master Barang'!A31)</f>
        <v>PRL-030</v>
      </c>
      <c r="O337" t="str">
        <f>IF(N337="","",'Master Barang'!B31)</f>
        <v>klip plastik 25x16 100 pcs</v>
      </c>
      <c r="P337">
        <f>IF(OR(M337="",N337=""),"",SUMIFS('Barang Keluar'!$E:$E,'Barang Keluar'!$A:$A,M337,'Barang Keluar'!$C:$C,N337))</f>
        <v>0</v>
      </c>
    </row>
    <row r="338" spans="1:16">
      <c r="A338">
        <f>IFERROR('Master Barang'!A333,"")</f>
        <v>0</v>
      </c>
      <c r="B338">
        <f>IFERROR('Master Barang'!B333,"")</f>
        <v>0</v>
      </c>
      <c r="C338">
        <f>IFERROR('Master Barang'!D333,"")</f>
        <v>0</v>
      </c>
      <c r="D338">
        <f>IF(A338="","",SUMIFS('Barang Keluar'!$E:$E,'Barang Keluar'!$C:$C,A338,'Barang Keluar'!$A:$A,"&gt;="&amp;$A$4,'Barang Keluar'!$A:$A,"&lt;="&amp;$B$4))</f>
        <v>0</v>
      </c>
      <c r="F338" s="49">
        <f>IF($A$4+ROW()-8&gt;$B$4,"",$A$4+ROW()-8)</f>
        <v>46353</v>
      </c>
      <c r="G338">
        <f>IF(F338="","",SUMIFS('Barang Keluar'!$E:$E,'Barang Keluar'!$A:$A,F338))</f>
        <v>0</v>
      </c>
      <c r="M338" s="49">
        <f>IF($A$4+3&gt;$B$4,"",$A$4+3)</f>
        <v>46026</v>
      </c>
      <c r="N338" t="str">
        <f>IF(M338="","",'Master Barang'!A32)</f>
        <v>PRL-031</v>
      </c>
      <c r="O338" t="str">
        <f>IF(N338="","",'Master Barang'!B32)</f>
        <v>tempat saus 20 ml</v>
      </c>
      <c r="P338">
        <f>IF(OR(M338="",N338=""),"",SUMIFS('Barang Keluar'!$E:$E,'Barang Keluar'!$A:$A,M338,'Barang Keluar'!$C:$C,N338))</f>
        <v>0</v>
      </c>
    </row>
    <row r="339" spans="1:16">
      <c r="A339">
        <f>IFERROR('Master Barang'!A334,"")</f>
        <v>0</v>
      </c>
      <c r="B339">
        <f>IFERROR('Master Barang'!B334,"")</f>
        <v>0</v>
      </c>
      <c r="C339">
        <f>IFERROR('Master Barang'!D334,"")</f>
        <v>0</v>
      </c>
      <c r="D339">
        <f>IF(A339="","",SUMIFS('Barang Keluar'!$E:$E,'Barang Keluar'!$C:$C,A339,'Barang Keluar'!$A:$A,"&gt;="&amp;$A$4,'Barang Keluar'!$A:$A,"&lt;="&amp;$B$4))</f>
        <v>0</v>
      </c>
      <c r="F339" s="49">
        <f>IF($A$4+ROW()-8&gt;$B$4,"",$A$4+ROW()-8)</f>
        <v>46354</v>
      </c>
      <c r="G339">
        <f>IF(F339="","",SUMIFS('Barang Keluar'!$E:$E,'Barang Keluar'!$A:$A,F339))</f>
        <v>0</v>
      </c>
      <c r="M339" s="49">
        <f>IF($A$4+3&gt;$B$4,"",$A$4+3)</f>
        <v>46026</v>
      </c>
      <c r="N339" t="str">
        <f>IF(M339="","",'Master Barang'!A33)</f>
        <v>PRL-032</v>
      </c>
      <c r="O339" t="str">
        <f>IF(N339="","",'Master Barang'!B33)</f>
        <v>plastik packaging ag box uk sedang</v>
      </c>
      <c r="P339">
        <f>IF(OR(M339="",N339=""),"",SUMIFS('Barang Keluar'!$E:$E,'Barang Keluar'!$A:$A,M339,'Barang Keluar'!$C:$C,N339))</f>
        <v>0</v>
      </c>
    </row>
    <row r="340" spans="1:16">
      <c r="A340">
        <f>IFERROR('Master Barang'!A335,"")</f>
        <v>0</v>
      </c>
      <c r="B340">
        <f>IFERROR('Master Barang'!B335,"")</f>
        <v>0</v>
      </c>
      <c r="C340">
        <f>IFERROR('Master Barang'!D335,"")</f>
        <v>0</v>
      </c>
      <c r="D340">
        <f>IF(A340="","",SUMIFS('Barang Keluar'!$E:$E,'Barang Keluar'!$C:$C,A340,'Barang Keluar'!$A:$A,"&gt;="&amp;$A$4,'Barang Keluar'!$A:$A,"&lt;="&amp;$B$4))</f>
        <v>0</v>
      </c>
      <c r="F340" s="49">
        <f>IF($A$4+ROW()-8&gt;$B$4,"",$A$4+ROW()-8)</f>
        <v>46355</v>
      </c>
      <c r="G340">
        <f>IF(F340="","",SUMIFS('Barang Keluar'!$E:$E,'Barang Keluar'!$A:$A,F340))</f>
        <v>0</v>
      </c>
      <c r="M340" s="49">
        <f>IF($A$4+3&gt;$B$4,"",$A$4+3)</f>
        <v>46026</v>
      </c>
      <c r="N340" t="str">
        <f>IF(M340="","",'Master Barang'!A34)</f>
        <v>PRL-033</v>
      </c>
      <c r="O340">
        <f>IF(N340="","",'Master Barang'!B34)</f>
        <v>0</v>
      </c>
      <c r="P340">
        <f>IF(OR(M340="",N340=""),"",SUMIFS('Barang Keluar'!$E:$E,'Barang Keluar'!$A:$A,M340,'Barang Keluar'!$C:$C,N340))</f>
        <v>0</v>
      </c>
    </row>
    <row r="341" spans="1:16">
      <c r="A341">
        <f>IFERROR('Master Barang'!A336,"")</f>
        <v>0</v>
      </c>
      <c r="B341">
        <f>IFERROR('Master Barang'!B336,"")</f>
        <v>0</v>
      </c>
      <c r="C341">
        <f>IFERROR('Master Barang'!D336,"")</f>
        <v>0</v>
      </c>
      <c r="D341">
        <f>IF(A341="","",SUMIFS('Barang Keluar'!$E:$E,'Barang Keluar'!$C:$C,A341,'Barang Keluar'!$A:$A,"&gt;="&amp;$A$4,'Barang Keluar'!$A:$A,"&lt;="&amp;$B$4))</f>
        <v>0</v>
      </c>
      <c r="F341" s="49">
        <f>IF($A$4+ROW()-8&gt;$B$4,"",$A$4+ROW()-8)</f>
        <v>46356</v>
      </c>
      <c r="G341">
        <f>IF(F341="","",SUMIFS('Barang Keluar'!$E:$E,'Barang Keluar'!$A:$A,F341))</f>
        <v>0</v>
      </c>
      <c r="M341" s="49">
        <f>IF($A$4+3&gt;$B$4,"",$A$4+3)</f>
        <v>46026</v>
      </c>
      <c r="N341">
        <f>IF(M341="","",'Master Barang'!A35)</f>
        <v>0</v>
      </c>
      <c r="O341">
        <f>IF(N341="","",'Master Barang'!B35)</f>
        <v>0</v>
      </c>
      <c r="P341">
        <f>IF(OR(M341="",N341=""),"",SUMIFS('Barang Keluar'!$E:$E,'Barang Keluar'!$A:$A,M341,'Barang Keluar'!$C:$C,N341))</f>
        <v>0</v>
      </c>
    </row>
    <row r="342" spans="1:16">
      <c r="A342">
        <f>IFERROR('Master Barang'!A337,"")</f>
        <v>0</v>
      </c>
      <c r="B342">
        <f>IFERROR('Master Barang'!B337,"")</f>
        <v>0</v>
      </c>
      <c r="C342">
        <f>IFERROR('Master Barang'!D337,"")</f>
        <v>0</v>
      </c>
      <c r="D342">
        <f>IF(A342="","",SUMIFS('Barang Keluar'!$E:$E,'Barang Keluar'!$C:$C,A342,'Barang Keluar'!$A:$A,"&gt;="&amp;$A$4,'Barang Keluar'!$A:$A,"&lt;="&amp;$B$4))</f>
        <v>0</v>
      </c>
      <c r="F342" s="49">
        <f>IF($A$4+ROW()-8&gt;$B$4,"",$A$4+ROW()-8)</f>
        <v>46357</v>
      </c>
      <c r="G342">
        <f>IF(F342="","",SUMIFS('Barang Keluar'!$E:$E,'Barang Keluar'!$A:$A,F342))</f>
        <v>0</v>
      </c>
      <c r="M342" s="49">
        <f>IF($A$4+3&gt;$B$4,"",$A$4+3)</f>
        <v>46026</v>
      </c>
      <c r="N342">
        <f>IF(M342="","",'Master Barang'!A36)</f>
        <v>0</v>
      </c>
      <c r="O342">
        <f>IF(N342="","",'Master Barang'!B36)</f>
        <v>0</v>
      </c>
      <c r="P342">
        <f>IF(OR(M342="",N342=""),"",SUMIFS('Barang Keluar'!$E:$E,'Barang Keluar'!$A:$A,M342,'Barang Keluar'!$C:$C,N342))</f>
        <v>0</v>
      </c>
    </row>
    <row r="343" spans="1:16">
      <c r="A343">
        <f>IFERROR('Master Barang'!A338,"")</f>
        <v>0</v>
      </c>
      <c r="B343">
        <f>IFERROR('Master Barang'!B338,"")</f>
        <v>0</v>
      </c>
      <c r="C343">
        <f>IFERROR('Master Barang'!D338,"")</f>
        <v>0</v>
      </c>
      <c r="D343">
        <f>IF(A343="","",SUMIFS('Barang Keluar'!$E:$E,'Barang Keluar'!$C:$C,A343,'Barang Keluar'!$A:$A,"&gt;="&amp;$A$4,'Barang Keluar'!$A:$A,"&lt;="&amp;$B$4))</f>
        <v>0</v>
      </c>
      <c r="F343" s="49">
        <f>IF($A$4+ROW()-8&gt;$B$4,"",$A$4+ROW()-8)</f>
        <v>46358</v>
      </c>
      <c r="G343">
        <f>IF(F343="","",SUMIFS('Barang Keluar'!$E:$E,'Barang Keluar'!$A:$A,F343))</f>
        <v>0</v>
      </c>
      <c r="M343" s="49">
        <f>IF($A$4+3&gt;$B$4,"",$A$4+3)</f>
        <v>46026</v>
      </c>
      <c r="N343">
        <f>IF(M343="","",'Master Barang'!A37)</f>
        <v>0</v>
      </c>
      <c r="O343">
        <f>IF(N343="","",'Master Barang'!B37)</f>
        <v>0</v>
      </c>
      <c r="P343">
        <f>IF(OR(M343="",N343=""),"",SUMIFS('Barang Keluar'!$E:$E,'Barang Keluar'!$A:$A,M343,'Barang Keluar'!$C:$C,N343))</f>
        <v>0</v>
      </c>
    </row>
    <row r="344" spans="1:16">
      <c r="A344">
        <f>IFERROR('Master Barang'!A339,"")</f>
        <v>0</v>
      </c>
      <c r="B344">
        <f>IFERROR('Master Barang'!B339,"")</f>
        <v>0</v>
      </c>
      <c r="C344">
        <f>IFERROR('Master Barang'!D339,"")</f>
        <v>0</v>
      </c>
      <c r="D344">
        <f>IF(A344="","",SUMIFS('Barang Keluar'!$E:$E,'Barang Keluar'!$C:$C,A344,'Barang Keluar'!$A:$A,"&gt;="&amp;$A$4,'Barang Keluar'!$A:$A,"&lt;="&amp;$B$4))</f>
        <v>0</v>
      </c>
      <c r="F344" s="49">
        <f>IF($A$4+ROW()-8&gt;$B$4,"",$A$4+ROW()-8)</f>
        <v>46359</v>
      </c>
      <c r="G344">
        <f>IF(F344="","",SUMIFS('Barang Keluar'!$E:$E,'Barang Keluar'!$A:$A,F344))</f>
        <v>0</v>
      </c>
      <c r="M344" s="49">
        <f>IF($A$4+3&gt;$B$4,"",$A$4+3)</f>
        <v>46026</v>
      </c>
      <c r="N344">
        <f>IF(M344="","",'Master Barang'!A38)</f>
        <v>0</v>
      </c>
      <c r="O344">
        <f>IF(N344="","",'Master Barang'!B38)</f>
        <v>0</v>
      </c>
      <c r="P344">
        <f>IF(OR(M344="",N344=""),"",SUMIFS('Barang Keluar'!$E:$E,'Barang Keluar'!$A:$A,M344,'Barang Keluar'!$C:$C,N344))</f>
        <v>0</v>
      </c>
    </row>
    <row r="345" spans="1:16">
      <c r="A345">
        <f>IFERROR('Master Barang'!A340,"")</f>
        <v>0</v>
      </c>
      <c r="B345">
        <f>IFERROR('Master Barang'!B340,"")</f>
        <v>0</v>
      </c>
      <c r="C345">
        <f>IFERROR('Master Barang'!D340,"")</f>
        <v>0</v>
      </c>
      <c r="D345">
        <f>IF(A345="","",SUMIFS('Barang Keluar'!$E:$E,'Barang Keluar'!$C:$C,A345,'Barang Keluar'!$A:$A,"&gt;="&amp;$A$4,'Barang Keluar'!$A:$A,"&lt;="&amp;$B$4))</f>
        <v>0</v>
      </c>
      <c r="F345" s="49">
        <f>IF($A$4+ROW()-8&gt;$B$4,"",$A$4+ROW()-8)</f>
        <v>46360</v>
      </c>
      <c r="G345">
        <f>IF(F345="","",SUMIFS('Barang Keluar'!$E:$E,'Barang Keluar'!$A:$A,F345))</f>
        <v>0</v>
      </c>
      <c r="M345" s="49">
        <f>IF($A$4+3&gt;$B$4,"",$A$4+3)</f>
        <v>46026</v>
      </c>
      <c r="N345">
        <f>IF(M345="","",'Master Barang'!A39)</f>
        <v>0</v>
      </c>
      <c r="O345">
        <f>IF(N345="","",'Master Barang'!B39)</f>
        <v>0</v>
      </c>
      <c r="P345">
        <f>IF(OR(M345="",N345=""),"",SUMIFS('Barang Keluar'!$E:$E,'Barang Keluar'!$A:$A,M345,'Barang Keluar'!$C:$C,N345))</f>
        <v>0</v>
      </c>
    </row>
    <row r="346" spans="1:16">
      <c r="A346">
        <f>IFERROR('Master Barang'!A341,"")</f>
        <v>0</v>
      </c>
      <c r="B346">
        <f>IFERROR('Master Barang'!B341,"")</f>
        <v>0</v>
      </c>
      <c r="C346">
        <f>IFERROR('Master Barang'!D341,"")</f>
        <v>0</v>
      </c>
      <c r="D346">
        <f>IF(A346="","",SUMIFS('Barang Keluar'!$E:$E,'Barang Keluar'!$C:$C,A346,'Barang Keluar'!$A:$A,"&gt;="&amp;$A$4,'Barang Keluar'!$A:$A,"&lt;="&amp;$B$4))</f>
        <v>0</v>
      </c>
      <c r="F346" s="49">
        <f>IF($A$4+ROW()-8&gt;$B$4,"",$A$4+ROW()-8)</f>
        <v>46361</v>
      </c>
      <c r="G346">
        <f>IF(F346="","",SUMIFS('Barang Keluar'!$E:$E,'Barang Keluar'!$A:$A,F346))</f>
        <v>0</v>
      </c>
      <c r="M346" s="49">
        <f>IF($A$4+3&gt;$B$4,"",$A$4+3)</f>
        <v>46026</v>
      </c>
      <c r="N346">
        <f>IF(M346="","",'Master Barang'!A40)</f>
        <v>0</v>
      </c>
      <c r="O346">
        <f>IF(N346="","",'Master Barang'!B40)</f>
        <v>0</v>
      </c>
      <c r="P346">
        <f>IF(OR(M346="",N346=""),"",SUMIFS('Barang Keluar'!$E:$E,'Barang Keluar'!$A:$A,M346,'Barang Keluar'!$C:$C,N346))</f>
        <v>0</v>
      </c>
    </row>
    <row r="347" spans="1:16">
      <c r="A347">
        <f>IFERROR('Master Barang'!A342,"")</f>
        <v>0</v>
      </c>
      <c r="B347">
        <f>IFERROR('Master Barang'!B342,"")</f>
        <v>0</v>
      </c>
      <c r="C347">
        <f>IFERROR('Master Barang'!D342,"")</f>
        <v>0</v>
      </c>
      <c r="D347">
        <f>IF(A347="","",SUMIFS('Barang Keluar'!$E:$E,'Barang Keluar'!$C:$C,A347,'Barang Keluar'!$A:$A,"&gt;="&amp;$A$4,'Barang Keluar'!$A:$A,"&lt;="&amp;$B$4))</f>
        <v>0</v>
      </c>
      <c r="F347" s="49">
        <f>IF($A$4+ROW()-8&gt;$B$4,"",$A$4+ROW()-8)</f>
        <v>46362</v>
      </c>
      <c r="G347">
        <f>IF(F347="","",SUMIFS('Barang Keluar'!$E:$E,'Barang Keluar'!$A:$A,F347))</f>
        <v>0</v>
      </c>
      <c r="M347" s="49">
        <f>IF($A$4+3&gt;$B$4,"",$A$4+3)</f>
        <v>46026</v>
      </c>
      <c r="N347">
        <f>IF(M347="","",'Master Barang'!A41)</f>
        <v>0</v>
      </c>
      <c r="O347">
        <f>IF(N347="","",'Master Barang'!B41)</f>
        <v>0</v>
      </c>
      <c r="P347">
        <f>IF(OR(M347="",N347=""),"",SUMIFS('Barang Keluar'!$E:$E,'Barang Keluar'!$A:$A,M347,'Barang Keluar'!$C:$C,N347))</f>
        <v>0</v>
      </c>
    </row>
    <row r="348" spans="1:16">
      <c r="A348">
        <f>IFERROR('Master Barang'!A343,"")</f>
        <v>0</v>
      </c>
      <c r="B348">
        <f>IFERROR('Master Barang'!B343,"")</f>
        <v>0</v>
      </c>
      <c r="C348">
        <f>IFERROR('Master Barang'!D343,"")</f>
        <v>0</v>
      </c>
      <c r="D348">
        <f>IF(A348="","",SUMIFS('Barang Keluar'!$E:$E,'Barang Keluar'!$C:$C,A348,'Barang Keluar'!$A:$A,"&gt;="&amp;$A$4,'Barang Keluar'!$A:$A,"&lt;="&amp;$B$4))</f>
        <v>0</v>
      </c>
      <c r="F348" s="49">
        <f>IF($A$4+ROW()-8&gt;$B$4,"",$A$4+ROW()-8)</f>
        <v>46363</v>
      </c>
      <c r="G348">
        <f>IF(F348="","",SUMIFS('Barang Keluar'!$E:$E,'Barang Keluar'!$A:$A,F348))</f>
        <v>0</v>
      </c>
      <c r="M348" s="49">
        <f>IF($A$4+3&gt;$B$4,"",$A$4+3)</f>
        <v>46026</v>
      </c>
      <c r="N348">
        <f>IF(M348="","",'Master Barang'!A42)</f>
        <v>0</v>
      </c>
      <c r="O348">
        <f>IF(N348="","",'Master Barang'!B42)</f>
        <v>0</v>
      </c>
      <c r="P348">
        <f>IF(OR(M348="",N348=""),"",SUMIFS('Barang Keluar'!$E:$E,'Barang Keluar'!$A:$A,M348,'Barang Keluar'!$C:$C,N348))</f>
        <v>0</v>
      </c>
    </row>
    <row r="349" spans="1:16">
      <c r="A349">
        <f>IFERROR('Master Barang'!A344,"")</f>
        <v>0</v>
      </c>
      <c r="B349">
        <f>IFERROR('Master Barang'!B344,"")</f>
        <v>0</v>
      </c>
      <c r="C349">
        <f>IFERROR('Master Barang'!D344,"")</f>
        <v>0</v>
      </c>
      <c r="D349">
        <f>IF(A349="","",SUMIFS('Barang Keluar'!$E:$E,'Barang Keluar'!$C:$C,A349,'Barang Keluar'!$A:$A,"&gt;="&amp;$A$4,'Barang Keluar'!$A:$A,"&lt;="&amp;$B$4))</f>
        <v>0</v>
      </c>
      <c r="F349" s="49">
        <f>IF($A$4+ROW()-8&gt;$B$4,"",$A$4+ROW()-8)</f>
        <v>46364</v>
      </c>
      <c r="G349">
        <f>IF(F349="","",SUMIFS('Barang Keluar'!$E:$E,'Barang Keluar'!$A:$A,F349))</f>
        <v>0</v>
      </c>
      <c r="M349" s="49">
        <f>IF($A$4+3&gt;$B$4,"",$A$4+3)</f>
        <v>46026</v>
      </c>
      <c r="N349">
        <f>IF(M349="","",'Master Barang'!A43)</f>
        <v>0</v>
      </c>
      <c r="O349">
        <f>IF(N349="","",'Master Barang'!B43)</f>
        <v>0</v>
      </c>
      <c r="P349">
        <f>IF(OR(M349="",N349=""),"",SUMIFS('Barang Keluar'!$E:$E,'Barang Keluar'!$A:$A,M349,'Barang Keluar'!$C:$C,N349))</f>
        <v>0</v>
      </c>
    </row>
    <row r="350" spans="1:16">
      <c r="A350">
        <f>IFERROR('Master Barang'!A345,"")</f>
        <v>0</v>
      </c>
      <c r="B350">
        <f>IFERROR('Master Barang'!B345,"")</f>
        <v>0</v>
      </c>
      <c r="C350">
        <f>IFERROR('Master Barang'!D345,"")</f>
        <v>0</v>
      </c>
      <c r="D350">
        <f>IF(A350="","",SUMIFS('Barang Keluar'!$E:$E,'Barang Keluar'!$C:$C,A350,'Barang Keluar'!$A:$A,"&gt;="&amp;$A$4,'Barang Keluar'!$A:$A,"&lt;="&amp;$B$4))</f>
        <v>0</v>
      </c>
      <c r="F350" s="49">
        <f>IF($A$4+ROW()-8&gt;$B$4,"",$A$4+ROW()-8)</f>
        <v>46365</v>
      </c>
      <c r="G350">
        <f>IF(F350="","",SUMIFS('Barang Keluar'!$E:$E,'Barang Keluar'!$A:$A,F350))</f>
        <v>0</v>
      </c>
      <c r="M350" s="49">
        <f>IF($A$4+3&gt;$B$4,"",$A$4+3)</f>
        <v>46026</v>
      </c>
      <c r="N350">
        <f>IF(M350="","",'Master Barang'!A44)</f>
        <v>0</v>
      </c>
      <c r="O350">
        <f>IF(N350="","",'Master Barang'!B44)</f>
        <v>0</v>
      </c>
      <c r="P350">
        <f>IF(OR(M350="",N350=""),"",SUMIFS('Barang Keluar'!$E:$E,'Barang Keluar'!$A:$A,M350,'Barang Keluar'!$C:$C,N350))</f>
        <v>0</v>
      </c>
    </row>
    <row r="351" spans="1:16">
      <c r="A351">
        <f>IFERROR('Master Barang'!A346,"")</f>
        <v>0</v>
      </c>
      <c r="B351">
        <f>IFERROR('Master Barang'!B346,"")</f>
        <v>0</v>
      </c>
      <c r="C351">
        <f>IFERROR('Master Barang'!D346,"")</f>
        <v>0</v>
      </c>
      <c r="D351">
        <f>IF(A351="","",SUMIFS('Barang Keluar'!$E:$E,'Barang Keluar'!$C:$C,A351,'Barang Keluar'!$A:$A,"&gt;="&amp;$A$4,'Barang Keluar'!$A:$A,"&lt;="&amp;$B$4))</f>
        <v>0</v>
      </c>
      <c r="F351" s="49">
        <f>IF($A$4+ROW()-8&gt;$B$4,"",$A$4+ROW()-8)</f>
        <v>46366</v>
      </c>
      <c r="G351">
        <f>IF(F351="","",SUMIFS('Barang Keluar'!$E:$E,'Barang Keluar'!$A:$A,F351))</f>
        <v>0</v>
      </c>
      <c r="M351" s="49">
        <f>IF($A$4+3&gt;$B$4,"",$A$4+3)</f>
        <v>46026</v>
      </c>
      <c r="N351">
        <f>IF(M351="","",'Master Barang'!A45)</f>
        <v>0</v>
      </c>
      <c r="O351">
        <f>IF(N351="","",'Master Barang'!B45)</f>
        <v>0</v>
      </c>
      <c r="P351">
        <f>IF(OR(M351="",N351=""),"",SUMIFS('Barang Keluar'!$E:$E,'Barang Keluar'!$A:$A,M351,'Barang Keluar'!$C:$C,N351))</f>
        <v>0</v>
      </c>
    </row>
    <row r="352" spans="1:16">
      <c r="A352">
        <f>IFERROR('Master Barang'!A347,"")</f>
        <v>0</v>
      </c>
      <c r="B352">
        <f>IFERROR('Master Barang'!B347,"")</f>
        <v>0</v>
      </c>
      <c r="C352">
        <f>IFERROR('Master Barang'!D347,"")</f>
        <v>0</v>
      </c>
      <c r="D352">
        <f>IF(A352="","",SUMIFS('Barang Keluar'!$E:$E,'Barang Keluar'!$C:$C,A352,'Barang Keluar'!$A:$A,"&gt;="&amp;$A$4,'Barang Keluar'!$A:$A,"&lt;="&amp;$B$4))</f>
        <v>0</v>
      </c>
      <c r="F352" s="49">
        <f>IF($A$4+ROW()-8&gt;$B$4,"",$A$4+ROW()-8)</f>
        <v>46367</v>
      </c>
      <c r="G352">
        <f>IF(F352="","",SUMIFS('Barang Keluar'!$E:$E,'Barang Keluar'!$A:$A,F352))</f>
        <v>0</v>
      </c>
      <c r="M352" s="49">
        <f>IF($A$4+3&gt;$B$4,"",$A$4+3)</f>
        <v>46026</v>
      </c>
      <c r="N352">
        <f>IF(M352="","",'Master Barang'!A46)</f>
        <v>0</v>
      </c>
      <c r="O352">
        <f>IF(N352="","",'Master Barang'!B46)</f>
        <v>0</v>
      </c>
      <c r="P352">
        <f>IF(OR(M352="",N352=""),"",SUMIFS('Barang Keluar'!$E:$E,'Barang Keluar'!$A:$A,M352,'Barang Keluar'!$C:$C,N352))</f>
        <v>0</v>
      </c>
    </row>
    <row r="353" spans="1:16">
      <c r="A353">
        <f>IFERROR('Master Barang'!A348,"")</f>
        <v>0</v>
      </c>
      <c r="B353">
        <f>IFERROR('Master Barang'!B348,"")</f>
        <v>0</v>
      </c>
      <c r="C353">
        <f>IFERROR('Master Barang'!D348,"")</f>
        <v>0</v>
      </c>
      <c r="D353">
        <f>IF(A353="","",SUMIFS('Barang Keluar'!$E:$E,'Barang Keluar'!$C:$C,A353,'Barang Keluar'!$A:$A,"&gt;="&amp;$A$4,'Barang Keluar'!$A:$A,"&lt;="&amp;$B$4))</f>
        <v>0</v>
      </c>
      <c r="F353" s="49">
        <f>IF($A$4+ROW()-8&gt;$B$4,"",$A$4+ROW()-8)</f>
        <v>46368</v>
      </c>
      <c r="G353">
        <f>IF(F353="","",SUMIFS('Barang Keluar'!$E:$E,'Barang Keluar'!$A:$A,F353))</f>
        <v>0</v>
      </c>
      <c r="M353" s="49">
        <f>IF($A$4+3&gt;$B$4,"",$A$4+3)</f>
        <v>46026</v>
      </c>
      <c r="N353">
        <f>IF(M353="","",'Master Barang'!A47)</f>
        <v>0</v>
      </c>
      <c r="O353">
        <f>IF(N353="","",'Master Barang'!B47)</f>
        <v>0</v>
      </c>
      <c r="P353">
        <f>IF(OR(M353="",N353=""),"",SUMIFS('Barang Keluar'!$E:$E,'Barang Keluar'!$A:$A,M353,'Barang Keluar'!$C:$C,N353))</f>
        <v>0</v>
      </c>
    </row>
    <row r="354" spans="1:16">
      <c r="A354">
        <f>IFERROR('Master Barang'!A349,"")</f>
        <v>0</v>
      </c>
      <c r="B354">
        <f>IFERROR('Master Barang'!B349,"")</f>
        <v>0</v>
      </c>
      <c r="C354">
        <f>IFERROR('Master Barang'!D349,"")</f>
        <v>0</v>
      </c>
      <c r="D354">
        <f>IF(A354="","",SUMIFS('Barang Keluar'!$E:$E,'Barang Keluar'!$C:$C,A354,'Barang Keluar'!$A:$A,"&gt;="&amp;$A$4,'Barang Keluar'!$A:$A,"&lt;="&amp;$B$4))</f>
        <v>0</v>
      </c>
      <c r="F354" s="49">
        <f>IF($A$4+ROW()-8&gt;$B$4,"",$A$4+ROW()-8)</f>
        <v>46369</v>
      </c>
      <c r="G354">
        <f>IF(F354="","",SUMIFS('Barang Keluar'!$E:$E,'Barang Keluar'!$A:$A,F354))</f>
        <v>0</v>
      </c>
      <c r="M354" s="49">
        <f>IF($A$4+3&gt;$B$4,"",$A$4+3)</f>
        <v>46026</v>
      </c>
      <c r="N354">
        <f>IF(M354="","",'Master Barang'!A48)</f>
        <v>0</v>
      </c>
      <c r="O354">
        <f>IF(N354="","",'Master Barang'!B48)</f>
        <v>0</v>
      </c>
      <c r="P354">
        <f>IF(OR(M354="",N354=""),"",SUMIFS('Barang Keluar'!$E:$E,'Barang Keluar'!$A:$A,M354,'Barang Keluar'!$C:$C,N354))</f>
        <v>0</v>
      </c>
    </row>
    <row r="355" spans="1:16">
      <c r="A355">
        <f>IFERROR('Master Barang'!A350,"")</f>
        <v>0</v>
      </c>
      <c r="B355">
        <f>IFERROR('Master Barang'!B350,"")</f>
        <v>0</v>
      </c>
      <c r="C355">
        <f>IFERROR('Master Barang'!D350,"")</f>
        <v>0</v>
      </c>
      <c r="D355">
        <f>IF(A355="","",SUMIFS('Barang Keluar'!$E:$E,'Barang Keluar'!$C:$C,A355,'Barang Keluar'!$A:$A,"&gt;="&amp;$A$4,'Barang Keluar'!$A:$A,"&lt;="&amp;$B$4))</f>
        <v>0</v>
      </c>
      <c r="F355" s="49">
        <f>IF($A$4+ROW()-8&gt;$B$4,"",$A$4+ROW()-8)</f>
        <v>46370</v>
      </c>
      <c r="G355">
        <f>IF(F355="","",SUMIFS('Barang Keluar'!$E:$E,'Barang Keluar'!$A:$A,F355))</f>
        <v>0</v>
      </c>
      <c r="M355" s="49">
        <f>IF($A$4+3&gt;$B$4,"",$A$4+3)</f>
        <v>46026</v>
      </c>
      <c r="N355">
        <f>IF(M355="","",'Master Barang'!A49)</f>
        <v>0</v>
      </c>
      <c r="O355">
        <f>IF(N355="","",'Master Barang'!B49)</f>
        <v>0</v>
      </c>
      <c r="P355">
        <f>IF(OR(M355="",N355=""),"",SUMIFS('Barang Keluar'!$E:$E,'Barang Keluar'!$A:$A,M355,'Barang Keluar'!$C:$C,N355))</f>
        <v>0</v>
      </c>
    </row>
    <row r="356" spans="1:16">
      <c r="A356">
        <f>IFERROR('Master Barang'!A351,"")</f>
        <v>0</v>
      </c>
      <c r="B356">
        <f>IFERROR('Master Barang'!B351,"")</f>
        <v>0</v>
      </c>
      <c r="C356">
        <f>IFERROR('Master Barang'!D351,"")</f>
        <v>0</v>
      </c>
      <c r="D356">
        <f>IF(A356="","",SUMIFS('Barang Keluar'!$E:$E,'Barang Keluar'!$C:$C,A356,'Barang Keluar'!$A:$A,"&gt;="&amp;$A$4,'Barang Keluar'!$A:$A,"&lt;="&amp;$B$4))</f>
        <v>0</v>
      </c>
      <c r="F356" s="49">
        <f>IF($A$4+ROW()-8&gt;$B$4,"",$A$4+ROW()-8)</f>
        <v>46371</v>
      </c>
      <c r="G356">
        <f>IF(F356="","",SUMIFS('Barang Keluar'!$E:$E,'Barang Keluar'!$A:$A,F356))</f>
        <v>0</v>
      </c>
      <c r="M356" s="49">
        <f>IF($A$4+3&gt;$B$4,"",$A$4+3)</f>
        <v>46026</v>
      </c>
      <c r="N356">
        <f>IF(M356="","",'Master Barang'!A50)</f>
        <v>0</v>
      </c>
      <c r="O356">
        <f>IF(N356="","",'Master Barang'!B50)</f>
        <v>0</v>
      </c>
      <c r="P356">
        <f>IF(OR(M356="",N356=""),"",SUMIFS('Barang Keluar'!$E:$E,'Barang Keluar'!$A:$A,M356,'Barang Keluar'!$C:$C,N356))</f>
        <v>0</v>
      </c>
    </row>
    <row r="357" spans="1:16">
      <c r="A357">
        <f>IFERROR('Master Barang'!A352,"")</f>
        <v>0</v>
      </c>
      <c r="B357">
        <f>IFERROR('Master Barang'!B352,"")</f>
        <v>0</v>
      </c>
      <c r="C357">
        <f>IFERROR('Master Barang'!D352,"")</f>
        <v>0</v>
      </c>
      <c r="D357">
        <f>IF(A357="","",SUMIFS('Barang Keluar'!$E:$E,'Barang Keluar'!$C:$C,A357,'Barang Keluar'!$A:$A,"&gt;="&amp;$A$4,'Barang Keluar'!$A:$A,"&lt;="&amp;$B$4))</f>
        <v>0</v>
      </c>
      <c r="F357" s="49">
        <f>IF($A$4+ROW()-8&gt;$B$4,"",$A$4+ROW()-8)</f>
        <v>46372</v>
      </c>
      <c r="G357">
        <f>IF(F357="","",SUMIFS('Barang Keluar'!$E:$E,'Barang Keluar'!$A:$A,F357))</f>
        <v>0</v>
      </c>
      <c r="M357" s="49">
        <f>IF($A$4+3&gt;$B$4,"",$A$4+3)</f>
        <v>46026</v>
      </c>
      <c r="N357">
        <f>IF(M357="","",'Master Barang'!A51)</f>
        <v>0</v>
      </c>
      <c r="O357">
        <f>IF(N357="","",'Master Barang'!B51)</f>
        <v>0</v>
      </c>
      <c r="P357">
        <f>IF(OR(M357="",N357=""),"",SUMIFS('Barang Keluar'!$E:$E,'Barang Keluar'!$A:$A,M357,'Barang Keluar'!$C:$C,N357))</f>
        <v>0</v>
      </c>
    </row>
    <row r="358" spans="1:16">
      <c r="A358">
        <f>IFERROR('Master Barang'!A353,"")</f>
        <v>0</v>
      </c>
      <c r="B358">
        <f>IFERROR('Master Barang'!B353,"")</f>
        <v>0</v>
      </c>
      <c r="C358">
        <f>IFERROR('Master Barang'!D353,"")</f>
        <v>0</v>
      </c>
      <c r="D358">
        <f>IF(A358="","",SUMIFS('Barang Keluar'!$E:$E,'Barang Keluar'!$C:$C,A358,'Barang Keluar'!$A:$A,"&gt;="&amp;$A$4,'Barang Keluar'!$A:$A,"&lt;="&amp;$B$4))</f>
        <v>0</v>
      </c>
      <c r="F358" s="49">
        <f>IF($A$4+ROW()-8&gt;$B$4,"",$A$4+ROW()-8)</f>
        <v>46373</v>
      </c>
      <c r="G358">
        <f>IF(F358="","",SUMIFS('Barang Keluar'!$E:$E,'Barang Keluar'!$A:$A,F358))</f>
        <v>0</v>
      </c>
      <c r="M358" s="49">
        <f>IF($A$4+3&gt;$B$4,"",$A$4+3)</f>
        <v>46026</v>
      </c>
      <c r="N358">
        <f>IF(M358="","",'Master Barang'!A52)</f>
        <v>0</v>
      </c>
      <c r="O358">
        <f>IF(N358="","",'Master Barang'!B52)</f>
        <v>0</v>
      </c>
      <c r="P358">
        <f>IF(OR(M358="",N358=""),"",SUMIFS('Barang Keluar'!$E:$E,'Barang Keluar'!$A:$A,M358,'Barang Keluar'!$C:$C,N358))</f>
        <v>0</v>
      </c>
    </row>
    <row r="359" spans="1:16">
      <c r="A359">
        <f>IFERROR('Master Barang'!A354,"")</f>
        <v>0</v>
      </c>
      <c r="B359">
        <f>IFERROR('Master Barang'!B354,"")</f>
        <v>0</v>
      </c>
      <c r="C359">
        <f>IFERROR('Master Barang'!D354,"")</f>
        <v>0</v>
      </c>
      <c r="D359">
        <f>IF(A359="","",SUMIFS('Barang Keluar'!$E:$E,'Barang Keluar'!$C:$C,A359,'Barang Keluar'!$A:$A,"&gt;="&amp;$A$4,'Barang Keluar'!$A:$A,"&lt;="&amp;$B$4))</f>
        <v>0</v>
      </c>
      <c r="F359" s="49">
        <f>IF($A$4+ROW()-8&gt;$B$4,"",$A$4+ROW()-8)</f>
        <v>46374</v>
      </c>
      <c r="G359">
        <f>IF(F359="","",SUMIFS('Barang Keluar'!$E:$E,'Barang Keluar'!$A:$A,F359))</f>
        <v>0</v>
      </c>
      <c r="M359" s="49">
        <f>IF($A$4+3&gt;$B$4,"",$A$4+3)</f>
        <v>46026</v>
      </c>
      <c r="N359">
        <f>IF(M359="","",'Master Barang'!A53)</f>
        <v>0</v>
      </c>
      <c r="O359">
        <f>IF(N359="","",'Master Barang'!B53)</f>
        <v>0</v>
      </c>
      <c r="P359">
        <f>IF(OR(M359="",N359=""),"",SUMIFS('Barang Keluar'!$E:$E,'Barang Keluar'!$A:$A,M359,'Barang Keluar'!$C:$C,N359))</f>
        <v>0</v>
      </c>
    </row>
    <row r="360" spans="1:16">
      <c r="A360">
        <f>IFERROR('Master Barang'!A355,"")</f>
        <v>0</v>
      </c>
      <c r="B360">
        <f>IFERROR('Master Barang'!B355,"")</f>
        <v>0</v>
      </c>
      <c r="C360">
        <f>IFERROR('Master Barang'!D355,"")</f>
        <v>0</v>
      </c>
      <c r="D360">
        <f>IF(A360="","",SUMIFS('Barang Keluar'!$E:$E,'Barang Keluar'!$C:$C,A360,'Barang Keluar'!$A:$A,"&gt;="&amp;$A$4,'Barang Keluar'!$A:$A,"&lt;="&amp;$B$4))</f>
        <v>0</v>
      </c>
      <c r="F360" s="49">
        <f>IF($A$4+ROW()-8&gt;$B$4,"",$A$4+ROW()-8)</f>
        <v>46375</v>
      </c>
      <c r="G360">
        <f>IF(F360="","",SUMIFS('Barang Keluar'!$E:$E,'Barang Keluar'!$A:$A,F360))</f>
        <v>0</v>
      </c>
      <c r="M360" s="49">
        <f>IF($A$4+3&gt;$B$4,"",$A$4+3)</f>
        <v>46026</v>
      </c>
      <c r="N360">
        <f>IF(M360="","",'Master Barang'!A54)</f>
        <v>0</v>
      </c>
      <c r="O360">
        <f>IF(N360="","",'Master Barang'!B54)</f>
        <v>0</v>
      </c>
      <c r="P360">
        <f>IF(OR(M360="",N360=""),"",SUMIFS('Barang Keluar'!$E:$E,'Barang Keluar'!$A:$A,M360,'Barang Keluar'!$C:$C,N360))</f>
        <v>0</v>
      </c>
    </row>
    <row r="361" spans="1:16">
      <c r="A361">
        <f>IFERROR('Master Barang'!A356,"")</f>
        <v>0</v>
      </c>
      <c r="B361">
        <f>IFERROR('Master Barang'!B356,"")</f>
        <v>0</v>
      </c>
      <c r="C361">
        <f>IFERROR('Master Barang'!D356,"")</f>
        <v>0</v>
      </c>
      <c r="D361">
        <f>IF(A361="","",SUMIFS('Barang Keluar'!$E:$E,'Barang Keluar'!$C:$C,A361,'Barang Keluar'!$A:$A,"&gt;="&amp;$A$4,'Barang Keluar'!$A:$A,"&lt;="&amp;$B$4))</f>
        <v>0</v>
      </c>
      <c r="F361" s="49">
        <f>IF($A$4+ROW()-8&gt;$B$4,"",$A$4+ROW()-8)</f>
        <v>46376</v>
      </c>
      <c r="G361">
        <f>IF(F361="","",SUMIFS('Barang Keluar'!$E:$E,'Barang Keluar'!$A:$A,F361))</f>
        <v>0</v>
      </c>
      <c r="M361" s="49">
        <f>IF($A$4+3&gt;$B$4,"",$A$4+3)</f>
        <v>46026</v>
      </c>
      <c r="N361">
        <f>IF(M361="","",'Master Barang'!A55)</f>
        <v>0</v>
      </c>
      <c r="O361">
        <f>IF(N361="","",'Master Barang'!B55)</f>
        <v>0</v>
      </c>
      <c r="P361">
        <f>IF(OR(M361="",N361=""),"",SUMIFS('Barang Keluar'!$E:$E,'Barang Keluar'!$A:$A,M361,'Barang Keluar'!$C:$C,N361))</f>
        <v>0</v>
      </c>
    </row>
    <row r="362" spans="1:16">
      <c r="A362">
        <f>IFERROR('Master Barang'!A357,"")</f>
        <v>0</v>
      </c>
      <c r="B362">
        <f>IFERROR('Master Barang'!B357,"")</f>
        <v>0</v>
      </c>
      <c r="C362">
        <f>IFERROR('Master Barang'!D357,"")</f>
        <v>0</v>
      </c>
      <c r="D362">
        <f>IF(A362="","",SUMIFS('Barang Keluar'!$E:$E,'Barang Keluar'!$C:$C,A362,'Barang Keluar'!$A:$A,"&gt;="&amp;$A$4,'Barang Keluar'!$A:$A,"&lt;="&amp;$B$4))</f>
        <v>0</v>
      </c>
      <c r="F362" s="49">
        <f>IF($A$4+ROW()-8&gt;$B$4,"",$A$4+ROW()-8)</f>
        <v>46377</v>
      </c>
      <c r="G362">
        <f>IF(F362="","",SUMIFS('Barang Keluar'!$E:$E,'Barang Keluar'!$A:$A,F362))</f>
        <v>0</v>
      </c>
      <c r="M362" s="49">
        <f>IF($A$4+3&gt;$B$4,"",$A$4+3)</f>
        <v>46026</v>
      </c>
      <c r="N362">
        <f>IF(M362="","",'Master Barang'!A56)</f>
        <v>0</v>
      </c>
      <c r="O362">
        <f>IF(N362="","",'Master Barang'!B56)</f>
        <v>0</v>
      </c>
      <c r="P362">
        <f>IF(OR(M362="",N362=""),"",SUMIFS('Barang Keluar'!$E:$E,'Barang Keluar'!$A:$A,M362,'Barang Keluar'!$C:$C,N362))</f>
        <v>0</v>
      </c>
    </row>
    <row r="363" spans="1:16">
      <c r="A363">
        <f>IFERROR('Master Barang'!A358,"")</f>
        <v>0</v>
      </c>
      <c r="B363">
        <f>IFERROR('Master Barang'!B358,"")</f>
        <v>0</v>
      </c>
      <c r="C363">
        <f>IFERROR('Master Barang'!D358,"")</f>
        <v>0</v>
      </c>
      <c r="D363">
        <f>IF(A363="","",SUMIFS('Barang Keluar'!$E:$E,'Barang Keluar'!$C:$C,A363,'Barang Keluar'!$A:$A,"&gt;="&amp;$A$4,'Barang Keluar'!$A:$A,"&lt;="&amp;$B$4))</f>
        <v>0</v>
      </c>
      <c r="F363" s="49">
        <f>IF($A$4+ROW()-8&gt;$B$4,"",$A$4+ROW()-8)</f>
        <v>46378</v>
      </c>
      <c r="G363">
        <f>IF(F363="","",SUMIFS('Barang Keluar'!$E:$E,'Barang Keluar'!$A:$A,F363))</f>
        <v>0</v>
      </c>
      <c r="M363" s="49">
        <f>IF($A$4+3&gt;$B$4,"",$A$4+3)</f>
        <v>46026</v>
      </c>
      <c r="N363">
        <f>IF(M363="","",'Master Barang'!A57)</f>
        <v>0</v>
      </c>
      <c r="O363">
        <f>IF(N363="","",'Master Barang'!B57)</f>
        <v>0</v>
      </c>
      <c r="P363">
        <f>IF(OR(M363="",N363=""),"",SUMIFS('Barang Keluar'!$E:$E,'Barang Keluar'!$A:$A,M363,'Barang Keluar'!$C:$C,N363))</f>
        <v>0</v>
      </c>
    </row>
    <row r="364" spans="1:16">
      <c r="A364">
        <f>IFERROR('Master Barang'!A359,"")</f>
        <v>0</v>
      </c>
      <c r="B364">
        <f>IFERROR('Master Barang'!B359,"")</f>
        <v>0</v>
      </c>
      <c r="C364">
        <f>IFERROR('Master Barang'!D359,"")</f>
        <v>0</v>
      </c>
      <c r="D364">
        <f>IF(A364="","",SUMIFS('Barang Keluar'!$E:$E,'Barang Keluar'!$C:$C,A364,'Barang Keluar'!$A:$A,"&gt;="&amp;$A$4,'Barang Keluar'!$A:$A,"&lt;="&amp;$B$4))</f>
        <v>0</v>
      </c>
      <c r="F364" s="49">
        <f>IF($A$4+ROW()-8&gt;$B$4,"",$A$4+ROW()-8)</f>
        <v>46379</v>
      </c>
      <c r="G364">
        <f>IF(F364="","",SUMIFS('Barang Keluar'!$E:$E,'Barang Keluar'!$A:$A,F364))</f>
        <v>0</v>
      </c>
      <c r="M364" s="49">
        <f>IF($A$4+3&gt;$B$4,"",$A$4+3)</f>
        <v>46026</v>
      </c>
      <c r="N364">
        <f>IF(M364="","",'Master Barang'!A58)</f>
        <v>0</v>
      </c>
      <c r="O364">
        <f>IF(N364="","",'Master Barang'!B58)</f>
        <v>0</v>
      </c>
      <c r="P364">
        <f>IF(OR(M364="",N364=""),"",SUMIFS('Barang Keluar'!$E:$E,'Barang Keluar'!$A:$A,M364,'Barang Keluar'!$C:$C,N364))</f>
        <v>0</v>
      </c>
    </row>
    <row r="365" spans="1:16">
      <c r="A365">
        <f>IFERROR('Master Barang'!A360,"")</f>
        <v>0</v>
      </c>
      <c r="B365">
        <f>IFERROR('Master Barang'!B360,"")</f>
        <v>0</v>
      </c>
      <c r="C365">
        <f>IFERROR('Master Barang'!D360,"")</f>
        <v>0</v>
      </c>
      <c r="D365">
        <f>IF(A365="","",SUMIFS('Barang Keluar'!$E:$E,'Barang Keluar'!$C:$C,A365,'Barang Keluar'!$A:$A,"&gt;="&amp;$A$4,'Barang Keluar'!$A:$A,"&lt;="&amp;$B$4))</f>
        <v>0</v>
      </c>
      <c r="F365" s="49">
        <f>IF($A$4+ROW()-8&gt;$B$4,"",$A$4+ROW()-8)</f>
        <v>46380</v>
      </c>
      <c r="G365">
        <f>IF(F365="","",SUMIFS('Barang Keluar'!$E:$E,'Barang Keluar'!$A:$A,F365))</f>
        <v>0</v>
      </c>
      <c r="M365" s="49">
        <f>IF($A$4+3&gt;$B$4,"",$A$4+3)</f>
        <v>46026</v>
      </c>
      <c r="N365">
        <f>IF(M365="","",'Master Barang'!A59)</f>
        <v>0</v>
      </c>
      <c r="O365">
        <f>IF(N365="","",'Master Barang'!B59)</f>
        <v>0</v>
      </c>
      <c r="P365">
        <f>IF(OR(M365="",N365=""),"",SUMIFS('Barang Keluar'!$E:$E,'Barang Keluar'!$A:$A,M365,'Barang Keluar'!$C:$C,N365))</f>
        <v>0</v>
      </c>
    </row>
    <row r="366" spans="1:16">
      <c r="A366">
        <f>IFERROR('Master Barang'!A361,"")</f>
        <v>0</v>
      </c>
      <c r="B366">
        <f>IFERROR('Master Barang'!B361,"")</f>
        <v>0</v>
      </c>
      <c r="C366">
        <f>IFERROR('Master Barang'!D361,"")</f>
        <v>0</v>
      </c>
      <c r="D366">
        <f>IF(A366="","",SUMIFS('Barang Keluar'!$E:$E,'Barang Keluar'!$C:$C,A366,'Barang Keluar'!$A:$A,"&gt;="&amp;$A$4,'Barang Keluar'!$A:$A,"&lt;="&amp;$B$4))</f>
        <v>0</v>
      </c>
      <c r="F366" s="49">
        <f>IF($A$4+ROW()-8&gt;$B$4,"",$A$4+ROW()-8)</f>
        <v>46381</v>
      </c>
      <c r="G366">
        <f>IF(F366="","",SUMIFS('Barang Keluar'!$E:$E,'Barang Keluar'!$A:$A,F366))</f>
        <v>0</v>
      </c>
      <c r="M366" s="49">
        <f>IF($A$4+3&gt;$B$4,"",$A$4+3)</f>
        <v>46026</v>
      </c>
      <c r="N366">
        <f>IF(M366="","",'Master Barang'!A60)</f>
        <v>0</v>
      </c>
      <c r="O366">
        <f>IF(N366="","",'Master Barang'!B60)</f>
        <v>0</v>
      </c>
      <c r="P366">
        <f>IF(OR(M366="",N366=""),"",SUMIFS('Barang Keluar'!$E:$E,'Barang Keluar'!$A:$A,M366,'Barang Keluar'!$C:$C,N366))</f>
        <v>0</v>
      </c>
    </row>
    <row r="367" spans="1:16">
      <c r="A367">
        <f>IFERROR('Master Barang'!A362,"")</f>
        <v>0</v>
      </c>
      <c r="B367">
        <f>IFERROR('Master Barang'!B362,"")</f>
        <v>0</v>
      </c>
      <c r="C367">
        <f>IFERROR('Master Barang'!D362,"")</f>
        <v>0</v>
      </c>
      <c r="D367">
        <f>IF(A367="","",SUMIFS('Barang Keluar'!$E:$E,'Barang Keluar'!$C:$C,A367,'Barang Keluar'!$A:$A,"&gt;="&amp;$A$4,'Barang Keluar'!$A:$A,"&lt;="&amp;$B$4))</f>
        <v>0</v>
      </c>
      <c r="F367" s="49">
        <f>IF($A$4+ROW()-8&gt;$B$4,"",$A$4+ROW()-8)</f>
        <v>46382</v>
      </c>
      <c r="G367">
        <f>IF(F367="","",SUMIFS('Barang Keluar'!$E:$E,'Barang Keluar'!$A:$A,F367))</f>
        <v>0</v>
      </c>
      <c r="M367" s="49">
        <f>IF($A$4+3&gt;$B$4,"",$A$4+3)</f>
        <v>46026</v>
      </c>
      <c r="N367">
        <f>IF(M367="","",'Master Barang'!A61)</f>
        <v>0</v>
      </c>
      <c r="O367">
        <f>IF(N367="","",'Master Barang'!B61)</f>
        <v>0</v>
      </c>
      <c r="P367">
        <f>IF(OR(M367="",N367=""),"",SUMIFS('Barang Keluar'!$E:$E,'Barang Keluar'!$A:$A,M367,'Barang Keluar'!$C:$C,N367))</f>
        <v>0</v>
      </c>
    </row>
    <row r="368" spans="1:16">
      <c r="A368">
        <f>IFERROR('Master Barang'!A363,"")</f>
        <v>0</v>
      </c>
      <c r="B368">
        <f>IFERROR('Master Barang'!B363,"")</f>
        <v>0</v>
      </c>
      <c r="C368">
        <f>IFERROR('Master Barang'!D363,"")</f>
        <v>0</v>
      </c>
      <c r="D368">
        <f>IF(A368="","",SUMIFS('Barang Keluar'!$E:$E,'Barang Keluar'!$C:$C,A368,'Barang Keluar'!$A:$A,"&gt;="&amp;$A$4,'Barang Keluar'!$A:$A,"&lt;="&amp;$B$4))</f>
        <v>0</v>
      </c>
      <c r="F368" s="49">
        <f>IF($A$4+ROW()-8&gt;$B$4,"",$A$4+ROW()-8)</f>
        <v>46383</v>
      </c>
      <c r="G368">
        <f>IF(F368="","",SUMIFS('Barang Keluar'!$E:$E,'Barang Keluar'!$A:$A,F368))</f>
        <v>0</v>
      </c>
      <c r="M368" s="49">
        <f>IF($A$4+3&gt;$B$4,"",$A$4+3)</f>
        <v>46026</v>
      </c>
      <c r="N368">
        <f>IF(M368="","",'Master Barang'!A62)</f>
        <v>0</v>
      </c>
      <c r="O368">
        <f>IF(N368="","",'Master Barang'!B62)</f>
        <v>0</v>
      </c>
      <c r="P368">
        <f>IF(OR(M368="",N368=""),"",SUMIFS('Barang Keluar'!$E:$E,'Barang Keluar'!$A:$A,M368,'Barang Keluar'!$C:$C,N368))</f>
        <v>0</v>
      </c>
    </row>
    <row r="369" spans="1:16">
      <c r="A369">
        <f>IFERROR('Master Barang'!A364,"")</f>
        <v>0</v>
      </c>
      <c r="B369">
        <f>IFERROR('Master Barang'!B364,"")</f>
        <v>0</v>
      </c>
      <c r="C369">
        <f>IFERROR('Master Barang'!D364,"")</f>
        <v>0</v>
      </c>
      <c r="D369">
        <f>IF(A369="","",SUMIFS('Barang Keluar'!$E:$E,'Barang Keluar'!$C:$C,A369,'Barang Keluar'!$A:$A,"&gt;="&amp;$A$4,'Barang Keluar'!$A:$A,"&lt;="&amp;$B$4))</f>
        <v>0</v>
      </c>
      <c r="F369" s="49">
        <f>IF($A$4+ROW()-8&gt;$B$4,"",$A$4+ROW()-8)</f>
        <v>46384</v>
      </c>
      <c r="G369">
        <f>IF(F369="","",SUMIFS('Barang Keluar'!$E:$E,'Barang Keluar'!$A:$A,F369))</f>
        <v>0</v>
      </c>
      <c r="M369" s="49">
        <f>IF($A$4+3&gt;$B$4,"",$A$4+3)</f>
        <v>46026</v>
      </c>
      <c r="N369">
        <f>IF(M369="","",'Master Barang'!A63)</f>
        <v>0</v>
      </c>
      <c r="O369">
        <f>IF(N369="","",'Master Barang'!B63)</f>
        <v>0</v>
      </c>
      <c r="P369">
        <f>IF(OR(M369="",N369=""),"",SUMIFS('Barang Keluar'!$E:$E,'Barang Keluar'!$A:$A,M369,'Barang Keluar'!$C:$C,N369))</f>
        <v>0</v>
      </c>
    </row>
    <row r="370" spans="1:16">
      <c r="A370">
        <f>IFERROR('Master Barang'!A365,"")</f>
        <v>0</v>
      </c>
      <c r="B370">
        <f>IFERROR('Master Barang'!B365,"")</f>
        <v>0</v>
      </c>
      <c r="C370">
        <f>IFERROR('Master Barang'!D365,"")</f>
        <v>0</v>
      </c>
      <c r="D370">
        <f>IF(A370="","",SUMIFS('Barang Keluar'!$E:$E,'Barang Keluar'!$C:$C,A370,'Barang Keluar'!$A:$A,"&gt;="&amp;$A$4,'Barang Keluar'!$A:$A,"&lt;="&amp;$B$4))</f>
        <v>0</v>
      </c>
      <c r="F370" s="49">
        <f>IF($A$4+ROW()-8&gt;$B$4,"",$A$4+ROW()-8)</f>
        <v>46385</v>
      </c>
      <c r="G370">
        <f>IF(F370="","",SUMIFS('Barang Keluar'!$E:$E,'Barang Keluar'!$A:$A,F370))</f>
        <v>0</v>
      </c>
      <c r="M370" s="49">
        <f>IF($A$4+3&gt;$B$4,"",$A$4+3)</f>
        <v>46026</v>
      </c>
      <c r="N370">
        <f>IF(M370="","",'Master Barang'!A64)</f>
        <v>0</v>
      </c>
      <c r="O370">
        <f>IF(N370="","",'Master Barang'!B64)</f>
        <v>0</v>
      </c>
      <c r="P370">
        <f>IF(OR(M370="",N370=""),"",SUMIFS('Barang Keluar'!$E:$E,'Barang Keluar'!$A:$A,M370,'Barang Keluar'!$C:$C,N370))</f>
        <v>0</v>
      </c>
    </row>
    <row r="371" spans="1:16">
      <c r="A371">
        <f>IFERROR('Master Barang'!A366,"")</f>
        <v>0</v>
      </c>
      <c r="B371">
        <f>IFERROR('Master Barang'!B366,"")</f>
        <v>0</v>
      </c>
      <c r="C371">
        <f>IFERROR('Master Barang'!D366,"")</f>
        <v>0</v>
      </c>
      <c r="D371">
        <f>IF(A371="","",SUMIFS('Barang Keluar'!$E:$E,'Barang Keluar'!$C:$C,A371,'Barang Keluar'!$A:$A,"&gt;="&amp;$A$4,'Barang Keluar'!$A:$A,"&lt;="&amp;$B$4))</f>
        <v>0</v>
      </c>
      <c r="F371" s="49">
        <f>IF($A$4+ROW()-8&gt;$B$4,"",$A$4+ROW()-8)</f>
        <v>46386</v>
      </c>
      <c r="G371">
        <f>IF(F371="","",SUMIFS('Barang Keluar'!$E:$E,'Barang Keluar'!$A:$A,F371))</f>
        <v>0</v>
      </c>
      <c r="M371" s="49">
        <f>IF($A$4+3&gt;$B$4,"",$A$4+3)</f>
        <v>46026</v>
      </c>
      <c r="N371">
        <f>IF(M371="","",'Master Barang'!A65)</f>
        <v>0</v>
      </c>
      <c r="O371">
        <f>IF(N371="","",'Master Barang'!B65)</f>
        <v>0</v>
      </c>
      <c r="P371">
        <f>IF(OR(M371="",N371=""),"",SUMIFS('Barang Keluar'!$E:$E,'Barang Keluar'!$A:$A,M371,'Barang Keluar'!$C:$C,N371))</f>
        <v>0</v>
      </c>
    </row>
    <row r="372" spans="1:16">
      <c r="A372">
        <f>IFERROR('Master Barang'!A367,"")</f>
        <v>0</v>
      </c>
      <c r="B372">
        <f>IFERROR('Master Barang'!B367,"")</f>
        <v>0</v>
      </c>
      <c r="C372">
        <f>IFERROR('Master Barang'!D367,"")</f>
        <v>0</v>
      </c>
      <c r="D372">
        <f>IF(A372="","",SUMIFS('Barang Keluar'!$E:$E,'Barang Keluar'!$C:$C,A372,'Barang Keluar'!$A:$A,"&gt;="&amp;$A$4,'Barang Keluar'!$A:$A,"&lt;="&amp;$B$4))</f>
        <v>0</v>
      </c>
      <c r="F372" s="49">
        <f>IF($A$4+ROW()-8&gt;$B$4,"",$A$4+ROW()-8)</f>
        <v>46387</v>
      </c>
      <c r="G372">
        <f>IF(F372="","",SUMIFS('Barang Keluar'!$E:$E,'Barang Keluar'!$A:$A,F372))</f>
        <v>0</v>
      </c>
      <c r="M372" s="49">
        <f>IF($A$4+3&gt;$B$4,"",$A$4+3)</f>
        <v>46026</v>
      </c>
      <c r="N372">
        <f>IF(M372="","",'Master Barang'!A66)</f>
        <v>0</v>
      </c>
      <c r="O372">
        <f>IF(N372="","",'Master Barang'!B66)</f>
        <v>0</v>
      </c>
      <c r="P372">
        <f>IF(OR(M372="",N372=""),"",SUMIFS('Barang Keluar'!$E:$E,'Barang Keluar'!$A:$A,M372,'Barang Keluar'!$C:$C,N372))</f>
        <v>0</v>
      </c>
    </row>
    <row r="373" spans="1:16">
      <c r="A373">
        <f>IFERROR('Master Barang'!A368,"")</f>
        <v>0</v>
      </c>
      <c r="B373">
        <f>IFERROR('Master Barang'!B368,"")</f>
        <v>0</v>
      </c>
      <c r="C373">
        <f>IFERROR('Master Barang'!D368,"")</f>
        <v>0</v>
      </c>
      <c r="D373">
        <f>IF(A373="","",SUMIFS('Barang Keluar'!$E:$E,'Barang Keluar'!$C:$C,A373,'Barang Keluar'!$A:$A,"&gt;="&amp;$A$4,'Barang Keluar'!$A:$A,"&lt;="&amp;$B$4))</f>
        <v>0</v>
      </c>
      <c r="F373" s="49">
        <f>IF($A$4+ROW()-8&gt;$B$4,"",$A$4+ROW()-8)</f>
        <v>46388</v>
      </c>
      <c r="G373">
        <f>IF(F373="","",SUMIFS('Barang Keluar'!$E:$E,'Barang Keluar'!$A:$A,F373))</f>
        <v>0</v>
      </c>
      <c r="M373" s="49">
        <f>IF($A$4+3&gt;$B$4,"",$A$4+3)</f>
        <v>46026</v>
      </c>
      <c r="N373">
        <f>IF(M373="","",'Master Barang'!A67)</f>
        <v>0</v>
      </c>
      <c r="O373">
        <f>IF(N373="","",'Master Barang'!B67)</f>
        <v>0</v>
      </c>
      <c r="P373">
        <f>IF(OR(M373="",N373=""),"",SUMIFS('Barang Keluar'!$E:$E,'Barang Keluar'!$A:$A,M373,'Barang Keluar'!$C:$C,N373))</f>
        <v>0</v>
      </c>
    </row>
    <row r="374" spans="1:16">
      <c r="A374">
        <f>IFERROR('Master Barang'!A369,"")</f>
        <v>0</v>
      </c>
      <c r="B374">
        <f>IFERROR('Master Barang'!B369,"")</f>
        <v>0</v>
      </c>
      <c r="C374">
        <f>IFERROR('Master Barang'!D369,"")</f>
        <v>0</v>
      </c>
      <c r="D374">
        <f>IF(A374="","",SUMIFS('Barang Keluar'!$E:$E,'Barang Keluar'!$C:$C,A374,'Barang Keluar'!$A:$A,"&gt;="&amp;$A$4,'Barang Keluar'!$A:$A,"&lt;="&amp;$B$4))</f>
        <v>0</v>
      </c>
      <c r="M374" s="49">
        <f>IF($A$4+3&gt;$B$4,"",$A$4+3)</f>
        <v>46026</v>
      </c>
      <c r="N374">
        <f>IF(M374="","",'Master Barang'!A68)</f>
        <v>0</v>
      </c>
      <c r="O374">
        <f>IF(N374="","",'Master Barang'!B68)</f>
        <v>0</v>
      </c>
      <c r="P374">
        <f>IF(OR(M374="",N374=""),"",SUMIFS('Barang Keluar'!$E:$E,'Barang Keluar'!$A:$A,M374,'Barang Keluar'!$C:$C,N374))</f>
        <v>0</v>
      </c>
    </row>
    <row r="375" spans="1:16">
      <c r="A375">
        <f>IFERROR('Master Barang'!A370,"")</f>
        <v>0</v>
      </c>
      <c r="B375">
        <f>IFERROR('Master Barang'!B370,"")</f>
        <v>0</v>
      </c>
      <c r="C375">
        <f>IFERROR('Master Barang'!D370,"")</f>
        <v>0</v>
      </c>
      <c r="D375">
        <f>IF(A375="","",SUMIFS('Barang Keluar'!$E:$E,'Barang Keluar'!$C:$C,A375,'Barang Keluar'!$A:$A,"&gt;="&amp;$A$4,'Barang Keluar'!$A:$A,"&lt;="&amp;$B$4))</f>
        <v>0</v>
      </c>
      <c r="M375" s="49">
        <f>IF($A$4+3&gt;$B$4,"",$A$4+3)</f>
        <v>46026</v>
      </c>
      <c r="N375">
        <f>IF(M375="","",'Master Barang'!A69)</f>
        <v>0</v>
      </c>
      <c r="O375">
        <f>IF(N375="","",'Master Barang'!B69)</f>
        <v>0</v>
      </c>
      <c r="P375">
        <f>IF(OR(M375="",N375=""),"",SUMIFS('Barang Keluar'!$E:$E,'Barang Keluar'!$A:$A,M375,'Barang Keluar'!$C:$C,N375))</f>
        <v>0</v>
      </c>
    </row>
    <row r="376" spans="1:16">
      <c r="A376">
        <f>IFERROR('Master Barang'!A371,"")</f>
        <v>0</v>
      </c>
      <c r="B376">
        <f>IFERROR('Master Barang'!B371,"")</f>
        <v>0</v>
      </c>
      <c r="C376">
        <f>IFERROR('Master Barang'!D371,"")</f>
        <v>0</v>
      </c>
      <c r="D376">
        <f>IF(A376="","",SUMIFS('Barang Keluar'!$E:$E,'Barang Keluar'!$C:$C,A376,'Barang Keluar'!$A:$A,"&gt;="&amp;$A$4,'Barang Keluar'!$A:$A,"&lt;="&amp;$B$4))</f>
        <v>0</v>
      </c>
      <c r="M376" s="49">
        <f>IF($A$4+3&gt;$B$4,"",$A$4+3)</f>
        <v>46026</v>
      </c>
      <c r="N376">
        <f>IF(M376="","",'Master Barang'!A70)</f>
        <v>0</v>
      </c>
      <c r="O376">
        <f>IF(N376="","",'Master Barang'!B70)</f>
        <v>0</v>
      </c>
      <c r="P376">
        <f>IF(OR(M376="",N376=""),"",SUMIFS('Barang Keluar'!$E:$E,'Barang Keluar'!$A:$A,M376,'Barang Keluar'!$C:$C,N376))</f>
        <v>0</v>
      </c>
    </row>
    <row r="377" spans="1:16">
      <c r="A377">
        <f>IFERROR('Master Barang'!A372,"")</f>
        <v>0</v>
      </c>
      <c r="B377">
        <f>IFERROR('Master Barang'!B372,"")</f>
        <v>0</v>
      </c>
      <c r="C377">
        <f>IFERROR('Master Barang'!D372,"")</f>
        <v>0</v>
      </c>
      <c r="D377">
        <f>IF(A377="","",SUMIFS('Barang Keluar'!$E:$E,'Barang Keluar'!$C:$C,A377,'Barang Keluar'!$A:$A,"&gt;="&amp;$A$4,'Barang Keluar'!$A:$A,"&lt;="&amp;$B$4))</f>
        <v>0</v>
      </c>
      <c r="M377" s="49">
        <f>IF($A$4+3&gt;$B$4,"",$A$4+3)</f>
        <v>46026</v>
      </c>
      <c r="N377">
        <f>IF(M377="","",'Master Barang'!A71)</f>
        <v>0</v>
      </c>
      <c r="O377">
        <f>IF(N377="","",'Master Barang'!B71)</f>
        <v>0</v>
      </c>
      <c r="P377">
        <f>IF(OR(M377="",N377=""),"",SUMIFS('Barang Keluar'!$E:$E,'Barang Keluar'!$A:$A,M377,'Barang Keluar'!$C:$C,N377))</f>
        <v>0</v>
      </c>
    </row>
    <row r="378" spans="1:16">
      <c r="A378">
        <f>IFERROR('Master Barang'!A373,"")</f>
        <v>0</v>
      </c>
      <c r="B378">
        <f>IFERROR('Master Barang'!B373,"")</f>
        <v>0</v>
      </c>
      <c r="C378">
        <f>IFERROR('Master Barang'!D373,"")</f>
        <v>0</v>
      </c>
      <c r="D378">
        <f>IF(A378="","",SUMIFS('Barang Keluar'!$E:$E,'Barang Keluar'!$C:$C,A378,'Barang Keluar'!$A:$A,"&gt;="&amp;$A$4,'Barang Keluar'!$A:$A,"&lt;="&amp;$B$4))</f>
        <v>0</v>
      </c>
      <c r="M378" s="49">
        <f>IF($A$4+3&gt;$B$4,"",$A$4+3)</f>
        <v>46026</v>
      </c>
      <c r="N378">
        <f>IF(M378="","",'Master Barang'!A72)</f>
        <v>0</v>
      </c>
      <c r="O378">
        <f>IF(N378="","",'Master Barang'!B72)</f>
        <v>0</v>
      </c>
      <c r="P378">
        <f>IF(OR(M378="",N378=""),"",SUMIFS('Barang Keluar'!$E:$E,'Barang Keluar'!$A:$A,M378,'Barang Keluar'!$C:$C,N378))</f>
        <v>0</v>
      </c>
    </row>
    <row r="379" spans="1:16">
      <c r="A379">
        <f>IFERROR('Master Barang'!A374,"")</f>
        <v>0</v>
      </c>
      <c r="B379">
        <f>IFERROR('Master Barang'!B374,"")</f>
        <v>0</v>
      </c>
      <c r="C379">
        <f>IFERROR('Master Barang'!D374,"")</f>
        <v>0</v>
      </c>
      <c r="D379">
        <f>IF(A379="","",SUMIFS('Barang Keluar'!$E:$E,'Barang Keluar'!$C:$C,A379,'Barang Keluar'!$A:$A,"&gt;="&amp;$A$4,'Barang Keluar'!$A:$A,"&lt;="&amp;$B$4))</f>
        <v>0</v>
      </c>
      <c r="M379" s="49">
        <f>IF($A$4+3&gt;$B$4,"",$A$4+3)</f>
        <v>46026</v>
      </c>
      <c r="N379">
        <f>IF(M379="","",'Master Barang'!A73)</f>
        <v>0</v>
      </c>
      <c r="O379">
        <f>IF(N379="","",'Master Barang'!B73)</f>
        <v>0</v>
      </c>
      <c r="P379">
        <f>IF(OR(M379="",N379=""),"",SUMIFS('Barang Keluar'!$E:$E,'Barang Keluar'!$A:$A,M379,'Barang Keluar'!$C:$C,N379))</f>
        <v>0</v>
      </c>
    </row>
    <row r="380" spans="1:16">
      <c r="A380">
        <f>IFERROR('Master Barang'!A375,"")</f>
        <v>0</v>
      </c>
      <c r="B380">
        <f>IFERROR('Master Barang'!B375,"")</f>
        <v>0</v>
      </c>
      <c r="C380">
        <f>IFERROR('Master Barang'!D375,"")</f>
        <v>0</v>
      </c>
      <c r="D380">
        <f>IF(A380="","",SUMIFS('Barang Keluar'!$E:$E,'Barang Keluar'!$C:$C,A380,'Barang Keluar'!$A:$A,"&gt;="&amp;$A$4,'Barang Keluar'!$A:$A,"&lt;="&amp;$B$4))</f>
        <v>0</v>
      </c>
      <c r="M380" s="49">
        <f>IF($A$4+3&gt;$B$4,"",$A$4+3)</f>
        <v>46026</v>
      </c>
      <c r="N380">
        <f>IF(M380="","",'Master Barang'!A74)</f>
        <v>0</v>
      </c>
      <c r="O380">
        <f>IF(N380="","",'Master Barang'!B74)</f>
        <v>0</v>
      </c>
      <c r="P380">
        <f>IF(OR(M380="",N380=""),"",SUMIFS('Barang Keluar'!$E:$E,'Barang Keluar'!$A:$A,M380,'Barang Keluar'!$C:$C,N380))</f>
        <v>0</v>
      </c>
    </row>
    <row r="381" spans="1:16">
      <c r="A381">
        <f>IFERROR('Master Barang'!A376,"")</f>
        <v>0</v>
      </c>
      <c r="B381">
        <f>IFERROR('Master Barang'!B376,"")</f>
        <v>0</v>
      </c>
      <c r="C381">
        <f>IFERROR('Master Barang'!D376,"")</f>
        <v>0</v>
      </c>
      <c r="D381">
        <f>IF(A381="","",SUMIFS('Barang Keluar'!$E:$E,'Barang Keluar'!$C:$C,A381,'Barang Keluar'!$A:$A,"&gt;="&amp;$A$4,'Barang Keluar'!$A:$A,"&lt;="&amp;$B$4))</f>
        <v>0</v>
      </c>
      <c r="M381" s="49">
        <f>IF($A$4+3&gt;$B$4,"",$A$4+3)</f>
        <v>46026</v>
      </c>
      <c r="N381">
        <f>IF(M381="","",'Master Barang'!A75)</f>
        <v>0</v>
      </c>
      <c r="O381">
        <f>IF(N381="","",'Master Barang'!B75)</f>
        <v>0</v>
      </c>
      <c r="P381">
        <f>IF(OR(M381="",N381=""),"",SUMIFS('Barang Keluar'!$E:$E,'Barang Keluar'!$A:$A,M381,'Barang Keluar'!$C:$C,N381))</f>
        <v>0</v>
      </c>
    </row>
    <row r="382" spans="1:16">
      <c r="A382">
        <f>IFERROR('Master Barang'!A377,"")</f>
        <v>0</v>
      </c>
      <c r="B382">
        <f>IFERROR('Master Barang'!B377,"")</f>
        <v>0</v>
      </c>
      <c r="C382">
        <f>IFERROR('Master Barang'!D377,"")</f>
        <v>0</v>
      </c>
      <c r="D382">
        <f>IF(A382="","",SUMIFS('Barang Keluar'!$E:$E,'Barang Keluar'!$C:$C,A382,'Barang Keluar'!$A:$A,"&gt;="&amp;$A$4,'Barang Keluar'!$A:$A,"&lt;="&amp;$B$4))</f>
        <v>0</v>
      </c>
      <c r="M382" s="49">
        <f>IF($A$4+3&gt;$B$4,"",$A$4+3)</f>
        <v>46026</v>
      </c>
      <c r="N382">
        <f>IF(M382="","",'Master Barang'!A76)</f>
        <v>0</v>
      </c>
      <c r="O382">
        <f>IF(N382="","",'Master Barang'!B76)</f>
        <v>0</v>
      </c>
      <c r="P382">
        <f>IF(OR(M382="",N382=""),"",SUMIFS('Barang Keluar'!$E:$E,'Barang Keluar'!$A:$A,M382,'Barang Keluar'!$C:$C,N382))</f>
        <v>0</v>
      </c>
    </row>
    <row r="383" spans="1:16">
      <c r="A383">
        <f>IFERROR('Master Barang'!A378,"")</f>
        <v>0</v>
      </c>
      <c r="B383">
        <f>IFERROR('Master Barang'!B378,"")</f>
        <v>0</v>
      </c>
      <c r="C383">
        <f>IFERROR('Master Barang'!D378,"")</f>
        <v>0</v>
      </c>
      <c r="D383">
        <f>IF(A383="","",SUMIFS('Barang Keluar'!$E:$E,'Barang Keluar'!$C:$C,A383,'Barang Keluar'!$A:$A,"&gt;="&amp;$A$4,'Barang Keluar'!$A:$A,"&lt;="&amp;$B$4))</f>
        <v>0</v>
      </c>
      <c r="M383" s="49">
        <f>IF($A$4+3&gt;$B$4,"",$A$4+3)</f>
        <v>46026</v>
      </c>
      <c r="N383">
        <f>IF(M383="","",'Master Barang'!A77)</f>
        <v>0</v>
      </c>
      <c r="O383">
        <f>IF(N383="","",'Master Barang'!B77)</f>
        <v>0</v>
      </c>
      <c r="P383">
        <f>IF(OR(M383="",N383=""),"",SUMIFS('Barang Keluar'!$E:$E,'Barang Keluar'!$A:$A,M383,'Barang Keluar'!$C:$C,N383))</f>
        <v>0</v>
      </c>
    </row>
    <row r="384" spans="1:16">
      <c r="A384">
        <f>IFERROR('Master Barang'!A379,"")</f>
        <v>0</v>
      </c>
      <c r="B384">
        <f>IFERROR('Master Barang'!B379,"")</f>
        <v>0</v>
      </c>
      <c r="C384">
        <f>IFERROR('Master Barang'!D379,"")</f>
        <v>0</v>
      </c>
      <c r="D384">
        <f>IF(A384="","",SUMIFS('Barang Keluar'!$E:$E,'Barang Keluar'!$C:$C,A384,'Barang Keluar'!$A:$A,"&gt;="&amp;$A$4,'Barang Keluar'!$A:$A,"&lt;="&amp;$B$4))</f>
        <v>0</v>
      </c>
      <c r="M384" s="49">
        <f>IF($A$4+3&gt;$B$4,"",$A$4+3)</f>
        <v>46026</v>
      </c>
      <c r="N384">
        <f>IF(M384="","",'Master Barang'!A78)</f>
        <v>0</v>
      </c>
      <c r="O384">
        <f>IF(N384="","",'Master Barang'!B78)</f>
        <v>0</v>
      </c>
      <c r="P384">
        <f>IF(OR(M384="",N384=""),"",SUMIFS('Barang Keluar'!$E:$E,'Barang Keluar'!$A:$A,M384,'Barang Keluar'!$C:$C,N384))</f>
        <v>0</v>
      </c>
    </row>
    <row r="385" spans="1:16">
      <c r="A385">
        <f>IFERROR('Master Barang'!A380,"")</f>
        <v>0</v>
      </c>
      <c r="B385">
        <f>IFERROR('Master Barang'!B380,"")</f>
        <v>0</v>
      </c>
      <c r="C385">
        <f>IFERROR('Master Barang'!D380,"")</f>
        <v>0</v>
      </c>
      <c r="D385">
        <f>IF(A385="","",SUMIFS('Barang Keluar'!$E:$E,'Barang Keluar'!$C:$C,A385,'Barang Keluar'!$A:$A,"&gt;="&amp;$A$4,'Barang Keluar'!$A:$A,"&lt;="&amp;$B$4))</f>
        <v>0</v>
      </c>
      <c r="M385" s="49">
        <f>IF($A$4+3&gt;$B$4,"",$A$4+3)</f>
        <v>46026</v>
      </c>
      <c r="N385">
        <f>IF(M385="","",'Master Barang'!A79)</f>
        <v>0</v>
      </c>
      <c r="O385">
        <f>IF(N385="","",'Master Barang'!B79)</f>
        <v>0</v>
      </c>
      <c r="P385">
        <f>IF(OR(M385="",N385=""),"",SUMIFS('Barang Keluar'!$E:$E,'Barang Keluar'!$A:$A,M385,'Barang Keluar'!$C:$C,N385))</f>
        <v>0</v>
      </c>
    </row>
    <row r="386" spans="1:16">
      <c r="A386">
        <f>IFERROR('Master Barang'!A381,"")</f>
        <v>0</v>
      </c>
      <c r="B386">
        <f>IFERROR('Master Barang'!B381,"")</f>
        <v>0</v>
      </c>
      <c r="C386">
        <f>IFERROR('Master Barang'!D381,"")</f>
        <v>0</v>
      </c>
      <c r="D386">
        <f>IF(A386="","",SUMIFS('Barang Keluar'!$E:$E,'Barang Keluar'!$C:$C,A386,'Barang Keluar'!$A:$A,"&gt;="&amp;$A$4,'Barang Keluar'!$A:$A,"&lt;="&amp;$B$4))</f>
        <v>0</v>
      </c>
      <c r="M386" s="49">
        <f>IF($A$4+3&gt;$B$4,"",$A$4+3)</f>
        <v>46026</v>
      </c>
      <c r="N386">
        <f>IF(M386="","",'Master Barang'!A80)</f>
        <v>0</v>
      </c>
      <c r="O386">
        <f>IF(N386="","",'Master Barang'!B80)</f>
        <v>0</v>
      </c>
      <c r="P386">
        <f>IF(OR(M386="",N386=""),"",SUMIFS('Barang Keluar'!$E:$E,'Barang Keluar'!$A:$A,M386,'Barang Keluar'!$C:$C,N386))</f>
        <v>0</v>
      </c>
    </row>
    <row r="387" spans="1:16">
      <c r="A387">
        <f>IFERROR('Master Barang'!A382,"")</f>
        <v>0</v>
      </c>
      <c r="B387">
        <f>IFERROR('Master Barang'!B382,"")</f>
        <v>0</v>
      </c>
      <c r="C387">
        <f>IFERROR('Master Barang'!D382,"")</f>
        <v>0</v>
      </c>
      <c r="D387">
        <f>IF(A387="","",SUMIFS('Barang Keluar'!$E:$E,'Barang Keluar'!$C:$C,A387,'Barang Keluar'!$A:$A,"&gt;="&amp;$A$4,'Barang Keluar'!$A:$A,"&lt;="&amp;$B$4))</f>
        <v>0</v>
      </c>
      <c r="M387" s="49">
        <f>IF($A$4+3&gt;$B$4,"",$A$4+3)</f>
        <v>46026</v>
      </c>
      <c r="N387">
        <f>IF(M387="","",'Master Barang'!A81)</f>
        <v>0</v>
      </c>
      <c r="O387">
        <f>IF(N387="","",'Master Barang'!B81)</f>
        <v>0</v>
      </c>
      <c r="P387">
        <f>IF(OR(M387="",N387=""),"",SUMIFS('Barang Keluar'!$E:$E,'Barang Keluar'!$A:$A,M387,'Barang Keluar'!$C:$C,N387))</f>
        <v>0</v>
      </c>
    </row>
    <row r="388" spans="1:16">
      <c r="A388">
        <f>IFERROR('Master Barang'!A383,"")</f>
        <v>0</v>
      </c>
      <c r="B388">
        <f>IFERROR('Master Barang'!B383,"")</f>
        <v>0</v>
      </c>
      <c r="C388">
        <f>IFERROR('Master Barang'!D383,"")</f>
        <v>0</v>
      </c>
      <c r="D388">
        <f>IF(A388="","",SUMIFS('Barang Keluar'!$E:$E,'Barang Keluar'!$C:$C,A388,'Barang Keluar'!$A:$A,"&gt;="&amp;$A$4,'Barang Keluar'!$A:$A,"&lt;="&amp;$B$4))</f>
        <v>0</v>
      </c>
      <c r="M388" s="49">
        <f>IF($A$4+3&gt;$B$4,"",$A$4+3)</f>
        <v>46026</v>
      </c>
      <c r="N388">
        <f>IF(M388="","",'Master Barang'!A82)</f>
        <v>0</v>
      </c>
      <c r="O388">
        <f>IF(N388="","",'Master Barang'!B82)</f>
        <v>0</v>
      </c>
      <c r="P388">
        <f>IF(OR(M388="",N388=""),"",SUMIFS('Barang Keluar'!$E:$E,'Barang Keluar'!$A:$A,M388,'Barang Keluar'!$C:$C,N388))</f>
        <v>0</v>
      </c>
    </row>
    <row r="389" spans="1:16">
      <c r="A389">
        <f>IFERROR('Master Barang'!A384,"")</f>
        <v>0</v>
      </c>
      <c r="B389">
        <f>IFERROR('Master Barang'!B384,"")</f>
        <v>0</v>
      </c>
      <c r="C389">
        <f>IFERROR('Master Barang'!D384,"")</f>
        <v>0</v>
      </c>
      <c r="D389">
        <f>IF(A389="","",SUMIFS('Barang Keluar'!$E:$E,'Barang Keluar'!$C:$C,A389,'Barang Keluar'!$A:$A,"&gt;="&amp;$A$4,'Barang Keluar'!$A:$A,"&lt;="&amp;$B$4))</f>
        <v>0</v>
      </c>
      <c r="M389" s="49">
        <f>IF($A$4+3&gt;$B$4,"",$A$4+3)</f>
        <v>46026</v>
      </c>
      <c r="N389">
        <f>IF(M389="","",'Master Barang'!A83)</f>
        <v>0</v>
      </c>
      <c r="O389">
        <f>IF(N389="","",'Master Barang'!B83)</f>
        <v>0</v>
      </c>
      <c r="P389">
        <f>IF(OR(M389="",N389=""),"",SUMIFS('Barang Keluar'!$E:$E,'Barang Keluar'!$A:$A,M389,'Barang Keluar'!$C:$C,N389))</f>
        <v>0</v>
      </c>
    </row>
    <row r="390" spans="1:16">
      <c r="A390">
        <f>IFERROR('Master Barang'!A385,"")</f>
        <v>0</v>
      </c>
      <c r="B390">
        <f>IFERROR('Master Barang'!B385,"")</f>
        <v>0</v>
      </c>
      <c r="C390">
        <f>IFERROR('Master Barang'!D385,"")</f>
        <v>0</v>
      </c>
      <c r="D390">
        <f>IF(A390="","",SUMIFS('Barang Keluar'!$E:$E,'Barang Keluar'!$C:$C,A390,'Barang Keluar'!$A:$A,"&gt;="&amp;$A$4,'Barang Keluar'!$A:$A,"&lt;="&amp;$B$4))</f>
        <v>0</v>
      </c>
      <c r="M390" s="49">
        <f>IF($A$4+3&gt;$B$4,"",$A$4+3)</f>
        <v>46026</v>
      </c>
      <c r="N390">
        <f>IF(M390="","",'Master Barang'!A84)</f>
        <v>0</v>
      </c>
      <c r="O390">
        <f>IF(N390="","",'Master Barang'!B84)</f>
        <v>0</v>
      </c>
      <c r="P390">
        <f>IF(OR(M390="",N390=""),"",SUMIFS('Barang Keluar'!$E:$E,'Barang Keluar'!$A:$A,M390,'Barang Keluar'!$C:$C,N390))</f>
        <v>0</v>
      </c>
    </row>
    <row r="391" spans="1:16">
      <c r="A391">
        <f>IFERROR('Master Barang'!A386,"")</f>
        <v>0</v>
      </c>
      <c r="B391">
        <f>IFERROR('Master Barang'!B386,"")</f>
        <v>0</v>
      </c>
      <c r="C391">
        <f>IFERROR('Master Barang'!D386,"")</f>
        <v>0</v>
      </c>
      <c r="D391">
        <f>IF(A391="","",SUMIFS('Barang Keluar'!$E:$E,'Barang Keluar'!$C:$C,A391,'Barang Keluar'!$A:$A,"&gt;="&amp;$A$4,'Barang Keluar'!$A:$A,"&lt;="&amp;$B$4))</f>
        <v>0</v>
      </c>
      <c r="M391" s="49">
        <f>IF($A$4+3&gt;$B$4,"",$A$4+3)</f>
        <v>46026</v>
      </c>
      <c r="N391">
        <f>IF(M391="","",'Master Barang'!A85)</f>
        <v>0</v>
      </c>
      <c r="O391">
        <f>IF(N391="","",'Master Barang'!B85)</f>
        <v>0</v>
      </c>
      <c r="P391">
        <f>IF(OR(M391="",N391=""),"",SUMIFS('Barang Keluar'!$E:$E,'Barang Keluar'!$A:$A,M391,'Barang Keluar'!$C:$C,N391))</f>
        <v>0</v>
      </c>
    </row>
    <row r="392" spans="1:16">
      <c r="A392">
        <f>IFERROR('Master Barang'!A387,"")</f>
        <v>0</v>
      </c>
      <c r="B392">
        <f>IFERROR('Master Barang'!B387,"")</f>
        <v>0</v>
      </c>
      <c r="C392">
        <f>IFERROR('Master Barang'!D387,"")</f>
        <v>0</v>
      </c>
      <c r="D392">
        <f>IF(A392="","",SUMIFS('Barang Keluar'!$E:$E,'Barang Keluar'!$C:$C,A392,'Barang Keluar'!$A:$A,"&gt;="&amp;$A$4,'Barang Keluar'!$A:$A,"&lt;="&amp;$B$4))</f>
        <v>0</v>
      </c>
      <c r="M392" s="49">
        <f>IF($A$4+3&gt;$B$4,"",$A$4+3)</f>
        <v>46026</v>
      </c>
      <c r="N392">
        <f>IF(M392="","",'Master Barang'!A86)</f>
        <v>0</v>
      </c>
      <c r="O392">
        <f>IF(N392="","",'Master Barang'!B86)</f>
        <v>0</v>
      </c>
      <c r="P392">
        <f>IF(OR(M392="",N392=""),"",SUMIFS('Barang Keluar'!$E:$E,'Barang Keluar'!$A:$A,M392,'Barang Keluar'!$C:$C,N392))</f>
        <v>0</v>
      </c>
    </row>
    <row r="393" spans="1:16">
      <c r="A393">
        <f>IFERROR('Master Barang'!A388,"")</f>
        <v>0</v>
      </c>
      <c r="B393">
        <f>IFERROR('Master Barang'!B388,"")</f>
        <v>0</v>
      </c>
      <c r="C393">
        <f>IFERROR('Master Barang'!D388,"")</f>
        <v>0</v>
      </c>
      <c r="D393">
        <f>IF(A393="","",SUMIFS('Barang Keluar'!$E:$E,'Barang Keluar'!$C:$C,A393,'Barang Keluar'!$A:$A,"&gt;="&amp;$A$4,'Barang Keluar'!$A:$A,"&lt;="&amp;$B$4))</f>
        <v>0</v>
      </c>
      <c r="M393" s="49">
        <f>IF($A$4+3&gt;$B$4,"",$A$4+3)</f>
        <v>46026</v>
      </c>
      <c r="N393">
        <f>IF(M393="","",'Master Barang'!A87)</f>
        <v>0</v>
      </c>
      <c r="O393">
        <f>IF(N393="","",'Master Barang'!B87)</f>
        <v>0</v>
      </c>
      <c r="P393">
        <f>IF(OR(M393="",N393=""),"",SUMIFS('Barang Keluar'!$E:$E,'Barang Keluar'!$A:$A,M393,'Barang Keluar'!$C:$C,N393))</f>
        <v>0</v>
      </c>
    </row>
    <row r="394" spans="1:16">
      <c r="A394">
        <f>IFERROR('Master Barang'!A389,"")</f>
        <v>0</v>
      </c>
      <c r="B394">
        <f>IFERROR('Master Barang'!B389,"")</f>
        <v>0</v>
      </c>
      <c r="C394">
        <f>IFERROR('Master Barang'!D389,"")</f>
        <v>0</v>
      </c>
      <c r="D394">
        <f>IF(A394="","",SUMIFS('Barang Keluar'!$E:$E,'Barang Keluar'!$C:$C,A394,'Barang Keluar'!$A:$A,"&gt;="&amp;$A$4,'Barang Keluar'!$A:$A,"&lt;="&amp;$B$4))</f>
        <v>0</v>
      </c>
      <c r="M394" s="49">
        <f>IF($A$4+3&gt;$B$4,"",$A$4+3)</f>
        <v>46026</v>
      </c>
      <c r="N394">
        <f>IF(M394="","",'Master Barang'!A88)</f>
        <v>0</v>
      </c>
      <c r="O394">
        <f>IF(N394="","",'Master Barang'!B88)</f>
        <v>0</v>
      </c>
      <c r="P394">
        <f>IF(OR(M394="",N394=""),"",SUMIFS('Barang Keluar'!$E:$E,'Barang Keluar'!$A:$A,M394,'Barang Keluar'!$C:$C,N394))</f>
        <v>0</v>
      </c>
    </row>
    <row r="395" spans="1:16">
      <c r="A395">
        <f>IFERROR('Master Barang'!A390,"")</f>
        <v>0</v>
      </c>
      <c r="B395">
        <f>IFERROR('Master Barang'!B390,"")</f>
        <v>0</v>
      </c>
      <c r="C395">
        <f>IFERROR('Master Barang'!D390,"")</f>
        <v>0</v>
      </c>
      <c r="D395">
        <f>IF(A395="","",SUMIFS('Barang Keluar'!$E:$E,'Barang Keluar'!$C:$C,A395,'Barang Keluar'!$A:$A,"&gt;="&amp;$A$4,'Barang Keluar'!$A:$A,"&lt;="&amp;$B$4))</f>
        <v>0</v>
      </c>
      <c r="M395" s="49">
        <f>IF($A$4+3&gt;$B$4,"",$A$4+3)</f>
        <v>46026</v>
      </c>
      <c r="N395">
        <f>IF(M395="","",'Master Barang'!A89)</f>
        <v>0</v>
      </c>
      <c r="O395">
        <f>IF(N395="","",'Master Barang'!B89)</f>
        <v>0</v>
      </c>
      <c r="P395">
        <f>IF(OR(M395="",N395=""),"",SUMIFS('Barang Keluar'!$E:$E,'Barang Keluar'!$A:$A,M395,'Barang Keluar'!$C:$C,N395))</f>
        <v>0</v>
      </c>
    </row>
    <row r="396" spans="1:16">
      <c r="A396">
        <f>IFERROR('Master Barang'!A391,"")</f>
        <v>0</v>
      </c>
      <c r="B396">
        <f>IFERROR('Master Barang'!B391,"")</f>
        <v>0</v>
      </c>
      <c r="C396">
        <f>IFERROR('Master Barang'!D391,"")</f>
        <v>0</v>
      </c>
      <c r="D396">
        <f>IF(A396="","",SUMIFS('Barang Keluar'!$E:$E,'Barang Keluar'!$C:$C,A396,'Barang Keluar'!$A:$A,"&gt;="&amp;$A$4,'Barang Keluar'!$A:$A,"&lt;="&amp;$B$4))</f>
        <v>0</v>
      </c>
      <c r="M396" s="49">
        <f>IF($A$4+3&gt;$B$4,"",$A$4+3)</f>
        <v>46026</v>
      </c>
      <c r="N396">
        <f>IF(M396="","",'Master Barang'!A90)</f>
        <v>0</v>
      </c>
      <c r="O396">
        <f>IF(N396="","",'Master Barang'!B90)</f>
        <v>0</v>
      </c>
      <c r="P396">
        <f>IF(OR(M396="",N396=""),"",SUMIFS('Barang Keluar'!$E:$E,'Barang Keluar'!$A:$A,M396,'Barang Keluar'!$C:$C,N396))</f>
        <v>0</v>
      </c>
    </row>
    <row r="397" spans="1:16">
      <c r="A397">
        <f>IFERROR('Master Barang'!A392,"")</f>
        <v>0</v>
      </c>
      <c r="B397">
        <f>IFERROR('Master Barang'!B392,"")</f>
        <v>0</v>
      </c>
      <c r="C397">
        <f>IFERROR('Master Barang'!D392,"")</f>
        <v>0</v>
      </c>
      <c r="D397">
        <f>IF(A397="","",SUMIFS('Barang Keluar'!$E:$E,'Barang Keluar'!$C:$C,A397,'Barang Keluar'!$A:$A,"&gt;="&amp;$A$4,'Barang Keluar'!$A:$A,"&lt;="&amp;$B$4))</f>
        <v>0</v>
      </c>
      <c r="M397" s="49">
        <f>IF($A$4+3&gt;$B$4,"",$A$4+3)</f>
        <v>46026</v>
      </c>
      <c r="N397">
        <f>IF(M397="","",'Master Barang'!A91)</f>
        <v>0</v>
      </c>
      <c r="O397">
        <f>IF(N397="","",'Master Barang'!B91)</f>
        <v>0</v>
      </c>
      <c r="P397">
        <f>IF(OR(M397="",N397=""),"",SUMIFS('Barang Keluar'!$E:$E,'Barang Keluar'!$A:$A,M397,'Barang Keluar'!$C:$C,N397))</f>
        <v>0</v>
      </c>
    </row>
    <row r="398" spans="1:16">
      <c r="A398">
        <f>IFERROR('Master Barang'!A393,"")</f>
        <v>0</v>
      </c>
      <c r="B398">
        <f>IFERROR('Master Barang'!B393,"")</f>
        <v>0</v>
      </c>
      <c r="C398">
        <f>IFERROR('Master Barang'!D393,"")</f>
        <v>0</v>
      </c>
      <c r="D398">
        <f>IF(A398="","",SUMIFS('Barang Keluar'!$E:$E,'Barang Keluar'!$C:$C,A398,'Barang Keluar'!$A:$A,"&gt;="&amp;$A$4,'Barang Keluar'!$A:$A,"&lt;="&amp;$B$4))</f>
        <v>0</v>
      </c>
      <c r="M398" s="49">
        <f>IF($A$4+3&gt;$B$4,"",$A$4+3)</f>
        <v>46026</v>
      </c>
      <c r="N398">
        <f>IF(M398="","",'Master Barang'!A92)</f>
        <v>0</v>
      </c>
      <c r="O398">
        <f>IF(N398="","",'Master Barang'!B92)</f>
        <v>0</v>
      </c>
      <c r="P398">
        <f>IF(OR(M398="",N398=""),"",SUMIFS('Barang Keluar'!$E:$E,'Barang Keluar'!$A:$A,M398,'Barang Keluar'!$C:$C,N398))</f>
        <v>0</v>
      </c>
    </row>
    <row r="399" spans="1:16">
      <c r="A399">
        <f>IFERROR('Master Barang'!A394,"")</f>
        <v>0</v>
      </c>
      <c r="B399">
        <f>IFERROR('Master Barang'!B394,"")</f>
        <v>0</v>
      </c>
      <c r="C399">
        <f>IFERROR('Master Barang'!D394,"")</f>
        <v>0</v>
      </c>
      <c r="D399">
        <f>IF(A399="","",SUMIFS('Barang Keluar'!$E:$E,'Barang Keluar'!$C:$C,A399,'Barang Keluar'!$A:$A,"&gt;="&amp;$A$4,'Barang Keluar'!$A:$A,"&lt;="&amp;$B$4))</f>
        <v>0</v>
      </c>
      <c r="M399" s="49">
        <f>IF($A$4+3&gt;$B$4,"",$A$4+3)</f>
        <v>46026</v>
      </c>
      <c r="N399">
        <f>IF(M399="","",'Master Barang'!A93)</f>
        <v>0</v>
      </c>
      <c r="O399">
        <f>IF(N399="","",'Master Barang'!B93)</f>
        <v>0</v>
      </c>
      <c r="P399">
        <f>IF(OR(M399="",N399=""),"",SUMIFS('Barang Keluar'!$E:$E,'Barang Keluar'!$A:$A,M399,'Barang Keluar'!$C:$C,N399))</f>
        <v>0</v>
      </c>
    </row>
    <row r="400" spans="1:16">
      <c r="A400">
        <f>IFERROR('Master Barang'!A395,"")</f>
        <v>0</v>
      </c>
      <c r="B400">
        <f>IFERROR('Master Barang'!B395,"")</f>
        <v>0</v>
      </c>
      <c r="C400">
        <f>IFERROR('Master Barang'!D395,"")</f>
        <v>0</v>
      </c>
      <c r="D400">
        <f>IF(A400="","",SUMIFS('Barang Keluar'!$E:$E,'Barang Keluar'!$C:$C,A400,'Barang Keluar'!$A:$A,"&gt;="&amp;$A$4,'Barang Keluar'!$A:$A,"&lt;="&amp;$B$4))</f>
        <v>0</v>
      </c>
      <c r="M400" s="49">
        <f>IF($A$4+3&gt;$B$4,"",$A$4+3)</f>
        <v>46026</v>
      </c>
      <c r="N400">
        <f>IF(M400="","",'Master Barang'!A94)</f>
        <v>0</v>
      </c>
      <c r="O400">
        <f>IF(N400="","",'Master Barang'!B94)</f>
        <v>0</v>
      </c>
      <c r="P400">
        <f>IF(OR(M400="",N400=""),"",SUMIFS('Barang Keluar'!$E:$E,'Barang Keluar'!$A:$A,M400,'Barang Keluar'!$C:$C,N400))</f>
        <v>0</v>
      </c>
    </row>
    <row r="401" spans="1:16">
      <c r="A401">
        <f>IFERROR('Master Barang'!A396,"")</f>
        <v>0</v>
      </c>
      <c r="B401">
        <f>IFERROR('Master Barang'!B396,"")</f>
        <v>0</v>
      </c>
      <c r="C401">
        <f>IFERROR('Master Barang'!D396,"")</f>
        <v>0</v>
      </c>
      <c r="D401">
        <f>IF(A401="","",SUMIFS('Barang Keluar'!$E:$E,'Barang Keluar'!$C:$C,A401,'Barang Keluar'!$A:$A,"&gt;="&amp;$A$4,'Barang Keluar'!$A:$A,"&lt;="&amp;$B$4))</f>
        <v>0</v>
      </c>
      <c r="M401" s="49">
        <f>IF($A$4+3&gt;$B$4,"",$A$4+3)</f>
        <v>46026</v>
      </c>
      <c r="N401">
        <f>IF(M401="","",'Master Barang'!A95)</f>
        <v>0</v>
      </c>
      <c r="O401">
        <f>IF(N401="","",'Master Barang'!B95)</f>
        <v>0</v>
      </c>
      <c r="P401">
        <f>IF(OR(M401="",N401=""),"",SUMIFS('Barang Keluar'!$E:$E,'Barang Keluar'!$A:$A,M401,'Barang Keluar'!$C:$C,N401))</f>
        <v>0</v>
      </c>
    </row>
    <row r="402" spans="1:16">
      <c r="A402">
        <f>IFERROR('Master Barang'!A397,"")</f>
        <v>0</v>
      </c>
      <c r="B402">
        <f>IFERROR('Master Barang'!B397,"")</f>
        <v>0</v>
      </c>
      <c r="C402">
        <f>IFERROR('Master Barang'!D397,"")</f>
        <v>0</v>
      </c>
      <c r="D402">
        <f>IF(A402="","",SUMIFS('Barang Keluar'!$E:$E,'Barang Keluar'!$C:$C,A402,'Barang Keluar'!$A:$A,"&gt;="&amp;$A$4,'Barang Keluar'!$A:$A,"&lt;="&amp;$B$4))</f>
        <v>0</v>
      </c>
      <c r="M402" s="49">
        <f>IF($A$4+3&gt;$B$4,"",$A$4+3)</f>
        <v>46026</v>
      </c>
      <c r="N402">
        <f>IF(M402="","",'Master Barang'!A96)</f>
        <v>0</v>
      </c>
      <c r="O402">
        <f>IF(N402="","",'Master Barang'!B96)</f>
        <v>0</v>
      </c>
      <c r="P402">
        <f>IF(OR(M402="",N402=""),"",SUMIFS('Barang Keluar'!$E:$E,'Barang Keluar'!$A:$A,M402,'Barang Keluar'!$C:$C,N402))</f>
        <v>0</v>
      </c>
    </row>
    <row r="403" spans="1:16">
      <c r="A403">
        <f>IFERROR('Master Barang'!A398,"")</f>
        <v>0</v>
      </c>
      <c r="B403">
        <f>IFERROR('Master Barang'!B398,"")</f>
        <v>0</v>
      </c>
      <c r="C403">
        <f>IFERROR('Master Barang'!D398,"")</f>
        <v>0</v>
      </c>
      <c r="D403">
        <f>IF(A403="","",SUMIFS('Barang Keluar'!$E:$E,'Barang Keluar'!$C:$C,A403,'Barang Keluar'!$A:$A,"&gt;="&amp;$A$4,'Barang Keluar'!$A:$A,"&lt;="&amp;$B$4))</f>
        <v>0</v>
      </c>
      <c r="M403" s="49">
        <f>IF($A$4+3&gt;$B$4,"",$A$4+3)</f>
        <v>46026</v>
      </c>
      <c r="N403">
        <f>IF(M403="","",'Master Barang'!A97)</f>
        <v>0</v>
      </c>
      <c r="O403">
        <f>IF(N403="","",'Master Barang'!B97)</f>
        <v>0</v>
      </c>
      <c r="P403">
        <f>IF(OR(M403="",N403=""),"",SUMIFS('Barang Keluar'!$E:$E,'Barang Keluar'!$A:$A,M403,'Barang Keluar'!$C:$C,N403))</f>
        <v>0</v>
      </c>
    </row>
    <row r="404" spans="1:16">
      <c r="A404">
        <f>IFERROR('Master Barang'!A399,"")</f>
        <v>0</v>
      </c>
      <c r="B404">
        <f>IFERROR('Master Barang'!B399,"")</f>
        <v>0</v>
      </c>
      <c r="C404">
        <f>IFERROR('Master Barang'!D399,"")</f>
        <v>0</v>
      </c>
      <c r="D404">
        <f>IF(A404="","",SUMIFS('Barang Keluar'!$E:$E,'Barang Keluar'!$C:$C,A404,'Barang Keluar'!$A:$A,"&gt;="&amp;$A$4,'Barang Keluar'!$A:$A,"&lt;="&amp;$B$4))</f>
        <v>0</v>
      </c>
      <c r="M404" s="49">
        <f>IF($A$4+3&gt;$B$4,"",$A$4+3)</f>
        <v>46026</v>
      </c>
      <c r="N404">
        <f>IF(M404="","",'Master Barang'!A98)</f>
        <v>0</v>
      </c>
      <c r="O404">
        <f>IF(N404="","",'Master Barang'!B98)</f>
        <v>0</v>
      </c>
      <c r="P404">
        <f>IF(OR(M404="",N404=""),"",SUMIFS('Barang Keluar'!$E:$E,'Barang Keluar'!$A:$A,M404,'Barang Keluar'!$C:$C,N404))</f>
        <v>0</v>
      </c>
    </row>
    <row r="405" spans="1:16">
      <c r="A405">
        <f>IFERROR('Master Barang'!A400,"")</f>
        <v>0</v>
      </c>
      <c r="B405">
        <f>IFERROR('Master Barang'!B400,"")</f>
        <v>0</v>
      </c>
      <c r="C405">
        <f>IFERROR('Master Barang'!D400,"")</f>
        <v>0</v>
      </c>
      <c r="D405">
        <f>IF(A405="","",SUMIFS('Barang Keluar'!$E:$E,'Barang Keluar'!$C:$C,A405,'Barang Keluar'!$A:$A,"&gt;="&amp;$A$4,'Barang Keluar'!$A:$A,"&lt;="&amp;$B$4))</f>
        <v>0</v>
      </c>
      <c r="M405" s="49">
        <f>IF($A$4+3&gt;$B$4,"",$A$4+3)</f>
        <v>46026</v>
      </c>
      <c r="N405">
        <f>IF(M405="","",'Master Barang'!A99)</f>
        <v>0</v>
      </c>
      <c r="O405">
        <f>IF(N405="","",'Master Barang'!B99)</f>
        <v>0</v>
      </c>
      <c r="P405">
        <f>IF(OR(M405="",N405=""),"",SUMIFS('Barang Keluar'!$E:$E,'Barang Keluar'!$A:$A,M405,'Barang Keluar'!$C:$C,N405))</f>
        <v>0</v>
      </c>
    </row>
    <row r="406" spans="1:16">
      <c r="A406">
        <f>IFERROR('Master Barang'!A401,"")</f>
        <v>0</v>
      </c>
      <c r="B406">
        <f>IFERROR('Master Barang'!B401,"")</f>
        <v>0</v>
      </c>
      <c r="C406">
        <f>IFERROR('Master Barang'!D401,"")</f>
        <v>0</v>
      </c>
      <c r="D406">
        <f>IF(A406="","",SUMIFS('Barang Keluar'!$E:$E,'Barang Keluar'!$C:$C,A406,'Barang Keluar'!$A:$A,"&gt;="&amp;$A$4,'Barang Keluar'!$A:$A,"&lt;="&amp;$B$4))</f>
        <v>0</v>
      </c>
      <c r="M406" s="49">
        <f>IF($A$4+3&gt;$B$4,"",$A$4+3)</f>
        <v>46026</v>
      </c>
      <c r="N406">
        <f>IF(M406="","",'Master Barang'!A100)</f>
        <v>0</v>
      </c>
      <c r="O406">
        <f>IF(N406="","",'Master Barang'!B100)</f>
        <v>0</v>
      </c>
      <c r="P406">
        <f>IF(OR(M406="",N406=""),"",SUMIFS('Barang Keluar'!$E:$E,'Barang Keluar'!$A:$A,M406,'Barang Keluar'!$C:$C,N406))</f>
        <v>0</v>
      </c>
    </row>
    <row r="407" spans="1:16">
      <c r="A407">
        <f>IFERROR('Master Barang'!A402,"")</f>
        <v>0</v>
      </c>
      <c r="B407">
        <f>IFERROR('Master Barang'!B402,"")</f>
        <v>0</v>
      </c>
      <c r="C407">
        <f>IFERROR('Master Barang'!D402,"")</f>
        <v>0</v>
      </c>
      <c r="D407">
        <f>IF(A407="","",SUMIFS('Barang Keluar'!$E:$E,'Barang Keluar'!$C:$C,A407,'Barang Keluar'!$A:$A,"&gt;="&amp;$A$4,'Barang Keluar'!$A:$A,"&lt;="&amp;$B$4))</f>
        <v>0</v>
      </c>
      <c r="M407" s="49">
        <f>IF($A$4+3&gt;$B$4,"",$A$4+3)</f>
        <v>46026</v>
      </c>
      <c r="N407">
        <f>IF(M407="","",'Master Barang'!A101)</f>
        <v>0</v>
      </c>
      <c r="O407">
        <f>IF(N407="","",'Master Barang'!B101)</f>
        <v>0</v>
      </c>
      <c r="P407">
        <f>IF(OR(M407="",N407=""),"",SUMIFS('Barang Keluar'!$E:$E,'Barang Keluar'!$A:$A,M407,'Barang Keluar'!$C:$C,N407))</f>
        <v>0</v>
      </c>
    </row>
    <row r="408" spans="1:16">
      <c r="A408">
        <f>IFERROR('Master Barang'!A403,"")</f>
        <v>0</v>
      </c>
      <c r="B408">
        <f>IFERROR('Master Barang'!B403,"")</f>
        <v>0</v>
      </c>
      <c r="C408">
        <f>IFERROR('Master Barang'!D403,"")</f>
        <v>0</v>
      </c>
      <c r="D408">
        <f>IF(A408="","",SUMIFS('Barang Keluar'!$E:$E,'Barang Keluar'!$C:$C,A408,'Barang Keluar'!$A:$A,"&gt;="&amp;$A$4,'Barang Keluar'!$A:$A,"&lt;="&amp;$B$4))</f>
        <v>0</v>
      </c>
      <c r="M408" s="49">
        <f>IF($A$4+4&gt;$B$4,"",$A$4+4)</f>
        <v>46027</v>
      </c>
      <c r="N408" t="str">
        <f>IF(M408="","",'Master Barang'!A2)</f>
        <v>PRL-001</v>
      </c>
      <c r="O408" t="str">
        <f>IF(N408="","",'Master Barang'!B2)</f>
        <v>natura desinfectant food grade 5l</v>
      </c>
      <c r="P408">
        <f>IF(OR(M408="",N408=""),"",SUMIFS('Barang Keluar'!$E:$E,'Barang Keluar'!$A:$A,M408,'Barang Keluar'!$C:$C,N408))</f>
        <v>0</v>
      </c>
    </row>
    <row r="409" spans="1:16">
      <c r="A409">
        <f>IFERROR('Master Barang'!A404,"")</f>
        <v>0</v>
      </c>
      <c r="B409">
        <f>IFERROR('Master Barang'!B404,"")</f>
        <v>0</v>
      </c>
      <c r="C409">
        <f>IFERROR('Master Barang'!D404,"")</f>
        <v>0</v>
      </c>
      <c r="D409">
        <f>IF(A409="","",SUMIFS('Barang Keluar'!$E:$E,'Barang Keluar'!$C:$C,A409,'Barang Keluar'!$A:$A,"&gt;="&amp;$A$4,'Barang Keluar'!$A:$A,"&lt;="&amp;$B$4))</f>
        <v>0</v>
      </c>
      <c r="M409" s="49">
        <f>IF($A$4+4&gt;$B$4,"",$A$4+4)</f>
        <v>46027</v>
      </c>
      <c r="N409" t="str">
        <f>IF(M409="","",'Master Barang'!A3)</f>
        <v>PRL-002</v>
      </c>
      <c r="O409" t="str">
        <f>IF(N409="","",'Master Barang'!B3)</f>
        <v>sunlight cairan pencuci piring 5l</v>
      </c>
      <c r="P409">
        <f>IF(OR(M409="",N409=""),"",SUMIFS('Barang Keluar'!$E:$E,'Barang Keluar'!$A:$A,M409,'Barang Keluar'!$C:$C,N409))</f>
        <v>0</v>
      </c>
    </row>
    <row r="410" spans="1:16">
      <c r="A410">
        <f>IFERROR('Master Barang'!A405,"")</f>
        <v>0</v>
      </c>
      <c r="B410">
        <f>IFERROR('Master Barang'!B405,"")</f>
        <v>0</v>
      </c>
      <c r="C410">
        <f>IFERROR('Master Barang'!D405,"")</f>
        <v>0</v>
      </c>
      <c r="D410">
        <f>IF(A410="","",SUMIFS('Barang Keluar'!$E:$E,'Barang Keluar'!$C:$C,A410,'Barang Keluar'!$A:$A,"&gt;="&amp;$A$4,'Barang Keluar'!$A:$A,"&lt;="&amp;$B$4))</f>
        <v>0</v>
      </c>
      <c r="M410" s="49">
        <f>IF($A$4+4&gt;$B$4,"",$A$4+4)</f>
        <v>46027</v>
      </c>
      <c r="N410" t="str">
        <f>IF(M410="","",'Master Barang'!A4)</f>
        <v>PRL-003</v>
      </c>
      <c r="O410" t="str">
        <f>IF(N410="","",'Master Barang'!B4)</f>
        <v>oixs cleaner 1l</v>
      </c>
      <c r="P410">
        <f>IF(OR(M410="",N410=""),"",SUMIFS('Barang Keluar'!$E:$E,'Barang Keluar'!$A:$A,M410,'Barang Keluar'!$C:$C,N410))</f>
        <v>0</v>
      </c>
    </row>
    <row r="411" spans="1:16">
      <c r="A411">
        <f>IFERROR('Master Barang'!A406,"")</f>
        <v>0</v>
      </c>
      <c r="B411">
        <f>IFERROR('Master Barang'!B406,"")</f>
        <v>0</v>
      </c>
      <c r="C411">
        <f>IFERROR('Master Barang'!D406,"")</f>
        <v>0</v>
      </c>
      <c r="D411">
        <f>IF(A411="","",SUMIFS('Barang Keluar'!$E:$E,'Barang Keluar'!$C:$C,A411,'Barang Keluar'!$A:$A,"&gt;="&amp;$A$4,'Barang Keluar'!$A:$A,"&lt;="&amp;$B$4))</f>
        <v>0</v>
      </c>
      <c r="M411" s="49">
        <f>IF($A$4+4&gt;$B$4,"",$A$4+4)</f>
        <v>46027</v>
      </c>
      <c r="N411" t="str">
        <f>IF(M411="","",'Master Barang'!A5)</f>
        <v>PRL-004</v>
      </c>
      <c r="O411" t="str">
        <f>IF(N411="","",'Master Barang'!B5)</f>
        <v>be clean tissue serbaguna</v>
      </c>
      <c r="P411">
        <f>IF(OR(M411="",N411=""),"",SUMIFS('Barang Keluar'!$E:$E,'Barang Keluar'!$A:$A,M411,'Barang Keluar'!$C:$C,N411))</f>
        <v>0</v>
      </c>
    </row>
    <row r="412" spans="1:16">
      <c r="A412">
        <f>IFERROR('Master Barang'!A407,"")</f>
        <v>0</v>
      </c>
      <c r="B412">
        <f>IFERROR('Master Barang'!B407,"")</f>
        <v>0</v>
      </c>
      <c r="C412">
        <f>IFERROR('Master Barang'!D407,"")</f>
        <v>0</v>
      </c>
      <c r="D412">
        <f>IF(A412="","",SUMIFS('Barang Keluar'!$E:$E,'Barang Keluar'!$C:$C,A412,'Barang Keluar'!$A:$A,"&gt;="&amp;$A$4,'Barang Keluar'!$A:$A,"&lt;="&amp;$B$4))</f>
        <v>0</v>
      </c>
      <c r="M412" s="49">
        <f>IF($A$4+4&gt;$B$4,"",$A$4+4)</f>
        <v>46027</v>
      </c>
      <c r="N412" t="str">
        <f>IF(M412="","",'Master Barang'!A6)</f>
        <v>PRL-005</v>
      </c>
      <c r="O412" t="str">
        <f>IF(N412="","",'Master Barang'!B6)</f>
        <v>spons cuci hijau</v>
      </c>
      <c r="P412">
        <f>IF(OR(M412="",N412=""),"",SUMIFS('Barang Keluar'!$E:$E,'Barang Keluar'!$A:$A,M412,'Barang Keluar'!$C:$C,N412))</f>
        <v>0</v>
      </c>
    </row>
    <row r="413" spans="1:16">
      <c r="A413">
        <f>IFERROR('Master Barang'!A408,"")</f>
        <v>0</v>
      </c>
      <c r="B413">
        <f>IFERROR('Master Barang'!B408,"")</f>
        <v>0</v>
      </c>
      <c r="C413">
        <f>IFERROR('Master Barang'!D408,"")</f>
        <v>0</v>
      </c>
      <c r="D413">
        <f>IF(A413="","",SUMIFS('Barang Keluar'!$E:$E,'Barang Keluar'!$C:$C,A413,'Barang Keluar'!$A:$A,"&gt;="&amp;$A$4,'Barang Keluar'!$A:$A,"&lt;="&amp;$B$4))</f>
        <v>0</v>
      </c>
      <c r="M413" s="49">
        <f>IF($A$4+4&gt;$B$4,"",$A$4+4)</f>
        <v>46027</v>
      </c>
      <c r="N413" t="str">
        <f>IF(M413="","",'Master Barang'!A7)</f>
        <v>PRL-006</v>
      </c>
      <c r="O413" t="str">
        <f>IF(N413="","",'Master Barang'!B7)</f>
        <v>sabut cuci stainless</v>
      </c>
      <c r="P413">
        <f>IF(OR(M413="",N413=""),"",SUMIFS('Barang Keluar'!$E:$E,'Barang Keluar'!$A:$A,M413,'Barang Keluar'!$C:$C,N413))</f>
        <v>0</v>
      </c>
    </row>
    <row r="414" spans="1:16">
      <c r="A414">
        <f>IFERROR('Master Barang'!A409,"")</f>
        <v>0</v>
      </c>
      <c r="B414">
        <f>IFERROR('Master Barang'!B409,"")</f>
        <v>0</v>
      </c>
      <c r="C414">
        <f>IFERROR('Master Barang'!D409,"")</f>
        <v>0</v>
      </c>
      <c r="D414">
        <f>IF(A414="","",SUMIFS('Barang Keluar'!$E:$E,'Barang Keluar'!$C:$C,A414,'Barang Keluar'!$A:$A,"&gt;="&amp;$A$4,'Barang Keluar'!$A:$A,"&lt;="&amp;$B$4))</f>
        <v>0</v>
      </c>
      <c r="M414" s="49">
        <f>IF($A$4+4&gt;$B$4,"",$A$4+4)</f>
        <v>46027</v>
      </c>
      <c r="N414" t="str">
        <f>IF(M414="","",'Master Barang'!A8)</f>
        <v>PRL-007</v>
      </c>
      <c r="O414" t="str">
        <f>IF(N414="","",'Master Barang'!B8)</f>
        <v>plastik kresek besar merah 50pc</v>
      </c>
      <c r="P414">
        <f>IF(OR(M414="",N414=""),"",SUMIFS('Barang Keluar'!$E:$E,'Barang Keluar'!$A:$A,M414,'Barang Keluar'!$C:$C,N414))</f>
        <v>0</v>
      </c>
    </row>
    <row r="415" spans="1:16">
      <c r="A415">
        <f>IFERROR('Master Barang'!A410,"")</f>
        <v>0</v>
      </c>
      <c r="B415">
        <f>IFERROR('Master Barang'!B410,"")</f>
        <v>0</v>
      </c>
      <c r="C415">
        <f>IFERROR('Master Barang'!D410,"")</f>
        <v>0</v>
      </c>
      <c r="D415">
        <f>IF(A415="","",SUMIFS('Barang Keluar'!$E:$E,'Barang Keluar'!$C:$C,A415,'Barang Keluar'!$A:$A,"&gt;="&amp;$A$4,'Barang Keluar'!$A:$A,"&lt;="&amp;$B$4))</f>
        <v>0</v>
      </c>
      <c r="M415" s="49">
        <f>IF($A$4+4&gt;$B$4,"",$A$4+4)</f>
        <v>46027</v>
      </c>
      <c r="N415" t="str">
        <f>IF(M415="","",'Master Barang'!A9)</f>
        <v>PRL-008</v>
      </c>
      <c r="O415" t="str">
        <f>IF(N415="","",'Master Barang'!B9)</f>
        <v>lap besar</v>
      </c>
      <c r="P415">
        <f>IF(OR(M415="",N415=""),"",SUMIFS('Barang Keluar'!$E:$E,'Barang Keluar'!$A:$A,M415,'Barang Keluar'!$C:$C,N415))</f>
        <v>0</v>
      </c>
    </row>
    <row r="416" spans="1:16">
      <c r="A416">
        <f>IFERROR('Master Barang'!A411,"")</f>
        <v>0</v>
      </c>
      <c r="B416">
        <f>IFERROR('Master Barang'!B411,"")</f>
        <v>0</v>
      </c>
      <c r="C416">
        <f>IFERROR('Master Barang'!D411,"")</f>
        <v>0</v>
      </c>
      <c r="D416">
        <f>IF(A416="","",SUMIFS('Barang Keluar'!$E:$E,'Barang Keluar'!$C:$C,A416,'Barang Keluar'!$A:$A,"&gt;="&amp;$A$4,'Barang Keluar'!$A:$A,"&lt;="&amp;$B$4))</f>
        <v>0</v>
      </c>
      <c r="M416" s="49">
        <f>IF($A$4+4&gt;$B$4,"",$A$4+4)</f>
        <v>46027</v>
      </c>
      <c r="N416" t="str">
        <f>IF(M416="","",'Master Barang'!A10)</f>
        <v>PRL-009</v>
      </c>
      <c r="O416" t="str">
        <f>IF(N416="","",'Master Barang'!B10)</f>
        <v>lap microfiber</v>
      </c>
      <c r="P416">
        <f>IF(OR(M416="",N416=""),"",SUMIFS('Barang Keluar'!$E:$E,'Barang Keluar'!$A:$A,M416,'Barang Keluar'!$C:$C,N416))</f>
        <v>0</v>
      </c>
    </row>
    <row r="417" spans="1:16">
      <c r="A417">
        <f>IFERROR('Master Barang'!A412,"")</f>
        <v>0</v>
      </c>
      <c r="B417">
        <f>IFERROR('Master Barang'!B412,"")</f>
        <v>0</v>
      </c>
      <c r="C417">
        <f>IFERROR('Master Barang'!D412,"")</f>
        <v>0</v>
      </c>
      <c r="D417">
        <f>IF(A417="","",SUMIFS('Barang Keluar'!$E:$E,'Barang Keluar'!$C:$C,A417,'Barang Keluar'!$A:$A,"&gt;="&amp;$A$4,'Barang Keluar'!$A:$A,"&lt;="&amp;$B$4))</f>
        <v>0</v>
      </c>
      <c r="M417" s="49">
        <f>IF($A$4+4&gt;$B$4,"",$A$4+4)</f>
        <v>46027</v>
      </c>
      <c r="N417" t="str">
        <f>IF(M417="","",'Master Barang'!A11)</f>
        <v>PRL-010</v>
      </c>
      <c r="O417" t="str">
        <f>IF(N417="","",'Master Barang'!B11)</f>
        <v>lap kecil</v>
      </c>
      <c r="P417">
        <f>IF(OR(M417="",N417=""),"",SUMIFS('Barang Keluar'!$E:$E,'Barang Keluar'!$A:$A,M417,'Barang Keluar'!$C:$C,N417))</f>
        <v>0</v>
      </c>
    </row>
    <row r="418" spans="1:16">
      <c r="A418">
        <f>IFERROR('Master Barang'!A413,"")</f>
        <v>0</v>
      </c>
      <c r="B418">
        <f>IFERROR('Master Barang'!B413,"")</f>
        <v>0</v>
      </c>
      <c r="C418">
        <f>IFERROR('Master Barang'!D413,"")</f>
        <v>0</v>
      </c>
      <c r="D418">
        <f>IF(A418="","",SUMIFS('Barang Keluar'!$E:$E,'Barang Keluar'!$C:$C,A418,'Barang Keluar'!$A:$A,"&gt;="&amp;$A$4,'Barang Keluar'!$A:$A,"&lt;="&amp;$B$4))</f>
        <v>0</v>
      </c>
      <c r="M418" s="49">
        <f>IF($A$4+4&gt;$B$4,"",$A$4+4)</f>
        <v>46027</v>
      </c>
      <c r="N418" t="str">
        <f>IF(M418="","",'Master Barang'!A12)</f>
        <v>PRL-011</v>
      </c>
      <c r="O418" t="str">
        <f>IF(N418="","",'Master Barang'!B12)</f>
        <v>kanebo kecil</v>
      </c>
      <c r="P418">
        <f>IF(OR(M418="",N418=""),"",SUMIFS('Barang Keluar'!$E:$E,'Barang Keluar'!$A:$A,M418,'Barang Keluar'!$C:$C,N418))</f>
        <v>0</v>
      </c>
    </row>
    <row r="419" spans="1:16">
      <c r="A419">
        <f>IFERROR('Master Barang'!A414,"")</f>
        <v>0</v>
      </c>
      <c r="B419">
        <f>IFERROR('Master Barang'!B414,"")</f>
        <v>0</v>
      </c>
      <c r="C419">
        <f>IFERROR('Master Barang'!D414,"")</f>
        <v>0</v>
      </c>
      <c r="D419">
        <f>IF(A419="","",SUMIFS('Barang Keluar'!$E:$E,'Barang Keluar'!$C:$C,A419,'Barang Keluar'!$A:$A,"&gt;="&amp;$A$4,'Barang Keluar'!$A:$A,"&lt;="&amp;$B$4))</f>
        <v>0</v>
      </c>
      <c r="M419" s="49">
        <f>IF($A$4+4&gt;$B$4,"",$A$4+4)</f>
        <v>46027</v>
      </c>
      <c r="N419" t="str">
        <f>IF(M419="","",'Master Barang'!A13)</f>
        <v>PRL-012</v>
      </c>
      <c r="O419" t="str">
        <f>IF(N419="","",'Master Barang'!B13)</f>
        <v>plastik 1/4kg joyoboyo 100 lembar</v>
      </c>
      <c r="P419">
        <f>IF(OR(M419="",N419=""),"",SUMIFS('Barang Keluar'!$E:$E,'Barang Keluar'!$A:$A,M419,'Barang Keluar'!$C:$C,N419))</f>
        <v>0</v>
      </c>
    </row>
    <row r="420" spans="1:16">
      <c r="A420">
        <f>IFERROR('Master Barang'!A415,"")</f>
        <v>0</v>
      </c>
      <c r="B420">
        <f>IFERROR('Master Barang'!B415,"")</f>
        <v>0</v>
      </c>
      <c r="C420">
        <f>IFERROR('Master Barang'!D415,"")</f>
        <v>0</v>
      </c>
      <c r="D420">
        <f>IF(A420="","",SUMIFS('Barang Keluar'!$E:$E,'Barang Keluar'!$C:$C,A420,'Barang Keluar'!$A:$A,"&gt;="&amp;$A$4,'Barang Keluar'!$A:$A,"&lt;="&amp;$B$4))</f>
        <v>0</v>
      </c>
      <c r="M420" s="49">
        <f>IF($A$4+4&gt;$B$4,"",$A$4+4)</f>
        <v>46027</v>
      </c>
      <c r="N420" t="str">
        <f>IF(M420="","",'Master Barang'!A14)</f>
        <v>PRL-013</v>
      </c>
      <c r="O420" t="str">
        <f>IF(N420="","",'Master Barang'!B14)</f>
        <v>sarung tangan plastik kaka 100 pcs</v>
      </c>
      <c r="P420">
        <f>IF(OR(M420="",N420=""),"",SUMIFS('Barang Keluar'!$E:$E,'Barang Keluar'!$A:$A,M420,'Barang Keluar'!$C:$C,N420))</f>
        <v>0</v>
      </c>
    </row>
    <row r="421" spans="1:16">
      <c r="A421">
        <f>IFERROR('Master Barang'!A416,"")</f>
        <v>0</v>
      </c>
      <c r="B421">
        <f>IFERROR('Master Barang'!B416,"")</f>
        <v>0</v>
      </c>
      <c r="C421">
        <f>IFERROR('Master Barang'!D416,"")</f>
        <v>0</v>
      </c>
      <c r="D421">
        <f>IF(A421="","",SUMIFS('Barang Keluar'!$E:$E,'Barang Keluar'!$C:$C,A421,'Barang Keluar'!$A:$A,"&gt;="&amp;$A$4,'Barang Keluar'!$A:$A,"&lt;="&amp;$B$4))</f>
        <v>0</v>
      </c>
      <c r="M421" s="49">
        <f>IF($A$4+4&gt;$B$4,"",$A$4+4)</f>
        <v>46027</v>
      </c>
      <c r="N421" t="str">
        <f>IF(M421="","",'Master Barang'!A15)</f>
        <v>PRL-014</v>
      </c>
      <c r="O421" t="str">
        <f>IF(N421="","",'Master Barang'!B15)</f>
        <v>optima trashbag 80x100</v>
      </c>
      <c r="P421">
        <f>IF(OR(M421="",N421=""),"",SUMIFS('Barang Keluar'!$E:$E,'Barang Keluar'!$A:$A,M421,'Barang Keluar'!$C:$C,N421))</f>
        <v>0</v>
      </c>
    </row>
    <row r="422" spans="1:16">
      <c r="A422">
        <f>IFERROR('Master Barang'!A417,"")</f>
        <v>0</v>
      </c>
      <c r="B422">
        <f>IFERROR('Master Barang'!B417,"")</f>
        <v>0</v>
      </c>
      <c r="C422">
        <f>IFERROR('Master Barang'!D417,"")</f>
        <v>0</v>
      </c>
      <c r="D422">
        <f>IF(A422="","",SUMIFS('Barang Keluar'!$E:$E,'Barang Keluar'!$C:$C,A422,'Barang Keluar'!$A:$A,"&gt;="&amp;$A$4,'Barang Keluar'!$A:$A,"&lt;="&amp;$B$4))</f>
        <v>0</v>
      </c>
      <c r="M422" s="49">
        <f>IF($A$4+4&gt;$B$4,"",$A$4+4)</f>
        <v>46027</v>
      </c>
      <c r="N422" t="str">
        <f>IF(M422="","",'Master Barang'!A16)</f>
        <v>PRL-015</v>
      </c>
      <c r="O422" t="str">
        <f>IF(N422="","",'Master Barang'!B16)</f>
        <v>optima trashbag 60x100</v>
      </c>
      <c r="P422">
        <f>IF(OR(M422="",N422=""),"",SUMIFS('Barang Keluar'!$E:$E,'Barang Keluar'!$A:$A,M422,'Barang Keluar'!$C:$C,N422))</f>
        <v>0</v>
      </c>
    </row>
    <row r="423" spans="1:16">
      <c r="A423">
        <f>IFERROR('Master Barang'!A418,"")</f>
        <v>0</v>
      </c>
      <c r="B423">
        <f>IFERROR('Master Barang'!B418,"")</f>
        <v>0</v>
      </c>
      <c r="C423">
        <f>IFERROR('Master Barang'!D418,"")</f>
        <v>0</v>
      </c>
      <c r="D423">
        <f>IF(A423="","",SUMIFS('Barang Keluar'!$E:$E,'Barang Keluar'!$C:$C,A423,'Barang Keluar'!$A:$A,"&gt;="&amp;$A$4,'Barang Keluar'!$A:$A,"&lt;="&amp;$B$4))</f>
        <v>0</v>
      </c>
      <c r="M423" s="49">
        <f>IF($A$4+4&gt;$B$4,"",$A$4+4)</f>
        <v>46027</v>
      </c>
      <c r="N423" t="str">
        <f>IF(M423="","",'Master Barang'!A17)</f>
        <v>PRL-016</v>
      </c>
      <c r="O423" t="str">
        <f>IF(N423="","",'Master Barang'!B17)</f>
        <v>rajawali trashbag 30x40</v>
      </c>
      <c r="P423">
        <f>IF(OR(M423="",N423=""),"",SUMIFS('Barang Keluar'!$E:$E,'Barang Keluar'!$A:$A,M423,'Barang Keluar'!$C:$C,N423))</f>
        <v>0</v>
      </c>
    </row>
    <row r="424" spans="1:16">
      <c r="A424">
        <f>IFERROR('Master Barang'!A419,"")</f>
        <v>0</v>
      </c>
      <c r="B424">
        <f>IFERROR('Master Barang'!B419,"")</f>
        <v>0</v>
      </c>
      <c r="C424">
        <f>IFERROR('Master Barang'!D419,"")</f>
        <v>0</v>
      </c>
      <c r="D424">
        <f>IF(A424="","",SUMIFS('Barang Keluar'!$E:$E,'Barang Keluar'!$C:$C,A424,'Barang Keluar'!$A:$A,"&gt;="&amp;$A$4,'Barang Keluar'!$A:$A,"&lt;="&amp;$B$4))</f>
        <v>0</v>
      </c>
      <c r="M424" s="49">
        <f>IF($A$4+4&gt;$B$4,"",$A$4+4)</f>
        <v>46027</v>
      </c>
      <c r="N424" t="str">
        <f>IF(M424="","",'Master Barang'!A18)</f>
        <v>PRL-017</v>
      </c>
      <c r="O424" t="str">
        <f>IF(N424="","",'Master Barang'!B18)</f>
        <v>onemed masker biru 3 play 50 pcs</v>
      </c>
      <c r="P424">
        <f>IF(OR(M424="",N424=""),"",SUMIFS('Barang Keluar'!$E:$E,'Barang Keluar'!$A:$A,M424,'Barang Keluar'!$C:$C,N424))</f>
        <v>0</v>
      </c>
    </row>
    <row r="425" spans="1:16">
      <c r="A425">
        <f>IFERROR('Master Barang'!A420,"")</f>
        <v>0</v>
      </c>
      <c r="B425">
        <f>IFERROR('Master Barang'!B420,"")</f>
        <v>0</v>
      </c>
      <c r="C425">
        <f>IFERROR('Master Barang'!D420,"")</f>
        <v>0</v>
      </c>
      <c r="D425">
        <f>IF(A425="","",SUMIFS('Barang Keluar'!$E:$E,'Barang Keluar'!$C:$C,A425,'Barang Keluar'!$A:$A,"&gt;="&amp;$A$4,'Barang Keluar'!$A:$A,"&lt;="&amp;$B$4))</f>
        <v>0</v>
      </c>
      <c r="M425" s="49">
        <f>IF($A$4+4&gt;$B$4,"",$A$4+4)</f>
        <v>46027</v>
      </c>
      <c r="N425" t="str">
        <f>IF(M425="","",'Master Barang'!A19)</f>
        <v>PRL-018</v>
      </c>
      <c r="O425" t="str">
        <f>IF(N425="","",'Master Barang'!B19)</f>
        <v>onemed masker biru 3 play hijab 50 pcs</v>
      </c>
      <c r="P425">
        <f>IF(OR(M425="",N425=""),"",SUMIFS('Barang Keluar'!$E:$E,'Barang Keluar'!$A:$A,M425,'Barang Keluar'!$C:$C,N425))</f>
        <v>0</v>
      </c>
    </row>
    <row r="426" spans="1:16">
      <c r="A426">
        <f>IFERROR('Master Barang'!A421,"")</f>
        <v>0</v>
      </c>
      <c r="B426">
        <f>IFERROR('Master Barang'!B421,"")</f>
        <v>0</v>
      </c>
      <c r="C426">
        <f>IFERROR('Master Barang'!D421,"")</f>
        <v>0</v>
      </c>
      <c r="D426">
        <f>IF(A426="","",SUMIFS('Barang Keluar'!$E:$E,'Barang Keluar'!$C:$C,A426,'Barang Keluar'!$A:$A,"&gt;="&amp;$A$4,'Barang Keluar'!$A:$A,"&lt;="&amp;$B$4))</f>
        <v>0</v>
      </c>
      <c r="M426" s="49">
        <f>IF($A$4+4&gt;$B$4,"",$A$4+4)</f>
        <v>46027</v>
      </c>
      <c r="N426" t="str">
        <f>IF(M426="","",'Master Barang'!A20)</f>
        <v>PRL-019</v>
      </c>
      <c r="O426" t="str">
        <f>IF(N426="","",'Master Barang'!B20)</f>
        <v>neo health masker biru 3 play 50 pcs</v>
      </c>
      <c r="P426">
        <f>IF(OR(M426="",N426=""),"",SUMIFS('Barang Keluar'!$E:$E,'Barang Keluar'!$A:$A,M426,'Barang Keluar'!$C:$C,N426))</f>
        <v>0</v>
      </c>
    </row>
    <row r="427" spans="1:16">
      <c r="A427">
        <f>IFERROR('Master Barang'!A422,"")</f>
        <v>0</v>
      </c>
      <c r="B427">
        <f>IFERROR('Master Barang'!B422,"")</f>
        <v>0</v>
      </c>
      <c r="C427">
        <f>IFERROR('Master Barang'!D422,"")</f>
        <v>0</v>
      </c>
      <c r="D427">
        <f>IF(A427="","",SUMIFS('Barang Keluar'!$E:$E,'Barang Keluar'!$C:$C,A427,'Barang Keluar'!$A:$A,"&gt;="&amp;$A$4,'Barang Keluar'!$A:$A,"&lt;="&amp;$B$4))</f>
        <v>0</v>
      </c>
      <c r="M427" s="49">
        <f>IF($A$4+4&gt;$B$4,"",$A$4+4)</f>
        <v>46027</v>
      </c>
      <c r="N427" t="str">
        <f>IF(M427="","",'Master Barang'!A21)</f>
        <v>PRL-020</v>
      </c>
      <c r="O427" t="str">
        <f>IF(N427="","",'Master Barang'!B21)</f>
        <v>baymed masker hijau 3 play hijau 50 pcs</v>
      </c>
      <c r="P427">
        <f>IF(OR(M427="",N427=""),"",SUMIFS('Barang Keluar'!$E:$E,'Barang Keluar'!$A:$A,M427,'Barang Keluar'!$C:$C,N427))</f>
        <v>0</v>
      </c>
    </row>
    <row r="428" spans="1:16">
      <c r="A428">
        <f>IFERROR('Master Barang'!A423,"")</f>
        <v>0</v>
      </c>
      <c r="B428">
        <f>IFERROR('Master Barang'!B423,"")</f>
        <v>0</v>
      </c>
      <c r="C428">
        <f>IFERROR('Master Barang'!D423,"")</f>
        <v>0</v>
      </c>
      <c r="D428">
        <f>IF(A428="","",SUMIFS('Barang Keluar'!$E:$E,'Barang Keluar'!$C:$C,A428,'Barang Keluar'!$A:$A,"&gt;="&amp;$A$4,'Barang Keluar'!$A:$A,"&lt;="&amp;$B$4))</f>
        <v>0</v>
      </c>
      <c r="M428" s="49">
        <f>IF($A$4+4&gt;$B$4,"",$A$4+4)</f>
        <v>46027</v>
      </c>
      <c r="N428" t="str">
        <f>IF(M428="","",'Master Barang'!A22)</f>
        <v>PRL-021</v>
      </c>
      <c r="O428" t="str">
        <f>IF(N428="","",'Master Barang'!B22)</f>
        <v>altamed nurse cap penutup kepala 100 pcs</v>
      </c>
      <c r="P428">
        <f>IF(OR(M428="",N428=""),"",SUMIFS('Barang Keluar'!$E:$E,'Barang Keluar'!$A:$A,M428,'Barang Keluar'!$C:$C,N428))</f>
        <v>0</v>
      </c>
    </row>
    <row r="429" spans="1:16">
      <c r="A429">
        <f>IFERROR('Master Barang'!A424,"")</f>
        <v>0</v>
      </c>
      <c r="B429">
        <f>IFERROR('Master Barang'!B424,"")</f>
        <v>0</v>
      </c>
      <c r="C429">
        <f>IFERROR('Master Barang'!D424,"")</f>
        <v>0</v>
      </c>
      <c r="D429">
        <f>IF(A429="","",SUMIFS('Barang Keluar'!$E:$E,'Barang Keluar'!$C:$C,A429,'Barang Keluar'!$A:$A,"&gt;="&amp;$A$4,'Barang Keluar'!$A:$A,"&lt;="&amp;$B$4))</f>
        <v>0</v>
      </c>
      <c r="M429" s="49">
        <f>IF($A$4+4&gt;$B$4,"",$A$4+4)</f>
        <v>46027</v>
      </c>
      <c r="N429" t="str">
        <f>IF(M429="","",'Master Barang'!A23)</f>
        <v>PRL-022</v>
      </c>
      <c r="O429" t="str">
        <f>IF(N429="","",'Master Barang'!B23)</f>
        <v>sabun cuci tangan</v>
      </c>
      <c r="P429">
        <f>IF(OR(M429="",N429=""),"",SUMIFS('Barang Keluar'!$E:$E,'Barang Keluar'!$A:$A,M429,'Barang Keluar'!$C:$C,N429))</f>
        <v>0</v>
      </c>
    </row>
    <row r="430" spans="1:16">
      <c r="A430">
        <f>IFERROR('Master Barang'!A425,"")</f>
        <v>0</v>
      </c>
      <c r="B430">
        <f>IFERROR('Master Barang'!B425,"")</f>
        <v>0</v>
      </c>
      <c r="C430">
        <f>IFERROR('Master Barang'!D425,"")</f>
        <v>0</v>
      </c>
      <c r="D430">
        <f>IF(A430="","",SUMIFS('Barang Keluar'!$E:$E,'Barang Keluar'!$C:$C,A430,'Barang Keluar'!$A:$A,"&gt;="&amp;$A$4,'Barang Keluar'!$A:$A,"&lt;="&amp;$B$4))</f>
        <v>0</v>
      </c>
      <c r="M430" s="49">
        <f>IF($A$4+4&gt;$B$4,"",$A$4+4)</f>
        <v>46027</v>
      </c>
      <c r="N430" t="str">
        <f>IF(M430="","",'Master Barang'!A24)</f>
        <v>PRL-023</v>
      </c>
      <c r="O430" t="str">
        <f>IF(N430="","",'Master Barang'!B24)</f>
        <v>gayung kecil</v>
      </c>
      <c r="P430">
        <f>IF(OR(M430="",N430=""),"",SUMIFS('Barang Keluar'!$E:$E,'Barang Keluar'!$A:$A,M430,'Barang Keluar'!$C:$C,N430))</f>
        <v>0</v>
      </c>
    </row>
    <row r="431" spans="1:16">
      <c r="A431">
        <f>IFERROR('Master Barang'!A426,"")</f>
        <v>0</v>
      </c>
      <c r="B431">
        <f>IFERROR('Master Barang'!B426,"")</f>
        <v>0</v>
      </c>
      <c r="C431">
        <f>IFERROR('Master Barang'!D426,"")</f>
        <v>0</v>
      </c>
      <c r="D431">
        <f>IF(A431="","",SUMIFS('Barang Keluar'!$E:$E,'Barang Keluar'!$C:$C,A431,'Barang Keluar'!$A:$A,"&gt;="&amp;$A$4,'Barang Keluar'!$A:$A,"&lt;="&amp;$B$4))</f>
        <v>0</v>
      </c>
      <c r="M431" s="49">
        <f>IF($A$4+4&gt;$B$4,"",$A$4+4)</f>
        <v>46027</v>
      </c>
      <c r="N431" t="str">
        <f>IF(M431="","",'Master Barang'!A25)</f>
        <v>PRL-024</v>
      </c>
      <c r="O431" t="str">
        <f>IF(N431="","",'Master Barang'!B25)</f>
        <v>cikrak kecil</v>
      </c>
      <c r="P431">
        <f>IF(OR(M431="",N431=""),"",SUMIFS('Barang Keluar'!$E:$E,'Barang Keluar'!$A:$A,M431,'Barang Keluar'!$C:$C,N431))</f>
        <v>0</v>
      </c>
    </row>
    <row r="432" spans="1:16">
      <c r="A432">
        <f>IFERROR('Master Barang'!A427,"")</f>
        <v>0</v>
      </c>
      <c r="B432">
        <f>IFERROR('Master Barang'!B427,"")</f>
        <v>0</v>
      </c>
      <c r="C432">
        <f>IFERROR('Master Barang'!D427,"")</f>
        <v>0</v>
      </c>
      <c r="D432">
        <f>IF(A432="","",SUMIFS('Barang Keluar'!$E:$E,'Barang Keluar'!$C:$C,A432,'Barang Keluar'!$A:$A,"&gt;="&amp;$A$4,'Barang Keluar'!$A:$A,"&lt;="&amp;$B$4))</f>
        <v>0</v>
      </c>
      <c r="M432" s="49">
        <f>IF($A$4+4&gt;$B$4,"",$A$4+4)</f>
        <v>46027</v>
      </c>
      <c r="N432" t="str">
        <f>IF(M432="","",'Master Barang'!A26)</f>
        <v>PRL-025</v>
      </c>
      <c r="O432" t="str">
        <f>IF(N432="","",'Master Barang'!B26)</f>
        <v>petromax plastik kecil 12x24 100 lembar</v>
      </c>
      <c r="P432">
        <f>IF(OR(M432="",N432=""),"",SUMIFS('Barang Keluar'!$E:$E,'Barang Keluar'!$A:$A,M432,'Barang Keluar'!$C:$C,N432))</f>
        <v>0</v>
      </c>
    </row>
    <row r="433" spans="1:16">
      <c r="A433">
        <f>IFERROR('Master Barang'!A428,"")</f>
        <v>0</v>
      </c>
      <c r="B433">
        <f>IFERROR('Master Barang'!B428,"")</f>
        <v>0</v>
      </c>
      <c r="C433">
        <f>IFERROR('Master Barang'!D428,"")</f>
        <v>0</v>
      </c>
      <c r="D433">
        <f>IF(A433="","",SUMIFS('Barang Keluar'!$E:$E,'Barang Keluar'!$C:$C,A433,'Barang Keluar'!$A:$A,"&gt;="&amp;$A$4,'Barang Keluar'!$A:$A,"&lt;="&amp;$B$4))</f>
        <v>0</v>
      </c>
      <c r="M433" s="49">
        <f>IF($A$4+4&gt;$B$4,"",$A$4+4)</f>
        <v>46027</v>
      </c>
      <c r="N433" t="str">
        <f>IF(M433="","",'Master Barang'!A27)</f>
        <v>PRL-026</v>
      </c>
      <c r="O433" t="str">
        <f>IF(N433="","",'Master Barang'!B27)</f>
        <v>lancar kresek kecil bening </v>
      </c>
      <c r="P433">
        <f>IF(OR(M433="",N433=""),"",SUMIFS('Barang Keluar'!$E:$E,'Barang Keluar'!$A:$A,M433,'Barang Keluar'!$C:$C,N433))</f>
        <v>0</v>
      </c>
    </row>
    <row r="434" spans="1:16">
      <c r="A434">
        <f>IFERROR('Master Barang'!A429,"")</f>
        <v>0</v>
      </c>
      <c r="B434">
        <f>IFERROR('Master Barang'!B429,"")</f>
        <v>0</v>
      </c>
      <c r="C434">
        <f>IFERROR('Master Barang'!D429,"")</f>
        <v>0</v>
      </c>
      <c r="D434">
        <f>IF(A434="","",SUMIFS('Barang Keluar'!$E:$E,'Barang Keluar'!$C:$C,A434,'Barang Keluar'!$A:$A,"&gt;="&amp;$A$4,'Barang Keluar'!$A:$A,"&lt;="&amp;$B$4))</f>
        <v>0</v>
      </c>
      <c r="M434" s="49">
        <f>IF($A$4+4&gt;$B$4,"",$A$4+4)</f>
        <v>46027</v>
      </c>
      <c r="N434" t="str">
        <f>IF(M434="","",'Master Barang'!A28)</f>
        <v>PRL-027</v>
      </c>
      <c r="O434" t="str">
        <f>IF(N434="","",'Master Barang'!B28)</f>
        <v>kresek klin warna warni kecil</v>
      </c>
      <c r="P434">
        <f>IF(OR(M434="",N434=""),"",SUMIFS('Barang Keluar'!$E:$E,'Barang Keluar'!$A:$A,M434,'Barang Keluar'!$C:$C,N434))</f>
        <v>0</v>
      </c>
    </row>
    <row r="435" spans="1:16">
      <c r="A435">
        <f>IFERROR('Master Barang'!A430,"")</f>
        <v>0</v>
      </c>
      <c r="B435">
        <f>IFERROR('Master Barang'!B430,"")</f>
        <v>0</v>
      </c>
      <c r="C435">
        <f>IFERROR('Master Barang'!D430,"")</f>
        <v>0</v>
      </c>
      <c r="D435">
        <f>IF(A435="","",SUMIFS('Barang Keluar'!$E:$E,'Barang Keluar'!$C:$C,A435,'Barang Keluar'!$A:$A,"&gt;="&amp;$A$4,'Barang Keluar'!$A:$A,"&lt;="&amp;$B$4))</f>
        <v>0</v>
      </c>
      <c r="M435" s="49">
        <f>IF($A$4+4&gt;$B$4,"",$A$4+4)</f>
        <v>46027</v>
      </c>
      <c r="N435" t="str">
        <f>IF(M435="","",'Master Barang'!A29)</f>
        <v>PRL-028</v>
      </c>
      <c r="O435" t="str">
        <f>IF(N435="","",'Master Barang'!B29)</f>
        <v>ctik plastik 7x10 100 pcs</v>
      </c>
      <c r="P435">
        <f>IF(OR(M435="",N435=""),"",SUMIFS('Barang Keluar'!$E:$E,'Barang Keluar'!$A:$A,M435,'Barang Keluar'!$C:$C,N435))</f>
        <v>0</v>
      </c>
    </row>
    <row r="436" spans="1:16">
      <c r="A436">
        <f>IFERROR('Master Barang'!A431,"")</f>
        <v>0</v>
      </c>
      <c r="B436">
        <f>IFERROR('Master Barang'!B431,"")</f>
        <v>0</v>
      </c>
      <c r="C436">
        <f>IFERROR('Master Barang'!D431,"")</f>
        <v>0</v>
      </c>
      <c r="D436">
        <f>IF(A436="","",SUMIFS('Barang Keluar'!$E:$E,'Barang Keluar'!$C:$C,A436,'Barang Keluar'!$A:$A,"&gt;="&amp;$A$4,'Barang Keluar'!$A:$A,"&lt;="&amp;$B$4))</f>
        <v>0</v>
      </c>
      <c r="M436" s="49">
        <f>IF($A$4+4&gt;$B$4,"",$A$4+4)</f>
        <v>46027</v>
      </c>
      <c r="N436" t="str">
        <f>IF(M436="","",'Master Barang'!A30)</f>
        <v>PRL-029</v>
      </c>
      <c r="O436" t="str">
        <f>IF(N436="","",'Master Barang'!B30)</f>
        <v>ctik plastik 6x10 100 pcs</v>
      </c>
      <c r="P436">
        <f>IF(OR(M436="",N436=""),"",SUMIFS('Barang Keluar'!$E:$E,'Barang Keluar'!$A:$A,M436,'Barang Keluar'!$C:$C,N436))</f>
        <v>0</v>
      </c>
    </row>
    <row r="437" spans="1:16">
      <c r="A437">
        <f>IFERROR('Master Barang'!A432,"")</f>
        <v>0</v>
      </c>
      <c r="B437">
        <f>IFERROR('Master Barang'!B432,"")</f>
        <v>0</v>
      </c>
      <c r="C437">
        <f>IFERROR('Master Barang'!D432,"")</f>
        <v>0</v>
      </c>
      <c r="D437">
        <f>IF(A437="","",SUMIFS('Barang Keluar'!$E:$E,'Barang Keluar'!$C:$C,A437,'Barang Keluar'!$A:$A,"&gt;="&amp;$A$4,'Barang Keluar'!$A:$A,"&lt;="&amp;$B$4))</f>
        <v>0</v>
      </c>
      <c r="M437" s="49">
        <f>IF($A$4+4&gt;$B$4,"",$A$4+4)</f>
        <v>46027</v>
      </c>
      <c r="N437" t="str">
        <f>IF(M437="","",'Master Barang'!A31)</f>
        <v>PRL-030</v>
      </c>
      <c r="O437" t="str">
        <f>IF(N437="","",'Master Barang'!B31)</f>
        <v>klip plastik 25x16 100 pcs</v>
      </c>
      <c r="P437">
        <f>IF(OR(M437="",N437=""),"",SUMIFS('Barang Keluar'!$E:$E,'Barang Keluar'!$A:$A,M437,'Barang Keluar'!$C:$C,N437))</f>
        <v>0</v>
      </c>
    </row>
    <row r="438" spans="1:16">
      <c r="A438">
        <f>IFERROR('Master Barang'!A433,"")</f>
        <v>0</v>
      </c>
      <c r="B438">
        <f>IFERROR('Master Barang'!B433,"")</f>
        <v>0</v>
      </c>
      <c r="C438">
        <f>IFERROR('Master Barang'!D433,"")</f>
        <v>0</v>
      </c>
      <c r="D438">
        <f>IF(A438="","",SUMIFS('Barang Keluar'!$E:$E,'Barang Keluar'!$C:$C,A438,'Barang Keluar'!$A:$A,"&gt;="&amp;$A$4,'Barang Keluar'!$A:$A,"&lt;="&amp;$B$4))</f>
        <v>0</v>
      </c>
      <c r="M438" s="49">
        <f>IF($A$4+4&gt;$B$4,"",$A$4+4)</f>
        <v>46027</v>
      </c>
      <c r="N438" t="str">
        <f>IF(M438="","",'Master Barang'!A32)</f>
        <v>PRL-031</v>
      </c>
      <c r="O438" t="str">
        <f>IF(N438="","",'Master Barang'!B32)</f>
        <v>tempat saus 20 ml</v>
      </c>
      <c r="P438">
        <f>IF(OR(M438="",N438=""),"",SUMIFS('Barang Keluar'!$E:$E,'Barang Keluar'!$A:$A,M438,'Barang Keluar'!$C:$C,N438))</f>
        <v>0</v>
      </c>
    </row>
    <row r="439" spans="1:16">
      <c r="A439">
        <f>IFERROR('Master Barang'!A434,"")</f>
        <v>0</v>
      </c>
      <c r="B439">
        <f>IFERROR('Master Barang'!B434,"")</f>
        <v>0</v>
      </c>
      <c r="C439">
        <f>IFERROR('Master Barang'!D434,"")</f>
        <v>0</v>
      </c>
      <c r="D439">
        <f>IF(A439="","",SUMIFS('Barang Keluar'!$E:$E,'Barang Keluar'!$C:$C,A439,'Barang Keluar'!$A:$A,"&gt;="&amp;$A$4,'Barang Keluar'!$A:$A,"&lt;="&amp;$B$4))</f>
        <v>0</v>
      </c>
      <c r="M439" s="49">
        <f>IF($A$4+4&gt;$B$4,"",$A$4+4)</f>
        <v>46027</v>
      </c>
      <c r="N439" t="str">
        <f>IF(M439="","",'Master Barang'!A33)</f>
        <v>PRL-032</v>
      </c>
      <c r="O439" t="str">
        <f>IF(N439="","",'Master Barang'!B33)</f>
        <v>plastik packaging ag box uk sedang</v>
      </c>
      <c r="P439">
        <f>IF(OR(M439="",N439=""),"",SUMIFS('Barang Keluar'!$E:$E,'Barang Keluar'!$A:$A,M439,'Barang Keluar'!$C:$C,N439))</f>
        <v>0</v>
      </c>
    </row>
    <row r="440" spans="1:16">
      <c r="A440">
        <f>IFERROR('Master Barang'!A435,"")</f>
        <v>0</v>
      </c>
      <c r="B440">
        <f>IFERROR('Master Barang'!B435,"")</f>
        <v>0</v>
      </c>
      <c r="C440">
        <f>IFERROR('Master Barang'!D435,"")</f>
        <v>0</v>
      </c>
      <c r="D440">
        <f>IF(A440="","",SUMIFS('Barang Keluar'!$E:$E,'Barang Keluar'!$C:$C,A440,'Barang Keluar'!$A:$A,"&gt;="&amp;$A$4,'Barang Keluar'!$A:$A,"&lt;="&amp;$B$4))</f>
        <v>0</v>
      </c>
      <c r="M440" s="49">
        <f>IF($A$4+4&gt;$B$4,"",$A$4+4)</f>
        <v>46027</v>
      </c>
      <c r="N440" t="str">
        <f>IF(M440="","",'Master Barang'!A34)</f>
        <v>PRL-033</v>
      </c>
      <c r="O440">
        <f>IF(N440="","",'Master Barang'!B34)</f>
        <v>0</v>
      </c>
      <c r="P440">
        <f>IF(OR(M440="",N440=""),"",SUMIFS('Barang Keluar'!$E:$E,'Barang Keluar'!$A:$A,M440,'Barang Keluar'!$C:$C,N440))</f>
        <v>0</v>
      </c>
    </row>
    <row r="441" spans="1:16">
      <c r="A441">
        <f>IFERROR('Master Barang'!A436,"")</f>
        <v>0</v>
      </c>
      <c r="B441">
        <f>IFERROR('Master Barang'!B436,"")</f>
        <v>0</v>
      </c>
      <c r="C441">
        <f>IFERROR('Master Barang'!D436,"")</f>
        <v>0</v>
      </c>
      <c r="D441">
        <f>IF(A441="","",SUMIFS('Barang Keluar'!$E:$E,'Barang Keluar'!$C:$C,A441,'Barang Keluar'!$A:$A,"&gt;="&amp;$A$4,'Barang Keluar'!$A:$A,"&lt;="&amp;$B$4))</f>
        <v>0</v>
      </c>
      <c r="M441" s="49">
        <f>IF($A$4+4&gt;$B$4,"",$A$4+4)</f>
        <v>46027</v>
      </c>
      <c r="N441">
        <f>IF(M441="","",'Master Barang'!A35)</f>
        <v>0</v>
      </c>
      <c r="O441">
        <f>IF(N441="","",'Master Barang'!B35)</f>
        <v>0</v>
      </c>
      <c r="P441">
        <f>IF(OR(M441="",N441=""),"",SUMIFS('Barang Keluar'!$E:$E,'Barang Keluar'!$A:$A,M441,'Barang Keluar'!$C:$C,N441))</f>
        <v>0</v>
      </c>
    </row>
    <row r="442" spans="1:16">
      <c r="A442">
        <f>IFERROR('Master Barang'!A437,"")</f>
        <v>0</v>
      </c>
      <c r="B442">
        <f>IFERROR('Master Barang'!B437,"")</f>
        <v>0</v>
      </c>
      <c r="C442">
        <f>IFERROR('Master Barang'!D437,"")</f>
        <v>0</v>
      </c>
      <c r="D442">
        <f>IF(A442="","",SUMIFS('Barang Keluar'!$E:$E,'Barang Keluar'!$C:$C,A442,'Barang Keluar'!$A:$A,"&gt;="&amp;$A$4,'Barang Keluar'!$A:$A,"&lt;="&amp;$B$4))</f>
        <v>0</v>
      </c>
      <c r="M442" s="49">
        <f>IF($A$4+4&gt;$B$4,"",$A$4+4)</f>
        <v>46027</v>
      </c>
      <c r="N442">
        <f>IF(M442="","",'Master Barang'!A36)</f>
        <v>0</v>
      </c>
      <c r="O442">
        <f>IF(N442="","",'Master Barang'!B36)</f>
        <v>0</v>
      </c>
      <c r="P442">
        <f>IF(OR(M442="",N442=""),"",SUMIFS('Barang Keluar'!$E:$E,'Barang Keluar'!$A:$A,M442,'Barang Keluar'!$C:$C,N442))</f>
        <v>0</v>
      </c>
    </row>
    <row r="443" spans="1:16">
      <c r="A443">
        <f>IFERROR('Master Barang'!A438,"")</f>
        <v>0</v>
      </c>
      <c r="B443">
        <f>IFERROR('Master Barang'!B438,"")</f>
        <v>0</v>
      </c>
      <c r="C443">
        <f>IFERROR('Master Barang'!D438,"")</f>
        <v>0</v>
      </c>
      <c r="D443">
        <f>IF(A443="","",SUMIFS('Barang Keluar'!$E:$E,'Barang Keluar'!$C:$C,A443,'Barang Keluar'!$A:$A,"&gt;="&amp;$A$4,'Barang Keluar'!$A:$A,"&lt;="&amp;$B$4))</f>
        <v>0</v>
      </c>
      <c r="M443" s="49">
        <f>IF($A$4+4&gt;$B$4,"",$A$4+4)</f>
        <v>46027</v>
      </c>
      <c r="N443">
        <f>IF(M443="","",'Master Barang'!A37)</f>
        <v>0</v>
      </c>
      <c r="O443">
        <f>IF(N443="","",'Master Barang'!B37)</f>
        <v>0</v>
      </c>
      <c r="P443">
        <f>IF(OR(M443="",N443=""),"",SUMIFS('Barang Keluar'!$E:$E,'Barang Keluar'!$A:$A,M443,'Barang Keluar'!$C:$C,N443))</f>
        <v>0</v>
      </c>
    </row>
    <row r="444" spans="1:16">
      <c r="A444">
        <f>IFERROR('Master Barang'!A439,"")</f>
        <v>0</v>
      </c>
      <c r="B444">
        <f>IFERROR('Master Barang'!B439,"")</f>
        <v>0</v>
      </c>
      <c r="C444">
        <f>IFERROR('Master Barang'!D439,"")</f>
        <v>0</v>
      </c>
      <c r="D444">
        <f>IF(A444="","",SUMIFS('Barang Keluar'!$E:$E,'Barang Keluar'!$C:$C,A444,'Barang Keluar'!$A:$A,"&gt;="&amp;$A$4,'Barang Keluar'!$A:$A,"&lt;="&amp;$B$4))</f>
        <v>0</v>
      </c>
      <c r="M444" s="49">
        <f>IF($A$4+4&gt;$B$4,"",$A$4+4)</f>
        <v>46027</v>
      </c>
      <c r="N444">
        <f>IF(M444="","",'Master Barang'!A38)</f>
        <v>0</v>
      </c>
      <c r="O444">
        <f>IF(N444="","",'Master Barang'!B38)</f>
        <v>0</v>
      </c>
      <c r="P444">
        <f>IF(OR(M444="",N444=""),"",SUMIFS('Barang Keluar'!$E:$E,'Barang Keluar'!$A:$A,M444,'Barang Keluar'!$C:$C,N444))</f>
        <v>0</v>
      </c>
    </row>
    <row r="445" spans="1:16">
      <c r="A445">
        <f>IFERROR('Master Barang'!A440,"")</f>
        <v>0</v>
      </c>
      <c r="B445">
        <f>IFERROR('Master Barang'!B440,"")</f>
        <v>0</v>
      </c>
      <c r="C445">
        <f>IFERROR('Master Barang'!D440,"")</f>
        <v>0</v>
      </c>
      <c r="D445">
        <f>IF(A445="","",SUMIFS('Barang Keluar'!$E:$E,'Barang Keluar'!$C:$C,A445,'Barang Keluar'!$A:$A,"&gt;="&amp;$A$4,'Barang Keluar'!$A:$A,"&lt;="&amp;$B$4))</f>
        <v>0</v>
      </c>
      <c r="M445" s="49">
        <f>IF($A$4+4&gt;$B$4,"",$A$4+4)</f>
        <v>46027</v>
      </c>
      <c r="N445">
        <f>IF(M445="","",'Master Barang'!A39)</f>
        <v>0</v>
      </c>
      <c r="O445">
        <f>IF(N445="","",'Master Barang'!B39)</f>
        <v>0</v>
      </c>
      <c r="P445">
        <f>IF(OR(M445="",N445=""),"",SUMIFS('Barang Keluar'!$E:$E,'Barang Keluar'!$A:$A,M445,'Barang Keluar'!$C:$C,N445))</f>
        <v>0</v>
      </c>
    </row>
    <row r="446" spans="1:16">
      <c r="A446">
        <f>IFERROR('Master Barang'!A441,"")</f>
        <v>0</v>
      </c>
      <c r="B446">
        <f>IFERROR('Master Barang'!B441,"")</f>
        <v>0</v>
      </c>
      <c r="C446">
        <f>IFERROR('Master Barang'!D441,"")</f>
        <v>0</v>
      </c>
      <c r="D446">
        <f>IF(A446="","",SUMIFS('Barang Keluar'!$E:$E,'Barang Keluar'!$C:$C,A446,'Barang Keluar'!$A:$A,"&gt;="&amp;$A$4,'Barang Keluar'!$A:$A,"&lt;="&amp;$B$4))</f>
        <v>0</v>
      </c>
      <c r="M446" s="49">
        <f>IF($A$4+4&gt;$B$4,"",$A$4+4)</f>
        <v>46027</v>
      </c>
      <c r="N446">
        <f>IF(M446="","",'Master Barang'!A40)</f>
        <v>0</v>
      </c>
      <c r="O446">
        <f>IF(N446="","",'Master Barang'!B40)</f>
        <v>0</v>
      </c>
      <c r="P446">
        <f>IF(OR(M446="",N446=""),"",SUMIFS('Barang Keluar'!$E:$E,'Barang Keluar'!$A:$A,M446,'Barang Keluar'!$C:$C,N446))</f>
        <v>0</v>
      </c>
    </row>
    <row r="447" spans="1:16">
      <c r="A447">
        <f>IFERROR('Master Barang'!A442,"")</f>
        <v>0</v>
      </c>
      <c r="B447">
        <f>IFERROR('Master Barang'!B442,"")</f>
        <v>0</v>
      </c>
      <c r="C447">
        <f>IFERROR('Master Barang'!D442,"")</f>
        <v>0</v>
      </c>
      <c r="D447">
        <f>IF(A447="","",SUMIFS('Barang Keluar'!$E:$E,'Barang Keluar'!$C:$C,A447,'Barang Keluar'!$A:$A,"&gt;="&amp;$A$4,'Barang Keluar'!$A:$A,"&lt;="&amp;$B$4))</f>
        <v>0</v>
      </c>
      <c r="M447" s="49">
        <f>IF($A$4+4&gt;$B$4,"",$A$4+4)</f>
        <v>46027</v>
      </c>
      <c r="N447">
        <f>IF(M447="","",'Master Barang'!A41)</f>
        <v>0</v>
      </c>
      <c r="O447">
        <f>IF(N447="","",'Master Barang'!B41)</f>
        <v>0</v>
      </c>
      <c r="P447">
        <f>IF(OR(M447="",N447=""),"",SUMIFS('Barang Keluar'!$E:$E,'Barang Keluar'!$A:$A,M447,'Barang Keluar'!$C:$C,N447))</f>
        <v>0</v>
      </c>
    </row>
    <row r="448" spans="1:16">
      <c r="A448">
        <f>IFERROR('Master Barang'!A443,"")</f>
        <v>0</v>
      </c>
      <c r="B448">
        <f>IFERROR('Master Barang'!B443,"")</f>
        <v>0</v>
      </c>
      <c r="C448">
        <f>IFERROR('Master Barang'!D443,"")</f>
        <v>0</v>
      </c>
      <c r="D448">
        <f>IF(A448="","",SUMIFS('Barang Keluar'!$E:$E,'Barang Keluar'!$C:$C,A448,'Barang Keluar'!$A:$A,"&gt;="&amp;$A$4,'Barang Keluar'!$A:$A,"&lt;="&amp;$B$4))</f>
        <v>0</v>
      </c>
      <c r="M448" s="49">
        <f>IF($A$4+4&gt;$B$4,"",$A$4+4)</f>
        <v>46027</v>
      </c>
      <c r="N448">
        <f>IF(M448="","",'Master Barang'!A42)</f>
        <v>0</v>
      </c>
      <c r="O448">
        <f>IF(N448="","",'Master Barang'!B42)</f>
        <v>0</v>
      </c>
      <c r="P448">
        <f>IF(OR(M448="",N448=""),"",SUMIFS('Barang Keluar'!$E:$E,'Barang Keluar'!$A:$A,M448,'Barang Keluar'!$C:$C,N448))</f>
        <v>0</v>
      </c>
    </row>
    <row r="449" spans="1:16">
      <c r="A449">
        <f>IFERROR('Master Barang'!A444,"")</f>
        <v>0</v>
      </c>
      <c r="B449">
        <f>IFERROR('Master Barang'!B444,"")</f>
        <v>0</v>
      </c>
      <c r="C449">
        <f>IFERROR('Master Barang'!D444,"")</f>
        <v>0</v>
      </c>
      <c r="D449">
        <f>IF(A449="","",SUMIFS('Barang Keluar'!$E:$E,'Barang Keluar'!$C:$C,A449,'Barang Keluar'!$A:$A,"&gt;="&amp;$A$4,'Barang Keluar'!$A:$A,"&lt;="&amp;$B$4))</f>
        <v>0</v>
      </c>
      <c r="M449" s="49">
        <f>IF($A$4+4&gt;$B$4,"",$A$4+4)</f>
        <v>46027</v>
      </c>
      <c r="N449">
        <f>IF(M449="","",'Master Barang'!A43)</f>
        <v>0</v>
      </c>
      <c r="O449">
        <f>IF(N449="","",'Master Barang'!B43)</f>
        <v>0</v>
      </c>
      <c r="P449">
        <f>IF(OR(M449="",N449=""),"",SUMIFS('Barang Keluar'!$E:$E,'Barang Keluar'!$A:$A,M449,'Barang Keluar'!$C:$C,N449))</f>
        <v>0</v>
      </c>
    </row>
    <row r="450" spans="1:16">
      <c r="A450">
        <f>IFERROR('Master Barang'!A445,"")</f>
        <v>0</v>
      </c>
      <c r="B450">
        <f>IFERROR('Master Barang'!B445,"")</f>
        <v>0</v>
      </c>
      <c r="C450">
        <f>IFERROR('Master Barang'!D445,"")</f>
        <v>0</v>
      </c>
      <c r="D450">
        <f>IF(A450="","",SUMIFS('Barang Keluar'!$E:$E,'Barang Keluar'!$C:$C,A450,'Barang Keluar'!$A:$A,"&gt;="&amp;$A$4,'Barang Keluar'!$A:$A,"&lt;="&amp;$B$4))</f>
        <v>0</v>
      </c>
      <c r="M450" s="49">
        <f>IF($A$4+4&gt;$B$4,"",$A$4+4)</f>
        <v>46027</v>
      </c>
      <c r="N450">
        <f>IF(M450="","",'Master Barang'!A44)</f>
        <v>0</v>
      </c>
      <c r="O450">
        <f>IF(N450="","",'Master Barang'!B44)</f>
        <v>0</v>
      </c>
      <c r="P450">
        <f>IF(OR(M450="",N450=""),"",SUMIFS('Barang Keluar'!$E:$E,'Barang Keluar'!$A:$A,M450,'Barang Keluar'!$C:$C,N450))</f>
        <v>0</v>
      </c>
    </row>
    <row r="451" spans="1:16">
      <c r="A451">
        <f>IFERROR('Master Barang'!A446,"")</f>
        <v>0</v>
      </c>
      <c r="B451">
        <f>IFERROR('Master Barang'!B446,"")</f>
        <v>0</v>
      </c>
      <c r="C451">
        <f>IFERROR('Master Barang'!D446,"")</f>
        <v>0</v>
      </c>
      <c r="D451">
        <f>IF(A451="","",SUMIFS('Barang Keluar'!$E:$E,'Barang Keluar'!$C:$C,A451,'Barang Keluar'!$A:$A,"&gt;="&amp;$A$4,'Barang Keluar'!$A:$A,"&lt;="&amp;$B$4))</f>
        <v>0</v>
      </c>
      <c r="M451" s="49">
        <f>IF($A$4+4&gt;$B$4,"",$A$4+4)</f>
        <v>46027</v>
      </c>
      <c r="N451">
        <f>IF(M451="","",'Master Barang'!A45)</f>
        <v>0</v>
      </c>
      <c r="O451">
        <f>IF(N451="","",'Master Barang'!B45)</f>
        <v>0</v>
      </c>
      <c r="P451">
        <f>IF(OR(M451="",N451=""),"",SUMIFS('Barang Keluar'!$E:$E,'Barang Keluar'!$A:$A,M451,'Barang Keluar'!$C:$C,N451))</f>
        <v>0</v>
      </c>
    </row>
    <row r="452" spans="1:16">
      <c r="A452">
        <f>IFERROR('Master Barang'!A447,"")</f>
        <v>0</v>
      </c>
      <c r="B452">
        <f>IFERROR('Master Barang'!B447,"")</f>
        <v>0</v>
      </c>
      <c r="C452">
        <f>IFERROR('Master Barang'!D447,"")</f>
        <v>0</v>
      </c>
      <c r="D452">
        <f>IF(A452="","",SUMIFS('Barang Keluar'!$E:$E,'Barang Keluar'!$C:$C,A452,'Barang Keluar'!$A:$A,"&gt;="&amp;$A$4,'Barang Keluar'!$A:$A,"&lt;="&amp;$B$4))</f>
        <v>0</v>
      </c>
      <c r="M452" s="49">
        <f>IF($A$4+4&gt;$B$4,"",$A$4+4)</f>
        <v>46027</v>
      </c>
      <c r="N452">
        <f>IF(M452="","",'Master Barang'!A46)</f>
        <v>0</v>
      </c>
      <c r="O452">
        <f>IF(N452="","",'Master Barang'!B46)</f>
        <v>0</v>
      </c>
      <c r="P452">
        <f>IF(OR(M452="",N452=""),"",SUMIFS('Barang Keluar'!$E:$E,'Barang Keluar'!$A:$A,M452,'Barang Keluar'!$C:$C,N452))</f>
        <v>0</v>
      </c>
    </row>
    <row r="453" spans="1:16">
      <c r="A453">
        <f>IFERROR('Master Barang'!A448,"")</f>
        <v>0</v>
      </c>
      <c r="B453">
        <f>IFERROR('Master Barang'!B448,"")</f>
        <v>0</v>
      </c>
      <c r="C453">
        <f>IFERROR('Master Barang'!D448,"")</f>
        <v>0</v>
      </c>
      <c r="D453">
        <f>IF(A453="","",SUMIFS('Barang Keluar'!$E:$E,'Barang Keluar'!$C:$C,A453,'Barang Keluar'!$A:$A,"&gt;="&amp;$A$4,'Barang Keluar'!$A:$A,"&lt;="&amp;$B$4))</f>
        <v>0</v>
      </c>
      <c r="M453" s="49">
        <f>IF($A$4+4&gt;$B$4,"",$A$4+4)</f>
        <v>46027</v>
      </c>
      <c r="N453">
        <f>IF(M453="","",'Master Barang'!A47)</f>
        <v>0</v>
      </c>
      <c r="O453">
        <f>IF(N453="","",'Master Barang'!B47)</f>
        <v>0</v>
      </c>
      <c r="P453">
        <f>IF(OR(M453="",N453=""),"",SUMIFS('Barang Keluar'!$E:$E,'Barang Keluar'!$A:$A,M453,'Barang Keluar'!$C:$C,N453))</f>
        <v>0</v>
      </c>
    </row>
    <row r="454" spans="1:16">
      <c r="A454">
        <f>IFERROR('Master Barang'!A449,"")</f>
        <v>0</v>
      </c>
      <c r="B454">
        <f>IFERROR('Master Barang'!B449,"")</f>
        <v>0</v>
      </c>
      <c r="C454">
        <f>IFERROR('Master Barang'!D449,"")</f>
        <v>0</v>
      </c>
      <c r="D454">
        <f>IF(A454="","",SUMIFS('Barang Keluar'!$E:$E,'Barang Keluar'!$C:$C,A454,'Barang Keluar'!$A:$A,"&gt;="&amp;$A$4,'Barang Keluar'!$A:$A,"&lt;="&amp;$B$4))</f>
        <v>0</v>
      </c>
      <c r="M454" s="49">
        <f>IF($A$4+4&gt;$B$4,"",$A$4+4)</f>
        <v>46027</v>
      </c>
      <c r="N454">
        <f>IF(M454="","",'Master Barang'!A48)</f>
        <v>0</v>
      </c>
      <c r="O454">
        <f>IF(N454="","",'Master Barang'!B48)</f>
        <v>0</v>
      </c>
      <c r="P454">
        <f>IF(OR(M454="",N454=""),"",SUMIFS('Barang Keluar'!$E:$E,'Barang Keluar'!$A:$A,M454,'Barang Keluar'!$C:$C,N454))</f>
        <v>0</v>
      </c>
    </row>
    <row r="455" spans="1:16">
      <c r="A455">
        <f>IFERROR('Master Barang'!A450,"")</f>
        <v>0</v>
      </c>
      <c r="B455">
        <f>IFERROR('Master Barang'!B450,"")</f>
        <v>0</v>
      </c>
      <c r="C455">
        <f>IFERROR('Master Barang'!D450,"")</f>
        <v>0</v>
      </c>
      <c r="D455">
        <f>IF(A455="","",SUMIFS('Barang Keluar'!$E:$E,'Barang Keluar'!$C:$C,A455,'Barang Keluar'!$A:$A,"&gt;="&amp;$A$4,'Barang Keluar'!$A:$A,"&lt;="&amp;$B$4))</f>
        <v>0</v>
      </c>
      <c r="M455" s="49">
        <f>IF($A$4+4&gt;$B$4,"",$A$4+4)</f>
        <v>46027</v>
      </c>
      <c r="N455">
        <f>IF(M455="","",'Master Barang'!A49)</f>
        <v>0</v>
      </c>
      <c r="O455">
        <f>IF(N455="","",'Master Barang'!B49)</f>
        <v>0</v>
      </c>
      <c r="P455">
        <f>IF(OR(M455="",N455=""),"",SUMIFS('Barang Keluar'!$E:$E,'Barang Keluar'!$A:$A,M455,'Barang Keluar'!$C:$C,N455))</f>
        <v>0</v>
      </c>
    </row>
    <row r="456" spans="1:16">
      <c r="A456">
        <f>IFERROR('Master Barang'!A451,"")</f>
        <v>0</v>
      </c>
      <c r="B456">
        <f>IFERROR('Master Barang'!B451,"")</f>
        <v>0</v>
      </c>
      <c r="C456">
        <f>IFERROR('Master Barang'!D451,"")</f>
        <v>0</v>
      </c>
      <c r="D456">
        <f>IF(A456="","",SUMIFS('Barang Keluar'!$E:$E,'Barang Keluar'!$C:$C,A456,'Barang Keluar'!$A:$A,"&gt;="&amp;$A$4,'Barang Keluar'!$A:$A,"&lt;="&amp;$B$4))</f>
        <v>0</v>
      </c>
      <c r="M456" s="49">
        <f>IF($A$4+4&gt;$B$4,"",$A$4+4)</f>
        <v>46027</v>
      </c>
      <c r="N456">
        <f>IF(M456="","",'Master Barang'!A50)</f>
        <v>0</v>
      </c>
      <c r="O456">
        <f>IF(N456="","",'Master Barang'!B50)</f>
        <v>0</v>
      </c>
      <c r="P456">
        <f>IF(OR(M456="",N456=""),"",SUMIFS('Barang Keluar'!$E:$E,'Barang Keluar'!$A:$A,M456,'Barang Keluar'!$C:$C,N456))</f>
        <v>0</v>
      </c>
    </row>
    <row r="457" spans="1:16">
      <c r="A457">
        <f>IFERROR('Master Barang'!A452,"")</f>
        <v>0</v>
      </c>
      <c r="B457">
        <f>IFERROR('Master Barang'!B452,"")</f>
        <v>0</v>
      </c>
      <c r="C457">
        <f>IFERROR('Master Barang'!D452,"")</f>
        <v>0</v>
      </c>
      <c r="D457">
        <f>IF(A457="","",SUMIFS('Barang Keluar'!$E:$E,'Barang Keluar'!$C:$C,A457,'Barang Keluar'!$A:$A,"&gt;="&amp;$A$4,'Barang Keluar'!$A:$A,"&lt;="&amp;$B$4))</f>
        <v>0</v>
      </c>
      <c r="M457" s="49">
        <f>IF($A$4+4&gt;$B$4,"",$A$4+4)</f>
        <v>46027</v>
      </c>
      <c r="N457">
        <f>IF(M457="","",'Master Barang'!A51)</f>
        <v>0</v>
      </c>
      <c r="O457">
        <f>IF(N457="","",'Master Barang'!B51)</f>
        <v>0</v>
      </c>
      <c r="P457">
        <f>IF(OR(M457="",N457=""),"",SUMIFS('Barang Keluar'!$E:$E,'Barang Keluar'!$A:$A,M457,'Barang Keluar'!$C:$C,N457))</f>
        <v>0</v>
      </c>
    </row>
    <row r="458" spans="1:16">
      <c r="A458">
        <f>IFERROR('Master Barang'!A453,"")</f>
        <v>0</v>
      </c>
      <c r="B458">
        <f>IFERROR('Master Barang'!B453,"")</f>
        <v>0</v>
      </c>
      <c r="C458">
        <f>IFERROR('Master Barang'!D453,"")</f>
        <v>0</v>
      </c>
      <c r="D458">
        <f>IF(A458="","",SUMIFS('Barang Keluar'!$E:$E,'Barang Keluar'!$C:$C,A458,'Barang Keluar'!$A:$A,"&gt;="&amp;$A$4,'Barang Keluar'!$A:$A,"&lt;="&amp;$B$4))</f>
        <v>0</v>
      </c>
      <c r="M458" s="49">
        <f>IF($A$4+4&gt;$B$4,"",$A$4+4)</f>
        <v>46027</v>
      </c>
      <c r="N458">
        <f>IF(M458="","",'Master Barang'!A52)</f>
        <v>0</v>
      </c>
      <c r="O458">
        <f>IF(N458="","",'Master Barang'!B52)</f>
        <v>0</v>
      </c>
      <c r="P458">
        <f>IF(OR(M458="",N458=""),"",SUMIFS('Barang Keluar'!$E:$E,'Barang Keluar'!$A:$A,M458,'Barang Keluar'!$C:$C,N458))</f>
        <v>0</v>
      </c>
    </row>
    <row r="459" spans="1:16">
      <c r="A459">
        <f>IFERROR('Master Barang'!A454,"")</f>
        <v>0</v>
      </c>
      <c r="B459">
        <f>IFERROR('Master Barang'!B454,"")</f>
        <v>0</v>
      </c>
      <c r="C459">
        <f>IFERROR('Master Barang'!D454,"")</f>
        <v>0</v>
      </c>
      <c r="D459">
        <f>IF(A459="","",SUMIFS('Barang Keluar'!$E:$E,'Barang Keluar'!$C:$C,A459,'Barang Keluar'!$A:$A,"&gt;="&amp;$A$4,'Barang Keluar'!$A:$A,"&lt;="&amp;$B$4))</f>
        <v>0</v>
      </c>
      <c r="M459" s="49">
        <f>IF($A$4+4&gt;$B$4,"",$A$4+4)</f>
        <v>46027</v>
      </c>
      <c r="N459">
        <f>IF(M459="","",'Master Barang'!A53)</f>
        <v>0</v>
      </c>
      <c r="O459">
        <f>IF(N459="","",'Master Barang'!B53)</f>
        <v>0</v>
      </c>
      <c r="P459">
        <f>IF(OR(M459="",N459=""),"",SUMIFS('Barang Keluar'!$E:$E,'Barang Keluar'!$A:$A,M459,'Barang Keluar'!$C:$C,N459))</f>
        <v>0</v>
      </c>
    </row>
    <row r="460" spans="1:16">
      <c r="A460">
        <f>IFERROR('Master Barang'!A455,"")</f>
        <v>0</v>
      </c>
      <c r="B460">
        <f>IFERROR('Master Barang'!B455,"")</f>
        <v>0</v>
      </c>
      <c r="C460">
        <f>IFERROR('Master Barang'!D455,"")</f>
        <v>0</v>
      </c>
      <c r="D460">
        <f>IF(A460="","",SUMIFS('Barang Keluar'!$E:$E,'Barang Keluar'!$C:$C,A460,'Barang Keluar'!$A:$A,"&gt;="&amp;$A$4,'Barang Keluar'!$A:$A,"&lt;="&amp;$B$4))</f>
        <v>0</v>
      </c>
      <c r="M460" s="49">
        <f>IF($A$4+4&gt;$B$4,"",$A$4+4)</f>
        <v>46027</v>
      </c>
      <c r="N460">
        <f>IF(M460="","",'Master Barang'!A54)</f>
        <v>0</v>
      </c>
      <c r="O460">
        <f>IF(N460="","",'Master Barang'!B54)</f>
        <v>0</v>
      </c>
      <c r="P460">
        <f>IF(OR(M460="",N460=""),"",SUMIFS('Barang Keluar'!$E:$E,'Barang Keluar'!$A:$A,M460,'Barang Keluar'!$C:$C,N460))</f>
        <v>0</v>
      </c>
    </row>
    <row r="461" spans="1:16">
      <c r="A461">
        <f>IFERROR('Master Barang'!A456,"")</f>
        <v>0</v>
      </c>
      <c r="B461">
        <f>IFERROR('Master Barang'!B456,"")</f>
        <v>0</v>
      </c>
      <c r="C461">
        <f>IFERROR('Master Barang'!D456,"")</f>
        <v>0</v>
      </c>
      <c r="D461">
        <f>IF(A461="","",SUMIFS('Barang Keluar'!$E:$E,'Barang Keluar'!$C:$C,A461,'Barang Keluar'!$A:$A,"&gt;="&amp;$A$4,'Barang Keluar'!$A:$A,"&lt;="&amp;$B$4))</f>
        <v>0</v>
      </c>
      <c r="M461" s="49">
        <f>IF($A$4+4&gt;$B$4,"",$A$4+4)</f>
        <v>46027</v>
      </c>
      <c r="N461">
        <f>IF(M461="","",'Master Barang'!A55)</f>
        <v>0</v>
      </c>
      <c r="O461">
        <f>IF(N461="","",'Master Barang'!B55)</f>
        <v>0</v>
      </c>
      <c r="P461">
        <f>IF(OR(M461="",N461=""),"",SUMIFS('Barang Keluar'!$E:$E,'Barang Keluar'!$A:$A,M461,'Barang Keluar'!$C:$C,N461))</f>
        <v>0</v>
      </c>
    </row>
    <row r="462" spans="1:16">
      <c r="A462">
        <f>IFERROR('Master Barang'!A457,"")</f>
        <v>0</v>
      </c>
      <c r="B462">
        <f>IFERROR('Master Barang'!B457,"")</f>
        <v>0</v>
      </c>
      <c r="C462">
        <f>IFERROR('Master Barang'!D457,"")</f>
        <v>0</v>
      </c>
      <c r="D462">
        <f>IF(A462="","",SUMIFS('Barang Keluar'!$E:$E,'Barang Keluar'!$C:$C,A462,'Barang Keluar'!$A:$A,"&gt;="&amp;$A$4,'Barang Keluar'!$A:$A,"&lt;="&amp;$B$4))</f>
        <v>0</v>
      </c>
      <c r="M462" s="49">
        <f>IF($A$4+4&gt;$B$4,"",$A$4+4)</f>
        <v>46027</v>
      </c>
      <c r="N462">
        <f>IF(M462="","",'Master Barang'!A56)</f>
        <v>0</v>
      </c>
      <c r="O462">
        <f>IF(N462="","",'Master Barang'!B56)</f>
        <v>0</v>
      </c>
      <c r="P462">
        <f>IF(OR(M462="",N462=""),"",SUMIFS('Barang Keluar'!$E:$E,'Barang Keluar'!$A:$A,M462,'Barang Keluar'!$C:$C,N462))</f>
        <v>0</v>
      </c>
    </row>
    <row r="463" spans="1:16">
      <c r="A463">
        <f>IFERROR('Master Barang'!A458,"")</f>
        <v>0</v>
      </c>
      <c r="B463">
        <f>IFERROR('Master Barang'!B458,"")</f>
        <v>0</v>
      </c>
      <c r="C463">
        <f>IFERROR('Master Barang'!D458,"")</f>
        <v>0</v>
      </c>
      <c r="D463">
        <f>IF(A463="","",SUMIFS('Barang Keluar'!$E:$E,'Barang Keluar'!$C:$C,A463,'Barang Keluar'!$A:$A,"&gt;="&amp;$A$4,'Barang Keluar'!$A:$A,"&lt;="&amp;$B$4))</f>
        <v>0</v>
      </c>
      <c r="M463" s="49">
        <f>IF($A$4+4&gt;$B$4,"",$A$4+4)</f>
        <v>46027</v>
      </c>
      <c r="N463">
        <f>IF(M463="","",'Master Barang'!A57)</f>
        <v>0</v>
      </c>
      <c r="O463">
        <f>IF(N463="","",'Master Barang'!B57)</f>
        <v>0</v>
      </c>
      <c r="P463">
        <f>IF(OR(M463="",N463=""),"",SUMIFS('Barang Keluar'!$E:$E,'Barang Keluar'!$A:$A,M463,'Barang Keluar'!$C:$C,N463))</f>
        <v>0</v>
      </c>
    </row>
    <row r="464" spans="1:16">
      <c r="A464">
        <f>IFERROR('Master Barang'!A459,"")</f>
        <v>0</v>
      </c>
      <c r="B464">
        <f>IFERROR('Master Barang'!B459,"")</f>
        <v>0</v>
      </c>
      <c r="C464">
        <f>IFERROR('Master Barang'!D459,"")</f>
        <v>0</v>
      </c>
      <c r="D464">
        <f>IF(A464="","",SUMIFS('Barang Keluar'!$E:$E,'Barang Keluar'!$C:$C,A464,'Barang Keluar'!$A:$A,"&gt;="&amp;$A$4,'Barang Keluar'!$A:$A,"&lt;="&amp;$B$4))</f>
        <v>0</v>
      </c>
      <c r="M464" s="49">
        <f>IF($A$4+4&gt;$B$4,"",$A$4+4)</f>
        <v>46027</v>
      </c>
      <c r="N464">
        <f>IF(M464="","",'Master Barang'!A58)</f>
        <v>0</v>
      </c>
      <c r="O464">
        <f>IF(N464="","",'Master Barang'!B58)</f>
        <v>0</v>
      </c>
      <c r="P464">
        <f>IF(OR(M464="",N464=""),"",SUMIFS('Barang Keluar'!$E:$E,'Barang Keluar'!$A:$A,M464,'Barang Keluar'!$C:$C,N464))</f>
        <v>0</v>
      </c>
    </row>
    <row r="465" spans="1:16">
      <c r="A465">
        <f>IFERROR('Master Barang'!A460,"")</f>
        <v>0</v>
      </c>
      <c r="B465">
        <f>IFERROR('Master Barang'!B460,"")</f>
        <v>0</v>
      </c>
      <c r="C465">
        <f>IFERROR('Master Barang'!D460,"")</f>
        <v>0</v>
      </c>
      <c r="D465">
        <f>IF(A465="","",SUMIFS('Barang Keluar'!$E:$E,'Barang Keluar'!$C:$C,A465,'Barang Keluar'!$A:$A,"&gt;="&amp;$A$4,'Barang Keluar'!$A:$A,"&lt;="&amp;$B$4))</f>
        <v>0</v>
      </c>
      <c r="M465" s="49">
        <f>IF($A$4+4&gt;$B$4,"",$A$4+4)</f>
        <v>46027</v>
      </c>
      <c r="N465">
        <f>IF(M465="","",'Master Barang'!A59)</f>
        <v>0</v>
      </c>
      <c r="O465">
        <f>IF(N465="","",'Master Barang'!B59)</f>
        <v>0</v>
      </c>
      <c r="P465">
        <f>IF(OR(M465="",N465=""),"",SUMIFS('Barang Keluar'!$E:$E,'Barang Keluar'!$A:$A,M465,'Barang Keluar'!$C:$C,N465))</f>
        <v>0</v>
      </c>
    </row>
    <row r="466" spans="1:16">
      <c r="A466">
        <f>IFERROR('Master Barang'!A461,"")</f>
        <v>0</v>
      </c>
      <c r="B466">
        <f>IFERROR('Master Barang'!B461,"")</f>
        <v>0</v>
      </c>
      <c r="C466">
        <f>IFERROR('Master Barang'!D461,"")</f>
        <v>0</v>
      </c>
      <c r="D466">
        <f>IF(A466="","",SUMIFS('Barang Keluar'!$E:$E,'Barang Keluar'!$C:$C,A466,'Barang Keluar'!$A:$A,"&gt;="&amp;$A$4,'Barang Keluar'!$A:$A,"&lt;="&amp;$B$4))</f>
        <v>0</v>
      </c>
      <c r="M466" s="49">
        <f>IF($A$4+4&gt;$B$4,"",$A$4+4)</f>
        <v>46027</v>
      </c>
      <c r="N466">
        <f>IF(M466="","",'Master Barang'!A60)</f>
        <v>0</v>
      </c>
      <c r="O466">
        <f>IF(N466="","",'Master Barang'!B60)</f>
        <v>0</v>
      </c>
      <c r="P466">
        <f>IF(OR(M466="",N466=""),"",SUMIFS('Barang Keluar'!$E:$E,'Barang Keluar'!$A:$A,M466,'Barang Keluar'!$C:$C,N466))</f>
        <v>0</v>
      </c>
    </row>
    <row r="467" spans="1:16">
      <c r="A467">
        <f>IFERROR('Master Barang'!A462,"")</f>
        <v>0</v>
      </c>
      <c r="B467">
        <f>IFERROR('Master Barang'!B462,"")</f>
        <v>0</v>
      </c>
      <c r="C467">
        <f>IFERROR('Master Barang'!D462,"")</f>
        <v>0</v>
      </c>
      <c r="D467">
        <f>IF(A467="","",SUMIFS('Barang Keluar'!$E:$E,'Barang Keluar'!$C:$C,A467,'Barang Keluar'!$A:$A,"&gt;="&amp;$A$4,'Barang Keluar'!$A:$A,"&lt;="&amp;$B$4))</f>
        <v>0</v>
      </c>
      <c r="M467" s="49">
        <f>IF($A$4+4&gt;$B$4,"",$A$4+4)</f>
        <v>46027</v>
      </c>
      <c r="N467">
        <f>IF(M467="","",'Master Barang'!A61)</f>
        <v>0</v>
      </c>
      <c r="O467">
        <f>IF(N467="","",'Master Barang'!B61)</f>
        <v>0</v>
      </c>
      <c r="P467">
        <f>IF(OR(M467="",N467=""),"",SUMIFS('Barang Keluar'!$E:$E,'Barang Keluar'!$A:$A,M467,'Barang Keluar'!$C:$C,N467))</f>
        <v>0</v>
      </c>
    </row>
    <row r="468" spans="1:16">
      <c r="A468">
        <f>IFERROR('Master Barang'!A463,"")</f>
        <v>0</v>
      </c>
      <c r="B468">
        <f>IFERROR('Master Barang'!B463,"")</f>
        <v>0</v>
      </c>
      <c r="C468">
        <f>IFERROR('Master Barang'!D463,"")</f>
        <v>0</v>
      </c>
      <c r="D468">
        <f>IF(A468="","",SUMIFS('Barang Keluar'!$E:$E,'Barang Keluar'!$C:$C,A468,'Barang Keluar'!$A:$A,"&gt;="&amp;$A$4,'Barang Keluar'!$A:$A,"&lt;="&amp;$B$4))</f>
        <v>0</v>
      </c>
      <c r="M468" s="49">
        <f>IF($A$4+4&gt;$B$4,"",$A$4+4)</f>
        <v>46027</v>
      </c>
      <c r="N468">
        <f>IF(M468="","",'Master Barang'!A62)</f>
        <v>0</v>
      </c>
      <c r="O468">
        <f>IF(N468="","",'Master Barang'!B62)</f>
        <v>0</v>
      </c>
      <c r="P468">
        <f>IF(OR(M468="",N468=""),"",SUMIFS('Barang Keluar'!$E:$E,'Barang Keluar'!$A:$A,M468,'Barang Keluar'!$C:$C,N468))</f>
        <v>0</v>
      </c>
    </row>
    <row r="469" spans="1:16">
      <c r="A469">
        <f>IFERROR('Master Barang'!A464,"")</f>
        <v>0</v>
      </c>
      <c r="B469">
        <f>IFERROR('Master Barang'!B464,"")</f>
        <v>0</v>
      </c>
      <c r="C469">
        <f>IFERROR('Master Barang'!D464,"")</f>
        <v>0</v>
      </c>
      <c r="D469">
        <f>IF(A469="","",SUMIFS('Barang Keluar'!$E:$E,'Barang Keluar'!$C:$C,A469,'Barang Keluar'!$A:$A,"&gt;="&amp;$A$4,'Barang Keluar'!$A:$A,"&lt;="&amp;$B$4))</f>
        <v>0</v>
      </c>
      <c r="M469" s="49">
        <f>IF($A$4+4&gt;$B$4,"",$A$4+4)</f>
        <v>46027</v>
      </c>
      <c r="N469">
        <f>IF(M469="","",'Master Barang'!A63)</f>
        <v>0</v>
      </c>
      <c r="O469">
        <f>IF(N469="","",'Master Barang'!B63)</f>
        <v>0</v>
      </c>
      <c r="P469">
        <f>IF(OR(M469="",N469=""),"",SUMIFS('Barang Keluar'!$E:$E,'Barang Keluar'!$A:$A,M469,'Barang Keluar'!$C:$C,N469))</f>
        <v>0</v>
      </c>
    </row>
    <row r="470" spans="1:16">
      <c r="A470">
        <f>IFERROR('Master Barang'!A465,"")</f>
        <v>0</v>
      </c>
      <c r="B470">
        <f>IFERROR('Master Barang'!B465,"")</f>
        <v>0</v>
      </c>
      <c r="C470">
        <f>IFERROR('Master Barang'!D465,"")</f>
        <v>0</v>
      </c>
      <c r="D470">
        <f>IF(A470="","",SUMIFS('Barang Keluar'!$E:$E,'Barang Keluar'!$C:$C,A470,'Barang Keluar'!$A:$A,"&gt;="&amp;$A$4,'Barang Keluar'!$A:$A,"&lt;="&amp;$B$4))</f>
        <v>0</v>
      </c>
      <c r="M470" s="49">
        <f>IF($A$4+4&gt;$B$4,"",$A$4+4)</f>
        <v>46027</v>
      </c>
      <c r="N470">
        <f>IF(M470="","",'Master Barang'!A64)</f>
        <v>0</v>
      </c>
      <c r="O470">
        <f>IF(N470="","",'Master Barang'!B64)</f>
        <v>0</v>
      </c>
      <c r="P470">
        <f>IF(OR(M470="",N470=""),"",SUMIFS('Barang Keluar'!$E:$E,'Barang Keluar'!$A:$A,M470,'Barang Keluar'!$C:$C,N470))</f>
        <v>0</v>
      </c>
    </row>
    <row r="471" spans="1:16">
      <c r="A471">
        <f>IFERROR('Master Barang'!A466,"")</f>
        <v>0</v>
      </c>
      <c r="B471">
        <f>IFERROR('Master Barang'!B466,"")</f>
        <v>0</v>
      </c>
      <c r="C471">
        <f>IFERROR('Master Barang'!D466,"")</f>
        <v>0</v>
      </c>
      <c r="D471">
        <f>IF(A471="","",SUMIFS('Barang Keluar'!$E:$E,'Barang Keluar'!$C:$C,A471,'Barang Keluar'!$A:$A,"&gt;="&amp;$A$4,'Barang Keluar'!$A:$A,"&lt;="&amp;$B$4))</f>
        <v>0</v>
      </c>
      <c r="M471" s="49">
        <f>IF($A$4+4&gt;$B$4,"",$A$4+4)</f>
        <v>46027</v>
      </c>
      <c r="N471">
        <f>IF(M471="","",'Master Barang'!A65)</f>
        <v>0</v>
      </c>
      <c r="O471">
        <f>IF(N471="","",'Master Barang'!B65)</f>
        <v>0</v>
      </c>
      <c r="P471">
        <f>IF(OR(M471="",N471=""),"",SUMIFS('Barang Keluar'!$E:$E,'Barang Keluar'!$A:$A,M471,'Barang Keluar'!$C:$C,N471))</f>
        <v>0</v>
      </c>
    </row>
    <row r="472" spans="1:16">
      <c r="A472">
        <f>IFERROR('Master Barang'!A467,"")</f>
        <v>0</v>
      </c>
      <c r="B472">
        <f>IFERROR('Master Barang'!B467,"")</f>
        <v>0</v>
      </c>
      <c r="C472">
        <f>IFERROR('Master Barang'!D467,"")</f>
        <v>0</v>
      </c>
      <c r="D472">
        <f>IF(A472="","",SUMIFS('Barang Keluar'!$E:$E,'Barang Keluar'!$C:$C,A472,'Barang Keluar'!$A:$A,"&gt;="&amp;$A$4,'Barang Keluar'!$A:$A,"&lt;="&amp;$B$4))</f>
        <v>0</v>
      </c>
      <c r="M472" s="49">
        <f>IF($A$4+4&gt;$B$4,"",$A$4+4)</f>
        <v>46027</v>
      </c>
      <c r="N472">
        <f>IF(M472="","",'Master Barang'!A66)</f>
        <v>0</v>
      </c>
      <c r="O472">
        <f>IF(N472="","",'Master Barang'!B66)</f>
        <v>0</v>
      </c>
      <c r="P472">
        <f>IF(OR(M472="",N472=""),"",SUMIFS('Barang Keluar'!$E:$E,'Barang Keluar'!$A:$A,M472,'Barang Keluar'!$C:$C,N472))</f>
        <v>0</v>
      </c>
    </row>
    <row r="473" spans="1:16">
      <c r="A473">
        <f>IFERROR('Master Barang'!A468,"")</f>
        <v>0</v>
      </c>
      <c r="B473">
        <f>IFERROR('Master Barang'!B468,"")</f>
        <v>0</v>
      </c>
      <c r="C473">
        <f>IFERROR('Master Barang'!D468,"")</f>
        <v>0</v>
      </c>
      <c r="D473">
        <f>IF(A473="","",SUMIFS('Barang Keluar'!$E:$E,'Barang Keluar'!$C:$C,A473,'Barang Keluar'!$A:$A,"&gt;="&amp;$A$4,'Barang Keluar'!$A:$A,"&lt;="&amp;$B$4))</f>
        <v>0</v>
      </c>
      <c r="M473" s="49">
        <f>IF($A$4+4&gt;$B$4,"",$A$4+4)</f>
        <v>46027</v>
      </c>
      <c r="N473">
        <f>IF(M473="","",'Master Barang'!A67)</f>
        <v>0</v>
      </c>
      <c r="O473">
        <f>IF(N473="","",'Master Barang'!B67)</f>
        <v>0</v>
      </c>
      <c r="P473">
        <f>IF(OR(M473="",N473=""),"",SUMIFS('Barang Keluar'!$E:$E,'Barang Keluar'!$A:$A,M473,'Barang Keluar'!$C:$C,N473))</f>
        <v>0</v>
      </c>
    </row>
    <row r="474" spans="1:16">
      <c r="A474">
        <f>IFERROR('Master Barang'!A469,"")</f>
        <v>0</v>
      </c>
      <c r="B474">
        <f>IFERROR('Master Barang'!B469,"")</f>
        <v>0</v>
      </c>
      <c r="C474">
        <f>IFERROR('Master Barang'!D469,"")</f>
        <v>0</v>
      </c>
      <c r="D474">
        <f>IF(A474="","",SUMIFS('Barang Keluar'!$E:$E,'Barang Keluar'!$C:$C,A474,'Barang Keluar'!$A:$A,"&gt;="&amp;$A$4,'Barang Keluar'!$A:$A,"&lt;="&amp;$B$4))</f>
        <v>0</v>
      </c>
      <c r="M474" s="49">
        <f>IF($A$4+4&gt;$B$4,"",$A$4+4)</f>
        <v>46027</v>
      </c>
      <c r="N474">
        <f>IF(M474="","",'Master Barang'!A68)</f>
        <v>0</v>
      </c>
      <c r="O474">
        <f>IF(N474="","",'Master Barang'!B68)</f>
        <v>0</v>
      </c>
      <c r="P474">
        <f>IF(OR(M474="",N474=""),"",SUMIFS('Barang Keluar'!$E:$E,'Barang Keluar'!$A:$A,M474,'Barang Keluar'!$C:$C,N474))</f>
        <v>0</v>
      </c>
    </row>
    <row r="475" spans="1:16">
      <c r="A475">
        <f>IFERROR('Master Barang'!A470,"")</f>
        <v>0</v>
      </c>
      <c r="B475">
        <f>IFERROR('Master Barang'!B470,"")</f>
        <v>0</v>
      </c>
      <c r="C475">
        <f>IFERROR('Master Barang'!D470,"")</f>
        <v>0</v>
      </c>
      <c r="D475">
        <f>IF(A475="","",SUMIFS('Barang Keluar'!$E:$E,'Barang Keluar'!$C:$C,A475,'Barang Keluar'!$A:$A,"&gt;="&amp;$A$4,'Barang Keluar'!$A:$A,"&lt;="&amp;$B$4))</f>
        <v>0</v>
      </c>
      <c r="M475" s="49">
        <f>IF($A$4+4&gt;$B$4,"",$A$4+4)</f>
        <v>46027</v>
      </c>
      <c r="N475">
        <f>IF(M475="","",'Master Barang'!A69)</f>
        <v>0</v>
      </c>
      <c r="O475">
        <f>IF(N475="","",'Master Barang'!B69)</f>
        <v>0</v>
      </c>
      <c r="P475">
        <f>IF(OR(M475="",N475=""),"",SUMIFS('Barang Keluar'!$E:$E,'Barang Keluar'!$A:$A,M475,'Barang Keluar'!$C:$C,N475))</f>
        <v>0</v>
      </c>
    </row>
    <row r="476" spans="1:16">
      <c r="A476">
        <f>IFERROR('Master Barang'!A471,"")</f>
        <v>0</v>
      </c>
      <c r="B476">
        <f>IFERROR('Master Barang'!B471,"")</f>
        <v>0</v>
      </c>
      <c r="C476">
        <f>IFERROR('Master Barang'!D471,"")</f>
        <v>0</v>
      </c>
      <c r="D476">
        <f>IF(A476="","",SUMIFS('Barang Keluar'!$E:$E,'Barang Keluar'!$C:$C,A476,'Barang Keluar'!$A:$A,"&gt;="&amp;$A$4,'Barang Keluar'!$A:$A,"&lt;="&amp;$B$4))</f>
        <v>0</v>
      </c>
      <c r="M476" s="49">
        <f>IF($A$4+4&gt;$B$4,"",$A$4+4)</f>
        <v>46027</v>
      </c>
      <c r="N476">
        <f>IF(M476="","",'Master Barang'!A70)</f>
        <v>0</v>
      </c>
      <c r="O476">
        <f>IF(N476="","",'Master Barang'!B70)</f>
        <v>0</v>
      </c>
      <c r="P476">
        <f>IF(OR(M476="",N476=""),"",SUMIFS('Barang Keluar'!$E:$E,'Barang Keluar'!$A:$A,M476,'Barang Keluar'!$C:$C,N476))</f>
        <v>0</v>
      </c>
    </row>
    <row r="477" spans="1:16">
      <c r="A477">
        <f>IFERROR('Master Barang'!A472,"")</f>
        <v>0</v>
      </c>
      <c r="B477">
        <f>IFERROR('Master Barang'!B472,"")</f>
        <v>0</v>
      </c>
      <c r="C477">
        <f>IFERROR('Master Barang'!D472,"")</f>
        <v>0</v>
      </c>
      <c r="D477">
        <f>IF(A477="","",SUMIFS('Barang Keluar'!$E:$E,'Barang Keluar'!$C:$C,A477,'Barang Keluar'!$A:$A,"&gt;="&amp;$A$4,'Barang Keluar'!$A:$A,"&lt;="&amp;$B$4))</f>
        <v>0</v>
      </c>
      <c r="M477" s="49">
        <f>IF($A$4+4&gt;$B$4,"",$A$4+4)</f>
        <v>46027</v>
      </c>
      <c r="N477">
        <f>IF(M477="","",'Master Barang'!A71)</f>
        <v>0</v>
      </c>
      <c r="O477">
        <f>IF(N477="","",'Master Barang'!B71)</f>
        <v>0</v>
      </c>
      <c r="P477">
        <f>IF(OR(M477="",N477=""),"",SUMIFS('Barang Keluar'!$E:$E,'Barang Keluar'!$A:$A,M477,'Barang Keluar'!$C:$C,N477))</f>
        <v>0</v>
      </c>
    </row>
    <row r="478" spans="1:16">
      <c r="A478">
        <f>IFERROR('Master Barang'!A473,"")</f>
        <v>0</v>
      </c>
      <c r="B478">
        <f>IFERROR('Master Barang'!B473,"")</f>
        <v>0</v>
      </c>
      <c r="C478">
        <f>IFERROR('Master Barang'!D473,"")</f>
        <v>0</v>
      </c>
      <c r="D478">
        <f>IF(A478="","",SUMIFS('Barang Keluar'!$E:$E,'Barang Keluar'!$C:$C,A478,'Barang Keluar'!$A:$A,"&gt;="&amp;$A$4,'Barang Keluar'!$A:$A,"&lt;="&amp;$B$4))</f>
        <v>0</v>
      </c>
      <c r="M478" s="49">
        <f>IF($A$4+4&gt;$B$4,"",$A$4+4)</f>
        <v>46027</v>
      </c>
      <c r="N478">
        <f>IF(M478="","",'Master Barang'!A72)</f>
        <v>0</v>
      </c>
      <c r="O478">
        <f>IF(N478="","",'Master Barang'!B72)</f>
        <v>0</v>
      </c>
      <c r="P478">
        <f>IF(OR(M478="",N478=""),"",SUMIFS('Barang Keluar'!$E:$E,'Barang Keluar'!$A:$A,M478,'Barang Keluar'!$C:$C,N478))</f>
        <v>0</v>
      </c>
    </row>
    <row r="479" spans="1:16">
      <c r="A479">
        <f>IFERROR('Master Barang'!A474,"")</f>
        <v>0</v>
      </c>
      <c r="B479">
        <f>IFERROR('Master Barang'!B474,"")</f>
        <v>0</v>
      </c>
      <c r="C479">
        <f>IFERROR('Master Barang'!D474,"")</f>
        <v>0</v>
      </c>
      <c r="D479">
        <f>IF(A479="","",SUMIFS('Barang Keluar'!$E:$E,'Barang Keluar'!$C:$C,A479,'Barang Keluar'!$A:$A,"&gt;="&amp;$A$4,'Barang Keluar'!$A:$A,"&lt;="&amp;$B$4))</f>
        <v>0</v>
      </c>
      <c r="M479" s="49">
        <f>IF($A$4+4&gt;$B$4,"",$A$4+4)</f>
        <v>46027</v>
      </c>
      <c r="N479">
        <f>IF(M479="","",'Master Barang'!A73)</f>
        <v>0</v>
      </c>
      <c r="O479">
        <f>IF(N479="","",'Master Barang'!B73)</f>
        <v>0</v>
      </c>
      <c r="P479">
        <f>IF(OR(M479="",N479=""),"",SUMIFS('Barang Keluar'!$E:$E,'Barang Keluar'!$A:$A,M479,'Barang Keluar'!$C:$C,N479))</f>
        <v>0</v>
      </c>
    </row>
    <row r="480" spans="1:16">
      <c r="A480">
        <f>IFERROR('Master Barang'!A475,"")</f>
        <v>0</v>
      </c>
      <c r="B480">
        <f>IFERROR('Master Barang'!B475,"")</f>
        <v>0</v>
      </c>
      <c r="C480">
        <f>IFERROR('Master Barang'!D475,"")</f>
        <v>0</v>
      </c>
      <c r="D480">
        <f>IF(A480="","",SUMIFS('Barang Keluar'!$E:$E,'Barang Keluar'!$C:$C,A480,'Barang Keluar'!$A:$A,"&gt;="&amp;$A$4,'Barang Keluar'!$A:$A,"&lt;="&amp;$B$4))</f>
        <v>0</v>
      </c>
      <c r="M480" s="49">
        <f>IF($A$4+4&gt;$B$4,"",$A$4+4)</f>
        <v>46027</v>
      </c>
      <c r="N480">
        <f>IF(M480="","",'Master Barang'!A74)</f>
        <v>0</v>
      </c>
      <c r="O480">
        <f>IF(N480="","",'Master Barang'!B74)</f>
        <v>0</v>
      </c>
      <c r="P480">
        <f>IF(OR(M480="",N480=""),"",SUMIFS('Barang Keluar'!$E:$E,'Barang Keluar'!$A:$A,M480,'Barang Keluar'!$C:$C,N480))</f>
        <v>0</v>
      </c>
    </row>
    <row r="481" spans="1:16">
      <c r="A481">
        <f>IFERROR('Master Barang'!A476,"")</f>
        <v>0</v>
      </c>
      <c r="B481">
        <f>IFERROR('Master Barang'!B476,"")</f>
        <v>0</v>
      </c>
      <c r="C481">
        <f>IFERROR('Master Barang'!D476,"")</f>
        <v>0</v>
      </c>
      <c r="D481">
        <f>IF(A481="","",SUMIFS('Barang Keluar'!$E:$E,'Barang Keluar'!$C:$C,A481,'Barang Keluar'!$A:$A,"&gt;="&amp;$A$4,'Barang Keluar'!$A:$A,"&lt;="&amp;$B$4))</f>
        <v>0</v>
      </c>
      <c r="M481" s="49">
        <f>IF($A$4+4&gt;$B$4,"",$A$4+4)</f>
        <v>46027</v>
      </c>
      <c r="N481">
        <f>IF(M481="","",'Master Barang'!A75)</f>
        <v>0</v>
      </c>
      <c r="O481">
        <f>IF(N481="","",'Master Barang'!B75)</f>
        <v>0</v>
      </c>
      <c r="P481">
        <f>IF(OR(M481="",N481=""),"",SUMIFS('Barang Keluar'!$E:$E,'Barang Keluar'!$A:$A,M481,'Barang Keluar'!$C:$C,N481))</f>
        <v>0</v>
      </c>
    </row>
    <row r="482" spans="1:16">
      <c r="A482">
        <f>IFERROR('Master Barang'!A477,"")</f>
        <v>0</v>
      </c>
      <c r="B482">
        <f>IFERROR('Master Barang'!B477,"")</f>
        <v>0</v>
      </c>
      <c r="C482">
        <f>IFERROR('Master Barang'!D477,"")</f>
        <v>0</v>
      </c>
      <c r="D482">
        <f>IF(A482="","",SUMIFS('Barang Keluar'!$E:$E,'Barang Keluar'!$C:$C,A482,'Barang Keluar'!$A:$A,"&gt;="&amp;$A$4,'Barang Keluar'!$A:$A,"&lt;="&amp;$B$4))</f>
        <v>0</v>
      </c>
      <c r="M482" s="49">
        <f>IF($A$4+4&gt;$B$4,"",$A$4+4)</f>
        <v>46027</v>
      </c>
      <c r="N482">
        <f>IF(M482="","",'Master Barang'!A76)</f>
        <v>0</v>
      </c>
      <c r="O482">
        <f>IF(N482="","",'Master Barang'!B76)</f>
        <v>0</v>
      </c>
      <c r="P482">
        <f>IF(OR(M482="",N482=""),"",SUMIFS('Barang Keluar'!$E:$E,'Barang Keluar'!$A:$A,M482,'Barang Keluar'!$C:$C,N482))</f>
        <v>0</v>
      </c>
    </row>
    <row r="483" spans="1:16">
      <c r="A483">
        <f>IFERROR('Master Barang'!A478,"")</f>
        <v>0</v>
      </c>
      <c r="B483">
        <f>IFERROR('Master Barang'!B478,"")</f>
        <v>0</v>
      </c>
      <c r="C483">
        <f>IFERROR('Master Barang'!D478,"")</f>
        <v>0</v>
      </c>
      <c r="D483">
        <f>IF(A483="","",SUMIFS('Barang Keluar'!$E:$E,'Barang Keluar'!$C:$C,A483,'Barang Keluar'!$A:$A,"&gt;="&amp;$A$4,'Barang Keluar'!$A:$A,"&lt;="&amp;$B$4))</f>
        <v>0</v>
      </c>
      <c r="M483" s="49">
        <f>IF($A$4+4&gt;$B$4,"",$A$4+4)</f>
        <v>46027</v>
      </c>
      <c r="N483">
        <f>IF(M483="","",'Master Barang'!A77)</f>
        <v>0</v>
      </c>
      <c r="O483">
        <f>IF(N483="","",'Master Barang'!B77)</f>
        <v>0</v>
      </c>
      <c r="P483">
        <f>IF(OR(M483="",N483=""),"",SUMIFS('Barang Keluar'!$E:$E,'Barang Keluar'!$A:$A,M483,'Barang Keluar'!$C:$C,N483))</f>
        <v>0</v>
      </c>
    </row>
    <row r="484" spans="1:16">
      <c r="A484">
        <f>IFERROR('Master Barang'!A479,"")</f>
        <v>0</v>
      </c>
      <c r="B484">
        <f>IFERROR('Master Barang'!B479,"")</f>
        <v>0</v>
      </c>
      <c r="C484">
        <f>IFERROR('Master Barang'!D479,"")</f>
        <v>0</v>
      </c>
      <c r="D484">
        <f>IF(A484="","",SUMIFS('Barang Keluar'!$E:$E,'Barang Keluar'!$C:$C,A484,'Barang Keluar'!$A:$A,"&gt;="&amp;$A$4,'Barang Keluar'!$A:$A,"&lt;="&amp;$B$4))</f>
        <v>0</v>
      </c>
      <c r="M484" s="49">
        <f>IF($A$4+4&gt;$B$4,"",$A$4+4)</f>
        <v>46027</v>
      </c>
      <c r="N484">
        <f>IF(M484="","",'Master Barang'!A78)</f>
        <v>0</v>
      </c>
      <c r="O484">
        <f>IF(N484="","",'Master Barang'!B78)</f>
        <v>0</v>
      </c>
      <c r="P484">
        <f>IF(OR(M484="",N484=""),"",SUMIFS('Barang Keluar'!$E:$E,'Barang Keluar'!$A:$A,M484,'Barang Keluar'!$C:$C,N484))</f>
        <v>0</v>
      </c>
    </row>
    <row r="485" spans="1:16">
      <c r="A485">
        <f>IFERROR('Master Barang'!A480,"")</f>
        <v>0</v>
      </c>
      <c r="B485">
        <f>IFERROR('Master Barang'!B480,"")</f>
        <v>0</v>
      </c>
      <c r="C485">
        <f>IFERROR('Master Barang'!D480,"")</f>
        <v>0</v>
      </c>
      <c r="D485">
        <f>IF(A485="","",SUMIFS('Barang Keluar'!$E:$E,'Barang Keluar'!$C:$C,A485,'Barang Keluar'!$A:$A,"&gt;="&amp;$A$4,'Barang Keluar'!$A:$A,"&lt;="&amp;$B$4))</f>
        <v>0</v>
      </c>
      <c r="M485" s="49">
        <f>IF($A$4+4&gt;$B$4,"",$A$4+4)</f>
        <v>46027</v>
      </c>
      <c r="N485">
        <f>IF(M485="","",'Master Barang'!A79)</f>
        <v>0</v>
      </c>
      <c r="O485">
        <f>IF(N485="","",'Master Barang'!B79)</f>
        <v>0</v>
      </c>
      <c r="P485">
        <f>IF(OR(M485="",N485=""),"",SUMIFS('Barang Keluar'!$E:$E,'Barang Keluar'!$A:$A,M485,'Barang Keluar'!$C:$C,N485))</f>
        <v>0</v>
      </c>
    </row>
    <row r="486" spans="1:16">
      <c r="A486">
        <f>IFERROR('Master Barang'!A481,"")</f>
        <v>0</v>
      </c>
      <c r="B486">
        <f>IFERROR('Master Barang'!B481,"")</f>
        <v>0</v>
      </c>
      <c r="C486">
        <f>IFERROR('Master Barang'!D481,"")</f>
        <v>0</v>
      </c>
      <c r="D486">
        <f>IF(A486="","",SUMIFS('Barang Keluar'!$E:$E,'Barang Keluar'!$C:$C,A486,'Barang Keluar'!$A:$A,"&gt;="&amp;$A$4,'Barang Keluar'!$A:$A,"&lt;="&amp;$B$4))</f>
        <v>0</v>
      </c>
      <c r="M486" s="49">
        <f>IF($A$4+4&gt;$B$4,"",$A$4+4)</f>
        <v>46027</v>
      </c>
      <c r="N486">
        <f>IF(M486="","",'Master Barang'!A80)</f>
        <v>0</v>
      </c>
      <c r="O486">
        <f>IF(N486="","",'Master Barang'!B80)</f>
        <v>0</v>
      </c>
      <c r="P486">
        <f>IF(OR(M486="",N486=""),"",SUMIFS('Barang Keluar'!$E:$E,'Barang Keluar'!$A:$A,M486,'Barang Keluar'!$C:$C,N486))</f>
        <v>0</v>
      </c>
    </row>
    <row r="487" spans="1:16">
      <c r="A487">
        <f>IFERROR('Master Barang'!A482,"")</f>
        <v>0</v>
      </c>
      <c r="B487">
        <f>IFERROR('Master Barang'!B482,"")</f>
        <v>0</v>
      </c>
      <c r="C487">
        <f>IFERROR('Master Barang'!D482,"")</f>
        <v>0</v>
      </c>
      <c r="D487">
        <f>IF(A487="","",SUMIFS('Barang Keluar'!$E:$E,'Barang Keluar'!$C:$C,A487,'Barang Keluar'!$A:$A,"&gt;="&amp;$A$4,'Barang Keluar'!$A:$A,"&lt;="&amp;$B$4))</f>
        <v>0</v>
      </c>
      <c r="M487" s="49">
        <f>IF($A$4+4&gt;$B$4,"",$A$4+4)</f>
        <v>46027</v>
      </c>
      <c r="N487">
        <f>IF(M487="","",'Master Barang'!A81)</f>
        <v>0</v>
      </c>
      <c r="O487">
        <f>IF(N487="","",'Master Barang'!B81)</f>
        <v>0</v>
      </c>
      <c r="P487">
        <f>IF(OR(M487="",N487=""),"",SUMIFS('Barang Keluar'!$E:$E,'Barang Keluar'!$A:$A,M487,'Barang Keluar'!$C:$C,N487))</f>
        <v>0</v>
      </c>
    </row>
    <row r="488" spans="1:16">
      <c r="A488">
        <f>IFERROR('Master Barang'!A483,"")</f>
        <v>0</v>
      </c>
      <c r="B488">
        <f>IFERROR('Master Barang'!B483,"")</f>
        <v>0</v>
      </c>
      <c r="C488">
        <f>IFERROR('Master Barang'!D483,"")</f>
        <v>0</v>
      </c>
      <c r="D488">
        <f>IF(A488="","",SUMIFS('Barang Keluar'!$E:$E,'Barang Keluar'!$C:$C,A488,'Barang Keluar'!$A:$A,"&gt;="&amp;$A$4,'Barang Keluar'!$A:$A,"&lt;="&amp;$B$4))</f>
        <v>0</v>
      </c>
      <c r="M488" s="49">
        <f>IF($A$4+4&gt;$B$4,"",$A$4+4)</f>
        <v>46027</v>
      </c>
      <c r="N488">
        <f>IF(M488="","",'Master Barang'!A82)</f>
        <v>0</v>
      </c>
      <c r="O488">
        <f>IF(N488="","",'Master Barang'!B82)</f>
        <v>0</v>
      </c>
      <c r="P488">
        <f>IF(OR(M488="",N488=""),"",SUMIFS('Barang Keluar'!$E:$E,'Barang Keluar'!$A:$A,M488,'Barang Keluar'!$C:$C,N488))</f>
        <v>0</v>
      </c>
    </row>
    <row r="489" spans="1:16">
      <c r="A489">
        <f>IFERROR('Master Barang'!A484,"")</f>
        <v>0</v>
      </c>
      <c r="B489">
        <f>IFERROR('Master Barang'!B484,"")</f>
        <v>0</v>
      </c>
      <c r="C489">
        <f>IFERROR('Master Barang'!D484,"")</f>
        <v>0</v>
      </c>
      <c r="D489">
        <f>IF(A489="","",SUMIFS('Barang Keluar'!$E:$E,'Barang Keluar'!$C:$C,A489,'Barang Keluar'!$A:$A,"&gt;="&amp;$A$4,'Barang Keluar'!$A:$A,"&lt;="&amp;$B$4))</f>
        <v>0</v>
      </c>
      <c r="M489" s="49">
        <f>IF($A$4+4&gt;$B$4,"",$A$4+4)</f>
        <v>46027</v>
      </c>
      <c r="N489">
        <f>IF(M489="","",'Master Barang'!A83)</f>
        <v>0</v>
      </c>
      <c r="O489">
        <f>IF(N489="","",'Master Barang'!B83)</f>
        <v>0</v>
      </c>
      <c r="P489">
        <f>IF(OR(M489="",N489=""),"",SUMIFS('Barang Keluar'!$E:$E,'Barang Keluar'!$A:$A,M489,'Barang Keluar'!$C:$C,N489))</f>
        <v>0</v>
      </c>
    </row>
    <row r="490" spans="1:16">
      <c r="A490">
        <f>IFERROR('Master Barang'!A485,"")</f>
        <v>0</v>
      </c>
      <c r="B490">
        <f>IFERROR('Master Barang'!B485,"")</f>
        <v>0</v>
      </c>
      <c r="C490">
        <f>IFERROR('Master Barang'!D485,"")</f>
        <v>0</v>
      </c>
      <c r="D490">
        <f>IF(A490="","",SUMIFS('Barang Keluar'!$E:$E,'Barang Keluar'!$C:$C,A490,'Barang Keluar'!$A:$A,"&gt;="&amp;$A$4,'Barang Keluar'!$A:$A,"&lt;="&amp;$B$4))</f>
        <v>0</v>
      </c>
      <c r="M490" s="49">
        <f>IF($A$4+4&gt;$B$4,"",$A$4+4)</f>
        <v>46027</v>
      </c>
      <c r="N490">
        <f>IF(M490="","",'Master Barang'!A84)</f>
        <v>0</v>
      </c>
      <c r="O490">
        <f>IF(N490="","",'Master Barang'!B84)</f>
        <v>0</v>
      </c>
      <c r="P490">
        <f>IF(OR(M490="",N490=""),"",SUMIFS('Barang Keluar'!$E:$E,'Barang Keluar'!$A:$A,M490,'Barang Keluar'!$C:$C,N490))</f>
        <v>0</v>
      </c>
    </row>
    <row r="491" spans="1:16">
      <c r="A491">
        <f>IFERROR('Master Barang'!A486,"")</f>
        <v>0</v>
      </c>
      <c r="B491">
        <f>IFERROR('Master Barang'!B486,"")</f>
        <v>0</v>
      </c>
      <c r="C491">
        <f>IFERROR('Master Barang'!D486,"")</f>
        <v>0</v>
      </c>
      <c r="D491">
        <f>IF(A491="","",SUMIFS('Barang Keluar'!$E:$E,'Barang Keluar'!$C:$C,A491,'Barang Keluar'!$A:$A,"&gt;="&amp;$A$4,'Barang Keluar'!$A:$A,"&lt;="&amp;$B$4))</f>
        <v>0</v>
      </c>
      <c r="M491" s="49">
        <f>IF($A$4+4&gt;$B$4,"",$A$4+4)</f>
        <v>46027</v>
      </c>
      <c r="N491">
        <f>IF(M491="","",'Master Barang'!A85)</f>
        <v>0</v>
      </c>
      <c r="O491">
        <f>IF(N491="","",'Master Barang'!B85)</f>
        <v>0</v>
      </c>
      <c r="P491">
        <f>IF(OR(M491="",N491=""),"",SUMIFS('Barang Keluar'!$E:$E,'Barang Keluar'!$A:$A,M491,'Barang Keluar'!$C:$C,N491))</f>
        <v>0</v>
      </c>
    </row>
    <row r="492" spans="1:16">
      <c r="A492">
        <f>IFERROR('Master Barang'!A487,"")</f>
        <v>0</v>
      </c>
      <c r="B492">
        <f>IFERROR('Master Barang'!B487,"")</f>
        <v>0</v>
      </c>
      <c r="C492">
        <f>IFERROR('Master Barang'!D487,"")</f>
        <v>0</v>
      </c>
      <c r="D492">
        <f>IF(A492="","",SUMIFS('Barang Keluar'!$E:$E,'Barang Keluar'!$C:$C,A492,'Barang Keluar'!$A:$A,"&gt;="&amp;$A$4,'Barang Keluar'!$A:$A,"&lt;="&amp;$B$4))</f>
        <v>0</v>
      </c>
      <c r="M492" s="49">
        <f>IF($A$4+4&gt;$B$4,"",$A$4+4)</f>
        <v>46027</v>
      </c>
      <c r="N492">
        <f>IF(M492="","",'Master Barang'!A86)</f>
        <v>0</v>
      </c>
      <c r="O492">
        <f>IF(N492="","",'Master Barang'!B86)</f>
        <v>0</v>
      </c>
      <c r="P492">
        <f>IF(OR(M492="",N492=""),"",SUMIFS('Barang Keluar'!$E:$E,'Barang Keluar'!$A:$A,M492,'Barang Keluar'!$C:$C,N492))</f>
        <v>0</v>
      </c>
    </row>
    <row r="493" spans="1:16">
      <c r="A493">
        <f>IFERROR('Master Barang'!A488,"")</f>
        <v>0</v>
      </c>
      <c r="B493">
        <f>IFERROR('Master Barang'!B488,"")</f>
        <v>0</v>
      </c>
      <c r="C493">
        <f>IFERROR('Master Barang'!D488,"")</f>
        <v>0</v>
      </c>
      <c r="D493">
        <f>IF(A493="","",SUMIFS('Barang Keluar'!$E:$E,'Barang Keluar'!$C:$C,A493,'Barang Keluar'!$A:$A,"&gt;="&amp;$A$4,'Barang Keluar'!$A:$A,"&lt;="&amp;$B$4))</f>
        <v>0</v>
      </c>
      <c r="M493" s="49">
        <f>IF($A$4+4&gt;$B$4,"",$A$4+4)</f>
        <v>46027</v>
      </c>
      <c r="N493">
        <f>IF(M493="","",'Master Barang'!A87)</f>
        <v>0</v>
      </c>
      <c r="O493">
        <f>IF(N493="","",'Master Barang'!B87)</f>
        <v>0</v>
      </c>
      <c r="P493">
        <f>IF(OR(M493="",N493=""),"",SUMIFS('Barang Keluar'!$E:$E,'Barang Keluar'!$A:$A,M493,'Barang Keluar'!$C:$C,N493))</f>
        <v>0</v>
      </c>
    </row>
    <row r="494" spans="1:16">
      <c r="A494">
        <f>IFERROR('Master Barang'!A489,"")</f>
        <v>0</v>
      </c>
      <c r="B494">
        <f>IFERROR('Master Barang'!B489,"")</f>
        <v>0</v>
      </c>
      <c r="C494">
        <f>IFERROR('Master Barang'!D489,"")</f>
        <v>0</v>
      </c>
      <c r="D494">
        <f>IF(A494="","",SUMIFS('Barang Keluar'!$E:$E,'Barang Keluar'!$C:$C,A494,'Barang Keluar'!$A:$A,"&gt;="&amp;$A$4,'Barang Keluar'!$A:$A,"&lt;="&amp;$B$4))</f>
        <v>0</v>
      </c>
      <c r="M494" s="49">
        <f>IF($A$4+4&gt;$B$4,"",$A$4+4)</f>
        <v>46027</v>
      </c>
      <c r="N494">
        <f>IF(M494="","",'Master Barang'!A88)</f>
        <v>0</v>
      </c>
      <c r="O494">
        <f>IF(N494="","",'Master Barang'!B88)</f>
        <v>0</v>
      </c>
      <c r="P494">
        <f>IF(OR(M494="",N494=""),"",SUMIFS('Barang Keluar'!$E:$E,'Barang Keluar'!$A:$A,M494,'Barang Keluar'!$C:$C,N494))</f>
        <v>0</v>
      </c>
    </row>
    <row r="495" spans="1:16">
      <c r="A495">
        <f>IFERROR('Master Barang'!A490,"")</f>
        <v>0</v>
      </c>
      <c r="B495">
        <f>IFERROR('Master Barang'!B490,"")</f>
        <v>0</v>
      </c>
      <c r="C495">
        <f>IFERROR('Master Barang'!D490,"")</f>
        <v>0</v>
      </c>
      <c r="D495">
        <f>IF(A495="","",SUMIFS('Barang Keluar'!$E:$E,'Barang Keluar'!$C:$C,A495,'Barang Keluar'!$A:$A,"&gt;="&amp;$A$4,'Barang Keluar'!$A:$A,"&lt;="&amp;$B$4))</f>
        <v>0</v>
      </c>
      <c r="M495" s="49">
        <f>IF($A$4+4&gt;$B$4,"",$A$4+4)</f>
        <v>46027</v>
      </c>
      <c r="N495">
        <f>IF(M495="","",'Master Barang'!A89)</f>
        <v>0</v>
      </c>
      <c r="O495">
        <f>IF(N495="","",'Master Barang'!B89)</f>
        <v>0</v>
      </c>
      <c r="P495">
        <f>IF(OR(M495="",N495=""),"",SUMIFS('Barang Keluar'!$E:$E,'Barang Keluar'!$A:$A,M495,'Barang Keluar'!$C:$C,N495))</f>
        <v>0</v>
      </c>
    </row>
    <row r="496" spans="1:16">
      <c r="A496">
        <f>IFERROR('Master Barang'!A491,"")</f>
        <v>0</v>
      </c>
      <c r="B496">
        <f>IFERROR('Master Barang'!B491,"")</f>
        <v>0</v>
      </c>
      <c r="C496">
        <f>IFERROR('Master Barang'!D491,"")</f>
        <v>0</v>
      </c>
      <c r="D496">
        <f>IF(A496="","",SUMIFS('Barang Keluar'!$E:$E,'Barang Keluar'!$C:$C,A496,'Barang Keluar'!$A:$A,"&gt;="&amp;$A$4,'Barang Keluar'!$A:$A,"&lt;="&amp;$B$4))</f>
        <v>0</v>
      </c>
      <c r="M496" s="49">
        <f>IF($A$4+4&gt;$B$4,"",$A$4+4)</f>
        <v>46027</v>
      </c>
      <c r="N496">
        <f>IF(M496="","",'Master Barang'!A90)</f>
        <v>0</v>
      </c>
      <c r="O496">
        <f>IF(N496="","",'Master Barang'!B90)</f>
        <v>0</v>
      </c>
      <c r="P496">
        <f>IF(OR(M496="",N496=""),"",SUMIFS('Barang Keluar'!$E:$E,'Barang Keluar'!$A:$A,M496,'Barang Keluar'!$C:$C,N496))</f>
        <v>0</v>
      </c>
    </row>
    <row r="497" spans="1:16">
      <c r="A497">
        <f>IFERROR('Master Barang'!A492,"")</f>
        <v>0</v>
      </c>
      <c r="B497">
        <f>IFERROR('Master Barang'!B492,"")</f>
        <v>0</v>
      </c>
      <c r="C497">
        <f>IFERROR('Master Barang'!D492,"")</f>
        <v>0</v>
      </c>
      <c r="D497">
        <f>IF(A497="","",SUMIFS('Barang Keluar'!$E:$E,'Barang Keluar'!$C:$C,A497,'Barang Keluar'!$A:$A,"&gt;="&amp;$A$4,'Barang Keluar'!$A:$A,"&lt;="&amp;$B$4))</f>
        <v>0</v>
      </c>
      <c r="M497" s="49">
        <f>IF($A$4+4&gt;$B$4,"",$A$4+4)</f>
        <v>46027</v>
      </c>
      <c r="N497">
        <f>IF(M497="","",'Master Barang'!A91)</f>
        <v>0</v>
      </c>
      <c r="O497">
        <f>IF(N497="","",'Master Barang'!B91)</f>
        <v>0</v>
      </c>
      <c r="P497">
        <f>IF(OR(M497="",N497=""),"",SUMIFS('Barang Keluar'!$E:$E,'Barang Keluar'!$A:$A,M497,'Barang Keluar'!$C:$C,N497))</f>
        <v>0</v>
      </c>
    </row>
    <row r="498" spans="1:16">
      <c r="A498">
        <f>IFERROR('Master Barang'!A493,"")</f>
        <v>0</v>
      </c>
      <c r="B498">
        <f>IFERROR('Master Barang'!B493,"")</f>
        <v>0</v>
      </c>
      <c r="C498">
        <f>IFERROR('Master Barang'!D493,"")</f>
        <v>0</v>
      </c>
      <c r="D498">
        <f>IF(A498="","",SUMIFS('Barang Keluar'!$E:$E,'Barang Keluar'!$C:$C,A498,'Barang Keluar'!$A:$A,"&gt;="&amp;$A$4,'Barang Keluar'!$A:$A,"&lt;="&amp;$B$4))</f>
        <v>0</v>
      </c>
      <c r="M498" s="49">
        <f>IF($A$4+4&gt;$B$4,"",$A$4+4)</f>
        <v>46027</v>
      </c>
      <c r="N498">
        <f>IF(M498="","",'Master Barang'!A92)</f>
        <v>0</v>
      </c>
      <c r="O498">
        <f>IF(N498="","",'Master Barang'!B92)</f>
        <v>0</v>
      </c>
      <c r="P498">
        <f>IF(OR(M498="",N498=""),"",SUMIFS('Barang Keluar'!$E:$E,'Barang Keluar'!$A:$A,M498,'Barang Keluar'!$C:$C,N498))</f>
        <v>0</v>
      </c>
    </row>
    <row r="499" spans="1:16">
      <c r="A499">
        <f>IFERROR('Master Barang'!A494,"")</f>
        <v>0</v>
      </c>
      <c r="B499">
        <f>IFERROR('Master Barang'!B494,"")</f>
        <v>0</v>
      </c>
      <c r="C499">
        <f>IFERROR('Master Barang'!D494,"")</f>
        <v>0</v>
      </c>
      <c r="D499">
        <f>IF(A499="","",SUMIFS('Barang Keluar'!$E:$E,'Barang Keluar'!$C:$C,A499,'Barang Keluar'!$A:$A,"&gt;="&amp;$A$4,'Barang Keluar'!$A:$A,"&lt;="&amp;$B$4))</f>
        <v>0</v>
      </c>
      <c r="M499" s="49">
        <f>IF($A$4+4&gt;$B$4,"",$A$4+4)</f>
        <v>46027</v>
      </c>
      <c r="N499">
        <f>IF(M499="","",'Master Barang'!A93)</f>
        <v>0</v>
      </c>
      <c r="O499">
        <f>IF(N499="","",'Master Barang'!B93)</f>
        <v>0</v>
      </c>
      <c r="P499">
        <f>IF(OR(M499="",N499=""),"",SUMIFS('Barang Keluar'!$E:$E,'Barang Keluar'!$A:$A,M499,'Barang Keluar'!$C:$C,N499))</f>
        <v>0</v>
      </c>
    </row>
    <row r="500" spans="1:16">
      <c r="A500">
        <f>IFERROR('Master Barang'!A495,"")</f>
        <v>0</v>
      </c>
      <c r="B500">
        <f>IFERROR('Master Barang'!B495,"")</f>
        <v>0</v>
      </c>
      <c r="C500">
        <f>IFERROR('Master Barang'!D495,"")</f>
        <v>0</v>
      </c>
      <c r="D500">
        <f>IF(A500="","",SUMIFS('Barang Keluar'!$E:$E,'Barang Keluar'!$C:$C,A500,'Barang Keluar'!$A:$A,"&gt;="&amp;$A$4,'Barang Keluar'!$A:$A,"&lt;="&amp;$B$4))</f>
        <v>0</v>
      </c>
      <c r="M500" s="49">
        <f>IF($A$4+4&gt;$B$4,"",$A$4+4)</f>
        <v>46027</v>
      </c>
      <c r="N500">
        <f>IF(M500="","",'Master Barang'!A94)</f>
        <v>0</v>
      </c>
      <c r="O500">
        <f>IF(N500="","",'Master Barang'!B94)</f>
        <v>0</v>
      </c>
      <c r="P500">
        <f>IF(OR(M500="",N500=""),"",SUMIFS('Barang Keluar'!$E:$E,'Barang Keluar'!$A:$A,M500,'Barang Keluar'!$C:$C,N500))</f>
        <v>0</v>
      </c>
    </row>
    <row r="501" spans="1:16">
      <c r="A501">
        <f>IFERROR('Master Barang'!A496,"")</f>
        <v>0</v>
      </c>
      <c r="B501">
        <f>IFERROR('Master Barang'!B496,"")</f>
        <v>0</v>
      </c>
      <c r="C501">
        <f>IFERROR('Master Barang'!D496,"")</f>
        <v>0</v>
      </c>
      <c r="D501">
        <f>IF(A501="","",SUMIFS('Barang Keluar'!$E:$E,'Barang Keluar'!$C:$C,A501,'Barang Keluar'!$A:$A,"&gt;="&amp;$A$4,'Barang Keluar'!$A:$A,"&lt;="&amp;$B$4))</f>
        <v>0</v>
      </c>
      <c r="M501" s="49">
        <f>IF($A$4+4&gt;$B$4,"",$A$4+4)</f>
        <v>46027</v>
      </c>
      <c r="N501">
        <f>IF(M501="","",'Master Barang'!A95)</f>
        <v>0</v>
      </c>
      <c r="O501">
        <f>IF(N501="","",'Master Barang'!B95)</f>
        <v>0</v>
      </c>
      <c r="P501">
        <f>IF(OR(M501="",N501=""),"",SUMIFS('Barang Keluar'!$E:$E,'Barang Keluar'!$A:$A,M501,'Barang Keluar'!$C:$C,N501))</f>
        <v>0</v>
      </c>
    </row>
    <row r="502" spans="1:16">
      <c r="A502">
        <f>IFERROR('Master Barang'!A497,"")</f>
        <v>0</v>
      </c>
      <c r="B502">
        <f>IFERROR('Master Barang'!B497,"")</f>
        <v>0</v>
      </c>
      <c r="C502">
        <f>IFERROR('Master Barang'!D497,"")</f>
        <v>0</v>
      </c>
      <c r="D502">
        <f>IF(A502="","",SUMIFS('Barang Keluar'!$E:$E,'Barang Keluar'!$C:$C,A502,'Barang Keluar'!$A:$A,"&gt;="&amp;$A$4,'Barang Keluar'!$A:$A,"&lt;="&amp;$B$4))</f>
        <v>0</v>
      </c>
      <c r="M502" s="49">
        <f>IF($A$4+4&gt;$B$4,"",$A$4+4)</f>
        <v>46027</v>
      </c>
      <c r="N502">
        <f>IF(M502="","",'Master Barang'!A96)</f>
        <v>0</v>
      </c>
      <c r="O502">
        <f>IF(N502="","",'Master Barang'!B96)</f>
        <v>0</v>
      </c>
      <c r="P502">
        <f>IF(OR(M502="",N502=""),"",SUMIFS('Barang Keluar'!$E:$E,'Barang Keluar'!$A:$A,M502,'Barang Keluar'!$C:$C,N502))</f>
        <v>0</v>
      </c>
    </row>
    <row r="503" spans="1:16">
      <c r="A503">
        <f>IFERROR('Master Barang'!A498,"")</f>
        <v>0</v>
      </c>
      <c r="B503">
        <f>IFERROR('Master Barang'!B498,"")</f>
        <v>0</v>
      </c>
      <c r="C503">
        <f>IFERROR('Master Barang'!D498,"")</f>
        <v>0</v>
      </c>
      <c r="D503">
        <f>IF(A503="","",SUMIFS('Barang Keluar'!$E:$E,'Barang Keluar'!$C:$C,A503,'Barang Keluar'!$A:$A,"&gt;="&amp;$A$4,'Barang Keluar'!$A:$A,"&lt;="&amp;$B$4))</f>
        <v>0</v>
      </c>
      <c r="M503" s="49">
        <f>IF($A$4+4&gt;$B$4,"",$A$4+4)</f>
        <v>46027</v>
      </c>
      <c r="N503">
        <f>IF(M503="","",'Master Barang'!A97)</f>
        <v>0</v>
      </c>
      <c r="O503">
        <f>IF(N503="","",'Master Barang'!B97)</f>
        <v>0</v>
      </c>
      <c r="P503">
        <f>IF(OR(M503="",N503=""),"",SUMIFS('Barang Keluar'!$E:$E,'Barang Keluar'!$A:$A,M503,'Barang Keluar'!$C:$C,N503))</f>
        <v>0</v>
      </c>
    </row>
    <row r="504" spans="1:16">
      <c r="A504">
        <f>IFERROR('Master Barang'!A499,"")</f>
        <v>0</v>
      </c>
      <c r="B504">
        <f>IFERROR('Master Barang'!B499,"")</f>
        <v>0</v>
      </c>
      <c r="C504">
        <f>IFERROR('Master Barang'!D499,"")</f>
        <v>0</v>
      </c>
      <c r="D504">
        <f>IF(A504="","",SUMIFS('Barang Keluar'!$E:$E,'Barang Keluar'!$C:$C,A504,'Barang Keluar'!$A:$A,"&gt;="&amp;$A$4,'Barang Keluar'!$A:$A,"&lt;="&amp;$B$4))</f>
        <v>0</v>
      </c>
      <c r="M504" s="49">
        <f>IF($A$4+4&gt;$B$4,"",$A$4+4)</f>
        <v>46027</v>
      </c>
      <c r="N504">
        <f>IF(M504="","",'Master Barang'!A98)</f>
        <v>0</v>
      </c>
      <c r="O504">
        <f>IF(N504="","",'Master Barang'!B98)</f>
        <v>0</v>
      </c>
      <c r="P504">
        <f>IF(OR(M504="",N504=""),"",SUMIFS('Barang Keluar'!$E:$E,'Barang Keluar'!$A:$A,M504,'Barang Keluar'!$C:$C,N504))</f>
        <v>0</v>
      </c>
    </row>
    <row r="505" spans="1:16">
      <c r="A505">
        <f>IFERROR('Master Barang'!A500,"")</f>
        <v>0</v>
      </c>
      <c r="B505">
        <f>IFERROR('Master Barang'!B500,"")</f>
        <v>0</v>
      </c>
      <c r="C505">
        <f>IFERROR('Master Barang'!D500,"")</f>
        <v>0</v>
      </c>
      <c r="D505">
        <f>IF(A505="","",SUMIFS('Barang Keluar'!$E:$E,'Barang Keluar'!$C:$C,A505,'Barang Keluar'!$A:$A,"&gt;="&amp;$A$4,'Barang Keluar'!$A:$A,"&lt;="&amp;$B$4))</f>
        <v>0</v>
      </c>
      <c r="M505" s="49">
        <f>IF($A$4+4&gt;$B$4,"",$A$4+4)</f>
        <v>46027</v>
      </c>
      <c r="N505">
        <f>IF(M505="","",'Master Barang'!A99)</f>
        <v>0</v>
      </c>
      <c r="O505">
        <f>IF(N505="","",'Master Barang'!B99)</f>
        <v>0</v>
      </c>
      <c r="P505">
        <f>IF(OR(M505="",N505=""),"",SUMIFS('Barang Keluar'!$E:$E,'Barang Keluar'!$A:$A,M505,'Barang Keluar'!$C:$C,N505))</f>
        <v>0</v>
      </c>
    </row>
    <row r="506" spans="1:16">
      <c r="A506">
        <f>IFERROR('Master Barang'!A501,"")</f>
        <v>0</v>
      </c>
      <c r="B506">
        <f>IFERROR('Master Barang'!B501,"")</f>
        <v>0</v>
      </c>
      <c r="C506">
        <f>IFERROR('Master Barang'!D501,"")</f>
        <v>0</v>
      </c>
      <c r="D506">
        <f>IF(A506="","",SUMIFS('Barang Keluar'!$E:$E,'Barang Keluar'!$C:$C,A506,'Barang Keluar'!$A:$A,"&gt;="&amp;$A$4,'Barang Keluar'!$A:$A,"&lt;="&amp;$B$4))</f>
        <v>0</v>
      </c>
      <c r="M506" s="49">
        <f>IF($A$4+4&gt;$B$4,"",$A$4+4)</f>
        <v>46027</v>
      </c>
      <c r="N506">
        <f>IF(M506="","",'Master Barang'!A100)</f>
        <v>0</v>
      </c>
      <c r="O506">
        <f>IF(N506="","",'Master Barang'!B100)</f>
        <v>0</v>
      </c>
      <c r="P506">
        <f>IF(OR(M506="",N506=""),"",SUMIFS('Barang Keluar'!$E:$E,'Barang Keluar'!$A:$A,M506,'Barang Keluar'!$C:$C,N506))</f>
        <v>0</v>
      </c>
    </row>
    <row r="507" spans="13:16">
      <c r="M507" s="49">
        <f>IF($A$4+4&gt;$B$4,"",$A$4+4)</f>
        <v>46027</v>
      </c>
      <c r="N507">
        <f>IF(M507="","",'Master Barang'!A101)</f>
        <v>0</v>
      </c>
      <c r="O507">
        <f>IF(N507="","",'Master Barang'!B101)</f>
        <v>0</v>
      </c>
      <c r="P507">
        <f>IF(OR(M507="",N507=""),"",SUMIFS('Barang Keluar'!$E:$E,'Barang Keluar'!$A:$A,M507,'Barang Keluar'!$C:$C,N507))</f>
        <v>0</v>
      </c>
    </row>
    <row r="508" spans="13:16">
      <c r="M508" s="49">
        <f>IF($A$4+5&gt;$B$4,"",$A$4+5)</f>
        <v>46028</v>
      </c>
      <c r="N508" t="str">
        <f>IF(M508="","",'Master Barang'!A2)</f>
        <v>PRL-001</v>
      </c>
      <c r="O508" t="str">
        <f>IF(N508="","",'Master Barang'!B2)</f>
        <v>natura desinfectant food grade 5l</v>
      </c>
      <c r="P508">
        <f>IF(OR(M508="",N508=""),"",SUMIFS('Barang Keluar'!$E:$E,'Barang Keluar'!$A:$A,M508,'Barang Keluar'!$C:$C,N508))</f>
        <v>0</v>
      </c>
    </row>
    <row r="509" spans="13:16">
      <c r="M509" s="49">
        <f>IF($A$4+5&gt;$B$4,"",$A$4+5)</f>
        <v>46028</v>
      </c>
      <c r="N509" t="str">
        <f>IF(M509="","",'Master Barang'!A3)</f>
        <v>PRL-002</v>
      </c>
      <c r="O509" t="str">
        <f>IF(N509="","",'Master Barang'!B3)</f>
        <v>sunlight cairan pencuci piring 5l</v>
      </c>
      <c r="P509">
        <f>IF(OR(M509="",N509=""),"",SUMIFS('Barang Keluar'!$E:$E,'Barang Keluar'!$A:$A,M509,'Barang Keluar'!$C:$C,N509))</f>
        <v>0</v>
      </c>
    </row>
    <row r="510" spans="13:16">
      <c r="M510" s="49">
        <f>IF($A$4+5&gt;$B$4,"",$A$4+5)</f>
        <v>46028</v>
      </c>
      <c r="N510" t="str">
        <f>IF(M510="","",'Master Barang'!A4)</f>
        <v>PRL-003</v>
      </c>
      <c r="O510" t="str">
        <f>IF(N510="","",'Master Barang'!B4)</f>
        <v>oixs cleaner 1l</v>
      </c>
      <c r="P510">
        <f>IF(OR(M510="",N510=""),"",SUMIFS('Barang Keluar'!$E:$E,'Barang Keluar'!$A:$A,M510,'Barang Keluar'!$C:$C,N510))</f>
        <v>0</v>
      </c>
    </row>
    <row r="511" spans="13:16">
      <c r="M511" s="49">
        <f>IF($A$4+5&gt;$B$4,"",$A$4+5)</f>
        <v>46028</v>
      </c>
      <c r="N511" t="str">
        <f>IF(M511="","",'Master Barang'!A5)</f>
        <v>PRL-004</v>
      </c>
      <c r="O511" t="str">
        <f>IF(N511="","",'Master Barang'!B5)</f>
        <v>be clean tissue serbaguna</v>
      </c>
      <c r="P511">
        <f>IF(OR(M511="",N511=""),"",SUMIFS('Barang Keluar'!$E:$E,'Barang Keluar'!$A:$A,M511,'Barang Keluar'!$C:$C,N511))</f>
        <v>0</v>
      </c>
    </row>
    <row r="512" spans="13:16">
      <c r="M512" s="49">
        <f>IF($A$4+5&gt;$B$4,"",$A$4+5)</f>
        <v>46028</v>
      </c>
      <c r="N512" t="str">
        <f>IF(M512="","",'Master Barang'!A6)</f>
        <v>PRL-005</v>
      </c>
      <c r="O512" t="str">
        <f>IF(N512="","",'Master Barang'!B6)</f>
        <v>spons cuci hijau</v>
      </c>
      <c r="P512">
        <f>IF(OR(M512="",N512=""),"",SUMIFS('Barang Keluar'!$E:$E,'Barang Keluar'!$A:$A,M512,'Barang Keluar'!$C:$C,N512))</f>
        <v>0</v>
      </c>
    </row>
    <row r="513" spans="13:16">
      <c r="M513" s="49">
        <f>IF($A$4+5&gt;$B$4,"",$A$4+5)</f>
        <v>46028</v>
      </c>
      <c r="N513" t="str">
        <f>IF(M513="","",'Master Barang'!A7)</f>
        <v>PRL-006</v>
      </c>
      <c r="O513" t="str">
        <f>IF(N513="","",'Master Barang'!B7)</f>
        <v>sabut cuci stainless</v>
      </c>
      <c r="P513">
        <f>IF(OR(M513="",N513=""),"",SUMIFS('Barang Keluar'!$E:$E,'Barang Keluar'!$A:$A,M513,'Barang Keluar'!$C:$C,N513))</f>
        <v>0</v>
      </c>
    </row>
    <row r="514" spans="13:16">
      <c r="M514" s="49">
        <f>IF($A$4+5&gt;$B$4,"",$A$4+5)</f>
        <v>46028</v>
      </c>
      <c r="N514" t="str">
        <f>IF(M514="","",'Master Barang'!A8)</f>
        <v>PRL-007</v>
      </c>
      <c r="O514" t="str">
        <f>IF(N514="","",'Master Barang'!B8)</f>
        <v>plastik kresek besar merah 50pc</v>
      </c>
      <c r="P514">
        <f>IF(OR(M514="",N514=""),"",SUMIFS('Barang Keluar'!$E:$E,'Barang Keluar'!$A:$A,M514,'Barang Keluar'!$C:$C,N514))</f>
        <v>0</v>
      </c>
    </row>
    <row r="515" spans="13:16">
      <c r="M515" s="49">
        <f>IF($A$4+5&gt;$B$4,"",$A$4+5)</f>
        <v>46028</v>
      </c>
      <c r="N515" t="str">
        <f>IF(M515="","",'Master Barang'!A9)</f>
        <v>PRL-008</v>
      </c>
      <c r="O515" t="str">
        <f>IF(N515="","",'Master Barang'!B9)</f>
        <v>lap besar</v>
      </c>
      <c r="P515">
        <f>IF(OR(M515="",N515=""),"",SUMIFS('Barang Keluar'!$E:$E,'Barang Keluar'!$A:$A,M515,'Barang Keluar'!$C:$C,N515))</f>
        <v>0</v>
      </c>
    </row>
    <row r="516" spans="13:16">
      <c r="M516" s="49">
        <f>IF($A$4+5&gt;$B$4,"",$A$4+5)</f>
        <v>46028</v>
      </c>
      <c r="N516" t="str">
        <f>IF(M516="","",'Master Barang'!A10)</f>
        <v>PRL-009</v>
      </c>
      <c r="O516" t="str">
        <f>IF(N516="","",'Master Barang'!B10)</f>
        <v>lap microfiber</v>
      </c>
      <c r="P516">
        <f>IF(OR(M516="",N516=""),"",SUMIFS('Barang Keluar'!$E:$E,'Barang Keluar'!$A:$A,M516,'Barang Keluar'!$C:$C,N516))</f>
        <v>0</v>
      </c>
    </row>
    <row r="517" spans="13:16">
      <c r="M517" s="49">
        <f>IF($A$4+5&gt;$B$4,"",$A$4+5)</f>
        <v>46028</v>
      </c>
      <c r="N517" t="str">
        <f>IF(M517="","",'Master Barang'!A11)</f>
        <v>PRL-010</v>
      </c>
      <c r="O517" t="str">
        <f>IF(N517="","",'Master Barang'!B11)</f>
        <v>lap kecil</v>
      </c>
      <c r="P517">
        <f>IF(OR(M517="",N517=""),"",SUMIFS('Barang Keluar'!$E:$E,'Barang Keluar'!$A:$A,M517,'Barang Keluar'!$C:$C,N517))</f>
        <v>0</v>
      </c>
    </row>
    <row r="518" spans="13:16">
      <c r="M518" s="49">
        <f>IF($A$4+5&gt;$B$4,"",$A$4+5)</f>
        <v>46028</v>
      </c>
      <c r="N518" t="str">
        <f>IF(M518="","",'Master Barang'!A12)</f>
        <v>PRL-011</v>
      </c>
      <c r="O518" t="str">
        <f>IF(N518="","",'Master Barang'!B12)</f>
        <v>kanebo kecil</v>
      </c>
      <c r="P518">
        <f>IF(OR(M518="",N518=""),"",SUMIFS('Barang Keluar'!$E:$E,'Barang Keluar'!$A:$A,M518,'Barang Keluar'!$C:$C,N518))</f>
        <v>0</v>
      </c>
    </row>
    <row r="519" spans="13:16">
      <c r="M519" s="49">
        <f>IF($A$4+5&gt;$B$4,"",$A$4+5)</f>
        <v>46028</v>
      </c>
      <c r="N519" t="str">
        <f>IF(M519="","",'Master Barang'!A13)</f>
        <v>PRL-012</v>
      </c>
      <c r="O519" t="str">
        <f>IF(N519="","",'Master Barang'!B13)</f>
        <v>plastik 1/4kg joyoboyo 100 lembar</v>
      </c>
      <c r="P519">
        <f>IF(OR(M519="",N519=""),"",SUMIFS('Barang Keluar'!$E:$E,'Barang Keluar'!$A:$A,M519,'Barang Keluar'!$C:$C,N519))</f>
        <v>0</v>
      </c>
    </row>
    <row r="520" spans="13:16">
      <c r="M520" s="49">
        <f>IF($A$4+5&gt;$B$4,"",$A$4+5)</f>
        <v>46028</v>
      </c>
      <c r="N520" t="str">
        <f>IF(M520="","",'Master Barang'!A14)</f>
        <v>PRL-013</v>
      </c>
      <c r="O520" t="str">
        <f>IF(N520="","",'Master Barang'!B14)</f>
        <v>sarung tangan plastik kaka 100 pcs</v>
      </c>
      <c r="P520">
        <f>IF(OR(M520="",N520=""),"",SUMIFS('Barang Keluar'!$E:$E,'Barang Keluar'!$A:$A,M520,'Barang Keluar'!$C:$C,N520))</f>
        <v>0</v>
      </c>
    </row>
    <row r="521" spans="13:16">
      <c r="M521" s="49">
        <f>IF($A$4+5&gt;$B$4,"",$A$4+5)</f>
        <v>46028</v>
      </c>
      <c r="N521" t="str">
        <f>IF(M521="","",'Master Barang'!A15)</f>
        <v>PRL-014</v>
      </c>
      <c r="O521" t="str">
        <f>IF(N521="","",'Master Barang'!B15)</f>
        <v>optima trashbag 80x100</v>
      </c>
      <c r="P521">
        <f>IF(OR(M521="",N521=""),"",SUMIFS('Barang Keluar'!$E:$E,'Barang Keluar'!$A:$A,M521,'Barang Keluar'!$C:$C,N521))</f>
        <v>0</v>
      </c>
    </row>
    <row r="522" spans="13:16">
      <c r="M522" s="49">
        <f>IF($A$4+5&gt;$B$4,"",$A$4+5)</f>
        <v>46028</v>
      </c>
      <c r="N522" t="str">
        <f>IF(M522="","",'Master Barang'!A16)</f>
        <v>PRL-015</v>
      </c>
      <c r="O522" t="str">
        <f>IF(N522="","",'Master Barang'!B16)</f>
        <v>optima trashbag 60x100</v>
      </c>
      <c r="P522">
        <f>IF(OR(M522="",N522=""),"",SUMIFS('Barang Keluar'!$E:$E,'Barang Keluar'!$A:$A,M522,'Barang Keluar'!$C:$C,N522))</f>
        <v>0</v>
      </c>
    </row>
    <row r="523" spans="13:16">
      <c r="M523" s="49">
        <f>IF($A$4+5&gt;$B$4,"",$A$4+5)</f>
        <v>46028</v>
      </c>
      <c r="N523" t="str">
        <f>IF(M523="","",'Master Barang'!A17)</f>
        <v>PRL-016</v>
      </c>
      <c r="O523" t="str">
        <f>IF(N523="","",'Master Barang'!B17)</f>
        <v>rajawali trashbag 30x40</v>
      </c>
      <c r="P523">
        <f>IF(OR(M523="",N523=""),"",SUMIFS('Barang Keluar'!$E:$E,'Barang Keluar'!$A:$A,M523,'Barang Keluar'!$C:$C,N523))</f>
        <v>0</v>
      </c>
    </row>
    <row r="524" spans="13:16">
      <c r="M524" s="49">
        <f>IF($A$4+5&gt;$B$4,"",$A$4+5)</f>
        <v>46028</v>
      </c>
      <c r="N524" t="str">
        <f>IF(M524="","",'Master Barang'!A18)</f>
        <v>PRL-017</v>
      </c>
      <c r="O524" t="str">
        <f>IF(N524="","",'Master Barang'!B18)</f>
        <v>onemed masker biru 3 play 50 pcs</v>
      </c>
      <c r="P524">
        <f>IF(OR(M524="",N524=""),"",SUMIFS('Barang Keluar'!$E:$E,'Barang Keluar'!$A:$A,M524,'Barang Keluar'!$C:$C,N524))</f>
        <v>0</v>
      </c>
    </row>
    <row r="525" spans="13:16">
      <c r="M525" s="49">
        <f>IF($A$4+5&gt;$B$4,"",$A$4+5)</f>
        <v>46028</v>
      </c>
      <c r="N525" t="str">
        <f>IF(M525="","",'Master Barang'!A19)</f>
        <v>PRL-018</v>
      </c>
      <c r="O525" t="str">
        <f>IF(N525="","",'Master Barang'!B19)</f>
        <v>onemed masker biru 3 play hijab 50 pcs</v>
      </c>
      <c r="P525">
        <f>IF(OR(M525="",N525=""),"",SUMIFS('Barang Keluar'!$E:$E,'Barang Keluar'!$A:$A,M525,'Barang Keluar'!$C:$C,N525))</f>
        <v>0</v>
      </c>
    </row>
    <row r="526" spans="13:16">
      <c r="M526" s="49">
        <f>IF($A$4+5&gt;$B$4,"",$A$4+5)</f>
        <v>46028</v>
      </c>
      <c r="N526" t="str">
        <f>IF(M526="","",'Master Barang'!A20)</f>
        <v>PRL-019</v>
      </c>
      <c r="O526" t="str">
        <f>IF(N526="","",'Master Barang'!B20)</f>
        <v>neo health masker biru 3 play 50 pcs</v>
      </c>
      <c r="P526">
        <f>IF(OR(M526="",N526=""),"",SUMIFS('Barang Keluar'!$E:$E,'Barang Keluar'!$A:$A,M526,'Barang Keluar'!$C:$C,N526))</f>
        <v>0</v>
      </c>
    </row>
    <row r="527" spans="13:16">
      <c r="M527" s="49">
        <f>IF($A$4+5&gt;$B$4,"",$A$4+5)</f>
        <v>46028</v>
      </c>
      <c r="N527" t="str">
        <f>IF(M527="","",'Master Barang'!A21)</f>
        <v>PRL-020</v>
      </c>
      <c r="O527" t="str">
        <f>IF(N527="","",'Master Barang'!B21)</f>
        <v>baymed masker hijau 3 play hijau 50 pcs</v>
      </c>
      <c r="P527">
        <f>IF(OR(M527="",N527=""),"",SUMIFS('Barang Keluar'!$E:$E,'Barang Keluar'!$A:$A,M527,'Barang Keluar'!$C:$C,N527))</f>
        <v>0</v>
      </c>
    </row>
    <row r="528" spans="13:16">
      <c r="M528" s="49">
        <f>IF($A$4+5&gt;$B$4,"",$A$4+5)</f>
        <v>46028</v>
      </c>
      <c r="N528" t="str">
        <f>IF(M528="","",'Master Barang'!A22)</f>
        <v>PRL-021</v>
      </c>
      <c r="O528" t="str">
        <f>IF(N528="","",'Master Barang'!B22)</f>
        <v>altamed nurse cap penutup kepala 100 pcs</v>
      </c>
      <c r="P528">
        <f>IF(OR(M528="",N528=""),"",SUMIFS('Barang Keluar'!$E:$E,'Barang Keluar'!$A:$A,M528,'Barang Keluar'!$C:$C,N528))</f>
        <v>0</v>
      </c>
    </row>
    <row r="529" spans="13:16">
      <c r="M529" s="49">
        <f>IF($A$4+5&gt;$B$4,"",$A$4+5)</f>
        <v>46028</v>
      </c>
      <c r="N529" t="str">
        <f>IF(M529="","",'Master Barang'!A23)</f>
        <v>PRL-022</v>
      </c>
      <c r="O529" t="str">
        <f>IF(N529="","",'Master Barang'!B23)</f>
        <v>sabun cuci tangan</v>
      </c>
      <c r="P529">
        <f>IF(OR(M529="",N529=""),"",SUMIFS('Barang Keluar'!$E:$E,'Barang Keluar'!$A:$A,M529,'Barang Keluar'!$C:$C,N529))</f>
        <v>0</v>
      </c>
    </row>
    <row r="530" spans="13:16">
      <c r="M530" s="49">
        <f>IF($A$4+5&gt;$B$4,"",$A$4+5)</f>
        <v>46028</v>
      </c>
      <c r="N530" t="str">
        <f>IF(M530="","",'Master Barang'!A24)</f>
        <v>PRL-023</v>
      </c>
      <c r="O530" t="str">
        <f>IF(N530="","",'Master Barang'!B24)</f>
        <v>gayung kecil</v>
      </c>
      <c r="P530">
        <f>IF(OR(M530="",N530=""),"",SUMIFS('Barang Keluar'!$E:$E,'Barang Keluar'!$A:$A,M530,'Barang Keluar'!$C:$C,N530))</f>
        <v>0</v>
      </c>
    </row>
    <row r="531" spans="13:16">
      <c r="M531" s="49">
        <f>IF($A$4+5&gt;$B$4,"",$A$4+5)</f>
        <v>46028</v>
      </c>
      <c r="N531" t="str">
        <f>IF(M531="","",'Master Barang'!A25)</f>
        <v>PRL-024</v>
      </c>
      <c r="O531" t="str">
        <f>IF(N531="","",'Master Barang'!B25)</f>
        <v>cikrak kecil</v>
      </c>
      <c r="P531">
        <f>IF(OR(M531="",N531=""),"",SUMIFS('Barang Keluar'!$E:$E,'Barang Keluar'!$A:$A,M531,'Barang Keluar'!$C:$C,N531))</f>
        <v>0</v>
      </c>
    </row>
    <row r="532" spans="13:16">
      <c r="M532" s="49">
        <f>IF($A$4+5&gt;$B$4,"",$A$4+5)</f>
        <v>46028</v>
      </c>
      <c r="N532" t="str">
        <f>IF(M532="","",'Master Barang'!A26)</f>
        <v>PRL-025</v>
      </c>
      <c r="O532" t="str">
        <f>IF(N532="","",'Master Barang'!B26)</f>
        <v>petromax plastik kecil 12x24 100 lembar</v>
      </c>
      <c r="P532">
        <f>IF(OR(M532="",N532=""),"",SUMIFS('Barang Keluar'!$E:$E,'Barang Keluar'!$A:$A,M532,'Barang Keluar'!$C:$C,N532))</f>
        <v>0</v>
      </c>
    </row>
    <row r="533" spans="13:16">
      <c r="M533" s="49">
        <f>IF($A$4+5&gt;$B$4,"",$A$4+5)</f>
        <v>46028</v>
      </c>
      <c r="N533" t="str">
        <f>IF(M533="","",'Master Barang'!A27)</f>
        <v>PRL-026</v>
      </c>
      <c r="O533" t="str">
        <f>IF(N533="","",'Master Barang'!B27)</f>
        <v>lancar kresek kecil bening </v>
      </c>
      <c r="P533">
        <f>IF(OR(M533="",N533=""),"",SUMIFS('Barang Keluar'!$E:$E,'Barang Keluar'!$A:$A,M533,'Barang Keluar'!$C:$C,N533))</f>
        <v>0</v>
      </c>
    </row>
    <row r="534" spans="13:16">
      <c r="M534" s="49">
        <f>IF($A$4+5&gt;$B$4,"",$A$4+5)</f>
        <v>46028</v>
      </c>
      <c r="N534" t="str">
        <f>IF(M534="","",'Master Barang'!A28)</f>
        <v>PRL-027</v>
      </c>
      <c r="O534" t="str">
        <f>IF(N534="","",'Master Barang'!B28)</f>
        <v>kresek klin warna warni kecil</v>
      </c>
      <c r="P534">
        <f>IF(OR(M534="",N534=""),"",SUMIFS('Barang Keluar'!$E:$E,'Barang Keluar'!$A:$A,M534,'Barang Keluar'!$C:$C,N534))</f>
        <v>0</v>
      </c>
    </row>
    <row r="535" spans="13:16">
      <c r="M535" s="49">
        <f>IF($A$4+5&gt;$B$4,"",$A$4+5)</f>
        <v>46028</v>
      </c>
      <c r="N535" t="str">
        <f>IF(M535="","",'Master Barang'!A29)</f>
        <v>PRL-028</v>
      </c>
      <c r="O535" t="str">
        <f>IF(N535="","",'Master Barang'!B29)</f>
        <v>ctik plastik 7x10 100 pcs</v>
      </c>
      <c r="P535">
        <f>IF(OR(M535="",N535=""),"",SUMIFS('Barang Keluar'!$E:$E,'Barang Keluar'!$A:$A,M535,'Barang Keluar'!$C:$C,N535))</f>
        <v>0</v>
      </c>
    </row>
    <row r="536" spans="13:16">
      <c r="M536" s="49">
        <f>IF($A$4+5&gt;$B$4,"",$A$4+5)</f>
        <v>46028</v>
      </c>
      <c r="N536" t="str">
        <f>IF(M536="","",'Master Barang'!A30)</f>
        <v>PRL-029</v>
      </c>
      <c r="O536" t="str">
        <f>IF(N536="","",'Master Barang'!B30)</f>
        <v>ctik plastik 6x10 100 pcs</v>
      </c>
      <c r="P536">
        <f>IF(OR(M536="",N536=""),"",SUMIFS('Barang Keluar'!$E:$E,'Barang Keluar'!$A:$A,M536,'Barang Keluar'!$C:$C,N536))</f>
        <v>0</v>
      </c>
    </row>
    <row r="537" spans="13:16">
      <c r="M537" s="49">
        <f>IF($A$4+5&gt;$B$4,"",$A$4+5)</f>
        <v>46028</v>
      </c>
      <c r="N537" t="str">
        <f>IF(M537="","",'Master Barang'!A31)</f>
        <v>PRL-030</v>
      </c>
      <c r="O537" t="str">
        <f>IF(N537="","",'Master Barang'!B31)</f>
        <v>klip plastik 25x16 100 pcs</v>
      </c>
      <c r="P537">
        <f>IF(OR(M537="",N537=""),"",SUMIFS('Barang Keluar'!$E:$E,'Barang Keluar'!$A:$A,M537,'Barang Keluar'!$C:$C,N537))</f>
        <v>0</v>
      </c>
    </row>
    <row r="538" spans="13:16">
      <c r="M538" s="49">
        <f>IF($A$4+5&gt;$B$4,"",$A$4+5)</f>
        <v>46028</v>
      </c>
      <c r="N538" t="str">
        <f>IF(M538="","",'Master Barang'!A32)</f>
        <v>PRL-031</v>
      </c>
      <c r="O538" t="str">
        <f>IF(N538="","",'Master Barang'!B32)</f>
        <v>tempat saus 20 ml</v>
      </c>
      <c r="P538">
        <f>IF(OR(M538="",N538=""),"",SUMIFS('Barang Keluar'!$E:$E,'Barang Keluar'!$A:$A,M538,'Barang Keluar'!$C:$C,N538))</f>
        <v>0</v>
      </c>
    </row>
    <row r="539" spans="13:16">
      <c r="M539" s="49">
        <f>IF($A$4+5&gt;$B$4,"",$A$4+5)</f>
        <v>46028</v>
      </c>
      <c r="N539" t="str">
        <f>IF(M539="","",'Master Barang'!A33)</f>
        <v>PRL-032</v>
      </c>
      <c r="O539" t="str">
        <f>IF(N539="","",'Master Barang'!B33)</f>
        <v>plastik packaging ag box uk sedang</v>
      </c>
      <c r="P539">
        <f>IF(OR(M539="",N539=""),"",SUMIFS('Barang Keluar'!$E:$E,'Barang Keluar'!$A:$A,M539,'Barang Keluar'!$C:$C,N539))</f>
        <v>0</v>
      </c>
    </row>
    <row r="540" spans="13:16">
      <c r="M540" s="49">
        <f>IF($A$4+5&gt;$B$4,"",$A$4+5)</f>
        <v>46028</v>
      </c>
      <c r="N540" t="str">
        <f>IF(M540="","",'Master Barang'!A34)</f>
        <v>PRL-033</v>
      </c>
      <c r="O540">
        <f>IF(N540="","",'Master Barang'!B34)</f>
        <v>0</v>
      </c>
      <c r="P540">
        <f>IF(OR(M540="",N540=""),"",SUMIFS('Barang Keluar'!$E:$E,'Barang Keluar'!$A:$A,M540,'Barang Keluar'!$C:$C,N540))</f>
        <v>0</v>
      </c>
    </row>
    <row r="541" spans="13:16">
      <c r="M541" s="49">
        <f>IF($A$4+5&gt;$B$4,"",$A$4+5)</f>
        <v>46028</v>
      </c>
      <c r="N541">
        <f>IF(M541="","",'Master Barang'!A35)</f>
        <v>0</v>
      </c>
      <c r="O541">
        <f>IF(N541="","",'Master Barang'!B35)</f>
        <v>0</v>
      </c>
      <c r="P541">
        <f>IF(OR(M541="",N541=""),"",SUMIFS('Barang Keluar'!$E:$E,'Barang Keluar'!$A:$A,M541,'Barang Keluar'!$C:$C,N541))</f>
        <v>0</v>
      </c>
    </row>
    <row r="542" spans="13:16">
      <c r="M542" s="49">
        <f>IF($A$4+5&gt;$B$4,"",$A$4+5)</f>
        <v>46028</v>
      </c>
      <c r="N542">
        <f>IF(M542="","",'Master Barang'!A36)</f>
        <v>0</v>
      </c>
      <c r="O542">
        <f>IF(N542="","",'Master Barang'!B36)</f>
        <v>0</v>
      </c>
      <c r="P542">
        <f>IF(OR(M542="",N542=""),"",SUMIFS('Barang Keluar'!$E:$E,'Barang Keluar'!$A:$A,M542,'Barang Keluar'!$C:$C,N542))</f>
        <v>0</v>
      </c>
    </row>
    <row r="543" spans="13:16">
      <c r="M543" s="49">
        <f>IF($A$4+5&gt;$B$4,"",$A$4+5)</f>
        <v>46028</v>
      </c>
      <c r="N543">
        <f>IF(M543="","",'Master Barang'!A37)</f>
        <v>0</v>
      </c>
      <c r="O543">
        <f>IF(N543="","",'Master Barang'!B37)</f>
        <v>0</v>
      </c>
      <c r="P543">
        <f>IF(OR(M543="",N543=""),"",SUMIFS('Barang Keluar'!$E:$E,'Barang Keluar'!$A:$A,M543,'Barang Keluar'!$C:$C,N543))</f>
        <v>0</v>
      </c>
    </row>
    <row r="544" spans="13:16">
      <c r="M544" s="49">
        <f>IF($A$4+5&gt;$B$4,"",$A$4+5)</f>
        <v>46028</v>
      </c>
      <c r="N544">
        <f>IF(M544="","",'Master Barang'!A38)</f>
        <v>0</v>
      </c>
      <c r="O544">
        <f>IF(N544="","",'Master Barang'!B38)</f>
        <v>0</v>
      </c>
      <c r="P544">
        <f>IF(OR(M544="",N544=""),"",SUMIFS('Barang Keluar'!$E:$E,'Barang Keluar'!$A:$A,M544,'Barang Keluar'!$C:$C,N544))</f>
        <v>0</v>
      </c>
    </row>
    <row r="545" spans="13:16">
      <c r="M545" s="49">
        <f>IF($A$4+5&gt;$B$4,"",$A$4+5)</f>
        <v>46028</v>
      </c>
      <c r="N545">
        <f>IF(M545="","",'Master Barang'!A39)</f>
        <v>0</v>
      </c>
      <c r="O545">
        <f>IF(N545="","",'Master Barang'!B39)</f>
        <v>0</v>
      </c>
      <c r="P545">
        <f>IF(OR(M545="",N545=""),"",SUMIFS('Barang Keluar'!$E:$E,'Barang Keluar'!$A:$A,M545,'Barang Keluar'!$C:$C,N545))</f>
        <v>0</v>
      </c>
    </row>
    <row r="546" spans="13:16">
      <c r="M546" s="49">
        <f>IF($A$4+5&gt;$B$4,"",$A$4+5)</f>
        <v>46028</v>
      </c>
      <c r="N546">
        <f>IF(M546="","",'Master Barang'!A40)</f>
        <v>0</v>
      </c>
      <c r="O546">
        <f>IF(N546="","",'Master Barang'!B40)</f>
        <v>0</v>
      </c>
      <c r="P546">
        <f>IF(OR(M546="",N546=""),"",SUMIFS('Barang Keluar'!$E:$E,'Barang Keluar'!$A:$A,M546,'Barang Keluar'!$C:$C,N546))</f>
        <v>0</v>
      </c>
    </row>
    <row r="547" spans="13:16">
      <c r="M547" s="49">
        <f>IF($A$4+5&gt;$B$4,"",$A$4+5)</f>
        <v>46028</v>
      </c>
      <c r="N547">
        <f>IF(M547="","",'Master Barang'!A41)</f>
        <v>0</v>
      </c>
      <c r="O547">
        <f>IF(N547="","",'Master Barang'!B41)</f>
        <v>0</v>
      </c>
      <c r="P547">
        <f>IF(OR(M547="",N547=""),"",SUMIFS('Barang Keluar'!$E:$E,'Barang Keluar'!$A:$A,M547,'Barang Keluar'!$C:$C,N547))</f>
        <v>0</v>
      </c>
    </row>
    <row r="548" spans="13:16">
      <c r="M548" s="49">
        <f>IF($A$4+5&gt;$B$4,"",$A$4+5)</f>
        <v>46028</v>
      </c>
      <c r="N548">
        <f>IF(M548="","",'Master Barang'!A42)</f>
        <v>0</v>
      </c>
      <c r="O548">
        <f>IF(N548="","",'Master Barang'!B42)</f>
        <v>0</v>
      </c>
      <c r="P548">
        <f>IF(OR(M548="",N548=""),"",SUMIFS('Barang Keluar'!$E:$E,'Barang Keluar'!$A:$A,M548,'Barang Keluar'!$C:$C,N548))</f>
        <v>0</v>
      </c>
    </row>
    <row r="549" spans="13:16">
      <c r="M549" s="49">
        <f>IF($A$4+5&gt;$B$4,"",$A$4+5)</f>
        <v>46028</v>
      </c>
      <c r="N549">
        <f>IF(M549="","",'Master Barang'!A43)</f>
        <v>0</v>
      </c>
      <c r="O549">
        <f>IF(N549="","",'Master Barang'!B43)</f>
        <v>0</v>
      </c>
      <c r="P549">
        <f>IF(OR(M549="",N549=""),"",SUMIFS('Barang Keluar'!$E:$E,'Barang Keluar'!$A:$A,M549,'Barang Keluar'!$C:$C,N549))</f>
        <v>0</v>
      </c>
    </row>
    <row r="550" spans="13:16">
      <c r="M550" s="49">
        <f>IF($A$4+5&gt;$B$4,"",$A$4+5)</f>
        <v>46028</v>
      </c>
      <c r="N550">
        <f>IF(M550="","",'Master Barang'!A44)</f>
        <v>0</v>
      </c>
      <c r="O550">
        <f>IF(N550="","",'Master Barang'!B44)</f>
        <v>0</v>
      </c>
      <c r="P550">
        <f>IF(OR(M550="",N550=""),"",SUMIFS('Barang Keluar'!$E:$E,'Barang Keluar'!$A:$A,M550,'Barang Keluar'!$C:$C,N550))</f>
        <v>0</v>
      </c>
    </row>
    <row r="551" spans="13:16">
      <c r="M551" s="49">
        <f>IF($A$4+5&gt;$B$4,"",$A$4+5)</f>
        <v>46028</v>
      </c>
      <c r="N551">
        <f>IF(M551="","",'Master Barang'!A45)</f>
        <v>0</v>
      </c>
      <c r="O551">
        <f>IF(N551="","",'Master Barang'!B45)</f>
        <v>0</v>
      </c>
      <c r="P551">
        <f>IF(OR(M551="",N551=""),"",SUMIFS('Barang Keluar'!$E:$E,'Barang Keluar'!$A:$A,M551,'Barang Keluar'!$C:$C,N551))</f>
        <v>0</v>
      </c>
    </row>
    <row r="552" spans="13:16">
      <c r="M552" s="49">
        <f>IF($A$4+5&gt;$B$4,"",$A$4+5)</f>
        <v>46028</v>
      </c>
      <c r="N552">
        <f>IF(M552="","",'Master Barang'!A46)</f>
        <v>0</v>
      </c>
      <c r="O552">
        <f>IF(N552="","",'Master Barang'!B46)</f>
        <v>0</v>
      </c>
      <c r="P552">
        <f>IF(OR(M552="",N552=""),"",SUMIFS('Barang Keluar'!$E:$E,'Barang Keluar'!$A:$A,M552,'Barang Keluar'!$C:$C,N552))</f>
        <v>0</v>
      </c>
    </row>
    <row r="553" spans="13:16">
      <c r="M553" s="49">
        <f>IF($A$4+5&gt;$B$4,"",$A$4+5)</f>
        <v>46028</v>
      </c>
      <c r="N553">
        <f>IF(M553="","",'Master Barang'!A47)</f>
        <v>0</v>
      </c>
      <c r="O553">
        <f>IF(N553="","",'Master Barang'!B47)</f>
        <v>0</v>
      </c>
      <c r="P553">
        <f>IF(OR(M553="",N553=""),"",SUMIFS('Barang Keluar'!$E:$E,'Barang Keluar'!$A:$A,M553,'Barang Keluar'!$C:$C,N553))</f>
        <v>0</v>
      </c>
    </row>
    <row r="554" spans="13:16">
      <c r="M554" s="49">
        <f>IF($A$4+5&gt;$B$4,"",$A$4+5)</f>
        <v>46028</v>
      </c>
      <c r="N554">
        <f>IF(M554="","",'Master Barang'!A48)</f>
        <v>0</v>
      </c>
      <c r="O554">
        <f>IF(N554="","",'Master Barang'!B48)</f>
        <v>0</v>
      </c>
      <c r="P554">
        <f>IF(OR(M554="",N554=""),"",SUMIFS('Barang Keluar'!$E:$E,'Barang Keluar'!$A:$A,M554,'Barang Keluar'!$C:$C,N554))</f>
        <v>0</v>
      </c>
    </row>
    <row r="555" spans="13:16">
      <c r="M555" s="49">
        <f>IF($A$4+5&gt;$B$4,"",$A$4+5)</f>
        <v>46028</v>
      </c>
      <c r="N555">
        <f>IF(M555="","",'Master Barang'!A49)</f>
        <v>0</v>
      </c>
      <c r="O555">
        <f>IF(N555="","",'Master Barang'!B49)</f>
        <v>0</v>
      </c>
      <c r="P555">
        <f>IF(OR(M555="",N555=""),"",SUMIFS('Barang Keluar'!$E:$E,'Barang Keluar'!$A:$A,M555,'Barang Keluar'!$C:$C,N555))</f>
        <v>0</v>
      </c>
    </row>
    <row r="556" spans="13:16">
      <c r="M556" s="49">
        <f>IF($A$4+5&gt;$B$4,"",$A$4+5)</f>
        <v>46028</v>
      </c>
      <c r="N556">
        <f>IF(M556="","",'Master Barang'!A50)</f>
        <v>0</v>
      </c>
      <c r="O556">
        <f>IF(N556="","",'Master Barang'!B50)</f>
        <v>0</v>
      </c>
      <c r="P556">
        <f>IF(OR(M556="",N556=""),"",SUMIFS('Barang Keluar'!$E:$E,'Barang Keluar'!$A:$A,M556,'Barang Keluar'!$C:$C,N556))</f>
        <v>0</v>
      </c>
    </row>
    <row r="557" spans="13:16">
      <c r="M557" s="49">
        <f>IF($A$4+5&gt;$B$4,"",$A$4+5)</f>
        <v>46028</v>
      </c>
      <c r="N557">
        <f>IF(M557="","",'Master Barang'!A51)</f>
        <v>0</v>
      </c>
      <c r="O557">
        <f>IF(N557="","",'Master Barang'!B51)</f>
        <v>0</v>
      </c>
      <c r="P557">
        <f>IF(OR(M557="",N557=""),"",SUMIFS('Barang Keluar'!$E:$E,'Barang Keluar'!$A:$A,M557,'Barang Keluar'!$C:$C,N557))</f>
        <v>0</v>
      </c>
    </row>
    <row r="558" spans="13:16">
      <c r="M558" s="49">
        <f>IF($A$4+5&gt;$B$4,"",$A$4+5)</f>
        <v>46028</v>
      </c>
      <c r="N558">
        <f>IF(M558="","",'Master Barang'!A52)</f>
        <v>0</v>
      </c>
      <c r="O558">
        <f>IF(N558="","",'Master Barang'!B52)</f>
        <v>0</v>
      </c>
      <c r="P558">
        <f>IF(OR(M558="",N558=""),"",SUMIFS('Barang Keluar'!$E:$E,'Barang Keluar'!$A:$A,M558,'Barang Keluar'!$C:$C,N558))</f>
        <v>0</v>
      </c>
    </row>
    <row r="559" spans="13:16">
      <c r="M559" s="49">
        <f>IF($A$4+5&gt;$B$4,"",$A$4+5)</f>
        <v>46028</v>
      </c>
      <c r="N559">
        <f>IF(M559="","",'Master Barang'!A53)</f>
        <v>0</v>
      </c>
      <c r="O559">
        <f>IF(N559="","",'Master Barang'!B53)</f>
        <v>0</v>
      </c>
      <c r="P559">
        <f>IF(OR(M559="",N559=""),"",SUMIFS('Barang Keluar'!$E:$E,'Barang Keluar'!$A:$A,M559,'Barang Keluar'!$C:$C,N559))</f>
        <v>0</v>
      </c>
    </row>
    <row r="560" spans="13:16">
      <c r="M560" s="49">
        <f>IF($A$4+5&gt;$B$4,"",$A$4+5)</f>
        <v>46028</v>
      </c>
      <c r="N560">
        <f>IF(M560="","",'Master Barang'!A54)</f>
        <v>0</v>
      </c>
      <c r="O560">
        <f>IF(N560="","",'Master Barang'!B54)</f>
        <v>0</v>
      </c>
      <c r="P560">
        <f>IF(OR(M560="",N560=""),"",SUMIFS('Barang Keluar'!$E:$E,'Barang Keluar'!$A:$A,M560,'Barang Keluar'!$C:$C,N560))</f>
        <v>0</v>
      </c>
    </row>
    <row r="561" spans="13:16">
      <c r="M561" s="49">
        <f>IF($A$4+5&gt;$B$4,"",$A$4+5)</f>
        <v>46028</v>
      </c>
      <c r="N561">
        <f>IF(M561="","",'Master Barang'!A55)</f>
        <v>0</v>
      </c>
      <c r="O561">
        <f>IF(N561="","",'Master Barang'!B55)</f>
        <v>0</v>
      </c>
      <c r="P561">
        <f>IF(OR(M561="",N561=""),"",SUMIFS('Barang Keluar'!$E:$E,'Barang Keluar'!$A:$A,M561,'Barang Keluar'!$C:$C,N561))</f>
        <v>0</v>
      </c>
    </row>
    <row r="562" spans="13:16">
      <c r="M562" s="49">
        <f>IF($A$4+5&gt;$B$4,"",$A$4+5)</f>
        <v>46028</v>
      </c>
      <c r="N562">
        <f>IF(M562="","",'Master Barang'!A56)</f>
        <v>0</v>
      </c>
      <c r="O562">
        <f>IF(N562="","",'Master Barang'!B56)</f>
        <v>0</v>
      </c>
      <c r="P562">
        <f>IF(OR(M562="",N562=""),"",SUMIFS('Barang Keluar'!$E:$E,'Barang Keluar'!$A:$A,M562,'Barang Keluar'!$C:$C,N562))</f>
        <v>0</v>
      </c>
    </row>
    <row r="563" spans="13:16">
      <c r="M563" s="49">
        <f>IF($A$4+5&gt;$B$4,"",$A$4+5)</f>
        <v>46028</v>
      </c>
      <c r="N563">
        <f>IF(M563="","",'Master Barang'!A57)</f>
        <v>0</v>
      </c>
      <c r="O563">
        <f>IF(N563="","",'Master Barang'!B57)</f>
        <v>0</v>
      </c>
      <c r="P563">
        <f>IF(OR(M563="",N563=""),"",SUMIFS('Barang Keluar'!$E:$E,'Barang Keluar'!$A:$A,M563,'Barang Keluar'!$C:$C,N563))</f>
        <v>0</v>
      </c>
    </row>
    <row r="564" spans="13:16">
      <c r="M564" s="49">
        <f>IF($A$4+5&gt;$B$4,"",$A$4+5)</f>
        <v>46028</v>
      </c>
      <c r="N564">
        <f>IF(M564="","",'Master Barang'!A58)</f>
        <v>0</v>
      </c>
      <c r="O564">
        <f>IF(N564="","",'Master Barang'!B58)</f>
        <v>0</v>
      </c>
      <c r="P564">
        <f>IF(OR(M564="",N564=""),"",SUMIFS('Barang Keluar'!$E:$E,'Barang Keluar'!$A:$A,M564,'Barang Keluar'!$C:$C,N564))</f>
        <v>0</v>
      </c>
    </row>
    <row r="565" spans="13:16">
      <c r="M565" s="49">
        <f>IF($A$4+5&gt;$B$4,"",$A$4+5)</f>
        <v>46028</v>
      </c>
      <c r="N565">
        <f>IF(M565="","",'Master Barang'!A59)</f>
        <v>0</v>
      </c>
      <c r="O565">
        <f>IF(N565="","",'Master Barang'!B59)</f>
        <v>0</v>
      </c>
      <c r="P565">
        <f>IF(OR(M565="",N565=""),"",SUMIFS('Barang Keluar'!$E:$E,'Barang Keluar'!$A:$A,M565,'Barang Keluar'!$C:$C,N565))</f>
        <v>0</v>
      </c>
    </row>
    <row r="566" spans="13:16">
      <c r="M566" s="49">
        <f>IF($A$4+5&gt;$B$4,"",$A$4+5)</f>
        <v>46028</v>
      </c>
      <c r="N566">
        <f>IF(M566="","",'Master Barang'!A60)</f>
        <v>0</v>
      </c>
      <c r="O566">
        <f>IF(N566="","",'Master Barang'!B60)</f>
        <v>0</v>
      </c>
      <c r="P566">
        <f>IF(OR(M566="",N566=""),"",SUMIFS('Barang Keluar'!$E:$E,'Barang Keluar'!$A:$A,M566,'Barang Keluar'!$C:$C,N566))</f>
        <v>0</v>
      </c>
    </row>
    <row r="567" spans="13:16">
      <c r="M567" s="49">
        <f>IF($A$4+5&gt;$B$4,"",$A$4+5)</f>
        <v>46028</v>
      </c>
      <c r="N567">
        <f>IF(M567="","",'Master Barang'!A61)</f>
        <v>0</v>
      </c>
      <c r="O567">
        <f>IF(N567="","",'Master Barang'!B61)</f>
        <v>0</v>
      </c>
      <c r="P567">
        <f>IF(OR(M567="",N567=""),"",SUMIFS('Barang Keluar'!$E:$E,'Barang Keluar'!$A:$A,M567,'Barang Keluar'!$C:$C,N567))</f>
        <v>0</v>
      </c>
    </row>
    <row r="568" spans="13:16">
      <c r="M568" s="49">
        <f>IF($A$4+5&gt;$B$4,"",$A$4+5)</f>
        <v>46028</v>
      </c>
      <c r="N568">
        <f>IF(M568="","",'Master Barang'!A62)</f>
        <v>0</v>
      </c>
      <c r="O568">
        <f>IF(N568="","",'Master Barang'!B62)</f>
        <v>0</v>
      </c>
      <c r="P568">
        <f>IF(OR(M568="",N568=""),"",SUMIFS('Barang Keluar'!$E:$E,'Barang Keluar'!$A:$A,M568,'Barang Keluar'!$C:$C,N568))</f>
        <v>0</v>
      </c>
    </row>
    <row r="569" spans="13:16">
      <c r="M569" s="49">
        <f>IF($A$4+5&gt;$B$4,"",$A$4+5)</f>
        <v>46028</v>
      </c>
      <c r="N569">
        <f>IF(M569="","",'Master Barang'!A63)</f>
        <v>0</v>
      </c>
      <c r="O569">
        <f>IF(N569="","",'Master Barang'!B63)</f>
        <v>0</v>
      </c>
      <c r="P569">
        <f>IF(OR(M569="",N569=""),"",SUMIFS('Barang Keluar'!$E:$E,'Barang Keluar'!$A:$A,M569,'Barang Keluar'!$C:$C,N569))</f>
        <v>0</v>
      </c>
    </row>
    <row r="570" spans="13:16">
      <c r="M570" s="49">
        <f>IF($A$4+5&gt;$B$4,"",$A$4+5)</f>
        <v>46028</v>
      </c>
      <c r="N570">
        <f>IF(M570="","",'Master Barang'!A64)</f>
        <v>0</v>
      </c>
      <c r="O570">
        <f>IF(N570="","",'Master Barang'!B64)</f>
        <v>0</v>
      </c>
      <c r="P570">
        <f>IF(OR(M570="",N570=""),"",SUMIFS('Barang Keluar'!$E:$E,'Barang Keluar'!$A:$A,M570,'Barang Keluar'!$C:$C,N570))</f>
        <v>0</v>
      </c>
    </row>
    <row r="571" spans="13:16">
      <c r="M571" s="49">
        <f>IF($A$4+5&gt;$B$4,"",$A$4+5)</f>
        <v>46028</v>
      </c>
      <c r="N571">
        <f>IF(M571="","",'Master Barang'!A65)</f>
        <v>0</v>
      </c>
      <c r="O571">
        <f>IF(N571="","",'Master Barang'!B65)</f>
        <v>0</v>
      </c>
      <c r="P571">
        <f>IF(OR(M571="",N571=""),"",SUMIFS('Barang Keluar'!$E:$E,'Barang Keluar'!$A:$A,M571,'Barang Keluar'!$C:$C,N571))</f>
        <v>0</v>
      </c>
    </row>
    <row r="572" spans="13:16">
      <c r="M572" s="49">
        <f>IF($A$4+5&gt;$B$4,"",$A$4+5)</f>
        <v>46028</v>
      </c>
      <c r="N572">
        <f>IF(M572="","",'Master Barang'!A66)</f>
        <v>0</v>
      </c>
      <c r="O572">
        <f>IF(N572="","",'Master Barang'!B66)</f>
        <v>0</v>
      </c>
      <c r="P572">
        <f>IF(OR(M572="",N572=""),"",SUMIFS('Barang Keluar'!$E:$E,'Barang Keluar'!$A:$A,M572,'Barang Keluar'!$C:$C,N572))</f>
        <v>0</v>
      </c>
    </row>
    <row r="573" spans="13:16">
      <c r="M573" s="49">
        <f>IF($A$4+5&gt;$B$4,"",$A$4+5)</f>
        <v>46028</v>
      </c>
      <c r="N573">
        <f>IF(M573="","",'Master Barang'!A67)</f>
        <v>0</v>
      </c>
      <c r="O573">
        <f>IF(N573="","",'Master Barang'!B67)</f>
        <v>0</v>
      </c>
      <c r="P573">
        <f>IF(OR(M573="",N573=""),"",SUMIFS('Barang Keluar'!$E:$E,'Barang Keluar'!$A:$A,M573,'Barang Keluar'!$C:$C,N573))</f>
        <v>0</v>
      </c>
    </row>
    <row r="574" spans="13:16">
      <c r="M574" s="49">
        <f>IF($A$4+5&gt;$B$4,"",$A$4+5)</f>
        <v>46028</v>
      </c>
      <c r="N574">
        <f>IF(M574="","",'Master Barang'!A68)</f>
        <v>0</v>
      </c>
      <c r="O574">
        <f>IF(N574="","",'Master Barang'!B68)</f>
        <v>0</v>
      </c>
      <c r="P574">
        <f>IF(OR(M574="",N574=""),"",SUMIFS('Barang Keluar'!$E:$E,'Barang Keluar'!$A:$A,M574,'Barang Keluar'!$C:$C,N574))</f>
        <v>0</v>
      </c>
    </row>
    <row r="575" spans="13:16">
      <c r="M575" s="49">
        <f>IF($A$4+5&gt;$B$4,"",$A$4+5)</f>
        <v>46028</v>
      </c>
      <c r="N575">
        <f>IF(M575="","",'Master Barang'!A69)</f>
        <v>0</v>
      </c>
      <c r="O575">
        <f>IF(N575="","",'Master Barang'!B69)</f>
        <v>0</v>
      </c>
      <c r="P575">
        <f>IF(OR(M575="",N575=""),"",SUMIFS('Barang Keluar'!$E:$E,'Barang Keluar'!$A:$A,M575,'Barang Keluar'!$C:$C,N575))</f>
        <v>0</v>
      </c>
    </row>
    <row r="576" spans="13:16">
      <c r="M576" s="49">
        <f>IF($A$4+5&gt;$B$4,"",$A$4+5)</f>
        <v>46028</v>
      </c>
      <c r="N576">
        <f>IF(M576="","",'Master Barang'!A70)</f>
        <v>0</v>
      </c>
      <c r="O576">
        <f>IF(N576="","",'Master Barang'!B70)</f>
        <v>0</v>
      </c>
      <c r="P576">
        <f>IF(OR(M576="",N576=""),"",SUMIFS('Barang Keluar'!$E:$E,'Barang Keluar'!$A:$A,M576,'Barang Keluar'!$C:$C,N576))</f>
        <v>0</v>
      </c>
    </row>
    <row r="577" spans="13:16">
      <c r="M577" s="49">
        <f>IF($A$4+5&gt;$B$4,"",$A$4+5)</f>
        <v>46028</v>
      </c>
      <c r="N577">
        <f>IF(M577="","",'Master Barang'!A71)</f>
        <v>0</v>
      </c>
      <c r="O577">
        <f>IF(N577="","",'Master Barang'!B71)</f>
        <v>0</v>
      </c>
      <c r="P577">
        <f>IF(OR(M577="",N577=""),"",SUMIFS('Barang Keluar'!$E:$E,'Barang Keluar'!$A:$A,M577,'Barang Keluar'!$C:$C,N577))</f>
        <v>0</v>
      </c>
    </row>
    <row r="578" spans="13:16">
      <c r="M578" s="49">
        <f>IF($A$4+5&gt;$B$4,"",$A$4+5)</f>
        <v>46028</v>
      </c>
      <c r="N578">
        <f>IF(M578="","",'Master Barang'!A72)</f>
        <v>0</v>
      </c>
      <c r="O578">
        <f>IF(N578="","",'Master Barang'!B72)</f>
        <v>0</v>
      </c>
      <c r="P578">
        <f>IF(OR(M578="",N578=""),"",SUMIFS('Barang Keluar'!$E:$E,'Barang Keluar'!$A:$A,M578,'Barang Keluar'!$C:$C,N578))</f>
        <v>0</v>
      </c>
    </row>
    <row r="579" spans="13:16">
      <c r="M579" s="49">
        <f>IF($A$4+5&gt;$B$4,"",$A$4+5)</f>
        <v>46028</v>
      </c>
      <c r="N579">
        <f>IF(M579="","",'Master Barang'!A73)</f>
        <v>0</v>
      </c>
      <c r="O579">
        <f>IF(N579="","",'Master Barang'!B73)</f>
        <v>0</v>
      </c>
      <c r="P579">
        <f>IF(OR(M579="",N579=""),"",SUMIFS('Barang Keluar'!$E:$E,'Barang Keluar'!$A:$A,M579,'Barang Keluar'!$C:$C,N579))</f>
        <v>0</v>
      </c>
    </row>
    <row r="580" spans="13:16">
      <c r="M580" s="49">
        <f>IF($A$4+5&gt;$B$4,"",$A$4+5)</f>
        <v>46028</v>
      </c>
      <c r="N580">
        <f>IF(M580="","",'Master Barang'!A74)</f>
        <v>0</v>
      </c>
      <c r="O580">
        <f>IF(N580="","",'Master Barang'!B74)</f>
        <v>0</v>
      </c>
      <c r="P580">
        <f>IF(OR(M580="",N580=""),"",SUMIFS('Barang Keluar'!$E:$E,'Barang Keluar'!$A:$A,M580,'Barang Keluar'!$C:$C,N580))</f>
        <v>0</v>
      </c>
    </row>
    <row r="581" spans="13:16">
      <c r="M581" s="49">
        <f>IF($A$4+5&gt;$B$4,"",$A$4+5)</f>
        <v>46028</v>
      </c>
      <c r="N581">
        <f>IF(M581="","",'Master Barang'!A75)</f>
        <v>0</v>
      </c>
      <c r="O581">
        <f>IF(N581="","",'Master Barang'!B75)</f>
        <v>0</v>
      </c>
      <c r="P581">
        <f>IF(OR(M581="",N581=""),"",SUMIFS('Barang Keluar'!$E:$E,'Barang Keluar'!$A:$A,M581,'Barang Keluar'!$C:$C,N581))</f>
        <v>0</v>
      </c>
    </row>
    <row r="582" spans="13:16">
      <c r="M582" s="49">
        <f>IF($A$4+5&gt;$B$4,"",$A$4+5)</f>
        <v>46028</v>
      </c>
      <c r="N582">
        <f>IF(M582="","",'Master Barang'!A76)</f>
        <v>0</v>
      </c>
      <c r="O582">
        <f>IF(N582="","",'Master Barang'!B76)</f>
        <v>0</v>
      </c>
      <c r="P582">
        <f>IF(OR(M582="",N582=""),"",SUMIFS('Barang Keluar'!$E:$E,'Barang Keluar'!$A:$A,M582,'Barang Keluar'!$C:$C,N582))</f>
        <v>0</v>
      </c>
    </row>
    <row r="583" spans="13:16">
      <c r="M583" s="49">
        <f>IF($A$4+5&gt;$B$4,"",$A$4+5)</f>
        <v>46028</v>
      </c>
      <c r="N583">
        <f>IF(M583="","",'Master Barang'!A77)</f>
        <v>0</v>
      </c>
      <c r="O583">
        <f>IF(N583="","",'Master Barang'!B77)</f>
        <v>0</v>
      </c>
      <c r="P583">
        <f>IF(OR(M583="",N583=""),"",SUMIFS('Barang Keluar'!$E:$E,'Barang Keluar'!$A:$A,M583,'Barang Keluar'!$C:$C,N583))</f>
        <v>0</v>
      </c>
    </row>
    <row r="584" spans="13:16">
      <c r="M584" s="49">
        <f>IF($A$4+5&gt;$B$4,"",$A$4+5)</f>
        <v>46028</v>
      </c>
      <c r="N584">
        <f>IF(M584="","",'Master Barang'!A78)</f>
        <v>0</v>
      </c>
      <c r="O584">
        <f>IF(N584="","",'Master Barang'!B78)</f>
        <v>0</v>
      </c>
      <c r="P584">
        <f>IF(OR(M584="",N584=""),"",SUMIFS('Barang Keluar'!$E:$E,'Barang Keluar'!$A:$A,M584,'Barang Keluar'!$C:$C,N584))</f>
        <v>0</v>
      </c>
    </row>
    <row r="585" spans="13:16">
      <c r="M585" s="49">
        <f>IF($A$4+5&gt;$B$4,"",$A$4+5)</f>
        <v>46028</v>
      </c>
      <c r="N585">
        <f>IF(M585="","",'Master Barang'!A79)</f>
        <v>0</v>
      </c>
      <c r="O585">
        <f>IF(N585="","",'Master Barang'!B79)</f>
        <v>0</v>
      </c>
      <c r="P585">
        <f>IF(OR(M585="",N585=""),"",SUMIFS('Barang Keluar'!$E:$E,'Barang Keluar'!$A:$A,M585,'Barang Keluar'!$C:$C,N585))</f>
        <v>0</v>
      </c>
    </row>
    <row r="586" spans="13:16">
      <c r="M586" s="49">
        <f>IF($A$4+5&gt;$B$4,"",$A$4+5)</f>
        <v>46028</v>
      </c>
      <c r="N586">
        <f>IF(M586="","",'Master Barang'!A80)</f>
        <v>0</v>
      </c>
      <c r="O586">
        <f>IF(N586="","",'Master Barang'!B80)</f>
        <v>0</v>
      </c>
      <c r="P586">
        <f>IF(OR(M586="",N586=""),"",SUMIFS('Barang Keluar'!$E:$E,'Barang Keluar'!$A:$A,M586,'Barang Keluar'!$C:$C,N586))</f>
        <v>0</v>
      </c>
    </row>
    <row r="587" spans="13:16">
      <c r="M587" s="49">
        <f>IF($A$4+5&gt;$B$4,"",$A$4+5)</f>
        <v>46028</v>
      </c>
      <c r="N587">
        <f>IF(M587="","",'Master Barang'!A81)</f>
        <v>0</v>
      </c>
      <c r="O587">
        <f>IF(N587="","",'Master Barang'!B81)</f>
        <v>0</v>
      </c>
      <c r="P587">
        <f>IF(OR(M587="",N587=""),"",SUMIFS('Barang Keluar'!$E:$E,'Barang Keluar'!$A:$A,M587,'Barang Keluar'!$C:$C,N587))</f>
        <v>0</v>
      </c>
    </row>
    <row r="588" spans="13:16">
      <c r="M588" s="49">
        <f>IF($A$4+5&gt;$B$4,"",$A$4+5)</f>
        <v>46028</v>
      </c>
      <c r="N588">
        <f>IF(M588="","",'Master Barang'!A82)</f>
        <v>0</v>
      </c>
      <c r="O588">
        <f>IF(N588="","",'Master Barang'!B82)</f>
        <v>0</v>
      </c>
      <c r="P588">
        <f>IF(OR(M588="",N588=""),"",SUMIFS('Barang Keluar'!$E:$E,'Barang Keluar'!$A:$A,M588,'Barang Keluar'!$C:$C,N588))</f>
        <v>0</v>
      </c>
    </row>
    <row r="589" spans="13:16">
      <c r="M589" s="49">
        <f>IF($A$4+5&gt;$B$4,"",$A$4+5)</f>
        <v>46028</v>
      </c>
      <c r="N589">
        <f>IF(M589="","",'Master Barang'!A83)</f>
        <v>0</v>
      </c>
      <c r="O589">
        <f>IF(N589="","",'Master Barang'!B83)</f>
        <v>0</v>
      </c>
      <c r="P589">
        <f>IF(OR(M589="",N589=""),"",SUMIFS('Barang Keluar'!$E:$E,'Barang Keluar'!$A:$A,M589,'Barang Keluar'!$C:$C,N589))</f>
        <v>0</v>
      </c>
    </row>
    <row r="590" spans="13:16">
      <c r="M590" s="49">
        <f>IF($A$4+5&gt;$B$4,"",$A$4+5)</f>
        <v>46028</v>
      </c>
      <c r="N590">
        <f>IF(M590="","",'Master Barang'!A84)</f>
        <v>0</v>
      </c>
      <c r="O590">
        <f>IF(N590="","",'Master Barang'!B84)</f>
        <v>0</v>
      </c>
      <c r="P590">
        <f>IF(OR(M590="",N590=""),"",SUMIFS('Barang Keluar'!$E:$E,'Barang Keluar'!$A:$A,M590,'Barang Keluar'!$C:$C,N590))</f>
        <v>0</v>
      </c>
    </row>
    <row r="591" spans="13:16">
      <c r="M591" s="49">
        <f>IF($A$4+5&gt;$B$4,"",$A$4+5)</f>
        <v>46028</v>
      </c>
      <c r="N591">
        <f>IF(M591="","",'Master Barang'!A85)</f>
        <v>0</v>
      </c>
      <c r="O591">
        <f>IF(N591="","",'Master Barang'!B85)</f>
        <v>0</v>
      </c>
      <c r="P591">
        <f>IF(OR(M591="",N591=""),"",SUMIFS('Barang Keluar'!$E:$E,'Barang Keluar'!$A:$A,M591,'Barang Keluar'!$C:$C,N591))</f>
        <v>0</v>
      </c>
    </row>
    <row r="592" spans="13:16">
      <c r="M592" s="49">
        <f>IF($A$4+5&gt;$B$4,"",$A$4+5)</f>
        <v>46028</v>
      </c>
      <c r="N592">
        <f>IF(M592="","",'Master Barang'!A86)</f>
        <v>0</v>
      </c>
      <c r="O592">
        <f>IF(N592="","",'Master Barang'!B86)</f>
        <v>0</v>
      </c>
      <c r="P592">
        <f>IF(OR(M592="",N592=""),"",SUMIFS('Barang Keluar'!$E:$E,'Barang Keluar'!$A:$A,M592,'Barang Keluar'!$C:$C,N592))</f>
        <v>0</v>
      </c>
    </row>
    <row r="593" spans="13:16">
      <c r="M593" s="49">
        <f>IF($A$4+5&gt;$B$4,"",$A$4+5)</f>
        <v>46028</v>
      </c>
      <c r="N593">
        <f>IF(M593="","",'Master Barang'!A87)</f>
        <v>0</v>
      </c>
      <c r="O593">
        <f>IF(N593="","",'Master Barang'!B87)</f>
        <v>0</v>
      </c>
      <c r="P593">
        <f>IF(OR(M593="",N593=""),"",SUMIFS('Barang Keluar'!$E:$E,'Barang Keluar'!$A:$A,M593,'Barang Keluar'!$C:$C,N593))</f>
        <v>0</v>
      </c>
    </row>
    <row r="594" spans="13:16">
      <c r="M594" s="49">
        <f>IF($A$4+5&gt;$B$4,"",$A$4+5)</f>
        <v>46028</v>
      </c>
      <c r="N594">
        <f>IF(M594="","",'Master Barang'!A88)</f>
        <v>0</v>
      </c>
      <c r="O594">
        <f>IF(N594="","",'Master Barang'!B88)</f>
        <v>0</v>
      </c>
      <c r="P594">
        <f>IF(OR(M594="",N594=""),"",SUMIFS('Barang Keluar'!$E:$E,'Barang Keluar'!$A:$A,M594,'Barang Keluar'!$C:$C,N594))</f>
        <v>0</v>
      </c>
    </row>
    <row r="595" spans="13:16">
      <c r="M595" s="49">
        <f>IF($A$4+5&gt;$B$4,"",$A$4+5)</f>
        <v>46028</v>
      </c>
      <c r="N595">
        <f>IF(M595="","",'Master Barang'!A89)</f>
        <v>0</v>
      </c>
      <c r="O595">
        <f>IF(N595="","",'Master Barang'!B89)</f>
        <v>0</v>
      </c>
      <c r="P595">
        <f>IF(OR(M595="",N595=""),"",SUMIFS('Barang Keluar'!$E:$E,'Barang Keluar'!$A:$A,M595,'Barang Keluar'!$C:$C,N595))</f>
        <v>0</v>
      </c>
    </row>
    <row r="596" spans="13:16">
      <c r="M596" s="49">
        <f>IF($A$4+5&gt;$B$4,"",$A$4+5)</f>
        <v>46028</v>
      </c>
      <c r="N596">
        <f>IF(M596="","",'Master Barang'!A90)</f>
        <v>0</v>
      </c>
      <c r="O596">
        <f>IF(N596="","",'Master Barang'!B90)</f>
        <v>0</v>
      </c>
      <c r="P596">
        <f>IF(OR(M596="",N596=""),"",SUMIFS('Barang Keluar'!$E:$E,'Barang Keluar'!$A:$A,M596,'Barang Keluar'!$C:$C,N596))</f>
        <v>0</v>
      </c>
    </row>
    <row r="597" spans="13:16">
      <c r="M597" s="49">
        <f>IF($A$4+5&gt;$B$4,"",$A$4+5)</f>
        <v>46028</v>
      </c>
      <c r="N597">
        <f>IF(M597="","",'Master Barang'!A91)</f>
        <v>0</v>
      </c>
      <c r="O597">
        <f>IF(N597="","",'Master Barang'!B91)</f>
        <v>0</v>
      </c>
      <c r="P597">
        <f>IF(OR(M597="",N597=""),"",SUMIFS('Barang Keluar'!$E:$E,'Barang Keluar'!$A:$A,M597,'Barang Keluar'!$C:$C,N597))</f>
        <v>0</v>
      </c>
    </row>
    <row r="598" spans="13:16">
      <c r="M598" s="49">
        <f>IF($A$4+5&gt;$B$4,"",$A$4+5)</f>
        <v>46028</v>
      </c>
      <c r="N598">
        <f>IF(M598="","",'Master Barang'!A92)</f>
        <v>0</v>
      </c>
      <c r="O598">
        <f>IF(N598="","",'Master Barang'!B92)</f>
        <v>0</v>
      </c>
      <c r="P598">
        <f>IF(OR(M598="",N598=""),"",SUMIFS('Barang Keluar'!$E:$E,'Barang Keluar'!$A:$A,M598,'Barang Keluar'!$C:$C,N598))</f>
        <v>0</v>
      </c>
    </row>
    <row r="599" spans="13:16">
      <c r="M599" s="49">
        <f>IF($A$4+5&gt;$B$4,"",$A$4+5)</f>
        <v>46028</v>
      </c>
      <c r="N599">
        <f>IF(M599="","",'Master Barang'!A93)</f>
        <v>0</v>
      </c>
      <c r="O599">
        <f>IF(N599="","",'Master Barang'!B93)</f>
        <v>0</v>
      </c>
      <c r="P599">
        <f>IF(OR(M599="",N599=""),"",SUMIFS('Barang Keluar'!$E:$E,'Barang Keluar'!$A:$A,M599,'Barang Keluar'!$C:$C,N599))</f>
        <v>0</v>
      </c>
    </row>
    <row r="600" spans="13:16">
      <c r="M600" s="49">
        <f>IF($A$4+5&gt;$B$4,"",$A$4+5)</f>
        <v>46028</v>
      </c>
      <c r="N600">
        <f>IF(M600="","",'Master Barang'!A94)</f>
        <v>0</v>
      </c>
      <c r="O600">
        <f>IF(N600="","",'Master Barang'!B94)</f>
        <v>0</v>
      </c>
      <c r="P600">
        <f>IF(OR(M600="",N600=""),"",SUMIFS('Barang Keluar'!$E:$E,'Barang Keluar'!$A:$A,M600,'Barang Keluar'!$C:$C,N600))</f>
        <v>0</v>
      </c>
    </row>
    <row r="601" spans="13:16">
      <c r="M601" s="49">
        <f>IF($A$4+5&gt;$B$4,"",$A$4+5)</f>
        <v>46028</v>
      </c>
      <c r="N601">
        <f>IF(M601="","",'Master Barang'!A95)</f>
        <v>0</v>
      </c>
      <c r="O601">
        <f>IF(N601="","",'Master Barang'!B95)</f>
        <v>0</v>
      </c>
      <c r="P601">
        <f>IF(OR(M601="",N601=""),"",SUMIFS('Barang Keluar'!$E:$E,'Barang Keluar'!$A:$A,M601,'Barang Keluar'!$C:$C,N601))</f>
        <v>0</v>
      </c>
    </row>
    <row r="602" spans="13:16">
      <c r="M602" s="49">
        <f>IF($A$4+5&gt;$B$4,"",$A$4+5)</f>
        <v>46028</v>
      </c>
      <c r="N602">
        <f>IF(M602="","",'Master Barang'!A96)</f>
        <v>0</v>
      </c>
      <c r="O602">
        <f>IF(N602="","",'Master Barang'!B96)</f>
        <v>0</v>
      </c>
      <c r="P602">
        <f>IF(OR(M602="",N602=""),"",SUMIFS('Barang Keluar'!$E:$E,'Barang Keluar'!$A:$A,M602,'Barang Keluar'!$C:$C,N602))</f>
        <v>0</v>
      </c>
    </row>
    <row r="603" spans="13:16">
      <c r="M603" s="49">
        <f>IF($A$4+5&gt;$B$4,"",$A$4+5)</f>
        <v>46028</v>
      </c>
      <c r="N603">
        <f>IF(M603="","",'Master Barang'!A97)</f>
        <v>0</v>
      </c>
      <c r="O603">
        <f>IF(N603="","",'Master Barang'!B97)</f>
        <v>0</v>
      </c>
      <c r="P603">
        <f>IF(OR(M603="",N603=""),"",SUMIFS('Barang Keluar'!$E:$E,'Barang Keluar'!$A:$A,M603,'Barang Keluar'!$C:$C,N603))</f>
        <v>0</v>
      </c>
    </row>
    <row r="604" spans="13:16">
      <c r="M604" s="49">
        <f>IF($A$4+5&gt;$B$4,"",$A$4+5)</f>
        <v>46028</v>
      </c>
      <c r="N604">
        <f>IF(M604="","",'Master Barang'!A98)</f>
        <v>0</v>
      </c>
      <c r="O604">
        <f>IF(N604="","",'Master Barang'!B98)</f>
        <v>0</v>
      </c>
      <c r="P604">
        <f>IF(OR(M604="",N604=""),"",SUMIFS('Barang Keluar'!$E:$E,'Barang Keluar'!$A:$A,M604,'Barang Keluar'!$C:$C,N604))</f>
        <v>0</v>
      </c>
    </row>
    <row r="605" spans="13:16">
      <c r="M605" s="49">
        <f>IF($A$4+5&gt;$B$4,"",$A$4+5)</f>
        <v>46028</v>
      </c>
      <c r="N605">
        <f>IF(M605="","",'Master Barang'!A99)</f>
        <v>0</v>
      </c>
      <c r="O605">
        <f>IF(N605="","",'Master Barang'!B99)</f>
        <v>0</v>
      </c>
      <c r="P605">
        <f>IF(OR(M605="",N605=""),"",SUMIFS('Barang Keluar'!$E:$E,'Barang Keluar'!$A:$A,M605,'Barang Keluar'!$C:$C,N605))</f>
        <v>0</v>
      </c>
    </row>
    <row r="606" spans="13:16">
      <c r="M606" s="49">
        <f>IF($A$4+5&gt;$B$4,"",$A$4+5)</f>
        <v>46028</v>
      </c>
      <c r="N606">
        <f>IF(M606="","",'Master Barang'!A100)</f>
        <v>0</v>
      </c>
      <c r="O606">
        <f>IF(N606="","",'Master Barang'!B100)</f>
        <v>0</v>
      </c>
      <c r="P606">
        <f>IF(OR(M606="",N606=""),"",SUMIFS('Barang Keluar'!$E:$E,'Barang Keluar'!$A:$A,M606,'Barang Keluar'!$C:$C,N606))</f>
        <v>0</v>
      </c>
    </row>
    <row r="607" spans="13:16">
      <c r="M607" s="49">
        <f>IF($A$4+5&gt;$B$4,"",$A$4+5)</f>
        <v>46028</v>
      </c>
      <c r="N607">
        <f>IF(M607="","",'Master Barang'!A101)</f>
        <v>0</v>
      </c>
      <c r="O607">
        <f>IF(N607="","",'Master Barang'!B101)</f>
        <v>0</v>
      </c>
      <c r="P607">
        <f>IF(OR(M607="",N607=""),"",SUMIFS('Barang Keluar'!$E:$E,'Barang Keluar'!$A:$A,M607,'Barang Keluar'!$C:$C,N607))</f>
        <v>0</v>
      </c>
    </row>
    <row r="608" spans="13:16">
      <c r="M608" s="49">
        <f>IF($A$4+6&gt;$B$4,"",$A$4+6)</f>
        <v>46029</v>
      </c>
      <c r="N608" t="str">
        <f>IF(M608="","",'Master Barang'!A2)</f>
        <v>PRL-001</v>
      </c>
      <c r="O608" t="str">
        <f>IF(N608="","",'Master Barang'!B2)</f>
        <v>natura desinfectant food grade 5l</v>
      </c>
      <c r="P608">
        <f>IF(OR(M608="",N608=""),"",SUMIFS('Barang Keluar'!$E:$E,'Barang Keluar'!$A:$A,M608,'Barang Keluar'!$C:$C,N608))</f>
        <v>0</v>
      </c>
    </row>
    <row r="609" spans="13:16">
      <c r="M609" s="49">
        <f>IF($A$4+6&gt;$B$4,"",$A$4+6)</f>
        <v>46029</v>
      </c>
      <c r="N609" t="str">
        <f>IF(M609="","",'Master Barang'!A3)</f>
        <v>PRL-002</v>
      </c>
      <c r="O609" t="str">
        <f>IF(N609="","",'Master Barang'!B3)</f>
        <v>sunlight cairan pencuci piring 5l</v>
      </c>
      <c r="P609">
        <f>IF(OR(M609="",N609=""),"",SUMIFS('Barang Keluar'!$E:$E,'Barang Keluar'!$A:$A,M609,'Barang Keluar'!$C:$C,N609))</f>
        <v>0</v>
      </c>
    </row>
    <row r="610" spans="13:16">
      <c r="M610" s="49">
        <f>IF($A$4+6&gt;$B$4,"",$A$4+6)</f>
        <v>46029</v>
      </c>
      <c r="N610" t="str">
        <f>IF(M610="","",'Master Barang'!A4)</f>
        <v>PRL-003</v>
      </c>
      <c r="O610" t="str">
        <f>IF(N610="","",'Master Barang'!B4)</f>
        <v>oixs cleaner 1l</v>
      </c>
      <c r="P610">
        <f>IF(OR(M610="",N610=""),"",SUMIFS('Barang Keluar'!$E:$E,'Barang Keluar'!$A:$A,M610,'Barang Keluar'!$C:$C,N610))</f>
        <v>0</v>
      </c>
    </row>
    <row r="611" spans="13:16">
      <c r="M611" s="49">
        <f>IF($A$4+6&gt;$B$4,"",$A$4+6)</f>
        <v>46029</v>
      </c>
      <c r="N611" t="str">
        <f>IF(M611="","",'Master Barang'!A5)</f>
        <v>PRL-004</v>
      </c>
      <c r="O611" t="str">
        <f>IF(N611="","",'Master Barang'!B5)</f>
        <v>be clean tissue serbaguna</v>
      </c>
      <c r="P611">
        <f>IF(OR(M611="",N611=""),"",SUMIFS('Barang Keluar'!$E:$E,'Barang Keluar'!$A:$A,M611,'Barang Keluar'!$C:$C,N611))</f>
        <v>0</v>
      </c>
    </row>
    <row r="612" spans="13:16">
      <c r="M612" s="49">
        <f>IF($A$4+6&gt;$B$4,"",$A$4+6)</f>
        <v>46029</v>
      </c>
      <c r="N612" t="str">
        <f>IF(M612="","",'Master Barang'!A6)</f>
        <v>PRL-005</v>
      </c>
      <c r="O612" t="str">
        <f>IF(N612="","",'Master Barang'!B6)</f>
        <v>spons cuci hijau</v>
      </c>
      <c r="P612">
        <f>IF(OR(M612="",N612=""),"",SUMIFS('Barang Keluar'!$E:$E,'Barang Keluar'!$A:$A,M612,'Barang Keluar'!$C:$C,N612))</f>
        <v>0</v>
      </c>
    </row>
    <row r="613" spans="13:16">
      <c r="M613" s="49">
        <f>IF($A$4+6&gt;$B$4,"",$A$4+6)</f>
        <v>46029</v>
      </c>
      <c r="N613" t="str">
        <f>IF(M613="","",'Master Barang'!A7)</f>
        <v>PRL-006</v>
      </c>
      <c r="O613" t="str">
        <f>IF(N613="","",'Master Barang'!B7)</f>
        <v>sabut cuci stainless</v>
      </c>
      <c r="P613">
        <f>IF(OR(M613="",N613=""),"",SUMIFS('Barang Keluar'!$E:$E,'Barang Keluar'!$A:$A,M613,'Barang Keluar'!$C:$C,N613))</f>
        <v>0</v>
      </c>
    </row>
    <row r="614" spans="13:16">
      <c r="M614" s="49">
        <f>IF($A$4+6&gt;$B$4,"",$A$4+6)</f>
        <v>46029</v>
      </c>
      <c r="N614" t="str">
        <f>IF(M614="","",'Master Barang'!A8)</f>
        <v>PRL-007</v>
      </c>
      <c r="O614" t="str">
        <f>IF(N614="","",'Master Barang'!B8)</f>
        <v>plastik kresek besar merah 50pc</v>
      </c>
      <c r="P614">
        <f>IF(OR(M614="",N614=""),"",SUMIFS('Barang Keluar'!$E:$E,'Barang Keluar'!$A:$A,M614,'Barang Keluar'!$C:$C,N614))</f>
        <v>0</v>
      </c>
    </row>
    <row r="615" spans="13:16">
      <c r="M615" s="49">
        <f>IF($A$4+6&gt;$B$4,"",$A$4+6)</f>
        <v>46029</v>
      </c>
      <c r="N615" t="str">
        <f>IF(M615="","",'Master Barang'!A9)</f>
        <v>PRL-008</v>
      </c>
      <c r="O615" t="str">
        <f>IF(N615="","",'Master Barang'!B9)</f>
        <v>lap besar</v>
      </c>
      <c r="P615">
        <f>IF(OR(M615="",N615=""),"",SUMIFS('Barang Keluar'!$E:$E,'Barang Keluar'!$A:$A,M615,'Barang Keluar'!$C:$C,N615))</f>
        <v>0</v>
      </c>
    </row>
    <row r="616" spans="13:16">
      <c r="M616" s="49">
        <f>IF($A$4+6&gt;$B$4,"",$A$4+6)</f>
        <v>46029</v>
      </c>
      <c r="N616" t="str">
        <f>IF(M616="","",'Master Barang'!A10)</f>
        <v>PRL-009</v>
      </c>
      <c r="O616" t="str">
        <f>IF(N616="","",'Master Barang'!B10)</f>
        <v>lap microfiber</v>
      </c>
      <c r="P616">
        <f>IF(OR(M616="",N616=""),"",SUMIFS('Barang Keluar'!$E:$E,'Barang Keluar'!$A:$A,M616,'Barang Keluar'!$C:$C,N616))</f>
        <v>0</v>
      </c>
    </row>
    <row r="617" spans="13:16">
      <c r="M617" s="49">
        <f>IF($A$4+6&gt;$B$4,"",$A$4+6)</f>
        <v>46029</v>
      </c>
      <c r="N617" t="str">
        <f>IF(M617="","",'Master Barang'!A11)</f>
        <v>PRL-010</v>
      </c>
      <c r="O617" t="str">
        <f>IF(N617="","",'Master Barang'!B11)</f>
        <v>lap kecil</v>
      </c>
      <c r="P617">
        <f>IF(OR(M617="",N617=""),"",SUMIFS('Barang Keluar'!$E:$E,'Barang Keluar'!$A:$A,M617,'Barang Keluar'!$C:$C,N617))</f>
        <v>0</v>
      </c>
    </row>
    <row r="618" spans="13:16">
      <c r="M618" s="49">
        <f>IF($A$4+6&gt;$B$4,"",$A$4+6)</f>
        <v>46029</v>
      </c>
      <c r="N618" t="str">
        <f>IF(M618="","",'Master Barang'!A12)</f>
        <v>PRL-011</v>
      </c>
      <c r="O618" t="str">
        <f>IF(N618="","",'Master Barang'!B12)</f>
        <v>kanebo kecil</v>
      </c>
      <c r="P618">
        <f>IF(OR(M618="",N618=""),"",SUMIFS('Barang Keluar'!$E:$E,'Barang Keluar'!$A:$A,M618,'Barang Keluar'!$C:$C,N618))</f>
        <v>0</v>
      </c>
    </row>
    <row r="619" spans="13:16">
      <c r="M619" s="49">
        <f>IF($A$4+6&gt;$B$4,"",$A$4+6)</f>
        <v>46029</v>
      </c>
      <c r="N619" t="str">
        <f>IF(M619="","",'Master Barang'!A13)</f>
        <v>PRL-012</v>
      </c>
      <c r="O619" t="str">
        <f>IF(N619="","",'Master Barang'!B13)</f>
        <v>plastik 1/4kg joyoboyo 100 lembar</v>
      </c>
      <c r="P619">
        <f>IF(OR(M619="",N619=""),"",SUMIFS('Barang Keluar'!$E:$E,'Barang Keluar'!$A:$A,M619,'Barang Keluar'!$C:$C,N619))</f>
        <v>0</v>
      </c>
    </row>
    <row r="620" spans="13:16">
      <c r="M620" s="49">
        <f>IF($A$4+6&gt;$B$4,"",$A$4+6)</f>
        <v>46029</v>
      </c>
      <c r="N620" t="str">
        <f>IF(M620="","",'Master Barang'!A14)</f>
        <v>PRL-013</v>
      </c>
      <c r="O620" t="str">
        <f>IF(N620="","",'Master Barang'!B14)</f>
        <v>sarung tangan plastik kaka 100 pcs</v>
      </c>
      <c r="P620">
        <f>IF(OR(M620="",N620=""),"",SUMIFS('Barang Keluar'!$E:$E,'Barang Keluar'!$A:$A,M620,'Barang Keluar'!$C:$C,N620))</f>
        <v>0</v>
      </c>
    </row>
    <row r="621" spans="13:16">
      <c r="M621" s="49">
        <f>IF($A$4+6&gt;$B$4,"",$A$4+6)</f>
        <v>46029</v>
      </c>
      <c r="N621" t="str">
        <f>IF(M621="","",'Master Barang'!A15)</f>
        <v>PRL-014</v>
      </c>
      <c r="O621" t="str">
        <f>IF(N621="","",'Master Barang'!B15)</f>
        <v>optima trashbag 80x100</v>
      </c>
      <c r="P621">
        <f>IF(OR(M621="",N621=""),"",SUMIFS('Barang Keluar'!$E:$E,'Barang Keluar'!$A:$A,M621,'Barang Keluar'!$C:$C,N621))</f>
        <v>0</v>
      </c>
    </row>
    <row r="622" spans="13:16">
      <c r="M622" s="49">
        <f>IF($A$4+6&gt;$B$4,"",$A$4+6)</f>
        <v>46029</v>
      </c>
      <c r="N622" t="str">
        <f>IF(M622="","",'Master Barang'!A16)</f>
        <v>PRL-015</v>
      </c>
      <c r="O622" t="str">
        <f>IF(N622="","",'Master Barang'!B16)</f>
        <v>optima trashbag 60x100</v>
      </c>
      <c r="P622">
        <f>IF(OR(M622="",N622=""),"",SUMIFS('Barang Keluar'!$E:$E,'Barang Keluar'!$A:$A,M622,'Barang Keluar'!$C:$C,N622))</f>
        <v>0</v>
      </c>
    </row>
    <row r="623" spans="13:16">
      <c r="M623" s="49">
        <f>IF($A$4+6&gt;$B$4,"",$A$4+6)</f>
        <v>46029</v>
      </c>
      <c r="N623" t="str">
        <f>IF(M623="","",'Master Barang'!A17)</f>
        <v>PRL-016</v>
      </c>
      <c r="O623" t="str">
        <f>IF(N623="","",'Master Barang'!B17)</f>
        <v>rajawali trashbag 30x40</v>
      </c>
      <c r="P623">
        <f>IF(OR(M623="",N623=""),"",SUMIFS('Barang Keluar'!$E:$E,'Barang Keluar'!$A:$A,M623,'Barang Keluar'!$C:$C,N623))</f>
        <v>0</v>
      </c>
    </row>
    <row r="624" spans="13:16">
      <c r="M624" s="49">
        <f>IF($A$4+6&gt;$B$4,"",$A$4+6)</f>
        <v>46029</v>
      </c>
      <c r="N624" t="str">
        <f>IF(M624="","",'Master Barang'!A18)</f>
        <v>PRL-017</v>
      </c>
      <c r="O624" t="str">
        <f>IF(N624="","",'Master Barang'!B18)</f>
        <v>onemed masker biru 3 play 50 pcs</v>
      </c>
      <c r="P624">
        <f>IF(OR(M624="",N624=""),"",SUMIFS('Barang Keluar'!$E:$E,'Barang Keluar'!$A:$A,M624,'Barang Keluar'!$C:$C,N624))</f>
        <v>0</v>
      </c>
    </row>
    <row r="625" spans="13:16">
      <c r="M625" s="49">
        <f>IF($A$4+6&gt;$B$4,"",$A$4+6)</f>
        <v>46029</v>
      </c>
      <c r="N625" t="str">
        <f>IF(M625="","",'Master Barang'!A19)</f>
        <v>PRL-018</v>
      </c>
      <c r="O625" t="str">
        <f>IF(N625="","",'Master Barang'!B19)</f>
        <v>onemed masker biru 3 play hijab 50 pcs</v>
      </c>
      <c r="P625">
        <f>IF(OR(M625="",N625=""),"",SUMIFS('Barang Keluar'!$E:$E,'Barang Keluar'!$A:$A,M625,'Barang Keluar'!$C:$C,N625))</f>
        <v>0</v>
      </c>
    </row>
    <row r="626" spans="13:16">
      <c r="M626" s="49">
        <f>IF($A$4+6&gt;$B$4,"",$A$4+6)</f>
        <v>46029</v>
      </c>
      <c r="N626" t="str">
        <f>IF(M626="","",'Master Barang'!A20)</f>
        <v>PRL-019</v>
      </c>
      <c r="O626" t="str">
        <f>IF(N626="","",'Master Barang'!B20)</f>
        <v>neo health masker biru 3 play 50 pcs</v>
      </c>
      <c r="P626">
        <f>IF(OR(M626="",N626=""),"",SUMIFS('Barang Keluar'!$E:$E,'Barang Keluar'!$A:$A,M626,'Barang Keluar'!$C:$C,N626))</f>
        <v>0</v>
      </c>
    </row>
    <row r="627" spans="13:16">
      <c r="M627" s="49">
        <f>IF($A$4+6&gt;$B$4,"",$A$4+6)</f>
        <v>46029</v>
      </c>
      <c r="N627" t="str">
        <f>IF(M627="","",'Master Barang'!A21)</f>
        <v>PRL-020</v>
      </c>
      <c r="O627" t="str">
        <f>IF(N627="","",'Master Barang'!B21)</f>
        <v>baymed masker hijau 3 play hijau 50 pcs</v>
      </c>
      <c r="P627">
        <f>IF(OR(M627="",N627=""),"",SUMIFS('Barang Keluar'!$E:$E,'Barang Keluar'!$A:$A,M627,'Barang Keluar'!$C:$C,N627))</f>
        <v>0</v>
      </c>
    </row>
    <row r="628" spans="13:16">
      <c r="M628" s="49">
        <f>IF($A$4+6&gt;$B$4,"",$A$4+6)</f>
        <v>46029</v>
      </c>
      <c r="N628" t="str">
        <f>IF(M628="","",'Master Barang'!A22)</f>
        <v>PRL-021</v>
      </c>
      <c r="O628" t="str">
        <f>IF(N628="","",'Master Barang'!B22)</f>
        <v>altamed nurse cap penutup kepala 100 pcs</v>
      </c>
      <c r="P628">
        <f>IF(OR(M628="",N628=""),"",SUMIFS('Barang Keluar'!$E:$E,'Barang Keluar'!$A:$A,M628,'Barang Keluar'!$C:$C,N628))</f>
        <v>0</v>
      </c>
    </row>
    <row r="629" spans="13:16">
      <c r="M629" s="49">
        <f>IF($A$4+6&gt;$B$4,"",$A$4+6)</f>
        <v>46029</v>
      </c>
      <c r="N629" t="str">
        <f>IF(M629="","",'Master Barang'!A23)</f>
        <v>PRL-022</v>
      </c>
      <c r="O629" t="str">
        <f>IF(N629="","",'Master Barang'!B23)</f>
        <v>sabun cuci tangan</v>
      </c>
      <c r="P629">
        <f>IF(OR(M629="",N629=""),"",SUMIFS('Barang Keluar'!$E:$E,'Barang Keluar'!$A:$A,M629,'Barang Keluar'!$C:$C,N629))</f>
        <v>0</v>
      </c>
    </row>
    <row r="630" spans="13:16">
      <c r="M630" s="49">
        <f>IF($A$4+6&gt;$B$4,"",$A$4+6)</f>
        <v>46029</v>
      </c>
      <c r="N630" t="str">
        <f>IF(M630="","",'Master Barang'!A24)</f>
        <v>PRL-023</v>
      </c>
      <c r="O630" t="str">
        <f>IF(N630="","",'Master Barang'!B24)</f>
        <v>gayung kecil</v>
      </c>
      <c r="P630">
        <f>IF(OR(M630="",N630=""),"",SUMIFS('Barang Keluar'!$E:$E,'Barang Keluar'!$A:$A,M630,'Barang Keluar'!$C:$C,N630))</f>
        <v>0</v>
      </c>
    </row>
    <row r="631" spans="13:16">
      <c r="M631" s="49">
        <f>IF($A$4+6&gt;$B$4,"",$A$4+6)</f>
        <v>46029</v>
      </c>
      <c r="N631" t="str">
        <f>IF(M631="","",'Master Barang'!A25)</f>
        <v>PRL-024</v>
      </c>
      <c r="O631" t="str">
        <f>IF(N631="","",'Master Barang'!B25)</f>
        <v>cikrak kecil</v>
      </c>
      <c r="P631">
        <f>IF(OR(M631="",N631=""),"",SUMIFS('Barang Keluar'!$E:$E,'Barang Keluar'!$A:$A,M631,'Barang Keluar'!$C:$C,N631))</f>
        <v>0</v>
      </c>
    </row>
    <row r="632" spans="13:16">
      <c r="M632" s="49">
        <f>IF($A$4+6&gt;$B$4,"",$A$4+6)</f>
        <v>46029</v>
      </c>
      <c r="N632" t="str">
        <f>IF(M632="","",'Master Barang'!A26)</f>
        <v>PRL-025</v>
      </c>
      <c r="O632" t="str">
        <f>IF(N632="","",'Master Barang'!B26)</f>
        <v>petromax plastik kecil 12x24 100 lembar</v>
      </c>
      <c r="P632">
        <f>IF(OR(M632="",N632=""),"",SUMIFS('Barang Keluar'!$E:$E,'Barang Keluar'!$A:$A,M632,'Barang Keluar'!$C:$C,N632))</f>
        <v>0</v>
      </c>
    </row>
    <row r="633" spans="13:16">
      <c r="M633" s="49">
        <f>IF($A$4+6&gt;$B$4,"",$A$4+6)</f>
        <v>46029</v>
      </c>
      <c r="N633" t="str">
        <f>IF(M633="","",'Master Barang'!A27)</f>
        <v>PRL-026</v>
      </c>
      <c r="O633" t="str">
        <f>IF(N633="","",'Master Barang'!B27)</f>
        <v>lancar kresek kecil bening </v>
      </c>
      <c r="P633">
        <f>IF(OR(M633="",N633=""),"",SUMIFS('Barang Keluar'!$E:$E,'Barang Keluar'!$A:$A,M633,'Barang Keluar'!$C:$C,N633))</f>
        <v>0</v>
      </c>
    </row>
    <row r="634" spans="13:16">
      <c r="M634" s="49">
        <f>IF($A$4+6&gt;$B$4,"",$A$4+6)</f>
        <v>46029</v>
      </c>
      <c r="N634" t="str">
        <f>IF(M634="","",'Master Barang'!A28)</f>
        <v>PRL-027</v>
      </c>
      <c r="O634" t="str">
        <f>IF(N634="","",'Master Barang'!B28)</f>
        <v>kresek klin warna warni kecil</v>
      </c>
      <c r="P634">
        <f>IF(OR(M634="",N634=""),"",SUMIFS('Barang Keluar'!$E:$E,'Barang Keluar'!$A:$A,M634,'Barang Keluar'!$C:$C,N634))</f>
        <v>0</v>
      </c>
    </row>
    <row r="635" spans="13:16">
      <c r="M635" s="49">
        <f>IF($A$4+6&gt;$B$4,"",$A$4+6)</f>
        <v>46029</v>
      </c>
      <c r="N635" t="str">
        <f>IF(M635="","",'Master Barang'!A29)</f>
        <v>PRL-028</v>
      </c>
      <c r="O635" t="str">
        <f>IF(N635="","",'Master Barang'!B29)</f>
        <v>ctik plastik 7x10 100 pcs</v>
      </c>
      <c r="P635">
        <f>IF(OR(M635="",N635=""),"",SUMIFS('Barang Keluar'!$E:$E,'Barang Keluar'!$A:$A,M635,'Barang Keluar'!$C:$C,N635))</f>
        <v>0</v>
      </c>
    </row>
    <row r="636" spans="13:16">
      <c r="M636" s="49">
        <f>IF($A$4+6&gt;$B$4,"",$A$4+6)</f>
        <v>46029</v>
      </c>
      <c r="N636" t="str">
        <f>IF(M636="","",'Master Barang'!A30)</f>
        <v>PRL-029</v>
      </c>
      <c r="O636" t="str">
        <f>IF(N636="","",'Master Barang'!B30)</f>
        <v>ctik plastik 6x10 100 pcs</v>
      </c>
      <c r="P636">
        <f>IF(OR(M636="",N636=""),"",SUMIFS('Barang Keluar'!$E:$E,'Barang Keluar'!$A:$A,M636,'Barang Keluar'!$C:$C,N636))</f>
        <v>0</v>
      </c>
    </row>
    <row r="637" spans="13:16">
      <c r="M637" s="49">
        <f>IF($A$4+6&gt;$B$4,"",$A$4+6)</f>
        <v>46029</v>
      </c>
      <c r="N637" t="str">
        <f>IF(M637="","",'Master Barang'!A31)</f>
        <v>PRL-030</v>
      </c>
      <c r="O637" t="str">
        <f>IF(N637="","",'Master Barang'!B31)</f>
        <v>klip plastik 25x16 100 pcs</v>
      </c>
      <c r="P637">
        <f>IF(OR(M637="",N637=""),"",SUMIFS('Barang Keluar'!$E:$E,'Barang Keluar'!$A:$A,M637,'Barang Keluar'!$C:$C,N637))</f>
        <v>0</v>
      </c>
    </row>
    <row r="638" spans="13:16">
      <c r="M638" s="49">
        <f>IF($A$4+6&gt;$B$4,"",$A$4+6)</f>
        <v>46029</v>
      </c>
      <c r="N638" t="str">
        <f>IF(M638="","",'Master Barang'!A32)</f>
        <v>PRL-031</v>
      </c>
      <c r="O638" t="str">
        <f>IF(N638="","",'Master Barang'!B32)</f>
        <v>tempat saus 20 ml</v>
      </c>
      <c r="P638">
        <f>IF(OR(M638="",N638=""),"",SUMIFS('Barang Keluar'!$E:$E,'Barang Keluar'!$A:$A,M638,'Barang Keluar'!$C:$C,N638))</f>
        <v>0</v>
      </c>
    </row>
    <row r="639" spans="13:16">
      <c r="M639" s="49">
        <f>IF($A$4+6&gt;$B$4,"",$A$4+6)</f>
        <v>46029</v>
      </c>
      <c r="N639" t="str">
        <f>IF(M639="","",'Master Barang'!A33)</f>
        <v>PRL-032</v>
      </c>
      <c r="O639" t="str">
        <f>IF(N639="","",'Master Barang'!B33)</f>
        <v>plastik packaging ag box uk sedang</v>
      </c>
      <c r="P639">
        <f>IF(OR(M639="",N639=""),"",SUMIFS('Barang Keluar'!$E:$E,'Barang Keluar'!$A:$A,M639,'Barang Keluar'!$C:$C,N639))</f>
        <v>0</v>
      </c>
    </row>
    <row r="640" spans="13:16">
      <c r="M640" s="49">
        <f>IF($A$4+6&gt;$B$4,"",$A$4+6)</f>
        <v>46029</v>
      </c>
      <c r="N640" t="str">
        <f>IF(M640="","",'Master Barang'!A34)</f>
        <v>PRL-033</v>
      </c>
      <c r="O640">
        <f>IF(N640="","",'Master Barang'!B34)</f>
        <v>0</v>
      </c>
      <c r="P640">
        <f>IF(OR(M640="",N640=""),"",SUMIFS('Barang Keluar'!$E:$E,'Barang Keluar'!$A:$A,M640,'Barang Keluar'!$C:$C,N640))</f>
        <v>0</v>
      </c>
    </row>
    <row r="641" spans="13:16">
      <c r="M641" s="49">
        <f>IF($A$4+6&gt;$B$4,"",$A$4+6)</f>
        <v>46029</v>
      </c>
      <c r="N641">
        <f>IF(M641="","",'Master Barang'!A35)</f>
        <v>0</v>
      </c>
      <c r="O641">
        <f>IF(N641="","",'Master Barang'!B35)</f>
        <v>0</v>
      </c>
      <c r="P641">
        <f>IF(OR(M641="",N641=""),"",SUMIFS('Barang Keluar'!$E:$E,'Barang Keluar'!$A:$A,M641,'Barang Keluar'!$C:$C,N641))</f>
        <v>0</v>
      </c>
    </row>
    <row r="642" spans="13:16">
      <c r="M642" s="49">
        <f>IF($A$4+6&gt;$B$4,"",$A$4+6)</f>
        <v>46029</v>
      </c>
      <c r="N642">
        <f>IF(M642="","",'Master Barang'!A36)</f>
        <v>0</v>
      </c>
      <c r="O642">
        <f>IF(N642="","",'Master Barang'!B36)</f>
        <v>0</v>
      </c>
      <c r="P642">
        <f>IF(OR(M642="",N642=""),"",SUMIFS('Barang Keluar'!$E:$E,'Barang Keluar'!$A:$A,M642,'Barang Keluar'!$C:$C,N642))</f>
        <v>0</v>
      </c>
    </row>
    <row r="643" spans="13:16">
      <c r="M643" s="49">
        <f>IF($A$4+6&gt;$B$4,"",$A$4+6)</f>
        <v>46029</v>
      </c>
      <c r="N643">
        <f>IF(M643="","",'Master Barang'!A37)</f>
        <v>0</v>
      </c>
      <c r="O643">
        <f>IF(N643="","",'Master Barang'!B37)</f>
        <v>0</v>
      </c>
      <c r="P643">
        <f>IF(OR(M643="",N643=""),"",SUMIFS('Barang Keluar'!$E:$E,'Barang Keluar'!$A:$A,M643,'Barang Keluar'!$C:$C,N643))</f>
        <v>0</v>
      </c>
    </row>
    <row r="644" spans="13:16">
      <c r="M644" s="49">
        <f>IF($A$4+6&gt;$B$4,"",$A$4+6)</f>
        <v>46029</v>
      </c>
      <c r="N644">
        <f>IF(M644="","",'Master Barang'!A38)</f>
        <v>0</v>
      </c>
      <c r="O644">
        <f>IF(N644="","",'Master Barang'!B38)</f>
        <v>0</v>
      </c>
      <c r="P644">
        <f>IF(OR(M644="",N644=""),"",SUMIFS('Barang Keluar'!$E:$E,'Barang Keluar'!$A:$A,M644,'Barang Keluar'!$C:$C,N644))</f>
        <v>0</v>
      </c>
    </row>
    <row r="645" spans="13:16">
      <c r="M645" s="49">
        <f>IF($A$4+6&gt;$B$4,"",$A$4+6)</f>
        <v>46029</v>
      </c>
      <c r="N645">
        <f>IF(M645="","",'Master Barang'!A39)</f>
        <v>0</v>
      </c>
      <c r="O645">
        <f>IF(N645="","",'Master Barang'!B39)</f>
        <v>0</v>
      </c>
      <c r="P645">
        <f>IF(OR(M645="",N645=""),"",SUMIFS('Barang Keluar'!$E:$E,'Barang Keluar'!$A:$A,M645,'Barang Keluar'!$C:$C,N645))</f>
        <v>0</v>
      </c>
    </row>
    <row r="646" spans="13:16">
      <c r="M646" s="49">
        <f>IF($A$4+6&gt;$B$4,"",$A$4+6)</f>
        <v>46029</v>
      </c>
      <c r="N646">
        <f>IF(M646="","",'Master Barang'!A40)</f>
        <v>0</v>
      </c>
      <c r="O646">
        <f>IF(N646="","",'Master Barang'!B40)</f>
        <v>0</v>
      </c>
      <c r="P646">
        <f>IF(OR(M646="",N646=""),"",SUMIFS('Barang Keluar'!$E:$E,'Barang Keluar'!$A:$A,M646,'Barang Keluar'!$C:$C,N646))</f>
        <v>0</v>
      </c>
    </row>
    <row r="647" spans="13:16">
      <c r="M647" s="49">
        <f>IF($A$4+6&gt;$B$4,"",$A$4+6)</f>
        <v>46029</v>
      </c>
      <c r="N647">
        <f>IF(M647="","",'Master Barang'!A41)</f>
        <v>0</v>
      </c>
      <c r="O647">
        <f>IF(N647="","",'Master Barang'!B41)</f>
        <v>0</v>
      </c>
      <c r="P647">
        <f>IF(OR(M647="",N647=""),"",SUMIFS('Barang Keluar'!$E:$E,'Barang Keluar'!$A:$A,M647,'Barang Keluar'!$C:$C,N647))</f>
        <v>0</v>
      </c>
    </row>
    <row r="648" spans="13:16">
      <c r="M648" s="49">
        <f>IF($A$4+6&gt;$B$4,"",$A$4+6)</f>
        <v>46029</v>
      </c>
      <c r="N648">
        <f>IF(M648="","",'Master Barang'!A42)</f>
        <v>0</v>
      </c>
      <c r="O648">
        <f>IF(N648="","",'Master Barang'!B42)</f>
        <v>0</v>
      </c>
      <c r="P648">
        <f>IF(OR(M648="",N648=""),"",SUMIFS('Barang Keluar'!$E:$E,'Barang Keluar'!$A:$A,M648,'Barang Keluar'!$C:$C,N648))</f>
        <v>0</v>
      </c>
    </row>
    <row r="649" spans="13:16">
      <c r="M649" s="49">
        <f>IF($A$4+6&gt;$B$4,"",$A$4+6)</f>
        <v>46029</v>
      </c>
      <c r="N649">
        <f>IF(M649="","",'Master Barang'!A43)</f>
        <v>0</v>
      </c>
      <c r="O649">
        <f>IF(N649="","",'Master Barang'!B43)</f>
        <v>0</v>
      </c>
      <c r="P649">
        <f>IF(OR(M649="",N649=""),"",SUMIFS('Barang Keluar'!$E:$E,'Barang Keluar'!$A:$A,M649,'Barang Keluar'!$C:$C,N649))</f>
        <v>0</v>
      </c>
    </row>
    <row r="650" spans="13:16">
      <c r="M650" s="49">
        <f>IF($A$4+6&gt;$B$4,"",$A$4+6)</f>
        <v>46029</v>
      </c>
      <c r="N650">
        <f>IF(M650="","",'Master Barang'!A44)</f>
        <v>0</v>
      </c>
      <c r="O650">
        <f>IF(N650="","",'Master Barang'!B44)</f>
        <v>0</v>
      </c>
      <c r="P650">
        <f>IF(OR(M650="",N650=""),"",SUMIFS('Barang Keluar'!$E:$E,'Barang Keluar'!$A:$A,M650,'Barang Keluar'!$C:$C,N650))</f>
        <v>0</v>
      </c>
    </row>
    <row r="651" spans="13:16">
      <c r="M651" s="49">
        <f>IF($A$4+6&gt;$B$4,"",$A$4+6)</f>
        <v>46029</v>
      </c>
      <c r="N651">
        <f>IF(M651="","",'Master Barang'!A45)</f>
        <v>0</v>
      </c>
      <c r="O651">
        <f>IF(N651="","",'Master Barang'!B45)</f>
        <v>0</v>
      </c>
      <c r="P651">
        <f>IF(OR(M651="",N651=""),"",SUMIFS('Barang Keluar'!$E:$E,'Barang Keluar'!$A:$A,M651,'Barang Keluar'!$C:$C,N651))</f>
        <v>0</v>
      </c>
    </row>
    <row r="652" spans="13:16">
      <c r="M652" s="49">
        <f>IF($A$4+6&gt;$B$4,"",$A$4+6)</f>
        <v>46029</v>
      </c>
      <c r="N652">
        <f>IF(M652="","",'Master Barang'!A46)</f>
        <v>0</v>
      </c>
      <c r="O652">
        <f>IF(N652="","",'Master Barang'!B46)</f>
        <v>0</v>
      </c>
      <c r="P652">
        <f>IF(OR(M652="",N652=""),"",SUMIFS('Barang Keluar'!$E:$E,'Barang Keluar'!$A:$A,M652,'Barang Keluar'!$C:$C,N652))</f>
        <v>0</v>
      </c>
    </row>
    <row r="653" spans="13:16">
      <c r="M653" s="49">
        <f>IF($A$4+6&gt;$B$4,"",$A$4+6)</f>
        <v>46029</v>
      </c>
      <c r="N653">
        <f>IF(M653="","",'Master Barang'!A47)</f>
        <v>0</v>
      </c>
      <c r="O653">
        <f>IF(N653="","",'Master Barang'!B47)</f>
        <v>0</v>
      </c>
      <c r="P653">
        <f>IF(OR(M653="",N653=""),"",SUMIFS('Barang Keluar'!$E:$E,'Barang Keluar'!$A:$A,M653,'Barang Keluar'!$C:$C,N653))</f>
        <v>0</v>
      </c>
    </row>
    <row r="654" spans="13:16">
      <c r="M654" s="49">
        <f>IF($A$4+6&gt;$B$4,"",$A$4+6)</f>
        <v>46029</v>
      </c>
      <c r="N654">
        <f>IF(M654="","",'Master Barang'!A48)</f>
        <v>0</v>
      </c>
      <c r="O654">
        <f>IF(N654="","",'Master Barang'!B48)</f>
        <v>0</v>
      </c>
      <c r="P654">
        <f>IF(OR(M654="",N654=""),"",SUMIFS('Barang Keluar'!$E:$E,'Barang Keluar'!$A:$A,M654,'Barang Keluar'!$C:$C,N654))</f>
        <v>0</v>
      </c>
    </row>
    <row r="655" spans="13:16">
      <c r="M655" s="49">
        <f>IF($A$4+6&gt;$B$4,"",$A$4+6)</f>
        <v>46029</v>
      </c>
      <c r="N655">
        <f>IF(M655="","",'Master Barang'!A49)</f>
        <v>0</v>
      </c>
      <c r="O655">
        <f>IF(N655="","",'Master Barang'!B49)</f>
        <v>0</v>
      </c>
      <c r="P655">
        <f>IF(OR(M655="",N655=""),"",SUMIFS('Barang Keluar'!$E:$E,'Barang Keluar'!$A:$A,M655,'Barang Keluar'!$C:$C,N655))</f>
        <v>0</v>
      </c>
    </row>
    <row r="656" spans="13:16">
      <c r="M656" s="49">
        <f>IF($A$4+6&gt;$B$4,"",$A$4+6)</f>
        <v>46029</v>
      </c>
      <c r="N656">
        <f>IF(M656="","",'Master Barang'!A50)</f>
        <v>0</v>
      </c>
      <c r="O656">
        <f>IF(N656="","",'Master Barang'!B50)</f>
        <v>0</v>
      </c>
      <c r="P656">
        <f>IF(OR(M656="",N656=""),"",SUMIFS('Barang Keluar'!$E:$E,'Barang Keluar'!$A:$A,M656,'Barang Keluar'!$C:$C,N656))</f>
        <v>0</v>
      </c>
    </row>
    <row r="657" spans="13:16">
      <c r="M657" s="49">
        <f>IF($A$4+6&gt;$B$4,"",$A$4+6)</f>
        <v>46029</v>
      </c>
      <c r="N657">
        <f>IF(M657="","",'Master Barang'!A51)</f>
        <v>0</v>
      </c>
      <c r="O657">
        <f>IF(N657="","",'Master Barang'!B51)</f>
        <v>0</v>
      </c>
      <c r="P657">
        <f>IF(OR(M657="",N657=""),"",SUMIFS('Barang Keluar'!$E:$E,'Barang Keluar'!$A:$A,M657,'Barang Keluar'!$C:$C,N657))</f>
        <v>0</v>
      </c>
    </row>
    <row r="658" spans="13:16">
      <c r="M658" s="49">
        <f>IF($A$4+6&gt;$B$4,"",$A$4+6)</f>
        <v>46029</v>
      </c>
      <c r="N658">
        <f>IF(M658="","",'Master Barang'!A52)</f>
        <v>0</v>
      </c>
      <c r="O658">
        <f>IF(N658="","",'Master Barang'!B52)</f>
        <v>0</v>
      </c>
      <c r="P658">
        <f>IF(OR(M658="",N658=""),"",SUMIFS('Barang Keluar'!$E:$E,'Barang Keluar'!$A:$A,M658,'Barang Keluar'!$C:$C,N658))</f>
        <v>0</v>
      </c>
    </row>
    <row r="659" spans="13:16">
      <c r="M659" s="49">
        <f>IF($A$4+6&gt;$B$4,"",$A$4+6)</f>
        <v>46029</v>
      </c>
      <c r="N659">
        <f>IF(M659="","",'Master Barang'!A53)</f>
        <v>0</v>
      </c>
      <c r="O659">
        <f>IF(N659="","",'Master Barang'!B53)</f>
        <v>0</v>
      </c>
      <c r="P659">
        <f>IF(OR(M659="",N659=""),"",SUMIFS('Barang Keluar'!$E:$E,'Barang Keluar'!$A:$A,M659,'Barang Keluar'!$C:$C,N659))</f>
        <v>0</v>
      </c>
    </row>
    <row r="660" spans="13:16">
      <c r="M660" s="49">
        <f>IF($A$4+6&gt;$B$4,"",$A$4+6)</f>
        <v>46029</v>
      </c>
      <c r="N660">
        <f>IF(M660="","",'Master Barang'!A54)</f>
        <v>0</v>
      </c>
      <c r="O660">
        <f>IF(N660="","",'Master Barang'!B54)</f>
        <v>0</v>
      </c>
      <c r="P660">
        <f>IF(OR(M660="",N660=""),"",SUMIFS('Barang Keluar'!$E:$E,'Barang Keluar'!$A:$A,M660,'Barang Keluar'!$C:$C,N660))</f>
        <v>0</v>
      </c>
    </row>
    <row r="661" spans="13:16">
      <c r="M661" s="49">
        <f>IF($A$4+6&gt;$B$4,"",$A$4+6)</f>
        <v>46029</v>
      </c>
      <c r="N661">
        <f>IF(M661="","",'Master Barang'!A55)</f>
        <v>0</v>
      </c>
      <c r="O661">
        <f>IF(N661="","",'Master Barang'!B55)</f>
        <v>0</v>
      </c>
      <c r="P661">
        <f>IF(OR(M661="",N661=""),"",SUMIFS('Barang Keluar'!$E:$E,'Barang Keluar'!$A:$A,M661,'Barang Keluar'!$C:$C,N661))</f>
        <v>0</v>
      </c>
    </row>
    <row r="662" spans="13:16">
      <c r="M662" s="49">
        <f>IF($A$4+6&gt;$B$4,"",$A$4+6)</f>
        <v>46029</v>
      </c>
      <c r="N662">
        <f>IF(M662="","",'Master Barang'!A56)</f>
        <v>0</v>
      </c>
      <c r="O662">
        <f>IF(N662="","",'Master Barang'!B56)</f>
        <v>0</v>
      </c>
      <c r="P662">
        <f>IF(OR(M662="",N662=""),"",SUMIFS('Barang Keluar'!$E:$E,'Barang Keluar'!$A:$A,M662,'Barang Keluar'!$C:$C,N662))</f>
        <v>0</v>
      </c>
    </row>
    <row r="663" spans="13:16">
      <c r="M663" s="49">
        <f>IF($A$4+6&gt;$B$4,"",$A$4+6)</f>
        <v>46029</v>
      </c>
      <c r="N663">
        <f>IF(M663="","",'Master Barang'!A57)</f>
        <v>0</v>
      </c>
      <c r="O663">
        <f>IF(N663="","",'Master Barang'!B57)</f>
        <v>0</v>
      </c>
      <c r="P663">
        <f>IF(OR(M663="",N663=""),"",SUMIFS('Barang Keluar'!$E:$E,'Barang Keluar'!$A:$A,M663,'Barang Keluar'!$C:$C,N663))</f>
        <v>0</v>
      </c>
    </row>
    <row r="664" spans="13:16">
      <c r="M664" s="49">
        <f>IF($A$4+6&gt;$B$4,"",$A$4+6)</f>
        <v>46029</v>
      </c>
      <c r="N664">
        <f>IF(M664="","",'Master Barang'!A58)</f>
        <v>0</v>
      </c>
      <c r="O664">
        <f>IF(N664="","",'Master Barang'!B58)</f>
        <v>0</v>
      </c>
      <c r="P664">
        <f>IF(OR(M664="",N664=""),"",SUMIFS('Barang Keluar'!$E:$E,'Barang Keluar'!$A:$A,M664,'Barang Keluar'!$C:$C,N664))</f>
        <v>0</v>
      </c>
    </row>
    <row r="665" spans="13:16">
      <c r="M665" s="49">
        <f>IF($A$4+6&gt;$B$4,"",$A$4+6)</f>
        <v>46029</v>
      </c>
      <c r="N665">
        <f>IF(M665="","",'Master Barang'!A59)</f>
        <v>0</v>
      </c>
      <c r="O665">
        <f>IF(N665="","",'Master Barang'!B59)</f>
        <v>0</v>
      </c>
      <c r="P665">
        <f>IF(OR(M665="",N665=""),"",SUMIFS('Barang Keluar'!$E:$E,'Barang Keluar'!$A:$A,M665,'Barang Keluar'!$C:$C,N665))</f>
        <v>0</v>
      </c>
    </row>
    <row r="666" spans="13:16">
      <c r="M666" s="49">
        <f>IF($A$4+6&gt;$B$4,"",$A$4+6)</f>
        <v>46029</v>
      </c>
      <c r="N666">
        <f>IF(M666="","",'Master Barang'!A60)</f>
        <v>0</v>
      </c>
      <c r="O666">
        <f>IF(N666="","",'Master Barang'!B60)</f>
        <v>0</v>
      </c>
      <c r="P666">
        <f>IF(OR(M666="",N666=""),"",SUMIFS('Barang Keluar'!$E:$E,'Barang Keluar'!$A:$A,M666,'Barang Keluar'!$C:$C,N666))</f>
        <v>0</v>
      </c>
    </row>
    <row r="667" spans="13:16">
      <c r="M667" s="49">
        <f>IF($A$4+6&gt;$B$4,"",$A$4+6)</f>
        <v>46029</v>
      </c>
      <c r="N667">
        <f>IF(M667="","",'Master Barang'!A61)</f>
        <v>0</v>
      </c>
      <c r="O667">
        <f>IF(N667="","",'Master Barang'!B61)</f>
        <v>0</v>
      </c>
      <c r="P667">
        <f>IF(OR(M667="",N667=""),"",SUMIFS('Barang Keluar'!$E:$E,'Barang Keluar'!$A:$A,M667,'Barang Keluar'!$C:$C,N667))</f>
        <v>0</v>
      </c>
    </row>
    <row r="668" spans="13:16">
      <c r="M668" s="49">
        <f>IF($A$4+6&gt;$B$4,"",$A$4+6)</f>
        <v>46029</v>
      </c>
      <c r="N668">
        <f>IF(M668="","",'Master Barang'!A62)</f>
        <v>0</v>
      </c>
      <c r="O668">
        <f>IF(N668="","",'Master Barang'!B62)</f>
        <v>0</v>
      </c>
      <c r="P668">
        <f>IF(OR(M668="",N668=""),"",SUMIFS('Barang Keluar'!$E:$E,'Barang Keluar'!$A:$A,M668,'Barang Keluar'!$C:$C,N668))</f>
        <v>0</v>
      </c>
    </row>
    <row r="669" spans="13:16">
      <c r="M669" s="49">
        <f>IF($A$4+6&gt;$B$4,"",$A$4+6)</f>
        <v>46029</v>
      </c>
      <c r="N669">
        <f>IF(M669="","",'Master Barang'!A63)</f>
        <v>0</v>
      </c>
      <c r="O669">
        <f>IF(N669="","",'Master Barang'!B63)</f>
        <v>0</v>
      </c>
      <c r="P669">
        <f>IF(OR(M669="",N669=""),"",SUMIFS('Barang Keluar'!$E:$E,'Barang Keluar'!$A:$A,M669,'Barang Keluar'!$C:$C,N669))</f>
        <v>0</v>
      </c>
    </row>
    <row r="670" spans="13:16">
      <c r="M670" s="49">
        <f>IF($A$4+6&gt;$B$4,"",$A$4+6)</f>
        <v>46029</v>
      </c>
      <c r="N670">
        <f>IF(M670="","",'Master Barang'!A64)</f>
        <v>0</v>
      </c>
      <c r="O670">
        <f>IF(N670="","",'Master Barang'!B64)</f>
        <v>0</v>
      </c>
      <c r="P670">
        <f>IF(OR(M670="",N670=""),"",SUMIFS('Barang Keluar'!$E:$E,'Barang Keluar'!$A:$A,M670,'Barang Keluar'!$C:$C,N670))</f>
        <v>0</v>
      </c>
    </row>
    <row r="671" spans="13:16">
      <c r="M671" s="49">
        <f>IF($A$4+6&gt;$B$4,"",$A$4+6)</f>
        <v>46029</v>
      </c>
      <c r="N671">
        <f>IF(M671="","",'Master Barang'!A65)</f>
        <v>0</v>
      </c>
      <c r="O671">
        <f>IF(N671="","",'Master Barang'!B65)</f>
        <v>0</v>
      </c>
      <c r="P671">
        <f>IF(OR(M671="",N671=""),"",SUMIFS('Barang Keluar'!$E:$E,'Barang Keluar'!$A:$A,M671,'Barang Keluar'!$C:$C,N671))</f>
        <v>0</v>
      </c>
    </row>
    <row r="672" spans="13:16">
      <c r="M672" s="49">
        <f>IF($A$4+6&gt;$B$4,"",$A$4+6)</f>
        <v>46029</v>
      </c>
      <c r="N672">
        <f>IF(M672="","",'Master Barang'!A66)</f>
        <v>0</v>
      </c>
      <c r="O672">
        <f>IF(N672="","",'Master Barang'!B66)</f>
        <v>0</v>
      </c>
      <c r="P672">
        <f>IF(OR(M672="",N672=""),"",SUMIFS('Barang Keluar'!$E:$E,'Barang Keluar'!$A:$A,M672,'Barang Keluar'!$C:$C,N672))</f>
        <v>0</v>
      </c>
    </row>
    <row r="673" spans="13:16">
      <c r="M673" s="49">
        <f>IF($A$4+6&gt;$B$4,"",$A$4+6)</f>
        <v>46029</v>
      </c>
      <c r="N673">
        <f>IF(M673="","",'Master Barang'!A67)</f>
        <v>0</v>
      </c>
      <c r="O673">
        <f>IF(N673="","",'Master Barang'!B67)</f>
        <v>0</v>
      </c>
      <c r="P673">
        <f>IF(OR(M673="",N673=""),"",SUMIFS('Barang Keluar'!$E:$E,'Barang Keluar'!$A:$A,M673,'Barang Keluar'!$C:$C,N673))</f>
        <v>0</v>
      </c>
    </row>
    <row r="674" spans="13:16">
      <c r="M674" s="49">
        <f>IF($A$4+6&gt;$B$4,"",$A$4+6)</f>
        <v>46029</v>
      </c>
      <c r="N674">
        <f>IF(M674="","",'Master Barang'!A68)</f>
        <v>0</v>
      </c>
      <c r="O674">
        <f>IF(N674="","",'Master Barang'!B68)</f>
        <v>0</v>
      </c>
      <c r="P674">
        <f>IF(OR(M674="",N674=""),"",SUMIFS('Barang Keluar'!$E:$E,'Barang Keluar'!$A:$A,M674,'Barang Keluar'!$C:$C,N674))</f>
        <v>0</v>
      </c>
    </row>
    <row r="675" spans="13:16">
      <c r="M675" s="49">
        <f>IF($A$4+6&gt;$B$4,"",$A$4+6)</f>
        <v>46029</v>
      </c>
      <c r="N675">
        <f>IF(M675="","",'Master Barang'!A69)</f>
        <v>0</v>
      </c>
      <c r="O675">
        <f>IF(N675="","",'Master Barang'!B69)</f>
        <v>0</v>
      </c>
      <c r="P675">
        <f>IF(OR(M675="",N675=""),"",SUMIFS('Barang Keluar'!$E:$E,'Barang Keluar'!$A:$A,M675,'Barang Keluar'!$C:$C,N675))</f>
        <v>0</v>
      </c>
    </row>
    <row r="676" spans="13:16">
      <c r="M676" s="49">
        <f>IF($A$4+6&gt;$B$4,"",$A$4+6)</f>
        <v>46029</v>
      </c>
      <c r="N676">
        <f>IF(M676="","",'Master Barang'!A70)</f>
        <v>0</v>
      </c>
      <c r="O676">
        <f>IF(N676="","",'Master Barang'!B70)</f>
        <v>0</v>
      </c>
      <c r="P676">
        <f>IF(OR(M676="",N676=""),"",SUMIFS('Barang Keluar'!$E:$E,'Barang Keluar'!$A:$A,M676,'Barang Keluar'!$C:$C,N676))</f>
        <v>0</v>
      </c>
    </row>
    <row r="677" spans="13:16">
      <c r="M677" s="49">
        <f>IF($A$4+6&gt;$B$4,"",$A$4+6)</f>
        <v>46029</v>
      </c>
      <c r="N677">
        <f>IF(M677="","",'Master Barang'!A71)</f>
        <v>0</v>
      </c>
      <c r="O677">
        <f>IF(N677="","",'Master Barang'!B71)</f>
        <v>0</v>
      </c>
      <c r="P677">
        <f>IF(OR(M677="",N677=""),"",SUMIFS('Barang Keluar'!$E:$E,'Barang Keluar'!$A:$A,M677,'Barang Keluar'!$C:$C,N677))</f>
        <v>0</v>
      </c>
    </row>
    <row r="678" spans="13:16">
      <c r="M678" s="49">
        <f>IF($A$4+6&gt;$B$4,"",$A$4+6)</f>
        <v>46029</v>
      </c>
      <c r="N678">
        <f>IF(M678="","",'Master Barang'!A72)</f>
        <v>0</v>
      </c>
      <c r="O678">
        <f>IF(N678="","",'Master Barang'!B72)</f>
        <v>0</v>
      </c>
      <c r="P678">
        <f>IF(OR(M678="",N678=""),"",SUMIFS('Barang Keluar'!$E:$E,'Barang Keluar'!$A:$A,M678,'Barang Keluar'!$C:$C,N678))</f>
        <v>0</v>
      </c>
    </row>
    <row r="679" spans="13:16">
      <c r="M679" s="49">
        <f>IF($A$4+6&gt;$B$4,"",$A$4+6)</f>
        <v>46029</v>
      </c>
      <c r="N679">
        <f>IF(M679="","",'Master Barang'!A73)</f>
        <v>0</v>
      </c>
      <c r="O679">
        <f>IF(N679="","",'Master Barang'!B73)</f>
        <v>0</v>
      </c>
      <c r="P679">
        <f>IF(OR(M679="",N679=""),"",SUMIFS('Barang Keluar'!$E:$E,'Barang Keluar'!$A:$A,M679,'Barang Keluar'!$C:$C,N679))</f>
        <v>0</v>
      </c>
    </row>
    <row r="680" spans="13:16">
      <c r="M680" s="49">
        <f>IF($A$4+6&gt;$B$4,"",$A$4+6)</f>
        <v>46029</v>
      </c>
      <c r="N680">
        <f>IF(M680="","",'Master Barang'!A74)</f>
        <v>0</v>
      </c>
      <c r="O680">
        <f>IF(N680="","",'Master Barang'!B74)</f>
        <v>0</v>
      </c>
      <c r="P680">
        <f>IF(OR(M680="",N680=""),"",SUMIFS('Barang Keluar'!$E:$E,'Barang Keluar'!$A:$A,M680,'Barang Keluar'!$C:$C,N680))</f>
        <v>0</v>
      </c>
    </row>
    <row r="681" spans="13:16">
      <c r="M681" s="49">
        <f>IF($A$4+6&gt;$B$4,"",$A$4+6)</f>
        <v>46029</v>
      </c>
      <c r="N681">
        <f>IF(M681="","",'Master Barang'!A75)</f>
        <v>0</v>
      </c>
      <c r="O681">
        <f>IF(N681="","",'Master Barang'!B75)</f>
        <v>0</v>
      </c>
      <c r="P681">
        <f>IF(OR(M681="",N681=""),"",SUMIFS('Barang Keluar'!$E:$E,'Barang Keluar'!$A:$A,M681,'Barang Keluar'!$C:$C,N681))</f>
        <v>0</v>
      </c>
    </row>
    <row r="682" spans="13:16">
      <c r="M682" s="49">
        <f>IF($A$4+6&gt;$B$4,"",$A$4+6)</f>
        <v>46029</v>
      </c>
      <c r="N682">
        <f>IF(M682="","",'Master Barang'!A76)</f>
        <v>0</v>
      </c>
      <c r="O682">
        <f>IF(N682="","",'Master Barang'!B76)</f>
        <v>0</v>
      </c>
      <c r="P682">
        <f>IF(OR(M682="",N682=""),"",SUMIFS('Barang Keluar'!$E:$E,'Barang Keluar'!$A:$A,M682,'Barang Keluar'!$C:$C,N682))</f>
        <v>0</v>
      </c>
    </row>
    <row r="683" spans="13:16">
      <c r="M683" s="49">
        <f>IF($A$4+6&gt;$B$4,"",$A$4+6)</f>
        <v>46029</v>
      </c>
      <c r="N683">
        <f>IF(M683="","",'Master Barang'!A77)</f>
        <v>0</v>
      </c>
      <c r="O683">
        <f>IF(N683="","",'Master Barang'!B77)</f>
        <v>0</v>
      </c>
      <c r="P683">
        <f>IF(OR(M683="",N683=""),"",SUMIFS('Barang Keluar'!$E:$E,'Barang Keluar'!$A:$A,M683,'Barang Keluar'!$C:$C,N683))</f>
        <v>0</v>
      </c>
    </row>
    <row r="684" spans="13:16">
      <c r="M684" s="49">
        <f>IF($A$4+6&gt;$B$4,"",$A$4+6)</f>
        <v>46029</v>
      </c>
      <c r="N684">
        <f>IF(M684="","",'Master Barang'!A78)</f>
        <v>0</v>
      </c>
      <c r="O684">
        <f>IF(N684="","",'Master Barang'!B78)</f>
        <v>0</v>
      </c>
      <c r="P684">
        <f>IF(OR(M684="",N684=""),"",SUMIFS('Barang Keluar'!$E:$E,'Barang Keluar'!$A:$A,M684,'Barang Keluar'!$C:$C,N684))</f>
        <v>0</v>
      </c>
    </row>
    <row r="685" spans="13:16">
      <c r="M685" s="49">
        <f>IF($A$4+6&gt;$B$4,"",$A$4+6)</f>
        <v>46029</v>
      </c>
      <c r="N685">
        <f>IF(M685="","",'Master Barang'!A79)</f>
        <v>0</v>
      </c>
      <c r="O685">
        <f>IF(N685="","",'Master Barang'!B79)</f>
        <v>0</v>
      </c>
      <c r="P685">
        <f>IF(OR(M685="",N685=""),"",SUMIFS('Barang Keluar'!$E:$E,'Barang Keluar'!$A:$A,M685,'Barang Keluar'!$C:$C,N685))</f>
        <v>0</v>
      </c>
    </row>
    <row r="686" spans="13:16">
      <c r="M686" s="49">
        <f>IF($A$4+6&gt;$B$4,"",$A$4+6)</f>
        <v>46029</v>
      </c>
      <c r="N686">
        <f>IF(M686="","",'Master Barang'!A80)</f>
        <v>0</v>
      </c>
      <c r="O686">
        <f>IF(N686="","",'Master Barang'!B80)</f>
        <v>0</v>
      </c>
      <c r="P686">
        <f>IF(OR(M686="",N686=""),"",SUMIFS('Barang Keluar'!$E:$E,'Barang Keluar'!$A:$A,M686,'Barang Keluar'!$C:$C,N686))</f>
        <v>0</v>
      </c>
    </row>
    <row r="687" spans="13:16">
      <c r="M687" s="49">
        <f>IF($A$4+6&gt;$B$4,"",$A$4+6)</f>
        <v>46029</v>
      </c>
      <c r="N687">
        <f>IF(M687="","",'Master Barang'!A81)</f>
        <v>0</v>
      </c>
      <c r="O687">
        <f>IF(N687="","",'Master Barang'!B81)</f>
        <v>0</v>
      </c>
      <c r="P687">
        <f>IF(OR(M687="",N687=""),"",SUMIFS('Barang Keluar'!$E:$E,'Barang Keluar'!$A:$A,M687,'Barang Keluar'!$C:$C,N687))</f>
        <v>0</v>
      </c>
    </row>
    <row r="688" spans="13:16">
      <c r="M688" s="49">
        <f>IF($A$4+6&gt;$B$4,"",$A$4+6)</f>
        <v>46029</v>
      </c>
      <c r="N688">
        <f>IF(M688="","",'Master Barang'!A82)</f>
        <v>0</v>
      </c>
      <c r="O688">
        <f>IF(N688="","",'Master Barang'!B82)</f>
        <v>0</v>
      </c>
      <c r="P688">
        <f>IF(OR(M688="",N688=""),"",SUMIFS('Barang Keluar'!$E:$E,'Barang Keluar'!$A:$A,M688,'Barang Keluar'!$C:$C,N688))</f>
        <v>0</v>
      </c>
    </row>
    <row r="689" spans="13:16">
      <c r="M689" s="49">
        <f>IF($A$4+6&gt;$B$4,"",$A$4+6)</f>
        <v>46029</v>
      </c>
      <c r="N689">
        <f>IF(M689="","",'Master Barang'!A83)</f>
        <v>0</v>
      </c>
      <c r="O689">
        <f>IF(N689="","",'Master Barang'!B83)</f>
        <v>0</v>
      </c>
      <c r="P689">
        <f>IF(OR(M689="",N689=""),"",SUMIFS('Barang Keluar'!$E:$E,'Barang Keluar'!$A:$A,M689,'Barang Keluar'!$C:$C,N689))</f>
        <v>0</v>
      </c>
    </row>
    <row r="690" spans="13:16">
      <c r="M690" s="49">
        <f>IF($A$4+6&gt;$B$4,"",$A$4+6)</f>
        <v>46029</v>
      </c>
      <c r="N690">
        <f>IF(M690="","",'Master Barang'!A84)</f>
        <v>0</v>
      </c>
      <c r="O690">
        <f>IF(N690="","",'Master Barang'!B84)</f>
        <v>0</v>
      </c>
      <c r="P690">
        <f>IF(OR(M690="",N690=""),"",SUMIFS('Barang Keluar'!$E:$E,'Barang Keluar'!$A:$A,M690,'Barang Keluar'!$C:$C,N690))</f>
        <v>0</v>
      </c>
    </row>
    <row r="691" spans="13:16">
      <c r="M691" s="49">
        <f>IF($A$4+6&gt;$B$4,"",$A$4+6)</f>
        <v>46029</v>
      </c>
      <c r="N691">
        <f>IF(M691="","",'Master Barang'!A85)</f>
        <v>0</v>
      </c>
      <c r="O691">
        <f>IF(N691="","",'Master Barang'!B85)</f>
        <v>0</v>
      </c>
      <c r="P691">
        <f>IF(OR(M691="",N691=""),"",SUMIFS('Barang Keluar'!$E:$E,'Barang Keluar'!$A:$A,M691,'Barang Keluar'!$C:$C,N691))</f>
        <v>0</v>
      </c>
    </row>
    <row r="692" spans="13:16">
      <c r="M692" s="49">
        <f>IF($A$4+6&gt;$B$4,"",$A$4+6)</f>
        <v>46029</v>
      </c>
      <c r="N692">
        <f>IF(M692="","",'Master Barang'!A86)</f>
        <v>0</v>
      </c>
      <c r="O692">
        <f>IF(N692="","",'Master Barang'!B86)</f>
        <v>0</v>
      </c>
      <c r="P692">
        <f>IF(OR(M692="",N692=""),"",SUMIFS('Barang Keluar'!$E:$E,'Barang Keluar'!$A:$A,M692,'Barang Keluar'!$C:$C,N692))</f>
        <v>0</v>
      </c>
    </row>
    <row r="693" spans="13:16">
      <c r="M693" s="49">
        <f>IF($A$4+6&gt;$B$4,"",$A$4+6)</f>
        <v>46029</v>
      </c>
      <c r="N693">
        <f>IF(M693="","",'Master Barang'!A87)</f>
        <v>0</v>
      </c>
      <c r="O693">
        <f>IF(N693="","",'Master Barang'!B87)</f>
        <v>0</v>
      </c>
      <c r="P693">
        <f>IF(OR(M693="",N693=""),"",SUMIFS('Barang Keluar'!$E:$E,'Barang Keluar'!$A:$A,M693,'Barang Keluar'!$C:$C,N693))</f>
        <v>0</v>
      </c>
    </row>
    <row r="694" spans="13:16">
      <c r="M694" s="49">
        <f>IF($A$4+6&gt;$B$4,"",$A$4+6)</f>
        <v>46029</v>
      </c>
      <c r="N694">
        <f>IF(M694="","",'Master Barang'!A88)</f>
        <v>0</v>
      </c>
      <c r="O694">
        <f>IF(N694="","",'Master Barang'!B88)</f>
        <v>0</v>
      </c>
      <c r="P694">
        <f>IF(OR(M694="",N694=""),"",SUMIFS('Barang Keluar'!$E:$E,'Barang Keluar'!$A:$A,M694,'Barang Keluar'!$C:$C,N694))</f>
        <v>0</v>
      </c>
    </row>
    <row r="695" spans="13:16">
      <c r="M695" s="49">
        <f>IF($A$4+6&gt;$B$4,"",$A$4+6)</f>
        <v>46029</v>
      </c>
      <c r="N695">
        <f>IF(M695="","",'Master Barang'!A89)</f>
        <v>0</v>
      </c>
      <c r="O695">
        <f>IF(N695="","",'Master Barang'!B89)</f>
        <v>0</v>
      </c>
      <c r="P695">
        <f>IF(OR(M695="",N695=""),"",SUMIFS('Barang Keluar'!$E:$E,'Barang Keluar'!$A:$A,M695,'Barang Keluar'!$C:$C,N695))</f>
        <v>0</v>
      </c>
    </row>
    <row r="696" spans="13:16">
      <c r="M696" s="49">
        <f>IF($A$4+6&gt;$B$4,"",$A$4+6)</f>
        <v>46029</v>
      </c>
      <c r="N696">
        <f>IF(M696="","",'Master Barang'!A90)</f>
        <v>0</v>
      </c>
      <c r="O696">
        <f>IF(N696="","",'Master Barang'!B90)</f>
        <v>0</v>
      </c>
      <c r="P696">
        <f>IF(OR(M696="",N696=""),"",SUMIFS('Barang Keluar'!$E:$E,'Barang Keluar'!$A:$A,M696,'Barang Keluar'!$C:$C,N696))</f>
        <v>0</v>
      </c>
    </row>
    <row r="697" spans="13:16">
      <c r="M697" s="49">
        <f>IF($A$4+6&gt;$B$4,"",$A$4+6)</f>
        <v>46029</v>
      </c>
      <c r="N697">
        <f>IF(M697="","",'Master Barang'!A91)</f>
        <v>0</v>
      </c>
      <c r="O697">
        <f>IF(N697="","",'Master Barang'!B91)</f>
        <v>0</v>
      </c>
      <c r="P697">
        <f>IF(OR(M697="",N697=""),"",SUMIFS('Barang Keluar'!$E:$E,'Barang Keluar'!$A:$A,M697,'Barang Keluar'!$C:$C,N697))</f>
        <v>0</v>
      </c>
    </row>
    <row r="698" spans="13:16">
      <c r="M698" s="49">
        <f>IF($A$4+6&gt;$B$4,"",$A$4+6)</f>
        <v>46029</v>
      </c>
      <c r="N698">
        <f>IF(M698="","",'Master Barang'!A92)</f>
        <v>0</v>
      </c>
      <c r="O698">
        <f>IF(N698="","",'Master Barang'!B92)</f>
        <v>0</v>
      </c>
      <c r="P698">
        <f>IF(OR(M698="",N698=""),"",SUMIFS('Barang Keluar'!$E:$E,'Barang Keluar'!$A:$A,M698,'Barang Keluar'!$C:$C,N698))</f>
        <v>0</v>
      </c>
    </row>
    <row r="699" spans="13:16">
      <c r="M699" s="49">
        <f>IF($A$4+6&gt;$B$4,"",$A$4+6)</f>
        <v>46029</v>
      </c>
      <c r="N699">
        <f>IF(M699="","",'Master Barang'!A93)</f>
        <v>0</v>
      </c>
      <c r="O699">
        <f>IF(N699="","",'Master Barang'!B93)</f>
        <v>0</v>
      </c>
      <c r="P699">
        <f>IF(OR(M699="",N699=""),"",SUMIFS('Barang Keluar'!$E:$E,'Barang Keluar'!$A:$A,M699,'Barang Keluar'!$C:$C,N699))</f>
        <v>0</v>
      </c>
    </row>
    <row r="700" spans="13:16">
      <c r="M700" s="49">
        <f>IF($A$4+6&gt;$B$4,"",$A$4+6)</f>
        <v>46029</v>
      </c>
      <c r="N700">
        <f>IF(M700="","",'Master Barang'!A94)</f>
        <v>0</v>
      </c>
      <c r="O700">
        <f>IF(N700="","",'Master Barang'!B94)</f>
        <v>0</v>
      </c>
      <c r="P700">
        <f>IF(OR(M700="",N700=""),"",SUMIFS('Barang Keluar'!$E:$E,'Barang Keluar'!$A:$A,M700,'Barang Keluar'!$C:$C,N700))</f>
        <v>0</v>
      </c>
    </row>
    <row r="701" spans="13:16">
      <c r="M701" s="49">
        <f>IF($A$4+6&gt;$B$4,"",$A$4+6)</f>
        <v>46029</v>
      </c>
      <c r="N701">
        <f>IF(M701="","",'Master Barang'!A95)</f>
        <v>0</v>
      </c>
      <c r="O701">
        <f>IF(N701="","",'Master Barang'!B95)</f>
        <v>0</v>
      </c>
      <c r="P701">
        <f>IF(OR(M701="",N701=""),"",SUMIFS('Barang Keluar'!$E:$E,'Barang Keluar'!$A:$A,M701,'Barang Keluar'!$C:$C,N701))</f>
        <v>0</v>
      </c>
    </row>
    <row r="702" spans="13:16">
      <c r="M702" s="49">
        <f>IF($A$4+6&gt;$B$4,"",$A$4+6)</f>
        <v>46029</v>
      </c>
      <c r="N702">
        <f>IF(M702="","",'Master Barang'!A96)</f>
        <v>0</v>
      </c>
      <c r="O702">
        <f>IF(N702="","",'Master Barang'!B96)</f>
        <v>0</v>
      </c>
      <c r="P702">
        <f>IF(OR(M702="",N702=""),"",SUMIFS('Barang Keluar'!$E:$E,'Barang Keluar'!$A:$A,M702,'Barang Keluar'!$C:$C,N702))</f>
        <v>0</v>
      </c>
    </row>
    <row r="703" spans="13:16">
      <c r="M703" s="49">
        <f>IF($A$4+6&gt;$B$4,"",$A$4+6)</f>
        <v>46029</v>
      </c>
      <c r="N703">
        <f>IF(M703="","",'Master Barang'!A97)</f>
        <v>0</v>
      </c>
      <c r="O703">
        <f>IF(N703="","",'Master Barang'!B97)</f>
        <v>0</v>
      </c>
      <c r="P703">
        <f>IF(OR(M703="",N703=""),"",SUMIFS('Barang Keluar'!$E:$E,'Barang Keluar'!$A:$A,M703,'Barang Keluar'!$C:$C,N703))</f>
        <v>0</v>
      </c>
    </row>
    <row r="704" spans="13:16">
      <c r="M704" s="49">
        <f>IF($A$4+6&gt;$B$4,"",$A$4+6)</f>
        <v>46029</v>
      </c>
      <c r="N704">
        <f>IF(M704="","",'Master Barang'!A98)</f>
        <v>0</v>
      </c>
      <c r="O704">
        <f>IF(N704="","",'Master Barang'!B98)</f>
        <v>0</v>
      </c>
      <c r="P704">
        <f>IF(OR(M704="",N704=""),"",SUMIFS('Barang Keluar'!$E:$E,'Barang Keluar'!$A:$A,M704,'Barang Keluar'!$C:$C,N704))</f>
        <v>0</v>
      </c>
    </row>
    <row r="705" spans="13:16">
      <c r="M705" s="49">
        <f>IF($A$4+6&gt;$B$4,"",$A$4+6)</f>
        <v>46029</v>
      </c>
      <c r="N705">
        <f>IF(M705="","",'Master Barang'!A99)</f>
        <v>0</v>
      </c>
      <c r="O705">
        <f>IF(N705="","",'Master Barang'!B99)</f>
        <v>0</v>
      </c>
      <c r="P705">
        <f>IF(OR(M705="",N705=""),"",SUMIFS('Barang Keluar'!$E:$E,'Barang Keluar'!$A:$A,M705,'Barang Keluar'!$C:$C,N705))</f>
        <v>0</v>
      </c>
    </row>
    <row r="706" spans="13:16">
      <c r="M706" s="49">
        <f>IF($A$4+6&gt;$B$4,"",$A$4+6)</f>
        <v>46029</v>
      </c>
      <c r="N706">
        <f>IF(M706="","",'Master Barang'!A100)</f>
        <v>0</v>
      </c>
      <c r="O706">
        <f>IF(N706="","",'Master Barang'!B100)</f>
        <v>0</v>
      </c>
      <c r="P706">
        <f>IF(OR(M706="",N706=""),"",SUMIFS('Barang Keluar'!$E:$E,'Barang Keluar'!$A:$A,M706,'Barang Keluar'!$C:$C,N706))</f>
        <v>0</v>
      </c>
    </row>
    <row r="707" spans="13:16">
      <c r="M707" s="49">
        <f>IF($A$4+6&gt;$B$4,"",$A$4+6)</f>
        <v>46029</v>
      </c>
      <c r="N707">
        <f>IF(M707="","",'Master Barang'!A101)</f>
        <v>0</v>
      </c>
      <c r="O707">
        <f>IF(N707="","",'Master Barang'!B101)</f>
        <v>0</v>
      </c>
      <c r="P707">
        <f>IF(OR(M707="",N707=""),"",SUMIFS('Barang Keluar'!$E:$E,'Barang Keluar'!$A:$A,M707,'Barang Keluar'!$C:$C,N707))</f>
        <v>0</v>
      </c>
    </row>
    <row r="708" spans="13:16">
      <c r="M708" s="49">
        <f>IF($A$4+7&gt;$B$4,"",$A$4+7)</f>
        <v>46030</v>
      </c>
      <c r="N708" t="str">
        <f>IF(M708="","",'Master Barang'!A2)</f>
        <v>PRL-001</v>
      </c>
      <c r="O708" t="str">
        <f>IF(N708="","",'Master Barang'!B2)</f>
        <v>natura desinfectant food grade 5l</v>
      </c>
      <c r="P708">
        <f>IF(OR(M708="",N708=""),"",SUMIFS('Barang Keluar'!$E:$E,'Barang Keluar'!$A:$A,M708,'Barang Keluar'!$C:$C,N708))</f>
        <v>0</v>
      </c>
    </row>
    <row r="709" spans="13:16">
      <c r="M709" s="49">
        <f>IF($A$4+7&gt;$B$4,"",$A$4+7)</f>
        <v>46030</v>
      </c>
      <c r="N709" t="str">
        <f>IF(M709="","",'Master Barang'!A3)</f>
        <v>PRL-002</v>
      </c>
      <c r="O709" t="str">
        <f>IF(N709="","",'Master Barang'!B3)</f>
        <v>sunlight cairan pencuci piring 5l</v>
      </c>
      <c r="P709">
        <f>IF(OR(M709="",N709=""),"",SUMIFS('Barang Keluar'!$E:$E,'Barang Keluar'!$A:$A,M709,'Barang Keluar'!$C:$C,N709))</f>
        <v>0</v>
      </c>
    </row>
    <row r="710" spans="13:16">
      <c r="M710" s="49">
        <f>IF($A$4+7&gt;$B$4,"",$A$4+7)</f>
        <v>46030</v>
      </c>
      <c r="N710" t="str">
        <f>IF(M710="","",'Master Barang'!A4)</f>
        <v>PRL-003</v>
      </c>
      <c r="O710" t="str">
        <f>IF(N710="","",'Master Barang'!B4)</f>
        <v>oixs cleaner 1l</v>
      </c>
      <c r="P710">
        <f>IF(OR(M710="",N710=""),"",SUMIFS('Barang Keluar'!$E:$E,'Barang Keluar'!$A:$A,M710,'Barang Keluar'!$C:$C,N710))</f>
        <v>0</v>
      </c>
    </row>
    <row r="711" spans="13:16">
      <c r="M711" s="49">
        <f>IF($A$4+7&gt;$B$4,"",$A$4+7)</f>
        <v>46030</v>
      </c>
      <c r="N711" t="str">
        <f>IF(M711="","",'Master Barang'!A5)</f>
        <v>PRL-004</v>
      </c>
      <c r="O711" t="str">
        <f>IF(N711="","",'Master Barang'!B5)</f>
        <v>be clean tissue serbaguna</v>
      </c>
      <c r="P711">
        <f>IF(OR(M711="",N711=""),"",SUMIFS('Barang Keluar'!$E:$E,'Barang Keluar'!$A:$A,M711,'Barang Keluar'!$C:$C,N711))</f>
        <v>0</v>
      </c>
    </row>
    <row r="712" spans="13:16">
      <c r="M712" s="49">
        <f>IF($A$4+7&gt;$B$4,"",$A$4+7)</f>
        <v>46030</v>
      </c>
      <c r="N712" t="str">
        <f>IF(M712="","",'Master Barang'!A6)</f>
        <v>PRL-005</v>
      </c>
      <c r="O712" t="str">
        <f>IF(N712="","",'Master Barang'!B6)</f>
        <v>spons cuci hijau</v>
      </c>
      <c r="P712">
        <f>IF(OR(M712="",N712=""),"",SUMIFS('Barang Keluar'!$E:$E,'Barang Keluar'!$A:$A,M712,'Barang Keluar'!$C:$C,N712))</f>
        <v>0</v>
      </c>
    </row>
    <row r="713" spans="13:16">
      <c r="M713" s="49">
        <f>IF($A$4+7&gt;$B$4,"",$A$4+7)</f>
        <v>46030</v>
      </c>
      <c r="N713" t="str">
        <f>IF(M713="","",'Master Barang'!A7)</f>
        <v>PRL-006</v>
      </c>
      <c r="O713" t="str">
        <f>IF(N713="","",'Master Barang'!B7)</f>
        <v>sabut cuci stainless</v>
      </c>
      <c r="P713">
        <f>IF(OR(M713="",N713=""),"",SUMIFS('Barang Keluar'!$E:$E,'Barang Keluar'!$A:$A,M713,'Barang Keluar'!$C:$C,N713))</f>
        <v>0</v>
      </c>
    </row>
    <row r="714" spans="13:16">
      <c r="M714" s="49">
        <f>IF($A$4+7&gt;$B$4,"",$A$4+7)</f>
        <v>46030</v>
      </c>
      <c r="N714" t="str">
        <f>IF(M714="","",'Master Barang'!A8)</f>
        <v>PRL-007</v>
      </c>
      <c r="O714" t="str">
        <f>IF(N714="","",'Master Barang'!B8)</f>
        <v>plastik kresek besar merah 50pc</v>
      </c>
      <c r="P714">
        <f>IF(OR(M714="",N714=""),"",SUMIFS('Barang Keluar'!$E:$E,'Barang Keluar'!$A:$A,M714,'Barang Keluar'!$C:$C,N714))</f>
        <v>0</v>
      </c>
    </row>
    <row r="715" spans="13:16">
      <c r="M715" s="49">
        <f>IF($A$4+7&gt;$B$4,"",$A$4+7)</f>
        <v>46030</v>
      </c>
      <c r="N715" t="str">
        <f>IF(M715="","",'Master Barang'!A9)</f>
        <v>PRL-008</v>
      </c>
      <c r="O715" t="str">
        <f>IF(N715="","",'Master Barang'!B9)</f>
        <v>lap besar</v>
      </c>
      <c r="P715">
        <f>IF(OR(M715="",N715=""),"",SUMIFS('Barang Keluar'!$E:$E,'Barang Keluar'!$A:$A,M715,'Barang Keluar'!$C:$C,N715))</f>
        <v>0</v>
      </c>
    </row>
    <row r="716" spans="13:16">
      <c r="M716" s="49">
        <f>IF($A$4+7&gt;$B$4,"",$A$4+7)</f>
        <v>46030</v>
      </c>
      <c r="N716" t="str">
        <f>IF(M716="","",'Master Barang'!A10)</f>
        <v>PRL-009</v>
      </c>
      <c r="O716" t="str">
        <f>IF(N716="","",'Master Barang'!B10)</f>
        <v>lap microfiber</v>
      </c>
      <c r="P716">
        <f>IF(OR(M716="",N716=""),"",SUMIFS('Barang Keluar'!$E:$E,'Barang Keluar'!$A:$A,M716,'Barang Keluar'!$C:$C,N716))</f>
        <v>0</v>
      </c>
    </row>
    <row r="717" spans="13:16">
      <c r="M717" s="49">
        <f>IF($A$4+7&gt;$B$4,"",$A$4+7)</f>
        <v>46030</v>
      </c>
      <c r="N717" t="str">
        <f>IF(M717="","",'Master Barang'!A11)</f>
        <v>PRL-010</v>
      </c>
      <c r="O717" t="str">
        <f>IF(N717="","",'Master Barang'!B11)</f>
        <v>lap kecil</v>
      </c>
      <c r="P717">
        <f>IF(OR(M717="",N717=""),"",SUMIFS('Barang Keluar'!$E:$E,'Barang Keluar'!$A:$A,M717,'Barang Keluar'!$C:$C,N717))</f>
        <v>0</v>
      </c>
    </row>
    <row r="718" spans="13:16">
      <c r="M718" s="49">
        <f>IF($A$4+7&gt;$B$4,"",$A$4+7)</f>
        <v>46030</v>
      </c>
      <c r="N718" t="str">
        <f>IF(M718="","",'Master Barang'!A12)</f>
        <v>PRL-011</v>
      </c>
      <c r="O718" t="str">
        <f>IF(N718="","",'Master Barang'!B12)</f>
        <v>kanebo kecil</v>
      </c>
      <c r="P718">
        <f>IF(OR(M718="",N718=""),"",SUMIFS('Barang Keluar'!$E:$E,'Barang Keluar'!$A:$A,M718,'Barang Keluar'!$C:$C,N718))</f>
        <v>0</v>
      </c>
    </row>
    <row r="719" spans="13:16">
      <c r="M719" s="49">
        <f>IF($A$4+7&gt;$B$4,"",$A$4+7)</f>
        <v>46030</v>
      </c>
      <c r="N719" t="str">
        <f>IF(M719="","",'Master Barang'!A13)</f>
        <v>PRL-012</v>
      </c>
      <c r="O719" t="str">
        <f>IF(N719="","",'Master Barang'!B13)</f>
        <v>plastik 1/4kg joyoboyo 100 lembar</v>
      </c>
      <c r="P719">
        <f>IF(OR(M719="",N719=""),"",SUMIFS('Barang Keluar'!$E:$E,'Barang Keluar'!$A:$A,M719,'Barang Keluar'!$C:$C,N719))</f>
        <v>0</v>
      </c>
    </row>
    <row r="720" spans="13:16">
      <c r="M720" s="49">
        <f>IF($A$4+7&gt;$B$4,"",$A$4+7)</f>
        <v>46030</v>
      </c>
      <c r="N720" t="str">
        <f>IF(M720="","",'Master Barang'!A14)</f>
        <v>PRL-013</v>
      </c>
      <c r="O720" t="str">
        <f>IF(N720="","",'Master Barang'!B14)</f>
        <v>sarung tangan plastik kaka 100 pcs</v>
      </c>
      <c r="P720">
        <f>IF(OR(M720="",N720=""),"",SUMIFS('Barang Keluar'!$E:$E,'Barang Keluar'!$A:$A,M720,'Barang Keluar'!$C:$C,N720))</f>
        <v>0</v>
      </c>
    </row>
    <row r="721" spans="13:16">
      <c r="M721" s="49">
        <f>IF($A$4+7&gt;$B$4,"",$A$4+7)</f>
        <v>46030</v>
      </c>
      <c r="N721" t="str">
        <f>IF(M721="","",'Master Barang'!A15)</f>
        <v>PRL-014</v>
      </c>
      <c r="O721" t="str">
        <f>IF(N721="","",'Master Barang'!B15)</f>
        <v>optima trashbag 80x100</v>
      </c>
      <c r="P721">
        <f>IF(OR(M721="",N721=""),"",SUMIFS('Barang Keluar'!$E:$E,'Barang Keluar'!$A:$A,M721,'Barang Keluar'!$C:$C,N721))</f>
        <v>0</v>
      </c>
    </row>
    <row r="722" spans="13:16">
      <c r="M722" s="49">
        <f>IF($A$4+7&gt;$B$4,"",$A$4+7)</f>
        <v>46030</v>
      </c>
      <c r="N722" t="str">
        <f>IF(M722="","",'Master Barang'!A16)</f>
        <v>PRL-015</v>
      </c>
      <c r="O722" t="str">
        <f>IF(N722="","",'Master Barang'!B16)</f>
        <v>optima trashbag 60x100</v>
      </c>
      <c r="P722">
        <f>IF(OR(M722="",N722=""),"",SUMIFS('Barang Keluar'!$E:$E,'Barang Keluar'!$A:$A,M722,'Barang Keluar'!$C:$C,N722))</f>
        <v>0</v>
      </c>
    </row>
    <row r="723" spans="13:16">
      <c r="M723" s="49">
        <f>IF($A$4+7&gt;$B$4,"",$A$4+7)</f>
        <v>46030</v>
      </c>
      <c r="N723" t="str">
        <f>IF(M723="","",'Master Barang'!A17)</f>
        <v>PRL-016</v>
      </c>
      <c r="O723" t="str">
        <f>IF(N723="","",'Master Barang'!B17)</f>
        <v>rajawali trashbag 30x40</v>
      </c>
      <c r="P723">
        <f>IF(OR(M723="",N723=""),"",SUMIFS('Barang Keluar'!$E:$E,'Barang Keluar'!$A:$A,M723,'Barang Keluar'!$C:$C,N723))</f>
        <v>0</v>
      </c>
    </row>
    <row r="724" spans="13:16">
      <c r="M724" s="49">
        <f>IF($A$4+7&gt;$B$4,"",$A$4+7)</f>
        <v>46030</v>
      </c>
      <c r="N724" t="str">
        <f>IF(M724="","",'Master Barang'!A18)</f>
        <v>PRL-017</v>
      </c>
      <c r="O724" t="str">
        <f>IF(N724="","",'Master Barang'!B18)</f>
        <v>onemed masker biru 3 play 50 pcs</v>
      </c>
      <c r="P724">
        <f>IF(OR(M724="",N724=""),"",SUMIFS('Barang Keluar'!$E:$E,'Barang Keluar'!$A:$A,M724,'Barang Keluar'!$C:$C,N724))</f>
        <v>0</v>
      </c>
    </row>
    <row r="725" spans="13:16">
      <c r="M725" s="49">
        <f>IF($A$4+7&gt;$B$4,"",$A$4+7)</f>
        <v>46030</v>
      </c>
      <c r="N725" t="str">
        <f>IF(M725="","",'Master Barang'!A19)</f>
        <v>PRL-018</v>
      </c>
      <c r="O725" t="str">
        <f>IF(N725="","",'Master Barang'!B19)</f>
        <v>onemed masker biru 3 play hijab 50 pcs</v>
      </c>
      <c r="P725">
        <f>IF(OR(M725="",N725=""),"",SUMIFS('Barang Keluar'!$E:$E,'Barang Keluar'!$A:$A,M725,'Barang Keluar'!$C:$C,N725))</f>
        <v>0</v>
      </c>
    </row>
    <row r="726" spans="13:16">
      <c r="M726" s="49">
        <f>IF($A$4+7&gt;$B$4,"",$A$4+7)</f>
        <v>46030</v>
      </c>
      <c r="N726" t="str">
        <f>IF(M726="","",'Master Barang'!A20)</f>
        <v>PRL-019</v>
      </c>
      <c r="O726" t="str">
        <f>IF(N726="","",'Master Barang'!B20)</f>
        <v>neo health masker biru 3 play 50 pcs</v>
      </c>
      <c r="P726">
        <f>IF(OR(M726="",N726=""),"",SUMIFS('Barang Keluar'!$E:$E,'Barang Keluar'!$A:$A,M726,'Barang Keluar'!$C:$C,N726))</f>
        <v>0</v>
      </c>
    </row>
    <row r="727" spans="13:16">
      <c r="M727" s="49">
        <f>IF($A$4+7&gt;$B$4,"",$A$4+7)</f>
        <v>46030</v>
      </c>
      <c r="N727" t="str">
        <f>IF(M727="","",'Master Barang'!A21)</f>
        <v>PRL-020</v>
      </c>
      <c r="O727" t="str">
        <f>IF(N727="","",'Master Barang'!B21)</f>
        <v>baymed masker hijau 3 play hijau 50 pcs</v>
      </c>
      <c r="P727">
        <f>IF(OR(M727="",N727=""),"",SUMIFS('Barang Keluar'!$E:$E,'Barang Keluar'!$A:$A,M727,'Barang Keluar'!$C:$C,N727))</f>
        <v>0</v>
      </c>
    </row>
    <row r="728" spans="13:16">
      <c r="M728" s="49">
        <f>IF($A$4+7&gt;$B$4,"",$A$4+7)</f>
        <v>46030</v>
      </c>
      <c r="N728" t="str">
        <f>IF(M728="","",'Master Barang'!A22)</f>
        <v>PRL-021</v>
      </c>
      <c r="O728" t="str">
        <f>IF(N728="","",'Master Barang'!B22)</f>
        <v>altamed nurse cap penutup kepala 100 pcs</v>
      </c>
      <c r="P728">
        <f>IF(OR(M728="",N728=""),"",SUMIFS('Barang Keluar'!$E:$E,'Barang Keluar'!$A:$A,M728,'Barang Keluar'!$C:$C,N728))</f>
        <v>0</v>
      </c>
    </row>
    <row r="729" spans="13:16">
      <c r="M729" s="49">
        <f>IF($A$4+7&gt;$B$4,"",$A$4+7)</f>
        <v>46030</v>
      </c>
      <c r="N729" t="str">
        <f>IF(M729="","",'Master Barang'!A23)</f>
        <v>PRL-022</v>
      </c>
      <c r="O729" t="str">
        <f>IF(N729="","",'Master Barang'!B23)</f>
        <v>sabun cuci tangan</v>
      </c>
      <c r="P729">
        <f>IF(OR(M729="",N729=""),"",SUMIFS('Barang Keluar'!$E:$E,'Barang Keluar'!$A:$A,M729,'Barang Keluar'!$C:$C,N729))</f>
        <v>0</v>
      </c>
    </row>
    <row r="730" spans="13:16">
      <c r="M730" s="49">
        <f>IF($A$4+7&gt;$B$4,"",$A$4+7)</f>
        <v>46030</v>
      </c>
      <c r="N730" t="str">
        <f>IF(M730="","",'Master Barang'!A24)</f>
        <v>PRL-023</v>
      </c>
      <c r="O730" t="str">
        <f>IF(N730="","",'Master Barang'!B24)</f>
        <v>gayung kecil</v>
      </c>
      <c r="P730">
        <f>IF(OR(M730="",N730=""),"",SUMIFS('Barang Keluar'!$E:$E,'Barang Keluar'!$A:$A,M730,'Barang Keluar'!$C:$C,N730))</f>
        <v>0</v>
      </c>
    </row>
    <row r="731" spans="13:16">
      <c r="M731" s="49">
        <f>IF($A$4+7&gt;$B$4,"",$A$4+7)</f>
        <v>46030</v>
      </c>
      <c r="N731" t="str">
        <f>IF(M731="","",'Master Barang'!A25)</f>
        <v>PRL-024</v>
      </c>
      <c r="O731" t="str">
        <f>IF(N731="","",'Master Barang'!B25)</f>
        <v>cikrak kecil</v>
      </c>
      <c r="P731">
        <f>IF(OR(M731="",N731=""),"",SUMIFS('Barang Keluar'!$E:$E,'Barang Keluar'!$A:$A,M731,'Barang Keluar'!$C:$C,N731))</f>
        <v>0</v>
      </c>
    </row>
    <row r="732" spans="13:16">
      <c r="M732" s="49">
        <f>IF($A$4+7&gt;$B$4,"",$A$4+7)</f>
        <v>46030</v>
      </c>
      <c r="N732" t="str">
        <f>IF(M732="","",'Master Barang'!A26)</f>
        <v>PRL-025</v>
      </c>
      <c r="O732" t="str">
        <f>IF(N732="","",'Master Barang'!B26)</f>
        <v>petromax plastik kecil 12x24 100 lembar</v>
      </c>
      <c r="P732">
        <f>IF(OR(M732="",N732=""),"",SUMIFS('Barang Keluar'!$E:$E,'Barang Keluar'!$A:$A,M732,'Barang Keluar'!$C:$C,N732))</f>
        <v>0</v>
      </c>
    </row>
    <row r="733" spans="13:16">
      <c r="M733" s="49">
        <f>IF($A$4+7&gt;$B$4,"",$A$4+7)</f>
        <v>46030</v>
      </c>
      <c r="N733" t="str">
        <f>IF(M733="","",'Master Barang'!A27)</f>
        <v>PRL-026</v>
      </c>
      <c r="O733" t="str">
        <f>IF(N733="","",'Master Barang'!B27)</f>
        <v>lancar kresek kecil bening </v>
      </c>
      <c r="P733">
        <f>IF(OR(M733="",N733=""),"",SUMIFS('Barang Keluar'!$E:$E,'Barang Keluar'!$A:$A,M733,'Barang Keluar'!$C:$C,N733))</f>
        <v>0</v>
      </c>
    </row>
    <row r="734" spans="13:16">
      <c r="M734" s="49">
        <f>IF($A$4+7&gt;$B$4,"",$A$4+7)</f>
        <v>46030</v>
      </c>
      <c r="N734" t="str">
        <f>IF(M734="","",'Master Barang'!A28)</f>
        <v>PRL-027</v>
      </c>
      <c r="O734" t="str">
        <f>IF(N734="","",'Master Barang'!B28)</f>
        <v>kresek klin warna warni kecil</v>
      </c>
      <c r="P734">
        <f>IF(OR(M734="",N734=""),"",SUMIFS('Barang Keluar'!$E:$E,'Barang Keluar'!$A:$A,M734,'Barang Keluar'!$C:$C,N734))</f>
        <v>0</v>
      </c>
    </row>
    <row r="735" spans="13:16">
      <c r="M735" s="49">
        <f>IF($A$4+7&gt;$B$4,"",$A$4+7)</f>
        <v>46030</v>
      </c>
      <c r="N735" t="str">
        <f>IF(M735="","",'Master Barang'!A29)</f>
        <v>PRL-028</v>
      </c>
      <c r="O735" t="str">
        <f>IF(N735="","",'Master Barang'!B29)</f>
        <v>ctik plastik 7x10 100 pcs</v>
      </c>
      <c r="P735">
        <f>IF(OR(M735="",N735=""),"",SUMIFS('Barang Keluar'!$E:$E,'Barang Keluar'!$A:$A,M735,'Barang Keluar'!$C:$C,N735))</f>
        <v>0</v>
      </c>
    </row>
    <row r="736" spans="13:16">
      <c r="M736" s="49">
        <f>IF($A$4+7&gt;$B$4,"",$A$4+7)</f>
        <v>46030</v>
      </c>
      <c r="N736" t="str">
        <f>IF(M736="","",'Master Barang'!A30)</f>
        <v>PRL-029</v>
      </c>
      <c r="O736" t="str">
        <f>IF(N736="","",'Master Barang'!B30)</f>
        <v>ctik plastik 6x10 100 pcs</v>
      </c>
      <c r="P736">
        <f>IF(OR(M736="",N736=""),"",SUMIFS('Barang Keluar'!$E:$E,'Barang Keluar'!$A:$A,M736,'Barang Keluar'!$C:$C,N736))</f>
        <v>0</v>
      </c>
    </row>
    <row r="737" spans="13:16">
      <c r="M737" s="49">
        <f>IF($A$4+7&gt;$B$4,"",$A$4+7)</f>
        <v>46030</v>
      </c>
      <c r="N737" t="str">
        <f>IF(M737="","",'Master Barang'!A31)</f>
        <v>PRL-030</v>
      </c>
      <c r="O737" t="str">
        <f>IF(N737="","",'Master Barang'!B31)</f>
        <v>klip plastik 25x16 100 pcs</v>
      </c>
      <c r="P737">
        <f>IF(OR(M737="",N737=""),"",SUMIFS('Barang Keluar'!$E:$E,'Barang Keluar'!$A:$A,M737,'Barang Keluar'!$C:$C,N737))</f>
        <v>0</v>
      </c>
    </row>
    <row r="738" spans="13:16">
      <c r="M738" s="49">
        <f>IF($A$4+7&gt;$B$4,"",$A$4+7)</f>
        <v>46030</v>
      </c>
      <c r="N738" t="str">
        <f>IF(M738="","",'Master Barang'!A32)</f>
        <v>PRL-031</v>
      </c>
      <c r="O738" t="str">
        <f>IF(N738="","",'Master Barang'!B32)</f>
        <v>tempat saus 20 ml</v>
      </c>
      <c r="P738">
        <f>IF(OR(M738="",N738=""),"",SUMIFS('Barang Keluar'!$E:$E,'Barang Keluar'!$A:$A,M738,'Barang Keluar'!$C:$C,N738))</f>
        <v>0</v>
      </c>
    </row>
    <row r="739" spans="13:16">
      <c r="M739" s="49">
        <f>IF($A$4+7&gt;$B$4,"",$A$4+7)</f>
        <v>46030</v>
      </c>
      <c r="N739" t="str">
        <f>IF(M739="","",'Master Barang'!A33)</f>
        <v>PRL-032</v>
      </c>
      <c r="O739" t="str">
        <f>IF(N739="","",'Master Barang'!B33)</f>
        <v>plastik packaging ag box uk sedang</v>
      </c>
      <c r="P739">
        <f>IF(OR(M739="",N739=""),"",SUMIFS('Barang Keluar'!$E:$E,'Barang Keluar'!$A:$A,M739,'Barang Keluar'!$C:$C,N739))</f>
        <v>0</v>
      </c>
    </row>
    <row r="740" spans="13:16">
      <c r="M740" s="49">
        <f>IF($A$4+7&gt;$B$4,"",$A$4+7)</f>
        <v>46030</v>
      </c>
      <c r="N740" t="str">
        <f>IF(M740="","",'Master Barang'!A34)</f>
        <v>PRL-033</v>
      </c>
      <c r="O740">
        <f>IF(N740="","",'Master Barang'!B34)</f>
        <v>0</v>
      </c>
      <c r="P740">
        <f>IF(OR(M740="",N740=""),"",SUMIFS('Barang Keluar'!$E:$E,'Barang Keluar'!$A:$A,M740,'Barang Keluar'!$C:$C,N740))</f>
        <v>0</v>
      </c>
    </row>
    <row r="741" spans="13:16">
      <c r="M741" s="49">
        <f>IF($A$4+7&gt;$B$4,"",$A$4+7)</f>
        <v>46030</v>
      </c>
      <c r="N741">
        <f>IF(M741="","",'Master Barang'!A35)</f>
        <v>0</v>
      </c>
      <c r="O741">
        <f>IF(N741="","",'Master Barang'!B35)</f>
        <v>0</v>
      </c>
      <c r="P741">
        <f>IF(OR(M741="",N741=""),"",SUMIFS('Barang Keluar'!$E:$E,'Barang Keluar'!$A:$A,M741,'Barang Keluar'!$C:$C,N741))</f>
        <v>0</v>
      </c>
    </row>
    <row r="742" spans="13:16">
      <c r="M742" s="49">
        <f>IF($A$4+7&gt;$B$4,"",$A$4+7)</f>
        <v>46030</v>
      </c>
      <c r="N742">
        <f>IF(M742="","",'Master Barang'!A36)</f>
        <v>0</v>
      </c>
      <c r="O742">
        <f>IF(N742="","",'Master Barang'!B36)</f>
        <v>0</v>
      </c>
      <c r="P742">
        <f>IF(OR(M742="",N742=""),"",SUMIFS('Barang Keluar'!$E:$E,'Barang Keluar'!$A:$A,M742,'Barang Keluar'!$C:$C,N742))</f>
        <v>0</v>
      </c>
    </row>
    <row r="743" spans="13:16">
      <c r="M743" s="49">
        <f>IF($A$4+7&gt;$B$4,"",$A$4+7)</f>
        <v>46030</v>
      </c>
      <c r="N743">
        <f>IF(M743="","",'Master Barang'!A37)</f>
        <v>0</v>
      </c>
      <c r="O743">
        <f>IF(N743="","",'Master Barang'!B37)</f>
        <v>0</v>
      </c>
      <c r="P743">
        <f>IF(OR(M743="",N743=""),"",SUMIFS('Barang Keluar'!$E:$E,'Barang Keluar'!$A:$A,M743,'Barang Keluar'!$C:$C,N743))</f>
        <v>0</v>
      </c>
    </row>
    <row r="744" spans="13:16">
      <c r="M744" s="49">
        <f>IF($A$4+7&gt;$B$4,"",$A$4+7)</f>
        <v>46030</v>
      </c>
      <c r="N744">
        <f>IF(M744="","",'Master Barang'!A38)</f>
        <v>0</v>
      </c>
      <c r="O744">
        <f>IF(N744="","",'Master Barang'!B38)</f>
        <v>0</v>
      </c>
      <c r="P744">
        <f>IF(OR(M744="",N744=""),"",SUMIFS('Barang Keluar'!$E:$E,'Barang Keluar'!$A:$A,M744,'Barang Keluar'!$C:$C,N744))</f>
        <v>0</v>
      </c>
    </row>
    <row r="745" spans="13:16">
      <c r="M745" s="49">
        <f>IF($A$4+7&gt;$B$4,"",$A$4+7)</f>
        <v>46030</v>
      </c>
      <c r="N745">
        <f>IF(M745="","",'Master Barang'!A39)</f>
        <v>0</v>
      </c>
      <c r="O745">
        <f>IF(N745="","",'Master Barang'!B39)</f>
        <v>0</v>
      </c>
      <c r="P745">
        <f>IF(OR(M745="",N745=""),"",SUMIFS('Barang Keluar'!$E:$E,'Barang Keluar'!$A:$A,M745,'Barang Keluar'!$C:$C,N745))</f>
        <v>0</v>
      </c>
    </row>
    <row r="746" spans="13:16">
      <c r="M746" s="49">
        <f>IF($A$4+7&gt;$B$4,"",$A$4+7)</f>
        <v>46030</v>
      </c>
      <c r="N746">
        <f>IF(M746="","",'Master Barang'!A40)</f>
        <v>0</v>
      </c>
      <c r="O746">
        <f>IF(N746="","",'Master Barang'!B40)</f>
        <v>0</v>
      </c>
      <c r="P746">
        <f>IF(OR(M746="",N746=""),"",SUMIFS('Barang Keluar'!$E:$E,'Barang Keluar'!$A:$A,M746,'Barang Keluar'!$C:$C,N746))</f>
        <v>0</v>
      </c>
    </row>
    <row r="747" spans="13:16">
      <c r="M747" s="49">
        <f>IF($A$4+7&gt;$B$4,"",$A$4+7)</f>
        <v>46030</v>
      </c>
      <c r="N747">
        <f>IF(M747="","",'Master Barang'!A41)</f>
        <v>0</v>
      </c>
      <c r="O747">
        <f>IF(N747="","",'Master Barang'!B41)</f>
        <v>0</v>
      </c>
      <c r="P747">
        <f>IF(OR(M747="",N747=""),"",SUMIFS('Barang Keluar'!$E:$E,'Barang Keluar'!$A:$A,M747,'Barang Keluar'!$C:$C,N747))</f>
        <v>0</v>
      </c>
    </row>
    <row r="748" spans="13:16">
      <c r="M748" s="49">
        <f>IF($A$4+7&gt;$B$4,"",$A$4+7)</f>
        <v>46030</v>
      </c>
      <c r="N748">
        <f>IF(M748="","",'Master Barang'!A42)</f>
        <v>0</v>
      </c>
      <c r="O748">
        <f>IF(N748="","",'Master Barang'!B42)</f>
        <v>0</v>
      </c>
      <c r="P748">
        <f>IF(OR(M748="",N748=""),"",SUMIFS('Barang Keluar'!$E:$E,'Barang Keluar'!$A:$A,M748,'Barang Keluar'!$C:$C,N748))</f>
        <v>0</v>
      </c>
    </row>
    <row r="749" spans="13:16">
      <c r="M749" s="49">
        <f>IF($A$4+7&gt;$B$4,"",$A$4+7)</f>
        <v>46030</v>
      </c>
      <c r="N749">
        <f>IF(M749="","",'Master Barang'!A43)</f>
        <v>0</v>
      </c>
      <c r="O749">
        <f>IF(N749="","",'Master Barang'!B43)</f>
        <v>0</v>
      </c>
      <c r="P749">
        <f>IF(OR(M749="",N749=""),"",SUMIFS('Barang Keluar'!$E:$E,'Barang Keluar'!$A:$A,M749,'Barang Keluar'!$C:$C,N749))</f>
        <v>0</v>
      </c>
    </row>
    <row r="750" spans="13:16">
      <c r="M750" s="49">
        <f>IF($A$4+7&gt;$B$4,"",$A$4+7)</f>
        <v>46030</v>
      </c>
      <c r="N750">
        <f>IF(M750="","",'Master Barang'!A44)</f>
        <v>0</v>
      </c>
      <c r="O750">
        <f>IF(N750="","",'Master Barang'!B44)</f>
        <v>0</v>
      </c>
      <c r="P750">
        <f>IF(OR(M750="",N750=""),"",SUMIFS('Barang Keluar'!$E:$E,'Barang Keluar'!$A:$A,M750,'Barang Keluar'!$C:$C,N750))</f>
        <v>0</v>
      </c>
    </row>
    <row r="751" spans="13:16">
      <c r="M751" s="49">
        <f>IF($A$4+7&gt;$B$4,"",$A$4+7)</f>
        <v>46030</v>
      </c>
      <c r="N751">
        <f>IF(M751="","",'Master Barang'!A45)</f>
        <v>0</v>
      </c>
      <c r="O751">
        <f>IF(N751="","",'Master Barang'!B45)</f>
        <v>0</v>
      </c>
      <c r="P751">
        <f>IF(OR(M751="",N751=""),"",SUMIFS('Barang Keluar'!$E:$E,'Barang Keluar'!$A:$A,M751,'Barang Keluar'!$C:$C,N751))</f>
        <v>0</v>
      </c>
    </row>
    <row r="752" spans="13:16">
      <c r="M752" s="49">
        <f>IF($A$4+7&gt;$B$4,"",$A$4+7)</f>
        <v>46030</v>
      </c>
      <c r="N752">
        <f>IF(M752="","",'Master Barang'!A46)</f>
        <v>0</v>
      </c>
      <c r="O752">
        <f>IF(N752="","",'Master Barang'!B46)</f>
        <v>0</v>
      </c>
      <c r="P752">
        <f>IF(OR(M752="",N752=""),"",SUMIFS('Barang Keluar'!$E:$E,'Barang Keluar'!$A:$A,M752,'Barang Keluar'!$C:$C,N752))</f>
        <v>0</v>
      </c>
    </row>
    <row r="753" spans="13:16">
      <c r="M753" s="49">
        <f>IF($A$4+7&gt;$B$4,"",$A$4+7)</f>
        <v>46030</v>
      </c>
      <c r="N753">
        <f>IF(M753="","",'Master Barang'!A47)</f>
        <v>0</v>
      </c>
      <c r="O753">
        <f>IF(N753="","",'Master Barang'!B47)</f>
        <v>0</v>
      </c>
      <c r="P753">
        <f>IF(OR(M753="",N753=""),"",SUMIFS('Barang Keluar'!$E:$E,'Barang Keluar'!$A:$A,M753,'Barang Keluar'!$C:$C,N753))</f>
        <v>0</v>
      </c>
    </row>
    <row r="754" spans="13:16">
      <c r="M754" s="49">
        <f>IF($A$4+7&gt;$B$4,"",$A$4+7)</f>
        <v>46030</v>
      </c>
      <c r="N754">
        <f>IF(M754="","",'Master Barang'!A48)</f>
        <v>0</v>
      </c>
      <c r="O754">
        <f>IF(N754="","",'Master Barang'!B48)</f>
        <v>0</v>
      </c>
      <c r="P754">
        <f>IF(OR(M754="",N754=""),"",SUMIFS('Barang Keluar'!$E:$E,'Barang Keluar'!$A:$A,M754,'Barang Keluar'!$C:$C,N754))</f>
        <v>0</v>
      </c>
    </row>
    <row r="755" spans="13:16">
      <c r="M755" s="49">
        <f>IF($A$4+7&gt;$B$4,"",$A$4+7)</f>
        <v>46030</v>
      </c>
      <c r="N755">
        <f>IF(M755="","",'Master Barang'!A49)</f>
        <v>0</v>
      </c>
      <c r="O755">
        <f>IF(N755="","",'Master Barang'!B49)</f>
        <v>0</v>
      </c>
      <c r="P755">
        <f>IF(OR(M755="",N755=""),"",SUMIFS('Barang Keluar'!$E:$E,'Barang Keluar'!$A:$A,M755,'Barang Keluar'!$C:$C,N755))</f>
        <v>0</v>
      </c>
    </row>
    <row r="756" spans="13:16">
      <c r="M756" s="49">
        <f>IF($A$4+7&gt;$B$4,"",$A$4+7)</f>
        <v>46030</v>
      </c>
      <c r="N756">
        <f>IF(M756="","",'Master Barang'!A50)</f>
        <v>0</v>
      </c>
      <c r="O756">
        <f>IF(N756="","",'Master Barang'!B50)</f>
        <v>0</v>
      </c>
      <c r="P756">
        <f>IF(OR(M756="",N756=""),"",SUMIFS('Barang Keluar'!$E:$E,'Barang Keluar'!$A:$A,M756,'Barang Keluar'!$C:$C,N756))</f>
        <v>0</v>
      </c>
    </row>
    <row r="757" spans="13:16">
      <c r="M757" s="49">
        <f>IF($A$4+7&gt;$B$4,"",$A$4+7)</f>
        <v>46030</v>
      </c>
      <c r="N757">
        <f>IF(M757="","",'Master Barang'!A51)</f>
        <v>0</v>
      </c>
      <c r="O757">
        <f>IF(N757="","",'Master Barang'!B51)</f>
        <v>0</v>
      </c>
      <c r="P757">
        <f>IF(OR(M757="",N757=""),"",SUMIFS('Barang Keluar'!$E:$E,'Barang Keluar'!$A:$A,M757,'Barang Keluar'!$C:$C,N757))</f>
        <v>0</v>
      </c>
    </row>
    <row r="758" spans="13:16">
      <c r="M758" s="49">
        <f>IF($A$4+7&gt;$B$4,"",$A$4+7)</f>
        <v>46030</v>
      </c>
      <c r="N758">
        <f>IF(M758="","",'Master Barang'!A52)</f>
        <v>0</v>
      </c>
      <c r="O758">
        <f>IF(N758="","",'Master Barang'!B52)</f>
        <v>0</v>
      </c>
      <c r="P758">
        <f>IF(OR(M758="",N758=""),"",SUMIFS('Barang Keluar'!$E:$E,'Barang Keluar'!$A:$A,M758,'Barang Keluar'!$C:$C,N758))</f>
        <v>0</v>
      </c>
    </row>
    <row r="759" spans="13:16">
      <c r="M759" s="49">
        <f>IF($A$4+7&gt;$B$4,"",$A$4+7)</f>
        <v>46030</v>
      </c>
      <c r="N759">
        <f>IF(M759="","",'Master Barang'!A53)</f>
        <v>0</v>
      </c>
      <c r="O759">
        <f>IF(N759="","",'Master Barang'!B53)</f>
        <v>0</v>
      </c>
      <c r="P759">
        <f>IF(OR(M759="",N759=""),"",SUMIFS('Barang Keluar'!$E:$E,'Barang Keluar'!$A:$A,M759,'Barang Keluar'!$C:$C,N759))</f>
        <v>0</v>
      </c>
    </row>
    <row r="760" spans="13:16">
      <c r="M760" s="49">
        <f>IF($A$4+7&gt;$B$4,"",$A$4+7)</f>
        <v>46030</v>
      </c>
      <c r="N760">
        <f>IF(M760="","",'Master Barang'!A54)</f>
        <v>0</v>
      </c>
      <c r="O760">
        <f>IF(N760="","",'Master Barang'!B54)</f>
        <v>0</v>
      </c>
      <c r="P760">
        <f>IF(OR(M760="",N760=""),"",SUMIFS('Barang Keluar'!$E:$E,'Barang Keluar'!$A:$A,M760,'Barang Keluar'!$C:$C,N760))</f>
        <v>0</v>
      </c>
    </row>
    <row r="761" spans="13:16">
      <c r="M761" s="49">
        <f>IF($A$4+7&gt;$B$4,"",$A$4+7)</f>
        <v>46030</v>
      </c>
      <c r="N761">
        <f>IF(M761="","",'Master Barang'!A55)</f>
        <v>0</v>
      </c>
      <c r="O761">
        <f>IF(N761="","",'Master Barang'!B55)</f>
        <v>0</v>
      </c>
      <c r="P761">
        <f>IF(OR(M761="",N761=""),"",SUMIFS('Barang Keluar'!$E:$E,'Barang Keluar'!$A:$A,M761,'Barang Keluar'!$C:$C,N761))</f>
        <v>0</v>
      </c>
    </row>
    <row r="762" spans="13:16">
      <c r="M762" s="49">
        <f>IF($A$4+7&gt;$B$4,"",$A$4+7)</f>
        <v>46030</v>
      </c>
      <c r="N762">
        <f>IF(M762="","",'Master Barang'!A56)</f>
        <v>0</v>
      </c>
      <c r="O762">
        <f>IF(N762="","",'Master Barang'!B56)</f>
        <v>0</v>
      </c>
      <c r="P762">
        <f>IF(OR(M762="",N762=""),"",SUMIFS('Barang Keluar'!$E:$E,'Barang Keluar'!$A:$A,M762,'Barang Keluar'!$C:$C,N762))</f>
        <v>0</v>
      </c>
    </row>
    <row r="763" spans="13:16">
      <c r="M763" s="49">
        <f>IF($A$4+7&gt;$B$4,"",$A$4+7)</f>
        <v>46030</v>
      </c>
      <c r="N763">
        <f>IF(M763="","",'Master Barang'!A57)</f>
        <v>0</v>
      </c>
      <c r="O763">
        <f>IF(N763="","",'Master Barang'!B57)</f>
        <v>0</v>
      </c>
      <c r="P763">
        <f>IF(OR(M763="",N763=""),"",SUMIFS('Barang Keluar'!$E:$E,'Barang Keluar'!$A:$A,M763,'Barang Keluar'!$C:$C,N763))</f>
        <v>0</v>
      </c>
    </row>
    <row r="764" spans="13:16">
      <c r="M764" s="49">
        <f>IF($A$4+7&gt;$B$4,"",$A$4+7)</f>
        <v>46030</v>
      </c>
      <c r="N764">
        <f>IF(M764="","",'Master Barang'!A58)</f>
        <v>0</v>
      </c>
      <c r="O764">
        <f>IF(N764="","",'Master Barang'!B58)</f>
        <v>0</v>
      </c>
      <c r="P764">
        <f>IF(OR(M764="",N764=""),"",SUMIFS('Barang Keluar'!$E:$E,'Barang Keluar'!$A:$A,M764,'Barang Keluar'!$C:$C,N764))</f>
        <v>0</v>
      </c>
    </row>
    <row r="765" spans="13:16">
      <c r="M765" s="49">
        <f>IF($A$4+7&gt;$B$4,"",$A$4+7)</f>
        <v>46030</v>
      </c>
      <c r="N765">
        <f>IF(M765="","",'Master Barang'!A59)</f>
        <v>0</v>
      </c>
      <c r="O765">
        <f>IF(N765="","",'Master Barang'!B59)</f>
        <v>0</v>
      </c>
      <c r="P765">
        <f>IF(OR(M765="",N765=""),"",SUMIFS('Barang Keluar'!$E:$E,'Barang Keluar'!$A:$A,M765,'Barang Keluar'!$C:$C,N765))</f>
        <v>0</v>
      </c>
    </row>
    <row r="766" spans="13:16">
      <c r="M766" s="49">
        <f>IF($A$4+7&gt;$B$4,"",$A$4+7)</f>
        <v>46030</v>
      </c>
      <c r="N766">
        <f>IF(M766="","",'Master Barang'!A60)</f>
        <v>0</v>
      </c>
      <c r="O766">
        <f>IF(N766="","",'Master Barang'!B60)</f>
        <v>0</v>
      </c>
      <c r="P766">
        <f>IF(OR(M766="",N766=""),"",SUMIFS('Barang Keluar'!$E:$E,'Barang Keluar'!$A:$A,M766,'Barang Keluar'!$C:$C,N766))</f>
        <v>0</v>
      </c>
    </row>
    <row r="767" spans="13:16">
      <c r="M767" s="49">
        <f>IF($A$4+7&gt;$B$4,"",$A$4+7)</f>
        <v>46030</v>
      </c>
      <c r="N767">
        <f>IF(M767="","",'Master Barang'!A61)</f>
        <v>0</v>
      </c>
      <c r="O767">
        <f>IF(N767="","",'Master Barang'!B61)</f>
        <v>0</v>
      </c>
      <c r="P767">
        <f>IF(OR(M767="",N767=""),"",SUMIFS('Barang Keluar'!$E:$E,'Barang Keluar'!$A:$A,M767,'Barang Keluar'!$C:$C,N767))</f>
        <v>0</v>
      </c>
    </row>
    <row r="768" spans="13:16">
      <c r="M768" s="49">
        <f>IF($A$4+7&gt;$B$4,"",$A$4+7)</f>
        <v>46030</v>
      </c>
      <c r="N768">
        <f>IF(M768="","",'Master Barang'!A62)</f>
        <v>0</v>
      </c>
      <c r="O768">
        <f>IF(N768="","",'Master Barang'!B62)</f>
        <v>0</v>
      </c>
      <c r="P768">
        <f>IF(OR(M768="",N768=""),"",SUMIFS('Barang Keluar'!$E:$E,'Barang Keluar'!$A:$A,M768,'Barang Keluar'!$C:$C,N768))</f>
        <v>0</v>
      </c>
    </row>
    <row r="769" spans="13:16">
      <c r="M769" s="49">
        <f>IF($A$4+7&gt;$B$4,"",$A$4+7)</f>
        <v>46030</v>
      </c>
      <c r="N769">
        <f>IF(M769="","",'Master Barang'!A63)</f>
        <v>0</v>
      </c>
      <c r="O769">
        <f>IF(N769="","",'Master Barang'!B63)</f>
        <v>0</v>
      </c>
      <c r="P769">
        <f>IF(OR(M769="",N769=""),"",SUMIFS('Barang Keluar'!$E:$E,'Barang Keluar'!$A:$A,M769,'Barang Keluar'!$C:$C,N769))</f>
        <v>0</v>
      </c>
    </row>
    <row r="770" spans="13:16">
      <c r="M770" s="49">
        <f>IF($A$4+7&gt;$B$4,"",$A$4+7)</f>
        <v>46030</v>
      </c>
      <c r="N770">
        <f>IF(M770="","",'Master Barang'!A64)</f>
        <v>0</v>
      </c>
      <c r="O770">
        <f>IF(N770="","",'Master Barang'!B64)</f>
        <v>0</v>
      </c>
      <c r="P770">
        <f>IF(OR(M770="",N770=""),"",SUMIFS('Barang Keluar'!$E:$E,'Barang Keluar'!$A:$A,M770,'Barang Keluar'!$C:$C,N770))</f>
        <v>0</v>
      </c>
    </row>
    <row r="771" spans="13:16">
      <c r="M771" s="49">
        <f>IF($A$4+7&gt;$B$4,"",$A$4+7)</f>
        <v>46030</v>
      </c>
      <c r="N771">
        <f>IF(M771="","",'Master Barang'!A65)</f>
        <v>0</v>
      </c>
      <c r="O771">
        <f>IF(N771="","",'Master Barang'!B65)</f>
        <v>0</v>
      </c>
      <c r="P771">
        <f>IF(OR(M771="",N771=""),"",SUMIFS('Barang Keluar'!$E:$E,'Barang Keluar'!$A:$A,M771,'Barang Keluar'!$C:$C,N771))</f>
        <v>0</v>
      </c>
    </row>
    <row r="772" spans="13:16">
      <c r="M772" s="49">
        <f>IF($A$4+7&gt;$B$4,"",$A$4+7)</f>
        <v>46030</v>
      </c>
      <c r="N772">
        <f>IF(M772="","",'Master Barang'!A66)</f>
        <v>0</v>
      </c>
      <c r="O772">
        <f>IF(N772="","",'Master Barang'!B66)</f>
        <v>0</v>
      </c>
      <c r="P772">
        <f>IF(OR(M772="",N772=""),"",SUMIFS('Barang Keluar'!$E:$E,'Barang Keluar'!$A:$A,M772,'Barang Keluar'!$C:$C,N772))</f>
        <v>0</v>
      </c>
    </row>
    <row r="773" spans="13:16">
      <c r="M773" s="49">
        <f>IF($A$4+7&gt;$B$4,"",$A$4+7)</f>
        <v>46030</v>
      </c>
      <c r="N773">
        <f>IF(M773="","",'Master Barang'!A67)</f>
        <v>0</v>
      </c>
      <c r="O773">
        <f>IF(N773="","",'Master Barang'!B67)</f>
        <v>0</v>
      </c>
      <c r="P773">
        <f>IF(OR(M773="",N773=""),"",SUMIFS('Barang Keluar'!$E:$E,'Barang Keluar'!$A:$A,M773,'Barang Keluar'!$C:$C,N773))</f>
        <v>0</v>
      </c>
    </row>
    <row r="774" spans="13:16">
      <c r="M774" s="49">
        <f>IF($A$4+7&gt;$B$4,"",$A$4+7)</f>
        <v>46030</v>
      </c>
      <c r="N774">
        <f>IF(M774="","",'Master Barang'!A68)</f>
        <v>0</v>
      </c>
      <c r="O774">
        <f>IF(N774="","",'Master Barang'!B68)</f>
        <v>0</v>
      </c>
      <c r="P774">
        <f>IF(OR(M774="",N774=""),"",SUMIFS('Barang Keluar'!$E:$E,'Barang Keluar'!$A:$A,M774,'Barang Keluar'!$C:$C,N774))</f>
        <v>0</v>
      </c>
    </row>
    <row r="775" spans="13:16">
      <c r="M775" s="49">
        <f>IF($A$4+7&gt;$B$4,"",$A$4+7)</f>
        <v>46030</v>
      </c>
      <c r="N775">
        <f>IF(M775="","",'Master Barang'!A69)</f>
        <v>0</v>
      </c>
      <c r="O775">
        <f>IF(N775="","",'Master Barang'!B69)</f>
        <v>0</v>
      </c>
      <c r="P775">
        <f>IF(OR(M775="",N775=""),"",SUMIFS('Barang Keluar'!$E:$E,'Barang Keluar'!$A:$A,M775,'Barang Keluar'!$C:$C,N775))</f>
        <v>0</v>
      </c>
    </row>
    <row r="776" spans="13:16">
      <c r="M776" s="49">
        <f>IF($A$4+7&gt;$B$4,"",$A$4+7)</f>
        <v>46030</v>
      </c>
      <c r="N776">
        <f>IF(M776="","",'Master Barang'!A70)</f>
        <v>0</v>
      </c>
      <c r="O776">
        <f>IF(N776="","",'Master Barang'!B70)</f>
        <v>0</v>
      </c>
      <c r="P776">
        <f>IF(OR(M776="",N776=""),"",SUMIFS('Barang Keluar'!$E:$E,'Barang Keluar'!$A:$A,M776,'Barang Keluar'!$C:$C,N776))</f>
        <v>0</v>
      </c>
    </row>
    <row r="777" spans="13:16">
      <c r="M777" s="49">
        <f>IF($A$4+7&gt;$B$4,"",$A$4+7)</f>
        <v>46030</v>
      </c>
      <c r="N777">
        <f>IF(M777="","",'Master Barang'!A71)</f>
        <v>0</v>
      </c>
      <c r="O777">
        <f>IF(N777="","",'Master Barang'!B71)</f>
        <v>0</v>
      </c>
      <c r="P777">
        <f>IF(OR(M777="",N777=""),"",SUMIFS('Barang Keluar'!$E:$E,'Barang Keluar'!$A:$A,M777,'Barang Keluar'!$C:$C,N777))</f>
        <v>0</v>
      </c>
    </row>
    <row r="778" spans="13:16">
      <c r="M778" s="49">
        <f>IF($A$4+7&gt;$B$4,"",$A$4+7)</f>
        <v>46030</v>
      </c>
      <c r="N778">
        <f>IF(M778="","",'Master Barang'!A72)</f>
        <v>0</v>
      </c>
      <c r="O778">
        <f>IF(N778="","",'Master Barang'!B72)</f>
        <v>0</v>
      </c>
      <c r="P778">
        <f>IF(OR(M778="",N778=""),"",SUMIFS('Barang Keluar'!$E:$E,'Barang Keluar'!$A:$A,M778,'Barang Keluar'!$C:$C,N778))</f>
        <v>0</v>
      </c>
    </row>
    <row r="779" spans="13:16">
      <c r="M779" s="49">
        <f>IF($A$4+7&gt;$B$4,"",$A$4+7)</f>
        <v>46030</v>
      </c>
      <c r="N779">
        <f>IF(M779="","",'Master Barang'!A73)</f>
        <v>0</v>
      </c>
      <c r="O779">
        <f>IF(N779="","",'Master Barang'!B73)</f>
        <v>0</v>
      </c>
      <c r="P779">
        <f>IF(OR(M779="",N779=""),"",SUMIFS('Barang Keluar'!$E:$E,'Barang Keluar'!$A:$A,M779,'Barang Keluar'!$C:$C,N779))</f>
        <v>0</v>
      </c>
    </row>
    <row r="780" spans="13:16">
      <c r="M780" s="49">
        <f>IF($A$4+7&gt;$B$4,"",$A$4+7)</f>
        <v>46030</v>
      </c>
      <c r="N780">
        <f>IF(M780="","",'Master Barang'!A74)</f>
        <v>0</v>
      </c>
      <c r="O780">
        <f>IF(N780="","",'Master Barang'!B74)</f>
        <v>0</v>
      </c>
      <c r="P780">
        <f>IF(OR(M780="",N780=""),"",SUMIFS('Barang Keluar'!$E:$E,'Barang Keluar'!$A:$A,M780,'Barang Keluar'!$C:$C,N780))</f>
        <v>0</v>
      </c>
    </row>
    <row r="781" spans="13:16">
      <c r="M781" s="49">
        <f>IF($A$4+7&gt;$B$4,"",$A$4+7)</f>
        <v>46030</v>
      </c>
      <c r="N781">
        <f>IF(M781="","",'Master Barang'!A75)</f>
        <v>0</v>
      </c>
      <c r="O781">
        <f>IF(N781="","",'Master Barang'!B75)</f>
        <v>0</v>
      </c>
      <c r="P781">
        <f>IF(OR(M781="",N781=""),"",SUMIFS('Barang Keluar'!$E:$E,'Barang Keluar'!$A:$A,M781,'Barang Keluar'!$C:$C,N781))</f>
        <v>0</v>
      </c>
    </row>
    <row r="782" spans="13:16">
      <c r="M782" s="49">
        <f>IF($A$4+7&gt;$B$4,"",$A$4+7)</f>
        <v>46030</v>
      </c>
      <c r="N782">
        <f>IF(M782="","",'Master Barang'!A76)</f>
        <v>0</v>
      </c>
      <c r="O782">
        <f>IF(N782="","",'Master Barang'!B76)</f>
        <v>0</v>
      </c>
      <c r="P782">
        <f>IF(OR(M782="",N782=""),"",SUMIFS('Barang Keluar'!$E:$E,'Barang Keluar'!$A:$A,M782,'Barang Keluar'!$C:$C,N782))</f>
        <v>0</v>
      </c>
    </row>
    <row r="783" spans="13:16">
      <c r="M783" s="49">
        <f>IF($A$4+7&gt;$B$4,"",$A$4+7)</f>
        <v>46030</v>
      </c>
      <c r="N783">
        <f>IF(M783="","",'Master Barang'!A77)</f>
        <v>0</v>
      </c>
      <c r="O783">
        <f>IF(N783="","",'Master Barang'!B77)</f>
        <v>0</v>
      </c>
      <c r="P783">
        <f>IF(OR(M783="",N783=""),"",SUMIFS('Barang Keluar'!$E:$E,'Barang Keluar'!$A:$A,M783,'Barang Keluar'!$C:$C,N783))</f>
        <v>0</v>
      </c>
    </row>
    <row r="784" spans="13:16">
      <c r="M784" s="49">
        <f>IF($A$4+7&gt;$B$4,"",$A$4+7)</f>
        <v>46030</v>
      </c>
      <c r="N784">
        <f>IF(M784="","",'Master Barang'!A78)</f>
        <v>0</v>
      </c>
      <c r="O784">
        <f>IF(N784="","",'Master Barang'!B78)</f>
        <v>0</v>
      </c>
      <c r="P784">
        <f>IF(OR(M784="",N784=""),"",SUMIFS('Barang Keluar'!$E:$E,'Barang Keluar'!$A:$A,M784,'Barang Keluar'!$C:$C,N784))</f>
        <v>0</v>
      </c>
    </row>
    <row r="785" spans="13:16">
      <c r="M785" s="49">
        <f>IF($A$4+7&gt;$B$4,"",$A$4+7)</f>
        <v>46030</v>
      </c>
      <c r="N785">
        <f>IF(M785="","",'Master Barang'!A79)</f>
        <v>0</v>
      </c>
      <c r="O785">
        <f>IF(N785="","",'Master Barang'!B79)</f>
        <v>0</v>
      </c>
      <c r="P785">
        <f>IF(OR(M785="",N785=""),"",SUMIFS('Barang Keluar'!$E:$E,'Barang Keluar'!$A:$A,M785,'Barang Keluar'!$C:$C,N785))</f>
        <v>0</v>
      </c>
    </row>
    <row r="786" spans="13:16">
      <c r="M786" s="49">
        <f>IF($A$4+7&gt;$B$4,"",$A$4+7)</f>
        <v>46030</v>
      </c>
      <c r="N786">
        <f>IF(M786="","",'Master Barang'!A80)</f>
        <v>0</v>
      </c>
      <c r="O786">
        <f>IF(N786="","",'Master Barang'!B80)</f>
        <v>0</v>
      </c>
      <c r="P786">
        <f>IF(OR(M786="",N786=""),"",SUMIFS('Barang Keluar'!$E:$E,'Barang Keluar'!$A:$A,M786,'Barang Keluar'!$C:$C,N786))</f>
        <v>0</v>
      </c>
    </row>
    <row r="787" spans="13:16">
      <c r="M787" s="49">
        <f>IF($A$4+7&gt;$B$4,"",$A$4+7)</f>
        <v>46030</v>
      </c>
      <c r="N787">
        <f>IF(M787="","",'Master Barang'!A81)</f>
        <v>0</v>
      </c>
      <c r="O787">
        <f>IF(N787="","",'Master Barang'!B81)</f>
        <v>0</v>
      </c>
      <c r="P787">
        <f>IF(OR(M787="",N787=""),"",SUMIFS('Barang Keluar'!$E:$E,'Barang Keluar'!$A:$A,M787,'Barang Keluar'!$C:$C,N787))</f>
        <v>0</v>
      </c>
    </row>
    <row r="788" spans="13:16">
      <c r="M788" s="49">
        <f>IF($A$4+7&gt;$B$4,"",$A$4+7)</f>
        <v>46030</v>
      </c>
      <c r="N788">
        <f>IF(M788="","",'Master Barang'!A82)</f>
        <v>0</v>
      </c>
      <c r="O788">
        <f>IF(N788="","",'Master Barang'!B82)</f>
        <v>0</v>
      </c>
      <c r="P788">
        <f>IF(OR(M788="",N788=""),"",SUMIFS('Barang Keluar'!$E:$E,'Barang Keluar'!$A:$A,M788,'Barang Keluar'!$C:$C,N788))</f>
        <v>0</v>
      </c>
    </row>
    <row r="789" spans="13:16">
      <c r="M789" s="49">
        <f>IF($A$4+7&gt;$B$4,"",$A$4+7)</f>
        <v>46030</v>
      </c>
      <c r="N789">
        <f>IF(M789="","",'Master Barang'!A83)</f>
        <v>0</v>
      </c>
      <c r="O789">
        <f>IF(N789="","",'Master Barang'!B83)</f>
        <v>0</v>
      </c>
      <c r="P789">
        <f>IF(OR(M789="",N789=""),"",SUMIFS('Barang Keluar'!$E:$E,'Barang Keluar'!$A:$A,M789,'Barang Keluar'!$C:$C,N789))</f>
        <v>0</v>
      </c>
    </row>
    <row r="790" spans="13:16">
      <c r="M790" s="49">
        <f>IF($A$4+7&gt;$B$4,"",$A$4+7)</f>
        <v>46030</v>
      </c>
      <c r="N790">
        <f>IF(M790="","",'Master Barang'!A84)</f>
        <v>0</v>
      </c>
      <c r="O790">
        <f>IF(N790="","",'Master Barang'!B84)</f>
        <v>0</v>
      </c>
      <c r="P790">
        <f>IF(OR(M790="",N790=""),"",SUMIFS('Barang Keluar'!$E:$E,'Barang Keluar'!$A:$A,M790,'Barang Keluar'!$C:$C,N790))</f>
        <v>0</v>
      </c>
    </row>
    <row r="791" spans="13:16">
      <c r="M791" s="49">
        <f>IF($A$4+7&gt;$B$4,"",$A$4+7)</f>
        <v>46030</v>
      </c>
      <c r="N791">
        <f>IF(M791="","",'Master Barang'!A85)</f>
        <v>0</v>
      </c>
      <c r="O791">
        <f>IF(N791="","",'Master Barang'!B85)</f>
        <v>0</v>
      </c>
      <c r="P791">
        <f>IF(OR(M791="",N791=""),"",SUMIFS('Barang Keluar'!$E:$E,'Barang Keluar'!$A:$A,M791,'Barang Keluar'!$C:$C,N791))</f>
        <v>0</v>
      </c>
    </row>
    <row r="792" spans="13:16">
      <c r="M792" s="49">
        <f>IF($A$4+7&gt;$B$4,"",$A$4+7)</f>
        <v>46030</v>
      </c>
      <c r="N792">
        <f>IF(M792="","",'Master Barang'!A86)</f>
        <v>0</v>
      </c>
      <c r="O792">
        <f>IF(N792="","",'Master Barang'!B86)</f>
        <v>0</v>
      </c>
      <c r="P792">
        <f>IF(OR(M792="",N792=""),"",SUMIFS('Barang Keluar'!$E:$E,'Barang Keluar'!$A:$A,M792,'Barang Keluar'!$C:$C,N792))</f>
        <v>0</v>
      </c>
    </row>
    <row r="793" spans="13:16">
      <c r="M793" s="49">
        <f>IF($A$4+7&gt;$B$4,"",$A$4+7)</f>
        <v>46030</v>
      </c>
      <c r="N793">
        <f>IF(M793="","",'Master Barang'!A87)</f>
        <v>0</v>
      </c>
      <c r="O793">
        <f>IF(N793="","",'Master Barang'!B87)</f>
        <v>0</v>
      </c>
      <c r="P793">
        <f>IF(OR(M793="",N793=""),"",SUMIFS('Barang Keluar'!$E:$E,'Barang Keluar'!$A:$A,M793,'Barang Keluar'!$C:$C,N793))</f>
        <v>0</v>
      </c>
    </row>
    <row r="794" spans="13:16">
      <c r="M794" s="49">
        <f>IF($A$4+7&gt;$B$4,"",$A$4+7)</f>
        <v>46030</v>
      </c>
      <c r="N794">
        <f>IF(M794="","",'Master Barang'!A88)</f>
        <v>0</v>
      </c>
      <c r="O794">
        <f>IF(N794="","",'Master Barang'!B88)</f>
        <v>0</v>
      </c>
      <c r="P794">
        <f>IF(OR(M794="",N794=""),"",SUMIFS('Barang Keluar'!$E:$E,'Barang Keluar'!$A:$A,M794,'Barang Keluar'!$C:$C,N794))</f>
        <v>0</v>
      </c>
    </row>
    <row r="795" spans="13:16">
      <c r="M795" s="49">
        <f>IF($A$4+7&gt;$B$4,"",$A$4+7)</f>
        <v>46030</v>
      </c>
      <c r="N795">
        <f>IF(M795="","",'Master Barang'!A89)</f>
        <v>0</v>
      </c>
      <c r="O795">
        <f>IF(N795="","",'Master Barang'!B89)</f>
        <v>0</v>
      </c>
      <c r="P795">
        <f>IF(OR(M795="",N795=""),"",SUMIFS('Barang Keluar'!$E:$E,'Barang Keluar'!$A:$A,M795,'Barang Keluar'!$C:$C,N795))</f>
        <v>0</v>
      </c>
    </row>
    <row r="796" spans="13:16">
      <c r="M796" s="49">
        <f>IF($A$4+7&gt;$B$4,"",$A$4+7)</f>
        <v>46030</v>
      </c>
      <c r="N796">
        <f>IF(M796="","",'Master Barang'!A90)</f>
        <v>0</v>
      </c>
      <c r="O796">
        <f>IF(N796="","",'Master Barang'!B90)</f>
        <v>0</v>
      </c>
      <c r="P796">
        <f>IF(OR(M796="",N796=""),"",SUMIFS('Barang Keluar'!$E:$E,'Barang Keluar'!$A:$A,M796,'Barang Keluar'!$C:$C,N796))</f>
        <v>0</v>
      </c>
    </row>
    <row r="797" spans="13:16">
      <c r="M797" s="49">
        <f>IF($A$4+7&gt;$B$4,"",$A$4+7)</f>
        <v>46030</v>
      </c>
      <c r="N797">
        <f>IF(M797="","",'Master Barang'!A91)</f>
        <v>0</v>
      </c>
      <c r="O797">
        <f>IF(N797="","",'Master Barang'!B91)</f>
        <v>0</v>
      </c>
      <c r="P797">
        <f>IF(OR(M797="",N797=""),"",SUMIFS('Barang Keluar'!$E:$E,'Barang Keluar'!$A:$A,M797,'Barang Keluar'!$C:$C,N797))</f>
        <v>0</v>
      </c>
    </row>
    <row r="798" spans="13:16">
      <c r="M798" s="49">
        <f>IF($A$4+7&gt;$B$4,"",$A$4+7)</f>
        <v>46030</v>
      </c>
      <c r="N798">
        <f>IF(M798="","",'Master Barang'!A92)</f>
        <v>0</v>
      </c>
      <c r="O798">
        <f>IF(N798="","",'Master Barang'!B92)</f>
        <v>0</v>
      </c>
      <c r="P798">
        <f>IF(OR(M798="",N798=""),"",SUMIFS('Barang Keluar'!$E:$E,'Barang Keluar'!$A:$A,M798,'Barang Keluar'!$C:$C,N798))</f>
        <v>0</v>
      </c>
    </row>
    <row r="799" spans="13:16">
      <c r="M799" s="49">
        <f>IF($A$4+7&gt;$B$4,"",$A$4+7)</f>
        <v>46030</v>
      </c>
      <c r="N799">
        <f>IF(M799="","",'Master Barang'!A93)</f>
        <v>0</v>
      </c>
      <c r="O799">
        <f>IF(N799="","",'Master Barang'!B93)</f>
        <v>0</v>
      </c>
      <c r="P799">
        <f>IF(OR(M799="",N799=""),"",SUMIFS('Barang Keluar'!$E:$E,'Barang Keluar'!$A:$A,M799,'Barang Keluar'!$C:$C,N799))</f>
        <v>0</v>
      </c>
    </row>
    <row r="800" spans="13:16">
      <c r="M800" s="49">
        <f>IF($A$4+7&gt;$B$4,"",$A$4+7)</f>
        <v>46030</v>
      </c>
      <c r="N800">
        <f>IF(M800="","",'Master Barang'!A94)</f>
        <v>0</v>
      </c>
      <c r="O800">
        <f>IF(N800="","",'Master Barang'!B94)</f>
        <v>0</v>
      </c>
      <c r="P800">
        <f>IF(OR(M800="",N800=""),"",SUMIFS('Barang Keluar'!$E:$E,'Barang Keluar'!$A:$A,M800,'Barang Keluar'!$C:$C,N800))</f>
        <v>0</v>
      </c>
    </row>
    <row r="801" spans="13:16">
      <c r="M801" s="49">
        <f>IF($A$4+7&gt;$B$4,"",$A$4+7)</f>
        <v>46030</v>
      </c>
      <c r="N801">
        <f>IF(M801="","",'Master Barang'!A95)</f>
        <v>0</v>
      </c>
      <c r="O801">
        <f>IF(N801="","",'Master Barang'!B95)</f>
        <v>0</v>
      </c>
      <c r="P801">
        <f>IF(OR(M801="",N801=""),"",SUMIFS('Barang Keluar'!$E:$E,'Barang Keluar'!$A:$A,M801,'Barang Keluar'!$C:$C,N801))</f>
        <v>0</v>
      </c>
    </row>
    <row r="802" spans="13:16">
      <c r="M802" s="49">
        <f>IF($A$4+7&gt;$B$4,"",$A$4+7)</f>
        <v>46030</v>
      </c>
      <c r="N802">
        <f>IF(M802="","",'Master Barang'!A96)</f>
        <v>0</v>
      </c>
      <c r="O802">
        <f>IF(N802="","",'Master Barang'!B96)</f>
        <v>0</v>
      </c>
      <c r="P802">
        <f>IF(OR(M802="",N802=""),"",SUMIFS('Barang Keluar'!$E:$E,'Barang Keluar'!$A:$A,M802,'Barang Keluar'!$C:$C,N802))</f>
        <v>0</v>
      </c>
    </row>
    <row r="803" spans="13:16">
      <c r="M803" s="49">
        <f>IF($A$4+7&gt;$B$4,"",$A$4+7)</f>
        <v>46030</v>
      </c>
      <c r="N803">
        <f>IF(M803="","",'Master Barang'!A97)</f>
        <v>0</v>
      </c>
      <c r="O803">
        <f>IF(N803="","",'Master Barang'!B97)</f>
        <v>0</v>
      </c>
      <c r="P803">
        <f>IF(OR(M803="",N803=""),"",SUMIFS('Barang Keluar'!$E:$E,'Barang Keluar'!$A:$A,M803,'Barang Keluar'!$C:$C,N803))</f>
        <v>0</v>
      </c>
    </row>
    <row r="804" spans="13:16">
      <c r="M804" s="49">
        <f>IF($A$4+7&gt;$B$4,"",$A$4+7)</f>
        <v>46030</v>
      </c>
      <c r="N804">
        <f>IF(M804="","",'Master Barang'!A98)</f>
        <v>0</v>
      </c>
      <c r="O804">
        <f>IF(N804="","",'Master Barang'!B98)</f>
        <v>0</v>
      </c>
      <c r="P804">
        <f>IF(OR(M804="",N804=""),"",SUMIFS('Barang Keluar'!$E:$E,'Barang Keluar'!$A:$A,M804,'Barang Keluar'!$C:$C,N804))</f>
        <v>0</v>
      </c>
    </row>
    <row r="805" spans="13:16">
      <c r="M805" s="49">
        <f>IF($A$4+7&gt;$B$4,"",$A$4+7)</f>
        <v>46030</v>
      </c>
      <c r="N805">
        <f>IF(M805="","",'Master Barang'!A99)</f>
        <v>0</v>
      </c>
      <c r="O805">
        <f>IF(N805="","",'Master Barang'!B99)</f>
        <v>0</v>
      </c>
      <c r="P805">
        <f>IF(OR(M805="",N805=""),"",SUMIFS('Barang Keluar'!$E:$E,'Barang Keluar'!$A:$A,M805,'Barang Keluar'!$C:$C,N805))</f>
        <v>0</v>
      </c>
    </row>
    <row r="806" spans="13:16">
      <c r="M806" s="49">
        <f>IF($A$4+7&gt;$B$4,"",$A$4+7)</f>
        <v>46030</v>
      </c>
      <c r="N806">
        <f>IF(M806="","",'Master Barang'!A100)</f>
        <v>0</v>
      </c>
      <c r="O806">
        <f>IF(N806="","",'Master Barang'!B100)</f>
        <v>0</v>
      </c>
      <c r="P806">
        <f>IF(OR(M806="",N806=""),"",SUMIFS('Barang Keluar'!$E:$E,'Barang Keluar'!$A:$A,M806,'Barang Keluar'!$C:$C,N806))</f>
        <v>0</v>
      </c>
    </row>
    <row r="807" spans="13:16">
      <c r="M807" s="49">
        <f>IF($A$4+7&gt;$B$4,"",$A$4+7)</f>
        <v>46030</v>
      </c>
      <c r="N807">
        <f>IF(M807="","",'Master Barang'!A101)</f>
        <v>0</v>
      </c>
      <c r="O807">
        <f>IF(N807="","",'Master Barang'!B101)</f>
        <v>0</v>
      </c>
      <c r="P807">
        <f>IF(OR(M807="",N807=""),"",SUMIFS('Barang Keluar'!$E:$E,'Barang Keluar'!$A:$A,M807,'Barang Keluar'!$C:$C,N807))</f>
        <v>0</v>
      </c>
    </row>
    <row r="808" spans="13:16">
      <c r="M808" s="49">
        <f>IF($A$4+8&gt;$B$4,"",$A$4+8)</f>
        <v>46031</v>
      </c>
      <c r="N808" t="str">
        <f>IF(M808="","",'Master Barang'!A2)</f>
        <v>PRL-001</v>
      </c>
      <c r="O808" t="str">
        <f>IF(N808="","",'Master Barang'!B2)</f>
        <v>natura desinfectant food grade 5l</v>
      </c>
      <c r="P808">
        <f>IF(OR(M808="",N808=""),"",SUMIFS('Barang Keluar'!$E:$E,'Barang Keluar'!$A:$A,M808,'Barang Keluar'!$C:$C,N808))</f>
        <v>0</v>
      </c>
    </row>
    <row r="809" spans="13:16">
      <c r="M809" s="49">
        <f>IF($A$4+8&gt;$B$4,"",$A$4+8)</f>
        <v>46031</v>
      </c>
      <c r="N809" t="str">
        <f>IF(M809="","",'Master Barang'!A3)</f>
        <v>PRL-002</v>
      </c>
      <c r="O809" t="str">
        <f>IF(N809="","",'Master Barang'!B3)</f>
        <v>sunlight cairan pencuci piring 5l</v>
      </c>
      <c r="P809">
        <f>IF(OR(M809="",N809=""),"",SUMIFS('Barang Keluar'!$E:$E,'Barang Keluar'!$A:$A,M809,'Barang Keluar'!$C:$C,N809))</f>
        <v>0</v>
      </c>
    </row>
    <row r="810" spans="13:16">
      <c r="M810" s="49">
        <f>IF($A$4+8&gt;$B$4,"",$A$4+8)</f>
        <v>46031</v>
      </c>
      <c r="N810" t="str">
        <f>IF(M810="","",'Master Barang'!A4)</f>
        <v>PRL-003</v>
      </c>
      <c r="O810" t="str">
        <f>IF(N810="","",'Master Barang'!B4)</f>
        <v>oixs cleaner 1l</v>
      </c>
      <c r="P810">
        <f>IF(OR(M810="",N810=""),"",SUMIFS('Barang Keluar'!$E:$E,'Barang Keluar'!$A:$A,M810,'Barang Keluar'!$C:$C,N810))</f>
        <v>0</v>
      </c>
    </row>
    <row r="811" spans="13:16">
      <c r="M811" s="49">
        <f>IF($A$4+8&gt;$B$4,"",$A$4+8)</f>
        <v>46031</v>
      </c>
      <c r="N811" t="str">
        <f>IF(M811="","",'Master Barang'!A5)</f>
        <v>PRL-004</v>
      </c>
      <c r="O811" t="str">
        <f>IF(N811="","",'Master Barang'!B5)</f>
        <v>be clean tissue serbaguna</v>
      </c>
      <c r="P811">
        <f>IF(OR(M811="",N811=""),"",SUMIFS('Barang Keluar'!$E:$E,'Barang Keluar'!$A:$A,M811,'Barang Keluar'!$C:$C,N811))</f>
        <v>0</v>
      </c>
    </row>
    <row r="812" spans="13:16">
      <c r="M812" s="49">
        <f>IF($A$4+8&gt;$B$4,"",$A$4+8)</f>
        <v>46031</v>
      </c>
      <c r="N812" t="str">
        <f>IF(M812="","",'Master Barang'!A6)</f>
        <v>PRL-005</v>
      </c>
      <c r="O812" t="str">
        <f>IF(N812="","",'Master Barang'!B6)</f>
        <v>spons cuci hijau</v>
      </c>
      <c r="P812">
        <f>IF(OR(M812="",N812=""),"",SUMIFS('Barang Keluar'!$E:$E,'Barang Keluar'!$A:$A,M812,'Barang Keluar'!$C:$C,N812))</f>
        <v>0</v>
      </c>
    </row>
    <row r="813" spans="13:16">
      <c r="M813" s="49">
        <f>IF($A$4+8&gt;$B$4,"",$A$4+8)</f>
        <v>46031</v>
      </c>
      <c r="N813" t="str">
        <f>IF(M813="","",'Master Barang'!A7)</f>
        <v>PRL-006</v>
      </c>
      <c r="O813" t="str">
        <f>IF(N813="","",'Master Barang'!B7)</f>
        <v>sabut cuci stainless</v>
      </c>
      <c r="P813">
        <f>IF(OR(M813="",N813=""),"",SUMIFS('Barang Keluar'!$E:$E,'Barang Keluar'!$A:$A,M813,'Barang Keluar'!$C:$C,N813))</f>
        <v>0</v>
      </c>
    </row>
    <row r="814" spans="13:16">
      <c r="M814" s="49">
        <f>IF($A$4+8&gt;$B$4,"",$A$4+8)</f>
        <v>46031</v>
      </c>
      <c r="N814" t="str">
        <f>IF(M814="","",'Master Barang'!A8)</f>
        <v>PRL-007</v>
      </c>
      <c r="O814" t="str">
        <f>IF(N814="","",'Master Barang'!B8)</f>
        <v>plastik kresek besar merah 50pc</v>
      </c>
      <c r="P814">
        <f>IF(OR(M814="",N814=""),"",SUMIFS('Barang Keluar'!$E:$E,'Barang Keluar'!$A:$A,M814,'Barang Keluar'!$C:$C,N814))</f>
        <v>0</v>
      </c>
    </row>
    <row r="815" spans="13:16">
      <c r="M815" s="49">
        <f>IF($A$4+8&gt;$B$4,"",$A$4+8)</f>
        <v>46031</v>
      </c>
      <c r="N815" t="str">
        <f>IF(M815="","",'Master Barang'!A9)</f>
        <v>PRL-008</v>
      </c>
      <c r="O815" t="str">
        <f>IF(N815="","",'Master Barang'!B9)</f>
        <v>lap besar</v>
      </c>
      <c r="P815">
        <f>IF(OR(M815="",N815=""),"",SUMIFS('Barang Keluar'!$E:$E,'Barang Keluar'!$A:$A,M815,'Barang Keluar'!$C:$C,N815))</f>
        <v>0</v>
      </c>
    </row>
    <row r="816" spans="13:16">
      <c r="M816" s="49">
        <f>IF($A$4+8&gt;$B$4,"",$A$4+8)</f>
        <v>46031</v>
      </c>
      <c r="N816" t="str">
        <f>IF(M816="","",'Master Barang'!A10)</f>
        <v>PRL-009</v>
      </c>
      <c r="O816" t="str">
        <f>IF(N816="","",'Master Barang'!B10)</f>
        <v>lap microfiber</v>
      </c>
      <c r="P816">
        <f>IF(OR(M816="",N816=""),"",SUMIFS('Barang Keluar'!$E:$E,'Barang Keluar'!$A:$A,M816,'Barang Keluar'!$C:$C,N816))</f>
        <v>0</v>
      </c>
    </row>
    <row r="817" spans="13:16">
      <c r="M817" s="49">
        <f>IF($A$4+8&gt;$B$4,"",$A$4+8)</f>
        <v>46031</v>
      </c>
      <c r="N817" t="str">
        <f>IF(M817="","",'Master Barang'!A11)</f>
        <v>PRL-010</v>
      </c>
      <c r="O817" t="str">
        <f>IF(N817="","",'Master Barang'!B11)</f>
        <v>lap kecil</v>
      </c>
      <c r="P817">
        <f>IF(OR(M817="",N817=""),"",SUMIFS('Barang Keluar'!$E:$E,'Barang Keluar'!$A:$A,M817,'Barang Keluar'!$C:$C,N817))</f>
        <v>0</v>
      </c>
    </row>
    <row r="818" spans="13:16">
      <c r="M818" s="49">
        <f>IF($A$4+8&gt;$B$4,"",$A$4+8)</f>
        <v>46031</v>
      </c>
      <c r="N818" t="str">
        <f>IF(M818="","",'Master Barang'!A12)</f>
        <v>PRL-011</v>
      </c>
      <c r="O818" t="str">
        <f>IF(N818="","",'Master Barang'!B12)</f>
        <v>kanebo kecil</v>
      </c>
      <c r="P818">
        <f>IF(OR(M818="",N818=""),"",SUMIFS('Barang Keluar'!$E:$E,'Barang Keluar'!$A:$A,M818,'Barang Keluar'!$C:$C,N818))</f>
        <v>0</v>
      </c>
    </row>
    <row r="819" spans="13:16">
      <c r="M819" s="49">
        <f>IF($A$4+8&gt;$B$4,"",$A$4+8)</f>
        <v>46031</v>
      </c>
      <c r="N819" t="str">
        <f>IF(M819="","",'Master Barang'!A13)</f>
        <v>PRL-012</v>
      </c>
      <c r="O819" t="str">
        <f>IF(N819="","",'Master Barang'!B13)</f>
        <v>plastik 1/4kg joyoboyo 100 lembar</v>
      </c>
      <c r="P819">
        <f>IF(OR(M819="",N819=""),"",SUMIFS('Barang Keluar'!$E:$E,'Barang Keluar'!$A:$A,M819,'Barang Keluar'!$C:$C,N819))</f>
        <v>0</v>
      </c>
    </row>
    <row r="820" spans="13:16">
      <c r="M820" s="49">
        <f>IF($A$4+8&gt;$B$4,"",$A$4+8)</f>
        <v>46031</v>
      </c>
      <c r="N820" t="str">
        <f>IF(M820="","",'Master Barang'!A14)</f>
        <v>PRL-013</v>
      </c>
      <c r="O820" t="str">
        <f>IF(N820="","",'Master Barang'!B14)</f>
        <v>sarung tangan plastik kaka 100 pcs</v>
      </c>
      <c r="P820">
        <f>IF(OR(M820="",N820=""),"",SUMIFS('Barang Keluar'!$E:$E,'Barang Keluar'!$A:$A,M820,'Barang Keluar'!$C:$C,N820))</f>
        <v>0</v>
      </c>
    </row>
    <row r="821" spans="13:16">
      <c r="M821" s="49">
        <f>IF($A$4+8&gt;$B$4,"",$A$4+8)</f>
        <v>46031</v>
      </c>
      <c r="N821" t="str">
        <f>IF(M821="","",'Master Barang'!A15)</f>
        <v>PRL-014</v>
      </c>
      <c r="O821" t="str">
        <f>IF(N821="","",'Master Barang'!B15)</f>
        <v>optima trashbag 80x100</v>
      </c>
      <c r="P821">
        <f>IF(OR(M821="",N821=""),"",SUMIFS('Barang Keluar'!$E:$E,'Barang Keluar'!$A:$A,M821,'Barang Keluar'!$C:$C,N821))</f>
        <v>0</v>
      </c>
    </row>
    <row r="822" spans="13:16">
      <c r="M822" s="49">
        <f>IF($A$4+8&gt;$B$4,"",$A$4+8)</f>
        <v>46031</v>
      </c>
      <c r="N822" t="str">
        <f>IF(M822="","",'Master Barang'!A16)</f>
        <v>PRL-015</v>
      </c>
      <c r="O822" t="str">
        <f>IF(N822="","",'Master Barang'!B16)</f>
        <v>optima trashbag 60x100</v>
      </c>
      <c r="P822">
        <f>IF(OR(M822="",N822=""),"",SUMIFS('Barang Keluar'!$E:$E,'Barang Keluar'!$A:$A,M822,'Barang Keluar'!$C:$C,N822))</f>
        <v>0</v>
      </c>
    </row>
    <row r="823" spans="13:16">
      <c r="M823" s="49">
        <f>IF($A$4+8&gt;$B$4,"",$A$4+8)</f>
        <v>46031</v>
      </c>
      <c r="N823" t="str">
        <f>IF(M823="","",'Master Barang'!A17)</f>
        <v>PRL-016</v>
      </c>
      <c r="O823" t="str">
        <f>IF(N823="","",'Master Barang'!B17)</f>
        <v>rajawali trashbag 30x40</v>
      </c>
      <c r="P823">
        <f>IF(OR(M823="",N823=""),"",SUMIFS('Barang Keluar'!$E:$E,'Barang Keluar'!$A:$A,M823,'Barang Keluar'!$C:$C,N823))</f>
        <v>0</v>
      </c>
    </row>
    <row r="824" spans="13:16">
      <c r="M824" s="49">
        <f>IF($A$4+8&gt;$B$4,"",$A$4+8)</f>
        <v>46031</v>
      </c>
      <c r="N824" t="str">
        <f>IF(M824="","",'Master Barang'!A18)</f>
        <v>PRL-017</v>
      </c>
      <c r="O824" t="str">
        <f>IF(N824="","",'Master Barang'!B18)</f>
        <v>onemed masker biru 3 play 50 pcs</v>
      </c>
      <c r="P824">
        <f>IF(OR(M824="",N824=""),"",SUMIFS('Barang Keluar'!$E:$E,'Barang Keluar'!$A:$A,M824,'Barang Keluar'!$C:$C,N824))</f>
        <v>0</v>
      </c>
    </row>
    <row r="825" spans="13:16">
      <c r="M825" s="49">
        <f>IF($A$4+8&gt;$B$4,"",$A$4+8)</f>
        <v>46031</v>
      </c>
      <c r="N825" t="str">
        <f>IF(M825="","",'Master Barang'!A19)</f>
        <v>PRL-018</v>
      </c>
      <c r="O825" t="str">
        <f>IF(N825="","",'Master Barang'!B19)</f>
        <v>onemed masker biru 3 play hijab 50 pcs</v>
      </c>
      <c r="P825">
        <f>IF(OR(M825="",N825=""),"",SUMIFS('Barang Keluar'!$E:$E,'Barang Keluar'!$A:$A,M825,'Barang Keluar'!$C:$C,N825))</f>
        <v>0</v>
      </c>
    </row>
    <row r="826" spans="13:16">
      <c r="M826" s="49">
        <f>IF($A$4+8&gt;$B$4,"",$A$4+8)</f>
        <v>46031</v>
      </c>
      <c r="N826" t="str">
        <f>IF(M826="","",'Master Barang'!A20)</f>
        <v>PRL-019</v>
      </c>
      <c r="O826" t="str">
        <f>IF(N826="","",'Master Barang'!B20)</f>
        <v>neo health masker biru 3 play 50 pcs</v>
      </c>
      <c r="P826">
        <f>IF(OR(M826="",N826=""),"",SUMIFS('Barang Keluar'!$E:$E,'Barang Keluar'!$A:$A,M826,'Barang Keluar'!$C:$C,N826))</f>
        <v>0</v>
      </c>
    </row>
    <row r="827" spans="13:16">
      <c r="M827" s="49">
        <f>IF($A$4+8&gt;$B$4,"",$A$4+8)</f>
        <v>46031</v>
      </c>
      <c r="N827" t="str">
        <f>IF(M827="","",'Master Barang'!A21)</f>
        <v>PRL-020</v>
      </c>
      <c r="O827" t="str">
        <f>IF(N827="","",'Master Barang'!B21)</f>
        <v>baymed masker hijau 3 play hijau 50 pcs</v>
      </c>
      <c r="P827">
        <f>IF(OR(M827="",N827=""),"",SUMIFS('Barang Keluar'!$E:$E,'Barang Keluar'!$A:$A,M827,'Barang Keluar'!$C:$C,N827))</f>
        <v>0</v>
      </c>
    </row>
    <row r="828" spans="13:16">
      <c r="M828" s="49">
        <f>IF($A$4+8&gt;$B$4,"",$A$4+8)</f>
        <v>46031</v>
      </c>
      <c r="N828" t="str">
        <f>IF(M828="","",'Master Barang'!A22)</f>
        <v>PRL-021</v>
      </c>
      <c r="O828" t="str">
        <f>IF(N828="","",'Master Barang'!B22)</f>
        <v>altamed nurse cap penutup kepala 100 pcs</v>
      </c>
      <c r="P828">
        <f>IF(OR(M828="",N828=""),"",SUMIFS('Barang Keluar'!$E:$E,'Barang Keluar'!$A:$A,M828,'Barang Keluar'!$C:$C,N828))</f>
        <v>0</v>
      </c>
    </row>
    <row r="829" spans="13:16">
      <c r="M829" s="49">
        <f>IF($A$4+8&gt;$B$4,"",$A$4+8)</f>
        <v>46031</v>
      </c>
      <c r="N829" t="str">
        <f>IF(M829="","",'Master Barang'!A23)</f>
        <v>PRL-022</v>
      </c>
      <c r="O829" t="str">
        <f>IF(N829="","",'Master Barang'!B23)</f>
        <v>sabun cuci tangan</v>
      </c>
      <c r="P829">
        <f>IF(OR(M829="",N829=""),"",SUMIFS('Barang Keluar'!$E:$E,'Barang Keluar'!$A:$A,M829,'Barang Keluar'!$C:$C,N829))</f>
        <v>0</v>
      </c>
    </row>
    <row r="830" spans="13:16">
      <c r="M830" s="49">
        <f>IF($A$4+8&gt;$B$4,"",$A$4+8)</f>
        <v>46031</v>
      </c>
      <c r="N830" t="str">
        <f>IF(M830="","",'Master Barang'!A24)</f>
        <v>PRL-023</v>
      </c>
      <c r="O830" t="str">
        <f>IF(N830="","",'Master Barang'!B24)</f>
        <v>gayung kecil</v>
      </c>
      <c r="P830">
        <f>IF(OR(M830="",N830=""),"",SUMIFS('Barang Keluar'!$E:$E,'Barang Keluar'!$A:$A,M830,'Barang Keluar'!$C:$C,N830))</f>
        <v>0</v>
      </c>
    </row>
    <row r="831" spans="13:16">
      <c r="M831" s="49">
        <f>IF($A$4+8&gt;$B$4,"",$A$4+8)</f>
        <v>46031</v>
      </c>
      <c r="N831" t="str">
        <f>IF(M831="","",'Master Barang'!A25)</f>
        <v>PRL-024</v>
      </c>
      <c r="O831" t="str">
        <f>IF(N831="","",'Master Barang'!B25)</f>
        <v>cikrak kecil</v>
      </c>
      <c r="P831">
        <f>IF(OR(M831="",N831=""),"",SUMIFS('Barang Keluar'!$E:$E,'Barang Keluar'!$A:$A,M831,'Barang Keluar'!$C:$C,N831))</f>
        <v>0</v>
      </c>
    </row>
    <row r="832" spans="13:16">
      <c r="M832" s="49">
        <f>IF($A$4+8&gt;$B$4,"",$A$4+8)</f>
        <v>46031</v>
      </c>
      <c r="N832" t="str">
        <f>IF(M832="","",'Master Barang'!A26)</f>
        <v>PRL-025</v>
      </c>
      <c r="O832" t="str">
        <f>IF(N832="","",'Master Barang'!B26)</f>
        <v>petromax plastik kecil 12x24 100 lembar</v>
      </c>
      <c r="P832">
        <f>IF(OR(M832="",N832=""),"",SUMIFS('Barang Keluar'!$E:$E,'Barang Keluar'!$A:$A,M832,'Barang Keluar'!$C:$C,N832))</f>
        <v>0</v>
      </c>
    </row>
    <row r="833" spans="13:16">
      <c r="M833" s="49">
        <f>IF($A$4+8&gt;$B$4,"",$A$4+8)</f>
        <v>46031</v>
      </c>
      <c r="N833" t="str">
        <f>IF(M833="","",'Master Barang'!A27)</f>
        <v>PRL-026</v>
      </c>
      <c r="O833" t="str">
        <f>IF(N833="","",'Master Barang'!B27)</f>
        <v>lancar kresek kecil bening </v>
      </c>
      <c r="P833">
        <f>IF(OR(M833="",N833=""),"",SUMIFS('Barang Keluar'!$E:$E,'Barang Keluar'!$A:$A,M833,'Barang Keluar'!$C:$C,N833))</f>
        <v>0</v>
      </c>
    </row>
    <row r="834" spans="13:16">
      <c r="M834" s="49">
        <f>IF($A$4+8&gt;$B$4,"",$A$4+8)</f>
        <v>46031</v>
      </c>
      <c r="N834" t="str">
        <f>IF(M834="","",'Master Barang'!A28)</f>
        <v>PRL-027</v>
      </c>
      <c r="O834" t="str">
        <f>IF(N834="","",'Master Barang'!B28)</f>
        <v>kresek klin warna warni kecil</v>
      </c>
      <c r="P834">
        <f>IF(OR(M834="",N834=""),"",SUMIFS('Barang Keluar'!$E:$E,'Barang Keluar'!$A:$A,M834,'Barang Keluar'!$C:$C,N834))</f>
        <v>0</v>
      </c>
    </row>
    <row r="835" spans="13:16">
      <c r="M835" s="49">
        <f>IF($A$4+8&gt;$B$4,"",$A$4+8)</f>
        <v>46031</v>
      </c>
      <c r="N835" t="str">
        <f>IF(M835="","",'Master Barang'!A29)</f>
        <v>PRL-028</v>
      </c>
      <c r="O835" t="str">
        <f>IF(N835="","",'Master Barang'!B29)</f>
        <v>ctik plastik 7x10 100 pcs</v>
      </c>
      <c r="P835">
        <f>IF(OR(M835="",N835=""),"",SUMIFS('Barang Keluar'!$E:$E,'Barang Keluar'!$A:$A,M835,'Barang Keluar'!$C:$C,N835))</f>
        <v>0</v>
      </c>
    </row>
    <row r="836" spans="13:16">
      <c r="M836" s="49">
        <f>IF($A$4+8&gt;$B$4,"",$A$4+8)</f>
        <v>46031</v>
      </c>
      <c r="N836" t="str">
        <f>IF(M836="","",'Master Barang'!A30)</f>
        <v>PRL-029</v>
      </c>
      <c r="O836" t="str">
        <f>IF(N836="","",'Master Barang'!B30)</f>
        <v>ctik plastik 6x10 100 pcs</v>
      </c>
      <c r="P836">
        <f>IF(OR(M836="",N836=""),"",SUMIFS('Barang Keluar'!$E:$E,'Barang Keluar'!$A:$A,M836,'Barang Keluar'!$C:$C,N836))</f>
        <v>0</v>
      </c>
    </row>
    <row r="837" spans="13:16">
      <c r="M837" s="49">
        <f>IF($A$4+8&gt;$B$4,"",$A$4+8)</f>
        <v>46031</v>
      </c>
      <c r="N837" t="str">
        <f>IF(M837="","",'Master Barang'!A31)</f>
        <v>PRL-030</v>
      </c>
      <c r="O837" t="str">
        <f>IF(N837="","",'Master Barang'!B31)</f>
        <v>klip plastik 25x16 100 pcs</v>
      </c>
      <c r="P837">
        <f>IF(OR(M837="",N837=""),"",SUMIFS('Barang Keluar'!$E:$E,'Barang Keluar'!$A:$A,M837,'Barang Keluar'!$C:$C,N837))</f>
        <v>0</v>
      </c>
    </row>
    <row r="838" spans="13:16">
      <c r="M838" s="49">
        <f>IF($A$4+8&gt;$B$4,"",$A$4+8)</f>
        <v>46031</v>
      </c>
      <c r="N838" t="str">
        <f>IF(M838="","",'Master Barang'!A32)</f>
        <v>PRL-031</v>
      </c>
      <c r="O838" t="str">
        <f>IF(N838="","",'Master Barang'!B32)</f>
        <v>tempat saus 20 ml</v>
      </c>
      <c r="P838">
        <f>IF(OR(M838="",N838=""),"",SUMIFS('Barang Keluar'!$E:$E,'Barang Keluar'!$A:$A,M838,'Barang Keluar'!$C:$C,N838))</f>
        <v>0</v>
      </c>
    </row>
    <row r="839" spans="13:16">
      <c r="M839" s="49">
        <f>IF($A$4+8&gt;$B$4,"",$A$4+8)</f>
        <v>46031</v>
      </c>
      <c r="N839" t="str">
        <f>IF(M839="","",'Master Barang'!A33)</f>
        <v>PRL-032</v>
      </c>
      <c r="O839" t="str">
        <f>IF(N839="","",'Master Barang'!B33)</f>
        <v>plastik packaging ag box uk sedang</v>
      </c>
      <c r="P839">
        <f>IF(OR(M839="",N839=""),"",SUMIFS('Barang Keluar'!$E:$E,'Barang Keluar'!$A:$A,M839,'Barang Keluar'!$C:$C,N839))</f>
        <v>0</v>
      </c>
    </row>
    <row r="840" spans="13:16">
      <c r="M840" s="49">
        <f>IF($A$4+8&gt;$B$4,"",$A$4+8)</f>
        <v>46031</v>
      </c>
      <c r="N840" t="str">
        <f>IF(M840="","",'Master Barang'!A34)</f>
        <v>PRL-033</v>
      </c>
      <c r="O840">
        <f>IF(N840="","",'Master Barang'!B34)</f>
        <v>0</v>
      </c>
      <c r="P840">
        <f>IF(OR(M840="",N840=""),"",SUMIFS('Barang Keluar'!$E:$E,'Barang Keluar'!$A:$A,M840,'Barang Keluar'!$C:$C,N840))</f>
        <v>0</v>
      </c>
    </row>
    <row r="841" spans="13:16">
      <c r="M841" s="49">
        <f>IF($A$4+8&gt;$B$4,"",$A$4+8)</f>
        <v>46031</v>
      </c>
      <c r="N841">
        <f>IF(M841="","",'Master Barang'!A35)</f>
        <v>0</v>
      </c>
      <c r="O841">
        <f>IF(N841="","",'Master Barang'!B35)</f>
        <v>0</v>
      </c>
      <c r="P841">
        <f>IF(OR(M841="",N841=""),"",SUMIFS('Barang Keluar'!$E:$E,'Barang Keluar'!$A:$A,M841,'Barang Keluar'!$C:$C,N841))</f>
        <v>0</v>
      </c>
    </row>
    <row r="842" spans="13:16">
      <c r="M842" s="49">
        <f>IF($A$4+8&gt;$B$4,"",$A$4+8)</f>
        <v>46031</v>
      </c>
      <c r="N842">
        <f>IF(M842="","",'Master Barang'!A36)</f>
        <v>0</v>
      </c>
      <c r="O842">
        <f>IF(N842="","",'Master Barang'!B36)</f>
        <v>0</v>
      </c>
      <c r="P842">
        <f>IF(OR(M842="",N842=""),"",SUMIFS('Barang Keluar'!$E:$E,'Barang Keluar'!$A:$A,M842,'Barang Keluar'!$C:$C,N842))</f>
        <v>0</v>
      </c>
    </row>
    <row r="843" spans="13:16">
      <c r="M843" s="49">
        <f>IF($A$4+8&gt;$B$4,"",$A$4+8)</f>
        <v>46031</v>
      </c>
      <c r="N843">
        <f>IF(M843="","",'Master Barang'!A37)</f>
        <v>0</v>
      </c>
      <c r="O843">
        <f>IF(N843="","",'Master Barang'!B37)</f>
        <v>0</v>
      </c>
      <c r="P843">
        <f>IF(OR(M843="",N843=""),"",SUMIFS('Barang Keluar'!$E:$E,'Barang Keluar'!$A:$A,M843,'Barang Keluar'!$C:$C,N843))</f>
        <v>0</v>
      </c>
    </row>
    <row r="844" spans="13:16">
      <c r="M844" s="49">
        <f>IF($A$4+8&gt;$B$4,"",$A$4+8)</f>
        <v>46031</v>
      </c>
      <c r="N844">
        <f>IF(M844="","",'Master Barang'!A38)</f>
        <v>0</v>
      </c>
      <c r="O844">
        <f>IF(N844="","",'Master Barang'!B38)</f>
        <v>0</v>
      </c>
      <c r="P844">
        <f>IF(OR(M844="",N844=""),"",SUMIFS('Barang Keluar'!$E:$E,'Barang Keluar'!$A:$A,M844,'Barang Keluar'!$C:$C,N844))</f>
        <v>0</v>
      </c>
    </row>
    <row r="845" spans="13:16">
      <c r="M845" s="49">
        <f>IF($A$4+8&gt;$B$4,"",$A$4+8)</f>
        <v>46031</v>
      </c>
      <c r="N845">
        <f>IF(M845="","",'Master Barang'!A39)</f>
        <v>0</v>
      </c>
      <c r="O845">
        <f>IF(N845="","",'Master Barang'!B39)</f>
        <v>0</v>
      </c>
      <c r="P845">
        <f>IF(OR(M845="",N845=""),"",SUMIFS('Barang Keluar'!$E:$E,'Barang Keluar'!$A:$A,M845,'Barang Keluar'!$C:$C,N845))</f>
        <v>0</v>
      </c>
    </row>
    <row r="846" spans="13:16">
      <c r="M846" s="49">
        <f>IF($A$4+8&gt;$B$4,"",$A$4+8)</f>
        <v>46031</v>
      </c>
      <c r="N846">
        <f>IF(M846="","",'Master Barang'!A40)</f>
        <v>0</v>
      </c>
      <c r="O846">
        <f>IF(N846="","",'Master Barang'!B40)</f>
        <v>0</v>
      </c>
      <c r="P846">
        <f>IF(OR(M846="",N846=""),"",SUMIFS('Barang Keluar'!$E:$E,'Barang Keluar'!$A:$A,M846,'Barang Keluar'!$C:$C,N846))</f>
        <v>0</v>
      </c>
    </row>
    <row r="847" spans="13:16">
      <c r="M847" s="49">
        <f>IF($A$4+8&gt;$B$4,"",$A$4+8)</f>
        <v>46031</v>
      </c>
      <c r="N847">
        <f>IF(M847="","",'Master Barang'!A41)</f>
        <v>0</v>
      </c>
      <c r="O847">
        <f>IF(N847="","",'Master Barang'!B41)</f>
        <v>0</v>
      </c>
      <c r="P847">
        <f>IF(OR(M847="",N847=""),"",SUMIFS('Barang Keluar'!$E:$E,'Barang Keluar'!$A:$A,M847,'Barang Keluar'!$C:$C,N847))</f>
        <v>0</v>
      </c>
    </row>
    <row r="848" spans="13:16">
      <c r="M848" s="49">
        <f>IF($A$4+8&gt;$B$4,"",$A$4+8)</f>
        <v>46031</v>
      </c>
      <c r="N848">
        <f>IF(M848="","",'Master Barang'!A42)</f>
        <v>0</v>
      </c>
      <c r="O848">
        <f>IF(N848="","",'Master Barang'!B42)</f>
        <v>0</v>
      </c>
      <c r="P848">
        <f>IF(OR(M848="",N848=""),"",SUMIFS('Barang Keluar'!$E:$E,'Barang Keluar'!$A:$A,M848,'Barang Keluar'!$C:$C,N848))</f>
        <v>0</v>
      </c>
    </row>
    <row r="849" spans="13:16">
      <c r="M849" s="49">
        <f>IF($A$4+8&gt;$B$4,"",$A$4+8)</f>
        <v>46031</v>
      </c>
      <c r="N849">
        <f>IF(M849="","",'Master Barang'!A43)</f>
        <v>0</v>
      </c>
      <c r="O849">
        <f>IF(N849="","",'Master Barang'!B43)</f>
        <v>0</v>
      </c>
      <c r="P849">
        <f>IF(OR(M849="",N849=""),"",SUMIFS('Barang Keluar'!$E:$E,'Barang Keluar'!$A:$A,M849,'Barang Keluar'!$C:$C,N849))</f>
        <v>0</v>
      </c>
    </row>
    <row r="850" spans="13:16">
      <c r="M850" s="49">
        <f>IF($A$4+8&gt;$B$4,"",$A$4+8)</f>
        <v>46031</v>
      </c>
      <c r="N850">
        <f>IF(M850="","",'Master Barang'!A44)</f>
        <v>0</v>
      </c>
      <c r="O850">
        <f>IF(N850="","",'Master Barang'!B44)</f>
        <v>0</v>
      </c>
      <c r="P850">
        <f>IF(OR(M850="",N850=""),"",SUMIFS('Barang Keluar'!$E:$E,'Barang Keluar'!$A:$A,M850,'Barang Keluar'!$C:$C,N850))</f>
        <v>0</v>
      </c>
    </row>
    <row r="851" spans="13:16">
      <c r="M851" s="49">
        <f>IF($A$4+8&gt;$B$4,"",$A$4+8)</f>
        <v>46031</v>
      </c>
      <c r="N851">
        <f>IF(M851="","",'Master Barang'!A45)</f>
        <v>0</v>
      </c>
      <c r="O851">
        <f>IF(N851="","",'Master Barang'!B45)</f>
        <v>0</v>
      </c>
      <c r="P851">
        <f>IF(OR(M851="",N851=""),"",SUMIFS('Barang Keluar'!$E:$E,'Barang Keluar'!$A:$A,M851,'Barang Keluar'!$C:$C,N851))</f>
        <v>0</v>
      </c>
    </row>
    <row r="852" spans="13:16">
      <c r="M852" s="49">
        <f>IF($A$4+8&gt;$B$4,"",$A$4+8)</f>
        <v>46031</v>
      </c>
      <c r="N852">
        <f>IF(M852="","",'Master Barang'!A46)</f>
        <v>0</v>
      </c>
      <c r="O852">
        <f>IF(N852="","",'Master Barang'!B46)</f>
        <v>0</v>
      </c>
      <c r="P852">
        <f>IF(OR(M852="",N852=""),"",SUMIFS('Barang Keluar'!$E:$E,'Barang Keluar'!$A:$A,M852,'Barang Keluar'!$C:$C,N852))</f>
        <v>0</v>
      </c>
    </row>
    <row r="853" spans="13:16">
      <c r="M853" s="49">
        <f>IF($A$4+8&gt;$B$4,"",$A$4+8)</f>
        <v>46031</v>
      </c>
      <c r="N853">
        <f>IF(M853="","",'Master Barang'!A47)</f>
        <v>0</v>
      </c>
      <c r="O853">
        <f>IF(N853="","",'Master Barang'!B47)</f>
        <v>0</v>
      </c>
      <c r="P853">
        <f>IF(OR(M853="",N853=""),"",SUMIFS('Barang Keluar'!$E:$E,'Barang Keluar'!$A:$A,M853,'Barang Keluar'!$C:$C,N853))</f>
        <v>0</v>
      </c>
    </row>
    <row r="854" spans="13:16">
      <c r="M854" s="49">
        <f>IF($A$4+8&gt;$B$4,"",$A$4+8)</f>
        <v>46031</v>
      </c>
      <c r="N854">
        <f>IF(M854="","",'Master Barang'!A48)</f>
        <v>0</v>
      </c>
      <c r="O854">
        <f>IF(N854="","",'Master Barang'!B48)</f>
        <v>0</v>
      </c>
      <c r="P854">
        <f>IF(OR(M854="",N854=""),"",SUMIFS('Barang Keluar'!$E:$E,'Barang Keluar'!$A:$A,M854,'Barang Keluar'!$C:$C,N854))</f>
        <v>0</v>
      </c>
    </row>
    <row r="855" spans="13:16">
      <c r="M855" s="49">
        <f>IF($A$4+8&gt;$B$4,"",$A$4+8)</f>
        <v>46031</v>
      </c>
      <c r="N855">
        <f>IF(M855="","",'Master Barang'!A49)</f>
        <v>0</v>
      </c>
      <c r="O855">
        <f>IF(N855="","",'Master Barang'!B49)</f>
        <v>0</v>
      </c>
      <c r="P855">
        <f>IF(OR(M855="",N855=""),"",SUMIFS('Barang Keluar'!$E:$E,'Barang Keluar'!$A:$A,M855,'Barang Keluar'!$C:$C,N855))</f>
        <v>0</v>
      </c>
    </row>
    <row r="856" spans="13:16">
      <c r="M856" s="49">
        <f>IF($A$4+8&gt;$B$4,"",$A$4+8)</f>
        <v>46031</v>
      </c>
      <c r="N856">
        <f>IF(M856="","",'Master Barang'!A50)</f>
        <v>0</v>
      </c>
      <c r="O856">
        <f>IF(N856="","",'Master Barang'!B50)</f>
        <v>0</v>
      </c>
      <c r="P856">
        <f>IF(OR(M856="",N856=""),"",SUMIFS('Barang Keluar'!$E:$E,'Barang Keluar'!$A:$A,M856,'Barang Keluar'!$C:$C,N856))</f>
        <v>0</v>
      </c>
    </row>
    <row r="857" spans="13:16">
      <c r="M857" s="49">
        <f>IF($A$4+8&gt;$B$4,"",$A$4+8)</f>
        <v>46031</v>
      </c>
      <c r="N857">
        <f>IF(M857="","",'Master Barang'!A51)</f>
        <v>0</v>
      </c>
      <c r="O857">
        <f>IF(N857="","",'Master Barang'!B51)</f>
        <v>0</v>
      </c>
      <c r="P857">
        <f>IF(OR(M857="",N857=""),"",SUMIFS('Barang Keluar'!$E:$E,'Barang Keluar'!$A:$A,M857,'Barang Keluar'!$C:$C,N857))</f>
        <v>0</v>
      </c>
    </row>
    <row r="858" spans="13:16">
      <c r="M858" s="49">
        <f>IF($A$4+8&gt;$B$4,"",$A$4+8)</f>
        <v>46031</v>
      </c>
      <c r="N858">
        <f>IF(M858="","",'Master Barang'!A52)</f>
        <v>0</v>
      </c>
      <c r="O858">
        <f>IF(N858="","",'Master Barang'!B52)</f>
        <v>0</v>
      </c>
      <c r="P858">
        <f>IF(OR(M858="",N858=""),"",SUMIFS('Barang Keluar'!$E:$E,'Barang Keluar'!$A:$A,M858,'Barang Keluar'!$C:$C,N858))</f>
        <v>0</v>
      </c>
    </row>
    <row r="859" spans="13:16">
      <c r="M859" s="49">
        <f>IF($A$4+8&gt;$B$4,"",$A$4+8)</f>
        <v>46031</v>
      </c>
      <c r="N859">
        <f>IF(M859="","",'Master Barang'!A53)</f>
        <v>0</v>
      </c>
      <c r="O859">
        <f>IF(N859="","",'Master Barang'!B53)</f>
        <v>0</v>
      </c>
      <c r="P859">
        <f>IF(OR(M859="",N859=""),"",SUMIFS('Barang Keluar'!$E:$E,'Barang Keluar'!$A:$A,M859,'Barang Keluar'!$C:$C,N859))</f>
        <v>0</v>
      </c>
    </row>
    <row r="860" spans="13:16">
      <c r="M860" s="49">
        <f>IF($A$4+8&gt;$B$4,"",$A$4+8)</f>
        <v>46031</v>
      </c>
      <c r="N860">
        <f>IF(M860="","",'Master Barang'!A54)</f>
        <v>0</v>
      </c>
      <c r="O860">
        <f>IF(N860="","",'Master Barang'!B54)</f>
        <v>0</v>
      </c>
      <c r="P860">
        <f>IF(OR(M860="",N860=""),"",SUMIFS('Barang Keluar'!$E:$E,'Barang Keluar'!$A:$A,M860,'Barang Keluar'!$C:$C,N860))</f>
        <v>0</v>
      </c>
    </row>
    <row r="861" spans="13:16">
      <c r="M861" s="49">
        <f>IF($A$4+8&gt;$B$4,"",$A$4+8)</f>
        <v>46031</v>
      </c>
      <c r="N861">
        <f>IF(M861="","",'Master Barang'!A55)</f>
        <v>0</v>
      </c>
      <c r="O861">
        <f>IF(N861="","",'Master Barang'!B55)</f>
        <v>0</v>
      </c>
      <c r="P861">
        <f>IF(OR(M861="",N861=""),"",SUMIFS('Barang Keluar'!$E:$E,'Barang Keluar'!$A:$A,M861,'Barang Keluar'!$C:$C,N861))</f>
        <v>0</v>
      </c>
    </row>
    <row r="862" spans="13:16">
      <c r="M862" s="49">
        <f>IF($A$4+8&gt;$B$4,"",$A$4+8)</f>
        <v>46031</v>
      </c>
      <c r="N862">
        <f>IF(M862="","",'Master Barang'!A56)</f>
        <v>0</v>
      </c>
      <c r="O862">
        <f>IF(N862="","",'Master Barang'!B56)</f>
        <v>0</v>
      </c>
      <c r="P862">
        <f>IF(OR(M862="",N862=""),"",SUMIFS('Barang Keluar'!$E:$E,'Barang Keluar'!$A:$A,M862,'Barang Keluar'!$C:$C,N862))</f>
        <v>0</v>
      </c>
    </row>
    <row r="863" spans="13:16">
      <c r="M863" s="49">
        <f>IF($A$4+8&gt;$B$4,"",$A$4+8)</f>
        <v>46031</v>
      </c>
      <c r="N863">
        <f>IF(M863="","",'Master Barang'!A57)</f>
        <v>0</v>
      </c>
      <c r="O863">
        <f>IF(N863="","",'Master Barang'!B57)</f>
        <v>0</v>
      </c>
      <c r="P863">
        <f>IF(OR(M863="",N863=""),"",SUMIFS('Barang Keluar'!$E:$E,'Barang Keluar'!$A:$A,M863,'Barang Keluar'!$C:$C,N863))</f>
        <v>0</v>
      </c>
    </row>
    <row r="864" spans="13:16">
      <c r="M864" s="49">
        <f>IF($A$4+8&gt;$B$4,"",$A$4+8)</f>
        <v>46031</v>
      </c>
      <c r="N864">
        <f>IF(M864="","",'Master Barang'!A58)</f>
        <v>0</v>
      </c>
      <c r="O864">
        <f>IF(N864="","",'Master Barang'!B58)</f>
        <v>0</v>
      </c>
      <c r="P864">
        <f>IF(OR(M864="",N864=""),"",SUMIFS('Barang Keluar'!$E:$E,'Barang Keluar'!$A:$A,M864,'Barang Keluar'!$C:$C,N864))</f>
        <v>0</v>
      </c>
    </row>
    <row r="865" spans="13:16">
      <c r="M865" s="49">
        <f>IF($A$4+8&gt;$B$4,"",$A$4+8)</f>
        <v>46031</v>
      </c>
      <c r="N865">
        <f>IF(M865="","",'Master Barang'!A59)</f>
        <v>0</v>
      </c>
      <c r="O865">
        <f>IF(N865="","",'Master Barang'!B59)</f>
        <v>0</v>
      </c>
      <c r="P865">
        <f>IF(OR(M865="",N865=""),"",SUMIFS('Barang Keluar'!$E:$E,'Barang Keluar'!$A:$A,M865,'Barang Keluar'!$C:$C,N865))</f>
        <v>0</v>
      </c>
    </row>
    <row r="866" spans="13:16">
      <c r="M866" s="49">
        <f>IF($A$4+8&gt;$B$4,"",$A$4+8)</f>
        <v>46031</v>
      </c>
      <c r="N866">
        <f>IF(M866="","",'Master Barang'!A60)</f>
        <v>0</v>
      </c>
      <c r="O866">
        <f>IF(N866="","",'Master Barang'!B60)</f>
        <v>0</v>
      </c>
      <c r="P866">
        <f>IF(OR(M866="",N866=""),"",SUMIFS('Barang Keluar'!$E:$E,'Barang Keluar'!$A:$A,M866,'Barang Keluar'!$C:$C,N866))</f>
        <v>0</v>
      </c>
    </row>
    <row r="867" spans="13:16">
      <c r="M867" s="49">
        <f>IF($A$4+8&gt;$B$4,"",$A$4+8)</f>
        <v>46031</v>
      </c>
      <c r="N867">
        <f>IF(M867="","",'Master Barang'!A61)</f>
        <v>0</v>
      </c>
      <c r="O867">
        <f>IF(N867="","",'Master Barang'!B61)</f>
        <v>0</v>
      </c>
      <c r="P867">
        <f>IF(OR(M867="",N867=""),"",SUMIFS('Barang Keluar'!$E:$E,'Barang Keluar'!$A:$A,M867,'Barang Keluar'!$C:$C,N867))</f>
        <v>0</v>
      </c>
    </row>
    <row r="868" spans="13:16">
      <c r="M868" s="49">
        <f>IF($A$4+8&gt;$B$4,"",$A$4+8)</f>
        <v>46031</v>
      </c>
      <c r="N868">
        <f>IF(M868="","",'Master Barang'!A62)</f>
        <v>0</v>
      </c>
      <c r="O868">
        <f>IF(N868="","",'Master Barang'!B62)</f>
        <v>0</v>
      </c>
      <c r="P868">
        <f>IF(OR(M868="",N868=""),"",SUMIFS('Barang Keluar'!$E:$E,'Barang Keluar'!$A:$A,M868,'Barang Keluar'!$C:$C,N868))</f>
        <v>0</v>
      </c>
    </row>
    <row r="869" spans="13:16">
      <c r="M869" s="49">
        <f>IF($A$4+8&gt;$B$4,"",$A$4+8)</f>
        <v>46031</v>
      </c>
      <c r="N869">
        <f>IF(M869="","",'Master Barang'!A63)</f>
        <v>0</v>
      </c>
      <c r="O869">
        <f>IF(N869="","",'Master Barang'!B63)</f>
        <v>0</v>
      </c>
      <c r="P869">
        <f>IF(OR(M869="",N869=""),"",SUMIFS('Barang Keluar'!$E:$E,'Barang Keluar'!$A:$A,M869,'Barang Keluar'!$C:$C,N869))</f>
        <v>0</v>
      </c>
    </row>
    <row r="870" spans="13:16">
      <c r="M870" s="49">
        <f>IF($A$4+8&gt;$B$4,"",$A$4+8)</f>
        <v>46031</v>
      </c>
      <c r="N870">
        <f>IF(M870="","",'Master Barang'!A64)</f>
        <v>0</v>
      </c>
      <c r="O870">
        <f>IF(N870="","",'Master Barang'!B64)</f>
        <v>0</v>
      </c>
      <c r="P870">
        <f>IF(OR(M870="",N870=""),"",SUMIFS('Barang Keluar'!$E:$E,'Barang Keluar'!$A:$A,M870,'Barang Keluar'!$C:$C,N870))</f>
        <v>0</v>
      </c>
    </row>
    <row r="871" spans="13:16">
      <c r="M871" s="49">
        <f>IF($A$4+8&gt;$B$4,"",$A$4+8)</f>
        <v>46031</v>
      </c>
      <c r="N871">
        <f>IF(M871="","",'Master Barang'!A65)</f>
        <v>0</v>
      </c>
      <c r="O871">
        <f>IF(N871="","",'Master Barang'!B65)</f>
        <v>0</v>
      </c>
      <c r="P871">
        <f>IF(OR(M871="",N871=""),"",SUMIFS('Barang Keluar'!$E:$E,'Barang Keluar'!$A:$A,M871,'Barang Keluar'!$C:$C,N871))</f>
        <v>0</v>
      </c>
    </row>
    <row r="872" spans="13:16">
      <c r="M872" s="49">
        <f>IF($A$4+8&gt;$B$4,"",$A$4+8)</f>
        <v>46031</v>
      </c>
      <c r="N872">
        <f>IF(M872="","",'Master Barang'!A66)</f>
        <v>0</v>
      </c>
      <c r="O872">
        <f>IF(N872="","",'Master Barang'!B66)</f>
        <v>0</v>
      </c>
      <c r="P872">
        <f>IF(OR(M872="",N872=""),"",SUMIFS('Barang Keluar'!$E:$E,'Barang Keluar'!$A:$A,M872,'Barang Keluar'!$C:$C,N872))</f>
        <v>0</v>
      </c>
    </row>
    <row r="873" spans="13:16">
      <c r="M873" s="49">
        <f>IF($A$4+8&gt;$B$4,"",$A$4+8)</f>
        <v>46031</v>
      </c>
      <c r="N873">
        <f>IF(M873="","",'Master Barang'!A67)</f>
        <v>0</v>
      </c>
      <c r="O873">
        <f>IF(N873="","",'Master Barang'!B67)</f>
        <v>0</v>
      </c>
      <c r="P873">
        <f>IF(OR(M873="",N873=""),"",SUMIFS('Barang Keluar'!$E:$E,'Barang Keluar'!$A:$A,M873,'Barang Keluar'!$C:$C,N873))</f>
        <v>0</v>
      </c>
    </row>
    <row r="874" spans="13:16">
      <c r="M874" s="49">
        <f>IF($A$4+8&gt;$B$4,"",$A$4+8)</f>
        <v>46031</v>
      </c>
      <c r="N874">
        <f>IF(M874="","",'Master Barang'!A68)</f>
        <v>0</v>
      </c>
      <c r="O874">
        <f>IF(N874="","",'Master Barang'!B68)</f>
        <v>0</v>
      </c>
      <c r="P874">
        <f>IF(OR(M874="",N874=""),"",SUMIFS('Barang Keluar'!$E:$E,'Barang Keluar'!$A:$A,M874,'Barang Keluar'!$C:$C,N874))</f>
        <v>0</v>
      </c>
    </row>
    <row r="875" spans="13:16">
      <c r="M875" s="49">
        <f>IF($A$4+8&gt;$B$4,"",$A$4+8)</f>
        <v>46031</v>
      </c>
      <c r="N875">
        <f>IF(M875="","",'Master Barang'!A69)</f>
        <v>0</v>
      </c>
      <c r="O875">
        <f>IF(N875="","",'Master Barang'!B69)</f>
        <v>0</v>
      </c>
      <c r="P875">
        <f>IF(OR(M875="",N875=""),"",SUMIFS('Barang Keluar'!$E:$E,'Barang Keluar'!$A:$A,M875,'Barang Keluar'!$C:$C,N875))</f>
        <v>0</v>
      </c>
    </row>
    <row r="876" spans="13:16">
      <c r="M876" s="49">
        <f>IF($A$4+8&gt;$B$4,"",$A$4+8)</f>
        <v>46031</v>
      </c>
      <c r="N876">
        <f>IF(M876="","",'Master Barang'!A70)</f>
        <v>0</v>
      </c>
      <c r="O876">
        <f>IF(N876="","",'Master Barang'!B70)</f>
        <v>0</v>
      </c>
      <c r="P876">
        <f>IF(OR(M876="",N876=""),"",SUMIFS('Barang Keluar'!$E:$E,'Barang Keluar'!$A:$A,M876,'Barang Keluar'!$C:$C,N876))</f>
        <v>0</v>
      </c>
    </row>
    <row r="877" spans="13:16">
      <c r="M877" s="49">
        <f>IF($A$4+8&gt;$B$4,"",$A$4+8)</f>
        <v>46031</v>
      </c>
      <c r="N877">
        <f>IF(M877="","",'Master Barang'!A71)</f>
        <v>0</v>
      </c>
      <c r="O877">
        <f>IF(N877="","",'Master Barang'!B71)</f>
        <v>0</v>
      </c>
      <c r="P877">
        <f>IF(OR(M877="",N877=""),"",SUMIFS('Barang Keluar'!$E:$E,'Barang Keluar'!$A:$A,M877,'Barang Keluar'!$C:$C,N877))</f>
        <v>0</v>
      </c>
    </row>
    <row r="878" spans="13:16">
      <c r="M878" s="49">
        <f>IF($A$4+8&gt;$B$4,"",$A$4+8)</f>
        <v>46031</v>
      </c>
      <c r="N878">
        <f>IF(M878="","",'Master Barang'!A72)</f>
        <v>0</v>
      </c>
      <c r="O878">
        <f>IF(N878="","",'Master Barang'!B72)</f>
        <v>0</v>
      </c>
      <c r="P878">
        <f>IF(OR(M878="",N878=""),"",SUMIFS('Barang Keluar'!$E:$E,'Barang Keluar'!$A:$A,M878,'Barang Keluar'!$C:$C,N878))</f>
        <v>0</v>
      </c>
    </row>
    <row r="879" spans="13:16">
      <c r="M879" s="49">
        <f>IF($A$4+8&gt;$B$4,"",$A$4+8)</f>
        <v>46031</v>
      </c>
      <c r="N879">
        <f>IF(M879="","",'Master Barang'!A73)</f>
        <v>0</v>
      </c>
      <c r="O879">
        <f>IF(N879="","",'Master Barang'!B73)</f>
        <v>0</v>
      </c>
      <c r="P879">
        <f>IF(OR(M879="",N879=""),"",SUMIFS('Barang Keluar'!$E:$E,'Barang Keluar'!$A:$A,M879,'Barang Keluar'!$C:$C,N879))</f>
        <v>0</v>
      </c>
    </row>
    <row r="880" spans="13:16">
      <c r="M880" s="49">
        <f>IF($A$4+8&gt;$B$4,"",$A$4+8)</f>
        <v>46031</v>
      </c>
      <c r="N880">
        <f>IF(M880="","",'Master Barang'!A74)</f>
        <v>0</v>
      </c>
      <c r="O880">
        <f>IF(N880="","",'Master Barang'!B74)</f>
        <v>0</v>
      </c>
      <c r="P880">
        <f>IF(OR(M880="",N880=""),"",SUMIFS('Barang Keluar'!$E:$E,'Barang Keluar'!$A:$A,M880,'Barang Keluar'!$C:$C,N880))</f>
        <v>0</v>
      </c>
    </row>
    <row r="881" spans="13:16">
      <c r="M881" s="49">
        <f>IF($A$4+8&gt;$B$4,"",$A$4+8)</f>
        <v>46031</v>
      </c>
      <c r="N881">
        <f>IF(M881="","",'Master Barang'!A75)</f>
        <v>0</v>
      </c>
      <c r="O881">
        <f>IF(N881="","",'Master Barang'!B75)</f>
        <v>0</v>
      </c>
      <c r="P881">
        <f>IF(OR(M881="",N881=""),"",SUMIFS('Barang Keluar'!$E:$E,'Barang Keluar'!$A:$A,M881,'Barang Keluar'!$C:$C,N881))</f>
        <v>0</v>
      </c>
    </row>
    <row r="882" spans="13:16">
      <c r="M882" s="49">
        <f>IF($A$4+8&gt;$B$4,"",$A$4+8)</f>
        <v>46031</v>
      </c>
      <c r="N882">
        <f>IF(M882="","",'Master Barang'!A76)</f>
        <v>0</v>
      </c>
      <c r="O882">
        <f>IF(N882="","",'Master Barang'!B76)</f>
        <v>0</v>
      </c>
      <c r="P882">
        <f>IF(OR(M882="",N882=""),"",SUMIFS('Barang Keluar'!$E:$E,'Barang Keluar'!$A:$A,M882,'Barang Keluar'!$C:$C,N882))</f>
        <v>0</v>
      </c>
    </row>
    <row r="883" spans="13:16">
      <c r="M883" s="49">
        <f>IF($A$4+8&gt;$B$4,"",$A$4+8)</f>
        <v>46031</v>
      </c>
      <c r="N883">
        <f>IF(M883="","",'Master Barang'!A77)</f>
        <v>0</v>
      </c>
      <c r="O883">
        <f>IF(N883="","",'Master Barang'!B77)</f>
        <v>0</v>
      </c>
      <c r="P883">
        <f>IF(OR(M883="",N883=""),"",SUMIFS('Barang Keluar'!$E:$E,'Barang Keluar'!$A:$A,M883,'Barang Keluar'!$C:$C,N883))</f>
        <v>0</v>
      </c>
    </row>
    <row r="884" spans="13:16">
      <c r="M884" s="49">
        <f>IF($A$4+8&gt;$B$4,"",$A$4+8)</f>
        <v>46031</v>
      </c>
      <c r="N884">
        <f>IF(M884="","",'Master Barang'!A78)</f>
        <v>0</v>
      </c>
      <c r="O884">
        <f>IF(N884="","",'Master Barang'!B78)</f>
        <v>0</v>
      </c>
      <c r="P884">
        <f>IF(OR(M884="",N884=""),"",SUMIFS('Barang Keluar'!$E:$E,'Barang Keluar'!$A:$A,M884,'Barang Keluar'!$C:$C,N884))</f>
        <v>0</v>
      </c>
    </row>
    <row r="885" spans="13:16">
      <c r="M885" s="49">
        <f>IF($A$4+8&gt;$B$4,"",$A$4+8)</f>
        <v>46031</v>
      </c>
      <c r="N885">
        <f>IF(M885="","",'Master Barang'!A79)</f>
        <v>0</v>
      </c>
      <c r="O885">
        <f>IF(N885="","",'Master Barang'!B79)</f>
        <v>0</v>
      </c>
      <c r="P885">
        <f>IF(OR(M885="",N885=""),"",SUMIFS('Barang Keluar'!$E:$E,'Barang Keluar'!$A:$A,M885,'Barang Keluar'!$C:$C,N885))</f>
        <v>0</v>
      </c>
    </row>
    <row r="886" spans="13:16">
      <c r="M886" s="49">
        <f>IF($A$4+8&gt;$B$4,"",$A$4+8)</f>
        <v>46031</v>
      </c>
      <c r="N886">
        <f>IF(M886="","",'Master Barang'!A80)</f>
        <v>0</v>
      </c>
      <c r="O886">
        <f>IF(N886="","",'Master Barang'!B80)</f>
        <v>0</v>
      </c>
      <c r="P886">
        <f>IF(OR(M886="",N886=""),"",SUMIFS('Barang Keluar'!$E:$E,'Barang Keluar'!$A:$A,M886,'Barang Keluar'!$C:$C,N886))</f>
        <v>0</v>
      </c>
    </row>
    <row r="887" spans="13:16">
      <c r="M887" s="49">
        <f>IF($A$4+8&gt;$B$4,"",$A$4+8)</f>
        <v>46031</v>
      </c>
      <c r="N887">
        <f>IF(M887="","",'Master Barang'!A81)</f>
        <v>0</v>
      </c>
      <c r="O887">
        <f>IF(N887="","",'Master Barang'!B81)</f>
        <v>0</v>
      </c>
      <c r="P887">
        <f>IF(OR(M887="",N887=""),"",SUMIFS('Barang Keluar'!$E:$E,'Barang Keluar'!$A:$A,M887,'Barang Keluar'!$C:$C,N887))</f>
        <v>0</v>
      </c>
    </row>
    <row r="888" spans="13:16">
      <c r="M888" s="49">
        <f>IF($A$4+8&gt;$B$4,"",$A$4+8)</f>
        <v>46031</v>
      </c>
      <c r="N888">
        <f>IF(M888="","",'Master Barang'!A82)</f>
        <v>0</v>
      </c>
      <c r="O888">
        <f>IF(N888="","",'Master Barang'!B82)</f>
        <v>0</v>
      </c>
      <c r="P888">
        <f>IF(OR(M888="",N888=""),"",SUMIFS('Barang Keluar'!$E:$E,'Barang Keluar'!$A:$A,M888,'Barang Keluar'!$C:$C,N888))</f>
        <v>0</v>
      </c>
    </row>
    <row r="889" spans="13:16">
      <c r="M889" s="49">
        <f>IF($A$4+8&gt;$B$4,"",$A$4+8)</f>
        <v>46031</v>
      </c>
      <c r="N889">
        <f>IF(M889="","",'Master Barang'!A83)</f>
        <v>0</v>
      </c>
      <c r="O889">
        <f>IF(N889="","",'Master Barang'!B83)</f>
        <v>0</v>
      </c>
      <c r="P889">
        <f>IF(OR(M889="",N889=""),"",SUMIFS('Barang Keluar'!$E:$E,'Barang Keluar'!$A:$A,M889,'Barang Keluar'!$C:$C,N889))</f>
        <v>0</v>
      </c>
    </row>
    <row r="890" spans="13:16">
      <c r="M890" s="49">
        <f>IF($A$4+8&gt;$B$4,"",$A$4+8)</f>
        <v>46031</v>
      </c>
      <c r="N890">
        <f>IF(M890="","",'Master Barang'!A84)</f>
        <v>0</v>
      </c>
      <c r="O890">
        <f>IF(N890="","",'Master Barang'!B84)</f>
        <v>0</v>
      </c>
      <c r="P890">
        <f>IF(OR(M890="",N890=""),"",SUMIFS('Barang Keluar'!$E:$E,'Barang Keluar'!$A:$A,M890,'Barang Keluar'!$C:$C,N890))</f>
        <v>0</v>
      </c>
    </row>
    <row r="891" spans="13:16">
      <c r="M891" s="49">
        <f>IF($A$4+8&gt;$B$4,"",$A$4+8)</f>
        <v>46031</v>
      </c>
      <c r="N891">
        <f>IF(M891="","",'Master Barang'!A85)</f>
        <v>0</v>
      </c>
      <c r="O891">
        <f>IF(N891="","",'Master Barang'!B85)</f>
        <v>0</v>
      </c>
      <c r="P891">
        <f>IF(OR(M891="",N891=""),"",SUMIFS('Barang Keluar'!$E:$E,'Barang Keluar'!$A:$A,M891,'Barang Keluar'!$C:$C,N891))</f>
        <v>0</v>
      </c>
    </row>
    <row r="892" spans="13:16">
      <c r="M892" s="49">
        <f>IF($A$4+8&gt;$B$4,"",$A$4+8)</f>
        <v>46031</v>
      </c>
      <c r="N892">
        <f>IF(M892="","",'Master Barang'!A86)</f>
        <v>0</v>
      </c>
      <c r="O892">
        <f>IF(N892="","",'Master Barang'!B86)</f>
        <v>0</v>
      </c>
      <c r="P892">
        <f>IF(OR(M892="",N892=""),"",SUMIFS('Barang Keluar'!$E:$E,'Barang Keluar'!$A:$A,M892,'Barang Keluar'!$C:$C,N892))</f>
        <v>0</v>
      </c>
    </row>
    <row r="893" spans="13:16">
      <c r="M893" s="49">
        <f>IF($A$4+8&gt;$B$4,"",$A$4+8)</f>
        <v>46031</v>
      </c>
      <c r="N893">
        <f>IF(M893="","",'Master Barang'!A87)</f>
        <v>0</v>
      </c>
      <c r="O893">
        <f>IF(N893="","",'Master Barang'!B87)</f>
        <v>0</v>
      </c>
      <c r="P893">
        <f>IF(OR(M893="",N893=""),"",SUMIFS('Barang Keluar'!$E:$E,'Barang Keluar'!$A:$A,M893,'Barang Keluar'!$C:$C,N893))</f>
        <v>0</v>
      </c>
    </row>
    <row r="894" spans="13:16">
      <c r="M894" s="49">
        <f>IF($A$4+8&gt;$B$4,"",$A$4+8)</f>
        <v>46031</v>
      </c>
      <c r="N894">
        <f>IF(M894="","",'Master Barang'!A88)</f>
        <v>0</v>
      </c>
      <c r="O894">
        <f>IF(N894="","",'Master Barang'!B88)</f>
        <v>0</v>
      </c>
      <c r="P894">
        <f>IF(OR(M894="",N894=""),"",SUMIFS('Barang Keluar'!$E:$E,'Barang Keluar'!$A:$A,M894,'Barang Keluar'!$C:$C,N894))</f>
        <v>0</v>
      </c>
    </row>
    <row r="895" spans="13:16">
      <c r="M895" s="49">
        <f>IF($A$4+8&gt;$B$4,"",$A$4+8)</f>
        <v>46031</v>
      </c>
      <c r="N895">
        <f>IF(M895="","",'Master Barang'!A89)</f>
        <v>0</v>
      </c>
      <c r="O895">
        <f>IF(N895="","",'Master Barang'!B89)</f>
        <v>0</v>
      </c>
      <c r="P895">
        <f>IF(OR(M895="",N895=""),"",SUMIFS('Barang Keluar'!$E:$E,'Barang Keluar'!$A:$A,M895,'Barang Keluar'!$C:$C,N895))</f>
        <v>0</v>
      </c>
    </row>
    <row r="896" spans="13:16">
      <c r="M896" s="49">
        <f>IF($A$4+8&gt;$B$4,"",$A$4+8)</f>
        <v>46031</v>
      </c>
      <c r="N896">
        <f>IF(M896="","",'Master Barang'!A90)</f>
        <v>0</v>
      </c>
      <c r="O896">
        <f>IF(N896="","",'Master Barang'!B90)</f>
        <v>0</v>
      </c>
      <c r="P896">
        <f>IF(OR(M896="",N896=""),"",SUMIFS('Barang Keluar'!$E:$E,'Barang Keluar'!$A:$A,M896,'Barang Keluar'!$C:$C,N896))</f>
        <v>0</v>
      </c>
    </row>
    <row r="897" spans="13:16">
      <c r="M897" s="49">
        <f>IF($A$4+8&gt;$B$4,"",$A$4+8)</f>
        <v>46031</v>
      </c>
      <c r="N897">
        <f>IF(M897="","",'Master Barang'!A91)</f>
        <v>0</v>
      </c>
      <c r="O897">
        <f>IF(N897="","",'Master Barang'!B91)</f>
        <v>0</v>
      </c>
      <c r="P897">
        <f>IF(OR(M897="",N897=""),"",SUMIFS('Barang Keluar'!$E:$E,'Barang Keluar'!$A:$A,M897,'Barang Keluar'!$C:$C,N897))</f>
        <v>0</v>
      </c>
    </row>
    <row r="898" spans="13:16">
      <c r="M898" s="49">
        <f>IF($A$4+8&gt;$B$4,"",$A$4+8)</f>
        <v>46031</v>
      </c>
      <c r="N898">
        <f>IF(M898="","",'Master Barang'!A92)</f>
        <v>0</v>
      </c>
      <c r="O898">
        <f>IF(N898="","",'Master Barang'!B92)</f>
        <v>0</v>
      </c>
      <c r="P898">
        <f>IF(OR(M898="",N898=""),"",SUMIFS('Barang Keluar'!$E:$E,'Barang Keluar'!$A:$A,M898,'Barang Keluar'!$C:$C,N898))</f>
        <v>0</v>
      </c>
    </row>
    <row r="899" spans="13:16">
      <c r="M899" s="49">
        <f>IF($A$4+8&gt;$B$4,"",$A$4+8)</f>
        <v>46031</v>
      </c>
      <c r="N899">
        <f>IF(M899="","",'Master Barang'!A93)</f>
        <v>0</v>
      </c>
      <c r="O899">
        <f>IF(N899="","",'Master Barang'!B93)</f>
        <v>0</v>
      </c>
      <c r="P899">
        <f>IF(OR(M899="",N899=""),"",SUMIFS('Barang Keluar'!$E:$E,'Barang Keluar'!$A:$A,M899,'Barang Keluar'!$C:$C,N899))</f>
        <v>0</v>
      </c>
    </row>
    <row r="900" spans="13:16">
      <c r="M900" s="49">
        <f>IF($A$4+8&gt;$B$4,"",$A$4+8)</f>
        <v>46031</v>
      </c>
      <c r="N900">
        <f>IF(M900="","",'Master Barang'!A94)</f>
        <v>0</v>
      </c>
      <c r="O900">
        <f>IF(N900="","",'Master Barang'!B94)</f>
        <v>0</v>
      </c>
      <c r="P900">
        <f>IF(OR(M900="",N900=""),"",SUMIFS('Barang Keluar'!$E:$E,'Barang Keluar'!$A:$A,M900,'Barang Keluar'!$C:$C,N900))</f>
        <v>0</v>
      </c>
    </row>
    <row r="901" spans="13:16">
      <c r="M901" s="49">
        <f>IF($A$4+8&gt;$B$4,"",$A$4+8)</f>
        <v>46031</v>
      </c>
      <c r="N901">
        <f>IF(M901="","",'Master Barang'!A95)</f>
        <v>0</v>
      </c>
      <c r="O901">
        <f>IF(N901="","",'Master Barang'!B95)</f>
        <v>0</v>
      </c>
      <c r="P901">
        <f>IF(OR(M901="",N901=""),"",SUMIFS('Barang Keluar'!$E:$E,'Barang Keluar'!$A:$A,M901,'Barang Keluar'!$C:$C,N901))</f>
        <v>0</v>
      </c>
    </row>
    <row r="902" spans="13:16">
      <c r="M902" s="49">
        <f>IF($A$4+8&gt;$B$4,"",$A$4+8)</f>
        <v>46031</v>
      </c>
      <c r="N902">
        <f>IF(M902="","",'Master Barang'!A96)</f>
        <v>0</v>
      </c>
      <c r="O902">
        <f>IF(N902="","",'Master Barang'!B96)</f>
        <v>0</v>
      </c>
      <c r="P902">
        <f>IF(OR(M902="",N902=""),"",SUMIFS('Barang Keluar'!$E:$E,'Barang Keluar'!$A:$A,M902,'Barang Keluar'!$C:$C,N902))</f>
        <v>0</v>
      </c>
    </row>
    <row r="903" spans="13:16">
      <c r="M903" s="49">
        <f>IF($A$4+8&gt;$B$4,"",$A$4+8)</f>
        <v>46031</v>
      </c>
      <c r="N903">
        <f>IF(M903="","",'Master Barang'!A97)</f>
        <v>0</v>
      </c>
      <c r="O903">
        <f>IF(N903="","",'Master Barang'!B97)</f>
        <v>0</v>
      </c>
      <c r="P903">
        <f>IF(OR(M903="",N903=""),"",SUMIFS('Barang Keluar'!$E:$E,'Barang Keluar'!$A:$A,M903,'Barang Keluar'!$C:$C,N903))</f>
        <v>0</v>
      </c>
    </row>
    <row r="904" spans="13:16">
      <c r="M904" s="49">
        <f>IF($A$4+8&gt;$B$4,"",$A$4+8)</f>
        <v>46031</v>
      </c>
      <c r="N904">
        <f>IF(M904="","",'Master Barang'!A98)</f>
        <v>0</v>
      </c>
      <c r="O904">
        <f>IF(N904="","",'Master Barang'!B98)</f>
        <v>0</v>
      </c>
      <c r="P904">
        <f>IF(OR(M904="",N904=""),"",SUMIFS('Barang Keluar'!$E:$E,'Barang Keluar'!$A:$A,M904,'Barang Keluar'!$C:$C,N904))</f>
        <v>0</v>
      </c>
    </row>
    <row r="905" spans="13:16">
      <c r="M905" s="49">
        <f>IF($A$4+8&gt;$B$4,"",$A$4+8)</f>
        <v>46031</v>
      </c>
      <c r="N905">
        <f>IF(M905="","",'Master Barang'!A99)</f>
        <v>0</v>
      </c>
      <c r="O905">
        <f>IF(N905="","",'Master Barang'!B99)</f>
        <v>0</v>
      </c>
      <c r="P905">
        <f>IF(OR(M905="",N905=""),"",SUMIFS('Barang Keluar'!$E:$E,'Barang Keluar'!$A:$A,M905,'Barang Keluar'!$C:$C,N905))</f>
        <v>0</v>
      </c>
    </row>
    <row r="906" spans="13:16">
      <c r="M906" s="49">
        <f>IF($A$4+8&gt;$B$4,"",$A$4+8)</f>
        <v>46031</v>
      </c>
      <c r="N906">
        <f>IF(M906="","",'Master Barang'!A100)</f>
        <v>0</v>
      </c>
      <c r="O906">
        <f>IF(N906="","",'Master Barang'!B100)</f>
        <v>0</v>
      </c>
      <c r="P906">
        <f>IF(OR(M906="",N906=""),"",SUMIFS('Barang Keluar'!$E:$E,'Barang Keluar'!$A:$A,M906,'Barang Keluar'!$C:$C,N906))</f>
        <v>0</v>
      </c>
    </row>
    <row r="907" spans="13:16">
      <c r="M907" s="49">
        <f>IF($A$4+8&gt;$B$4,"",$A$4+8)</f>
        <v>46031</v>
      </c>
      <c r="N907">
        <f>IF(M907="","",'Master Barang'!A101)</f>
        <v>0</v>
      </c>
      <c r="O907">
        <f>IF(N907="","",'Master Barang'!B101)</f>
        <v>0</v>
      </c>
      <c r="P907">
        <f>IF(OR(M907="",N907=""),"",SUMIFS('Barang Keluar'!$E:$E,'Barang Keluar'!$A:$A,M907,'Barang Keluar'!$C:$C,N907))</f>
        <v>0</v>
      </c>
    </row>
    <row r="908" spans="13:16">
      <c r="M908" s="49">
        <f>IF($A$4+9&gt;$B$4,"",$A$4+9)</f>
        <v>46032</v>
      </c>
      <c r="N908" t="str">
        <f>IF(M908="","",'Master Barang'!A2)</f>
        <v>PRL-001</v>
      </c>
      <c r="O908" t="str">
        <f>IF(N908="","",'Master Barang'!B2)</f>
        <v>natura desinfectant food grade 5l</v>
      </c>
      <c r="P908">
        <f>IF(OR(M908="",N908=""),"",SUMIFS('Barang Keluar'!$E:$E,'Barang Keluar'!$A:$A,M908,'Barang Keluar'!$C:$C,N908))</f>
        <v>0</v>
      </c>
    </row>
    <row r="909" spans="13:16">
      <c r="M909" s="49">
        <f>IF($A$4+9&gt;$B$4,"",$A$4+9)</f>
        <v>46032</v>
      </c>
      <c r="N909" t="str">
        <f>IF(M909="","",'Master Barang'!A3)</f>
        <v>PRL-002</v>
      </c>
      <c r="O909" t="str">
        <f>IF(N909="","",'Master Barang'!B3)</f>
        <v>sunlight cairan pencuci piring 5l</v>
      </c>
      <c r="P909">
        <f>IF(OR(M909="",N909=""),"",SUMIFS('Barang Keluar'!$E:$E,'Barang Keluar'!$A:$A,M909,'Barang Keluar'!$C:$C,N909))</f>
        <v>0</v>
      </c>
    </row>
    <row r="910" spans="13:16">
      <c r="M910" s="49">
        <f>IF($A$4+9&gt;$B$4,"",$A$4+9)</f>
        <v>46032</v>
      </c>
      <c r="N910" t="str">
        <f>IF(M910="","",'Master Barang'!A4)</f>
        <v>PRL-003</v>
      </c>
      <c r="O910" t="str">
        <f>IF(N910="","",'Master Barang'!B4)</f>
        <v>oixs cleaner 1l</v>
      </c>
      <c r="P910">
        <f>IF(OR(M910="",N910=""),"",SUMIFS('Barang Keluar'!$E:$E,'Barang Keluar'!$A:$A,M910,'Barang Keluar'!$C:$C,N910))</f>
        <v>0</v>
      </c>
    </row>
    <row r="911" spans="13:16">
      <c r="M911" s="49">
        <f>IF($A$4+9&gt;$B$4,"",$A$4+9)</f>
        <v>46032</v>
      </c>
      <c r="N911" t="str">
        <f>IF(M911="","",'Master Barang'!A5)</f>
        <v>PRL-004</v>
      </c>
      <c r="O911" t="str">
        <f>IF(N911="","",'Master Barang'!B5)</f>
        <v>be clean tissue serbaguna</v>
      </c>
      <c r="P911">
        <f>IF(OR(M911="",N911=""),"",SUMIFS('Barang Keluar'!$E:$E,'Barang Keluar'!$A:$A,M911,'Barang Keluar'!$C:$C,N911))</f>
        <v>0</v>
      </c>
    </row>
    <row r="912" spans="13:16">
      <c r="M912" s="49">
        <f>IF($A$4+9&gt;$B$4,"",$A$4+9)</f>
        <v>46032</v>
      </c>
      <c r="N912" t="str">
        <f>IF(M912="","",'Master Barang'!A6)</f>
        <v>PRL-005</v>
      </c>
      <c r="O912" t="str">
        <f>IF(N912="","",'Master Barang'!B6)</f>
        <v>spons cuci hijau</v>
      </c>
      <c r="P912">
        <f>IF(OR(M912="",N912=""),"",SUMIFS('Barang Keluar'!$E:$E,'Barang Keluar'!$A:$A,M912,'Barang Keluar'!$C:$C,N912))</f>
        <v>0</v>
      </c>
    </row>
    <row r="913" spans="13:16">
      <c r="M913" s="49">
        <f>IF($A$4+9&gt;$B$4,"",$A$4+9)</f>
        <v>46032</v>
      </c>
      <c r="N913" t="str">
        <f>IF(M913="","",'Master Barang'!A7)</f>
        <v>PRL-006</v>
      </c>
      <c r="O913" t="str">
        <f>IF(N913="","",'Master Barang'!B7)</f>
        <v>sabut cuci stainless</v>
      </c>
      <c r="P913">
        <f>IF(OR(M913="",N913=""),"",SUMIFS('Barang Keluar'!$E:$E,'Barang Keluar'!$A:$A,M913,'Barang Keluar'!$C:$C,N913))</f>
        <v>0</v>
      </c>
    </row>
    <row r="914" spans="13:16">
      <c r="M914" s="49">
        <f>IF($A$4+9&gt;$B$4,"",$A$4+9)</f>
        <v>46032</v>
      </c>
      <c r="N914" t="str">
        <f>IF(M914="","",'Master Barang'!A8)</f>
        <v>PRL-007</v>
      </c>
      <c r="O914" t="str">
        <f>IF(N914="","",'Master Barang'!B8)</f>
        <v>plastik kresek besar merah 50pc</v>
      </c>
      <c r="P914">
        <f>IF(OR(M914="",N914=""),"",SUMIFS('Barang Keluar'!$E:$E,'Barang Keluar'!$A:$A,M914,'Barang Keluar'!$C:$C,N914))</f>
        <v>0</v>
      </c>
    </row>
    <row r="915" spans="13:16">
      <c r="M915" s="49">
        <f>IF($A$4+9&gt;$B$4,"",$A$4+9)</f>
        <v>46032</v>
      </c>
      <c r="N915" t="str">
        <f>IF(M915="","",'Master Barang'!A9)</f>
        <v>PRL-008</v>
      </c>
      <c r="O915" t="str">
        <f>IF(N915="","",'Master Barang'!B9)</f>
        <v>lap besar</v>
      </c>
      <c r="P915">
        <f>IF(OR(M915="",N915=""),"",SUMIFS('Barang Keluar'!$E:$E,'Barang Keluar'!$A:$A,M915,'Barang Keluar'!$C:$C,N915))</f>
        <v>0</v>
      </c>
    </row>
    <row r="916" spans="13:16">
      <c r="M916" s="49">
        <f>IF($A$4+9&gt;$B$4,"",$A$4+9)</f>
        <v>46032</v>
      </c>
      <c r="N916" t="str">
        <f>IF(M916="","",'Master Barang'!A10)</f>
        <v>PRL-009</v>
      </c>
      <c r="O916" t="str">
        <f>IF(N916="","",'Master Barang'!B10)</f>
        <v>lap microfiber</v>
      </c>
      <c r="P916">
        <f>IF(OR(M916="",N916=""),"",SUMIFS('Barang Keluar'!$E:$E,'Barang Keluar'!$A:$A,M916,'Barang Keluar'!$C:$C,N916))</f>
        <v>0</v>
      </c>
    </row>
    <row r="917" spans="13:16">
      <c r="M917" s="49">
        <f>IF($A$4+9&gt;$B$4,"",$A$4+9)</f>
        <v>46032</v>
      </c>
      <c r="N917" t="str">
        <f>IF(M917="","",'Master Barang'!A11)</f>
        <v>PRL-010</v>
      </c>
      <c r="O917" t="str">
        <f>IF(N917="","",'Master Barang'!B11)</f>
        <v>lap kecil</v>
      </c>
      <c r="P917">
        <f>IF(OR(M917="",N917=""),"",SUMIFS('Barang Keluar'!$E:$E,'Barang Keluar'!$A:$A,M917,'Barang Keluar'!$C:$C,N917))</f>
        <v>0</v>
      </c>
    </row>
    <row r="918" spans="13:16">
      <c r="M918" s="49">
        <f>IF($A$4+9&gt;$B$4,"",$A$4+9)</f>
        <v>46032</v>
      </c>
      <c r="N918" t="str">
        <f>IF(M918="","",'Master Barang'!A12)</f>
        <v>PRL-011</v>
      </c>
      <c r="O918" t="str">
        <f>IF(N918="","",'Master Barang'!B12)</f>
        <v>kanebo kecil</v>
      </c>
      <c r="P918">
        <f>IF(OR(M918="",N918=""),"",SUMIFS('Barang Keluar'!$E:$E,'Barang Keluar'!$A:$A,M918,'Barang Keluar'!$C:$C,N918))</f>
        <v>0</v>
      </c>
    </row>
    <row r="919" spans="13:16">
      <c r="M919" s="49">
        <f>IF($A$4+9&gt;$B$4,"",$A$4+9)</f>
        <v>46032</v>
      </c>
      <c r="N919" t="str">
        <f>IF(M919="","",'Master Barang'!A13)</f>
        <v>PRL-012</v>
      </c>
      <c r="O919" t="str">
        <f>IF(N919="","",'Master Barang'!B13)</f>
        <v>plastik 1/4kg joyoboyo 100 lembar</v>
      </c>
      <c r="P919">
        <f>IF(OR(M919="",N919=""),"",SUMIFS('Barang Keluar'!$E:$E,'Barang Keluar'!$A:$A,M919,'Barang Keluar'!$C:$C,N919))</f>
        <v>0</v>
      </c>
    </row>
    <row r="920" spans="13:16">
      <c r="M920" s="49">
        <f>IF($A$4+9&gt;$B$4,"",$A$4+9)</f>
        <v>46032</v>
      </c>
      <c r="N920" t="str">
        <f>IF(M920="","",'Master Barang'!A14)</f>
        <v>PRL-013</v>
      </c>
      <c r="O920" t="str">
        <f>IF(N920="","",'Master Barang'!B14)</f>
        <v>sarung tangan plastik kaka 100 pcs</v>
      </c>
      <c r="P920">
        <f>IF(OR(M920="",N920=""),"",SUMIFS('Barang Keluar'!$E:$E,'Barang Keluar'!$A:$A,M920,'Barang Keluar'!$C:$C,N920))</f>
        <v>0</v>
      </c>
    </row>
    <row r="921" spans="13:16">
      <c r="M921" s="49">
        <f>IF($A$4+9&gt;$B$4,"",$A$4+9)</f>
        <v>46032</v>
      </c>
      <c r="N921" t="str">
        <f>IF(M921="","",'Master Barang'!A15)</f>
        <v>PRL-014</v>
      </c>
      <c r="O921" t="str">
        <f>IF(N921="","",'Master Barang'!B15)</f>
        <v>optima trashbag 80x100</v>
      </c>
      <c r="P921">
        <f>IF(OR(M921="",N921=""),"",SUMIFS('Barang Keluar'!$E:$E,'Barang Keluar'!$A:$A,M921,'Barang Keluar'!$C:$C,N921))</f>
        <v>0</v>
      </c>
    </row>
    <row r="922" spans="13:16">
      <c r="M922" s="49">
        <f>IF($A$4+9&gt;$B$4,"",$A$4+9)</f>
        <v>46032</v>
      </c>
      <c r="N922" t="str">
        <f>IF(M922="","",'Master Barang'!A16)</f>
        <v>PRL-015</v>
      </c>
      <c r="O922" t="str">
        <f>IF(N922="","",'Master Barang'!B16)</f>
        <v>optima trashbag 60x100</v>
      </c>
      <c r="P922">
        <f>IF(OR(M922="",N922=""),"",SUMIFS('Barang Keluar'!$E:$E,'Barang Keluar'!$A:$A,M922,'Barang Keluar'!$C:$C,N922))</f>
        <v>0</v>
      </c>
    </row>
    <row r="923" spans="13:16">
      <c r="M923" s="49">
        <f>IF($A$4+9&gt;$B$4,"",$A$4+9)</f>
        <v>46032</v>
      </c>
      <c r="N923" t="str">
        <f>IF(M923="","",'Master Barang'!A17)</f>
        <v>PRL-016</v>
      </c>
      <c r="O923" t="str">
        <f>IF(N923="","",'Master Barang'!B17)</f>
        <v>rajawali trashbag 30x40</v>
      </c>
      <c r="P923">
        <f>IF(OR(M923="",N923=""),"",SUMIFS('Barang Keluar'!$E:$E,'Barang Keluar'!$A:$A,M923,'Barang Keluar'!$C:$C,N923))</f>
        <v>0</v>
      </c>
    </row>
    <row r="924" spans="13:16">
      <c r="M924" s="49">
        <f>IF($A$4+9&gt;$B$4,"",$A$4+9)</f>
        <v>46032</v>
      </c>
      <c r="N924" t="str">
        <f>IF(M924="","",'Master Barang'!A18)</f>
        <v>PRL-017</v>
      </c>
      <c r="O924" t="str">
        <f>IF(N924="","",'Master Barang'!B18)</f>
        <v>onemed masker biru 3 play 50 pcs</v>
      </c>
      <c r="P924">
        <f>IF(OR(M924="",N924=""),"",SUMIFS('Barang Keluar'!$E:$E,'Barang Keluar'!$A:$A,M924,'Barang Keluar'!$C:$C,N924))</f>
        <v>0</v>
      </c>
    </row>
    <row r="925" spans="13:16">
      <c r="M925" s="49">
        <f>IF($A$4+9&gt;$B$4,"",$A$4+9)</f>
        <v>46032</v>
      </c>
      <c r="N925" t="str">
        <f>IF(M925="","",'Master Barang'!A19)</f>
        <v>PRL-018</v>
      </c>
      <c r="O925" t="str">
        <f>IF(N925="","",'Master Barang'!B19)</f>
        <v>onemed masker biru 3 play hijab 50 pcs</v>
      </c>
      <c r="P925">
        <f>IF(OR(M925="",N925=""),"",SUMIFS('Barang Keluar'!$E:$E,'Barang Keluar'!$A:$A,M925,'Barang Keluar'!$C:$C,N925))</f>
        <v>0</v>
      </c>
    </row>
    <row r="926" spans="13:16">
      <c r="M926" s="49">
        <f>IF($A$4+9&gt;$B$4,"",$A$4+9)</f>
        <v>46032</v>
      </c>
      <c r="N926" t="str">
        <f>IF(M926="","",'Master Barang'!A20)</f>
        <v>PRL-019</v>
      </c>
      <c r="O926" t="str">
        <f>IF(N926="","",'Master Barang'!B20)</f>
        <v>neo health masker biru 3 play 50 pcs</v>
      </c>
      <c r="P926">
        <f>IF(OR(M926="",N926=""),"",SUMIFS('Barang Keluar'!$E:$E,'Barang Keluar'!$A:$A,M926,'Barang Keluar'!$C:$C,N926))</f>
        <v>0</v>
      </c>
    </row>
    <row r="927" spans="13:16">
      <c r="M927" s="49">
        <f>IF($A$4+9&gt;$B$4,"",$A$4+9)</f>
        <v>46032</v>
      </c>
      <c r="N927" t="str">
        <f>IF(M927="","",'Master Barang'!A21)</f>
        <v>PRL-020</v>
      </c>
      <c r="O927" t="str">
        <f>IF(N927="","",'Master Barang'!B21)</f>
        <v>baymed masker hijau 3 play hijau 50 pcs</v>
      </c>
      <c r="P927">
        <f>IF(OR(M927="",N927=""),"",SUMIFS('Barang Keluar'!$E:$E,'Barang Keluar'!$A:$A,M927,'Barang Keluar'!$C:$C,N927))</f>
        <v>0</v>
      </c>
    </row>
    <row r="928" spans="13:16">
      <c r="M928" s="49">
        <f>IF($A$4+9&gt;$B$4,"",$A$4+9)</f>
        <v>46032</v>
      </c>
      <c r="N928" t="str">
        <f>IF(M928="","",'Master Barang'!A22)</f>
        <v>PRL-021</v>
      </c>
      <c r="O928" t="str">
        <f>IF(N928="","",'Master Barang'!B22)</f>
        <v>altamed nurse cap penutup kepala 100 pcs</v>
      </c>
      <c r="P928">
        <f>IF(OR(M928="",N928=""),"",SUMIFS('Barang Keluar'!$E:$E,'Barang Keluar'!$A:$A,M928,'Barang Keluar'!$C:$C,N928))</f>
        <v>0</v>
      </c>
    </row>
    <row r="929" spans="13:16">
      <c r="M929" s="49">
        <f>IF($A$4+9&gt;$B$4,"",$A$4+9)</f>
        <v>46032</v>
      </c>
      <c r="N929" t="str">
        <f>IF(M929="","",'Master Barang'!A23)</f>
        <v>PRL-022</v>
      </c>
      <c r="O929" t="str">
        <f>IF(N929="","",'Master Barang'!B23)</f>
        <v>sabun cuci tangan</v>
      </c>
      <c r="P929">
        <f>IF(OR(M929="",N929=""),"",SUMIFS('Barang Keluar'!$E:$E,'Barang Keluar'!$A:$A,M929,'Barang Keluar'!$C:$C,N929))</f>
        <v>0</v>
      </c>
    </row>
    <row r="930" spans="13:16">
      <c r="M930" s="49">
        <f>IF($A$4+9&gt;$B$4,"",$A$4+9)</f>
        <v>46032</v>
      </c>
      <c r="N930" t="str">
        <f>IF(M930="","",'Master Barang'!A24)</f>
        <v>PRL-023</v>
      </c>
      <c r="O930" t="str">
        <f>IF(N930="","",'Master Barang'!B24)</f>
        <v>gayung kecil</v>
      </c>
      <c r="P930">
        <f>IF(OR(M930="",N930=""),"",SUMIFS('Barang Keluar'!$E:$E,'Barang Keluar'!$A:$A,M930,'Barang Keluar'!$C:$C,N930))</f>
        <v>0</v>
      </c>
    </row>
    <row r="931" spans="13:16">
      <c r="M931" s="49">
        <f>IF($A$4+9&gt;$B$4,"",$A$4+9)</f>
        <v>46032</v>
      </c>
      <c r="N931" t="str">
        <f>IF(M931="","",'Master Barang'!A25)</f>
        <v>PRL-024</v>
      </c>
      <c r="O931" t="str">
        <f>IF(N931="","",'Master Barang'!B25)</f>
        <v>cikrak kecil</v>
      </c>
      <c r="P931">
        <f>IF(OR(M931="",N931=""),"",SUMIFS('Barang Keluar'!$E:$E,'Barang Keluar'!$A:$A,M931,'Barang Keluar'!$C:$C,N931))</f>
        <v>0</v>
      </c>
    </row>
    <row r="932" spans="13:16">
      <c r="M932" s="49">
        <f>IF($A$4+9&gt;$B$4,"",$A$4+9)</f>
        <v>46032</v>
      </c>
      <c r="N932" t="str">
        <f>IF(M932="","",'Master Barang'!A26)</f>
        <v>PRL-025</v>
      </c>
      <c r="O932" t="str">
        <f>IF(N932="","",'Master Barang'!B26)</f>
        <v>petromax plastik kecil 12x24 100 lembar</v>
      </c>
      <c r="P932">
        <f>IF(OR(M932="",N932=""),"",SUMIFS('Barang Keluar'!$E:$E,'Barang Keluar'!$A:$A,M932,'Barang Keluar'!$C:$C,N932))</f>
        <v>0</v>
      </c>
    </row>
    <row r="933" spans="13:16">
      <c r="M933" s="49">
        <f>IF($A$4+9&gt;$B$4,"",$A$4+9)</f>
        <v>46032</v>
      </c>
      <c r="N933" t="str">
        <f>IF(M933="","",'Master Barang'!A27)</f>
        <v>PRL-026</v>
      </c>
      <c r="O933" t="str">
        <f>IF(N933="","",'Master Barang'!B27)</f>
        <v>lancar kresek kecil bening </v>
      </c>
      <c r="P933">
        <f>IF(OR(M933="",N933=""),"",SUMIFS('Barang Keluar'!$E:$E,'Barang Keluar'!$A:$A,M933,'Barang Keluar'!$C:$C,N933))</f>
        <v>0</v>
      </c>
    </row>
    <row r="934" spans="13:16">
      <c r="M934" s="49">
        <f>IF($A$4+9&gt;$B$4,"",$A$4+9)</f>
        <v>46032</v>
      </c>
      <c r="N934" t="str">
        <f>IF(M934="","",'Master Barang'!A28)</f>
        <v>PRL-027</v>
      </c>
      <c r="O934" t="str">
        <f>IF(N934="","",'Master Barang'!B28)</f>
        <v>kresek klin warna warni kecil</v>
      </c>
      <c r="P934">
        <f>IF(OR(M934="",N934=""),"",SUMIFS('Barang Keluar'!$E:$E,'Barang Keluar'!$A:$A,M934,'Barang Keluar'!$C:$C,N934))</f>
        <v>0</v>
      </c>
    </row>
    <row r="935" spans="13:16">
      <c r="M935" s="49">
        <f>IF($A$4+9&gt;$B$4,"",$A$4+9)</f>
        <v>46032</v>
      </c>
      <c r="N935" t="str">
        <f>IF(M935="","",'Master Barang'!A29)</f>
        <v>PRL-028</v>
      </c>
      <c r="O935" t="str">
        <f>IF(N935="","",'Master Barang'!B29)</f>
        <v>ctik plastik 7x10 100 pcs</v>
      </c>
      <c r="P935">
        <f>IF(OR(M935="",N935=""),"",SUMIFS('Barang Keluar'!$E:$E,'Barang Keluar'!$A:$A,M935,'Barang Keluar'!$C:$C,N935))</f>
        <v>0</v>
      </c>
    </row>
    <row r="936" spans="13:16">
      <c r="M936" s="49">
        <f>IF($A$4+9&gt;$B$4,"",$A$4+9)</f>
        <v>46032</v>
      </c>
      <c r="N936" t="str">
        <f>IF(M936="","",'Master Barang'!A30)</f>
        <v>PRL-029</v>
      </c>
      <c r="O936" t="str">
        <f>IF(N936="","",'Master Barang'!B30)</f>
        <v>ctik plastik 6x10 100 pcs</v>
      </c>
      <c r="P936">
        <f>IF(OR(M936="",N936=""),"",SUMIFS('Barang Keluar'!$E:$E,'Barang Keluar'!$A:$A,M936,'Barang Keluar'!$C:$C,N936))</f>
        <v>0</v>
      </c>
    </row>
    <row r="937" spans="13:16">
      <c r="M937" s="49">
        <f>IF($A$4+9&gt;$B$4,"",$A$4+9)</f>
        <v>46032</v>
      </c>
      <c r="N937" t="str">
        <f>IF(M937="","",'Master Barang'!A31)</f>
        <v>PRL-030</v>
      </c>
      <c r="O937" t="str">
        <f>IF(N937="","",'Master Barang'!B31)</f>
        <v>klip plastik 25x16 100 pcs</v>
      </c>
      <c r="P937">
        <f>IF(OR(M937="",N937=""),"",SUMIFS('Barang Keluar'!$E:$E,'Barang Keluar'!$A:$A,M937,'Barang Keluar'!$C:$C,N937))</f>
        <v>0</v>
      </c>
    </row>
    <row r="938" spans="13:16">
      <c r="M938" s="49">
        <f>IF($A$4+9&gt;$B$4,"",$A$4+9)</f>
        <v>46032</v>
      </c>
      <c r="N938" t="str">
        <f>IF(M938="","",'Master Barang'!A32)</f>
        <v>PRL-031</v>
      </c>
      <c r="O938" t="str">
        <f>IF(N938="","",'Master Barang'!B32)</f>
        <v>tempat saus 20 ml</v>
      </c>
      <c r="P938">
        <f>IF(OR(M938="",N938=""),"",SUMIFS('Barang Keluar'!$E:$E,'Barang Keluar'!$A:$A,M938,'Barang Keluar'!$C:$C,N938))</f>
        <v>0</v>
      </c>
    </row>
    <row r="939" spans="13:16">
      <c r="M939" s="49">
        <f>IF($A$4+9&gt;$B$4,"",$A$4+9)</f>
        <v>46032</v>
      </c>
      <c r="N939" t="str">
        <f>IF(M939="","",'Master Barang'!A33)</f>
        <v>PRL-032</v>
      </c>
      <c r="O939" t="str">
        <f>IF(N939="","",'Master Barang'!B33)</f>
        <v>plastik packaging ag box uk sedang</v>
      </c>
      <c r="P939">
        <f>IF(OR(M939="",N939=""),"",SUMIFS('Barang Keluar'!$E:$E,'Barang Keluar'!$A:$A,M939,'Barang Keluar'!$C:$C,N939))</f>
        <v>0</v>
      </c>
    </row>
    <row r="940" spans="13:16">
      <c r="M940" s="49">
        <f>IF($A$4+9&gt;$B$4,"",$A$4+9)</f>
        <v>46032</v>
      </c>
      <c r="N940" t="str">
        <f>IF(M940="","",'Master Barang'!A34)</f>
        <v>PRL-033</v>
      </c>
      <c r="O940">
        <f>IF(N940="","",'Master Barang'!B34)</f>
        <v>0</v>
      </c>
      <c r="P940">
        <f>IF(OR(M940="",N940=""),"",SUMIFS('Barang Keluar'!$E:$E,'Barang Keluar'!$A:$A,M940,'Barang Keluar'!$C:$C,N940))</f>
        <v>0</v>
      </c>
    </row>
    <row r="941" spans="13:16">
      <c r="M941" s="49">
        <f>IF($A$4+9&gt;$B$4,"",$A$4+9)</f>
        <v>46032</v>
      </c>
      <c r="N941">
        <f>IF(M941="","",'Master Barang'!A35)</f>
        <v>0</v>
      </c>
      <c r="O941">
        <f>IF(N941="","",'Master Barang'!B35)</f>
        <v>0</v>
      </c>
      <c r="P941">
        <f>IF(OR(M941="",N941=""),"",SUMIFS('Barang Keluar'!$E:$E,'Barang Keluar'!$A:$A,M941,'Barang Keluar'!$C:$C,N941))</f>
        <v>0</v>
      </c>
    </row>
    <row r="942" spans="13:16">
      <c r="M942" s="49">
        <f>IF($A$4+9&gt;$B$4,"",$A$4+9)</f>
        <v>46032</v>
      </c>
      <c r="N942">
        <f>IF(M942="","",'Master Barang'!A36)</f>
        <v>0</v>
      </c>
      <c r="O942">
        <f>IF(N942="","",'Master Barang'!B36)</f>
        <v>0</v>
      </c>
      <c r="P942">
        <f>IF(OR(M942="",N942=""),"",SUMIFS('Barang Keluar'!$E:$E,'Barang Keluar'!$A:$A,M942,'Barang Keluar'!$C:$C,N942))</f>
        <v>0</v>
      </c>
    </row>
    <row r="943" spans="13:16">
      <c r="M943" s="49">
        <f>IF($A$4+9&gt;$B$4,"",$A$4+9)</f>
        <v>46032</v>
      </c>
      <c r="N943">
        <f>IF(M943="","",'Master Barang'!A37)</f>
        <v>0</v>
      </c>
      <c r="O943">
        <f>IF(N943="","",'Master Barang'!B37)</f>
        <v>0</v>
      </c>
      <c r="P943">
        <f>IF(OR(M943="",N943=""),"",SUMIFS('Barang Keluar'!$E:$E,'Barang Keluar'!$A:$A,M943,'Barang Keluar'!$C:$C,N943))</f>
        <v>0</v>
      </c>
    </row>
    <row r="944" spans="13:16">
      <c r="M944" s="49">
        <f>IF($A$4+9&gt;$B$4,"",$A$4+9)</f>
        <v>46032</v>
      </c>
      <c r="N944">
        <f>IF(M944="","",'Master Barang'!A38)</f>
        <v>0</v>
      </c>
      <c r="O944">
        <f>IF(N944="","",'Master Barang'!B38)</f>
        <v>0</v>
      </c>
      <c r="P944">
        <f>IF(OR(M944="",N944=""),"",SUMIFS('Barang Keluar'!$E:$E,'Barang Keluar'!$A:$A,M944,'Barang Keluar'!$C:$C,N944))</f>
        <v>0</v>
      </c>
    </row>
    <row r="945" spans="13:16">
      <c r="M945" s="49">
        <f>IF($A$4+9&gt;$B$4,"",$A$4+9)</f>
        <v>46032</v>
      </c>
      <c r="N945">
        <f>IF(M945="","",'Master Barang'!A39)</f>
        <v>0</v>
      </c>
      <c r="O945">
        <f>IF(N945="","",'Master Barang'!B39)</f>
        <v>0</v>
      </c>
      <c r="P945">
        <f>IF(OR(M945="",N945=""),"",SUMIFS('Barang Keluar'!$E:$E,'Barang Keluar'!$A:$A,M945,'Barang Keluar'!$C:$C,N945))</f>
        <v>0</v>
      </c>
    </row>
    <row r="946" spans="13:16">
      <c r="M946" s="49">
        <f>IF($A$4+9&gt;$B$4,"",$A$4+9)</f>
        <v>46032</v>
      </c>
      <c r="N946">
        <f>IF(M946="","",'Master Barang'!A40)</f>
        <v>0</v>
      </c>
      <c r="O946">
        <f>IF(N946="","",'Master Barang'!B40)</f>
        <v>0</v>
      </c>
      <c r="P946">
        <f>IF(OR(M946="",N946=""),"",SUMIFS('Barang Keluar'!$E:$E,'Barang Keluar'!$A:$A,M946,'Barang Keluar'!$C:$C,N946))</f>
        <v>0</v>
      </c>
    </row>
    <row r="947" spans="13:16">
      <c r="M947" s="49">
        <f>IF($A$4+9&gt;$B$4,"",$A$4+9)</f>
        <v>46032</v>
      </c>
      <c r="N947">
        <f>IF(M947="","",'Master Barang'!A41)</f>
        <v>0</v>
      </c>
      <c r="O947">
        <f>IF(N947="","",'Master Barang'!B41)</f>
        <v>0</v>
      </c>
      <c r="P947">
        <f>IF(OR(M947="",N947=""),"",SUMIFS('Barang Keluar'!$E:$E,'Barang Keluar'!$A:$A,M947,'Barang Keluar'!$C:$C,N947))</f>
        <v>0</v>
      </c>
    </row>
    <row r="948" spans="13:16">
      <c r="M948" s="49">
        <f>IF($A$4+9&gt;$B$4,"",$A$4+9)</f>
        <v>46032</v>
      </c>
      <c r="N948">
        <f>IF(M948="","",'Master Barang'!A42)</f>
        <v>0</v>
      </c>
      <c r="O948">
        <f>IF(N948="","",'Master Barang'!B42)</f>
        <v>0</v>
      </c>
      <c r="P948">
        <f>IF(OR(M948="",N948=""),"",SUMIFS('Barang Keluar'!$E:$E,'Barang Keluar'!$A:$A,M948,'Barang Keluar'!$C:$C,N948))</f>
        <v>0</v>
      </c>
    </row>
    <row r="949" spans="13:16">
      <c r="M949" s="49">
        <f>IF($A$4+9&gt;$B$4,"",$A$4+9)</f>
        <v>46032</v>
      </c>
      <c r="N949">
        <f>IF(M949="","",'Master Barang'!A43)</f>
        <v>0</v>
      </c>
      <c r="O949">
        <f>IF(N949="","",'Master Barang'!B43)</f>
        <v>0</v>
      </c>
      <c r="P949">
        <f>IF(OR(M949="",N949=""),"",SUMIFS('Barang Keluar'!$E:$E,'Barang Keluar'!$A:$A,M949,'Barang Keluar'!$C:$C,N949))</f>
        <v>0</v>
      </c>
    </row>
    <row r="950" spans="13:16">
      <c r="M950" s="49">
        <f>IF($A$4+9&gt;$B$4,"",$A$4+9)</f>
        <v>46032</v>
      </c>
      <c r="N950">
        <f>IF(M950="","",'Master Barang'!A44)</f>
        <v>0</v>
      </c>
      <c r="O950">
        <f>IF(N950="","",'Master Barang'!B44)</f>
        <v>0</v>
      </c>
      <c r="P950">
        <f>IF(OR(M950="",N950=""),"",SUMIFS('Barang Keluar'!$E:$E,'Barang Keluar'!$A:$A,M950,'Barang Keluar'!$C:$C,N950))</f>
        <v>0</v>
      </c>
    </row>
    <row r="951" spans="13:16">
      <c r="M951" s="49">
        <f>IF($A$4+9&gt;$B$4,"",$A$4+9)</f>
        <v>46032</v>
      </c>
      <c r="N951">
        <f>IF(M951="","",'Master Barang'!A45)</f>
        <v>0</v>
      </c>
      <c r="O951">
        <f>IF(N951="","",'Master Barang'!B45)</f>
        <v>0</v>
      </c>
      <c r="P951">
        <f>IF(OR(M951="",N951=""),"",SUMIFS('Barang Keluar'!$E:$E,'Barang Keluar'!$A:$A,M951,'Barang Keluar'!$C:$C,N951))</f>
        <v>0</v>
      </c>
    </row>
    <row r="952" spans="13:16">
      <c r="M952" s="49">
        <f>IF($A$4+9&gt;$B$4,"",$A$4+9)</f>
        <v>46032</v>
      </c>
      <c r="N952">
        <f>IF(M952="","",'Master Barang'!A46)</f>
        <v>0</v>
      </c>
      <c r="O952">
        <f>IF(N952="","",'Master Barang'!B46)</f>
        <v>0</v>
      </c>
      <c r="P952">
        <f>IF(OR(M952="",N952=""),"",SUMIFS('Barang Keluar'!$E:$E,'Barang Keluar'!$A:$A,M952,'Barang Keluar'!$C:$C,N952))</f>
        <v>0</v>
      </c>
    </row>
    <row r="953" spans="13:16">
      <c r="M953" s="49">
        <f>IF($A$4+9&gt;$B$4,"",$A$4+9)</f>
        <v>46032</v>
      </c>
      <c r="N953">
        <f>IF(M953="","",'Master Barang'!A47)</f>
        <v>0</v>
      </c>
      <c r="O953">
        <f>IF(N953="","",'Master Barang'!B47)</f>
        <v>0</v>
      </c>
      <c r="P953">
        <f>IF(OR(M953="",N953=""),"",SUMIFS('Barang Keluar'!$E:$E,'Barang Keluar'!$A:$A,M953,'Barang Keluar'!$C:$C,N953))</f>
        <v>0</v>
      </c>
    </row>
    <row r="954" spans="13:16">
      <c r="M954" s="49">
        <f>IF($A$4+9&gt;$B$4,"",$A$4+9)</f>
        <v>46032</v>
      </c>
      <c r="N954">
        <f>IF(M954="","",'Master Barang'!A48)</f>
        <v>0</v>
      </c>
      <c r="O954">
        <f>IF(N954="","",'Master Barang'!B48)</f>
        <v>0</v>
      </c>
      <c r="P954">
        <f>IF(OR(M954="",N954=""),"",SUMIFS('Barang Keluar'!$E:$E,'Barang Keluar'!$A:$A,M954,'Barang Keluar'!$C:$C,N954))</f>
        <v>0</v>
      </c>
    </row>
    <row r="955" spans="13:16">
      <c r="M955" s="49">
        <f>IF($A$4+9&gt;$B$4,"",$A$4+9)</f>
        <v>46032</v>
      </c>
      <c r="N955">
        <f>IF(M955="","",'Master Barang'!A49)</f>
        <v>0</v>
      </c>
      <c r="O955">
        <f>IF(N955="","",'Master Barang'!B49)</f>
        <v>0</v>
      </c>
      <c r="P955">
        <f>IF(OR(M955="",N955=""),"",SUMIFS('Barang Keluar'!$E:$E,'Barang Keluar'!$A:$A,M955,'Barang Keluar'!$C:$C,N955))</f>
        <v>0</v>
      </c>
    </row>
    <row r="956" spans="13:16">
      <c r="M956" s="49">
        <f>IF($A$4+9&gt;$B$4,"",$A$4+9)</f>
        <v>46032</v>
      </c>
      <c r="N956">
        <f>IF(M956="","",'Master Barang'!A50)</f>
        <v>0</v>
      </c>
      <c r="O956">
        <f>IF(N956="","",'Master Barang'!B50)</f>
        <v>0</v>
      </c>
      <c r="P956">
        <f>IF(OR(M956="",N956=""),"",SUMIFS('Barang Keluar'!$E:$E,'Barang Keluar'!$A:$A,M956,'Barang Keluar'!$C:$C,N956))</f>
        <v>0</v>
      </c>
    </row>
    <row r="957" spans="13:16">
      <c r="M957" s="49">
        <f>IF($A$4+9&gt;$B$4,"",$A$4+9)</f>
        <v>46032</v>
      </c>
      <c r="N957">
        <f>IF(M957="","",'Master Barang'!A51)</f>
        <v>0</v>
      </c>
      <c r="O957">
        <f>IF(N957="","",'Master Barang'!B51)</f>
        <v>0</v>
      </c>
      <c r="P957">
        <f>IF(OR(M957="",N957=""),"",SUMIFS('Barang Keluar'!$E:$E,'Barang Keluar'!$A:$A,M957,'Barang Keluar'!$C:$C,N957))</f>
        <v>0</v>
      </c>
    </row>
    <row r="958" spans="13:16">
      <c r="M958" s="49">
        <f>IF($A$4+9&gt;$B$4,"",$A$4+9)</f>
        <v>46032</v>
      </c>
      <c r="N958">
        <f>IF(M958="","",'Master Barang'!A52)</f>
        <v>0</v>
      </c>
      <c r="O958">
        <f>IF(N958="","",'Master Barang'!B52)</f>
        <v>0</v>
      </c>
      <c r="P958">
        <f>IF(OR(M958="",N958=""),"",SUMIFS('Barang Keluar'!$E:$E,'Barang Keluar'!$A:$A,M958,'Barang Keluar'!$C:$C,N958))</f>
        <v>0</v>
      </c>
    </row>
    <row r="959" spans="13:16">
      <c r="M959" s="49">
        <f>IF($A$4+9&gt;$B$4,"",$A$4+9)</f>
        <v>46032</v>
      </c>
      <c r="N959">
        <f>IF(M959="","",'Master Barang'!A53)</f>
        <v>0</v>
      </c>
      <c r="O959">
        <f>IF(N959="","",'Master Barang'!B53)</f>
        <v>0</v>
      </c>
      <c r="P959">
        <f>IF(OR(M959="",N959=""),"",SUMIFS('Barang Keluar'!$E:$E,'Barang Keluar'!$A:$A,M959,'Barang Keluar'!$C:$C,N959))</f>
        <v>0</v>
      </c>
    </row>
    <row r="960" spans="13:16">
      <c r="M960" s="49">
        <f>IF($A$4+9&gt;$B$4,"",$A$4+9)</f>
        <v>46032</v>
      </c>
      <c r="N960">
        <f>IF(M960="","",'Master Barang'!A54)</f>
        <v>0</v>
      </c>
      <c r="O960">
        <f>IF(N960="","",'Master Barang'!B54)</f>
        <v>0</v>
      </c>
      <c r="P960">
        <f>IF(OR(M960="",N960=""),"",SUMIFS('Barang Keluar'!$E:$E,'Barang Keluar'!$A:$A,M960,'Barang Keluar'!$C:$C,N960))</f>
        <v>0</v>
      </c>
    </row>
    <row r="961" spans="13:16">
      <c r="M961" s="49">
        <f>IF($A$4+9&gt;$B$4,"",$A$4+9)</f>
        <v>46032</v>
      </c>
      <c r="N961">
        <f>IF(M961="","",'Master Barang'!A55)</f>
        <v>0</v>
      </c>
      <c r="O961">
        <f>IF(N961="","",'Master Barang'!B55)</f>
        <v>0</v>
      </c>
      <c r="P961">
        <f>IF(OR(M961="",N961=""),"",SUMIFS('Barang Keluar'!$E:$E,'Barang Keluar'!$A:$A,M961,'Barang Keluar'!$C:$C,N961))</f>
        <v>0</v>
      </c>
    </row>
    <row r="962" spans="13:16">
      <c r="M962" s="49">
        <f>IF($A$4+9&gt;$B$4,"",$A$4+9)</f>
        <v>46032</v>
      </c>
      <c r="N962">
        <f>IF(M962="","",'Master Barang'!A56)</f>
        <v>0</v>
      </c>
      <c r="O962">
        <f>IF(N962="","",'Master Barang'!B56)</f>
        <v>0</v>
      </c>
      <c r="P962">
        <f>IF(OR(M962="",N962=""),"",SUMIFS('Barang Keluar'!$E:$E,'Barang Keluar'!$A:$A,M962,'Barang Keluar'!$C:$C,N962))</f>
        <v>0</v>
      </c>
    </row>
    <row r="963" spans="13:16">
      <c r="M963" s="49">
        <f>IF($A$4+9&gt;$B$4,"",$A$4+9)</f>
        <v>46032</v>
      </c>
      <c r="N963">
        <f>IF(M963="","",'Master Barang'!A57)</f>
        <v>0</v>
      </c>
      <c r="O963">
        <f>IF(N963="","",'Master Barang'!B57)</f>
        <v>0</v>
      </c>
      <c r="P963">
        <f>IF(OR(M963="",N963=""),"",SUMIFS('Barang Keluar'!$E:$E,'Barang Keluar'!$A:$A,M963,'Barang Keluar'!$C:$C,N963))</f>
        <v>0</v>
      </c>
    </row>
    <row r="964" spans="13:16">
      <c r="M964" s="49">
        <f>IF($A$4+9&gt;$B$4,"",$A$4+9)</f>
        <v>46032</v>
      </c>
      <c r="N964">
        <f>IF(M964="","",'Master Barang'!A58)</f>
        <v>0</v>
      </c>
      <c r="O964">
        <f>IF(N964="","",'Master Barang'!B58)</f>
        <v>0</v>
      </c>
      <c r="P964">
        <f>IF(OR(M964="",N964=""),"",SUMIFS('Barang Keluar'!$E:$E,'Barang Keluar'!$A:$A,M964,'Barang Keluar'!$C:$C,N964))</f>
        <v>0</v>
      </c>
    </row>
    <row r="965" spans="13:16">
      <c r="M965" s="49">
        <f>IF($A$4+9&gt;$B$4,"",$A$4+9)</f>
        <v>46032</v>
      </c>
      <c r="N965">
        <f>IF(M965="","",'Master Barang'!A59)</f>
        <v>0</v>
      </c>
      <c r="O965">
        <f>IF(N965="","",'Master Barang'!B59)</f>
        <v>0</v>
      </c>
      <c r="P965">
        <f>IF(OR(M965="",N965=""),"",SUMIFS('Barang Keluar'!$E:$E,'Barang Keluar'!$A:$A,M965,'Barang Keluar'!$C:$C,N965))</f>
        <v>0</v>
      </c>
    </row>
    <row r="966" spans="13:16">
      <c r="M966" s="49">
        <f>IF($A$4+9&gt;$B$4,"",$A$4+9)</f>
        <v>46032</v>
      </c>
      <c r="N966">
        <f>IF(M966="","",'Master Barang'!A60)</f>
        <v>0</v>
      </c>
      <c r="O966">
        <f>IF(N966="","",'Master Barang'!B60)</f>
        <v>0</v>
      </c>
      <c r="P966">
        <f>IF(OR(M966="",N966=""),"",SUMIFS('Barang Keluar'!$E:$E,'Barang Keluar'!$A:$A,M966,'Barang Keluar'!$C:$C,N966))</f>
        <v>0</v>
      </c>
    </row>
    <row r="967" spans="13:16">
      <c r="M967" s="49">
        <f>IF($A$4+9&gt;$B$4,"",$A$4+9)</f>
        <v>46032</v>
      </c>
      <c r="N967">
        <f>IF(M967="","",'Master Barang'!A61)</f>
        <v>0</v>
      </c>
      <c r="O967">
        <f>IF(N967="","",'Master Barang'!B61)</f>
        <v>0</v>
      </c>
      <c r="P967">
        <f>IF(OR(M967="",N967=""),"",SUMIFS('Barang Keluar'!$E:$E,'Barang Keluar'!$A:$A,M967,'Barang Keluar'!$C:$C,N967))</f>
        <v>0</v>
      </c>
    </row>
    <row r="968" spans="13:16">
      <c r="M968" s="49">
        <f>IF($A$4+9&gt;$B$4,"",$A$4+9)</f>
        <v>46032</v>
      </c>
      <c r="N968">
        <f>IF(M968="","",'Master Barang'!A62)</f>
        <v>0</v>
      </c>
      <c r="O968">
        <f>IF(N968="","",'Master Barang'!B62)</f>
        <v>0</v>
      </c>
      <c r="P968">
        <f>IF(OR(M968="",N968=""),"",SUMIFS('Barang Keluar'!$E:$E,'Barang Keluar'!$A:$A,M968,'Barang Keluar'!$C:$C,N968))</f>
        <v>0</v>
      </c>
    </row>
    <row r="969" spans="13:16">
      <c r="M969" s="49">
        <f>IF($A$4+9&gt;$B$4,"",$A$4+9)</f>
        <v>46032</v>
      </c>
      <c r="N969">
        <f>IF(M969="","",'Master Barang'!A63)</f>
        <v>0</v>
      </c>
      <c r="O969">
        <f>IF(N969="","",'Master Barang'!B63)</f>
        <v>0</v>
      </c>
      <c r="P969">
        <f>IF(OR(M969="",N969=""),"",SUMIFS('Barang Keluar'!$E:$E,'Barang Keluar'!$A:$A,M969,'Barang Keluar'!$C:$C,N969))</f>
        <v>0</v>
      </c>
    </row>
    <row r="970" spans="13:16">
      <c r="M970" s="49">
        <f>IF($A$4+9&gt;$B$4,"",$A$4+9)</f>
        <v>46032</v>
      </c>
      <c r="N970">
        <f>IF(M970="","",'Master Barang'!A64)</f>
        <v>0</v>
      </c>
      <c r="O970">
        <f>IF(N970="","",'Master Barang'!B64)</f>
        <v>0</v>
      </c>
      <c r="P970">
        <f>IF(OR(M970="",N970=""),"",SUMIFS('Barang Keluar'!$E:$E,'Barang Keluar'!$A:$A,M970,'Barang Keluar'!$C:$C,N970))</f>
        <v>0</v>
      </c>
    </row>
    <row r="971" spans="13:16">
      <c r="M971" s="49">
        <f>IF($A$4+9&gt;$B$4,"",$A$4+9)</f>
        <v>46032</v>
      </c>
      <c r="N971">
        <f>IF(M971="","",'Master Barang'!A65)</f>
        <v>0</v>
      </c>
      <c r="O971">
        <f>IF(N971="","",'Master Barang'!B65)</f>
        <v>0</v>
      </c>
      <c r="P971">
        <f>IF(OR(M971="",N971=""),"",SUMIFS('Barang Keluar'!$E:$E,'Barang Keluar'!$A:$A,M971,'Barang Keluar'!$C:$C,N971))</f>
        <v>0</v>
      </c>
    </row>
    <row r="972" spans="13:16">
      <c r="M972" s="49">
        <f>IF($A$4+9&gt;$B$4,"",$A$4+9)</f>
        <v>46032</v>
      </c>
      <c r="N972">
        <f>IF(M972="","",'Master Barang'!A66)</f>
        <v>0</v>
      </c>
      <c r="O972">
        <f>IF(N972="","",'Master Barang'!B66)</f>
        <v>0</v>
      </c>
      <c r="P972">
        <f>IF(OR(M972="",N972=""),"",SUMIFS('Barang Keluar'!$E:$E,'Barang Keluar'!$A:$A,M972,'Barang Keluar'!$C:$C,N972))</f>
        <v>0</v>
      </c>
    </row>
    <row r="973" spans="13:16">
      <c r="M973" s="49">
        <f>IF($A$4+9&gt;$B$4,"",$A$4+9)</f>
        <v>46032</v>
      </c>
      <c r="N973">
        <f>IF(M973="","",'Master Barang'!A67)</f>
        <v>0</v>
      </c>
      <c r="O973">
        <f>IF(N973="","",'Master Barang'!B67)</f>
        <v>0</v>
      </c>
      <c r="P973">
        <f>IF(OR(M973="",N973=""),"",SUMIFS('Barang Keluar'!$E:$E,'Barang Keluar'!$A:$A,M973,'Barang Keluar'!$C:$C,N973))</f>
        <v>0</v>
      </c>
    </row>
    <row r="974" spans="13:16">
      <c r="M974" s="49">
        <f>IF($A$4+9&gt;$B$4,"",$A$4+9)</f>
        <v>46032</v>
      </c>
      <c r="N974">
        <f>IF(M974="","",'Master Barang'!A68)</f>
        <v>0</v>
      </c>
      <c r="O974">
        <f>IF(N974="","",'Master Barang'!B68)</f>
        <v>0</v>
      </c>
      <c r="P974">
        <f>IF(OR(M974="",N974=""),"",SUMIFS('Barang Keluar'!$E:$E,'Barang Keluar'!$A:$A,M974,'Barang Keluar'!$C:$C,N974))</f>
        <v>0</v>
      </c>
    </row>
    <row r="975" spans="13:16">
      <c r="M975" s="49">
        <f>IF($A$4+9&gt;$B$4,"",$A$4+9)</f>
        <v>46032</v>
      </c>
      <c r="N975">
        <f>IF(M975="","",'Master Barang'!A69)</f>
        <v>0</v>
      </c>
      <c r="O975">
        <f>IF(N975="","",'Master Barang'!B69)</f>
        <v>0</v>
      </c>
      <c r="P975">
        <f>IF(OR(M975="",N975=""),"",SUMIFS('Barang Keluar'!$E:$E,'Barang Keluar'!$A:$A,M975,'Barang Keluar'!$C:$C,N975))</f>
        <v>0</v>
      </c>
    </row>
    <row r="976" spans="13:16">
      <c r="M976" s="49">
        <f>IF($A$4+9&gt;$B$4,"",$A$4+9)</f>
        <v>46032</v>
      </c>
      <c r="N976">
        <f>IF(M976="","",'Master Barang'!A70)</f>
        <v>0</v>
      </c>
      <c r="O976">
        <f>IF(N976="","",'Master Barang'!B70)</f>
        <v>0</v>
      </c>
      <c r="P976">
        <f>IF(OR(M976="",N976=""),"",SUMIFS('Barang Keluar'!$E:$E,'Barang Keluar'!$A:$A,M976,'Barang Keluar'!$C:$C,N976))</f>
        <v>0</v>
      </c>
    </row>
    <row r="977" spans="13:16">
      <c r="M977" s="49">
        <f>IF($A$4+9&gt;$B$4,"",$A$4+9)</f>
        <v>46032</v>
      </c>
      <c r="N977">
        <f>IF(M977="","",'Master Barang'!A71)</f>
        <v>0</v>
      </c>
      <c r="O977">
        <f>IF(N977="","",'Master Barang'!B71)</f>
        <v>0</v>
      </c>
      <c r="P977">
        <f>IF(OR(M977="",N977=""),"",SUMIFS('Barang Keluar'!$E:$E,'Barang Keluar'!$A:$A,M977,'Barang Keluar'!$C:$C,N977))</f>
        <v>0</v>
      </c>
    </row>
    <row r="978" spans="13:16">
      <c r="M978" s="49">
        <f>IF($A$4+9&gt;$B$4,"",$A$4+9)</f>
        <v>46032</v>
      </c>
      <c r="N978">
        <f>IF(M978="","",'Master Barang'!A72)</f>
        <v>0</v>
      </c>
      <c r="O978">
        <f>IF(N978="","",'Master Barang'!B72)</f>
        <v>0</v>
      </c>
      <c r="P978">
        <f>IF(OR(M978="",N978=""),"",SUMIFS('Barang Keluar'!$E:$E,'Barang Keluar'!$A:$A,M978,'Barang Keluar'!$C:$C,N978))</f>
        <v>0</v>
      </c>
    </row>
    <row r="979" spans="13:16">
      <c r="M979" s="49">
        <f>IF($A$4+9&gt;$B$4,"",$A$4+9)</f>
        <v>46032</v>
      </c>
      <c r="N979">
        <f>IF(M979="","",'Master Barang'!A73)</f>
        <v>0</v>
      </c>
      <c r="O979">
        <f>IF(N979="","",'Master Barang'!B73)</f>
        <v>0</v>
      </c>
      <c r="P979">
        <f>IF(OR(M979="",N979=""),"",SUMIFS('Barang Keluar'!$E:$E,'Barang Keluar'!$A:$A,M979,'Barang Keluar'!$C:$C,N979))</f>
        <v>0</v>
      </c>
    </row>
    <row r="980" spans="13:16">
      <c r="M980" s="49">
        <f>IF($A$4+9&gt;$B$4,"",$A$4+9)</f>
        <v>46032</v>
      </c>
      <c r="N980">
        <f>IF(M980="","",'Master Barang'!A74)</f>
        <v>0</v>
      </c>
      <c r="O980">
        <f>IF(N980="","",'Master Barang'!B74)</f>
        <v>0</v>
      </c>
      <c r="P980">
        <f>IF(OR(M980="",N980=""),"",SUMIFS('Barang Keluar'!$E:$E,'Barang Keluar'!$A:$A,M980,'Barang Keluar'!$C:$C,N980))</f>
        <v>0</v>
      </c>
    </row>
    <row r="981" spans="13:16">
      <c r="M981" s="49">
        <f>IF($A$4+9&gt;$B$4,"",$A$4+9)</f>
        <v>46032</v>
      </c>
      <c r="N981">
        <f>IF(M981="","",'Master Barang'!A75)</f>
        <v>0</v>
      </c>
      <c r="O981">
        <f>IF(N981="","",'Master Barang'!B75)</f>
        <v>0</v>
      </c>
      <c r="P981">
        <f>IF(OR(M981="",N981=""),"",SUMIFS('Barang Keluar'!$E:$E,'Barang Keluar'!$A:$A,M981,'Barang Keluar'!$C:$C,N981))</f>
        <v>0</v>
      </c>
    </row>
    <row r="982" spans="13:16">
      <c r="M982" s="49">
        <f>IF($A$4+9&gt;$B$4,"",$A$4+9)</f>
        <v>46032</v>
      </c>
      <c r="N982">
        <f>IF(M982="","",'Master Barang'!A76)</f>
        <v>0</v>
      </c>
      <c r="O982">
        <f>IF(N982="","",'Master Barang'!B76)</f>
        <v>0</v>
      </c>
      <c r="P982">
        <f>IF(OR(M982="",N982=""),"",SUMIFS('Barang Keluar'!$E:$E,'Barang Keluar'!$A:$A,M982,'Barang Keluar'!$C:$C,N982))</f>
        <v>0</v>
      </c>
    </row>
    <row r="983" spans="13:16">
      <c r="M983" s="49">
        <f>IF($A$4+9&gt;$B$4,"",$A$4+9)</f>
        <v>46032</v>
      </c>
      <c r="N983">
        <f>IF(M983="","",'Master Barang'!A77)</f>
        <v>0</v>
      </c>
      <c r="O983">
        <f>IF(N983="","",'Master Barang'!B77)</f>
        <v>0</v>
      </c>
      <c r="P983">
        <f>IF(OR(M983="",N983=""),"",SUMIFS('Barang Keluar'!$E:$E,'Barang Keluar'!$A:$A,M983,'Barang Keluar'!$C:$C,N983))</f>
        <v>0</v>
      </c>
    </row>
    <row r="984" spans="13:16">
      <c r="M984" s="49">
        <f>IF($A$4+9&gt;$B$4,"",$A$4+9)</f>
        <v>46032</v>
      </c>
      <c r="N984">
        <f>IF(M984="","",'Master Barang'!A78)</f>
        <v>0</v>
      </c>
      <c r="O984">
        <f>IF(N984="","",'Master Barang'!B78)</f>
        <v>0</v>
      </c>
      <c r="P984">
        <f>IF(OR(M984="",N984=""),"",SUMIFS('Barang Keluar'!$E:$E,'Barang Keluar'!$A:$A,M984,'Barang Keluar'!$C:$C,N984))</f>
        <v>0</v>
      </c>
    </row>
    <row r="985" spans="13:16">
      <c r="M985" s="49">
        <f>IF($A$4+9&gt;$B$4,"",$A$4+9)</f>
        <v>46032</v>
      </c>
      <c r="N985">
        <f>IF(M985="","",'Master Barang'!A79)</f>
        <v>0</v>
      </c>
      <c r="O985">
        <f>IF(N985="","",'Master Barang'!B79)</f>
        <v>0</v>
      </c>
      <c r="P985">
        <f>IF(OR(M985="",N985=""),"",SUMIFS('Barang Keluar'!$E:$E,'Barang Keluar'!$A:$A,M985,'Barang Keluar'!$C:$C,N985))</f>
        <v>0</v>
      </c>
    </row>
    <row r="986" spans="13:16">
      <c r="M986" s="49">
        <f>IF($A$4+9&gt;$B$4,"",$A$4+9)</f>
        <v>46032</v>
      </c>
      <c r="N986">
        <f>IF(M986="","",'Master Barang'!A80)</f>
        <v>0</v>
      </c>
      <c r="O986">
        <f>IF(N986="","",'Master Barang'!B80)</f>
        <v>0</v>
      </c>
      <c r="P986">
        <f>IF(OR(M986="",N986=""),"",SUMIFS('Barang Keluar'!$E:$E,'Barang Keluar'!$A:$A,M986,'Barang Keluar'!$C:$C,N986))</f>
        <v>0</v>
      </c>
    </row>
    <row r="987" spans="13:16">
      <c r="M987" s="49">
        <f>IF($A$4+9&gt;$B$4,"",$A$4+9)</f>
        <v>46032</v>
      </c>
      <c r="N987">
        <f>IF(M987="","",'Master Barang'!A81)</f>
        <v>0</v>
      </c>
      <c r="O987">
        <f>IF(N987="","",'Master Barang'!B81)</f>
        <v>0</v>
      </c>
      <c r="P987">
        <f>IF(OR(M987="",N987=""),"",SUMIFS('Barang Keluar'!$E:$E,'Barang Keluar'!$A:$A,M987,'Barang Keluar'!$C:$C,N987))</f>
        <v>0</v>
      </c>
    </row>
    <row r="988" spans="13:16">
      <c r="M988" s="49">
        <f>IF($A$4+9&gt;$B$4,"",$A$4+9)</f>
        <v>46032</v>
      </c>
      <c r="N988">
        <f>IF(M988="","",'Master Barang'!A82)</f>
        <v>0</v>
      </c>
      <c r="O988">
        <f>IF(N988="","",'Master Barang'!B82)</f>
        <v>0</v>
      </c>
      <c r="P988">
        <f>IF(OR(M988="",N988=""),"",SUMIFS('Barang Keluar'!$E:$E,'Barang Keluar'!$A:$A,M988,'Barang Keluar'!$C:$C,N988))</f>
        <v>0</v>
      </c>
    </row>
    <row r="989" spans="13:16">
      <c r="M989" s="49">
        <f>IF($A$4+9&gt;$B$4,"",$A$4+9)</f>
        <v>46032</v>
      </c>
      <c r="N989">
        <f>IF(M989="","",'Master Barang'!A83)</f>
        <v>0</v>
      </c>
      <c r="O989">
        <f>IF(N989="","",'Master Barang'!B83)</f>
        <v>0</v>
      </c>
      <c r="P989">
        <f>IF(OR(M989="",N989=""),"",SUMIFS('Barang Keluar'!$E:$E,'Barang Keluar'!$A:$A,M989,'Barang Keluar'!$C:$C,N989))</f>
        <v>0</v>
      </c>
    </row>
    <row r="990" spans="13:16">
      <c r="M990" s="49">
        <f>IF($A$4+9&gt;$B$4,"",$A$4+9)</f>
        <v>46032</v>
      </c>
      <c r="N990">
        <f>IF(M990="","",'Master Barang'!A84)</f>
        <v>0</v>
      </c>
      <c r="O990">
        <f>IF(N990="","",'Master Barang'!B84)</f>
        <v>0</v>
      </c>
      <c r="P990">
        <f>IF(OR(M990="",N990=""),"",SUMIFS('Barang Keluar'!$E:$E,'Barang Keluar'!$A:$A,M990,'Barang Keluar'!$C:$C,N990))</f>
        <v>0</v>
      </c>
    </row>
    <row r="991" spans="13:16">
      <c r="M991" s="49">
        <f>IF($A$4+9&gt;$B$4,"",$A$4+9)</f>
        <v>46032</v>
      </c>
      <c r="N991">
        <f>IF(M991="","",'Master Barang'!A85)</f>
        <v>0</v>
      </c>
      <c r="O991">
        <f>IF(N991="","",'Master Barang'!B85)</f>
        <v>0</v>
      </c>
      <c r="P991">
        <f>IF(OR(M991="",N991=""),"",SUMIFS('Barang Keluar'!$E:$E,'Barang Keluar'!$A:$A,M991,'Barang Keluar'!$C:$C,N991))</f>
        <v>0</v>
      </c>
    </row>
    <row r="992" spans="13:16">
      <c r="M992" s="49">
        <f>IF($A$4+9&gt;$B$4,"",$A$4+9)</f>
        <v>46032</v>
      </c>
      <c r="N992">
        <f>IF(M992="","",'Master Barang'!A86)</f>
        <v>0</v>
      </c>
      <c r="O992">
        <f>IF(N992="","",'Master Barang'!B86)</f>
        <v>0</v>
      </c>
      <c r="P992">
        <f>IF(OR(M992="",N992=""),"",SUMIFS('Barang Keluar'!$E:$E,'Barang Keluar'!$A:$A,M992,'Barang Keluar'!$C:$C,N992))</f>
        <v>0</v>
      </c>
    </row>
    <row r="993" spans="13:16">
      <c r="M993" s="49">
        <f>IF($A$4+9&gt;$B$4,"",$A$4+9)</f>
        <v>46032</v>
      </c>
      <c r="N993">
        <f>IF(M993="","",'Master Barang'!A87)</f>
        <v>0</v>
      </c>
      <c r="O993">
        <f>IF(N993="","",'Master Barang'!B87)</f>
        <v>0</v>
      </c>
      <c r="P993">
        <f>IF(OR(M993="",N993=""),"",SUMIFS('Barang Keluar'!$E:$E,'Barang Keluar'!$A:$A,M993,'Barang Keluar'!$C:$C,N993))</f>
        <v>0</v>
      </c>
    </row>
    <row r="994" spans="13:16">
      <c r="M994" s="49">
        <f>IF($A$4+9&gt;$B$4,"",$A$4+9)</f>
        <v>46032</v>
      </c>
      <c r="N994">
        <f>IF(M994="","",'Master Barang'!A88)</f>
        <v>0</v>
      </c>
      <c r="O994">
        <f>IF(N994="","",'Master Barang'!B88)</f>
        <v>0</v>
      </c>
      <c r="P994">
        <f>IF(OR(M994="",N994=""),"",SUMIFS('Barang Keluar'!$E:$E,'Barang Keluar'!$A:$A,M994,'Barang Keluar'!$C:$C,N994))</f>
        <v>0</v>
      </c>
    </row>
    <row r="995" spans="13:16">
      <c r="M995" s="49">
        <f>IF($A$4+9&gt;$B$4,"",$A$4+9)</f>
        <v>46032</v>
      </c>
      <c r="N995">
        <f>IF(M995="","",'Master Barang'!A89)</f>
        <v>0</v>
      </c>
      <c r="O995">
        <f>IF(N995="","",'Master Barang'!B89)</f>
        <v>0</v>
      </c>
      <c r="P995">
        <f>IF(OR(M995="",N995=""),"",SUMIFS('Barang Keluar'!$E:$E,'Barang Keluar'!$A:$A,M995,'Barang Keluar'!$C:$C,N995))</f>
        <v>0</v>
      </c>
    </row>
    <row r="996" spans="13:16">
      <c r="M996" s="49">
        <f>IF($A$4+9&gt;$B$4,"",$A$4+9)</f>
        <v>46032</v>
      </c>
      <c r="N996">
        <f>IF(M996="","",'Master Barang'!A90)</f>
        <v>0</v>
      </c>
      <c r="O996">
        <f>IF(N996="","",'Master Barang'!B90)</f>
        <v>0</v>
      </c>
      <c r="P996">
        <f>IF(OR(M996="",N996=""),"",SUMIFS('Barang Keluar'!$E:$E,'Barang Keluar'!$A:$A,M996,'Barang Keluar'!$C:$C,N996))</f>
        <v>0</v>
      </c>
    </row>
    <row r="997" spans="13:16">
      <c r="M997" s="49">
        <f>IF($A$4+9&gt;$B$4,"",$A$4+9)</f>
        <v>46032</v>
      </c>
      <c r="N997">
        <f>IF(M997="","",'Master Barang'!A91)</f>
        <v>0</v>
      </c>
      <c r="O997">
        <f>IF(N997="","",'Master Barang'!B91)</f>
        <v>0</v>
      </c>
      <c r="P997">
        <f>IF(OR(M997="",N997=""),"",SUMIFS('Barang Keluar'!$E:$E,'Barang Keluar'!$A:$A,M997,'Barang Keluar'!$C:$C,N997))</f>
        <v>0</v>
      </c>
    </row>
    <row r="998" spans="13:16">
      <c r="M998" s="49">
        <f>IF($A$4+9&gt;$B$4,"",$A$4+9)</f>
        <v>46032</v>
      </c>
      <c r="N998">
        <f>IF(M998="","",'Master Barang'!A92)</f>
        <v>0</v>
      </c>
      <c r="O998">
        <f>IF(N998="","",'Master Barang'!B92)</f>
        <v>0</v>
      </c>
      <c r="P998">
        <f>IF(OR(M998="",N998=""),"",SUMIFS('Barang Keluar'!$E:$E,'Barang Keluar'!$A:$A,M998,'Barang Keluar'!$C:$C,N998))</f>
        <v>0</v>
      </c>
    </row>
    <row r="999" spans="13:16">
      <c r="M999" s="49">
        <f>IF($A$4+9&gt;$B$4,"",$A$4+9)</f>
        <v>46032</v>
      </c>
      <c r="N999">
        <f>IF(M999="","",'Master Barang'!A93)</f>
        <v>0</v>
      </c>
      <c r="O999">
        <f>IF(N999="","",'Master Barang'!B93)</f>
        <v>0</v>
      </c>
      <c r="P999">
        <f>IF(OR(M999="",N999=""),"",SUMIFS('Barang Keluar'!$E:$E,'Barang Keluar'!$A:$A,M999,'Barang Keluar'!$C:$C,N999))</f>
        <v>0</v>
      </c>
    </row>
    <row r="1000" spans="13:16">
      <c r="M1000" s="49">
        <f>IF($A$4+9&gt;$B$4,"",$A$4+9)</f>
        <v>46032</v>
      </c>
      <c r="N1000">
        <f>IF(M1000="","",'Master Barang'!A94)</f>
        <v>0</v>
      </c>
      <c r="O1000">
        <f>IF(N1000="","",'Master Barang'!B94)</f>
        <v>0</v>
      </c>
      <c r="P1000">
        <f>IF(OR(M1000="",N1000=""),"",SUMIFS('Barang Keluar'!$E:$E,'Barang Keluar'!$A:$A,M1000,'Barang Keluar'!$C:$C,N1000))</f>
        <v>0</v>
      </c>
    </row>
    <row r="1001" spans="13:16">
      <c r="M1001" s="49">
        <f>IF($A$4+9&gt;$B$4,"",$A$4+9)</f>
        <v>46032</v>
      </c>
      <c r="N1001">
        <f>IF(M1001="","",'Master Barang'!A95)</f>
        <v>0</v>
      </c>
      <c r="O1001">
        <f>IF(N1001="","",'Master Barang'!B95)</f>
        <v>0</v>
      </c>
      <c r="P1001">
        <f>IF(OR(M1001="",N1001=""),"",SUMIFS('Barang Keluar'!$E:$E,'Barang Keluar'!$A:$A,M1001,'Barang Keluar'!$C:$C,N1001))</f>
        <v>0</v>
      </c>
    </row>
    <row r="1002" spans="13:16">
      <c r="M1002" s="49">
        <f>IF($A$4+9&gt;$B$4,"",$A$4+9)</f>
        <v>46032</v>
      </c>
      <c r="N1002">
        <f>IF(M1002="","",'Master Barang'!A96)</f>
        <v>0</v>
      </c>
      <c r="O1002">
        <f>IF(N1002="","",'Master Barang'!B96)</f>
        <v>0</v>
      </c>
      <c r="P1002">
        <f>IF(OR(M1002="",N1002=""),"",SUMIFS('Barang Keluar'!$E:$E,'Barang Keluar'!$A:$A,M1002,'Barang Keluar'!$C:$C,N1002))</f>
        <v>0</v>
      </c>
    </row>
    <row r="1003" spans="13:16">
      <c r="M1003" s="49">
        <f>IF($A$4+9&gt;$B$4,"",$A$4+9)</f>
        <v>46032</v>
      </c>
      <c r="N1003">
        <f>IF(M1003="","",'Master Barang'!A97)</f>
        <v>0</v>
      </c>
      <c r="O1003">
        <f>IF(N1003="","",'Master Barang'!B97)</f>
        <v>0</v>
      </c>
      <c r="P1003">
        <f>IF(OR(M1003="",N1003=""),"",SUMIFS('Barang Keluar'!$E:$E,'Barang Keluar'!$A:$A,M1003,'Barang Keluar'!$C:$C,N1003))</f>
        <v>0</v>
      </c>
    </row>
    <row r="1004" spans="13:16">
      <c r="M1004" s="49">
        <f>IF($A$4+9&gt;$B$4,"",$A$4+9)</f>
        <v>46032</v>
      </c>
      <c r="N1004">
        <f>IF(M1004="","",'Master Barang'!A98)</f>
        <v>0</v>
      </c>
      <c r="O1004">
        <f>IF(N1004="","",'Master Barang'!B98)</f>
        <v>0</v>
      </c>
      <c r="P1004">
        <f>IF(OR(M1004="",N1004=""),"",SUMIFS('Barang Keluar'!$E:$E,'Barang Keluar'!$A:$A,M1004,'Barang Keluar'!$C:$C,N1004))</f>
        <v>0</v>
      </c>
    </row>
    <row r="1005" spans="13:16">
      <c r="M1005" s="49">
        <f>IF($A$4+9&gt;$B$4,"",$A$4+9)</f>
        <v>46032</v>
      </c>
      <c r="N1005">
        <f>IF(M1005="","",'Master Barang'!A99)</f>
        <v>0</v>
      </c>
      <c r="O1005">
        <f>IF(N1005="","",'Master Barang'!B99)</f>
        <v>0</v>
      </c>
      <c r="P1005">
        <f>IF(OR(M1005="",N1005=""),"",SUMIFS('Barang Keluar'!$E:$E,'Barang Keluar'!$A:$A,M1005,'Barang Keluar'!$C:$C,N1005))</f>
        <v>0</v>
      </c>
    </row>
    <row r="1006" spans="13:16">
      <c r="M1006" s="49">
        <f>IF($A$4+9&gt;$B$4,"",$A$4+9)</f>
        <v>46032</v>
      </c>
      <c r="N1006">
        <f>IF(M1006="","",'Master Barang'!A100)</f>
        <v>0</v>
      </c>
      <c r="O1006">
        <f>IF(N1006="","",'Master Barang'!B100)</f>
        <v>0</v>
      </c>
      <c r="P1006">
        <f>IF(OR(M1006="",N1006=""),"",SUMIFS('Barang Keluar'!$E:$E,'Barang Keluar'!$A:$A,M1006,'Barang Keluar'!$C:$C,N1006))</f>
        <v>0</v>
      </c>
    </row>
    <row r="1007" spans="13:16">
      <c r="M1007" s="49">
        <f>IF($A$4+9&gt;$B$4,"",$A$4+9)</f>
        <v>46032</v>
      </c>
      <c r="N1007">
        <f>IF(M1007="","",'Master Barang'!A101)</f>
        <v>0</v>
      </c>
      <c r="O1007">
        <f>IF(N1007="","",'Master Barang'!B101)</f>
        <v>0</v>
      </c>
      <c r="P1007">
        <f>IF(OR(M1007="",N1007=""),"",SUMIFS('Barang Keluar'!$E:$E,'Barang Keluar'!$A:$A,M1007,'Barang Keluar'!$C:$C,N1007))</f>
        <v>0</v>
      </c>
    </row>
    <row r="1008" spans="13:16">
      <c r="M1008" s="49">
        <f>IF($A$4+10&gt;$B$4,"",$A$4+10)</f>
        <v>46033</v>
      </c>
      <c r="N1008" t="str">
        <f>IF(M1008="","",'Master Barang'!A2)</f>
        <v>PRL-001</v>
      </c>
      <c r="O1008" t="str">
        <f>IF(N1008="","",'Master Barang'!B2)</f>
        <v>natura desinfectant food grade 5l</v>
      </c>
      <c r="P1008">
        <f>IF(OR(M1008="",N1008=""),"",SUMIFS('Barang Keluar'!$E:$E,'Barang Keluar'!$A:$A,M1008,'Barang Keluar'!$C:$C,N1008))</f>
        <v>0</v>
      </c>
    </row>
    <row r="1009" spans="13:16">
      <c r="M1009" s="49">
        <f>IF($A$4+10&gt;$B$4,"",$A$4+10)</f>
        <v>46033</v>
      </c>
      <c r="N1009" t="str">
        <f>IF(M1009="","",'Master Barang'!A3)</f>
        <v>PRL-002</v>
      </c>
      <c r="O1009" t="str">
        <f>IF(N1009="","",'Master Barang'!B3)</f>
        <v>sunlight cairan pencuci piring 5l</v>
      </c>
      <c r="P1009">
        <f>IF(OR(M1009="",N1009=""),"",SUMIFS('Barang Keluar'!$E:$E,'Barang Keluar'!$A:$A,M1009,'Barang Keluar'!$C:$C,N1009))</f>
        <v>0</v>
      </c>
    </row>
    <row r="1010" spans="13:16">
      <c r="M1010" s="49">
        <f>IF($A$4+10&gt;$B$4,"",$A$4+10)</f>
        <v>46033</v>
      </c>
      <c r="N1010" t="str">
        <f>IF(M1010="","",'Master Barang'!A4)</f>
        <v>PRL-003</v>
      </c>
      <c r="O1010" t="str">
        <f>IF(N1010="","",'Master Barang'!B4)</f>
        <v>oixs cleaner 1l</v>
      </c>
      <c r="P1010">
        <f>IF(OR(M1010="",N1010=""),"",SUMIFS('Barang Keluar'!$E:$E,'Barang Keluar'!$A:$A,M1010,'Barang Keluar'!$C:$C,N1010))</f>
        <v>0</v>
      </c>
    </row>
    <row r="1011" spans="13:16">
      <c r="M1011" s="49">
        <f>IF($A$4+10&gt;$B$4,"",$A$4+10)</f>
        <v>46033</v>
      </c>
      <c r="N1011" t="str">
        <f>IF(M1011="","",'Master Barang'!A5)</f>
        <v>PRL-004</v>
      </c>
      <c r="O1011" t="str">
        <f>IF(N1011="","",'Master Barang'!B5)</f>
        <v>be clean tissue serbaguna</v>
      </c>
      <c r="P1011">
        <f>IF(OR(M1011="",N1011=""),"",SUMIFS('Barang Keluar'!$E:$E,'Barang Keluar'!$A:$A,M1011,'Barang Keluar'!$C:$C,N1011))</f>
        <v>0</v>
      </c>
    </row>
    <row r="1012" spans="13:16">
      <c r="M1012" s="49">
        <f>IF($A$4+10&gt;$B$4,"",$A$4+10)</f>
        <v>46033</v>
      </c>
      <c r="N1012" t="str">
        <f>IF(M1012="","",'Master Barang'!A6)</f>
        <v>PRL-005</v>
      </c>
      <c r="O1012" t="str">
        <f>IF(N1012="","",'Master Barang'!B6)</f>
        <v>spons cuci hijau</v>
      </c>
      <c r="P1012">
        <f>IF(OR(M1012="",N1012=""),"",SUMIFS('Barang Keluar'!$E:$E,'Barang Keluar'!$A:$A,M1012,'Barang Keluar'!$C:$C,N1012))</f>
        <v>0</v>
      </c>
    </row>
    <row r="1013" spans="13:16">
      <c r="M1013" s="49">
        <f>IF($A$4+10&gt;$B$4,"",$A$4+10)</f>
        <v>46033</v>
      </c>
      <c r="N1013" t="str">
        <f>IF(M1013="","",'Master Barang'!A7)</f>
        <v>PRL-006</v>
      </c>
      <c r="O1013" t="str">
        <f>IF(N1013="","",'Master Barang'!B7)</f>
        <v>sabut cuci stainless</v>
      </c>
      <c r="P1013">
        <f>IF(OR(M1013="",N1013=""),"",SUMIFS('Barang Keluar'!$E:$E,'Barang Keluar'!$A:$A,M1013,'Barang Keluar'!$C:$C,N1013))</f>
        <v>0</v>
      </c>
    </row>
    <row r="1014" spans="13:16">
      <c r="M1014" s="49">
        <f>IF($A$4+10&gt;$B$4,"",$A$4+10)</f>
        <v>46033</v>
      </c>
      <c r="N1014" t="str">
        <f>IF(M1014="","",'Master Barang'!A8)</f>
        <v>PRL-007</v>
      </c>
      <c r="O1014" t="str">
        <f>IF(N1014="","",'Master Barang'!B8)</f>
        <v>plastik kresek besar merah 50pc</v>
      </c>
      <c r="P1014">
        <f>IF(OR(M1014="",N1014=""),"",SUMIFS('Barang Keluar'!$E:$E,'Barang Keluar'!$A:$A,M1014,'Barang Keluar'!$C:$C,N1014))</f>
        <v>0</v>
      </c>
    </row>
    <row r="1015" spans="13:16">
      <c r="M1015" s="49">
        <f>IF($A$4+10&gt;$B$4,"",$A$4+10)</f>
        <v>46033</v>
      </c>
      <c r="N1015" t="str">
        <f>IF(M1015="","",'Master Barang'!A9)</f>
        <v>PRL-008</v>
      </c>
      <c r="O1015" t="str">
        <f>IF(N1015="","",'Master Barang'!B9)</f>
        <v>lap besar</v>
      </c>
      <c r="P1015">
        <f>IF(OR(M1015="",N1015=""),"",SUMIFS('Barang Keluar'!$E:$E,'Barang Keluar'!$A:$A,M1015,'Barang Keluar'!$C:$C,N1015))</f>
        <v>0</v>
      </c>
    </row>
    <row r="1016" spans="13:16">
      <c r="M1016" s="49">
        <f>IF($A$4+10&gt;$B$4,"",$A$4+10)</f>
        <v>46033</v>
      </c>
      <c r="N1016" t="str">
        <f>IF(M1016="","",'Master Barang'!A10)</f>
        <v>PRL-009</v>
      </c>
      <c r="O1016" t="str">
        <f>IF(N1016="","",'Master Barang'!B10)</f>
        <v>lap microfiber</v>
      </c>
      <c r="P1016">
        <f>IF(OR(M1016="",N1016=""),"",SUMIFS('Barang Keluar'!$E:$E,'Barang Keluar'!$A:$A,M1016,'Barang Keluar'!$C:$C,N1016))</f>
        <v>0</v>
      </c>
    </row>
    <row r="1017" spans="13:16">
      <c r="M1017" s="49">
        <f>IF($A$4+10&gt;$B$4,"",$A$4+10)</f>
        <v>46033</v>
      </c>
      <c r="N1017" t="str">
        <f>IF(M1017="","",'Master Barang'!A11)</f>
        <v>PRL-010</v>
      </c>
      <c r="O1017" t="str">
        <f>IF(N1017="","",'Master Barang'!B11)</f>
        <v>lap kecil</v>
      </c>
      <c r="P1017">
        <f>IF(OR(M1017="",N1017=""),"",SUMIFS('Barang Keluar'!$E:$E,'Barang Keluar'!$A:$A,M1017,'Barang Keluar'!$C:$C,N1017))</f>
        <v>0</v>
      </c>
    </row>
    <row r="1018" spans="13:16">
      <c r="M1018" s="49">
        <f>IF($A$4+10&gt;$B$4,"",$A$4+10)</f>
        <v>46033</v>
      </c>
      <c r="N1018" t="str">
        <f>IF(M1018="","",'Master Barang'!A12)</f>
        <v>PRL-011</v>
      </c>
      <c r="O1018" t="str">
        <f>IF(N1018="","",'Master Barang'!B12)</f>
        <v>kanebo kecil</v>
      </c>
      <c r="P1018">
        <f>IF(OR(M1018="",N1018=""),"",SUMIFS('Barang Keluar'!$E:$E,'Barang Keluar'!$A:$A,M1018,'Barang Keluar'!$C:$C,N1018))</f>
        <v>0</v>
      </c>
    </row>
    <row r="1019" spans="13:16">
      <c r="M1019" s="49">
        <f>IF($A$4+10&gt;$B$4,"",$A$4+10)</f>
        <v>46033</v>
      </c>
      <c r="N1019" t="str">
        <f>IF(M1019="","",'Master Barang'!A13)</f>
        <v>PRL-012</v>
      </c>
      <c r="O1019" t="str">
        <f>IF(N1019="","",'Master Barang'!B13)</f>
        <v>plastik 1/4kg joyoboyo 100 lembar</v>
      </c>
      <c r="P1019">
        <f>IF(OR(M1019="",N1019=""),"",SUMIFS('Barang Keluar'!$E:$E,'Barang Keluar'!$A:$A,M1019,'Barang Keluar'!$C:$C,N1019))</f>
        <v>0</v>
      </c>
    </row>
    <row r="1020" spans="13:16">
      <c r="M1020" s="49">
        <f>IF($A$4+10&gt;$B$4,"",$A$4+10)</f>
        <v>46033</v>
      </c>
      <c r="N1020" t="str">
        <f>IF(M1020="","",'Master Barang'!A14)</f>
        <v>PRL-013</v>
      </c>
      <c r="O1020" t="str">
        <f>IF(N1020="","",'Master Barang'!B14)</f>
        <v>sarung tangan plastik kaka 100 pcs</v>
      </c>
      <c r="P1020">
        <f>IF(OR(M1020="",N1020=""),"",SUMIFS('Barang Keluar'!$E:$E,'Barang Keluar'!$A:$A,M1020,'Barang Keluar'!$C:$C,N1020))</f>
        <v>0</v>
      </c>
    </row>
    <row r="1021" spans="13:16">
      <c r="M1021" s="49">
        <f>IF($A$4+10&gt;$B$4,"",$A$4+10)</f>
        <v>46033</v>
      </c>
      <c r="N1021" t="str">
        <f>IF(M1021="","",'Master Barang'!A15)</f>
        <v>PRL-014</v>
      </c>
      <c r="O1021" t="str">
        <f>IF(N1021="","",'Master Barang'!B15)</f>
        <v>optima trashbag 80x100</v>
      </c>
      <c r="P1021">
        <f>IF(OR(M1021="",N1021=""),"",SUMIFS('Barang Keluar'!$E:$E,'Barang Keluar'!$A:$A,M1021,'Barang Keluar'!$C:$C,N1021))</f>
        <v>0</v>
      </c>
    </row>
    <row r="1022" spans="13:16">
      <c r="M1022" s="49">
        <f>IF($A$4+10&gt;$B$4,"",$A$4+10)</f>
        <v>46033</v>
      </c>
      <c r="N1022" t="str">
        <f>IF(M1022="","",'Master Barang'!A16)</f>
        <v>PRL-015</v>
      </c>
      <c r="O1022" t="str">
        <f>IF(N1022="","",'Master Barang'!B16)</f>
        <v>optima trashbag 60x100</v>
      </c>
      <c r="P1022">
        <f>IF(OR(M1022="",N1022=""),"",SUMIFS('Barang Keluar'!$E:$E,'Barang Keluar'!$A:$A,M1022,'Barang Keluar'!$C:$C,N1022))</f>
        <v>0</v>
      </c>
    </row>
    <row r="1023" spans="13:16">
      <c r="M1023" s="49">
        <f>IF($A$4+10&gt;$B$4,"",$A$4+10)</f>
        <v>46033</v>
      </c>
      <c r="N1023" t="str">
        <f>IF(M1023="","",'Master Barang'!A17)</f>
        <v>PRL-016</v>
      </c>
      <c r="O1023" t="str">
        <f>IF(N1023="","",'Master Barang'!B17)</f>
        <v>rajawali trashbag 30x40</v>
      </c>
      <c r="P1023">
        <f>IF(OR(M1023="",N1023=""),"",SUMIFS('Barang Keluar'!$E:$E,'Barang Keluar'!$A:$A,M1023,'Barang Keluar'!$C:$C,N1023))</f>
        <v>0</v>
      </c>
    </row>
    <row r="1024" spans="13:16">
      <c r="M1024" s="49">
        <f>IF($A$4+10&gt;$B$4,"",$A$4+10)</f>
        <v>46033</v>
      </c>
      <c r="N1024" t="str">
        <f>IF(M1024="","",'Master Barang'!A18)</f>
        <v>PRL-017</v>
      </c>
      <c r="O1024" t="str">
        <f>IF(N1024="","",'Master Barang'!B18)</f>
        <v>onemed masker biru 3 play 50 pcs</v>
      </c>
      <c r="P1024">
        <f>IF(OR(M1024="",N1024=""),"",SUMIFS('Barang Keluar'!$E:$E,'Barang Keluar'!$A:$A,M1024,'Barang Keluar'!$C:$C,N1024))</f>
        <v>0</v>
      </c>
    </row>
    <row r="1025" spans="13:16">
      <c r="M1025" s="49">
        <f>IF($A$4+10&gt;$B$4,"",$A$4+10)</f>
        <v>46033</v>
      </c>
      <c r="N1025" t="str">
        <f>IF(M1025="","",'Master Barang'!A19)</f>
        <v>PRL-018</v>
      </c>
      <c r="O1025" t="str">
        <f>IF(N1025="","",'Master Barang'!B19)</f>
        <v>onemed masker biru 3 play hijab 50 pcs</v>
      </c>
      <c r="P1025">
        <f>IF(OR(M1025="",N1025=""),"",SUMIFS('Barang Keluar'!$E:$E,'Barang Keluar'!$A:$A,M1025,'Barang Keluar'!$C:$C,N1025))</f>
        <v>0</v>
      </c>
    </row>
    <row r="1026" spans="13:16">
      <c r="M1026" s="49">
        <f>IF($A$4+10&gt;$B$4,"",$A$4+10)</f>
        <v>46033</v>
      </c>
      <c r="N1026" t="str">
        <f>IF(M1026="","",'Master Barang'!A20)</f>
        <v>PRL-019</v>
      </c>
      <c r="O1026" t="str">
        <f>IF(N1026="","",'Master Barang'!B20)</f>
        <v>neo health masker biru 3 play 50 pcs</v>
      </c>
      <c r="P1026">
        <f>IF(OR(M1026="",N1026=""),"",SUMIFS('Barang Keluar'!$E:$E,'Barang Keluar'!$A:$A,M1026,'Barang Keluar'!$C:$C,N1026))</f>
        <v>0</v>
      </c>
    </row>
    <row r="1027" spans="13:16">
      <c r="M1027" s="49">
        <f>IF($A$4+10&gt;$B$4,"",$A$4+10)</f>
        <v>46033</v>
      </c>
      <c r="N1027" t="str">
        <f>IF(M1027="","",'Master Barang'!A21)</f>
        <v>PRL-020</v>
      </c>
      <c r="O1027" t="str">
        <f>IF(N1027="","",'Master Barang'!B21)</f>
        <v>baymed masker hijau 3 play hijau 50 pcs</v>
      </c>
      <c r="P1027">
        <f>IF(OR(M1027="",N1027=""),"",SUMIFS('Barang Keluar'!$E:$E,'Barang Keluar'!$A:$A,M1027,'Barang Keluar'!$C:$C,N1027))</f>
        <v>0</v>
      </c>
    </row>
    <row r="1028" spans="13:16">
      <c r="M1028" s="49">
        <f>IF($A$4+10&gt;$B$4,"",$A$4+10)</f>
        <v>46033</v>
      </c>
      <c r="N1028" t="str">
        <f>IF(M1028="","",'Master Barang'!A22)</f>
        <v>PRL-021</v>
      </c>
      <c r="O1028" t="str">
        <f>IF(N1028="","",'Master Barang'!B22)</f>
        <v>altamed nurse cap penutup kepala 100 pcs</v>
      </c>
      <c r="P1028">
        <f>IF(OR(M1028="",N1028=""),"",SUMIFS('Barang Keluar'!$E:$E,'Barang Keluar'!$A:$A,M1028,'Barang Keluar'!$C:$C,N1028))</f>
        <v>0</v>
      </c>
    </row>
    <row r="1029" spans="13:16">
      <c r="M1029" s="49">
        <f>IF($A$4+10&gt;$B$4,"",$A$4+10)</f>
        <v>46033</v>
      </c>
      <c r="N1029" t="str">
        <f>IF(M1029="","",'Master Barang'!A23)</f>
        <v>PRL-022</v>
      </c>
      <c r="O1029" t="str">
        <f>IF(N1029="","",'Master Barang'!B23)</f>
        <v>sabun cuci tangan</v>
      </c>
      <c r="P1029">
        <f>IF(OR(M1029="",N1029=""),"",SUMIFS('Barang Keluar'!$E:$E,'Barang Keluar'!$A:$A,M1029,'Barang Keluar'!$C:$C,N1029))</f>
        <v>0</v>
      </c>
    </row>
    <row r="1030" spans="13:16">
      <c r="M1030" s="49">
        <f>IF($A$4+10&gt;$B$4,"",$A$4+10)</f>
        <v>46033</v>
      </c>
      <c r="N1030" t="str">
        <f>IF(M1030="","",'Master Barang'!A24)</f>
        <v>PRL-023</v>
      </c>
      <c r="O1030" t="str">
        <f>IF(N1030="","",'Master Barang'!B24)</f>
        <v>gayung kecil</v>
      </c>
      <c r="P1030">
        <f>IF(OR(M1030="",N1030=""),"",SUMIFS('Barang Keluar'!$E:$E,'Barang Keluar'!$A:$A,M1030,'Barang Keluar'!$C:$C,N1030))</f>
        <v>0</v>
      </c>
    </row>
    <row r="1031" spans="13:16">
      <c r="M1031" s="49">
        <f>IF($A$4+10&gt;$B$4,"",$A$4+10)</f>
        <v>46033</v>
      </c>
      <c r="N1031" t="str">
        <f>IF(M1031="","",'Master Barang'!A25)</f>
        <v>PRL-024</v>
      </c>
      <c r="O1031" t="str">
        <f>IF(N1031="","",'Master Barang'!B25)</f>
        <v>cikrak kecil</v>
      </c>
      <c r="P1031">
        <f>IF(OR(M1031="",N1031=""),"",SUMIFS('Barang Keluar'!$E:$E,'Barang Keluar'!$A:$A,M1031,'Barang Keluar'!$C:$C,N1031))</f>
        <v>0</v>
      </c>
    </row>
    <row r="1032" spans="13:16">
      <c r="M1032" s="49">
        <f>IF($A$4+10&gt;$B$4,"",$A$4+10)</f>
        <v>46033</v>
      </c>
      <c r="N1032" t="str">
        <f>IF(M1032="","",'Master Barang'!A26)</f>
        <v>PRL-025</v>
      </c>
      <c r="O1032" t="str">
        <f>IF(N1032="","",'Master Barang'!B26)</f>
        <v>petromax plastik kecil 12x24 100 lembar</v>
      </c>
      <c r="P1032">
        <f>IF(OR(M1032="",N1032=""),"",SUMIFS('Barang Keluar'!$E:$E,'Barang Keluar'!$A:$A,M1032,'Barang Keluar'!$C:$C,N1032))</f>
        <v>0</v>
      </c>
    </row>
    <row r="1033" spans="13:16">
      <c r="M1033" s="49">
        <f>IF($A$4+10&gt;$B$4,"",$A$4+10)</f>
        <v>46033</v>
      </c>
      <c r="N1033" t="str">
        <f>IF(M1033="","",'Master Barang'!A27)</f>
        <v>PRL-026</v>
      </c>
      <c r="O1033" t="str">
        <f>IF(N1033="","",'Master Barang'!B27)</f>
        <v>lancar kresek kecil bening </v>
      </c>
      <c r="P1033">
        <f>IF(OR(M1033="",N1033=""),"",SUMIFS('Barang Keluar'!$E:$E,'Barang Keluar'!$A:$A,M1033,'Barang Keluar'!$C:$C,N1033))</f>
        <v>0</v>
      </c>
    </row>
    <row r="1034" spans="13:16">
      <c r="M1034" s="49">
        <f>IF($A$4+10&gt;$B$4,"",$A$4+10)</f>
        <v>46033</v>
      </c>
      <c r="N1034" t="str">
        <f>IF(M1034="","",'Master Barang'!A28)</f>
        <v>PRL-027</v>
      </c>
      <c r="O1034" t="str">
        <f>IF(N1034="","",'Master Barang'!B28)</f>
        <v>kresek klin warna warni kecil</v>
      </c>
      <c r="P1034">
        <f>IF(OR(M1034="",N1034=""),"",SUMIFS('Barang Keluar'!$E:$E,'Barang Keluar'!$A:$A,M1034,'Barang Keluar'!$C:$C,N1034))</f>
        <v>0</v>
      </c>
    </row>
    <row r="1035" spans="13:16">
      <c r="M1035" s="49">
        <f>IF($A$4+10&gt;$B$4,"",$A$4+10)</f>
        <v>46033</v>
      </c>
      <c r="N1035" t="str">
        <f>IF(M1035="","",'Master Barang'!A29)</f>
        <v>PRL-028</v>
      </c>
      <c r="O1035" t="str">
        <f>IF(N1035="","",'Master Barang'!B29)</f>
        <v>ctik plastik 7x10 100 pcs</v>
      </c>
      <c r="P1035">
        <f>IF(OR(M1035="",N1035=""),"",SUMIFS('Barang Keluar'!$E:$E,'Barang Keluar'!$A:$A,M1035,'Barang Keluar'!$C:$C,N1035))</f>
        <v>0</v>
      </c>
    </row>
    <row r="1036" spans="13:16">
      <c r="M1036" s="49">
        <f>IF($A$4+10&gt;$B$4,"",$A$4+10)</f>
        <v>46033</v>
      </c>
      <c r="N1036" t="str">
        <f>IF(M1036="","",'Master Barang'!A30)</f>
        <v>PRL-029</v>
      </c>
      <c r="O1036" t="str">
        <f>IF(N1036="","",'Master Barang'!B30)</f>
        <v>ctik plastik 6x10 100 pcs</v>
      </c>
      <c r="P1036">
        <f>IF(OR(M1036="",N1036=""),"",SUMIFS('Barang Keluar'!$E:$E,'Barang Keluar'!$A:$A,M1036,'Barang Keluar'!$C:$C,N1036))</f>
        <v>0</v>
      </c>
    </row>
    <row r="1037" spans="13:16">
      <c r="M1037" s="49">
        <f>IF($A$4+10&gt;$B$4,"",$A$4+10)</f>
        <v>46033</v>
      </c>
      <c r="N1037" t="str">
        <f>IF(M1037="","",'Master Barang'!A31)</f>
        <v>PRL-030</v>
      </c>
      <c r="O1037" t="str">
        <f>IF(N1037="","",'Master Barang'!B31)</f>
        <v>klip plastik 25x16 100 pcs</v>
      </c>
      <c r="P1037">
        <f>IF(OR(M1037="",N1037=""),"",SUMIFS('Barang Keluar'!$E:$E,'Barang Keluar'!$A:$A,M1037,'Barang Keluar'!$C:$C,N1037))</f>
        <v>0</v>
      </c>
    </row>
    <row r="1038" spans="13:16">
      <c r="M1038" s="49">
        <f>IF($A$4+10&gt;$B$4,"",$A$4+10)</f>
        <v>46033</v>
      </c>
      <c r="N1038" t="str">
        <f>IF(M1038="","",'Master Barang'!A32)</f>
        <v>PRL-031</v>
      </c>
      <c r="O1038" t="str">
        <f>IF(N1038="","",'Master Barang'!B32)</f>
        <v>tempat saus 20 ml</v>
      </c>
      <c r="P1038">
        <f>IF(OR(M1038="",N1038=""),"",SUMIFS('Barang Keluar'!$E:$E,'Barang Keluar'!$A:$A,M1038,'Barang Keluar'!$C:$C,N1038))</f>
        <v>0</v>
      </c>
    </row>
    <row r="1039" spans="13:16">
      <c r="M1039" s="49">
        <f>IF($A$4+10&gt;$B$4,"",$A$4+10)</f>
        <v>46033</v>
      </c>
      <c r="N1039" t="str">
        <f>IF(M1039="","",'Master Barang'!A33)</f>
        <v>PRL-032</v>
      </c>
      <c r="O1039" t="str">
        <f>IF(N1039="","",'Master Barang'!B33)</f>
        <v>plastik packaging ag box uk sedang</v>
      </c>
      <c r="P1039">
        <f>IF(OR(M1039="",N1039=""),"",SUMIFS('Barang Keluar'!$E:$E,'Barang Keluar'!$A:$A,M1039,'Barang Keluar'!$C:$C,N1039))</f>
        <v>0</v>
      </c>
    </row>
    <row r="1040" spans="13:16">
      <c r="M1040" s="49">
        <f>IF($A$4+10&gt;$B$4,"",$A$4+10)</f>
        <v>46033</v>
      </c>
      <c r="N1040" t="str">
        <f>IF(M1040="","",'Master Barang'!A34)</f>
        <v>PRL-033</v>
      </c>
      <c r="O1040">
        <f>IF(N1040="","",'Master Barang'!B34)</f>
        <v>0</v>
      </c>
      <c r="P1040">
        <f>IF(OR(M1040="",N1040=""),"",SUMIFS('Barang Keluar'!$E:$E,'Barang Keluar'!$A:$A,M1040,'Barang Keluar'!$C:$C,N1040))</f>
        <v>0</v>
      </c>
    </row>
    <row r="1041" spans="13:16">
      <c r="M1041" s="49">
        <f>IF($A$4+10&gt;$B$4,"",$A$4+10)</f>
        <v>46033</v>
      </c>
      <c r="N1041">
        <f>IF(M1041="","",'Master Barang'!A35)</f>
        <v>0</v>
      </c>
      <c r="O1041">
        <f>IF(N1041="","",'Master Barang'!B35)</f>
        <v>0</v>
      </c>
      <c r="P1041">
        <f>IF(OR(M1041="",N1041=""),"",SUMIFS('Barang Keluar'!$E:$E,'Barang Keluar'!$A:$A,M1041,'Barang Keluar'!$C:$C,N1041))</f>
        <v>0</v>
      </c>
    </row>
    <row r="1042" spans="13:16">
      <c r="M1042" s="49">
        <f>IF($A$4+10&gt;$B$4,"",$A$4+10)</f>
        <v>46033</v>
      </c>
      <c r="N1042">
        <f>IF(M1042="","",'Master Barang'!A36)</f>
        <v>0</v>
      </c>
      <c r="O1042">
        <f>IF(N1042="","",'Master Barang'!B36)</f>
        <v>0</v>
      </c>
      <c r="P1042">
        <f>IF(OR(M1042="",N1042=""),"",SUMIFS('Barang Keluar'!$E:$E,'Barang Keluar'!$A:$A,M1042,'Barang Keluar'!$C:$C,N1042))</f>
        <v>0</v>
      </c>
    </row>
    <row r="1043" spans="13:16">
      <c r="M1043" s="49">
        <f>IF($A$4+10&gt;$B$4,"",$A$4+10)</f>
        <v>46033</v>
      </c>
      <c r="N1043">
        <f>IF(M1043="","",'Master Barang'!A37)</f>
        <v>0</v>
      </c>
      <c r="O1043">
        <f>IF(N1043="","",'Master Barang'!B37)</f>
        <v>0</v>
      </c>
      <c r="P1043">
        <f>IF(OR(M1043="",N1043=""),"",SUMIFS('Barang Keluar'!$E:$E,'Barang Keluar'!$A:$A,M1043,'Barang Keluar'!$C:$C,N1043))</f>
        <v>0</v>
      </c>
    </row>
    <row r="1044" spans="13:16">
      <c r="M1044" s="49">
        <f>IF($A$4+10&gt;$B$4,"",$A$4+10)</f>
        <v>46033</v>
      </c>
      <c r="N1044">
        <f>IF(M1044="","",'Master Barang'!A38)</f>
        <v>0</v>
      </c>
      <c r="O1044">
        <f>IF(N1044="","",'Master Barang'!B38)</f>
        <v>0</v>
      </c>
      <c r="P1044">
        <f>IF(OR(M1044="",N1044=""),"",SUMIFS('Barang Keluar'!$E:$E,'Barang Keluar'!$A:$A,M1044,'Barang Keluar'!$C:$C,N1044))</f>
        <v>0</v>
      </c>
    </row>
    <row r="1045" spans="13:16">
      <c r="M1045" s="49">
        <f>IF($A$4+10&gt;$B$4,"",$A$4+10)</f>
        <v>46033</v>
      </c>
      <c r="N1045">
        <f>IF(M1045="","",'Master Barang'!A39)</f>
        <v>0</v>
      </c>
      <c r="O1045">
        <f>IF(N1045="","",'Master Barang'!B39)</f>
        <v>0</v>
      </c>
      <c r="P1045">
        <f>IF(OR(M1045="",N1045=""),"",SUMIFS('Barang Keluar'!$E:$E,'Barang Keluar'!$A:$A,M1045,'Barang Keluar'!$C:$C,N1045))</f>
        <v>0</v>
      </c>
    </row>
    <row r="1046" spans="13:16">
      <c r="M1046" s="49">
        <f>IF($A$4+10&gt;$B$4,"",$A$4+10)</f>
        <v>46033</v>
      </c>
      <c r="N1046">
        <f>IF(M1046="","",'Master Barang'!A40)</f>
        <v>0</v>
      </c>
      <c r="O1046">
        <f>IF(N1046="","",'Master Barang'!B40)</f>
        <v>0</v>
      </c>
      <c r="P1046">
        <f>IF(OR(M1046="",N1046=""),"",SUMIFS('Barang Keluar'!$E:$E,'Barang Keluar'!$A:$A,M1046,'Barang Keluar'!$C:$C,N1046))</f>
        <v>0</v>
      </c>
    </row>
    <row r="1047" spans="13:16">
      <c r="M1047" s="49">
        <f>IF($A$4+10&gt;$B$4,"",$A$4+10)</f>
        <v>46033</v>
      </c>
      <c r="N1047">
        <f>IF(M1047="","",'Master Barang'!A41)</f>
        <v>0</v>
      </c>
      <c r="O1047">
        <f>IF(N1047="","",'Master Barang'!B41)</f>
        <v>0</v>
      </c>
      <c r="P1047">
        <f>IF(OR(M1047="",N1047=""),"",SUMIFS('Barang Keluar'!$E:$E,'Barang Keluar'!$A:$A,M1047,'Barang Keluar'!$C:$C,N1047))</f>
        <v>0</v>
      </c>
    </row>
    <row r="1048" spans="13:16">
      <c r="M1048" s="49">
        <f>IF($A$4+10&gt;$B$4,"",$A$4+10)</f>
        <v>46033</v>
      </c>
      <c r="N1048">
        <f>IF(M1048="","",'Master Barang'!A42)</f>
        <v>0</v>
      </c>
      <c r="O1048">
        <f>IF(N1048="","",'Master Barang'!B42)</f>
        <v>0</v>
      </c>
      <c r="P1048">
        <f>IF(OR(M1048="",N1048=""),"",SUMIFS('Barang Keluar'!$E:$E,'Barang Keluar'!$A:$A,M1048,'Barang Keluar'!$C:$C,N1048))</f>
        <v>0</v>
      </c>
    </row>
    <row r="1049" spans="13:16">
      <c r="M1049" s="49">
        <f>IF($A$4+10&gt;$B$4,"",$A$4+10)</f>
        <v>46033</v>
      </c>
      <c r="N1049">
        <f>IF(M1049="","",'Master Barang'!A43)</f>
        <v>0</v>
      </c>
      <c r="O1049">
        <f>IF(N1049="","",'Master Barang'!B43)</f>
        <v>0</v>
      </c>
      <c r="P1049">
        <f>IF(OR(M1049="",N1049=""),"",SUMIFS('Barang Keluar'!$E:$E,'Barang Keluar'!$A:$A,M1049,'Barang Keluar'!$C:$C,N1049))</f>
        <v>0</v>
      </c>
    </row>
    <row r="1050" spans="13:16">
      <c r="M1050" s="49">
        <f>IF($A$4+10&gt;$B$4,"",$A$4+10)</f>
        <v>46033</v>
      </c>
      <c r="N1050">
        <f>IF(M1050="","",'Master Barang'!A44)</f>
        <v>0</v>
      </c>
      <c r="O1050">
        <f>IF(N1050="","",'Master Barang'!B44)</f>
        <v>0</v>
      </c>
      <c r="P1050">
        <f>IF(OR(M1050="",N1050=""),"",SUMIFS('Barang Keluar'!$E:$E,'Barang Keluar'!$A:$A,M1050,'Barang Keluar'!$C:$C,N1050))</f>
        <v>0</v>
      </c>
    </row>
    <row r="1051" spans="13:16">
      <c r="M1051" s="49">
        <f>IF($A$4+10&gt;$B$4,"",$A$4+10)</f>
        <v>46033</v>
      </c>
      <c r="N1051">
        <f>IF(M1051="","",'Master Barang'!A45)</f>
        <v>0</v>
      </c>
      <c r="O1051">
        <f>IF(N1051="","",'Master Barang'!B45)</f>
        <v>0</v>
      </c>
      <c r="P1051">
        <f>IF(OR(M1051="",N1051=""),"",SUMIFS('Barang Keluar'!$E:$E,'Barang Keluar'!$A:$A,M1051,'Barang Keluar'!$C:$C,N1051))</f>
        <v>0</v>
      </c>
    </row>
    <row r="1052" spans="13:16">
      <c r="M1052" s="49">
        <f>IF($A$4+10&gt;$B$4,"",$A$4+10)</f>
        <v>46033</v>
      </c>
      <c r="N1052">
        <f>IF(M1052="","",'Master Barang'!A46)</f>
        <v>0</v>
      </c>
      <c r="O1052">
        <f>IF(N1052="","",'Master Barang'!B46)</f>
        <v>0</v>
      </c>
      <c r="P1052">
        <f>IF(OR(M1052="",N1052=""),"",SUMIFS('Barang Keluar'!$E:$E,'Barang Keluar'!$A:$A,M1052,'Barang Keluar'!$C:$C,N1052))</f>
        <v>0</v>
      </c>
    </row>
    <row r="1053" spans="13:16">
      <c r="M1053" s="49">
        <f>IF($A$4+10&gt;$B$4,"",$A$4+10)</f>
        <v>46033</v>
      </c>
      <c r="N1053">
        <f>IF(M1053="","",'Master Barang'!A47)</f>
        <v>0</v>
      </c>
      <c r="O1053">
        <f>IF(N1053="","",'Master Barang'!B47)</f>
        <v>0</v>
      </c>
      <c r="P1053">
        <f>IF(OR(M1053="",N1053=""),"",SUMIFS('Barang Keluar'!$E:$E,'Barang Keluar'!$A:$A,M1053,'Barang Keluar'!$C:$C,N1053))</f>
        <v>0</v>
      </c>
    </row>
    <row r="1054" spans="13:16">
      <c r="M1054" s="49">
        <f>IF($A$4+10&gt;$B$4,"",$A$4+10)</f>
        <v>46033</v>
      </c>
      <c r="N1054">
        <f>IF(M1054="","",'Master Barang'!A48)</f>
        <v>0</v>
      </c>
      <c r="O1054">
        <f>IF(N1054="","",'Master Barang'!B48)</f>
        <v>0</v>
      </c>
      <c r="P1054">
        <f>IF(OR(M1054="",N1054=""),"",SUMIFS('Barang Keluar'!$E:$E,'Barang Keluar'!$A:$A,M1054,'Barang Keluar'!$C:$C,N1054))</f>
        <v>0</v>
      </c>
    </row>
    <row r="1055" spans="13:16">
      <c r="M1055" s="49">
        <f>IF($A$4+10&gt;$B$4,"",$A$4+10)</f>
        <v>46033</v>
      </c>
      <c r="N1055">
        <f>IF(M1055="","",'Master Barang'!A49)</f>
        <v>0</v>
      </c>
      <c r="O1055">
        <f>IF(N1055="","",'Master Barang'!B49)</f>
        <v>0</v>
      </c>
      <c r="P1055">
        <f>IF(OR(M1055="",N1055=""),"",SUMIFS('Barang Keluar'!$E:$E,'Barang Keluar'!$A:$A,M1055,'Barang Keluar'!$C:$C,N1055))</f>
        <v>0</v>
      </c>
    </row>
    <row r="1056" spans="13:16">
      <c r="M1056" s="49">
        <f>IF($A$4+10&gt;$B$4,"",$A$4+10)</f>
        <v>46033</v>
      </c>
      <c r="N1056">
        <f>IF(M1056="","",'Master Barang'!A50)</f>
        <v>0</v>
      </c>
      <c r="O1056">
        <f>IF(N1056="","",'Master Barang'!B50)</f>
        <v>0</v>
      </c>
      <c r="P1056">
        <f>IF(OR(M1056="",N1056=""),"",SUMIFS('Barang Keluar'!$E:$E,'Barang Keluar'!$A:$A,M1056,'Barang Keluar'!$C:$C,N1056))</f>
        <v>0</v>
      </c>
    </row>
    <row r="1057" spans="13:16">
      <c r="M1057" s="49">
        <f>IF($A$4+10&gt;$B$4,"",$A$4+10)</f>
        <v>46033</v>
      </c>
      <c r="N1057">
        <f>IF(M1057="","",'Master Barang'!A51)</f>
        <v>0</v>
      </c>
      <c r="O1057">
        <f>IF(N1057="","",'Master Barang'!B51)</f>
        <v>0</v>
      </c>
      <c r="P1057">
        <f>IF(OR(M1057="",N1057=""),"",SUMIFS('Barang Keluar'!$E:$E,'Barang Keluar'!$A:$A,M1057,'Barang Keluar'!$C:$C,N1057))</f>
        <v>0</v>
      </c>
    </row>
    <row r="1058" spans="13:16">
      <c r="M1058" s="49">
        <f>IF($A$4+10&gt;$B$4,"",$A$4+10)</f>
        <v>46033</v>
      </c>
      <c r="N1058">
        <f>IF(M1058="","",'Master Barang'!A52)</f>
        <v>0</v>
      </c>
      <c r="O1058">
        <f>IF(N1058="","",'Master Barang'!B52)</f>
        <v>0</v>
      </c>
      <c r="P1058">
        <f>IF(OR(M1058="",N1058=""),"",SUMIFS('Barang Keluar'!$E:$E,'Barang Keluar'!$A:$A,M1058,'Barang Keluar'!$C:$C,N1058))</f>
        <v>0</v>
      </c>
    </row>
    <row r="1059" spans="13:16">
      <c r="M1059" s="49">
        <f>IF($A$4+10&gt;$B$4,"",$A$4+10)</f>
        <v>46033</v>
      </c>
      <c r="N1059">
        <f>IF(M1059="","",'Master Barang'!A53)</f>
        <v>0</v>
      </c>
      <c r="O1059">
        <f>IF(N1059="","",'Master Barang'!B53)</f>
        <v>0</v>
      </c>
      <c r="P1059">
        <f>IF(OR(M1059="",N1059=""),"",SUMIFS('Barang Keluar'!$E:$E,'Barang Keluar'!$A:$A,M1059,'Barang Keluar'!$C:$C,N1059))</f>
        <v>0</v>
      </c>
    </row>
    <row r="1060" spans="13:16">
      <c r="M1060" s="49">
        <f>IF($A$4+10&gt;$B$4,"",$A$4+10)</f>
        <v>46033</v>
      </c>
      <c r="N1060">
        <f>IF(M1060="","",'Master Barang'!A54)</f>
        <v>0</v>
      </c>
      <c r="O1060">
        <f>IF(N1060="","",'Master Barang'!B54)</f>
        <v>0</v>
      </c>
      <c r="P1060">
        <f>IF(OR(M1060="",N1060=""),"",SUMIFS('Barang Keluar'!$E:$E,'Barang Keluar'!$A:$A,M1060,'Barang Keluar'!$C:$C,N1060))</f>
        <v>0</v>
      </c>
    </row>
    <row r="1061" spans="13:16">
      <c r="M1061" s="49">
        <f>IF($A$4+10&gt;$B$4,"",$A$4+10)</f>
        <v>46033</v>
      </c>
      <c r="N1061">
        <f>IF(M1061="","",'Master Barang'!A55)</f>
        <v>0</v>
      </c>
      <c r="O1061">
        <f>IF(N1061="","",'Master Barang'!B55)</f>
        <v>0</v>
      </c>
      <c r="P1061">
        <f>IF(OR(M1061="",N1061=""),"",SUMIFS('Barang Keluar'!$E:$E,'Barang Keluar'!$A:$A,M1061,'Barang Keluar'!$C:$C,N1061))</f>
        <v>0</v>
      </c>
    </row>
    <row r="1062" spans="13:16">
      <c r="M1062" s="49">
        <f>IF($A$4+10&gt;$B$4,"",$A$4+10)</f>
        <v>46033</v>
      </c>
      <c r="N1062">
        <f>IF(M1062="","",'Master Barang'!A56)</f>
        <v>0</v>
      </c>
      <c r="O1062">
        <f>IF(N1062="","",'Master Barang'!B56)</f>
        <v>0</v>
      </c>
      <c r="P1062">
        <f>IF(OR(M1062="",N1062=""),"",SUMIFS('Barang Keluar'!$E:$E,'Barang Keluar'!$A:$A,M1062,'Barang Keluar'!$C:$C,N1062))</f>
        <v>0</v>
      </c>
    </row>
    <row r="1063" spans="13:16">
      <c r="M1063" s="49">
        <f>IF($A$4+10&gt;$B$4,"",$A$4+10)</f>
        <v>46033</v>
      </c>
      <c r="N1063">
        <f>IF(M1063="","",'Master Barang'!A57)</f>
        <v>0</v>
      </c>
      <c r="O1063">
        <f>IF(N1063="","",'Master Barang'!B57)</f>
        <v>0</v>
      </c>
      <c r="P1063">
        <f>IF(OR(M1063="",N1063=""),"",SUMIFS('Barang Keluar'!$E:$E,'Barang Keluar'!$A:$A,M1063,'Barang Keluar'!$C:$C,N1063))</f>
        <v>0</v>
      </c>
    </row>
    <row r="1064" spans="13:16">
      <c r="M1064" s="49">
        <f>IF($A$4+10&gt;$B$4,"",$A$4+10)</f>
        <v>46033</v>
      </c>
      <c r="N1064">
        <f>IF(M1064="","",'Master Barang'!A58)</f>
        <v>0</v>
      </c>
      <c r="O1064">
        <f>IF(N1064="","",'Master Barang'!B58)</f>
        <v>0</v>
      </c>
      <c r="P1064">
        <f>IF(OR(M1064="",N1064=""),"",SUMIFS('Barang Keluar'!$E:$E,'Barang Keluar'!$A:$A,M1064,'Barang Keluar'!$C:$C,N1064))</f>
        <v>0</v>
      </c>
    </row>
    <row r="1065" spans="13:16">
      <c r="M1065" s="49">
        <f>IF($A$4+10&gt;$B$4,"",$A$4+10)</f>
        <v>46033</v>
      </c>
      <c r="N1065">
        <f>IF(M1065="","",'Master Barang'!A59)</f>
        <v>0</v>
      </c>
      <c r="O1065">
        <f>IF(N1065="","",'Master Barang'!B59)</f>
        <v>0</v>
      </c>
      <c r="P1065">
        <f>IF(OR(M1065="",N1065=""),"",SUMIFS('Barang Keluar'!$E:$E,'Barang Keluar'!$A:$A,M1065,'Barang Keluar'!$C:$C,N1065))</f>
        <v>0</v>
      </c>
    </row>
    <row r="1066" spans="13:16">
      <c r="M1066" s="49">
        <f>IF($A$4+10&gt;$B$4,"",$A$4+10)</f>
        <v>46033</v>
      </c>
      <c r="N1066">
        <f>IF(M1066="","",'Master Barang'!A60)</f>
        <v>0</v>
      </c>
      <c r="O1066">
        <f>IF(N1066="","",'Master Barang'!B60)</f>
        <v>0</v>
      </c>
      <c r="P1066">
        <f>IF(OR(M1066="",N1066=""),"",SUMIFS('Barang Keluar'!$E:$E,'Barang Keluar'!$A:$A,M1066,'Barang Keluar'!$C:$C,N1066))</f>
        <v>0</v>
      </c>
    </row>
    <row r="1067" spans="13:16">
      <c r="M1067" s="49">
        <f>IF($A$4+10&gt;$B$4,"",$A$4+10)</f>
        <v>46033</v>
      </c>
      <c r="N1067">
        <f>IF(M1067="","",'Master Barang'!A61)</f>
        <v>0</v>
      </c>
      <c r="O1067">
        <f>IF(N1067="","",'Master Barang'!B61)</f>
        <v>0</v>
      </c>
      <c r="P1067">
        <f>IF(OR(M1067="",N1067=""),"",SUMIFS('Barang Keluar'!$E:$E,'Barang Keluar'!$A:$A,M1067,'Barang Keluar'!$C:$C,N1067))</f>
        <v>0</v>
      </c>
    </row>
    <row r="1068" spans="13:16">
      <c r="M1068" s="49">
        <f>IF($A$4+10&gt;$B$4,"",$A$4+10)</f>
        <v>46033</v>
      </c>
      <c r="N1068">
        <f>IF(M1068="","",'Master Barang'!A62)</f>
        <v>0</v>
      </c>
      <c r="O1068">
        <f>IF(N1068="","",'Master Barang'!B62)</f>
        <v>0</v>
      </c>
      <c r="P1068">
        <f>IF(OR(M1068="",N1068=""),"",SUMIFS('Barang Keluar'!$E:$E,'Barang Keluar'!$A:$A,M1068,'Barang Keluar'!$C:$C,N1068))</f>
        <v>0</v>
      </c>
    </row>
    <row r="1069" spans="13:16">
      <c r="M1069" s="49">
        <f>IF($A$4+10&gt;$B$4,"",$A$4+10)</f>
        <v>46033</v>
      </c>
      <c r="N1069">
        <f>IF(M1069="","",'Master Barang'!A63)</f>
        <v>0</v>
      </c>
      <c r="O1069">
        <f>IF(N1069="","",'Master Barang'!B63)</f>
        <v>0</v>
      </c>
      <c r="P1069">
        <f>IF(OR(M1069="",N1069=""),"",SUMIFS('Barang Keluar'!$E:$E,'Barang Keluar'!$A:$A,M1069,'Barang Keluar'!$C:$C,N1069))</f>
        <v>0</v>
      </c>
    </row>
    <row r="1070" spans="13:16">
      <c r="M1070" s="49">
        <f>IF($A$4+10&gt;$B$4,"",$A$4+10)</f>
        <v>46033</v>
      </c>
      <c r="N1070">
        <f>IF(M1070="","",'Master Barang'!A64)</f>
        <v>0</v>
      </c>
      <c r="O1070">
        <f>IF(N1070="","",'Master Barang'!B64)</f>
        <v>0</v>
      </c>
      <c r="P1070">
        <f>IF(OR(M1070="",N1070=""),"",SUMIFS('Barang Keluar'!$E:$E,'Barang Keluar'!$A:$A,M1070,'Barang Keluar'!$C:$C,N1070))</f>
        <v>0</v>
      </c>
    </row>
    <row r="1071" spans="13:16">
      <c r="M1071" s="49">
        <f>IF($A$4+10&gt;$B$4,"",$A$4+10)</f>
        <v>46033</v>
      </c>
      <c r="N1071">
        <f>IF(M1071="","",'Master Barang'!A65)</f>
        <v>0</v>
      </c>
      <c r="O1071">
        <f>IF(N1071="","",'Master Barang'!B65)</f>
        <v>0</v>
      </c>
      <c r="P1071">
        <f>IF(OR(M1071="",N1071=""),"",SUMIFS('Barang Keluar'!$E:$E,'Barang Keluar'!$A:$A,M1071,'Barang Keluar'!$C:$C,N1071))</f>
        <v>0</v>
      </c>
    </row>
    <row r="1072" spans="13:16">
      <c r="M1072" s="49">
        <f>IF($A$4+10&gt;$B$4,"",$A$4+10)</f>
        <v>46033</v>
      </c>
      <c r="N1072">
        <f>IF(M1072="","",'Master Barang'!A66)</f>
        <v>0</v>
      </c>
      <c r="O1072">
        <f>IF(N1072="","",'Master Barang'!B66)</f>
        <v>0</v>
      </c>
      <c r="P1072">
        <f>IF(OR(M1072="",N1072=""),"",SUMIFS('Barang Keluar'!$E:$E,'Barang Keluar'!$A:$A,M1072,'Barang Keluar'!$C:$C,N1072))</f>
        <v>0</v>
      </c>
    </row>
    <row r="1073" spans="13:16">
      <c r="M1073" s="49">
        <f>IF($A$4+10&gt;$B$4,"",$A$4+10)</f>
        <v>46033</v>
      </c>
      <c r="N1073">
        <f>IF(M1073="","",'Master Barang'!A67)</f>
        <v>0</v>
      </c>
      <c r="O1073">
        <f>IF(N1073="","",'Master Barang'!B67)</f>
        <v>0</v>
      </c>
      <c r="P1073">
        <f>IF(OR(M1073="",N1073=""),"",SUMIFS('Barang Keluar'!$E:$E,'Barang Keluar'!$A:$A,M1073,'Barang Keluar'!$C:$C,N1073))</f>
        <v>0</v>
      </c>
    </row>
    <row r="1074" spans="13:16">
      <c r="M1074" s="49">
        <f>IF($A$4+10&gt;$B$4,"",$A$4+10)</f>
        <v>46033</v>
      </c>
      <c r="N1074">
        <f>IF(M1074="","",'Master Barang'!A68)</f>
        <v>0</v>
      </c>
      <c r="O1074">
        <f>IF(N1074="","",'Master Barang'!B68)</f>
        <v>0</v>
      </c>
      <c r="P1074">
        <f>IF(OR(M1074="",N1074=""),"",SUMIFS('Barang Keluar'!$E:$E,'Barang Keluar'!$A:$A,M1074,'Barang Keluar'!$C:$C,N1074))</f>
        <v>0</v>
      </c>
    </row>
    <row r="1075" spans="13:16">
      <c r="M1075" s="49">
        <f>IF($A$4+10&gt;$B$4,"",$A$4+10)</f>
        <v>46033</v>
      </c>
      <c r="N1075">
        <f>IF(M1075="","",'Master Barang'!A69)</f>
        <v>0</v>
      </c>
      <c r="O1075">
        <f>IF(N1075="","",'Master Barang'!B69)</f>
        <v>0</v>
      </c>
      <c r="P1075">
        <f>IF(OR(M1075="",N1075=""),"",SUMIFS('Barang Keluar'!$E:$E,'Barang Keluar'!$A:$A,M1075,'Barang Keluar'!$C:$C,N1075))</f>
        <v>0</v>
      </c>
    </row>
    <row r="1076" spans="13:16">
      <c r="M1076" s="49">
        <f>IF($A$4+10&gt;$B$4,"",$A$4+10)</f>
        <v>46033</v>
      </c>
      <c r="N1076">
        <f>IF(M1076="","",'Master Barang'!A70)</f>
        <v>0</v>
      </c>
      <c r="O1076">
        <f>IF(N1076="","",'Master Barang'!B70)</f>
        <v>0</v>
      </c>
      <c r="P1076">
        <f>IF(OR(M1076="",N1076=""),"",SUMIFS('Barang Keluar'!$E:$E,'Barang Keluar'!$A:$A,M1076,'Barang Keluar'!$C:$C,N1076))</f>
        <v>0</v>
      </c>
    </row>
    <row r="1077" spans="13:16">
      <c r="M1077" s="49">
        <f>IF($A$4+10&gt;$B$4,"",$A$4+10)</f>
        <v>46033</v>
      </c>
      <c r="N1077">
        <f>IF(M1077="","",'Master Barang'!A71)</f>
        <v>0</v>
      </c>
      <c r="O1077">
        <f>IF(N1077="","",'Master Barang'!B71)</f>
        <v>0</v>
      </c>
      <c r="P1077">
        <f>IF(OR(M1077="",N1077=""),"",SUMIFS('Barang Keluar'!$E:$E,'Barang Keluar'!$A:$A,M1077,'Barang Keluar'!$C:$C,N1077))</f>
        <v>0</v>
      </c>
    </row>
    <row r="1078" spans="13:16">
      <c r="M1078" s="49">
        <f>IF($A$4+10&gt;$B$4,"",$A$4+10)</f>
        <v>46033</v>
      </c>
      <c r="N1078">
        <f>IF(M1078="","",'Master Barang'!A72)</f>
        <v>0</v>
      </c>
      <c r="O1078">
        <f>IF(N1078="","",'Master Barang'!B72)</f>
        <v>0</v>
      </c>
      <c r="P1078">
        <f>IF(OR(M1078="",N1078=""),"",SUMIFS('Barang Keluar'!$E:$E,'Barang Keluar'!$A:$A,M1078,'Barang Keluar'!$C:$C,N1078))</f>
        <v>0</v>
      </c>
    </row>
    <row r="1079" spans="13:16">
      <c r="M1079" s="49">
        <f>IF($A$4+10&gt;$B$4,"",$A$4+10)</f>
        <v>46033</v>
      </c>
      <c r="N1079">
        <f>IF(M1079="","",'Master Barang'!A73)</f>
        <v>0</v>
      </c>
      <c r="O1079">
        <f>IF(N1079="","",'Master Barang'!B73)</f>
        <v>0</v>
      </c>
      <c r="P1079">
        <f>IF(OR(M1079="",N1079=""),"",SUMIFS('Barang Keluar'!$E:$E,'Barang Keluar'!$A:$A,M1079,'Barang Keluar'!$C:$C,N1079))</f>
        <v>0</v>
      </c>
    </row>
    <row r="1080" spans="13:16">
      <c r="M1080" s="49">
        <f>IF($A$4+10&gt;$B$4,"",$A$4+10)</f>
        <v>46033</v>
      </c>
      <c r="N1080">
        <f>IF(M1080="","",'Master Barang'!A74)</f>
        <v>0</v>
      </c>
      <c r="O1080">
        <f>IF(N1080="","",'Master Barang'!B74)</f>
        <v>0</v>
      </c>
      <c r="P1080">
        <f>IF(OR(M1080="",N1080=""),"",SUMIFS('Barang Keluar'!$E:$E,'Barang Keluar'!$A:$A,M1080,'Barang Keluar'!$C:$C,N1080))</f>
        <v>0</v>
      </c>
    </row>
    <row r="1081" spans="13:16">
      <c r="M1081" s="49">
        <f>IF($A$4+10&gt;$B$4,"",$A$4+10)</f>
        <v>46033</v>
      </c>
      <c r="N1081">
        <f>IF(M1081="","",'Master Barang'!A75)</f>
        <v>0</v>
      </c>
      <c r="O1081">
        <f>IF(N1081="","",'Master Barang'!B75)</f>
        <v>0</v>
      </c>
      <c r="P1081">
        <f>IF(OR(M1081="",N1081=""),"",SUMIFS('Barang Keluar'!$E:$E,'Barang Keluar'!$A:$A,M1081,'Barang Keluar'!$C:$C,N1081))</f>
        <v>0</v>
      </c>
    </row>
    <row r="1082" spans="13:16">
      <c r="M1082" s="49">
        <f>IF($A$4+10&gt;$B$4,"",$A$4+10)</f>
        <v>46033</v>
      </c>
      <c r="N1082">
        <f>IF(M1082="","",'Master Barang'!A76)</f>
        <v>0</v>
      </c>
      <c r="O1082">
        <f>IF(N1082="","",'Master Barang'!B76)</f>
        <v>0</v>
      </c>
      <c r="P1082">
        <f>IF(OR(M1082="",N1082=""),"",SUMIFS('Barang Keluar'!$E:$E,'Barang Keluar'!$A:$A,M1082,'Barang Keluar'!$C:$C,N1082))</f>
        <v>0</v>
      </c>
    </row>
    <row r="1083" spans="13:16">
      <c r="M1083" s="49">
        <f>IF($A$4+10&gt;$B$4,"",$A$4+10)</f>
        <v>46033</v>
      </c>
      <c r="N1083">
        <f>IF(M1083="","",'Master Barang'!A77)</f>
        <v>0</v>
      </c>
      <c r="O1083">
        <f>IF(N1083="","",'Master Barang'!B77)</f>
        <v>0</v>
      </c>
      <c r="P1083">
        <f>IF(OR(M1083="",N1083=""),"",SUMIFS('Barang Keluar'!$E:$E,'Barang Keluar'!$A:$A,M1083,'Barang Keluar'!$C:$C,N1083))</f>
        <v>0</v>
      </c>
    </row>
    <row r="1084" spans="13:16">
      <c r="M1084" s="49">
        <f>IF($A$4+10&gt;$B$4,"",$A$4+10)</f>
        <v>46033</v>
      </c>
      <c r="N1084">
        <f>IF(M1084="","",'Master Barang'!A78)</f>
        <v>0</v>
      </c>
      <c r="O1084">
        <f>IF(N1084="","",'Master Barang'!B78)</f>
        <v>0</v>
      </c>
      <c r="P1084">
        <f>IF(OR(M1084="",N1084=""),"",SUMIFS('Barang Keluar'!$E:$E,'Barang Keluar'!$A:$A,M1084,'Barang Keluar'!$C:$C,N1084))</f>
        <v>0</v>
      </c>
    </row>
    <row r="1085" spans="13:16">
      <c r="M1085" s="49">
        <f>IF($A$4+10&gt;$B$4,"",$A$4+10)</f>
        <v>46033</v>
      </c>
      <c r="N1085">
        <f>IF(M1085="","",'Master Barang'!A79)</f>
        <v>0</v>
      </c>
      <c r="O1085">
        <f>IF(N1085="","",'Master Barang'!B79)</f>
        <v>0</v>
      </c>
      <c r="P1085">
        <f>IF(OR(M1085="",N1085=""),"",SUMIFS('Barang Keluar'!$E:$E,'Barang Keluar'!$A:$A,M1085,'Barang Keluar'!$C:$C,N1085))</f>
        <v>0</v>
      </c>
    </row>
    <row r="1086" spans="13:16">
      <c r="M1086" s="49">
        <f>IF($A$4+10&gt;$B$4,"",$A$4+10)</f>
        <v>46033</v>
      </c>
      <c r="N1086">
        <f>IF(M1086="","",'Master Barang'!A80)</f>
        <v>0</v>
      </c>
      <c r="O1086">
        <f>IF(N1086="","",'Master Barang'!B80)</f>
        <v>0</v>
      </c>
      <c r="P1086">
        <f>IF(OR(M1086="",N1086=""),"",SUMIFS('Barang Keluar'!$E:$E,'Barang Keluar'!$A:$A,M1086,'Barang Keluar'!$C:$C,N1086))</f>
        <v>0</v>
      </c>
    </row>
    <row r="1087" spans="13:16">
      <c r="M1087" s="49">
        <f>IF($A$4+10&gt;$B$4,"",$A$4+10)</f>
        <v>46033</v>
      </c>
      <c r="N1087">
        <f>IF(M1087="","",'Master Barang'!A81)</f>
        <v>0</v>
      </c>
      <c r="O1087">
        <f>IF(N1087="","",'Master Barang'!B81)</f>
        <v>0</v>
      </c>
      <c r="P1087">
        <f>IF(OR(M1087="",N1087=""),"",SUMIFS('Barang Keluar'!$E:$E,'Barang Keluar'!$A:$A,M1087,'Barang Keluar'!$C:$C,N1087))</f>
        <v>0</v>
      </c>
    </row>
    <row r="1088" spans="13:16">
      <c r="M1088" s="49">
        <f>IF($A$4+10&gt;$B$4,"",$A$4+10)</f>
        <v>46033</v>
      </c>
      <c r="N1088">
        <f>IF(M1088="","",'Master Barang'!A82)</f>
        <v>0</v>
      </c>
      <c r="O1088">
        <f>IF(N1088="","",'Master Barang'!B82)</f>
        <v>0</v>
      </c>
      <c r="P1088">
        <f>IF(OR(M1088="",N1088=""),"",SUMIFS('Barang Keluar'!$E:$E,'Barang Keluar'!$A:$A,M1088,'Barang Keluar'!$C:$C,N1088))</f>
        <v>0</v>
      </c>
    </row>
    <row r="1089" spans="13:16">
      <c r="M1089" s="49">
        <f>IF($A$4+10&gt;$B$4,"",$A$4+10)</f>
        <v>46033</v>
      </c>
      <c r="N1089">
        <f>IF(M1089="","",'Master Barang'!A83)</f>
        <v>0</v>
      </c>
      <c r="O1089">
        <f>IF(N1089="","",'Master Barang'!B83)</f>
        <v>0</v>
      </c>
      <c r="P1089">
        <f>IF(OR(M1089="",N1089=""),"",SUMIFS('Barang Keluar'!$E:$E,'Barang Keluar'!$A:$A,M1089,'Barang Keluar'!$C:$C,N1089))</f>
        <v>0</v>
      </c>
    </row>
    <row r="1090" spans="13:16">
      <c r="M1090" s="49">
        <f>IF($A$4+10&gt;$B$4,"",$A$4+10)</f>
        <v>46033</v>
      </c>
      <c r="N1090">
        <f>IF(M1090="","",'Master Barang'!A84)</f>
        <v>0</v>
      </c>
      <c r="O1090">
        <f>IF(N1090="","",'Master Barang'!B84)</f>
        <v>0</v>
      </c>
      <c r="P1090">
        <f>IF(OR(M1090="",N1090=""),"",SUMIFS('Barang Keluar'!$E:$E,'Barang Keluar'!$A:$A,M1090,'Barang Keluar'!$C:$C,N1090))</f>
        <v>0</v>
      </c>
    </row>
    <row r="1091" spans="13:16">
      <c r="M1091" s="49">
        <f>IF($A$4+10&gt;$B$4,"",$A$4+10)</f>
        <v>46033</v>
      </c>
      <c r="N1091">
        <f>IF(M1091="","",'Master Barang'!A85)</f>
        <v>0</v>
      </c>
      <c r="O1091">
        <f>IF(N1091="","",'Master Barang'!B85)</f>
        <v>0</v>
      </c>
      <c r="P1091">
        <f>IF(OR(M1091="",N1091=""),"",SUMIFS('Barang Keluar'!$E:$E,'Barang Keluar'!$A:$A,M1091,'Barang Keluar'!$C:$C,N1091))</f>
        <v>0</v>
      </c>
    </row>
    <row r="1092" spans="13:16">
      <c r="M1092" s="49">
        <f>IF($A$4+10&gt;$B$4,"",$A$4+10)</f>
        <v>46033</v>
      </c>
      <c r="N1092">
        <f>IF(M1092="","",'Master Barang'!A86)</f>
        <v>0</v>
      </c>
      <c r="O1092">
        <f>IF(N1092="","",'Master Barang'!B86)</f>
        <v>0</v>
      </c>
      <c r="P1092">
        <f>IF(OR(M1092="",N1092=""),"",SUMIFS('Barang Keluar'!$E:$E,'Barang Keluar'!$A:$A,M1092,'Barang Keluar'!$C:$C,N1092))</f>
        <v>0</v>
      </c>
    </row>
    <row r="1093" spans="13:16">
      <c r="M1093" s="49">
        <f>IF($A$4+10&gt;$B$4,"",$A$4+10)</f>
        <v>46033</v>
      </c>
      <c r="N1093">
        <f>IF(M1093="","",'Master Barang'!A87)</f>
        <v>0</v>
      </c>
      <c r="O1093">
        <f>IF(N1093="","",'Master Barang'!B87)</f>
        <v>0</v>
      </c>
      <c r="P1093">
        <f>IF(OR(M1093="",N1093=""),"",SUMIFS('Barang Keluar'!$E:$E,'Barang Keluar'!$A:$A,M1093,'Barang Keluar'!$C:$C,N1093))</f>
        <v>0</v>
      </c>
    </row>
    <row r="1094" spans="13:16">
      <c r="M1094" s="49">
        <f>IF($A$4+10&gt;$B$4,"",$A$4+10)</f>
        <v>46033</v>
      </c>
      <c r="N1094">
        <f>IF(M1094="","",'Master Barang'!A88)</f>
        <v>0</v>
      </c>
      <c r="O1094">
        <f>IF(N1094="","",'Master Barang'!B88)</f>
        <v>0</v>
      </c>
      <c r="P1094">
        <f>IF(OR(M1094="",N1094=""),"",SUMIFS('Barang Keluar'!$E:$E,'Barang Keluar'!$A:$A,M1094,'Barang Keluar'!$C:$C,N1094))</f>
        <v>0</v>
      </c>
    </row>
    <row r="1095" spans="13:16">
      <c r="M1095" s="49">
        <f>IF($A$4+10&gt;$B$4,"",$A$4+10)</f>
        <v>46033</v>
      </c>
      <c r="N1095">
        <f>IF(M1095="","",'Master Barang'!A89)</f>
        <v>0</v>
      </c>
      <c r="O1095">
        <f>IF(N1095="","",'Master Barang'!B89)</f>
        <v>0</v>
      </c>
      <c r="P1095">
        <f>IF(OR(M1095="",N1095=""),"",SUMIFS('Barang Keluar'!$E:$E,'Barang Keluar'!$A:$A,M1095,'Barang Keluar'!$C:$C,N1095))</f>
        <v>0</v>
      </c>
    </row>
    <row r="1096" spans="13:16">
      <c r="M1096" s="49">
        <f>IF($A$4+10&gt;$B$4,"",$A$4+10)</f>
        <v>46033</v>
      </c>
      <c r="N1096">
        <f>IF(M1096="","",'Master Barang'!A90)</f>
        <v>0</v>
      </c>
      <c r="O1096">
        <f>IF(N1096="","",'Master Barang'!B90)</f>
        <v>0</v>
      </c>
      <c r="P1096">
        <f>IF(OR(M1096="",N1096=""),"",SUMIFS('Barang Keluar'!$E:$E,'Barang Keluar'!$A:$A,M1096,'Barang Keluar'!$C:$C,N1096))</f>
        <v>0</v>
      </c>
    </row>
    <row r="1097" spans="13:16">
      <c r="M1097" s="49">
        <f>IF($A$4+10&gt;$B$4,"",$A$4+10)</f>
        <v>46033</v>
      </c>
      <c r="N1097">
        <f>IF(M1097="","",'Master Barang'!A91)</f>
        <v>0</v>
      </c>
      <c r="O1097">
        <f>IF(N1097="","",'Master Barang'!B91)</f>
        <v>0</v>
      </c>
      <c r="P1097">
        <f>IF(OR(M1097="",N1097=""),"",SUMIFS('Barang Keluar'!$E:$E,'Barang Keluar'!$A:$A,M1097,'Barang Keluar'!$C:$C,N1097))</f>
        <v>0</v>
      </c>
    </row>
    <row r="1098" spans="13:16">
      <c r="M1098" s="49">
        <f>IF($A$4+10&gt;$B$4,"",$A$4+10)</f>
        <v>46033</v>
      </c>
      <c r="N1098">
        <f>IF(M1098="","",'Master Barang'!A92)</f>
        <v>0</v>
      </c>
      <c r="O1098">
        <f>IF(N1098="","",'Master Barang'!B92)</f>
        <v>0</v>
      </c>
      <c r="P1098">
        <f>IF(OR(M1098="",N1098=""),"",SUMIFS('Barang Keluar'!$E:$E,'Barang Keluar'!$A:$A,M1098,'Barang Keluar'!$C:$C,N1098))</f>
        <v>0</v>
      </c>
    </row>
    <row r="1099" spans="13:16">
      <c r="M1099" s="49">
        <f>IF($A$4+10&gt;$B$4,"",$A$4+10)</f>
        <v>46033</v>
      </c>
      <c r="N1099">
        <f>IF(M1099="","",'Master Barang'!A93)</f>
        <v>0</v>
      </c>
      <c r="O1099">
        <f>IF(N1099="","",'Master Barang'!B93)</f>
        <v>0</v>
      </c>
      <c r="P1099">
        <f>IF(OR(M1099="",N1099=""),"",SUMIFS('Barang Keluar'!$E:$E,'Barang Keluar'!$A:$A,M1099,'Barang Keluar'!$C:$C,N1099))</f>
        <v>0</v>
      </c>
    </row>
    <row r="1100" spans="13:16">
      <c r="M1100" s="49">
        <f>IF($A$4+10&gt;$B$4,"",$A$4+10)</f>
        <v>46033</v>
      </c>
      <c r="N1100">
        <f>IF(M1100="","",'Master Barang'!A94)</f>
        <v>0</v>
      </c>
      <c r="O1100">
        <f>IF(N1100="","",'Master Barang'!B94)</f>
        <v>0</v>
      </c>
      <c r="P1100">
        <f>IF(OR(M1100="",N1100=""),"",SUMIFS('Barang Keluar'!$E:$E,'Barang Keluar'!$A:$A,M1100,'Barang Keluar'!$C:$C,N1100))</f>
        <v>0</v>
      </c>
    </row>
    <row r="1101" spans="13:16">
      <c r="M1101" s="49">
        <f>IF($A$4+10&gt;$B$4,"",$A$4+10)</f>
        <v>46033</v>
      </c>
      <c r="N1101">
        <f>IF(M1101="","",'Master Barang'!A95)</f>
        <v>0</v>
      </c>
      <c r="O1101">
        <f>IF(N1101="","",'Master Barang'!B95)</f>
        <v>0</v>
      </c>
      <c r="P1101">
        <f>IF(OR(M1101="",N1101=""),"",SUMIFS('Barang Keluar'!$E:$E,'Barang Keluar'!$A:$A,M1101,'Barang Keluar'!$C:$C,N1101))</f>
        <v>0</v>
      </c>
    </row>
    <row r="1102" spans="13:16">
      <c r="M1102" s="49">
        <f>IF($A$4+10&gt;$B$4,"",$A$4+10)</f>
        <v>46033</v>
      </c>
      <c r="N1102">
        <f>IF(M1102="","",'Master Barang'!A96)</f>
        <v>0</v>
      </c>
      <c r="O1102">
        <f>IF(N1102="","",'Master Barang'!B96)</f>
        <v>0</v>
      </c>
      <c r="P1102">
        <f>IF(OR(M1102="",N1102=""),"",SUMIFS('Barang Keluar'!$E:$E,'Barang Keluar'!$A:$A,M1102,'Barang Keluar'!$C:$C,N1102))</f>
        <v>0</v>
      </c>
    </row>
    <row r="1103" spans="13:16">
      <c r="M1103" s="49">
        <f>IF($A$4+10&gt;$B$4,"",$A$4+10)</f>
        <v>46033</v>
      </c>
      <c r="N1103">
        <f>IF(M1103="","",'Master Barang'!A97)</f>
        <v>0</v>
      </c>
      <c r="O1103">
        <f>IF(N1103="","",'Master Barang'!B97)</f>
        <v>0</v>
      </c>
      <c r="P1103">
        <f>IF(OR(M1103="",N1103=""),"",SUMIFS('Barang Keluar'!$E:$E,'Barang Keluar'!$A:$A,M1103,'Barang Keluar'!$C:$C,N1103))</f>
        <v>0</v>
      </c>
    </row>
    <row r="1104" spans="13:16">
      <c r="M1104" s="49">
        <f>IF($A$4+10&gt;$B$4,"",$A$4+10)</f>
        <v>46033</v>
      </c>
      <c r="N1104">
        <f>IF(M1104="","",'Master Barang'!A98)</f>
        <v>0</v>
      </c>
      <c r="O1104">
        <f>IF(N1104="","",'Master Barang'!B98)</f>
        <v>0</v>
      </c>
      <c r="P1104">
        <f>IF(OR(M1104="",N1104=""),"",SUMIFS('Barang Keluar'!$E:$E,'Barang Keluar'!$A:$A,M1104,'Barang Keluar'!$C:$C,N1104))</f>
        <v>0</v>
      </c>
    </row>
    <row r="1105" spans="13:16">
      <c r="M1105" s="49">
        <f>IF($A$4+10&gt;$B$4,"",$A$4+10)</f>
        <v>46033</v>
      </c>
      <c r="N1105">
        <f>IF(M1105="","",'Master Barang'!A99)</f>
        <v>0</v>
      </c>
      <c r="O1105">
        <f>IF(N1105="","",'Master Barang'!B99)</f>
        <v>0</v>
      </c>
      <c r="P1105">
        <f>IF(OR(M1105="",N1105=""),"",SUMIFS('Barang Keluar'!$E:$E,'Barang Keluar'!$A:$A,M1105,'Barang Keluar'!$C:$C,N1105))</f>
        <v>0</v>
      </c>
    </row>
    <row r="1106" spans="13:16">
      <c r="M1106" s="49">
        <f>IF($A$4+10&gt;$B$4,"",$A$4+10)</f>
        <v>46033</v>
      </c>
      <c r="N1106">
        <f>IF(M1106="","",'Master Barang'!A100)</f>
        <v>0</v>
      </c>
      <c r="O1106">
        <f>IF(N1106="","",'Master Barang'!B100)</f>
        <v>0</v>
      </c>
      <c r="P1106">
        <f>IF(OR(M1106="",N1106=""),"",SUMIFS('Barang Keluar'!$E:$E,'Barang Keluar'!$A:$A,M1106,'Barang Keluar'!$C:$C,N1106))</f>
        <v>0</v>
      </c>
    </row>
    <row r="1107" spans="13:16">
      <c r="M1107" s="49">
        <f>IF($A$4+10&gt;$B$4,"",$A$4+10)</f>
        <v>46033</v>
      </c>
      <c r="N1107">
        <f>IF(M1107="","",'Master Barang'!A101)</f>
        <v>0</v>
      </c>
      <c r="O1107">
        <f>IF(N1107="","",'Master Barang'!B101)</f>
        <v>0</v>
      </c>
      <c r="P1107">
        <f>IF(OR(M1107="",N1107=""),"",SUMIFS('Barang Keluar'!$E:$E,'Barang Keluar'!$A:$A,M1107,'Barang Keluar'!$C:$C,N1107))</f>
        <v>0</v>
      </c>
    </row>
    <row r="1108" spans="13:16">
      <c r="M1108" s="49">
        <f>IF($A$4+11&gt;$B$4,"",$A$4+11)</f>
        <v>46034</v>
      </c>
      <c r="N1108" t="str">
        <f>IF(M1108="","",'Master Barang'!A2)</f>
        <v>PRL-001</v>
      </c>
      <c r="O1108" t="str">
        <f>IF(N1108="","",'Master Barang'!B2)</f>
        <v>natura desinfectant food grade 5l</v>
      </c>
      <c r="P1108">
        <f>IF(OR(M1108="",N1108=""),"",SUMIFS('Barang Keluar'!$E:$E,'Barang Keluar'!$A:$A,M1108,'Barang Keluar'!$C:$C,N1108))</f>
        <v>0</v>
      </c>
    </row>
    <row r="1109" spans="13:16">
      <c r="M1109" s="49">
        <f>IF($A$4+11&gt;$B$4,"",$A$4+11)</f>
        <v>46034</v>
      </c>
      <c r="N1109" t="str">
        <f>IF(M1109="","",'Master Barang'!A3)</f>
        <v>PRL-002</v>
      </c>
      <c r="O1109" t="str">
        <f>IF(N1109="","",'Master Barang'!B3)</f>
        <v>sunlight cairan pencuci piring 5l</v>
      </c>
      <c r="P1109">
        <f>IF(OR(M1109="",N1109=""),"",SUMIFS('Barang Keluar'!$E:$E,'Barang Keluar'!$A:$A,M1109,'Barang Keluar'!$C:$C,N1109))</f>
        <v>0</v>
      </c>
    </row>
    <row r="1110" spans="13:16">
      <c r="M1110" s="49">
        <f>IF($A$4+11&gt;$B$4,"",$A$4+11)</f>
        <v>46034</v>
      </c>
      <c r="N1110" t="str">
        <f>IF(M1110="","",'Master Barang'!A4)</f>
        <v>PRL-003</v>
      </c>
      <c r="O1110" t="str">
        <f>IF(N1110="","",'Master Barang'!B4)</f>
        <v>oixs cleaner 1l</v>
      </c>
      <c r="P1110">
        <f>IF(OR(M1110="",N1110=""),"",SUMIFS('Barang Keluar'!$E:$E,'Barang Keluar'!$A:$A,M1110,'Barang Keluar'!$C:$C,N1110))</f>
        <v>0</v>
      </c>
    </row>
    <row r="1111" spans="13:16">
      <c r="M1111" s="49">
        <f>IF($A$4+11&gt;$B$4,"",$A$4+11)</f>
        <v>46034</v>
      </c>
      <c r="N1111" t="str">
        <f>IF(M1111="","",'Master Barang'!A5)</f>
        <v>PRL-004</v>
      </c>
      <c r="O1111" t="str">
        <f>IF(N1111="","",'Master Barang'!B5)</f>
        <v>be clean tissue serbaguna</v>
      </c>
      <c r="P1111">
        <f>IF(OR(M1111="",N1111=""),"",SUMIFS('Barang Keluar'!$E:$E,'Barang Keluar'!$A:$A,M1111,'Barang Keluar'!$C:$C,N1111))</f>
        <v>0</v>
      </c>
    </row>
    <row r="1112" spans="13:16">
      <c r="M1112" s="49">
        <f>IF($A$4+11&gt;$B$4,"",$A$4+11)</f>
        <v>46034</v>
      </c>
      <c r="N1112" t="str">
        <f>IF(M1112="","",'Master Barang'!A6)</f>
        <v>PRL-005</v>
      </c>
      <c r="O1112" t="str">
        <f>IF(N1112="","",'Master Barang'!B6)</f>
        <v>spons cuci hijau</v>
      </c>
      <c r="P1112">
        <f>IF(OR(M1112="",N1112=""),"",SUMIFS('Barang Keluar'!$E:$E,'Barang Keluar'!$A:$A,M1112,'Barang Keluar'!$C:$C,N1112))</f>
        <v>0</v>
      </c>
    </row>
    <row r="1113" spans="13:16">
      <c r="M1113" s="49">
        <f>IF($A$4+11&gt;$B$4,"",$A$4+11)</f>
        <v>46034</v>
      </c>
      <c r="N1113" t="str">
        <f>IF(M1113="","",'Master Barang'!A7)</f>
        <v>PRL-006</v>
      </c>
      <c r="O1113" t="str">
        <f>IF(N1113="","",'Master Barang'!B7)</f>
        <v>sabut cuci stainless</v>
      </c>
      <c r="P1113">
        <f>IF(OR(M1113="",N1113=""),"",SUMIFS('Barang Keluar'!$E:$E,'Barang Keluar'!$A:$A,M1113,'Barang Keluar'!$C:$C,N1113))</f>
        <v>0</v>
      </c>
    </row>
    <row r="1114" spans="13:16">
      <c r="M1114" s="49">
        <f>IF($A$4+11&gt;$B$4,"",$A$4+11)</f>
        <v>46034</v>
      </c>
      <c r="N1114" t="str">
        <f>IF(M1114="","",'Master Barang'!A8)</f>
        <v>PRL-007</v>
      </c>
      <c r="O1114" t="str">
        <f>IF(N1114="","",'Master Barang'!B8)</f>
        <v>plastik kresek besar merah 50pc</v>
      </c>
      <c r="P1114">
        <f>IF(OR(M1114="",N1114=""),"",SUMIFS('Barang Keluar'!$E:$E,'Barang Keluar'!$A:$A,M1114,'Barang Keluar'!$C:$C,N1114))</f>
        <v>0</v>
      </c>
    </row>
    <row r="1115" spans="13:16">
      <c r="M1115" s="49">
        <f>IF($A$4+11&gt;$B$4,"",$A$4+11)</f>
        <v>46034</v>
      </c>
      <c r="N1115" t="str">
        <f>IF(M1115="","",'Master Barang'!A9)</f>
        <v>PRL-008</v>
      </c>
      <c r="O1115" t="str">
        <f>IF(N1115="","",'Master Barang'!B9)</f>
        <v>lap besar</v>
      </c>
      <c r="P1115">
        <f>IF(OR(M1115="",N1115=""),"",SUMIFS('Barang Keluar'!$E:$E,'Barang Keluar'!$A:$A,M1115,'Barang Keluar'!$C:$C,N1115))</f>
        <v>0</v>
      </c>
    </row>
    <row r="1116" spans="13:16">
      <c r="M1116" s="49">
        <f>IF($A$4+11&gt;$B$4,"",$A$4+11)</f>
        <v>46034</v>
      </c>
      <c r="N1116" t="str">
        <f>IF(M1116="","",'Master Barang'!A10)</f>
        <v>PRL-009</v>
      </c>
      <c r="O1116" t="str">
        <f>IF(N1116="","",'Master Barang'!B10)</f>
        <v>lap microfiber</v>
      </c>
      <c r="P1116">
        <f>IF(OR(M1116="",N1116=""),"",SUMIFS('Barang Keluar'!$E:$E,'Barang Keluar'!$A:$A,M1116,'Barang Keluar'!$C:$C,N1116))</f>
        <v>0</v>
      </c>
    </row>
    <row r="1117" spans="13:16">
      <c r="M1117" s="49">
        <f>IF($A$4+11&gt;$B$4,"",$A$4+11)</f>
        <v>46034</v>
      </c>
      <c r="N1117" t="str">
        <f>IF(M1117="","",'Master Barang'!A11)</f>
        <v>PRL-010</v>
      </c>
      <c r="O1117" t="str">
        <f>IF(N1117="","",'Master Barang'!B11)</f>
        <v>lap kecil</v>
      </c>
      <c r="P1117">
        <f>IF(OR(M1117="",N1117=""),"",SUMIFS('Barang Keluar'!$E:$E,'Barang Keluar'!$A:$A,M1117,'Barang Keluar'!$C:$C,N1117))</f>
        <v>0</v>
      </c>
    </row>
    <row r="1118" spans="13:16">
      <c r="M1118" s="49">
        <f>IF($A$4+11&gt;$B$4,"",$A$4+11)</f>
        <v>46034</v>
      </c>
      <c r="N1118" t="str">
        <f>IF(M1118="","",'Master Barang'!A12)</f>
        <v>PRL-011</v>
      </c>
      <c r="O1118" t="str">
        <f>IF(N1118="","",'Master Barang'!B12)</f>
        <v>kanebo kecil</v>
      </c>
      <c r="P1118">
        <f>IF(OR(M1118="",N1118=""),"",SUMIFS('Barang Keluar'!$E:$E,'Barang Keluar'!$A:$A,M1118,'Barang Keluar'!$C:$C,N1118))</f>
        <v>0</v>
      </c>
    </row>
    <row r="1119" spans="13:16">
      <c r="M1119" s="49">
        <f>IF($A$4+11&gt;$B$4,"",$A$4+11)</f>
        <v>46034</v>
      </c>
      <c r="N1119" t="str">
        <f>IF(M1119="","",'Master Barang'!A13)</f>
        <v>PRL-012</v>
      </c>
      <c r="O1119" t="str">
        <f>IF(N1119="","",'Master Barang'!B13)</f>
        <v>plastik 1/4kg joyoboyo 100 lembar</v>
      </c>
      <c r="P1119">
        <f>IF(OR(M1119="",N1119=""),"",SUMIFS('Barang Keluar'!$E:$E,'Barang Keluar'!$A:$A,M1119,'Barang Keluar'!$C:$C,N1119))</f>
        <v>0</v>
      </c>
    </row>
    <row r="1120" spans="13:16">
      <c r="M1120" s="49">
        <f>IF($A$4+11&gt;$B$4,"",$A$4+11)</f>
        <v>46034</v>
      </c>
      <c r="N1120" t="str">
        <f>IF(M1120="","",'Master Barang'!A14)</f>
        <v>PRL-013</v>
      </c>
      <c r="O1120" t="str">
        <f>IF(N1120="","",'Master Barang'!B14)</f>
        <v>sarung tangan plastik kaka 100 pcs</v>
      </c>
      <c r="P1120">
        <f>IF(OR(M1120="",N1120=""),"",SUMIFS('Barang Keluar'!$E:$E,'Barang Keluar'!$A:$A,M1120,'Barang Keluar'!$C:$C,N1120))</f>
        <v>0</v>
      </c>
    </row>
    <row r="1121" spans="13:16">
      <c r="M1121" s="49">
        <f>IF($A$4+11&gt;$B$4,"",$A$4+11)</f>
        <v>46034</v>
      </c>
      <c r="N1121" t="str">
        <f>IF(M1121="","",'Master Barang'!A15)</f>
        <v>PRL-014</v>
      </c>
      <c r="O1121" t="str">
        <f>IF(N1121="","",'Master Barang'!B15)</f>
        <v>optima trashbag 80x100</v>
      </c>
      <c r="P1121">
        <f>IF(OR(M1121="",N1121=""),"",SUMIFS('Barang Keluar'!$E:$E,'Barang Keluar'!$A:$A,M1121,'Barang Keluar'!$C:$C,N1121))</f>
        <v>0</v>
      </c>
    </row>
    <row r="1122" spans="13:16">
      <c r="M1122" s="49">
        <f>IF($A$4+11&gt;$B$4,"",$A$4+11)</f>
        <v>46034</v>
      </c>
      <c r="N1122" t="str">
        <f>IF(M1122="","",'Master Barang'!A16)</f>
        <v>PRL-015</v>
      </c>
      <c r="O1122" t="str">
        <f>IF(N1122="","",'Master Barang'!B16)</f>
        <v>optima trashbag 60x100</v>
      </c>
      <c r="P1122">
        <f>IF(OR(M1122="",N1122=""),"",SUMIFS('Barang Keluar'!$E:$E,'Barang Keluar'!$A:$A,M1122,'Barang Keluar'!$C:$C,N1122))</f>
        <v>0</v>
      </c>
    </row>
    <row r="1123" spans="13:16">
      <c r="M1123" s="49">
        <f>IF($A$4+11&gt;$B$4,"",$A$4+11)</f>
        <v>46034</v>
      </c>
      <c r="N1123" t="str">
        <f>IF(M1123="","",'Master Barang'!A17)</f>
        <v>PRL-016</v>
      </c>
      <c r="O1123" t="str">
        <f>IF(N1123="","",'Master Barang'!B17)</f>
        <v>rajawali trashbag 30x40</v>
      </c>
      <c r="P1123">
        <f>IF(OR(M1123="",N1123=""),"",SUMIFS('Barang Keluar'!$E:$E,'Barang Keluar'!$A:$A,M1123,'Barang Keluar'!$C:$C,N1123))</f>
        <v>0</v>
      </c>
    </row>
    <row r="1124" spans="13:16">
      <c r="M1124" s="49">
        <f>IF($A$4+11&gt;$B$4,"",$A$4+11)</f>
        <v>46034</v>
      </c>
      <c r="N1124" t="str">
        <f>IF(M1124="","",'Master Barang'!A18)</f>
        <v>PRL-017</v>
      </c>
      <c r="O1124" t="str">
        <f>IF(N1124="","",'Master Barang'!B18)</f>
        <v>onemed masker biru 3 play 50 pcs</v>
      </c>
      <c r="P1124">
        <f>IF(OR(M1124="",N1124=""),"",SUMIFS('Barang Keluar'!$E:$E,'Barang Keluar'!$A:$A,M1124,'Barang Keluar'!$C:$C,N1124))</f>
        <v>0</v>
      </c>
    </row>
    <row r="1125" spans="13:16">
      <c r="M1125" s="49">
        <f>IF($A$4+11&gt;$B$4,"",$A$4+11)</f>
        <v>46034</v>
      </c>
      <c r="N1125" t="str">
        <f>IF(M1125="","",'Master Barang'!A19)</f>
        <v>PRL-018</v>
      </c>
      <c r="O1125" t="str">
        <f>IF(N1125="","",'Master Barang'!B19)</f>
        <v>onemed masker biru 3 play hijab 50 pcs</v>
      </c>
      <c r="P1125">
        <f>IF(OR(M1125="",N1125=""),"",SUMIFS('Barang Keluar'!$E:$E,'Barang Keluar'!$A:$A,M1125,'Barang Keluar'!$C:$C,N1125))</f>
        <v>0</v>
      </c>
    </row>
    <row r="1126" spans="13:16">
      <c r="M1126" s="49">
        <f>IF($A$4+11&gt;$B$4,"",$A$4+11)</f>
        <v>46034</v>
      </c>
      <c r="N1126" t="str">
        <f>IF(M1126="","",'Master Barang'!A20)</f>
        <v>PRL-019</v>
      </c>
      <c r="O1126" t="str">
        <f>IF(N1126="","",'Master Barang'!B20)</f>
        <v>neo health masker biru 3 play 50 pcs</v>
      </c>
      <c r="P1126">
        <f>IF(OR(M1126="",N1126=""),"",SUMIFS('Barang Keluar'!$E:$E,'Barang Keluar'!$A:$A,M1126,'Barang Keluar'!$C:$C,N1126))</f>
        <v>0</v>
      </c>
    </row>
    <row r="1127" spans="13:16">
      <c r="M1127" s="49">
        <f>IF($A$4+11&gt;$B$4,"",$A$4+11)</f>
        <v>46034</v>
      </c>
      <c r="N1127" t="str">
        <f>IF(M1127="","",'Master Barang'!A21)</f>
        <v>PRL-020</v>
      </c>
      <c r="O1127" t="str">
        <f>IF(N1127="","",'Master Barang'!B21)</f>
        <v>baymed masker hijau 3 play hijau 50 pcs</v>
      </c>
      <c r="P1127">
        <f>IF(OR(M1127="",N1127=""),"",SUMIFS('Barang Keluar'!$E:$E,'Barang Keluar'!$A:$A,M1127,'Barang Keluar'!$C:$C,N1127))</f>
        <v>0</v>
      </c>
    </row>
    <row r="1128" spans="13:16">
      <c r="M1128" s="49">
        <f>IF($A$4+11&gt;$B$4,"",$A$4+11)</f>
        <v>46034</v>
      </c>
      <c r="N1128" t="str">
        <f>IF(M1128="","",'Master Barang'!A22)</f>
        <v>PRL-021</v>
      </c>
      <c r="O1128" t="str">
        <f>IF(N1128="","",'Master Barang'!B22)</f>
        <v>altamed nurse cap penutup kepala 100 pcs</v>
      </c>
      <c r="P1128">
        <f>IF(OR(M1128="",N1128=""),"",SUMIFS('Barang Keluar'!$E:$E,'Barang Keluar'!$A:$A,M1128,'Barang Keluar'!$C:$C,N1128))</f>
        <v>0</v>
      </c>
    </row>
    <row r="1129" spans="13:16">
      <c r="M1129" s="49">
        <f>IF($A$4+11&gt;$B$4,"",$A$4+11)</f>
        <v>46034</v>
      </c>
      <c r="N1129" t="str">
        <f>IF(M1129="","",'Master Barang'!A23)</f>
        <v>PRL-022</v>
      </c>
      <c r="O1129" t="str">
        <f>IF(N1129="","",'Master Barang'!B23)</f>
        <v>sabun cuci tangan</v>
      </c>
      <c r="P1129">
        <f>IF(OR(M1129="",N1129=""),"",SUMIFS('Barang Keluar'!$E:$E,'Barang Keluar'!$A:$A,M1129,'Barang Keluar'!$C:$C,N1129))</f>
        <v>0</v>
      </c>
    </row>
    <row r="1130" spans="13:16">
      <c r="M1130" s="49">
        <f>IF($A$4+11&gt;$B$4,"",$A$4+11)</f>
        <v>46034</v>
      </c>
      <c r="N1130" t="str">
        <f>IF(M1130="","",'Master Barang'!A24)</f>
        <v>PRL-023</v>
      </c>
      <c r="O1130" t="str">
        <f>IF(N1130="","",'Master Barang'!B24)</f>
        <v>gayung kecil</v>
      </c>
      <c r="P1130">
        <f>IF(OR(M1130="",N1130=""),"",SUMIFS('Barang Keluar'!$E:$E,'Barang Keluar'!$A:$A,M1130,'Barang Keluar'!$C:$C,N1130))</f>
        <v>0</v>
      </c>
    </row>
    <row r="1131" spans="13:16">
      <c r="M1131" s="49">
        <f>IF($A$4+11&gt;$B$4,"",$A$4+11)</f>
        <v>46034</v>
      </c>
      <c r="N1131" t="str">
        <f>IF(M1131="","",'Master Barang'!A25)</f>
        <v>PRL-024</v>
      </c>
      <c r="O1131" t="str">
        <f>IF(N1131="","",'Master Barang'!B25)</f>
        <v>cikrak kecil</v>
      </c>
      <c r="P1131">
        <f>IF(OR(M1131="",N1131=""),"",SUMIFS('Barang Keluar'!$E:$E,'Barang Keluar'!$A:$A,M1131,'Barang Keluar'!$C:$C,N1131))</f>
        <v>0</v>
      </c>
    </row>
    <row r="1132" spans="13:16">
      <c r="M1132" s="49">
        <f>IF($A$4+11&gt;$B$4,"",$A$4+11)</f>
        <v>46034</v>
      </c>
      <c r="N1132" t="str">
        <f>IF(M1132="","",'Master Barang'!A26)</f>
        <v>PRL-025</v>
      </c>
      <c r="O1132" t="str">
        <f>IF(N1132="","",'Master Barang'!B26)</f>
        <v>petromax plastik kecil 12x24 100 lembar</v>
      </c>
      <c r="P1132">
        <f>IF(OR(M1132="",N1132=""),"",SUMIFS('Barang Keluar'!$E:$E,'Barang Keluar'!$A:$A,M1132,'Barang Keluar'!$C:$C,N1132))</f>
        <v>0</v>
      </c>
    </row>
    <row r="1133" spans="13:16">
      <c r="M1133" s="49">
        <f>IF($A$4+11&gt;$B$4,"",$A$4+11)</f>
        <v>46034</v>
      </c>
      <c r="N1133" t="str">
        <f>IF(M1133="","",'Master Barang'!A27)</f>
        <v>PRL-026</v>
      </c>
      <c r="O1133" t="str">
        <f>IF(N1133="","",'Master Barang'!B27)</f>
        <v>lancar kresek kecil bening </v>
      </c>
      <c r="P1133">
        <f>IF(OR(M1133="",N1133=""),"",SUMIFS('Barang Keluar'!$E:$E,'Barang Keluar'!$A:$A,M1133,'Barang Keluar'!$C:$C,N1133))</f>
        <v>0</v>
      </c>
    </row>
    <row r="1134" spans="13:16">
      <c r="M1134" s="49">
        <f>IF($A$4+11&gt;$B$4,"",$A$4+11)</f>
        <v>46034</v>
      </c>
      <c r="N1134" t="str">
        <f>IF(M1134="","",'Master Barang'!A28)</f>
        <v>PRL-027</v>
      </c>
      <c r="O1134" t="str">
        <f>IF(N1134="","",'Master Barang'!B28)</f>
        <v>kresek klin warna warni kecil</v>
      </c>
      <c r="P1134">
        <f>IF(OR(M1134="",N1134=""),"",SUMIFS('Barang Keluar'!$E:$E,'Barang Keluar'!$A:$A,M1134,'Barang Keluar'!$C:$C,N1134))</f>
        <v>0</v>
      </c>
    </row>
    <row r="1135" spans="13:16">
      <c r="M1135" s="49">
        <f>IF($A$4+11&gt;$B$4,"",$A$4+11)</f>
        <v>46034</v>
      </c>
      <c r="N1135" t="str">
        <f>IF(M1135="","",'Master Barang'!A29)</f>
        <v>PRL-028</v>
      </c>
      <c r="O1135" t="str">
        <f>IF(N1135="","",'Master Barang'!B29)</f>
        <v>ctik plastik 7x10 100 pcs</v>
      </c>
      <c r="P1135">
        <f>IF(OR(M1135="",N1135=""),"",SUMIFS('Barang Keluar'!$E:$E,'Barang Keluar'!$A:$A,M1135,'Barang Keluar'!$C:$C,N1135))</f>
        <v>0</v>
      </c>
    </row>
    <row r="1136" spans="13:16">
      <c r="M1136" s="49">
        <f>IF($A$4+11&gt;$B$4,"",$A$4+11)</f>
        <v>46034</v>
      </c>
      <c r="N1136" t="str">
        <f>IF(M1136="","",'Master Barang'!A30)</f>
        <v>PRL-029</v>
      </c>
      <c r="O1136" t="str">
        <f>IF(N1136="","",'Master Barang'!B30)</f>
        <v>ctik plastik 6x10 100 pcs</v>
      </c>
      <c r="P1136">
        <f>IF(OR(M1136="",N1136=""),"",SUMIFS('Barang Keluar'!$E:$E,'Barang Keluar'!$A:$A,M1136,'Barang Keluar'!$C:$C,N1136))</f>
        <v>0</v>
      </c>
    </row>
    <row r="1137" spans="13:16">
      <c r="M1137" s="49">
        <f>IF($A$4+11&gt;$B$4,"",$A$4+11)</f>
        <v>46034</v>
      </c>
      <c r="N1137" t="str">
        <f>IF(M1137="","",'Master Barang'!A31)</f>
        <v>PRL-030</v>
      </c>
      <c r="O1137" t="str">
        <f>IF(N1137="","",'Master Barang'!B31)</f>
        <v>klip plastik 25x16 100 pcs</v>
      </c>
      <c r="P1137">
        <f>IF(OR(M1137="",N1137=""),"",SUMIFS('Barang Keluar'!$E:$E,'Barang Keluar'!$A:$A,M1137,'Barang Keluar'!$C:$C,N1137))</f>
        <v>0</v>
      </c>
    </row>
    <row r="1138" spans="13:16">
      <c r="M1138" s="49">
        <f>IF($A$4+11&gt;$B$4,"",$A$4+11)</f>
        <v>46034</v>
      </c>
      <c r="N1138" t="str">
        <f>IF(M1138="","",'Master Barang'!A32)</f>
        <v>PRL-031</v>
      </c>
      <c r="O1138" t="str">
        <f>IF(N1138="","",'Master Barang'!B32)</f>
        <v>tempat saus 20 ml</v>
      </c>
      <c r="P1138">
        <f>IF(OR(M1138="",N1138=""),"",SUMIFS('Barang Keluar'!$E:$E,'Barang Keluar'!$A:$A,M1138,'Barang Keluar'!$C:$C,N1138))</f>
        <v>0</v>
      </c>
    </row>
    <row r="1139" spans="13:16">
      <c r="M1139" s="49">
        <f>IF($A$4+11&gt;$B$4,"",$A$4+11)</f>
        <v>46034</v>
      </c>
      <c r="N1139" t="str">
        <f>IF(M1139="","",'Master Barang'!A33)</f>
        <v>PRL-032</v>
      </c>
      <c r="O1139" t="str">
        <f>IF(N1139="","",'Master Barang'!B33)</f>
        <v>plastik packaging ag box uk sedang</v>
      </c>
      <c r="P1139">
        <f>IF(OR(M1139="",N1139=""),"",SUMIFS('Barang Keluar'!$E:$E,'Barang Keluar'!$A:$A,M1139,'Barang Keluar'!$C:$C,N1139))</f>
        <v>0</v>
      </c>
    </row>
    <row r="1140" spans="13:16">
      <c r="M1140" s="49">
        <f>IF($A$4+11&gt;$B$4,"",$A$4+11)</f>
        <v>46034</v>
      </c>
      <c r="N1140" t="str">
        <f>IF(M1140="","",'Master Barang'!A34)</f>
        <v>PRL-033</v>
      </c>
      <c r="O1140">
        <f>IF(N1140="","",'Master Barang'!B34)</f>
        <v>0</v>
      </c>
      <c r="P1140">
        <f>IF(OR(M1140="",N1140=""),"",SUMIFS('Barang Keluar'!$E:$E,'Barang Keluar'!$A:$A,M1140,'Barang Keluar'!$C:$C,N1140))</f>
        <v>0</v>
      </c>
    </row>
    <row r="1141" spans="13:16">
      <c r="M1141" s="49">
        <f>IF($A$4+11&gt;$B$4,"",$A$4+11)</f>
        <v>46034</v>
      </c>
      <c r="N1141">
        <f>IF(M1141="","",'Master Barang'!A35)</f>
        <v>0</v>
      </c>
      <c r="O1141">
        <f>IF(N1141="","",'Master Barang'!B35)</f>
        <v>0</v>
      </c>
      <c r="P1141">
        <f>IF(OR(M1141="",N1141=""),"",SUMIFS('Barang Keluar'!$E:$E,'Barang Keluar'!$A:$A,M1141,'Barang Keluar'!$C:$C,N1141))</f>
        <v>0</v>
      </c>
    </row>
    <row r="1142" spans="13:16">
      <c r="M1142" s="49">
        <f>IF($A$4+11&gt;$B$4,"",$A$4+11)</f>
        <v>46034</v>
      </c>
      <c r="N1142">
        <f>IF(M1142="","",'Master Barang'!A36)</f>
        <v>0</v>
      </c>
      <c r="O1142">
        <f>IF(N1142="","",'Master Barang'!B36)</f>
        <v>0</v>
      </c>
      <c r="P1142">
        <f>IF(OR(M1142="",N1142=""),"",SUMIFS('Barang Keluar'!$E:$E,'Barang Keluar'!$A:$A,M1142,'Barang Keluar'!$C:$C,N1142))</f>
        <v>0</v>
      </c>
    </row>
    <row r="1143" spans="13:16">
      <c r="M1143" s="49">
        <f>IF($A$4+11&gt;$B$4,"",$A$4+11)</f>
        <v>46034</v>
      </c>
      <c r="N1143">
        <f>IF(M1143="","",'Master Barang'!A37)</f>
        <v>0</v>
      </c>
      <c r="O1143">
        <f>IF(N1143="","",'Master Barang'!B37)</f>
        <v>0</v>
      </c>
      <c r="P1143">
        <f>IF(OR(M1143="",N1143=""),"",SUMIFS('Barang Keluar'!$E:$E,'Barang Keluar'!$A:$A,M1143,'Barang Keluar'!$C:$C,N1143))</f>
        <v>0</v>
      </c>
    </row>
    <row r="1144" spans="13:16">
      <c r="M1144" s="49">
        <f>IF($A$4+11&gt;$B$4,"",$A$4+11)</f>
        <v>46034</v>
      </c>
      <c r="N1144">
        <f>IF(M1144="","",'Master Barang'!A38)</f>
        <v>0</v>
      </c>
      <c r="O1144">
        <f>IF(N1144="","",'Master Barang'!B38)</f>
        <v>0</v>
      </c>
      <c r="P1144">
        <f>IF(OR(M1144="",N1144=""),"",SUMIFS('Barang Keluar'!$E:$E,'Barang Keluar'!$A:$A,M1144,'Barang Keluar'!$C:$C,N1144))</f>
        <v>0</v>
      </c>
    </row>
    <row r="1145" spans="13:16">
      <c r="M1145" s="49">
        <f>IF($A$4+11&gt;$B$4,"",$A$4+11)</f>
        <v>46034</v>
      </c>
      <c r="N1145">
        <f>IF(M1145="","",'Master Barang'!A39)</f>
        <v>0</v>
      </c>
      <c r="O1145">
        <f>IF(N1145="","",'Master Barang'!B39)</f>
        <v>0</v>
      </c>
      <c r="P1145">
        <f>IF(OR(M1145="",N1145=""),"",SUMIFS('Barang Keluar'!$E:$E,'Barang Keluar'!$A:$A,M1145,'Barang Keluar'!$C:$C,N1145))</f>
        <v>0</v>
      </c>
    </row>
    <row r="1146" spans="13:16">
      <c r="M1146" s="49">
        <f>IF($A$4+11&gt;$B$4,"",$A$4+11)</f>
        <v>46034</v>
      </c>
      <c r="N1146">
        <f>IF(M1146="","",'Master Barang'!A40)</f>
        <v>0</v>
      </c>
      <c r="O1146">
        <f>IF(N1146="","",'Master Barang'!B40)</f>
        <v>0</v>
      </c>
      <c r="P1146">
        <f>IF(OR(M1146="",N1146=""),"",SUMIFS('Barang Keluar'!$E:$E,'Barang Keluar'!$A:$A,M1146,'Barang Keluar'!$C:$C,N1146))</f>
        <v>0</v>
      </c>
    </row>
    <row r="1147" spans="13:16">
      <c r="M1147" s="49">
        <f>IF($A$4+11&gt;$B$4,"",$A$4+11)</f>
        <v>46034</v>
      </c>
      <c r="N1147">
        <f>IF(M1147="","",'Master Barang'!A41)</f>
        <v>0</v>
      </c>
      <c r="O1147">
        <f>IF(N1147="","",'Master Barang'!B41)</f>
        <v>0</v>
      </c>
      <c r="P1147">
        <f>IF(OR(M1147="",N1147=""),"",SUMIFS('Barang Keluar'!$E:$E,'Barang Keluar'!$A:$A,M1147,'Barang Keluar'!$C:$C,N1147))</f>
        <v>0</v>
      </c>
    </row>
    <row r="1148" spans="13:16">
      <c r="M1148" s="49">
        <f>IF($A$4+11&gt;$B$4,"",$A$4+11)</f>
        <v>46034</v>
      </c>
      <c r="N1148">
        <f>IF(M1148="","",'Master Barang'!A42)</f>
        <v>0</v>
      </c>
      <c r="O1148">
        <f>IF(N1148="","",'Master Barang'!B42)</f>
        <v>0</v>
      </c>
      <c r="P1148">
        <f>IF(OR(M1148="",N1148=""),"",SUMIFS('Barang Keluar'!$E:$E,'Barang Keluar'!$A:$A,M1148,'Barang Keluar'!$C:$C,N1148))</f>
        <v>0</v>
      </c>
    </row>
    <row r="1149" spans="13:16">
      <c r="M1149" s="49">
        <f>IF($A$4+11&gt;$B$4,"",$A$4+11)</f>
        <v>46034</v>
      </c>
      <c r="N1149">
        <f>IF(M1149="","",'Master Barang'!A43)</f>
        <v>0</v>
      </c>
      <c r="O1149">
        <f>IF(N1149="","",'Master Barang'!B43)</f>
        <v>0</v>
      </c>
      <c r="P1149">
        <f>IF(OR(M1149="",N1149=""),"",SUMIFS('Barang Keluar'!$E:$E,'Barang Keluar'!$A:$A,M1149,'Barang Keluar'!$C:$C,N1149))</f>
        <v>0</v>
      </c>
    </row>
    <row r="1150" spans="13:16">
      <c r="M1150" s="49">
        <f>IF($A$4+11&gt;$B$4,"",$A$4+11)</f>
        <v>46034</v>
      </c>
      <c r="N1150">
        <f>IF(M1150="","",'Master Barang'!A44)</f>
        <v>0</v>
      </c>
      <c r="O1150">
        <f>IF(N1150="","",'Master Barang'!B44)</f>
        <v>0</v>
      </c>
      <c r="P1150">
        <f>IF(OR(M1150="",N1150=""),"",SUMIFS('Barang Keluar'!$E:$E,'Barang Keluar'!$A:$A,M1150,'Barang Keluar'!$C:$C,N1150))</f>
        <v>0</v>
      </c>
    </row>
    <row r="1151" spans="13:16">
      <c r="M1151" s="49">
        <f>IF($A$4+11&gt;$B$4,"",$A$4+11)</f>
        <v>46034</v>
      </c>
      <c r="N1151">
        <f>IF(M1151="","",'Master Barang'!A45)</f>
        <v>0</v>
      </c>
      <c r="O1151">
        <f>IF(N1151="","",'Master Barang'!B45)</f>
        <v>0</v>
      </c>
      <c r="P1151">
        <f>IF(OR(M1151="",N1151=""),"",SUMIFS('Barang Keluar'!$E:$E,'Barang Keluar'!$A:$A,M1151,'Barang Keluar'!$C:$C,N1151))</f>
        <v>0</v>
      </c>
    </row>
    <row r="1152" spans="13:16">
      <c r="M1152" s="49">
        <f>IF($A$4+11&gt;$B$4,"",$A$4+11)</f>
        <v>46034</v>
      </c>
      <c r="N1152">
        <f>IF(M1152="","",'Master Barang'!A46)</f>
        <v>0</v>
      </c>
      <c r="O1152">
        <f>IF(N1152="","",'Master Barang'!B46)</f>
        <v>0</v>
      </c>
      <c r="P1152">
        <f>IF(OR(M1152="",N1152=""),"",SUMIFS('Barang Keluar'!$E:$E,'Barang Keluar'!$A:$A,M1152,'Barang Keluar'!$C:$C,N1152))</f>
        <v>0</v>
      </c>
    </row>
    <row r="1153" spans="13:16">
      <c r="M1153" s="49">
        <f>IF($A$4+11&gt;$B$4,"",$A$4+11)</f>
        <v>46034</v>
      </c>
      <c r="N1153">
        <f>IF(M1153="","",'Master Barang'!A47)</f>
        <v>0</v>
      </c>
      <c r="O1153">
        <f>IF(N1153="","",'Master Barang'!B47)</f>
        <v>0</v>
      </c>
      <c r="P1153">
        <f>IF(OR(M1153="",N1153=""),"",SUMIFS('Barang Keluar'!$E:$E,'Barang Keluar'!$A:$A,M1153,'Barang Keluar'!$C:$C,N1153))</f>
        <v>0</v>
      </c>
    </row>
    <row r="1154" spans="13:16">
      <c r="M1154" s="49">
        <f>IF($A$4+11&gt;$B$4,"",$A$4+11)</f>
        <v>46034</v>
      </c>
      <c r="N1154">
        <f>IF(M1154="","",'Master Barang'!A48)</f>
        <v>0</v>
      </c>
      <c r="O1154">
        <f>IF(N1154="","",'Master Barang'!B48)</f>
        <v>0</v>
      </c>
      <c r="P1154">
        <f>IF(OR(M1154="",N1154=""),"",SUMIFS('Barang Keluar'!$E:$E,'Barang Keluar'!$A:$A,M1154,'Barang Keluar'!$C:$C,N1154))</f>
        <v>0</v>
      </c>
    </row>
    <row r="1155" spans="13:16">
      <c r="M1155" s="49">
        <f>IF($A$4+11&gt;$B$4,"",$A$4+11)</f>
        <v>46034</v>
      </c>
      <c r="N1155">
        <f>IF(M1155="","",'Master Barang'!A49)</f>
        <v>0</v>
      </c>
      <c r="O1155">
        <f>IF(N1155="","",'Master Barang'!B49)</f>
        <v>0</v>
      </c>
      <c r="P1155">
        <f>IF(OR(M1155="",N1155=""),"",SUMIFS('Barang Keluar'!$E:$E,'Barang Keluar'!$A:$A,M1155,'Barang Keluar'!$C:$C,N1155))</f>
        <v>0</v>
      </c>
    </row>
    <row r="1156" spans="13:16">
      <c r="M1156" s="49">
        <f>IF($A$4+11&gt;$B$4,"",$A$4+11)</f>
        <v>46034</v>
      </c>
      <c r="N1156">
        <f>IF(M1156="","",'Master Barang'!A50)</f>
        <v>0</v>
      </c>
      <c r="O1156">
        <f>IF(N1156="","",'Master Barang'!B50)</f>
        <v>0</v>
      </c>
      <c r="P1156">
        <f>IF(OR(M1156="",N1156=""),"",SUMIFS('Barang Keluar'!$E:$E,'Barang Keluar'!$A:$A,M1156,'Barang Keluar'!$C:$C,N1156))</f>
        <v>0</v>
      </c>
    </row>
    <row r="1157" spans="13:16">
      <c r="M1157" s="49">
        <f>IF($A$4+11&gt;$B$4,"",$A$4+11)</f>
        <v>46034</v>
      </c>
      <c r="N1157">
        <f>IF(M1157="","",'Master Barang'!A51)</f>
        <v>0</v>
      </c>
      <c r="O1157">
        <f>IF(N1157="","",'Master Barang'!B51)</f>
        <v>0</v>
      </c>
      <c r="P1157">
        <f>IF(OR(M1157="",N1157=""),"",SUMIFS('Barang Keluar'!$E:$E,'Barang Keluar'!$A:$A,M1157,'Barang Keluar'!$C:$C,N1157))</f>
        <v>0</v>
      </c>
    </row>
    <row r="1158" spans="13:16">
      <c r="M1158" s="49">
        <f>IF($A$4+11&gt;$B$4,"",$A$4+11)</f>
        <v>46034</v>
      </c>
      <c r="N1158">
        <f>IF(M1158="","",'Master Barang'!A52)</f>
        <v>0</v>
      </c>
      <c r="O1158">
        <f>IF(N1158="","",'Master Barang'!B52)</f>
        <v>0</v>
      </c>
      <c r="P1158">
        <f>IF(OR(M1158="",N1158=""),"",SUMIFS('Barang Keluar'!$E:$E,'Barang Keluar'!$A:$A,M1158,'Barang Keluar'!$C:$C,N1158))</f>
        <v>0</v>
      </c>
    </row>
    <row r="1159" spans="13:16">
      <c r="M1159" s="49">
        <f>IF($A$4+11&gt;$B$4,"",$A$4+11)</f>
        <v>46034</v>
      </c>
      <c r="N1159">
        <f>IF(M1159="","",'Master Barang'!A53)</f>
        <v>0</v>
      </c>
      <c r="O1159">
        <f>IF(N1159="","",'Master Barang'!B53)</f>
        <v>0</v>
      </c>
      <c r="P1159">
        <f>IF(OR(M1159="",N1159=""),"",SUMIFS('Barang Keluar'!$E:$E,'Barang Keluar'!$A:$A,M1159,'Barang Keluar'!$C:$C,N1159))</f>
        <v>0</v>
      </c>
    </row>
    <row r="1160" spans="13:16">
      <c r="M1160" s="49">
        <f>IF($A$4+11&gt;$B$4,"",$A$4+11)</f>
        <v>46034</v>
      </c>
      <c r="N1160">
        <f>IF(M1160="","",'Master Barang'!A54)</f>
        <v>0</v>
      </c>
      <c r="O1160">
        <f>IF(N1160="","",'Master Barang'!B54)</f>
        <v>0</v>
      </c>
      <c r="P1160">
        <f>IF(OR(M1160="",N1160=""),"",SUMIFS('Barang Keluar'!$E:$E,'Barang Keluar'!$A:$A,M1160,'Barang Keluar'!$C:$C,N1160))</f>
        <v>0</v>
      </c>
    </row>
    <row r="1161" spans="13:16">
      <c r="M1161" s="49">
        <f>IF($A$4+11&gt;$B$4,"",$A$4+11)</f>
        <v>46034</v>
      </c>
      <c r="N1161">
        <f>IF(M1161="","",'Master Barang'!A55)</f>
        <v>0</v>
      </c>
      <c r="O1161">
        <f>IF(N1161="","",'Master Barang'!B55)</f>
        <v>0</v>
      </c>
      <c r="P1161">
        <f>IF(OR(M1161="",N1161=""),"",SUMIFS('Barang Keluar'!$E:$E,'Barang Keluar'!$A:$A,M1161,'Barang Keluar'!$C:$C,N1161))</f>
        <v>0</v>
      </c>
    </row>
    <row r="1162" spans="13:16">
      <c r="M1162" s="49">
        <f>IF($A$4+11&gt;$B$4,"",$A$4+11)</f>
        <v>46034</v>
      </c>
      <c r="N1162">
        <f>IF(M1162="","",'Master Barang'!A56)</f>
        <v>0</v>
      </c>
      <c r="O1162">
        <f>IF(N1162="","",'Master Barang'!B56)</f>
        <v>0</v>
      </c>
      <c r="P1162">
        <f>IF(OR(M1162="",N1162=""),"",SUMIFS('Barang Keluar'!$E:$E,'Barang Keluar'!$A:$A,M1162,'Barang Keluar'!$C:$C,N1162))</f>
        <v>0</v>
      </c>
    </row>
    <row r="1163" spans="13:16">
      <c r="M1163" s="49">
        <f>IF($A$4+11&gt;$B$4,"",$A$4+11)</f>
        <v>46034</v>
      </c>
      <c r="N1163">
        <f>IF(M1163="","",'Master Barang'!A57)</f>
        <v>0</v>
      </c>
      <c r="O1163">
        <f>IF(N1163="","",'Master Barang'!B57)</f>
        <v>0</v>
      </c>
      <c r="P1163">
        <f>IF(OR(M1163="",N1163=""),"",SUMIFS('Barang Keluar'!$E:$E,'Barang Keluar'!$A:$A,M1163,'Barang Keluar'!$C:$C,N1163))</f>
        <v>0</v>
      </c>
    </row>
    <row r="1164" spans="13:16">
      <c r="M1164" s="49">
        <f>IF($A$4+11&gt;$B$4,"",$A$4+11)</f>
        <v>46034</v>
      </c>
      <c r="N1164">
        <f>IF(M1164="","",'Master Barang'!A58)</f>
        <v>0</v>
      </c>
      <c r="O1164">
        <f>IF(N1164="","",'Master Barang'!B58)</f>
        <v>0</v>
      </c>
      <c r="P1164">
        <f>IF(OR(M1164="",N1164=""),"",SUMIFS('Barang Keluar'!$E:$E,'Barang Keluar'!$A:$A,M1164,'Barang Keluar'!$C:$C,N1164))</f>
        <v>0</v>
      </c>
    </row>
    <row r="1165" spans="13:16">
      <c r="M1165" s="49">
        <f>IF($A$4+11&gt;$B$4,"",$A$4+11)</f>
        <v>46034</v>
      </c>
      <c r="N1165">
        <f>IF(M1165="","",'Master Barang'!A59)</f>
        <v>0</v>
      </c>
      <c r="O1165">
        <f>IF(N1165="","",'Master Barang'!B59)</f>
        <v>0</v>
      </c>
      <c r="P1165">
        <f>IF(OR(M1165="",N1165=""),"",SUMIFS('Barang Keluar'!$E:$E,'Barang Keluar'!$A:$A,M1165,'Barang Keluar'!$C:$C,N1165))</f>
        <v>0</v>
      </c>
    </row>
    <row r="1166" spans="13:16">
      <c r="M1166" s="49">
        <f>IF($A$4+11&gt;$B$4,"",$A$4+11)</f>
        <v>46034</v>
      </c>
      <c r="N1166">
        <f>IF(M1166="","",'Master Barang'!A60)</f>
        <v>0</v>
      </c>
      <c r="O1166">
        <f>IF(N1166="","",'Master Barang'!B60)</f>
        <v>0</v>
      </c>
      <c r="P1166">
        <f>IF(OR(M1166="",N1166=""),"",SUMIFS('Barang Keluar'!$E:$E,'Barang Keluar'!$A:$A,M1166,'Barang Keluar'!$C:$C,N1166))</f>
        <v>0</v>
      </c>
    </row>
    <row r="1167" spans="13:16">
      <c r="M1167" s="49">
        <f>IF($A$4+11&gt;$B$4,"",$A$4+11)</f>
        <v>46034</v>
      </c>
      <c r="N1167">
        <f>IF(M1167="","",'Master Barang'!A61)</f>
        <v>0</v>
      </c>
      <c r="O1167">
        <f>IF(N1167="","",'Master Barang'!B61)</f>
        <v>0</v>
      </c>
      <c r="P1167">
        <f>IF(OR(M1167="",N1167=""),"",SUMIFS('Barang Keluar'!$E:$E,'Barang Keluar'!$A:$A,M1167,'Barang Keluar'!$C:$C,N1167))</f>
        <v>0</v>
      </c>
    </row>
    <row r="1168" spans="13:16">
      <c r="M1168" s="49">
        <f>IF($A$4+11&gt;$B$4,"",$A$4+11)</f>
        <v>46034</v>
      </c>
      <c r="N1168">
        <f>IF(M1168="","",'Master Barang'!A62)</f>
        <v>0</v>
      </c>
      <c r="O1168">
        <f>IF(N1168="","",'Master Barang'!B62)</f>
        <v>0</v>
      </c>
      <c r="P1168">
        <f>IF(OR(M1168="",N1168=""),"",SUMIFS('Barang Keluar'!$E:$E,'Barang Keluar'!$A:$A,M1168,'Barang Keluar'!$C:$C,N1168))</f>
        <v>0</v>
      </c>
    </row>
    <row r="1169" spans="13:16">
      <c r="M1169" s="49">
        <f>IF($A$4+11&gt;$B$4,"",$A$4+11)</f>
        <v>46034</v>
      </c>
      <c r="N1169">
        <f>IF(M1169="","",'Master Barang'!A63)</f>
        <v>0</v>
      </c>
      <c r="O1169">
        <f>IF(N1169="","",'Master Barang'!B63)</f>
        <v>0</v>
      </c>
      <c r="P1169">
        <f>IF(OR(M1169="",N1169=""),"",SUMIFS('Barang Keluar'!$E:$E,'Barang Keluar'!$A:$A,M1169,'Barang Keluar'!$C:$C,N1169))</f>
        <v>0</v>
      </c>
    </row>
    <row r="1170" spans="13:16">
      <c r="M1170" s="49">
        <f>IF($A$4+11&gt;$B$4,"",$A$4+11)</f>
        <v>46034</v>
      </c>
      <c r="N1170">
        <f>IF(M1170="","",'Master Barang'!A64)</f>
        <v>0</v>
      </c>
      <c r="O1170">
        <f>IF(N1170="","",'Master Barang'!B64)</f>
        <v>0</v>
      </c>
      <c r="P1170">
        <f>IF(OR(M1170="",N1170=""),"",SUMIFS('Barang Keluar'!$E:$E,'Barang Keluar'!$A:$A,M1170,'Barang Keluar'!$C:$C,N1170))</f>
        <v>0</v>
      </c>
    </row>
    <row r="1171" spans="13:16">
      <c r="M1171" s="49">
        <f>IF($A$4+11&gt;$B$4,"",$A$4+11)</f>
        <v>46034</v>
      </c>
      <c r="N1171">
        <f>IF(M1171="","",'Master Barang'!A65)</f>
        <v>0</v>
      </c>
      <c r="O1171">
        <f>IF(N1171="","",'Master Barang'!B65)</f>
        <v>0</v>
      </c>
      <c r="P1171">
        <f>IF(OR(M1171="",N1171=""),"",SUMIFS('Barang Keluar'!$E:$E,'Barang Keluar'!$A:$A,M1171,'Barang Keluar'!$C:$C,N1171))</f>
        <v>0</v>
      </c>
    </row>
    <row r="1172" spans="13:16">
      <c r="M1172" s="49">
        <f>IF($A$4+11&gt;$B$4,"",$A$4+11)</f>
        <v>46034</v>
      </c>
      <c r="N1172">
        <f>IF(M1172="","",'Master Barang'!A66)</f>
        <v>0</v>
      </c>
      <c r="O1172">
        <f>IF(N1172="","",'Master Barang'!B66)</f>
        <v>0</v>
      </c>
      <c r="P1172">
        <f>IF(OR(M1172="",N1172=""),"",SUMIFS('Barang Keluar'!$E:$E,'Barang Keluar'!$A:$A,M1172,'Barang Keluar'!$C:$C,N1172))</f>
        <v>0</v>
      </c>
    </row>
    <row r="1173" spans="13:16">
      <c r="M1173" s="49">
        <f>IF($A$4+11&gt;$B$4,"",$A$4+11)</f>
        <v>46034</v>
      </c>
      <c r="N1173">
        <f>IF(M1173="","",'Master Barang'!A67)</f>
        <v>0</v>
      </c>
      <c r="O1173">
        <f>IF(N1173="","",'Master Barang'!B67)</f>
        <v>0</v>
      </c>
      <c r="P1173">
        <f>IF(OR(M1173="",N1173=""),"",SUMIFS('Barang Keluar'!$E:$E,'Barang Keluar'!$A:$A,M1173,'Barang Keluar'!$C:$C,N1173))</f>
        <v>0</v>
      </c>
    </row>
    <row r="1174" spans="13:16">
      <c r="M1174" s="49">
        <f>IF($A$4+11&gt;$B$4,"",$A$4+11)</f>
        <v>46034</v>
      </c>
      <c r="N1174">
        <f>IF(M1174="","",'Master Barang'!A68)</f>
        <v>0</v>
      </c>
      <c r="O1174">
        <f>IF(N1174="","",'Master Barang'!B68)</f>
        <v>0</v>
      </c>
      <c r="P1174">
        <f>IF(OR(M1174="",N1174=""),"",SUMIFS('Barang Keluar'!$E:$E,'Barang Keluar'!$A:$A,M1174,'Barang Keluar'!$C:$C,N1174))</f>
        <v>0</v>
      </c>
    </row>
    <row r="1175" spans="13:16">
      <c r="M1175" s="49">
        <f>IF($A$4+11&gt;$B$4,"",$A$4+11)</f>
        <v>46034</v>
      </c>
      <c r="N1175">
        <f>IF(M1175="","",'Master Barang'!A69)</f>
        <v>0</v>
      </c>
      <c r="O1175">
        <f>IF(N1175="","",'Master Barang'!B69)</f>
        <v>0</v>
      </c>
      <c r="P1175">
        <f>IF(OR(M1175="",N1175=""),"",SUMIFS('Barang Keluar'!$E:$E,'Barang Keluar'!$A:$A,M1175,'Barang Keluar'!$C:$C,N1175))</f>
        <v>0</v>
      </c>
    </row>
    <row r="1176" spans="13:16">
      <c r="M1176" s="49">
        <f>IF($A$4+11&gt;$B$4,"",$A$4+11)</f>
        <v>46034</v>
      </c>
      <c r="N1176">
        <f>IF(M1176="","",'Master Barang'!A70)</f>
        <v>0</v>
      </c>
      <c r="O1176">
        <f>IF(N1176="","",'Master Barang'!B70)</f>
        <v>0</v>
      </c>
      <c r="P1176">
        <f>IF(OR(M1176="",N1176=""),"",SUMIFS('Barang Keluar'!$E:$E,'Barang Keluar'!$A:$A,M1176,'Barang Keluar'!$C:$C,N1176))</f>
        <v>0</v>
      </c>
    </row>
    <row r="1177" spans="13:16">
      <c r="M1177" s="49">
        <f>IF($A$4+11&gt;$B$4,"",$A$4+11)</f>
        <v>46034</v>
      </c>
      <c r="N1177">
        <f>IF(M1177="","",'Master Barang'!A71)</f>
        <v>0</v>
      </c>
      <c r="O1177">
        <f>IF(N1177="","",'Master Barang'!B71)</f>
        <v>0</v>
      </c>
      <c r="P1177">
        <f>IF(OR(M1177="",N1177=""),"",SUMIFS('Barang Keluar'!$E:$E,'Barang Keluar'!$A:$A,M1177,'Barang Keluar'!$C:$C,N1177))</f>
        <v>0</v>
      </c>
    </row>
    <row r="1178" spans="13:16">
      <c r="M1178" s="49">
        <f>IF($A$4+11&gt;$B$4,"",$A$4+11)</f>
        <v>46034</v>
      </c>
      <c r="N1178">
        <f>IF(M1178="","",'Master Barang'!A72)</f>
        <v>0</v>
      </c>
      <c r="O1178">
        <f>IF(N1178="","",'Master Barang'!B72)</f>
        <v>0</v>
      </c>
      <c r="P1178">
        <f>IF(OR(M1178="",N1178=""),"",SUMIFS('Barang Keluar'!$E:$E,'Barang Keluar'!$A:$A,M1178,'Barang Keluar'!$C:$C,N1178))</f>
        <v>0</v>
      </c>
    </row>
    <row r="1179" spans="13:16">
      <c r="M1179" s="49">
        <f>IF($A$4+11&gt;$B$4,"",$A$4+11)</f>
        <v>46034</v>
      </c>
      <c r="N1179">
        <f>IF(M1179="","",'Master Barang'!A73)</f>
        <v>0</v>
      </c>
      <c r="O1179">
        <f>IF(N1179="","",'Master Barang'!B73)</f>
        <v>0</v>
      </c>
      <c r="P1179">
        <f>IF(OR(M1179="",N1179=""),"",SUMIFS('Barang Keluar'!$E:$E,'Barang Keluar'!$A:$A,M1179,'Barang Keluar'!$C:$C,N1179))</f>
        <v>0</v>
      </c>
    </row>
    <row r="1180" spans="13:16">
      <c r="M1180" s="49">
        <f>IF($A$4+11&gt;$B$4,"",$A$4+11)</f>
        <v>46034</v>
      </c>
      <c r="N1180">
        <f>IF(M1180="","",'Master Barang'!A74)</f>
        <v>0</v>
      </c>
      <c r="O1180">
        <f>IF(N1180="","",'Master Barang'!B74)</f>
        <v>0</v>
      </c>
      <c r="P1180">
        <f>IF(OR(M1180="",N1180=""),"",SUMIFS('Barang Keluar'!$E:$E,'Barang Keluar'!$A:$A,M1180,'Barang Keluar'!$C:$C,N1180))</f>
        <v>0</v>
      </c>
    </row>
    <row r="1181" spans="13:16">
      <c r="M1181" s="49">
        <f>IF($A$4+11&gt;$B$4,"",$A$4+11)</f>
        <v>46034</v>
      </c>
      <c r="N1181">
        <f>IF(M1181="","",'Master Barang'!A75)</f>
        <v>0</v>
      </c>
      <c r="O1181">
        <f>IF(N1181="","",'Master Barang'!B75)</f>
        <v>0</v>
      </c>
      <c r="P1181">
        <f>IF(OR(M1181="",N1181=""),"",SUMIFS('Barang Keluar'!$E:$E,'Barang Keluar'!$A:$A,M1181,'Barang Keluar'!$C:$C,N1181))</f>
        <v>0</v>
      </c>
    </row>
    <row r="1182" spans="13:16">
      <c r="M1182" s="49">
        <f>IF($A$4+11&gt;$B$4,"",$A$4+11)</f>
        <v>46034</v>
      </c>
      <c r="N1182">
        <f>IF(M1182="","",'Master Barang'!A76)</f>
        <v>0</v>
      </c>
      <c r="O1182">
        <f>IF(N1182="","",'Master Barang'!B76)</f>
        <v>0</v>
      </c>
      <c r="P1182">
        <f>IF(OR(M1182="",N1182=""),"",SUMIFS('Barang Keluar'!$E:$E,'Barang Keluar'!$A:$A,M1182,'Barang Keluar'!$C:$C,N1182))</f>
        <v>0</v>
      </c>
    </row>
    <row r="1183" spans="13:16">
      <c r="M1183" s="49">
        <f>IF($A$4+11&gt;$B$4,"",$A$4+11)</f>
        <v>46034</v>
      </c>
      <c r="N1183">
        <f>IF(M1183="","",'Master Barang'!A77)</f>
        <v>0</v>
      </c>
      <c r="O1183">
        <f>IF(N1183="","",'Master Barang'!B77)</f>
        <v>0</v>
      </c>
      <c r="P1183">
        <f>IF(OR(M1183="",N1183=""),"",SUMIFS('Barang Keluar'!$E:$E,'Barang Keluar'!$A:$A,M1183,'Barang Keluar'!$C:$C,N1183))</f>
        <v>0</v>
      </c>
    </row>
    <row r="1184" spans="13:16">
      <c r="M1184" s="49">
        <f>IF($A$4+11&gt;$B$4,"",$A$4+11)</f>
        <v>46034</v>
      </c>
      <c r="N1184">
        <f>IF(M1184="","",'Master Barang'!A78)</f>
        <v>0</v>
      </c>
      <c r="O1184">
        <f>IF(N1184="","",'Master Barang'!B78)</f>
        <v>0</v>
      </c>
      <c r="P1184">
        <f>IF(OR(M1184="",N1184=""),"",SUMIFS('Barang Keluar'!$E:$E,'Barang Keluar'!$A:$A,M1184,'Barang Keluar'!$C:$C,N1184))</f>
        <v>0</v>
      </c>
    </row>
    <row r="1185" spans="13:16">
      <c r="M1185" s="49">
        <f>IF($A$4+11&gt;$B$4,"",$A$4+11)</f>
        <v>46034</v>
      </c>
      <c r="N1185">
        <f>IF(M1185="","",'Master Barang'!A79)</f>
        <v>0</v>
      </c>
      <c r="O1185">
        <f>IF(N1185="","",'Master Barang'!B79)</f>
        <v>0</v>
      </c>
      <c r="P1185">
        <f>IF(OR(M1185="",N1185=""),"",SUMIFS('Barang Keluar'!$E:$E,'Barang Keluar'!$A:$A,M1185,'Barang Keluar'!$C:$C,N1185))</f>
        <v>0</v>
      </c>
    </row>
    <row r="1186" spans="13:16">
      <c r="M1186" s="49">
        <f>IF($A$4+11&gt;$B$4,"",$A$4+11)</f>
        <v>46034</v>
      </c>
      <c r="N1186">
        <f>IF(M1186="","",'Master Barang'!A80)</f>
        <v>0</v>
      </c>
      <c r="O1186">
        <f>IF(N1186="","",'Master Barang'!B80)</f>
        <v>0</v>
      </c>
      <c r="P1186">
        <f>IF(OR(M1186="",N1186=""),"",SUMIFS('Barang Keluar'!$E:$E,'Barang Keluar'!$A:$A,M1186,'Barang Keluar'!$C:$C,N1186))</f>
        <v>0</v>
      </c>
    </row>
    <row r="1187" spans="13:16">
      <c r="M1187" s="49">
        <f>IF($A$4+11&gt;$B$4,"",$A$4+11)</f>
        <v>46034</v>
      </c>
      <c r="N1187">
        <f>IF(M1187="","",'Master Barang'!A81)</f>
        <v>0</v>
      </c>
      <c r="O1187">
        <f>IF(N1187="","",'Master Barang'!B81)</f>
        <v>0</v>
      </c>
      <c r="P1187">
        <f>IF(OR(M1187="",N1187=""),"",SUMIFS('Barang Keluar'!$E:$E,'Barang Keluar'!$A:$A,M1187,'Barang Keluar'!$C:$C,N1187))</f>
        <v>0</v>
      </c>
    </row>
    <row r="1188" spans="13:16">
      <c r="M1188" s="49">
        <f>IF($A$4+11&gt;$B$4,"",$A$4+11)</f>
        <v>46034</v>
      </c>
      <c r="N1188">
        <f>IF(M1188="","",'Master Barang'!A82)</f>
        <v>0</v>
      </c>
      <c r="O1188">
        <f>IF(N1188="","",'Master Barang'!B82)</f>
        <v>0</v>
      </c>
      <c r="P1188">
        <f>IF(OR(M1188="",N1188=""),"",SUMIFS('Barang Keluar'!$E:$E,'Barang Keluar'!$A:$A,M1188,'Barang Keluar'!$C:$C,N1188))</f>
        <v>0</v>
      </c>
    </row>
    <row r="1189" spans="13:16">
      <c r="M1189" s="49">
        <f>IF($A$4+11&gt;$B$4,"",$A$4+11)</f>
        <v>46034</v>
      </c>
      <c r="N1189">
        <f>IF(M1189="","",'Master Barang'!A83)</f>
        <v>0</v>
      </c>
      <c r="O1189">
        <f>IF(N1189="","",'Master Barang'!B83)</f>
        <v>0</v>
      </c>
      <c r="P1189">
        <f>IF(OR(M1189="",N1189=""),"",SUMIFS('Barang Keluar'!$E:$E,'Barang Keluar'!$A:$A,M1189,'Barang Keluar'!$C:$C,N1189))</f>
        <v>0</v>
      </c>
    </row>
    <row r="1190" spans="13:16">
      <c r="M1190" s="49">
        <f>IF($A$4+11&gt;$B$4,"",$A$4+11)</f>
        <v>46034</v>
      </c>
      <c r="N1190">
        <f>IF(M1190="","",'Master Barang'!A84)</f>
        <v>0</v>
      </c>
      <c r="O1190">
        <f>IF(N1190="","",'Master Barang'!B84)</f>
        <v>0</v>
      </c>
      <c r="P1190">
        <f>IF(OR(M1190="",N1190=""),"",SUMIFS('Barang Keluar'!$E:$E,'Barang Keluar'!$A:$A,M1190,'Barang Keluar'!$C:$C,N1190))</f>
        <v>0</v>
      </c>
    </row>
    <row r="1191" spans="13:16">
      <c r="M1191" s="49">
        <f>IF($A$4+11&gt;$B$4,"",$A$4+11)</f>
        <v>46034</v>
      </c>
      <c r="N1191">
        <f>IF(M1191="","",'Master Barang'!A85)</f>
        <v>0</v>
      </c>
      <c r="O1191">
        <f>IF(N1191="","",'Master Barang'!B85)</f>
        <v>0</v>
      </c>
      <c r="P1191">
        <f>IF(OR(M1191="",N1191=""),"",SUMIFS('Barang Keluar'!$E:$E,'Barang Keluar'!$A:$A,M1191,'Barang Keluar'!$C:$C,N1191))</f>
        <v>0</v>
      </c>
    </row>
    <row r="1192" spans="13:16">
      <c r="M1192" s="49">
        <f>IF($A$4+11&gt;$B$4,"",$A$4+11)</f>
        <v>46034</v>
      </c>
      <c r="N1192">
        <f>IF(M1192="","",'Master Barang'!A86)</f>
        <v>0</v>
      </c>
      <c r="O1192">
        <f>IF(N1192="","",'Master Barang'!B86)</f>
        <v>0</v>
      </c>
      <c r="P1192">
        <f>IF(OR(M1192="",N1192=""),"",SUMIFS('Barang Keluar'!$E:$E,'Barang Keluar'!$A:$A,M1192,'Barang Keluar'!$C:$C,N1192))</f>
        <v>0</v>
      </c>
    </row>
    <row r="1193" spans="13:16">
      <c r="M1193" s="49">
        <f>IF($A$4+11&gt;$B$4,"",$A$4+11)</f>
        <v>46034</v>
      </c>
      <c r="N1193">
        <f>IF(M1193="","",'Master Barang'!A87)</f>
        <v>0</v>
      </c>
      <c r="O1193">
        <f>IF(N1193="","",'Master Barang'!B87)</f>
        <v>0</v>
      </c>
      <c r="P1193">
        <f>IF(OR(M1193="",N1193=""),"",SUMIFS('Barang Keluar'!$E:$E,'Barang Keluar'!$A:$A,M1193,'Barang Keluar'!$C:$C,N1193))</f>
        <v>0</v>
      </c>
    </row>
    <row r="1194" spans="13:16">
      <c r="M1194" s="49">
        <f>IF($A$4+11&gt;$B$4,"",$A$4+11)</f>
        <v>46034</v>
      </c>
      <c r="N1194">
        <f>IF(M1194="","",'Master Barang'!A88)</f>
        <v>0</v>
      </c>
      <c r="O1194">
        <f>IF(N1194="","",'Master Barang'!B88)</f>
        <v>0</v>
      </c>
      <c r="P1194">
        <f>IF(OR(M1194="",N1194=""),"",SUMIFS('Barang Keluar'!$E:$E,'Barang Keluar'!$A:$A,M1194,'Barang Keluar'!$C:$C,N1194))</f>
        <v>0</v>
      </c>
    </row>
    <row r="1195" spans="13:16">
      <c r="M1195" s="49">
        <f>IF($A$4+11&gt;$B$4,"",$A$4+11)</f>
        <v>46034</v>
      </c>
      <c r="N1195">
        <f>IF(M1195="","",'Master Barang'!A89)</f>
        <v>0</v>
      </c>
      <c r="O1195">
        <f>IF(N1195="","",'Master Barang'!B89)</f>
        <v>0</v>
      </c>
      <c r="P1195">
        <f>IF(OR(M1195="",N1195=""),"",SUMIFS('Barang Keluar'!$E:$E,'Barang Keluar'!$A:$A,M1195,'Barang Keluar'!$C:$C,N1195))</f>
        <v>0</v>
      </c>
    </row>
    <row r="1196" spans="13:16">
      <c r="M1196" s="49">
        <f>IF($A$4+11&gt;$B$4,"",$A$4+11)</f>
        <v>46034</v>
      </c>
      <c r="N1196">
        <f>IF(M1196="","",'Master Barang'!A90)</f>
        <v>0</v>
      </c>
      <c r="O1196">
        <f>IF(N1196="","",'Master Barang'!B90)</f>
        <v>0</v>
      </c>
      <c r="P1196">
        <f>IF(OR(M1196="",N1196=""),"",SUMIFS('Barang Keluar'!$E:$E,'Barang Keluar'!$A:$A,M1196,'Barang Keluar'!$C:$C,N1196))</f>
        <v>0</v>
      </c>
    </row>
    <row r="1197" spans="13:16">
      <c r="M1197" s="49">
        <f>IF($A$4+11&gt;$B$4,"",$A$4+11)</f>
        <v>46034</v>
      </c>
      <c r="N1197">
        <f>IF(M1197="","",'Master Barang'!A91)</f>
        <v>0</v>
      </c>
      <c r="O1197">
        <f>IF(N1197="","",'Master Barang'!B91)</f>
        <v>0</v>
      </c>
      <c r="P1197">
        <f>IF(OR(M1197="",N1197=""),"",SUMIFS('Barang Keluar'!$E:$E,'Barang Keluar'!$A:$A,M1197,'Barang Keluar'!$C:$C,N1197))</f>
        <v>0</v>
      </c>
    </row>
    <row r="1198" spans="13:16">
      <c r="M1198" s="49">
        <f>IF($A$4+11&gt;$B$4,"",$A$4+11)</f>
        <v>46034</v>
      </c>
      <c r="N1198">
        <f>IF(M1198="","",'Master Barang'!A92)</f>
        <v>0</v>
      </c>
      <c r="O1198">
        <f>IF(N1198="","",'Master Barang'!B92)</f>
        <v>0</v>
      </c>
      <c r="P1198">
        <f>IF(OR(M1198="",N1198=""),"",SUMIFS('Barang Keluar'!$E:$E,'Barang Keluar'!$A:$A,M1198,'Barang Keluar'!$C:$C,N1198))</f>
        <v>0</v>
      </c>
    </row>
    <row r="1199" spans="13:16">
      <c r="M1199" s="49">
        <f>IF($A$4+11&gt;$B$4,"",$A$4+11)</f>
        <v>46034</v>
      </c>
      <c r="N1199">
        <f>IF(M1199="","",'Master Barang'!A93)</f>
        <v>0</v>
      </c>
      <c r="O1199">
        <f>IF(N1199="","",'Master Barang'!B93)</f>
        <v>0</v>
      </c>
      <c r="P1199">
        <f>IF(OR(M1199="",N1199=""),"",SUMIFS('Barang Keluar'!$E:$E,'Barang Keluar'!$A:$A,M1199,'Barang Keluar'!$C:$C,N1199))</f>
        <v>0</v>
      </c>
    </row>
    <row r="1200" spans="13:16">
      <c r="M1200" s="49">
        <f>IF($A$4+11&gt;$B$4,"",$A$4+11)</f>
        <v>46034</v>
      </c>
      <c r="N1200">
        <f>IF(M1200="","",'Master Barang'!A94)</f>
        <v>0</v>
      </c>
      <c r="O1200">
        <f>IF(N1200="","",'Master Barang'!B94)</f>
        <v>0</v>
      </c>
      <c r="P1200">
        <f>IF(OR(M1200="",N1200=""),"",SUMIFS('Barang Keluar'!$E:$E,'Barang Keluar'!$A:$A,M1200,'Barang Keluar'!$C:$C,N1200))</f>
        <v>0</v>
      </c>
    </row>
    <row r="1201" spans="13:16">
      <c r="M1201" s="49">
        <f>IF($A$4+11&gt;$B$4,"",$A$4+11)</f>
        <v>46034</v>
      </c>
      <c r="N1201">
        <f>IF(M1201="","",'Master Barang'!A95)</f>
        <v>0</v>
      </c>
      <c r="O1201">
        <f>IF(N1201="","",'Master Barang'!B95)</f>
        <v>0</v>
      </c>
      <c r="P1201">
        <f>IF(OR(M1201="",N1201=""),"",SUMIFS('Barang Keluar'!$E:$E,'Barang Keluar'!$A:$A,M1201,'Barang Keluar'!$C:$C,N1201))</f>
        <v>0</v>
      </c>
    </row>
    <row r="1202" spans="13:16">
      <c r="M1202" s="49">
        <f>IF($A$4+11&gt;$B$4,"",$A$4+11)</f>
        <v>46034</v>
      </c>
      <c r="N1202">
        <f>IF(M1202="","",'Master Barang'!A96)</f>
        <v>0</v>
      </c>
      <c r="O1202">
        <f>IF(N1202="","",'Master Barang'!B96)</f>
        <v>0</v>
      </c>
      <c r="P1202">
        <f>IF(OR(M1202="",N1202=""),"",SUMIFS('Barang Keluar'!$E:$E,'Barang Keluar'!$A:$A,M1202,'Barang Keluar'!$C:$C,N1202))</f>
        <v>0</v>
      </c>
    </row>
    <row r="1203" spans="13:16">
      <c r="M1203" s="49">
        <f>IF($A$4+11&gt;$B$4,"",$A$4+11)</f>
        <v>46034</v>
      </c>
      <c r="N1203">
        <f>IF(M1203="","",'Master Barang'!A97)</f>
        <v>0</v>
      </c>
      <c r="O1203">
        <f>IF(N1203="","",'Master Barang'!B97)</f>
        <v>0</v>
      </c>
      <c r="P1203">
        <f>IF(OR(M1203="",N1203=""),"",SUMIFS('Barang Keluar'!$E:$E,'Barang Keluar'!$A:$A,M1203,'Barang Keluar'!$C:$C,N1203))</f>
        <v>0</v>
      </c>
    </row>
    <row r="1204" spans="13:16">
      <c r="M1204" s="49">
        <f>IF($A$4+11&gt;$B$4,"",$A$4+11)</f>
        <v>46034</v>
      </c>
      <c r="N1204">
        <f>IF(M1204="","",'Master Barang'!A98)</f>
        <v>0</v>
      </c>
      <c r="O1204">
        <f>IF(N1204="","",'Master Barang'!B98)</f>
        <v>0</v>
      </c>
      <c r="P1204">
        <f>IF(OR(M1204="",N1204=""),"",SUMIFS('Barang Keluar'!$E:$E,'Barang Keluar'!$A:$A,M1204,'Barang Keluar'!$C:$C,N1204))</f>
        <v>0</v>
      </c>
    </row>
    <row r="1205" spans="13:16">
      <c r="M1205" s="49">
        <f>IF($A$4+11&gt;$B$4,"",$A$4+11)</f>
        <v>46034</v>
      </c>
      <c r="N1205">
        <f>IF(M1205="","",'Master Barang'!A99)</f>
        <v>0</v>
      </c>
      <c r="O1205">
        <f>IF(N1205="","",'Master Barang'!B99)</f>
        <v>0</v>
      </c>
      <c r="P1205">
        <f>IF(OR(M1205="",N1205=""),"",SUMIFS('Barang Keluar'!$E:$E,'Barang Keluar'!$A:$A,M1205,'Barang Keluar'!$C:$C,N1205))</f>
        <v>0</v>
      </c>
    </row>
    <row r="1206" spans="13:16">
      <c r="M1206" s="49">
        <f>IF($A$4+11&gt;$B$4,"",$A$4+11)</f>
        <v>46034</v>
      </c>
      <c r="N1206">
        <f>IF(M1206="","",'Master Barang'!A100)</f>
        <v>0</v>
      </c>
      <c r="O1206">
        <f>IF(N1206="","",'Master Barang'!B100)</f>
        <v>0</v>
      </c>
      <c r="P1206">
        <f>IF(OR(M1206="",N1206=""),"",SUMIFS('Barang Keluar'!$E:$E,'Barang Keluar'!$A:$A,M1206,'Barang Keluar'!$C:$C,N1206))</f>
        <v>0</v>
      </c>
    </row>
    <row r="1207" spans="13:16">
      <c r="M1207" s="49">
        <f>IF($A$4+11&gt;$B$4,"",$A$4+11)</f>
        <v>46034</v>
      </c>
      <c r="N1207">
        <f>IF(M1207="","",'Master Barang'!A101)</f>
        <v>0</v>
      </c>
      <c r="O1207">
        <f>IF(N1207="","",'Master Barang'!B101)</f>
        <v>0</v>
      </c>
      <c r="P1207">
        <f>IF(OR(M1207="",N1207=""),"",SUMIFS('Barang Keluar'!$E:$E,'Barang Keluar'!$A:$A,M1207,'Barang Keluar'!$C:$C,N1207))</f>
        <v>0</v>
      </c>
    </row>
    <row r="1208" spans="13:16">
      <c r="M1208" s="49">
        <f>IF($A$4+12&gt;$B$4,"",$A$4+12)</f>
        <v>46035</v>
      </c>
      <c r="N1208" t="str">
        <f>IF(M1208="","",'Master Barang'!A2)</f>
        <v>PRL-001</v>
      </c>
      <c r="O1208" t="str">
        <f>IF(N1208="","",'Master Barang'!B2)</f>
        <v>natura desinfectant food grade 5l</v>
      </c>
      <c r="P1208">
        <f>IF(OR(M1208="",N1208=""),"",SUMIFS('Barang Keluar'!$E:$E,'Barang Keluar'!$A:$A,M1208,'Barang Keluar'!$C:$C,N1208))</f>
        <v>0</v>
      </c>
    </row>
    <row r="1209" spans="13:16">
      <c r="M1209" s="49">
        <f>IF($A$4+12&gt;$B$4,"",$A$4+12)</f>
        <v>46035</v>
      </c>
      <c r="N1209" t="str">
        <f>IF(M1209="","",'Master Barang'!A3)</f>
        <v>PRL-002</v>
      </c>
      <c r="O1209" t="str">
        <f>IF(N1209="","",'Master Barang'!B3)</f>
        <v>sunlight cairan pencuci piring 5l</v>
      </c>
      <c r="P1209">
        <f>IF(OR(M1209="",N1209=""),"",SUMIFS('Barang Keluar'!$E:$E,'Barang Keluar'!$A:$A,M1209,'Barang Keluar'!$C:$C,N1209))</f>
        <v>0</v>
      </c>
    </row>
    <row r="1210" spans="13:16">
      <c r="M1210" s="49">
        <f>IF($A$4+12&gt;$B$4,"",$A$4+12)</f>
        <v>46035</v>
      </c>
      <c r="N1210" t="str">
        <f>IF(M1210="","",'Master Barang'!A4)</f>
        <v>PRL-003</v>
      </c>
      <c r="O1210" t="str">
        <f>IF(N1210="","",'Master Barang'!B4)</f>
        <v>oixs cleaner 1l</v>
      </c>
      <c r="P1210">
        <f>IF(OR(M1210="",N1210=""),"",SUMIFS('Barang Keluar'!$E:$E,'Barang Keluar'!$A:$A,M1210,'Barang Keluar'!$C:$C,N1210))</f>
        <v>0</v>
      </c>
    </row>
    <row r="1211" spans="13:16">
      <c r="M1211" s="49">
        <f>IF($A$4+12&gt;$B$4,"",$A$4+12)</f>
        <v>46035</v>
      </c>
      <c r="N1211" t="str">
        <f>IF(M1211="","",'Master Barang'!A5)</f>
        <v>PRL-004</v>
      </c>
      <c r="O1211" t="str">
        <f>IF(N1211="","",'Master Barang'!B5)</f>
        <v>be clean tissue serbaguna</v>
      </c>
      <c r="P1211">
        <f>IF(OR(M1211="",N1211=""),"",SUMIFS('Barang Keluar'!$E:$E,'Barang Keluar'!$A:$A,M1211,'Barang Keluar'!$C:$C,N1211))</f>
        <v>0</v>
      </c>
    </row>
    <row r="1212" spans="13:16">
      <c r="M1212" s="49">
        <f>IF($A$4+12&gt;$B$4,"",$A$4+12)</f>
        <v>46035</v>
      </c>
      <c r="N1212" t="str">
        <f>IF(M1212="","",'Master Barang'!A6)</f>
        <v>PRL-005</v>
      </c>
      <c r="O1212" t="str">
        <f>IF(N1212="","",'Master Barang'!B6)</f>
        <v>spons cuci hijau</v>
      </c>
      <c r="P1212">
        <f>IF(OR(M1212="",N1212=""),"",SUMIFS('Barang Keluar'!$E:$E,'Barang Keluar'!$A:$A,M1212,'Barang Keluar'!$C:$C,N1212))</f>
        <v>0</v>
      </c>
    </row>
    <row r="1213" spans="13:16">
      <c r="M1213" s="49">
        <f>IF($A$4+12&gt;$B$4,"",$A$4+12)</f>
        <v>46035</v>
      </c>
      <c r="N1213" t="str">
        <f>IF(M1213="","",'Master Barang'!A7)</f>
        <v>PRL-006</v>
      </c>
      <c r="O1213" t="str">
        <f>IF(N1213="","",'Master Barang'!B7)</f>
        <v>sabut cuci stainless</v>
      </c>
      <c r="P1213">
        <f>IF(OR(M1213="",N1213=""),"",SUMIFS('Barang Keluar'!$E:$E,'Barang Keluar'!$A:$A,M1213,'Barang Keluar'!$C:$C,N1213))</f>
        <v>0</v>
      </c>
    </row>
    <row r="1214" spans="13:16">
      <c r="M1214" s="49">
        <f>IF($A$4+12&gt;$B$4,"",$A$4+12)</f>
        <v>46035</v>
      </c>
      <c r="N1214" t="str">
        <f>IF(M1214="","",'Master Barang'!A8)</f>
        <v>PRL-007</v>
      </c>
      <c r="O1214" t="str">
        <f>IF(N1214="","",'Master Barang'!B8)</f>
        <v>plastik kresek besar merah 50pc</v>
      </c>
      <c r="P1214">
        <f>IF(OR(M1214="",N1214=""),"",SUMIFS('Barang Keluar'!$E:$E,'Barang Keluar'!$A:$A,M1214,'Barang Keluar'!$C:$C,N1214))</f>
        <v>0</v>
      </c>
    </row>
    <row r="1215" spans="13:16">
      <c r="M1215" s="49">
        <f>IF($A$4+12&gt;$B$4,"",$A$4+12)</f>
        <v>46035</v>
      </c>
      <c r="N1215" t="str">
        <f>IF(M1215="","",'Master Barang'!A9)</f>
        <v>PRL-008</v>
      </c>
      <c r="O1215" t="str">
        <f>IF(N1215="","",'Master Barang'!B9)</f>
        <v>lap besar</v>
      </c>
      <c r="P1215">
        <f>IF(OR(M1215="",N1215=""),"",SUMIFS('Barang Keluar'!$E:$E,'Barang Keluar'!$A:$A,M1215,'Barang Keluar'!$C:$C,N1215))</f>
        <v>0</v>
      </c>
    </row>
    <row r="1216" spans="13:16">
      <c r="M1216" s="49">
        <f>IF($A$4+12&gt;$B$4,"",$A$4+12)</f>
        <v>46035</v>
      </c>
      <c r="N1216" t="str">
        <f>IF(M1216="","",'Master Barang'!A10)</f>
        <v>PRL-009</v>
      </c>
      <c r="O1216" t="str">
        <f>IF(N1216="","",'Master Barang'!B10)</f>
        <v>lap microfiber</v>
      </c>
      <c r="P1216">
        <f>IF(OR(M1216="",N1216=""),"",SUMIFS('Barang Keluar'!$E:$E,'Barang Keluar'!$A:$A,M1216,'Barang Keluar'!$C:$C,N1216))</f>
        <v>0</v>
      </c>
    </row>
    <row r="1217" spans="13:16">
      <c r="M1217" s="49">
        <f>IF($A$4+12&gt;$B$4,"",$A$4+12)</f>
        <v>46035</v>
      </c>
      <c r="N1217" t="str">
        <f>IF(M1217="","",'Master Barang'!A11)</f>
        <v>PRL-010</v>
      </c>
      <c r="O1217" t="str">
        <f>IF(N1217="","",'Master Barang'!B11)</f>
        <v>lap kecil</v>
      </c>
      <c r="P1217">
        <f>IF(OR(M1217="",N1217=""),"",SUMIFS('Barang Keluar'!$E:$E,'Barang Keluar'!$A:$A,M1217,'Barang Keluar'!$C:$C,N1217))</f>
        <v>0</v>
      </c>
    </row>
    <row r="1218" spans="13:16">
      <c r="M1218" s="49">
        <f>IF($A$4+12&gt;$B$4,"",$A$4+12)</f>
        <v>46035</v>
      </c>
      <c r="N1218" t="str">
        <f>IF(M1218="","",'Master Barang'!A12)</f>
        <v>PRL-011</v>
      </c>
      <c r="O1218" t="str">
        <f>IF(N1218="","",'Master Barang'!B12)</f>
        <v>kanebo kecil</v>
      </c>
      <c r="P1218">
        <f>IF(OR(M1218="",N1218=""),"",SUMIFS('Barang Keluar'!$E:$E,'Barang Keluar'!$A:$A,M1218,'Barang Keluar'!$C:$C,N1218))</f>
        <v>0</v>
      </c>
    </row>
    <row r="1219" spans="13:16">
      <c r="M1219" s="49">
        <f>IF($A$4+12&gt;$B$4,"",$A$4+12)</f>
        <v>46035</v>
      </c>
      <c r="N1219" t="str">
        <f>IF(M1219="","",'Master Barang'!A13)</f>
        <v>PRL-012</v>
      </c>
      <c r="O1219" t="str">
        <f>IF(N1219="","",'Master Barang'!B13)</f>
        <v>plastik 1/4kg joyoboyo 100 lembar</v>
      </c>
      <c r="P1219">
        <f>IF(OR(M1219="",N1219=""),"",SUMIFS('Barang Keluar'!$E:$E,'Barang Keluar'!$A:$A,M1219,'Barang Keluar'!$C:$C,N1219))</f>
        <v>0</v>
      </c>
    </row>
    <row r="1220" spans="13:16">
      <c r="M1220" s="49">
        <f>IF($A$4+12&gt;$B$4,"",$A$4+12)</f>
        <v>46035</v>
      </c>
      <c r="N1220" t="str">
        <f>IF(M1220="","",'Master Barang'!A14)</f>
        <v>PRL-013</v>
      </c>
      <c r="O1220" t="str">
        <f>IF(N1220="","",'Master Barang'!B14)</f>
        <v>sarung tangan plastik kaka 100 pcs</v>
      </c>
      <c r="P1220">
        <f>IF(OR(M1220="",N1220=""),"",SUMIFS('Barang Keluar'!$E:$E,'Barang Keluar'!$A:$A,M1220,'Barang Keluar'!$C:$C,N1220))</f>
        <v>0</v>
      </c>
    </row>
    <row r="1221" spans="13:16">
      <c r="M1221" s="49">
        <f>IF($A$4+12&gt;$B$4,"",$A$4+12)</f>
        <v>46035</v>
      </c>
      <c r="N1221" t="str">
        <f>IF(M1221="","",'Master Barang'!A15)</f>
        <v>PRL-014</v>
      </c>
      <c r="O1221" t="str">
        <f>IF(N1221="","",'Master Barang'!B15)</f>
        <v>optima trashbag 80x100</v>
      </c>
      <c r="P1221">
        <f>IF(OR(M1221="",N1221=""),"",SUMIFS('Barang Keluar'!$E:$E,'Barang Keluar'!$A:$A,M1221,'Barang Keluar'!$C:$C,N1221))</f>
        <v>0</v>
      </c>
    </row>
    <row r="1222" spans="13:16">
      <c r="M1222" s="49">
        <f>IF($A$4+12&gt;$B$4,"",$A$4+12)</f>
        <v>46035</v>
      </c>
      <c r="N1222" t="str">
        <f>IF(M1222="","",'Master Barang'!A16)</f>
        <v>PRL-015</v>
      </c>
      <c r="O1222" t="str">
        <f>IF(N1222="","",'Master Barang'!B16)</f>
        <v>optima trashbag 60x100</v>
      </c>
      <c r="P1222">
        <f>IF(OR(M1222="",N1222=""),"",SUMIFS('Barang Keluar'!$E:$E,'Barang Keluar'!$A:$A,M1222,'Barang Keluar'!$C:$C,N1222))</f>
        <v>0</v>
      </c>
    </row>
    <row r="1223" spans="13:16">
      <c r="M1223" s="49">
        <f>IF($A$4+12&gt;$B$4,"",$A$4+12)</f>
        <v>46035</v>
      </c>
      <c r="N1223" t="str">
        <f>IF(M1223="","",'Master Barang'!A17)</f>
        <v>PRL-016</v>
      </c>
      <c r="O1223" t="str">
        <f>IF(N1223="","",'Master Barang'!B17)</f>
        <v>rajawali trashbag 30x40</v>
      </c>
      <c r="P1223">
        <f>IF(OR(M1223="",N1223=""),"",SUMIFS('Barang Keluar'!$E:$E,'Barang Keluar'!$A:$A,M1223,'Barang Keluar'!$C:$C,N1223))</f>
        <v>0</v>
      </c>
    </row>
    <row r="1224" spans="13:16">
      <c r="M1224" s="49">
        <f>IF($A$4+12&gt;$B$4,"",$A$4+12)</f>
        <v>46035</v>
      </c>
      <c r="N1224" t="str">
        <f>IF(M1224="","",'Master Barang'!A18)</f>
        <v>PRL-017</v>
      </c>
      <c r="O1224" t="str">
        <f>IF(N1224="","",'Master Barang'!B18)</f>
        <v>onemed masker biru 3 play 50 pcs</v>
      </c>
      <c r="P1224">
        <f>IF(OR(M1224="",N1224=""),"",SUMIFS('Barang Keluar'!$E:$E,'Barang Keluar'!$A:$A,M1224,'Barang Keluar'!$C:$C,N1224))</f>
        <v>0</v>
      </c>
    </row>
    <row r="1225" spans="13:16">
      <c r="M1225" s="49">
        <f>IF($A$4+12&gt;$B$4,"",$A$4+12)</f>
        <v>46035</v>
      </c>
      <c r="N1225" t="str">
        <f>IF(M1225="","",'Master Barang'!A19)</f>
        <v>PRL-018</v>
      </c>
      <c r="O1225" t="str">
        <f>IF(N1225="","",'Master Barang'!B19)</f>
        <v>onemed masker biru 3 play hijab 50 pcs</v>
      </c>
      <c r="P1225">
        <f>IF(OR(M1225="",N1225=""),"",SUMIFS('Barang Keluar'!$E:$E,'Barang Keluar'!$A:$A,M1225,'Barang Keluar'!$C:$C,N1225))</f>
        <v>0</v>
      </c>
    </row>
    <row r="1226" spans="13:16">
      <c r="M1226" s="49">
        <f>IF($A$4+12&gt;$B$4,"",$A$4+12)</f>
        <v>46035</v>
      </c>
      <c r="N1226" t="str">
        <f>IF(M1226="","",'Master Barang'!A20)</f>
        <v>PRL-019</v>
      </c>
      <c r="O1226" t="str">
        <f>IF(N1226="","",'Master Barang'!B20)</f>
        <v>neo health masker biru 3 play 50 pcs</v>
      </c>
      <c r="P1226">
        <f>IF(OR(M1226="",N1226=""),"",SUMIFS('Barang Keluar'!$E:$E,'Barang Keluar'!$A:$A,M1226,'Barang Keluar'!$C:$C,N1226))</f>
        <v>0</v>
      </c>
    </row>
    <row r="1227" spans="13:16">
      <c r="M1227" s="49">
        <f>IF($A$4+12&gt;$B$4,"",$A$4+12)</f>
        <v>46035</v>
      </c>
      <c r="N1227" t="str">
        <f>IF(M1227="","",'Master Barang'!A21)</f>
        <v>PRL-020</v>
      </c>
      <c r="O1227" t="str">
        <f>IF(N1227="","",'Master Barang'!B21)</f>
        <v>baymed masker hijau 3 play hijau 50 pcs</v>
      </c>
      <c r="P1227">
        <f>IF(OR(M1227="",N1227=""),"",SUMIFS('Barang Keluar'!$E:$E,'Barang Keluar'!$A:$A,M1227,'Barang Keluar'!$C:$C,N1227))</f>
        <v>0</v>
      </c>
    </row>
    <row r="1228" spans="13:16">
      <c r="M1228" s="49">
        <f>IF($A$4+12&gt;$B$4,"",$A$4+12)</f>
        <v>46035</v>
      </c>
      <c r="N1228" t="str">
        <f>IF(M1228="","",'Master Barang'!A22)</f>
        <v>PRL-021</v>
      </c>
      <c r="O1228" t="str">
        <f>IF(N1228="","",'Master Barang'!B22)</f>
        <v>altamed nurse cap penutup kepala 100 pcs</v>
      </c>
      <c r="P1228">
        <f>IF(OR(M1228="",N1228=""),"",SUMIFS('Barang Keluar'!$E:$E,'Barang Keluar'!$A:$A,M1228,'Barang Keluar'!$C:$C,N1228))</f>
        <v>0</v>
      </c>
    </row>
    <row r="1229" spans="13:16">
      <c r="M1229" s="49">
        <f>IF($A$4+12&gt;$B$4,"",$A$4+12)</f>
        <v>46035</v>
      </c>
      <c r="N1229" t="str">
        <f>IF(M1229="","",'Master Barang'!A23)</f>
        <v>PRL-022</v>
      </c>
      <c r="O1229" t="str">
        <f>IF(N1229="","",'Master Barang'!B23)</f>
        <v>sabun cuci tangan</v>
      </c>
      <c r="P1229">
        <f>IF(OR(M1229="",N1229=""),"",SUMIFS('Barang Keluar'!$E:$E,'Barang Keluar'!$A:$A,M1229,'Barang Keluar'!$C:$C,N1229))</f>
        <v>0</v>
      </c>
    </row>
    <row r="1230" spans="13:16">
      <c r="M1230" s="49">
        <f>IF($A$4+12&gt;$B$4,"",$A$4+12)</f>
        <v>46035</v>
      </c>
      <c r="N1230" t="str">
        <f>IF(M1230="","",'Master Barang'!A24)</f>
        <v>PRL-023</v>
      </c>
      <c r="O1230" t="str">
        <f>IF(N1230="","",'Master Barang'!B24)</f>
        <v>gayung kecil</v>
      </c>
      <c r="P1230">
        <f>IF(OR(M1230="",N1230=""),"",SUMIFS('Barang Keluar'!$E:$E,'Barang Keluar'!$A:$A,M1230,'Barang Keluar'!$C:$C,N1230))</f>
        <v>0</v>
      </c>
    </row>
    <row r="1231" spans="13:16">
      <c r="M1231" s="49">
        <f>IF($A$4+12&gt;$B$4,"",$A$4+12)</f>
        <v>46035</v>
      </c>
      <c r="N1231" t="str">
        <f>IF(M1231="","",'Master Barang'!A25)</f>
        <v>PRL-024</v>
      </c>
      <c r="O1231" t="str">
        <f>IF(N1231="","",'Master Barang'!B25)</f>
        <v>cikrak kecil</v>
      </c>
      <c r="P1231">
        <f>IF(OR(M1231="",N1231=""),"",SUMIFS('Barang Keluar'!$E:$E,'Barang Keluar'!$A:$A,M1231,'Barang Keluar'!$C:$C,N1231))</f>
        <v>0</v>
      </c>
    </row>
    <row r="1232" spans="13:16">
      <c r="M1232" s="49">
        <f>IF($A$4+12&gt;$B$4,"",$A$4+12)</f>
        <v>46035</v>
      </c>
      <c r="N1232" t="str">
        <f>IF(M1232="","",'Master Barang'!A26)</f>
        <v>PRL-025</v>
      </c>
      <c r="O1232" t="str">
        <f>IF(N1232="","",'Master Barang'!B26)</f>
        <v>petromax plastik kecil 12x24 100 lembar</v>
      </c>
      <c r="P1232">
        <f>IF(OR(M1232="",N1232=""),"",SUMIFS('Barang Keluar'!$E:$E,'Barang Keluar'!$A:$A,M1232,'Barang Keluar'!$C:$C,N1232))</f>
        <v>0</v>
      </c>
    </row>
    <row r="1233" spans="13:16">
      <c r="M1233" s="49">
        <f>IF($A$4+12&gt;$B$4,"",$A$4+12)</f>
        <v>46035</v>
      </c>
      <c r="N1233" t="str">
        <f>IF(M1233="","",'Master Barang'!A27)</f>
        <v>PRL-026</v>
      </c>
      <c r="O1233" t="str">
        <f>IF(N1233="","",'Master Barang'!B27)</f>
        <v>lancar kresek kecil bening </v>
      </c>
      <c r="P1233">
        <f>IF(OR(M1233="",N1233=""),"",SUMIFS('Barang Keluar'!$E:$E,'Barang Keluar'!$A:$A,M1233,'Barang Keluar'!$C:$C,N1233))</f>
        <v>0</v>
      </c>
    </row>
    <row r="1234" spans="13:16">
      <c r="M1234" s="49">
        <f>IF($A$4+12&gt;$B$4,"",$A$4+12)</f>
        <v>46035</v>
      </c>
      <c r="N1234" t="str">
        <f>IF(M1234="","",'Master Barang'!A28)</f>
        <v>PRL-027</v>
      </c>
      <c r="O1234" t="str">
        <f>IF(N1234="","",'Master Barang'!B28)</f>
        <v>kresek klin warna warni kecil</v>
      </c>
      <c r="P1234">
        <f>IF(OR(M1234="",N1234=""),"",SUMIFS('Barang Keluar'!$E:$E,'Barang Keluar'!$A:$A,M1234,'Barang Keluar'!$C:$C,N1234))</f>
        <v>0</v>
      </c>
    </row>
    <row r="1235" spans="13:16">
      <c r="M1235" s="49">
        <f>IF($A$4+12&gt;$B$4,"",$A$4+12)</f>
        <v>46035</v>
      </c>
      <c r="N1235" t="str">
        <f>IF(M1235="","",'Master Barang'!A29)</f>
        <v>PRL-028</v>
      </c>
      <c r="O1235" t="str">
        <f>IF(N1235="","",'Master Barang'!B29)</f>
        <v>ctik plastik 7x10 100 pcs</v>
      </c>
      <c r="P1235">
        <f>IF(OR(M1235="",N1235=""),"",SUMIFS('Barang Keluar'!$E:$E,'Barang Keluar'!$A:$A,M1235,'Barang Keluar'!$C:$C,N1235))</f>
        <v>0</v>
      </c>
    </row>
    <row r="1236" spans="13:16">
      <c r="M1236" s="49">
        <f>IF($A$4+12&gt;$B$4,"",$A$4+12)</f>
        <v>46035</v>
      </c>
      <c r="N1236" t="str">
        <f>IF(M1236="","",'Master Barang'!A30)</f>
        <v>PRL-029</v>
      </c>
      <c r="O1236" t="str">
        <f>IF(N1236="","",'Master Barang'!B30)</f>
        <v>ctik plastik 6x10 100 pcs</v>
      </c>
      <c r="P1236">
        <f>IF(OR(M1236="",N1236=""),"",SUMIFS('Barang Keluar'!$E:$E,'Barang Keluar'!$A:$A,M1236,'Barang Keluar'!$C:$C,N1236))</f>
        <v>0</v>
      </c>
    </row>
    <row r="1237" spans="13:16">
      <c r="M1237" s="49">
        <f>IF($A$4+12&gt;$B$4,"",$A$4+12)</f>
        <v>46035</v>
      </c>
      <c r="N1237" t="str">
        <f>IF(M1237="","",'Master Barang'!A31)</f>
        <v>PRL-030</v>
      </c>
      <c r="O1237" t="str">
        <f>IF(N1237="","",'Master Barang'!B31)</f>
        <v>klip plastik 25x16 100 pcs</v>
      </c>
      <c r="P1237">
        <f>IF(OR(M1237="",N1237=""),"",SUMIFS('Barang Keluar'!$E:$E,'Barang Keluar'!$A:$A,M1237,'Barang Keluar'!$C:$C,N1237))</f>
        <v>0</v>
      </c>
    </row>
    <row r="1238" spans="13:16">
      <c r="M1238" s="49">
        <f>IF($A$4+12&gt;$B$4,"",$A$4+12)</f>
        <v>46035</v>
      </c>
      <c r="N1238" t="str">
        <f>IF(M1238="","",'Master Barang'!A32)</f>
        <v>PRL-031</v>
      </c>
      <c r="O1238" t="str">
        <f>IF(N1238="","",'Master Barang'!B32)</f>
        <v>tempat saus 20 ml</v>
      </c>
      <c r="P1238">
        <f>IF(OR(M1238="",N1238=""),"",SUMIFS('Barang Keluar'!$E:$E,'Barang Keluar'!$A:$A,M1238,'Barang Keluar'!$C:$C,N1238))</f>
        <v>0</v>
      </c>
    </row>
    <row r="1239" spans="13:16">
      <c r="M1239" s="49">
        <f>IF($A$4+12&gt;$B$4,"",$A$4+12)</f>
        <v>46035</v>
      </c>
      <c r="N1239" t="str">
        <f>IF(M1239="","",'Master Barang'!A33)</f>
        <v>PRL-032</v>
      </c>
      <c r="O1239" t="str">
        <f>IF(N1239="","",'Master Barang'!B33)</f>
        <v>plastik packaging ag box uk sedang</v>
      </c>
      <c r="P1239">
        <f>IF(OR(M1239="",N1239=""),"",SUMIFS('Barang Keluar'!$E:$E,'Barang Keluar'!$A:$A,M1239,'Barang Keluar'!$C:$C,N1239))</f>
        <v>0</v>
      </c>
    </row>
    <row r="1240" spans="13:16">
      <c r="M1240" s="49">
        <f>IF($A$4+12&gt;$B$4,"",$A$4+12)</f>
        <v>46035</v>
      </c>
      <c r="N1240" t="str">
        <f>IF(M1240="","",'Master Barang'!A34)</f>
        <v>PRL-033</v>
      </c>
      <c r="O1240">
        <f>IF(N1240="","",'Master Barang'!B34)</f>
        <v>0</v>
      </c>
      <c r="P1240">
        <f>IF(OR(M1240="",N1240=""),"",SUMIFS('Barang Keluar'!$E:$E,'Barang Keluar'!$A:$A,M1240,'Barang Keluar'!$C:$C,N1240))</f>
        <v>0</v>
      </c>
    </row>
    <row r="1241" spans="13:16">
      <c r="M1241" s="49">
        <f>IF($A$4+12&gt;$B$4,"",$A$4+12)</f>
        <v>46035</v>
      </c>
      <c r="N1241">
        <f>IF(M1241="","",'Master Barang'!A35)</f>
        <v>0</v>
      </c>
      <c r="O1241">
        <f>IF(N1241="","",'Master Barang'!B35)</f>
        <v>0</v>
      </c>
      <c r="P1241">
        <f>IF(OR(M1241="",N1241=""),"",SUMIFS('Barang Keluar'!$E:$E,'Barang Keluar'!$A:$A,M1241,'Barang Keluar'!$C:$C,N1241))</f>
        <v>0</v>
      </c>
    </row>
    <row r="1242" spans="13:16">
      <c r="M1242" s="49">
        <f>IF($A$4+12&gt;$B$4,"",$A$4+12)</f>
        <v>46035</v>
      </c>
      <c r="N1242">
        <f>IF(M1242="","",'Master Barang'!A36)</f>
        <v>0</v>
      </c>
      <c r="O1242">
        <f>IF(N1242="","",'Master Barang'!B36)</f>
        <v>0</v>
      </c>
      <c r="P1242">
        <f>IF(OR(M1242="",N1242=""),"",SUMIFS('Barang Keluar'!$E:$E,'Barang Keluar'!$A:$A,M1242,'Barang Keluar'!$C:$C,N1242))</f>
        <v>0</v>
      </c>
    </row>
    <row r="1243" spans="13:16">
      <c r="M1243" s="49">
        <f>IF($A$4+12&gt;$B$4,"",$A$4+12)</f>
        <v>46035</v>
      </c>
      <c r="N1243">
        <f>IF(M1243="","",'Master Barang'!A37)</f>
        <v>0</v>
      </c>
      <c r="O1243">
        <f>IF(N1243="","",'Master Barang'!B37)</f>
        <v>0</v>
      </c>
      <c r="P1243">
        <f>IF(OR(M1243="",N1243=""),"",SUMIFS('Barang Keluar'!$E:$E,'Barang Keluar'!$A:$A,M1243,'Barang Keluar'!$C:$C,N1243))</f>
        <v>0</v>
      </c>
    </row>
    <row r="1244" spans="13:16">
      <c r="M1244" s="49">
        <f>IF($A$4+12&gt;$B$4,"",$A$4+12)</f>
        <v>46035</v>
      </c>
      <c r="N1244">
        <f>IF(M1244="","",'Master Barang'!A38)</f>
        <v>0</v>
      </c>
      <c r="O1244">
        <f>IF(N1244="","",'Master Barang'!B38)</f>
        <v>0</v>
      </c>
      <c r="P1244">
        <f>IF(OR(M1244="",N1244=""),"",SUMIFS('Barang Keluar'!$E:$E,'Barang Keluar'!$A:$A,M1244,'Barang Keluar'!$C:$C,N1244))</f>
        <v>0</v>
      </c>
    </row>
    <row r="1245" spans="13:16">
      <c r="M1245" s="49">
        <f>IF($A$4+12&gt;$B$4,"",$A$4+12)</f>
        <v>46035</v>
      </c>
      <c r="N1245">
        <f>IF(M1245="","",'Master Barang'!A39)</f>
        <v>0</v>
      </c>
      <c r="O1245">
        <f>IF(N1245="","",'Master Barang'!B39)</f>
        <v>0</v>
      </c>
      <c r="P1245">
        <f>IF(OR(M1245="",N1245=""),"",SUMIFS('Barang Keluar'!$E:$E,'Barang Keluar'!$A:$A,M1245,'Barang Keluar'!$C:$C,N1245))</f>
        <v>0</v>
      </c>
    </row>
    <row r="1246" spans="13:16">
      <c r="M1246" s="49">
        <f>IF($A$4+12&gt;$B$4,"",$A$4+12)</f>
        <v>46035</v>
      </c>
      <c r="N1246">
        <f>IF(M1246="","",'Master Barang'!A40)</f>
        <v>0</v>
      </c>
      <c r="O1246">
        <f>IF(N1246="","",'Master Barang'!B40)</f>
        <v>0</v>
      </c>
      <c r="P1246">
        <f>IF(OR(M1246="",N1246=""),"",SUMIFS('Barang Keluar'!$E:$E,'Barang Keluar'!$A:$A,M1246,'Barang Keluar'!$C:$C,N1246))</f>
        <v>0</v>
      </c>
    </row>
    <row r="1247" spans="13:16">
      <c r="M1247" s="49">
        <f>IF($A$4+12&gt;$B$4,"",$A$4+12)</f>
        <v>46035</v>
      </c>
      <c r="N1247">
        <f>IF(M1247="","",'Master Barang'!A41)</f>
        <v>0</v>
      </c>
      <c r="O1247">
        <f>IF(N1247="","",'Master Barang'!B41)</f>
        <v>0</v>
      </c>
      <c r="P1247">
        <f>IF(OR(M1247="",N1247=""),"",SUMIFS('Barang Keluar'!$E:$E,'Barang Keluar'!$A:$A,M1247,'Barang Keluar'!$C:$C,N1247))</f>
        <v>0</v>
      </c>
    </row>
    <row r="1248" spans="13:16">
      <c r="M1248" s="49">
        <f>IF($A$4+12&gt;$B$4,"",$A$4+12)</f>
        <v>46035</v>
      </c>
      <c r="N1248">
        <f>IF(M1248="","",'Master Barang'!A42)</f>
        <v>0</v>
      </c>
      <c r="O1248">
        <f>IF(N1248="","",'Master Barang'!B42)</f>
        <v>0</v>
      </c>
      <c r="P1248">
        <f>IF(OR(M1248="",N1248=""),"",SUMIFS('Barang Keluar'!$E:$E,'Barang Keluar'!$A:$A,M1248,'Barang Keluar'!$C:$C,N1248))</f>
        <v>0</v>
      </c>
    </row>
    <row r="1249" spans="13:16">
      <c r="M1249" s="49">
        <f>IF($A$4+12&gt;$B$4,"",$A$4+12)</f>
        <v>46035</v>
      </c>
      <c r="N1249">
        <f>IF(M1249="","",'Master Barang'!A43)</f>
        <v>0</v>
      </c>
      <c r="O1249">
        <f>IF(N1249="","",'Master Barang'!B43)</f>
        <v>0</v>
      </c>
      <c r="P1249">
        <f>IF(OR(M1249="",N1249=""),"",SUMIFS('Barang Keluar'!$E:$E,'Barang Keluar'!$A:$A,M1249,'Barang Keluar'!$C:$C,N1249))</f>
        <v>0</v>
      </c>
    </row>
    <row r="1250" spans="13:16">
      <c r="M1250" s="49">
        <f>IF($A$4+12&gt;$B$4,"",$A$4+12)</f>
        <v>46035</v>
      </c>
      <c r="N1250">
        <f>IF(M1250="","",'Master Barang'!A44)</f>
        <v>0</v>
      </c>
      <c r="O1250">
        <f>IF(N1250="","",'Master Barang'!B44)</f>
        <v>0</v>
      </c>
      <c r="P1250">
        <f>IF(OR(M1250="",N1250=""),"",SUMIFS('Barang Keluar'!$E:$E,'Barang Keluar'!$A:$A,M1250,'Barang Keluar'!$C:$C,N1250))</f>
        <v>0</v>
      </c>
    </row>
    <row r="1251" spans="13:16">
      <c r="M1251" s="49">
        <f>IF($A$4+12&gt;$B$4,"",$A$4+12)</f>
        <v>46035</v>
      </c>
      <c r="N1251">
        <f>IF(M1251="","",'Master Barang'!A45)</f>
        <v>0</v>
      </c>
      <c r="O1251">
        <f>IF(N1251="","",'Master Barang'!B45)</f>
        <v>0</v>
      </c>
      <c r="P1251">
        <f>IF(OR(M1251="",N1251=""),"",SUMIFS('Barang Keluar'!$E:$E,'Barang Keluar'!$A:$A,M1251,'Barang Keluar'!$C:$C,N1251))</f>
        <v>0</v>
      </c>
    </row>
    <row r="1252" spans="13:16">
      <c r="M1252" s="49">
        <f>IF($A$4+12&gt;$B$4,"",$A$4+12)</f>
        <v>46035</v>
      </c>
      <c r="N1252">
        <f>IF(M1252="","",'Master Barang'!A46)</f>
        <v>0</v>
      </c>
      <c r="O1252">
        <f>IF(N1252="","",'Master Barang'!B46)</f>
        <v>0</v>
      </c>
      <c r="P1252">
        <f>IF(OR(M1252="",N1252=""),"",SUMIFS('Barang Keluar'!$E:$E,'Barang Keluar'!$A:$A,M1252,'Barang Keluar'!$C:$C,N1252))</f>
        <v>0</v>
      </c>
    </row>
    <row r="1253" spans="13:16">
      <c r="M1253" s="49">
        <f>IF($A$4+12&gt;$B$4,"",$A$4+12)</f>
        <v>46035</v>
      </c>
      <c r="N1253">
        <f>IF(M1253="","",'Master Barang'!A47)</f>
        <v>0</v>
      </c>
      <c r="O1253">
        <f>IF(N1253="","",'Master Barang'!B47)</f>
        <v>0</v>
      </c>
      <c r="P1253">
        <f>IF(OR(M1253="",N1253=""),"",SUMIFS('Barang Keluar'!$E:$E,'Barang Keluar'!$A:$A,M1253,'Barang Keluar'!$C:$C,N1253))</f>
        <v>0</v>
      </c>
    </row>
    <row r="1254" spans="13:16">
      <c r="M1254" s="49">
        <f>IF($A$4+12&gt;$B$4,"",$A$4+12)</f>
        <v>46035</v>
      </c>
      <c r="N1254">
        <f>IF(M1254="","",'Master Barang'!A48)</f>
        <v>0</v>
      </c>
      <c r="O1254">
        <f>IF(N1254="","",'Master Barang'!B48)</f>
        <v>0</v>
      </c>
      <c r="P1254">
        <f>IF(OR(M1254="",N1254=""),"",SUMIFS('Barang Keluar'!$E:$E,'Barang Keluar'!$A:$A,M1254,'Barang Keluar'!$C:$C,N1254))</f>
        <v>0</v>
      </c>
    </row>
    <row r="1255" spans="13:16">
      <c r="M1255" s="49">
        <f>IF($A$4+12&gt;$B$4,"",$A$4+12)</f>
        <v>46035</v>
      </c>
      <c r="N1255">
        <f>IF(M1255="","",'Master Barang'!A49)</f>
        <v>0</v>
      </c>
      <c r="O1255">
        <f>IF(N1255="","",'Master Barang'!B49)</f>
        <v>0</v>
      </c>
      <c r="P1255">
        <f>IF(OR(M1255="",N1255=""),"",SUMIFS('Barang Keluar'!$E:$E,'Barang Keluar'!$A:$A,M1255,'Barang Keluar'!$C:$C,N1255))</f>
        <v>0</v>
      </c>
    </row>
    <row r="1256" spans="13:16">
      <c r="M1256" s="49">
        <f>IF($A$4+12&gt;$B$4,"",$A$4+12)</f>
        <v>46035</v>
      </c>
      <c r="N1256">
        <f>IF(M1256="","",'Master Barang'!A50)</f>
        <v>0</v>
      </c>
      <c r="O1256">
        <f>IF(N1256="","",'Master Barang'!B50)</f>
        <v>0</v>
      </c>
      <c r="P1256">
        <f>IF(OR(M1256="",N1256=""),"",SUMIFS('Barang Keluar'!$E:$E,'Barang Keluar'!$A:$A,M1256,'Barang Keluar'!$C:$C,N1256))</f>
        <v>0</v>
      </c>
    </row>
    <row r="1257" spans="13:16">
      <c r="M1257" s="49">
        <f>IF($A$4+12&gt;$B$4,"",$A$4+12)</f>
        <v>46035</v>
      </c>
      <c r="N1257">
        <f>IF(M1257="","",'Master Barang'!A51)</f>
        <v>0</v>
      </c>
      <c r="O1257">
        <f>IF(N1257="","",'Master Barang'!B51)</f>
        <v>0</v>
      </c>
      <c r="P1257">
        <f>IF(OR(M1257="",N1257=""),"",SUMIFS('Barang Keluar'!$E:$E,'Barang Keluar'!$A:$A,M1257,'Barang Keluar'!$C:$C,N1257))</f>
        <v>0</v>
      </c>
    </row>
    <row r="1258" spans="13:16">
      <c r="M1258" s="49">
        <f>IF($A$4+12&gt;$B$4,"",$A$4+12)</f>
        <v>46035</v>
      </c>
      <c r="N1258">
        <f>IF(M1258="","",'Master Barang'!A52)</f>
        <v>0</v>
      </c>
      <c r="O1258">
        <f>IF(N1258="","",'Master Barang'!B52)</f>
        <v>0</v>
      </c>
      <c r="P1258">
        <f>IF(OR(M1258="",N1258=""),"",SUMIFS('Barang Keluar'!$E:$E,'Barang Keluar'!$A:$A,M1258,'Barang Keluar'!$C:$C,N1258))</f>
        <v>0</v>
      </c>
    </row>
    <row r="1259" spans="13:16">
      <c r="M1259" s="49">
        <f>IF($A$4+12&gt;$B$4,"",$A$4+12)</f>
        <v>46035</v>
      </c>
      <c r="N1259">
        <f>IF(M1259="","",'Master Barang'!A53)</f>
        <v>0</v>
      </c>
      <c r="O1259">
        <f>IF(N1259="","",'Master Barang'!B53)</f>
        <v>0</v>
      </c>
      <c r="P1259">
        <f>IF(OR(M1259="",N1259=""),"",SUMIFS('Barang Keluar'!$E:$E,'Barang Keluar'!$A:$A,M1259,'Barang Keluar'!$C:$C,N1259))</f>
        <v>0</v>
      </c>
    </row>
    <row r="1260" spans="13:16">
      <c r="M1260" s="49">
        <f>IF($A$4+12&gt;$B$4,"",$A$4+12)</f>
        <v>46035</v>
      </c>
      <c r="N1260">
        <f>IF(M1260="","",'Master Barang'!A54)</f>
        <v>0</v>
      </c>
      <c r="O1260">
        <f>IF(N1260="","",'Master Barang'!B54)</f>
        <v>0</v>
      </c>
      <c r="P1260">
        <f>IF(OR(M1260="",N1260=""),"",SUMIFS('Barang Keluar'!$E:$E,'Barang Keluar'!$A:$A,M1260,'Barang Keluar'!$C:$C,N1260))</f>
        <v>0</v>
      </c>
    </row>
    <row r="1261" spans="13:16">
      <c r="M1261" s="49">
        <f>IF($A$4+12&gt;$B$4,"",$A$4+12)</f>
        <v>46035</v>
      </c>
      <c r="N1261">
        <f>IF(M1261="","",'Master Barang'!A55)</f>
        <v>0</v>
      </c>
      <c r="O1261">
        <f>IF(N1261="","",'Master Barang'!B55)</f>
        <v>0</v>
      </c>
      <c r="P1261">
        <f>IF(OR(M1261="",N1261=""),"",SUMIFS('Barang Keluar'!$E:$E,'Barang Keluar'!$A:$A,M1261,'Barang Keluar'!$C:$C,N1261))</f>
        <v>0</v>
      </c>
    </row>
    <row r="1262" spans="13:16">
      <c r="M1262" s="49">
        <f>IF($A$4+12&gt;$B$4,"",$A$4+12)</f>
        <v>46035</v>
      </c>
      <c r="N1262">
        <f>IF(M1262="","",'Master Barang'!A56)</f>
        <v>0</v>
      </c>
      <c r="O1262">
        <f>IF(N1262="","",'Master Barang'!B56)</f>
        <v>0</v>
      </c>
      <c r="P1262">
        <f>IF(OR(M1262="",N1262=""),"",SUMIFS('Barang Keluar'!$E:$E,'Barang Keluar'!$A:$A,M1262,'Barang Keluar'!$C:$C,N1262))</f>
        <v>0</v>
      </c>
    </row>
    <row r="1263" spans="13:16">
      <c r="M1263" s="49">
        <f>IF($A$4+12&gt;$B$4,"",$A$4+12)</f>
        <v>46035</v>
      </c>
      <c r="N1263">
        <f>IF(M1263="","",'Master Barang'!A57)</f>
        <v>0</v>
      </c>
      <c r="O1263">
        <f>IF(N1263="","",'Master Barang'!B57)</f>
        <v>0</v>
      </c>
      <c r="P1263">
        <f>IF(OR(M1263="",N1263=""),"",SUMIFS('Barang Keluar'!$E:$E,'Barang Keluar'!$A:$A,M1263,'Barang Keluar'!$C:$C,N1263))</f>
        <v>0</v>
      </c>
    </row>
    <row r="1264" spans="13:16">
      <c r="M1264" s="49">
        <f>IF($A$4+12&gt;$B$4,"",$A$4+12)</f>
        <v>46035</v>
      </c>
      <c r="N1264">
        <f>IF(M1264="","",'Master Barang'!A58)</f>
        <v>0</v>
      </c>
      <c r="O1264">
        <f>IF(N1264="","",'Master Barang'!B58)</f>
        <v>0</v>
      </c>
      <c r="P1264">
        <f>IF(OR(M1264="",N1264=""),"",SUMIFS('Barang Keluar'!$E:$E,'Barang Keluar'!$A:$A,M1264,'Barang Keluar'!$C:$C,N1264))</f>
        <v>0</v>
      </c>
    </row>
    <row r="1265" spans="13:16">
      <c r="M1265" s="49">
        <f>IF($A$4+12&gt;$B$4,"",$A$4+12)</f>
        <v>46035</v>
      </c>
      <c r="N1265">
        <f>IF(M1265="","",'Master Barang'!A59)</f>
        <v>0</v>
      </c>
      <c r="O1265">
        <f>IF(N1265="","",'Master Barang'!B59)</f>
        <v>0</v>
      </c>
      <c r="P1265">
        <f>IF(OR(M1265="",N1265=""),"",SUMIFS('Barang Keluar'!$E:$E,'Barang Keluar'!$A:$A,M1265,'Barang Keluar'!$C:$C,N1265))</f>
        <v>0</v>
      </c>
    </row>
    <row r="1266" spans="13:16">
      <c r="M1266" s="49">
        <f>IF($A$4+12&gt;$B$4,"",$A$4+12)</f>
        <v>46035</v>
      </c>
      <c r="N1266">
        <f>IF(M1266="","",'Master Barang'!A60)</f>
        <v>0</v>
      </c>
      <c r="O1266">
        <f>IF(N1266="","",'Master Barang'!B60)</f>
        <v>0</v>
      </c>
      <c r="P1266">
        <f>IF(OR(M1266="",N1266=""),"",SUMIFS('Barang Keluar'!$E:$E,'Barang Keluar'!$A:$A,M1266,'Barang Keluar'!$C:$C,N1266))</f>
        <v>0</v>
      </c>
    </row>
    <row r="1267" spans="13:16">
      <c r="M1267" s="49">
        <f>IF($A$4+12&gt;$B$4,"",$A$4+12)</f>
        <v>46035</v>
      </c>
      <c r="N1267">
        <f>IF(M1267="","",'Master Barang'!A61)</f>
        <v>0</v>
      </c>
      <c r="O1267">
        <f>IF(N1267="","",'Master Barang'!B61)</f>
        <v>0</v>
      </c>
      <c r="P1267">
        <f>IF(OR(M1267="",N1267=""),"",SUMIFS('Barang Keluar'!$E:$E,'Barang Keluar'!$A:$A,M1267,'Barang Keluar'!$C:$C,N1267))</f>
        <v>0</v>
      </c>
    </row>
    <row r="1268" spans="13:16">
      <c r="M1268" s="49">
        <f>IF($A$4+12&gt;$B$4,"",$A$4+12)</f>
        <v>46035</v>
      </c>
      <c r="N1268">
        <f>IF(M1268="","",'Master Barang'!A62)</f>
        <v>0</v>
      </c>
      <c r="O1268">
        <f>IF(N1268="","",'Master Barang'!B62)</f>
        <v>0</v>
      </c>
      <c r="P1268">
        <f>IF(OR(M1268="",N1268=""),"",SUMIFS('Barang Keluar'!$E:$E,'Barang Keluar'!$A:$A,M1268,'Barang Keluar'!$C:$C,N1268))</f>
        <v>0</v>
      </c>
    </row>
    <row r="1269" spans="13:16">
      <c r="M1269" s="49">
        <f>IF($A$4+12&gt;$B$4,"",$A$4+12)</f>
        <v>46035</v>
      </c>
      <c r="N1269">
        <f>IF(M1269="","",'Master Barang'!A63)</f>
        <v>0</v>
      </c>
      <c r="O1269">
        <f>IF(N1269="","",'Master Barang'!B63)</f>
        <v>0</v>
      </c>
      <c r="P1269">
        <f>IF(OR(M1269="",N1269=""),"",SUMIFS('Barang Keluar'!$E:$E,'Barang Keluar'!$A:$A,M1269,'Barang Keluar'!$C:$C,N1269))</f>
        <v>0</v>
      </c>
    </row>
    <row r="1270" spans="13:16">
      <c r="M1270" s="49">
        <f>IF($A$4+12&gt;$B$4,"",$A$4+12)</f>
        <v>46035</v>
      </c>
      <c r="N1270">
        <f>IF(M1270="","",'Master Barang'!A64)</f>
        <v>0</v>
      </c>
      <c r="O1270">
        <f>IF(N1270="","",'Master Barang'!B64)</f>
        <v>0</v>
      </c>
      <c r="P1270">
        <f>IF(OR(M1270="",N1270=""),"",SUMIFS('Barang Keluar'!$E:$E,'Barang Keluar'!$A:$A,M1270,'Barang Keluar'!$C:$C,N1270))</f>
        <v>0</v>
      </c>
    </row>
    <row r="1271" spans="13:16">
      <c r="M1271" s="49">
        <f>IF($A$4+12&gt;$B$4,"",$A$4+12)</f>
        <v>46035</v>
      </c>
      <c r="N1271">
        <f>IF(M1271="","",'Master Barang'!A65)</f>
        <v>0</v>
      </c>
      <c r="O1271">
        <f>IF(N1271="","",'Master Barang'!B65)</f>
        <v>0</v>
      </c>
      <c r="P1271">
        <f>IF(OR(M1271="",N1271=""),"",SUMIFS('Barang Keluar'!$E:$E,'Barang Keluar'!$A:$A,M1271,'Barang Keluar'!$C:$C,N1271))</f>
        <v>0</v>
      </c>
    </row>
    <row r="1272" spans="13:16">
      <c r="M1272" s="49">
        <f>IF($A$4+12&gt;$B$4,"",$A$4+12)</f>
        <v>46035</v>
      </c>
      <c r="N1272">
        <f>IF(M1272="","",'Master Barang'!A66)</f>
        <v>0</v>
      </c>
      <c r="O1272">
        <f>IF(N1272="","",'Master Barang'!B66)</f>
        <v>0</v>
      </c>
      <c r="P1272">
        <f>IF(OR(M1272="",N1272=""),"",SUMIFS('Barang Keluar'!$E:$E,'Barang Keluar'!$A:$A,M1272,'Barang Keluar'!$C:$C,N1272))</f>
        <v>0</v>
      </c>
    </row>
    <row r="1273" spans="13:16">
      <c r="M1273" s="49">
        <f>IF($A$4+12&gt;$B$4,"",$A$4+12)</f>
        <v>46035</v>
      </c>
      <c r="N1273">
        <f>IF(M1273="","",'Master Barang'!A67)</f>
        <v>0</v>
      </c>
      <c r="O1273">
        <f>IF(N1273="","",'Master Barang'!B67)</f>
        <v>0</v>
      </c>
      <c r="P1273">
        <f>IF(OR(M1273="",N1273=""),"",SUMIFS('Barang Keluar'!$E:$E,'Barang Keluar'!$A:$A,M1273,'Barang Keluar'!$C:$C,N1273))</f>
        <v>0</v>
      </c>
    </row>
    <row r="1274" spans="13:16">
      <c r="M1274" s="49">
        <f>IF($A$4+12&gt;$B$4,"",$A$4+12)</f>
        <v>46035</v>
      </c>
      <c r="N1274">
        <f>IF(M1274="","",'Master Barang'!A68)</f>
        <v>0</v>
      </c>
      <c r="O1274">
        <f>IF(N1274="","",'Master Barang'!B68)</f>
        <v>0</v>
      </c>
      <c r="P1274">
        <f>IF(OR(M1274="",N1274=""),"",SUMIFS('Barang Keluar'!$E:$E,'Barang Keluar'!$A:$A,M1274,'Barang Keluar'!$C:$C,N1274))</f>
        <v>0</v>
      </c>
    </row>
    <row r="1275" spans="13:16">
      <c r="M1275" s="49">
        <f>IF($A$4+12&gt;$B$4,"",$A$4+12)</f>
        <v>46035</v>
      </c>
      <c r="N1275">
        <f>IF(M1275="","",'Master Barang'!A69)</f>
        <v>0</v>
      </c>
      <c r="O1275">
        <f>IF(N1275="","",'Master Barang'!B69)</f>
        <v>0</v>
      </c>
      <c r="P1275">
        <f>IF(OR(M1275="",N1275=""),"",SUMIFS('Barang Keluar'!$E:$E,'Barang Keluar'!$A:$A,M1275,'Barang Keluar'!$C:$C,N1275))</f>
        <v>0</v>
      </c>
    </row>
    <row r="1276" spans="13:16">
      <c r="M1276" s="49">
        <f>IF($A$4+12&gt;$B$4,"",$A$4+12)</f>
        <v>46035</v>
      </c>
      <c r="N1276">
        <f>IF(M1276="","",'Master Barang'!A70)</f>
        <v>0</v>
      </c>
      <c r="O1276">
        <f>IF(N1276="","",'Master Barang'!B70)</f>
        <v>0</v>
      </c>
      <c r="P1276">
        <f>IF(OR(M1276="",N1276=""),"",SUMIFS('Barang Keluar'!$E:$E,'Barang Keluar'!$A:$A,M1276,'Barang Keluar'!$C:$C,N1276))</f>
        <v>0</v>
      </c>
    </row>
    <row r="1277" spans="13:16">
      <c r="M1277" s="49">
        <f>IF($A$4+12&gt;$B$4,"",$A$4+12)</f>
        <v>46035</v>
      </c>
      <c r="N1277">
        <f>IF(M1277="","",'Master Barang'!A71)</f>
        <v>0</v>
      </c>
      <c r="O1277">
        <f>IF(N1277="","",'Master Barang'!B71)</f>
        <v>0</v>
      </c>
      <c r="P1277">
        <f>IF(OR(M1277="",N1277=""),"",SUMIFS('Barang Keluar'!$E:$E,'Barang Keluar'!$A:$A,M1277,'Barang Keluar'!$C:$C,N1277))</f>
        <v>0</v>
      </c>
    </row>
    <row r="1278" spans="13:16">
      <c r="M1278" s="49">
        <f>IF($A$4+12&gt;$B$4,"",$A$4+12)</f>
        <v>46035</v>
      </c>
      <c r="N1278">
        <f>IF(M1278="","",'Master Barang'!A72)</f>
        <v>0</v>
      </c>
      <c r="O1278">
        <f>IF(N1278="","",'Master Barang'!B72)</f>
        <v>0</v>
      </c>
      <c r="P1278">
        <f>IF(OR(M1278="",N1278=""),"",SUMIFS('Barang Keluar'!$E:$E,'Barang Keluar'!$A:$A,M1278,'Barang Keluar'!$C:$C,N1278))</f>
        <v>0</v>
      </c>
    </row>
    <row r="1279" spans="13:16">
      <c r="M1279" s="49">
        <f>IF($A$4+12&gt;$B$4,"",$A$4+12)</f>
        <v>46035</v>
      </c>
      <c r="N1279">
        <f>IF(M1279="","",'Master Barang'!A73)</f>
        <v>0</v>
      </c>
      <c r="O1279">
        <f>IF(N1279="","",'Master Barang'!B73)</f>
        <v>0</v>
      </c>
      <c r="P1279">
        <f>IF(OR(M1279="",N1279=""),"",SUMIFS('Barang Keluar'!$E:$E,'Barang Keluar'!$A:$A,M1279,'Barang Keluar'!$C:$C,N1279))</f>
        <v>0</v>
      </c>
    </row>
    <row r="1280" spans="13:16">
      <c r="M1280" s="49">
        <f>IF($A$4+12&gt;$B$4,"",$A$4+12)</f>
        <v>46035</v>
      </c>
      <c r="N1280">
        <f>IF(M1280="","",'Master Barang'!A74)</f>
        <v>0</v>
      </c>
      <c r="O1280">
        <f>IF(N1280="","",'Master Barang'!B74)</f>
        <v>0</v>
      </c>
      <c r="P1280">
        <f>IF(OR(M1280="",N1280=""),"",SUMIFS('Barang Keluar'!$E:$E,'Barang Keluar'!$A:$A,M1280,'Barang Keluar'!$C:$C,N1280))</f>
        <v>0</v>
      </c>
    </row>
    <row r="1281" spans="13:16">
      <c r="M1281" s="49">
        <f>IF($A$4+12&gt;$B$4,"",$A$4+12)</f>
        <v>46035</v>
      </c>
      <c r="N1281">
        <f>IF(M1281="","",'Master Barang'!A75)</f>
        <v>0</v>
      </c>
      <c r="O1281">
        <f>IF(N1281="","",'Master Barang'!B75)</f>
        <v>0</v>
      </c>
      <c r="P1281">
        <f>IF(OR(M1281="",N1281=""),"",SUMIFS('Barang Keluar'!$E:$E,'Barang Keluar'!$A:$A,M1281,'Barang Keluar'!$C:$C,N1281))</f>
        <v>0</v>
      </c>
    </row>
    <row r="1282" spans="13:16">
      <c r="M1282" s="49">
        <f>IF($A$4+12&gt;$B$4,"",$A$4+12)</f>
        <v>46035</v>
      </c>
      <c r="N1282">
        <f>IF(M1282="","",'Master Barang'!A76)</f>
        <v>0</v>
      </c>
      <c r="O1282">
        <f>IF(N1282="","",'Master Barang'!B76)</f>
        <v>0</v>
      </c>
      <c r="P1282">
        <f>IF(OR(M1282="",N1282=""),"",SUMIFS('Barang Keluar'!$E:$E,'Barang Keluar'!$A:$A,M1282,'Barang Keluar'!$C:$C,N1282))</f>
        <v>0</v>
      </c>
    </row>
    <row r="1283" spans="13:16">
      <c r="M1283" s="49">
        <f>IF($A$4+12&gt;$B$4,"",$A$4+12)</f>
        <v>46035</v>
      </c>
      <c r="N1283">
        <f>IF(M1283="","",'Master Barang'!A77)</f>
        <v>0</v>
      </c>
      <c r="O1283">
        <f>IF(N1283="","",'Master Barang'!B77)</f>
        <v>0</v>
      </c>
      <c r="P1283">
        <f>IF(OR(M1283="",N1283=""),"",SUMIFS('Barang Keluar'!$E:$E,'Barang Keluar'!$A:$A,M1283,'Barang Keluar'!$C:$C,N1283))</f>
        <v>0</v>
      </c>
    </row>
    <row r="1284" spans="13:16">
      <c r="M1284" s="49">
        <f>IF($A$4+12&gt;$B$4,"",$A$4+12)</f>
        <v>46035</v>
      </c>
      <c r="N1284">
        <f>IF(M1284="","",'Master Barang'!A78)</f>
        <v>0</v>
      </c>
      <c r="O1284">
        <f>IF(N1284="","",'Master Barang'!B78)</f>
        <v>0</v>
      </c>
      <c r="P1284">
        <f>IF(OR(M1284="",N1284=""),"",SUMIFS('Barang Keluar'!$E:$E,'Barang Keluar'!$A:$A,M1284,'Barang Keluar'!$C:$C,N1284))</f>
        <v>0</v>
      </c>
    </row>
    <row r="1285" spans="13:16">
      <c r="M1285" s="49">
        <f>IF($A$4+12&gt;$B$4,"",$A$4+12)</f>
        <v>46035</v>
      </c>
      <c r="N1285">
        <f>IF(M1285="","",'Master Barang'!A79)</f>
        <v>0</v>
      </c>
      <c r="O1285">
        <f>IF(N1285="","",'Master Barang'!B79)</f>
        <v>0</v>
      </c>
      <c r="P1285">
        <f>IF(OR(M1285="",N1285=""),"",SUMIFS('Barang Keluar'!$E:$E,'Barang Keluar'!$A:$A,M1285,'Barang Keluar'!$C:$C,N1285))</f>
        <v>0</v>
      </c>
    </row>
    <row r="1286" spans="13:16">
      <c r="M1286" s="49">
        <f>IF($A$4+12&gt;$B$4,"",$A$4+12)</f>
        <v>46035</v>
      </c>
      <c r="N1286">
        <f>IF(M1286="","",'Master Barang'!A80)</f>
        <v>0</v>
      </c>
      <c r="O1286">
        <f>IF(N1286="","",'Master Barang'!B80)</f>
        <v>0</v>
      </c>
      <c r="P1286">
        <f>IF(OR(M1286="",N1286=""),"",SUMIFS('Barang Keluar'!$E:$E,'Barang Keluar'!$A:$A,M1286,'Barang Keluar'!$C:$C,N1286))</f>
        <v>0</v>
      </c>
    </row>
    <row r="1287" spans="13:16">
      <c r="M1287" s="49">
        <f>IF($A$4+12&gt;$B$4,"",$A$4+12)</f>
        <v>46035</v>
      </c>
      <c r="N1287">
        <f>IF(M1287="","",'Master Barang'!A81)</f>
        <v>0</v>
      </c>
      <c r="O1287">
        <f>IF(N1287="","",'Master Barang'!B81)</f>
        <v>0</v>
      </c>
      <c r="P1287">
        <f>IF(OR(M1287="",N1287=""),"",SUMIFS('Barang Keluar'!$E:$E,'Barang Keluar'!$A:$A,M1287,'Barang Keluar'!$C:$C,N1287))</f>
        <v>0</v>
      </c>
    </row>
    <row r="1288" spans="13:16">
      <c r="M1288" s="49">
        <f>IF($A$4+12&gt;$B$4,"",$A$4+12)</f>
        <v>46035</v>
      </c>
      <c r="N1288">
        <f>IF(M1288="","",'Master Barang'!A82)</f>
        <v>0</v>
      </c>
      <c r="O1288">
        <f>IF(N1288="","",'Master Barang'!B82)</f>
        <v>0</v>
      </c>
      <c r="P1288">
        <f>IF(OR(M1288="",N1288=""),"",SUMIFS('Barang Keluar'!$E:$E,'Barang Keluar'!$A:$A,M1288,'Barang Keluar'!$C:$C,N1288))</f>
        <v>0</v>
      </c>
    </row>
    <row r="1289" spans="13:16">
      <c r="M1289" s="49">
        <f>IF($A$4+12&gt;$B$4,"",$A$4+12)</f>
        <v>46035</v>
      </c>
      <c r="N1289">
        <f>IF(M1289="","",'Master Barang'!A83)</f>
        <v>0</v>
      </c>
      <c r="O1289">
        <f>IF(N1289="","",'Master Barang'!B83)</f>
        <v>0</v>
      </c>
      <c r="P1289">
        <f>IF(OR(M1289="",N1289=""),"",SUMIFS('Barang Keluar'!$E:$E,'Barang Keluar'!$A:$A,M1289,'Barang Keluar'!$C:$C,N1289))</f>
        <v>0</v>
      </c>
    </row>
    <row r="1290" spans="13:16">
      <c r="M1290" s="49">
        <f>IF($A$4+12&gt;$B$4,"",$A$4+12)</f>
        <v>46035</v>
      </c>
      <c r="N1290">
        <f>IF(M1290="","",'Master Barang'!A84)</f>
        <v>0</v>
      </c>
      <c r="O1290">
        <f>IF(N1290="","",'Master Barang'!B84)</f>
        <v>0</v>
      </c>
      <c r="P1290">
        <f>IF(OR(M1290="",N1290=""),"",SUMIFS('Barang Keluar'!$E:$E,'Barang Keluar'!$A:$A,M1290,'Barang Keluar'!$C:$C,N1290))</f>
        <v>0</v>
      </c>
    </row>
    <row r="1291" spans="13:16">
      <c r="M1291" s="49">
        <f>IF($A$4+12&gt;$B$4,"",$A$4+12)</f>
        <v>46035</v>
      </c>
      <c r="N1291">
        <f>IF(M1291="","",'Master Barang'!A85)</f>
        <v>0</v>
      </c>
      <c r="O1291">
        <f>IF(N1291="","",'Master Barang'!B85)</f>
        <v>0</v>
      </c>
      <c r="P1291">
        <f>IF(OR(M1291="",N1291=""),"",SUMIFS('Barang Keluar'!$E:$E,'Barang Keluar'!$A:$A,M1291,'Barang Keluar'!$C:$C,N1291))</f>
        <v>0</v>
      </c>
    </row>
    <row r="1292" spans="13:16">
      <c r="M1292" s="49">
        <f>IF($A$4+12&gt;$B$4,"",$A$4+12)</f>
        <v>46035</v>
      </c>
      <c r="N1292">
        <f>IF(M1292="","",'Master Barang'!A86)</f>
        <v>0</v>
      </c>
      <c r="O1292">
        <f>IF(N1292="","",'Master Barang'!B86)</f>
        <v>0</v>
      </c>
      <c r="P1292">
        <f>IF(OR(M1292="",N1292=""),"",SUMIFS('Barang Keluar'!$E:$E,'Barang Keluar'!$A:$A,M1292,'Barang Keluar'!$C:$C,N1292))</f>
        <v>0</v>
      </c>
    </row>
    <row r="1293" spans="13:16">
      <c r="M1293" s="49">
        <f>IF($A$4+12&gt;$B$4,"",$A$4+12)</f>
        <v>46035</v>
      </c>
      <c r="N1293">
        <f>IF(M1293="","",'Master Barang'!A87)</f>
        <v>0</v>
      </c>
      <c r="O1293">
        <f>IF(N1293="","",'Master Barang'!B87)</f>
        <v>0</v>
      </c>
      <c r="P1293">
        <f>IF(OR(M1293="",N1293=""),"",SUMIFS('Barang Keluar'!$E:$E,'Barang Keluar'!$A:$A,M1293,'Barang Keluar'!$C:$C,N1293))</f>
        <v>0</v>
      </c>
    </row>
    <row r="1294" spans="13:16">
      <c r="M1294" s="49">
        <f>IF($A$4+12&gt;$B$4,"",$A$4+12)</f>
        <v>46035</v>
      </c>
      <c r="N1294">
        <f>IF(M1294="","",'Master Barang'!A88)</f>
        <v>0</v>
      </c>
      <c r="O1294">
        <f>IF(N1294="","",'Master Barang'!B88)</f>
        <v>0</v>
      </c>
      <c r="P1294">
        <f>IF(OR(M1294="",N1294=""),"",SUMIFS('Barang Keluar'!$E:$E,'Barang Keluar'!$A:$A,M1294,'Barang Keluar'!$C:$C,N1294))</f>
        <v>0</v>
      </c>
    </row>
    <row r="1295" spans="13:16">
      <c r="M1295" s="49">
        <f>IF($A$4+12&gt;$B$4,"",$A$4+12)</f>
        <v>46035</v>
      </c>
      <c r="N1295">
        <f>IF(M1295="","",'Master Barang'!A89)</f>
        <v>0</v>
      </c>
      <c r="O1295">
        <f>IF(N1295="","",'Master Barang'!B89)</f>
        <v>0</v>
      </c>
      <c r="P1295">
        <f>IF(OR(M1295="",N1295=""),"",SUMIFS('Barang Keluar'!$E:$E,'Barang Keluar'!$A:$A,M1295,'Barang Keluar'!$C:$C,N1295))</f>
        <v>0</v>
      </c>
    </row>
    <row r="1296" spans="13:16">
      <c r="M1296" s="49">
        <f>IF($A$4+12&gt;$B$4,"",$A$4+12)</f>
        <v>46035</v>
      </c>
      <c r="N1296">
        <f>IF(M1296="","",'Master Barang'!A90)</f>
        <v>0</v>
      </c>
      <c r="O1296">
        <f>IF(N1296="","",'Master Barang'!B90)</f>
        <v>0</v>
      </c>
      <c r="P1296">
        <f>IF(OR(M1296="",N1296=""),"",SUMIFS('Barang Keluar'!$E:$E,'Barang Keluar'!$A:$A,M1296,'Barang Keluar'!$C:$C,N1296))</f>
        <v>0</v>
      </c>
    </row>
    <row r="1297" spans="13:16">
      <c r="M1297" s="49">
        <f>IF($A$4+12&gt;$B$4,"",$A$4+12)</f>
        <v>46035</v>
      </c>
      <c r="N1297">
        <f>IF(M1297="","",'Master Barang'!A91)</f>
        <v>0</v>
      </c>
      <c r="O1297">
        <f>IF(N1297="","",'Master Barang'!B91)</f>
        <v>0</v>
      </c>
      <c r="P1297">
        <f>IF(OR(M1297="",N1297=""),"",SUMIFS('Barang Keluar'!$E:$E,'Barang Keluar'!$A:$A,M1297,'Barang Keluar'!$C:$C,N1297))</f>
        <v>0</v>
      </c>
    </row>
    <row r="1298" spans="13:16">
      <c r="M1298" s="49">
        <f>IF($A$4+12&gt;$B$4,"",$A$4+12)</f>
        <v>46035</v>
      </c>
      <c r="N1298">
        <f>IF(M1298="","",'Master Barang'!A92)</f>
        <v>0</v>
      </c>
      <c r="O1298">
        <f>IF(N1298="","",'Master Barang'!B92)</f>
        <v>0</v>
      </c>
      <c r="P1298">
        <f>IF(OR(M1298="",N1298=""),"",SUMIFS('Barang Keluar'!$E:$E,'Barang Keluar'!$A:$A,M1298,'Barang Keluar'!$C:$C,N1298))</f>
        <v>0</v>
      </c>
    </row>
    <row r="1299" spans="13:16">
      <c r="M1299" s="49">
        <f>IF($A$4+12&gt;$B$4,"",$A$4+12)</f>
        <v>46035</v>
      </c>
      <c r="N1299">
        <f>IF(M1299="","",'Master Barang'!A93)</f>
        <v>0</v>
      </c>
      <c r="O1299">
        <f>IF(N1299="","",'Master Barang'!B93)</f>
        <v>0</v>
      </c>
      <c r="P1299">
        <f>IF(OR(M1299="",N1299=""),"",SUMIFS('Barang Keluar'!$E:$E,'Barang Keluar'!$A:$A,M1299,'Barang Keluar'!$C:$C,N1299))</f>
        <v>0</v>
      </c>
    </row>
    <row r="1300" spans="13:16">
      <c r="M1300" s="49">
        <f>IF($A$4+12&gt;$B$4,"",$A$4+12)</f>
        <v>46035</v>
      </c>
      <c r="N1300">
        <f>IF(M1300="","",'Master Barang'!A94)</f>
        <v>0</v>
      </c>
      <c r="O1300">
        <f>IF(N1300="","",'Master Barang'!B94)</f>
        <v>0</v>
      </c>
      <c r="P1300">
        <f>IF(OR(M1300="",N1300=""),"",SUMIFS('Barang Keluar'!$E:$E,'Barang Keluar'!$A:$A,M1300,'Barang Keluar'!$C:$C,N1300))</f>
        <v>0</v>
      </c>
    </row>
    <row r="1301" spans="13:16">
      <c r="M1301" s="49">
        <f>IF($A$4+12&gt;$B$4,"",$A$4+12)</f>
        <v>46035</v>
      </c>
      <c r="N1301">
        <f>IF(M1301="","",'Master Barang'!A95)</f>
        <v>0</v>
      </c>
      <c r="O1301">
        <f>IF(N1301="","",'Master Barang'!B95)</f>
        <v>0</v>
      </c>
      <c r="P1301">
        <f>IF(OR(M1301="",N1301=""),"",SUMIFS('Barang Keluar'!$E:$E,'Barang Keluar'!$A:$A,M1301,'Barang Keluar'!$C:$C,N1301))</f>
        <v>0</v>
      </c>
    </row>
    <row r="1302" spans="13:16">
      <c r="M1302" s="49">
        <f>IF($A$4+12&gt;$B$4,"",$A$4+12)</f>
        <v>46035</v>
      </c>
      <c r="N1302">
        <f>IF(M1302="","",'Master Barang'!A96)</f>
        <v>0</v>
      </c>
      <c r="O1302">
        <f>IF(N1302="","",'Master Barang'!B96)</f>
        <v>0</v>
      </c>
      <c r="P1302">
        <f>IF(OR(M1302="",N1302=""),"",SUMIFS('Barang Keluar'!$E:$E,'Barang Keluar'!$A:$A,M1302,'Barang Keluar'!$C:$C,N1302))</f>
        <v>0</v>
      </c>
    </row>
    <row r="1303" spans="13:16">
      <c r="M1303" s="49">
        <f>IF($A$4+12&gt;$B$4,"",$A$4+12)</f>
        <v>46035</v>
      </c>
      <c r="N1303">
        <f>IF(M1303="","",'Master Barang'!A97)</f>
        <v>0</v>
      </c>
      <c r="O1303">
        <f>IF(N1303="","",'Master Barang'!B97)</f>
        <v>0</v>
      </c>
      <c r="P1303">
        <f>IF(OR(M1303="",N1303=""),"",SUMIFS('Barang Keluar'!$E:$E,'Barang Keluar'!$A:$A,M1303,'Barang Keluar'!$C:$C,N1303))</f>
        <v>0</v>
      </c>
    </row>
    <row r="1304" spans="13:16">
      <c r="M1304" s="49">
        <f>IF($A$4+12&gt;$B$4,"",$A$4+12)</f>
        <v>46035</v>
      </c>
      <c r="N1304">
        <f>IF(M1304="","",'Master Barang'!A98)</f>
        <v>0</v>
      </c>
      <c r="O1304">
        <f>IF(N1304="","",'Master Barang'!B98)</f>
        <v>0</v>
      </c>
      <c r="P1304">
        <f>IF(OR(M1304="",N1304=""),"",SUMIFS('Barang Keluar'!$E:$E,'Barang Keluar'!$A:$A,M1304,'Barang Keluar'!$C:$C,N1304))</f>
        <v>0</v>
      </c>
    </row>
    <row r="1305" spans="13:16">
      <c r="M1305" s="49">
        <f>IF($A$4+12&gt;$B$4,"",$A$4+12)</f>
        <v>46035</v>
      </c>
      <c r="N1305">
        <f>IF(M1305="","",'Master Barang'!A99)</f>
        <v>0</v>
      </c>
      <c r="O1305">
        <f>IF(N1305="","",'Master Barang'!B99)</f>
        <v>0</v>
      </c>
      <c r="P1305">
        <f>IF(OR(M1305="",N1305=""),"",SUMIFS('Barang Keluar'!$E:$E,'Barang Keluar'!$A:$A,M1305,'Barang Keluar'!$C:$C,N1305))</f>
        <v>0</v>
      </c>
    </row>
    <row r="1306" spans="13:16">
      <c r="M1306" s="49">
        <f>IF($A$4+12&gt;$B$4,"",$A$4+12)</f>
        <v>46035</v>
      </c>
      <c r="N1306">
        <f>IF(M1306="","",'Master Barang'!A100)</f>
        <v>0</v>
      </c>
      <c r="O1306">
        <f>IF(N1306="","",'Master Barang'!B100)</f>
        <v>0</v>
      </c>
      <c r="P1306">
        <f>IF(OR(M1306="",N1306=""),"",SUMIFS('Barang Keluar'!$E:$E,'Barang Keluar'!$A:$A,M1306,'Barang Keluar'!$C:$C,N1306))</f>
        <v>0</v>
      </c>
    </row>
    <row r="1307" spans="13:16">
      <c r="M1307" s="49">
        <f>IF($A$4+12&gt;$B$4,"",$A$4+12)</f>
        <v>46035</v>
      </c>
      <c r="N1307">
        <f>IF(M1307="","",'Master Barang'!A101)</f>
        <v>0</v>
      </c>
      <c r="O1307">
        <f>IF(N1307="","",'Master Barang'!B101)</f>
        <v>0</v>
      </c>
      <c r="P1307">
        <f>IF(OR(M1307="",N1307=""),"",SUMIFS('Barang Keluar'!$E:$E,'Barang Keluar'!$A:$A,M1307,'Barang Keluar'!$C:$C,N1307))</f>
        <v>0</v>
      </c>
    </row>
    <row r="1308" spans="13:16">
      <c r="M1308" s="49">
        <f>IF($A$4+13&gt;$B$4,"",$A$4+13)</f>
        <v>46036</v>
      </c>
      <c r="N1308" t="str">
        <f>IF(M1308="","",'Master Barang'!A2)</f>
        <v>PRL-001</v>
      </c>
      <c r="O1308" t="str">
        <f>IF(N1308="","",'Master Barang'!B2)</f>
        <v>natura desinfectant food grade 5l</v>
      </c>
      <c r="P1308">
        <f>IF(OR(M1308="",N1308=""),"",SUMIFS('Barang Keluar'!$E:$E,'Barang Keluar'!$A:$A,M1308,'Barang Keluar'!$C:$C,N1308))</f>
        <v>0</v>
      </c>
    </row>
    <row r="1309" spans="13:16">
      <c r="M1309" s="49">
        <f>IF($A$4+13&gt;$B$4,"",$A$4+13)</f>
        <v>46036</v>
      </c>
      <c r="N1309" t="str">
        <f>IF(M1309="","",'Master Barang'!A3)</f>
        <v>PRL-002</v>
      </c>
      <c r="O1309" t="str">
        <f>IF(N1309="","",'Master Barang'!B3)</f>
        <v>sunlight cairan pencuci piring 5l</v>
      </c>
      <c r="P1309">
        <f>IF(OR(M1309="",N1309=""),"",SUMIFS('Barang Keluar'!$E:$E,'Barang Keluar'!$A:$A,M1309,'Barang Keluar'!$C:$C,N1309))</f>
        <v>0</v>
      </c>
    </row>
    <row r="1310" spans="13:16">
      <c r="M1310" s="49">
        <f>IF($A$4+13&gt;$B$4,"",$A$4+13)</f>
        <v>46036</v>
      </c>
      <c r="N1310" t="str">
        <f>IF(M1310="","",'Master Barang'!A4)</f>
        <v>PRL-003</v>
      </c>
      <c r="O1310" t="str">
        <f>IF(N1310="","",'Master Barang'!B4)</f>
        <v>oixs cleaner 1l</v>
      </c>
      <c r="P1310">
        <f>IF(OR(M1310="",N1310=""),"",SUMIFS('Barang Keluar'!$E:$E,'Barang Keluar'!$A:$A,M1310,'Barang Keluar'!$C:$C,N1310))</f>
        <v>0</v>
      </c>
    </row>
    <row r="1311" spans="13:16">
      <c r="M1311" s="49">
        <f>IF($A$4+13&gt;$B$4,"",$A$4+13)</f>
        <v>46036</v>
      </c>
      <c r="N1311" t="str">
        <f>IF(M1311="","",'Master Barang'!A5)</f>
        <v>PRL-004</v>
      </c>
      <c r="O1311" t="str">
        <f>IF(N1311="","",'Master Barang'!B5)</f>
        <v>be clean tissue serbaguna</v>
      </c>
      <c r="P1311">
        <f>IF(OR(M1311="",N1311=""),"",SUMIFS('Barang Keluar'!$E:$E,'Barang Keluar'!$A:$A,M1311,'Barang Keluar'!$C:$C,N1311))</f>
        <v>0</v>
      </c>
    </row>
    <row r="1312" spans="13:16">
      <c r="M1312" s="49">
        <f>IF($A$4+13&gt;$B$4,"",$A$4+13)</f>
        <v>46036</v>
      </c>
      <c r="N1312" t="str">
        <f>IF(M1312="","",'Master Barang'!A6)</f>
        <v>PRL-005</v>
      </c>
      <c r="O1312" t="str">
        <f>IF(N1312="","",'Master Barang'!B6)</f>
        <v>spons cuci hijau</v>
      </c>
      <c r="P1312">
        <f>IF(OR(M1312="",N1312=""),"",SUMIFS('Barang Keluar'!$E:$E,'Barang Keluar'!$A:$A,M1312,'Barang Keluar'!$C:$C,N1312))</f>
        <v>0</v>
      </c>
    </row>
    <row r="1313" spans="13:16">
      <c r="M1313" s="49">
        <f>IF($A$4+13&gt;$B$4,"",$A$4+13)</f>
        <v>46036</v>
      </c>
      <c r="N1313" t="str">
        <f>IF(M1313="","",'Master Barang'!A7)</f>
        <v>PRL-006</v>
      </c>
      <c r="O1313" t="str">
        <f>IF(N1313="","",'Master Barang'!B7)</f>
        <v>sabut cuci stainless</v>
      </c>
      <c r="P1313">
        <f>IF(OR(M1313="",N1313=""),"",SUMIFS('Barang Keluar'!$E:$E,'Barang Keluar'!$A:$A,M1313,'Barang Keluar'!$C:$C,N1313))</f>
        <v>0</v>
      </c>
    </row>
    <row r="1314" spans="13:16">
      <c r="M1314" s="49">
        <f>IF($A$4+13&gt;$B$4,"",$A$4+13)</f>
        <v>46036</v>
      </c>
      <c r="N1314" t="str">
        <f>IF(M1314="","",'Master Barang'!A8)</f>
        <v>PRL-007</v>
      </c>
      <c r="O1314" t="str">
        <f>IF(N1314="","",'Master Barang'!B8)</f>
        <v>plastik kresek besar merah 50pc</v>
      </c>
      <c r="P1314">
        <f>IF(OR(M1314="",N1314=""),"",SUMIFS('Barang Keluar'!$E:$E,'Barang Keluar'!$A:$A,M1314,'Barang Keluar'!$C:$C,N1314))</f>
        <v>0</v>
      </c>
    </row>
    <row r="1315" spans="13:16">
      <c r="M1315" s="49">
        <f>IF($A$4+13&gt;$B$4,"",$A$4+13)</f>
        <v>46036</v>
      </c>
      <c r="N1315" t="str">
        <f>IF(M1315="","",'Master Barang'!A9)</f>
        <v>PRL-008</v>
      </c>
      <c r="O1315" t="str">
        <f>IF(N1315="","",'Master Barang'!B9)</f>
        <v>lap besar</v>
      </c>
      <c r="P1315">
        <f>IF(OR(M1315="",N1315=""),"",SUMIFS('Barang Keluar'!$E:$E,'Barang Keluar'!$A:$A,M1315,'Barang Keluar'!$C:$C,N1315))</f>
        <v>0</v>
      </c>
    </row>
    <row r="1316" spans="13:16">
      <c r="M1316" s="49">
        <f>IF($A$4+13&gt;$B$4,"",$A$4+13)</f>
        <v>46036</v>
      </c>
      <c r="N1316" t="str">
        <f>IF(M1316="","",'Master Barang'!A10)</f>
        <v>PRL-009</v>
      </c>
      <c r="O1316" t="str">
        <f>IF(N1316="","",'Master Barang'!B10)</f>
        <v>lap microfiber</v>
      </c>
      <c r="P1316">
        <f>IF(OR(M1316="",N1316=""),"",SUMIFS('Barang Keluar'!$E:$E,'Barang Keluar'!$A:$A,M1316,'Barang Keluar'!$C:$C,N1316))</f>
        <v>0</v>
      </c>
    </row>
    <row r="1317" spans="13:16">
      <c r="M1317" s="49">
        <f>IF($A$4+13&gt;$B$4,"",$A$4+13)</f>
        <v>46036</v>
      </c>
      <c r="N1317" t="str">
        <f>IF(M1317="","",'Master Barang'!A11)</f>
        <v>PRL-010</v>
      </c>
      <c r="O1317" t="str">
        <f>IF(N1317="","",'Master Barang'!B11)</f>
        <v>lap kecil</v>
      </c>
      <c r="P1317">
        <f>IF(OR(M1317="",N1317=""),"",SUMIFS('Barang Keluar'!$E:$E,'Barang Keluar'!$A:$A,M1317,'Barang Keluar'!$C:$C,N1317))</f>
        <v>0</v>
      </c>
    </row>
    <row r="1318" spans="13:16">
      <c r="M1318" s="49">
        <f>IF($A$4+13&gt;$B$4,"",$A$4+13)</f>
        <v>46036</v>
      </c>
      <c r="N1318" t="str">
        <f>IF(M1318="","",'Master Barang'!A12)</f>
        <v>PRL-011</v>
      </c>
      <c r="O1318" t="str">
        <f>IF(N1318="","",'Master Barang'!B12)</f>
        <v>kanebo kecil</v>
      </c>
      <c r="P1318">
        <f>IF(OR(M1318="",N1318=""),"",SUMIFS('Barang Keluar'!$E:$E,'Barang Keluar'!$A:$A,M1318,'Barang Keluar'!$C:$C,N1318))</f>
        <v>0</v>
      </c>
    </row>
    <row r="1319" spans="13:16">
      <c r="M1319" s="49">
        <f>IF($A$4+13&gt;$B$4,"",$A$4+13)</f>
        <v>46036</v>
      </c>
      <c r="N1319" t="str">
        <f>IF(M1319="","",'Master Barang'!A13)</f>
        <v>PRL-012</v>
      </c>
      <c r="O1319" t="str">
        <f>IF(N1319="","",'Master Barang'!B13)</f>
        <v>plastik 1/4kg joyoboyo 100 lembar</v>
      </c>
      <c r="P1319">
        <f>IF(OR(M1319="",N1319=""),"",SUMIFS('Barang Keluar'!$E:$E,'Barang Keluar'!$A:$A,M1319,'Barang Keluar'!$C:$C,N1319))</f>
        <v>0</v>
      </c>
    </row>
    <row r="1320" spans="13:16">
      <c r="M1320" s="49">
        <f>IF($A$4+13&gt;$B$4,"",$A$4+13)</f>
        <v>46036</v>
      </c>
      <c r="N1320" t="str">
        <f>IF(M1320="","",'Master Barang'!A14)</f>
        <v>PRL-013</v>
      </c>
      <c r="O1320" t="str">
        <f>IF(N1320="","",'Master Barang'!B14)</f>
        <v>sarung tangan plastik kaka 100 pcs</v>
      </c>
      <c r="P1320">
        <f>IF(OR(M1320="",N1320=""),"",SUMIFS('Barang Keluar'!$E:$E,'Barang Keluar'!$A:$A,M1320,'Barang Keluar'!$C:$C,N1320))</f>
        <v>0</v>
      </c>
    </row>
    <row r="1321" spans="13:16">
      <c r="M1321" s="49">
        <f>IF($A$4+13&gt;$B$4,"",$A$4+13)</f>
        <v>46036</v>
      </c>
      <c r="N1321" t="str">
        <f>IF(M1321="","",'Master Barang'!A15)</f>
        <v>PRL-014</v>
      </c>
      <c r="O1321" t="str">
        <f>IF(N1321="","",'Master Barang'!B15)</f>
        <v>optima trashbag 80x100</v>
      </c>
      <c r="P1321">
        <f>IF(OR(M1321="",N1321=""),"",SUMIFS('Barang Keluar'!$E:$E,'Barang Keluar'!$A:$A,M1321,'Barang Keluar'!$C:$C,N1321))</f>
        <v>0</v>
      </c>
    </row>
    <row r="1322" spans="13:16">
      <c r="M1322" s="49">
        <f>IF($A$4+13&gt;$B$4,"",$A$4+13)</f>
        <v>46036</v>
      </c>
      <c r="N1322" t="str">
        <f>IF(M1322="","",'Master Barang'!A16)</f>
        <v>PRL-015</v>
      </c>
      <c r="O1322" t="str">
        <f>IF(N1322="","",'Master Barang'!B16)</f>
        <v>optima trashbag 60x100</v>
      </c>
      <c r="P1322">
        <f>IF(OR(M1322="",N1322=""),"",SUMIFS('Barang Keluar'!$E:$E,'Barang Keluar'!$A:$A,M1322,'Barang Keluar'!$C:$C,N1322))</f>
        <v>0</v>
      </c>
    </row>
    <row r="1323" spans="13:16">
      <c r="M1323" s="49">
        <f>IF($A$4+13&gt;$B$4,"",$A$4+13)</f>
        <v>46036</v>
      </c>
      <c r="N1323" t="str">
        <f>IF(M1323="","",'Master Barang'!A17)</f>
        <v>PRL-016</v>
      </c>
      <c r="O1323" t="str">
        <f>IF(N1323="","",'Master Barang'!B17)</f>
        <v>rajawali trashbag 30x40</v>
      </c>
      <c r="P1323">
        <f>IF(OR(M1323="",N1323=""),"",SUMIFS('Barang Keluar'!$E:$E,'Barang Keluar'!$A:$A,M1323,'Barang Keluar'!$C:$C,N1323))</f>
        <v>0</v>
      </c>
    </row>
    <row r="1324" spans="13:16">
      <c r="M1324" s="49">
        <f>IF($A$4+13&gt;$B$4,"",$A$4+13)</f>
        <v>46036</v>
      </c>
      <c r="N1324" t="str">
        <f>IF(M1324="","",'Master Barang'!A18)</f>
        <v>PRL-017</v>
      </c>
      <c r="O1324" t="str">
        <f>IF(N1324="","",'Master Barang'!B18)</f>
        <v>onemed masker biru 3 play 50 pcs</v>
      </c>
      <c r="P1324">
        <f>IF(OR(M1324="",N1324=""),"",SUMIFS('Barang Keluar'!$E:$E,'Barang Keluar'!$A:$A,M1324,'Barang Keluar'!$C:$C,N1324))</f>
        <v>0</v>
      </c>
    </row>
    <row r="1325" spans="13:16">
      <c r="M1325" s="49">
        <f>IF($A$4+13&gt;$B$4,"",$A$4+13)</f>
        <v>46036</v>
      </c>
      <c r="N1325" t="str">
        <f>IF(M1325="","",'Master Barang'!A19)</f>
        <v>PRL-018</v>
      </c>
      <c r="O1325" t="str">
        <f>IF(N1325="","",'Master Barang'!B19)</f>
        <v>onemed masker biru 3 play hijab 50 pcs</v>
      </c>
      <c r="P1325">
        <f>IF(OR(M1325="",N1325=""),"",SUMIFS('Barang Keluar'!$E:$E,'Barang Keluar'!$A:$A,M1325,'Barang Keluar'!$C:$C,N1325))</f>
        <v>0</v>
      </c>
    </row>
    <row r="1326" spans="13:16">
      <c r="M1326" s="49">
        <f>IF($A$4+13&gt;$B$4,"",$A$4+13)</f>
        <v>46036</v>
      </c>
      <c r="N1326" t="str">
        <f>IF(M1326="","",'Master Barang'!A20)</f>
        <v>PRL-019</v>
      </c>
      <c r="O1326" t="str">
        <f>IF(N1326="","",'Master Barang'!B20)</f>
        <v>neo health masker biru 3 play 50 pcs</v>
      </c>
      <c r="P1326">
        <f>IF(OR(M1326="",N1326=""),"",SUMIFS('Barang Keluar'!$E:$E,'Barang Keluar'!$A:$A,M1326,'Barang Keluar'!$C:$C,N1326))</f>
        <v>0</v>
      </c>
    </row>
    <row r="1327" spans="13:16">
      <c r="M1327" s="49">
        <f>IF($A$4+13&gt;$B$4,"",$A$4+13)</f>
        <v>46036</v>
      </c>
      <c r="N1327" t="str">
        <f>IF(M1327="","",'Master Barang'!A21)</f>
        <v>PRL-020</v>
      </c>
      <c r="O1327" t="str">
        <f>IF(N1327="","",'Master Barang'!B21)</f>
        <v>baymed masker hijau 3 play hijau 50 pcs</v>
      </c>
      <c r="P1327">
        <f>IF(OR(M1327="",N1327=""),"",SUMIFS('Barang Keluar'!$E:$E,'Barang Keluar'!$A:$A,M1327,'Barang Keluar'!$C:$C,N1327))</f>
        <v>0</v>
      </c>
    </row>
    <row r="1328" spans="13:16">
      <c r="M1328" s="49">
        <f>IF($A$4+13&gt;$B$4,"",$A$4+13)</f>
        <v>46036</v>
      </c>
      <c r="N1328" t="str">
        <f>IF(M1328="","",'Master Barang'!A22)</f>
        <v>PRL-021</v>
      </c>
      <c r="O1328" t="str">
        <f>IF(N1328="","",'Master Barang'!B22)</f>
        <v>altamed nurse cap penutup kepala 100 pcs</v>
      </c>
      <c r="P1328">
        <f>IF(OR(M1328="",N1328=""),"",SUMIFS('Barang Keluar'!$E:$E,'Barang Keluar'!$A:$A,M1328,'Barang Keluar'!$C:$C,N1328))</f>
        <v>0</v>
      </c>
    </row>
    <row r="1329" spans="13:16">
      <c r="M1329" s="49">
        <f>IF($A$4+13&gt;$B$4,"",$A$4+13)</f>
        <v>46036</v>
      </c>
      <c r="N1329" t="str">
        <f>IF(M1329="","",'Master Barang'!A23)</f>
        <v>PRL-022</v>
      </c>
      <c r="O1329" t="str">
        <f>IF(N1329="","",'Master Barang'!B23)</f>
        <v>sabun cuci tangan</v>
      </c>
      <c r="P1329">
        <f>IF(OR(M1329="",N1329=""),"",SUMIFS('Barang Keluar'!$E:$E,'Barang Keluar'!$A:$A,M1329,'Barang Keluar'!$C:$C,N1329))</f>
        <v>0</v>
      </c>
    </row>
    <row r="1330" spans="13:16">
      <c r="M1330" s="49">
        <f>IF($A$4+13&gt;$B$4,"",$A$4+13)</f>
        <v>46036</v>
      </c>
      <c r="N1330" t="str">
        <f>IF(M1330="","",'Master Barang'!A24)</f>
        <v>PRL-023</v>
      </c>
      <c r="O1330" t="str">
        <f>IF(N1330="","",'Master Barang'!B24)</f>
        <v>gayung kecil</v>
      </c>
      <c r="P1330">
        <f>IF(OR(M1330="",N1330=""),"",SUMIFS('Barang Keluar'!$E:$E,'Barang Keluar'!$A:$A,M1330,'Barang Keluar'!$C:$C,N1330))</f>
        <v>0</v>
      </c>
    </row>
    <row r="1331" spans="13:16">
      <c r="M1331" s="49">
        <f>IF($A$4+13&gt;$B$4,"",$A$4+13)</f>
        <v>46036</v>
      </c>
      <c r="N1331" t="str">
        <f>IF(M1331="","",'Master Barang'!A25)</f>
        <v>PRL-024</v>
      </c>
      <c r="O1331" t="str">
        <f>IF(N1331="","",'Master Barang'!B25)</f>
        <v>cikrak kecil</v>
      </c>
      <c r="P1331">
        <f>IF(OR(M1331="",N1331=""),"",SUMIFS('Barang Keluar'!$E:$E,'Barang Keluar'!$A:$A,M1331,'Barang Keluar'!$C:$C,N1331))</f>
        <v>0</v>
      </c>
    </row>
    <row r="1332" spans="13:16">
      <c r="M1332" s="49">
        <f>IF($A$4+13&gt;$B$4,"",$A$4+13)</f>
        <v>46036</v>
      </c>
      <c r="N1332" t="str">
        <f>IF(M1332="","",'Master Barang'!A26)</f>
        <v>PRL-025</v>
      </c>
      <c r="O1332" t="str">
        <f>IF(N1332="","",'Master Barang'!B26)</f>
        <v>petromax plastik kecil 12x24 100 lembar</v>
      </c>
      <c r="P1332">
        <f>IF(OR(M1332="",N1332=""),"",SUMIFS('Barang Keluar'!$E:$E,'Barang Keluar'!$A:$A,M1332,'Barang Keluar'!$C:$C,N1332))</f>
        <v>0</v>
      </c>
    </row>
    <row r="1333" spans="13:16">
      <c r="M1333" s="49">
        <f>IF($A$4+13&gt;$B$4,"",$A$4+13)</f>
        <v>46036</v>
      </c>
      <c r="N1333" t="str">
        <f>IF(M1333="","",'Master Barang'!A27)</f>
        <v>PRL-026</v>
      </c>
      <c r="O1333" t="str">
        <f>IF(N1333="","",'Master Barang'!B27)</f>
        <v>lancar kresek kecil bening </v>
      </c>
      <c r="P1333">
        <f>IF(OR(M1333="",N1333=""),"",SUMIFS('Barang Keluar'!$E:$E,'Barang Keluar'!$A:$A,M1333,'Barang Keluar'!$C:$C,N1333))</f>
        <v>0</v>
      </c>
    </row>
    <row r="1334" spans="13:16">
      <c r="M1334" s="49">
        <f>IF($A$4+13&gt;$B$4,"",$A$4+13)</f>
        <v>46036</v>
      </c>
      <c r="N1334" t="str">
        <f>IF(M1334="","",'Master Barang'!A28)</f>
        <v>PRL-027</v>
      </c>
      <c r="O1334" t="str">
        <f>IF(N1334="","",'Master Barang'!B28)</f>
        <v>kresek klin warna warni kecil</v>
      </c>
      <c r="P1334">
        <f>IF(OR(M1334="",N1334=""),"",SUMIFS('Barang Keluar'!$E:$E,'Barang Keluar'!$A:$A,M1334,'Barang Keluar'!$C:$C,N1334))</f>
        <v>0</v>
      </c>
    </row>
    <row r="1335" spans="13:16">
      <c r="M1335" s="49">
        <f>IF($A$4+13&gt;$B$4,"",$A$4+13)</f>
        <v>46036</v>
      </c>
      <c r="N1335" t="str">
        <f>IF(M1335="","",'Master Barang'!A29)</f>
        <v>PRL-028</v>
      </c>
      <c r="O1335" t="str">
        <f>IF(N1335="","",'Master Barang'!B29)</f>
        <v>ctik plastik 7x10 100 pcs</v>
      </c>
      <c r="P1335">
        <f>IF(OR(M1335="",N1335=""),"",SUMIFS('Barang Keluar'!$E:$E,'Barang Keluar'!$A:$A,M1335,'Barang Keluar'!$C:$C,N1335))</f>
        <v>0</v>
      </c>
    </row>
    <row r="1336" spans="13:16">
      <c r="M1336" s="49">
        <f>IF($A$4+13&gt;$B$4,"",$A$4+13)</f>
        <v>46036</v>
      </c>
      <c r="N1336" t="str">
        <f>IF(M1336="","",'Master Barang'!A30)</f>
        <v>PRL-029</v>
      </c>
      <c r="O1336" t="str">
        <f>IF(N1336="","",'Master Barang'!B30)</f>
        <v>ctik plastik 6x10 100 pcs</v>
      </c>
      <c r="P1336">
        <f>IF(OR(M1336="",N1336=""),"",SUMIFS('Barang Keluar'!$E:$E,'Barang Keluar'!$A:$A,M1336,'Barang Keluar'!$C:$C,N1336))</f>
        <v>0</v>
      </c>
    </row>
    <row r="1337" spans="13:16">
      <c r="M1337" s="49">
        <f>IF($A$4+13&gt;$B$4,"",$A$4+13)</f>
        <v>46036</v>
      </c>
      <c r="N1337" t="str">
        <f>IF(M1337="","",'Master Barang'!A31)</f>
        <v>PRL-030</v>
      </c>
      <c r="O1337" t="str">
        <f>IF(N1337="","",'Master Barang'!B31)</f>
        <v>klip plastik 25x16 100 pcs</v>
      </c>
      <c r="P1337">
        <f>IF(OR(M1337="",N1337=""),"",SUMIFS('Barang Keluar'!$E:$E,'Barang Keluar'!$A:$A,M1337,'Barang Keluar'!$C:$C,N1337))</f>
        <v>0</v>
      </c>
    </row>
    <row r="1338" spans="13:16">
      <c r="M1338" s="49">
        <f>IF($A$4+13&gt;$B$4,"",$A$4+13)</f>
        <v>46036</v>
      </c>
      <c r="N1338" t="str">
        <f>IF(M1338="","",'Master Barang'!A32)</f>
        <v>PRL-031</v>
      </c>
      <c r="O1338" t="str">
        <f>IF(N1338="","",'Master Barang'!B32)</f>
        <v>tempat saus 20 ml</v>
      </c>
      <c r="P1338">
        <f>IF(OR(M1338="",N1338=""),"",SUMIFS('Barang Keluar'!$E:$E,'Barang Keluar'!$A:$A,M1338,'Barang Keluar'!$C:$C,N1338))</f>
        <v>0</v>
      </c>
    </row>
    <row r="1339" spans="13:16">
      <c r="M1339" s="49">
        <f>IF($A$4+13&gt;$B$4,"",$A$4+13)</f>
        <v>46036</v>
      </c>
      <c r="N1339" t="str">
        <f>IF(M1339="","",'Master Barang'!A33)</f>
        <v>PRL-032</v>
      </c>
      <c r="O1339" t="str">
        <f>IF(N1339="","",'Master Barang'!B33)</f>
        <v>plastik packaging ag box uk sedang</v>
      </c>
      <c r="P1339">
        <f>IF(OR(M1339="",N1339=""),"",SUMIFS('Barang Keluar'!$E:$E,'Barang Keluar'!$A:$A,M1339,'Barang Keluar'!$C:$C,N1339))</f>
        <v>0</v>
      </c>
    </row>
    <row r="1340" spans="13:16">
      <c r="M1340" s="49">
        <f>IF($A$4+13&gt;$B$4,"",$A$4+13)</f>
        <v>46036</v>
      </c>
      <c r="N1340" t="str">
        <f>IF(M1340="","",'Master Barang'!A34)</f>
        <v>PRL-033</v>
      </c>
      <c r="O1340">
        <f>IF(N1340="","",'Master Barang'!B34)</f>
        <v>0</v>
      </c>
      <c r="P1340">
        <f>IF(OR(M1340="",N1340=""),"",SUMIFS('Barang Keluar'!$E:$E,'Barang Keluar'!$A:$A,M1340,'Barang Keluar'!$C:$C,N1340))</f>
        <v>0</v>
      </c>
    </row>
    <row r="1341" spans="13:16">
      <c r="M1341" s="49">
        <f>IF($A$4+13&gt;$B$4,"",$A$4+13)</f>
        <v>46036</v>
      </c>
      <c r="N1341">
        <f>IF(M1341="","",'Master Barang'!A35)</f>
        <v>0</v>
      </c>
      <c r="O1341">
        <f>IF(N1341="","",'Master Barang'!B35)</f>
        <v>0</v>
      </c>
      <c r="P1341">
        <f>IF(OR(M1341="",N1341=""),"",SUMIFS('Barang Keluar'!$E:$E,'Barang Keluar'!$A:$A,M1341,'Barang Keluar'!$C:$C,N1341))</f>
        <v>0</v>
      </c>
    </row>
    <row r="1342" spans="13:16">
      <c r="M1342" s="49">
        <f>IF($A$4+13&gt;$B$4,"",$A$4+13)</f>
        <v>46036</v>
      </c>
      <c r="N1342">
        <f>IF(M1342="","",'Master Barang'!A36)</f>
        <v>0</v>
      </c>
      <c r="O1342">
        <f>IF(N1342="","",'Master Barang'!B36)</f>
        <v>0</v>
      </c>
      <c r="P1342">
        <f>IF(OR(M1342="",N1342=""),"",SUMIFS('Barang Keluar'!$E:$E,'Barang Keluar'!$A:$A,M1342,'Barang Keluar'!$C:$C,N1342))</f>
        <v>0</v>
      </c>
    </row>
    <row r="1343" spans="13:16">
      <c r="M1343" s="49">
        <f>IF($A$4+13&gt;$B$4,"",$A$4+13)</f>
        <v>46036</v>
      </c>
      <c r="N1343">
        <f>IF(M1343="","",'Master Barang'!A37)</f>
        <v>0</v>
      </c>
      <c r="O1343">
        <f>IF(N1343="","",'Master Barang'!B37)</f>
        <v>0</v>
      </c>
      <c r="P1343">
        <f>IF(OR(M1343="",N1343=""),"",SUMIFS('Barang Keluar'!$E:$E,'Barang Keluar'!$A:$A,M1343,'Barang Keluar'!$C:$C,N1343))</f>
        <v>0</v>
      </c>
    </row>
    <row r="1344" spans="13:16">
      <c r="M1344" s="49">
        <f>IF($A$4+13&gt;$B$4,"",$A$4+13)</f>
        <v>46036</v>
      </c>
      <c r="N1344">
        <f>IF(M1344="","",'Master Barang'!A38)</f>
        <v>0</v>
      </c>
      <c r="O1344">
        <f>IF(N1344="","",'Master Barang'!B38)</f>
        <v>0</v>
      </c>
      <c r="P1344">
        <f>IF(OR(M1344="",N1344=""),"",SUMIFS('Barang Keluar'!$E:$E,'Barang Keluar'!$A:$A,M1344,'Barang Keluar'!$C:$C,N1344))</f>
        <v>0</v>
      </c>
    </row>
    <row r="1345" spans="13:16">
      <c r="M1345" s="49">
        <f>IF($A$4+13&gt;$B$4,"",$A$4+13)</f>
        <v>46036</v>
      </c>
      <c r="N1345">
        <f>IF(M1345="","",'Master Barang'!A39)</f>
        <v>0</v>
      </c>
      <c r="O1345">
        <f>IF(N1345="","",'Master Barang'!B39)</f>
        <v>0</v>
      </c>
      <c r="P1345">
        <f>IF(OR(M1345="",N1345=""),"",SUMIFS('Barang Keluar'!$E:$E,'Barang Keluar'!$A:$A,M1345,'Barang Keluar'!$C:$C,N1345))</f>
        <v>0</v>
      </c>
    </row>
    <row r="1346" spans="13:16">
      <c r="M1346" s="49">
        <f>IF($A$4+13&gt;$B$4,"",$A$4+13)</f>
        <v>46036</v>
      </c>
      <c r="N1346">
        <f>IF(M1346="","",'Master Barang'!A40)</f>
        <v>0</v>
      </c>
      <c r="O1346">
        <f>IF(N1346="","",'Master Barang'!B40)</f>
        <v>0</v>
      </c>
      <c r="P1346">
        <f>IF(OR(M1346="",N1346=""),"",SUMIFS('Barang Keluar'!$E:$E,'Barang Keluar'!$A:$A,M1346,'Barang Keluar'!$C:$C,N1346))</f>
        <v>0</v>
      </c>
    </row>
    <row r="1347" spans="13:16">
      <c r="M1347" s="49">
        <f>IF($A$4+13&gt;$B$4,"",$A$4+13)</f>
        <v>46036</v>
      </c>
      <c r="N1347">
        <f>IF(M1347="","",'Master Barang'!A41)</f>
        <v>0</v>
      </c>
      <c r="O1347">
        <f>IF(N1347="","",'Master Barang'!B41)</f>
        <v>0</v>
      </c>
      <c r="P1347">
        <f>IF(OR(M1347="",N1347=""),"",SUMIFS('Barang Keluar'!$E:$E,'Barang Keluar'!$A:$A,M1347,'Barang Keluar'!$C:$C,N1347))</f>
        <v>0</v>
      </c>
    </row>
    <row r="1348" spans="13:16">
      <c r="M1348" s="49">
        <f>IF($A$4+13&gt;$B$4,"",$A$4+13)</f>
        <v>46036</v>
      </c>
      <c r="N1348">
        <f>IF(M1348="","",'Master Barang'!A42)</f>
        <v>0</v>
      </c>
      <c r="O1348">
        <f>IF(N1348="","",'Master Barang'!B42)</f>
        <v>0</v>
      </c>
      <c r="P1348">
        <f>IF(OR(M1348="",N1348=""),"",SUMIFS('Barang Keluar'!$E:$E,'Barang Keluar'!$A:$A,M1348,'Barang Keluar'!$C:$C,N1348))</f>
        <v>0</v>
      </c>
    </row>
    <row r="1349" spans="13:16">
      <c r="M1349" s="49">
        <f>IF($A$4+13&gt;$B$4,"",$A$4+13)</f>
        <v>46036</v>
      </c>
      <c r="N1349">
        <f>IF(M1349="","",'Master Barang'!A43)</f>
        <v>0</v>
      </c>
      <c r="O1349">
        <f>IF(N1349="","",'Master Barang'!B43)</f>
        <v>0</v>
      </c>
      <c r="P1349">
        <f>IF(OR(M1349="",N1349=""),"",SUMIFS('Barang Keluar'!$E:$E,'Barang Keluar'!$A:$A,M1349,'Barang Keluar'!$C:$C,N1349))</f>
        <v>0</v>
      </c>
    </row>
    <row r="1350" spans="13:16">
      <c r="M1350" s="49">
        <f>IF($A$4+13&gt;$B$4,"",$A$4+13)</f>
        <v>46036</v>
      </c>
      <c r="N1350">
        <f>IF(M1350="","",'Master Barang'!A44)</f>
        <v>0</v>
      </c>
      <c r="O1350">
        <f>IF(N1350="","",'Master Barang'!B44)</f>
        <v>0</v>
      </c>
      <c r="P1350">
        <f>IF(OR(M1350="",N1350=""),"",SUMIFS('Barang Keluar'!$E:$E,'Barang Keluar'!$A:$A,M1350,'Barang Keluar'!$C:$C,N1350))</f>
        <v>0</v>
      </c>
    </row>
    <row r="1351" spans="13:16">
      <c r="M1351" s="49">
        <f>IF($A$4+13&gt;$B$4,"",$A$4+13)</f>
        <v>46036</v>
      </c>
      <c r="N1351">
        <f>IF(M1351="","",'Master Barang'!A45)</f>
        <v>0</v>
      </c>
      <c r="O1351">
        <f>IF(N1351="","",'Master Barang'!B45)</f>
        <v>0</v>
      </c>
      <c r="P1351">
        <f>IF(OR(M1351="",N1351=""),"",SUMIFS('Barang Keluar'!$E:$E,'Barang Keluar'!$A:$A,M1351,'Barang Keluar'!$C:$C,N1351))</f>
        <v>0</v>
      </c>
    </row>
    <row r="1352" spans="13:16">
      <c r="M1352" s="49">
        <f>IF($A$4+13&gt;$B$4,"",$A$4+13)</f>
        <v>46036</v>
      </c>
      <c r="N1352">
        <f>IF(M1352="","",'Master Barang'!A46)</f>
        <v>0</v>
      </c>
      <c r="O1352">
        <f>IF(N1352="","",'Master Barang'!B46)</f>
        <v>0</v>
      </c>
      <c r="P1352">
        <f>IF(OR(M1352="",N1352=""),"",SUMIFS('Barang Keluar'!$E:$E,'Barang Keluar'!$A:$A,M1352,'Barang Keluar'!$C:$C,N1352))</f>
        <v>0</v>
      </c>
    </row>
    <row r="1353" spans="13:16">
      <c r="M1353" s="49">
        <f>IF($A$4+13&gt;$B$4,"",$A$4+13)</f>
        <v>46036</v>
      </c>
      <c r="N1353">
        <f>IF(M1353="","",'Master Barang'!A47)</f>
        <v>0</v>
      </c>
      <c r="O1353">
        <f>IF(N1353="","",'Master Barang'!B47)</f>
        <v>0</v>
      </c>
      <c r="P1353">
        <f>IF(OR(M1353="",N1353=""),"",SUMIFS('Barang Keluar'!$E:$E,'Barang Keluar'!$A:$A,M1353,'Barang Keluar'!$C:$C,N1353))</f>
        <v>0</v>
      </c>
    </row>
    <row r="1354" spans="13:16">
      <c r="M1354" s="49">
        <f>IF($A$4+13&gt;$B$4,"",$A$4+13)</f>
        <v>46036</v>
      </c>
      <c r="N1354">
        <f>IF(M1354="","",'Master Barang'!A48)</f>
        <v>0</v>
      </c>
      <c r="O1354">
        <f>IF(N1354="","",'Master Barang'!B48)</f>
        <v>0</v>
      </c>
      <c r="P1354">
        <f>IF(OR(M1354="",N1354=""),"",SUMIFS('Barang Keluar'!$E:$E,'Barang Keluar'!$A:$A,M1354,'Barang Keluar'!$C:$C,N1354))</f>
        <v>0</v>
      </c>
    </row>
    <row r="1355" spans="13:16">
      <c r="M1355" s="49">
        <f>IF($A$4+13&gt;$B$4,"",$A$4+13)</f>
        <v>46036</v>
      </c>
      <c r="N1355">
        <f>IF(M1355="","",'Master Barang'!A49)</f>
        <v>0</v>
      </c>
      <c r="O1355">
        <f>IF(N1355="","",'Master Barang'!B49)</f>
        <v>0</v>
      </c>
      <c r="P1355">
        <f>IF(OR(M1355="",N1355=""),"",SUMIFS('Barang Keluar'!$E:$E,'Barang Keluar'!$A:$A,M1355,'Barang Keluar'!$C:$C,N1355))</f>
        <v>0</v>
      </c>
    </row>
    <row r="1356" spans="13:16">
      <c r="M1356" s="49">
        <f>IF($A$4+13&gt;$B$4,"",$A$4+13)</f>
        <v>46036</v>
      </c>
      <c r="N1356">
        <f>IF(M1356="","",'Master Barang'!A50)</f>
        <v>0</v>
      </c>
      <c r="O1356">
        <f>IF(N1356="","",'Master Barang'!B50)</f>
        <v>0</v>
      </c>
      <c r="P1356">
        <f>IF(OR(M1356="",N1356=""),"",SUMIFS('Barang Keluar'!$E:$E,'Barang Keluar'!$A:$A,M1356,'Barang Keluar'!$C:$C,N1356))</f>
        <v>0</v>
      </c>
    </row>
    <row r="1357" spans="13:16">
      <c r="M1357" s="49">
        <f>IF($A$4+13&gt;$B$4,"",$A$4+13)</f>
        <v>46036</v>
      </c>
      <c r="N1357">
        <f>IF(M1357="","",'Master Barang'!A51)</f>
        <v>0</v>
      </c>
      <c r="O1357">
        <f>IF(N1357="","",'Master Barang'!B51)</f>
        <v>0</v>
      </c>
      <c r="P1357">
        <f>IF(OR(M1357="",N1357=""),"",SUMIFS('Barang Keluar'!$E:$E,'Barang Keluar'!$A:$A,M1357,'Barang Keluar'!$C:$C,N1357))</f>
        <v>0</v>
      </c>
    </row>
    <row r="1358" spans="13:16">
      <c r="M1358" s="49">
        <f>IF($A$4+13&gt;$B$4,"",$A$4+13)</f>
        <v>46036</v>
      </c>
      <c r="N1358">
        <f>IF(M1358="","",'Master Barang'!A52)</f>
        <v>0</v>
      </c>
      <c r="O1358">
        <f>IF(N1358="","",'Master Barang'!B52)</f>
        <v>0</v>
      </c>
      <c r="P1358">
        <f>IF(OR(M1358="",N1358=""),"",SUMIFS('Barang Keluar'!$E:$E,'Barang Keluar'!$A:$A,M1358,'Barang Keluar'!$C:$C,N1358))</f>
        <v>0</v>
      </c>
    </row>
    <row r="1359" spans="13:16">
      <c r="M1359" s="49">
        <f>IF($A$4+13&gt;$B$4,"",$A$4+13)</f>
        <v>46036</v>
      </c>
      <c r="N1359">
        <f>IF(M1359="","",'Master Barang'!A53)</f>
        <v>0</v>
      </c>
      <c r="O1359">
        <f>IF(N1359="","",'Master Barang'!B53)</f>
        <v>0</v>
      </c>
      <c r="P1359">
        <f>IF(OR(M1359="",N1359=""),"",SUMIFS('Barang Keluar'!$E:$E,'Barang Keluar'!$A:$A,M1359,'Barang Keluar'!$C:$C,N1359))</f>
        <v>0</v>
      </c>
    </row>
    <row r="1360" spans="13:16">
      <c r="M1360" s="49">
        <f>IF($A$4+13&gt;$B$4,"",$A$4+13)</f>
        <v>46036</v>
      </c>
      <c r="N1360">
        <f>IF(M1360="","",'Master Barang'!A54)</f>
        <v>0</v>
      </c>
      <c r="O1360">
        <f>IF(N1360="","",'Master Barang'!B54)</f>
        <v>0</v>
      </c>
      <c r="P1360">
        <f>IF(OR(M1360="",N1360=""),"",SUMIFS('Barang Keluar'!$E:$E,'Barang Keluar'!$A:$A,M1360,'Barang Keluar'!$C:$C,N1360))</f>
        <v>0</v>
      </c>
    </row>
    <row r="1361" spans="13:16">
      <c r="M1361" s="49">
        <f>IF($A$4+13&gt;$B$4,"",$A$4+13)</f>
        <v>46036</v>
      </c>
      <c r="N1361">
        <f>IF(M1361="","",'Master Barang'!A55)</f>
        <v>0</v>
      </c>
      <c r="O1361">
        <f>IF(N1361="","",'Master Barang'!B55)</f>
        <v>0</v>
      </c>
      <c r="P1361">
        <f>IF(OR(M1361="",N1361=""),"",SUMIFS('Barang Keluar'!$E:$E,'Barang Keluar'!$A:$A,M1361,'Barang Keluar'!$C:$C,N1361))</f>
        <v>0</v>
      </c>
    </row>
    <row r="1362" spans="13:16">
      <c r="M1362" s="49">
        <f>IF($A$4+13&gt;$B$4,"",$A$4+13)</f>
        <v>46036</v>
      </c>
      <c r="N1362">
        <f>IF(M1362="","",'Master Barang'!A56)</f>
        <v>0</v>
      </c>
      <c r="O1362">
        <f>IF(N1362="","",'Master Barang'!B56)</f>
        <v>0</v>
      </c>
      <c r="P1362">
        <f>IF(OR(M1362="",N1362=""),"",SUMIFS('Barang Keluar'!$E:$E,'Barang Keluar'!$A:$A,M1362,'Barang Keluar'!$C:$C,N1362))</f>
        <v>0</v>
      </c>
    </row>
    <row r="1363" spans="13:16">
      <c r="M1363" s="49">
        <f>IF($A$4+13&gt;$B$4,"",$A$4+13)</f>
        <v>46036</v>
      </c>
      <c r="N1363">
        <f>IF(M1363="","",'Master Barang'!A57)</f>
        <v>0</v>
      </c>
      <c r="O1363">
        <f>IF(N1363="","",'Master Barang'!B57)</f>
        <v>0</v>
      </c>
      <c r="P1363">
        <f>IF(OR(M1363="",N1363=""),"",SUMIFS('Barang Keluar'!$E:$E,'Barang Keluar'!$A:$A,M1363,'Barang Keluar'!$C:$C,N1363))</f>
        <v>0</v>
      </c>
    </row>
    <row r="1364" spans="13:16">
      <c r="M1364" s="49">
        <f>IF($A$4+13&gt;$B$4,"",$A$4+13)</f>
        <v>46036</v>
      </c>
      <c r="N1364">
        <f>IF(M1364="","",'Master Barang'!A58)</f>
        <v>0</v>
      </c>
      <c r="O1364">
        <f>IF(N1364="","",'Master Barang'!B58)</f>
        <v>0</v>
      </c>
      <c r="P1364">
        <f>IF(OR(M1364="",N1364=""),"",SUMIFS('Barang Keluar'!$E:$E,'Barang Keluar'!$A:$A,M1364,'Barang Keluar'!$C:$C,N1364))</f>
        <v>0</v>
      </c>
    </row>
    <row r="1365" spans="13:16">
      <c r="M1365" s="49">
        <f>IF($A$4+13&gt;$B$4,"",$A$4+13)</f>
        <v>46036</v>
      </c>
      <c r="N1365">
        <f>IF(M1365="","",'Master Barang'!A59)</f>
        <v>0</v>
      </c>
      <c r="O1365">
        <f>IF(N1365="","",'Master Barang'!B59)</f>
        <v>0</v>
      </c>
      <c r="P1365">
        <f>IF(OR(M1365="",N1365=""),"",SUMIFS('Barang Keluar'!$E:$E,'Barang Keluar'!$A:$A,M1365,'Barang Keluar'!$C:$C,N1365))</f>
        <v>0</v>
      </c>
    </row>
    <row r="1366" spans="13:16">
      <c r="M1366" s="49">
        <f>IF($A$4+13&gt;$B$4,"",$A$4+13)</f>
        <v>46036</v>
      </c>
      <c r="N1366">
        <f>IF(M1366="","",'Master Barang'!A60)</f>
        <v>0</v>
      </c>
      <c r="O1366">
        <f>IF(N1366="","",'Master Barang'!B60)</f>
        <v>0</v>
      </c>
      <c r="P1366">
        <f>IF(OR(M1366="",N1366=""),"",SUMIFS('Barang Keluar'!$E:$E,'Barang Keluar'!$A:$A,M1366,'Barang Keluar'!$C:$C,N1366))</f>
        <v>0</v>
      </c>
    </row>
    <row r="1367" spans="13:16">
      <c r="M1367" s="49">
        <f>IF($A$4+13&gt;$B$4,"",$A$4+13)</f>
        <v>46036</v>
      </c>
      <c r="N1367">
        <f>IF(M1367="","",'Master Barang'!A61)</f>
        <v>0</v>
      </c>
      <c r="O1367">
        <f>IF(N1367="","",'Master Barang'!B61)</f>
        <v>0</v>
      </c>
      <c r="P1367">
        <f>IF(OR(M1367="",N1367=""),"",SUMIFS('Barang Keluar'!$E:$E,'Barang Keluar'!$A:$A,M1367,'Barang Keluar'!$C:$C,N1367))</f>
        <v>0</v>
      </c>
    </row>
    <row r="1368" spans="13:16">
      <c r="M1368" s="49">
        <f>IF($A$4+13&gt;$B$4,"",$A$4+13)</f>
        <v>46036</v>
      </c>
      <c r="N1368">
        <f>IF(M1368="","",'Master Barang'!A62)</f>
        <v>0</v>
      </c>
      <c r="O1368">
        <f>IF(N1368="","",'Master Barang'!B62)</f>
        <v>0</v>
      </c>
      <c r="P1368">
        <f>IF(OR(M1368="",N1368=""),"",SUMIFS('Barang Keluar'!$E:$E,'Barang Keluar'!$A:$A,M1368,'Barang Keluar'!$C:$C,N1368))</f>
        <v>0</v>
      </c>
    </row>
    <row r="1369" spans="13:16">
      <c r="M1369" s="49">
        <f>IF($A$4+13&gt;$B$4,"",$A$4+13)</f>
        <v>46036</v>
      </c>
      <c r="N1369">
        <f>IF(M1369="","",'Master Barang'!A63)</f>
        <v>0</v>
      </c>
      <c r="O1369">
        <f>IF(N1369="","",'Master Barang'!B63)</f>
        <v>0</v>
      </c>
      <c r="P1369">
        <f>IF(OR(M1369="",N1369=""),"",SUMIFS('Barang Keluar'!$E:$E,'Barang Keluar'!$A:$A,M1369,'Barang Keluar'!$C:$C,N1369))</f>
        <v>0</v>
      </c>
    </row>
    <row r="1370" spans="13:16">
      <c r="M1370" s="49">
        <f>IF($A$4+13&gt;$B$4,"",$A$4+13)</f>
        <v>46036</v>
      </c>
      <c r="N1370">
        <f>IF(M1370="","",'Master Barang'!A64)</f>
        <v>0</v>
      </c>
      <c r="O1370">
        <f>IF(N1370="","",'Master Barang'!B64)</f>
        <v>0</v>
      </c>
      <c r="P1370">
        <f>IF(OR(M1370="",N1370=""),"",SUMIFS('Barang Keluar'!$E:$E,'Barang Keluar'!$A:$A,M1370,'Barang Keluar'!$C:$C,N1370))</f>
        <v>0</v>
      </c>
    </row>
    <row r="1371" spans="13:16">
      <c r="M1371" s="49">
        <f>IF($A$4+13&gt;$B$4,"",$A$4+13)</f>
        <v>46036</v>
      </c>
      <c r="N1371">
        <f>IF(M1371="","",'Master Barang'!A65)</f>
        <v>0</v>
      </c>
      <c r="O1371">
        <f>IF(N1371="","",'Master Barang'!B65)</f>
        <v>0</v>
      </c>
      <c r="P1371">
        <f>IF(OR(M1371="",N1371=""),"",SUMIFS('Barang Keluar'!$E:$E,'Barang Keluar'!$A:$A,M1371,'Barang Keluar'!$C:$C,N1371))</f>
        <v>0</v>
      </c>
    </row>
    <row r="1372" spans="13:16">
      <c r="M1372" s="49">
        <f>IF($A$4+13&gt;$B$4,"",$A$4+13)</f>
        <v>46036</v>
      </c>
      <c r="N1372">
        <f>IF(M1372="","",'Master Barang'!A66)</f>
        <v>0</v>
      </c>
      <c r="O1372">
        <f>IF(N1372="","",'Master Barang'!B66)</f>
        <v>0</v>
      </c>
      <c r="P1372">
        <f>IF(OR(M1372="",N1372=""),"",SUMIFS('Barang Keluar'!$E:$E,'Barang Keluar'!$A:$A,M1372,'Barang Keluar'!$C:$C,N1372))</f>
        <v>0</v>
      </c>
    </row>
    <row r="1373" spans="13:16">
      <c r="M1373" s="49">
        <f>IF($A$4+13&gt;$B$4,"",$A$4+13)</f>
        <v>46036</v>
      </c>
      <c r="N1373">
        <f>IF(M1373="","",'Master Barang'!A67)</f>
        <v>0</v>
      </c>
      <c r="O1373">
        <f>IF(N1373="","",'Master Barang'!B67)</f>
        <v>0</v>
      </c>
      <c r="P1373">
        <f>IF(OR(M1373="",N1373=""),"",SUMIFS('Barang Keluar'!$E:$E,'Barang Keluar'!$A:$A,M1373,'Barang Keluar'!$C:$C,N1373))</f>
        <v>0</v>
      </c>
    </row>
    <row r="1374" spans="13:16">
      <c r="M1374" s="49">
        <f>IF($A$4+13&gt;$B$4,"",$A$4+13)</f>
        <v>46036</v>
      </c>
      <c r="N1374">
        <f>IF(M1374="","",'Master Barang'!A68)</f>
        <v>0</v>
      </c>
      <c r="O1374">
        <f>IF(N1374="","",'Master Barang'!B68)</f>
        <v>0</v>
      </c>
      <c r="P1374">
        <f>IF(OR(M1374="",N1374=""),"",SUMIFS('Barang Keluar'!$E:$E,'Barang Keluar'!$A:$A,M1374,'Barang Keluar'!$C:$C,N1374))</f>
        <v>0</v>
      </c>
    </row>
    <row r="1375" spans="13:16">
      <c r="M1375" s="49">
        <f>IF($A$4+13&gt;$B$4,"",$A$4+13)</f>
        <v>46036</v>
      </c>
      <c r="N1375">
        <f>IF(M1375="","",'Master Barang'!A69)</f>
        <v>0</v>
      </c>
      <c r="O1375">
        <f>IF(N1375="","",'Master Barang'!B69)</f>
        <v>0</v>
      </c>
      <c r="P1375">
        <f>IF(OR(M1375="",N1375=""),"",SUMIFS('Barang Keluar'!$E:$E,'Barang Keluar'!$A:$A,M1375,'Barang Keluar'!$C:$C,N1375))</f>
        <v>0</v>
      </c>
    </row>
    <row r="1376" spans="13:16">
      <c r="M1376" s="49">
        <f>IF($A$4+13&gt;$B$4,"",$A$4+13)</f>
        <v>46036</v>
      </c>
      <c r="N1376">
        <f>IF(M1376="","",'Master Barang'!A70)</f>
        <v>0</v>
      </c>
      <c r="O1376">
        <f>IF(N1376="","",'Master Barang'!B70)</f>
        <v>0</v>
      </c>
      <c r="P1376">
        <f>IF(OR(M1376="",N1376=""),"",SUMIFS('Barang Keluar'!$E:$E,'Barang Keluar'!$A:$A,M1376,'Barang Keluar'!$C:$C,N1376))</f>
        <v>0</v>
      </c>
    </row>
    <row r="1377" spans="13:16">
      <c r="M1377" s="49">
        <f>IF($A$4+13&gt;$B$4,"",$A$4+13)</f>
        <v>46036</v>
      </c>
      <c r="N1377">
        <f>IF(M1377="","",'Master Barang'!A71)</f>
        <v>0</v>
      </c>
      <c r="O1377">
        <f>IF(N1377="","",'Master Barang'!B71)</f>
        <v>0</v>
      </c>
      <c r="P1377">
        <f>IF(OR(M1377="",N1377=""),"",SUMIFS('Barang Keluar'!$E:$E,'Barang Keluar'!$A:$A,M1377,'Barang Keluar'!$C:$C,N1377))</f>
        <v>0</v>
      </c>
    </row>
    <row r="1378" spans="13:16">
      <c r="M1378" s="49">
        <f>IF($A$4+13&gt;$B$4,"",$A$4+13)</f>
        <v>46036</v>
      </c>
      <c r="N1378">
        <f>IF(M1378="","",'Master Barang'!A72)</f>
        <v>0</v>
      </c>
      <c r="O1378">
        <f>IF(N1378="","",'Master Barang'!B72)</f>
        <v>0</v>
      </c>
      <c r="P1378">
        <f>IF(OR(M1378="",N1378=""),"",SUMIFS('Barang Keluar'!$E:$E,'Barang Keluar'!$A:$A,M1378,'Barang Keluar'!$C:$C,N1378))</f>
        <v>0</v>
      </c>
    </row>
    <row r="1379" spans="13:16">
      <c r="M1379" s="49">
        <f>IF($A$4+13&gt;$B$4,"",$A$4+13)</f>
        <v>46036</v>
      </c>
      <c r="N1379">
        <f>IF(M1379="","",'Master Barang'!A73)</f>
        <v>0</v>
      </c>
      <c r="O1379">
        <f>IF(N1379="","",'Master Barang'!B73)</f>
        <v>0</v>
      </c>
      <c r="P1379">
        <f>IF(OR(M1379="",N1379=""),"",SUMIFS('Barang Keluar'!$E:$E,'Barang Keluar'!$A:$A,M1379,'Barang Keluar'!$C:$C,N1379))</f>
        <v>0</v>
      </c>
    </row>
    <row r="1380" spans="13:16">
      <c r="M1380" s="49">
        <f>IF($A$4+13&gt;$B$4,"",$A$4+13)</f>
        <v>46036</v>
      </c>
      <c r="N1380">
        <f>IF(M1380="","",'Master Barang'!A74)</f>
        <v>0</v>
      </c>
      <c r="O1380">
        <f>IF(N1380="","",'Master Barang'!B74)</f>
        <v>0</v>
      </c>
      <c r="P1380">
        <f>IF(OR(M1380="",N1380=""),"",SUMIFS('Barang Keluar'!$E:$E,'Barang Keluar'!$A:$A,M1380,'Barang Keluar'!$C:$C,N1380))</f>
        <v>0</v>
      </c>
    </row>
    <row r="1381" spans="13:16">
      <c r="M1381" s="49">
        <f>IF($A$4+13&gt;$B$4,"",$A$4+13)</f>
        <v>46036</v>
      </c>
      <c r="N1381">
        <f>IF(M1381="","",'Master Barang'!A75)</f>
        <v>0</v>
      </c>
      <c r="O1381">
        <f>IF(N1381="","",'Master Barang'!B75)</f>
        <v>0</v>
      </c>
      <c r="P1381">
        <f>IF(OR(M1381="",N1381=""),"",SUMIFS('Barang Keluar'!$E:$E,'Barang Keluar'!$A:$A,M1381,'Barang Keluar'!$C:$C,N1381))</f>
        <v>0</v>
      </c>
    </row>
    <row r="1382" spans="13:16">
      <c r="M1382" s="49">
        <f>IF($A$4+13&gt;$B$4,"",$A$4+13)</f>
        <v>46036</v>
      </c>
      <c r="N1382">
        <f>IF(M1382="","",'Master Barang'!A76)</f>
        <v>0</v>
      </c>
      <c r="O1382">
        <f>IF(N1382="","",'Master Barang'!B76)</f>
        <v>0</v>
      </c>
      <c r="P1382">
        <f>IF(OR(M1382="",N1382=""),"",SUMIFS('Barang Keluar'!$E:$E,'Barang Keluar'!$A:$A,M1382,'Barang Keluar'!$C:$C,N1382))</f>
        <v>0</v>
      </c>
    </row>
    <row r="1383" spans="13:16">
      <c r="M1383" s="49">
        <f>IF($A$4+13&gt;$B$4,"",$A$4+13)</f>
        <v>46036</v>
      </c>
      <c r="N1383">
        <f>IF(M1383="","",'Master Barang'!A77)</f>
        <v>0</v>
      </c>
      <c r="O1383">
        <f>IF(N1383="","",'Master Barang'!B77)</f>
        <v>0</v>
      </c>
      <c r="P1383">
        <f>IF(OR(M1383="",N1383=""),"",SUMIFS('Barang Keluar'!$E:$E,'Barang Keluar'!$A:$A,M1383,'Barang Keluar'!$C:$C,N1383))</f>
        <v>0</v>
      </c>
    </row>
    <row r="1384" spans="13:16">
      <c r="M1384" s="49">
        <f>IF($A$4+13&gt;$B$4,"",$A$4+13)</f>
        <v>46036</v>
      </c>
      <c r="N1384">
        <f>IF(M1384="","",'Master Barang'!A78)</f>
        <v>0</v>
      </c>
      <c r="O1384">
        <f>IF(N1384="","",'Master Barang'!B78)</f>
        <v>0</v>
      </c>
      <c r="P1384">
        <f>IF(OR(M1384="",N1384=""),"",SUMIFS('Barang Keluar'!$E:$E,'Barang Keluar'!$A:$A,M1384,'Barang Keluar'!$C:$C,N1384))</f>
        <v>0</v>
      </c>
    </row>
    <row r="1385" spans="13:16">
      <c r="M1385" s="49">
        <f>IF($A$4+13&gt;$B$4,"",$A$4+13)</f>
        <v>46036</v>
      </c>
      <c r="N1385">
        <f>IF(M1385="","",'Master Barang'!A79)</f>
        <v>0</v>
      </c>
      <c r="O1385">
        <f>IF(N1385="","",'Master Barang'!B79)</f>
        <v>0</v>
      </c>
      <c r="P1385">
        <f>IF(OR(M1385="",N1385=""),"",SUMIFS('Barang Keluar'!$E:$E,'Barang Keluar'!$A:$A,M1385,'Barang Keluar'!$C:$C,N1385))</f>
        <v>0</v>
      </c>
    </row>
    <row r="1386" spans="13:16">
      <c r="M1386" s="49">
        <f>IF($A$4+13&gt;$B$4,"",$A$4+13)</f>
        <v>46036</v>
      </c>
      <c r="N1386">
        <f>IF(M1386="","",'Master Barang'!A80)</f>
        <v>0</v>
      </c>
      <c r="O1386">
        <f>IF(N1386="","",'Master Barang'!B80)</f>
        <v>0</v>
      </c>
      <c r="P1386">
        <f>IF(OR(M1386="",N1386=""),"",SUMIFS('Barang Keluar'!$E:$E,'Barang Keluar'!$A:$A,M1386,'Barang Keluar'!$C:$C,N1386))</f>
        <v>0</v>
      </c>
    </row>
    <row r="1387" spans="13:16">
      <c r="M1387" s="49">
        <f>IF($A$4+13&gt;$B$4,"",$A$4+13)</f>
        <v>46036</v>
      </c>
      <c r="N1387">
        <f>IF(M1387="","",'Master Barang'!A81)</f>
        <v>0</v>
      </c>
      <c r="O1387">
        <f>IF(N1387="","",'Master Barang'!B81)</f>
        <v>0</v>
      </c>
      <c r="P1387">
        <f>IF(OR(M1387="",N1387=""),"",SUMIFS('Barang Keluar'!$E:$E,'Barang Keluar'!$A:$A,M1387,'Barang Keluar'!$C:$C,N1387))</f>
        <v>0</v>
      </c>
    </row>
    <row r="1388" spans="13:16">
      <c r="M1388" s="49">
        <f>IF($A$4+13&gt;$B$4,"",$A$4+13)</f>
        <v>46036</v>
      </c>
      <c r="N1388">
        <f>IF(M1388="","",'Master Barang'!A82)</f>
        <v>0</v>
      </c>
      <c r="O1388">
        <f>IF(N1388="","",'Master Barang'!B82)</f>
        <v>0</v>
      </c>
      <c r="P1388">
        <f>IF(OR(M1388="",N1388=""),"",SUMIFS('Barang Keluar'!$E:$E,'Barang Keluar'!$A:$A,M1388,'Barang Keluar'!$C:$C,N1388))</f>
        <v>0</v>
      </c>
    </row>
    <row r="1389" spans="13:16">
      <c r="M1389" s="49">
        <f>IF($A$4+13&gt;$B$4,"",$A$4+13)</f>
        <v>46036</v>
      </c>
      <c r="N1389">
        <f>IF(M1389="","",'Master Barang'!A83)</f>
        <v>0</v>
      </c>
      <c r="O1389">
        <f>IF(N1389="","",'Master Barang'!B83)</f>
        <v>0</v>
      </c>
      <c r="P1389">
        <f>IF(OR(M1389="",N1389=""),"",SUMIFS('Barang Keluar'!$E:$E,'Barang Keluar'!$A:$A,M1389,'Barang Keluar'!$C:$C,N1389))</f>
        <v>0</v>
      </c>
    </row>
    <row r="1390" spans="13:16">
      <c r="M1390" s="49">
        <f>IF($A$4+13&gt;$B$4,"",$A$4+13)</f>
        <v>46036</v>
      </c>
      <c r="N1390">
        <f>IF(M1390="","",'Master Barang'!A84)</f>
        <v>0</v>
      </c>
      <c r="O1390">
        <f>IF(N1390="","",'Master Barang'!B84)</f>
        <v>0</v>
      </c>
      <c r="P1390">
        <f>IF(OR(M1390="",N1390=""),"",SUMIFS('Barang Keluar'!$E:$E,'Barang Keluar'!$A:$A,M1390,'Barang Keluar'!$C:$C,N1390))</f>
        <v>0</v>
      </c>
    </row>
    <row r="1391" spans="13:16">
      <c r="M1391" s="49">
        <f>IF($A$4+13&gt;$B$4,"",$A$4+13)</f>
        <v>46036</v>
      </c>
      <c r="N1391">
        <f>IF(M1391="","",'Master Barang'!A85)</f>
        <v>0</v>
      </c>
      <c r="O1391">
        <f>IF(N1391="","",'Master Barang'!B85)</f>
        <v>0</v>
      </c>
      <c r="P1391">
        <f>IF(OR(M1391="",N1391=""),"",SUMIFS('Barang Keluar'!$E:$E,'Barang Keluar'!$A:$A,M1391,'Barang Keluar'!$C:$C,N1391))</f>
        <v>0</v>
      </c>
    </row>
    <row r="1392" spans="13:16">
      <c r="M1392" s="49">
        <f>IF($A$4+13&gt;$B$4,"",$A$4+13)</f>
        <v>46036</v>
      </c>
      <c r="N1392">
        <f>IF(M1392="","",'Master Barang'!A86)</f>
        <v>0</v>
      </c>
      <c r="O1392">
        <f>IF(N1392="","",'Master Barang'!B86)</f>
        <v>0</v>
      </c>
      <c r="P1392">
        <f>IF(OR(M1392="",N1392=""),"",SUMIFS('Barang Keluar'!$E:$E,'Barang Keluar'!$A:$A,M1392,'Barang Keluar'!$C:$C,N1392))</f>
        <v>0</v>
      </c>
    </row>
    <row r="1393" spans="13:16">
      <c r="M1393" s="49">
        <f>IF($A$4+13&gt;$B$4,"",$A$4+13)</f>
        <v>46036</v>
      </c>
      <c r="N1393">
        <f>IF(M1393="","",'Master Barang'!A87)</f>
        <v>0</v>
      </c>
      <c r="O1393">
        <f>IF(N1393="","",'Master Barang'!B87)</f>
        <v>0</v>
      </c>
      <c r="P1393">
        <f>IF(OR(M1393="",N1393=""),"",SUMIFS('Barang Keluar'!$E:$E,'Barang Keluar'!$A:$A,M1393,'Barang Keluar'!$C:$C,N1393))</f>
        <v>0</v>
      </c>
    </row>
    <row r="1394" spans="13:16">
      <c r="M1394" s="49">
        <f>IF($A$4+13&gt;$B$4,"",$A$4+13)</f>
        <v>46036</v>
      </c>
      <c r="N1394">
        <f>IF(M1394="","",'Master Barang'!A88)</f>
        <v>0</v>
      </c>
      <c r="O1394">
        <f>IF(N1394="","",'Master Barang'!B88)</f>
        <v>0</v>
      </c>
      <c r="P1394">
        <f>IF(OR(M1394="",N1394=""),"",SUMIFS('Barang Keluar'!$E:$E,'Barang Keluar'!$A:$A,M1394,'Barang Keluar'!$C:$C,N1394))</f>
        <v>0</v>
      </c>
    </row>
    <row r="1395" spans="13:16">
      <c r="M1395" s="49">
        <f>IF($A$4+13&gt;$B$4,"",$A$4+13)</f>
        <v>46036</v>
      </c>
      <c r="N1395">
        <f>IF(M1395="","",'Master Barang'!A89)</f>
        <v>0</v>
      </c>
      <c r="O1395">
        <f>IF(N1395="","",'Master Barang'!B89)</f>
        <v>0</v>
      </c>
      <c r="P1395">
        <f>IF(OR(M1395="",N1395=""),"",SUMIFS('Barang Keluar'!$E:$E,'Barang Keluar'!$A:$A,M1395,'Barang Keluar'!$C:$C,N1395))</f>
        <v>0</v>
      </c>
    </row>
    <row r="1396" spans="13:16">
      <c r="M1396" s="49">
        <f>IF($A$4+13&gt;$B$4,"",$A$4+13)</f>
        <v>46036</v>
      </c>
      <c r="N1396">
        <f>IF(M1396="","",'Master Barang'!A90)</f>
        <v>0</v>
      </c>
      <c r="O1396">
        <f>IF(N1396="","",'Master Barang'!B90)</f>
        <v>0</v>
      </c>
      <c r="P1396">
        <f>IF(OR(M1396="",N1396=""),"",SUMIFS('Barang Keluar'!$E:$E,'Barang Keluar'!$A:$A,M1396,'Barang Keluar'!$C:$C,N1396))</f>
        <v>0</v>
      </c>
    </row>
    <row r="1397" spans="13:16">
      <c r="M1397" s="49">
        <f>IF($A$4+13&gt;$B$4,"",$A$4+13)</f>
        <v>46036</v>
      </c>
      <c r="N1397">
        <f>IF(M1397="","",'Master Barang'!A91)</f>
        <v>0</v>
      </c>
      <c r="O1397">
        <f>IF(N1397="","",'Master Barang'!B91)</f>
        <v>0</v>
      </c>
      <c r="P1397">
        <f>IF(OR(M1397="",N1397=""),"",SUMIFS('Barang Keluar'!$E:$E,'Barang Keluar'!$A:$A,M1397,'Barang Keluar'!$C:$C,N1397))</f>
        <v>0</v>
      </c>
    </row>
    <row r="1398" spans="13:16">
      <c r="M1398" s="49">
        <f>IF($A$4+13&gt;$B$4,"",$A$4+13)</f>
        <v>46036</v>
      </c>
      <c r="N1398">
        <f>IF(M1398="","",'Master Barang'!A92)</f>
        <v>0</v>
      </c>
      <c r="O1398">
        <f>IF(N1398="","",'Master Barang'!B92)</f>
        <v>0</v>
      </c>
      <c r="P1398">
        <f>IF(OR(M1398="",N1398=""),"",SUMIFS('Barang Keluar'!$E:$E,'Barang Keluar'!$A:$A,M1398,'Barang Keluar'!$C:$C,N1398))</f>
        <v>0</v>
      </c>
    </row>
    <row r="1399" spans="13:16">
      <c r="M1399" s="49">
        <f>IF($A$4+13&gt;$B$4,"",$A$4+13)</f>
        <v>46036</v>
      </c>
      <c r="N1399">
        <f>IF(M1399="","",'Master Barang'!A93)</f>
        <v>0</v>
      </c>
      <c r="O1399">
        <f>IF(N1399="","",'Master Barang'!B93)</f>
        <v>0</v>
      </c>
      <c r="P1399">
        <f>IF(OR(M1399="",N1399=""),"",SUMIFS('Barang Keluar'!$E:$E,'Barang Keluar'!$A:$A,M1399,'Barang Keluar'!$C:$C,N1399))</f>
        <v>0</v>
      </c>
    </row>
    <row r="1400" spans="13:16">
      <c r="M1400" s="49">
        <f>IF($A$4+13&gt;$B$4,"",$A$4+13)</f>
        <v>46036</v>
      </c>
      <c r="N1400">
        <f>IF(M1400="","",'Master Barang'!A94)</f>
        <v>0</v>
      </c>
      <c r="O1400">
        <f>IF(N1400="","",'Master Barang'!B94)</f>
        <v>0</v>
      </c>
      <c r="P1400">
        <f>IF(OR(M1400="",N1400=""),"",SUMIFS('Barang Keluar'!$E:$E,'Barang Keluar'!$A:$A,M1400,'Barang Keluar'!$C:$C,N1400))</f>
        <v>0</v>
      </c>
    </row>
    <row r="1401" spans="13:16">
      <c r="M1401" s="49">
        <f>IF($A$4+13&gt;$B$4,"",$A$4+13)</f>
        <v>46036</v>
      </c>
      <c r="N1401">
        <f>IF(M1401="","",'Master Barang'!A95)</f>
        <v>0</v>
      </c>
      <c r="O1401">
        <f>IF(N1401="","",'Master Barang'!B95)</f>
        <v>0</v>
      </c>
      <c r="P1401">
        <f>IF(OR(M1401="",N1401=""),"",SUMIFS('Barang Keluar'!$E:$E,'Barang Keluar'!$A:$A,M1401,'Barang Keluar'!$C:$C,N1401))</f>
        <v>0</v>
      </c>
    </row>
    <row r="1402" spans="13:16">
      <c r="M1402" s="49">
        <f>IF($A$4+13&gt;$B$4,"",$A$4+13)</f>
        <v>46036</v>
      </c>
      <c r="N1402">
        <f>IF(M1402="","",'Master Barang'!A96)</f>
        <v>0</v>
      </c>
      <c r="O1402">
        <f>IF(N1402="","",'Master Barang'!B96)</f>
        <v>0</v>
      </c>
      <c r="P1402">
        <f>IF(OR(M1402="",N1402=""),"",SUMIFS('Barang Keluar'!$E:$E,'Barang Keluar'!$A:$A,M1402,'Barang Keluar'!$C:$C,N1402))</f>
        <v>0</v>
      </c>
    </row>
    <row r="1403" spans="13:16">
      <c r="M1403" s="49">
        <f>IF($A$4+13&gt;$B$4,"",$A$4+13)</f>
        <v>46036</v>
      </c>
      <c r="N1403">
        <f>IF(M1403="","",'Master Barang'!A97)</f>
        <v>0</v>
      </c>
      <c r="O1403">
        <f>IF(N1403="","",'Master Barang'!B97)</f>
        <v>0</v>
      </c>
      <c r="P1403">
        <f>IF(OR(M1403="",N1403=""),"",SUMIFS('Barang Keluar'!$E:$E,'Barang Keluar'!$A:$A,M1403,'Barang Keluar'!$C:$C,N1403))</f>
        <v>0</v>
      </c>
    </row>
    <row r="1404" spans="13:16">
      <c r="M1404" s="49">
        <f>IF($A$4+13&gt;$B$4,"",$A$4+13)</f>
        <v>46036</v>
      </c>
      <c r="N1404">
        <f>IF(M1404="","",'Master Barang'!A98)</f>
        <v>0</v>
      </c>
      <c r="O1404">
        <f>IF(N1404="","",'Master Barang'!B98)</f>
        <v>0</v>
      </c>
      <c r="P1404">
        <f>IF(OR(M1404="",N1404=""),"",SUMIFS('Barang Keluar'!$E:$E,'Barang Keluar'!$A:$A,M1404,'Barang Keluar'!$C:$C,N1404))</f>
        <v>0</v>
      </c>
    </row>
    <row r="1405" spans="13:16">
      <c r="M1405" s="49">
        <f>IF($A$4+13&gt;$B$4,"",$A$4+13)</f>
        <v>46036</v>
      </c>
      <c r="N1405">
        <f>IF(M1405="","",'Master Barang'!A99)</f>
        <v>0</v>
      </c>
      <c r="O1405">
        <f>IF(N1405="","",'Master Barang'!B99)</f>
        <v>0</v>
      </c>
      <c r="P1405">
        <f>IF(OR(M1405="",N1405=""),"",SUMIFS('Barang Keluar'!$E:$E,'Barang Keluar'!$A:$A,M1405,'Barang Keluar'!$C:$C,N1405))</f>
        <v>0</v>
      </c>
    </row>
    <row r="1406" spans="13:16">
      <c r="M1406" s="49">
        <f>IF($A$4+13&gt;$B$4,"",$A$4+13)</f>
        <v>46036</v>
      </c>
      <c r="N1406">
        <f>IF(M1406="","",'Master Barang'!A100)</f>
        <v>0</v>
      </c>
      <c r="O1406">
        <f>IF(N1406="","",'Master Barang'!B100)</f>
        <v>0</v>
      </c>
      <c r="P1406">
        <f>IF(OR(M1406="",N1406=""),"",SUMIFS('Barang Keluar'!$E:$E,'Barang Keluar'!$A:$A,M1406,'Barang Keluar'!$C:$C,N1406))</f>
        <v>0</v>
      </c>
    </row>
    <row r="1407" spans="13:16">
      <c r="M1407" s="49">
        <f>IF($A$4+13&gt;$B$4,"",$A$4+13)</f>
        <v>46036</v>
      </c>
      <c r="N1407">
        <f>IF(M1407="","",'Master Barang'!A101)</f>
        <v>0</v>
      </c>
      <c r="O1407">
        <f>IF(N1407="","",'Master Barang'!B101)</f>
        <v>0</v>
      </c>
      <c r="P1407">
        <f>IF(OR(M1407="",N1407=""),"",SUMIFS('Barang Keluar'!$E:$E,'Barang Keluar'!$A:$A,M1407,'Barang Keluar'!$C:$C,N1407))</f>
        <v>0</v>
      </c>
    </row>
    <row r="1408" spans="13:16">
      <c r="M1408" s="49">
        <f>IF($A$4+14&gt;$B$4,"",$A$4+14)</f>
        <v>46037</v>
      </c>
      <c r="N1408" t="str">
        <f>IF(M1408="","",'Master Barang'!A2)</f>
        <v>PRL-001</v>
      </c>
      <c r="O1408" t="str">
        <f>IF(N1408="","",'Master Barang'!B2)</f>
        <v>natura desinfectant food grade 5l</v>
      </c>
      <c r="P1408">
        <f>IF(OR(M1408="",N1408=""),"",SUMIFS('Barang Keluar'!$E:$E,'Barang Keluar'!$A:$A,M1408,'Barang Keluar'!$C:$C,N1408))</f>
        <v>0</v>
      </c>
    </row>
    <row r="1409" spans="13:16">
      <c r="M1409" s="49">
        <f>IF($A$4+14&gt;$B$4,"",$A$4+14)</f>
        <v>46037</v>
      </c>
      <c r="N1409" t="str">
        <f>IF(M1409="","",'Master Barang'!A3)</f>
        <v>PRL-002</v>
      </c>
      <c r="O1409" t="str">
        <f>IF(N1409="","",'Master Barang'!B3)</f>
        <v>sunlight cairan pencuci piring 5l</v>
      </c>
      <c r="P1409">
        <f>IF(OR(M1409="",N1409=""),"",SUMIFS('Barang Keluar'!$E:$E,'Barang Keluar'!$A:$A,M1409,'Barang Keluar'!$C:$C,N1409))</f>
        <v>0</v>
      </c>
    </row>
    <row r="1410" spans="13:16">
      <c r="M1410" s="49">
        <f>IF($A$4+14&gt;$B$4,"",$A$4+14)</f>
        <v>46037</v>
      </c>
      <c r="N1410" t="str">
        <f>IF(M1410="","",'Master Barang'!A4)</f>
        <v>PRL-003</v>
      </c>
      <c r="O1410" t="str">
        <f>IF(N1410="","",'Master Barang'!B4)</f>
        <v>oixs cleaner 1l</v>
      </c>
      <c r="P1410">
        <f>IF(OR(M1410="",N1410=""),"",SUMIFS('Barang Keluar'!$E:$E,'Barang Keluar'!$A:$A,M1410,'Barang Keluar'!$C:$C,N1410))</f>
        <v>0</v>
      </c>
    </row>
    <row r="1411" spans="13:16">
      <c r="M1411" s="49">
        <f>IF($A$4+14&gt;$B$4,"",$A$4+14)</f>
        <v>46037</v>
      </c>
      <c r="N1411" t="str">
        <f>IF(M1411="","",'Master Barang'!A5)</f>
        <v>PRL-004</v>
      </c>
      <c r="O1411" t="str">
        <f>IF(N1411="","",'Master Barang'!B5)</f>
        <v>be clean tissue serbaguna</v>
      </c>
      <c r="P1411">
        <f>IF(OR(M1411="",N1411=""),"",SUMIFS('Barang Keluar'!$E:$E,'Barang Keluar'!$A:$A,M1411,'Barang Keluar'!$C:$C,N1411))</f>
        <v>0</v>
      </c>
    </row>
    <row r="1412" spans="13:16">
      <c r="M1412" s="49">
        <f>IF($A$4+14&gt;$B$4,"",$A$4+14)</f>
        <v>46037</v>
      </c>
      <c r="N1412" t="str">
        <f>IF(M1412="","",'Master Barang'!A6)</f>
        <v>PRL-005</v>
      </c>
      <c r="O1412" t="str">
        <f>IF(N1412="","",'Master Barang'!B6)</f>
        <v>spons cuci hijau</v>
      </c>
      <c r="P1412">
        <f>IF(OR(M1412="",N1412=""),"",SUMIFS('Barang Keluar'!$E:$E,'Barang Keluar'!$A:$A,M1412,'Barang Keluar'!$C:$C,N1412))</f>
        <v>0</v>
      </c>
    </row>
    <row r="1413" spans="13:16">
      <c r="M1413" s="49">
        <f>IF($A$4+14&gt;$B$4,"",$A$4+14)</f>
        <v>46037</v>
      </c>
      <c r="N1413" t="str">
        <f>IF(M1413="","",'Master Barang'!A7)</f>
        <v>PRL-006</v>
      </c>
      <c r="O1413" t="str">
        <f>IF(N1413="","",'Master Barang'!B7)</f>
        <v>sabut cuci stainless</v>
      </c>
      <c r="P1413">
        <f>IF(OR(M1413="",N1413=""),"",SUMIFS('Barang Keluar'!$E:$E,'Barang Keluar'!$A:$A,M1413,'Barang Keluar'!$C:$C,N1413))</f>
        <v>0</v>
      </c>
    </row>
    <row r="1414" spans="13:16">
      <c r="M1414" s="49">
        <f>IF($A$4+14&gt;$B$4,"",$A$4+14)</f>
        <v>46037</v>
      </c>
      <c r="N1414" t="str">
        <f>IF(M1414="","",'Master Barang'!A8)</f>
        <v>PRL-007</v>
      </c>
      <c r="O1414" t="str">
        <f>IF(N1414="","",'Master Barang'!B8)</f>
        <v>plastik kresek besar merah 50pc</v>
      </c>
      <c r="P1414">
        <f>IF(OR(M1414="",N1414=""),"",SUMIFS('Barang Keluar'!$E:$E,'Barang Keluar'!$A:$A,M1414,'Barang Keluar'!$C:$C,N1414))</f>
        <v>0</v>
      </c>
    </row>
    <row r="1415" spans="13:16">
      <c r="M1415" s="49">
        <f>IF($A$4+14&gt;$B$4,"",$A$4+14)</f>
        <v>46037</v>
      </c>
      <c r="N1415" t="str">
        <f>IF(M1415="","",'Master Barang'!A9)</f>
        <v>PRL-008</v>
      </c>
      <c r="O1415" t="str">
        <f>IF(N1415="","",'Master Barang'!B9)</f>
        <v>lap besar</v>
      </c>
      <c r="P1415">
        <f>IF(OR(M1415="",N1415=""),"",SUMIFS('Barang Keluar'!$E:$E,'Barang Keluar'!$A:$A,M1415,'Barang Keluar'!$C:$C,N1415))</f>
        <v>0</v>
      </c>
    </row>
    <row r="1416" spans="13:16">
      <c r="M1416" s="49">
        <f>IF($A$4+14&gt;$B$4,"",$A$4+14)</f>
        <v>46037</v>
      </c>
      <c r="N1416" t="str">
        <f>IF(M1416="","",'Master Barang'!A10)</f>
        <v>PRL-009</v>
      </c>
      <c r="O1416" t="str">
        <f>IF(N1416="","",'Master Barang'!B10)</f>
        <v>lap microfiber</v>
      </c>
      <c r="P1416">
        <f>IF(OR(M1416="",N1416=""),"",SUMIFS('Barang Keluar'!$E:$E,'Barang Keluar'!$A:$A,M1416,'Barang Keluar'!$C:$C,N1416))</f>
        <v>0</v>
      </c>
    </row>
    <row r="1417" spans="13:16">
      <c r="M1417" s="49">
        <f>IF($A$4+14&gt;$B$4,"",$A$4+14)</f>
        <v>46037</v>
      </c>
      <c r="N1417" t="str">
        <f>IF(M1417="","",'Master Barang'!A11)</f>
        <v>PRL-010</v>
      </c>
      <c r="O1417" t="str">
        <f>IF(N1417="","",'Master Barang'!B11)</f>
        <v>lap kecil</v>
      </c>
      <c r="P1417">
        <f>IF(OR(M1417="",N1417=""),"",SUMIFS('Barang Keluar'!$E:$E,'Barang Keluar'!$A:$A,M1417,'Barang Keluar'!$C:$C,N1417))</f>
        <v>0</v>
      </c>
    </row>
    <row r="1418" spans="13:16">
      <c r="M1418" s="49">
        <f>IF($A$4+14&gt;$B$4,"",$A$4+14)</f>
        <v>46037</v>
      </c>
      <c r="N1418" t="str">
        <f>IF(M1418="","",'Master Barang'!A12)</f>
        <v>PRL-011</v>
      </c>
      <c r="O1418" t="str">
        <f>IF(N1418="","",'Master Barang'!B12)</f>
        <v>kanebo kecil</v>
      </c>
      <c r="P1418">
        <f>IF(OR(M1418="",N1418=""),"",SUMIFS('Barang Keluar'!$E:$E,'Barang Keluar'!$A:$A,M1418,'Barang Keluar'!$C:$C,N1418))</f>
        <v>0</v>
      </c>
    </row>
    <row r="1419" spans="13:16">
      <c r="M1419" s="49">
        <f>IF($A$4+14&gt;$B$4,"",$A$4+14)</f>
        <v>46037</v>
      </c>
      <c r="N1419" t="str">
        <f>IF(M1419="","",'Master Barang'!A13)</f>
        <v>PRL-012</v>
      </c>
      <c r="O1419" t="str">
        <f>IF(N1419="","",'Master Barang'!B13)</f>
        <v>plastik 1/4kg joyoboyo 100 lembar</v>
      </c>
      <c r="P1419">
        <f>IF(OR(M1419="",N1419=""),"",SUMIFS('Barang Keluar'!$E:$E,'Barang Keluar'!$A:$A,M1419,'Barang Keluar'!$C:$C,N1419))</f>
        <v>0</v>
      </c>
    </row>
    <row r="1420" spans="13:16">
      <c r="M1420" s="49">
        <f>IF($A$4+14&gt;$B$4,"",$A$4+14)</f>
        <v>46037</v>
      </c>
      <c r="N1420" t="str">
        <f>IF(M1420="","",'Master Barang'!A14)</f>
        <v>PRL-013</v>
      </c>
      <c r="O1420" t="str">
        <f>IF(N1420="","",'Master Barang'!B14)</f>
        <v>sarung tangan plastik kaka 100 pcs</v>
      </c>
      <c r="P1420">
        <f>IF(OR(M1420="",N1420=""),"",SUMIFS('Barang Keluar'!$E:$E,'Barang Keluar'!$A:$A,M1420,'Barang Keluar'!$C:$C,N1420))</f>
        <v>0</v>
      </c>
    </row>
    <row r="1421" spans="13:16">
      <c r="M1421" s="49">
        <f>IF($A$4+14&gt;$B$4,"",$A$4+14)</f>
        <v>46037</v>
      </c>
      <c r="N1421" t="str">
        <f>IF(M1421="","",'Master Barang'!A15)</f>
        <v>PRL-014</v>
      </c>
      <c r="O1421" t="str">
        <f>IF(N1421="","",'Master Barang'!B15)</f>
        <v>optima trashbag 80x100</v>
      </c>
      <c r="P1421">
        <f>IF(OR(M1421="",N1421=""),"",SUMIFS('Barang Keluar'!$E:$E,'Barang Keluar'!$A:$A,M1421,'Barang Keluar'!$C:$C,N1421))</f>
        <v>0</v>
      </c>
    </row>
    <row r="1422" spans="13:16">
      <c r="M1422" s="49">
        <f>IF($A$4+14&gt;$B$4,"",$A$4+14)</f>
        <v>46037</v>
      </c>
      <c r="N1422" t="str">
        <f>IF(M1422="","",'Master Barang'!A16)</f>
        <v>PRL-015</v>
      </c>
      <c r="O1422" t="str">
        <f>IF(N1422="","",'Master Barang'!B16)</f>
        <v>optima trashbag 60x100</v>
      </c>
      <c r="P1422">
        <f>IF(OR(M1422="",N1422=""),"",SUMIFS('Barang Keluar'!$E:$E,'Barang Keluar'!$A:$A,M1422,'Barang Keluar'!$C:$C,N1422))</f>
        <v>0</v>
      </c>
    </row>
    <row r="1423" spans="13:16">
      <c r="M1423" s="49">
        <f>IF($A$4+14&gt;$B$4,"",$A$4+14)</f>
        <v>46037</v>
      </c>
      <c r="N1423" t="str">
        <f>IF(M1423="","",'Master Barang'!A17)</f>
        <v>PRL-016</v>
      </c>
      <c r="O1423" t="str">
        <f>IF(N1423="","",'Master Barang'!B17)</f>
        <v>rajawali trashbag 30x40</v>
      </c>
      <c r="P1423">
        <f>IF(OR(M1423="",N1423=""),"",SUMIFS('Barang Keluar'!$E:$E,'Barang Keluar'!$A:$A,M1423,'Barang Keluar'!$C:$C,N1423))</f>
        <v>0</v>
      </c>
    </row>
    <row r="1424" spans="13:16">
      <c r="M1424" s="49">
        <f>IF($A$4+14&gt;$B$4,"",$A$4+14)</f>
        <v>46037</v>
      </c>
      <c r="N1424" t="str">
        <f>IF(M1424="","",'Master Barang'!A18)</f>
        <v>PRL-017</v>
      </c>
      <c r="O1424" t="str">
        <f>IF(N1424="","",'Master Barang'!B18)</f>
        <v>onemed masker biru 3 play 50 pcs</v>
      </c>
      <c r="P1424">
        <f>IF(OR(M1424="",N1424=""),"",SUMIFS('Barang Keluar'!$E:$E,'Barang Keluar'!$A:$A,M1424,'Barang Keluar'!$C:$C,N1424))</f>
        <v>0</v>
      </c>
    </row>
    <row r="1425" spans="13:16">
      <c r="M1425" s="49">
        <f>IF($A$4+14&gt;$B$4,"",$A$4+14)</f>
        <v>46037</v>
      </c>
      <c r="N1425" t="str">
        <f>IF(M1425="","",'Master Barang'!A19)</f>
        <v>PRL-018</v>
      </c>
      <c r="O1425" t="str">
        <f>IF(N1425="","",'Master Barang'!B19)</f>
        <v>onemed masker biru 3 play hijab 50 pcs</v>
      </c>
      <c r="P1425">
        <f>IF(OR(M1425="",N1425=""),"",SUMIFS('Barang Keluar'!$E:$E,'Barang Keluar'!$A:$A,M1425,'Barang Keluar'!$C:$C,N1425))</f>
        <v>0</v>
      </c>
    </row>
    <row r="1426" spans="13:16">
      <c r="M1426" s="49">
        <f>IF($A$4+14&gt;$B$4,"",$A$4+14)</f>
        <v>46037</v>
      </c>
      <c r="N1426" t="str">
        <f>IF(M1426="","",'Master Barang'!A20)</f>
        <v>PRL-019</v>
      </c>
      <c r="O1426" t="str">
        <f>IF(N1426="","",'Master Barang'!B20)</f>
        <v>neo health masker biru 3 play 50 pcs</v>
      </c>
      <c r="P1426">
        <f>IF(OR(M1426="",N1426=""),"",SUMIFS('Barang Keluar'!$E:$E,'Barang Keluar'!$A:$A,M1426,'Barang Keluar'!$C:$C,N1426))</f>
        <v>0</v>
      </c>
    </row>
    <row r="1427" spans="13:16">
      <c r="M1427" s="49">
        <f>IF($A$4+14&gt;$B$4,"",$A$4+14)</f>
        <v>46037</v>
      </c>
      <c r="N1427" t="str">
        <f>IF(M1427="","",'Master Barang'!A21)</f>
        <v>PRL-020</v>
      </c>
      <c r="O1427" t="str">
        <f>IF(N1427="","",'Master Barang'!B21)</f>
        <v>baymed masker hijau 3 play hijau 50 pcs</v>
      </c>
      <c r="P1427">
        <f>IF(OR(M1427="",N1427=""),"",SUMIFS('Barang Keluar'!$E:$E,'Barang Keluar'!$A:$A,M1427,'Barang Keluar'!$C:$C,N1427))</f>
        <v>0</v>
      </c>
    </row>
    <row r="1428" spans="13:16">
      <c r="M1428" s="49">
        <f>IF($A$4+14&gt;$B$4,"",$A$4+14)</f>
        <v>46037</v>
      </c>
      <c r="N1428" t="str">
        <f>IF(M1428="","",'Master Barang'!A22)</f>
        <v>PRL-021</v>
      </c>
      <c r="O1428" t="str">
        <f>IF(N1428="","",'Master Barang'!B22)</f>
        <v>altamed nurse cap penutup kepala 100 pcs</v>
      </c>
      <c r="P1428">
        <f>IF(OR(M1428="",N1428=""),"",SUMIFS('Barang Keluar'!$E:$E,'Barang Keluar'!$A:$A,M1428,'Barang Keluar'!$C:$C,N1428))</f>
        <v>0</v>
      </c>
    </row>
    <row r="1429" spans="13:16">
      <c r="M1429" s="49">
        <f>IF($A$4+14&gt;$B$4,"",$A$4+14)</f>
        <v>46037</v>
      </c>
      <c r="N1429" t="str">
        <f>IF(M1429="","",'Master Barang'!A23)</f>
        <v>PRL-022</v>
      </c>
      <c r="O1429" t="str">
        <f>IF(N1429="","",'Master Barang'!B23)</f>
        <v>sabun cuci tangan</v>
      </c>
      <c r="P1429">
        <f>IF(OR(M1429="",N1429=""),"",SUMIFS('Barang Keluar'!$E:$E,'Barang Keluar'!$A:$A,M1429,'Barang Keluar'!$C:$C,N1429))</f>
        <v>0</v>
      </c>
    </row>
    <row r="1430" spans="13:16">
      <c r="M1430" s="49">
        <f>IF($A$4+14&gt;$B$4,"",$A$4+14)</f>
        <v>46037</v>
      </c>
      <c r="N1430" t="str">
        <f>IF(M1430="","",'Master Barang'!A24)</f>
        <v>PRL-023</v>
      </c>
      <c r="O1430" t="str">
        <f>IF(N1430="","",'Master Barang'!B24)</f>
        <v>gayung kecil</v>
      </c>
      <c r="P1430">
        <f>IF(OR(M1430="",N1430=""),"",SUMIFS('Barang Keluar'!$E:$E,'Barang Keluar'!$A:$A,M1430,'Barang Keluar'!$C:$C,N1430))</f>
        <v>0</v>
      </c>
    </row>
    <row r="1431" spans="13:16">
      <c r="M1431" s="49">
        <f>IF($A$4+14&gt;$B$4,"",$A$4+14)</f>
        <v>46037</v>
      </c>
      <c r="N1431" t="str">
        <f>IF(M1431="","",'Master Barang'!A25)</f>
        <v>PRL-024</v>
      </c>
      <c r="O1431" t="str">
        <f>IF(N1431="","",'Master Barang'!B25)</f>
        <v>cikrak kecil</v>
      </c>
      <c r="P1431">
        <f>IF(OR(M1431="",N1431=""),"",SUMIFS('Barang Keluar'!$E:$E,'Barang Keluar'!$A:$A,M1431,'Barang Keluar'!$C:$C,N1431))</f>
        <v>0</v>
      </c>
    </row>
    <row r="1432" spans="13:16">
      <c r="M1432" s="49">
        <f>IF($A$4+14&gt;$B$4,"",$A$4+14)</f>
        <v>46037</v>
      </c>
      <c r="N1432" t="str">
        <f>IF(M1432="","",'Master Barang'!A26)</f>
        <v>PRL-025</v>
      </c>
      <c r="O1432" t="str">
        <f>IF(N1432="","",'Master Barang'!B26)</f>
        <v>petromax plastik kecil 12x24 100 lembar</v>
      </c>
      <c r="P1432">
        <f>IF(OR(M1432="",N1432=""),"",SUMIFS('Barang Keluar'!$E:$E,'Barang Keluar'!$A:$A,M1432,'Barang Keluar'!$C:$C,N1432))</f>
        <v>0</v>
      </c>
    </row>
    <row r="1433" spans="13:16">
      <c r="M1433" s="49">
        <f>IF($A$4+14&gt;$B$4,"",$A$4+14)</f>
        <v>46037</v>
      </c>
      <c r="N1433" t="str">
        <f>IF(M1433="","",'Master Barang'!A27)</f>
        <v>PRL-026</v>
      </c>
      <c r="O1433" t="str">
        <f>IF(N1433="","",'Master Barang'!B27)</f>
        <v>lancar kresek kecil bening </v>
      </c>
      <c r="P1433">
        <f>IF(OR(M1433="",N1433=""),"",SUMIFS('Barang Keluar'!$E:$E,'Barang Keluar'!$A:$A,M1433,'Barang Keluar'!$C:$C,N1433))</f>
        <v>0</v>
      </c>
    </row>
    <row r="1434" spans="13:16">
      <c r="M1434" s="49">
        <f>IF($A$4+14&gt;$B$4,"",$A$4+14)</f>
        <v>46037</v>
      </c>
      <c r="N1434" t="str">
        <f>IF(M1434="","",'Master Barang'!A28)</f>
        <v>PRL-027</v>
      </c>
      <c r="O1434" t="str">
        <f>IF(N1434="","",'Master Barang'!B28)</f>
        <v>kresek klin warna warni kecil</v>
      </c>
      <c r="P1434">
        <f>IF(OR(M1434="",N1434=""),"",SUMIFS('Barang Keluar'!$E:$E,'Barang Keluar'!$A:$A,M1434,'Barang Keluar'!$C:$C,N1434))</f>
        <v>0</v>
      </c>
    </row>
    <row r="1435" spans="13:16">
      <c r="M1435" s="49">
        <f>IF($A$4+14&gt;$B$4,"",$A$4+14)</f>
        <v>46037</v>
      </c>
      <c r="N1435" t="str">
        <f>IF(M1435="","",'Master Barang'!A29)</f>
        <v>PRL-028</v>
      </c>
      <c r="O1435" t="str">
        <f>IF(N1435="","",'Master Barang'!B29)</f>
        <v>ctik plastik 7x10 100 pcs</v>
      </c>
      <c r="P1435">
        <f>IF(OR(M1435="",N1435=""),"",SUMIFS('Barang Keluar'!$E:$E,'Barang Keluar'!$A:$A,M1435,'Barang Keluar'!$C:$C,N1435))</f>
        <v>0</v>
      </c>
    </row>
    <row r="1436" spans="13:16">
      <c r="M1436" s="49">
        <f>IF($A$4+14&gt;$B$4,"",$A$4+14)</f>
        <v>46037</v>
      </c>
      <c r="N1436" t="str">
        <f>IF(M1436="","",'Master Barang'!A30)</f>
        <v>PRL-029</v>
      </c>
      <c r="O1436" t="str">
        <f>IF(N1436="","",'Master Barang'!B30)</f>
        <v>ctik plastik 6x10 100 pcs</v>
      </c>
      <c r="P1436">
        <f>IF(OR(M1436="",N1436=""),"",SUMIFS('Barang Keluar'!$E:$E,'Barang Keluar'!$A:$A,M1436,'Barang Keluar'!$C:$C,N1436))</f>
        <v>0</v>
      </c>
    </row>
    <row r="1437" spans="13:16">
      <c r="M1437" s="49">
        <f>IF($A$4+14&gt;$B$4,"",$A$4+14)</f>
        <v>46037</v>
      </c>
      <c r="N1437" t="str">
        <f>IF(M1437="","",'Master Barang'!A31)</f>
        <v>PRL-030</v>
      </c>
      <c r="O1437" t="str">
        <f>IF(N1437="","",'Master Barang'!B31)</f>
        <v>klip plastik 25x16 100 pcs</v>
      </c>
      <c r="P1437">
        <f>IF(OR(M1437="",N1437=""),"",SUMIFS('Barang Keluar'!$E:$E,'Barang Keluar'!$A:$A,M1437,'Barang Keluar'!$C:$C,N1437))</f>
        <v>0</v>
      </c>
    </row>
    <row r="1438" spans="13:16">
      <c r="M1438" s="49">
        <f>IF($A$4+14&gt;$B$4,"",$A$4+14)</f>
        <v>46037</v>
      </c>
      <c r="N1438" t="str">
        <f>IF(M1438="","",'Master Barang'!A32)</f>
        <v>PRL-031</v>
      </c>
      <c r="O1438" t="str">
        <f>IF(N1438="","",'Master Barang'!B32)</f>
        <v>tempat saus 20 ml</v>
      </c>
      <c r="P1438">
        <f>IF(OR(M1438="",N1438=""),"",SUMIFS('Barang Keluar'!$E:$E,'Barang Keluar'!$A:$A,M1438,'Barang Keluar'!$C:$C,N1438))</f>
        <v>0</v>
      </c>
    </row>
    <row r="1439" spans="13:16">
      <c r="M1439" s="49">
        <f>IF($A$4+14&gt;$B$4,"",$A$4+14)</f>
        <v>46037</v>
      </c>
      <c r="N1439" t="str">
        <f>IF(M1439="","",'Master Barang'!A33)</f>
        <v>PRL-032</v>
      </c>
      <c r="O1439" t="str">
        <f>IF(N1439="","",'Master Barang'!B33)</f>
        <v>plastik packaging ag box uk sedang</v>
      </c>
      <c r="P1439">
        <f>IF(OR(M1439="",N1439=""),"",SUMIFS('Barang Keluar'!$E:$E,'Barang Keluar'!$A:$A,M1439,'Barang Keluar'!$C:$C,N1439))</f>
        <v>0</v>
      </c>
    </row>
    <row r="1440" spans="13:16">
      <c r="M1440" s="49">
        <f>IF($A$4+14&gt;$B$4,"",$A$4+14)</f>
        <v>46037</v>
      </c>
      <c r="N1440" t="str">
        <f>IF(M1440="","",'Master Barang'!A34)</f>
        <v>PRL-033</v>
      </c>
      <c r="O1440">
        <f>IF(N1440="","",'Master Barang'!B34)</f>
        <v>0</v>
      </c>
      <c r="P1440">
        <f>IF(OR(M1440="",N1440=""),"",SUMIFS('Barang Keluar'!$E:$E,'Barang Keluar'!$A:$A,M1440,'Barang Keluar'!$C:$C,N1440))</f>
        <v>0</v>
      </c>
    </row>
    <row r="1441" spans="13:16">
      <c r="M1441" s="49">
        <f>IF($A$4+14&gt;$B$4,"",$A$4+14)</f>
        <v>46037</v>
      </c>
      <c r="N1441">
        <f>IF(M1441="","",'Master Barang'!A35)</f>
        <v>0</v>
      </c>
      <c r="O1441">
        <f>IF(N1441="","",'Master Barang'!B35)</f>
        <v>0</v>
      </c>
      <c r="P1441">
        <f>IF(OR(M1441="",N1441=""),"",SUMIFS('Barang Keluar'!$E:$E,'Barang Keluar'!$A:$A,M1441,'Barang Keluar'!$C:$C,N1441))</f>
        <v>0</v>
      </c>
    </row>
    <row r="1442" spans="13:16">
      <c r="M1442" s="49">
        <f>IF($A$4+14&gt;$B$4,"",$A$4+14)</f>
        <v>46037</v>
      </c>
      <c r="N1442">
        <f>IF(M1442="","",'Master Barang'!A36)</f>
        <v>0</v>
      </c>
      <c r="O1442">
        <f>IF(N1442="","",'Master Barang'!B36)</f>
        <v>0</v>
      </c>
      <c r="P1442">
        <f>IF(OR(M1442="",N1442=""),"",SUMIFS('Barang Keluar'!$E:$E,'Barang Keluar'!$A:$A,M1442,'Barang Keluar'!$C:$C,N1442))</f>
        <v>0</v>
      </c>
    </row>
    <row r="1443" spans="13:16">
      <c r="M1443" s="49">
        <f>IF($A$4+14&gt;$B$4,"",$A$4+14)</f>
        <v>46037</v>
      </c>
      <c r="N1443">
        <f>IF(M1443="","",'Master Barang'!A37)</f>
        <v>0</v>
      </c>
      <c r="O1443">
        <f>IF(N1443="","",'Master Barang'!B37)</f>
        <v>0</v>
      </c>
      <c r="P1443">
        <f>IF(OR(M1443="",N1443=""),"",SUMIFS('Barang Keluar'!$E:$E,'Barang Keluar'!$A:$A,M1443,'Barang Keluar'!$C:$C,N1443))</f>
        <v>0</v>
      </c>
    </row>
    <row r="1444" spans="13:16">
      <c r="M1444" s="49">
        <f>IF($A$4+14&gt;$B$4,"",$A$4+14)</f>
        <v>46037</v>
      </c>
      <c r="N1444">
        <f>IF(M1444="","",'Master Barang'!A38)</f>
        <v>0</v>
      </c>
      <c r="O1444">
        <f>IF(N1444="","",'Master Barang'!B38)</f>
        <v>0</v>
      </c>
      <c r="P1444">
        <f>IF(OR(M1444="",N1444=""),"",SUMIFS('Barang Keluar'!$E:$E,'Barang Keluar'!$A:$A,M1444,'Barang Keluar'!$C:$C,N1444))</f>
        <v>0</v>
      </c>
    </row>
    <row r="1445" spans="13:16">
      <c r="M1445" s="49">
        <f>IF($A$4+14&gt;$B$4,"",$A$4+14)</f>
        <v>46037</v>
      </c>
      <c r="N1445">
        <f>IF(M1445="","",'Master Barang'!A39)</f>
        <v>0</v>
      </c>
      <c r="O1445">
        <f>IF(N1445="","",'Master Barang'!B39)</f>
        <v>0</v>
      </c>
      <c r="P1445">
        <f>IF(OR(M1445="",N1445=""),"",SUMIFS('Barang Keluar'!$E:$E,'Barang Keluar'!$A:$A,M1445,'Barang Keluar'!$C:$C,N1445))</f>
        <v>0</v>
      </c>
    </row>
    <row r="1446" spans="13:16">
      <c r="M1446" s="49">
        <f>IF($A$4+14&gt;$B$4,"",$A$4+14)</f>
        <v>46037</v>
      </c>
      <c r="N1446">
        <f>IF(M1446="","",'Master Barang'!A40)</f>
        <v>0</v>
      </c>
      <c r="O1446">
        <f>IF(N1446="","",'Master Barang'!B40)</f>
        <v>0</v>
      </c>
      <c r="P1446">
        <f>IF(OR(M1446="",N1446=""),"",SUMIFS('Barang Keluar'!$E:$E,'Barang Keluar'!$A:$A,M1446,'Barang Keluar'!$C:$C,N1446))</f>
        <v>0</v>
      </c>
    </row>
    <row r="1447" spans="13:16">
      <c r="M1447" s="49">
        <f>IF($A$4+14&gt;$B$4,"",$A$4+14)</f>
        <v>46037</v>
      </c>
      <c r="N1447">
        <f>IF(M1447="","",'Master Barang'!A41)</f>
        <v>0</v>
      </c>
      <c r="O1447">
        <f>IF(N1447="","",'Master Barang'!B41)</f>
        <v>0</v>
      </c>
      <c r="P1447">
        <f>IF(OR(M1447="",N1447=""),"",SUMIFS('Barang Keluar'!$E:$E,'Barang Keluar'!$A:$A,M1447,'Barang Keluar'!$C:$C,N1447))</f>
        <v>0</v>
      </c>
    </row>
    <row r="1448" spans="13:16">
      <c r="M1448" s="49">
        <f>IF($A$4+14&gt;$B$4,"",$A$4+14)</f>
        <v>46037</v>
      </c>
      <c r="N1448">
        <f>IF(M1448="","",'Master Barang'!A42)</f>
        <v>0</v>
      </c>
      <c r="O1448">
        <f>IF(N1448="","",'Master Barang'!B42)</f>
        <v>0</v>
      </c>
      <c r="P1448">
        <f>IF(OR(M1448="",N1448=""),"",SUMIFS('Barang Keluar'!$E:$E,'Barang Keluar'!$A:$A,M1448,'Barang Keluar'!$C:$C,N1448))</f>
        <v>0</v>
      </c>
    </row>
    <row r="1449" spans="13:16">
      <c r="M1449" s="49">
        <f>IF($A$4+14&gt;$B$4,"",$A$4+14)</f>
        <v>46037</v>
      </c>
      <c r="N1449">
        <f>IF(M1449="","",'Master Barang'!A43)</f>
        <v>0</v>
      </c>
      <c r="O1449">
        <f>IF(N1449="","",'Master Barang'!B43)</f>
        <v>0</v>
      </c>
      <c r="P1449">
        <f>IF(OR(M1449="",N1449=""),"",SUMIFS('Barang Keluar'!$E:$E,'Barang Keluar'!$A:$A,M1449,'Barang Keluar'!$C:$C,N1449))</f>
        <v>0</v>
      </c>
    </row>
    <row r="1450" spans="13:16">
      <c r="M1450" s="49">
        <f>IF($A$4+14&gt;$B$4,"",$A$4+14)</f>
        <v>46037</v>
      </c>
      <c r="N1450">
        <f>IF(M1450="","",'Master Barang'!A44)</f>
        <v>0</v>
      </c>
      <c r="O1450">
        <f>IF(N1450="","",'Master Barang'!B44)</f>
        <v>0</v>
      </c>
      <c r="P1450">
        <f>IF(OR(M1450="",N1450=""),"",SUMIFS('Barang Keluar'!$E:$E,'Barang Keluar'!$A:$A,M1450,'Barang Keluar'!$C:$C,N1450))</f>
        <v>0</v>
      </c>
    </row>
    <row r="1451" spans="13:16">
      <c r="M1451" s="49">
        <f>IF($A$4+14&gt;$B$4,"",$A$4+14)</f>
        <v>46037</v>
      </c>
      <c r="N1451">
        <f>IF(M1451="","",'Master Barang'!A45)</f>
        <v>0</v>
      </c>
      <c r="O1451">
        <f>IF(N1451="","",'Master Barang'!B45)</f>
        <v>0</v>
      </c>
      <c r="P1451">
        <f>IF(OR(M1451="",N1451=""),"",SUMIFS('Barang Keluar'!$E:$E,'Barang Keluar'!$A:$A,M1451,'Barang Keluar'!$C:$C,N1451))</f>
        <v>0</v>
      </c>
    </row>
    <row r="1452" spans="13:16">
      <c r="M1452" s="49">
        <f>IF($A$4+14&gt;$B$4,"",$A$4+14)</f>
        <v>46037</v>
      </c>
      <c r="N1452">
        <f>IF(M1452="","",'Master Barang'!A46)</f>
        <v>0</v>
      </c>
      <c r="O1452">
        <f>IF(N1452="","",'Master Barang'!B46)</f>
        <v>0</v>
      </c>
      <c r="P1452">
        <f>IF(OR(M1452="",N1452=""),"",SUMIFS('Barang Keluar'!$E:$E,'Barang Keluar'!$A:$A,M1452,'Barang Keluar'!$C:$C,N1452))</f>
        <v>0</v>
      </c>
    </row>
    <row r="1453" spans="13:16">
      <c r="M1453" s="49">
        <f>IF($A$4+14&gt;$B$4,"",$A$4+14)</f>
        <v>46037</v>
      </c>
      <c r="N1453">
        <f>IF(M1453="","",'Master Barang'!A47)</f>
        <v>0</v>
      </c>
      <c r="O1453">
        <f>IF(N1453="","",'Master Barang'!B47)</f>
        <v>0</v>
      </c>
      <c r="P1453">
        <f>IF(OR(M1453="",N1453=""),"",SUMIFS('Barang Keluar'!$E:$E,'Barang Keluar'!$A:$A,M1453,'Barang Keluar'!$C:$C,N1453))</f>
        <v>0</v>
      </c>
    </row>
    <row r="1454" spans="13:16">
      <c r="M1454" s="49">
        <f>IF($A$4+14&gt;$B$4,"",$A$4+14)</f>
        <v>46037</v>
      </c>
      <c r="N1454">
        <f>IF(M1454="","",'Master Barang'!A48)</f>
        <v>0</v>
      </c>
      <c r="O1454">
        <f>IF(N1454="","",'Master Barang'!B48)</f>
        <v>0</v>
      </c>
      <c r="P1454">
        <f>IF(OR(M1454="",N1454=""),"",SUMIFS('Barang Keluar'!$E:$E,'Barang Keluar'!$A:$A,M1454,'Barang Keluar'!$C:$C,N1454))</f>
        <v>0</v>
      </c>
    </row>
    <row r="1455" spans="13:16">
      <c r="M1455" s="49">
        <f>IF($A$4+14&gt;$B$4,"",$A$4+14)</f>
        <v>46037</v>
      </c>
      <c r="N1455">
        <f>IF(M1455="","",'Master Barang'!A49)</f>
        <v>0</v>
      </c>
      <c r="O1455">
        <f>IF(N1455="","",'Master Barang'!B49)</f>
        <v>0</v>
      </c>
      <c r="P1455">
        <f>IF(OR(M1455="",N1455=""),"",SUMIFS('Barang Keluar'!$E:$E,'Barang Keluar'!$A:$A,M1455,'Barang Keluar'!$C:$C,N1455))</f>
        <v>0</v>
      </c>
    </row>
    <row r="1456" spans="13:16">
      <c r="M1456" s="49">
        <f>IF($A$4+14&gt;$B$4,"",$A$4+14)</f>
        <v>46037</v>
      </c>
      <c r="N1456">
        <f>IF(M1456="","",'Master Barang'!A50)</f>
        <v>0</v>
      </c>
      <c r="O1456">
        <f>IF(N1456="","",'Master Barang'!B50)</f>
        <v>0</v>
      </c>
      <c r="P1456">
        <f>IF(OR(M1456="",N1456=""),"",SUMIFS('Barang Keluar'!$E:$E,'Barang Keluar'!$A:$A,M1456,'Barang Keluar'!$C:$C,N1456))</f>
        <v>0</v>
      </c>
    </row>
    <row r="1457" spans="13:16">
      <c r="M1457" s="49">
        <f>IF($A$4+14&gt;$B$4,"",$A$4+14)</f>
        <v>46037</v>
      </c>
      <c r="N1457">
        <f>IF(M1457="","",'Master Barang'!A51)</f>
        <v>0</v>
      </c>
      <c r="O1457">
        <f>IF(N1457="","",'Master Barang'!B51)</f>
        <v>0</v>
      </c>
      <c r="P1457">
        <f>IF(OR(M1457="",N1457=""),"",SUMIFS('Barang Keluar'!$E:$E,'Barang Keluar'!$A:$A,M1457,'Barang Keluar'!$C:$C,N1457))</f>
        <v>0</v>
      </c>
    </row>
    <row r="1458" spans="13:16">
      <c r="M1458" s="49">
        <f>IF($A$4+14&gt;$B$4,"",$A$4+14)</f>
        <v>46037</v>
      </c>
      <c r="N1458">
        <f>IF(M1458="","",'Master Barang'!A52)</f>
        <v>0</v>
      </c>
      <c r="O1458">
        <f>IF(N1458="","",'Master Barang'!B52)</f>
        <v>0</v>
      </c>
      <c r="P1458">
        <f>IF(OR(M1458="",N1458=""),"",SUMIFS('Barang Keluar'!$E:$E,'Barang Keluar'!$A:$A,M1458,'Barang Keluar'!$C:$C,N1458))</f>
        <v>0</v>
      </c>
    </row>
    <row r="1459" spans="13:16">
      <c r="M1459" s="49">
        <f>IF($A$4+14&gt;$B$4,"",$A$4+14)</f>
        <v>46037</v>
      </c>
      <c r="N1459">
        <f>IF(M1459="","",'Master Barang'!A53)</f>
        <v>0</v>
      </c>
      <c r="O1459">
        <f>IF(N1459="","",'Master Barang'!B53)</f>
        <v>0</v>
      </c>
      <c r="P1459">
        <f>IF(OR(M1459="",N1459=""),"",SUMIFS('Barang Keluar'!$E:$E,'Barang Keluar'!$A:$A,M1459,'Barang Keluar'!$C:$C,N1459))</f>
        <v>0</v>
      </c>
    </row>
    <row r="1460" spans="13:16">
      <c r="M1460" s="49">
        <f>IF($A$4+14&gt;$B$4,"",$A$4+14)</f>
        <v>46037</v>
      </c>
      <c r="N1460">
        <f>IF(M1460="","",'Master Barang'!A54)</f>
        <v>0</v>
      </c>
      <c r="O1460">
        <f>IF(N1460="","",'Master Barang'!B54)</f>
        <v>0</v>
      </c>
      <c r="P1460">
        <f>IF(OR(M1460="",N1460=""),"",SUMIFS('Barang Keluar'!$E:$E,'Barang Keluar'!$A:$A,M1460,'Barang Keluar'!$C:$C,N1460))</f>
        <v>0</v>
      </c>
    </row>
    <row r="1461" spans="13:16">
      <c r="M1461" s="49">
        <f>IF($A$4+14&gt;$B$4,"",$A$4+14)</f>
        <v>46037</v>
      </c>
      <c r="N1461">
        <f>IF(M1461="","",'Master Barang'!A55)</f>
        <v>0</v>
      </c>
      <c r="O1461">
        <f>IF(N1461="","",'Master Barang'!B55)</f>
        <v>0</v>
      </c>
      <c r="P1461">
        <f>IF(OR(M1461="",N1461=""),"",SUMIFS('Barang Keluar'!$E:$E,'Barang Keluar'!$A:$A,M1461,'Barang Keluar'!$C:$C,N1461))</f>
        <v>0</v>
      </c>
    </row>
    <row r="1462" spans="13:16">
      <c r="M1462" s="49">
        <f>IF($A$4+14&gt;$B$4,"",$A$4+14)</f>
        <v>46037</v>
      </c>
      <c r="N1462">
        <f>IF(M1462="","",'Master Barang'!A56)</f>
        <v>0</v>
      </c>
      <c r="O1462">
        <f>IF(N1462="","",'Master Barang'!B56)</f>
        <v>0</v>
      </c>
      <c r="P1462">
        <f>IF(OR(M1462="",N1462=""),"",SUMIFS('Barang Keluar'!$E:$E,'Barang Keluar'!$A:$A,M1462,'Barang Keluar'!$C:$C,N1462))</f>
        <v>0</v>
      </c>
    </row>
    <row r="1463" spans="13:16">
      <c r="M1463" s="49">
        <f>IF($A$4+14&gt;$B$4,"",$A$4+14)</f>
        <v>46037</v>
      </c>
      <c r="N1463">
        <f>IF(M1463="","",'Master Barang'!A57)</f>
        <v>0</v>
      </c>
      <c r="O1463">
        <f>IF(N1463="","",'Master Barang'!B57)</f>
        <v>0</v>
      </c>
      <c r="P1463">
        <f>IF(OR(M1463="",N1463=""),"",SUMIFS('Barang Keluar'!$E:$E,'Barang Keluar'!$A:$A,M1463,'Barang Keluar'!$C:$C,N1463))</f>
        <v>0</v>
      </c>
    </row>
    <row r="1464" spans="13:16">
      <c r="M1464" s="49">
        <f>IF($A$4+14&gt;$B$4,"",$A$4+14)</f>
        <v>46037</v>
      </c>
      <c r="N1464">
        <f>IF(M1464="","",'Master Barang'!A58)</f>
        <v>0</v>
      </c>
      <c r="O1464">
        <f>IF(N1464="","",'Master Barang'!B58)</f>
        <v>0</v>
      </c>
      <c r="P1464">
        <f>IF(OR(M1464="",N1464=""),"",SUMIFS('Barang Keluar'!$E:$E,'Barang Keluar'!$A:$A,M1464,'Barang Keluar'!$C:$C,N1464))</f>
        <v>0</v>
      </c>
    </row>
    <row r="1465" spans="13:16">
      <c r="M1465" s="49">
        <f>IF($A$4+14&gt;$B$4,"",$A$4+14)</f>
        <v>46037</v>
      </c>
      <c r="N1465">
        <f>IF(M1465="","",'Master Barang'!A59)</f>
        <v>0</v>
      </c>
      <c r="O1465">
        <f>IF(N1465="","",'Master Barang'!B59)</f>
        <v>0</v>
      </c>
      <c r="P1465">
        <f>IF(OR(M1465="",N1465=""),"",SUMIFS('Barang Keluar'!$E:$E,'Barang Keluar'!$A:$A,M1465,'Barang Keluar'!$C:$C,N1465))</f>
        <v>0</v>
      </c>
    </row>
    <row r="1466" spans="13:16">
      <c r="M1466" s="49">
        <f>IF($A$4+14&gt;$B$4,"",$A$4+14)</f>
        <v>46037</v>
      </c>
      <c r="N1466">
        <f>IF(M1466="","",'Master Barang'!A60)</f>
        <v>0</v>
      </c>
      <c r="O1466">
        <f>IF(N1466="","",'Master Barang'!B60)</f>
        <v>0</v>
      </c>
      <c r="P1466">
        <f>IF(OR(M1466="",N1466=""),"",SUMIFS('Barang Keluar'!$E:$E,'Barang Keluar'!$A:$A,M1466,'Barang Keluar'!$C:$C,N1466))</f>
        <v>0</v>
      </c>
    </row>
    <row r="1467" spans="13:16">
      <c r="M1467" s="49">
        <f>IF($A$4+14&gt;$B$4,"",$A$4+14)</f>
        <v>46037</v>
      </c>
      <c r="N1467">
        <f>IF(M1467="","",'Master Barang'!A61)</f>
        <v>0</v>
      </c>
      <c r="O1467">
        <f>IF(N1467="","",'Master Barang'!B61)</f>
        <v>0</v>
      </c>
      <c r="P1467">
        <f>IF(OR(M1467="",N1467=""),"",SUMIFS('Barang Keluar'!$E:$E,'Barang Keluar'!$A:$A,M1467,'Barang Keluar'!$C:$C,N1467))</f>
        <v>0</v>
      </c>
    </row>
    <row r="1468" spans="13:16">
      <c r="M1468" s="49">
        <f>IF($A$4+14&gt;$B$4,"",$A$4+14)</f>
        <v>46037</v>
      </c>
      <c r="N1468">
        <f>IF(M1468="","",'Master Barang'!A62)</f>
        <v>0</v>
      </c>
      <c r="O1468">
        <f>IF(N1468="","",'Master Barang'!B62)</f>
        <v>0</v>
      </c>
      <c r="P1468">
        <f>IF(OR(M1468="",N1468=""),"",SUMIFS('Barang Keluar'!$E:$E,'Barang Keluar'!$A:$A,M1468,'Barang Keluar'!$C:$C,N1468))</f>
        <v>0</v>
      </c>
    </row>
    <row r="1469" spans="13:16">
      <c r="M1469" s="49">
        <f>IF($A$4+14&gt;$B$4,"",$A$4+14)</f>
        <v>46037</v>
      </c>
      <c r="N1469">
        <f>IF(M1469="","",'Master Barang'!A63)</f>
        <v>0</v>
      </c>
      <c r="O1469">
        <f>IF(N1469="","",'Master Barang'!B63)</f>
        <v>0</v>
      </c>
      <c r="P1469">
        <f>IF(OR(M1469="",N1469=""),"",SUMIFS('Barang Keluar'!$E:$E,'Barang Keluar'!$A:$A,M1469,'Barang Keluar'!$C:$C,N1469))</f>
        <v>0</v>
      </c>
    </row>
    <row r="1470" spans="13:16">
      <c r="M1470" s="49">
        <f>IF($A$4+14&gt;$B$4,"",$A$4+14)</f>
        <v>46037</v>
      </c>
      <c r="N1470">
        <f>IF(M1470="","",'Master Barang'!A64)</f>
        <v>0</v>
      </c>
      <c r="O1470">
        <f>IF(N1470="","",'Master Barang'!B64)</f>
        <v>0</v>
      </c>
      <c r="P1470">
        <f>IF(OR(M1470="",N1470=""),"",SUMIFS('Barang Keluar'!$E:$E,'Barang Keluar'!$A:$A,M1470,'Barang Keluar'!$C:$C,N1470))</f>
        <v>0</v>
      </c>
    </row>
    <row r="1471" spans="13:16">
      <c r="M1471" s="49">
        <f>IF($A$4+14&gt;$B$4,"",$A$4+14)</f>
        <v>46037</v>
      </c>
      <c r="N1471">
        <f>IF(M1471="","",'Master Barang'!A65)</f>
        <v>0</v>
      </c>
      <c r="O1471">
        <f>IF(N1471="","",'Master Barang'!B65)</f>
        <v>0</v>
      </c>
      <c r="P1471">
        <f>IF(OR(M1471="",N1471=""),"",SUMIFS('Barang Keluar'!$E:$E,'Barang Keluar'!$A:$A,M1471,'Barang Keluar'!$C:$C,N1471))</f>
        <v>0</v>
      </c>
    </row>
    <row r="1472" spans="13:16">
      <c r="M1472" s="49">
        <f>IF($A$4+14&gt;$B$4,"",$A$4+14)</f>
        <v>46037</v>
      </c>
      <c r="N1472">
        <f>IF(M1472="","",'Master Barang'!A66)</f>
        <v>0</v>
      </c>
      <c r="O1472">
        <f>IF(N1472="","",'Master Barang'!B66)</f>
        <v>0</v>
      </c>
      <c r="P1472">
        <f>IF(OR(M1472="",N1472=""),"",SUMIFS('Barang Keluar'!$E:$E,'Barang Keluar'!$A:$A,M1472,'Barang Keluar'!$C:$C,N1472))</f>
        <v>0</v>
      </c>
    </row>
    <row r="1473" spans="13:16">
      <c r="M1473" s="49">
        <f>IF($A$4+14&gt;$B$4,"",$A$4+14)</f>
        <v>46037</v>
      </c>
      <c r="N1473">
        <f>IF(M1473="","",'Master Barang'!A67)</f>
        <v>0</v>
      </c>
      <c r="O1473">
        <f>IF(N1473="","",'Master Barang'!B67)</f>
        <v>0</v>
      </c>
      <c r="P1473">
        <f>IF(OR(M1473="",N1473=""),"",SUMIFS('Barang Keluar'!$E:$E,'Barang Keluar'!$A:$A,M1473,'Barang Keluar'!$C:$C,N1473))</f>
        <v>0</v>
      </c>
    </row>
    <row r="1474" spans="13:16">
      <c r="M1474" s="49">
        <f>IF($A$4+14&gt;$B$4,"",$A$4+14)</f>
        <v>46037</v>
      </c>
      <c r="N1474">
        <f>IF(M1474="","",'Master Barang'!A68)</f>
        <v>0</v>
      </c>
      <c r="O1474">
        <f>IF(N1474="","",'Master Barang'!B68)</f>
        <v>0</v>
      </c>
      <c r="P1474">
        <f>IF(OR(M1474="",N1474=""),"",SUMIFS('Barang Keluar'!$E:$E,'Barang Keluar'!$A:$A,M1474,'Barang Keluar'!$C:$C,N1474))</f>
        <v>0</v>
      </c>
    </row>
    <row r="1475" spans="13:16">
      <c r="M1475" s="49">
        <f>IF($A$4+14&gt;$B$4,"",$A$4+14)</f>
        <v>46037</v>
      </c>
      <c r="N1475">
        <f>IF(M1475="","",'Master Barang'!A69)</f>
        <v>0</v>
      </c>
      <c r="O1475">
        <f>IF(N1475="","",'Master Barang'!B69)</f>
        <v>0</v>
      </c>
      <c r="P1475">
        <f>IF(OR(M1475="",N1475=""),"",SUMIFS('Barang Keluar'!$E:$E,'Barang Keluar'!$A:$A,M1475,'Barang Keluar'!$C:$C,N1475))</f>
        <v>0</v>
      </c>
    </row>
    <row r="1476" spans="13:16">
      <c r="M1476" s="49">
        <f>IF($A$4+14&gt;$B$4,"",$A$4+14)</f>
        <v>46037</v>
      </c>
      <c r="N1476">
        <f>IF(M1476="","",'Master Barang'!A70)</f>
        <v>0</v>
      </c>
      <c r="O1476">
        <f>IF(N1476="","",'Master Barang'!B70)</f>
        <v>0</v>
      </c>
      <c r="P1476">
        <f>IF(OR(M1476="",N1476=""),"",SUMIFS('Barang Keluar'!$E:$E,'Barang Keluar'!$A:$A,M1476,'Barang Keluar'!$C:$C,N1476))</f>
        <v>0</v>
      </c>
    </row>
    <row r="1477" spans="13:16">
      <c r="M1477" s="49">
        <f>IF($A$4+14&gt;$B$4,"",$A$4+14)</f>
        <v>46037</v>
      </c>
      <c r="N1477">
        <f>IF(M1477="","",'Master Barang'!A71)</f>
        <v>0</v>
      </c>
      <c r="O1477">
        <f>IF(N1477="","",'Master Barang'!B71)</f>
        <v>0</v>
      </c>
      <c r="P1477">
        <f>IF(OR(M1477="",N1477=""),"",SUMIFS('Barang Keluar'!$E:$E,'Barang Keluar'!$A:$A,M1477,'Barang Keluar'!$C:$C,N1477))</f>
        <v>0</v>
      </c>
    </row>
    <row r="1478" spans="13:16">
      <c r="M1478" s="49">
        <f>IF($A$4+14&gt;$B$4,"",$A$4+14)</f>
        <v>46037</v>
      </c>
      <c r="N1478">
        <f>IF(M1478="","",'Master Barang'!A72)</f>
        <v>0</v>
      </c>
      <c r="O1478">
        <f>IF(N1478="","",'Master Barang'!B72)</f>
        <v>0</v>
      </c>
      <c r="P1478">
        <f>IF(OR(M1478="",N1478=""),"",SUMIFS('Barang Keluar'!$E:$E,'Barang Keluar'!$A:$A,M1478,'Barang Keluar'!$C:$C,N1478))</f>
        <v>0</v>
      </c>
    </row>
    <row r="1479" spans="13:16">
      <c r="M1479" s="49">
        <f>IF($A$4+14&gt;$B$4,"",$A$4+14)</f>
        <v>46037</v>
      </c>
      <c r="N1479">
        <f>IF(M1479="","",'Master Barang'!A73)</f>
        <v>0</v>
      </c>
      <c r="O1479">
        <f>IF(N1479="","",'Master Barang'!B73)</f>
        <v>0</v>
      </c>
      <c r="P1479">
        <f>IF(OR(M1479="",N1479=""),"",SUMIFS('Barang Keluar'!$E:$E,'Barang Keluar'!$A:$A,M1479,'Barang Keluar'!$C:$C,N1479))</f>
        <v>0</v>
      </c>
    </row>
    <row r="1480" spans="13:16">
      <c r="M1480" s="49">
        <f>IF($A$4+14&gt;$B$4,"",$A$4+14)</f>
        <v>46037</v>
      </c>
      <c r="N1480">
        <f>IF(M1480="","",'Master Barang'!A74)</f>
        <v>0</v>
      </c>
      <c r="O1480">
        <f>IF(N1480="","",'Master Barang'!B74)</f>
        <v>0</v>
      </c>
      <c r="P1480">
        <f>IF(OR(M1480="",N1480=""),"",SUMIFS('Barang Keluar'!$E:$E,'Barang Keluar'!$A:$A,M1480,'Barang Keluar'!$C:$C,N1480))</f>
        <v>0</v>
      </c>
    </row>
    <row r="1481" spans="13:16">
      <c r="M1481" s="49">
        <f>IF($A$4+14&gt;$B$4,"",$A$4+14)</f>
        <v>46037</v>
      </c>
      <c r="N1481">
        <f>IF(M1481="","",'Master Barang'!A75)</f>
        <v>0</v>
      </c>
      <c r="O1481">
        <f>IF(N1481="","",'Master Barang'!B75)</f>
        <v>0</v>
      </c>
      <c r="P1481">
        <f>IF(OR(M1481="",N1481=""),"",SUMIFS('Barang Keluar'!$E:$E,'Barang Keluar'!$A:$A,M1481,'Barang Keluar'!$C:$C,N1481))</f>
        <v>0</v>
      </c>
    </row>
    <row r="1482" spans="13:16">
      <c r="M1482" s="49">
        <f>IF($A$4+14&gt;$B$4,"",$A$4+14)</f>
        <v>46037</v>
      </c>
      <c r="N1482">
        <f>IF(M1482="","",'Master Barang'!A76)</f>
        <v>0</v>
      </c>
      <c r="O1482">
        <f>IF(N1482="","",'Master Barang'!B76)</f>
        <v>0</v>
      </c>
      <c r="P1482">
        <f>IF(OR(M1482="",N1482=""),"",SUMIFS('Barang Keluar'!$E:$E,'Barang Keluar'!$A:$A,M1482,'Barang Keluar'!$C:$C,N1482))</f>
        <v>0</v>
      </c>
    </row>
    <row r="1483" spans="13:16">
      <c r="M1483" s="49">
        <f>IF($A$4+14&gt;$B$4,"",$A$4+14)</f>
        <v>46037</v>
      </c>
      <c r="N1483">
        <f>IF(M1483="","",'Master Barang'!A77)</f>
        <v>0</v>
      </c>
      <c r="O1483">
        <f>IF(N1483="","",'Master Barang'!B77)</f>
        <v>0</v>
      </c>
      <c r="P1483">
        <f>IF(OR(M1483="",N1483=""),"",SUMIFS('Barang Keluar'!$E:$E,'Barang Keluar'!$A:$A,M1483,'Barang Keluar'!$C:$C,N1483))</f>
        <v>0</v>
      </c>
    </row>
    <row r="1484" spans="13:16">
      <c r="M1484" s="49">
        <f>IF($A$4+14&gt;$B$4,"",$A$4+14)</f>
        <v>46037</v>
      </c>
      <c r="N1484">
        <f>IF(M1484="","",'Master Barang'!A78)</f>
        <v>0</v>
      </c>
      <c r="O1484">
        <f>IF(N1484="","",'Master Barang'!B78)</f>
        <v>0</v>
      </c>
      <c r="P1484">
        <f>IF(OR(M1484="",N1484=""),"",SUMIFS('Barang Keluar'!$E:$E,'Barang Keluar'!$A:$A,M1484,'Barang Keluar'!$C:$C,N1484))</f>
        <v>0</v>
      </c>
    </row>
    <row r="1485" spans="13:16">
      <c r="M1485" s="49">
        <f>IF($A$4+14&gt;$B$4,"",$A$4+14)</f>
        <v>46037</v>
      </c>
      <c r="N1485">
        <f>IF(M1485="","",'Master Barang'!A79)</f>
        <v>0</v>
      </c>
      <c r="O1485">
        <f>IF(N1485="","",'Master Barang'!B79)</f>
        <v>0</v>
      </c>
      <c r="P1485">
        <f>IF(OR(M1485="",N1485=""),"",SUMIFS('Barang Keluar'!$E:$E,'Barang Keluar'!$A:$A,M1485,'Barang Keluar'!$C:$C,N1485))</f>
        <v>0</v>
      </c>
    </row>
    <row r="1486" spans="13:16">
      <c r="M1486" s="49">
        <f>IF($A$4+14&gt;$B$4,"",$A$4+14)</f>
        <v>46037</v>
      </c>
      <c r="N1486">
        <f>IF(M1486="","",'Master Barang'!A80)</f>
        <v>0</v>
      </c>
      <c r="O1486">
        <f>IF(N1486="","",'Master Barang'!B80)</f>
        <v>0</v>
      </c>
      <c r="P1486">
        <f>IF(OR(M1486="",N1486=""),"",SUMIFS('Barang Keluar'!$E:$E,'Barang Keluar'!$A:$A,M1486,'Barang Keluar'!$C:$C,N1486))</f>
        <v>0</v>
      </c>
    </row>
    <row r="1487" spans="13:16">
      <c r="M1487" s="49">
        <f>IF($A$4+14&gt;$B$4,"",$A$4+14)</f>
        <v>46037</v>
      </c>
      <c r="N1487">
        <f>IF(M1487="","",'Master Barang'!A81)</f>
        <v>0</v>
      </c>
      <c r="O1487">
        <f>IF(N1487="","",'Master Barang'!B81)</f>
        <v>0</v>
      </c>
      <c r="P1487">
        <f>IF(OR(M1487="",N1487=""),"",SUMIFS('Barang Keluar'!$E:$E,'Barang Keluar'!$A:$A,M1487,'Barang Keluar'!$C:$C,N1487))</f>
        <v>0</v>
      </c>
    </row>
    <row r="1488" spans="13:16">
      <c r="M1488" s="49">
        <f>IF($A$4+14&gt;$B$4,"",$A$4+14)</f>
        <v>46037</v>
      </c>
      <c r="N1488">
        <f>IF(M1488="","",'Master Barang'!A82)</f>
        <v>0</v>
      </c>
      <c r="O1488">
        <f>IF(N1488="","",'Master Barang'!B82)</f>
        <v>0</v>
      </c>
      <c r="P1488">
        <f>IF(OR(M1488="",N1488=""),"",SUMIFS('Barang Keluar'!$E:$E,'Barang Keluar'!$A:$A,M1488,'Barang Keluar'!$C:$C,N1488))</f>
        <v>0</v>
      </c>
    </row>
    <row r="1489" spans="13:16">
      <c r="M1489" s="49">
        <f>IF($A$4+14&gt;$B$4,"",$A$4+14)</f>
        <v>46037</v>
      </c>
      <c r="N1489">
        <f>IF(M1489="","",'Master Barang'!A83)</f>
        <v>0</v>
      </c>
      <c r="O1489">
        <f>IF(N1489="","",'Master Barang'!B83)</f>
        <v>0</v>
      </c>
      <c r="P1489">
        <f>IF(OR(M1489="",N1489=""),"",SUMIFS('Barang Keluar'!$E:$E,'Barang Keluar'!$A:$A,M1489,'Barang Keluar'!$C:$C,N1489))</f>
        <v>0</v>
      </c>
    </row>
    <row r="1490" spans="13:16">
      <c r="M1490" s="49">
        <f>IF($A$4+14&gt;$B$4,"",$A$4+14)</f>
        <v>46037</v>
      </c>
      <c r="N1490">
        <f>IF(M1490="","",'Master Barang'!A84)</f>
        <v>0</v>
      </c>
      <c r="O1490">
        <f>IF(N1490="","",'Master Barang'!B84)</f>
        <v>0</v>
      </c>
      <c r="P1490">
        <f>IF(OR(M1490="",N1490=""),"",SUMIFS('Barang Keluar'!$E:$E,'Barang Keluar'!$A:$A,M1490,'Barang Keluar'!$C:$C,N1490))</f>
        <v>0</v>
      </c>
    </row>
    <row r="1491" spans="13:16">
      <c r="M1491" s="49">
        <f>IF($A$4+14&gt;$B$4,"",$A$4+14)</f>
        <v>46037</v>
      </c>
      <c r="N1491">
        <f>IF(M1491="","",'Master Barang'!A85)</f>
        <v>0</v>
      </c>
      <c r="O1491">
        <f>IF(N1491="","",'Master Barang'!B85)</f>
        <v>0</v>
      </c>
      <c r="P1491">
        <f>IF(OR(M1491="",N1491=""),"",SUMIFS('Barang Keluar'!$E:$E,'Barang Keluar'!$A:$A,M1491,'Barang Keluar'!$C:$C,N1491))</f>
        <v>0</v>
      </c>
    </row>
    <row r="1492" spans="13:16">
      <c r="M1492" s="49">
        <f>IF($A$4+14&gt;$B$4,"",$A$4+14)</f>
        <v>46037</v>
      </c>
      <c r="N1492">
        <f>IF(M1492="","",'Master Barang'!A86)</f>
        <v>0</v>
      </c>
      <c r="O1492">
        <f>IF(N1492="","",'Master Barang'!B86)</f>
        <v>0</v>
      </c>
      <c r="P1492">
        <f>IF(OR(M1492="",N1492=""),"",SUMIFS('Barang Keluar'!$E:$E,'Barang Keluar'!$A:$A,M1492,'Barang Keluar'!$C:$C,N1492))</f>
        <v>0</v>
      </c>
    </row>
    <row r="1493" spans="13:16">
      <c r="M1493" s="49">
        <f>IF($A$4+14&gt;$B$4,"",$A$4+14)</f>
        <v>46037</v>
      </c>
      <c r="N1493">
        <f>IF(M1493="","",'Master Barang'!A87)</f>
        <v>0</v>
      </c>
      <c r="O1493">
        <f>IF(N1493="","",'Master Barang'!B87)</f>
        <v>0</v>
      </c>
      <c r="P1493">
        <f>IF(OR(M1493="",N1493=""),"",SUMIFS('Barang Keluar'!$E:$E,'Barang Keluar'!$A:$A,M1493,'Barang Keluar'!$C:$C,N1493))</f>
        <v>0</v>
      </c>
    </row>
    <row r="1494" spans="13:16">
      <c r="M1494" s="49">
        <f>IF($A$4+14&gt;$B$4,"",$A$4+14)</f>
        <v>46037</v>
      </c>
      <c r="N1494">
        <f>IF(M1494="","",'Master Barang'!A88)</f>
        <v>0</v>
      </c>
      <c r="O1494">
        <f>IF(N1494="","",'Master Barang'!B88)</f>
        <v>0</v>
      </c>
      <c r="P1494">
        <f>IF(OR(M1494="",N1494=""),"",SUMIFS('Barang Keluar'!$E:$E,'Barang Keluar'!$A:$A,M1494,'Barang Keluar'!$C:$C,N1494))</f>
        <v>0</v>
      </c>
    </row>
    <row r="1495" spans="13:16">
      <c r="M1495" s="49">
        <f>IF($A$4+14&gt;$B$4,"",$A$4+14)</f>
        <v>46037</v>
      </c>
      <c r="N1495">
        <f>IF(M1495="","",'Master Barang'!A89)</f>
        <v>0</v>
      </c>
      <c r="O1495">
        <f>IF(N1495="","",'Master Barang'!B89)</f>
        <v>0</v>
      </c>
      <c r="P1495">
        <f>IF(OR(M1495="",N1495=""),"",SUMIFS('Barang Keluar'!$E:$E,'Barang Keluar'!$A:$A,M1495,'Barang Keluar'!$C:$C,N1495))</f>
        <v>0</v>
      </c>
    </row>
    <row r="1496" spans="13:16">
      <c r="M1496" s="49">
        <f>IF($A$4+14&gt;$B$4,"",$A$4+14)</f>
        <v>46037</v>
      </c>
      <c r="N1496">
        <f>IF(M1496="","",'Master Barang'!A90)</f>
        <v>0</v>
      </c>
      <c r="O1496">
        <f>IF(N1496="","",'Master Barang'!B90)</f>
        <v>0</v>
      </c>
      <c r="P1496">
        <f>IF(OR(M1496="",N1496=""),"",SUMIFS('Barang Keluar'!$E:$E,'Barang Keluar'!$A:$A,M1496,'Barang Keluar'!$C:$C,N1496))</f>
        <v>0</v>
      </c>
    </row>
    <row r="1497" spans="13:16">
      <c r="M1497" s="49">
        <f>IF($A$4+14&gt;$B$4,"",$A$4+14)</f>
        <v>46037</v>
      </c>
      <c r="N1497">
        <f>IF(M1497="","",'Master Barang'!A91)</f>
        <v>0</v>
      </c>
      <c r="O1497">
        <f>IF(N1497="","",'Master Barang'!B91)</f>
        <v>0</v>
      </c>
      <c r="P1497">
        <f>IF(OR(M1497="",N1497=""),"",SUMIFS('Barang Keluar'!$E:$E,'Barang Keluar'!$A:$A,M1497,'Barang Keluar'!$C:$C,N1497))</f>
        <v>0</v>
      </c>
    </row>
    <row r="1498" spans="13:16">
      <c r="M1498" s="49">
        <f>IF($A$4+14&gt;$B$4,"",$A$4+14)</f>
        <v>46037</v>
      </c>
      <c r="N1498">
        <f>IF(M1498="","",'Master Barang'!A92)</f>
        <v>0</v>
      </c>
      <c r="O1498">
        <f>IF(N1498="","",'Master Barang'!B92)</f>
        <v>0</v>
      </c>
      <c r="P1498">
        <f>IF(OR(M1498="",N1498=""),"",SUMIFS('Barang Keluar'!$E:$E,'Barang Keluar'!$A:$A,M1498,'Barang Keluar'!$C:$C,N1498))</f>
        <v>0</v>
      </c>
    </row>
    <row r="1499" spans="13:16">
      <c r="M1499" s="49">
        <f>IF($A$4+14&gt;$B$4,"",$A$4+14)</f>
        <v>46037</v>
      </c>
      <c r="N1499">
        <f>IF(M1499="","",'Master Barang'!A93)</f>
        <v>0</v>
      </c>
      <c r="O1499">
        <f>IF(N1499="","",'Master Barang'!B93)</f>
        <v>0</v>
      </c>
      <c r="P1499">
        <f>IF(OR(M1499="",N1499=""),"",SUMIFS('Barang Keluar'!$E:$E,'Barang Keluar'!$A:$A,M1499,'Barang Keluar'!$C:$C,N1499))</f>
        <v>0</v>
      </c>
    </row>
    <row r="1500" spans="13:16">
      <c r="M1500" s="49">
        <f>IF($A$4+14&gt;$B$4,"",$A$4+14)</f>
        <v>46037</v>
      </c>
      <c r="N1500">
        <f>IF(M1500="","",'Master Barang'!A94)</f>
        <v>0</v>
      </c>
      <c r="O1500">
        <f>IF(N1500="","",'Master Barang'!B94)</f>
        <v>0</v>
      </c>
      <c r="P1500">
        <f>IF(OR(M1500="",N1500=""),"",SUMIFS('Barang Keluar'!$E:$E,'Barang Keluar'!$A:$A,M1500,'Barang Keluar'!$C:$C,N1500))</f>
        <v>0</v>
      </c>
    </row>
    <row r="1501" spans="13:16">
      <c r="M1501" s="49">
        <f>IF($A$4+14&gt;$B$4,"",$A$4+14)</f>
        <v>46037</v>
      </c>
      <c r="N1501">
        <f>IF(M1501="","",'Master Barang'!A95)</f>
        <v>0</v>
      </c>
      <c r="O1501">
        <f>IF(N1501="","",'Master Barang'!B95)</f>
        <v>0</v>
      </c>
      <c r="P1501">
        <f>IF(OR(M1501="",N1501=""),"",SUMIFS('Barang Keluar'!$E:$E,'Barang Keluar'!$A:$A,M1501,'Barang Keluar'!$C:$C,N1501))</f>
        <v>0</v>
      </c>
    </row>
    <row r="1502" spans="13:16">
      <c r="M1502" s="49">
        <f>IF($A$4+14&gt;$B$4,"",$A$4+14)</f>
        <v>46037</v>
      </c>
      <c r="N1502">
        <f>IF(M1502="","",'Master Barang'!A96)</f>
        <v>0</v>
      </c>
      <c r="O1502">
        <f>IF(N1502="","",'Master Barang'!B96)</f>
        <v>0</v>
      </c>
      <c r="P1502">
        <f>IF(OR(M1502="",N1502=""),"",SUMIFS('Barang Keluar'!$E:$E,'Barang Keluar'!$A:$A,M1502,'Barang Keluar'!$C:$C,N1502))</f>
        <v>0</v>
      </c>
    </row>
    <row r="1503" spans="13:16">
      <c r="M1503" s="49">
        <f>IF($A$4+14&gt;$B$4,"",$A$4+14)</f>
        <v>46037</v>
      </c>
      <c r="N1503">
        <f>IF(M1503="","",'Master Barang'!A97)</f>
        <v>0</v>
      </c>
      <c r="O1503">
        <f>IF(N1503="","",'Master Barang'!B97)</f>
        <v>0</v>
      </c>
      <c r="P1503">
        <f>IF(OR(M1503="",N1503=""),"",SUMIFS('Barang Keluar'!$E:$E,'Barang Keluar'!$A:$A,M1503,'Barang Keluar'!$C:$C,N1503))</f>
        <v>0</v>
      </c>
    </row>
    <row r="1504" spans="13:16">
      <c r="M1504" s="49">
        <f>IF($A$4+14&gt;$B$4,"",$A$4+14)</f>
        <v>46037</v>
      </c>
      <c r="N1504">
        <f>IF(M1504="","",'Master Barang'!A98)</f>
        <v>0</v>
      </c>
      <c r="O1504">
        <f>IF(N1504="","",'Master Barang'!B98)</f>
        <v>0</v>
      </c>
      <c r="P1504">
        <f>IF(OR(M1504="",N1504=""),"",SUMIFS('Barang Keluar'!$E:$E,'Barang Keluar'!$A:$A,M1504,'Barang Keluar'!$C:$C,N1504))</f>
        <v>0</v>
      </c>
    </row>
    <row r="1505" spans="13:16">
      <c r="M1505" s="49">
        <f>IF($A$4+14&gt;$B$4,"",$A$4+14)</f>
        <v>46037</v>
      </c>
      <c r="N1505">
        <f>IF(M1505="","",'Master Barang'!A99)</f>
        <v>0</v>
      </c>
      <c r="O1505">
        <f>IF(N1505="","",'Master Barang'!B99)</f>
        <v>0</v>
      </c>
      <c r="P1505">
        <f>IF(OR(M1505="",N1505=""),"",SUMIFS('Barang Keluar'!$E:$E,'Barang Keluar'!$A:$A,M1505,'Barang Keluar'!$C:$C,N1505))</f>
        <v>0</v>
      </c>
    </row>
    <row r="1506" spans="13:16">
      <c r="M1506" s="49">
        <f>IF($A$4+14&gt;$B$4,"",$A$4+14)</f>
        <v>46037</v>
      </c>
      <c r="N1506">
        <f>IF(M1506="","",'Master Barang'!A100)</f>
        <v>0</v>
      </c>
      <c r="O1506">
        <f>IF(N1506="","",'Master Barang'!B100)</f>
        <v>0</v>
      </c>
      <c r="P1506">
        <f>IF(OR(M1506="",N1506=""),"",SUMIFS('Barang Keluar'!$E:$E,'Barang Keluar'!$A:$A,M1506,'Barang Keluar'!$C:$C,N1506))</f>
        <v>0</v>
      </c>
    </row>
    <row r="1507" spans="13:16">
      <c r="M1507" s="49">
        <f>IF($A$4+14&gt;$B$4,"",$A$4+14)</f>
        <v>46037</v>
      </c>
      <c r="N1507">
        <f>IF(M1507="","",'Master Barang'!A101)</f>
        <v>0</v>
      </c>
      <c r="O1507">
        <f>IF(N1507="","",'Master Barang'!B101)</f>
        <v>0</v>
      </c>
      <c r="P1507">
        <f>IF(OR(M1507="",N1507=""),"",SUMIFS('Barang Keluar'!$E:$E,'Barang Keluar'!$A:$A,M1507,'Barang Keluar'!$C:$C,N1507))</f>
        <v>0</v>
      </c>
    </row>
    <row r="1508" spans="13:16">
      <c r="M1508" s="49">
        <f>IF($A$4+15&gt;$B$4,"",$A$4+15)</f>
        <v>46038</v>
      </c>
      <c r="N1508" t="str">
        <f>IF(M1508="","",'Master Barang'!A2)</f>
        <v>PRL-001</v>
      </c>
      <c r="O1508" t="str">
        <f>IF(N1508="","",'Master Barang'!B2)</f>
        <v>natura desinfectant food grade 5l</v>
      </c>
      <c r="P1508">
        <f>IF(OR(M1508="",N1508=""),"",SUMIFS('Barang Keluar'!$E:$E,'Barang Keluar'!$A:$A,M1508,'Barang Keluar'!$C:$C,N1508))</f>
        <v>0</v>
      </c>
    </row>
    <row r="1509" spans="13:16">
      <c r="M1509" s="49">
        <f>IF($A$4+15&gt;$B$4,"",$A$4+15)</f>
        <v>46038</v>
      </c>
      <c r="N1509" t="str">
        <f>IF(M1509="","",'Master Barang'!A3)</f>
        <v>PRL-002</v>
      </c>
      <c r="O1509" t="str">
        <f>IF(N1509="","",'Master Barang'!B3)</f>
        <v>sunlight cairan pencuci piring 5l</v>
      </c>
      <c r="P1509">
        <f>IF(OR(M1509="",N1509=""),"",SUMIFS('Barang Keluar'!$E:$E,'Barang Keluar'!$A:$A,M1509,'Barang Keluar'!$C:$C,N1509))</f>
        <v>0</v>
      </c>
    </row>
    <row r="1510" spans="13:16">
      <c r="M1510" s="49">
        <f>IF($A$4+15&gt;$B$4,"",$A$4+15)</f>
        <v>46038</v>
      </c>
      <c r="N1510" t="str">
        <f>IF(M1510="","",'Master Barang'!A4)</f>
        <v>PRL-003</v>
      </c>
      <c r="O1510" t="str">
        <f>IF(N1510="","",'Master Barang'!B4)</f>
        <v>oixs cleaner 1l</v>
      </c>
      <c r="P1510">
        <f>IF(OR(M1510="",N1510=""),"",SUMIFS('Barang Keluar'!$E:$E,'Barang Keluar'!$A:$A,M1510,'Barang Keluar'!$C:$C,N1510))</f>
        <v>0</v>
      </c>
    </row>
    <row r="1511" spans="13:16">
      <c r="M1511" s="49">
        <f>IF($A$4+15&gt;$B$4,"",$A$4+15)</f>
        <v>46038</v>
      </c>
      <c r="N1511" t="str">
        <f>IF(M1511="","",'Master Barang'!A5)</f>
        <v>PRL-004</v>
      </c>
      <c r="O1511" t="str">
        <f>IF(N1511="","",'Master Barang'!B5)</f>
        <v>be clean tissue serbaguna</v>
      </c>
      <c r="P1511">
        <f>IF(OR(M1511="",N1511=""),"",SUMIFS('Barang Keluar'!$E:$E,'Barang Keluar'!$A:$A,M1511,'Barang Keluar'!$C:$C,N1511))</f>
        <v>0</v>
      </c>
    </row>
    <row r="1512" spans="13:16">
      <c r="M1512" s="49">
        <f>IF($A$4+15&gt;$B$4,"",$A$4+15)</f>
        <v>46038</v>
      </c>
      <c r="N1512" t="str">
        <f>IF(M1512="","",'Master Barang'!A6)</f>
        <v>PRL-005</v>
      </c>
      <c r="O1512" t="str">
        <f>IF(N1512="","",'Master Barang'!B6)</f>
        <v>spons cuci hijau</v>
      </c>
      <c r="P1512">
        <f>IF(OR(M1512="",N1512=""),"",SUMIFS('Barang Keluar'!$E:$E,'Barang Keluar'!$A:$A,M1512,'Barang Keluar'!$C:$C,N1512))</f>
        <v>0</v>
      </c>
    </row>
    <row r="1513" spans="13:16">
      <c r="M1513" s="49">
        <f>IF($A$4+15&gt;$B$4,"",$A$4+15)</f>
        <v>46038</v>
      </c>
      <c r="N1513" t="str">
        <f>IF(M1513="","",'Master Barang'!A7)</f>
        <v>PRL-006</v>
      </c>
      <c r="O1513" t="str">
        <f>IF(N1513="","",'Master Barang'!B7)</f>
        <v>sabut cuci stainless</v>
      </c>
      <c r="P1513">
        <f>IF(OR(M1513="",N1513=""),"",SUMIFS('Barang Keluar'!$E:$E,'Barang Keluar'!$A:$A,M1513,'Barang Keluar'!$C:$C,N1513))</f>
        <v>0</v>
      </c>
    </row>
    <row r="1514" spans="13:16">
      <c r="M1514" s="49">
        <f>IF($A$4+15&gt;$B$4,"",$A$4+15)</f>
        <v>46038</v>
      </c>
      <c r="N1514" t="str">
        <f>IF(M1514="","",'Master Barang'!A8)</f>
        <v>PRL-007</v>
      </c>
      <c r="O1514" t="str">
        <f>IF(N1514="","",'Master Barang'!B8)</f>
        <v>plastik kresek besar merah 50pc</v>
      </c>
      <c r="P1514">
        <f>IF(OR(M1514="",N1514=""),"",SUMIFS('Barang Keluar'!$E:$E,'Barang Keluar'!$A:$A,M1514,'Barang Keluar'!$C:$C,N1514))</f>
        <v>0</v>
      </c>
    </row>
    <row r="1515" spans="13:16">
      <c r="M1515" s="49">
        <f>IF($A$4+15&gt;$B$4,"",$A$4+15)</f>
        <v>46038</v>
      </c>
      <c r="N1515" t="str">
        <f>IF(M1515="","",'Master Barang'!A9)</f>
        <v>PRL-008</v>
      </c>
      <c r="O1515" t="str">
        <f>IF(N1515="","",'Master Barang'!B9)</f>
        <v>lap besar</v>
      </c>
      <c r="P1515">
        <f>IF(OR(M1515="",N1515=""),"",SUMIFS('Barang Keluar'!$E:$E,'Barang Keluar'!$A:$A,M1515,'Barang Keluar'!$C:$C,N1515))</f>
        <v>0</v>
      </c>
    </row>
    <row r="1516" spans="13:16">
      <c r="M1516" s="49">
        <f>IF($A$4+15&gt;$B$4,"",$A$4+15)</f>
        <v>46038</v>
      </c>
      <c r="N1516" t="str">
        <f>IF(M1516="","",'Master Barang'!A10)</f>
        <v>PRL-009</v>
      </c>
      <c r="O1516" t="str">
        <f>IF(N1516="","",'Master Barang'!B10)</f>
        <v>lap microfiber</v>
      </c>
      <c r="P1516">
        <f>IF(OR(M1516="",N1516=""),"",SUMIFS('Barang Keluar'!$E:$E,'Barang Keluar'!$A:$A,M1516,'Barang Keluar'!$C:$C,N1516))</f>
        <v>0</v>
      </c>
    </row>
    <row r="1517" spans="13:16">
      <c r="M1517" s="49">
        <f>IF($A$4+15&gt;$B$4,"",$A$4+15)</f>
        <v>46038</v>
      </c>
      <c r="N1517" t="str">
        <f>IF(M1517="","",'Master Barang'!A11)</f>
        <v>PRL-010</v>
      </c>
      <c r="O1517" t="str">
        <f>IF(N1517="","",'Master Barang'!B11)</f>
        <v>lap kecil</v>
      </c>
      <c r="P1517">
        <f>IF(OR(M1517="",N1517=""),"",SUMIFS('Barang Keluar'!$E:$E,'Barang Keluar'!$A:$A,M1517,'Barang Keluar'!$C:$C,N1517))</f>
        <v>0</v>
      </c>
    </row>
    <row r="1518" spans="13:16">
      <c r="M1518" s="49">
        <f>IF($A$4+15&gt;$B$4,"",$A$4+15)</f>
        <v>46038</v>
      </c>
      <c r="N1518" t="str">
        <f>IF(M1518="","",'Master Barang'!A12)</f>
        <v>PRL-011</v>
      </c>
      <c r="O1518" t="str">
        <f>IF(N1518="","",'Master Barang'!B12)</f>
        <v>kanebo kecil</v>
      </c>
      <c r="P1518">
        <f>IF(OR(M1518="",N1518=""),"",SUMIFS('Barang Keluar'!$E:$E,'Barang Keluar'!$A:$A,M1518,'Barang Keluar'!$C:$C,N1518))</f>
        <v>0</v>
      </c>
    </row>
    <row r="1519" spans="13:16">
      <c r="M1519" s="49">
        <f>IF($A$4+15&gt;$B$4,"",$A$4+15)</f>
        <v>46038</v>
      </c>
      <c r="N1519" t="str">
        <f>IF(M1519="","",'Master Barang'!A13)</f>
        <v>PRL-012</v>
      </c>
      <c r="O1519" t="str">
        <f>IF(N1519="","",'Master Barang'!B13)</f>
        <v>plastik 1/4kg joyoboyo 100 lembar</v>
      </c>
      <c r="P1519">
        <f>IF(OR(M1519="",N1519=""),"",SUMIFS('Barang Keluar'!$E:$E,'Barang Keluar'!$A:$A,M1519,'Barang Keluar'!$C:$C,N1519))</f>
        <v>0</v>
      </c>
    </row>
    <row r="1520" spans="13:16">
      <c r="M1520" s="49">
        <f>IF($A$4+15&gt;$B$4,"",$A$4+15)</f>
        <v>46038</v>
      </c>
      <c r="N1520" t="str">
        <f>IF(M1520="","",'Master Barang'!A14)</f>
        <v>PRL-013</v>
      </c>
      <c r="O1520" t="str">
        <f>IF(N1520="","",'Master Barang'!B14)</f>
        <v>sarung tangan plastik kaka 100 pcs</v>
      </c>
      <c r="P1520">
        <f>IF(OR(M1520="",N1520=""),"",SUMIFS('Barang Keluar'!$E:$E,'Barang Keluar'!$A:$A,M1520,'Barang Keluar'!$C:$C,N1520))</f>
        <v>0</v>
      </c>
    </row>
    <row r="1521" spans="13:16">
      <c r="M1521" s="49">
        <f>IF($A$4+15&gt;$B$4,"",$A$4+15)</f>
        <v>46038</v>
      </c>
      <c r="N1521" t="str">
        <f>IF(M1521="","",'Master Barang'!A15)</f>
        <v>PRL-014</v>
      </c>
      <c r="O1521" t="str">
        <f>IF(N1521="","",'Master Barang'!B15)</f>
        <v>optima trashbag 80x100</v>
      </c>
      <c r="P1521">
        <f>IF(OR(M1521="",N1521=""),"",SUMIFS('Barang Keluar'!$E:$E,'Barang Keluar'!$A:$A,M1521,'Barang Keluar'!$C:$C,N1521))</f>
        <v>0</v>
      </c>
    </row>
    <row r="1522" spans="13:16">
      <c r="M1522" s="49">
        <f>IF($A$4+15&gt;$B$4,"",$A$4+15)</f>
        <v>46038</v>
      </c>
      <c r="N1522" t="str">
        <f>IF(M1522="","",'Master Barang'!A16)</f>
        <v>PRL-015</v>
      </c>
      <c r="O1522" t="str">
        <f>IF(N1522="","",'Master Barang'!B16)</f>
        <v>optima trashbag 60x100</v>
      </c>
      <c r="P1522">
        <f>IF(OR(M1522="",N1522=""),"",SUMIFS('Barang Keluar'!$E:$E,'Barang Keluar'!$A:$A,M1522,'Barang Keluar'!$C:$C,N1522))</f>
        <v>0</v>
      </c>
    </row>
    <row r="1523" spans="13:16">
      <c r="M1523" s="49">
        <f>IF($A$4+15&gt;$B$4,"",$A$4+15)</f>
        <v>46038</v>
      </c>
      <c r="N1523" t="str">
        <f>IF(M1523="","",'Master Barang'!A17)</f>
        <v>PRL-016</v>
      </c>
      <c r="O1523" t="str">
        <f>IF(N1523="","",'Master Barang'!B17)</f>
        <v>rajawali trashbag 30x40</v>
      </c>
      <c r="P1523">
        <f>IF(OR(M1523="",N1523=""),"",SUMIFS('Barang Keluar'!$E:$E,'Barang Keluar'!$A:$A,M1523,'Barang Keluar'!$C:$C,N1523))</f>
        <v>0</v>
      </c>
    </row>
    <row r="1524" spans="13:16">
      <c r="M1524" s="49">
        <f>IF($A$4+15&gt;$B$4,"",$A$4+15)</f>
        <v>46038</v>
      </c>
      <c r="N1524" t="str">
        <f>IF(M1524="","",'Master Barang'!A18)</f>
        <v>PRL-017</v>
      </c>
      <c r="O1524" t="str">
        <f>IF(N1524="","",'Master Barang'!B18)</f>
        <v>onemed masker biru 3 play 50 pcs</v>
      </c>
      <c r="P1524">
        <f>IF(OR(M1524="",N1524=""),"",SUMIFS('Barang Keluar'!$E:$E,'Barang Keluar'!$A:$A,M1524,'Barang Keluar'!$C:$C,N1524))</f>
        <v>0</v>
      </c>
    </row>
    <row r="1525" spans="13:16">
      <c r="M1525" s="49">
        <f>IF($A$4+15&gt;$B$4,"",$A$4+15)</f>
        <v>46038</v>
      </c>
      <c r="N1525" t="str">
        <f>IF(M1525="","",'Master Barang'!A19)</f>
        <v>PRL-018</v>
      </c>
      <c r="O1525" t="str">
        <f>IF(N1525="","",'Master Barang'!B19)</f>
        <v>onemed masker biru 3 play hijab 50 pcs</v>
      </c>
      <c r="P1525">
        <f>IF(OR(M1525="",N1525=""),"",SUMIFS('Barang Keluar'!$E:$E,'Barang Keluar'!$A:$A,M1525,'Barang Keluar'!$C:$C,N1525))</f>
        <v>0</v>
      </c>
    </row>
    <row r="1526" spans="13:16">
      <c r="M1526" s="49">
        <f>IF($A$4+15&gt;$B$4,"",$A$4+15)</f>
        <v>46038</v>
      </c>
      <c r="N1526" t="str">
        <f>IF(M1526="","",'Master Barang'!A20)</f>
        <v>PRL-019</v>
      </c>
      <c r="O1526" t="str">
        <f>IF(N1526="","",'Master Barang'!B20)</f>
        <v>neo health masker biru 3 play 50 pcs</v>
      </c>
      <c r="P1526">
        <f>IF(OR(M1526="",N1526=""),"",SUMIFS('Barang Keluar'!$E:$E,'Barang Keluar'!$A:$A,M1526,'Barang Keluar'!$C:$C,N1526))</f>
        <v>0</v>
      </c>
    </row>
    <row r="1527" spans="13:16">
      <c r="M1527" s="49">
        <f>IF($A$4+15&gt;$B$4,"",$A$4+15)</f>
        <v>46038</v>
      </c>
      <c r="N1527" t="str">
        <f>IF(M1527="","",'Master Barang'!A21)</f>
        <v>PRL-020</v>
      </c>
      <c r="O1527" t="str">
        <f>IF(N1527="","",'Master Barang'!B21)</f>
        <v>baymed masker hijau 3 play hijau 50 pcs</v>
      </c>
      <c r="P1527">
        <f>IF(OR(M1527="",N1527=""),"",SUMIFS('Barang Keluar'!$E:$E,'Barang Keluar'!$A:$A,M1527,'Barang Keluar'!$C:$C,N1527))</f>
        <v>0</v>
      </c>
    </row>
    <row r="1528" spans="13:16">
      <c r="M1528" s="49">
        <f>IF($A$4+15&gt;$B$4,"",$A$4+15)</f>
        <v>46038</v>
      </c>
      <c r="N1528" t="str">
        <f>IF(M1528="","",'Master Barang'!A22)</f>
        <v>PRL-021</v>
      </c>
      <c r="O1528" t="str">
        <f>IF(N1528="","",'Master Barang'!B22)</f>
        <v>altamed nurse cap penutup kepala 100 pcs</v>
      </c>
      <c r="P1528">
        <f>IF(OR(M1528="",N1528=""),"",SUMIFS('Barang Keluar'!$E:$E,'Barang Keluar'!$A:$A,M1528,'Barang Keluar'!$C:$C,N1528))</f>
        <v>0</v>
      </c>
    </row>
    <row r="1529" spans="13:16">
      <c r="M1529" s="49">
        <f>IF($A$4+15&gt;$B$4,"",$A$4+15)</f>
        <v>46038</v>
      </c>
      <c r="N1529" t="str">
        <f>IF(M1529="","",'Master Barang'!A23)</f>
        <v>PRL-022</v>
      </c>
      <c r="O1529" t="str">
        <f>IF(N1529="","",'Master Barang'!B23)</f>
        <v>sabun cuci tangan</v>
      </c>
      <c r="P1529">
        <f>IF(OR(M1529="",N1529=""),"",SUMIFS('Barang Keluar'!$E:$E,'Barang Keluar'!$A:$A,M1529,'Barang Keluar'!$C:$C,N1529))</f>
        <v>0</v>
      </c>
    </row>
    <row r="1530" spans="13:16">
      <c r="M1530" s="49">
        <f>IF($A$4+15&gt;$B$4,"",$A$4+15)</f>
        <v>46038</v>
      </c>
      <c r="N1530" t="str">
        <f>IF(M1530="","",'Master Barang'!A24)</f>
        <v>PRL-023</v>
      </c>
      <c r="O1530" t="str">
        <f>IF(N1530="","",'Master Barang'!B24)</f>
        <v>gayung kecil</v>
      </c>
      <c r="P1530">
        <f>IF(OR(M1530="",N1530=""),"",SUMIFS('Barang Keluar'!$E:$E,'Barang Keluar'!$A:$A,M1530,'Barang Keluar'!$C:$C,N1530))</f>
        <v>0</v>
      </c>
    </row>
    <row r="1531" spans="13:16">
      <c r="M1531" s="49">
        <f>IF($A$4+15&gt;$B$4,"",$A$4+15)</f>
        <v>46038</v>
      </c>
      <c r="N1531" t="str">
        <f>IF(M1531="","",'Master Barang'!A25)</f>
        <v>PRL-024</v>
      </c>
      <c r="O1531" t="str">
        <f>IF(N1531="","",'Master Barang'!B25)</f>
        <v>cikrak kecil</v>
      </c>
      <c r="P1531">
        <f>IF(OR(M1531="",N1531=""),"",SUMIFS('Barang Keluar'!$E:$E,'Barang Keluar'!$A:$A,M1531,'Barang Keluar'!$C:$C,N1531))</f>
        <v>0</v>
      </c>
    </row>
    <row r="1532" spans="13:16">
      <c r="M1532" s="49">
        <f>IF($A$4+15&gt;$B$4,"",$A$4+15)</f>
        <v>46038</v>
      </c>
      <c r="N1532" t="str">
        <f>IF(M1532="","",'Master Barang'!A26)</f>
        <v>PRL-025</v>
      </c>
      <c r="O1532" t="str">
        <f>IF(N1532="","",'Master Barang'!B26)</f>
        <v>petromax plastik kecil 12x24 100 lembar</v>
      </c>
      <c r="P1532">
        <f>IF(OR(M1532="",N1532=""),"",SUMIFS('Barang Keluar'!$E:$E,'Barang Keluar'!$A:$A,M1532,'Barang Keluar'!$C:$C,N1532))</f>
        <v>0</v>
      </c>
    </row>
    <row r="1533" spans="13:16">
      <c r="M1533" s="49">
        <f>IF($A$4+15&gt;$B$4,"",$A$4+15)</f>
        <v>46038</v>
      </c>
      <c r="N1533" t="str">
        <f>IF(M1533="","",'Master Barang'!A27)</f>
        <v>PRL-026</v>
      </c>
      <c r="O1533" t="str">
        <f>IF(N1533="","",'Master Barang'!B27)</f>
        <v>lancar kresek kecil bening </v>
      </c>
      <c r="P1533">
        <f>IF(OR(M1533="",N1533=""),"",SUMIFS('Barang Keluar'!$E:$E,'Barang Keluar'!$A:$A,M1533,'Barang Keluar'!$C:$C,N1533))</f>
        <v>0</v>
      </c>
    </row>
    <row r="1534" spans="13:16">
      <c r="M1534" s="49">
        <f>IF($A$4+15&gt;$B$4,"",$A$4+15)</f>
        <v>46038</v>
      </c>
      <c r="N1534" t="str">
        <f>IF(M1534="","",'Master Barang'!A28)</f>
        <v>PRL-027</v>
      </c>
      <c r="O1534" t="str">
        <f>IF(N1534="","",'Master Barang'!B28)</f>
        <v>kresek klin warna warni kecil</v>
      </c>
      <c r="P1534">
        <f>IF(OR(M1534="",N1534=""),"",SUMIFS('Barang Keluar'!$E:$E,'Barang Keluar'!$A:$A,M1534,'Barang Keluar'!$C:$C,N1534))</f>
        <v>0</v>
      </c>
    </row>
    <row r="1535" spans="13:16">
      <c r="M1535" s="49">
        <f>IF($A$4+15&gt;$B$4,"",$A$4+15)</f>
        <v>46038</v>
      </c>
      <c r="N1535" t="str">
        <f>IF(M1535="","",'Master Barang'!A29)</f>
        <v>PRL-028</v>
      </c>
      <c r="O1535" t="str">
        <f>IF(N1535="","",'Master Barang'!B29)</f>
        <v>ctik plastik 7x10 100 pcs</v>
      </c>
      <c r="P1535">
        <f>IF(OR(M1535="",N1535=""),"",SUMIFS('Barang Keluar'!$E:$E,'Barang Keluar'!$A:$A,M1535,'Barang Keluar'!$C:$C,N1535))</f>
        <v>0</v>
      </c>
    </row>
    <row r="1536" spans="13:16">
      <c r="M1536" s="49">
        <f>IF($A$4+15&gt;$B$4,"",$A$4+15)</f>
        <v>46038</v>
      </c>
      <c r="N1536" t="str">
        <f>IF(M1536="","",'Master Barang'!A30)</f>
        <v>PRL-029</v>
      </c>
      <c r="O1536" t="str">
        <f>IF(N1536="","",'Master Barang'!B30)</f>
        <v>ctik plastik 6x10 100 pcs</v>
      </c>
      <c r="P1536">
        <f>IF(OR(M1536="",N1536=""),"",SUMIFS('Barang Keluar'!$E:$E,'Barang Keluar'!$A:$A,M1536,'Barang Keluar'!$C:$C,N1536))</f>
        <v>0</v>
      </c>
    </row>
    <row r="1537" spans="13:16">
      <c r="M1537" s="49">
        <f>IF($A$4+15&gt;$B$4,"",$A$4+15)</f>
        <v>46038</v>
      </c>
      <c r="N1537" t="str">
        <f>IF(M1537="","",'Master Barang'!A31)</f>
        <v>PRL-030</v>
      </c>
      <c r="O1537" t="str">
        <f>IF(N1537="","",'Master Barang'!B31)</f>
        <v>klip plastik 25x16 100 pcs</v>
      </c>
      <c r="P1537">
        <f>IF(OR(M1537="",N1537=""),"",SUMIFS('Barang Keluar'!$E:$E,'Barang Keluar'!$A:$A,M1537,'Barang Keluar'!$C:$C,N1537))</f>
        <v>0</v>
      </c>
    </row>
    <row r="1538" spans="13:16">
      <c r="M1538" s="49">
        <f>IF($A$4+15&gt;$B$4,"",$A$4+15)</f>
        <v>46038</v>
      </c>
      <c r="N1538" t="str">
        <f>IF(M1538="","",'Master Barang'!A32)</f>
        <v>PRL-031</v>
      </c>
      <c r="O1538" t="str">
        <f>IF(N1538="","",'Master Barang'!B32)</f>
        <v>tempat saus 20 ml</v>
      </c>
      <c r="P1538">
        <f>IF(OR(M1538="",N1538=""),"",SUMIFS('Barang Keluar'!$E:$E,'Barang Keluar'!$A:$A,M1538,'Barang Keluar'!$C:$C,N1538))</f>
        <v>0</v>
      </c>
    </row>
    <row r="1539" spans="13:16">
      <c r="M1539" s="49">
        <f>IF($A$4+15&gt;$B$4,"",$A$4+15)</f>
        <v>46038</v>
      </c>
      <c r="N1539" t="str">
        <f>IF(M1539="","",'Master Barang'!A33)</f>
        <v>PRL-032</v>
      </c>
      <c r="O1539" t="str">
        <f>IF(N1539="","",'Master Barang'!B33)</f>
        <v>plastik packaging ag box uk sedang</v>
      </c>
      <c r="P1539">
        <f>IF(OR(M1539="",N1539=""),"",SUMIFS('Barang Keluar'!$E:$E,'Barang Keluar'!$A:$A,M1539,'Barang Keluar'!$C:$C,N1539))</f>
        <v>0</v>
      </c>
    </row>
    <row r="1540" spans="13:16">
      <c r="M1540" s="49">
        <f>IF($A$4+15&gt;$B$4,"",$A$4+15)</f>
        <v>46038</v>
      </c>
      <c r="N1540" t="str">
        <f>IF(M1540="","",'Master Barang'!A34)</f>
        <v>PRL-033</v>
      </c>
      <c r="O1540">
        <f>IF(N1540="","",'Master Barang'!B34)</f>
        <v>0</v>
      </c>
      <c r="P1540">
        <f>IF(OR(M1540="",N1540=""),"",SUMIFS('Barang Keluar'!$E:$E,'Barang Keluar'!$A:$A,M1540,'Barang Keluar'!$C:$C,N1540))</f>
        <v>0</v>
      </c>
    </row>
    <row r="1541" spans="13:16">
      <c r="M1541" s="49">
        <f>IF($A$4+15&gt;$B$4,"",$A$4+15)</f>
        <v>46038</v>
      </c>
      <c r="N1541">
        <f>IF(M1541="","",'Master Barang'!A35)</f>
        <v>0</v>
      </c>
      <c r="O1541">
        <f>IF(N1541="","",'Master Barang'!B35)</f>
        <v>0</v>
      </c>
      <c r="P1541">
        <f>IF(OR(M1541="",N1541=""),"",SUMIFS('Barang Keluar'!$E:$E,'Barang Keluar'!$A:$A,M1541,'Barang Keluar'!$C:$C,N1541))</f>
        <v>0</v>
      </c>
    </row>
    <row r="1542" spans="13:16">
      <c r="M1542" s="49">
        <f>IF($A$4+15&gt;$B$4,"",$A$4+15)</f>
        <v>46038</v>
      </c>
      <c r="N1542">
        <f>IF(M1542="","",'Master Barang'!A36)</f>
        <v>0</v>
      </c>
      <c r="O1542">
        <f>IF(N1542="","",'Master Barang'!B36)</f>
        <v>0</v>
      </c>
      <c r="P1542">
        <f>IF(OR(M1542="",N1542=""),"",SUMIFS('Barang Keluar'!$E:$E,'Barang Keluar'!$A:$A,M1542,'Barang Keluar'!$C:$C,N1542))</f>
        <v>0</v>
      </c>
    </row>
    <row r="1543" spans="13:16">
      <c r="M1543" s="49">
        <f>IF($A$4+15&gt;$B$4,"",$A$4+15)</f>
        <v>46038</v>
      </c>
      <c r="N1543">
        <f>IF(M1543="","",'Master Barang'!A37)</f>
        <v>0</v>
      </c>
      <c r="O1543">
        <f>IF(N1543="","",'Master Barang'!B37)</f>
        <v>0</v>
      </c>
      <c r="P1543">
        <f>IF(OR(M1543="",N1543=""),"",SUMIFS('Barang Keluar'!$E:$E,'Barang Keluar'!$A:$A,M1543,'Barang Keluar'!$C:$C,N1543))</f>
        <v>0</v>
      </c>
    </row>
    <row r="1544" spans="13:16">
      <c r="M1544" s="49">
        <f>IF($A$4+15&gt;$B$4,"",$A$4+15)</f>
        <v>46038</v>
      </c>
      <c r="N1544">
        <f>IF(M1544="","",'Master Barang'!A38)</f>
        <v>0</v>
      </c>
      <c r="O1544">
        <f>IF(N1544="","",'Master Barang'!B38)</f>
        <v>0</v>
      </c>
      <c r="P1544">
        <f>IF(OR(M1544="",N1544=""),"",SUMIFS('Barang Keluar'!$E:$E,'Barang Keluar'!$A:$A,M1544,'Barang Keluar'!$C:$C,N1544))</f>
        <v>0</v>
      </c>
    </row>
    <row r="1545" spans="13:16">
      <c r="M1545" s="49">
        <f>IF($A$4+15&gt;$B$4,"",$A$4+15)</f>
        <v>46038</v>
      </c>
      <c r="N1545">
        <f>IF(M1545="","",'Master Barang'!A39)</f>
        <v>0</v>
      </c>
      <c r="O1545">
        <f>IF(N1545="","",'Master Barang'!B39)</f>
        <v>0</v>
      </c>
      <c r="P1545">
        <f>IF(OR(M1545="",N1545=""),"",SUMIFS('Barang Keluar'!$E:$E,'Barang Keluar'!$A:$A,M1545,'Barang Keluar'!$C:$C,N1545))</f>
        <v>0</v>
      </c>
    </row>
    <row r="1546" spans="13:16">
      <c r="M1546" s="49">
        <f>IF($A$4+15&gt;$B$4,"",$A$4+15)</f>
        <v>46038</v>
      </c>
      <c r="N1546">
        <f>IF(M1546="","",'Master Barang'!A40)</f>
        <v>0</v>
      </c>
      <c r="O1546">
        <f>IF(N1546="","",'Master Barang'!B40)</f>
        <v>0</v>
      </c>
      <c r="P1546">
        <f>IF(OR(M1546="",N1546=""),"",SUMIFS('Barang Keluar'!$E:$E,'Barang Keluar'!$A:$A,M1546,'Barang Keluar'!$C:$C,N1546))</f>
        <v>0</v>
      </c>
    </row>
    <row r="1547" spans="13:16">
      <c r="M1547" s="49">
        <f>IF($A$4+15&gt;$B$4,"",$A$4+15)</f>
        <v>46038</v>
      </c>
      <c r="N1547">
        <f>IF(M1547="","",'Master Barang'!A41)</f>
        <v>0</v>
      </c>
      <c r="O1547">
        <f>IF(N1547="","",'Master Barang'!B41)</f>
        <v>0</v>
      </c>
      <c r="P1547">
        <f>IF(OR(M1547="",N1547=""),"",SUMIFS('Barang Keluar'!$E:$E,'Barang Keluar'!$A:$A,M1547,'Barang Keluar'!$C:$C,N1547))</f>
        <v>0</v>
      </c>
    </row>
    <row r="1548" spans="13:16">
      <c r="M1548" s="49">
        <f>IF($A$4+15&gt;$B$4,"",$A$4+15)</f>
        <v>46038</v>
      </c>
      <c r="N1548">
        <f>IF(M1548="","",'Master Barang'!A42)</f>
        <v>0</v>
      </c>
      <c r="O1548">
        <f>IF(N1548="","",'Master Barang'!B42)</f>
        <v>0</v>
      </c>
      <c r="P1548">
        <f>IF(OR(M1548="",N1548=""),"",SUMIFS('Barang Keluar'!$E:$E,'Barang Keluar'!$A:$A,M1548,'Barang Keluar'!$C:$C,N1548))</f>
        <v>0</v>
      </c>
    </row>
    <row r="1549" spans="13:16">
      <c r="M1549" s="49">
        <f>IF($A$4+15&gt;$B$4,"",$A$4+15)</f>
        <v>46038</v>
      </c>
      <c r="N1549">
        <f>IF(M1549="","",'Master Barang'!A43)</f>
        <v>0</v>
      </c>
      <c r="O1549">
        <f>IF(N1549="","",'Master Barang'!B43)</f>
        <v>0</v>
      </c>
      <c r="P1549">
        <f>IF(OR(M1549="",N1549=""),"",SUMIFS('Barang Keluar'!$E:$E,'Barang Keluar'!$A:$A,M1549,'Barang Keluar'!$C:$C,N1549))</f>
        <v>0</v>
      </c>
    </row>
    <row r="1550" spans="13:16">
      <c r="M1550" s="49">
        <f>IF($A$4+15&gt;$B$4,"",$A$4+15)</f>
        <v>46038</v>
      </c>
      <c r="N1550">
        <f>IF(M1550="","",'Master Barang'!A44)</f>
        <v>0</v>
      </c>
      <c r="O1550">
        <f>IF(N1550="","",'Master Barang'!B44)</f>
        <v>0</v>
      </c>
      <c r="P1550">
        <f>IF(OR(M1550="",N1550=""),"",SUMIFS('Barang Keluar'!$E:$E,'Barang Keluar'!$A:$A,M1550,'Barang Keluar'!$C:$C,N1550))</f>
        <v>0</v>
      </c>
    </row>
    <row r="1551" spans="13:16">
      <c r="M1551" s="49">
        <f>IF($A$4+15&gt;$B$4,"",$A$4+15)</f>
        <v>46038</v>
      </c>
      <c r="N1551">
        <f>IF(M1551="","",'Master Barang'!A45)</f>
        <v>0</v>
      </c>
      <c r="O1551">
        <f>IF(N1551="","",'Master Barang'!B45)</f>
        <v>0</v>
      </c>
      <c r="P1551">
        <f>IF(OR(M1551="",N1551=""),"",SUMIFS('Barang Keluar'!$E:$E,'Barang Keluar'!$A:$A,M1551,'Barang Keluar'!$C:$C,N1551))</f>
        <v>0</v>
      </c>
    </row>
    <row r="1552" spans="13:16">
      <c r="M1552" s="49">
        <f>IF($A$4+15&gt;$B$4,"",$A$4+15)</f>
        <v>46038</v>
      </c>
      <c r="N1552">
        <f>IF(M1552="","",'Master Barang'!A46)</f>
        <v>0</v>
      </c>
      <c r="O1552">
        <f>IF(N1552="","",'Master Barang'!B46)</f>
        <v>0</v>
      </c>
      <c r="P1552">
        <f>IF(OR(M1552="",N1552=""),"",SUMIFS('Barang Keluar'!$E:$E,'Barang Keluar'!$A:$A,M1552,'Barang Keluar'!$C:$C,N1552))</f>
        <v>0</v>
      </c>
    </row>
    <row r="1553" spans="13:16">
      <c r="M1553" s="49">
        <f>IF($A$4+15&gt;$B$4,"",$A$4+15)</f>
        <v>46038</v>
      </c>
      <c r="N1553">
        <f>IF(M1553="","",'Master Barang'!A47)</f>
        <v>0</v>
      </c>
      <c r="O1553">
        <f>IF(N1553="","",'Master Barang'!B47)</f>
        <v>0</v>
      </c>
      <c r="P1553">
        <f>IF(OR(M1553="",N1553=""),"",SUMIFS('Barang Keluar'!$E:$E,'Barang Keluar'!$A:$A,M1553,'Barang Keluar'!$C:$C,N1553))</f>
        <v>0</v>
      </c>
    </row>
    <row r="1554" spans="13:16">
      <c r="M1554" s="49">
        <f>IF($A$4+15&gt;$B$4,"",$A$4+15)</f>
        <v>46038</v>
      </c>
      <c r="N1554">
        <f>IF(M1554="","",'Master Barang'!A48)</f>
        <v>0</v>
      </c>
      <c r="O1554">
        <f>IF(N1554="","",'Master Barang'!B48)</f>
        <v>0</v>
      </c>
      <c r="P1554">
        <f>IF(OR(M1554="",N1554=""),"",SUMIFS('Barang Keluar'!$E:$E,'Barang Keluar'!$A:$A,M1554,'Barang Keluar'!$C:$C,N1554))</f>
        <v>0</v>
      </c>
    </row>
    <row r="1555" spans="13:16">
      <c r="M1555" s="49">
        <f>IF($A$4+15&gt;$B$4,"",$A$4+15)</f>
        <v>46038</v>
      </c>
      <c r="N1555">
        <f>IF(M1555="","",'Master Barang'!A49)</f>
        <v>0</v>
      </c>
      <c r="O1555">
        <f>IF(N1555="","",'Master Barang'!B49)</f>
        <v>0</v>
      </c>
      <c r="P1555">
        <f>IF(OR(M1555="",N1555=""),"",SUMIFS('Barang Keluar'!$E:$E,'Barang Keluar'!$A:$A,M1555,'Barang Keluar'!$C:$C,N1555))</f>
        <v>0</v>
      </c>
    </row>
    <row r="1556" spans="13:16">
      <c r="M1556" s="49">
        <f>IF($A$4+15&gt;$B$4,"",$A$4+15)</f>
        <v>46038</v>
      </c>
      <c r="N1556">
        <f>IF(M1556="","",'Master Barang'!A50)</f>
        <v>0</v>
      </c>
      <c r="O1556">
        <f>IF(N1556="","",'Master Barang'!B50)</f>
        <v>0</v>
      </c>
      <c r="P1556">
        <f>IF(OR(M1556="",N1556=""),"",SUMIFS('Barang Keluar'!$E:$E,'Barang Keluar'!$A:$A,M1556,'Barang Keluar'!$C:$C,N1556))</f>
        <v>0</v>
      </c>
    </row>
    <row r="1557" spans="13:16">
      <c r="M1557" s="49">
        <f>IF($A$4+15&gt;$B$4,"",$A$4+15)</f>
        <v>46038</v>
      </c>
      <c r="N1557">
        <f>IF(M1557="","",'Master Barang'!A51)</f>
        <v>0</v>
      </c>
      <c r="O1557">
        <f>IF(N1557="","",'Master Barang'!B51)</f>
        <v>0</v>
      </c>
      <c r="P1557">
        <f>IF(OR(M1557="",N1557=""),"",SUMIFS('Barang Keluar'!$E:$E,'Barang Keluar'!$A:$A,M1557,'Barang Keluar'!$C:$C,N1557))</f>
        <v>0</v>
      </c>
    </row>
    <row r="1558" spans="13:16">
      <c r="M1558" s="49">
        <f>IF($A$4+15&gt;$B$4,"",$A$4+15)</f>
        <v>46038</v>
      </c>
      <c r="N1558">
        <f>IF(M1558="","",'Master Barang'!A52)</f>
        <v>0</v>
      </c>
      <c r="O1558">
        <f>IF(N1558="","",'Master Barang'!B52)</f>
        <v>0</v>
      </c>
      <c r="P1558">
        <f>IF(OR(M1558="",N1558=""),"",SUMIFS('Barang Keluar'!$E:$E,'Barang Keluar'!$A:$A,M1558,'Barang Keluar'!$C:$C,N1558))</f>
        <v>0</v>
      </c>
    </row>
    <row r="1559" spans="13:16">
      <c r="M1559" s="49">
        <f>IF($A$4+15&gt;$B$4,"",$A$4+15)</f>
        <v>46038</v>
      </c>
      <c r="N1559">
        <f>IF(M1559="","",'Master Barang'!A53)</f>
        <v>0</v>
      </c>
      <c r="O1559">
        <f>IF(N1559="","",'Master Barang'!B53)</f>
        <v>0</v>
      </c>
      <c r="P1559">
        <f>IF(OR(M1559="",N1559=""),"",SUMIFS('Barang Keluar'!$E:$E,'Barang Keluar'!$A:$A,M1559,'Barang Keluar'!$C:$C,N1559))</f>
        <v>0</v>
      </c>
    </row>
    <row r="1560" spans="13:16">
      <c r="M1560" s="49">
        <f>IF($A$4+15&gt;$B$4,"",$A$4+15)</f>
        <v>46038</v>
      </c>
      <c r="N1560">
        <f>IF(M1560="","",'Master Barang'!A54)</f>
        <v>0</v>
      </c>
      <c r="O1560">
        <f>IF(N1560="","",'Master Barang'!B54)</f>
        <v>0</v>
      </c>
      <c r="P1560">
        <f>IF(OR(M1560="",N1560=""),"",SUMIFS('Barang Keluar'!$E:$E,'Barang Keluar'!$A:$A,M1560,'Barang Keluar'!$C:$C,N1560))</f>
        <v>0</v>
      </c>
    </row>
    <row r="1561" spans="13:16">
      <c r="M1561" s="49">
        <f>IF($A$4+15&gt;$B$4,"",$A$4+15)</f>
        <v>46038</v>
      </c>
      <c r="N1561">
        <f>IF(M1561="","",'Master Barang'!A55)</f>
        <v>0</v>
      </c>
      <c r="O1561">
        <f>IF(N1561="","",'Master Barang'!B55)</f>
        <v>0</v>
      </c>
      <c r="P1561">
        <f>IF(OR(M1561="",N1561=""),"",SUMIFS('Barang Keluar'!$E:$E,'Barang Keluar'!$A:$A,M1561,'Barang Keluar'!$C:$C,N1561))</f>
        <v>0</v>
      </c>
    </row>
    <row r="1562" spans="13:16">
      <c r="M1562" s="49">
        <f>IF($A$4+15&gt;$B$4,"",$A$4+15)</f>
        <v>46038</v>
      </c>
      <c r="N1562">
        <f>IF(M1562="","",'Master Barang'!A56)</f>
        <v>0</v>
      </c>
      <c r="O1562">
        <f>IF(N1562="","",'Master Barang'!B56)</f>
        <v>0</v>
      </c>
      <c r="P1562">
        <f>IF(OR(M1562="",N1562=""),"",SUMIFS('Barang Keluar'!$E:$E,'Barang Keluar'!$A:$A,M1562,'Barang Keluar'!$C:$C,N1562))</f>
        <v>0</v>
      </c>
    </row>
    <row r="1563" spans="13:16">
      <c r="M1563" s="49">
        <f>IF($A$4+15&gt;$B$4,"",$A$4+15)</f>
        <v>46038</v>
      </c>
      <c r="N1563">
        <f>IF(M1563="","",'Master Barang'!A57)</f>
        <v>0</v>
      </c>
      <c r="O1563">
        <f>IF(N1563="","",'Master Barang'!B57)</f>
        <v>0</v>
      </c>
      <c r="P1563">
        <f>IF(OR(M1563="",N1563=""),"",SUMIFS('Barang Keluar'!$E:$E,'Barang Keluar'!$A:$A,M1563,'Barang Keluar'!$C:$C,N1563))</f>
        <v>0</v>
      </c>
    </row>
    <row r="1564" spans="13:16">
      <c r="M1564" s="49">
        <f>IF($A$4+15&gt;$B$4,"",$A$4+15)</f>
        <v>46038</v>
      </c>
      <c r="N1564">
        <f>IF(M1564="","",'Master Barang'!A58)</f>
        <v>0</v>
      </c>
      <c r="O1564">
        <f>IF(N1564="","",'Master Barang'!B58)</f>
        <v>0</v>
      </c>
      <c r="P1564">
        <f>IF(OR(M1564="",N1564=""),"",SUMIFS('Barang Keluar'!$E:$E,'Barang Keluar'!$A:$A,M1564,'Barang Keluar'!$C:$C,N1564))</f>
        <v>0</v>
      </c>
    </row>
    <row r="1565" spans="13:16">
      <c r="M1565" s="49">
        <f>IF($A$4+15&gt;$B$4,"",$A$4+15)</f>
        <v>46038</v>
      </c>
      <c r="N1565">
        <f>IF(M1565="","",'Master Barang'!A59)</f>
        <v>0</v>
      </c>
      <c r="O1565">
        <f>IF(N1565="","",'Master Barang'!B59)</f>
        <v>0</v>
      </c>
      <c r="P1565">
        <f>IF(OR(M1565="",N1565=""),"",SUMIFS('Barang Keluar'!$E:$E,'Barang Keluar'!$A:$A,M1565,'Barang Keluar'!$C:$C,N1565))</f>
        <v>0</v>
      </c>
    </row>
    <row r="1566" spans="13:16">
      <c r="M1566" s="49">
        <f>IF($A$4+15&gt;$B$4,"",$A$4+15)</f>
        <v>46038</v>
      </c>
      <c r="N1566">
        <f>IF(M1566="","",'Master Barang'!A60)</f>
        <v>0</v>
      </c>
      <c r="O1566">
        <f>IF(N1566="","",'Master Barang'!B60)</f>
        <v>0</v>
      </c>
      <c r="P1566">
        <f>IF(OR(M1566="",N1566=""),"",SUMIFS('Barang Keluar'!$E:$E,'Barang Keluar'!$A:$A,M1566,'Barang Keluar'!$C:$C,N1566))</f>
        <v>0</v>
      </c>
    </row>
    <row r="1567" spans="13:16">
      <c r="M1567" s="49">
        <f>IF($A$4+15&gt;$B$4,"",$A$4+15)</f>
        <v>46038</v>
      </c>
      <c r="N1567">
        <f>IF(M1567="","",'Master Barang'!A61)</f>
        <v>0</v>
      </c>
      <c r="O1567">
        <f>IF(N1567="","",'Master Barang'!B61)</f>
        <v>0</v>
      </c>
      <c r="P1567">
        <f>IF(OR(M1567="",N1567=""),"",SUMIFS('Barang Keluar'!$E:$E,'Barang Keluar'!$A:$A,M1567,'Barang Keluar'!$C:$C,N1567))</f>
        <v>0</v>
      </c>
    </row>
    <row r="1568" spans="13:16">
      <c r="M1568" s="49">
        <f>IF($A$4+15&gt;$B$4,"",$A$4+15)</f>
        <v>46038</v>
      </c>
      <c r="N1568">
        <f>IF(M1568="","",'Master Barang'!A62)</f>
        <v>0</v>
      </c>
      <c r="O1568">
        <f>IF(N1568="","",'Master Barang'!B62)</f>
        <v>0</v>
      </c>
      <c r="P1568">
        <f>IF(OR(M1568="",N1568=""),"",SUMIFS('Barang Keluar'!$E:$E,'Barang Keluar'!$A:$A,M1568,'Barang Keluar'!$C:$C,N1568))</f>
        <v>0</v>
      </c>
    </row>
    <row r="1569" spans="13:16">
      <c r="M1569" s="49">
        <f>IF($A$4+15&gt;$B$4,"",$A$4+15)</f>
        <v>46038</v>
      </c>
      <c r="N1569">
        <f>IF(M1569="","",'Master Barang'!A63)</f>
        <v>0</v>
      </c>
      <c r="O1569">
        <f>IF(N1569="","",'Master Barang'!B63)</f>
        <v>0</v>
      </c>
      <c r="P1569">
        <f>IF(OR(M1569="",N1569=""),"",SUMIFS('Barang Keluar'!$E:$E,'Barang Keluar'!$A:$A,M1569,'Barang Keluar'!$C:$C,N1569))</f>
        <v>0</v>
      </c>
    </row>
    <row r="1570" spans="13:16">
      <c r="M1570" s="49">
        <f>IF($A$4+15&gt;$B$4,"",$A$4+15)</f>
        <v>46038</v>
      </c>
      <c r="N1570">
        <f>IF(M1570="","",'Master Barang'!A64)</f>
        <v>0</v>
      </c>
      <c r="O1570">
        <f>IF(N1570="","",'Master Barang'!B64)</f>
        <v>0</v>
      </c>
      <c r="P1570">
        <f>IF(OR(M1570="",N1570=""),"",SUMIFS('Barang Keluar'!$E:$E,'Barang Keluar'!$A:$A,M1570,'Barang Keluar'!$C:$C,N1570))</f>
        <v>0</v>
      </c>
    </row>
    <row r="1571" spans="13:16">
      <c r="M1571" s="49">
        <f>IF($A$4+15&gt;$B$4,"",$A$4+15)</f>
        <v>46038</v>
      </c>
      <c r="N1571">
        <f>IF(M1571="","",'Master Barang'!A65)</f>
        <v>0</v>
      </c>
      <c r="O1571">
        <f>IF(N1571="","",'Master Barang'!B65)</f>
        <v>0</v>
      </c>
      <c r="P1571">
        <f>IF(OR(M1571="",N1571=""),"",SUMIFS('Barang Keluar'!$E:$E,'Barang Keluar'!$A:$A,M1571,'Barang Keluar'!$C:$C,N1571))</f>
        <v>0</v>
      </c>
    </row>
    <row r="1572" spans="13:16">
      <c r="M1572" s="49">
        <f>IF($A$4+15&gt;$B$4,"",$A$4+15)</f>
        <v>46038</v>
      </c>
      <c r="N1572">
        <f>IF(M1572="","",'Master Barang'!A66)</f>
        <v>0</v>
      </c>
      <c r="O1572">
        <f>IF(N1572="","",'Master Barang'!B66)</f>
        <v>0</v>
      </c>
      <c r="P1572">
        <f>IF(OR(M1572="",N1572=""),"",SUMIFS('Barang Keluar'!$E:$E,'Barang Keluar'!$A:$A,M1572,'Barang Keluar'!$C:$C,N1572))</f>
        <v>0</v>
      </c>
    </row>
    <row r="1573" spans="13:16">
      <c r="M1573" s="49">
        <f>IF($A$4+15&gt;$B$4,"",$A$4+15)</f>
        <v>46038</v>
      </c>
      <c r="N1573">
        <f>IF(M1573="","",'Master Barang'!A67)</f>
        <v>0</v>
      </c>
      <c r="O1573">
        <f>IF(N1573="","",'Master Barang'!B67)</f>
        <v>0</v>
      </c>
      <c r="P1573">
        <f>IF(OR(M1573="",N1573=""),"",SUMIFS('Barang Keluar'!$E:$E,'Barang Keluar'!$A:$A,M1573,'Barang Keluar'!$C:$C,N1573))</f>
        <v>0</v>
      </c>
    </row>
    <row r="1574" spans="13:16">
      <c r="M1574" s="49">
        <f>IF($A$4+15&gt;$B$4,"",$A$4+15)</f>
        <v>46038</v>
      </c>
      <c r="N1574">
        <f>IF(M1574="","",'Master Barang'!A68)</f>
        <v>0</v>
      </c>
      <c r="O1574">
        <f>IF(N1574="","",'Master Barang'!B68)</f>
        <v>0</v>
      </c>
      <c r="P1574">
        <f>IF(OR(M1574="",N1574=""),"",SUMIFS('Barang Keluar'!$E:$E,'Barang Keluar'!$A:$A,M1574,'Barang Keluar'!$C:$C,N1574))</f>
        <v>0</v>
      </c>
    </row>
    <row r="1575" spans="13:16">
      <c r="M1575" s="49">
        <f>IF($A$4+15&gt;$B$4,"",$A$4+15)</f>
        <v>46038</v>
      </c>
      <c r="N1575">
        <f>IF(M1575="","",'Master Barang'!A69)</f>
        <v>0</v>
      </c>
      <c r="O1575">
        <f>IF(N1575="","",'Master Barang'!B69)</f>
        <v>0</v>
      </c>
      <c r="P1575">
        <f>IF(OR(M1575="",N1575=""),"",SUMIFS('Barang Keluar'!$E:$E,'Barang Keluar'!$A:$A,M1575,'Barang Keluar'!$C:$C,N1575))</f>
        <v>0</v>
      </c>
    </row>
    <row r="1576" spans="13:16">
      <c r="M1576" s="49">
        <f>IF($A$4+15&gt;$B$4,"",$A$4+15)</f>
        <v>46038</v>
      </c>
      <c r="N1576">
        <f>IF(M1576="","",'Master Barang'!A70)</f>
        <v>0</v>
      </c>
      <c r="O1576">
        <f>IF(N1576="","",'Master Barang'!B70)</f>
        <v>0</v>
      </c>
      <c r="P1576">
        <f>IF(OR(M1576="",N1576=""),"",SUMIFS('Barang Keluar'!$E:$E,'Barang Keluar'!$A:$A,M1576,'Barang Keluar'!$C:$C,N1576))</f>
        <v>0</v>
      </c>
    </row>
    <row r="1577" spans="13:16">
      <c r="M1577" s="49">
        <f>IF($A$4+15&gt;$B$4,"",$A$4+15)</f>
        <v>46038</v>
      </c>
      <c r="N1577">
        <f>IF(M1577="","",'Master Barang'!A71)</f>
        <v>0</v>
      </c>
      <c r="O1577">
        <f>IF(N1577="","",'Master Barang'!B71)</f>
        <v>0</v>
      </c>
      <c r="P1577">
        <f>IF(OR(M1577="",N1577=""),"",SUMIFS('Barang Keluar'!$E:$E,'Barang Keluar'!$A:$A,M1577,'Barang Keluar'!$C:$C,N1577))</f>
        <v>0</v>
      </c>
    </row>
    <row r="1578" spans="13:16">
      <c r="M1578" s="49">
        <f>IF($A$4+15&gt;$B$4,"",$A$4+15)</f>
        <v>46038</v>
      </c>
      <c r="N1578">
        <f>IF(M1578="","",'Master Barang'!A72)</f>
        <v>0</v>
      </c>
      <c r="O1578">
        <f>IF(N1578="","",'Master Barang'!B72)</f>
        <v>0</v>
      </c>
      <c r="P1578">
        <f>IF(OR(M1578="",N1578=""),"",SUMIFS('Barang Keluar'!$E:$E,'Barang Keluar'!$A:$A,M1578,'Barang Keluar'!$C:$C,N1578))</f>
        <v>0</v>
      </c>
    </row>
    <row r="1579" spans="13:16">
      <c r="M1579" s="49">
        <f>IF($A$4+15&gt;$B$4,"",$A$4+15)</f>
        <v>46038</v>
      </c>
      <c r="N1579">
        <f>IF(M1579="","",'Master Barang'!A73)</f>
        <v>0</v>
      </c>
      <c r="O1579">
        <f>IF(N1579="","",'Master Barang'!B73)</f>
        <v>0</v>
      </c>
      <c r="P1579">
        <f>IF(OR(M1579="",N1579=""),"",SUMIFS('Barang Keluar'!$E:$E,'Barang Keluar'!$A:$A,M1579,'Barang Keluar'!$C:$C,N1579))</f>
        <v>0</v>
      </c>
    </row>
    <row r="1580" spans="13:16">
      <c r="M1580" s="49">
        <f>IF($A$4+15&gt;$B$4,"",$A$4+15)</f>
        <v>46038</v>
      </c>
      <c r="N1580">
        <f>IF(M1580="","",'Master Barang'!A74)</f>
        <v>0</v>
      </c>
      <c r="O1580">
        <f>IF(N1580="","",'Master Barang'!B74)</f>
        <v>0</v>
      </c>
      <c r="P1580">
        <f>IF(OR(M1580="",N1580=""),"",SUMIFS('Barang Keluar'!$E:$E,'Barang Keluar'!$A:$A,M1580,'Barang Keluar'!$C:$C,N1580))</f>
        <v>0</v>
      </c>
    </row>
    <row r="1581" spans="13:16">
      <c r="M1581" s="49">
        <f>IF($A$4+15&gt;$B$4,"",$A$4+15)</f>
        <v>46038</v>
      </c>
      <c r="N1581">
        <f>IF(M1581="","",'Master Barang'!A75)</f>
        <v>0</v>
      </c>
      <c r="O1581">
        <f>IF(N1581="","",'Master Barang'!B75)</f>
        <v>0</v>
      </c>
      <c r="P1581">
        <f>IF(OR(M1581="",N1581=""),"",SUMIFS('Barang Keluar'!$E:$E,'Barang Keluar'!$A:$A,M1581,'Barang Keluar'!$C:$C,N1581))</f>
        <v>0</v>
      </c>
    </row>
    <row r="1582" spans="13:16">
      <c r="M1582" s="49">
        <f>IF($A$4+15&gt;$B$4,"",$A$4+15)</f>
        <v>46038</v>
      </c>
      <c r="N1582">
        <f>IF(M1582="","",'Master Barang'!A76)</f>
        <v>0</v>
      </c>
      <c r="O1582">
        <f>IF(N1582="","",'Master Barang'!B76)</f>
        <v>0</v>
      </c>
      <c r="P1582">
        <f>IF(OR(M1582="",N1582=""),"",SUMIFS('Barang Keluar'!$E:$E,'Barang Keluar'!$A:$A,M1582,'Barang Keluar'!$C:$C,N1582))</f>
        <v>0</v>
      </c>
    </row>
    <row r="1583" spans="13:16">
      <c r="M1583" s="49">
        <f>IF($A$4+15&gt;$B$4,"",$A$4+15)</f>
        <v>46038</v>
      </c>
      <c r="N1583">
        <f>IF(M1583="","",'Master Barang'!A77)</f>
        <v>0</v>
      </c>
      <c r="O1583">
        <f>IF(N1583="","",'Master Barang'!B77)</f>
        <v>0</v>
      </c>
      <c r="P1583">
        <f>IF(OR(M1583="",N1583=""),"",SUMIFS('Barang Keluar'!$E:$E,'Barang Keluar'!$A:$A,M1583,'Barang Keluar'!$C:$C,N1583))</f>
        <v>0</v>
      </c>
    </row>
    <row r="1584" spans="13:16">
      <c r="M1584" s="49">
        <f>IF($A$4+15&gt;$B$4,"",$A$4+15)</f>
        <v>46038</v>
      </c>
      <c r="N1584">
        <f>IF(M1584="","",'Master Barang'!A78)</f>
        <v>0</v>
      </c>
      <c r="O1584">
        <f>IF(N1584="","",'Master Barang'!B78)</f>
        <v>0</v>
      </c>
      <c r="P1584">
        <f>IF(OR(M1584="",N1584=""),"",SUMIFS('Barang Keluar'!$E:$E,'Barang Keluar'!$A:$A,M1584,'Barang Keluar'!$C:$C,N1584))</f>
        <v>0</v>
      </c>
    </row>
    <row r="1585" spans="13:16">
      <c r="M1585" s="49">
        <f>IF($A$4+15&gt;$B$4,"",$A$4+15)</f>
        <v>46038</v>
      </c>
      <c r="N1585">
        <f>IF(M1585="","",'Master Barang'!A79)</f>
        <v>0</v>
      </c>
      <c r="O1585">
        <f>IF(N1585="","",'Master Barang'!B79)</f>
        <v>0</v>
      </c>
      <c r="P1585">
        <f>IF(OR(M1585="",N1585=""),"",SUMIFS('Barang Keluar'!$E:$E,'Barang Keluar'!$A:$A,M1585,'Barang Keluar'!$C:$C,N1585))</f>
        <v>0</v>
      </c>
    </row>
    <row r="1586" spans="13:16">
      <c r="M1586" s="49">
        <f>IF($A$4+15&gt;$B$4,"",$A$4+15)</f>
        <v>46038</v>
      </c>
      <c r="N1586">
        <f>IF(M1586="","",'Master Barang'!A80)</f>
        <v>0</v>
      </c>
      <c r="O1586">
        <f>IF(N1586="","",'Master Barang'!B80)</f>
        <v>0</v>
      </c>
      <c r="P1586">
        <f>IF(OR(M1586="",N1586=""),"",SUMIFS('Barang Keluar'!$E:$E,'Barang Keluar'!$A:$A,M1586,'Barang Keluar'!$C:$C,N1586))</f>
        <v>0</v>
      </c>
    </row>
    <row r="1587" spans="13:16">
      <c r="M1587" s="49">
        <f>IF($A$4+15&gt;$B$4,"",$A$4+15)</f>
        <v>46038</v>
      </c>
      <c r="N1587">
        <f>IF(M1587="","",'Master Barang'!A81)</f>
        <v>0</v>
      </c>
      <c r="O1587">
        <f>IF(N1587="","",'Master Barang'!B81)</f>
        <v>0</v>
      </c>
      <c r="P1587">
        <f>IF(OR(M1587="",N1587=""),"",SUMIFS('Barang Keluar'!$E:$E,'Barang Keluar'!$A:$A,M1587,'Barang Keluar'!$C:$C,N1587))</f>
        <v>0</v>
      </c>
    </row>
    <row r="1588" spans="13:16">
      <c r="M1588" s="49">
        <f>IF($A$4+15&gt;$B$4,"",$A$4+15)</f>
        <v>46038</v>
      </c>
      <c r="N1588">
        <f>IF(M1588="","",'Master Barang'!A82)</f>
        <v>0</v>
      </c>
      <c r="O1588">
        <f>IF(N1588="","",'Master Barang'!B82)</f>
        <v>0</v>
      </c>
      <c r="P1588">
        <f>IF(OR(M1588="",N1588=""),"",SUMIFS('Barang Keluar'!$E:$E,'Barang Keluar'!$A:$A,M1588,'Barang Keluar'!$C:$C,N1588))</f>
        <v>0</v>
      </c>
    </row>
    <row r="1589" spans="13:16">
      <c r="M1589" s="49">
        <f>IF($A$4+15&gt;$B$4,"",$A$4+15)</f>
        <v>46038</v>
      </c>
      <c r="N1589">
        <f>IF(M1589="","",'Master Barang'!A83)</f>
        <v>0</v>
      </c>
      <c r="O1589">
        <f>IF(N1589="","",'Master Barang'!B83)</f>
        <v>0</v>
      </c>
      <c r="P1589">
        <f>IF(OR(M1589="",N1589=""),"",SUMIFS('Barang Keluar'!$E:$E,'Barang Keluar'!$A:$A,M1589,'Barang Keluar'!$C:$C,N1589))</f>
        <v>0</v>
      </c>
    </row>
    <row r="1590" spans="13:16">
      <c r="M1590" s="49">
        <f>IF($A$4+15&gt;$B$4,"",$A$4+15)</f>
        <v>46038</v>
      </c>
      <c r="N1590">
        <f>IF(M1590="","",'Master Barang'!A84)</f>
        <v>0</v>
      </c>
      <c r="O1590">
        <f>IF(N1590="","",'Master Barang'!B84)</f>
        <v>0</v>
      </c>
      <c r="P1590">
        <f>IF(OR(M1590="",N1590=""),"",SUMIFS('Barang Keluar'!$E:$E,'Barang Keluar'!$A:$A,M1590,'Barang Keluar'!$C:$C,N1590))</f>
        <v>0</v>
      </c>
    </row>
    <row r="1591" spans="13:16">
      <c r="M1591" s="49">
        <f>IF($A$4+15&gt;$B$4,"",$A$4+15)</f>
        <v>46038</v>
      </c>
      <c r="N1591">
        <f>IF(M1591="","",'Master Barang'!A85)</f>
        <v>0</v>
      </c>
      <c r="O1591">
        <f>IF(N1591="","",'Master Barang'!B85)</f>
        <v>0</v>
      </c>
      <c r="P1591">
        <f>IF(OR(M1591="",N1591=""),"",SUMIFS('Barang Keluar'!$E:$E,'Barang Keluar'!$A:$A,M1591,'Barang Keluar'!$C:$C,N1591))</f>
        <v>0</v>
      </c>
    </row>
    <row r="1592" spans="13:16">
      <c r="M1592" s="49">
        <f>IF($A$4+15&gt;$B$4,"",$A$4+15)</f>
        <v>46038</v>
      </c>
      <c r="N1592">
        <f>IF(M1592="","",'Master Barang'!A86)</f>
        <v>0</v>
      </c>
      <c r="O1592">
        <f>IF(N1592="","",'Master Barang'!B86)</f>
        <v>0</v>
      </c>
      <c r="P1592">
        <f>IF(OR(M1592="",N1592=""),"",SUMIFS('Barang Keluar'!$E:$E,'Barang Keluar'!$A:$A,M1592,'Barang Keluar'!$C:$C,N1592))</f>
        <v>0</v>
      </c>
    </row>
    <row r="1593" spans="13:16">
      <c r="M1593" s="49">
        <f>IF($A$4+15&gt;$B$4,"",$A$4+15)</f>
        <v>46038</v>
      </c>
      <c r="N1593">
        <f>IF(M1593="","",'Master Barang'!A87)</f>
        <v>0</v>
      </c>
      <c r="O1593">
        <f>IF(N1593="","",'Master Barang'!B87)</f>
        <v>0</v>
      </c>
      <c r="P1593">
        <f>IF(OR(M1593="",N1593=""),"",SUMIFS('Barang Keluar'!$E:$E,'Barang Keluar'!$A:$A,M1593,'Barang Keluar'!$C:$C,N1593))</f>
        <v>0</v>
      </c>
    </row>
    <row r="1594" spans="13:16">
      <c r="M1594" s="49">
        <f>IF($A$4+15&gt;$B$4,"",$A$4+15)</f>
        <v>46038</v>
      </c>
      <c r="N1594">
        <f>IF(M1594="","",'Master Barang'!A88)</f>
        <v>0</v>
      </c>
      <c r="O1594">
        <f>IF(N1594="","",'Master Barang'!B88)</f>
        <v>0</v>
      </c>
      <c r="P1594">
        <f>IF(OR(M1594="",N1594=""),"",SUMIFS('Barang Keluar'!$E:$E,'Barang Keluar'!$A:$A,M1594,'Barang Keluar'!$C:$C,N1594))</f>
        <v>0</v>
      </c>
    </row>
    <row r="1595" spans="13:16">
      <c r="M1595" s="49">
        <f>IF($A$4+15&gt;$B$4,"",$A$4+15)</f>
        <v>46038</v>
      </c>
      <c r="N1595">
        <f>IF(M1595="","",'Master Barang'!A89)</f>
        <v>0</v>
      </c>
      <c r="O1595">
        <f>IF(N1595="","",'Master Barang'!B89)</f>
        <v>0</v>
      </c>
      <c r="P1595">
        <f>IF(OR(M1595="",N1595=""),"",SUMIFS('Barang Keluar'!$E:$E,'Barang Keluar'!$A:$A,M1595,'Barang Keluar'!$C:$C,N1595))</f>
        <v>0</v>
      </c>
    </row>
    <row r="1596" spans="13:16">
      <c r="M1596" s="49">
        <f>IF($A$4+15&gt;$B$4,"",$A$4+15)</f>
        <v>46038</v>
      </c>
      <c r="N1596">
        <f>IF(M1596="","",'Master Barang'!A90)</f>
        <v>0</v>
      </c>
      <c r="O1596">
        <f>IF(N1596="","",'Master Barang'!B90)</f>
        <v>0</v>
      </c>
      <c r="P1596">
        <f>IF(OR(M1596="",N1596=""),"",SUMIFS('Barang Keluar'!$E:$E,'Barang Keluar'!$A:$A,M1596,'Barang Keluar'!$C:$C,N1596))</f>
        <v>0</v>
      </c>
    </row>
    <row r="1597" spans="13:16">
      <c r="M1597" s="49">
        <f>IF($A$4+15&gt;$B$4,"",$A$4+15)</f>
        <v>46038</v>
      </c>
      <c r="N1597">
        <f>IF(M1597="","",'Master Barang'!A91)</f>
        <v>0</v>
      </c>
      <c r="O1597">
        <f>IF(N1597="","",'Master Barang'!B91)</f>
        <v>0</v>
      </c>
      <c r="P1597">
        <f>IF(OR(M1597="",N1597=""),"",SUMIFS('Barang Keluar'!$E:$E,'Barang Keluar'!$A:$A,M1597,'Barang Keluar'!$C:$C,N1597))</f>
        <v>0</v>
      </c>
    </row>
    <row r="1598" spans="13:16">
      <c r="M1598" s="49">
        <f>IF($A$4+15&gt;$B$4,"",$A$4+15)</f>
        <v>46038</v>
      </c>
      <c r="N1598">
        <f>IF(M1598="","",'Master Barang'!A92)</f>
        <v>0</v>
      </c>
      <c r="O1598">
        <f>IF(N1598="","",'Master Barang'!B92)</f>
        <v>0</v>
      </c>
      <c r="P1598">
        <f>IF(OR(M1598="",N1598=""),"",SUMIFS('Barang Keluar'!$E:$E,'Barang Keluar'!$A:$A,M1598,'Barang Keluar'!$C:$C,N1598))</f>
        <v>0</v>
      </c>
    </row>
    <row r="1599" spans="13:16">
      <c r="M1599" s="49">
        <f>IF($A$4+15&gt;$B$4,"",$A$4+15)</f>
        <v>46038</v>
      </c>
      <c r="N1599">
        <f>IF(M1599="","",'Master Barang'!A93)</f>
        <v>0</v>
      </c>
      <c r="O1599">
        <f>IF(N1599="","",'Master Barang'!B93)</f>
        <v>0</v>
      </c>
      <c r="P1599">
        <f>IF(OR(M1599="",N1599=""),"",SUMIFS('Barang Keluar'!$E:$E,'Barang Keluar'!$A:$A,M1599,'Barang Keluar'!$C:$C,N1599))</f>
        <v>0</v>
      </c>
    </row>
    <row r="1600" spans="13:16">
      <c r="M1600" s="49">
        <f>IF($A$4+15&gt;$B$4,"",$A$4+15)</f>
        <v>46038</v>
      </c>
      <c r="N1600">
        <f>IF(M1600="","",'Master Barang'!A94)</f>
        <v>0</v>
      </c>
      <c r="O1600">
        <f>IF(N1600="","",'Master Barang'!B94)</f>
        <v>0</v>
      </c>
      <c r="P1600">
        <f>IF(OR(M1600="",N1600=""),"",SUMIFS('Barang Keluar'!$E:$E,'Barang Keluar'!$A:$A,M1600,'Barang Keluar'!$C:$C,N1600))</f>
        <v>0</v>
      </c>
    </row>
    <row r="1601" spans="13:16">
      <c r="M1601" s="49">
        <f>IF($A$4+15&gt;$B$4,"",$A$4+15)</f>
        <v>46038</v>
      </c>
      <c r="N1601">
        <f>IF(M1601="","",'Master Barang'!A95)</f>
        <v>0</v>
      </c>
      <c r="O1601">
        <f>IF(N1601="","",'Master Barang'!B95)</f>
        <v>0</v>
      </c>
      <c r="P1601">
        <f>IF(OR(M1601="",N1601=""),"",SUMIFS('Barang Keluar'!$E:$E,'Barang Keluar'!$A:$A,M1601,'Barang Keluar'!$C:$C,N1601))</f>
        <v>0</v>
      </c>
    </row>
    <row r="1602" spans="13:16">
      <c r="M1602" s="49">
        <f>IF($A$4+15&gt;$B$4,"",$A$4+15)</f>
        <v>46038</v>
      </c>
      <c r="N1602">
        <f>IF(M1602="","",'Master Barang'!A96)</f>
        <v>0</v>
      </c>
      <c r="O1602">
        <f>IF(N1602="","",'Master Barang'!B96)</f>
        <v>0</v>
      </c>
      <c r="P1602">
        <f>IF(OR(M1602="",N1602=""),"",SUMIFS('Barang Keluar'!$E:$E,'Barang Keluar'!$A:$A,M1602,'Barang Keluar'!$C:$C,N1602))</f>
        <v>0</v>
      </c>
    </row>
    <row r="1603" spans="13:16">
      <c r="M1603" s="49">
        <f>IF($A$4+15&gt;$B$4,"",$A$4+15)</f>
        <v>46038</v>
      </c>
      <c r="N1603">
        <f>IF(M1603="","",'Master Barang'!A97)</f>
        <v>0</v>
      </c>
      <c r="O1603">
        <f>IF(N1603="","",'Master Barang'!B97)</f>
        <v>0</v>
      </c>
      <c r="P1603">
        <f>IF(OR(M1603="",N1603=""),"",SUMIFS('Barang Keluar'!$E:$E,'Barang Keluar'!$A:$A,M1603,'Barang Keluar'!$C:$C,N1603))</f>
        <v>0</v>
      </c>
    </row>
    <row r="1604" spans="13:16">
      <c r="M1604" s="49">
        <f>IF($A$4+15&gt;$B$4,"",$A$4+15)</f>
        <v>46038</v>
      </c>
      <c r="N1604">
        <f>IF(M1604="","",'Master Barang'!A98)</f>
        <v>0</v>
      </c>
      <c r="O1604">
        <f>IF(N1604="","",'Master Barang'!B98)</f>
        <v>0</v>
      </c>
      <c r="P1604">
        <f>IF(OR(M1604="",N1604=""),"",SUMIFS('Barang Keluar'!$E:$E,'Barang Keluar'!$A:$A,M1604,'Barang Keluar'!$C:$C,N1604))</f>
        <v>0</v>
      </c>
    </row>
    <row r="1605" spans="13:16">
      <c r="M1605" s="49">
        <f>IF($A$4+15&gt;$B$4,"",$A$4+15)</f>
        <v>46038</v>
      </c>
      <c r="N1605">
        <f>IF(M1605="","",'Master Barang'!A99)</f>
        <v>0</v>
      </c>
      <c r="O1605">
        <f>IF(N1605="","",'Master Barang'!B99)</f>
        <v>0</v>
      </c>
      <c r="P1605">
        <f>IF(OR(M1605="",N1605=""),"",SUMIFS('Barang Keluar'!$E:$E,'Barang Keluar'!$A:$A,M1605,'Barang Keluar'!$C:$C,N1605))</f>
        <v>0</v>
      </c>
    </row>
    <row r="1606" spans="13:16">
      <c r="M1606" s="49">
        <f>IF($A$4+15&gt;$B$4,"",$A$4+15)</f>
        <v>46038</v>
      </c>
      <c r="N1606">
        <f>IF(M1606="","",'Master Barang'!A100)</f>
        <v>0</v>
      </c>
      <c r="O1606">
        <f>IF(N1606="","",'Master Barang'!B100)</f>
        <v>0</v>
      </c>
      <c r="P1606">
        <f>IF(OR(M1606="",N1606=""),"",SUMIFS('Barang Keluar'!$E:$E,'Barang Keluar'!$A:$A,M1606,'Barang Keluar'!$C:$C,N1606))</f>
        <v>0</v>
      </c>
    </row>
    <row r="1607" spans="13:16">
      <c r="M1607" s="49">
        <f>IF($A$4+15&gt;$B$4,"",$A$4+15)</f>
        <v>46038</v>
      </c>
      <c r="N1607">
        <f>IF(M1607="","",'Master Barang'!A101)</f>
        <v>0</v>
      </c>
      <c r="O1607">
        <f>IF(N1607="","",'Master Barang'!B101)</f>
        <v>0</v>
      </c>
      <c r="P1607">
        <f>IF(OR(M1607="",N1607=""),"",SUMIFS('Barang Keluar'!$E:$E,'Barang Keluar'!$A:$A,M1607,'Barang Keluar'!$C:$C,N1607))</f>
        <v>0</v>
      </c>
    </row>
    <row r="1608" spans="13:16">
      <c r="M1608" s="49">
        <f>IF($A$4+16&gt;$B$4,"",$A$4+16)</f>
        <v>46039</v>
      </c>
      <c r="N1608" t="str">
        <f>IF(M1608="","",'Master Barang'!A2)</f>
        <v>PRL-001</v>
      </c>
      <c r="O1608" t="str">
        <f>IF(N1608="","",'Master Barang'!B2)</f>
        <v>natura desinfectant food grade 5l</v>
      </c>
      <c r="P1608">
        <f>IF(OR(M1608="",N1608=""),"",SUMIFS('Barang Keluar'!$E:$E,'Barang Keluar'!$A:$A,M1608,'Barang Keluar'!$C:$C,N1608))</f>
        <v>0</v>
      </c>
    </row>
    <row r="1609" spans="13:16">
      <c r="M1609" s="49">
        <f>IF($A$4+16&gt;$B$4,"",$A$4+16)</f>
        <v>46039</v>
      </c>
      <c r="N1609" t="str">
        <f>IF(M1609="","",'Master Barang'!A3)</f>
        <v>PRL-002</v>
      </c>
      <c r="O1609" t="str">
        <f>IF(N1609="","",'Master Barang'!B3)</f>
        <v>sunlight cairan pencuci piring 5l</v>
      </c>
      <c r="P1609">
        <f>IF(OR(M1609="",N1609=""),"",SUMIFS('Barang Keluar'!$E:$E,'Barang Keluar'!$A:$A,M1609,'Barang Keluar'!$C:$C,N1609))</f>
        <v>0</v>
      </c>
    </row>
    <row r="1610" spans="13:16">
      <c r="M1610" s="49">
        <f>IF($A$4+16&gt;$B$4,"",$A$4+16)</f>
        <v>46039</v>
      </c>
      <c r="N1610" t="str">
        <f>IF(M1610="","",'Master Barang'!A4)</f>
        <v>PRL-003</v>
      </c>
      <c r="O1610" t="str">
        <f>IF(N1610="","",'Master Barang'!B4)</f>
        <v>oixs cleaner 1l</v>
      </c>
      <c r="P1610">
        <f>IF(OR(M1610="",N1610=""),"",SUMIFS('Barang Keluar'!$E:$E,'Barang Keluar'!$A:$A,M1610,'Barang Keluar'!$C:$C,N1610))</f>
        <v>0</v>
      </c>
    </row>
    <row r="1611" spans="13:16">
      <c r="M1611" s="49">
        <f>IF($A$4+16&gt;$B$4,"",$A$4+16)</f>
        <v>46039</v>
      </c>
      <c r="N1611" t="str">
        <f>IF(M1611="","",'Master Barang'!A5)</f>
        <v>PRL-004</v>
      </c>
      <c r="O1611" t="str">
        <f>IF(N1611="","",'Master Barang'!B5)</f>
        <v>be clean tissue serbaguna</v>
      </c>
      <c r="P1611">
        <f>IF(OR(M1611="",N1611=""),"",SUMIFS('Barang Keluar'!$E:$E,'Barang Keluar'!$A:$A,M1611,'Barang Keluar'!$C:$C,N1611))</f>
        <v>0</v>
      </c>
    </row>
    <row r="1612" spans="13:16">
      <c r="M1612" s="49">
        <f>IF($A$4+16&gt;$B$4,"",$A$4+16)</f>
        <v>46039</v>
      </c>
      <c r="N1612" t="str">
        <f>IF(M1612="","",'Master Barang'!A6)</f>
        <v>PRL-005</v>
      </c>
      <c r="O1612" t="str">
        <f>IF(N1612="","",'Master Barang'!B6)</f>
        <v>spons cuci hijau</v>
      </c>
      <c r="P1612">
        <f>IF(OR(M1612="",N1612=""),"",SUMIFS('Barang Keluar'!$E:$E,'Barang Keluar'!$A:$A,M1612,'Barang Keluar'!$C:$C,N1612))</f>
        <v>0</v>
      </c>
    </row>
    <row r="1613" spans="13:16">
      <c r="M1613" s="49">
        <f>IF($A$4+16&gt;$B$4,"",$A$4+16)</f>
        <v>46039</v>
      </c>
      <c r="N1613" t="str">
        <f>IF(M1613="","",'Master Barang'!A7)</f>
        <v>PRL-006</v>
      </c>
      <c r="O1613" t="str">
        <f>IF(N1613="","",'Master Barang'!B7)</f>
        <v>sabut cuci stainless</v>
      </c>
      <c r="P1613">
        <f>IF(OR(M1613="",N1613=""),"",SUMIFS('Barang Keluar'!$E:$E,'Barang Keluar'!$A:$A,M1613,'Barang Keluar'!$C:$C,N1613))</f>
        <v>0</v>
      </c>
    </row>
    <row r="1614" spans="13:16">
      <c r="M1614" s="49">
        <f>IF($A$4+16&gt;$B$4,"",$A$4+16)</f>
        <v>46039</v>
      </c>
      <c r="N1614" t="str">
        <f>IF(M1614="","",'Master Barang'!A8)</f>
        <v>PRL-007</v>
      </c>
      <c r="O1614" t="str">
        <f>IF(N1614="","",'Master Barang'!B8)</f>
        <v>plastik kresek besar merah 50pc</v>
      </c>
      <c r="P1614">
        <f>IF(OR(M1614="",N1614=""),"",SUMIFS('Barang Keluar'!$E:$E,'Barang Keluar'!$A:$A,M1614,'Barang Keluar'!$C:$C,N1614))</f>
        <v>0</v>
      </c>
    </row>
    <row r="1615" spans="13:16">
      <c r="M1615" s="49">
        <f>IF($A$4+16&gt;$B$4,"",$A$4+16)</f>
        <v>46039</v>
      </c>
      <c r="N1615" t="str">
        <f>IF(M1615="","",'Master Barang'!A9)</f>
        <v>PRL-008</v>
      </c>
      <c r="O1615" t="str">
        <f>IF(N1615="","",'Master Barang'!B9)</f>
        <v>lap besar</v>
      </c>
      <c r="P1615">
        <f>IF(OR(M1615="",N1615=""),"",SUMIFS('Barang Keluar'!$E:$E,'Barang Keluar'!$A:$A,M1615,'Barang Keluar'!$C:$C,N1615))</f>
        <v>0</v>
      </c>
    </row>
    <row r="1616" spans="13:16">
      <c r="M1616" s="49">
        <f>IF($A$4+16&gt;$B$4,"",$A$4+16)</f>
        <v>46039</v>
      </c>
      <c r="N1616" t="str">
        <f>IF(M1616="","",'Master Barang'!A10)</f>
        <v>PRL-009</v>
      </c>
      <c r="O1616" t="str">
        <f>IF(N1616="","",'Master Barang'!B10)</f>
        <v>lap microfiber</v>
      </c>
      <c r="P1616">
        <f>IF(OR(M1616="",N1616=""),"",SUMIFS('Barang Keluar'!$E:$E,'Barang Keluar'!$A:$A,M1616,'Barang Keluar'!$C:$C,N1616))</f>
        <v>0</v>
      </c>
    </row>
    <row r="1617" spans="13:16">
      <c r="M1617" s="49">
        <f>IF($A$4+16&gt;$B$4,"",$A$4+16)</f>
        <v>46039</v>
      </c>
      <c r="N1617" t="str">
        <f>IF(M1617="","",'Master Barang'!A11)</f>
        <v>PRL-010</v>
      </c>
      <c r="O1617" t="str">
        <f>IF(N1617="","",'Master Barang'!B11)</f>
        <v>lap kecil</v>
      </c>
      <c r="P1617">
        <f>IF(OR(M1617="",N1617=""),"",SUMIFS('Barang Keluar'!$E:$E,'Barang Keluar'!$A:$A,M1617,'Barang Keluar'!$C:$C,N1617))</f>
        <v>0</v>
      </c>
    </row>
    <row r="1618" spans="13:16">
      <c r="M1618" s="49">
        <f>IF($A$4+16&gt;$B$4,"",$A$4+16)</f>
        <v>46039</v>
      </c>
      <c r="N1618" t="str">
        <f>IF(M1618="","",'Master Barang'!A12)</f>
        <v>PRL-011</v>
      </c>
      <c r="O1618" t="str">
        <f>IF(N1618="","",'Master Barang'!B12)</f>
        <v>kanebo kecil</v>
      </c>
      <c r="P1618">
        <f>IF(OR(M1618="",N1618=""),"",SUMIFS('Barang Keluar'!$E:$E,'Barang Keluar'!$A:$A,M1618,'Barang Keluar'!$C:$C,N1618))</f>
        <v>0</v>
      </c>
    </row>
    <row r="1619" spans="13:16">
      <c r="M1619" s="49">
        <f>IF($A$4+16&gt;$B$4,"",$A$4+16)</f>
        <v>46039</v>
      </c>
      <c r="N1619" t="str">
        <f>IF(M1619="","",'Master Barang'!A13)</f>
        <v>PRL-012</v>
      </c>
      <c r="O1619" t="str">
        <f>IF(N1619="","",'Master Barang'!B13)</f>
        <v>plastik 1/4kg joyoboyo 100 lembar</v>
      </c>
      <c r="P1619">
        <f>IF(OR(M1619="",N1619=""),"",SUMIFS('Barang Keluar'!$E:$E,'Barang Keluar'!$A:$A,M1619,'Barang Keluar'!$C:$C,N1619))</f>
        <v>0</v>
      </c>
    </row>
    <row r="1620" spans="13:16">
      <c r="M1620" s="49">
        <f>IF($A$4+16&gt;$B$4,"",$A$4+16)</f>
        <v>46039</v>
      </c>
      <c r="N1620" t="str">
        <f>IF(M1620="","",'Master Barang'!A14)</f>
        <v>PRL-013</v>
      </c>
      <c r="O1620" t="str">
        <f>IF(N1620="","",'Master Barang'!B14)</f>
        <v>sarung tangan plastik kaka 100 pcs</v>
      </c>
      <c r="P1620">
        <f>IF(OR(M1620="",N1620=""),"",SUMIFS('Barang Keluar'!$E:$E,'Barang Keluar'!$A:$A,M1620,'Barang Keluar'!$C:$C,N1620))</f>
        <v>0</v>
      </c>
    </row>
    <row r="1621" spans="13:16">
      <c r="M1621" s="49">
        <f>IF($A$4+16&gt;$B$4,"",$A$4+16)</f>
        <v>46039</v>
      </c>
      <c r="N1621" t="str">
        <f>IF(M1621="","",'Master Barang'!A15)</f>
        <v>PRL-014</v>
      </c>
      <c r="O1621" t="str">
        <f>IF(N1621="","",'Master Barang'!B15)</f>
        <v>optima trashbag 80x100</v>
      </c>
      <c r="P1621">
        <f>IF(OR(M1621="",N1621=""),"",SUMIFS('Barang Keluar'!$E:$E,'Barang Keluar'!$A:$A,M1621,'Barang Keluar'!$C:$C,N1621))</f>
        <v>0</v>
      </c>
    </row>
    <row r="1622" spans="13:16">
      <c r="M1622" s="49">
        <f>IF($A$4+16&gt;$B$4,"",$A$4+16)</f>
        <v>46039</v>
      </c>
      <c r="N1622" t="str">
        <f>IF(M1622="","",'Master Barang'!A16)</f>
        <v>PRL-015</v>
      </c>
      <c r="O1622" t="str">
        <f>IF(N1622="","",'Master Barang'!B16)</f>
        <v>optima trashbag 60x100</v>
      </c>
      <c r="P1622">
        <f>IF(OR(M1622="",N1622=""),"",SUMIFS('Barang Keluar'!$E:$E,'Barang Keluar'!$A:$A,M1622,'Barang Keluar'!$C:$C,N1622))</f>
        <v>0</v>
      </c>
    </row>
    <row r="1623" spans="13:16">
      <c r="M1623" s="49">
        <f>IF($A$4+16&gt;$B$4,"",$A$4+16)</f>
        <v>46039</v>
      </c>
      <c r="N1623" t="str">
        <f>IF(M1623="","",'Master Barang'!A17)</f>
        <v>PRL-016</v>
      </c>
      <c r="O1623" t="str">
        <f>IF(N1623="","",'Master Barang'!B17)</f>
        <v>rajawali trashbag 30x40</v>
      </c>
      <c r="P1623">
        <f>IF(OR(M1623="",N1623=""),"",SUMIFS('Barang Keluar'!$E:$E,'Barang Keluar'!$A:$A,M1623,'Barang Keluar'!$C:$C,N1623))</f>
        <v>0</v>
      </c>
    </row>
    <row r="1624" spans="13:16">
      <c r="M1624" s="49">
        <f>IF($A$4+16&gt;$B$4,"",$A$4+16)</f>
        <v>46039</v>
      </c>
      <c r="N1624" t="str">
        <f>IF(M1624="","",'Master Barang'!A18)</f>
        <v>PRL-017</v>
      </c>
      <c r="O1624" t="str">
        <f>IF(N1624="","",'Master Barang'!B18)</f>
        <v>onemed masker biru 3 play 50 pcs</v>
      </c>
      <c r="P1624">
        <f>IF(OR(M1624="",N1624=""),"",SUMIFS('Barang Keluar'!$E:$E,'Barang Keluar'!$A:$A,M1624,'Barang Keluar'!$C:$C,N1624))</f>
        <v>0</v>
      </c>
    </row>
    <row r="1625" spans="13:16">
      <c r="M1625" s="49">
        <f>IF($A$4+16&gt;$B$4,"",$A$4+16)</f>
        <v>46039</v>
      </c>
      <c r="N1625" t="str">
        <f>IF(M1625="","",'Master Barang'!A19)</f>
        <v>PRL-018</v>
      </c>
      <c r="O1625" t="str">
        <f>IF(N1625="","",'Master Barang'!B19)</f>
        <v>onemed masker biru 3 play hijab 50 pcs</v>
      </c>
      <c r="P1625">
        <f>IF(OR(M1625="",N1625=""),"",SUMIFS('Barang Keluar'!$E:$E,'Barang Keluar'!$A:$A,M1625,'Barang Keluar'!$C:$C,N1625))</f>
        <v>0</v>
      </c>
    </row>
    <row r="1626" spans="13:16">
      <c r="M1626" s="49">
        <f>IF($A$4+16&gt;$B$4,"",$A$4+16)</f>
        <v>46039</v>
      </c>
      <c r="N1626" t="str">
        <f>IF(M1626="","",'Master Barang'!A20)</f>
        <v>PRL-019</v>
      </c>
      <c r="O1626" t="str">
        <f>IF(N1626="","",'Master Barang'!B20)</f>
        <v>neo health masker biru 3 play 50 pcs</v>
      </c>
      <c r="P1626">
        <f>IF(OR(M1626="",N1626=""),"",SUMIFS('Barang Keluar'!$E:$E,'Barang Keluar'!$A:$A,M1626,'Barang Keluar'!$C:$C,N1626))</f>
        <v>0</v>
      </c>
    </row>
    <row r="1627" spans="13:16">
      <c r="M1627" s="49">
        <f>IF($A$4+16&gt;$B$4,"",$A$4+16)</f>
        <v>46039</v>
      </c>
      <c r="N1627" t="str">
        <f>IF(M1627="","",'Master Barang'!A21)</f>
        <v>PRL-020</v>
      </c>
      <c r="O1627" t="str">
        <f>IF(N1627="","",'Master Barang'!B21)</f>
        <v>baymed masker hijau 3 play hijau 50 pcs</v>
      </c>
      <c r="P1627">
        <f>IF(OR(M1627="",N1627=""),"",SUMIFS('Barang Keluar'!$E:$E,'Barang Keluar'!$A:$A,M1627,'Barang Keluar'!$C:$C,N1627))</f>
        <v>0</v>
      </c>
    </row>
    <row r="1628" spans="13:16">
      <c r="M1628" s="49">
        <f>IF($A$4+16&gt;$B$4,"",$A$4+16)</f>
        <v>46039</v>
      </c>
      <c r="N1628" t="str">
        <f>IF(M1628="","",'Master Barang'!A22)</f>
        <v>PRL-021</v>
      </c>
      <c r="O1628" t="str">
        <f>IF(N1628="","",'Master Barang'!B22)</f>
        <v>altamed nurse cap penutup kepala 100 pcs</v>
      </c>
      <c r="P1628">
        <f>IF(OR(M1628="",N1628=""),"",SUMIFS('Barang Keluar'!$E:$E,'Barang Keluar'!$A:$A,M1628,'Barang Keluar'!$C:$C,N1628))</f>
        <v>0</v>
      </c>
    </row>
    <row r="1629" spans="13:16">
      <c r="M1629" s="49">
        <f>IF($A$4+16&gt;$B$4,"",$A$4+16)</f>
        <v>46039</v>
      </c>
      <c r="N1629" t="str">
        <f>IF(M1629="","",'Master Barang'!A23)</f>
        <v>PRL-022</v>
      </c>
      <c r="O1629" t="str">
        <f>IF(N1629="","",'Master Barang'!B23)</f>
        <v>sabun cuci tangan</v>
      </c>
      <c r="P1629">
        <f>IF(OR(M1629="",N1629=""),"",SUMIFS('Barang Keluar'!$E:$E,'Barang Keluar'!$A:$A,M1629,'Barang Keluar'!$C:$C,N1629))</f>
        <v>0</v>
      </c>
    </row>
    <row r="1630" spans="13:16">
      <c r="M1630" s="49">
        <f>IF($A$4+16&gt;$B$4,"",$A$4+16)</f>
        <v>46039</v>
      </c>
      <c r="N1630" t="str">
        <f>IF(M1630="","",'Master Barang'!A24)</f>
        <v>PRL-023</v>
      </c>
      <c r="O1630" t="str">
        <f>IF(N1630="","",'Master Barang'!B24)</f>
        <v>gayung kecil</v>
      </c>
      <c r="P1630">
        <f>IF(OR(M1630="",N1630=""),"",SUMIFS('Barang Keluar'!$E:$E,'Barang Keluar'!$A:$A,M1630,'Barang Keluar'!$C:$C,N1630))</f>
        <v>0</v>
      </c>
    </row>
    <row r="1631" spans="13:16">
      <c r="M1631" s="49">
        <f>IF($A$4+16&gt;$B$4,"",$A$4+16)</f>
        <v>46039</v>
      </c>
      <c r="N1631" t="str">
        <f>IF(M1631="","",'Master Barang'!A25)</f>
        <v>PRL-024</v>
      </c>
      <c r="O1631" t="str">
        <f>IF(N1631="","",'Master Barang'!B25)</f>
        <v>cikrak kecil</v>
      </c>
      <c r="P1631">
        <f>IF(OR(M1631="",N1631=""),"",SUMIFS('Barang Keluar'!$E:$E,'Barang Keluar'!$A:$A,M1631,'Barang Keluar'!$C:$C,N1631))</f>
        <v>0</v>
      </c>
    </row>
    <row r="1632" spans="13:16">
      <c r="M1632" s="49">
        <f>IF($A$4+16&gt;$B$4,"",$A$4+16)</f>
        <v>46039</v>
      </c>
      <c r="N1632" t="str">
        <f>IF(M1632="","",'Master Barang'!A26)</f>
        <v>PRL-025</v>
      </c>
      <c r="O1632" t="str">
        <f>IF(N1632="","",'Master Barang'!B26)</f>
        <v>petromax plastik kecil 12x24 100 lembar</v>
      </c>
      <c r="P1632">
        <f>IF(OR(M1632="",N1632=""),"",SUMIFS('Barang Keluar'!$E:$E,'Barang Keluar'!$A:$A,M1632,'Barang Keluar'!$C:$C,N1632))</f>
        <v>0</v>
      </c>
    </row>
    <row r="1633" spans="13:16">
      <c r="M1633" s="49">
        <f>IF($A$4+16&gt;$B$4,"",$A$4+16)</f>
        <v>46039</v>
      </c>
      <c r="N1633" t="str">
        <f>IF(M1633="","",'Master Barang'!A27)</f>
        <v>PRL-026</v>
      </c>
      <c r="O1633" t="str">
        <f>IF(N1633="","",'Master Barang'!B27)</f>
        <v>lancar kresek kecil bening </v>
      </c>
      <c r="P1633">
        <f>IF(OR(M1633="",N1633=""),"",SUMIFS('Barang Keluar'!$E:$E,'Barang Keluar'!$A:$A,M1633,'Barang Keluar'!$C:$C,N1633))</f>
        <v>0</v>
      </c>
    </row>
    <row r="1634" spans="13:16">
      <c r="M1634" s="49">
        <f>IF($A$4+16&gt;$B$4,"",$A$4+16)</f>
        <v>46039</v>
      </c>
      <c r="N1634" t="str">
        <f>IF(M1634="","",'Master Barang'!A28)</f>
        <v>PRL-027</v>
      </c>
      <c r="O1634" t="str">
        <f>IF(N1634="","",'Master Barang'!B28)</f>
        <v>kresek klin warna warni kecil</v>
      </c>
      <c r="P1634">
        <f>IF(OR(M1634="",N1634=""),"",SUMIFS('Barang Keluar'!$E:$E,'Barang Keluar'!$A:$A,M1634,'Barang Keluar'!$C:$C,N1634))</f>
        <v>0</v>
      </c>
    </row>
    <row r="1635" spans="13:16">
      <c r="M1635" s="49">
        <f>IF($A$4+16&gt;$B$4,"",$A$4+16)</f>
        <v>46039</v>
      </c>
      <c r="N1635" t="str">
        <f>IF(M1635="","",'Master Barang'!A29)</f>
        <v>PRL-028</v>
      </c>
      <c r="O1635" t="str">
        <f>IF(N1635="","",'Master Barang'!B29)</f>
        <v>ctik plastik 7x10 100 pcs</v>
      </c>
      <c r="P1635">
        <f>IF(OR(M1635="",N1635=""),"",SUMIFS('Barang Keluar'!$E:$E,'Barang Keluar'!$A:$A,M1635,'Barang Keluar'!$C:$C,N1635))</f>
        <v>0</v>
      </c>
    </row>
    <row r="1636" spans="13:16">
      <c r="M1636" s="49">
        <f>IF($A$4+16&gt;$B$4,"",$A$4+16)</f>
        <v>46039</v>
      </c>
      <c r="N1636" t="str">
        <f>IF(M1636="","",'Master Barang'!A30)</f>
        <v>PRL-029</v>
      </c>
      <c r="O1636" t="str">
        <f>IF(N1636="","",'Master Barang'!B30)</f>
        <v>ctik plastik 6x10 100 pcs</v>
      </c>
      <c r="P1636">
        <f>IF(OR(M1636="",N1636=""),"",SUMIFS('Barang Keluar'!$E:$E,'Barang Keluar'!$A:$A,M1636,'Barang Keluar'!$C:$C,N1636))</f>
        <v>0</v>
      </c>
    </row>
    <row r="1637" spans="13:16">
      <c r="M1637" s="49">
        <f>IF($A$4+16&gt;$B$4,"",$A$4+16)</f>
        <v>46039</v>
      </c>
      <c r="N1637" t="str">
        <f>IF(M1637="","",'Master Barang'!A31)</f>
        <v>PRL-030</v>
      </c>
      <c r="O1637" t="str">
        <f>IF(N1637="","",'Master Barang'!B31)</f>
        <v>klip plastik 25x16 100 pcs</v>
      </c>
      <c r="P1637">
        <f>IF(OR(M1637="",N1637=""),"",SUMIFS('Barang Keluar'!$E:$E,'Barang Keluar'!$A:$A,M1637,'Barang Keluar'!$C:$C,N1637))</f>
        <v>0</v>
      </c>
    </row>
    <row r="1638" spans="13:16">
      <c r="M1638" s="49">
        <f>IF($A$4+16&gt;$B$4,"",$A$4+16)</f>
        <v>46039</v>
      </c>
      <c r="N1638" t="str">
        <f>IF(M1638="","",'Master Barang'!A32)</f>
        <v>PRL-031</v>
      </c>
      <c r="O1638" t="str">
        <f>IF(N1638="","",'Master Barang'!B32)</f>
        <v>tempat saus 20 ml</v>
      </c>
      <c r="P1638">
        <f>IF(OR(M1638="",N1638=""),"",SUMIFS('Barang Keluar'!$E:$E,'Barang Keluar'!$A:$A,M1638,'Barang Keluar'!$C:$C,N1638))</f>
        <v>0</v>
      </c>
    </row>
    <row r="1639" spans="13:16">
      <c r="M1639" s="49">
        <f>IF($A$4+16&gt;$B$4,"",$A$4+16)</f>
        <v>46039</v>
      </c>
      <c r="N1639" t="str">
        <f>IF(M1639="","",'Master Barang'!A33)</f>
        <v>PRL-032</v>
      </c>
      <c r="O1639" t="str">
        <f>IF(N1639="","",'Master Barang'!B33)</f>
        <v>plastik packaging ag box uk sedang</v>
      </c>
      <c r="P1639">
        <f>IF(OR(M1639="",N1639=""),"",SUMIFS('Barang Keluar'!$E:$E,'Barang Keluar'!$A:$A,M1639,'Barang Keluar'!$C:$C,N1639))</f>
        <v>0</v>
      </c>
    </row>
    <row r="1640" spans="13:16">
      <c r="M1640" s="49">
        <f>IF($A$4+16&gt;$B$4,"",$A$4+16)</f>
        <v>46039</v>
      </c>
      <c r="N1640" t="str">
        <f>IF(M1640="","",'Master Barang'!A34)</f>
        <v>PRL-033</v>
      </c>
      <c r="O1640">
        <f>IF(N1640="","",'Master Barang'!B34)</f>
        <v>0</v>
      </c>
      <c r="P1640">
        <f>IF(OR(M1640="",N1640=""),"",SUMIFS('Barang Keluar'!$E:$E,'Barang Keluar'!$A:$A,M1640,'Barang Keluar'!$C:$C,N1640))</f>
        <v>0</v>
      </c>
    </row>
    <row r="1641" spans="13:16">
      <c r="M1641" s="49">
        <f>IF($A$4+16&gt;$B$4,"",$A$4+16)</f>
        <v>46039</v>
      </c>
      <c r="N1641">
        <f>IF(M1641="","",'Master Barang'!A35)</f>
        <v>0</v>
      </c>
      <c r="O1641">
        <f>IF(N1641="","",'Master Barang'!B35)</f>
        <v>0</v>
      </c>
      <c r="P1641">
        <f>IF(OR(M1641="",N1641=""),"",SUMIFS('Barang Keluar'!$E:$E,'Barang Keluar'!$A:$A,M1641,'Barang Keluar'!$C:$C,N1641))</f>
        <v>0</v>
      </c>
    </row>
    <row r="1642" spans="13:16">
      <c r="M1642" s="49">
        <f>IF($A$4+16&gt;$B$4,"",$A$4+16)</f>
        <v>46039</v>
      </c>
      <c r="N1642">
        <f>IF(M1642="","",'Master Barang'!A36)</f>
        <v>0</v>
      </c>
      <c r="O1642">
        <f>IF(N1642="","",'Master Barang'!B36)</f>
        <v>0</v>
      </c>
      <c r="P1642">
        <f>IF(OR(M1642="",N1642=""),"",SUMIFS('Barang Keluar'!$E:$E,'Barang Keluar'!$A:$A,M1642,'Barang Keluar'!$C:$C,N1642))</f>
        <v>0</v>
      </c>
    </row>
    <row r="1643" spans="13:16">
      <c r="M1643" s="49">
        <f>IF($A$4+16&gt;$B$4,"",$A$4+16)</f>
        <v>46039</v>
      </c>
      <c r="N1643">
        <f>IF(M1643="","",'Master Barang'!A37)</f>
        <v>0</v>
      </c>
      <c r="O1643">
        <f>IF(N1643="","",'Master Barang'!B37)</f>
        <v>0</v>
      </c>
      <c r="P1643">
        <f>IF(OR(M1643="",N1643=""),"",SUMIFS('Barang Keluar'!$E:$E,'Barang Keluar'!$A:$A,M1643,'Barang Keluar'!$C:$C,N1643))</f>
        <v>0</v>
      </c>
    </row>
    <row r="1644" spans="13:16">
      <c r="M1644" s="49">
        <f>IF($A$4+16&gt;$B$4,"",$A$4+16)</f>
        <v>46039</v>
      </c>
      <c r="N1644">
        <f>IF(M1644="","",'Master Barang'!A38)</f>
        <v>0</v>
      </c>
      <c r="O1644">
        <f>IF(N1644="","",'Master Barang'!B38)</f>
        <v>0</v>
      </c>
      <c r="P1644">
        <f>IF(OR(M1644="",N1644=""),"",SUMIFS('Barang Keluar'!$E:$E,'Barang Keluar'!$A:$A,M1644,'Barang Keluar'!$C:$C,N1644))</f>
        <v>0</v>
      </c>
    </row>
    <row r="1645" spans="13:16">
      <c r="M1645" s="49">
        <f>IF($A$4+16&gt;$B$4,"",$A$4+16)</f>
        <v>46039</v>
      </c>
      <c r="N1645">
        <f>IF(M1645="","",'Master Barang'!A39)</f>
        <v>0</v>
      </c>
      <c r="O1645">
        <f>IF(N1645="","",'Master Barang'!B39)</f>
        <v>0</v>
      </c>
      <c r="P1645">
        <f>IF(OR(M1645="",N1645=""),"",SUMIFS('Barang Keluar'!$E:$E,'Barang Keluar'!$A:$A,M1645,'Barang Keluar'!$C:$C,N1645))</f>
        <v>0</v>
      </c>
    </row>
    <row r="1646" spans="13:16">
      <c r="M1646" s="49">
        <f>IF($A$4+16&gt;$B$4,"",$A$4+16)</f>
        <v>46039</v>
      </c>
      <c r="N1646">
        <f>IF(M1646="","",'Master Barang'!A40)</f>
        <v>0</v>
      </c>
      <c r="O1646">
        <f>IF(N1646="","",'Master Barang'!B40)</f>
        <v>0</v>
      </c>
      <c r="P1646">
        <f>IF(OR(M1646="",N1646=""),"",SUMIFS('Barang Keluar'!$E:$E,'Barang Keluar'!$A:$A,M1646,'Barang Keluar'!$C:$C,N1646))</f>
        <v>0</v>
      </c>
    </row>
    <row r="1647" spans="13:16">
      <c r="M1647" s="49">
        <f>IF($A$4+16&gt;$B$4,"",$A$4+16)</f>
        <v>46039</v>
      </c>
      <c r="N1647">
        <f>IF(M1647="","",'Master Barang'!A41)</f>
        <v>0</v>
      </c>
      <c r="O1647">
        <f>IF(N1647="","",'Master Barang'!B41)</f>
        <v>0</v>
      </c>
      <c r="P1647">
        <f>IF(OR(M1647="",N1647=""),"",SUMIFS('Barang Keluar'!$E:$E,'Barang Keluar'!$A:$A,M1647,'Barang Keluar'!$C:$C,N1647))</f>
        <v>0</v>
      </c>
    </row>
    <row r="1648" spans="13:16">
      <c r="M1648" s="49">
        <f>IF($A$4+16&gt;$B$4,"",$A$4+16)</f>
        <v>46039</v>
      </c>
      <c r="N1648">
        <f>IF(M1648="","",'Master Barang'!A42)</f>
        <v>0</v>
      </c>
      <c r="O1648">
        <f>IF(N1648="","",'Master Barang'!B42)</f>
        <v>0</v>
      </c>
      <c r="P1648">
        <f>IF(OR(M1648="",N1648=""),"",SUMIFS('Barang Keluar'!$E:$E,'Barang Keluar'!$A:$A,M1648,'Barang Keluar'!$C:$C,N1648))</f>
        <v>0</v>
      </c>
    </row>
    <row r="1649" spans="13:16">
      <c r="M1649" s="49">
        <f>IF($A$4+16&gt;$B$4,"",$A$4+16)</f>
        <v>46039</v>
      </c>
      <c r="N1649">
        <f>IF(M1649="","",'Master Barang'!A43)</f>
        <v>0</v>
      </c>
      <c r="O1649">
        <f>IF(N1649="","",'Master Barang'!B43)</f>
        <v>0</v>
      </c>
      <c r="P1649">
        <f>IF(OR(M1649="",N1649=""),"",SUMIFS('Barang Keluar'!$E:$E,'Barang Keluar'!$A:$A,M1649,'Barang Keluar'!$C:$C,N1649))</f>
        <v>0</v>
      </c>
    </row>
    <row r="1650" spans="13:16">
      <c r="M1650" s="49">
        <f>IF($A$4+16&gt;$B$4,"",$A$4+16)</f>
        <v>46039</v>
      </c>
      <c r="N1650">
        <f>IF(M1650="","",'Master Barang'!A44)</f>
        <v>0</v>
      </c>
      <c r="O1650">
        <f>IF(N1650="","",'Master Barang'!B44)</f>
        <v>0</v>
      </c>
      <c r="P1650">
        <f>IF(OR(M1650="",N1650=""),"",SUMIFS('Barang Keluar'!$E:$E,'Barang Keluar'!$A:$A,M1650,'Barang Keluar'!$C:$C,N1650))</f>
        <v>0</v>
      </c>
    </row>
    <row r="1651" spans="13:16">
      <c r="M1651" s="49">
        <f>IF($A$4+16&gt;$B$4,"",$A$4+16)</f>
        <v>46039</v>
      </c>
      <c r="N1651">
        <f>IF(M1651="","",'Master Barang'!A45)</f>
        <v>0</v>
      </c>
      <c r="O1651">
        <f>IF(N1651="","",'Master Barang'!B45)</f>
        <v>0</v>
      </c>
      <c r="P1651">
        <f>IF(OR(M1651="",N1651=""),"",SUMIFS('Barang Keluar'!$E:$E,'Barang Keluar'!$A:$A,M1651,'Barang Keluar'!$C:$C,N1651))</f>
        <v>0</v>
      </c>
    </row>
    <row r="1652" spans="13:16">
      <c r="M1652" s="49">
        <f>IF($A$4+16&gt;$B$4,"",$A$4+16)</f>
        <v>46039</v>
      </c>
      <c r="N1652">
        <f>IF(M1652="","",'Master Barang'!A46)</f>
        <v>0</v>
      </c>
      <c r="O1652">
        <f>IF(N1652="","",'Master Barang'!B46)</f>
        <v>0</v>
      </c>
      <c r="P1652">
        <f>IF(OR(M1652="",N1652=""),"",SUMIFS('Barang Keluar'!$E:$E,'Barang Keluar'!$A:$A,M1652,'Barang Keluar'!$C:$C,N1652))</f>
        <v>0</v>
      </c>
    </row>
    <row r="1653" spans="13:16">
      <c r="M1653" s="49">
        <f>IF($A$4+16&gt;$B$4,"",$A$4+16)</f>
        <v>46039</v>
      </c>
      <c r="N1653">
        <f>IF(M1653="","",'Master Barang'!A47)</f>
        <v>0</v>
      </c>
      <c r="O1653">
        <f>IF(N1653="","",'Master Barang'!B47)</f>
        <v>0</v>
      </c>
      <c r="P1653">
        <f>IF(OR(M1653="",N1653=""),"",SUMIFS('Barang Keluar'!$E:$E,'Barang Keluar'!$A:$A,M1653,'Barang Keluar'!$C:$C,N1653))</f>
        <v>0</v>
      </c>
    </row>
    <row r="1654" spans="13:16">
      <c r="M1654" s="49">
        <f>IF($A$4+16&gt;$B$4,"",$A$4+16)</f>
        <v>46039</v>
      </c>
      <c r="N1654">
        <f>IF(M1654="","",'Master Barang'!A48)</f>
        <v>0</v>
      </c>
      <c r="O1654">
        <f>IF(N1654="","",'Master Barang'!B48)</f>
        <v>0</v>
      </c>
      <c r="P1654">
        <f>IF(OR(M1654="",N1654=""),"",SUMIFS('Barang Keluar'!$E:$E,'Barang Keluar'!$A:$A,M1654,'Barang Keluar'!$C:$C,N1654))</f>
        <v>0</v>
      </c>
    </row>
    <row r="1655" spans="13:16">
      <c r="M1655" s="49">
        <f>IF($A$4+16&gt;$B$4,"",$A$4+16)</f>
        <v>46039</v>
      </c>
      <c r="N1655">
        <f>IF(M1655="","",'Master Barang'!A49)</f>
        <v>0</v>
      </c>
      <c r="O1655">
        <f>IF(N1655="","",'Master Barang'!B49)</f>
        <v>0</v>
      </c>
      <c r="P1655">
        <f>IF(OR(M1655="",N1655=""),"",SUMIFS('Barang Keluar'!$E:$E,'Barang Keluar'!$A:$A,M1655,'Barang Keluar'!$C:$C,N1655))</f>
        <v>0</v>
      </c>
    </row>
    <row r="1656" spans="13:16">
      <c r="M1656" s="49">
        <f>IF($A$4+16&gt;$B$4,"",$A$4+16)</f>
        <v>46039</v>
      </c>
      <c r="N1656">
        <f>IF(M1656="","",'Master Barang'!A50)</f>
        <v>0</v>
      </c>
      <c r="O1656">
        <f>IF(N1656="","",'Master Barang'!B50)</f>
        <v>0</v>
      </c>
      <c r="P1656">
        <f>IF(OR(M1656="",N1656=""),"",SUMIFS('Barang Keluar'!$E:$E,'Barang Keluar'!$A:$A,M1656,'Barang Keluar'!$C:$C,N1656))</f>
        <v>0</v>
      </c>
    </row>
    <row r="1657" spans="13:16">
      <c r="M1657" s="49">
        <f>IF($A$4+16&gt;$B$4,"",$A$4+16)</f>
        <v>46039</v>
      </c>
      <c r="N1657">
        <f>IF(M1657="","",'Master Barang'!A51)</f>
        <v>0</v>
      </c>
      <c r="O1657">
        <f>IF(N1657="","",'Master Barang'!B51)</f>
        <v>0</v>
      </c>
      <c r="P1657">
        <f>IF(OR(M1657="",N1657=""),"",SUMIFS('Barang Keluar'!$E:$E,'Barang Keluar'!$A:$A,M1657,'Barang Keluar'!$C:$C,N1657))</f>
        <v>0</v>
      </c>
    </row>
    <row r="1658" spans="13:16">
      <c r="M1658" s="49">
        <f>IF($A$4+16&gt;$B$4,"",$A$4+16)</f>
        <v>46039</v>
      </c>
      <c r="N1658">
        <f>IF(M1658="","",'Master Barang'!A52)</f>
        <v>0</v>
      </c>
      <c r="O1658">
        <f>IF(N1658="","",'Master Barang'!B52)</f>
        <v>0</v>
      </c>
      <c r="P1658">
        <f>IF(OR(M1658="",N1658=""),"",SUMIFS('Barang Keluar'!$E:$E,'Barang Keluar'!$A:$A,M1658,'Barang Keluar'!$C:$C,N1658))</f>
        <v>0</v>
      </c>
    </row>
    <row r="1659" spans="13:16">
      <c r="M1659" s="49">
        <f>IF($A$4+16&gt;$B$4,"",$A$4+16)</f>
        <v>46039</v>
      </c>
      <c r="N1659">
        <f>IF(M1659="","",'Master Barang'!A53)</f>
        <v>0</v>
      </c>
      <c r="O1659">
        <f>IF(N1659="","",'Master Barang'!B53)</f>
        <v>0</v>
      </c>
      <c r="P1659">
        <f>IF(OR(M1659="",N1659=""),"",SUMIFS('Barang Keluar'!$E:$E,'Barang Keluar'!$A:$A,M1659,'Barang Keluar'!$C:$C,N1659))</f>
        <v>0</v>
      </c>
    </row>
    <row r="1660" spans="13:16">
      <c r="M1660" s="49">
        <f>IF($A$4+16&gt;$B$4,"",$A$4+16)</f>
        <v>46039</v>
      </c>
      <c r="N1660">
        <f>IF(M1660="","",'Master Barang'!A54)</f>
        <v>0</v>
      </c>
      <c r="O1660">
        <f>IF(N1660="","",'Master Barang'!B54)</f>
        <v>0</v>
      </c>
      <c r="P1660">
        <f>IF(OR(M1660="",N1660=""),"",SUMIFS('Barang Keluar'!$E:$E,'Barang Keluar'!$A:$A,M1660,'Barang Keluar'!$C:$C,N1660))</f>
        <v>0</v>
      </c>
    </row>
    <row r="1661" spans="13:16">
      <c r="M1661" s="49">
        <f>IF($A$4+16&gt;$B$4,"",$A$4+16)</f>
        <v>46039</v>
      </c>
      <c r="N1661">
        <f>IF(M1661="","",'Master Barang'!A55)</f>
        <v>0</v>
      </c>
      <c r="O1661">
        <f>IF(N1661="","",'Master Barang'!B55)</f>
        <v>0</v>
      </c>
      <c r="P1661">
        <f>IF(OR(M1661="",N1661=""),"",SUMIFS('Barang Keluar'!$E:$E,'Barang Keluar'!$A:$A,M1661,'Barang Keluar'!$C:$C,N1661))</f>
        <v>0</v>
      </c>
    </row>
    <row r="1662" spans="13:16">
      <c r="M1662" s="49">
        <f>IF($A$4+16&gt;$B$4,"",$A$4+16)</f>
        <v>46039</v>
      </c>
      <c r="N1662">
        <f>IF(M1662="","",'Master Barang'!A56)</f>
        <v>0</v>
      </c>
      <c r="O1662">
        <f>IF(N1662="","",'Master Barang'!B56)</f>
        <v>0</v>
      </c>
      <c r="P1662">
        <f>IF(OR(M1662="",N1662=""),"",SUMIFS('Barang Keluar'!$E:$E,'Barang Keluar'!$A:$A,M1662,'Barang Keluar'!$C:$C,N1662))</f>
        <v>0</v>
      </c>
    </row>
    <row r="1663" spans="13:16">
      <c r="M1663" s="49">
        <f>IF($A$4+16&gt;$B$4,"",$A$4+16)</f>
        <v>46039</v>
      </c>
      <c r="N1663">
        <f>IF(M1663="","",'Master Barang'!A57)</f>
        <v>0</v>
      </c>
      <c r="O1663">
        <f>IF(N1663="","",'Master Barang'!B57)</f>
        <v>0</v>
      </c>
      <c r="P1663">
        <f>IF(OR(M1663="",N1663=""),"",SUMIFS('Barang Keluar'!$E:$E,'Barang Keluar'!$A:$A,M1663,'Barang Keluar'!$C:$C,N1663))</f>
        <v>0</v>
      </c>
    </row>
    <row r="1664" spans="13:16">
      <c r="M1664" s="49">
        <f>IF($A$4+16&gt;$B$4,"",$A$4+16)</f>
        <v>46039</v>
      </c>
      <c r="N1664">
        <f>IF(M1664="","",'Master Barang'!A58)</f>
        <v>0</v>
      </c>
      <c r="O1664">
        <f>IF(N1664="","",'Master Barang'!B58)</f>
        <v>0</v>
      </c>
      <c r="P1664">
        <f>IF(OR(M1664="",N1664=""),"",SUMIFS('Barang Keluar'!$E:$E,'Barang Keluar'!$A:$A,M1664,'Barang Keluar'!$C:$C,N1664))</f>
        <v>0</v>
      </c>
    </row>
    <row r="1665" spans="13:16">
      <c r="M1665" s="49">
        <f>IF($A$4+16&gt;$B$4,"",$A$4+16)</f>
        <v>46039</v>
      </c>
      <c r="N1665">
        <f>IF(M1665="","",'Master Barang'!A59)</f>
        <v>0</v>
      </c>
      <c r="O1665">
        <f>IF(N1665="","",'Master Barang'!B59)</f>
        <v>0</v>
      </c>
      <c r="P1665">
        <f>IF(OR(M1665="",N1665=""),"",SUMIFS('Barang Keluar'!$E:$E,'Barang Keluar'!$A:$A,M1665,'Barang Keluar'!$C:$C,N1665))</f>
        <v>0</v>
      </c>
    </row>
    <row r="1666" spans="13:16">
      <c r="M1666" s="49">
        <f>IF($A$4+16&gt;$B$4,"",$A$4+16)</f>
        <v>46039</v>
      </c>
      <c r="N1666">
        <f>IF(M1666="","",'Master Barang'!A60)</f>
        <v>0</v>
      </c>
      <c r="O1666">
        <f>IF(N1666="","",'Master Barang'!B60)</f>
        <v>0</v>
      </c>
      <c r="P1666">
        <f>IF(OR(M1666="",N1666=""),"",SUMIFS('Barang Keluar'!$E:$E,'Barang Keluar'!$A:$A,M1666,'Barang Keluar'!$C:$C,N1666))</f>
        <v>0</v>
      </c>
    </row>
    <row r="1667" spans="13:16">
      <c r="M1667" s="49">
        <f>IF($A$4+16&gt;$B$4,"",$A$4+16)</f>
        <v>46039</v>
      </c>
      <c r="N1667">
        <f>IF(M1667="","",'Master Barang'!A61)</f>
        <v>0</v>
      </c>
      <c r="O1667">
        <f>IF(N1667="","",'Master Barang'!B61)</f>
        <v>0</v>
      </c>
      <c r="P1667">
        <f>IF(OR(M1667="",N1667=""),"",SUMIFS('Barang Keluar'!$E:$E,'Barang Keluar'!$A:$A,M1667,'Barang Keluar'!$C:$C,N1667))</f>
        <v>0</v>
      </c>
    </row>
    <row r="1668" spans="13:16">
      <c r="M1668" s="49">
        <f>IF($A$4+16&gt;$B$4,"",$A$4+16)</f>
        <v>46039</v>
      </c>
      <c r="N1668">
        <f>IF(M1668="","",'Master Barang'!A62)</f>
        <v>0</v>
      </c>
      <c r="O1668">
        <f>IF(N1668="","",'Master Barang'!B62)</f>
        <v>0</v>
      </c>
      <c r="P1668">
        <f>IF(OR(M1668="",N1668=""),"",SUMIFS('Barang Keluar'!$E:$E,'Barang Keluar'!$A:$A,M1668,'Barang Keluar'!$C:$C,N1668))</f>
        <v>0</v>
      </c>
    </row>
    <row r="1669" spans="13:16">
      <c r="M1669" s="49">
        <f>IF($A$4+16&gt;$B$4,"",$A$4+16)</f>
        <v>46039</v>
      </c>
      <c r="N1669">
        <f>IF(M1669="","",'Master Barang'!A63)</f>
        <v>0</v>
      </c>
      <c r="O1669">
        <f>IF(N1669="","",'Master Barang'!B63)</f>
        <v>0</v>
      </c>
      <c r="P1669">
        <f>IF(OR(M1669="",N1669=""),"",SUMIFS('Barang Keluar'!$E:$E,'Barang Keluar'!$A:$A,M1669,'Barang Keluar'!$C:$C,N1669))</f>
        <v>0</v>
      </c>
    </row>
    <row r="1670" spans="13:16">
      <c r="M1670" s="49">
        <f>IF($A$4+16&gt;$B$4,"",$A$4+16)</f>
        <v>46039</v>
      </c>
      <c r="N1670">
        <f>IF(M1670="","",'Master Barang'!A64)</f>
        <v>0</v>
      </c>
      <c r="O1670">
        <f>IF(N1670="","",'Master Barang'!B64)</f>
        <v>0</v>
      </c>
      <c r="P1670">
        <f>IF(OR(M1670="",N1670=""),"",SUMIFS('Barang Keluar'!$E:$E,'Barang Keluar'!$A:$A,M1670,'Barang Keluar'!$C:$C,N1670))</f>
        <v>0</v>
      </c>
    </row>
    <row r="1671" spans="13:16">
      <c r="M1671" s="49">
        <f>IF($A$4+16&gt;$B$4,"",$A$4+16)</f>
        <v>46039</v>
      </c>
      <c r="N1671">
        <f>IF(M1671="","",'Master Barang'!A65)</f>
        <v>0</v>
      </c>
      <c r="O1671">
        <f>IF(N1671="","",'Master Barang'!B65)</f>
        <v>0</v>
      </c>
      <c r="P1671">
        <f>IF(OR(M1671="",N1671=""),"",SUMIFS('Barang Keluar'!$E:$E,'Barang Keluar'!$A:$A,M1671,'Barang Keluar'!$C:$C,N1671))</f>
        <v>0</v>
      </c>
    </row>
    <row r="1672" spans="13:16">
      <c r="M1672" s="49">
        <f>IF($A$4+16&gt;$B$4,"",$A$4+16)</f>
        <v>46039</v>
      </c>
      <c r="N1672">
        <f>IF(M1672="","",'Master Barang'!A66)</f>
        <v>0</v>
      </c>
      <c r="O1672">
        <f>IF(N1672="","",'Master Barang'!B66)</f>
        <v>0</v>
      </c>
      <c r="P1672">
        <f>IF(OR(M1672="",N1672=""),"",SUMIFS('Barang Keluar'!$E:$E,'Barang Keluar'!$A:$A,M1672,'Barang Keluar'!$C:$C,N1672))</f>
        <v>0</v>
      </c>
    </row>
    <row r="1673" spans="13:16">
      <c r="M1673" s="49">
        <f>IF($A$4+16&gt;$B$4,"",$A$4+16)</f>
        <v>46039</v>
      </c>
      <c r="N1673">
        <f>IF(M1673="","",'Master Barang'!A67)</f>
        <v>0</v>
      </c>
      <c r="O1673">
        <f>IF(N1673="","",'Master Barang'!B67)</f>
        <v>0</v>
      </c>
      <c r="P1673">
        <f>IF(OR(M1673="",N1673=""),"",SUMIFS('Barang Keluar'!$E:$E,'Barang Keluar'!$A:$A,M1673,'Barang Keluar'!$C:$C,N1673))</f>
        <v>0</v>
      </c>
    </row>
    <row r="1674" spans="13:16">
      <c r="M1674" s="49">
        <f>IF($A$4+16&gt;$B$4,"",$A$4+16)</f>
        <v>46039</v>
      </c>
      <c r="N1674">
        <f>IF(M1674="","",'Master Barang'!A68)</f>
        <v>0</v>
      </c>
      <c r="O1674">
        <f>IF(N1674="","",'Master Barang'!B68)</f>
        <v>0</v>
      </c>
      <c r="P1674">
        <f>IF(OR(M1674="",N1674=""),"",SUMIFS('Barang Keluar'!$E:$E,'Barang Keluar'!$A:$A,M1674,'Barang Keluar'!$C:$C,N1674))</f>
        <v>0</v>
      </c>
    </row>
    <row r="1675" spans="13:16">
      <c r="M1675" s="49">
        <f>IF($A$4+16&gt;$B$4,"",$A$4+16)</f>
        <v>46039</v>
      </c>
      <c r="N1675">
        <f>IF(M1675="","",'Master Barang'!A69)</f>
        <v>0</v>
      </c>
      <c r="O1675">
        <f>IF(N1675="","",'Master Barang'!B69)</f>
        <v>0</v>
      </c>
      <c r="P1675">
        <f>IF(OR(M1675="",N1675=""),"",SUMIFS('Barang Keluar'!$E:$E,'Barang Keluar'!$A:$A,M1675,'Barang Keluar'!$C:$C,N1675))</f>
        <v>0</v>
      </c>
    </row>
    <row r="1676" spans="13:16">
      <c r="M1676" s="49">
        <f>IF($A$4+16&gt;$B$4,"",$A$4+16)</f>
        <v>46039</v>
      </c>
      <c r="N1676">
        <f>IF(M1676="","",'Master Barang'!A70)</f>
        <v>0</v>
      </c>
      <c r="O1676">
        <f>IF(N1676="","",'Master Barang'!B70)</f>
        <v>0</v>
      </c>
      <c r="P1676">
        <f>IF(OR(M1676="",N1676=""),"",SUMIFS('Barang Keluar'!$E:$E,'Barang Keluar'!$A:$A,M1676,'Barang Keluar'!$C:$C,N1676))</f>
        <v>0</v>
      </c>
    </row>
    <row r="1677" spans="13:16">
      <c r="M1677" s="49">
        <f>IF($A$4+16&gt;$B$4,"",$A$4+16)</f>
        <v>46039</v>
      </c>
      <c r="N1677">
        <f>IF(M1677="","",'Master Barang'!A71)</f>
        <v>0</v>
      </c>
      <c r="O1677">
        <f>IF(N1677="","",'Master Barang'!B71)</f>
        <v>0</v>
      </c>
      <c r="P1677">
        <f>IF(OR(M1677="",N1677=""),"",SUMIFS('Barang Keluar'!$E:$E,'Barang Keluar'!$A:$A,M1677,'Barang Keluar'!$C:$C,N1677))</f>
        <v>0</v>
      </c>
    </row>
    <row r="1678" spans="13:16">
      <c r="M1678" s="49">
        <f>IF($A$4+16&gt;$B$4,"",$A$4+16)</f>
        <v>46039</v>
      </c>
      <c r="N1678">
        <f>IF(M1678="","",'Master Barang'!A72)</f>
        <v>0</v>
      </c>
      <c r="O1678">
        <f>IF(N1678="","",'Master Barang'!B72)</f>
        <v>0</v>
      </c>
      <c r="P1678">
        <f>IF(OR(M1678="",N1678=""),"",SUMIFS('Barang Keluar'!$E:$E,'Barang Keluar'!$A:$A,M1678,'Barang Keluar'!$C:$C,N1678))</f>
        <v>0</v>
      </c>
    </row>
    <row r="1679" spans="13:16">
      <c r="M1679" s="49">
        <f>IF($A$4+16&gt;$B$4,"",$A$4+16)</f>
        <v>46039</v>
      </c>
      <c r="N1679">
        <f>IF(M1679="","",'Master Barang'!A73)</f>
        <v>0</v>
      </c>
      <c r="O1679">
        <f>IF(N1679="","",'Master Barang'!B73)</f>
        <v>0</v>
      </c>
      <c r="P1679">
        <f>IF(OR(M1679="",N1679=""),"",SUMIFS('Barang Keluar'!$E:$E,'Barang Keluar'!$A:$A,M1679,'Barang Keluar'!$C:$C,N1679))</f>
        <v>0</v>
      </c>
    </row>
    <row r="1680" spans="13:16">
      <c r="M1680" s="49">
        <f>IF($A$4+16&gt;$B$4,"",$A$4+16)</f>
        <v>46039</v>
      </c>
      <c r="N1680">
        <f>IF(M1680="","",'Master Barang'!A74)</f>
        <v>0</v>
      </c>
      <c r="O1680">
        <f>IF(N1680="","",'Master Barang'!B74)</f>
        <v>0</v>
      </c>
      <c r="P1680">
        <f>IF(OR(M1680="",N1680=""),"",SUMIFS('Barang Keluar'!$E:$E,'Barang Keluar'!$A:$A,M1680,'Barang Keluar'!$C:$C,N1680))</f>
        <v>0</v>
      </c>
    </row>
    <row r="1681" spans="13:16">
      <c r="M1681" s="49">
        <f>IF($A$4+16&gt;$B$4,"",$A$4+16)</f>
        <v>46039</v>
      </c>
      <c r="N1681">
        <f>IF(M1681="","",'Master Barang'!A75)</f>
        <v>0</v>
      </c>
      <c r="O1681">
        <f>IF(N1681="","",'Master Barang'!B75)</f>
        <v>0</v>
      </c>
      <c r="P1681">
        <f>IF(OR(M1681="",N1681=""),"",SUMIFS('Barang Keluar'!$E:$E,'Barang Keluar'!$A:$A,M1681,'Barang Keluar'!$C:$C,N1681))</f>
        <v>0</v>
      </c>
    </row>
    <row r="1682" spans="13:16">
      <c r="M1682" s="49">
        <f>IF($A$4+16&gt;$B$4,"",$A$4+16)</f>
        <v>46039</v>
      </c>
      <c r="N1682">
        <f>IF(M1682="","",'Master Barang'!A76)</f>
        <v>0</v>
      </c>
      <c r="O1682">
        <f>IF(N1682="","",'Master Barang'!B76)</f>
        <v>0</v>
      </c>
      <c r="P1682">
        <f>IF(OR(M1682="",N1682=""),"",SUMIFS('Barang Keluar'!$E:$E,'Barang Keluar'!$A:$A,M1682,'Barang Keluar'!$C:$C,N1682))</f>
        <v>0</v>
      </c>
    </row>
    <row r="1683" spans="13:16">
      <c r="M1683" s="49">
        <f>IF($A$4+16&gt;$B$4,"",$A$4+16)</f>
        <v>46039</v>
      </c>
      <c r="N1683">
        <f>IF(M1683="","",'Master Barang'!A77)</f>
        <v>0</v>
      </c>
      <c r="O1683">
        <f>IF(N1683="","",'Master Barang'!B77)</f>
        <v>0</v>
      </c>
      <c r="P1683">
        <f>IF(OR(M1683="",N1683=""),"",SUMIFS('Barang Keluar'!$E:$E,'Barang Keluar'!$A:$A,M1683,'Barang Keluar'!$C:$C,N1683))</f>
        <v>0</v>
      </c>
    </row>
    <row r="1684" spans="13:16">
      <c r="M1684" s="49">
        <f>IF($A$4+16&gt;$B$4,"",$A$4+16)</f>
        <v>46039</v>
      </c>
      <c r="N1684">
        <f>IF(M1684="","",'Master Barang'!A78)</f>
        <v>0</v>
      </c>
      <c r="O1684">
        <f>IF(N1684="","",'Master Barang'!B78)</f>
        <v>0</v>
      </c>
      <c r="P1684">
        <f>IF(OR(M1684="",N1684=""),"",SUMIFS('Barang Keluar'!$E:$E,'Barang Keluar'!$A:$A,M1684,'Barang Keluar'!$C:$C,N1684))</f>
        <v>0</v>
      </c>
    </row>
    <row r="1685" spans="13:16">
      <c r="M1685" s="49">
        <f>IF($A$4+16&gt;$B$4,"",$A$4+16)</f>
        <v>46039</v>
      </c>
      <c r="N1685">
        <f>IF(M1685="","",'Master Barang'!A79)</f>
        <v>0</v>
      </c>
      <c r="O1685">
        <f>IF(N1685="","",'Master Barang'!B79)</f>
        <v>0</v>
      </c>
      <c r="P1685">
        <f>IF(OR(M1685="",N1685=""),"",SUMIFS('Barang Keluar'!$E:$E,'Barang Keluar'!$A:$A,M1685,'Barang Keluar'!$C:$C,N1685))</f>
        <v>0</v>
      </c>
    </row>
    <row r="1686" spans="13:16">
      <c r="M1686" s="49">
        <f>IF($A$4+16&gt;$B$4,"",$A$4+16)</f>
        <v>46039</v>
      </c>
      <c r="N1686">
        <f>IF(M1686="","",'Master Barang'!A80)</f>
        <v>0</v>
      </c>
      <c r="O1686">
        <f>IF(N1686="","",'Master Barang'!B80)</f>
        <v>0</v>
      </c>
      <c r="P1686">
        <f>IF(OR(M1686="",N1686=""),"",SUMIFS('Barang Keluar'!$E:$E,'Barang Keluar'!$A:$A,M1686,'Barang Keluar'!$C:$C,N1686))</f>
        <v>0</v>
      </c>
    </row>
    <row r="1687" spans="13:16">
      <c r="M1687" s="49">
        <f>IF($A$4+16&gt;$B$4,"",$A$4+16)</f>
        <v>46039</v>
      </c>
      <c r="N1687">
        <f>IF(M1687="","",'Master Barang'!A81)</f>
        <v>0</v>
      </c>
      <c r="O1687">
        <f>IF(N1687="","",'Master Barang'!B81)</f>
        <v>0</v>
      </c>
      <c r="P1687">
        <f>IF(OR(M1687="",N1687=""),"",SUMIFS('Barang Keluar'!$E:$E,'Barang Keluar'!$A:$A,M1687,'Barang Keluar'!$C:$C,N1687))</f>
        <v>0</v>
      </c>
    </row>
    <row r="1688" spans="13:16">
      <c r="M1688" s="49">
        <f>IF($A$4+16&gt;$B$4,"",$A$4+16)</f>
        <v>46039</v>
      </c>
      <c r="N1688">
        <f>IF(M1688="","",'Master Barang'!A82)</f>
        <v>0</v>
      </c>
      <c r="O1688">
        <f>IF(N1688="","",'Master Barang'!B82)</f>
        <v>0</v>
      </c>
      <c r="P1688">
        <f>IF(OR(M1688="",N1688=""),"",SUMIFS('Barang Keluar'!$E:$E,'Barang Keluar'!$A:$A,M1688,'Barang Keluar'!$C:$C,N1688))</f>
        <v>0</v>
      </c>
    </row>
    <row r="1689" spans="13:16">
      <c r="M1689" s="49">
        <f>IF($A$4+16&gt;$B$4,"",$A$4+16)</f>
        <v>46039</v>
      </c>
      <c r="N1689">
        <f>IF(M1689="","",'Master Barang'!A83)</f>
        <v>0</v>
      </c>
      <c r="O1689">
        <f>IF(N1689="","",'Master Barang'!B83)</f>
        <v>0</v>
      </c>
      <c r="P1689">
        <f>IF(OR(M1689="",N1689=""),"",SUMIFS('Barang Keluar'!$E:$E,'Barang Keluar'!$A:$A,M1689,'Barang Keluar'!$C:$C,N1689))</f>
        <v>0</v>
      </c>
    </row>
    <row r="1690" spans="13:16">
      <c r="M1690" s="49">
        <f>IF($A$4+16&gt;$B$4,"",$A$4+16)</f>
        <v>46039</v>
      </c>
      <c r="N1690">
        <f>IF(M1690="","",'Master Barang'!A84)</f>
        <v>0</v>
      </c>
      <c r="O1690">
        <f>IF(N1690="","",'Master Barang'!B84)</f>
        <v>0</v>
      </c>
      <c r="P1690">
        <f>IF(OR(M1690="",N1690=""),"",SUMIFS('Barang Keluar'!$E:$E,'Barang Keluar'!$A:$A,M1690,'Barang Keluar'!$C:$C,N1690))</f>
        <v>0</v>
      </c>
    </row>
    <row r="1691" spans="13:16">
      <c r="M1691" s="49">
        <f>IF($A$4+16&gt;$B$4,"",$A$4+16)</f>
        <v>46039</v>
      </c>
      <c r="N1691">
        <f>IF(M1691="","",'Master Barang'!A85)</f>
        <v>0</v>
      </c>
      <c r="O1691">
        <f>IF(N1691="","",'Master Barang'!B85)</f>
        <v>0</v>
      </c>
      <c r="P1691">
        <f>IF(OR(M1691="",N1691=""),"",SUMIFS('Barang Keluar'!$E:$E,'Barang Keluar'!$A:$A,M1691,'Barang Keluar'!$C:$C,N1691))</f>
        <v>0</v>
      </c>
    </row>
    <row r="1692" spans="13:16">
      <c r="M1692" s="49">
        <f>IF($A$4+16&gt;$B$4,"",$A$4+16)</f>
        <v>46039</v>
      </c>
      <c r="N1692">
        <f>IF(M1692="","",'Master Barang'!A86)</f>
        <v>0</v>
      </c>
      <c r="O1692">
        <f>IF(N1692="","",'Master Barang'!B86)</f>
        <v>0</v>
      </c>
      <c r="P1692">
        <f>IF(OR(M1692="",N1692=""),"",SUMIFS('Barang Keluar'!$E:$E,'Barang Keluar'!$A:$A,M1692,'Barang Keluar'!$C:$C,N1692))</f>
        <v>0</v>
      </c>
    </row>
    <row r="1693" spans="13:16">
      <c r="M1693" s="49">
        <f>IF($A$4+16&gt;$B$4,"",$A$4+16)</f>
        <v>46039</v>
      </c>
      <c r="N1693">
        <f>IF(M1693="","",'Master Barang'!A87)</f>
        <v>0</v>
      </c>
      <c r="O1693">
        <f>IF(N1693="","",'Master Barang'!B87)</f>
        <v>0</v>
      </c>
      <c r="P1693">
        <f>IF(OR(M1693="",N1693=""),"",SUMIFS('Barang Keluar'!$E:$E,'Barang Keluar'!$A:$A,M1693,'Barang Keluar'!$C:$C,N1693))</f>
        <v>0</v>
      </c>
    </row>
    <row r="1694" spans="13:16">
      <c r="M1694" s="49">
        <f>IF($A$4+16&gt;$B$4,"",$A$4+16)</f>
        <v>46039</v>
      </c>
      <c r="N1694">
        <f>IF(M1694="","",'Master Barang'!A88)</f>
        <v>0</v>
      </c>
      <c r="O1694">
        <f>IF(N1694="","",'Master Barang'!B88)</f>
        <v>0</v>
      </c>
      <c r="P1694">
        <f>IF(OR(M1694="",N1694=""),"",SUMIFS('Barang Keluar'!$E:$E,'Barang Keluar'!$A:$A,M1694,'Barang Keluar'!$C:$C,N1694))</f>
        <v>0</v>
      </c>
    </row>
    <row r="1695" spans="13:16">
      <c r="M1695" s="49">
        <f>IF($A$4+16&gt;$B$4,"",$A$4+16)</f>
        <v>46039</v>
      </c>
      <c r="N1695">
        <f>IF(M1695="","",'Master Barang'!A89)</f>
        <v>0</v>
      </c>
      <c r="O1695">
        <f>IF(N1695="","",'Master Barang'!B89)</f>
        <v>0</v>
      </c>
      <c r="P1695">
        <f>IF(OR(M1695="",N1695=""),"",SUMIFS('Barang Keluar'!$E:$E,'Barang Keluar'!$A:$A,M1695,'Barang Keluar'!$C:$C,N1695))</f>
        <v>0</v>
      </c>
    </row>
    <row r="1696" spans="13:16">
      <c r="M1696" s="49">
        <f>IF($A$4+16&gt;$B$4,"",$A$4+16)</f>
        <v>46039</v>
      </c>
      <c r="N1696">
        <f>IF(M1696="","",'Master Barang'!A90)</f>
        <v>0</v>
      </c>
      <c r="O1696">
        <f>IF(N1696="","",'Master Barang'!B90)</f>
        <v>0</v>
      </c>
      <c r="P1696">
        <f>IF(OR(M1696="",N1696=""),"",SUMIFS('Barang Keluar'!$E:$E,'Barang Keluar'!$A:$A,M1696,'Barang Keluar'!$C:$C,N1696))</f>
        <v>0</v>
      </c>
    </row>
    <row r="1697" spans="13:16">
      <c r="M1697" s="49">
        <f>IF($A$4+16&gt;$B$4,"",$A$4+16)</f>
        <v>46039</v>
      </c>
      <c r="N1697">
        <f>IF(M1697="","",'Master Barang'!A91)</f>
        <v>0</v>
      </c>
      <c r="O1697">
        <f>IF(N1697="","",'Master Barang'!B91)</f>
        <v>0</v>
      </c>
      <c r="P1697">
        <f>IF(OR(M1697="",N1697=""),"",SUMIFS('Barang Keluar'!$E:$E,'Barang Keluar'!$A:$A,M1697,'Barang Keluar'!$C:$C,N1697))</f>
        <v>0</v>
      </c>
    </row>
    <row r="1698" spans="13:16">
      <c r="M1698" s="49">
        <f>IF($A$4+16&gt;$B$4,"",$A$4+16)</f>
        <v>46039</v>
      </c>
      <c r="N1698">
        <f>IF(M1698="","",'Master Barang'!A92)</f>
        <v>0</v>
      </c>
      <c r="O1698">
        <f>IF(N1698="","",'Master Barang'!B92)</f>
        <v>0</v>
      </c>
      <c r="P1698">
        <f>IF(OR(M1698="",N1698=""),"",SUMIFS('Barang Keluar'!$E:$E,'Barang Keluar'!$A:$A,M1698,'Barang Keluar'!$C:$C,N1698))</f>
        <v>0</v>
      </c>
    </row>
    <row r="1699" spans="13:16">
      <c r="M1699" s="49">
        <f>IF($A$4+16&gt;$B$4,"",$A$4+16)</f>
        <v>46039</v>
      </c>
      <c r="N1699">
        <f>IF(M1699="","",'Master Barang'!A93)</f>
        <v>0</v>
      </c>
      <c r="O1699">
        <f>IF(N1699="","",'Master Barang'!B93)</f>
        <v>0</v>
      </c>
      <c r="P1699">
        <f>IF(OR(M1699="",N1699=""),"",SUMIFS('Barang Keluar'!$E:$E,'Barang Keluar'!$A:$A,M1699,'Barang Keluar'!$C:$C,N1699))</f>
        <v>0</v>
      </c>
    </row>
    <row r="1700" spans="13:16">
      <c r="M1700" s="49">
        <f>IF($A$4+16&gt;$B$4,"",$A$4+16)</f>
        <v>46039</v>
      </c>
      <c r="N1700">
        <f>IF(M1700="","",'Master Barang'!A94)</f>
        <v>0</v>
      </c>
      <c r="O1700">
        <f>IF(N1700="","",'Master Barang'!B94)</f>
        <v>0</v>
      </c>
      <c r="P1700">
        <f>IF(OR(M1700="",N1700=""),"",SUMIFS('Barang Keluar'!$E:$E,'Barang Keluar'!$A:$A,M1700,'Barang Keluar'!$C:$C,N1700))</f>
        <v>0</v>
      </c>
    </row>
    <row r="1701" spans="13:16">
      <c r="M1701" s="49">
        <f>IF($A$4+16&gt;$B$4,"",$A$4+16)</f>
        <v>46039</v>
      </c>
      <c r="N1701">
        <f>IF(M1701="","",'Master Barang'!A95)</f>
        <v>0</v>
      </c>
      <c r="O1701">
        <f>IF(N1701="","",'Master Barang'!B95)</f>
        <v>0</v>
      </c>
      <c r="P1701">
        <f>IF(OR(M1701="",N1701=""),"",SUMIFS('Barang Keluar'!$E:$E,'Barang Keluar'!$A:$A,M1701,'Barang Keluar'!$C:$C,N1701))</f>
        <v>0</v>
      </c>
    </row>
    <row r="1702" spans="13:16">
      <c r="M1702" s="49">
        <f>IF($A$4+16&gt;$B$4,"",$A$4+16)</f>
        <v>46039</v>
      </c>
      <c r="N1702">
        <f>IF(M1702="","",'Master Barang'!A96)</f>
        <v>0</v>
      </c>
      <c r="O1702">
        <f>IF(N1702="","",'Master Barang'!B96)</f>
        <v>0</v>
      </c>
      <c r="P1702">
        <f>IF(OR(M1702="",N1702=""),"",SUMIFS('Barang Keluar'!$E:$E,'Barang Keluar'!$A:$A,M1702,'Barang Keluar'!$C:$C,N1702))</f>
        <v>0</v>
      </c>
    </row>
    <row r="1703" spans="13:16">
      <c r="M1703" s="49">
        <f>IF($A$4+16&gt;$B$4,"",$A$4+16)</f>
        <v>46039</v>
      </c>
      <c r="N1703">
        <f>IF(M1703="","",'Master Barang'!A97)</f>
        <v>0</v>
      </c>
      <c r="O1703">
        <f>IF(N1703="","",'Master Barang'!B97)</f>
        <v>0</v>
      </c>
      <c r="P1703">
        <f>IF(OR(M1703="",N1703=""),"",SUMIFS('Barang Keluar'!$E:$E,'Barang Keluar'!$A:$A,M1703,'Barang Keluar'!$C:$C,N1703))</f>
        <v>0</v>
      </c>
    </row>
    <row r="1704" spans="13:16">
      <c r="M1704" s="49">
        <f>IF($A$4+16&gt;$B$4,"",$A$4+16)</f>
        <v>46039</v>
      </c>
      <c r="N1704">
        <f>IF(M1704="","",'Master Barang'!A98)</f>
        <v>0</v>
      </c>
      <c r="O1704">
        <f>IF(N1704="","",'Master Barang'!B98)</f>
        <v>0</v>
      </c>
      <c r="P1704">
        <f>IF(OR(M1704="",N1704=""),"",SUMIFS('Barang Keluar'!$E:$E,'Barang Keluar'!$A:$A,M1704,'Barang Keluar'!$C:$C,N1704))</f>
        <v>0</v>
      </c>
    </row>
    <row r="1705" spans="13:16">
      <c r="M1705" s="49">
        <f>IF($A$4+16&gt;$B$4,"",$A$4+16)</f>
        <v>46039</v>
      </c>
      <c r="N1705">
        <f>IF(M1705="","",'Master Barang'!A99)</f>
        <v>0</v>
      </c>
      <c r="O1705">
        <f>IF(N1705="","",'Master Barang'!B99)</f>
        <v>0</v>
      </c>
      <c r="P1705">
        <f>IF(OR(M1705="",N1705=""),"",SUMIFS('Barang Keluar'!$E:$E,'Barang Keluar'!$A:$A,M1705,'Barang Keluar'!$C:$C,N1705))</f>
        <v>0</v>
      </c>
    </row>
    <row r="1706" spans="13:16">
      <c r="M1706" s="49">
        <f>IF($A$4+16&gt;$B$4,"",$A$4+16)</f>
        <v>46039</v>
      </c>
      <c r="N1706">
        <f>IF(M1706="","",'Master Barang'!A100)</f>
        <v>0</v>
      </c>
      <c r="O1706">
        <f>IF(N1706="","",'Master Barang'!B100)</f>
        <v>0</v>
      </c>
      <c r="P1706">
        <f>IF(OR(M1706="",N1706=""),"",SUMIFS('Barang Keluar'!$E:$E,'Barang Keluar'!$A:$A,M1706,'Barang Keluar'!$C:$C,N1706))</f>
        <v>0</v>
      </c>
    </row>
    <row r="1707" spans="13:16">
      <c r="M1707" s="49">
        <f>IF($A$4+16&gt;$B$4,"",$A$4+16)</f>
        <v>46039</v>
      </c>
      <c r="N1707">
        <f>IF(M1707="","",'Master Barang'!A101)</f>
        <v>0</v>
      </c>
      <c r="O1707">
        <f>IF(N1707="","",'Master Barang'!B101)</f>
        <v>0</v>
      </c>
      <c r="P1707">
        <f>IF(OR(M1707="",N1707=""),"",SUMIFS('Barang Keluar'!$E:$E,'Barang Keluar'!$A:$A,M1707,'Barang Keluar'!$C:$C,N1707))</f>
        <v>0</v>
      </c>
    </row>
    <row r="1708" spans="13:16">
      <c r="M1708" s="49">
        <f>IF($A$4+17&gt;$B$4,"",$A$4+17)</f>
        <v>46040</v>
      </c>
      <c r="N1708" t="str">
        <f>IF(M1708="","",'Master Barang'!A2)</f>
        <v>PRL-001</v>
      </c>
      <c r="O1708" t="str">
        <f>IF(N1708="","",'Master Barang'!B2)</f>
        <v>natura desinfectant food grade 5l</v>
      </c>
      <c r="P1708">
        <f>IF(OR(M1708="",N1708=""),"",SUMIFS('Barang Keluar'!$E:$E,'Barang Keluar'!$A:$A,M1708,'Barang Keluar'!$C:$C,N1708))</f>
        <v>0</v>
      </c>
    </row>
    <row r="1709" spans="13:16">
      <c r="M1709" s="49">
        <f>IF($A$4+17&gt;$B$4,"",$A$4+17)</f>
        <v>46040</v>
      </c>
      <c r="N1709" t="str">
        <f>IF(M1709="","",'Master Barang'!A3)</f>
        <v>PRL-002</v>
      </c>
      <c r="O1709" t="str">
        <f>IF(N1709="","",'Master Barang'!B3)</f>
        <v>sunlight cairan pencuci piring 5l</v>
      </c>
      <c r="P1709">
        <f>IF(OR(M1709="",N1709=""),"",SUMIFS('Barang Keluar'!$E:$E,'Barang Keluar'!$A:$A,M1709,'Barang Keluar'!$C:$C,N1709))</f>
        <v>0</v>
      </c>
    </row>
    <row r="1710" spans="13:16">
      <c r="M1710" s="49">
        <f>IF($A$4+17&gt;$B$4,"",$A$4+17)</f>
        <v>46040</v>
      </c>
      <c r="N1710" t="str">
        <f>IF(M1710="","",'Master Barang'!A4)</f>
        <v>PRL-003</v>
      </c>
      <c r="O1710" t="str">
        <f>IF(N1710="","",'Master Barang'!B4)</f>
        <v>oixs cleaner 1l</v>
      </c>
      <c r="P1710">
        <f>IF(OR(M1710="",N1710=""),"",SUMIFS('Barang Keluar'!$E:$E,'Barang Keluar'!$A:$A,M1710,'Barang Keluar'!$C:$C,N1710))</f>
        <v>0</v>
      </c>
    </row>
    <row r="1711" spans="13:16">
      <c r="M1711" s="49">
        <f>IF($A$4+17&gt;$B$4,"",$A$4+17)</f>
        <v>46040</v>
      </c>
      <c r="N1711" t="str">
        <f>IF(M1711="","",'Master Barang'!A5)</f>
        <v>PRL-004</v>
      </c>
      <c r="O1711" t="str">
        <f>IF(N1711="","",'Master Barang'!B5)</f>
        <v>be clean tissue serbaguna</v>
      </c>
      <c r="P1711">
        <f>IF(OR(M1711="",N1711=""),"",SUMIFS('Barang Keluar'!$E:$E,'Barang Keluar'!$A:$A,M1711,'Barang Keluar'!$C:$C,N1711))</f>
        <v>0</v>
      </c>
    </row>
    <row r="1712" spans="13:16">
      <c r="M1712" s="49">
        <f>IF($A$4+17&gt;$B$4,"",$A$4+17)</f>
        <v>46040</v>
      </c>
      <c r="N1712" t="str">
        <f>IF(M1712="","",'Master Barang'!A6)</f>
        <v>PRL-005</v>
      </c>
      <c r="O1712" t="str">
        <f>IF(N1712="","",'Master Barang'!B6)</f>
        <v>spons cuci hijau</v>
      </c>
      <c r="P1712">
        <f>IF(OR(M1712="",N1712=""),"",SUMIFS('Barang Keluar'!$E:$E,'Barang Keluar'!$A:$A,M1712,'Barang Keluar'!$C:$C,N1712))</f>
        <v>0</v>
      </c>
    </row>
    <row r="1713" spans="13:16">
      <c r="M1713" s="49">
        <f>IF($A$4+17&gt;$B$4,"",$A$4+17)</f>
        <v>46040</v>
      </c>
      <c r="N1713" t="str">
        <f>IF(M1713="","",'Master Barang'!A7)</f>
        <v>PRL-006</v>
      </c>
      <c r="O1713" t="str">
        <f>IF(N1713="","",'Master Barang'!B7)</f>
        <v>sabut cuci stainless</v>
      </c>
      <c r="P1713">
        <f>IF(OR(M1713="",N1713=""),"",SUMIFS('Barang Keluar'!$E:$E,'Barang Keluar'!$A:$A,M1713,'Barang Keluar'!$C:$C,N1713))</f>
        <v>0</v>
      </c>
    </row>
    <row r="1714" spans="13:16">
      <c r="M1714" s="49">
        <f>IF($A$4+17&gt;$B$4,"",$A$4+17)</f>
        <v>46040</v>
      </c>
      <c r="N1714" t="str">
        <f>IF(M1714="","",'Master Barang'!A8)</f>
        <v>PRL-007</v>
      </c>
      <c r="O1714" t="str">
        <f>IF(N1714="","",'Master Barang'!B8)</f>
        <v>plastik kresek besar merah 50pc</v>
      </c>
      <c r="P1714">
        <f>IF(OR(M1714="",N1714=""),"",SUMIFS('Barang Keluar'!$E:$E,'Barang Keluar'!$A:$A,M1714,'Barang Keluar'!$C:$C,N1714))</f>
        <v>0</v>
      </c>
    </row>
    <row r="1715" spans="13:16">
      <c r="M1715" s="49">
        <f>IF($A$4+17&gt;$B$4,"",$A$4+17)</f>
        <v>46040</v>
      </c>
      <c r="N1715" t="str">
        <f>IF(M1715="","",'Master Barang'!A9)</f>
        <v>PRL-008</v>
      </c>
      <c r="O1715" t="str">
        <f>IF(N1715="","",'Master Barang'!B9)</f>
        <v>lap besar</v>
      </c>
      <c r="P1715">
        <f>IF(OR(M1715="",N1715=""),"",SUMIFS('Barang Keluar'!$E:$E,'Barang Keluar'!$A:$A,M1715,'Barang Keluar'!$C:$C,N1715))</f>
        <v>0</v>
      </c>
    </row>
    <row r="1716" spans="13:16">
      <c r="M1716" s="49">
        <f>IF($A$4+17&gt;$B$4,"",$A$4+17)</f>
        <v>46040</v>
      </c>
      <c r="N1716" t="str">
        <f>IF(M1716="","",'Master Barang'!A10)</f>
        <v>PRL-009</v>
      </c>
      <c r="O1716" t="str">
        <f>IF(N1716="","",'Master Barang'!B10)</f>
        <v>lap microfiber</v>
      </c>
      <c r="P1716">
        <f>IF(OR(M1716="",N1716=""),"",SUMIFS('Barang Keluar'!$E:$E,'Barang Keluar'!$A:$A,M1716,'Barang Keluar'!$C:$C,N1716))</f>
        <v>0</v>
      </c>
    </row>
    <row r="1717" spans="13:16">
      <c r="M1717" s="49">
        <f>IF($A$4+17&gt;$B$4,"",$A$4+17)</f>
        <v>46040</v>
      </c>
      <c r="N1717" t="str">
        <f>IF(M1717="","",'Master Barang'!A11)</f>
        <v>PRL-010</v>
      </c>
      <c r="O1717" t="str">
        <f>IF(N1717="","",'Master Barang'!B11)</f>
        <v>lap kecil</v>
      </c>
      <c r="P1717">
        <f>IF(OR(M1717="",N1717=""),"",SUMIFS('Barang Keluar'!$E:$E,'Barang Keluar'!$A:$A,M1717,'Barang Keluar'!$C:$C,N1717))</f>
        <v>0</v>
      </c>
    </row>
    <row r="1718" spans="13:16">
      <c r="M1718" s="49">
        <f>IF($A$4+17&gt;$B$4,"",$A$4+17)</f>
        <v>46040</v>
      </c>
      <c r="N1718" t="str">
        <f>IF(M1718="","",'Master Barang'!A12)</f>
        <v>PRL-011</v>
      </c>
      <c r="O1718" t="str">
        <f>IF(N1718="","",'Master Barang'!B12)</f>
        <v>kanebo kecil</v>
      </c>
      <c r="P1718">
        <f>IF(OR(M1718="",N1718=""),"",SUMIFS('Barang Keluar'!$E:$E,'Barang Keluar'!$A:$A,M1718,'Barang Keluar'!$C:$C,N1718))</f>
        <v>0</v>
      </c>
    </row>
    <row r="1719" spans="13:16">
      <c r="M1719" s="49">
        <f>IF($A$4+17&gt;$B$4,"",$A$4+17)</f>
        <v>46040</v>
      </c>
      <c r="N1719" t="str">
        <f>IF(M1719="","",'Master Barang'!A13)</f>
        <v>PRL-012</v>
      </c>
      <c r="O1719" t="str">
        <f>IF(N1719="","",'Master Barang'!B13)</f>
        <v>plastik 1/4kg joyoboyo 100 lembar</v>
      </c>
      <c r="P1719">
        <f>IF(OR(M1719="",N1719=""),"",SUMIFS('Barang Keluar'!$E:$E,'Barang Keluar'!$A:$A,M1719,'Barang Keluar'!$C:$C,N1719))</f>
        <v>0</v>
      </c>
    </row>
    <row r="1720" spans="13:16">
      <c r="M1720" s="49">
        <f>IF($A$4+17&gt;$B$4,"",$A$4+17)</f>
        <v>46040</v>
      </c>
      <c r="N1720" t="str">
        <f>IF(M1720="","",'Master Barang'!A14)</f>
        <v>PRL-013</v>
      </c>
      <c r="O1720" t="str">
        <f>IF(N1720="","",'Master Barang'!B14)</f>
        <v>sarung tangan plastik kaka 100 pcs</v>
      </c>
      <c r="P1720">
        <f>IF(OR(M1720="",N1720=""),"",SUMIFS('Barang Keluar'!$E:$E,'Barang Keluar'!$A:$A,M1720,'Barang Keluar'!$C:$C,N1720))</f>
        <v>0</v>
      </c>
    </row>
    <row r="1721" spans="13:16">
      <c r="M1721" s="49">
        <f>IF($A$4+17&gt;$B$4,"",$A$4+17)</f>
        <v>46040</v>
      </c>
      <c r="N1721" t="str">
        <f>IF(M1721="","",'Master Barang'!A15)</f>
        <v>PRL-014</v>
      </c>
      <c r="O1721" t="str">
        <f>IF(N1721="","",'Master Barang'!B15)</f>
        <v>optima trashbag 80x100</v>
      </c>
      <c r="P1721">
        <f>IF(OR(M1721="",N1721=""),"",SUMIFS('Barang Keluar'!$E:$E,'Barang Keluar'!$A:$A,M1721,'Barang Keluar'!$C:$C,N1721))</f>
        <v>0</v>
      </c>
    </row>
    <row r="1722" spans="13:16">
      <c r="M1722" s="49">
        <f>IF($A$4+17&gt;$B$4,"",$A$4+17)</f>
        <v>46040</v>
      </c>
      <c r="N1722" t="str">
        <f>IF(M1722="","",'Master Barang'!A16)</f>
        <v>PRL-015</v>
      </c>
      <c r="O1722" t="str">
        <f>IF(N1722="","",'Master Barang'!B16)</f>
        <v>optima trashbag 60x100</v>
      </c>
      <c r="P1722">
        <f>IF(OR(M1722="",N1722=""),"",SUMIFS('Barang Keluar'!$E:$E,'Barang Keluar'!$A:$A,M1722,'Barang Keluar'!$C:$C,N1722))</f>
        <v>0</v>
      </c>
    </row>
    <row r="1723" spans="13:16">
      <c r="M1723" s="49">
        <f>IF($A$4+17&gt;$B$4,"",$A$4+17)</f>
        <v>46040</v>
      </c>
      <c r="N1723" t="str">
        <f>IF(M1723="","",'Master Barang'!A17)</f>
        <v>PRL-016</v>
      </c>
      <c r="O1723" t="str">
        <f>IF(N1723="","",'Master Barang'!B17)</f>
        <v>rajawali trashbag 30x40</v>
      </c>
      <c r="P1723">
        <f>IF(OR(M1723="",N1723=""),"",SUMIFS('Barang Keluar'!$E:$E,'Barang Keluar'!$A:$A,M1723,'Barang Keluar'!$C:$C,N1723))</f>
        <v>0</v>
      </c>
    </row>
    <row r="1724" spans="13:16">
      <c r="M1724" s="49">
        <f>IF($A$4+17&gt;$B$4,"",$A$4+17)</f>
        <v>46040</v>
      </c>
      <c r="N1724" t="str">
        <f>IF(M1724="","",'Master Barang'!A18)</f>
        <v>PRL-017</v>
      </c>
      <c r="O1724" t="str">
        <f>IF(N1724="","",'Master Barang'!B18)</f>
        <v>onemed masker biru 3 play 50 pcs</v>
      </c>
      <c r="P1724">
        <f>IF(OR(M1724="",N1724=""),"",SUMIFS('Barang Keluar'!$E:$E,'Barang Keluar'!$A:$A,M1724,'Barang Keluar'!$C:$C,N1724))</f>
        <v>0</v>
      </c>
    </row>
    <row r="1725" spans="13:16">
      <c r="M1725" s="49">
        <f>IF($A$4+17&gt;$B$4,"",$A$4+17)</f>
        <v>46040</v>
      </c>
      <c r="N1725" t="str">
        <f>IF(M1725="","",'Master Barang'!A19)</f>
        <v>PRL-018</v>
      </c>
      <c r="O1725" t="str">
        <f>IF(N1725="","",'Master Barang'!B19)</f>
        <v>onemed masker biru 3 play hijab 50 pcs</v>
      </c>
      <c r="P1725">
        <f>IF(OR(M1725="",N1725=""),"",SUMIFS('Barang Keluar'!$E:$E,'Barang Keluar'!$A:$A,M1725,'Barang Keluar'!$C:$C,N1725))</f>
        <v>0</v>
      </c>
    </row>
    <row r="1726" spans="13:16">
      <c r="M1726" s="49">
        <f>IF($A$4+17&gt;$B$4,"",$A$4+17)</f>
        <v>46040</v>
      </c>
      <c r="N1726" t="str">
        <f>IF(M1726="","",'Master Barang'!A20)</f>
        <v>PRL-019</v>
      </c>
      <c r="O1726" t="str">
        <f>IF(N1726="","",'Master Barang'!B20)</f>
        <v>neo health masker biru 3 play 50 pcs</v>
      </c>
      <c r="P1726">
        <f>IF(OR(M1726="",N1726=""),"",SUMIFS('Barang Keluar'!$E:$E,'Barang Keluar'!$A:$A,M1726,'Barang Keluar'!$C:$C,N1726))</f>
        <v>0</v>
      </c>
    </row>
    <row r="1727" spans="13:16">
      <c r="M1727" s="49">
        <f>IF($A$4+17&gt;$B$4,"",$A$4+17)</f>
        <v>46040</v>
      </c>
      <c r="N1727" t="str">
        <f>IF(M1727="","",'Master Barang'!A21)</f>
        <v>PRL-020</v>
      </c>
      <c r="O1727" t="str">
        <f>IF(N1727="","",'Master Barang'!B21)</f>
        <v>baymed masker hijau 3 play hijau 50 pcs</v>
      </c>
      <c r="P1727">
        <f>IF(OR(M1727="",N1727=""),"",SUMIFS('Barang Keluar'!$E:$E,'Barang Keluar'!$A:$A,M1727,'Barang Keluar'!$C:$C,N1727))</f>
        <v>0</v>
      </c>
    </row>
    <row r="1728" spans="13:16">
      <c r="M1728" s="49">
        <f>IF($A$4+17&gt;$B$4,"",$A$4+17)</f>
        <v>46040</v>
      </c>
      <c r="N1728" t="str">
        <f>IF(M1728="","",'Master Barang'!A22)</f>
        <v>PRL-021</v>
      </c>
      <c r="O1728" t="str">
        <f>IF(N1728="","",'Master Barang'!B22)</f>
        <v>altamed nurse cap penutup kepala 100 pcs</v>
      </c>
      <c r="P1728">
        <f>IF(OR(M1728="",N1728=""),"",SUMIFS('Barang Keluar'!$E:$E,'Barang Keluar'!$A:$A,M1728,'Barang Keluar'!$C:$C,N1728))</f>
        <v>0</v>
      </c>
    </row>
    <row r="1729" spans="13:16">
      <c r="M1729" s="49">
        <f>IF($A$4+17&gt;$B$4,"",$A$4+17)</f>
        <v>46040</v>
      </c>
      <c r="N1729" t="str">
        <f>IF(M1729="","",'Master Barang'!A23)</f>
        <v>PRL-022</v>
      </c>
      <c r="O1729" t="str">
        <f>IF(N1729="","",'Master Barang'!B23)</f>
        <v>sabun cuci tangan</v>
      </c>
      <c r="P1729">
        <f>IF(OR(M1729="",N1729=""),"",SUMIFS('Barang Keluar'!$E:$E,'Barang Keluar'!$A:$A,M1729,'Barang Keluar'!$C:$C,N1729))</f>
        <v>0</v>
      </c>
    </row>
    <row r="1730" spans="13:16">
      <c r="M1730" s="49">
        <f>IF($A$4+17&gt;$B$4,"",$A$4+17)</f>
        <v>46040</v>
      </c>
      <c r="N1730" t="str">
        <f>IF(M1730="","",'Master Barang'!A24)</f>
        <v>PRL-023</v>
      </c>
      <c r="O1730" t="str">
        <f>IF(N1730="","",'Master Barang'!B24)</f>
        <v>gayung kecil</v>
      </c>
      <c r="P1730">
        <f>IF(OR(M1730="",N1730=""),"",SUMIFS('Barang Keluar'!$E:$E,'Barang Keluar'!$A:$A,M1730,'Barang Keluar'!$C:$C,N1730))</f>
        <v>0</v>
      </c>
    </row>
    <row r="1731" spans="13:16">
      <c r="M1731" s="49">
        <f>IF($A$4+17&gt;$B$4,"",$A$4+17)</f>
        <v>46040</v>
      </c>
      <c r="N1731" t="str">
        <f>IF(M1731="","",'Master Barang'!A25)</f>
        <v>PRL-024</v>
      </c>
      <c r="O1731" t="str">
        <f>IF(N1731="","",'Master Barang'!B25)</f>
        <v>cikrak kecil</v>
      </c>
      <c r="P1731">
        <f>IF(OR(M1731="",N1731=""),"",SUMIFS('Barang Keluar'!$E:$E,'Barang Keluar'!$A:$A,M1731,'Barang Keluar'!$C:$C,N1731))</f>
        <v>0</v>
      </c>
    </row>
    <row r="1732" spans="13:16">
      <c r="M1732" s="49">
        <f>IF($A$4+17&gt;$B$4,"",$A$4+17)</f>
        <v>46040</v>
      </c>
      <c r="N1732" t="str">
        <f>IF(M1732="","",'Master Barang'!A26)</f>
        <v>PRL-025</v>
      </c>
      <c r="O1732" t="str">
        <f>IF(N1732="","",'Master Barang'!B26)</f>
        <v>petromax plastik kecil 12x24 100 lembar</v>
      </c>
      <c r="P1732">
        <f>IF(OR(M1732="",N1732=""),"",SUMIFS('Barang Keluar'!$E:$E,'Barang Keluar'!$A:$A,M1732,'Barang Keluar'!$C:$C,N1732))</f>
        <v>0</v>
      </c>
    </row>
    <row r="1733" spans="13:16">
      <c r="M1733" s="49">
        <f>IF($A$4+17&gt;$B$4,"",$A$4+17)</f>
        <v>46040</v>
      </c>
      <c r="N1733" t="str">
        <f>IF(M1733="","",'Master Barang'!A27)</f>
        <v>PRL-026</v>
      </c>
      <c r="O1733" t="str">
        <f>IF(N1733="","",'Master Barang'!B27)</f>
        <v>lancar kresek kecil bening </v>
      </c>
      <c r="P1733">
        <f>IF(OR(M1733="",N1733=""),"",SUMIFS('Barang Keluar'!$E:$E,'Barang Keluar'!$A:$A,M1733,'Barang Keluar'!$C:$C,N1733))</f>
        <v>0</v>
      </c>
    </row>
    <row r="1734" spans="13:16">
      <c r="M1734" s="49">
        <f>IF($A$4+17&gt;$B$4,"",$A$4+17)</f>
        <v>46040</v>
      </c>
      <c r="N1734" t="str">
        <f>IF(M1734="","",'Master Barang'!A28)</f>
        <v>PRL-027</v>
      </c>
      <c r="O1734" t="str">
        <f>IF(N1734="","",'Master Barang'!B28)</f>
        <v>kresek klin warna warni kecil</v>
      </c>
      <c r="P1734">
        <f>IF(OR(M1734="",N1734=""),"",SUMIFS('Barang Keluar'!$E:$E,'Barang Keluar'!$A:$A,M1734,'Barang Keluar'!$C:$C,N1734))</f>
        <v>0</v>
      </c>
    </row>
    <row r="1735" spans="13:16">
      <c r="M1735" s="49">
        <f>IF($A$4+17&gt;$B$4,"",$A$4+17)</f>
        <v>46040</v>
      </c>
      <c r="N1735" t="str">
        <f>IF(M1735="","",'Master Barang'!A29)</f>
        <v>PRL-028</v>
      </c>
      <c r="O1735" t="str">
        <f>IF(N1735="","",'Master Barang'!B29)</f>
        <v>ctik plastik 7x10 100 pcs</v>
      </c>
      <c r="P1735">
        <f>IF(OR(M1735="",N1735=""),"",SUMIFS('Barang Keluar'!$E:$E,'Barang Keluar'!$A:$A,M1735,'Barang Keluar'!$C:$C,N1735))</f>
        <v>0</v>
      </c>
    </row>
    <row r="1736" spans="13:16">
      <c r="M1736" s="49">
        <f>IF($A$4+17&gt;$B$4,"",$A$4+17)</f>
        <v>46040</v>
      </c>
      <c r="N1736" t="str">
        <f>IF(M1736="","",'Master Barang'!A30)</f>
        <v>PRL-029</v>
      </c>
      <c r="O1736" t="str">
        <f>IF(N1736="","",'Master Barang'!B30)</f>
        <v>ctik plastik 6x10 100 pcs</v>
      </c>
      <c r="P1736">
        <f>IF(OR(M1736="",N1736=""),"",SUMIFS('Barang Keluar'!$E:$E,'Barang Keluar'!$A:$A,M1736,'Barang Keluar'!$C:$C,N1736))</f>
        <v>0</v>
      </c>
    </row>
    <row r="1737" spans="13:16">
      <c r="M1737" s="49">
        <f>IF($A$4+17&gt;$B$4,"",$A$4+17)</f>
        <v>46040</v>
      </c>
      <c r="N1737" t="str">
        <f>IF(M1737="","",'Master Barang'!A31)</f>
        <v>PRL-030</v>
      </c>
      <c r="O1737" t="str">
        <f>IF(N1737="","",'Master Barang'!B31)</f>
        <v>klip plastik 25x16 100 pcs</v>
      </c>
      <c r="P1737">
        <f>IF(OR(M1737="",N1737=""),"",SUMIFS('Barang Keluar'!$E:$E,'Barang Keluar'!$A:$A,M1737,'Barang Keluar'!$C:$C,N1737))</f>
        <v>0</v>
      </c>
    </row>
    <row r="1738" spans="13:16">
      <c r="M1738" s="49">
        <f>IF($A$4+17&gt;$B$4,"",$A$4+17)</f>
        <v>46040</v>
      </c>
      <c r="N1738" t="str">
        <f>IF(M1738="","",'Master Barang'!A32)</f>
        <v>PRL-031</v>
      </c>
      <c r="O1738" t="str">
        <f>IF(N1738="","",'Master Barang'!B32)</f>
        <v>tempat saus 20 ml</v>
      </c>
      <c r="P1738">
        <f>IF(OR(M1738="",N1738=""),"",SUMIFS('Barang Keluar'!$E:$E,'Barang Keluar'!$A:$A,M1738,'Barang Keluar'!$C:$C,N1738))</f>
        <v>0</v>
      </c>
    </row>
    <row r="1739" spans="13:16">
      <c r="M1739" s="49">
        <f>IF($A$4+17&gt;$B$4,"",$A$4+17)</f>
        <v>46040</v>
      </c>
      <c r="N1739" t="str">
        <f>IF(M1739="","",'Master Barang'!A33)</f>
        <v>PRL-032</v>
      </c>
      <c r="O1739" t="str">
        <f>IF(N1739="","",'Master Barang'!B33)</f>
        <v>plastik packaging ag box uk sedang</v>
      </c>
      <c r="P1739">
        <f>IF(OR(M1739="",N1739=""),"",SUMIFS('Barang Keluar'!$E:$E,'Barang Keluar'!$A:$A,M1739,'Barang Keluar'!$C:$C,N1739))</f>
        <v>0</v>
      </c>
    </row>
    <row r="1740" spans="13:16">
      <c r="M1740" s="49">
        <f>IF($A$4+17&gt;$B$4,"",$A$4+17)</f>
        <v>46040</v>
      </c>
      <c r="N1740" t="str">
        <f>IF(M1740="","",'Master Barang'!A34)</f>
        <v>PRL-033</v>
      </c>
      <c r="O1740">
        <f>IF(N1740="","",'Master Barang'!B34)</f>
        <v>0</v>
      </c>
      <c r="P1740">
        <f>IF(OR(M1740="",N1740=""),"",SUMIFS('Barang Keluar'!$E:$E,'Barang Keluar'!$A:$A,M1740,'Barang Keluar'!$C:$C,N1740))</f>
        <v>0</v>
      </c>
    </row>
    <row r="1741" spans="13:16">
      <c r="M1741" s="49">
        <f>IF($A$4+17&gt;$B$4,"",$A$4+17)</f>
        <v>46040</v>
      </c>
      <c r="N1741">
        <f>IF(M1741="","",'Master Barang'!A35)</f>
        <v>0</v>
      </c>
      <c r="O1741">
        <f>IF(N1741="","",'Master Barang'!B35)</f>
        <v>0</v>
      </c>
      <c r="P1741">
        <f>IF(OR(M1741="",N1741=""),"",SUMIFS('Barang Keluar'!$E:$E,'Barang Keluar'!$A:$A,M1741,'Barang Keluar'!$C:$C,N1741))</f>
        <v>0</v>
      </c>
    </row>
    <row r="1742" spans="13:16">
      <c r="M1742" s="49">
        <f>IF($A$4+17&gt;$B$4,"",$A$4+17)</f>
        <v>46040</v>
      </c>
      <c r="N1742">
        <f>IF(M1742="","",'Master Barang'!A36)</f>
        <v>0</v>
      </c>
      <c r="O1742">
        <f>IF(N1742="","",'Master Barang'!B36)</f>
        <v>0</v>
      </c>
      <c r="P1742">
        <f>IF(OR(M1742="",N1742=""),"",SUMIFS('Barang Keluar'!$E:$E,'Barang Keluar'!$A:$A,M1742,'Barang Keluar'!$C:$C,N1742))</f>
        <v>0</v>
      </c>
    </row>
    <row r="1743" spans="13:16">
      <c r="M1743" s="49">
        <f>IF($A$4+17&gt;$B$4,"",$A$4+17)</f>
        <v>46040</v>
      </c>
      <c r="N1743">
        <f>IF(M1743="","",'Master Barang'!A37)</f>
        <v>0</v>
      </c>
      <c r="O1743">
        <f>IF(N1743="","",'Master Barang'!B37)</f>
        <v>0</v>
      </c>
      <c r="P1743">
        <f>IF(OR(M1743="",N1743=""),"",SUMIFS('Barang Keluar'!$E:$E,'Barang Keluar'!$A:$A,M1743,'Barang Keluar'!$C:$C,N1743))</f>
        <v>0</v>
      </c>
    </row>
    <row r="1744" spans="13:16">
      <c r="M1744" s="49">
        <f>IF($A$4+17&gt;$B$4,"",$A$4+17)</f>
        <v>46040</v>
      </c>
      <c r="N1744">
        <f>IF(M1744="","",'Master Barang'!A38)</f>
        <v>0</v>
      </c>
      <c r="O1744">
        <f>IF(N1744="","",'Master Barang'!B38)</f>
        <v>0</v>
      </c>
      <c r="P1744">
        <f>IF(OR(M1744="",N1744=""),"",SUMIFS('Barang Keluar'!$E:$E,'Barang Keluar'!$A:$A,M1744,'Barang Keluar'!$C:$C,N1744))</f>
        <v>0</v>
      </c>
    </row>
    <row r="1745" spans="13:16">
      <c r="M1745" s="49">
        <f>IF($A$4+17&gt;$B$4,"",$A$4+17)</f>
        <v>46040</v>
      </c>
      <c r="N1745">
        <f>IF(M1745="","",'Master Barang'!A39)</f>
        <v>0</v>
      </c>
      <c r="O1745">
        <f>IF(N1745="","",'Master Barang'!B39)</f>
        <v>0</v>
      </c>
      <c r="P1745">
        <f>IF(OR(M1745="",N1745=""),"",SUMIFS('Barang Keluar'!$E:$E,'Barang Keluar'!$A:$A,M1745,'Barang Keluar'!$C:$C,N1745))</f>
        <v>0</v>
      </c>
    </row>
    <row r="1746" spans="13:16">
      <c r="M1746" s="49">
        <f>IF($A$4+17&gt;$B$4,"",$A$4+17)</f>
        <v>46040</v>
      </c>
      <c r="N1746">
        <f>IF(M1746="","",'Master Barang'!A40)</f>
        <v>0</v>
      </c>
      <c r="O1746">
        <f>IF(N1746="","",'Master Barang'!B40)</f>
        <v>0</v>
      </c>
      <c r="P1746">
        <f>IF(OR(M1746="",N1746=""),"",SUMIFS('Barang Keluar'!$E:$E,'Barang Keluar'!$A:$A,M1746,'Barang Keluar'!$C:$C,N1746))</f>
        <v>0</v>
      </c>
    </row>
    <row r="1747" spans="13:16">
      <c r="M1747" s="49">
        <f>IF($A$4+17&gt;$B$4,"",$A$4+17)</f>
        <v>46040</v>
      </c>
      <c r="N1747">
        <f>IF(M1747="","",'Master Barang'!A41)</f>
        <v>0</v>
      </c>
      <c r="O1747">
        <f>IF(N1747="","",'Master Barang'!B41)</f>
        <v>0</v>
      </c>
      <c r="P1747">
        <f>IF(OR(M1747="",N1747=""),"",SUMIFS('Barang Keluar'!$E:$E,'Barang Keluar'!$A:$A,M1747,'Barang Keluar'!$C:$C,N1747))</f>
        <v>0</v>
      </c>
    </row>
    <row r="1748" spans="13:16">
      <c r="M1748" s="49">
        <f>IF($A$4+17&gt;$B$4,"",$A$4+17)</f>
        <v>46040</v>
      </c>
      <c r="N1748">
        <f>IF(M1748="","",'Master Barang'!A42)</f>
        <v>0</v>
      </c>
      <c r="O1748">
        <f>IF(N1748="","",'Master Barang'!B42)</f>
        <v>0</v>
      </c>
      <c r="P1748">
        <f>IF(OR(M1748="",N1748=""),"",SUMIFS('Barang Keluar'!$E:$E,'Barang Keluar'!$A:$A,M1748,'Barang Keluar'!$C:$C,N1748))</f>
        <v>0</v>
      </c>
    </row>
    <row r="1749" spans="13:16">
      <c r="M1749" s="49">
        <f>IF($A$4+17&gt;$B$4,"",$A$4+17)</f>
        <v>46040</v>
      </c>
      <c r="N1749">
        <f>IF(M1749="","",'Master Barang'!A43)</f>
        <v>0</v>
      </c>
      <c r="O1749">
        <f>IF(N1749="","",'Master Barang'!B43)</f>
        <v>0</v>
      </c>
      <c r="P1749">
        <f>IF(OR(M1749="",N1749=""),"",SUMIFS('Barang Keluar'!$E:$E,'Barang Keluar'!$A:$A,M1749,'Barang Keluar'!$C:$C,N1749))</f>
        <v>0</v>
      </c>
    </row>
    <row r="1750" spans="13:16">
      <c r="M1750" s="49">
        <f>IF($A$4+17&gt;$B$4,"",$A$4+17)</f>
        <v>46040</v>
      </c>
      <c r="N1750">
        <f>IF(M1750="","",'Master Barang'!A44)</f>
        <v>0</v>
      </c>
      <c r="O1750">
        <f>IF(N1750="","",'Master Barang'!B44)</f>
        <v>0</v>
      </c>
      <c r="P1750">
        <f>IF(OR(M1750="",N1750=""),"",SUMIFS('Barang Keluar'!$E:$E,'Barang Keluar'!$A:$A,M1750,'Barang Keluar'!$C:$C,N1750))</f>
        <v>0</v>
      </c>
    </row>
    <row r="1751" spans="13:16">
      <c r="M1751" s="49">
        <f>IF($A$4+17&gt;$B$4,"",$A$4+17)</f>
        <v>46040</v>
      </c>
      <c r="N1751">
        <f>IF(M1751="","",'Master Barang'!A45)</f>
        <v>0</v>
      </c>
      <c r="O1751">
        <f>IF(N1751="","",'Master Barang'!B45)</f>
        <v>0</v>
      </c>
      <c r="P1751">
        <f>IF(OR(M1751="",N1751=""),"",SUMIFS('Barang Keluar'!$E:$E,'Barang Keluar'!$A:$A,M1751,'Barang Keluar'!$C:$C,N1751))</f>
        <v>0</v>
      </c>
    </row>
    <row r="1752" spans="13:16">
      <c r="M1752" s="49">
        <f>IF($A$4+17&gt;$B$4,"",$A$4+17)</f>
        <v>46040</v>
      </c>
      <c r="N1752">
        <f>IF(M1752="","",'Master Barang'!A46)</f>
        <v>0</v>
      </c>
      <c r="O1752">
        <f>IF(N1752="","",'Master Barang'!B46)</f>
        <v>0</v>
      </c>
      <c r="P1752">
        <f>IF(OR(M1752="",N1752=""),"",SUMIFS('Barang Keluar'!$E:$E,'Barang Keluar'!$A:$A,M1752,'Barang Keluar'!$C:$C,N1752))</f>
        <v>0</v>
      </c>
    </row>
    <row r="1753" spans="13:16">
      <c r="M1753" s="49">
        <f>IF($A$4+17&gt;$B$4,"",$A$4+17)</f>
        <v>46040</v>
      </c>
      <c r="N1753">
        <f>IF(M1753="","",'Master Barang'!A47)</f>
        <v>0</v>
      </c>
      <c r="O1753">
        <f>IF(N1753="","",'Master Barang'!B47)</f>
        <v>0</v>
      </c>
      <c r="P1753">
        <f>IF(OR(M1753="",N1753=""),"",SUMIFS('Barang Keluar'!$E:$E,'Barang Keluar'!$A:$A,M1753,'Barang Keluar'!$C:$C,N1753))</f>
        <v>0</v>
      </c>
    </row>
    <row r="1754" spans="13:16">
      <c r="M1754" s="49">
        <f>IF($A$4+17&gt;$B$4,"",$A$4+17)</f>
        <v>46040</v>
      </c>
      <c r="N1754">
        <f>IF(M1754="","",'Master Barang'!A48)</f>
        <v>0</v>
      </c>
      <c r="O1754">
        <f>IF(N1754="","",'Master Barang'!B48)</f>
        <v>0</v>
      </c>
      <c r="P1754">
        <f>IF(OR(M1754="",N1754=""),"",SUMIFS('Barang Keluar'!$E:$E,'Barang Keluar'!$A:$A,M1754,'Barang Keluar'!$C:$C,N1754))</f>
        <v>0</v>
      </c>
    </row>
    <row r="1755" spans="13:16">
      <c r="M1755" s="49">
        <f>IF($A$4+17&gt;$B$4,"",$A$4+17)</f>
        <v>46040</v>
      </c>
      <c r="N1755">
        <f>IF(M1755="","",'Master Barang'!A49)</f>
        <v>0</v>
      </c>
      <c r="O1755">
        <f>IF(N1755="","",'Master Barang'!B49)</f>
        <v>0</v>
      </c>
      <c r="P1755">
        <f>IF(OR(M1755="",N1755=""),"",SUMIFS('Barang Keluar'!$E:$E,'Barang Keluar'!$A:$A,M1755,'Barang Keluar'!$C:$C,N1755))</f>
        <v>0</v>
      </c>
    </row>
    <row r="1756" spans="13:16">
      <c r="M1756" s="49">
        <f>IF($A$4+17&gt;$B$4,"",$A$4+17)</f>
        <v>46040</v>
      </c>
      <c r="N1756">
        <f>IF(M1756="","",'Master Barang'!A50)</f>
        <v>0</v>
      </c>
      <c r="O1756">
        <f>IF(N1756="","",'Master Barang'!B50)</f>
        <v>0</v>
      </c>
      <c r="P1756">
        <f>IF(OR(M1756="",N1756=""),"",SUMIFS('Barang Keluar'!$E:$E,'Barang Keluar'!$A:$A,M1756,'Barang Keluar'!$C:$C,N1756))</f>
        <v>0</v>
      </c>
    </row>
    <row r="1757" spans="13:16">
      <c r="M1757" s="49">
        <f>IF($A$4+17&gt;$B$4,"",$A$4+17)</f>
        <v>46040</v>
      </c>
      <c r="N1757">
        <f>IF(M1757="","",'Master Barang'!A51)</f>
        <v>0</v>
      </c>
      <c r="O1757">
        <f>IF(N1757="","",'Master Barang'!B51)</f>
        <v>0</v>
      </c>
      <c r="P1757">
        <f>IF(OR(M1757="",N1757=""),"",SUMIFS('Barang Keluar'!$E:$E,'Barang Keluar'!$A:$A,M1757,'Barang Keluar'!$C:$C,N1757))</f>
        <v>0</v>
      </c>
    </row>
    <row r="1758" spans="13:16">
      <c r="M1758" s="49">
        <f>IF($A$4+17&gt;$B$4,"",$A$4+17)</f>
        <v>46040</v>
      </c>
      <c r="N1758">
        <f>IF(M1758="","",'Master Barang'!A52)</f>
        <v>0</v>
      </c>
      <c r="O1758">
        <f>IF(N1758="","",'Master Barang'!B52)</f>
        <v>0</v>
      </c>
      <c r="P1758">
        <f>IF(OR(M1758="",N1758=""),"",SUMIFS('Barang Keluar'!$E:$E,'Barang Keluar'!$A:$A,M1758,'Barang Keluar'!$C:$C,N1758))</f>
        <v>0</v>
      </c>
    </row>
    <row r="1759" spans="13:16">
      <c r="M1759" s="49">
        <f>IF($A$4+17&gt;$B$4,"",$A$4+17)</f>
        <v>46040</v>
      </c>
      <c r="N1759">
        <f>IF(M1759="","",'Master Barang'!A53)</f>
        <v>0</v>
      </c>
      <c r="O1759">
        <f>IF(N1759="","",'Master Barang'!B53)</f>
        <v>0</v>
      </c>
      <c r="P1759">
        <f>IF(OR(M1759="",N1759=""),"",SUMIFS('Barang Keluar'!$E:$E,'Barang Keluar'!$A:$A,M1759,'Barang Keluar'!$C:$C,N1759))</f>
        <v>0</v>
      </c>
    </row>
    <row r="1760" spans="13:16">
      <c r="M1760" s="49">
        <f>IF($A$4+17&gt;$B$4,"",$A$4+17)</f>
        <v>46040</v>
      </c>
      <c r="N1760">
        <f>IF(M1760="","",'Master Barang'!A54)</f>
        <v>0</v>
      </c>
      <c r="O1760">
        <f>IF(N1760="","",'Master Barang'!B54)</f>
        <v>0</v>
      </c>
      <c r="P1760">
        <f>IF(OR(M1760="",N1760=""),"",SUMIFS('Barang Keluar'!$E:$E,'Barang Keluar'!$A:$A,M1760,'Barang Keluar'!$C:$C,N1760))</f>
        <v>0</v>
      </c>
    </row>
    <row r="1761" spans="13:16">
      <c r="M1761" s="49">
        <f>IF($A$4+17&gt;$B$4,"",$A$4+17)</f>
        <v>46040</v>
      </c>
      <c r="N1761">
        <f>IF(M1761="","",'Master Barang'!A55)</f>
        <v>0</v>
      </c>
      <c r="O1761">
        <f>IF(N1761="","",'Master Barang'!B55)</f>
        <v>0</v>
      </c>
      <c r="P1761">
        <f>IF(OR(M1761="",N1761=""),"",SUMIFS('Barang Keluar'!$E:$E,'Barang Keluar'!$A:$A,M1761,'Barang Keluar'!$C:$C,N1761))</f>
        <v>0</v>
      </c>
    </row>
    <row r="1762" spans="13:16">
      <c r="M1762" s="49">
        <f>IF($A$4+17&gt;$B$4,"",$A$4+17)</f>
        <v>46040</v>
      </c>
      <c r="N1762">
        <f>IF(M1762="","",'Master Barang'!A56)</f>
        <v>0</v>
      </c>
      <c r="O1762">
        <f>IF(N1762="","",'Master Barang'!B56)</f>
        <v>0</v>
      </c>
      <c r="P1762">
        <f>IF(OR(M1762="",N1762=""),"",SUMIFS('Barang Keluar'!$E:$E,'Barang Keluar'!$A:$A,M1762,'Barang Keluar'!$C:$C,N1762))</f>
        <v>0</v>
      </c>
    </row>
    <row r="1763" spans="13:16">
      <c r="M1763" s="49">
        <f>IF($A$4+17&gt;$B$4,"",$A$4+17)</f>
        <v>46040</v>
      </c>
      <c r="N1763">
        <f>IF(M1763="","",'Master Barang'!A57)</f>
        <v>0</v>
      </c>
      <c r="O1763">
        <f>IF(N1763="","",'Master Barang'!B57)</f>
        <v>0</v>
      </c>
      <c r="P1763">
        <f>IF(OR(M1763="",N1763=""),"",SUMIFS('Barang Keluar'!$E:$E,'Barang Keluar'!$A:$A,M1763,'Barang Keluar'!$C:$C,N1763))</f>
        <v>0</v>
      </c>
    </row>
    <row r="1764" spans="13:16">
      <c r="M1764" s="49">
        <f>IF($A$4+17&gt;$B$4,"",$A$4+17)</f>
        <v>46040</v>
      </c>
      <c r="N1764">
        <f>IF(M1764="","",'Master Barang'!A58)</f>
        <v>0</v>
      </c>
      <c r="O1764">
        <f>IF(N1764="","",'Master Barang'!B58)</f>
        <v>0</v>
      </c>
      <c r="P1764">
        <f>IF(OR(M1764="",N1764=""),"",SUMIFS('Barang Keluar'!$E:$E,'Barang Keluar'!$A:$A,M1764,'Barang Keluar'!$C:$C,N1764))</f>
        <v>0</v>
      </c>
    </row>
    <row r="1765" spans="13:16">
      <c r="M1765" s="49">
        <f>IF($A$4+17&gt;$B$4,"",$A$4+17)</f>
        <v>46040</v>
      </c>
      <c r="N1765">
        <f>IF(M1765="","",'Master Barang'!A59)</f>
        <v>0</v>
      </c>
      <c r="O1765">
        <f>IF(N1765="","",'Master Barang'!B59)</f>
        <v>0</v>
      </c>
      <c r="P1765">
        <f>IF(OR(M1765="",N1765=""),"",SUMIFS('Barang Keluar'!$E:$E,'Barang Keluar'!$A:$A,M1765,'Barang Keluar'!$C:$C,N1765))</f>
        <v>0</v>
      </c>
    </row>
    <row r="1766" spans="13:16">
      <c r="M1766" s="49">
        <f>IF($A$4+17&gt;$B$4,"",$A$4+17)</f>
        <v>46040</v>
      </c>
      <c r="N1766">
        <f>IF(M1766="","",'Master Barang'!A60)</f>
        <v>0</v>
      </c>
      <c r="O1766">
        <f>IF(N1766="","",'Master Barang'!B60)</f>
        <v>0</v>
      </c>
      <c r="P1766">
        <f>IF(OR(M1766="",N1766=""),"",SUMIFS('Barang Keluar'!$E:$E,'Barang Keluar'!$A:$A,M1766,'Barang Keluar'!$C:$C,N1766))</f>
        <v>0</v>
      </c>
    </row>
    <row r="1767" spans="13:16">
      <c r="M1767" s="49">
        <f>IF($A$4+17&gt;$B$4,"",$A$4+17)</f>
        <v>46040</v>
      </c>
      <c r="N1767">
        <f>IF(M1767="","",'Master Barang'!A61)</f>
        <v>0</v>
      </c>
      <c r="O1767">
        <f>IF(N1767="","",'Master Barang'!B61)</f>
        <v>0</v>
      </c>
      <c r="P1767">
        <f>IF(OR(M1767="",N1767=""),"",SUMIFS('Barang Keluar'!$E:$E,'Barang Keluar'!$A:$A,M1767,'Barang Keluar'!$C:$C,N1767))</f>
        <v>0</v>
      </c>
    </row>
    <row r="1768" spans="13:16">
      <c r="M1768" s="49">
        <f>IF($A$4+17&gt;$B$4,"",$A$4+17)</f>
        <v>46040</v>
      </c>
      <c r="N1768">
        <f>IF(M1768="","",'Master Barang'!A62)</f>
        <v>0</v>
      </c>
      <c r="O1768">
        <f>IF(N1768="","",'Master Barang'!B62)</f>
        <v>0</v>
      </c>
      <c r="P1768">
        <f>IF(OR(M1768="",N1768=""),"",SUMIFS('Barang Keluar'!$E:$E,'Barang Keluar'!$A:$A,M1768,'Barang Keluar'!$C:$C,N1768))</f>
        <v>0</v>
      </c>
    </row>
    <row r="1769" spans="13:16">
      <c r="M1769" s="49">
        <f>IF($A$4+17&gt;$B$4,"",$A$4+17)</f>
        <v>46040</v>
      </c>
      <c r="N1769">
        <f>IF(M1769="","",'Master Barang'!A63)</f>
        <v>0</v>
      </c>
      <c r="O1769">
        <f>IF(N1769="","",'Master Barang'!B63)</f>
        <v>0</v>
      </c>
      <c r="P1769">
        <f>IF(OR(M1769="",N1769=""),"",SUMIFS('Barang Keluar'!$E:$E,'Barang Keluar'!$A:$A,M1769,'Barang Keluar'!$C:$C,N1769))</f>
        <v>0</v>
      </c>
    </row>
    <row r="1770" spans="13:16">
      <c r="M1770" s="49">
        <f>IF($A$4+17&gt;$B$4,"",$A$4+17)</f>
        <v>46040</v>
      </c>
      <c r="N1770">
        <f>IF(M1770="","",'Master Barang'!A64)</f>
        <v>0</v>
      </c>
      <c r="O1770">
        <f>IF(N1770="","",'Master Barang'!B64)</f>
        <v>0</v>
      </c>
      <c r="P1770">
        <f>IF(OR(M1770="",N1770=""),"",SUMIFS('Barang Keluar'!$E:$E,'Barang Keluar'!$A:$A,M1770,'Barang Keluar'!$C:$C,N1770))</f>
        <v>0</v>
      </c>
    </row>
    <row r="1771" spans="13:16">
      <c r="M1771" s="49">
        <f>IF($A$4+17&gt;$B$4,"",$A$4+17)</f>
        <v>46040</v>
      </c>
      <c r="N1771">
        <f>IF(M1771="","",'Master Barang'!A65)</f>
        <v>0</v>
      </c>
      <c r="O1771">
        <f>IF(N1771="","",'Master Barang'!B65)</f>
        <v>0</v>
      </c>
      <c r="P1771">
        <f>IF(OR(M1771="",N1771=""),"",SUMIFS('Barang Keluar'!$E:$E,'Barang Keluar'!$A:$A,M1771,'Barang Keluar'!$C:$C,N1771))</f>
        <v>0</v>
      </c>
    </row>
    <row r="1772" spans="13:16">
      <c r="M1772" s="49">
        <f>IF($A$4+17&gt;$B$4,"",$A$4+17)</f>
        <v>46040</v>
      </c>
      <c r="N1772">
        <f>IF(M1772="","",'Master Barang'!A66)</f>
        <v>0</v>
      </c>
      <c r="O1772">
        <f>IF(N1772="","",'Master Barang'!B66)</f>
        <v>0</v>
      </c>
      <c r="P1772">
        <f>IF(OR(M1772="",N1772=""),"",SUMIFS('Barang Keluar'!$E:$E,'Barang Keluar'!$A:$A,M1772,'Barang Keluar'!$C:$C,N1772))</f>
        <v>0</v>
      </c>
    </row>
    <row r="1773" spans="13:16">
      <c r="M1773" s="49">
        <f>IF($A$4+17&gt;$B$4,"",$A$4+17)</f>
        <v>46040</v>
      </c>
      <c r="N1773">
        <f>IF(M1773="","",'Master Barang'!A67)</f>
        <v>0</v>
      </c>
      <c r="O1773">
        <f>IF(N1773="","",'Master Barang'!B67)</f>
        <v>0</v>
      </c>
      <c r="P1773">
        <f>IF(OR(M1773="",N1773=""),"",SUMIFS('Barang Keluar'!$E:$E,'Barang Keluar'!$A:$A,M1773,'Barang Keluar'!$C:$C,N1773))</f>
        <v>0</v>
      </c>
    </row>
    <row r="1774" spans="13:16">
      <c r="M1774" s="49">
        <f>IF($A$4+17&gt;$B$4,"",$A$4+17)</f>
        <v>46040</v>
      </c>
      <c r="N1774">
        <f>IF(M1774="","",'Master Barang'!A68)</f>
        <v>0</v>
      </c>
      <c r="O1774">
        <f>IF(N1774="","",'Master Barang'!B68)</f>
        <v>0</v>
      </c>
      <c r="P1774">
        <f>IF(OR(M1774="",N1774=""),"",SUMIFS('Barang Keluar'!$E:$E,'Barang Keluar'!$A:$A,M1774,'Barang Keluar'!$C:$C,N1774))</f>
        <v>0</v>
      </c>
    </row>
    <row r="1775" spans="13:16">
      <c r="M1775" s="49">
        <f>IF($A$4+17&gt;$B$4,"",$A$4+17)</f>
        <v>46040</v>
      </c>
      <c r="N1775">
        <f>IF(M1775="","",'Master Barang'!A69)</f>
        <v>0</v>
      </c>
      <c r="O1775">
        <f>IF(N1775="","",'Master Barang'!B69)</f>
        <v>0</v>
      </c>
      <c r="P1775">
        <f>IF(OR(M1775="",N1775=""),"",SUMIFS('Barang Keluar'!$E:$E,'Barang Keluar'!$A:$A,M1775,'Barang Keluar'!$C:$C,N1775))</f>
        <v>0</v>
      </c>
    </row>
    <row r="1776" spans="13:16">
      <c r="M1776" s="49">
        <f>IF($A$4+17&gt;$B$4,"",$A$4+17)</f>
        <v>46040</v>
      </c>
      <c r="N1776">
        <f>IF(M1776="","",'Master Barang'!A70)</f>
        <v>0</v>
      </c>
      <c r="O1776">
        <f>IF(N1776="","",'Master Barang'!B70)</f>
        <v>0</v>
      </c>
      <c r="P1776">
        <f>IF(OR(M1776="",N1776=""),"",SUMIFS('Barang Keluar'!$E:$E,'Barang Keluar'!$A:$A,M1776,'Barang Keluar'!$C:$C,N1776))</f>
        <v>0</v>
      </c>
    </row>
    <row r="1777" spans="13:16">
      <c r="M1777" s="49">
        <f>IF($A$4+17&gt;$B$4,"",$A$4+17)</f>
        <v>46040</v>
      </c>
      <c r="N1777">
        <f>IF(M1777="","",'Master Barang'!A71)</f>
        <v>0</v>
      </c>
      <c r="O1777">
        <f>IF(N1777="","",'Master Barang'!B71)</f>
        <v>0</v>
      </c>
      <c r="P1777">
        <f>IF(OR(M1777="",N1777=""),"",SUMIFS('Barang Keluar'!$E:$E,'Barang Keluar'!$A:$A,M1777,'Barang Keluar'!$C:$C,N1777))</f>
        <v>0</v>
      </c>
    </row>
    <row r="1778" spans="13:16">
      <c r="M1778" s="49">
        <f>IF($A$4+17&gt;$B$4,"",$A$4+17)</f>
        <v>46040</v>
      </c>
      <c r="N1778">
        <f>IF(M1778="","",'Master Barang'!A72)</f>
        <v>0</v>
      </c>
      <c r="O1778">
        <f>IF(N1778="","",'Master Barang'!B72)</f>
        <v>0</v>
      </c>
      <c r="P1778">
        <f>IF(OR(M1778="",N1778=""),"",SUMIFS('Barang Keluar'!$E:$E,'Barang Keluar'!$A:$A,M1778,'Barang Keluar'!$C:$C,N1778))</f>
        <v>0</v>
      </c>
    </row>
    <row r="1779" spans="13:16">
      <c r="M1779" s="49">
        <f>IF($A$4+17&gt;$B$4,"",$A$4+17)</f>
        <v>46040</v>
      </c>
      <c r="N1779">
        <f>IF(M1779="","",'Master Barang'!A73)</f>
        <v>0</v>
      </c>
      <c r="O1779">
        <f>IF(N1779="","",'Master Barang'!B73)</f>
        <v>0</v>
      </c>
      <c r="P1779">
        <f>IF(OR(M1779="",N1779=""),"",SUMIFS('Barang Keluar'!$E:$E,'Barang Keluar'!$A:$A,M1779,'Barang Keluar'!$C:$C,N1779))</f>
        <v>0</v>
      </c>
    </row>
    <row r="1780" spans="13:16">
      <c r="M1780" s="49">
        <f>IF($A$4+17&gt;$B$4,"",$A$4+17)</f>
        <v>46040</v>
      </c>
      <c r="N1780">
        <f>IF(M1780="","",'Master Barang'!A74)</f>
        <v>0</v>
      </c>
      <c r="O1780">
        <f>IF(N1780="","",'Master Barang'!B74)</f>
        <v>0</v>
      </c>
      <c r="P1780">
        <f>IF(OR(M1780="",N1780=""),"",SUMIFS('Barang Keluar'!$E:$E,'Barang Keluar'!$A:$A,M1780,'Barang Keluar'!$C:$C,N1780))</f>
        <v>0</v>
      </c>
    </row>
    <row r="1781" spans="13:16">
      <c r="M1781" s="49">
        <f>IF($A$4+17&gt;$B$4,"",$A$4+17)</f>
        <v>46040</v>
      </c>
      <c r="N1781">
        <f>IF(M1781="","",'Master Barang'!A75)</f>
        <v>0</v>
      </c>
      <c r="O1781">
        <f>IF(N1781="","",'Master Barang'!B75)</f>
        <v>0</v>
      </c>
      <c r="P1781">
        <f>IF(OR(M1781="",N1781=""),"",SUMIFS('Barang Keluar'!$E:$E,'Barang Keluar'!$A:$A,M1781,'Barang Keluar'!$C:$C,N1781))</f>
        <v>0</v>
      </c>
    </row>
    <row r="1782" spans="13:16">
      <c r="M1782" s="49">
        <f>IF($A$4+17&gt;$B$4,"",$A$4+17)</f>
        <v>46040</v>
      </c>
      <c r="N1782">
        <f>IF(M1782="","",'Master Barang'!A76)</f>
        <v>0</v>
      </c>
      <c r="O1782">
        <f>IF(N1782="","",'Master Barang'!B76)</f>
        <v>0</v>
      </c>
      <c r="P1782">
        <f>IF(OR(M1782="",N1782=""),"",SUMIFS('Barang Keluar'!$E:$E,'Barang Keluar'!$A:$A,M1782,'Barang Keluar'!$C:$C,N1782))</f>
        <v>0</v>
      </c>
    </row>
    <row r="1783" spans="13:16">
      <c r="M1783" s="49">
        <f>IF($A$4+17&gt;$B$4,"",$A$4+17)</f>
        <v>46040</v>
      </c>
      <c r="N1783">
        <f>IF(M1783="","",'Master Barang'!A77)</f>
        <v>0</v>
      </c>
      <c r="O1783">
        <f>IF(N1783="","",'Master Barang'!B77)</f>
        <v>0</v>
      </c>
      <c r="P1783">
        <f>IF(OR(M1783="",N1783=""),"",SUMIFS('Barang Keluar'!$E:$E,'Barang Keluar'!$A:$A,M1783,'Barang Keluar'!$C:$C,N1783))</f>
        <v>0</v>
      </c>
    </row>
    <row r="1784" spans="13:16">
      <c r="M1784" s="49">
        <f>IF($A$4+17&gt;$B$4,"",$A$4+17)</f>
        <v>46040</v>
      </c>
      <c r="N1784">
        <f>IF(M1784="","",'Master Barang'!A78)</f>
        <v>0</v>
      </c>
      <c r="O1784">
        <f>IF(N1784="","",'Master Barang'!B78)</f>
        <v>0</v>
      </c>
      <c r="P1784">
        <f>IF(OR(M1784="",N1784=""),"",SUMIFS('Barang Keluar'!$E:$E,'Barang Keluar'!$A:$A,M1784,'Barang Keluar'!$C:$C,N1784))</f>
        <v>0</v>
      </c>
    </row>
    <row r="1785" spans="13:16">
      <c r="M1785" s="49">
        <f>IF($A$4+17&gt;$B$4,"",$A$4+17)</f>
        <v>46040</v>
      </c>
      <c r="N1785">
        <f>IF(M1785="","",'Master Barang'!A79)</f>
        <v>0</v>
      </c>
      <c r="O1785">
        <f>IF(N1785="","",'Master Barang'!B79)</f>
        <v>0</v>
      </c>
      <c r="P1785">
        <f>IF(OR(M1785="",N1785=""),"",SUMIFS('Barang Keluar'!$E:$E,'Barang Keluar'!$A:$A,M1785,'Barang Keluar'!$C:$C,N1785))</f>
        <v>0</v>
      </c>
    </row>
    <row r="1786" spans="13:16">
      <c r="M1786" s="49">
        <f>IF($A$4+17&gt;$B$4,"",$A$4+17)</f>
        <v>46040</v>
      </c>
      <c r="N1786">
        <f>IF(M1786="","",'Master Barang'!A80)</f>
        <v>0</v>
      </c>
      <c r="O1786">
        <f>IF(N1786="","",'Master Barang'!B80)</f>
        <v>0</v>
      </c>
      <c r="P1786">
        <f>IF(OR(M1786="",N1786=""),"",SUMIFS('Barang Keluar'!$E:$E,'Barang Keluar'!$A:$A,M1786,'Barang Keluar'!$C:$C,N1786))</f>
        <v>0</v>
      </c>
    </row>
    <row r="1787" spans="13:16">
      <c r="M1787" s="49">
        <f>IF($A$4+17&gt;$B$4,"",$A$4+17)</f>
        <v>46040</v>
      </c>
      <c r="N1787">
        <f>IF(M1787="","",'Master Barang'!A81)</f>
        <v>0</v>
      </c>
      <c r="O1787">
        <f>IF(N1787="","",'Master Barang'!B81)</f>
        <v>0</v>
      </c>
      <c r="P1787">
        <f>IF(OR(M1787="",N1787=""),"",SUMIFS('Barang Keluar'!$E:$E,'Barang Keluar'!$A:$A,M1787,'Barang Keluar'!$C:$C,N1787))</f>
        <v>0</v>
      </c>
    </row>
    <row r="1788" spans="13:16">
      <c r="M1788" s="49">
        <f>IF($A$4+17&gt;$B$4,"",$A$4+17)</f>
        <v>46040</v>
      </c>
      <c r="N1788">
        <f>IF(M1788="","",'Master Barang'!A82)</f>
        <v>0</v>
      </c>
      <c r="O1788">
        <f>IF(N1788="","",'Master Barang'!B82)</f>
        <v>0</v>
      </c>
      <c r="P1788">
        <f>IF(OR(M1788="",N1788=""),"",SUMIFS('Barang Keluar'!$E:$E,'Barang Keluar'!$A:$A,M1788,'Barang Keluar'!$C:$C,N1788))</f>
        <v>0</v>
      </c>
    </row>
    <row r="1789" spans="13:16">
      <c r="M1789" s="49">
        <f>IF($A$4+17&gt;$B$4,"",$A$4+17)</f>
        <v>46040</v>
      </c>
      <c r="N1789">
        <f>IF(M1789="","",'Master Barang'!A83)</f>
        <v>0</v>
      </c>
      <c r="O1789">
        <f>IF(N1789="","",'Master Barang'!B83)</f>
        <v>0</v>
      </c>
      <c r="P1789">
        <f>IF(OR(M1789="",N1789=""),"",SUMIFS('Barang Keluar'!$E:$E,'Barang Keluar'!$A:$A,M1789,'Barang Keluar'!$C:$C,N1789))</f>
        <v>0</v>
      </c>
    </row>
    <row r="1790" spans="13:16">
      <c r="M1790" s="49">
        <f>IF($A$4+17&gt;$B$4,"",$A$4+17)</f>
        <v>46040</v>
      </c>
      <c r="N1790">
        <f>IF(M1790="","",'Master Barang'!A84)</f>
        <v>0</v>
      </c>
      <c r="O1790">
        <f>IF(N1790="","",'Master Barang'!B84)</f>
        <v>0</v>
      </c>
      <c r="P1790">
        <f>IF(OR(M1790="",N1790=""),"",SUMIFS('Barang Keluar'!$E:$E,'Barang Keluar'!$A:$A,M1790,'Barang Keluar'!$C:$C,N1790))</f>
        <v>0</v>
      </c>
    </row>
    <row r="1791" spans="13:16">
      <c r="M1791" s="49">
        <f>IF($A$4+17&gt;$B$4,"",$A$4+17)</f>
        <v>46040</v>
      </c>
      <c r="N1791">
        <f>IF(M1791="","",'Master Barang'!A85)</f>
        <v>0</v>
      </c>
      <c r="O1791">
        <f>IF(N1791="","",'Master Barang'!B85)</f>
        <v>0</v>
      </c>
      <c r="P1791">
        <f>IF(OR(M1791="",N1791=""),"",SUMIFS('Barang Keluar'!$E:$E,'Barang Keluar'!$A:$A,M1791,'Barang Keluar'!$C:$C,N1791))</f>
        <v>0</v>
      </c>
    </row>
    <row r="1792" spans="13:16">
      <c r="M1792" s="49">
        <f>IF($A$4+17&gt;$B$4,"",$A$4+17)</f>
        <v>46040</v>
      </c>
      <c r="N1792">
        <f>IF(M1792="","",'Master Barang'!A86)</f>
        <v>0</v>
      </c>
      <c r="O1792">
        <f>IF(N1792="","",'Master Barang'!B86)</f>
        <v>0</v>
      </c>
      <c r="P1792">
        <f>IF(OR(M1792="",N1792=""),"",SUMIFS('Barang Keluar'!$E:$E,'Barang Keluar'!$A:$A,M1792,'Barang Keluar'!$C:$C,N1792))</f>
        <v>0</v>
      </c>
    </row>
    <row r="1793" spans="13:16">
      <c r="M1793" s="49">
        <f>IF($A$4+17&gt;$B$4,"",$A$4+17)</f>
        <v>46040</v>
      </c>
      <c r="N1793">
        <f>IF(M1793="","",'Master Barang'!A87)</f>
        <v>0</v>
      </c>
      <c r="O1793">
        <f>IF(N1793="","",'Master Barang'!B87)</f>
        <v>0</v>
      </c>
      <c r="P1793">
        <f>IF(OR(M1793="",N1793=""),"",SUMIFS('Barang Keluar'!$E:$E,'Barang Keluar'!$A:$A,M1793,'Barang Keluar'!$C:$C,N1793))</f>
        <v>0</v>
      </c>
    </row>
    <row r="1794" spans="13:16">
      <c r="M1794" s="49">
        <f>IF($A$4+17&gt;$B$4,"",$A$4+17)</f>
        <v>46040</v>
      </c>
      <c r="N1794">
        <f>IF(M1794="","",'Master Barang'!A88)</f>
        <v>0</v>
      </c>
      <c r="O1794">
        <f>IF(N1794="","",'Master Barang'!B88)</f>
        <v>0</v>
      </c>
      <c r="P1794">
        <f>IF(OR(M1794="",N1794=""),"",SUMIFS('Barang Keluar'!$E:$E,'Barang Keluar'!$A:$A,M1794,'Barang Keluar'!$C:$C,N1794))</f>
        <v>0</v>
      </c>
    </row>
    <row r="1795" spans="13:16">
      <c r="M1795" s="49">
        <f>IF($A$4+17&gt;$B$4,"",$A$4+17)</f>
        <v>46040</v>
      </c>
      <c r="N1795">
        <f>IF(M1795="","",'Master Barang'!A89)</f>
        <v>0</v>
      </c>
      <c r="O1795">
        <f>IF(N1795="","",'Master Barang'!B89)</f>
        <v>0</v>
      </c>
      <c r="P1795">
        <f>IF(OR(M1795="",N1795=""),"",SUMIFS('Barang Keluar'!$E:$E,'Barang Keluar'!$A:$A,M1795,'Barang Keluar'!$C:$C,N1795))</f>
        <v>0</v>
      </c>
    </row>
    <row r="1796" spans="13:16">
      <c r="M1796" s="49">
        <f>IF($A$4+17&gt;$B$4,"",$A$4+17)</f>
        <v>46040</v>
      </c>
      <c r="N1796">
        <f>IF(M1796="","",'Master Barang'!A90)</f>
        <v>0</v>
      </c>
      <c r="O1796">
        <f>IF(N1796="","",'Master Barang'!B90)</f>
        <v>0</v>
      </c>
      <c r="P1796">
        <f>IF(OR(M1796="",N1796=""),"",SUMIFS('Barang Keluar'!$E:$E,'Barang Keluar'!$A:$A,M1796,'Barang Keluar'!$C:$C,N1796))</f>
        <v>0</v>
      </c>
    </row>
    <row r="1797" spans="13:16">
      <c r="M1797" s="49">
        <f>IF($A$4+17&gt;$B$4,"",$A$4+17)</f>
        <v>46040</v>
      </c>
      <c r="N1797">
        <f>IF(M1797="","",'Master Barang'!A91)</f>
        <v>0</v>
      </c>
      <c r="O1797">
        <f>IF(N1797="","",'Master Barang'!B91)</f>
        <v>0</v>
      </c>
      <c r="P1797">
        <f>IF(OR(M1797="",N1797=""),"",SUMIFS('Barang Keluar'!$E:$E,'Barang Keluar'!$A:$A,M1797,'Barang Keluar'!$C:$C,N1797))</f>
        <v>0</v>
      </c>
    </row>
    <row r="1798" spans="13:16">
      <c r="M1798" s="49">
        <f>IF($A$4+17&gt;$B$4,"",$A$4+17)</f>
        <v>46040</v>
      </c>
      <c r="N1798">
        <f>IF(M1798="","",'Master Barang'!A92)</f>
        <v>0</v>
      </c>
      <c r="O1798">
        <f>IF(N1798="","",'Master Barang'!B92)</f>
        <v>0</v>
      </c>
      <c r="P1798">
        <f>IF(OR(M1798="",N1798=""),"",SUMIFS('Barang Keluar'!$E:$E,'Barang Keluar'!$A:$A,M1798,'Barang Keluar'!$C:$C,N1798))</f>
        <v>0</v>
      </c>
    </row>
    <row r="1799" spans="13:16">
      <c r="M1799" s="49">
        <f>IF($A$4+17&gt;$B$4,"",$A$4+17)</f>
        <v>46040</v>
      </c>
      <c r="N1799">
        <f>IF(M1799="","",'Master Barang'!A93)</f>
        <v>0</v>
      </c>
      <c r="O1799">
        <f>IF(N1799="","",'Master Barang'!B93)</f>
        <v>0</v>
      </c>
      <c r="P1799">
        <f>IF(OR(M1799="",N1799=""),"",SUMIFS('Barang Keluar'!$E:$E,'Barang Keluar'!$A:$A,M1799,'Barang Keluar'!$C:$C,N1799))</f>
        <v>0</v>
      </c>
    </row>
    <row r="1800" spans="13:16">
      <c r="M1800" s="49">
        <f>IF($A$4+17&gt;$B$4,"",$A$4+17)</f>
        <v>46040</v>
      </c>
      <c r="N1800">
        <f>IF(M1800="","",'Master Barang'!A94)</f>
        <v>0</v>
      </c>
      <c r="O1800">
        <f>IF(N1800="","",'Master Barang'!B94)</f>
        <v>0</v>
      </c>
      <c r="P1800">
        <f>IF(OR(M1800="",N1800=""),"",SUMIFS('Barang Keluar'!$E:$E,'Barang Keluar'!$A:$A,M1800,'Barang Keluar'!$C:$C,N1800))</f>
        <v>0</v>
      </c>
    </row>
    <row r="1801" spans="13:16">
      <c r="M1801" s="49">
        <f>IF($A$4+17&gt;$B$4,"",$A$4+17)</f>
        <v>46040</v>
      </c>
      <c r="N1801">
        <f>IF(M1801="","",'Master Barang'!A95)</f>
        <v>0</v>
      </c>
      <c r="O1801">
        <f>IF(N1801="","",'Master Barang'!B95)</f>
        <v>0</v>
      </c>
      <c r="P1801">
        <f>IF(OR(M1801="",N1801=""),"",SUMIFS('Barang Keluar'!$E:$E,'Barang Keluar'!$A:$A,M1801,'Barang Keluar'!$C:$C,N1801))</f>
        <v>0</v>
      </c>
    </row>
    <row r="1802" spans="13:16">
      <c r="M1802" s="49">
        <f>IF($A$4+17&gt;$B$4,"",$A$4+17)</f>
        <v>46040</v>
      </c>
      <c r="N1802">
        <f>IF(M1802="","",'Master Barang'!A96)</f>
        <v>0</v>
      </c>
      <c r="O1802">
        <f>IF(N1802="","",'Master Barang'!B96)</f>
        <v>0</v>
      </c>
      <c r="P1802">
        <f>IF(OR(M1802="",N1802=""),"",SUMIFS('Barang Keluar'!$E:$E,'Barang Keluar'!$A:$A,M1802,'Barang Keluar'!$C:$C,N1802))</f>
        <v>0</v>
      </c>
    </row>
    <row r="1803" spans="13:16">
      <c r="M1803" s="49">
        <f>IF($A$4+17&gt;$B$4,"",$A$4+17)</f>
        <v>46040</v>
      </c>
      <c r="N1803">
        <f>IF(M1803="","",'Master Barang'!A97)</f>
        <v>0</v>
      </c>
      <c r="O1803">
        <f>IF(N1803="","",'Master Barang'!B97)</f>
        <v>0</v>
      </c>
      <c r="P1803">
        <f>IF(OR(M1803="",N1803=""),"",SUMIFS('Barang Keluar'!$E:$E,'Barang Keluar'!$A:$A,M1803,'Barang Keluar'!$C:$C,N1803))</f>
        <v>0</v>
      </c>
    </row>
    <row r="1804" spans="13:16">
      <c r="M1804" s="49">
        <f>IF($A$4+17&gt;$B$4,"",$A$4+17)</f>
        <v>46040</v>
      </c>
      <c r="N1804">
        <f>IF(M1804="","",'Master Barang'!A98)</f>
        <v>0</v>
      </c>
      <c r="O1804">
        <f>IF(N1804="","",'Master Barang'!B98)</f>
        <v>0</v>
      </c>
      <c r="P1804">
        <f>IF(OR(M1804="",N1804=""),"",SUMIFS('Barang Keluar'!$E:$E,'Barang Keluar'!$A:$A,M1804,'Barang Keluar'!$C:$C,N1804))</f>
        <v>0</v>
      </c>
    </row>
    <row r="1805" spans="13:16">
      <c r="M1805" s="49">
        <f>IF($A$4+17&gt;$B$4,"",$A$4+17)</f>
        <v>46040</v>
      </c>
      <c r="N1805">
        <f>IF(M1805="","",'Master Barang'!A99)</f>
        <v>0</v>
      </c>
      <c r="O1805">
        <f>IF(N1805="","",'Master Barang'!B99)</f>
        <v>0</v>
      </c>
      <c r="P1805">
        <f>IF(OR(M1805="",N1805=""),"",SUMIFS('Barang Keluar'!$E:$E,'Barang Keluar'!$A:$A,M1805,'Barang Keluar'!$C:$C,N1805))</f>
        <v>0</v>
      </c>
    </row>
    <row r="1806" spans="13:16">
      <c r="M1806" s="49">
        <f>IF($A$4+17&gt;$B$4,"",$A$4+17)</f>
        <v>46040</v>
      </c>
      <c r="N1806">
        <f>IF(M1806="","",'Master Barang'!A100)</f>
        <v>0</v>
      </c>
      <c r="O1806">
        <f>IF(N1806="","",'Master Barang'!B100)</f>
        <v>0</v>
      </c>
      <c r="P1806">
        <f>IF(OR(M1806="",N1806=""),"",SUMIFS('Barang Keluar'!$E:$E,'Barang Keluar'!$A:$A,M1806,'Barang Keluar'!$C:$C,N1806))</f>
        <v>0</v>
      </c>
    </row>
    <row r="1807" spans="13:16">
      <c r="M1807" s="49">
        <f>IF($A$4+17&gt;$B$4,"",$A$4+17)</f>
        <v>46040</v>
      </c>
      <c r="N1807">
        <f>IF(M1807="","",'Master Barang'!A101)</f>
        <v>0</v>
      </c>
      <c r="O1807">
        <f>IF(N1807="","",'Master Barang'!B101)</f>
        <v>0</v>
      </c>
      <c r="P1807">
        <f>IF(OR(M1807="",N1807=""),"",SUMIFS('Barang Keluar'!$E:$E,'Barang Keluar'!$A:$A,M1807,'Barang Keluar'!$C:$C,N1807))</f>
        <v>0</v>
      </c>
    </row>
    <row r="1808" spans="13:16">
      <c r="M1808" s="49">
        <f>IF($A$4+18&gt;$B$4,"",$A$4+18)</f>
        <v>46041</v>
      </c>
      <c r="N1808" t="str">
        <f>IF(M1808="","",'Master Barang'!A2)</f>
        <v>PRL-001</v>
      </c>
      <c r="O1808" t="str">
        <f>IF(N1808="","",'Master Barang'!B2)</f>
        <v>natura desinfectant food grade 5l</v>
      </c>
      <c r="P1808">
        <f>IF(OR(M1808="",N1808=""),"",SUMIFS('Barang Keluar'!$E:$E,'Barang Keluar'!$A:$A,M1808,'Barang Keluar'!$C:$C,N1808))</f>
        <v>0</v>
      </c>
    </row>
    <row r="1809" spans="13:16">
      <c r="M1809" s="49">
        <f>IF($A$4+18&gt;$B$4,"",$A$4+18)</f>
        <v>46041</v>
      </c>
      <c r="N1809" t="str">
        <f>IF(M1809="","",'Master Barang'!A3)</f>
        <v>PRL-002</v>
      </c>
      <c r="O1809" t="str">
        <f>IF(N1809="","",'Master Barang'!B3)</f>
        <v>sunlight cairan pencuci piring 5l</v>
      </c>
      <c r="P1809">
        <f>IF(OR(M1809="",N1809=""),"",SUMIFS('Barang Keluar'!$E:$E,'Barang Keluar'!$A:$A,M1809,'Barang Keluar'!$C:$C,N1809))</f>
        <v>0</v>
      </c>
    </row>
    <row r="1810" spans="13:16">
      <c r="M1810" s="49">
        <f>IF($A$4+18&gt;$B$4,"",$A$4+18)</f>
        <v>46041</v>
      </c>
      <c r="N1810" t="str">
        <f>IF(M1810="","",'Master Barang'!A4)</f>
        <v>PRL-003</v>
      </c>
      <c r="O1810" t="str">
        <f>IF(N1810="","",'Master Barang'!B4)</f>
        <v>oixs cleaner 1l</v>
      </c>
      <c r="P1810">
        <f>IF(OR(M1810="",N1810=""),"",SUMIFS('Barang Keluar'!$E:$E,'Barang Keluar'!$A:$A,M1810,'Barang Keluar'!$C:$C,N1810))</f>
        <v>0</v>
      </c>
    </row>
    <row r="1811" spans="13:16">
      <c r="M1811" s="49">
        <f>IF($A$4+18&gt;$B$4,"",$A$4+18)</f>
        <v>46041</v>
      </c>
      <c r="N1811" t="str">
        <f>IF(M1811="","",'Master Barang'!A5)</f>
        <v>PRL-004</v>
      </c>
      <c r="O1811" t="str">
        <f>IF(N1811="","",'Master Barang'!B5)</f>
        <v>be clean tissue serbaguna</v>
      </c>
      <c r="P1811">
        <f>IF(OR(M1811="",N1811=""),"",SUMIFS('Barang Keluar'!$E:$E,'Barang Keluar'!$A:$A,M1811,'Barang Keluar'!$C:$C,N1811))</f>
        <v>0</v>
      </c>
    </row>
    <row r="1812" spans="13:16">
      <c r="M1812" s="49">
        <f>IF($A$4+18&gt;$B$4,"",$A$4+18)</f>
        <v>46041</v>
      </c>
      <c r="N1812" t="str">
        <f>IF(M1812="","",'Master Barang'!A6)</f>
        <v>PRL-005</v>
      </c>
      <c r="O1812" t="str">
        <f>IF(N1812="","",'Master Barang'!B6)</f>
        <v>spons cuci hijau</v>
      </c>
      <c r="P1812">
        <f>IF(OR(M1812="",N1812=""),"",SUMIFS('Barang Keluar'!$E:$E,'Barang Keluar'!$A:$A,M1812,'Barang Keluar'!$C:$C,N1812))</f>
        <v>0</v>
      </c>
    </row>
    <row r="1813" spans="13:16">
      <c r="M1813" s="49">
        <f>IF($A$4+18&gt;$B$4,"",$A$4+18)</f>
        <v>46041</v>
      </c>
      <c r="N1813" t="str">
        <f>IF(M1813="","",'Master Barang'!A7)</f>
        <v>PRL-006</v>
      </c>
      <c r="O1813" t="str">
        <f>IF(N1813="","",'Master Barang'!B7)</f>
        <v>sabut cuci stainless</v>
      </c>
      <c r="P1813">
        <f>IF(OR(M1813="",N1813=""),"",SUMIFS('Barang Keluar'!$E:$E,'Barang Keluar'!$A:$A,M1813,'Barang Keluar'!$C:$C,N1813))</f>
        <v>0</v>
      </c>
    </row>
    <row r="1814" spans="13:16">
      <c r="M1814" s="49">
        <f>IF($A$4+18&gt;$B$4,"",$A$4+18)</f>
        <v>46041</v>
      </c>
      <c r="N1814" t="str">
        <f>IF(M1814="","",'Master Barang'!A8)</f>
        <v>PRL-007</v>
      </c>
      <c r="O1814" t="str">
        <f>IF(N1814="","",'Master Barang'!B8)</f>
        <v>plastik kresek besar merah 50pc</v>
      </c>
      <c r="P1814">
        <f>IF(OR(M1814="",N1814=""),"",SUMIFS('Barang Keluar'!$E:$E,'Barang Keluar'!$A:$A,M1814,'Barang Keluar'!$C:$C,N1814))</f>
        <v>0</v>
      </c>
    </row>
    <row r="1815" spans="13:16">
      <c r="M1815" s="49">
        <f>IF($A$4+18&gt;$B$4,"",$A$4+18)</f>
        <v>46041</v>
      </c>
      <c r="N1815" t="str">
        <f>IF(M1815="","",'Master Barang'!A9)</f>
        <v>PRL-008</v>
      </c>
      <c r="O1815" t="str">
        <f>IF(N1815="","",'Master Barang'!B9)</f>
        <v>lap besar</v>
      </c>
      <c r="P1815">
        <f>IF(OR(M1815="",N1815=""),"",SUMIFS('Barang Keluar'!$E:$E,'Barang Keluar'!$A:$A,M1815,'Barang Keluar'!$C:$C,N1815))</f>
        <v>0</v>
      </c>
    </row>
    <row r="1816" spans="13:16">
      <c r="M1816" s="49">
        <f>IF($A$4+18&gt;$B$4,"",$A$4+18)</f>
        <v>46041</v>
      </c>
      <c r="N1816" t="str">
        <f>IF(M1816="","",'Master Barang'!A10)</f>
        <v>PRL-009</v>
      </c>
      <c r="O1816" t="str">
        <f>IF(N1816="","",'Master Barang'!B10)</f>
        <v>lap microfiber</v>
      </c>
      <c r="P1816">
        <f>IF(OR(M1816="",N1816=""),"",SUMIFS('Barang Keluar'!$E:$E,'Barang Keluar'!$A:$A,M1816,'Barang Keluar'!$C:$C,N1816))</f>
        <v>0</v>
      </c>
    </row>
    <row r="1817" spans="13:16">
      <c r="M1817" s="49">
        <f>IF($A$4+18&gt;$B$4,"",$A$4+18)</f>
        <v>46041</v>
      </c>
      <c r="N1817" t="str">
        <f>IF(M1817="","",'Master Barang'!A11)</f>
        <v>PRL-010</v>
      </c>
      <c r="O1817" t="str">
        <f>IF(N1817="","",'Master Barang'!B11)</f>
        <v>lap kecil</v>
      </c>
      <c r="P1817">
        <f>IF(OR(M1817="",N1817=""),"",SUMIFS('Barang Keluar'!$E:$E,'Barang Keluar'!$A:$A,M1817,'Barang Keluar'!$C:$C,N1817))</f>
        <v>0</v>
      </c>
    </row>
    <row r="1818" spans="13:16">
      <c r="M1818" s="49">
        <f>IF($A$4+18&gt;$B$4,"",$A$4+18)</f>
        <v>46041</v>
      </c>
      <c r="N1818" t="str">
        <f>IF(M1818="","",'Master Barang'!A12)</f>
        <v>PRL-011</v>
      </c>
      <c r="O1818" t="str">
        <f>IF(N1818="","",'Master Barang'!B12)</f>
        <v>kanebo kecil</v>
      </c>
      <c r="P1818">
        <f>IF(OR(M1818="",N1818=""),"",SUMIFS('Barang Keluar'!$E:$E,'Barang Keluar'!$A:$A,M1818,'Barang Keluar'!$C:$C,N1818))</f>
        <v>0</v>
      </c>
    </row>
    <row r="1819" spans="13:16">
      <c r="M1819" s="49">
        <f>IF($A$4+18&gt;$B$4,"",$A$4+18)</f>
        <v>46041</v>
      </c>
      <c r="N1819" t="str">
        <f>IF(M1819="","",'Master Barang'!A13)</f>
        <v>PRL-012</v>
      </c>
      <c r="O1819" t="str">
        <f>IF(N1819="","",'Master Barang'!B13)</f>
        <v>plastik 1/4kg joyoboyo 100 lembar</v>
      </c>
      <c r="P1819">
        <f>IF(OR(M1819="",N1819=""),"",SUMIFS('Barang Keluar'!$E:$E,'Barang Keluar'!$A:$A,M1819,'Barang Keluar'!$C:$C,N1819))</f>
        <v>0</v>
      </c>
    </row>
    <row r="1820" spans="13:16">
      <c r="M1820" s="49">
        <f>IF($A$4+18&gt;$B$4,"",$A$4+18)</f>
        <v>46041</v>
      </c>
      <c r="N1820" t="str">
        <f>IF(M1820="","",'Master Barang'!A14)</f>
        <v>PRL-013</v>
      </c>
      <c r="O1820" t="str">
        <f>IF(N1820="","",'Master Barang'!B14)</f>
        <v>sarung tangan plastik kaka 100 pcs</v>
      </c>
      <c r="P1820">
        <f>IF(OR(M1820="",N1820=""),"",SUMIFS('Barang Keluar'!$E:$E,'Barang Keluar'!$A:$A,M1820,'Barang Keluar'!$C:$C,N1820))</f>
        <v>0</v>
      </c>
    </row>
    <row r="1821" spans="13:16">
      <c r="M1821" s="49">
        <f>IF($A$4+18&gt;$B$4,"",$A$4+18)</f>
        <v>46041</v>
      </c>
      <c r="N1821" t="str">
        <f>IF(M1821="","",'Master Barang'!A15)</f>
        <v>PRL-014</v>
      </c>
      <c r="O1821" t="str">
        <f>IF(N1821="","",'Master Barang'!B15)</f>
        <v>optima trashbag 80x100</v>
      </c>
      <c r="P1821">
        <f>IF(OR(M1821="",N1821=""),"",SUMIFS('Barang Keluar'!$E:$E,'Barang Keluar'!$A:$A,M1821,'Barang Keluar'!$C:$C,N1821))</f>
        <v>0</v>
      </c>
    </row>
    <row r="1822" spans="13:16">
      <c r="M1822" s="49">
        <f>IF($A$4+18&gt;$B$4,"",$A$4+18)</f>
        <v>46041</v>
      </c>
      <c r="N1822" t="str">
        <f>IF(M1822="","",'Master Barang'!A16)</f>
        <v>PRL-015</v>
      </c>
      <c r="O1822" t="str">
        <f>IF(N1822="","",'Master Barang'!B16)</f>
        <v>optima trashbag 60x100</v>
      </c>
      <c r="P1822">
        <f>IF(OR(M1822="",N1822=""),"",SUMIFS('Barang Keluar'!$E:$E,'Barang Keluar'!$A:$A,M1822,'Barang Keluar'!$C:$C,N1822))</f>
        <v>0</v>
      </c>
    </row>
    <row r="1823" spans="13:16">
      <c r="M1823" s="49">
        <f>IF($A$4+18&gt;$B$4,"",$A$4+18)</f>
        <v>46041</v>
      </c>
      <c r="N1823" t="str">
        <f>IF(M1823="","",'Master Barang'!A17)</f>
        <v>PRL-016</v>
      </c>
      <c r="O1823" t="str">
        <f>IF(N1823="","",'Master Barang'!B17)</f>
        <v>rajawali trashbag 30x40</v>
      </c>
      <c r="P1823">
        <f>IF(OR(M1823="",N1823=""),"",SUMIFS('Barang Keluar'!$E:$E,'Barang Keluar'!$A:$A,M1823,'Barang Keluar'!$C:$C,N1823))</f>
        <v>0</v>
      </c>
    </row>
    <row r="1824" spans="13:16">
      <c r="M1824" s="49">
        <f>IF($A$4+18&gt;$B$4,"",$A$4+18)</f>
        <v>46041</v>
      </c>
      <c r="N1824" t="str">
        <f>IF(M1824="","",'Master Barang'!A18)</f>
        <v>PRL-017</v>
      </c>
      <c r="O1824" t="str">
        <f>IF(N1824="","",'Master Barang'!B18)</f>
        <v>onemed masker biru 3 play 50 pcs</v>
      </c>
      <c r="P1824">
        <f>IF(OR(M1824="",N1824=""),"",SUMIFS('Barang Keluar'!$E:$E,'Barang Keluar'!$A:$A,M1824,'Barang Keluar'!$C:$C,N1824))</f>
        <v>0</v>
      </c>
    </row>
    <row r="1825" spans="13:16">
      <c r="M1825" s="49">
        <f>IF($A$4+18&gt;$B$4,"",$A$4+18)</f>
        <v>46041</v>
      </c>
      <c r="N1825" t="str">
        <f>IF(M1825="","",'Master Barang'!A19)</f>
        <v>PRL-018</v>
      </c>
      <c r="O1825" t="str">
        <f>IF(N1825="","",'Master Barang'!B19)</f>
        <v>onemed masker biru 3 play hijab 50 pcs</v>
      </c>
      <c r="P1825">
        <f>IF(OR(M1825="",N1825=""),"",SUMIFS('Barang Keluar'!$E:$E,'Barang Keluar'!$A:$A,M1825,'Barang Keluar'!$C:$C,N1825))</f>
        <v>0</v>
      </c>
    </row>
    <row r="1826" spans="13:16">
      <c r="M1826" s="49">
        <f>IF($A$4+18&gt;$B$4,"",$A$4+18)</f>
        <v>46041</v>
      </c>
      <c r="N1826" t="str">
        <f>IF(M1826="","",'Master Barang'!A20)</f>
        <v>PRL-019</v>
      </c>
      <c r="O1826" t="str">
        <f>IF(N1826="","",'Master Barang'!B20)</f>
        <v>neo health masker biru 3 play 50 pcs</v>
      </c>
      <c r="P1826">
        <f>IF(OR(M1826="",N1826=""),"",SUMIFS('Barang Keluar'!$E:$E,'Barang Keluar'!$A:$A,M1826,'Barang Keluar'!$C:$C,N1826))</f>
        <v>0</v>
      </c>
    </row>
    <row r="1827" spans="13:16">
      <c r="M1827" s="49">
        <f>IF($A$4+18&gt;$B$4,"",$A$4+18)</f>
        <v>46041</v>
      </c>
      <c r="N1827" t="str">
        <f>IF(M1827="","",'Master Barang'!A21)</f>
        <v>PRL-020</v>
      </c>
      <c r="O1827" t="str">
        <f>IF(N1827="","",'Master Barang'!B21)</f>
        <v>baymed masker hijau 3 play hijau 50 pcs</v>
      </c>
      <c r="P1827">
        <f>IF(OR(M1827="",N1827=""),"",SUMIFS('Barang Keluar'!$E:$E,'Barang Keluar'!$A:$A,M1827,'Barang Keluar'!$C:$C,N1827))</f>
        <v>0</v>
      </c>
    </row>
    <row r="1828" spans="13:16">
      <c r="M1828" s="49">
        <f>IF($A$4+18&gt;$B$4,"",$A$4+18)</f>
        <v>46041</v>
      </c>
      <c r="N1828" t="str">
        <f>IF(M1828="","",'Master Barang'!A22)</f>
        <v>PRL-021</v>
      </c>
      <c r="O1828" t="str">
        <f>IF(N1828="","",'Master Barang'!B22)</f>
        <v>altamed nurse cap penutup kepala 100 pcs</v>
      </c>
      <c r="P1828">
        <f>IF(OR(M1828="",N1828=""),"",SUMIFS('Barang Keluar'!$E:$E,'Barang Keluar'!$A:$A,M1828,'Barang Keluar'!$C:$C,N1828))</f>
        <v>0</v>
      </c>
    </row>
    <row r="1829" spans="13:16">
      <c r="M1829" s="49">
        <f>IF($A$4+18&gt;$B$4,"",$A$4+18)</f>
        <v>46041</v>
      </c>
      <c r="N1829" t="str">
        <f>IF(M1829="","",'Master Barang'!A23)</f>
        <v>PRL-022</v>
      </c>
      <c r="O1829" t="str">
        <f>IF(N1829="","",'Master Barang'!B23)</f>
        <v>sabun cuci tangan</v>
      </c>
      <c r="P1829">
        <f>IF(OR(M1829="",N1829=""),"",SUMIFS('Barang Keluar'!$E:$E,'Barang Keluar'!$A:$A,M1829,'Barang Keluar'!$C:$C,N1829))</f>
        <v>0</v>
      </c>
    </row>
    <row r="1830" spans="13:16">
      <c r="M1830" s="49">
        <f>IF($A$4+18&gt;$B$4,"",$A$4+18)</f>
        <v>46041</v>
      </c>
      <c r="N1830" t="str">
        <f>IF(M1830="","",'Master Barang'!A24)</f>
        <v>PRL-023</v>
      </c>
      <c r="O1830" t="str">
        <f>IF(N1830="","",'Master Barang'!B24)</f>
        <v>gayung kecil</v>
      </c>
      <c r="P1830">
        <f>IF(OR(M1830="",N1830=""),"",SUMIFS('Barang Keluar'!$E:$E,'Barang Keluar'!$A:$A,M1830,'Barang Keluar'!$C:$C,N1830))</f>
        <v>0</v>
      </c>
    </row>
    <row r="1831" spans="13:16">
      <c r="M1831" s="49">
        <f>IF($A$4+18&gt;$B$4,"",$A$4+18)</f>
        <v>46041</v>
      </c>
      <c r="N1831" t="str">
        <f>IF(M1831="","",'Master Barang'!A25)</f>
        <v>PRL-024</v>
      </c>
      <c r="O1831" t="str">
        <f>IF(N1831="","",'Master Barang'!B25)</f>
        <v>cikrak kecil</v>
      </c>
      <c r="P1831">
        <f>IF(OR(M1831="",N1831=""),"",SUMIFS('Barang Keluar'!$E:$E,'Barang Keluar'!$A:$A,M1831,'Barang Keluar'!$C:$C,N1831))</f>
        <v>0</v>
      </c>
    </row>
    <row r="1832" spans="13:16">
      <c r="M1832" s="49">
        <f>IF($A$4+18&gt;$B$4,"",$A$4+18)</f>
        <v>46041</v>
      </c>
      <c r="N1832" t="str">
        <f>IF(M1832="","",'Master Barang'!A26)</f>
        <v>PRL-025</v>
      </c>
      <c r="O1832" t="str">
        <f>IF(N1832="","",'Master Barang'!B26)</f>
        <v>petromax plastik kecil 12x24 100 lembar</v>
      </c>
      <c r="P1832">
        <f>IF(OR(M1832="",N1832=""),"",SUMIFS('Barang Keluar'!$E:$E,'Barang Keluar'!$A:$A,M1832,'Barang Keluar'!$C:$C,N1832))</f>
        <v>0</v>
      </c>
    </row>
    <row r="1833" spans="13:16">
      <c r="M1833" s="49">
        <f>IF($A$4+18&gt;$B$4,"",$A$4+18)</f>
        <v>46041</v>
      </c>
      <c r="N1833" t="str">
        <f>IF(M1833="","",'Master Barang'!A27)</f>
        <v>PRL-026</v>
      </c>
      <c r="O1833" t="str">
        <f>IF(N1833="","",'Master Barang'!B27)</f>
        <v>lancar kresek kecil bening </v>
      </c>
      <c r="P1833">
        <f>IF(OR(M1833="",N1833=""),"",SUMIFS('Barang Keluar'!$E:$E,'Barang Keluar'!$A:$A,M1833,'Barang Keluar'!$C:$C,N1833))</f>
        <v>0</v>
      </c>
    </row>
    <row r="1834" spans="13:16">
      <c r="M1834" s="49">
        <f>IF($A$4+18&gt;$B$4,"",$A$4+18)</f>
        <v>46041</v>
      </c>
      <c r="N1834" t="str">
        <f>IF(M1834="","",'Master Barang'!A28)</f>
        <v>PRL-027</v>
      </c>
      <c r="O1834" t="str">
        <f>IF(N1834="","",'Master Barang'!B28)</f>
        <v>kresek klin warna warni kecil</v>
      </c>
      <c r="P1834">
        <f>IF(OR(M1834="",N1834=""),"",SUMIFS('Barang Keluar'!$E:$E,'Barang Keluar'!$A:$A,M1834,'Barang Keluar'!$C:$C,N1834))</f>
        <v>0</v>
      </c>
    </row>
    <row r="1835" spans="13:16">
      <c r="M1835" s="49">
        <f>IF($A$4+18&gt;$B$4,"",$A$4+18)</f>
        <v>46041</v>
      </c>
      <c r="N1835" t="str">
        <f>IF(M1835="","",'Master Barang'!A29)</f>
        <v>PRL-028</v>
      </c>
      <c r="O1835" t="str">
        <f>IF(N1835="","",'Master Barang'!B29)</f>
        <v>ctik plastik 7x10 100 pcs</v>
      </c>
      <c r="P1835">
        <f>IF(OR(M1835="",N1835=""),"",SUMIFS('Barang Keluar'!$E:$E,'Barang Keluar'!$A:$A,M1835,'Barang Keluar'!$C:$C,N1835))</f>
        <v>0</v>
      </c>
    </row>
    <row r="1836" spans="13:16">
      <c r="M1836" s="49">
        <f>IF($A$4+18&gt;$B$4,"",$A$4+18)</f>
        <v>46041</v>
      </c>
      <c r="N1836" t="str">
        <f>IF(M1836="","",'Master Barang'!A30)</f>
        <v>PRL-029</v>
      </c>
      <c r="O1836" t="str">
        <f>IF(N1836="","",'Master Barang'!B30)</f>
        <v>ctik plastik 6x10 100 pcs</v>
      </c>
      <c r="P1836">
        <f>IF(OR(M1836="",N1836=""),"",SUMIFS('Barang Keluar'!$E:$E,'Barang Keluar'!$A:$A,M1836,'Barang Keluar'!$C:$C,N1836))</f>
        <v>0</v>
      </c>
    </row>
    <row r="1837" spans="13:16">
      <c r="M1837" s="49">
        <f>IF($A$4+18&gt;$B$4,"",$A$4+18)</f>
        <v>46041</v>
      </c>
      <c r="N1837" t="str">
        <f>IF(M1837="","",'Master Barang'!A31)</f>
        <v>PRL-030</v>
      </c>
      <c r="O1837" t="str">
        <f>IF(N1837="","",'Master Barang'!B31)</f>
        <v>klip plastik 25x16 100 pcs</v>
      </c>
      <c r="P1837">
        <f>IF(OR(M1837="",N1837=""),"",SUMIFS('Barang Keluar'!$E:$E,'Barang Keluar'!$A:$A,M1837,'Barang Keluar'!$C:$C,N1837))</f>
        <v>0</v>
      </c>
    </row>
    <row r="1838" spans="13:16">
      <c r="M1838" s="49">
        <f>IF($A$4+18&gt;$B$4,"",$A$4+18)</f>
        <v>46041</v>
      </c>
      <c r="N1838" t="str">
        <f>IF(M1838="","",'Master Barang'!A32)</f>
        <v>PRL-031</v>
      </c>
      <c r="O1838" t="str">
        <f>IF(N1838="","",'Master Barang'!B32)</f>
        <v>tempat saus 20 ml</v>
      </c>
      <c r="P1838">
        <f>IF(OR(M1838="",N1838=""),"",SUMIFS('Barang Keluar'!$E:$E,'Barang Keluar'!$A:$A,M1838,'Barang Keluar'!$C:$C,N1838))</f>
        <v>0</v>
      </c>
    </row>
    <row r="1839" spans="13:16">
      <c r="M1839" s="49">
        <f>IF($A$4+18&gt;$B$4,"",$A$4+18)</f>
        <v>46041</v>
      </c>
      <c r="N1839" t="str">
        <f>IF(M1839="","",'Master Barang'!A33)</f>
        <v>PRL-032</v>
      </c>
      <c r="O1839" t="str">
        <f>IF(N1839="","",'Master Barang'!B33)</f>
        <v>plastik packaging ag box uk sedang</v>
      </c>
      <c r="P1839">
        <f>IF(OR(M1839="",N1839=""),"",SUMIFS('Barang Keluar'!$E:$E,'Barang Keluar'!$A:$A,M1839,'Barang Keluar'!$C:$C,N1839))</f>
        <v>0</v>
      </c>
    </row>
    <row r="1840" spans="13:16">
      <c r="M1840" s="49">
        <f>IF($A$4+18&gt;$B$4,"",$A$4+18)</f>
        <v>46041</v>
      </c>
      <c r="N1840" t="str">
        <f>IF(M1840="","",'Master Barang'!A34)</f>
        <v>PRL-033</v>
      </c>
      <c r="O1840">
        <f>IF(N1840="","",'Master Barang'!B34)</f>
        <v>0</v>
      </c>
      <c r="P1840">
        <f>IF(OR(M1840="",N1840=""),"",SUMIFS('Barang Keluar'!$E:$E,'Barang Keluar'!$A:$A,M1840,'Barang Keluar'!$C:$C,N1840))</f>
        <v>0</v>
      </c>
    </row>
    <row r="1841" spans="13:16">
      <c r="M1841" s="49">
        <f>IF($A$4+18&gt;$B$4,"",$A$4+18)</f>
        <v>46041</v>
      </c>
      <c r="N1841">
        <f>IF(M1841="","",'Master Barang'!A35)</f>
        <v>0</v>
      </c>
      <c r="O1841">
        <f>IF(N1841="","",'Master Barang'!B35)</f>
        <v>0</v>
      </c>
      <c r="P1841">
        <f>IF(OR(M1841="",N1841=""),"",SUMIFS('Barang Keluar'!$E:$E,'Barang Keluar'!$A:$A,M1841,'Barang Keluar'!$C:$C,N1841))</f>
        <v>0</v>
      </c>
    </row>
    <row r="1842" spans="13:16">
      <c r="M1842" s="49">
        <f>IF($A$4+18&gt;$B$4,"",$A$4+18)</f>
        <v>46041</v>
      </c>
      <c r="N1842">
        <f>IF(M1842="","",'Master Barang'!A36)</f>
        <v>0</v>
      </c>
      <c r="O1842">
        <f>IF(N1842="","",'Master Barang'!B36)</f>
        <v>0</v>
      </c>
      <c r="P1842">
        <f>IF(OR(M1842="",N1842=""),"",SUMIFS('Barang Keluar'!$E:$E,'Barang Keluar'!$A:$A,M1842,'Barang Keluar'!$C:$C,N1842))</f>
        <v>0</v>
      </c>
    </row>
    <row r="1843" spans="13:16">
      <c r="M1843" s="49">
        <f>IF($A$4+18&gt;$B$4,"",$A$4+18)</f>
        <v>46041</v>
      </c>
      <c r="N1843">
        <f>IF(M1843="","",'Master Barang'!A37)</f>
        <v>0</v>
      </c>
      <c r="O1843">
        <f>IF(N1843="","",'Master Barang'!B37)</f>
        <v>0</v>
      </c>
      <c r="P1843">
        <f>IF(OR(M1843="",N1843=""),"",SUMIFS('Barang Keluar'!$E:$E,'Barang Keluar'!$A:$A,M1843,'Barang Keluar'!$C:$C,N1843))</f>
        <v>0</v>
      </c>
    </row>
    <row r="1844" spans="13:16">
      <c r="M1844" s="49">
        <f>IF($A$4+18&gt;$B$4,"",$A$4+18)</f>
        <v>46041</v>
      </c>
      <c r="N1844">
        <f>IF(M1844="","",'Master Barang'!A38)</f>
        <v>0</v>
      </c>
      <c r="O1844">
        <f>IF(N1844="","",'Master Barang'!B38)</f>
        <v>0</v>
      </c>
      <c r="P1844">
        <f>IF(OR(M1844="",N1844=""),"",SUMIFS('Barang Keluar'!$E:$E,'Barang Keluar'!$A:$A,M1844,'Barang Keluar'!$C:$C,N1844))</f>
        <v>0</v>
      </c>
    </row>
    <row r="1845" spans="13:16">
      <c r="M1845" s="49">
        <f>IF($A$4+18&gt;$B$4,"",$A$4+18)</f>
        <v>46041</v>
      </c>
      <c r="N1845">
        <f>IF(M1845="","",'Master Barang'!A39)</f>
        <v>0</v>
      </c>
      <c r="O1845">
        <f>IF(N1845="","",'Master Barang'!B39)</f>
        <v>0</v>
      </c>
      <c r="P1845">
        <f>IF(OR(M1845="",N1845=""),"",SUMIFS('Barang Keluar'!$E:$E,'Barang Keluar'!$A:$A,M1845,'Barang Keluar'!$C:$C,N1845))</f>
        <v>0</v>
      </c>
    </row>
    <row r="1846" spans="13:16">
      <c r="M1846" s="49">
        <f>IF($A$4+18&gt;$B$4,"",$A$4+18)</f>
        <v>46041</v>
      </c>
      <c r="N1846">
        <f>IF(M1846="","",'Master Barang'!A40)</f>
        <v>0</v>
      </c>
      <c r="O1846">
        <f>IF(N1846="","",'Master Barang'!B40)</f>
        <v>0</v>
      </c>
      <c r="P1846">
        <f>IF(OR(M1846="",N1846=""),"",SUMIFS('Barang Keluar'!$E:$E,'Barang Keluar'!$A:$A,M1846,'Barang Keluar'!$C:$C,N1846))</f>
        <v>0</v>
      </c>
    </row>
    <row r="1847" spans="13:16">
      <c r="M1847" s="49">
        <f>IF($A$4+18&gt;$B$4,"",$A$4+18)</f>
        <v>46041</v>
      </c>
      <c r="N1847">
        <f>IF(M1847="","",'Master Barang'!A41)</f>
        <v>0</v>
      </c>
      <c r="O1847">
        <f>IF(N1847="","",'Master Barang'!B41)</f>
        <v>0</v>
      </c>
      <c r="P1847">
        <f>IF(OR(M1847="",N1847=""),"",SUMIFS('Barang Keluar'!$E:$E,'Barang Keluar'!$A:$A,M1847,'Barang Keluar'!$C:$C,N1847))</f>
        <v>0</v>
      </c>
    </row>
    <row r="1848" spans="13:16">
      <c r="M1848" s="49">
        <f>IF($A$4+18&gt;$B$4,"",$A$4+18)</f>
        <v>46041</v>
      </c>
      <c r="N1848">
        <f>IF(M1848="","",'Master Barang'!A42)</f>
        <v>0</v>
      </c>
      <c r="O1848">
        <f>IF(N1848="","",'Master Barang'!B42)</f>
        <v>0</v>
      </c>
      <c r="P1848">
        <f>IF(OR(M1848="",N1848=""),"",SUMIFS('Barang Keluar'!$E:$E,'Barang Keluar'!$A:$A,M1848,'Barang Keluar'!$C:$C,N1848))</f>
        <v>0</v>
      </c>
    </row>
    <row r="1849" spans="13:16">
      <c r="M1849" s="49">
        <f>IF($A$4+18&gt;$B$4,"",$A$4+18)</f>
        <v>46041</v>
      </c>
      <c r="N1849">
        <f>IF(M1849="","",'Master Barang'!A43)</f>
        <v>0</v>
      </c>
      <c r="O1849">
        <f>IF(N1849="","",'Master Barang'!B43)</f>
        <v>0</v>
      </c>
      <c r="P1849">
        <f>IF(OR(M1849="",N1849=""),"",SUMIFS('Barang Keluar'!$E:$E,'Barang Keluar'!$A:$A,M1849,'Barang Keluar'!$C:$C,N1849))</f>
        <v>0</v>
      </c>
    </row>
    <row r="1850" spans="13:16">
      <c r="M1850" s="49">
        <f>IF($A$4+18&gt;$B$4,"",$A$4+18)</f>
        <v>46041</v>
      </c>
      <c r="N1850">
        <f>IF(M1850="","",'Master Barang'!A44)</f>
        <v>0</v>
      </c>
      <c r="O1850">
        <f>IF(N1850="","",'Master Barang'!B44)</f>
        <v>0</v>
      </c>
      <c r="P1850">
        <f>IF(OR(M1850="",N1850=""),"",SUMIFS('Barang Keluar'!$E:$E,'Barang Keluar'!$A:$A,M1850,'Barang Keluar'!$C:$C,N1850))</f>
        <v>0</v>
      </c>
    </row>
    <row r="1851" spans="13:16">
      <c r="M1851" s="49">
        <f>IF($A$4+18&gt;$B$4,"",$A$4+18)</f>
        <v>46041</v>
      </c>
      <c r="N1851">
        <f>IF(M1851="","",'Master Barang'!A45)</f>
        <v>0</v>
      </c>
      <c r="O1851">
        <f>IF(N1851="","",'Master Barang'!B45)</f>
        <v>0</v>
      </c>
      <c r="P1851">
        <f>IF(OR(M1851="",N1851=""),"",SUMIFS('Barang Keluar'!$E:$E,'Barang Keluar'!$A:$A,M1851,'Barang Keluar'!$C:$C,N1851))</f>
        <v>0</v>
      </c>
    </row>
    <row r="1852" spans="13:16">
      <c r="M1852" s="49">
        <f>IF($A$4+18&gt;$B$4,"",$A$4+18)</f>
        <v>46041</v>
      </c>
      <c r="N1852">
        <f>IF(M1852="","",'Master Barang'!A46)</f>
        <v>0</v>
      </c>
      <c r="O1852">
        <f>IF(N1852="","",'Master Barang'!B46)</f>
        <v>0</v>
      </c>
      <c r="P1852">
        <f>IF(OR(M1852="",N1852=""),"",SUMIFS('Barang Keluar'!$E:$E,'Barang Keluar'!$A:$A,M1852,'Barang Keluar'!$C:$C,N1852))</f>
        <v>0</v>
      </c>
    </row>
    <row r="1853" spans="13:16">
      <c r="M1853" s="49">
        <f>IF($A$4+18&gt;$B$4,"",$A$4+18)</f>
        <v>46041</v>
      </c>
      <c r="N1853">
        <f>IF(M1853="","",'Master Barang'!A47)</f>
        <v>0</v>
      </c>
      <c r="O1853">
        <f>IF(N1853="","",'Master Barang'!B47)</f>
        <v>0</v>
      </c>
      <c r="P1853">
        <f>IF(OR(M1853="",N1853=""),"",SUMIFS('Barang Keluar'!$E:$E,'Barang Keluar'!$A:$A,M1853,'Barang Keluar'!$C:$C,N1853))</f>
        <v>0</v>
      </c>
    </row>
    <row r="1854" spans="13:16">
      <c r="M1854" s="49">
        <f>IF($A$4+18&gt;$B$4,"",$A$4+18)</f>
        <v>46041</v>
      </c>
      <c r="N1854">
        <f>IF(M1854="","",'Master Barang'!A48)</f>
        <v>0</v>
      </c>
      <c r="O1854">
        <f>IF(N1854="","",'Master Barang'!B48)</f>
        <v>0</v>
      </c>
      <c r="P1854">
        <f>IF(OR(M1854="",N1854=""),"",SUMIFS('Barang Keluar'!$E:$E,'Barang Keluar'!$A:$A,M1854,'Barang Keluar'!$C:$C,N1854))</f>
        <v>0</v>
      </c>
    </row>
    <row r="1855" spans="13:16">
      <c r="M1855" s="49">
        <f>IF($A$4+18&gt;$B$4,"",$A$4+18)</f>
        <v>46041</v>
      </c>
      <c r="N1855">
        <f>IF(M1855="","",'Master Barang'!A49)</f>
        <v>0</v>
      </c>
      <c r="O1855">
        <f>IF(N1855="","",'Master Barang'!B49)</f>
        <v>0</v>
      </c>
      <c r="P1855">
        <f>IF(OR(M1855="",N1855=""),"",SUMIFS('Barang Keluar'!$E:$E,'Barang Keluar'!$A:$A,M1855,'Barang Keluar'!$C:$C,N1855))</f>
        <v>0</v>
      </c>
    </row>
    <row r="1856" spans="13:16">
      <c r="M1856" s="49">
        <f>IF($A$4+18&gt;$B$4,"",$A$4+18)</f>
        <v>46041</v>
      </c>
      <c r="N1856">
        <f>IF(M1856="","",'Master Barang'!A50)</f>
        <v>0</v>
      </c>
      <c r="O1856">
        <f>IF(N1856="","",'Master Barang'!B50)</f>
        <v>0</v>
      </c>
      <c r="P1856">
        <f>IF(OR(M1856="",N1856=""),"",SUMIFS('Barang Keluar'!$E:$E,'Barang Keluar'!$A:$A,M1856,'Barang Keluar'!$C:$C,N1856))</f>
        <v>0</v>
      </c>
    </row>
    <row r="1857" spans="13:16">
      <c r="M1857" s="49">
        <f>IF($A$4+18&gt;$B$4,"",$A$4+18)</f>
        <v>46041</v>
      </c>
      <c r="N1857">
        <f>IF(M1857="","",'Master Barang'!A51)</f>
        <v>0</v>
      </c>
      <c r="O1857">
        <f>IF(N1857="","",'Master Barang'!B51)</f>
        <v>0</v>
      </c>
      <c r="P1857">
        <f>IF(OR(M1857="",N1857=""),"",SUMIFS('Barang Keluar'!$E:$E,'Barang Keluar'!$A:$A,M1857,'Barang Keluar'!$C:$C,N1857))</f>
        <v>0</v>
      </c>
    </row>
    <row r="1858" spans="13:16">
      <c r="M1858" s="49">
        <f>IF($A$4+18&gt;$B$4,"",$A$4+18)</f>
        <v>46041</v>
      </c>
      <c r="N1858">
        <f>IF(M1858="","",'Master Barang'!A52)</f>
        <v>0</v>
      </c>
      <c r="O1858">
        <f>IF(N1858="","",'Master Barang'!B52)</f>
        <v>0</v>
      </c>
      <c r="P1858">
        <f>IF(OR(M1858="",N1858=""),"",SUMIFS('Barang Keluar'!$E:$E,'Barang Keluar'!$A:$A,M1858,'Barang Keluar'!$C:$C,N1858))</f>
        <v>0</v>
      </c>
    </row>
    <row r="1859" spans="13:16">
      <c r="M1859" s="49">
        <f>IF($A$4+18&gt;$B$4,"",$A$4+18)</f>
        <v>46041</v>
      </c>
      <c r="N1859">
        <f>IF(M1859="","",'Master Barang'!A53)</f>
        <v>0</v>
      </c>
      <c r="O1859">
        <f>IF(N1859="","",'Master Barang'!B53)</f>
        <v>0</v>
      </c>
      <c r="P1859">
        <f>IF(OR(M1859="",N1859=""),"",SUMIFS('Barang Keluar'!$E:$E,'Barang Keluar'!$A:$A,M1859,'Barang Keluar'!$C:$C,N1859))</f>
        <v>0</v>
      </c>
    </row>
    <row r="1860" spans="13:16">
      <c r="M1860" s="49">
        <f>IF($A$4+18&gt;$B$4,"",$A$4+18)</f>
        <v>46041</v>
      </c>
      <c r="N1860">
        <f>IF(M1860="","",'Master Barang'!A54)</f>
        <v>0</v>
      </c>
      <c r="O1860">
        <f>IF(N1860="","",'Master Barang'!B54)</f>
        <v>0</v>
      </c>
      <c r="P1860">
        <f>IF(OR(M1860="",N1860=""),"",SUMIFS('Barang Keluar'!$E:$E,'Barang Keluar'!$A:$A,M1860,'Barang Keluar'!$C:$C,N1860))</f>
        <v>0</v>
      </c>
    </row>
    <row r="1861" spans="13:16">
      <c r="M1861" s="49">
        <f>IF($A$4+18&gt;$B$4,"",$A$4+18)</f>
        <v>46041</v>
      </c>
      <c r="N1861">
        <f>IF(M1861="","",'Master Barang'!A55)</f>
        <v>0</v>
      </c>
      <c r="O1861">
        <f>IF(N1861="","",'Master Barang'!B55)</f>
        <v>0</v>
      </c>
      <c r="P1861">
        <f>IF(OR(M1861="",N1861=""),"",SUMIFS('Barang Keluar'!$E:$E,'Barang Keluar'!$A:$A,M1861,'Barang Keluar'!$C:$C,N1861))</f>
        <v>0</v>
      </c>
    </row>
    <row r="1862" spans="13:16">
      <c r="M1862" s="49">
        <f>IF($A$4+18&gt;$B$4,"",$A$4+18)</f>
        <v>46041</v>
      </c>
      <c r="N1862">
        <f>IF(M1862="","",'Master Barang'!A56)</f>
        <v>0</v>
      </c>
      <c r="O1862">
        <f>IF(N1862="","",'Master Barang'!B56)</f>
        <v>0</v>
      </c>
      <c r="P1862">
        <f>IF(OR(M1862="",N1862=""),"",SUMIFS('Barang Keluar'!$E:$E,'Barang Keluar'!$A:$A,M1862,'Barang Keluar'!$C:$C,N1862))</f>
        <v>0</v>
      </c>
    </row>
    <row r="1863" spans="13:16">
      <c r="M1863" s="49">
        <f>IF($A$4+18&gt;$B$4,"",$A$4+18)</f>
        <v>46041</v>
      </c>
      <c r="N1863">
        <f>IF(M1863="","",'Master Barang'!A57)</f>
        <v>0</v>
      </c>
      <c r="O1863">
        <f>IF(N1863="","",'Master Barang'!B57)</f>
        <v>0</v>
      </c>
      <c r="P1863">
        <f>IF(OR(M1863="",N1863=""),"",SUMIFS('Barang Keluar'!$E:$E,'Barang Keluar'!$A:$A,M1863,'Barang Keluar'!$C:$C,N1863))</f>
        <v>0</v>
      </c>
    </row>
    <row r="1864" spans="13:16">
      <c r="M1864" s="49">
        <f>IF($A$4+18&gt;$B$4,"",$A$4+18)</f>
        <v>46041</v>
      </c>
      <c r="N1864">
        <f>IF(M1864="","",'Master Barang'!A58)</f>
        <v>0</v>
      </c>
      <c r="O1864">
        <f>IF(N1864="","",'Master Barang'!B58)</f>
        <v>0</v>
      </c>
      <c r="P1864">
        <f>IF(OR(M1864="",N1864=""),"",SUMIFS('Barang Keluar'!$E:$E,'Barang Keluar'!$A:$A,M1864,'Barang Keluar'!$C:$C,N1864))</f>
        <v>0</v>
      </c>
    </row>
    <row r="1865" spans="13:16">
      <c r="M1865" s="49">
        <f>IF($A$4+18&gt;$B$4,"",$A$4+18)</f>
        <v>46041</v>
      </c>
      <c r="N1865">
        <f>IF(M1865="","",'Master Barang'!A59)</f>
        <v>0</v>
      </c>
      <c r="O1865">
        <f>IF(N1865="","",'Master Barang'!B59)</f>
        <v>0</v>
      </c>
      <c r="P1865">
        <f>IF(OR(M1865="",N1865=""),"",SUMIFS('Barang Keluar'!$E:$E,'Barang Keluar'!$A:$A,M1865,'Barang Keluar'!$C:$C,N1865))</f>
        <v>0</v>
      </c>
    </row>
    <row r="1866" spans="13:16">
      <c r="M1866" s="49">
        <f>IF($A$4+18&gt;$B$4,"",$A$4+18)</f>
        <v>46041</v>
      </c>
      <c r="N1866">
        <f>IF(M1866="","",'Master Barang'!A60)</f>
        <v>0</v>
      </c>
      <c r="O1866">
        <f>IF(N1866="","",'Master Barang'!B60)</f>
        <v>0</v>
      </c>
      <c r="P1866">
        <f>IF(OR(M1866="",N1866=""),"",SUMIFS('Barang Keluar'!$E:$E,'Barang Keluar'!$A:$A,M1866,'Barang Keluar'!$C:$C,N1866))</f>
        <v>0</v>
      </c>
    </row>
    <row r="1867" spans="13:16">
      <c r="M1867" s="49">
        <f>IF($A$4+18&gt;$B$4,"",$A$4+18)</f>
        <v>46041</v>
      </c>
      <c r="N1867">
        <f>IF(M1867="","",'Master Barang'!A61)</f>
        <v>0</v>
      </c>
      <c r="O1867">
        <f>IF(N1867="","",'Master Barang'!B61)</f>
        <v>0</v>
      </c>
      <c r="P1867">
        <f>IF(OR(M1867="",N1867=""),"",SUMIFS('Barang Keluar'!$E:$E,'Barang Keluar'!$A:$A,M1867,'Barang Keluar'!$C:$C,N1867))</f>
        <v>0</v>
      </c>
    </row>
    <row r="1868" spans="13:16">
      <c r="M1868" s="49">
        <f>IF($A$4+18&gt;$B$4,"",$A$4+18)</f>
        <v>46041</v>
      </c>
      <c r="N1868">
        <f>IF(M1868="","",'Master Barang'!A62)</f>
        <v>0</v>
      </c>
      <c r="O1868">
        <f>IF(N1868="","",'Master Barang'!B62)</f>
        <v>0</v>
      </c>
      <c r="P1868">
        <f>IF(OR(M1868="",N1868=""),"",SUMIFS('Barang Keluar'!$E:$E,'Barang Keluar'!$A:$A,M1868,'Barang Keluar'!$C:$C,N1868))</f>
        <v>0</v>
      </c>
    </row>
    <row r="1869" spans="13:16">
      <c r="M1869" s="49">
        <f>IF($A$4+18&gt;$B$4,"",$A$4+18)</f>
        <v>46041</v>
      </c>
      <c r="N1869">
        <f>IF(M1869="","",'Master Barang'!A63)</f>
        <v>0</v>
      </c>
      <c r="O1869">
        <f>IF(N1869="","",'Master Barang'!B63)</f>
        <v>0</v>
      </c>
      <c r="P1869">
        <f>IF(OR(M1869="",N1869=""),"",SUMIFS('Barang Keluar'!$E:$E,'Barang Keluar'!$A:$A,M1869,'Barang Keluar'!$C:$C,N1869))</f>
        <v>0</v>
      </c>
    </row>
    <row r="1870" spans="13:16">
      <c r="M1870" s="49">
        <f>IF($A$4+18&gt;$B$4,"",$A$4+18)</f>
        <v>46041</v>
      </c>
      <c r="N1870">
        <f>IF(M1870="","",'Master Barang'!A64)</f>
        <v>0</v>
      </c>
      <c r="O1870">
        <f>IF(N1870="","",'Master Barang'!B64)</f>
        <v>0</v>
      </c>
      <c r="P1870">
        <f>IF(OR(M1870="",N1870=""),"",SUMIFS('Barang Keluar'!$E:$E,'Barang Keluar'!$A:$A,M1870,'Barang Keluar'!$C:$C,N1870))</f>
        <v>0</v>
      </c>
    </row>
    <row r="1871" spans="13:16">
      <c r="M1871" s="49">
        <f>IF($A$4+18&gt;$B$4,"",$A$4+18)</f>
        <v>46041</v>
      </c>
      <c r="N1871">
        <f>IF(M1871="","",'Master Barang'!A65)</f>
        <v>0</v>
      </c>
      <c r="O1871">
        <f>IF(N1871="","",'Master Barang'!B65)</f>
        <v>0</v>
      </c>
      <c r="P1871">
        <f>IF(OR(M1871="",N1871=""),"",SUMIFS('Barang Keluar'!$E:$E,'Barang Keluar'!$A:$A,M1871,'Barang Keluar'!$C:$C,N1871))</f>
        <v>0</v>
      </c>
    </row>
    <row r="1872" spans="13:16">
      <c r="M1872" s="49">
        <f>IF($A$4+18&gt;$B$4,"",$A$4+18)</f>
        <v>46041</v>
      </c>
      <c r="N1872">
        <f>IF(M1872="","",'Master Barang'!A66)</f>
        <v>0</v>
      </c>
      <c r="O1872">
        <f>IF(N1872="","",'Master Barang'!B66)</f>
        <v>0</v>
      </c>
      <c r="P1872">
        <f>IF(OR(M1872="",N1872=""),"",SUMIFS('Barang Keluar'!$E:$E,'Barang Keluar'!$A:$A,M1872,'Barang Keluar'!$C:$C,N1872))</f>
        <v>0</v>
      </c>
    </row>
    <row r="1873" spans="13:16">
      <c r="M1873" s="49">
        <f>IF($A$4+18&gt;$B$4,"",$A$4+18)</f>
        <v>46041</v>
      </c>
      <c r="N1873">
        <f>IF(M1873="","",'Master Barang'!A67)</f>
        <v>0</v>
      </c>
      <c r="O1873">
        <f>IF(N1873="","",'Master Barang'!B67)</f>
        <v>0</v>
      </c>
      <c r="P1873">
        <f>IF(OR(M1873="",N1873=""),"",SUMIFS('Barang Keluar'!$E:$E,'Barang Keluar'!$A:$A,M1873,'Barang Keluar'!$C:$C,N1873))</f>
        <v>0</v>
      </c>
    </row>
    <row r="1874" spans="13:16">
      <c r="M1874" s="49">
        <f>IF($A$4+18&gt;$B$4,"",$A$4+18)</f>
        <v>46041</v>
      </c>
      <c r="N1874">
        <f>IF(M1874="","",'Master Barang'!A68)</f>
        <v>0</v>
      </c>
      <c r="O1874">
        <f>IF(N1874="","",'Master Barang'!B68)</f>
        <v>0</v>
      </c>
      <c r="P1874">
        <f>IF(OR(M1874="",N1874=""),"",SUMIFS('Barang Keluar'!$E:$E,'Barang Keluar'!$A:$A,M1874,'Barang Keluar'!$C:$C,N1874))</f>
        <v>0</v>
      </c>
    </row>
    <row r="1875" spans="13:16">
      <c r="M1875" s="49">
        <f>IF($A$4+18&gt;$B$4,"",$A$4+18)</f>
        <v>46041</v>
      </c>
      <c r="N1875">
        <f>IF(M1875="","",'Master Barang'!A69)</f>
        <v>0</v>
      </c>
      <c r="O1875">
        <f>IF(N1875="","",'Master Barang'!B69)</f>
        <v>0</v>
      </c>
      <c r="P1875">
        <f>IF(OR(M1875="",N1875=""),"",SUMIFS('Barang Keluar'!$E:$E,'Barang Keluar'!$A:$A,M1875,'Barang Keluar'!$C:$C,N1875))</f>
        <v>0</v>
      </c>
    </row>
    <row r="1876" spans="13:16">
      <c r="M1876" s="49">
        <f>IF($A$4+18&gt;$B$4,"",$A$4+18)</f>
        <v>46041</v>
      </c>
      <c r="N1876">
        <f>IF(M1876="","",'Master Barang'!A70)</f>
        <v>0</v>
      </c>
      <c r="O1876">
        <f>IF(N1876="","",'Master Barang'!B70)</f>
        <v>0</v>
      </c>
      <c r="P1876">
        <f>IF(OR(M1876="",N1876=""),"",SUMIFS('Barang Keluar'!$E:$E,'Barang Keluar'!$A:$A,M1876,'Barang Keluar'!$C:$C,N1876))</f>
        <v>0</v>
      </c>
    </row>
    <row r="1877" spans="13:16">
      <c r="M1877" s="49">
        <f>IF($A$4+18&gt;$B$4,"",$A$4+18)</f>
        <v>46041</v>
      </c>
      <c r="N1877">
        <f>IF(M1877="","",'Master Barang'!A71)</f>
        <v>0</v>
      </c>
      <c r="O1877">
        <f>IF(N1877="","",'Master Barang'!B71)</f>
        <v>0</v>
      </c>
      <c r="P1877">
        <f>IF(OR(M1877="",N1877=""),"",SUMIFS('Barang Keluar'!$E:$E,'Barang Keluar'!$A:$A,M1877,'Barang Keluar'!$C:$C,N1877))</f>
        <v>0</v>
      </c>
    </row>
    <row r="1878" spans="13:16">
      <c r="M1878" s="49">
        <f>IF($A$4+18&gt;$B$4,"",$A$4+18)</f>
        <v>46041</v>
      </c>
      <c r="N1878">
        <f>IF(M1878="","",'Master Barang'!A72)</f>
        <v>0</v>
      </c>
      <c r="O1878">
        <f>IF(N1878="","",'Master Barang'!B72)</f>
        <v>0</v>
      </c>
      <c r="P1878">
        <f>IF(OR(M1878="",N1878=""),"",SUMIFS('Barang Keluar'!$E:$E,'Barang Keluar'!$A:$A,M1878,'Barang Keluar'!$C:$C,N1878))</f>
        <v>0</v>
      </c>
    </row>
    <row r="1879" spans="13:16">
      <c r="M1879" s="49">
        <f>IF($A$4+18&gt;$B$4,"",$A$4+18)</f>
        <v>46041</v>
      </c>
      <c r="N1879">
        <f>IF(M1879="","",'Master Barang'!A73)</f>
        <v>0</v>
      </c>
      <c r="O1879">
        <f>IF(N1879="","",'Master Barang'!B73)</f>
        <v>0</v>
      </c>
      <c r="P1879">
        <f>IF(OR(M1879="",N1879=""),"",SUMIFS('Barang Keluar'!$E:$E,'Barang Keluar'!$A:$A,M1879,'Barang Keluar'!$C:$C,N1879))</f>
        <v>0</v>
      </c>
    </row>
    <row r="1880" spans="13:16">
      <c r="M1880" s="49">
        <f>IF($A$4+18&gt;$B$4,"",$A$4+18)</f>
        <v>46041</v>
      </c>
      <c r="N1880">
        <f>IF(M1880="","",'Master Barang'!A74)</f>
        <v>0</v>
      </c>
      <c r="O1880">
        <f>IF(N1880="","",'Master Barang'!B74)</f>
        <v>0</v>
      </c>
      <c r="P1880">
        <f>IF(OR(M1880="",N1880=""),"",SUMIFS('Barang Keluar'!$E:$E,'Barang Keluar'!$A:$A,M1880,'Barang Keluar'!$C:$C,N1880))</f>
        <v>0</v>
      </c>
    </row>
    <row r="1881" spans="13:16">
      <c r="M1881" s="49">
        <f>IF($A$4+18&gt;$B$4,"",$A$4+18)</f>
        <v>46041</v>
      </c>
      <c r="N1881">
        <f>IF(M1881="","",'Master Barang'!A75)</f>
        <v>0</v>
      </c>
      <c r="O1881">
        <f>IF(N1881="","",'Master Barang'!B75)</f>
        <v>0</v>
      </c>
      <c r="P1881">
        <f>IF(OR(M1881="",N1881=""),"",SUMIFS('Barang Keluar'!$E:$E,'Barang Keluar'!$A:$A,M1881,'Barang Keluar'!$C:$C,N1881))</f>
        <v>0</v>
      </c>
    </row>
    <row r="1882" spans="13:16">
      <c r="M1882" s="49">
        <f>IF($A$4+18&gt;$B$4,"",$A$4+18)</f>
        <v>46041</v>
      </c>
      <c r="N1882">
        <f>IF(M1882="","",'Master Barang'!A76)</f>
        <v>0</v>
      </c>
      <c r="O1882">
        <f>IF(N1882="","",'Master Barang'!B76)</f>
        <v>0</v>
      </c>
      <c r="P1882">
        <f>IF(OR(M1882="",N1882=""),"",SUMIFS('Barang Keluar'!$E:$E,'Barang Keluar'!$A:$A,M1882,'Barang Keluar'!$C:$C,N1882))</f>
        <v>0</v>
      </c>
    </row>
    <row r="1883" spans="13:16">
      <c r="M1883" s="49">
        <f>IF($A$4+18&gt;$B$4,"",$A$4+18)</f>
        <v>46041</v>
      </c>
      <c r="N1883">
        <f>IF(M1883="","",'Master Barang'!A77)</f>
        <v>0</v>
      </c>
      <c r="O1883">
        <f>IF(N1883="","",'Master Barang'!B77)</f>
        <v>0</v>
      </c>
      <c r="P1883">
        <f>IF(OR(M1883="",N1883=""),"",SUMIFS('Barang Keluar'!$E:$E,'Barang Keluar'!$A:$A,M1883,'Barang Keluar'!$C:$C,N1883))</f>
        <v>0</v>
      </c>
    </row>
    <row r="1884" spans="13:16">
      <c r="M1884" s="49">
        <f>IF($A$4+18&gt;$B$4,"",$A$4+18)</f>
        <v>46041</v>
      </c>
      <c r="N1884">
        <f>IF(M1884="","",'Master Barang'!A78)</f>
        <v>0</v>
      </c>
      <c r="O1884">
        <f>IF(N1884="","",'Master Barang'!B78)</f>
        <v>0</v>
      </c>
      <c r="P1884">
        <f>IF(OR(M1884="",N1884=""),"",SUMIFS('Barang Keluar'!$E:$E,'Barang Keluar'!$A:$A,M1884,'Barang Keluar'!$C:$C,N1884))</f>
        <v>0</v>
      </c>
    </row>
    <row r="1885" spans="13:16">
      <c r="M1885" s="49">
        <f>IF($A$4+18&gt;$B$4,"",$A$4+18)</f>
        <v>46041</v>
      </c>
      <c r="N1885">
        <f>IF(M1885="","",'Master Barang'!A79)</f>
        <v>0</v>
      </c>
      <c r="O1885">
        <f>IF(N1885="","",'Master Barang'!B79)</f>
        <v>0</v>
      </c>
      <c r="P1885">
        <f>IF(OR(M1885="",N1885=""),"",SUMIFS('Barang Keluar'!$E:$E,'Barang Keluar'!$A:$A,M1885,'Barang Keluar'!$C:$C,N1885))</f>
        <v>0</v>
      </c>
    </row>
    <row r="1886" spans="13:16">
      <c r="M1886" s="49">
        <f>IF($A$4+18&gt;$B$4,"",$A$4+18)</f>
        <v>46041</v>
      </c>
      <c r="N1886">
        <f>IF(M1886="","",'Master Barang'!A80)</f>
        <v>0</v>
      </c>
      <c r="O1886">
        <f>IF(N1886="","",'Master Barang'!B80)</f>
        <v>0</v>
      </c>
      <c r="P1886">
        <f>IF(OR(M1886="",N1886=""),"",SUMIFS('Barang Keluar'!$E:$E,'Barang Keluar'!$A:$A,M1886,'Barang Keluar'!$C:$C,N1886))</f>
        <v>0</v>
      </c>
    </row>
    <row r="1887" spans="13:16">
      <c r="M1887" s="49">
        <f>IF($A$4+18&gt;$B$4,"",$A$4+18)</f>
        <v>46041</v>
      </c>
      <c r="N1887">
        <f>IF(M1887="","",'Master Barang'!A81)</f>
        <v>0</v>
      </c>
      <c r="O1887">
        <f>IF(N1887="","",'Master Barang'!B81)</f>
        <v>0</v>
      </c>
      <c r="P1887">
        <f>IF(OR(M1887="",N1887=""),"",SUMIFS('Barang Keluar'!$E:$E,'Barang Keluar'!$A:$A,M1887,'Barang Keluar'!$C:$C,N1887))</f>
        <v>0</v>
      </c>
    </row>
    <row r="1888" spans="13:16">
      <c r="M1888" s="49">
        <f>IF($A$4+18&gt;$B$4,"",$A$4+18)</f>
        <v>46041</v>
      </c>
      <c r="N1888">
        <f>IF(M1888="","",'Master Barang'!A82)</f>
        <v>0</v>
      </c>
      <c r="O1888">
        <f>IF(N1888="","",'Master Barang'!B82)</f>
        <v>0</v>
      </c>
      <c r="P1888">
        <f>IF(OR(M1888="",N1888=""),"",SUMIFS('Barang Keluar'!$E:$E,'Barang Keluar'!$A:$A,M1888,'Barang Keluar'!$C:$C,N1888))</f>
        <v>0</v>
      </c>
    </row>
    <row r="1889" spans="13:16">
      <c r="M1889" s="49">
        <f>IF($A$4+18&gt;$B$4,"",$A$4+18)</f>
        <v>46041</v>
      </c>
      <c r="N1889">
        <f>IF(M1889="","",'Master Barang'!A83)</f>
        <v>0</v>
      </c>
      <c r="O1889">
        <f>IF(N1889="","",'Master Barang'!B83)</f>
        <v>0</v>
      </c>
      <c r="P1889">
        <f>IF(OR(M1889="",N1889=""),"",SUMIFS('Barang Keluar'!$E:$E,'Barang Keluar'!$A:$A,M1889,'Barang Keluar'!$C:$C,N1889))</f>
        <v>0</v>
      </c>
    </row>
    <row r="1890" spans="13:16">
      <c r="M1890" s="49">
        <f>IF($A$4+18&gt;$B$4,"",$A$4+18)</f>
        <v>46041</v>
      </c>
      <c r="N1890">
        <f>IF(M1890="","",'Master Barang'!A84)</f>
        <v>0</v>
      </c>
      <c r="O1890">
        <f>IF(N1890="","",'Master Barang'!B84)</f>
        <v>0</v>
      </c>
      <c r="P1890">
        <f>IF(OR(M1890="",N1890=""),"",SUMIFS('Barang Keluar'!$E:$E,'Barang Keluar'!$A:$A,M1890,'Barang Keluar'!$C:$C,N1890))</f>
        <v>0</v>
      </c>
    </row>
    <row r="1891" spans="13:16">
      <c r="M1891" s="49">
        <f>IF($A$4+18&gt;$B$4,"",$A$4+18)</f>
        <v>46041</v>
      </c>
      <c r="N1891">
        <f>IF(M1891="","",'Master Barang'!A85)</f>
        <v>0</v>
      </c>
      <c r="O1891">
        <f>IF(N1891="","",'Master Barang'!B85)</f>
        <v>0</v>
      </c>
      <c r="P1891">
        <f>IF(OR(M1891="",N1891=""),"",SUMIFS('Barang Keluar'!$E:$E,'Barang Keluar'!$A:$A,M1891,'Barang Keluar'!$C:$C,N1891))</f>
        <v>0</v>
      </c>
    </row>
    <row r="1892" spans="13:16">
      <c r="M1892" s="49">
        <f>IF($A$4+18&gt;$B$4,"",$A$4+18)</f>
        <v>46041</v>
      </c>
      <c r="N1892">
        <f>IF(M1892="","",'Master Barang'!A86)</f>
        <v>0</v>
      </c>
      <c r="O1892">
        <f>IF(N1892="","",'Master Barang'!B86)</f>
        <v>0</v>
      </c>
      <c r="P1892">
        <f>IF(OR(M1892="",N1892=""),"",SUMIFS('Barang Keluar'!$E:$E,'Barang Keluar'!$A:$A,M1892,'Barang Keluar'!$C:$C,N1892))</f>
        <v>0</v>
      </c>
    </row>
    <row r="1893" spans="13:16">
      <c r="M1893" s="49">
        <f>IF($A$4+18&gt;$B$4,"",$A$4+18)</f>
        <v>46041</v>
      </c>
      <c r="N1893">
        <f>IF(M1893="","",'Master Barang'!A87)</f>
        <v>0</v>
      </c>
      <c r="O1893">
        <f>IF(N1893="","",'Master Barang'!B87)</f>
        <v>0</v>
      </c>
      <c r="P1893">
        <f>IF(OR(M1893="",N1893=""),"",SUMIFS('Barang Keluar'!$E:$E,'Barang Keluar'!$A:$A,M1893,'Barang Keluar'!$C:$C,N1893))</f>
        <v>0</v>
      </c>
    </row>
    <row r="1894" spans="13:16">
      <c r="M1894" s="49">
        <f>IF($A$4+18&gt;$B$4,"",$A$4+18)</f>
        <v>46041</v>
      </c>
      <c r="N1894">
        <f>IF(M1894="","",'Master Barang'!A88)</f>
        <v>0</v>
      </c>
      <c r="O1894">
        <f>IF(N1894="","",'Master Barang'!B88)</f>
        <v>0</v>
      </c>
      <c r="P1894">
        <f>IF(OR(M1894="",N1894=""),"",SUMIFS('Barang Keluar'!$E:$E,'Barang Keluar'!$A:$A,M1894,'Barang Keluar'!$C:$C,N1894))</f>
        <v>0</v>
      </c>
    </row>
    <row r="1895" spans="13:16">
      <c r="M1895" s="49">
        <f>IF($A$4+18&gt;$B$4,"",$A$4+18)</f>
        <v>46041</v>
      </c>
      <c r="N1895">
        <f>IF(M1895="","",'Master Barang'!A89)</f>
        <v>0</v>
      </c>
      <c r="O1895">
        <f>IF(N1895="","",'Master Barang'!B89)</f>
        <v>0</v>
      </c>
      <c r="P1895">
        <f>IF(OR(M1895="",N1895=""),"",SUMIFS('Barang Keluar'!$E:$E,'Barang Keluar'!$A:$A,M1895,'Barang Keluar'!$C:$C,N1895))</f>
        <v>0</v>
      </c>
    </row>
    <row r="1896" spans="13:16">
      <c r="M1896" s="49">
        <f>IF($A$4+18&gt;$B$4,"",$A$4+18)</f>
        <v>46041</v>
      </c>
      <c r="N1896">
        <f>IF(M1896="","",'Master Barang'!A90)</f>
        <v>0</v>
      </c>
      <c r="O1896">
        <f>IF(N1896="","",'Master Barang'!B90)</f>
        <v>0</v>
      </c>
      <c r="P1896">
        <f>IF(OR(M1896="",N1896=""),"",SUMIFS('Barang Keluar'!$E:$E,'Barang Keluar'!$A:$A,M1896,'Barang Keluar'!$C:$C,N1896))</f>
        <v>0</v>
      </c>
    </row>
    <row r="1897" spans="13:16">
      <c r="M1897" s="49">
        <f>IF($A$4+18&gt;$B$4,"",$A$4+18)</f>
        <v>46041</v>
      </c>
      <c r="N1897">
        <f>IF(M1897="","",'Master Barang'!A91)</f>
        <v>0</v>
      </c>
      <c r="O1897">
        <f>IF(N1897="","",'Master Barang'!B91)</f>
        <v>0</v>
      </c>
      <c r="P1897">
        <f>IF(OR(M1897="",N1897=""),"",SUMIFS('Barang Keluar'!$E:$E,'Barang Keluar'!$A:$A,M1897,'Barang Keluar'!$C:$C,N1897))</f>
        <v>0</v>
      </c>
    </row>
    <row r="1898" spans="13:16">
      <c r="M1898" s="49">
        <f>IF($A$4+18&gt;$B$4,"",$A$4+18)</f>
        <v>46041</v>
      </c>
      <c r="N1898">
        <f>IF(M1898="","",'Master Barang'!A92)</f>
        <v>0</v>
      </c>
      <c r="O1898">
        <f>IF(N1898="","",'Master Barang'!B92)</f>
        <v>0</v>
      </c>
      <c r="P1898">
        <f>IF(OR(M1898="",N1898=""),"",SUMIFS('Barang Keluar'!$E:$E,'Barang Keluar'!$A:$A,M1898,'Barang Keluar'!$C:$C,N1898))</f>
        <v>0</v>
      </c>
    </row>
    <row r="1899" spans="13:16">
      <c r="M1899" s="49">
        <f>IF($A$4+18&gt;$B$4,"",$A$4+18)</f>
        <v>46041</v>
      </c>
      <c r="N1899">
        <f>IF(M1899="","",'Master Barang'!A93)</f>
        <v>0</v>
      </c>
      <c r="O1899">
        <f>IF(N1899="","",'Master Barang'!B93)</f>
        <v>0</v>
      </c>
      <c r="P1899">
        <f>IF(OR(M1899="",N1899=""),"",SUMIFS('Barang Keluar'!$E:$E,'Barang Keluar'!$A:$A,M1899,'Barang Keluar'!$C:$C,N1899))</f>
        <v>0</v>
      </c>
    </row>
    <row r="1900" spans="13:16">
      <c r="M1900" s="49">
        <f>IF($A$4+18&gt;$B$4,"",$A$4+18)</f>
        <v>46041</v>
      </c>
      <c r="N1900">
        <f>IF(M1900="","",'Master Barang'!A94)</f>
        <v>0</v>
      </c>
      <c r="O1900">
        <f>IF(N1900="","",'Master Barang'!B94)</f>
        <v>0</v>
      </c>
      <c r="P1900">
        <f>IF(OR(M1900="",N1900=""),"",SUMIFS('Barang Keluar'!$E:$E,'Barang Keluar'!$A:$A,M1900,'Barang Keluar'!$C:$C,N1900))</f>
        <v>0</v>
      </c>
    </row>
    <row r="1901" spans="13:16">
      <c r="M1901" s="49">
        <f>IF($A$4+18&gt;$B$4,"",$A$4+18)</f>
        <v>46041</v>
      </c>
      <c r="N1901">
        <f>IF(M1901="","",'Master Barang'!A95)</f>
        <v>0</v>
      </c>
      <c r="O1901">
        <f>IF(N1901="","",'Master Barang'!B95)</f>
        <v>0</v>
      </c>
      <c r="P1901">
        <f>IF(OR(M1901="",N1901=""),"",SUMIFS('Barang Keluar'!$E:$E,'Barang Keluar'!$A:$A,M1901,'Barang Keluar'!$C:$C,N1901))</f>
        <v>0</v>
      </c>
    </row>
    <row r="1902" spans="13:16">
      <c r="M1902" s="49">
        <f>IF($A$4+18&gt;$B$4,"",$A$4+18)</f>
        <v>46041</v>
      </c>
      <c r="N1902">
        <f>IF(M1902="","",'Master Barang'!A96)</f>
        <v>0</v>
      </c>
      <c r="O1902">
        <f>IF(N1902="","",'Master Barang'!B96)</f>
        <v>0</v>
      </c>
      <c r="P1902">
        <f>IF(OR(M1902="",N1902=""),"",SUMIFS('Barang Keluar'!$E:$E,'Barang Keluar'!$A:$A,M1902,'Barang Keluar'!$C:$C,N1902))</f>
        <v>0</v>
      </c>
    </row>
    <row r="1903" spans="13:16">
      <c r="M1903" s="49">
        <f>IF($A$4+18&gt;$B$4,"",$A$4+18)</f>
        <v>46041</v>
      </c>
      <c r="N1903">
        <f>IF(M1903="","",'Master Barang'!A97)</f>
        <v>0</v>
      </c>
      <c r="O1903">
        <f>IF(N1903="","",'Master Barang'!B97)</f>
        <v>0</v>
      </c>
      <c r="P1903">
        <f>IF(OR(M1903="",N1903=""),"",SUMIFS('Barang Keluar'!$E:$E,'Barang Keluar'!$A:$A,M1903,'Barang Keluar'!$C:$C,N1903))</f>
        <v>0</v>
      </c>
    </row>
    <row r="1904" spans="13:16">
      <c r="M1904" s="49">
        <f>IF($A$4+18&gt;$B$4,"",$A$4+18)</f>
        <v>46041</v>
      </c>
      <c r="N1904">
        <f>IF(M1904="","",'Master Barang'!A98)</f>
        <v>0</v>
      </c>
      <c r="O1904">
        <f>IF(N1904="","",'Master Barang'!B98)</f>
        <v>0</v>
      </c>
      <c r="P1904">
        <f>IF(OR(M1904="",N1904=""),"",SUMIFS('Barang Keluar'!$E:$E,'Barang Keluar'!$A:$A,M1904,'Barang Keluar'!$C:$C,N1904))</f>
        <v>0</v>
      </c>
    </row>
    <row r="1905" spans="13:16">
      <c r="M1905" s="49">
        <f>IF($A$4+18&gt;$B$4,"",$A$4+18)</f>
        <v>46041</v>
      </c>
      <c r="N1905">
        <f>IF(M1905="","",'Master Barang'!A99)</f>
        <v>0</v>
      </c>
      <c r="O1905">
        <f>IF(N1905="","",'Master Barang'!B99)</f>
        <v>0</v>
      </c>
      <c r="P1905">
        <f>IF(OR(M1905="",N1905=""),"",SUMIFS('Barang Keluar'!$E:$E,'Barang Keluar'!$A:$A,M1905,'Barang Keluar'!$C:$C,N1905))</f>
        <v>0</v>
      </c>
    </row>
    <row r="1906" spans="13:16">
      <c r="M1906" s="49">
        <f>IF($A$4+18&gt;$B$4,"",$A$4+18)</f>
        <v>46041</v>
      </c>
      <c r="N1906">
        <f>IF(M1906="","",'Master Barang'!A100)</f>
        <v>0</v>
      </c>
      <c r="O1906">
        <f>IF(N1906="","",'Master Barang'!B100)</f>
        <v>0</v>
      </c>
      <c r="P1906">
        <f>IF(OR(M1906="",N1906=""),"",SUMIFS('Barang Keluar'!$E:$E,'Barang Keluar'!$A:$A,M1906,'Barang Keluar'!$C:$C,N1906))</f>
        <v>0</v>
      </c>
    </row>
    <row r="1907" spans="13:16">
      <c r="M1907" s="49">
        <f>IF($A$4+18&gt;$B$4,"",$A$4+18)</f>
        <v>46041</v>
      </c>
      <c r="N1907">
        <f>IF(M1907="","",'Master Barang'!A101)</f>
        <v>0</v>
      </c>
      <c r="O1907">
        <f>IF(N1907="","",'Master Barang'!B101)</f>
        <v>0</v>
      </c>
      <c r="P1907">
        <f>IF(OR(M1907="",N1907=""),"",SUMIFS('Barang Keluar'!$E:$E,'Barang Keluar'!$A:$A,M1907,'Barang Keluar'!$C:$C,N1907))</f>
        <v>0</v>
      </c>
    </row>
    <row r="1908" spans="13:16">
      <c r="M1908" s="49">
        <f>IF($A$4+19&gt;$B$4,"",$A$4+19)</f>
        <v>46042</v>
      </c>
      <c r="N1908" t="str">
        <f>IF(M1908="","",'Master Barang'!A2)</f>
        <v>PRL-001</v>
      </c>
      <c r="O1908" t="str">
        <f>IF(N1908="","",'Master Barang'!B2)</f>
        <v>natura desinfectant food grade 5l</v>
      </c>
      <c r="P1908">
        <f>IF(OR(M1908="",N1908=""),"",SUMIFS('Barang Keluar'!$E:$E,'Barang Keluar'!$A:$A,M1908,'Barang Keluar'!$C:$C,N1908))</f>
        <v>0</v>
      </c>
    </row>
    <row r="1909" spans="13:16">
      <c r="M1909" s="49">
        <f>IF($A$4+19&gt;$B$4,"",$A$4+19)</f>
        <v>46042</v>
      </c>
      <c r="N1909" t="str">
        <f>IF(M1909="","",'Master Barang'!A3)</f>
        <v>PRL-002</v>
      </c>
      <c r="O1909" t="str">
        <f>IF(N1909="","",'Master Barang'!B3)</f>
        <v>sunlight cairan pencuci piring 5l</v>
      </c>
      <c r="P1909">
        <f>IF(OR(M1909="",N1909=""),"",SUMIFS('Barang Keluar'!$E:$E,'Barang Keluar'!$A:$A,M1909,'Barang Keluar'!$C:$C,N1909))</f>
        <v>0</v>
      </c>
    </row>
    <row r="1910" spans="13:16">
      <c r="M1910" s="49">
        <f>IF($A$4+19&gt;$B$4,"",$A$4+19)</f>
        <v>46042</v>
      </c>
      <c r="N1910" t="str">
        <f>IF(M1910="","",'Master Barang'!A4)</f>
        <v>PRL-003</v>
      </c>
      <c r="O1910" t="str">
        <f>IF(N1910="","",'Master Barang'!B4)</f>
        <v>oixs cleaner 1l</v>
      </c>
      <c r="P1910">
        <f>IF(OR(M1910="",N1910=""),"",SUMIFS('Barang Keluar'!$E:$E,'Barang Keluar'!$A:$A,M1910,'Barang Keluar'!$C:$C,N1910))</f>
        <v>0</v>
      </c>
    </row>
    <row r="1911" spans="13:16">
      <c r="M1911" s="49">
        <f>IF($A$4+19&gt;$B$4,"",$A$4+19)</f>
        <v>46042</v>
      </c>
      <c r="N1911" t="str">
        <f>IF(M1911="","",'Master Barang'!A5)</f>
        <v>PRL-004</v>
      </c>
      <c r="O1911" t="str">
        <f>IF(N1911="","",'Master Barang'!B5)</f>
        <v>be clean tissue serbaguna</v>
      </c>
      <c r="P1911">
        <f>IF(OR(M1911="",N1911=""),"",SUMIFS('Barang Keluar'!$E:$E,'Barang Keluar'!$A:$A,M1911,'Barang Keluar'!$C:$C,N1911))</f>
        <v>0</v>
      </c>
    </row>
    <row r="1912" spans="13:16">
      <c r="M1912" s="49">
        <f>IF($A$4+19&gt;$B$4,"",$A$4+19)</f>
        <v>46042</v>
      </c>
      <c r="N1912" t="str">
        <f>IF(M1912="","",'Master Barang'!A6)</f>
        <v>PRL-005</v>
      </c>
      <c r="O1912" t="str">
        <f>IF(N1912="","",'Master Barang'!B6)</f>
        <v>spons cuci hijau</v>
      </c>
      <c r="P1912">
        <f>IF(OR(M1912="",N1912=""),"",SUMIFS('Barang Keluar'!$E:$E,'Barang Keluar'!$A:$A,M1912,'Barang Keluar'!$C:$C,N1912))</f>
        <v>0</v>
      </c>
    </row>
    <row r="1913" spans="13:16">
      <c r="M1913" s="49">
        <f>IF($A$4+19&gt;$B$4,"",$A$4+19)</f>
        <v>46042</v>
      </c>
      <c r="N1913" t="str">
        <f>IF(M1913="","",'Master Barang'!A7)</f>
        <v>PRL-006</v>
      </c>
      <c r="O1913" t="str">
        <f>IF(N1913="","",'Master Barang'!B7)</f>
        <v>sabut cuci stainless</v>
      </c>
      <c r="P1913">
        <f>IF(OR(M1913="",N1913=""),"",SUMIFS('Barang Keluar'!$E:$E,'Barang Keluar'!$A:$A,M1913,'Barang Keluar'!$C:$C,N1913))</f>
        <v>0</v>
      </c>
    </row>
    <row r="1914" spans="13:16">
      <c r="M1914" s="49">
        <f>IF($A$4+19&gt;$B$4,"",$A$4+19)</f>
        <v>46042</v>
      </c>
      <c r="N1914" t="str">
        <f>IF(M1914="","",'Master Barang'!A8)</f>
        <v>PRL-007</v>
      </c>
      <c r="O1914" t="str">
        <f>IF(N1914="","",'Master Barang'!B8)</f>
        <v>plastik kresek besar merah 50pc</v>
      </c>
      <c r="P1914">
        <f>IF(OR(M1914="",N1914=""),"",SUMIFS('Barang Keluar'!$E:$E,'Barang Keluar'!$A:$A,M1914,'Barang Keluar'!$C:$C,N1914))</f>
        <v>0</v>
      </c>
    </row>
    <row r="1915" spans="13:16">
      <c r="M1915" s="49">
        <f>IF($A$4+19&gt;$B$4,"",$A$4+19)</f>
        <v>46042</v>
      </c>
      <c r="N1915" t="str">
        <f>IF(M1915="","",'Master Barang'!A9)</f>
        <v>PRL-008</v>
      </c>
      <c r="O1915" t="str">
        <f>IF(N1915="","",'Master Barang'!B9)</f>
        <v>lap besar</v>
      </c>
      <c r="P1915">
        <f>IF(OR(M1915="",N1915=""),"",SUMIFS('Barang Keluar'!$E:$E,'Barang Keluar'!$A:$A,M1915,'Barang Keluar'!$C:$C,N1915))</f>
        <v>0</v>
      </c>
    </row>
    <row r="1916" spans="13:16">
      <c r="M1916" s="49">
        <f>IF($A$4+19&gt;$B$4,"",$A$4+19)</f>
        <v>46042</v>
      </c>
      <c r="N1916" t="str">
        <f>IF(M1916="","",'Master Barang'!A10)</f>
        <v>PRL-009</v>
      </c>
      <c r="O1916" t="str">
        <f>IF(N1916="","",'Master Barang'!B10)</f>
        <v>lap microfiber</v>
      </c>
      <c r="P1916">
        <f>IF(OR(M1916="",N1916=""),"",SUMIFS('Barang Keluar'!$E:$E,'Barang Keluar'!$A:$A,M1916,'Barang Keluar'!$C:$C,N1916))</f>
        <v>0</v>
      </c>
    </row>
    <row r="1917" spans="13:16">
      <c r="M1917" s="49">
        <f>IF($A$4+19&gt;$B$4,"",$A$4+19)</f>
        <v>46042</v>
      </c>
      <c r="N1917" t="str">
        <f>IF(M1917="","",'Master Barang'!A11)</f>
        <v>PRL-010</v>
      </c>
      <c r="O1917" t="str">
        <f>IF(N1917="","",'Master Barang'!B11)</f>
        <v>lap kecil</v>
      </c>
      <c r="P1917">
        <f>IF(OR(M1917="",N1917=""),"",SUMIFS('Barang Keluar'!$E:$E,'Barang Keluar'!$A:$A,M1917,'Barang Keluar'!$C:$C,N1917))</f>
        <v>0</v>
      </c>
    </row>
    <row r="1918" spans="13:16">
      <c r="M1918" s="49">
        <f>IF($A$4+19&gt;$B$4,"",$A$4+19)</f>
        <v>46042</v>
      </c>
      <c r="N1918" t="str">
        <f>IF(M1918="","",'Master Barang'!A12)</f>
        <v>PRL-011</v>
      </c>
      <c r="O1918" t="str">
        <f>IF(N1918="","",'Master Barang'!B12)</f>
        <v>kanebo kecil</v>
      </c>
      <c r="P1918">
        <f>IF(OR(M1918="",N1918=""),"",SUMIFS('Barang Keluar'!$E:$E,'Barang Keluar'!$A:$A,M1918,'Barang Keluar'!$C:$C,N1918))</f>
        <v>0</v>
      </c>
    </row>
    <row r="1919" spans="13:16">
      <c r="M1919" s="49">
        <f>IF($A$4+19&gt;$B$4,"",$A$4+19)</f>
        <v>46042</v>
      </c>
      <c r="N1919" t="str">
        <f>IF(M1919="","",'Master Barang'!A13)</f>
        <v>PRL-012</v>
      </c>
      <c r="O1919" t="str">
        <f>IF(N1919="","",'Master Barang'!B13)</f>
        <v>plastik 1/4kg joyoboyo 100 lembar</v>
      </c>
      <c r="P1919">
        <f>IF(OR(M1919="",N1919=""),"",SUMIFS('Barang Keluar'!$E:$E,'Barang Keluar'!$A:$A,M1919,'Barang Keluar'!$C:$C,N1919))</f>
        <v>0</v>
      </c>
    </row>
    <row r="1920" spans="13:16">
      <c r="M1920" s="49">
        <f>IF($A$4+19&gt;$B$4,"",$A$4+19)</f>
        <v>46042</v>
      </c>
      <c r="N1920" t="str">
        <f>IF(M1920="","",'Master Barang'!A14)</f>
        <v>PRL-013</v>
      </c>
      <c r="O1920" t="str">
        <f>IF(N1920="","",'Master Barang'!B14)</f>
        <v>sarung tangan plastik kaka 100 pcs</v>
      </c>
      <c r="P1920">
        <f>IF(OR(M1920="",N1920=""),"",SUMIFS('Barang Keluar'!$E:$E,'Barang Keluar'!$A:$A,M1920,'Barang Keluar'!$C:$C,N1920))</f>
        <v>0</v>
      </c>
    </row>
    <row r="1921" spans="13:16">
      <c r="M1921" s="49">
        <f>IF($A$4+19&gt;$B$4,"",$A$4+19)</f>
        <v>46042</v>
      </c>
      <c r="N1921" t="str">
        <f>IF(M1921="","",'Master Barang'!A15)</f>
        <v>PRL-014</v>
      </c>
      <c r="O1921" t="str">
        <f>IF(N1921="","",'Master Barang'!B15)</f>
        <v>optima trashbag 80x100</v>
      </c>
      <c r="P1921">
        <f>IF(OR(M1921="",N1921=""),"",SUMIFS('Barang Keluar'!$E:$E,'Barang Keluar'!$A:$A,M1921,'Barang Keluar'!$C:$C,N1921))</f>
        <v>0</v>
      </c>
    </row>
    <row r="1922" spans="13:16">
      <c r="M1922" s="49">
        <f>IF($A$4+19&gt;$B$4,"",$A$4+19)</f>
        <v>46042</v>
      </c>
      <c r="N1922" t="str">
        <f>IF(M1922="","",'Master Barang'!A16)</f>
        <v>PRL-015</v>
      </c>
      <c r="O1922" t="str">
        <f>IF(N1922="","",'Master Barang'!B16)</f>
        <v>optima trashbag 60x100</v>
      </c>
      <c r="P1922">
        <f>IF(OR(M1922="",N1922=""),"",SUMIFS('Barang Keluar'!$E:$E,'Barang Keluar'!$A:$A,M1922,'Barang Keluar'!$C:$C,N1922))</f>
        <v>0</v>
      </c>
    </row>
    <row r="1923" spans="13:16">
      <c r="M1923" s="49">
        <f>IF($A$4+19&gt;$B$4,"",$A$4+19)</f>
        <v>46042</v>
      </c>
      <c r="N1923" t="str">
        <f>IF(M1923="","",'Master Barang'!A17)</f>
        <v>PRL-016</v>
      </c>
      <c r="O1923" t="str">
        <f>IF(N1923="","",'Master Barang'!B17)</f>
        <v>rajawali trashbag 30x40</v>
      </c>
      <c r="P1923">
        <f>IF(OR(M1923="",N1923=""),"",SUMIFS('Barang Keluar'!$E:$E,'Barang Keluar'!$A:$A,M1923,'Barang Keluar'!$C:$C,N1923))</f>
        <v>0</v>
      </c>
    </row>
    <row r="1924" spans="13:16">
      <c r="M1924" s="49">
        <f>IF($A$4+19&gt;$B$4,"",$A$4+19)</f>
        <v>46042</v>
      </c>
      <c r="N1924" t="str">
        <f>IF(M1924="","",'Master Barang'!A18)</f>
        <v>PRL-017</v>
      </c>
      <c r="O1924" t="str">
        <f>IF(N1924="","",'Master Barang'!B18)</f>
        <v>onemed masker biru 3 play 50 pcs</v>
      </c>
      <c r="P1924">
        <f>IF(OR(M1924="",N1924=""),"",SUMIFS('Barang Keluar'!$E:$E,'Barang Keluar'!$A:$A,M1924,'Barang Keluar'!$C:$C,N1924))</f>
        <v>0</v>
      </c>
    </row>
    <row r="1925" spans="13:16">
      <c r="M1925" s="49">
        <f>IF($A$4+19&gt;$B$4,"",$A$4+19)</f>
        <v>46042</v>
      </c>
      <c r="N1925" t="str">
        <f>IF(M1925="","",'Master Barang'!A19)</f>
        <v>PRL-018</v>
      </c>
      <c r="O1925" t="str">
        <f>IF(N1925="","",'Master Barang'!B19)</f>
        <v>onemed masker biru 3 play hijab 50 pcs</v>
      </c>
      <c r="P1925">
        <f>IF(OR(M1925="",N1925=""),"",SUMIFS('Barang Keluar'!$E:$E,'Barang Keluar'!$A:$A,M1925,'Barang Keluar'!$C:$C,N1925))</f>
        <v>0</v>
      </c>
    </row>
    <row r="1926" spans="13:16">
      <c r="M1926" s="49">
        <f>IF($A$4+19&gt;$B$4,"",$A$4+19)</f>
        <v>46042</v>
      </c>
      <c r="N1926" t="str">
        <f>IF(M1926="","",'Master Barang'!A20)</f>
        <v>PRL-019</v>
      </c>
      <c r="O1926" t="str">
        <f>IF(N1926="","",'Master Barang'!B20)</f>
        <v>neo health masker biru 3 play 50 pcs</v>
      </c>
      <c r="P1926">
        <f>IF(OR(M1926="",N1926=""),"",SUMIFS('Barang Keluar'!$E:$E,'Barang Keluar'!$A:$A,M1926,'Barang Keluar'!$C:$C,N1926))</f>
        <v>0</v>
      </c>
    </row>
    <row r="1927" spans="13:16">
      <c r="M1927" s="49">
        <f>IF($A$4+19&gt;$B$4,"",$A$4+19)</f>
        <v>46042</v>
      </c>
      <c r="N1927" t="str">
        <f>IF(M1927="","",'Master Barang'!A21)</f>
        <v>PRL-020</v>
      </c>
      <c r="O1927" t="str">
        <f>IF(N1927="","",'Master Barang'!B21)</f>
        <v>baymed masker hijau 3 play hijau 50 pcs</v>
      </c>
      <c r="P1927">
        <f>IF(OR(M1927="",N1927=""),"",SUMIFS('Barang Keluar'!$E:$E,'Barang Keluar'!$A:$A,M1927,'Barang Keluar'!$C:$C,N1927))</f>
        <v>0</v>
      </c>
    </row>
    <row r="1928" spans="13:16">
      <c r="M1928" s="49">
        <f>IF($A$4+19&gt;$B$4,"",$A$4+19)</f>
        <v>46042</v>
      </c>
      <c r="N1928" t="str">
        <f>IF(M1928="","",'Master Barang'!A22)</f>
        <v>PRL-021</v>
      </c>
      <c r="O1928" t="str">
        <f>IF(N1928="","",'Master Barang'!B22)</f>
        <v>altamed nurse cap penutup kepala 100 pcs</v>
      </c>
      <c r="P1928">
        <f>IF(OR(M1928="",N1928=""),"",SUMIFS('Barang Keluar'!$E:$E,'Barang Keluar'!$A:$A,M1928,'Barang Keluar'!$C:$C,N1928))</f>
        <v>0</v>
      </c>
    </row>
    <row r="1929" spans="13:16">
      <c r="M1929" s="49">
        <f>IF($A$4+19&gt;$B$4,"",$A$4+19)</f>
        <v>46042</v>
      </c>
      <c r="N1929" t="str">
        <f>IF(M1929="","",'Master Barang'!A23)</f>
        <v>PRL-022</v>
      </c>
      <c r="O1929" t="str">
        <f>IF(N1929="","",'Master Barang'!B23)</f>
        <v>sabun cuci tangan</v>
      </c>
      <c r="P1929">
        <f>IF(OR(M1929="",N1929=""),"",SUMIFS('Barang Keluar'!$E:$E,'Barang Keluar'!$A:$A,M1929,'Barang Keluar'!$C:$C,N1929))</f>
        <v>0</v>
      </c>
    </row>
    <row r="1930" spans="13:16">
      <c r="M1930" s="49">
        <f>IF($A$4+19&gt;$B$4,"",$A$4+19)</f>
        <v>46042</v>
      </c>
      <c r="N1930" t="str">
        <f>IF(M1930="","",'Master Barang'!A24)</f>
        <v>PRL-023</v>
      </c>
      <c r="O1930" t="str">
        <f>IF(N1930="","",'Master Barang'!B24)</f>
        <v>gayung kecil</v>
      </c>
      <c r="P1930">
        <f>IF(OR(M1930="",N1930=""),"",SUMIFS('Barang Keluar'!$E:$E,'Barang Keluar'!$A:$A,M1930,'Barang Keluar'!$C:$C,N1930))</f>
        <v>0</v>
      </c>
    </row>
    <row r="1931" spans="13:16">
      <c r="M1931" s="49">
        <f>IF($A$4+19&gt;$B$4,"",$A$4+19)</f>
        <v>46042</v>
      </c>
      <c r="N1931" t="str">
        <f>IF(M1931="","",'Master Barang'!A25)</f>
        <v>PRL-024</v>
      </c>
      <c r="O1931" t="str">
        <f>IF(N1931="","",'Master Barang'!B25)</f>
        <v>cikrak kecil</v>
      </c>
      <c r="P1931">
        <f>IF(OR(M1931="",N1931=""),"",SUMIFS('Barang Keluar'!$E:$E,'Barang Keluar'!$A:$A,M1931,'Barang Keluar'!$C:$C,N1931))</f>
        <v>0</v>
      </c>
    </row>
    <row r="1932" spans="13:16">
      <c r="M1932" s="49">
        <f>IF($A$4+19&gt;$B$4,"",$A$4+19)</f>
        <v>46042</v>
      </c>
      <c r="N1932" t="str">
        <f>IF(M1932="","",'Master Barang'!A26)</f>
        <v>PRL-025</v>
      </c>
      <c r="O1932" t="str">
        <f>IF(N1932="","",'Master Barang'!B26)</f>
        <v>petromax plastik kecil 12x24 100 lembar</v>
      </c>
      <c r="P1932">
        <f>IF(OR(M1932="",N1932=""),"",SUMIFS('Barang Keluar'!$E:$E,'Barang Keluar'!$A:$A,M1932,'Barang Keluar'!$C:$C,N1932))</f>
        <v>0</v>
      </c>
    </row>
    <row r="1933" spans="13:16">
      <c r="M1933" s="49">
        <f>IF($A$4+19&gt;$B$4,"",$A$4+19)</f>
        <v>46042</v>
      </c>
      <c r="N1933" t="str">
        <f>IF(M1933="","",'Master Barang'!A27)</f>
        <v>PRL-026</v>
      </c>
      <c r="O1933" t="str">
        <f>IF(N1933="","",'Master Barang'!B27)</f>
        <v>lancar kresek kecil bening </v>
      </c>
      <c r="P1933">
        <f>IF(OR(M1933="",N1933=""),"",SUMIFS('Barang Keluar'!$E:$E,'Barang Keluar'!$A:$A,M1933,'Barang Keluar'!$C:$C,N1933))</f>
        <v>0</v>
      </c>
    </row>
    <row r="1934" spans="13:16">
      <c r="M1934" s="49">
        <f>IF($A$4+19&gt;$B$4,"",$A$4+19)</f>
        <v>46042</v>
      </c>
      <c r="N1934" t="str">
        <f>IF(M1934="","",'Master Barang'!A28)</f>
        <v>PRL-027</v>
      </c>
      <c r="O1934" t="str">
        <f>IF(N1934="","",'Master Barang'!B28)</f>
        <v>kresek klin warna warni kecil</v>
      </c>
      <c r="P1934">
        <f>IF(OR(M1934="",N1934=""),"",SUMIFS('Barang Keluar'!$E:$E,'Barang Keluar'!$A:$A,M1934,'Barang Keluar'!$C:$C,N1934))</f>
        <v>0</v>
      </c>
    </row>
    <row r="1935" spans="13:16">
      <c r="M1935" s="49">
        <f>IF($A$4+19&gt;$B$4,"",$A$4+19)</f>
        <v>46042</v>
      </c>
      <c r="N1935" t="str">
        <f>IF(M1935="","",'Master Barang'!A29)</f>
        <v>PRL-028</v>
      </c>
      <c r="O1935" t="str">
        <f>IF(N1935="","",'Master Barang'!B29)</f>
        <v>ctik plastik 7x10 100 pcs</v>
      </c>
      <c r="P1935">
        <f>IF(OR(M1935="",N1935=""),"",SUMIFS('Barang Keluar'!$E:$E,'Barang Keluar'!$A:$A,M1935,'Barang Keluar'!$C:$C,N1935))</f>
        <v>0</v>
      </c>
    </row>
    <row r="1936" spans="13:16">
      <c r="M1936" s="49">
        <f>IF($A$4+19&gt;$B$4,"",$A$4+19)</f>
        <v>46042</v>
      </c>
      <c r="N1936" t="str">
        <f>IF(M1936="","",'Master Barang'!A30)</f>
        <v>PRL-029</v>
      </c>
      <c r="O1936" t="str">
        <f>IF(N1936="","",'Master Barang'!B30)</f>
        <v>ctik plastik 6x10 100 pcs</v>
      </c>
      <c r="P1936">
        <f>IF(OR(M1936="",N1936=""),"",SUMIFS('Barang Keluar'!$E:$E,'Barang Keluar'!$A:$A,M1936,'Barang Keluar'!$C:$C,N1936))</f>
        <v>0</v>
      </c>
    </row>
    <row r="1937" spans="13:16">
      <c r="M1937" s="49">
        <f>IF($A$4+19&gt;$B$4,"",$A$4+19)</f>
        <v>46042</v>
      </c>
      <c r="N1937" t="str">
        <f>IF(M1937="","",'Master Barang'!A31)</f>
        <v>PRL-030</v>
      </c>
      <c r="O1937" t="str">
        <f>IF(N1937="","",'Master Barang'!B31)</f>
        <v>klip plastik 25x16 100 pcs</v>
      </c>
      <c r="P1937">
        <f>IF(OR(M1937="",N1937=""),"",SUMIFS('Barang Keluar'!$E:$E,'Barang Keluar'!$A:$A,M1937,'Barang Keluar'!$C:$C,N1937))</f>
        <v>0</v>
      </c>
    </row>
    <row r="1938" spans="13:16">
      <c r="M1938" s="49">
        <f>IF($A$4+19&gt;$B$4,"",$A$4+19)</f>
        <v>46042</v>
      </c>
      <c r="N1938" t="str">
        <f>IF(M1938="","",'Master Barang'!A32)</f>
        <v>PRL-031</v>
      </c>
      <c r="O1938" t="str">
        <f>IF(N1938="","",'Master Barang'!B32)</f>
        <v>tempat saus 20 ml</v>
      </c>
      <c r="P1938">
        <f>IF(OR(M1938="",N1938=""),"",SUMIFS('Barang Keluar'!$E:$E,'Barang Keluar'!$A:$A,M1938,'Barang Keluar'!$C:$C,N1938))</f>
        <v>0</v>
      </c>
    </row>
    <row r="1939" spans="13:16">
      <c r="M1939" s="49">
        <f>IF($A$4+19&gt;$B$4,"",$A$4+19)</f>
        <v>46042</v>
      </c>
      <c r="N1939" t="str">
        <f>IF(M1939="","",'Master Barang'!A33)</f>
        <v>PRL-032</v>
      </c>
      <c r="O1939" t="str">
        <f>IF(N1939="","",'Master Barang'!B33)</f>
        <v>plastik packaging ag box uk sedang</v>
      </c>
      <c r="P1939">
        <f>IF(OR(M1939="",N1939=""),"",SUMIFS('Barang Keluar'!$E:$E,'Barang Keluar'!$A:$A,M1939,'Barang Keluar'!$C:$C,N1939))</f>
        <v>0</v>
      </c>
    </row>
    <row r="1940" spans="13:16">
      <c r="M1940" s="49">
        <f>IF($A$4+19&gt;$B$4,"",$A$4+19)</f>
        <v>46042</v>
      </c>
      <c r="N1940" t="str">
        <f>IF(M1940="","",'Master Barang'!A34)</f>
        <v>PRL-033</v>
      </c>
      <c r="O1940">
        <f>IF(N1940="","",'Master Barang'!B34)</f>
        <v>0</v>
      </c>
      <c r="P1940">
        <f>IF(OR(M1940="",N1940=""),"",SUMIFS('Barang Keluar'!$E:$E,'Barang Keluar'!$A:$A,M1940,'Barang Keluar'!$C:$C,N1940))</f>
        <v>0</v>
      </c>
    </row>
    <row r="1941" spans="13:16">
      <c r="M1941" s="49">
        <f>IF($A$4+19&gt;$B$4,"",$A$4+19)</f>
        <v>46042</v>
      </c>
      <c r="N1941">
        <f>IF(M1941="","",'Master Barang'!A35)</f>
        <v>0</v>
      </c>
      <c r="O1941">
        <f>IF(N1941="","",'Master Barang'!B35)</f>
        <v>0</v>
      </c>
      <c r="P1941">
        <f>IF(OR(M1941="",N1941=""),"",SUMIFS('Barang Keluar'!$E:$E,'Barang Keluar'!$A:$A,M1941,'Barang Keluar'!$C:$C,N1941))</f>
        <v>0</v>
      </c>
    </row>
    <row r="1942" spans="13:16">
      <c r="M1942" s="49">
        <f>IF($A$4+19&gt;$B$4,"",$A$4+19)</f>
        <v>46042</v>
      </c>
      <c r="N1942">
        <f>IF(M1942="","",'Master Barang'!A36)</f>
        <v>0</v>
      </c>
      <c r="O1942">
        <f>IF(N1942="","",'Master Barang'!B36)</f>
        <v>0</v>
      </c>
      <c r="P1942">
        <f>IF(OR(M1942="",N1942=""),"",SUMIFS('Barang Keluar'!$E:$E,'Barang Keluar'!$A:$A,M1942,'Barang Keluar'!$C:$C,N1942))</f>
        <v>0</v>
      </c>
    </row>
    <row r="1943" spans="13:16">
      <c r="M1943" s="49">
        <f>IF($A$4+19&gt;$B$4,"",$A$4+19)</f>
        <v>46042</v>
      </c>
      <c r="N1943">
        <f>IF(M1943="","",'Master Barang'!A37)</f>
        <v>0</v>
      </c>
      <c r="O1943">
        <f>IF(N1943="","",'Master Barang'!B37)</f>
        <v>0</v>
      </c>
      <c r="P1943">
        <f>IF(OR(M1943="",N1943=""),"",SUMIFS('Barang Keluar'!$E:$E,'Barang Keluar'!$A:$A,M1943,'Barang Keluar'!$C:$C,N1943))</f>
        <v>0</v>
      </c>
    </row>
    <row r="1944" spans="13:16">
      <c r="M1944" s="49">
        <f>IF($A$4+19&gt;$B$4,"",$A$4+19)</f>
        <v>46042</v>
      </c>
      <c r="N1944">
        <f>IF(M1944="","",'Master Barang'!A38)</f>
        <v>0</v>
      </c>
      <c r="O1944">
        <f>IF(N1944="","",'Master Barang'!B38)</f>
        <v>0</v>
      </c>
      <c r="P1944">
        <f>IF(OR(M1944="",N1944=""),"",SUMIFS('Barang Keluar'!$E:$E,'Barang Keluar'!$A:$A,M1944,'Barang Keluar'!$C:$C,N1944))</f>
        <v>0</v>
      </c>
    </row>
    <row r="1945" spans="13:16">
      <c r="M1945" s="49">
        <f>IF($A$4+19&gt;$B$4,"",$A$4+19)</f>
        <v>46042</v>
      </c>
      <c r="N1945">
        <f>IF(M1945="","",'Master Barang'!A39)</f>
        <v>0</v>
      </c>
      <c r="O1945">
        <f>IF(N1945="","",'Master Barang'!B39)</f>
        <v>0</v>
      </c>
      <c r="P1945">
        <f>IF(OR(M1945="",N1945=""),"",SUMIFS('Barang Keluar'!$E:$E,'Barang Keluar'!$A:$A,M1945,'Barang Keluar'!$C:$C,N1945))</f>
        <v>0</v>
      </c>
    </row>
    <row r="1946" spans="13:16">
      <c r="M1946" s="49">
        <f>IF($A$4+19&gt;$B$4,"",$A$4+19)</f>
        <v>46042</v>
      </c>
      <c r="N1946">
        <f>IF(M1946="","",'Master Barang'!A40)</f>
        <v>0</v>
      </c>
      <c r="O1946">
        <f>IF(N1946="","",'Master Barang'!B40)</f>
        <v>0</v>
      </c>
      <c r="P1946">
        <f>IF(OR(M1946="",N1946=""),"",SUMIFS('Barang Keluar'!$E:$E,'Barang Keluar'!$A:$A,M1946,'Barang Keluar'!$C:$C,N1946))</f>
        <v>0</v>
      </c>
    </row>
    <row r="1947" spans="13:16">
      <c r="M1947" s="49">
        <f>IF($A$4+19&gt;$B$4,"",$A$4+19)</f>
        <v>46042</v>
      </c>
      <c r="N1947">
        <f>IF(M1947="","",'Master Barang'!A41)</f>
        <v>0</v>
      </c>
      <c r="O1947">
        <f>IF(N1947="","",'Master Barang'!B41)</f>
        <v>0</v>
      </c>
      <c r="P1947">
        <f>IF(OR(M1947="",N1947=""),"",SUMIFS('Barang Keluar'!$E:$E,'Barang Keluar'!$A:$A,M1947,'Barang Keluar'!$C:$C,N1947))</f>
        <v>0</v>
      </c>
    </row>
    <row r="1948" spans="13:16">
      <c r="M1948" s="49">
        <f>IF($A$4+19&gt;$B$4,"",$A$4+19)</f>
        <v>46042</v>
      </c>
      <c r="N1948">
        <f>IF(M1948="","",'Master Barang'!A42)</f>
        <v>0</v>
      </c>
      <c r="O1948">
        <f>IF(N1948="","",'Master Barang'!B42)</f>
        <v>0</v>
      </c>
      <c r="P1948">
        <f>IF(OR(M1948="",N1948=""),"",SUMIFS('Barang Keluar'!$E:$E,'Barang Keluar'!$A:$A,M1948,'Barang Keluar'!$C:$C,N1948))</f>
        <v>0</v>
      </c>
    </row>
    <row r="1949" spans="13:16">
      <c r="M1949" s="49">
        <f>IF($A$4+19&gt;$B$4,"",$A$4+19)</f>
        <v>46042</v>
      </c>
      <c r="N1949">
        <f>IF(M1949="","",'Master Barang'!A43)</f>
        <v>0</v>
      </c>
      <c r="O1949">
        <f>IF(N1949="","",'Master Barang'!B43)</f>
        <v>0</v>
      </c>
      <c r="P1949">
        <f>IF(OR(M1949="",N1949=""),"",SUMIFS('Barang Keluar'!$E:$E,'Barang Keluar'!$A:$A,M1949,'Barang Keluar'!$C:$C,N1949))</f>
        <v>0</v>
      </c>
    </row>
    <row r="1950" spans="13:16">
      <c r="M1950" s="49">
        <f>IF($A$4+19&gt;$B$4,"",$A$4+19)</f>
        <v>46042</v>
      </c>
      <c r="N1950">
        <f>IF(M1950="","",'Master Barang'!A44)</f>
        <v>0</v>
      </c>
      <c r="O1950">
        <f>IF(N1950="","",'Master Barang'!B44)</f>
        <v>0</v>
      </c>
      <c r="P1950">
        <f>IF(OR(M1950="",N1950=""),"",SUMIFS('Barang Keluar'!$E:$E,'Barang Keluar'!$A:$A,M1950,'Barang Keluar'!$C:$C,N1950))</f>
        <v>0</v>
      </c>
    </row>
    <row r="1951" spans="13:16">
      <c r="M1951" s="49">
        <f>IF($A$4+19&gt;$B$4,"",$A$4+19)</f>
        <v>46042</v>
      </c>
      <c r="N1951">
        <f>IF(M1951="","",'Master Barang'!A45)</f>
        <v>0</v>
      </c>
      <c r="O1951">
        <f>IF(N1951="","",'Master Barang'!B45)</f>
        <v>0</v>
      </c>
      <c r="P1951">
        <f>IF(OR(M1951="",N1951=""),"",SUMIFS('Barang Keluar'!$E:$E,'Barang Keluar'!$A:$A,M1951,'Barang Keluar'!$C:$C,N1951))</f>
        <v>0</v>
      </c>
    </row>
    <row r="1952" spans="13:16">
      <c r="M1952" s="49">
        <f>IF($A$4+19&gt;$B$4,"",$A$4+19)</f>
        <v>46042</v>
      </c>
      <c r="N1952">
        <f>IF(M1952="","",'Master Barang'!A46)</f>
        <v>0</v>
      </c>
      <c r="O1952">
        <f>IF(N1952="","",'Master Barang'!B46)</f>
        <v>0</v>
      </c>
      <c r="P1952">
        <f>IF(OR(M1952="",N1952=""),"",SUMIFS('Barang Keluar'!$E:$E,'Barang Keluar'!$A:$A,M1952,'Barang Keluar'!$C:$C,N1952))</f>
        <v>0</v>
      </c>
    </row>
    <row r="1953" spans="13:16">
      <c r="M1953" s="49">
        <f>IF($A$4+19&gt;$B$4,"",$A$4+19)</f>
        <v>46042</v>
      </c>
      <c r="N1953">
        <f>IF(M1953="","",'Master Barang'!A47)</f>
        <v>0</v>
      </c>
      <c r="O1953">
        <f>IF(N1953="","",'Master Barang'!B47)</f>
        <v>0</v>
      </c>
      <c r="P1953">
        <f>IF(OR(M1953="",N1953=""),"",SUMIFS('Barang Keluar'!$E:$E,'Barang Keluar'!$A:$A,M1953,'Barang Keluar'!$C:$C,N1953))</f>
        <v>0</v>
      </c>
    </row>
    <row r="1954" spans="13:16">
      <c r="M1954" s="49">
        <f>IF($A$4+19&gt;$B$4,"",$A$4+19)</f>
        <v>46042</v>
      </c>
      <c r="N1954">
        <f>IF(M1954="","",'Master Barang'!A48)</f>
        <v>0</v>
      </c>
      <c r="O1954">
        <f>IF(N1954="","",'Master Barang'!B48)</f>
        <v>0</v>
      </c>
      <c r="P1954">
        <f>IF(OR(M1954="",N1954=""),"",SUMIFS('Barang Keluar'!$E:$E,'Barang Keluar'!$A:$A,M1954,'Barang Keluar'!$C:$C,N1954))</f>
        <v>0</v>
      </c>
    </row>
    <row r="1955" spans="13:16">
      <c r="M1955" s="49">
        <f>IF($A$4+19&gt;$B$4,"",$A$4+19)</f>
        <v>46042</v>
      </c>
      <c r="N1955">
        <f>IF(M1955="","",'Master Barang'!A49)</f>
        <v>0</v>
      </c>
      <c r="O1955">
        <f>IF(N1955="","",'Master Barang'!B49)</f>
        <v>0</v>
      </c>
      <c r="P1955">
        <f>IF(OR(M1955="",N1955=""),"",SUMIFS('Barang Keluar'!$E:$E,'Barang Keluar'!$A:$A,M1955,'Barang Keluar'!$C:$C,N1955))</f>
        <v>0</v>
      </c>
    </row>
    <row r="1956" spans="13:16">
      <c r="M1956" s="49">
        <f>IF($A$4+19&gt;$B$4,"",$A$4+19)</f>
        <v>46042</v>
      </c>
      <c r="N1956">
        <f>IF(M1956="","",'Master Barang'!A50)</f>
        <v>0</v>
      </c>
      <c r="O1956">
        <f>IF(N1956="","",'Master Barang'!B50)</f>
        <v>0</v>
      </c>
      <c r="P1956">
        <f>IF(OR(M1956="",N1956=""),"",SUMIFS('Barang Keluar'!$E:$E,'Barang Keluar'!$A:$A,M1956,'Barang Keluar'!$C:$C,N1956))</f>
        <v>0</v>
      </c>
    </row>
    <row r="1957" spans="13:16">
      <c r="M1957" s="49">
        <f>IF($A$4+19&gt;$B$4,"",$A$4+19)</f>
        <v>46042</v>
      </c>
      <c r="N1957">
        <f>IF(M1957="","",'Master Barang'!A51)</f>
        <v>0</v>
      </c>
      <c r="O1957">
        <f>IF(N1957="","",'Master Barang'!B51)</f>
        <v>0</v>
      </c>
      <c r="P1957">
        <f>IF(OR(M1957="",N1957=""),"",SUMIFS('Barang Keluar'!$E:$E,'Barang Keluar'!$A:$A,M1957,'Barang Keluar'!$C:$C,N1957))</f>
        <v>0</v>
      </c>
    </row>
    <row r="1958" spans="13:16">
      <c r="M1958" s="49">
        <f>IF($A$4+19&gt;$B$4,"",$A$4+19)</f>
        <v>46042</v>
      </c>
      <c r="N1958">
        <f>IF(M1958="","",'Master Barang'!A52)</f>
        <v>0</v>
      </c>
      <c r="O1958">
        <f>IF(N1958="","",'Master Barang'!B52)</f>
        <v>0</v>
      </c>
      <c r="P1958">
        <f>IF(OR(M1958="",N1958=""),"",SUMIFS('Barang Keluar'!$E:$E,'Barang Keluar'!$A:$A,M1958,'Barang Keluar'!$C:$C,N1958))</f>
        <v>0</v>
      </c>
    </row>
    <row r="1959" spans="13:16">
      <c r="M1959" s="49">
        <f>IF($A$4+19&gt;$B$4,"",$A$4+19)</f>
        <v>46042</v>
      </c>
      <c r="N1959">
        <f>IF(M1959="","",'Master Barang'!A53)</f>
        <v>0</v>
      </c>
      <c r="O1959">
        <f>IF(N1959="","",'Master Barang'!B53)</f>
        <v>0</v>
      </c>
      <c r="P1959">
        <f>IF(OR(M1959="",N1959=""),"",SUMIFS('Barang Keluar'!$E:$E,'Barang Keluar'!$A:$A,M1959,'Barang Keluar'!$C:$C,N1959))</f>
        <v>0</v>
      </c>
    </row>
    <row r="1960" spans="13:16">
      <c r="M1960" s="49">
        <f>IF($A$4+19&gt;$B$4,"",$A$4+19)</f>
        <v>46042</v>
      </c>
      <c r="N1960">
        <f>IF(M1960="","",'Master Barang'!A54)</f>
        <v>0</v>
      </c>
      <c r="O1960">
        <f>IF(N1960="","",'Master Barang'!B54)</f>
        <v>0</v>
      </c>
      <c r="P1960">
        <f>IF(OR(M1960="",N1960=""),"",SUMIFS('Barang Keluar'!$E:$E,'Barang Keluar'!$A:$A,M1960,'Barang Keluar'!$C:$C,N1960))</f>
        <v>0</v>
      </c>
    </row>
    <row r="1961" spans="13:16">
      <c r="M1961" s="49">
        <f>IF($A$4+19&gt;$B$4,"",$A$4+19)</f>
        <v>46042</v>
      </c>
      <c r="N1961">
        <f>IF(M1961="","",'Master Barang'!A55)</f>
        <v>0</v>
      </c>
      <c r="O1961">
        <f>IF(N1961="","",'Master Barang'!B55)</f>
        <v>0</v>
      </c>
      <c r="P1961">
        <f>IF(OR(M1961="",N1961=""),"",SUMIFS('Barang Keluar'!$E:$E,'Barang Keluar'!$A:$A,M1961,'Barang Keluar'!$C:$C,N1961))</f>
        <v>0</v>
      </c>
    </row>
    <row r="1962" spans="13:16">
      <c r="M1962" s="49">
        <f>IF($A$4+19&gt;$B$4,"",$A$4+19)</f>
        <v>46042</v>
      </c>
      <c r="N1962">
        <f>IF(M1962="","",'Master Barang'!A56)</f>
        <v>0</v>
      </c>
      <c r="O1962">
        <f>IF(N1962="","",'Master Barang'!B56)</f>
        <v>0</v>
      </c>
      <c r="P1962">
        <f>IF(OR(M1962="",N1962=""),"",SUMIFS('Barang Keluar'!$E:$E,'Barang Keluar'!$A:$A,M1962,'Barang Keluar'!$C:$C,N1962))</f>
        <v>0</v>
      </c>
    </row>
    <row r="1963" spans="13:16">
      <c r="M1963" s="49">
        <f>IF($A$4+19&gt;$B$4,"",$A$4+19)</f>
        <v>46042</v>
      </c>
      <c r="N1963">
        <f>IF(M1963="","",'Master Barang'!A57)</f>
        <v>0</v>
      </c>
      <c r="O1963">
        <f>IF(N1963="","",'Master Barang'!B57)</f>
        <v>0</v>
      </c>
      <c r="P1963">
        <f>IF(OR(M1963="",N1963=""),"",SUMIFS('Barang Keluar'!$E:$E,'Barang Keluar'!$A:$A,M1963,'Barang Keluar'!$C:$C,N1963))</f>
        <v>0</v>
      </c>
    </row>
    <row r="1964" spans="13:16">
      <c r="M1964" s="49">
        <f>IF($A$4+19&gt;$B$4,"",$A$4+19)</f>
        <v>46042</v>
      </c>
      <c r="N1964">
        <f>IF(M1964="","",'Master Barang'!A58)</f>
        <v>0</v>
      </c>
      <c r="O1964">
        <f>IF(N1964="","",'Master Barang'!B58)</f>
        <v>0</v>
      </c>
      <c r="P1964">
        <f>IF(OR(M1964="",N1964=""),"",SUMIFS('Barang Keluar'!$E:$E,'Barang Keluar'!$A:$A,M1964,'Barang Keluar'!$C:$C,N1964))</f>
        <v>0</v>
      </c>
    </row>
    <row r="1965" spans="13:16">
      <c r="M1965" s="49">
        <f>IF($A$4+19&gt;$B$4,"",$A$4+19)</f>
        <v>46042</v>
      </c>
      <c r="N1965">
        <f>IF(M1965="","",'Master Barang'!A59)</f>
        <v>0</v>
      </c>
      <c r="O1965">
        <f>IF(N1965="","",'Master Barang'!B59)</f>
        <v>0</v>
      </c>
      <c r="P1965">
        <f>IF(OR(M1965="",N1965=""),"",SUMIFS('Barang Keluar'!$E:$E,'Barang Keluar'!$A:$A,M1965,'Barang Keluar'!$C:$C,N1965))</f>
        <v>0</v>
      </c>
    </row>
    <row r="1966" spans="13:16">
      <c r="M1966" s="49">
        <f>IF($A$4+19&gt;$B$4,"",$A$4+19)</f>
        <v>46042</v>
      </c>
      <c r="N1966">
        <f>IF(M1966="","",'Master Barang'!A60)</f>
        <v>0</v>
      </c>
      <c r="O1966">
        <f>IF(N1966="","",'Master Barang'!B60)</f>
        <v>0</v>
      </c>
      <c r="P1966">
        <f>IF(OR(M1966="",N1966=""),"",SUMIFS('Barang Keluar'!$E:$E,'Barang Keluar'!$A:$A,M1966,'Barang Keluar'!$C:$C,N1966))</f>
        <v>0</v>
      </c>
    </row>
    <row r="1967" spans="13:16">
      <c r="M1967" s="49">
        <f>IF($A$4+19&gt;$B$4,"",$A$4+19)</f>
        <v>46042</v>
      </c>
      <c r="N1967">
        <f>IF(M1967="","",'Master Barang'!A61)</f>
        <v>0</v>
      </c>
      <c r="O1967">
        <f>IF(N1967="","",'Master Barang'!B61)</f>
        <v>0</v>
      </c>
      <c r="P1967">
        <f>IF(OR(M1967="",N1967=""),"",SUMIFS('Barang Keluar'!$E:$E,'Barang Keluar'!$A:$A,M1967,'Barang Keluar'!$C:$C,N1967))</f>
        <v>0</v>
      </c>
    </row>
    <row r="1968" spans="13:16">
      <c r="M1968" s="49">
        <f>IF($A$4+19&gt;$B$4,"",$A$4+19)</f>
        <v>46042</v>
      </c>
      <c r="N1968">
        <f>IF(M1968="","",'Master Barang'!A62)</f>
        <v>0</v>
      </c>
      <c r="O1968">
        <f>IF(N1968="","",'Master Barang'!B62)</f>
        <v>0</v>
      </c>
      <c r="P1968">
        <f>IF(OR(M1968="",N1968=""),"",SUMIFS('Barang Keluar'!$E:$E,'Barang Keluar'!$A:$A,M1968,'Barang Keluar'!$C:$C,N1968))</f>
        <v>0</v>
      </c>
    </row>
    <row r="1969" spans="13:16">
      <c r="M1969" s="49">
        <f>IF($A$4+19&gt;$B$4,"",$A$4+19)</f>
        <v>46042</v>
      </c>
      <c r="N1969">
        <f>IF(M1969="","",'Master Barang'!A63)</f>
        <v>0</v>
      </c>
      <c r="O1969">
        <f>IF(N1969="","",'Master Barang'!B63)</f>
        <v>0</v>
      </c>
      <c r="P1969">
        <f>IF(OR(M1969="",N1969=""),"",SUMIFS('Barang Keluar'!$E:$E,'Barang Keluar'!$A:$A,M1969,'Barang Keluar'!$C:$C,N1969))</f>
        <v>0</v>
      </c>
    </row>
    <row r="1970" spans="13:16">
      <c r="M1970" s="49">
        <f>IF($A$4+19&gt;$B$4,"",$A$4+19)</f>
        <v>46042</v>
      </c>
      <c r="N1970">
        <f>IF(M1970="","",'Master Barang'!A64)</f>
        <v>0</v>
      </c>
      <c r="O1970">
        <f>IF(N1970="","",'Master Barang'!B64)</f>
        <v>0</v>
      </c>
      <c r="P1970">
        <f>IF(OR(M1970="",N1970=""),"",SUMIFS('Barang Keluar'!$E:$E,'Barang Keluar'!$A:$A,M1970,'Barang Keluar'!$C:$C,N1970))</f>
        <v>0</v>
      </c>
    </row>
    <row r="1971" spans="13:16">
      <c r="M1971" s="49">
        <f>IF($A$4+19&gt;$B$4,"",$A$4+19)</f>
        <v>46042</v>
      </c>
      <c r="N1971">
        <f>IF(M1971="","",'Master Barang'!A65)</f>
        <v>0</v>
      </c>
      <c r="O1971">
        <f>IF(N1971="","",'Master Barang'!B65)</f>
        <v>0</v>
      </c>
      <c r="P1971">
        <f>IF(OR(M1971="",N1971=""),"",SUMIFS('Barang Keluar'!$E:$E,'Barang Keluar'!$A:$A,M1971,'Barang Keluar'!$C:$C,N1971))</f>
        <v>0</v>
      </c>
    </row>
    <row r="1972" spans="13:16">
      <c r="M1972" s="49">
        <f>IF($A$4+19&gt;$B$4,"",$A$4+19)</f>
        <v>46042</v>
      </c>
      <c r="N1972">
        <f>IF(M1972="","",'Master Barang'!A66)</f>
        <v>0</v>
      </c>
      <c r="O1972">
        <f>IF(N1972="","",'Master Barang'!B66)</f>
        <v>0</v>
      </c>
      <c r="P1972">
        <f>IF(OR(M1972="",N1972=""),"",SUMIFS('Barang Keluar'!$E:$E,'Barang Keluar'!$A:$A,M1972,'Barang Keluar'!$C:$C,N1972))</f>
        <v>0</v>
      </c>
    </row>
    <row r="1973" spans="13:16">
      <c r="M1973" s="49">
        <f>IF($A$4+19&gt;$B$4,"",$A$4+19)</f>
        <v>46042</v>
      </c>
      <c r="N1973">
        <f>IF(M1973="","",'Master Barang'!A67)</f>
        <v>0</v>
      </c>
      <c r="O1973">
        <f>IF(N1973="","",'Master Barang'!B67)</f>
        <v>0</v>
      </c>
      <c r="P1973">
        <f>IF(OR(M1973="",N1973=""),"",SUMIFS('Barang Keluar'!$E:$E,'Barang Keluar'!$A:$A,M1973,'Barang Keluar'!$C:$C,N1973))</f>
        <v>0</v>
      </c>
    </row>
    <row r="1974" spans="13:16">
      <c r="M1974" s="49">
        <f>IF($A$4+19&gt;$B$4,"",$A$4+19)</f>
        <v>46042</v>
      </c>
      <c r="N1974">
        <f>IF(M1974="","",'Master Barang'!A68)</f>
        <v>0</v>
      </c>
      <c r="O1974">
        <f>IF(N1974="","",'Master Barang'!B68)</f>
        <v>0</v>
      </c>
      <c r="P1974">
        <f>IF(OR(M1974="",N1974=""),"",SUMIFS('Barang Keluar'!$E:$E,'Barang Keluar'!$A:$A,M1974,'Barang Keluar'!$C:$C,N1974))</f>
        <v>0</v>
      </c>
    </row>
    <row r="1975" spans="13:16">
      <c r="M1975" s="49">
        <f>IF($A$4+19&gt;$B$4,"",$A$4+19)</f>
        <v>46042</v>
      </c>
      <c r="N1975">
        <f>IF(M1975="","",'Master Barang'!A69)</f>
        <v>0</v>
      </c>
      <c r="O1975">
        <f>IF(N1975="","",'Master Barang'!B69)</f>
        <v>0</v>
      </c>
      <c r="P1975">
        <f>IF(OR(M1975="",N1975=""),"",SUMIFS('Barang Keluar'!$E:$E,'Barang Keluar'!$A:$A,M1975,'Barang Keluar'!$C:$C,N1975))</f>
        <v>0</v>
      </c>
    </row>
    <row r="1976" spans="13:16">
      <c r="M1976" s="49">
        <f>IF($A$4+19&gt;$B$4,"",$A$4+19)</f>
        <v>46042</v>
      </c>
      <c r="N1976">
        <f>IF(M1976="","",'Master Barang'!A70)</f>
        <v>0</v>
      </c>
      <c r="O1976">
        <f>IF(N1976="","",'Master Barang'!B70)</f>
        <v>0</v>
      </c>
      <c r="P1976">
        <f>IF(OR(M1976="",N1976=""),"",SUMIFS('Barang Keluar'!$E:$E,'Barang Keluar'!$A:$A,M1976,'Barang Keluar'!$C:$C,N1976))</f>
        <v>0</v>
      </c>
    </row>
    <row r="1977" spans="13:16">
      <c r="M1977" s="49">
        <f>IF($A$4+19&gt;$B$4,"",$A$4+19)</f>
        <v>46042</v>
      </c>
      <c r="N1977">
        <f>IF(M1977="","",'Master Barang'!A71)</f>
        <v>0</v>
      </c>
      <c r="O1977">
        <f>IF(N1977="","",'Master Barang'!B71)</f>
        <v>0</v>
      </c>
      <c r="P1977">
        <f>IF(OR(M1977="",N1977=""),"",SUMIFS('Barang Keluar'!$E:$E,'Barang Keluar'!$A:$A,M1977,'Barang Keluar'!$C:$C,N1977))</f>
        <v>0</v>
      </c>
    </row>
    <row r="1978" spans="13:16">
      <c r="M1978" s="49">
        <f>IF($A$4+19&gt;$B$4,"",$A$4+19)</f>
        <v>46042</v>
      </c>
      <c r="N1978">
        <f>IF(M1978="","",'Master Barang'!A72)</f>
        <v>0</v>
      </c>
      <c r="O1978">
        <f>IF(N1978="","",'Master Barang'!B72)</f>
        <v>0</v>
      </c>
      <c r="P1978">
        <f>IF(OR(M1978="",N1978=""),"",SUMIFS('Barang Keluar'!$E:$E,'Barang Keluar'!$A:$A,M1978,'Barang Keluar'!$C:$C,N1978))</f>
        <v>0</v>
      </c>
    </row>
    <row r="1979" spans="13:16">
      <c r="M1979" s="49">
        <f>IF($A$4+19&gt;$B$4,"",$A$4+19)</f>
        <v>46042</v>
      </c>
      <c r="N1979">
        <f>IF(M1979="","",'Master Barang'!A73)</f>
        <v>0</v>
      </c>
      <c r="O1979">
        <f>IF(N1979="","",'Master Barang'!B73)</f>
        <v>0</v>
      </c>
      <c r="P1979">
        <f>IF(OR(M1979="",N1979=""),"",SUMIFS('Barang Keluar'!$E:$E,'Barang Keluar'!$A:$A,M1979,'Barang Keluar'!$C:$C,N1979))</f>
        <v>0</v>
      </c>
    </row>
    <row r="1980" spans="13:16">
      <c r="M1980" s="49">
        <f>IF($A$4+19&gt;$B$4,"",$A$4+19)</f>
        <v>46042</v>
      </c>
      <c r="N1980">
        <f>IF(M1980="","",'Master Barang'!A74)</f>
        <v>0</v>
      </c>
      <c r="O1980">
        <f>IF(N1980="","",'Master Barang'!B74)</f>
        <v>0</v>
      </c>
      <c r="P1980">
        <f>IF(OR(M1980="",N1980=""),"",SUMIFS('Barang Keluar'!$E:$E,'Barang Keluar'!$A:$A,M1980,'Barang Keluar'!$C:$C,N1980))</f>
        <v>0</v>
      </c>
    </row>
    <row r="1981" spans="13:16">
      <c r="M1981" s="49">
        <f>IF($A$4+19&gt;$B$4,"",$A$4+19)</f>
        <v>46042</v>
      </c>
      <c r="N1981">
        <f>IF(M1981="","",'Master Barang'!A75)</f>
        <v>0</v>
      </c>
      <c r="O1981">
        <f>IF(N1981="","",'Master Barang'!B75)</f>
        <v>0</v>
      </c>
      <c r="P1981">
        <f>IF(OR(M1981="",N1981=""),"",SUMIFS('Barang Keluar'!$E:$E,'Barang Keluar'!$A:$A,M1981,'Barang Keluar'!$C:$C,N1981))</f>
        <v>0</v>
      </c>
    </row>
    <row r="1982" spans="13:16">
      <c r="M1982" s="49">
        <f>IF($A$4+19&gt;$B$4,"",$A$4+19)</f>
        <v>46042</v>
      </c>
      <c r="N1982">
        <f>IF(M1982="","",'Master Barang'!A76)</f>
        <v>0</v>
      </c>
      <c r="O1982">
        <f>IF(N1982="","",'Master Barang'!B76)</f>
        <v>0</v>
      </c>
      <c r="P1982">
        <f>IF(OR(M1982="",N1982=""),"",SUMIFS('Barang Keluar'!$E:$E,'Barang Keluar'!$A:$A,M1982,'Barang Keluar'!$C:$C,N1982))</f>
        <v>0</v>
      </c>
    </row>
    <row r="1983" spans="13:16">
      <c r="M1983" s="49">
        <f>IF($A$4+19&gt;$B$4,"",$A$4+19)</f>
        <v>46042</v>
      </c>
      <c r="N1983">
        <f>IF(M1983="","",'Master Barang'!A77)</f>
        <v>0</v>
      </c>
      <c r="O1983">
        <f>IF(N1983="","",'Master Barang'!B77)</f>
        <v>0</v>
      </c>
      <c r="P1983">
        <f>IF(OR(M1983="",N1983=""),"",SUMIFS('Barang Keluar'!$E:$E,'Barang Keluar'!$A:$A,M1983,'Barang Keluar'!$C:$C,N1983))</f>
        <v>0</v>
      </c>
    </row>
    <row r="1984" spans="13:16">
      <c r="M1984" s="49">
        <f>IF($A$4+19&gt;$B$4,"",$A$4+19)</f>
        <v>46042</v>
      </c>
      <c r="N1984">
        <f>IF(M1984="","",'Master Barang'!A78)</f>
        <v>0</v>
      </c>
      <c r="O1984">
        <f>IF(N1984="","",'Master Barang'!B78)</f>
        <v>0</v>
      </c>
      <c r="P1984">
        <f>IF(OR(M1984="",N1984=""),"",SUMIFS('Barang Keluar'!$E:$E,'Barang Keluar'!$A:$A,M1984,'Barang Keluar'!$C:$C,N1984))</f>
        <v>0</v>
      </c>
    </row>
    <row r="1985" spans="13:16">
      <c r="M1985" s="49">
        <f>IF($A$4+19&gt;$B$4,"",$A$4+19)</f>
        <v>46042</v>
      </c>
      <c r="N1985">
        <f>IF(M1985="","",'Master Barang'!A79)</f>
        <v>0</v>
      </c>
      <c r="O1985">
        <f>IF(N1985="","",'Master Barang'!B79)</f>
        <v>0</v>
      </c>
      <c r="P1985">
        <f>IF(OR(M1985="",N1985=""),"",SUMIFS('Barang Keluar'!$E:$E,'Barang Keluar'!$A:$A,M1985,'Barang Keluar'!$C:$C,N1985))</f>
        <v>0</v>
      </c>
    </row>
    <row r="1986" spans="13:16">
      <c r="M1986" s="49">
        <f>IF($A$4+19&gt;$B$4,"",$A$4+19)</f>
        <v>46042</v>
      </c>
      <c r="N1986">
        <f>IF(M1986="","",'Master Barang'!A80)</f>
        <v>0</v>
      </c>
      <c r="O1986">
        <f>IF(N1986="","",'Master Barang'!B80)</f>
        <v>0</v>
      </c>
      <c r="P1986">
        <f>IF(OR(M1986="",N1986=""),"",SUMIFS('Barang Keluar'!$E:$E,'Barang Keluar'!$A:$A,M1986,'Barang Keluar'!$C:$C,N1986))</f>
        <v>0</v>
      </c>
    </row>
    <row r="1987" spans="13:16">
      <c r="M1987" s="49">
        <f>IF($A$4+19&gt;$B$4,"",$A$4+19)</f>
        <v>46042</v>
      </c>
      <c r="N1987">
        <f>IF(M1987="","",'Master Barang'!A81)</f>
        <v>0</v>
      </c>
      <c r="O1987">
        <f>IF(N1987="","",'Master Barang'!B81)</f>
        <v>0</v>
      </c>
      <c r="P1987">
        <f>IF(OR(M1987="",N1987=""),"",SUMIFS('Barang Keluar'!$E:$E,'Barang Keluar'!$A:$A,M1987,'Barang Keluar'!$C:$C,N1987))</f>
        <v>0</v>
      </c>
    </row>
    <row r="1988" spans="13:16">
      <c r="M1988" s="49">
        <f>IF($A$4+19&gt;$B$4,"",$A$4+19)</f>
        <v>46042</v>
      </c>
      <c r="N1988">
        <f>IF(M1988="","",'Master Barang'!A82)</f>
        <v>0</v>
      </c>
      <c r="O1988">
        <f>IF(N1988="","",'Master Barang'!B82)</f>
        <v>0</v>
      </c>
      <c r="P1988">
        <f>IF(OR(M1988="",N1988=""),"",SUMIFS('Barang Keluar'!$E:$E,'Barang Keluar'!$A:$A,M1988,'Barang Keluar'!$C:$C,N1988))</f>
        <v>0</v>
      </c>
    </row>
    <row r="1989" spans="13:16">
      <c r="M1989" s="49">
        <f>IF($A$4+19&gt;$B$4,"",$A$4+19)</f>
        <v>46042</v>
      </c>
      <c r="N1989">
        <f>IF(M1989="","",'Master Barang'!A83)</f>
        <v>0</v>
      </c>
      <c r="O1989">
        <f>IF(N1989="","",'Master Barang'!B83)</f>
        <v>0</v>
      </c>
      <c r="P1989">
        <f>IF(OR(M1989="",N1989=""),"",SUMIFS('Barang Keluar'!$E:$E,'Barang Keluar'!$A:$A,M1989,'Barang Keluar'!$C:$C,N1989))</f>
        <v>0</v>
      </c>
    </row>
    <row r="1990" spans="13:16">
      <c r="M1990" s="49">
        <f>IF($A$4+19&gt;$B$4,"",$A$4+19)</f>
        <v>46042</v>
      </c>
      <c r="N1990">
        <f>IF(M1990="","",'Master Barang'!A84)</f>
        <v>0</v>
      </c>
      <c r="O1990">
        <f>IF(N1990="","",'Master Barang'!B84)</f>
        <v>0</v>
      </c>
      <c r="P1990">
        <f>IF(OR(M1990="",N1990=""),"",SUMIFS('Barang Keluar'!$E:$E,'Barang Keluar'!$A:$A,M1990,'Barang Keluar'!$C:$C,N1990))</f>
        <v>0</v>
      </c>
    </row>
    <row r="1991" spans="13:16">
      <c r="M1991" s="49">
        <f>IF($A$4+19&gt;$B$4,"",$A$4+19)</f>
        <v>46042</v>
      </c>
      <c r="N1991">
        <f>IF(M1991="","",'Master Barang'!A85)</f>
        <v>0</v>
      </c>
      <c r="O1991">
        <f>IF(N1991="","",'Master Barang'!B85)</f>
        <v>0</v>
      </c>
      <c r="P1991">
        <f>IF(OR(M1991="",N1991=""),"",SUMIFS('Barang Keluar'!$E:$E,'Barang Keluar'!$A:$A,M1991,'Barang Keluar'!$C:$C,N1991))</f>
        <v>0</v>
      </c>
    </row>
    <row r="1992" spans="13:16">
      <c r="M1992" s="49">
        <f>IF($A$4+19&gt;$B$4,"",$A$4+19)</f>
        <v>46042</v>
      </c>
      <c r="N1992">
        <f>IF(M1992="","",'Master Barang'!A86)</f>
        <v>0</v>
      </c>
      <c r="O1992">
        <f>IF(N1992="","",'Master Barang'!B86)</f>
        <v>0</v>
      </c>
      <c r="P1992">
        <f>IF(OR(M1992="",N1992=""),"",SUMIFS('Barang Keluar'!$E:$E,'Barang Keluar'!$A:$A,M1992,'Barang Keluar'!$C:$C,N1992))</f>
        <v>0</v>
      </c>
    </row>
    <row r="1993" spans="13:16">
      <c r="M1993" s="49">
        <f>IF($A$4+19&gt;$B$4,"",$A$4+19)</f>
        <v>46042</v>
      </c>
      <c r="N1993">
        <f>IF(M1993="","",'Master Barang'!A87)</f>
        <v>0</v>
      </c>
      <c r="O1993">
        <f>IF(N1993="","",'Master Barang'!B87)</f>
        <v>0</v>
      </c>
      <c r="P1993">
        <f>IF(OR(M1993="",N1993=""),"",SUMIFS('Barang Keluar'!$E:$E,'Barang Keluar'!$A:$A,M1993,'Barang Keluar'!$C:$C,N1993))</f>
        <v>0</v>
      </c>
    </row>
    <row r="1994" spans="13:16">
      <c r="M1994" s="49">
        <f>IF($A$4+19&gt;$B$4,"",$A$4+19)</f>
        <v>46042</v>
      </c>
      <c r="N1994">
        <f>IF(M1994="","",'Master Barang'!A88)</f>
        <v>0</v>
      </c>
      <c r="O1994">
        <f>IF(N1994="","",'Master Barang'!B88)</f>
        <v>0</v>
      </c>
      <c r="P1994">
        <f>IF(OR(M1994="",N1994=""),"",SUMIFS('Barang Keluar'!$E:$E,'Barang Keluar'!$A:$A,M1994,'Barang Keluar'!$C:$C,N1994))</f>
        <v>0</v>
      </c>
    </row>
    <row r="1995" spans="13:16">
      <c r="M1995" s="49">
        <f>IF($A$4+19&gt;$B$4,"",$A$4+19)</f>
        <v>46042</v>
      </c>
      <c r="N1995">
        <f>IF(M1995="","",'Master Barang'!A89)</f>
        <v>0</v>
      </c>
      <c r="O1995">
        <f>IF(N1995="","",'Master Barang'!B89)</f>
        <v>0</v>
      </c>
      <c r="P1995">
        <f>IF(OR(M1995="",N1995=""),"",SUMIFS('Barang Keluar'!$E:$E,'Barang Keluar'!$A:$A,M1995,'Barang Keluar'!$C:$C,N1995))</f>
        <v>0</v>
      </c>
    </row>
    <row r="1996" spans="13:16">
      <c r="M1996" s="49">
        <f>IF($A$4+19&gt;$B$4,"",$A$4+19)</f>
        <v>46042</v>
      </c>
      <c r="N1996">
        <f>IF(M1996="","",'Master Barang'!A90)</f>
        <v>0</v>
      </c>
      <c r="O1996">
        <f>IF(N1996="","",'Master Barang'!B90)</f>
        <v>0</v>
      </c>
      <c r="P1996">
        <f>IF(OR(M1996="",N1996=""),"",SUMIFS('Barang Keluar'!$E:$E,'Barang Keluar'!$A:$A,M1996,'Barang Keluar'!$C:$C,N1996))</f>
        <v>0</v>
      </c>
    </row>
    <row r="1997" spans="13:16">
      <c r="M1997" s="49">
        <f>IF($A$4+19&gt;$B$4,"",$A$4+19)</f>
        <v>46042</v>
      </c>
      <c r="N1997">
        <f>IF(M1997="","",'Master Barang'!A91)</f>
        <v>0</v>
      </c>
      <c r="O1997">
        <f>IF(N1997="","",'Master Barang'!B91)</f>
        <v>0</v>
      </c>
      <c r="P1997">
        <f>IF(OR(M1997="",N1997=""),"",SUMIFS('Barang Keluar'!$E:$E,'Barang Keluar'!$A:$A,M1997,'Barang Keluar'!$C:$C,N1997))</f>
        <v>0</v>
      </c>
    </row>
    <row r="1998" spans="13:16">
      <c r="M1998" s="49">
        <f>IF($A$4+19&gt;$B$4,"",$A$4+19)</f>
        <v>46042</v>
      </c>
      <c r="N1998">
        <f>IF(M1998="","",'Master Barang'!A92)</f>
        <v>0</v>
      </c>
      <c r="O1998">
        <f>IF(N1998="","",'Master Barang'!B92)</f>
        <v>0</v>
      </c>
      <c r="P1998">
        <f>IF(OR(M1998="",N1998=""),"",SUMIFS('Barang Keluar'!$E:$E,'Barang Keluar'!$A:$A,M1998,'Barang Keluar'!$C:$C,N1998))</f>
        <v>0</v>
      </c>
    </row>
    <row r="1999" spans="13:16">
      <c r="M1999" s="49">
        <f>IF($A$4+19&gt;$B$4,"",$A$4+19)</f>
        <v>46042</v>
      </c>
      <c r="N1999">
        <f>IF(M1999="","",'Master Barang'!A93)</f>
        <v>0</v>
      </c>
      <c r="O1999">
        <f>IF(N1999="","",'Master Barang'!B93)</f>
        <v>0</v>
      </c>
      <c r="P1999">
        <f>IF(OR(M1999="",N1999=""),"",SUMIFS('Barang Keluar'!$E:$E,'Barang Keluar'!$A:$A,M1999,'Barang Keluar'!$C:$C,N1999))</f>
        <v>0</v>
      </c>
    </row>
    <row r="2000" spans="13:16">
      <c r="M2000" s="49">
        <f>IF($A$4+19&gt;$B$4,"",$A$4+19)</f>
        <v>46042</v>
      </c>
      <c r="N2000">
        <f>IF(M2000="","",'Master Barang'!A94)</f>
        <v>0</v>
      </c>
      <c r="O2000">
        <f>IF(N2000="","",'Master Barang'!B94)</f>
        <v>0</v>
      </c>
      <c r="P2000">
        <f>IF(OR(M2000="",N2000=""),"",SUMIFS('Barang Keluar'!$E:$E,'Barang Keluar'!$A:$A,M2000,'Barang Keluar'!$C:$C,N2000))</f>
        <v>0</v>
      </c>
    </row>
    <row r="2001" spans="13:16">
      <c r="M2001" s="49">
        <f>IF($A$4+19&gt;$B$4,"",$A$4+19)</f>
        <v>46042</v>
      </c>
      <c r="N2001">
        <f>IF(M2001="","",'Master Barang'!A95)</f>
        <v>0</v>
      </c>
      <c r="O2001">
        <f>IF(N2001="","",'Master Barang'!B95)</f>
        <v>0</v>
      </c>
      <c r="P2001">
        <f>IF(OR(M2001="",N2001=""),"",SUMIFS('Barang Keluar'!$E:$E,'Barang Keluar'!$A:$A,M2001,'Barang Keluar'!$C:$C,N2001))</f>
        <v>0</v>
      </c>
    </row>
    <row r="2002" spans="13:16">
      <c r="M2002" s="49">
        <f>IF($A$4+19&gt;$B$4,"",$A$4+19)</f>
        <v>46042</v>
      </c>
      <c r="N2002">
        <f>IF(M2002="","",'Master Barang'!A96)</f>
        <v>0</v>
      </c>
      <c r="O2002">
        <f>IF(N2002="","",'Master Barang'!B96)</f>
        <v>0</v>
      </c>
      <c r="P2002">
        <f>IF(OR(M2002="",N2002=""),"",SUMIFS('Barang Keluar'!$E:$E,'Barang Keluar'!$A:$A,M2002,'Barang Keluar'!$C:$C,N2002))</f>
        <v>0</v>
      </c>
    </row>
    <row r="2003" spans="13:16">
      <c r="M2003" s="49">
        <f>IF($A$4+19&gt;$B$4,"",$A$4+19)</f>
        <v>46042</v>
      </c>
      <c r="N2003">
        <f>IF(M2003="","",'Master Barang'!A97)</f>
        <v>0</v>
      </c>
      <c r="O2003">
        <f>IF(N2003="","",'Master Barang'!B97)</f>
        <v>0</v>
      </c>
      <c r="P2003">
        <f>IF(OR(M2003="",N2003=""),"",SUMIFS('Barang Keluar'!$E:$E,'Barang Keluar'!$A:$A,M2003,'Barang Keluar'!$C:$C,N2003))</f>
        <v>0</v>
      </c>
    </row>
    <row r="2004" spans="13:16">
      <c r="M2004" s="49">
        <f>IF($A$4+19&gt;$B$4,"",$A$4+19)</f>
        <v>46042</v>
      </c>
      <c r="N2004">
        <f>IF(M2004="","",'Master Barang'!A98)</f>
        <v>0</v>
      </c>
      <c r="O2004">
        <f>IF(N2004="","",'Master Barang'!B98)</f>
        <v>0</v>
      </c>
      <c r="P2004">
        <f>IF(OR(M2004="",N2004=""),"",SUMIFS('Barang Keluar'!$E:$E,'Barang Keluar'!$A:$A,M2004,'Barang Keluar'!$C:$C,N2004))</f>
        <v>0</v>
      </c>
    </row>
    <row r="2005" spans="13:16">
      <c r="M2005" s="49">
        <f>IF($A$4+19&gt;$B$4,"",$A$4+19)</f>
        <v>46042</v>
      </c>
      <c r="N2005">
        <f>IF(M2005="","",'Master Barang'!A99)</f>
        <v>0</v>
      </c>
      <c r="O2005">
        <f>IF(N2005="","",'Master Barang'!B99)</f>
        <v>0</v>
      </c>
      <c r="P2005">
        <f>IF(OR(M2005="",N2005=""),"",SUMIFS('Barang Keluar'!$E:$E,'Barang Keluar'!$A:$A,M2005,'Barang Keluar'!$C:$C,N2005))</f>
        <v>0</v>
      </c>
    </row>
    <row r="2006" spans="13:16">
      <c r="M2006" s="49">
        <f>IF($A$4+19&gt;$B$4,"",$A$4+19)</f>
        <v>46042</v>
      </c>
      <c r="N2006">
        <f>IF(M2006="","",'Master Barang'!A100)</f>
        <v>0</v>
      </c>
      <c r="O2006">
        <f>IF(N2006="","",'Master Barang'!B100)</f>
        <v>0</v>
      </c>
      <c r="P2006">
        <f>IF(OR(M2006="",N2006=""),"",SUMIFS('Barang Keluar'!$E:$E,'Barang Keluar'!$A:$A,M2006,'Barang Keluar'!$C:$C,N2006))</f>
        <v>0</v>
      </c>
    </row>
    <row r="2007" spans="13:16">
      <c r="M2007" s="49">
        <f>IF($A$4+19&gt;$B$4,"",$A$4+19)</f>
        <v>46042</v>
      </c>
      <c r="N2007">
        <f>IF(M2007="","",'Master Barang'!A101)</f>
        <v>0</v>
      </c>
      <c r="O2007">
        <f>IF(N2007="","",'Master Barang'!B101)</f>
        <v>0</v>
      </c>
      <c r="P2007">
        <f>IF(OR(M2007="",N2007=""),"",SUMIFS('Barang Keluar'!$E:$E,'Barang Keluar'!$A:$A,M2007,'Barang Keluar'!$C:$C,N2007))</f>
        <v>0</v>
      </c>
    </row>
    <row r="2008" spans="13:16">
      <c r="M2008" s="49">
        <f>IF($A$4+20&gt;$B$4,"",$A$4+20)</f>
        <v>46043</v>
      </c>
      <c r="N2008" t="str">
        <f>IF(M2008="","",'Master Barang'!A2)</f>
        <v>PRL-001</v>
      </c>
      <c r="O2008" t="str">
        <f>IF(N2008="","",'Master Barang'!B2)</f>
        <v>natura desinfectant food grade 5l</v>
      </c>
      <c r="P2008">
        <f>IF(OR(M2008="",N2008=""),"",SUMIFS('Barang Keluar'!$E:$E,'Barang Keluar'!$A:$A,M2008,'Barang Keluar'!$C:$C,N2008))</f>
        <v>0</v>
      </c>
    </row>
    <row r="2009" spans="13:16">
      <c r="M2009" s="49">
        <f>IF($A$4+20&gt;$B$4,"",$A$4+20)</f>
        <v>46043</v>
      </c>
      <c r="N2009" t="str">
        <f>IF(M2009="","",'Master Barang'!A3)</f>
        <v>PRL-002</v>
      </c>
      <c r="O2009" t="str">
        <f>IF(N2009="","",'Master Barang'!B3)</f>
        <v>sunlight cairan pencuci piring 5l</v>
      </c>
      <c r="P2009">
        <f>IF(OR(M2009="",N2009=""),"",SUMIFS('Barang Keluar'!$E:$E,'Barang Keluar'!$A:$A,M2009,'Barang Keluar'!$C:$C,N2009))</f>
        <v>0</v>
      </c>
    </row>
    <row r="2010" spans="13:16">
      <c r="M2010" s="49">
        <f>IF($A$4+20&gt;$B$4,"",$A$4+20)</f>
        <v>46043</v>
      </c>
      <c r="N2010" t="str">
        <f>IF(M2010="","",'Master Barang'!A4)</f>
        <v>PRL-003</v>
      </c>
      <c r="O2010" t="str">
        <f>IF(N2010="","",'Master Barang'!B4)</f>
        <v>oixs cleaner 1l</v>
      </c>
      <c r="P2010">
        <f>IF(OR(M2010="",N2010=""),"",SUMIFS('Barang Keluar'!$E:$E,'Barang Keluar'!$A:$A,M2010,'Barang Keluar'!$C:$C,N2010))</f>
        <v>0</v>
      </c>
    </row>
    <row r="2011" spans="13:16">
      <c r="M2011" s="49">
        <f>IF($A$4+20&gt;$B$4,"",$A$4+20)</f>
        <v>46043</v>
      </c>
      <c r="N2011" t="str">
        <f>IF(M2011="","",'Master Barang'!A5)</f>
        <v>PRL-004</v>
      </c>
      <c r="O2011" t="str">
        <f>IF(N2011="","",'Master Barang'!B5)</f>
        <v>be clean tissue serbaguna</v>
      </c>
      <c r="P2011">
        <f>IF(OR(M2011="",N2011=""),"",SUMIFS('Barang Keluar'!$E:$E,'Barang Keluar'!$A:$A,M2011,'Barang Keluar'!$C:$C,N2011))</f>
        <v>0</v>
      </c>
    </row>
    <row r="2012" spans="13:16">
      <c r="M2012" s="49">
        <f>IF($A$4+20&gt;$B$4,"",$A$4+20)</f>
        <v>46043</v>
      </c>
      <c r="N2012" t="str">
        <f>IF(M2012="","",'Master Barang'!A6)</f>
        <v>PRL-005</v>
      </c>
      <c r="O2012" t="str">
        <f>IF(N2012="","",'Master Barang'!B6)</f>
        <v>spons cuci hijau</v>
      </c>
      <c r="P2012">
        <f>IF(OR(M2012="",N2012=""),"",SUMIFS('Barang Keluar'!$E:$E,'Barang Keluar'!$A:$A,M2012,'Barang Keluar'!$C:$C,N2012))</f>
        <v>0</v>
      </c>
    </row>
    <row r="2013" spans="13:16">
      <c r="M2013" s="49">
        <f>IF($A$4+20&gt;$B$4,"",$A$4+20)</f>
        <v>46043</v>
      </c>
      <c r="N2013" t="str">
        <f>IF(M2013="","",'Master Barang'!A7)</f>
        <v>PRL-006</v>
      </c>
      <c r="O2013" t="str">
        <f>IF(N2013="","",'Master Barang'!B7)</f>
        <v>sabut cuci stainless</v>
      </c>
      <c r="P2013">
        <f>IF(OR(M2013="",N2013=""),"",SUMIFS('Barang Keluar'!$E:$E,'Barang Keluar'!$A:$A,M2013,'Barang Keluar'!$C:$C,N2013))</f>
        <v>0</v>
      </c>
    </row>
    <row r="2014" spans="13:16">
      <c r="M2014" s="49">
        <f>IF($A$4+20&gt;$B$4,"",$A$4+20)</f>
        <v>46043</v>
      </c>
      <c r="N2014" t="str">
        <f>IF(M2014="","",'Master Barang'!A8)</f>
        <v>PRL-007</v>
      </c>
      <c r="O2014" t="str">
        <f>IF(N2014="","",'Master Barang'!B8)</f>
        <v>plastik kresek besar merah 50pc</v>
      </c>
      <c r="P2014">
        <f>IF(OR(M2014="",N2014=""),"",SUMIFS('Barang Keluar'!$E:$E,'Barang Keluar'!$A:$A,M2014,'Barang Keluar'!$C:$C,N2014))</f>
        <v>0</v>
      </c>
    </row>
    <row r="2015" spans="13:16">
      <c r="M2015" s="49">
        <f>IF($A$4+20&gt;$B$4,"",$A$4+20)</f>
        <v>46043</v>
      </c>
      <c r="N2015" t="str">
        <f>IF(M2015="","",'Master Barang'!A9)</f>
        <v>PRL-008</v>
      </c>
      <c r="O2015" t="str">
        <f>IF(N2015="","",'Master Barang'!B9)</f>
        <v>lap besar</v>
      </c>
      <c r="P2015">
        <f>IF(OR(M2015="",N2015=""),"",SUMIFS('Barang Keluar'!$E:$E,'Barang Keluar'!$A:$A,M2015,'Barang Keluar'!$C:$C,N2015))</f>
        <v>0</v>
      </c>
    </row>
    <row r="2016" spans="13:16">
      <c r="M2016" s="49">
        <f>IF($A$4+20&gt;$B$4,"",$A$4+20)</f>
        <v>46043</v>
      </c>
      <c r="N2016" t="str">
        <f>IF(M2016="","",'Master Barang'!A10)</f>
        <v>PRL-009</v>
      </c>
      <c r="O2016" t="str">
        <f>IF(N2016="","",'Master Barang'!B10)</f>
        <v>lap microfiber</v>
      </c>
      <c r="P2016">
        <f>IF(OR(M2016="",N2016=""),"",SUMIFS('Barang Keluar'!$E:$E,'Barang Keluar'!$A:$A,M2016,'Barang Keluar'!$C:$C,N2016))</f>
        <v>0</v>
      </c>
    </row>
    <row r="2017" spans="13:16">
      <c r="M2017" s="49">
        <f>IF($A$4+20&gt;$B$4,"",$A$4+20)</f>
        <v>46043</v>
      </c>
      <c r="N2017" t="str">
        <f>IF(M2017="","",'Master Barang'!A11)</f>
        <v>PRL-010</v>
      </c>
      <c r="O2017" t="str">
        <f>IF(N2017="","",'Master Barang'!B11)</f>
        <v>lap kecil</v>
      </c>
      <c r="P2017">
        <f>IF(OR(M2017="",N2017=""),"",SUMIFS('Barang Keluar'!$E:$E,'Barang Keluar'!$A:$A,M2017,'Barang Keluar'!$C:$C,N2017))</f>
        <v>0</v>
      </c>
    </row>
    <row r="2018" spans="13:16">
      <c r="M2018" s="49">
        <f>IF($A$4+20&gt;$B$4,"",$A$4+20)</f>
        <v>46043</v>
      </c>
      <c r="N2018" t="str">
        <f>IF(M2018="","",'Master Barang'!A12)</f>
        <v>PRL-011</v>
      </c>
      <c r="O2018" t="str">
        <f>IF(N2018="","",'Master Barang'!B12)</f>
        <v>kanebo kecil</v>
      </c>
      <c r="P2018">
        <f>IF(OR(M2018="",N2018=""),"",SUMIFS('Barang Keluar'!$E:$E,'Barang Keluar'!$A:$A,M2018,'Barang Keluar'!$C:$C,N2018))</f>
        <v>0</v>
      </c>
    </row>
    <row r="2019" spans="13:16">
      <c r="M2019" s="49">
        <f>IF($A$4+20&gt;$B$4,"",$A$4+20)</f>
        <v>46043</v>
      </c>
      <c r="N2019" t="str">
        <f>IF(M2019="","",'Master Barang'!A13)</f>
        <v>PRL-012</v>
      </c>
      <c r="O2019" t="str">
        <f>IF(N2019="","",'Master Barang'!B13)</f>
        <v>plastik 1/4kg joyoboyo 100 lembar</v>
      </c>
      <c r="P2019">
        <f>IF(OR(M2019="",N2019=""),"",SUMIFS('Barang Keluar'!$E:$E,'Barang Keluar'!$A:$A,M2019,'Barang Keluar'!$C:$C,N2019))</f>
        <v>0</v>
      </c>
    </row>
    <row r="2020" spans="13:16">
      <c r="M2020" s="49">
        <f>IF($A$4+20&gt;$B$4,"",$A$4+20)</f>
        <v>46043</v>
      </c>
      <c r="N2020" t="str">
        <f>IF(M2020="","",'Master Barang'!A14)</f>
        <v>PRL-013</v>
      </c>
      <c r="O2020" t="str">
        <f>IF(N2020="","",'Master Barang'!B14)</f>
        <v>sarung tangan plastik kaka 100 pcs</v>
      </c>
      <c r="P2020">
        <f>IF(OR(M2020="",N2020=""),"",SUMIFS('Barang Keluar'!$E:$E,'Barang Keluar'!$A:$A,M2020,'Barang Keluar'!$C:$C,N2020))</f>
        <v>0</v>
      </c>
    </row>
    <row r="2021" spans="13:16">
      <c r="M2021" s="49">
        <f>IF($A$4+20&gt;$B$4,"",$A$4+20)</f>
        <v>46043</v>
      </c>
      <c r="N2021" t="str">
        <f>IF(M2021="","",'Master Barang'!A15)</f>
        <v>PRL-014</v>
      </c>
      <c r="O2021" t="str">
        <f>IF(N2021="","",'Master Barang'!B15)</f>
        <v>optima trashbag 80x100</v>
      </c>
      <c r="P2021">
        <f>IF(OR(M2021="",N2021=""),"",SUMIFS('Barang Keluar'!$E:$E,'Barang Keluar'!$A:$A,M2021,'Barang Keluar'!$C:$C,N2021))</f>
        <v>0</v>
      </c>
    </row>
    <row r="2022" spans="13:16">
      <c r="M2022" s="49">
        <f>IF($A$4+20&gt;$B$4,"",$A$4+20)</f>
        <v>46043</v>
      </c>
      <c r="N2022" t="str">
        <f>IF(M2022="","",'Master Barang'!A16)</f>
        <v>PRL-015</v>
      </c>
      <c r="O2022" t="str">
        <f>IF(N2022="","",'Master Barang'!B16)</f>
        <v>optima trashbag 60x100</v>
      </c>
      <c r="P2022">
        <f>IF(OR(M2022="",N2022=""),"",SUMIFS('Barang Keluar'!$E:$E,'Barang Keluar'!$A:$A,M2022,'Barang Keluar'!$C:$C,N2022))</f>
        <v>0</v>
      </c>
    </row>
    <row r="2023" spans="13:16">
      <c r="M2023" s="49">
        <f>IF($A$4+20&gt;$B$4,"",$A$4+20)</f>
        <v>46043</v>
      </c>
      <c r="N2023" t="str">
        <f>IF(M2023="","",'Master Barang'!A17)</f>
        <v>PRL-016</v>
      </c>
      <c r="O2023" t="str">
        <f>IF(N2023="","",'Master Barang'!B17)</f>
        <v>rajawali trashbag 30x40</v>
      </c>
      <c r="P2023">
        <f>IF(OR(M2023="",N2023=""),"",SUMIFS('Barang Keluar'!$E:$E,'Barang Keluar'!$A:$A,M2023,'Barang Keluar'!$C:$C,N2023))</f>
        <v>0</v>
      </c>
    </row>
    <row r="2024" spans="13:16">
      <c r="M2024" s="49">
        <f>IF($A$4+20&gt;$B$4,"",$A$4+20)</f>
        <v>46043</v>
      </c>
      <c r="N2024" t="str">
        <f>IF(M2024="","",'Master Barang'!A18)</f>
        <v>PRL-017</v>
      </c>
      <c r="O2024" t="str">
        <f>IF(N2024="","",'Master Barang'!B18)</f>
        <v>onemed masker biru 3 play 50 pcs</v>
      </c>
      <c r="P2024">
        <f>IF(OR(M2024="",N2024=""),"",SUMIFS('Barang Keluar'!$E:$E,'Barang Keluar'!$A:$A,M2024,'Barang Keluar'!$C:$C,N2024))</f>
        <v>0</v>
      </c>
    </row>
    <row r="2025" spans="13:16">
      <c r="M2025" s="49">
        <f>IF($A$4+20&gt;$B$4,"",$A$4+20)</f>
        <v>46043</v>
      </c>
      <c r="N2025" t="str">
        <f>IF(M2025="","",'Master Barang'!A19)</f>
        <v>PRL-018</v>
      </c>
      <c r="O2025" t="str">
        <f>IF(N2025="","",'Master Barang'!B19)</f>
        <v>onemed masker biru 3 play hijab 50 pcs</v>
      </c>
      <c r="P2025">
        <f>IF(OR(M2025="",N2025=""),"",SUMIFS('Barang Keluar'!$E:$E,'Barang Keluar'!$A:$A,M2025,'Barang Keluar'!$C:$C,N2025))</f>
        <v>0</v>
      </c>
    </row>
    <row r="2026" spans="13:16">
      <c r="M2026" s="49">
        <f>IF($A$4+20&gt;$B$4,"",$A$4+20)</f>
        <v>46043</v>
      </c>
      <c r="N2026" t="str">
        <f>IF(M2026="","",'Master Barang'!A20)</f>
        <v>PRL-019</v>
      </c>
      <c r="O2026" t="str">
        <f>IF(N2026="","",'Master Barang'!B20)</f>
        <v>neo health masker biru 3 play 50 pcs</v>
      </c>
      <c r="P2026">
        <f>IF(OR(M2026="",N2026=""),"",SUMIFS('Barang Keluar'!$E:$E,'Barang Keluar'!$A:$A,M2026,'Barang Keluar'!$C:$C,N2026))</f>
        <v>0</v>
      </c>
    </row>
    <row r="2027" spans="13:16">
      <c r="M2027" s="49">
        <f>IF($A$4+20&gt;$B$4,"",$A$4+20)</f>
        <v>46043</v>
      </c>
      <c r="N2027" t="str">
        <f>IF(M2027="","",'Master Barang'!A21)</f>
        <v>PRL-020</v>
      </c>
      <c r="O2027" t="str">
        <f>IF(N2027="","",'Master Barang'!B21)</f>
        <v>baymed masker hijau 3 play hijau 50 pcs</v>
      </c>
      <c r="P2027">
        <f>IF(OR(M2027="",N2027=""),"",SUMIFS('Barang Keluar'!$E:$E,'Barang Keluar'!$A:$A,M2027,'Barang Keluar'!$C:$C,N2027))</f>
        <v>0</v>
      </c>
    </row>
    <row r="2028" spans="13:16">
      <c r="M2028" s="49">
        <f>IF($A$4+20&gt;$B$4,"",$A$4+20)</f>
        <v>46043</v>
      </c>
      <c r="N2028" t="str">
        <f>IF(M2028="","",'Master Barang'!A22)</f>
        <v>PRL-021</v>
      </c>
      <c r="O2028" t="str">
        <f>IF(N2028="","",'Master Barang'!B22)</f>
        <v>altamed nurse cap penutup kepala 100 pcs</v>
      </c>
      <c r="P2028">
        <f>IF(OR(M2028="",N2028=""),"",SUMIFS('Barang Keluar'!$E:$E,'Barang Keluar'!$A:$A,M2028,'Barang Keluar'!$C:$C,N2028))</f>
        <v>0</v>
      </c>
    </row>
    <row r="2029" spans="13:16">
      <c r="M2029" s="49">
        <f>IF($A$4+20&gt;$B$4,"",$A$4+20)</f>
        <v>46043</v>
      </c>
      <c r="N2029" t="str">
        <f>IF(M2029="","",'Master Barang'!A23)</f>
        <v>PRL-022</v>
      </c>
      <c r="O2029" t="str">
        <f>IF(N2029="","",'Master Barang'!B23)</f>
        <v>sabun cuci tangan</v>
      </c>
      <c r="P2029">
        <f>IF(OR(M2029="",N2029=""),"",SUMIFS('Barang Keluar'!$E:$E,'Barang Keluar'!$A:$A,M2029,'Barang Keluar'!$C:$C,N2029))</f>
        <v>0</v>
      </c>
    </row>
    <row r="2030" spans="13:16">
      <c r="M2030" s="49">
        <f>IF($A$4+20&gt;$B$4,"",$A$4+20)</f>
        <v>46043</v>
      </c>
      <c r="N2030" t="str">
        <f>IF(M2030="","",'Master Barang'!A24)</f>
        <v>PRL-023</v>
      </c>
      <c r="O2030" t="str">
        <f>IF(N2030="","",'Master Barang'!B24)</f>
        <v>gayung kecil</v>
      </c>
      <c r="P2030">
        <f>IF(OR(M2030="",N2030=""),"",SUMIFS('Barang Keluar'!$E:$E,'Barang Keluar'!$A:$A,M2030,'Barang Keluar'!$C:$C,N2030))</f>
        <v>0</v>
      </c>
    </row>
    <row r="2031" spans="13:16">
      <c r="M2031" s="49">
        <f>IF($A$4+20&gt;$B$4,"",$A$4+20)</f>
        <v>46043</v>
      </c>
      <c r="N2031" t="str">
        <f>IF(M2031="","",'Master Barang'!A25)</f>
        <v>PRL-024</v>
      </c>
      <c r="O2031" t="str">
        <f>IF(N2031="","",'Master Barang'!B25)</f>
        <v>cikrak kecil</v>
      </c>
      <c r="P2031">
        <f>IF(OR(M2031="",N2031=""),"",SUMIFS('Barang Keluar'!$E:$E,'Barang Keluar'!$A:$A,M2031,'Barang Keluar'!$C:$C,N2031))</f>
        <v>0</v>
      </c>
    </row>
    <row r="2032" spans="13:16">
      <c r="M2032" s="49">
        <f>IF($A$4+20&gt;$B$4,"",$A$4+20)</f>
        <v>46043</v>
      </c>
      <c r="N2032" t="str">
        <f>IF(M2032="","",'Master Barang'!A26)</f>
        <v>PRL-025</v>
      </c>
      <c r="O2032" t="str">
        <f>IF(N2032="","",'Master Barang'!B26)</f>
        <v>petromax plastik kecil 12x24 100 lembar</v>
      </c>
      <c r="P2032">
        <f>IF(OR(M2032="",N2032=""),"",SUMIFS('Barang Keluar'!$E:$E,'Barang Keluar'!$A:$A,M2032,'Barang Keluar'!$C:$C,N2032))</f>
        <v>0</v>
      </c>
    </row>
    <row r="2033" spans="13:16">
      <c r="M2033" s="49">
        <f>IF($A$4+20&gt;$B$4,"",$A$4+20)</f>
        <v>46043</v>
      </c>
      <c r="N2033" t="str">
        <f>IF(M2033="","",'Master Barang'!A27)</f>
        <v>PRL-026</v>
      </c>
      <c r="O2033" t="str">
        <f>IF(N2033="","",'Master Barang'!B27)</f>
        <v>lancar kresek kecil bening </v>
      </c>
      <c r="P2033">
        <f>IF(OR(M2033="",N2033=""),"",SUMIFS('Barang Keluar'!$E:$E,'Barang Keluar'!$A:$A,M2033,'Barang Keluar'!$C:$C,N2033))</f>
        <v>0</v>
      </c>
    </row>
    <row r="2034" spans="13:16">
      <c r="M2034" s="49">
        <f>IF($A$4+20&gt;$B$4,"",$A$4+20)</f>
        <v>46043</v>
      </c>
      <c r="N2034" t="str">
        <f>IF(M2034="","",'Master Barang'!A28)</f>
        <v>PRL-027</v>
      </c>
      <c r="O2034" t="str">
        <f>IF(N2034="","",'Master Barang'!B28)</f>
        <v>kresek klin warna warni kecil</v>
      </c>
      <c r="P2034">
        <f>IF(OR(M2034="",N2034=""),"",SUMIFS('Barang Keluar'!$E:$E,'Barang Keluar'!$A:$A,M2034,'Barang Keluar'!$C:$C,N2034))</f>
        <v>0</v>
      </c>
    </row>
    <row r="2035" spans="13:16">
      <c r="M2035" s="49">
        <f>IF($A$4+20&gt;$B$4,"",$A$4+20)</f>
        <v>46043</v>
      </c>
      <c r="N2035" t="str">
        <f>IF(M2035="","",'Master Barang'!A29)</f>
        <v>PRL-028</v>
      </c>
      <c r="O2035" t="str">
        <f>IF(N2035="","",'Master Barang'!B29)</f>
        <v>ctik plastik 7x10 100 pcs</v>
      </c>
      <c r="P2035">
        <f>IF(OR(M2035="",N2035=""),"",SUMIFS('Barang Keluar'!$E:$E,'Barang Keluar'!$A:$A,M2035,'Barang Keluar'!$C:$C,N2035))</f>
        <v>0</v>
      </c>
    </row>
    <row r="2036" spans="13:16">
      <c r="M2036" s="49">
        <f>IF($A$4+20&gt;$B$4,"",$A$4+20)</f>
        <v>46043</v>
      </c>
      <c r="N2036" t="str">
        <f>IF(M2036="","",'Master Barang'!A30)</f>
        <v>PRL-029</v>
      </c>
      <c r="O2036" t="str">
        <f>IF(N2036="","",'Master Barang'!B30)</f>
        <v>ctik plastik 6x10 100 pcs</v>
      </c>
      <c r="P2036">
        <f>IF(OR(M2036="",N2036=""),"",SUMIFS('Barang Keluar'!$E:$E,'Barang Keluar'!$A:$A,M2036,'Barang Keluar'!$C:$C,N2036))</f>
        <v>0</v>
      </c>
    </row>
    <row r="2037" spans="13:16">
      <c r="M2037" s="49">
        <f>IF($A$4+20&gt;$B$4,"",$A$4+20)</f>
        <v>46043</v>
      </c>
      <c r="N2037" t="str">
        <f>IF(M2037="","",'Master Barang'!A31)</f>
        <v>PRL-030</v>
      </c>
      <c r="O2037" t="str">
        <f>IF(N2037="","",'Master Barang'!B31)</f>
        <v>klip plastik 25x16 100 pcs</v>
      </c>
      <c r="P2037">
        <f>IF(OR(M2037="",N2037=""),"",SUMIFS('Barang Keluar'!$E:$E,'Barang Keluar'!$A:$A,M2037,'Barang Keluar'!$C:$C,N2037))</f>
        <v>0</v>
      </c>
    </row>
    <row r="2038" spans="13:16">
      <c r="M2038" s="49">
        <f>IF($A$4+20&gt;$B$4,"",$A$4+20)</f>
        <v>46043</v>
      </c>
      <c r="N2038" t="str">
        <f>IF(M2038="","",'Master Barang'!A32)</f>
        <v>PRL-031</v>
      </c>
      <c r="O2038" t="str">
        <f>IF(N2038="","",'Master Barang'!B32)</f>
        <v>tempat saus 20 ml</v>
      </c>
      <c r="P2038">
        <f>IF(OR(M2038="",N2038=""),"",SUMIFS('Barang Keluar'!$E:$E,'Barang Keluar'!$A:$A,M2038,'Barang Keluar'!$C:$C,N2038))</f>
        <v>0</v>
      </c>
    </row>
    <row r="2039" spans="13:16">
      <c r="M2039" s="49">
        <f>IF($A$4+20&gt;$B$4,"",$A$4+20)</f>
        <v>46043</v>
      </c>
      <c r="N2039" t="str">
        <f>IF(M2039="","",'Master Barang'!A33)</f>
        <v>PRL-032</v>
      </c>
      <c r="O2039" t="str">
        <f>IF(N2039="","",'Master Barang'!B33)</f>
        <v>plastik packaging ag box uk sedang</v>
      </c>
      <c r="P2039">
        <f>IF(OR(M2039="",N2039=""),"",SUMIFS('Barang Keluar'!$E:$E,'Barang Keluar'!$A:$A,M2039,'Barang Keluar'!$C:$C,N2039))</f>
        <v>0</v>
      </c>
    </row>
    <row r="2040" spans="13:16">
      <c r="M2040" s="49">
        <f>IF($A$4+20&gt;$B$4,"",$A$4+20)</f>
        <v>46043</v>
      </c>
      <c r="N2040" t="str">
        <f>IF(M2040="","",'Master Barang'!A34)</f>
        <v>PRL-033</v>
      </c>
      <c r="O2040">
        <f>IF(N2040="","",'Master Barang'!B34)</f>
        <v>0</v>
      </c>
      <c r="P2040">
        <f>IF(OR(M2040="",N2040=""),"",SUMIFS('Barang Keluar'!$E:$E,'Barang Keluar'!$A:$A,M2040,'Barang Keluar'!$C:$C,N2040))</f>
        <v>0</v>
      </c>
    </row>
    <row r="2041" spans="13:16">
      <c r="M2041" s="49">
        <f>IF($A$4+20&gt;$B$4,"",$A$4+20)</f>
        <v>46043</v>
      </c>
      <c r="N2041">
        <f>IF(M2041="","",'Master Barang'!A35)</f>
        <v>0</v>
      </c>
      <c r="O2041">
        <f>IF(N2041="","",'Master Barang'!B35)</f>
        <v>0</v>
      </c>
      <c r="P2041">
        <f>IF(OR(M2041="",N2041=""),"",SUMIFS('Barang Keluar'!$E:$E,'Barang Keluar'!$A:$A,M2041,'Barang Keluar'!$C:$C,N2041))</f>
        <v>0</v>
      </c>
    </row>
    <row r="2042" spans="13:16">
      <c r="M2042" s="49">
        <f>IF($A$4+20&gt;$B$4,"",$A$4+20)</f>
        <v>46043</v>
      </c>
      <c r="N2042">
        <f>IF(M2042="","",'Master Barang'!A36)</f>
        <v>0</v>
      </c>
      <c r="O2042">
        <f>IF(N2042="","",'Master Barang'!B36)</f>
        <v>0</v>
      </c>
      <c r="P2042">
        <f>IF(OR(M2042="",N2042=""),"",SUMIFS('Barang Keluar'!$E:$E,'Barang Keluar'!$A:$A,M2042,'Barang Keluar'!$C:$C,N2042))</f>
        <v>0</v>
      </c>
    </row>
    <row r="2043" spans="13:16">
      <c r="M2043" s="49">
        <f>IF($A$4+20&gt;$B$4,"",$A$4+20)</f>
        <v>46043</v>
      </c>
      <c r="N2043">
        <f>IF(M2043="","",'Master Barang'!A37)</f>
        <v>0</v>
      </c>
      <c r="O2043">
        <f>IF(N2043="","",'Master Barang'!B37)</f>
        <v>0</v>
      </c>
      <c r="P2043">
        <f>IF(OR(M2043="",N2043=""),"",SUMIFS('Barang Keluar'!$E:$E,'Barang Keluar'!$A:$A,M2043,'Barang Keluar'!$C:$C,N2043))</f>
        <v>0</v>
      </c>
    </row>
    <row r="2044" spans="13:16">
      <c r="M2044" s="49">
        <f>IF($A$4+20&gt;$B$4,"",$A$4+20)</f>
        <v>46043</v>
      </c>
      <c r="N2044">
        <f>IF(M2044="","",'Master Barang'!A38)</f>
        <v>0</v>
      </c>
      <c r="O2044">
        <f>IF(N2044="","",'Master Barang'!B38)</f>
        <v>0</v>
      </c>
      <c r="P2044">
        <f>IF(OR(M2044="",N2044=""),"",SUMIFS('Barang Keluar'!$E:$E,'Barang Keluar'!$A:$A,M2044,'Barang Keluar'!$C:$C,N2044))</f>
        <v>0</v>
      </c>
    </row>
    <row r="2045" spans="13:16">
      <c r="M2045" s="49">
        <f>IF($A$4+20&gt;$B$4,"",$A$4+20)</f>
        <v>46043</v>
      </c>
      <c r="N2045">
        <f>IF(M2045="","",'Master Barang'!A39)</f>
        <v>0</v>
      </c>
      <c r="O2045">
        <f>IF(N2045="","",'Master Barang'!B39)</f>
        <v>0</v>
      </c>
      <c r="P2045">
        <f>IF(OR(M2045="",N2045=""),"",SUMIFS('Barang Keluar'!$E:$E,'Barang Keluar'!$A:$A,M2045,'Barang Keluar'!$C:$C,N2045))</f>
        <v>0</v>
      </c>
    </row>
    <row r="2046" spans="13:16">
      <c r="M2046" s="49">
        <f>IF($A$4+20&gt;$B$4,"",$A$4+20)</f>
        <v>46043</v>
      </c>
      <c r="N2046">
        <f>IF(M2046="","",'Master Barang'!A40)</f>
        <v>0</v>
      </c>
      <c r="O2046">
        <f>IF(N2046="","",'Master Barang'!B40)</f>
        <v>0</v>
      </c>
      <c r="P2046">
        <f>IF(OR(M2046="",N2046=""),"",SUMIFS('Barang Keluar'!$E:$E,'Barang Keluar'!$A:$A,M2046,'Barang Keluar'!$C:$C,N2046))</f>
        <v>0</v>
      </c>
    </row>
    <row r="2047" spans="13:16">
      <c r="M2047" s="49">
        <f>IF($A$4+20&gt;$B$4,"",$A$4+20)</f>
        <v>46043</v>
      </c>
      <c r="N2047">
        <f>IF(M2047="","",'Master Barang'!A41)</f>
        <v>0</v>
      </c>
      <c r="O2047">
        <f>IF(N2047="","",'Master Barang'!B41)</f>
        <v>0</v>
      </c>
      <c r="P2047">
        <f>IF(OR(M2047="",N2047=""),"",SUMIFS('Barang Keluar'!$E:$E,'Barang Keluar'!$A:$A,M2047,'Barang Keluar'!$C:$C,N2047))</f>
        <v>0</v>
      </c>
    </row>
    <row r="2048" spans="13:16">
      <c r="M2048" s="49">
        <f>IF($A$4+20&gt;$B$4,"",$A$4+20)</f>
        <v>46043</v>
      </c>
      <c r="N2048">
        <f>IF(M2048="","",'Master Barang'!A42)</f>
        <v>0</v>
      </c>
      <c r="O2048">
        <f>IF(N2048="","",'Master Barang'!B42)</f>
        <v>0</v>
      </c>
      <c r="P2048">
        <f>IF(OR(M2048="",N2048=""),"",SUMIFS('Barang Keluar'!$E:$E,'Barang Keluar'!$A:$A,M2048,'Barang Keluar'!$C:$C,N2048))</f>
        <v>0</v>
      </c>
    </row>
    <row r="2049" spans="13:16">
      <c r="M2049" s="49">
        <f>IF($A$4+20&gt;$B$4,"",$A$4+20)</f>
        <v>46043</v>
      </c>
      <c r="N2049">
        <f>IF(M2049="","",'Master Barang'!A43)</f>
        <v>0</v>
      </c>
      <c r="O2049">
        <f>IF(N2049="","",'Master Barang'!B43)</f>
        <v>0</v>
      </c>
      <c r="P2049">
        <f>IF(OR(M2049="",N2049=""),"",SUMIFS('Barang Keluar'!$E:$E,'Barang Keluar'!$A:$A,M2049,'Barang Keluar'!$C:$C,N2049))</f>
        <v>0</v>
      </c>
    </row>
    <row r="2050" spans="13:16">
      <c r="M2050" s="49">
        <f>IF($A$4+20&gt;$B$4,"",$A$4+20)</f>
        <v>46043</v>
      </c>
      <c r="N2050">
        <f>IF(M2050="","",'Master Barang'!A44)</f>
        <v>0</v>
      </c>
      <c r="O2050">
        <f>IF(N2050="","",'Master Barang'!B44)</f>
        <v>0</v>
      </c>
      <c r="P2050">
        <f>IF(OR(M2050="",N2050=""),"",SUMIFS('Barang Keluar'!$E:$E,'Barang Keluar'!$A:$A,M2050,'Barang Keluar'!$C:$C,N2050))</f>
        <v>0</v>
      </c>
    </row>
    <row r="2051" spans="13:16">
      <c r="M2051" s="49">
        <f>IF($A$4+20&gt;$B$4,"",$A$4+20)</f>
        <v>46043</v>
      </c>
      <c r="N2051">
        <f>IF(M2051="","",'Master Barang'!A45)</f>
        <v>0</v>
      </c>
      <c r="O2051">
        <f>IF(N2051="","",'Master Barang'!B45)</f>
        <v>0</v>
      </c>
      <c r="P2051">
        <f>IF(OR(M2051="",N2051=""),"",SUMIFS('Barang Keluar'!$E:$E,'Barang Keluar'!$A:$A,M2051,'Barang Keluar'!$C:$C,N2051))</f>
        <v>0</v>
      </c>
    </row>
    <row r="2052" spans="13:16">
      <c r="M2052" s="49">
        <f>IF($A$4+20&gt;$B$4,"",$A$4+20)</f>
        <v>46043</v>
      </c>
      <c r="N2052">
        <f>IF(M2052="","",'Master Barang'!A46)</f>
        <v>0</v>
      </c>
      <c r="O2052">
        <f>IF(N2052="","",'Master Barang'!B46)</f>
        <v>0</v>
      </c>
      <c r="P2052">
        <f>IF(OR(M2052="",N2052=""),"",SUMIFS('Barang Keluar'!$E:$E,'Barang Keluar'!$A:$A,M2052,'Barang Keluar'!$C:$C,N2052))</f>
        <v>0</v>
      </c>
    </row>
    <row r="2053" spans="13:16">
      <c r="M2053" s="49">
        <f>IF($A$4+20&gt;$B$4,"",$A$4+20)</f>
        <v>46043</v>
      </c>
      <c r="N2053">
        <f>IF(M2053="","",'Master Barang'!A47)</f>
        <v>0</v>
      </c>
      <c r="O2053">
        <f>IF(N2053="","",'Master Barang'!B47)</f>
        <v>0</v>
      </c>
      <c r="P2053">
        <f>IF(OR(M2053="",N2053=""),"",SUMIFS('Barang Keluar'!$E:$E,'Barang Keluar'!$A:$A,M2053,'Barang Keluar'!$C:$C,N2053))</f>
        <v>0</v>
      </c>
    </row>
    <row r="2054" spans="13:16">
      <c r="M2054" s="49">
        <f>IF($A$4+20&gt;$B$4,"",$A$4+20)</f>
        <v>46043</v>
      </c>
      <c r="N2054">
        <f>IF(M2054="","",'Master Barang'!A48)</f>
        <v>0</v>
      </c>
      <c r="O2054">
        <f>IF(N2054="","",'Master Barang'!B48)</f>
        <v>0</v>
      </c>
      <c r="P2054">
        <f>IF(OR(M2054="",N2054=""),"",SUMIFS('Barang Keluar'!$E:$E,'Barang Keluar'!$A:$A,M2054,'Barang Keluar'!$C:$C,N2054))</f>
        <v>0</v>
      </c>
    </row>
    <row r="2055" spans="13:16">
      <c r="M2055" s="49">
        <f>IF($A$4+20&gt;$B$4,"",$A$4+20)</f>
        <v>46043</v>
      </c>
      <c r="N2055">
        <f>IF(M2055="","",'Master Barang'!A49)</f>
        <v>0</v>
      </c>
      <c r="O2055">
        <f>IF(N2055="","",'Master Barang'!B49)</f>
        <v>0</v>
      </c>
      <c r="P2055">
        <f>IF(OR(M2055="",N2055=""),"",SUMIFS('Barang Keluar'!$E:$E,'Barang Keluar'!$A:$A,M2055,'Barang Keluar'!$C:$C,N2055))</f>
        <v>0</v>
      </c>
    </row>
    <row r="2056" spans="13:16">
      <c r="M2056" s="49">
        <f>IF($A$4+20&gt;$B$4,"",$A$4+20)</f>
        <v>46043</v>
      </c>
      <c r="N2056">
        <f>IF(M2056="","",'Master Barang'!A50)</f>
        <v>0</v>
      </c>
      <c r="O2056">
        <f>IF(N2056="","",'Master Barang'!B50)</f>
        <v>0</v>
      </c>
      <c r="P2056">
        <f>IF(OR(M2056="",N2056=""),"",SUMIFS('Barang Keluar'!$E:$E,'Barang Keluar'!$A:$A,M2056,'Barang Keluar'!$C:$C,N2056))</f>
        <v>0</v>
      </c>
    </row>
    <row r="2057" spans="13:16">
      <c r="M2057" s="49">
        <f>IF($A$4+20&gt;$B$4,"",$A$4+20)</f>
        <v>46043</v>
      </c>
      <c r="N2057">
        <f>IF(M2057="","",'Master Barang'!A51)</f>
        <v>0</v>
      </c>
      <c r="O2057">
        <f>IF(N2057="","",'Master Barang'!B51)</f>
        <v>0</v>
      </c>
      <c r="P2057">
        <f>IF(OR(M2057="",N2057=""),"",SUMIFS('Barang Keluar'!$E:$E,'Barang Keluar'!$A:$A,M2057,'Barang Keluar'!$C:$C,N2057))</f>
        <v>0</v>
      </c>
    </row>
    <row r="2058" spans="13:16">
      <c r="M2058" s="49">
        <f>IF($A$4+20&gt;$B$4,"",$A$4+20)</f>
        <v>46043</v>
      </c>
      <c r="N2058">
        <f>IF(M2058="","",'Master Barang'!A52)</f>
        <v>0</v>
      </c>
      <c r="O2058">
        <f>IF(N2058="","",'Master Barang'!B52)</f>
        <v>0</v>
      </c>
      <c r="P2058">
        <f>IF(OR(M2058="",N2058=""),"",SUMIFS('Barang Keluar'!$E:$E,'Barang Keluar'!$A:$A,M2058,'Barang Keluar'!$C:$C,N2058))</f>
        <v>0</v>
      </c>
    </row>
    <row r="2059" spans="13:16">
      <c r="M2059" s="49">
        <f>IF($A$4+20&gt;$B$4,"",$A$4+20)</f>
        <v>46043</v>
      </c>
      <c r="N2059">
        <f>IF(M2059="","",'Master Barang'!A53)</f>
        <v>0</v>
      </c>
      <c r="O2059">
        <f>IF(N2059="","",'Master Barang'!B53)</f>
        <v>0</v>
      </c>
      <c r="P2059">
        <f>IF(OR(M2059="",N2059=""),"",SUMIFS('Barang Keluar'!$E:$E,'Barang Keluar'!$A:$A,M2059,'Barang Keluar'!$C:$C,N2059))</f>
        <v>0</v>
      </c>
    </row>
    <row r="2060" spans="13:16">
      <c r="M2060" s="49">
        <f>IF($A$4+20&gt;$B$4,"",$A$4+20)</f>
        <v>46043</v>
      </c>
      <c r="N2060">
        <f>IF(M2060="","",'Master Barang'!A54)</f>
        <v>0</v>
      </c>
      <c r="O2060">
        <f>IF(N2060="","",'Master Barang'!B54)</f>
        <v>0</v>
      </c>
      <c r="P2060">
        <f>IF(OR(M2060="",N2060=""),"",SUMIFS('Barang Keluar'!$E:$E,'Barang Keluar'!$A:$A,M2060,'Barang Keluar'!$C:$C,N2060))</f>
        <v>0</v>
      </c>
    </row>
    <row r="2061" spans="13:16">
      <c r="M2061" s="49">
        <f>IF($A$4+20&gt;$B$4,"",$A$4+20)</f>
        <v>46043</v>
      </c>
      <c r="N2061">
        <f>IF(M2061="","",'Master Barang'!A55)</f>
        <v>0</v>
      </c>
      <c r="O2061">
        <f>IF(N2061="","",'Master Barang'!B55)</f>
        <v>0</v>
      </c>
      <c r="P2061">
        <f>IF(OR(M2061="",N2061=""),"",SUMIFS('Barang Keluar'!$E:$E,'Barang Keluar'!$A:$A,M2061,'Barang Keluar'!$C:$C,N2061))</f>
        <v>0</v>
      </c>
    </row>
    <row r="2062" spans="13:16">
      <c r="M2062" s="49">
        <f>IF($A$4+20&gt;$B$4,"",$A$4+20)</f>
        <v>46043</v>
      </c>
      <c r="N2062">
        <f>IF(M2062="","",'Master Barang'!A56)</f>
        <v>0</v>
      </c>
      <c r="O2062">
        <f>IF(N2062="","",'Master Barang'!B56)</f>
        <v>0</v>
      </c>
      <c r="P2062">
        <f>IF(OR(M2062="",N2062=""),"",SUMIFS('Barang Keluar'!$E:$E,'Barang Keluar'!$A:$A,M2062,'Barang Keluar'!$C:$C,N2062))</f>
        <v>0</v>
      </c>
    </row>
    <row r="2063" spans="13:16">
      <c r="M2063" s="49">
        <f>IF($A$4+20&gt;$B$4,"",$A$4+20)</f>
        <v>46043</v>
      </c>
      <c r="N2063">
        <f>IF(M2063="","",'Master Barang'!A57)</f>
        <v>0</v>
      </c>
      <c r="O2063">
        <f>IF(N2063="","",'Master Barang'!B57)</f>
        <v>0</v>
      </c>
      <c r="P2063">
        <f>IF(OR(M2063="",N2063=""),"",SUMIFS('Barang Keluar'!$E:$E,'Barang Keluar'!$A:$A,M2063,'Barang Keluar'!$C:$C,N2063))</f>
        <v>0</v>
      </c>
    </row>
    <row r="2064" spans="13:16">
      <c r="M2064" s="49">
        <f>IF($A$4+20&gt;$B$4,"",$A$4+20)</f>
        <v>46043</v>
      </c>
      <c r="N2064">
        <f>IF(M2064="","",'Master Barang'!A58)</f>
        <v>0</v>
      </c>
      <c r="O2064">
        <f>IF(N2064="","",'Master Barang'!B58)</f>
        <v>0</v>
      </c>
      <c r="P2064">
        <f>IF(OR(M2064="",N2064=""),"",SUMIFS('Barang Keluar'!$E:$E,'Barang Keluar'!$A:$A,M2064,'Barang Keluar'!$C:$C,N2064))</f>
        <v>0</v>
      </c>
    </row>
    <row r="2065" spans="13:16">
      <c r="M2065" s="49">
        <f>IF($A$4+20&gt;$B$4,"",$A$4+20)</f>
        <v>46043</v>
      </c>
      <c r="N2065">
        <f>IF(M2065="","",'Master Barang'!A59)</f>
        <v>0</v>
      </c>
      <c r="O2065">
        <f>IF(N2065="","",'Master Barang'!B59)</f>
        <v>0</v>
      </c>
      <c r="P2065">
        <f>IF(OR(M2065="",N2065=""),"",SUMIFS('Barang Keluar'!$E:$E,'Barang Keluar'!$A:$A,M2065,'Barang Keluar'!$C:$C,N2065))</f>
        <v>0</v>
      </c>
    </row>
    <row r="2066" spans="13:16">
      <c r="M2066" s="49">
        <f>IF($A$4+20&gt;$B$4,"",$A$4+20)</f>
        <v>46043</v>
      </c>
      <c r="N2066">
        <f>IF(M2066="","",'Master Barang'!A60)</f>
        <v>0</v>
      </c>
      <c r="O2066">
        <f>IF(N2066="","",'Master Barang'!B60)</f>
        <v>0</v>
      </c>
      <c r="P2066">
        <f>IF(OR(M2066="",N2066=""),"",SUMIFS('Barang Keluar'!$E:$E,'Barang Keluar'!$A:$A,M2066,'Barang Keluar'!$C:$C,N2066))</f>
        <v>0</v>
      </c>
    </row>
    <row r="2067" spans="13:16">
      <c r="M2067" s="49">
        <f>IF($A$4+20&gt;$B$4,"",$A$4+20)</f>
        <v>46043</v>
      </c>
      <c r="N2067">
        <f>IF(M2067="","",'Master Barang'!A61)</f>
        <v>0</v>
      </c>
      <c r="O2067">
        <f>IF(N2067="","",'Master Barang'!B61)</f>
        <v>0</v>
      </c>
      <c r="P2067">
        <f>IF(OR(M2067="",N2067=""),"",SUMIFS('Barang Keluar'!$E:$E,'Barang Keluar'!$A:$A,M2067,'Barang Keluar'!$C:$C,N2067))</f>
        <v>0</v>
      </c>
    </row>
    <row r="2068" spans="13:16">
      <c r="M2068" s="49">
        <f>IF($A$4+20&gt;$B$4,"",$A$4+20)</f>
        <v>46043</v>
      </c>
      <c r="N2068">
        <f>IF(M2068="","",'Master Barang'!A62)</f>
        <v>0</v>
      </c>
      <c r="O2068">
        <f>IF(N2068="","",'Master Barang'!B62)</f>
        <v>0</v>
      </c>
      <c r="P2068">
        <f>IF(OR(M2068="",N2068=""),"",SUMIFS('Barang Keluar'!$E:$E,'Barang Keluar'!$A:$A,M2068,'Barang Keluar'!$C:$C,N2068))</f>
        <v>0</v>
      </c>
    </row>
    <row r="2069" spans="13:16">
      <c r="M2069" s="49">
        <f>IF($A$4+20&gt;$B$4,"",$A$4+20)</f>
        <v>46043</v>
      </c>
      <c r="N2069">
        <f>IF(M2069="","",'Master Barang'!A63)</f>
        <v>0</v>
      </c>
      <c r="O2069">
        <f>IF(N2069="","",'Master Barang'!B63)</f>
        <v>0</v>
      </c>
      <c r="P2069">
        <f>IF(OR(M2069="",N2069=""),"",SUMIFS('Barang Keluar'!$E:$E,'Barang Keluar'!$A:$A,M2069,'Barang Keluar'!$C:$C,N2069))</f>
        <v>0</v>
      </c>
    </row>
    <row r="2070" spans="13:16">
      <c r="M2070" s="49">
        <f>IF($A$4+20&gt;$B$4,"",$A$4+20)</f>
        <v>46043</v>
      </c>
      <c r="N2070">
        <f>IF(M2070="","",'Master Barang'!A64)</f>
        <v>0</v>
      </c>
      <c r="O2070">
        <f>IF(N2070="","",'Master Barang'!B64)</f>
        <v>0</v>
      </c>
      <c r="P2070">
        <f>IF(OR(M2070="",N2070=""),"",SUMIFS('Barang Keluar'!$E:$E,'Barang Keluar'!$A:$A,M2070,'Barang Keluar'!$C:$C,N2070))</f>
        <v>0</v>
      </c>
    </row>
    <row r="2071" spans="13:16">
      <c r="M2071" s="49">
        <f>IF($A$4+20&gt;$B$4,"",$A$4+20)</f>
        <v>46043</v>
      </c>
      <c r="N2071">
        <f>IF(M2071="","",'Master Barang'!A65)</f>
        <v>0</v>
      </c>
      <c r="O2071">
        <f>IF(N2071="","",'Master Barang'!B65)</f>
        <v>0</v>
      </c>
      <c r="P2071">
        <f>IF(OR(M2071="",N2071=""),"",SUMIFS('Barang Keluar'!$E:$E,'Barang Keluar'!$A:$A,M2071,'Barang Keluar'!$C:$C,N2071))</f>
        <v>0</v>
      </c>
    </row>
    <row r="2072" spans="13:16">
      <c r="M2072" s="49">
        <f>IF($A$4+20&gt;$B$4,"",$A$4+20)</f>
        <v>46043</v>
      </c>
      <c r="N2072">
        <f>IF(M2072="","",'Master Barang'!A66)</f>
        <v>0</v>
      </c>
      <c r="O2072">
        <f>IF(N2072="","",'Master Barang'!B66)</f>
        <v>0</v>
      </c>
      <c r="P2072">
        <f>IF(OR(M2072="",N2072=""),"",SUMIFS('Barang Keluar'!$E:$E,'Barang Keluar'!$A:$A,M2072,'Barang Keluar'!$C:$C,N2072))</f>
        <v>0</v>
      </c>
    </row>
    <row r="2073" spans="13:16">
      <c r="M2073" s="49">
        <f>IF($A$4+20&gt;$B$4,"",$A$4+20)</f>
        <v>46043</v>
      </c>
      <c r="N2073">
        <f>IF(M2073="","",'Master Barang'!A67)</f>
        <v>0</v>
      </c>
      <c r="O2073">
        <f>IF(N2073="","",'Master Barang'!B67)</f>
        <v>0</v>
      </c>
      <c r="P2073">
        <f>IF(OR(M2073="",N2073=""),"",SUMIFS('Barang Keluar'!$E:$E,'Barang Keluar'!$A:$A,M2073,'Barang Keluar'!$C:$C,N2073))</f>
        <v>0</v>
      </c>
    </row>
    <row r="2074" spans="13:16">
      <c r="M2074" s="49">
        <f>IF($A$4+20&gt;$B$4,"",$A$4+20)</f>
        <v>46043</v>
      </c>
      <c r="N2074">
        <f>IF(M2074="","",'Master Barang'!A68)</f>
        <v>0</v>
      </c>
      <c r="O2074">
        <f>IF(N2074="","",'Master Barang'!B68)</f>
        <v>0</v>
      </c>
      <c r="P2074">
        <f>IF(OR(M2074="",N2074=""),"",SUMIFS('Barang Keluar'!$E:$E,'Barang Keluar'!$A:$A,M2074,'Barang Keluar'!$C:$C,N2074))</f>
        <v>0</v>
      </c>
    </row>
    <row r="2075" spans="13:16">
      <c r="M2075" s="49">
        <f>IF($A$4+20&gt;$B$4,"",$A$4+20)</f>
        <v>46043</v>
      </c>
      <c r="N2075">
        <f>IF(M2075="","",'Master Barang'!A69)</f>
        <v>0</v>
      </c>
      <c r="O2075">
        <f>IF(N2075="","",'Master Barang'!B69)</f>
        <v>0</v>
      </c>
      <c r="P2075">
        <f>IF(OR(M2075="",N2075=""),"",SUMIFS('Barang Keluar'!$E:$E,'Barang Keluar'!$A:$A,M2075,'Barang Keluar'!$C:$C,N2075))</f>
        <v>0</v>
      </c>
    </row>
    <row r="2076" spans="13:16">
      <c r="M2076" s="49">
        <f>IF($A$4+20&gt;$B$4,"",$A$4+20)</f>
        <v>46043</v>
      </c>
      <c r="N2076">
        <f>IF(M2076="","",'Master Barang'!A70)</f>
        <v>0</v>
      </c>
      <c r="O2076">
        <f>IF(N2076="","",'Master Barang'!B70)</f>
        <v>0</v>
      </c>
      <c r="P2076">
        <f>IF(OR(M2076="",N2076=""),"",SUMIFS('Barang Keluar'!$E:$E,'Barang Keluar'!$A:$A,M2076,'Barang Keluar'!$C:$C,N2076))</f>
        <v>0</v>
      </c>
    </row>
    <row r="2077" spans="13:16">
      <c r="M2077" s="49">
        <f>IF($A$4+20&gt;$B$4,"",$A$4+20)</f>
        <v>46043</v>
      </c>
      <c r="N2077">
        <f>IF(M2077="","",'Master Barang'!A71)</f>
        <v>0</v>
      </c>
      <c r="O2077">
        <f>IF(N2077="","",'Master Barang'!B71)</f>
        <v>0</v>
      </c>
      <c r="P2077">
        <f>IF(OR(M2077="",N2077=""),"",SUMIFS('Barang Keluar'!$E:$E,'Barang Keluar'!$A:$A,M2077,'Barang Keluar'!$C:$C,N2077))</f>
        <v>0</v>
      </c>
    </row>
    <row r="2078" spans="13:16">
      <c r="M2078" s="49">
        <f>IF($A$4+20&gt;$B$4,"",$A$4+20)</f>
        <v>46043</v>
      </c>
      <c r="N2078">
        <f>IF(M2078="","",'Master Barang'!A72)</f>
        <v>0</v>
      </c>
      <c r="O2078">
        <f>IF(N2078="","",'Master Barang'!B72)</f>
        <v>0</v>
      </c>
      <c r="P2078">
        <f>IF(OR(M2078="",N2078=""),"",SUMIFS('Barang Keluar'!$E:$E,'Barang Keluar'!$A:$A,M2078,'Barang Keluar'!$C:$C,N2078))</f>
        <v>0</v>
      </c>
    </row>
    <row r="2079" spans="13:16">
      <c r="M2079" s="49">
        <f>IF($A$4+20&gt;$B$4,"",$A$4+20)</f>
        <v>46043</v>
      </c>
      <c r="N2079">
        <f>IF(M2079="","",'Master Barang'!A73)</f>
        <v>0</v>
      </c>
      <c r="O2079">
        <f>IF(N2079="","",'Master Barang'!B73)</f>
        <v>0</v>
      </c>
      <c r="P2079">
        <f>IF(OR(M2079="",N2079=""),"",SUMIFS('Barang Keluar'!$E:$E,'Barang Keluar'!$A:$A,M2079,'Barang Keluar'!$C:$C,N2079))</f>
        <v>0</v>
      </c>
    </row>
    <row r="2080" spans="13:16">
      <c r="M2080" s="49">
        <f>IF($A$4+20&gt;$B$4,"",$A$4+20)</f>
        <v>46043</v>
      </c>
      <c r="N2080">
        <f>IF(M2080="","",'Master Barang'!A74)</f>
        <v>0</v>
      </c>
      <c r="O2080">
        <f>IF(N2080="","",'Master Barang'!B74)</f>
        <v>0</v>
      </c>
      <c r="P2080">
        <f>IF(OR(M2080="",N2080=""),"",SUMIFS('Barang Keluar'!$E:$E,'Barang Keluar'!$A:$A,M2080,'Barang Keluar'!$C:$C,N2080))</f>
        <v>0</v>
      </c>
    </row>
    <row r="2081" spans="13:16">
      <c r="M2081" s="49">
        <f>IF($A$4+20&gt;$B$4,"",$A$4+20)</f>
        <v>46043</v>
      </c>
      <c r="N2081">
        <f>IF(M2081="","",'Master Barang'!A75)</f>
        <v>0</v>
      </c>
      <c r="O2081">
        <f>IF(N2081="","",'Master Barang'!B75)</f>
        <v>0</v>
      </c>
      <c r="P2081">
        <f>IF(OR(M2081="",N2081=""),"",SUMIFS('Barang Keluar'!$E:$E,'Barang Keluar'!$A:$A,M2081,'Barang Keluar'!$C:$C,N2081))</f>
        <v>0</v>
      </c>
    </row>
    <row r="2082" spans="13:16">
      <c r="M2082" s="49">
        <f>IF($A$4+20&gt;$B$4,"",$A$4+20)</f>
        <v>46043</v>
      </c>
      <c r="N2082">
        <f>IF(M2082="","",'Master Barang'!A76)</f>
        <v>0</v>
      </c>
      <c r="O2082">
        <f>IF(N2082="","",'Master Barang'!B76)</f>
        <v>0</v>
      </c>
      <c r="P2082">
        <f>IF(OR(M2082="",N2082=""),"",SUMIFS('Barang Keluar'!$E:$E,'Barang Keluar'!$A:$A,M2082,'Barang Keluar'!$C:$C,N2082))</f>
        <v>0</v>
      </c>
    </row>
    <row r="2083" spans="13:16">
      <c r="M2083" s="49">
        <f>IF($A$4+20&gt;$B$4,"",$A$4+20)</f>
        <v>46043</v>
      </c>
      <c r="N2083">
        <f>IF(M2083="","",'Master Barang'!A77)</f>
        <v>0</v>
      </c>
      <c r="O2083">
        <f>IF(N2083="","",'Master Barang'!B77)</f>
        <v>0</v>
      </c>
      <c r="P2083">
        <f>IF(OR(M2083="",N2083=""),"",SUMIFS('Barang Keluar'!$E:$E,'Barang Keluar'!$A:$A,M2083,'Barang Keluar'!$C:$C,N2083))</f>
        <v>0</v>
      </c>
    </row>
    <row r="2084" spans="13:16">
      <c r="M2084" s="49">
        <f>IF($A$4+20&gt;$B$4,"",$A$4+20)</f>
        <v>46043</v>
      </c>
      <c r="N2084">
        <f>IF(M2084="","",'Master Barang'!A78)</f>
        <v>0</v>
      </c>
      <c r="O2084">
        <f>IF(N2084="","",'Master Barang'!B78)</f>
        <v>0</v>
      </c>
      <c r="P2084">
        <f>IF(OR(M2084="",N2084=""),"",SUMIFS('Barang Keluar'!$E:$E,'Barang Keluar'!$A:$A,M2084,'Barang Keluar'!$C:$C,N2084))</f>
        <v>0</v>
      </c>
    </row>
    <row r="2085" spans="13:16">
      <c r="M2085" s="49">
        <f>IF($A$4+20&gt;$B$4,"",$A$4+20)</f>
        <v>46043</v>
      </c>
      <c r="N2085">
        <f>IF(M2085="","",'Master Barang'!A79)</f>
        <v>0</v>
      </c>
      <c r="O2085">
        <f>IF(N2085="","",'Master Barang'!B79)</f>
        <v>0</v>
      </c>
      <c r="P2085">
        <f>IF(OR(M2085="",N2085=""),"",SUMIFS('Barang Keluar'!$E:$E,'Barang Keluar'!$A:$A,M2085,'Barang Keluar'!$C:$C,N2085))</f>
        <v>0</v>
      </c>
    </row>
    <row r="2086" spans="13:16">
      <c r="M2086" s="49">
        <f>IF($A$4+20&gt;$B$4,"",$A$4+20)</f>
        <v>46043</v>
      </c>
      <c r="N2086">
        <f>IF(M2086="","",'Master Barang'!A80)</f>
        <v>0</v>
      </c>
      <c r="O2086">
        <f>IF(N2086="","",'Master Barang'!B80)</f>
        <v>0</v>
      </c>
      <c r="P2086">
        <f>IF(OR(M2086="",N2086=""),"",SUMIFS('Barang Keluar'!$E:$E,'Barang Keluar'!$A:$A,M2086,'Barang Keluar'!$C:$C,N2086))</f>
        <v>0</v>
      </c>
    </row>
    <row r="2087" spans="13:16">
      <c r="M2087" s="49">
        <f>IF($A$4+20&gt;$B$4,"",$A$4+20)</f>
        <v>46043</v>
      </c>
      <c r="N2087">
        <f>IF(M2087="","",'Master Barang'!A81)</f>
        <v>0</v>
      </c>
      <c r="O2087">
        <f>IF(N2087="","",'Master Barang'!B81)</f>
        <v>0</v>
      </c>
      <c r="P2087">
        <f>IF(OR(M2087="",N2087=""),"",SUMIFS('Barang Keluar'!$E:$E,'Barang Keluar'!$A:$A,M2087,'Barang Keluar'!$C:$C,N2087))</f>
        <v>0</v>
      </c>
    </row>
    <row r="2088" spans="13:16">
      <c r="M2088" s="49">
        <f>IF($A$4+20&gt;$B$4,"",$A$4+20)</f>
        <v>46043</v>
      </c>
      <c r="N2088">
        <f>IF(M2088="","",'Master Barang'!A82)</f>
        <v>0</v>
      </c>
      <c r="O2088">
        <f>IF(N2088="","",'Master Barang'!B82)</f>
        <v>0</v>
      </c>
      <c r="P2088">
        <f>IF(OR(M2088="",N2088=""),"",SUMIFS('Barang Keluar'!$E:$E,'Barang Keluar'!$A:$A,M2088,'Barang Keluar'!$C:$C,N2088))</f>
        <v>0</v>
      </c>
    </row>
    <row r="2089" spans="13:16">
      <c r="M2089" s="49">
        <f>IF($A$4+20&gt;$B$4,"",$A$4+20)</f>
        <v>46043</v>
      </c>
      <c r="N2089">
        <f>IF(M2089="","",'Master Barang'!A83)</f>
        <v>0</v>
      </c>
      <c r="O2089">
        <f>IF(N2089="","",'Master Barang'!B83)</f>
        <v>0</v>
      </c>
      <c r="P2089">
        <f>IF(OR(M2089="",N2089=""),"",SUMIFS('Barang Keluar'!$E:$E,'Barang Keluar'!$A:$A,M2089,'Barang Keluar'!$C:$C,N2089))</f>
        <v>0</v>
      </c>
    </row>
    <row r="2090" spans="13:16">
      <c r="M2090" s="49">
        <f>IF($A$4+20&gt;$B$4,"",$A$4+20)</f>
        <v>46043</v>
      </c>
      <c r="N2090">
        <f>IF(M2090="","",'Master Barang'!A84)</f>
        <v>0</v>
      </c>
      <c r="O2090">
        <f>IF(N2090="","",'Master Barang'!B84)</f>
        <v>0</v>
      </c>
      <c r="P2090">
        <f>IF(OR(M2090="",N2090=""),"",SUMIFS('Barang Keluar'!$E:$E,'Barang Keluar'!$A:$A,M2090,'Barang Keluar'!$C:$C,N2090))</f>
        <v>0</v>
      </c>
    </row>
    <row r="2091" spans="13:16">
      <c r="M2091" s="49">
        <f>IF($A$4+20&gt;$B$4,"",$A$4+20)</f>
        <v>46043</v>
      </c>
      <c r="N2091">
        <f>IF(M2091="","",'Master Barang'!A85)</f>
        <v>0</v>
      </c>
      <c r="O2091">
        <f>IF(N2091="","",'Master Barang'!B85)</f>
        <v>0</v>
      </c>
      <c r="P2091">
        <f>IF(OR(M2091="",N2091=""),"",SUMIFS('Barang Keluar'!$E:$E,'Barang Keluar'!$A:$A,M2091,'Barang Keluar'!$C:$C,N2091))</f>
        <v>0</v>
      </c>
    </row>
    <row r="2092" spans="13:16">
      <c r="M2092" s="49">
        <f>IF($A$4+20&gt;$B$4,"",$A$4+20)</f>
        <v>46043</v>
      </c>
      <c r="N2092">
        <f>IF(M2092="","",'Master Barang'!A86)</f>
        <v>0</v>
      </c>
      <c r="O2092">
        <f>IF(N2092="","",'Master Barang'!B86)</f>
        <v>0</v>
      </c>
      <c r="P2092">
        <f>IF(OR(M2092="",N2092=""),"",SUMIFS('Barang Keluar'!$E:$E,'Barang Keluar'!$A:$A,M2092,'Barang Keluar'!$C:$C,N2092))</f>
        <v>0</v>
      </c>
    </row>
    <row r="2093" spans="13:16">
      <c r="M2093" s="49">
        <f>IF($A$4+20&gt;$B$4,"",$A$4+20)</f>
        <v>46043</v>
      </c>
      <c r="N2093">
        <f>IF(M2093="","",'Master Barang'!A87)</f>
        <v>0</v>
      </c>
      <c r="O2093">
        <f>IF(N2093="","",'Master Barang'!B87)</f>
        <v>0</v>
      </c>
      <c r="P2093">
        <f>IF(OR(M2093="",N2093=""),"",SUMIFS('Barang Keluar'!$E:$E,'Barang Keluar'!$A:$A,M2093,'Barang Keluar'!$C:$C,N2093))</f>
        <v>0</v>
      </c>
    </row>
    <row r="2094" spans="13:16">
      <c r="M2094" s="49">
        <f>IF($A$4+20&gt;$B$4,"",$A$4+20)</f>
        <v>46043</v>
      </c>
      <c r="N2094">
        <f>IF(M2094="","",'Master Barang'!A88)</f>
        <v>0</v>
      </c>
      <c r="O2094">
        <f>IF(N2094="","",'Master Barang'!B88)</f>
        <v>0</v>
      </c>
      <c r="P2094">
        <f>IF(OR(M2094="",N2094=""),"",SUMIFS('Barang Keluar'!$E:$E,'Barang Keluar'!$A:$A,M2094,'Barang Keluar'!$C:$C,N2094))</f>
        <v>0</v>
      </c>
    </row>
    <row r="2095" spans="13:16">
      <c r="M2095" s="49">
        <f>IF($A$4+20&gt;$B$4,"",$A$4+20)</f>
        <v>46043</v>
      </c>
      <c r="N2095">
        <f>IF(M2095="","",'Master Barang'!A89)</f>
        <v>0</v>
      </c>
      <c r="O2095">
        <f>IF(N2095="","",'Master Barang'!B89)</f>
        <v>0</v>
      </c>
      <c r="P2095">
        <f>IF(OR(M2095="",N2095=""),"",SUMIFS('Barang Keluar'!$E:$E,'Barang Keluar'!$A:$A,M2095,'Barang Keluar'!$C:$C,N2095))</f>
        <v>0</v>
      </c>
    </row>
    <row r="2096" spans="13:16">
      <c r="M2096" s="49">
        <f>IF($A$4+20&gt;$B$4,"",$A$4+20)</f>
        <v>46043</v>
      </c>
      <c r="N2096">
        <f>IF(M2096="","",'Master Barang'!A90)</f>
        <v>0</v>
      </c>
      <c r="O2096">
        <f>IF(N2096="","",'Master Barang'!B90)</f>
        <v>0</v>
      </c>
      <c r="P2096">
        <f>IF(OR(M2096="",N2096=""),"",SUMIFS('Barang Keluar'!$E:$E,'Barang Keluar'!$A:$A,M2096,'Barang Keluar'!$C:$C,N2096))</f>
        <v>0</v>
      </c>
    </row>
    <row r="2097" spans="13:16">
      <c r="M2097" s="49">
        <f>IF($A$4+20&gt;$B$4,"",$A$4+20)</f>
        <v>46043</v>
      </c>
      <c r="N2097">
        <f>IF(M2097="","",'Master Barang'!A91)</f>
        <v>0</v>
      </c>
      <c r="O2097">
        <f>IF(N2097="","",'Master Barang'!B91)</f>
        <v>0</v>
      </c>
      <c r="P2097">
        <f>IF(OR(M2097="",N2097=""),"",SUMIFS('Barang Keluar'!$E:$E,'Barang Keluar'!$A:$A,M2097,'Barang Keluar'!$C:$C,N2097))</f>
        <v>0</v>
      </c>
    </row>
    <row r="2098" spans="13:16">
      <c r="M2098" s="49">
        <f>IF($A$4+20&gt;$B$4,"",$A$4+20)</f>
        <v>46043</v>
      </c>
      <c r="N2098">
        <f>IF(M2098="","",'Master Barang'!A92)</f>
        <v>0</v>
      </c>
      <c r="O2098">
        <f>IF(N2098="","",'Master Barang'!B92)</f>
        <v>0</v>
      </c>
      <c r="P2098">
        <f>IF(OR(M2098="",N2098=""),"",SUMIFS('Barang Keluar'!$E:$E,'Barang Keluar'!$A:$A,M2098,'Barang Keluar'!$C:$C,N2098))</f>
        <v>0</v>
      </c>
    </row>
    <row r="2099" spans="13:16">
      <c r="M2099" s="49">
        <f>IF($A$4+20&gt;$B$4,"",$A$4+20)</f>
        <v>46043</v>
      </c>
      <c r="N2099">
        <f>IF(M2099="","",'Master Barang'!A93)</f>
        <v>0</v>
      </c>
      <c r="O2099">
        <f>IF(N2099="","",'Master Barang'!B93)</f>
        <v>0</v>
      </c>
      <c r="P2099">
        <f>IF(OR(M2099="",N2099=""),"",SUMIFS('Barang Keluar'!$E:$E,'Barang Keluar'!$A:$A,M2099,'Barang Keluar'!$C:$C,N2099))</f>
        <v>0</v>
      </c>
    </row>
    <row r="2100" spans="13:16">
      <c r="M2100" s="49">
        <f>IF($A$4+20&gt;$B$4,"",$A$4+20)</f>
        <v>46043</v>
      </c>
      <c r="N2100">
        <f>IF(M2100="","",'Master Barang'!A94)</f>
        <v>0</v>
      </c>
      <c r="O2100">
        <f>IF(N2100="","",'Master Barang'!B94)</f>
        <v>0</v>
      </c>
      <c r="P2100">
        <f>IF(OR(M2100="",N2100=""),"",SUMIFS('Barang Keluar'!$E:$E,'Barang Keluar'!$A:$A,M2100,'Barang Keluar'!$C:$C,N2100))</f>
        <v>0</v>
      </c>
    </row>
    <row r="2101" spans="13:16">
      <c r="M2101" s="49">
        <f>IF($A$4+20&gt;$B$4,"",$A$4+20)</f>
        <v>46043</v>
      </c>
      <c r="N2101">
        <f>IF(M2101="","",'Master Barang'!A95)</f>
        <v>0</v>
      </c>
      <c r="O2101">
        <f>IF(N2101="","",'Master Barang'!B95)</f>
        <v>0</v>
      </c>
      <c r="P2101">
        <f>IF(OR(M2101="",N2101=""),"",SUMIFS('Barang Keluar'!$E:$E,'Barang Keluar'!$A:$A,M2101,'Barang Keluar'!$C:$C,N2101))</f>
        <v>0</v>
      </c>
    </row>
    <row r="2102" spans="13:16">
      <c r="M2102" s="49">
        <f>IF($A$4+20&gt;$B$4,"",$A$4+20)</f>
        <v>46043</v>
      </c>
      <c r="N2102">
        <f>IF(M2102="","",'Master Barang'!A96)</f>
        <v>0</v>
      </c>
      <c r="O2102">
        <f>IF(N2102="","",'Master Barang'!B96)</f>
        <v>0</v>
      </c>
      <c r="P2102">
        <f>IF(OR(M2102="",N2102=""),"",SUMIFS('Barang Keluar'!$E:$E,'Barang Keluar'!$A:$A,M2102,'Barang Keluar'!$C:$C,N2102))</f>
        <v>0</v>
      </c>
    </row>
    <row r="2103" spans="13:16">
      <c r="M2103" s="49">
        <f>IF($A$4+20&gt;$B$4,"",$A$4+20)</f>
        <v>46043</v>
      </c>
      <c r="N2103">
        <f>IF(M2103="","",'Master Barang'!A97)</f>
        <v>0</v>
      </c>
      <c r="O2103">
        <f>IF(N2103="","",'Master Barang'!B97)</f>
        <v>0</v>
      </c>
      <c r="P2103">
        <f>IF(OR(M2103="",N2103=""),"",SUMIFS('Barang Keluar'!$E:$E,'Barang Keluar'!$A:$A,M2103,'Barang Keluar'!$C:$C,N2103))</f>
        <v>0</v>
      </c>
    </row>
    <row r="2104" spans="13:16">
      <c r="M2104" s="49">
        <f>IF($A$4+20&gt;$B$4,"",$A$4+20)</f>
        <v>46043</v>
      </c>
      <c r="N2104">
        <f>IF(M2104="","",'Master Barang'!A98)</f>
        <v>0</v>
      </c>
      <c r="O2104">
        <f>IF(N2104="","",'Master Barang'!B98)</f>
        <v>0</v>
      </c>
      <c r="P2104">
        <f>IF(OR(M2104="",N2104=""),"",SUMIFS('Barang Keluar'!$E:$E,'Barang Keluar'!$A:$A,M2104,'Barang Keluar'!$C:$C,N2104))</f>
        <v>0</v>
      </c>
    </row>
    <row r="2105" spans="13:16">
      <c r="M2105" s="49">
        <f>IF($A$4+20&gt;$B$4,"",$A$4+20)</f>
        <v>46043</v>
      </c>
      <c r="N2105">
        <f>IF(M2105="","",'Master Barang'!A99)</f>
        <v>0</v>
      </c>
      <c r="O2105">
        <f>IF(N2105="","",'Master Barang'!B99)</f>
        <v>0</v>
      </c>
      <c r="P2105">
        <f>IF(OR(M2105="",N2105=""),"",SUMIFS('Barang Keluar'!$E:$E,'Barang Keluar'!$A:$A,M2105,'Barang Keluar'!$C:$C,N2105))</f>
        <v>0</v>
      </c>
    </row>
    <row r="2106" spans="13:16">
      <c r="M2106" s="49">
        <f>IF($A$4+20&gt;$B$4,"",$A$4+20)</f>
        <v>46043</v>
      </c>
      <c r="N2106">
        <f>IF(M2106="","",'Master Barang'!A100)</f>
        <v>0</v>
      </c>
      <c r="O2106">
        <f>IF(N2106="","",'Master Barang'!B100)</f>
        <v>0</v>
      </c>
      <c r="P2106">
        <f>IF(OR(M2106="",N2106=""),"",SUMIFS('Barang Keluar'!$E:$E,'Barang Keluar'!$A:$A,M2106,'Barang Keluar'!$C:$C,N2106))</f>
        <v>0</v>
      </c>
    </row>
    <row r="2107" spans="13:16">
      <c r="M2107" s="49">
        <f>IF($A$4+20&gt;$B$4,"",$A$4+20)</f>
        <v>46043</v>
      </c>
      <c r="N2107">
        <f>IF(M2107="","",'Master Barang'!A101)</f>
        <v>0</v>
      </c>
      <c r="O2107">
        <f>IF(N2107="","",'Master Barang'!B101)</f>
        <v>0</v>
      </c>
      <c r="P2107">
        <f>IF(OR(M2107="",N2107=""),"",SUMIFS('Barang Keluar'!$E:$E,'Barang Keluar'!$A:$A,M2107,'Barang Keluar'!$C:$C,N2107))</f>
        <v>0</v>
      </c>
    </row>
    <row r="2108" spans="13:16">
      <c r="M2108" s="49">
        <f>IF($A$4+21&gt;$B$4,"",$A$4+21)</f>
        <v>46044</v>
      </c>
      <c r="N2108" t="str">
        <f>IF(M2108="","",'Master Barang'!A2)</f>
        <v>PRL-001</v>
      </c>
      <c r="O2108" t="str">
        <f>IF(N2108="","",'Master Barang'!B2)</f>
        <v>natura desinfectant food grade 5l</v>
      </c>
      <c r="P2108">
        <f>IF(OR(M2108="",N2108=""),"",SUMIFS('Barang Keluar'!$E:$E,'Barang Keluar'!$A:$A,M2108,'Barang Keluar'!$C:$C,N2108))</f>
        <v>0</v>
      </c>
    </row>
    <row r="2109" spans="13:16">
      <c r="M2109" s="49">
        <f>IF($A$4+21&gt;$B$4,"",$A$4+21)</f>
        <v>46044</v>
      </c>
      <c r="N2109" t="str">
        <f>IF(M2109="","",'Master Barang'!A3)</f>
        <v>PRL-002</v>
      </c>
      <c r="O2109" t="str">
        <f>IF(N2109="","",'Master Barang'!B3)</f>
        <v>sunlight cairan pencuci piring 5l</v>
      </c>
      <c r="P2109">
        <f>IF(OR(M2109="",N2109=""),"",SUMIFS('Barang Keluar'!$E:$E,'Barang Keluar'!$A:$A,M2109,'Barang Keluar'!$C:$C,N2109))</f>
        <v>0</v>
      </c>
    </row>
    <row r="2110" spans="13:16">
      <c r="M2110" s="49">
        <f>IF($A$4+21&gt;$B$4,"",$A$4+21)</f>
        <v>46044</v>
      </c>
      <c r="N2110" t="str">
        <f>IF(M2110="","",'Master Barang'!A4)</f>
        <v>PRL-003</v>
      </c>
      <c r="O2110" t="str">
        <f>IF(N2110="","",'Master Barang'!B4)</f>
        <v>oixs cleaner 1l</v>
      </c>
      <c r="P2110">
        <f>IF(OR(M2110="",N2110=""),"",SUMIFS('Barang Keluar'!$E:$E,'Barang Keluar'!$A:$A,M2110,'Barang Keluar'!$C:$C,N2110))</f>
        <v>0</v>
      </c>
    </row>
    <row r="2111" spans="13:16">
      <c r="M2111" s="49">
        <f>IF($A$4+21&gt;$B$4,"",$A$4+21)</f>
        <v>46044</v>
      </c>
      <c r="N2111" t="str">
        <f>IF(M2111="","",'Master Barang'!A5)</f>
        <v>PRL-004</v>
      </c>
      <c r="O2111" t="str">
        <f>IF(N2111="","",'Master Barang'!B5)</f>
        <v>be clean tissue serbaguna</v>
      </c>
      <c r="P2111">
        <f>IF(OR(M2111="",N2111=""),"",SUMIFS('Barang Keluar'!$E:$E,'Barang Keluar'!$A:$A,M2111,'Barang Keluar'!$C:$C,N2111))</f>
        <v>0</v>
      </c>
    </row>
    <row r="2112" spans="13:16">
      <c r="M2112" s="49">
        <f>IF($A$4+21&gt;$B$4,"",$A$4+21)</f>
        <v>46044</v>
      </c>
      <c r="N2112" t="str">
        <f>IF(M2112="","",'Master Barang'!A6)</f>
        <v>PRL-005</v>
      </c>
      <c r="O2112" t="str">
        <f>IF(N2112="","",'Master Barang'!B6)</f>
        <v>spons cuci hijau</v>
      </c>
      <c r="P2112">
        <f>IF(OR(M2112="",N2112=""),"",SUMIFS('Barang Keluar'!$E:$E,'Barang Keluar'!$A:$A,M2112,'Barang Keluar'!$C:$C,N2112))</f>
        <v>0</v>
      </c>
    </row>
    <row r="2113" spans="13:16">
      <c r="M2113" s="49">
        <f>IF($A$4+21&gt;$B$4,"",$A$4+21)</f>
        <v>46044</v>
      </c>
      <c r="N2113" t="str">
        <f>IF(M2113="","",'Master Barang'!A7)</f>
        <v>PRL-006</v>
      </c>
      <c r="O2113" t="str">
        <f>IF(N2113="","",'Master Barang'!B7)</f>
        <v>sabut cuci stainless</v>
      </c>
      <c r="P2113">
        <f>IF(OR(M2113="",N2113=""),"",SUMIFS('Barang Keluar'!$E:$E,'Barang Keluar'!$A:$A,M2113,'Barang Keluar'!$C:$C,N2113))</f>
        <v>0</v>
      </c>
    </row>
    <row r="2114" spans="13:16">
      <c r="M2114" s="49">
        <f>IF($A$4+21&gt;$B$4,"",$A$4+21)</f>
        <v>46044</v>
      </c>
      <c r="N2114" t="str">
        <f>IF(M2114="","",'Master Barang'!A8)</f>
        <v>PRL-007</v>
      </c>
      <c r="O2114" t="str">
        <f>IF(N2114="","",'Master Barang'!B8)</f>
        <v>plastik kresek besar merah 50pc</v>
      </c>
      <c r="P2114">
        <f>IF(OR(M2114="",N2114=""),"",SUMIFS('Barang Keluar'!$E:$E,'Barang Keluar'!$A:$A,M2114,'Barang Keluar'!$C:$C,N2114))</f>
        <v>0</v>
      </c>
    </row>
    <row r="2115" spans="13:16">
      <c r="M2115" s="49">
        <f>IF($A$4+21&gt;$B$4,"",$A$4+21)</f>
        <v>46044</v>
      </c>
      <c r="N2115" t="str">
        <f>IF(M2115="","",'Master Barang'!A9)</f>
        <v>PRL-008</v>
      </c>
      <c r="O2115" t="str">
        <f>IF(N2115="","",'Master Barang'!B9)</f>
        <v>lap besar</v>
      </c>
      <c r="P2115">
        <f>IF(OR(M2115="",N2115=""),"",SUMIFS('Barang Keluar'!$E:$E,'Barang Keluar'!$A:$A,M2115,'Barang Keluar'!$C:$C,N2115))</f>
        <v>0</v>
      </c>
    </row>
    <row r="2116" spans="13:16">
      <c r="M2116" s="49">
        <f>IF($A$4+21&gt;$B$4,"",$A$4+21)</f>
        <v>46044</v>
      </c>
      <c r="N2116" t="str">
        <f>IF(M2116="","",'Master Barang'!A10)</f>
        <v>PRL-009</v>
      </c>
      <c r="O2116" t="str">
        <f>IF(N2116="","",'Master Barang'!B10)</f>
        <v>lap microfiber</v>
      </c>
      <c r="P2116">
        <f>IF(OR(M2116="",N2116=""),"",SUMIFS('Barang Keluar'!$E:$E,'Barang Keluar'!$A:$A,M2116,'Barang Keluar'!$C:$C,N2116))</f>
        <v>0</v>
      </c>
    </row>
    <row r="2117" spans="13:16">
      <c r="M2117" s="49">
        <f>IF($A$4+21&gt;$B$4,"",$A$4+21)</f>
        <v>46044</v>
      </c>
      <c r="N2117" t="str">
        <f>IF(M2117="","",'Master Barang'!A11)</f>
        <v>PRL-010</v>
      </c>
      <c r="O2117" t="str">
        <f>IF(N2117="","",'Master Barang'!B11)</f>
        <v>lap kecil</v>
      </c>
      <c r="P2117">
        <f>IF(OR(M2117="",N2117=""),"",SUMIFS('Barang Keluar'!$E:$E,'Barang Keluar'!$A:$A,M2117,'Barang Keluar'!$C:$C,N2117))</f>
        <v>0</v>
      </c>
    </row>
    <row r="2118" spans="13:16">
      <c r="M2118" s="49">
        <f>IF($A$4+21&gt;$B$4,"",$A$4+21)</f>
        <v>46044</v>
      </c>
      <c r="N2118" t="str">
        <f>IF(M2118="","",'Master Barang'!A12)</f>
        <v>PRL-011</v>
      </c>
      <c r="O2118" t="str">
        <f>IF(N2118="","",'Master Barang'!B12)</f>
        <v>kanebo kecil</v>
      </c>
      <c r="P2118">
        <f>IF(OR(M2118="",N2118=""),"",SUMIFS('Barang Keluar'!$E:$E,'Barang Keluar'!$A:$A,M2118,'Barang Keluar'!$C:$C,N2118))</f>
        <v>0</v>
      </c>
    </row>
    <row r="2119" spans="13:16">
      <c r="M2119" s="49">
        <f>IF($A$4+21&gt;$B$4,"",$A$4+21)</f>
        <v>46044</v>
      </c>
      <c r="N2119" t="str">
        <f>IF(M2119="","",'Master Barang'!A13)</f>
        <v>PRL-012</v>
      </c>
      <c r="O2119" t="str">
        <f>IF(N2119="","",'Master Barang'!B13)</f>
        <v>plastik 1/4kg joyoboyo 100 lembar</v>
      </c>
      <c r="P2119">
        <f>IF(OR(M2119="",N2119=""),"",SUMIFS('Barang Keluar'!$E:$E,'Barang Keluar'!$A:$A,M2119,'Barang Keluar'!$C:$C,N2119))</f>
        <v>0</v>
      </c>
    </row>
    <row r="2120" spans="13:16">
      <c r="M2120" s="49">
        <f>IF($A$4+21&gt;$B$4,"",$A$4+21)</f>
        <v>46044</v>
      </c>
      <c r="N2120" t="str">
        <f>IF(M2120="","",'Master Barang'!A14)</f>
        <v>PRL-013</v>
      </c>
      <c r="O2120" t="str">
        <f>IF(N2120="","",'Master Barang'!B14)</f>
        <v>sarung tangan plastik kaka 100 pcs</v>
      </c>
      <c r="P2120">
        <f>IF(OR(M2120="",N2120=""),"",SUMIFS('Barang Keluar'!$E:$E,'Barang Keluar'!$A:$A,M2120,'Barang Keluar'!$C:$C,N2120))</f>
        <v>0</v>
      </c>
    </row>
    <row r="2121" spans="13:16">
      <c r="M2121" s="49">
        <f>IF($A$4+21&gt;$B$4,"",$A$4+21)</f>
        <v>46044</v>
      </c>
      <c r="N2121" t="str">
        <f>IF(M2121="","",'Master Barang'!A15)</f>
        <v>PRL-014</v>
      </c>
      <c r="O2121" t="str">
        <f>IF(N2121="","",'Master Barang'!B15)</f>
        <v>optima trashbag 80x100</v>
      </c>
      <c r="P2121">
        <f>IF(OR(M2121="",N2121=""),"",SUMIFS('Barang Keluar'!$E:$E,'Barang Keluar'!$A:$A,M2121,'Barang Keluar'!$C:$C,N2121))</f>
        <v>0</v>
      </c>
    </row>
    <row r="2122" spans="13:16">
      <c r="M2122" s="49">
        <f>IF($A$4+21&gt;$B$4,"",$A$4+21)</f>
        <v>46044</v>
      </c>
      <c r="N2122" t="str">
        <f>IF(M2122="","",'Master Barang'!A16)</f>
        <v>PRL-015</v>
      </c>
      <c r="O2122" t="str">
        <f>IF(N2122="","",'Master Barang'!B16)</f>
        <v>optima trashbag 60x100</v>
      </c>
      <c r="P2122">
        <f>IF(OR(M2122="",N2122=""),"",SUMIFS('Barang Keluar'!$E:$E,'Barang Keluar'!$A:$A,M2122,'Barang Keluar'!$C:$C,N2122))</f>
        <v>0</v>
      </c>
    </row>
    <row r="2123" spans="13:16">
      <c r="M2123" s="49">
        <f>IF($A$4+21&gt;$B$4,"",$A$4+21)</f>
        <v>46044</v>
      </c>
      <c r="N2123" t="str">
        <f>IF(M2123="","",'Master Barang'!A17)</f>
        <v>PRL-016</v>
      </c>
      <c r="O2123" t="str">
        <f>IF(N2123="","",'Master Barang'!B17)</f>
        <v>rajawali trashbag 30x40</v>
      </c>
      <c r="P2123">
        <f>IF(OR(M2123="",N2123=""),"",SUMIFS('Barang Keluar'!$E:$E,'Barang Keluar'!$A:$A,M2123,'Barang Keluar'!$C:$C,N2123))</f>
        <v>0</v>
      </c>
    </row>
    <row r="2124" spans="13:16">
      <c r="M2124" s="49">
        <f>IF($A$4+21&gt;$B$4,"",$A$4+21)</f>
        <v>46044</v>
      </c>
      <c r="N2124" t="str">
        <f>IF(M2124="","",'Master Barang'!A18)</f>
        <v>PRL-017</v>
      </c>
      <c r="O2124" t="str">
        <f>IF(N2124="","",'Master Barang'!B18)</f>
        <v>onemed masker biru 3 play 50 pcs</v>
      </c>
      <c r="P2124">
        <f>IF(OR(M2124="",N2124=""),"",SUMIFS('Barang Keluar'!$E:$E,'Barang Keluar'!$A:$A,M2124,'Barang Keluar'!$C:$C,N2124))</f>
        <v>0</v>
      </c>
    </row>
    <row r="2125" spans="13:16">
      <c r="M2125" s="49">
        <f>IF($A$4+21&gt;$B$4,"",$A$4+21)</f>
        <v>46044</v>
      </c>
      <c r="N2125" t="str">
        <f>IF(M2125="","",'Master Barang'!A19)</f>
        <v>PRL-018</v>
      </c>
      <c r="O2125" t="str">
        <f>IF(N2125="","",'Master Barang'!B19)</f>
        <v>onemed masker biru 3 play hijab 50 pcs</v>
      </c>
      <c r="P2125">
        <f>IF(OR(M2125="",N2125=""),"",SUMIFS('Barang Keluar'!$E:$E,'Barang Keluar'!$A:$A,M2125,'Barang Keluar'!$C:$C,N2125))</f>
        <v>0</v>
      </c>
    </row>
    <row r="2126" spans="13:16">
      <c r="M2126" s="49">
        <f>IF($A$4+21&gt;$B$4,"",$A$4+21)</f>
        <v>46044</v>
      </c>
      <c r="N2126" t="str">
        <f>IF(M2126="","",'Master Barang'!A20)</f>
        <v>PRL-019</v>
      </c>
      <c r="O2126" t="str">
        <f>IF(N2126="","",'Master Barang'!B20)</f>
        <v>neo health masker biru 3 play 50 pcs</v>
      </c>
      <c r="P2126">
        <f>IF(OR(M2126="",N2126=""),"",SUMIFS('Barang Keluar'!$E:$E,'Barang Keluar'!$A:$A,M2126,'Barang Keluar'!$C:$C,N2126))</f>
        <v>0</v>
      </c>
    </row>
    <row r="2127" spans="13:16">
      <c r="M2127" s="49">
        <f>IF($A$4+21&gt;$B$4,"",$A$4+21)</f>
        <v>46044</v>
      </c>
      <c r="N2127" t="str">
        <f>IF(M2127="","",'Master Barang'!A21)</f>
        <v>PRL-020</v>
      </c>
      <c r="O2127" t="str">
        <f>IF(N2127="","",'Master Barang'!B21)</f>
        <v>baymed masker hijau 3 play hijau 50 pcs</v>
      </c>
      <c r="P2127">
        <f>IF(OR(M2127="",N2127=""),"",SUMIFS('Barang Keluar'!$E:$E,'Barang Keluar'!$A:$A,M2127,'Barang Keluar'!$C:$C,N2127))</f>
        <v>0</v>
      </c>
    </row>
    <row r="2128" spans="13:16">
      <c r="M2128" s="49">
        <f>IF($A$4+21&gt;$B$4,"",$A$4+21)</f>
        <v>46044</v>
      </c>
      <c r="N2128" t="str">
        <f>IF(M2128="","",'Master Barang'!A22)</f>
        <v>PRL-021</v>
      </c>
      <c r="O2128" t="str">
        <f>IF(N2128="","",'Master Barang'!B22)</f>
        <v>altamed nurse cap penutup kepala 100 pcs</v>
      </c>
      <c r="P2128">
        <f>IF(OR(M2128="",N2128=""),"",SUMIFS('Barang Keluar'!$E:$E,'Barang Keluar'!$A:$A,M2128,'Barang Keluar'!$C:$C,N2128))</f>
        <v>0</v>
      </c>
    </row>
    <row r="2129" spans="13:16">
      <c r="M2129" s="49">
        <f>IF($A$4+21&gt;$B$4,"",$A$4+21)</f>
        <v>46044</v>
      </c>
      <c r="N2129" t="str">
        <f>IF(M2129="","",'Master Barang'!A23)</f>
        <v>PRL-022</v>
      </c>
      <c r="O2129" t="str">
        <f>IF(N2129="","",'Master Barang'!B23)</f>
        <v>sabun cuci tangan</v>
      </c>
      <c r="P2129">
        <f>IF(OR(M2129="",N2129=""),"",SUMIFS('Barang Keluar'!$E:$E,'Barang Keluar'!$A:$A,M2129,'Barang Keluar'!$C:$C,N2129))</f>
        <v>0</v>
      </c>
    </row>
    <row r="2130" spans="13:16">
      <c r="M2130" s="49">
        <f>IF($A$4+21&gt;$B$4,"",$A$4+21)</f>
        <v>46044</v>
      </c>
      <c r="N2130" t="str">
        <f>IF(M2130="","",'Master Barang'!A24)</f>
        <v>PRL-023</v>
      </c>
      <c r="O2130" t="str">
        <f>IF(N2130="","",'Master Barang'!B24)</f>
        <v>gayung kecil</v>
      </c>
      <c r="P2130">
        <f>IF(OR(M2130="",N2130=""),"",SUMIFS('Barang Keluar'!$E:$E,'Barang Keluar'!$A:$A,M2130,'Barang Keluar'!$C:$C,N2130))</f>
        <v>0</v>
      </c>
    </row>
    <row r="2131" spans="13:16">
      <c r="M2131" s="49">
        <f>IF($A$4+21&gt;$B$4,"",$A$4+21)</f>
        <v>46044</v>
      </c>
      <c r="N2131" t="str">
        <f>IF(M2131="","",'Master Barang'!A25)</f>
        <v>PRL-024</v>
      </c>
      <c r="O2131" t="str">
        <f>IF(N2131="","",'Master Barang'!B25)</f>
        <v>cikrak kecil</v>
      </c>
      <c r="P2131">
        <f>IF(OR(M2131="",N2131=""),"",SUMIFS('Barang Keluar'!$E:$E,'Barang Keluar'!$A:$A,M2131,'Barang Keluar'!$C:$C,N2131))</f>
        <v>0</v>
      </c>
    </row>
    <row r="2132" spans="13:16">
      <c r="M2132" s="49">
        <f>IF($A$4+21&gt;$B$4,"",$A$4+21)</f>
        <v>46044</v>
      </c>
      <c r="N2132" t="str">
        <f>IF(M2132="","",'Master Barang'!A26)</f>
        <v>PRL-025</v>
      </c>
      <c r="O2132" t="str">
        <f>IF(N2132="","",'Master Barang'!B26)</f>
        <v>petromax plastik kecil 12x24 100 lembar</v>
      </c>
      <c r="P2132">
        <f>IF(OR(M2132="",N2132=""),"",SUMIFS('Barang Keluar'!$E:$E,'Barang Keluar'!$A:$A,M2132,'Barang Keluar'!$C:$C,N2132))</f>
        <v>0</v>
      </c>
    </row>
    <row r="2133" spans="13:16">
      <c r="M2133" s="49">
        <f>IF($A$4+21&gt;$B$4,"",$A$4+21)</f>
        <v>46044</v>
      </c>
      <c r="N2133" t="str">
        <f>IF(M2133="","",'Master Barang'!A27)</f>
        <v>PRL-026</v>
      </c>
      <c r="O2133" t="str">
        <f>IF(N2133="","",'Master Barang'!B27)</f>
        <v>lancar kresek kecil bening </v>
      </c>
      <c r="P2133">
        <f>IF(OR(M2133="",N2133=""),"",SUMIFS('Barang Keluar'!$E:$E,'Barang Keluar'!$A:$A,M2133,'Barang Keluar'!$C:$C,N2133))</f>
        <v>0</v>
      </c>
    </row>
    <row r="2134" spans="13:16">
      <c r="M2134" s="49">
        <f>IF($A$4+21&gt;$B$4,"",$A$4+21)</f>
        <v>46044</v>
      </c>
      <c r="N2134" t="str">
        <f>IF(M2134="","",'Master Barang'!A28)</f>
        <v>PRL-027</v>
      </c>
      <c r="O2134" t="str">
        <f>IF(N2134="","",'Master Barang'!B28)</f>
        <v>kresek klin warna warni kecil</v>
      </c>
      <c r="P2134">
        <f>IF(OR(M2134="",N2134=""),"",SUMIFS('Barang Keluar'!$E:$E,'Barang Keluar'!$A:$A,M2134,'Barang Keluar'!$C:$C,N2134))</f>
        <v>0</v>
      </c>
    </row>
    <row r="2135" spans="13:16">
      <c r="M2135" s="49">
        <f>IF($A$4+21&gt;$B$4,"",$A$4+21)</f>
        <v>46044</v>
      </c>
      <c r="N2135" t="str">
        <f>IF(M2135="","",'Master Barang'!A29)</f>
        <v>PRL-028</v>
      </c>
      <c r="O2135" t="str">
        <f>IF(N2135="","",'Master Barang'!B29)</f>
        <v>ctik plastik 7x10 100 pcs</v>
      </c>
      <c r="P2135">
        <f>IF(OR(M2135="",N2135=""),"",SUMIFS('Barang Keluar'!$E:$E,'Barang Keluar'!$A:$A,M2135,'Barang Keluar'!$C:$C,N2135))</f>
        <v>0</v>
      </c>
    </row>
    <row r="2136" spans="13:16">
      <c r="M2136" s="49">
        <f>IF($A$4+21&gt;$B$4,"",$A$4+21)</f>
        <v>46044</v>
      </c>
      <c r="N2136" t="str">
        <f>IF(M2136="","",'Master Barang'!A30)</f>
        <v>PRL-029</v>
      </c>
      <c r="O2136" t="str">
        <f>IF(N2136="","",'Master Barang'!B30)</f>
        <v>ctik plastik 6x10 100 pcs</v>
      </c>
      <c r="P2136">
        <f>IF(OR(M2136="",N2136=""),"",SUMIFS('Barang Keluar'!$E:$E,'Barang Keluar'!$A:$A,M2136,'Barang Keluar'!$C:$C,N2136))</f>
        <v>0</v>
      </c>
    </row>
    <row r="2137" spans="13:16">
      <c r="M2137" s="49">
        <f>IF($A$4+21&gt;$B$4,"",$A$4+21)</f>
        <v>46044</v>
      </c>
      <c r="N2137" t="str">
        <f>IF(M2137="","",'Master Barang'!A31)</f>
        <v>PRL-030</v>
      </c>
      <c r="O2137" t="str">
        <f>IF(N2137="","",'Master Barang'!B31)</f>
        <v>klip plastik 25x16 100 pcs</v>
      </c>
      <c r="P2137">
        <f>IF(OR(M2137="",N2137=""),"",SUMIFS('Barang Keluar'!$E:$E,'Barang Keluar'!$A:$A,M2137,'Barang Keluar'!$C:$C,N2137))</f>
        <v>0</v>
      </c>
    </row>
    <row r="2138" spans="13:16">
      <c r="M2138" s="49">
        <f>IF($A$4+21&gt;$B$4,"",$A$4+21)</f>
        <v>46044</v>
      </c>
      <c r="N2138" t="str">
        <f>IF(M2138="","",'Master Barang'!A32)</f>
        <v>PRL-031</v>
      </c>
      <c r="O2138" t="str">
        <f>IF(N2138="","",'Master Barang'!B32)</f>
        <v>tempat saus 20 ml</v>
      </c>
      <c r="P2138">
        <f>IF(OR(M2138="",N2138=""),"",SUMIFS('Barang Keluar'!$E:$E,'Barang Keluar'!$A:$A,M2138,'Barang Keluar'!$C:$C,N2138))</f>
        <v>0</v>
      </c>
    </row>
    <row r="2139" spans="13:16">
      <c r="M2139" s="49">
        <f>IF($A$4+21&gt;$B$4,"",$A$4+21)</f>
        <v>46044</v>
      </c>
      <c r="N2139" t="str">
        <f>IF(M2139="","",'Master Barang'!A33)</f>
        <v>PRL-032</v>
      </c>
      <c r="O2139" t="str">
        <f>IF(N2139="","",'Master Barang'!B33)</f>
        <v>plastik packaging ag box uk sedang</v>
      </c>
      <c r="P2139">
        <f>IF(OR(M2139="",N2139=""),"",SUMIFS('Barang Keluar'!$E:$E,'Barang Keluar'!$A:$A,M2139,'Barang Keluar'!$C:$C,N2139))</f>
        <v>0</v>
      </c>
    </row>
    <row r="2140" spans="13:16">
      <c r="M2140" s="49">
        <f>IF($A$4+21&gt;$B$4,"",$A$4+21)</f>
        <v>46044</v>
      </c>
      <c r="N2140" t="str">
        <f>IF(M2140="","",'Master Barang'!A34)</f>
        <v>PRL-033</v>
      </c>
      <c r="O2140">
        <f>IF(N2140="","",'Master Barang'!B34)</f>
        <v>0</v>
      </c>
      <c r="P2140">
        <f>IF(OR(M2140="",N2140=""),"",SUMIFS('Barang Keluar'!$E:$E,'Barang Keluar'!$A:$A,M2140,'Barang Keluar'!$C:$C,N2140))</f>
        <v>0</v>
      </c>
    </row>
    <row r="2141" spans="13:16">
      <c r="M2141" s="49">
        <f>IF($A$4+21&gt;$B$4,"",$A$4+21)</f>
        <v>46044</v>
      </c>
      <c r="N2141">
        <f>IF(M2141="","",'Master Barang'!A35)</f>
        <v>0</v>
      </c>
      <c r="O2141">
        <f>IF(N2141="","",'Master Barang'!B35)</f>
        <v>0</v>
      </c>
      <c r="P2141">
        <f>IF(OR(M2141="",N2141=""),"",SUMIFS('Barang Keluar'!$E:$E,'Barang Keluar'!$A:$A,M2141,'Barang Keluar'!$C:$C,N2141))</f>
        <v>0</v>
      </c>
    </row>
    <row r="2142" spans="13:16">
      <c r="M2142" s="49">
        <f>IF($A$4+21&gt;$B$4,"",$A$4+21)</f>
        <v>46044</v>
      </c>
      <c r="N2142">
        <f>IF(M2142="","",'Master Barang'!A36)</f>
        <v>0</v>
      </c>
      <c r="O2142">
        <f>IF(N2142="","",'Master Barang'!B36)</f>
        <v>0</v>
      </c>
      <c r="P2142">
        <f>IF(OR(M2142="",N2142=""),"",SUMIFS('Barang Keluar'!$E:$E,'Barang Keluar'!$A:$A,M2142,'Barang Keluar'!$C:$C,N2142))</f>
        <v>0</v>
      </c>
    </row>
    <row r="2143" spans="13:16">
      <c r="M2143" s="49">
        <f>IF($A$4+21&gt;$B$4,"",$A$4+21)</f>
        <v>46044</v>
      </c>
      <c r="N2143">
        <f>IF(M2143="","",'Master Barang'!A37)</f>
        <v>0</v>
      </c>
      <c r="O2143">
        <f>IF(N2143="","",'Master Barang'!B37)</f>
        <v>0</v>
      </c>
      <c r="P2143">
        <f>IF(OR(M2143="",N2143=""),"",SUMIFS('Barang Keluar'!$E:$E,'Barang Keluar'!$A:$A,M2143,'Barang Keluar'!$C:$C,N2143))</f>
        <v>0</v>
      </c>
    </row>
    <row r="2144" spans="13:16">
      <c r="M2144" s="49">
        <f>IF($A$4+21&gt;$B$4,"",$A$4+21)</f>
        <v>46044</v>
      </c>
      <c r="N2144">
        <f>IF(M2144="","",'Master Barang'!A38)</f>
        <v>0</v>
      </c>
      <c r="O2144">
        <f>IF(N2144="","",'Master Barang'!B38)</f>
        <v>0</v>
      </c>
      <c r="P2144">
        <f>IF(OR(M2144="",N2144=""),"",SUMIFS('Barang Keluar'!$E:$E,'Barang Keluar'!$A:$A,M2144,'Barang Keluar'!$C:$C,N2144))</f>
        <v>0</v>
      </c>
    </row>
    <row r="2145" spans="13:16">
      <c r="M2145" s="49">
        <f>IF($A$4+21&gt;$B$4,"",$A$4+21)</f>
        <v>46044</v>
      </c>
      <c r="N2145">
        <f>IF(M2145="","",'Master Barang'!A39)</f>
        <v>0</v>
      </c>
      <c r="O2145">
        <f>IF(N2145="","",'Master Barang'!B39)</f>
        <v>0</v>
      </c>
      <c r="P2145">
        <f>IF(OR(M2145="",N2145=""),"",SUMIFS('Barang Keluar'!$E:$E,'Barang Keluar'!$A:$A,M2145,'Barang Keluar'!$C:$C,N2145))</f>
        <v>0</v>
      </c>
    </row>
    <row r="2146" spans="13:16">
      <c r="M2146" s="49">
        <f>IF($A$4+21&gt;$B$4,"",$A$4+21)</f>
        <v>46044</v>
      </c>
      <c r="N2146">
        <f>IF(M2146="","",'Master Barang'!A40)</f>
        <v>0</v>
      </c>
      <c r="O2146">
        <f>IF(N2146="","",'Master Barang'!B40)</f>
        <v>0</v>
      </c>
      <c r="P2146">
        <f>IF(OR(M2146="",N2146=""),"",SUMIFS('Barang Keluar'!$E:$E,'Barang Keluar'!$A:$A,M2146,'Barang Keluar'!$C:$C,N2146))</f>
        <v>0</v>
      </c>
    </row>
    <row r="2147" spans="13:16">
      <c r="M2147" s="49">
        <f>IF($A$4+21&gt;$B$4,"",$A$4+21)</f>
        <v>46044</v>
      </c>
      <c r="N2147">
        <f>IF(M2147="","",'Master Barang'!A41)</f>
        <v>0</v>
      </c>
      <c r="O2147">
        <f>IF(N2147="","",'Master Barang'!B41)</f>
        <v>0</v>
      </c>
      <c r="P2147">
        <f>IF(OR(M2147="",N2147=""),"",SUMIFS('Barang Keluar'!$E:$E,'Barang Keluar'!$A:$A,M2147,'Barang Keluar'!$C:$C,N2147))</f>
        <v>0</v>
      </c>
    </row>
    <row r="2148" spans="13:16">
      <c r="M2148" s="49">
        <f>IF($A$4+21&gt;$B$4,"",$A$4+21)</f>
        <v>46044</v>
      </c>
      <c r="N2148">
        <f>IF(M2148="","",'Master Barang'!A42)</f>
        <v>0</v>
      </c>
      <c r="O2148">
        <f>IF(N2148="","",'Master Barang'!B42)</f>
        <v>0</v>
      </c>
      <c r="P2148">
        <f>IF(OR(M2148="",N2148=""),"",SUMIFS('Barang Keluar'!$E:$E,'Barang Keluar'!$A:$A,M2148,'Barang Keluar'!$C:$C,N2148))</f>
        <v>0</v>
      </c>
    </row>
    <row r="2149" spans="13:16">
      <c r="M2149" s="49">
        <f>IF($A$4+21&gt;$B$4,"",$A$4+21)</f>
        <v>46044</v>
      </c>
      <c r="N2149">
        <f>IF(M2149="","",'Master Barang'!A43)</f>
        <v>0</v>
      </c>
      <c r="O2149">
        <f>IF(N2149="","",'Master Barang'!B43)</f>
        <v>0</v>
      </c>
      <c r="P2149">
        <f>IF(OR(M2149="",N2149=""),"",SUMIFS('Barang Keluar'!$E:$E,'Barang Keluar'!$A:$A,M2149,'Barang Keluar'!$C:$C,N2149))</f>
        <v>0</v>
      </c>
    </row>
    <row r="2150" spans="13:16">
      <c r="M2150" s="49">
        <f>IF($A$4+21&gt;$B$4,"",$A$4+21)</f>
        <v>46044</v>
      </c>
      <c r="N2150">
        <f>IF(M2150="","",'Master Barang'!A44)</f>
        <v>0</v>
      </c>
      <c r="O2150">
        <f>IF(N2150="","",'Master Barang'!B44)</f>
        <v>0</v>
      </c>
      <c r="P2150">
        <f>IF(OR(M2150="",N2150=""),"",SUMIFS('Barang Keluar'!$E:$E,'Barang Keluar'!$A:$A,M2150,'Barang Keluar'!$C:$C,N2150))</f>
        <v>0</v>
      </c>
    </row>
    <row r="2151" spans="13:16">
      <c r="M2151" s="49">
        <f>IF($A$4+21&gt;$B$4,"",$A$4+21)</f>
        <v>46044</v>
      </c>
      <c r="N2151">
        <f>IF(M2151="","",'Master Barang'!A45)</f>
        <v>0</v>
      </c>
      <c r="O2151">
        <f>IF(N2151="","",'Master Barang'!B45)</f>
        <v>0</v>
      </c>
      <c r="P2151">
        <f>IF(OR(M2151="",N2151=""),"",SUMIFS('Barang Keluar'!$E:$E,'Barang Keluar'!$A:$A,M2151,'Barang Keluar'!$C:$C,N2151))</f>
        <v>0</v>
      </c>
    </row>
    <row r="2152" spans="13:16">
      <c r="M2152" s="49">
        <f>IF($A$4+21&gt;$B$4,"",$A$4+21)</f>
        <v>46044</v>
      </c>
      <c r="N2152">
        <f>IF(M2152="","",'Master Barang'!A46)</f>
        <v>0</v>
      </c>
      <c r="O2152">
        <f>IF(N2152="","",'Master Barang'!B46)</f>
        <v>0</v>
      </c>
      <c r="P2152">
        <f>IF(OR(M2152="",N2152=""),"",SUMIFS('Barang Keluar'!$E:$E,'Barang Keluar'!$A:$A,M2152,'Barang Keluar'!$C:$C,N2152))</f>
        <v>0</v>
      </c>
    </row>
    <row r="2153" spans="13:16">
      <c r="M2153" s="49">
        <f>IF($A$4+21&gt;$B$4,"",$A$4+21)</f>
        <v>46044</v>
      </c>
      <c r="N2153">
        <f>IF(M2153="","",'Master Barang'!A47)</f>
        <v>0</v>
      </c>
      <c r="O2153">
        <f>IF(N2153="","",'Master Barang'!B47)</f>
        <v>0</v>
      </c>
      <c r="P2153">
        <f>IF(OR(M2153="",N2153=""),"",SUMIFS('Barang Keluar'!$E:$E,'Barang Keluar'!$A:$A,M2153,'Barang Keluar'!$C:$C,N2153))</f>
        <v>0</v>
      </c>
    </row>
    <row r="2154" spans="13:16">
      <c r="M2154" s="49">
        <f>IF($A$4+21&gt;$B$4,"",$A$4+21)</f>
        <v>46044</v>
      </c>
      <c r="N2154">
        <f>IF(M2154="","",'Master Barang'!A48)</f>
        <v>0</v>
      </c>
      <c r="O2154">
        <f>IF(N2154="","",'Master Barang'!B48)</f>
        <v>0</v>
      </c>
      <c r="P2154">
        <f>IF(OR(M2154="",N2154=""),"",SUMIFS('Barang Keluar'!$E:$E,'Barang Keluar'!$A:$A,M2154,'Barang Keluar'!$C:$C,N2154))</f>
        <v>0</v>
      </c>
    </row>
    <row r="2155" spans="13:16">
      <c r="M2155" s="49">
        <f>IF($A$4+21&gt;$B$4,"",$A$4+21)</f>
        <v>46044</v>
      </c>
      <c r="N2155">
        <f>IF(M2155="","",'Master Barang'!A49)</f>
        <v>0</v>
      </c>
      <c r="O2155">
        <f>IF(N2155="","",'Master Barang'!B49)</f>
        <v>0</v>
      </c>
      <c r="P2155">
        <f>IF(OR(M2155="",N2155=""),"",SUMIFS('Barang Keluar'!$E:$E,'Barang Keluar'!$A:$A,M2155,'Barang Keluar'!$C:$C,N2155))</f>
        <v>0</v>
      </c>
    </row>
    <row r="2156" spans="13:16">
      <c r="M2156" s="49">
        <f>IF($A$4+21&gt;$B$4,"",$A$4+21)</f>
        <v>46044</v>
      </c>
      <c r="N2156">
        <f>IF(M2156="","",'Master Barang'!A50)</f>
        <v>0</v>
      </c>
      <c r="O2156">
        <f>IF(N2156="","",'Master Barang'!B50)</f>
        <v>0</v>
      </c>
      <c r="P2156">
        <f>IF(OR(M2156="",N2156=""),"",SUMIFS('Barang Keluar'!$E:$E,'Barang Keluar'!$A:$A,M2156,'Barang Keluar'!$C:$C,N2156))</f>
        <v>0</v>
      </c>
    </row>
    <row r="2157" spans="13:16">
      <c r="M2157" s="49">
        <f>IF($A$4+21&gt;$B$4,"",$A$4+21)</f>
        <v>46044</v>
      </c>
      <c r="N2157">
        <f>IF(M2157="","",'Master Barang'!A51)</f>
        <v>0</v>
      </c>
      <c r="O2157">
        <f>IF(N2157="","",'Master Barang'!B51)</f>
        <v>0</v>
      </c>
      <c r="P2157">
        <f>IF(OR(M2157="",N2157=""),"",SUMIFS('Barang Keluar'!$E:$E,'Barang Keluar'!$A:$A,M2157,'Barang Keluar'!$C:$C,N2157))</f>
        <v>0</v>
      </c>
    </row>
    <row r="2158" spans="13:16">
      <c r="M2158" s="49">
        <f>IF($A$4+21&gt;$B$4,"",$A$4+21)</f>
        <v>46044</v>
      </c>
      <c r="N2158">
        <f>IF(M2158="","",'Master Barang'!A52)</f>
        <v>0</v>
      </c>
      <c r="O2158">
        <f>IF(N2158="","",'Master Barang'!B52)</f>
        <v>0</v>
      </c>
      <c r="P2158">
        <f>IF(OR(M2158="",N2158=""),"",SUMIFS('Barang Keluar'!$E:$E,'Barang Keluar'!$A:$A,M2158,'Barang Keluar'!$C:$C,N2158))</f>
        <v>0</v>
      </c>
    </row>
    <row r="2159" spans="13:16">
      <c r="M2159" s="49">
        <f>IF($A$4+21&gt;$B$4,"",$A$4+21)</f>
        <v>46044</v>
      </c>
      <c r="N2159">
        <f>IF(M2159="","",'Master Barang'!A53)</f>
        <v>0</v>
      </c>
      <c r="O2159">
        <f>IF(N2159="","",'Master Barang'!B53)</f>
        <v>0</v>
      </c>
      <c r="P2159">
        <f>IF(OR(M2159="",N2159=""),"",SUMIFS('Barang Keluar'!$E:$E,'Barang Keluar'!$A:$A,M2159,'Barang Keluar'!$C:$C,N2159))</f>
        <v>0</v>
      </c>
    </row>
    <row r="2160" spans="13:16">
      <c r="M2160" s="49">
        <f>IF($A$4+21&gt;$B$4,"",$A$4+21)</f>
        <v>46044</v>
      </c>
      <c r="N2160">
        <f>IF(M2160="","",'Master Barang'!A54)</f>
        <v>0</v>
      </c>
      <c r="O2160">
        <f>IF(N2160="","",'Master Barang'!B54)</f>
        <v>0</v>
      </c>
      <c r="P2160">
        <f>IF(OR(M2160="",N2160=""),"",SUMIFS('Barang Keluar'!$E:$E,'Barang Keluar'!$A:$A,M2160,'Barang Keluar'!$C:$C,N2160))</f>
        <v>0</v>
      </c>
    </row>
    <row r="2161" spans="13:16">
      <c r="M2161" s="49">
        <f>IF($A$4+21&gt;$B$4,"",$A$4+21)</f>
        <v>46044</v>
      </c>
      <c r="N2161">
        <f>IF(M2161="","",'Master Barang'!A55)</f>
        <v>0</v>
      </c>
      <c r="O2161">
        <f>IF(N2161="","",'Master Barang'!B55)</f>
        <v>0</v>
      </c>
      <c r="P2161">
        <f>IF(OR(M2161="",N2161=""),"",SUMIFS('Barang Keluar'!$E:$E,'Barang Keluar'!$A:$A,M2161,'Barang Keluar'!$C:$C,N2161))</f>
        <v>0</v>
      </c>
    </row>
    <row r="2162" spans="13:16">
      <c r="M2162" s="49">
        <f>IF($A$4+21&gt;$B$4,"",$A$4+21)</f>
        <v>46044</v>
      </c>
      <c r="N2162">
        <f>IF(M2162="","",'Master Barang'!A56)</f>
        <v>0</v>
      </c>
      <c r="O2162">
        <f>IF(N2162="","",'Master Barang'!B56)</f>
        <v>0</v>
      </c>
      <c r="P2162">
        <f>IF(OR(M2162="",N2162=""),"",SUMIFS('Barang Keluar'!$E:$E,'Barang Keluar'!$A:$A,M2162,'Barang Keluar'!$C:$C,N2162))</f>
        <v>0</v>
      </c>
    </row>
    <row r="2163" spans="13:16">
      <c r="M2163" s="49">
        <f>IF($A$4+21&gt;$B$4,"",$A$4+21)</f>
        <v>46044</v>
      </c>
      <c r="N2163">
        <f>IF(M2163="","",'Master Barang'!A57)</f>
        <v>0</v>
      </c>
      <c r="O2163">
        <f>IF(N2163="","",'Master Barang'!B57)</f>
        <v>0</v>
      </c>
      <c r="P2163">
        <f>IF(OR(M2163="",N2163=""),"",SUMIFS('Barang Keluar'!$E:$E,'Barang Keluar'!$A:$A,M2163,'Barang Keluar'!$C:$C,N2163))</f>
        <v>0</v>
      </c>
    </row>
    <row r="2164" spans="13:16">
      <c r="M2164" s="49">
        <f>IF($A$4+21&gt;$B$4,"",$A$4+21)</f>
        <v>46044</v>
      </c>
      <c r="N2164">
        <f>IF(M2164="","",'Master Barang'!A58)</f>
        <v>0</v>
      </c>
      <c r="O2164">
        <f>IF(N2164="","",'Master Barang'!B58)</f>
        <v>0</v>
      </c>
      <c r="P2164">
        <f>IF(OR(M2164="",N2164=""),"",SUMIFS('Barang Keluar'!$E:$E,'Barang Keluar'!$A:$A,M2164,'Barang Keluar'!$C:$C,N2164))</f>
        <v>0</v>
      </c>
    </row>
    <row r="2165" spans="13:16">
      <c r="M2165" s="49">
        <f>IF($A$4+21&gt;$B$4,"",$A$4+21)</f>
        <v>46044</v>
      </c>
      <c r="N2165">
        <f>IF(M2165="","",'Master Barang'!A59)</f>
        <v>0</v>
      </c>
      <c r="O2165">
        <f>IF(N2165="","",'Master Barang'!B59)</f>
        <v>0</v>
      </c>
      <c r="P2165">
        <f>IF(OR(M2165="",N2165=""),"",SUMIFS('Barang Keluar'!$E:$E,'Barang Keluar'!$A:$A,M2165,'Barang Keluar'!$C:$C,N2165))</f>
        <v>0</v>
      </c>
    </row>
    <row r="2166" spans="13:16">
      <c r="M2166" s="49">
        <f>IF($A$4+21&gt;$B$4,"",$A$4+21)</f>
        <v>46044</v>
      </c>
      <c r="N2166">
        <f>IF(M2166="","",'Master Barang'!A60)</f>
        <v>0</v>
      </c>
      <c r="O2166">
        <f>IF(N2166="","",'Master Barang'!B60)</f>
        <v>0</v>
      </c>
      <c r="P2166">
        <f>IF(OR(M2166="",N2166=""),"",SUMIFS('Barang Keluar'!$E:$E,'Barang Keluar'!$A:$A,M2166,'Barang Keluar'!$C:$C,N2166))</f>
        <v>0</v>
      </c>
    </row>
    <row r="2167" spans="13:16">
      <c r="M2167" s="49">
        <f>IF($A$4+21&gt;$B$4,"",$A$4+21)</f>
        <v>46044</v>
      </c>
      <c r="N2167">
        <f>IF(M2167="","",'Master Barang'!A61)</f>
        <v>0</v>
      </c>
      <c r="O2167">
        <f>IF(N2167="","",'Master Barang'!B61)</f>
        <v>0</v>
      </c>
      <c r="P2167">
        <f>IF(OR(M2167="",N2167=""),"",SUMIFS('Barang Keluar'!$E:$E,'Barang Keluar'!$A:$A,M2167,'Barang Keluar'!$C:$C,N2167))</f>
        <v>0</v>
      </c>
    </row>
    <row r="2168" spans="13:16">
      <c r="M2168" s="49">
        <f>IF($A$4+21&gt;$B$4,"",$A$4+21)</f>
        <v>46044</v>
      </c>
      <c r="N2168">
        <f>IF(M2168="","",'Master Barang'!A62)</f>
        <v>0</v>
      </c>
      <c r="O2168">
        <f>IF(N2168="","",'Master Barang'!B62)</f>
        <v>0</v>
      </c>
      <c r="P2168">
        <f>IF(OR(M2168="",N2168=""),"",SUMIFS('Barang Keluar'!$E:$E,'Barang Keluar'!$A:$A,M2168,'Barang Keluar'!$C:$C,N2168))</f>
        <v>0</v>
      </c>
    </row>
    <row r="2169" spans="13:16">
      <c r="M2169" s="49">
        <f>IF($A$4+21&gt;$B$4,"",$A$4+21)</f>
        <v>46044</v>
      </c>
      <c r="N2169">
        <f>IF(M2169="","",'Master Barang'!A63)</f>
        <v>0</v>
      </c>
      <c r="O2169">
        <f>IF(N2169="","",'Master Barang'!B63)</f>
        <v>0</v>
      </c>
      <c r="P2169">
        <f>IF(OR(M2169="",N2169=""),"",SUMIFS('Barang Keluar'!$E:$E,'Barang Keluar'!$A:$A,M2169,'Barang Keluar'!$C:$C,N2169))</f>
        <v>0</v>
      </c>
    </row>
    <row r="2170" spans="13:16">
      <c r="M2170" s="49">
        <f>IF($A$4+21&gt;$B$4,"",$A$4+21)</f>
        <v>46044</v>
      </c>
      <c r="N2170">
        <f>IF(M2170="","",'Master Barang'!A64)</f>
        <v>0</v>
      </c>
      <c r="O2170">
        <f>IF(N2170="","",'Master Barang'!B64)</f>
        <v>0</v>
      </c>
      <c r="P2170">
        <f>IF(OR(M2170="",N2170=""),"",SUMIFS('Barang Keluar'!$E:$E,'Barang Keluar'!$A:$A,M2170,'Barang Keluar'!$C:$C,N2170))</f>
        <v>0</v>
      </c>
    </row>
    <row r="2171" spans="13:16">
      <c r="M2171" s="49">
        <f>IF($A$4+21&gt;$B$4,"",$A$4+21)</f>
        <v>46044</v>
      </c>
      <c r="N2171">
        <f>IF(M2171="","",'Master Barang'!A65)</f>
        <v>0</v>
      </c>
      <c r="O2171">
        <f>IF(N2171="","",'Master Barang'!B65)</f>
        <v>0</v>
      </c>
      <c r="P2171">
        <f>IF(OR(M2171="",N2171=""),"",SUMIFS('Barang Keluar'!$E:$E,'Barang Keluar'!$A:$A,M2171,'Barang Keluar'!$C:$C,N2171))</f>
        <v>0</v>
      </c>
    </row>
    <row r="2172" spans="13:16">
      <c r="M2172" s="49">
        <f>IF($A$4+21&gt;$B$4,"",$A$4+21)</f>
        <v>46044</v>
      </c>
      <c r="N2172">
        <f>IF(M2172="","",'Master Barang'!A66)</f>
        <v>0</v>
      </c>
      <c r="O2172">
        <f>IF(N2172="","",'Master Barang'!B66)</f>
        <v>0</v>
      </c>
      <c r="P2172">
        <f>IF(OR(M2172="",N2172=""),"",SUMIFS('Barang Keluar'!$E:$E,'Barang Keluar'!$A:$A,M2172,'Barang Keluar'!$C:$C,N2172))</f>
        <v>0</v>
      </c>
    </row>
    <row r="2173" spans="13:16">
      <c r="M2173" s="49">
        <f>IF($A$4+21&gt;$B$4,"",$A$4+21)</f>
        <v>46044</v>
      </c>
      <c r="N2173">
        <f>IF(M2173="","",'Master Barang'!A67)</f>
        <v>0</v>
      </c>
      <c r="O2173">
        <f>IF(N2173="","",'Master Barang'!B67)</f>
        <v>0</v>
      </c>
      <c r="P2173">
        <f>IF(OR(M2173="",N2173=""),"",SUMIFS('Barang Keluar'!$E:$E,'Barang Keluar'!$A:$A,M2173,'Barang Keluar'!$C:$C,N2173))</f>
        <v>0</v>
      </c>
    </row>
    <row r="2174" spans="13:16">
      <c r="M2174" s="49">
        <f>IF($A$4+21&gt;$B$4,"",$A$4+21)</f>
        <v>46044</v>
      </c>
      <c r="N2174">
        <f>IF(M2174="","",'Master Barang'!A68)</f>
        <v>0</v>
      </c>
      <c r="O2174">
        <f>IF(N2174="","",'Master Barang'!B68)</f>
        <v>0</v>
      </c>
      <c r="P2174">
        <f>IF(OR(M2174="",N2174=""),"",SUMIFS('Barang Keluar'!$E:$E,'Barang Keluar'!$A:$A,M2174,'Barang Keluar'!$C:$C,N2174))</f>
        <v>0</v>
      </c>
    </row>
    <row r="2175" spans="13:16">
      <c r="M2175" s="49">
        <f>IF($A$4+21&gt;$B$4,"",$A$4+21)</f>
        <v>46044</v>
      </c>
      <c r="N2175">
        <f>IF(M2175="","",'Master Barang'!A69)</f>
        <v>0</v>
      </c>
      <c r="O2175">
        <f>IF(N2175="","",'Master Barang'!B69)</f>
        <v>0</v>
      </c>
      <c r="P2175">
        <f>IF(OR(M2175="",N2175=""),"",SUMIFS('Barang Keluar'!$E:$E,'Barang Keluar'!$A:$A,M2175,'Barang Keluar'!$C:$C,N2175))</f>
        <v>0</v>
      </c>
    </row>
    <row r="2176" spans="13:16">
      <c r="M2176" s="49">
        <f>IF($A$4+21&gt;$B$4,"",$A$4+21)</f>
        <v>46044</v>
      </c>
      <c r="N2176">
        <f>IF(M2176="","",'Master Barang'!A70)</f>
        <v>0</v>
      </c>
      <c r="O2176">
        <f>IF(N2176="","",'Master Barang'!B70)</f>
        <v>0</v>
      </c>
      <c r="P2176">
        <f>IF(OR(M2176="",N2176=""),"",SUMIFS('Barang Keluar'!$E:$E,'Barang Keluar'!$A:$A,M2176,'Barang Keluar'!$C:$C,N2176))</f>
        <v>0</v>
      </c>
    </row>
    <row r="2177" spans="13:16">
      <c r="M2177" s="49">
        <f>IF($A$4+21&gt;$B$4,"",$A$4+21)</f>
        <v>46044</v>
      </c>
      <c r="N2177">
        <f>IF(M2177="","",'Master Barang'!A71)</f>
        <v>0</v>
      </c>
      <c r="O2177">
        <f>IF(N2177="","",'Master Barang'!B71)</f>
        <v>0</v>
      </c>
      <c r="P2177">
        <f>IF(OR(M2177="",N2177=""),"",SUMIFS('Barang Keluar'!$E:$E,'Barang Keluar'!$A:$A,M2177,'Barang Keluar'!$C:$C,N2177))</f>
        <v>0</v>
      </c>
    </row>
    <row r="2178" spans="13:16">
      <c r="M2178" s="49">
        <f>IF($A$4+21&gt;$B$4,"",$A$4+21)</f>
        <v>46044</v>
      </c>
      <c r="N2178">
        <f>IF(M2178="","",'Master Barang'!A72)</f>
        <v>0</v>
      </c>
      <c r="O2178">
        <f>IF(N2178="","",'Master Barang'!B72)</f>
        <v>0</v>
      </c>
      <c r="P2178">
        <f>IF(OR(M2178="",N2178=""),"",SUMIFS('Barang Keluar'!$E:$E,'Barang Keluar'!$A:$A,M2178,'Barang Keluar'!$C:$C,N2178))</f>
        <v>0</v>
      </c>
    </row>
    <row r="2179" spans="13:16">
      <c r="M2179" s="49">
        <f>IF($A$4+21&gt;$B$4,"",$A$4+21)</f>
        <v>46044</v>
      </c>
      <c r="N2179">
        <f>IF(M2179="","",'Master Barang'!A73)</f>
        <v>0</v>
      </c>
      <c r="O2179">
        <f>IF(N2179="","",'Master Barang'!B73)</f>
        <v>0</v>
      </c>
      <c r="P2179">
        <f>IF(OR(M2179="",N2179=""),"",SUMIFS('Barang Keluar'!$E:$E,'Barang Keluar'!$A:$A,M2179,'Barang Keluar'!$C:$C,N2179))</f>
        <v>0</v>
      </c>
    </row>
    <row r="2180" spans="13:16">
      <c r="M2180" s="49">
        <f>IF($A$4+21&gt;$B$4,"",$A$4+21)</f>
        <v>46044</v>
      </c>
      <c r="N2180">
        <f>IF(M2180="","",'Master Barang'!A74)</f>
        <v>0</v>
      </c>
      <c r="O2180">
        <f>IF(N2180="","",'Master Barang'!B74)</f>
        <v>0</v>
      </c>
      <c r="P2180">
        <f>IF(OR(M2180="",N2180=""),"",SUMIFS('Barang Keluar'!$E:$E,'Barang Keluar'!$A:$A,M2180,'Barang Keluar'!$C:$C,N2180))</f>
        <v>0</v>
      </c>
    </row>
    <row r="2181" spans="13:16">
      <c r="M2181" s="49">
        <f>IF($A$4+21&gt;$B$4,"",$A$4+21)</f>
        <v>46044</v>
      </c>
      <c r="N2181">
        <f>IF(M2181="","",'Master Barang'!A75)</f>
        <v>0</v>
      </c>
      <c r="O2181">
        <f>IF(N2181="","",'Master Barang'!B75)</f>
        <v>0</v>
      </c>
      <c r="P2181">
        <f>IF(OR(M2181="",N2181=""),"",SUMIFS('Barang Keluar'!$E:$E,'Barang Keluar'!$A:$A,M2181,'Barang Keluar'!$C:$C,N2181))</f>
        <v>0</v>
      </c>
    </row>
    <row r="2182" spans="13:16">
      <c r="M2182" s="49">
        <f>IF($A$4+21&gt;$B$4,"",$A$4+21)</f>
        <v>46044</v>
      </c>
      <c r="N2182">
        <f>IF(M2182="","",'Master Barang'!A76)</f>
        <v>0</v>
      </c>
      <c r="O2182">
        <f>IF(N2182="","",'Master Barang'!B76)</f>
        <v>0</v>
      </c>
      <c r="P2182">
        <f>IF(OR(M2182="",N2182=""),"",SUMIFS('Barang Keluar'!$E:$E,'Barang Keluar'!$A:$A,M2182,'Barang Keluar'!$C:$C,N2182))</f>
        <v>0</v>
      </c>
    </row>
    <row r="2183" spans="13:16">
      <c r="M2183" s="49">
        <f>IF($A$4+21&gt;$B$4,"",$A$4+21)</f>
        <v>46044</v>
      </c>
      <c r="N2183">
        <f>IF(M2183="","",'Master Barang'!A77)</f>
        <v>0</v>
      </c>
      <c r="O2183">
        <f>IF(N2183="","",'Master Barang'!B77)</f>
        <v>0</v>
      </c>
      <c r="P2183">
        <f>IF(OR(M2183="",N2183=""),"",SUMIFS('Barang Keluar'!$E:$E,'Barang Keluar'!$A:$A,M2183,'Barang Keluar'!$C:$C,N2183))</f>
        <v>0</v>
      </c>
    </row>
    <row r="2184" spans="13:16">
      <c r="M2184" s="49">
        <f>IF($A$4+21&gt;$B$4,"",$A$4+21)</f>
        <v>46044</v>
      </c>
      <c r="N2184">
        <f>IF(M2184="","",'Master Barang'!A78)</f>
        <v>0</v>
      </c>
      <c r="O2184">
        <f>IF(N2184="","",'Master Barang'!B78)</f>
        <v>0</v>
      </c>
      <c r="P2184">
        <f>IF(OR(M2184="",N2184=""),"",SUMIFS('Barang Keluar'!$E:$E,'Barang Keluar'!$A:$A,M2184,'Barang Keluar'!$C:$C,N2184))</f>
        <v>0</v>
      </c>
    </row>
    <row r="2185" spans="13:16">
      <c r="M2185" s="49">
        <f>IF($A$4+21&gt;$B$4,"",$A$4+21)</f>
        <v>46044</v>
      </c>
      <c r="N2185">
        <f>IF(M2185="","",'Master Barang'!A79)</f>
        <v>0</v>
      </c>
      <c r="O2185">
        <f>IF(N2185="","",'Master Barang'!B79)</f>
        <v>0</v>
      </c>
      <c r="P2185">
        <f>IF(OR(M2185="",N2185=""),"",SUMIFS('Barang Keluar'!$E:$E,'Barang Keluar'!$A:$A,M2185,'Barang Keluar'!$C:$C,N2185))</f>
        <v>0</v>
      </c>
    </row>
    <row r="2186" spans="13:16">
      <c r="M2186" s="49">
        <f>IF($A$4+21&gt;$B$4,"",$A$4+21)</f>
        <v>46044</v>
      </c>
      <c r="N2186">
        <f>IF(M2186="","",'Master Barang'!A80)</f>
        <v>0</v>
      </c>
      <c r="O2186">
        <f>IF(N2186="","",'Master Barang'!B80)</f>
        <v>0</v>
      </c>
      <c r="P2186">
        <f>IF(OR(M2186="",N2186=""),"",SUMIFS('Barang Keluar'!$E:$E,'Barang Keluar'!$A:$A,M2186,'Barang Keluar'!$C:$C,N2186))</f>
        <v>0</v>
      </c>
    </row>
    <row r="2187" spans="13:16">
      <c r="M2187" s="49">
        <f>IF($A$4+21&gt;$B$4,"",$A$4+21)</f>
        <v>46044</v>
      </c>
      <c r="N2187">
        <f>IF(M2187="","",'Master Barang'!A81)</f>
        <v>0</v>
      </c>
      <c r="O2187">
        <f>IF(N2187="","",'Master Barang'!B81)</f>
        <v>0</v>
      </c>
      <c r="P2187">
        <f>IF(OR(M2187="",N2187=""),"",SUMIFS('Barang Keluar'!$E:$E,'Barang Keluar'!$A:$A,M2187,'Barang Keluar'!$C:$C,N2187))</f>
        <v>0</v>
      </c>
    </row>
    <row r="2188" spans="13:16">
      <c r="M2188" s="49">
        <f>IF($A$4+21&gt;$B$4,"",$A$4+21)</f>
        <v>46044</v>
      </c>
      <c r="N2188">
        <f>IF(M2188="","",'Master Barang'!A82)</f>
        <v>0</v>
      </c>
      <c r="O2188">
        <f>IF(N2188="","",'Master Barang'!B82)</f>
        <v>0</v>
      </c>
      <c r="P2188">
        <f>IF(OR(M2188="",N2188=""),"",SUMIFS('Barang Keluar'!$E:$E,'Barang Keluar'!$A:$A,M2188,'Barang Keluar'!$C:$C,N2188))</f>
        <v>0</v>
      </c>
    </row>
    <row r="2189" spans="13:16">
      <c r="M2189" s="49">
        <f>IF($A$4+21&gt;$B$4,"",$A$4+21)</f>
        <v>46044</v>
      </c>
      <c r="N2189">
        <f>IF(M2189="","",'Master Barang'!A83)</f>
        <v>0</v>
      </c>
      <c r="O2189">
        <f>IF(N2189="","",'Master Barang'!B83)</f>
        <v>0</v>
      </c>
      <c r="P2189">
        <f>IF(OR(M2189="",N2189=""),"",SUMIFS('Barang Keluar'!$E:$E,'Barang Keluar'!$A:$A,M2189,'Barang Keluar'!$C:$C,N2189))</f>
        <v>0</v>
      </c>
    </row>
    <row r="2190" spans="13:16">
      <c r="M2190" s="49">
        <f>IF($A$4+21&gt;$B$4,"",$A$4+21)</f>
        <v>46044</v>
      </c>
      <c r="N2190">
        <f>IF(M2190="","",'Master Barang'!A84)</f>
        <v>0</v>
      </c>
      <c r="O2190">
        <f>IF(N2190="","",'Master Barang'!B84)</f>
        <v>0</v>
      </c>
      <c r="P2190">
        <f>IF(OR(M2190="",N2190=""),"",SUMIFS('Barang Keluar'!$E:$E,'Barang Keluar'!$A:$A,M2190,'Barang Keluar'!$C:$C,N2190))</f>
        <v>0</v>
      </c>
    </row>
    <row r="2191" spans="13:16">
      <c r="M2191" s="49">
        <f>IF($A$4+21&gt;$B$4,"",$A$4+21)</f>
        <v>46044</v>
      </c>
      <c r="N2191">
        <f>IF(M2191="","",'Master Barang'!A85)</f>
        <v>0</v>
      </c>
      <c r="O2191">
        <f>IF(N2191="","",'Master Barang'!B85)</f>
        <v>0</v>
      </c>
      <c r="P2191">
        <f>IF(OR(M2191="",N2191=""),"",SUMIFS('Barang Keluar'!$E:$E,'Barang Keluar'!$A:$A,M2191,'Barang Keluar'!$C:$C,N2191))</f>
        <v>0</v>
      </c>
    </row>
    <row r="2192" spans="13:16">
      <c r="M2192" s="49">
        <f>IF($A$4+21&gt;$B$4,"",$A$4+21)</f>
        <v>46044</v>
      </c>
      <c r="N2192">
        <f>IF(M2192="","",'Master Barang'!A86)</f>
        <v>0</v>
      </c>
      <c r="O2192">
        <f>IF(N2192="","",'Master Barang'!B86)</f>
        <v>0</v>
      </c>
      <c r="P2192">
        <f>IF(OR(M2192="",N2192=""),"",SUMIFS('Barang Keluar'!$E:$E,'Barang Keluar'!$A:$A,M2192,'Barang Keluar'!$C:$C,N2192))</f>
        <v>0</v>
      </c>
    </row>
    <row r="2193" spans="13:16">
      <c r="M2193" s="49">
        <f>IF($A$4+21&gt;$B$4,"",$A$4+21)</f>
        <v>46044</v>
      </c>
      <c r="N2193">
        <f>IF(M2193="","",'Master Barang'!A87)</f>
        <v>0</v>
      </c>
      <c r="O2193">
        <f>IF(N2193="","",'Master Barang'!B87)</f>
        <v>0</v>
      </c>
      <c r="P2193">
        <f>IF(OR(M2193="",N2193=""),"",SUMIFS('Barang Keluar'!$E:$E,'Barang Keluar'!$A:$A,M2193,'Barang Keluar'!$C:$C,N2193))</f>
        <v>0</v>
      </c>
    </row>
    <row r="2194" spans="13:16">
      <c r="M2194" s="49">
        <f>IF($A$4+21&gt;$B$4,"",$A$4+21)</f>
        <v>46044</v>
      </c>
      <c r="N2194">
        <f>IF(M2194="","",'Master Barang'!A88)</f>
        <v>0</v>
      </c>
      <c r="O2194">
        <f>IF(N2194="","",'Master Barang'!B88)</f>
        <v>0</v>
      </c>
      <c r="P2194">
        <f>IF(OR(M2194="",N2194=""),"",SUMIFS('Barang Keluar'!$E:$E,'Barang Keluar'!$A:$A,M2194,'Barang Keluar'!$C:$C,N2194))</f>
        <v>0</v>
      </c>
    </row>
    <row r="2195" spans="13:16">
      <c r="M2195" s="49">
        <f>IF($A$4+21&gt;$B$4,"",$A$4+21)</f>
        <v>46044</v>
      </c>
      <c r="N2195">
        <f>IF(M2195="","",'Master Barang'!A89)</f>
        <v>0</v>
      </c>
      <c r="O2195">
        <f>IF(N2195="","",'Master Barang'!B89)</f>
        <v>0</v>
      </c>
      <c r="P2195">
        <f>IF(OR(M2195="",N2195=""),"",SUMIFS('Barang Keluar'!$E:$E,'Barang Keluar'!$A:$A,M2195,'Barang Keluar'!$C:$C,N2195))</f>
        <v>0</v>
      </c>
    </row>
    <row r="2196" spans="13:16">
      <c r="M2196" s="49">
        <f>IF($A$4+21&gt;$B$4,"",$A$4+21)</f>
        <v>46044</v>
      </c>
      <c r="N2196">
        <f>IF(M2196="","",'Master Barang'!A90)</f>
        <v>0</v>
      </c>
      <c r="O2196">
        <f>IF(N2196="","",'Master Barang'!B90)</f>
        <v>0</v>
      </c>
      <c r="P2196">
        <f>IF(OR(M2196="",N2196=""),"",SUMIFS('Barang Keluar'!$E:$E,'Barang Keluar'!$A:$A,M2196,'Barang Keluar'!$C:$C,N2196))</f>
        <v>0</v>
      </c>
    </row>
    <row r="2197" spans="13:16">
      <c r="M2197" s="49">
        <f>IF($A$4+21&gt;$B$4,"",$A$4+21)</f>
        <v>46044</v>
      </c>
      <c r="N2197">
        <f>IF(M2197="","",'Master Barang'!A91)</f>
        <v>0</v>
      </c>
      <c r="O2197">
        <f>IF(N2197="","",'Master Barang'!B91)</f>
        <v>0</v>
      </c>
      <c r="P2197">
        <f>IF(OR(M2197="",N2197=""),"",SUMIFS('Barang Keluar'!$E:$E,'Barang Keluar'!$A:$A,M2197,'Barang Keluar'!$C:$C,N2197))</f>
        <v>0</v>
      </c>
    </row>
    <row r="2198" spans="13:16">
      <c r="M2198" s="49">
        <f>IF($A$4+21&gt;$B$4,"",$A$4+21)</f>
        <v>46044</v>
      </c>
      <c r="N2198">
        <f>IF(M2198="","",'Master Barang'!A92)</f>
        <v>0</v>
      </c>
      <c r="O2198">
        <f>IF(N2198="","",'Master Barang'!B92)</f>
        <v>0</v>
      </c>
      <c r="P2198">
        <f>IF(OR(M2198="",N2198=""),"",SUMIFS('Barang Keluar'!$E:$E,'Barang Keluar'!$A:$A,M2198,'Barang Keluar'!$C:$C,N2198))</f>
        <v>0</v>
      </c>
    </row>
    <row r="2199" spans="13:16">
      <c r="M2199" s="49">
        <f>IF($A$4+21&gt;$B$4,"",$A$4+21)</f>
        <v>46044</v>
      </c>
      <c r="N2199">
        <f>IF(M2199="","",'Master Barang'!A93)</f>
        <v>0</v>
      </c>
      <c r="O2199">
        <f>IF(N2199="","",'Master Barang'!B93)</f>
        <v>0</v>
      </c>
      <c r="P2199">
        <f>IF(OR(M2199="",N2199=""),"",SUMIFS('Barang Keluar'!$E:$E,'Barang Keluar'!$A:$A,M2199,'Barang Keluar'!$C:$C,N2199))</f>
        <v>0</v>
      </c>
    </row>
    <row r="2200" spans="13:16">
      <c r="M2200" s="49">
        <f>IF($A$4+21&gt;$B$4,"",$A$4+21)</f>
        <v>46044</v>
      </c>
      <c r="N2200">
        <f>IF(M2200="","",'Master Barang'!A94)</f>
        <v>0</v>
      </c>
      <c r="O2200">
        <f>IF(N2200="","",'Master Barang'!B94)</f>
        <v>0</v>
      </c>
      <c r="P2200">
        <f>IF(OR(M2200="",N2200=""),"",SUMIFS('Barang Keluar'!$E:$E,'Barang Keluar'!$A:$A,M2200,'Barang Keluar'!$C:$C,N2200))</f>
        <v>0</v>
      </c>
    </row>
    <row r="2201" spans="13:16">
      <c r="M2201" s="49">
        <f>IF($A$4+21&gt;$B$4,"",$A$4+21)</f>
        <v>46044</v>
      </c>
      <c r="N2201">
        <f>IF(M2201="","",'Master Barang'!A95)</f>
        <v>0</v>
      </c>
      <c r="O2201">
        <f>IF(N2201="","",'Master Barang'!B95)</f>
        <v>0</v>
      </c>
      <c r="P2201">
        <f>IF(OR(M2201="",N2201=""),"",SUMIFS('Barang Keluar'!$E:$E,'Barang Keluar'!$A:$A,M2201,'Barang Keluar'!$C:$C,N2201))</f>
        <v>0</v>
      </c>
    </row>
    <row r="2202" spans="13:16">
      <c r="M2202" s="49">
        <f>IF($A$4+21&gt;$B$4,"",$A$4+21)</f>
        <v>46044</v>
      </c>
      <c r="N2202">
        <f>IF(M2202="","",'Master Barang'!A96)</f>
        <v>0</v>
      </c>
      <c r="O2202">
        <f>IF(N2202="","",'Master Barang'!B96)</f>
        <v>0</v>
      </c>
      <c r="P2202">
        <f>IF(OR(M2202="",N2202=""),"",SUMIFS('Barang Keluar'!$E:$E,'Barang Keluar'!$A:$A,M2202,'Barang Keluar'!$C:$C,N2202))</f>
        <v>0</v>
      </c>
    </row>
    <row r="2203" spans="13:16">
      <c r="M2203" s="49">
        <f>IF($A$4+21&gt;$B$4,"",$A$4+21)</f>
        <v>46044</v>
      </c>
      <c r="N2203">
        <f>IF(M2203="","",'Master Barang'!A97)</f>
        <v>0</v>
      </c>
      <c r="O2203">
        <f>IF(N2203="","",'Master Barang'!B97)</f>
        <v>0</v>
      </c>
      <c r="P2203">
        <f>IF(OR(M2203="",N2203=""),"",SUMIFS('Barang Keluar'!$E:$E,'Barang Keluar'!$A:$A,M2203,'Barang Keluar'!$C:$C,N2203))</f>
        <v>0</v>
      </c>
    </row>
    <row r="2204" spans="13:16">
      <c r="M2204" s="49">
        <f>IF($A$4+21&gt;$B$4,"",$A$4+21)</f>
        <v>46044</v>
      </c>
      <c r="N2204">
        <f>IF(M2204="","",'Master Barang'!A98)</f>
        <v>0</v>
      </c>
      <c r="O2204">
        <f>IF(N2204="","",'Master Barang'!B98)</f>
        <v>0</v>
      </c>
      <c r="P2204">
        <f>IF(OR(M2204="",N2204=""),"",SUMIFS('Barang Keluar'!$E:$E,'Barang Keluar'!$A:$A,M2204,'Barang Keluar'!$C:$C,N2204))</f>
        <v>0</v>
      </c>
    </row>
    <row r="2205" spans="13:16">
      <c r="M2205" s="49">
        <f>IF($A$4+21&gt;$B$4,"",$A$4+21)</f>
        <v>46044</v>
      </c>
      <c r="N2205">
        <f>IF(M2205="","",'Master Barang'!A99)</f>
        <v>0</v>
      </c>
      <c r="O2205">
        <f>IF(N2205="","",'Master Barang'!B99)</f>
        <v>0</v>
      </c>
      <c r="P2205">
        <f>IF(OR(M2205="",N2205=""),"",SUMIFS('Barang Keluar'!$E:$E,'Barang Keluar'!$A:$A,M2205,'Barang Keluar'!$C:$C,N2205))</f>
        <v>0</v>
      </c>
    </row>
    <row r="2206" spans="13:16">
      <c r="M2206" s="49">
        <f>IF($A$4+21&gt;$B$4,"",$A$4+21)</f>
        <v>46044</v>
      </c>
      <c r="N2206">
        <f>IF(M2206="","",'Master Barang'!A100)</f>
        <v>0</v>
      </c>
      <c r="O2206">
        <f>IF(N2206="","",'Master Barang'!B100)</f>
        <v>0</v>
      </c>
      <c r="P2206">
        <f>IF(OR(M2206="",N2206=""),"",SUMIFS('Barang Keluar'!$E:$E,'Barang Keluar'!$A:$A,M2206,'Barang Keluar'!$C:$C,N2206))</f>
        <v>0</v>
      </c>
    </row>
    <row r="2207" spans="13:16">
      <c r="M2207" s="49">
        <f>IF($A$4+21&gt;$B$4,"",$A$4+21)</f>
        <v>46044</v>
      </c>
      <c r="N2207">
        <f>IF(M2207="","",'Master Barang'!A101)</f>
        <v>0</v>
      </c>
      <c r="O2207">
        <f>IF(N2207="","",'Master Barang'!B101)</f>
        <v>0</v>
      </c>
      <c r="P2207">
        <f>IF(OR(M2207="",N2207=""),"",SUMIFS('Barang Keluar'!$E:$E,'Barang Keluar'!$A:$A,M2207,'Barang Keluar'!$C:$C,N2207))</f>
        <v>0</v>
      </c>
    </row>
    <row r="2208" spans="13:16">
      <c r="M2208" s="49">
        <f>IF($A$4+22&gt;$B$4,"",$A$4+22)</f>
        <v>46045</v>
      </c>
      <c r="N2208" t="str">
        <f>IF(M2208="","",'Master Barang'!A2)</f>
        <v>PRL-001</v>
      </c>
      <c r="O2208" t="str">
        <f>IF(N2208="","",'Master Barang'!B2)</f>
        <v>natura desinfectant food grade 5l</v>
      </c>
      <c r="P2208">
        <f>IF(OR(M2208="",N2208=""),"",SUMIFS('Barang Keluar'!$E:$E,'Barang Keluar'!$A:$A,M2208,'Barang Keluar'!$C:$C,N2208))</f>
        <v>0</v>
      </c>
    </row>
    <row r="2209" spans="13:16">
      <c r="M2209" s="49">
        <f>IF($A$4+22&gt;$B$4,"",$A$4+22)</f>
        <v>46045</v>
      </c>
      <c r="N2209" t="str">
        <f>IF(M2209="","",'Master Barang'!A3)</f>
        <v>PRL-002</v>
      </c>
      <c r="O2209" t="str">
        <f>IF(N2209="","",'Master Barang'!B3)</f>
        <v>sunlight cairan pencuci piring 5l</v>
      </c>
      <c r="P2209">
        <f>IF(OR(M2209="",N2209=""),"",SUMIFS('Barang Keluar'!$E:$E,'Barang Keluar'!$A:$A,M2209,'Barang Keluar'!$C:$C,N2209))</f>
        <v>0</v>
      </c>
    </row>
    <row r="2210" spans="13:16">
      <c r="M2210" s="49">
        <f>IF($A$4+22&gt;$B$4,"",$A$4+22)</f>
        <v>46045</v>
      </c>
      <c r="N2210" t="str">
        <f>IF(M2210="","",'Master Barang'!A4)</f>
        <v>PRL-003</v>
      </c>
      <c r="O2210" t="str">
        <f>IF(N2210="","",'Master Barang'!B4)</f>
        <v>oixs cleaner 1l</v>
      </c>
      <c r="P2210">
        <f>IF(OR(M2210="",N2210=""),"",SUMIFS('Barang Keluar'!$E:$E,'Barang Keluar'!$A:$A,M2210,'Barang Keluar'!$C:$C,N2210))</f>
        <v>0</v>
      </c>
    </row>
    <row r="2211" spans="13:16">
      <c r="M2211" s="49">
        <f>IF($A$4+22&gt;$B$4,"",$A$4+22)</f>
        <v>46045</v>
      </c>
      <c r="N2211" t="str">
        <f>IF(M2211="","",'Master Barang'!A5)</f>
        <v>PRL-004</v>
      </c>
      <c r="O2211" t="str">
        <f>IF(N2211="","",'Master Barang'!B5)</f>
        <v>be clean tissue serbaguna</v>
      </c>
      <c r="P2211">
        <f>IF(OR(M2211="",N2211=""),"",SUMIFS('Barang Keluar'!$E:$E,'Barang Keluar'!$A:$A,M2211,'Barang Keluar'!$C:$C,N2211))</f>
        <v>0</v>
      </c>
    </row>
    <row r="2212" spans="13:16">
      <c r="M2212" s="49">
        <f>IF($A$4+22&gt;$B$4,"",$A$4+22)</f>
        <v>46045</v>
      </c>
      <c r="N2212" t="str">
        <f>IF(M2212="","",'Master Barang'!A6)</f>
        <v>PRL-005</v>
      </c>
      <c r="O2212" t="str">
        <f>IF(N2212="","",'Master Barang'!B6)</f>
        <v>spons cuci hijau</v>
      </c>
      <c r="P2212">
        <f>IF(OR(M2212="",N2212=""),"",SUMIFS('Barang Keluar'!$E:$E,'Barang Keluar'!$A:$A,M2212,'Barang Keluar'!$C:$C,N2212))</f>
        <v>0</v>
      </c>
    </row>
    <row r="2213" spans="13:16">
      <c r="M2213" s="49">
        <f>IF($A$4+22&gt;$B$4,"",$A$4+22)</f>
        <v>46045</v>
      </c>
      <c r="N2213" t="str">
        <f>IF(M2213="","",'Master Barang'!A7)</f>
        <v>PRL-006</v>
      </c>
      <c r="O2213" t="str">
        <f>IF(N2213="","",'Master Barang'!B7)</f>
        <v>sabut cuci stainless</v>
      </c>
      <c r="P2213">
        <f>IF(OR(M2213="",N2213=""),"",SUMIFS('Barang Keluar'!$E:$E,'Barang Keluar'!$A:$A,M2213,'Barang Keluar'!$C:$C,N2213))</f>
        <v>0</v>
      </c>
    </row>
    <row r="2214" spans="13:16">
      <c r="M2214" s="49">
        <f>IF($A$4+22&gt;$B$4,"",$A$4+22)</f>
        <v>46045</v>
      </c>
      <c r="N2214" t="str">
        <f>IF(M2214="","",'Master Barang'!A8)</f>
        <v>PRL-007</v>
      </c>
      <c r="O2214" t="str">
        <f>IF(N2214="","",'Master Barang'!B8)</f>
        <v>plastik kresek besar merah 50pc</v>
      </c>
      <c r="P2214">
        <f>IF(OR(M2214="",N2214=""),"",SUMIFS('Barang Keluar'!$E:$E,'Barang Keluar'!$A:$A,M2214,'Barang Keluar'!$C:$C,N2214))</f>
        <v>0</v>
      </c>
    </row>
    <row r="2215" spans="13:16">
      <c r="M2215" s="49">
        <f>IF($A$4+22&gt;$B$4,"",$A$4+22)</f>
        <v>46045</v>
      </c>
      <c r="N2215" t="str">
        <f>IF(M2215="","",'Master Barang'!A9)</f>
        <v>PRL-008</v>
      </c>
      <c r="O2215" t="str">
        <f>IF(N2215="","",'Master Barang'!B9)</f>
        <v>lap besar</v>
      </c>
      <c r="P2215">
        <f>IF(OR(M2215="",N2215=""),"",SUMIFS('Barang Keluar'!$E:$E,'Barang Keluar'!$A:$A,M2215,'Barang Keluar'!$C:$C,N2215))</f>
        <v>0</v>
      </c>
    </row>
    <row r="2216" spans="13:16">
      <c r="M2216" s="49">
        <f>IF($A$4+22&gt;$B$4,"",$A$4+22)</f>
        <v>46045</v>
      </c>
      <c r="N2216" t="str">
        <f>IF(M2216="","",'Master Barang'!A10)</f>
        <v>PRL-009</v>
      </c>
      <c r="O2216" t="str">
        <f>IF(N2216="","",'Master Barang'!B10)</f>
        <v>lap microfiber</v>
      </c>
      <c r="P2216">
        <f>IF(OR(M2216="",N2216=""),"",SUMIFS('Barang Keluar'!$E:$E,'Barang Keluar'!$A:$A,M2216,'Barang Keluar'!$C:$C,N2216))</f>
        <v>0</v>
      </c>
    </row>
    <row r="2217" spans="13:16">
      <c r="M2217" s="49">
        <f>IF($A$4+22&gt;$B$4,"",$A$4+22)</f>
        <v>46045</v>
      </c>
      <c r="N2217" t="str">
        <f>IF(M2217="","",'Master Barang'!A11)</f>
        <v>PRL-010</v>
      </c>
      <c r="O2217" t="str">
        <f>IF(N2217="","",'Master Barang'!B11)</f>
        <v>lap kecil</v>
      </c>
      <c r="P2217">
        <f>IF(OR(M2217="",N2217=""),"",SUMIFS('Barang Keluar'!$E:$E,'Barang Keluar'!$A:$A,M2217,'Barang Keluar'!$C:$C,N2217))</f>
        <v>0</v>
      </c>
    </row>
    <row r="2218" spans="13:16">
      <c r="M2218" s="49">
        <f>IF($A$4+22&gt;$B$4,"",$A$4+22)</f>
        <v>46045</v>
      </c>
      <c r="N2218" t="str">
        <f>IF(M2218="","",'Master Barang'!A12)</f>
        <v>PRL-011</v>
      </c>
      <c r="O2218" t="str">
        <f>IF(N2218="","",'Master Barang'!B12)</f>
        <v>kanebo kecil</v>
      </c>
      <c r="P2218">
        <f>IF(OR(M2218="",N2218=""),"",SUMIFS('Barang Keluar'!$E:$E,'Barang Keluar'!$A:$A,M2218,'Barang Keluar'!$C:$C,N2218))</f>
        <v>0</v>
      </c>
    </row>
    <row r="2219" spans="13:16">
      <c r="M2219" s="49">
        <f>IF($A$4+22&gt;$B$4,"",$A$4+22)</f>
        <v>46045</v>
      </c>
      <c r="N2219" t="str">
        <f>IF(M2219="","",'Master Barang'!A13)</f>
        <v>PRL-012</v>
      </c>
      <c r="O2219" t="str">
        <f>IF(N2219="","",'Master Barang'!B13)</f>
        <v>plastik 1/4kg joyoboyo 100 lembar</v>
      </c>
      <c r="P2219">
        <f>IF(OR(M2219="",N2219=""),"",SUMIFS('Barang Keluar'!$E:$E,'Barang Keluar'!$A:$A,M2219,'Barang Keluar'!$C:$C,N2219))</f>
        <v>0</v>
      </c>
    </row>
    <row r="2220" spans="13:16">
      <c r="M2220" s="49">
        <f>IF($A$4+22&gt;$B$4,"",$A$4+22)</f>
        <v>46045</v>
      </c>
      <c r="N2220" t="str">
        <f>IF(M2220="","",'Master Barang'!A14)</f>
        <v>PRL-013</v>
      </c>
      <c r="O2220" t="str">
        <f>IF(N2220="","",'Master Barang'!B14)</f>
        <v>sarung tangan plastik kaka 100 pcs</v>
      </c>
      <c r="P2220">
        <f>IF(OR(M2220="",N2220=""),"",SUMIFS('Barang Keluar'!$E:$E,'Barang Keluar'!$A:$A,M2220,'Barang Keluar'!$C:$C,N2220))</f>
        <v>0</v>
      </c>
    </row>
    <row r="2221" spans="13:16">
      <c r="M2221" s="49">
        <f>IF($A$4+22&gt;$B$4,"",$A$4+22)</f>
        <v>46045</v>
      </c>
      <c r="N2221" t="str">
        <f>IF(M2221="","",'Master Barang'!A15)</f>
        <v>PRL-014</v>
      </c>
      <c r="O2221" t="str">
        <f>IF(N2221="","",'Master Barang'!B15)</f>
        <v>optima trashbag 80x100</v>
      </c>
      <c r="P2221">
        <f>IF(OR(M2221="",N2221=""),"",SUMIFS('Barang Keluar'!$E:$E,'Barang Keluar'!$A:$A,M2221,'Barang Keluar'!$C:$C,N2221))</f>
        <v>0</v>
      </c>
    </row>
    <row r="2222" spans="13:16">
      <c r="M2222" s="49">
        <f>IF($A$4+22&gt;$B$4,"",$A$4+22)</f>
        <v>46045</v>
      </c>
      <c r="N2222" t="str">
        <f>IF(M2222="","",'Master Barang'!A16)</f>
        <v>PRL-015</v>
      </c>
      <c r="O2222" t="str">
        <f>IF(N2222="","",'Master Barang'!B16)</f>
        <v>optima trashbag 60x100</v>
      </c>
      <c r="P2222">
        <f>IF(OR(M2222="",N2222=""),"",SUMIFS('Barang Keluar'!$E:$E,'Barang Keluar'!$A:$A,M2222,'Barang Keluar'!$C:$C,N2222))</f>
        <v>0</v>
      </c>
    </row>
    <row r="2223" spans="13:16">
      <c r="M2223" s="49">
        <f>IF($A$4+22&gt;$B$4,"",$A$4+22)</f>
        <v>46045</v>
      </c>
      <c r="N2223" t="str">
        <f>IF(M2223="","",'Master Barang'!A17)</f>
        <v>PRL-016</v>
      </c>
      <c r="O2223" t="str">
        <f>IF(N2223="","",'Master Barang'!B17)</f>
        <v>rajawali trashbag 30x40</v>
      </c>
      <c r="P2223">
        <f>IF(OR(M2223="",N2223=""),"",SUMIFS('Barang Keluar'!$E:$E,'Barang Keluar'!$A:$A,M2223,'Barang Keluar'!$C:$C,N2223))</f>
        <v>0</v>
      </c>
    </row>
    <row r="2224" spans="13:16">
      <c r="M2224" s="49">
        <f>IF($A$4+22&gt;$B$4,"",$A$4+22)</f>
        <v>46045</v>
      </c>
      <c r="N2224" t="str">
        <f>IF(M2224="","",'Master Barang'!A18)</f>
        <v>PRL-017</v>
      </c>
      <c r="O2224" t="str">
        <f>IF(N2224="","",'Master Barang'!B18)</f>
        <v>onemed masker biru 3 play 50 pcs</v>
      </c>
      <c r="P2224">
        <f>IF(OR(M2224="",N2224=""),"",SUMIFS('Barang Keluar'!$E:$E,'Barang Keluar'!$A:$A,M2224,'Barang Keluar'!$C:$C,N2224))</f>
        <v>0</v>
      </c>
    </row>
    <row r="2225" spans="13:16">
      <c r="M2225" s="49">
        <f>IF($A$4+22&gt;$B$4,"",$A$4+22)</f>
        <v>46045</v>
      </c>
      <c r="N2225" t="str">
        <f>IF(M2225="","",'Master Barang'!A19)</f>
        <v>PRL-018</v>
      </c>
      <c r="O2225" t="str">
        <f>IF(N2225="","",'Master Barang'!B19)</f>
        <v>onemed masker biru 3 play hijab 50 pcs</v>
      </c>
      <c r="P2225">
        <f>IF(OR(M2225="",N2225=""),"",SUMIFS('Barang Keluar'!$E:$E,'Barang Keluar'!$A:$A,M2225,'Barang Keluar'!$C:$C,N2225))</f>
        <v>0</v>
      </c>
    </row>
    <row r="2226" spans="13:16">
      <c r="M2226" s="49">
        <f>IF($A$4+22&gt;$B$4,"",$A$4+22)</f>
        <v>46045</v>
      </c>
      <c r="N2226" t="str">
        <f>IF(M2226="","",'Master Barang'!A20)</f>
        <v>PRL-019</v>
      </c>
      <c r="O2226" t="str">
        <f>IF(N2226="","",'Master Barang'!B20)</f>
        <v>neo health masker biru 3 play 50 pcs</v>
      </c>
      <c r="P2226">
        <f>IF(OR(M2226="",N2226=""),"",SUMIFS('Barang Keluar'!$E:$E,'Barang Keluar'!$A:$A,M2226,'Barang Keluar'!$C:$C,N2226))</f>
        <v>0</v>
      </c>
    </row>
    <row r="2227" spans="13:16">
      <c r="M2227" s="49">
        <f>IF($A$4+22&gt;$B$4,"",$A$4+22)</f>
        <v>46045</v>
      </c>
      <c r="N2227" t="str">
        <f>IF(M2227="","",'Master Barang'!A21)</f>
        <v>PRL-020</v>
      </c>
      <c r="O2227" t="str">
        <f>IF(N2227="","",'Master Barang'!B21)</f>
        <v>baymed masker hijau 3 play hijau 50 pcs</v>
      </c>
      <c r="P2227">
        <f>IF(OR(M2227="",N2227=""),"",SUMIFS('Barang Keluar'!$E:$E,'Barang Keluar'!$A:$A,M2227,'Barang Keluar'!$C:$C,N2227))</f>
        <v>0</v>
      </c>
    </row>
    <row r="2228" spans="13:16">
      <c r="M2228" s="49">
        <f>IF($A$4+22&gt;$B$4,"",$A$4+22)</f>
        <v>46045</v>
      </c>
      <c r="N2228" t="str">
        <f>IF(M2228="","",'Master Barang'!A22)</f>
        <v>PRL-021</v>
      </c>
      <c r="O2228" t="str">
        <f>IF(N2228="","",'Master Barang'!B22)</f>
        <v>altamed nurse cap penutup kepala 100 pcs</v>
      </c>
      <c r="P2228">
        <f>IF(OR(M2228="",N2228=""),"",SUMIFS('Barang Keluar'!$E:$E,'Barang Keluar'!$A:$A,M2228,'Barang Keluar'!$C:$C,N2228))</f>
        <v>0</v>
      </c>
    </row>
    <row r="2229" spans="13:16">
      <c r="M2229" s="49">
        <f>IF($A$4+22&gt;$B$4,"",$A$4+22)</f>
        <v>46045</v>
      </c>
      <c r="N2229" t="str">
        <f>IF(M2229="","",'Master Barang'!A23)</f>
        <v>PRL-022</v>
      </c>
      <c r="O2229" t="str">
        <f>IF(N2229="","",'Master Barang'!B23)</f>
        <v>sabun cuci tangan</v>
      </c>
      <c r="P2229">
        <f>IF(OR(M2229="",N2229=""),"",SUMIFS('Barang Keluar'!$E:$E,'Barang Keluar'!$A:$A,M2229,'Barang Keluar'!$C:$C,N2229))</f>
        <v>0</v>
      </c>
    </row>
    <row r="2230" spans="13:16">
      <c r="M2230" s="49">
        <f>IF($A$4+22&gt;$B$4,"",$A$4+22)</f>
        <v>46045</v>
      </c>
      <c r="N2230" t="str">
        <f>IF(M2230="","",'Master Barang'!A24)</f>
        <v>PRL-023</v>
      </c>
      <c r="O2230" t="str">
        <f>IF(N2230="","",'Master Barang'!B24)</f>
        <v>gayung kecil</v>
      </c>
      <c r="P2230">
        <f>IF(OR(M2230="",N2230=""),"",SUMIFS('Barang Keluar'!$E:$E,'Barang Keluar'!$A:$A,M2230,'Barang Keluar'!$C:$C,N2230))</f>
        <v>0</v>
      </c>
    </row>
    <row r="2231" spans="13:16">
      <c r="M2231" s="49">
        <f>IF($A$4+22&gt;$B$4,"",$A$4+22)</f>
        <v>46045</v>
      </c>
      <c r="N2231" t="str">
        <f>IF(M2231="","",'Master Barang'!A25)</f>
        <v>PRL-024</v>
      </c>
      <c r="O2231" t="str">
        <f>IF(N2231="","",'Master Barang'!B25)</f>
        <v>cikrak kecil</v>
      </c>
      <c r="P2231">
        <f>IF(OR(M2231="",N2231=""),"",SUMIFS('Barang Keluar'!$E:$E,'Barang Keluar'!$A:$A,M2231,'Barang Keluar'!$C:$C,N2231))</f>
        <v>0</v>
      </c>
    </row>
    <row r="2232" spans="13:16">
      <c r="M2232" s="49">
        <f>IF($A$4+22&gt;$B$4,"",$A$4+22)</f>
        <v>46045</v>
      </c>
      <c r="N2232" t="str">
        <f>IF(M2232="","",'Master Barang'!A26)</f>
        <v>PRL-025</v>
      </c>
      <c r="O2232" t="str">
        <f>IF(N2232="","",'Master Barang'!B26)</f>
        <v>petromax plastik kecil 12x24 100 lembar</v>
      </c>
      <c r="P2232">
        <f>IF(OR(M2232="",N2232=""),"",SUMIFS('Barang Keluar'!$E:$E,'Barang Keluar'!$A:$A,M2232,'Barang Keluar'!$C:$C,N2232))</f>
        <v>0</v>
      </c>
    </row>
    <row r="2233" spans="13:16">
      <c r="M2233" s="49">
        <f>IF($A$4+22&gt;$B$4,"",$A$4+22)</f>
        <v>46045</v>
      </c>
      <c r="N2233" t="str">
        <f>IF(M2233="","",'Master Barang'!A27)</f>
        <v>PRL-026</v>
      </c>
      <c r="O2233" t="str">
        <f>IF(N2233="","",'Master Barang'!B27)</f>
        <v>lancar kresek kecil bening </v>
      </c>
      <c r="P2233">
        <f>IF(OR(M2233="",N2233=""),"",SUMIFS('Barang Keluar'!$E:$E,'Barang Keluar'!$A:$A,M2233,'Barang Keluar'!$C:$C,N2233))</f>
        <v>0</v>
      </c>
    </row>
    <row r="2234" spans="13:16">
      <c r="M2234" s="49">
        <f>IF($A$4+22&gt;$B$4,"",$A$4+22)</f>
        <v>46045</v>
      </c>
      <c r="N2234" t="str">
        <f>IF(M2234="","",'Master Barang'!A28)</f>
        <v>PRL-027</v>
      </c>
      <c r="O2234" t="str">
        <f>IF(N2234="","",'Master Barang'!B28)</f>
        <v>kresek klin warna warni kecil</v>
      </c>
      <c r="P2234">
        <f>IF(OR(M2234="",N2234=""),"",SUMIFS('Barang Keluar'!$E:$E,'Barang Keluar'!$A:$A,M2234,'Barang Keluar'!$C:$C,N2234))</f>
        <v>0</v>
      </c>
    </row>
    <row r="2235" spans="13:16">
      <c r="M2235" s="49">
        <f>IF($A$4+22&gt;$B$4,"",$A$4+22)</f>
        <v>46045</v>
      </c>
      <c r="N2235" t="str">
        <f>IF(M2235="","",'Master Barang'!A29)</f>
        <v>PRL-028</v>
      </c>
      <c r="O2235" t="str">
        <f>IF(N2235="","",'Master Barang'!B29)</f>
        <v>ctik plastik 7x10 100 pcs</v>
      </c>
      <c r="P2235">
        <f>IF(OR(M2235="",N2235=""),"",SUMIFS('Barang Keluar'!$E:$E,'Barang Keluar'!$A:$A,M2235,'Barang Keluar'!$C:$C,N2235))</f>
        <v>0</v>
      </c>
    </row>
    <row r="2236" spans="13:16">
      <c r="M2236" s="49">
        <f>IF($A$4+22&gt;$B$4,"",$A$4+22)</f>
        <v>46045</v>
      </c>
      <c r="N2236" t="str">
        <f>IF(M2236="","",'Master Barang'!A30)</f>
        <v>PRL-029</v>
      </c>
      <c r="O2236" t="str">
        <f>IF(N2236="","",'Master Barang'!B30)</f>
        <v>ctik plastik 6x10 100 pcs</v>
      </c>
      <c r="P2236">
        <f>IF(OR(M2236="",N2236=""),"",SUMIFS('Barang Keluar'!$E:$E,'Barang Keluar'!$A:$A,M2236,'Barang Keluar'!$C:$C,N2236))</f>
        <v>0</v>
      </c>
    </row>
    <row r="2237" spans="13:16">
      <c r="M2237" s="49">
        <f>IF($A$4+22&gt;$B$4,"",$A$4+22)</f>
        <v>46045</v>
      </c>
      <c r="N2237" t="str">
        <f>IF(M2237="","",'Master Barang'!A31)</f>
        <v>PRL-030</v>
      </c>
      <c r="O2237" t="str">
        <f>IF(N2237="","",'Master Barang'!B31)</f>
        <v>klip plastik 25x16 100 pcs</v>
      </c>
      <c r="P2237">
        <f>IF(OR(M2237="",N2237=""),"",SUMIFS('Barang Keluar'!$E:$E,'Barang Keluar'!$A:$A,M2237,'Barang Keluar'!$C:$C,N2237))</f>
        <v>0</v>
      </c>
    </row>
    <row r="2238" spans="13:16">
      <c r="M2238" s="49">
        <f>IF($A$4+22&gt;$B$4,"",$A$4+22)</f>
        <v>46045</v>
      </c>
      <c r="N2238" t="str">
        <f>IF(M2238="","",'Master Barang'!A32)</f>
        <v>PRL-031</v>
      </c>
      <c r="O2238" t="str">
        <f>IF(N2238="","",'Master Barang'!B32)</f>
        <v>tempat saus 20 ml</v>
      </c>
      <c r="P2238">
        <f>IF(OR(M2238="",N2238=""),"",SUMIFS('Barang Keluar'!$E:$E,'Barang Keluar'!$A:$A,M2238,'Barang Keluar'!$C:$C,N2238))</f>
        <v>0</v>
      </c>
    </row>
    <row r="2239" spans="13:16">
      <c r="M2239" s="49">
        <f>IF($A$4+22&gt;$B$4,"",$A$4+22)</f>
        <v>46045</v>
      </c>
      <c r="N2239" t="str">
        <f>IF(M2239="","",'Master Barang'!A33)</f>
        <v>PRL-032</v>
      </c>
      <c r="O2239" t="str">
        <f>IF(N2239="","",'Master Barang'!B33)</f>
        <v>plastik packaging ag box uk sedang</v>
      </c>
      <c r="P2239">
        <f>IF(OR(M2239="",N2239=""),"",SUMIFS('Barang Keluar'!$E:$E,'Barang Keluar'!$A:$A,M2239,'Barang Keluar'!$C:$C,N2239))</f>
        <v>0</v>
      </c>
    </row>
    <row r="2240" spans="13:16">
      <c r="M2240" s="49">
        <f>IF($A$4+22&gt;$B$4,"",$A$4+22)</f>
        <v>46045</v>
      </c>
      <c r="N2240" t="str">
        <f>IF(M2240="","",'Master Barang'!A34)</f>
        <v>PRL-033</v>
      </c>
      <c r="O2240">
        <f>IF(N2240="","",'Master Barang'!B34)</f>
        <v>0</v>
      </c>
      <c r="P2240">
        <f>IF(OR(M2240="",N2240=""),"",SUMIFS('Barang Keluar'!$E:$E,'Barang Keluar'!$A:$A,M2240,'Barang Keluar'!$C:$C,N2240))</f>
        <v>0</v>
      </c>
    </row>
    <row r="2241" spans="13:16">
      <c r="M2241" s="49">
        <f>IF($A$4+22&gt;$B$4,"",$A$4+22)</f>
        <v>46045</v>
      </c>
      <c r="N2241">
        <f>IF(M2241="","",'Master Barang'!A35)</f>
        <v>0</v>
      </c>
      <c r="O2241">
        <f>IF(N2241="","",'Master Barang'!B35)</f>
        <v>0</v>
      </c>
      <c r="P2241">
        <f>IF(OR(M2241="",N2241=""),"",SUMIFS('Barang Keluar'!$E:$E,'Barang Keluar'!$A:$A,M2241,'Barang Keluar'!$C:$C,N2241))</f>
        <v>0</v>
      </c>
    </row>
    <row r="2242" spans="13:16">
      <c r="M2242" s="49">
        <f>IF($A$4+22&gt;$B$4,"",$A$4+22)</f>
        <v>46045</v>
      </c>
      <c r="N2242">
        <f>IF(M2242="","",'Master Barang'!A36)</f>
        <v>0</v>
      </c>
      <c r="O2242">
        <f>IF(N2242="","",'Master Barang'!B36)</f>
        <v>0</v>
      </c>
      <c r="P2242">
        <f>IF(OR(M2242="",N2242=""),"",SUMIFS('Barang Keluar'!$E:$E,'Barang Keluar'!$A:$A,M2242,'Barang Keluar'!$C:$C,N2242))</f>
        <v>0</v>
      </c>
    </row>
    <row r="2243" spans="13:16">
      <c r="M2243" s="49">
        <f>IF($A$4+22&gt;$B$4,"",$A$4+22)</f>
        <v>46045</v>
      </c>
      <c r="N2243">
        <f>IF(M2243="","",'Master Barang'!A37)</f>
        <v>0</v>
      </c>
      <c r="O2243">
        <f>IF(N2243="","",'Master Barang'!B37)</f>
        <v>0</v>
      </c>
      <c r="P2243">
        <f>IF(OR(M2243="",N2243=""),"",SUMIFS('Barang Keluar'!$E:$E,'Barang Keluar'!$A:$A,M2243,'Barang Keluar'!$C:$C,N2243))</f>
        <v>0</v>
      </c>
    </row>
    <row r="2244" spans="13:16">
      <c r="M2244" s="49">
        <f>IF($A$4+22&gt;$B$4,"",$A$4+22)</f>
        <v>46045</v>
      </c>
      <c r="N2244">
        <f>IF(M2244="","",'Master Barang'!A38)</f>
        <v>0</v>
      </c>
      <c r="O2244">
        <f>IF(N2244="","",'Master Barang'!B38)</f>
        <v>0</v>
      </c>
      <c r="P2244">
        <f>IF(OR(M2244="",N2244=""),"",SUMIFS('Barang Keluar'!$E:$E,'Barang Keluar'!$A:$A,M2244,'Barang Keluar'!$C:$C,N2244))</f>
        <v>0</v>
      </c>
    </row>
    <row r="2245" spans="13:16">
      <c r="M2245" s="49">
        <f>IF($A$4+22&gt;$B$4,"",$A$4+22)</f>
        <v>46045</v>
      </c>
      <c r="N2245">
        <f>IF(M2245="","",'Master Barang'!A39)</f>
        <v>0</v>
      </c>
      <c r="O2245">
        <f>IF(N2245="","",'Master Barang'!B39)</f>
        <v>0</v>
      </c>
      <c r="P2245">
        <f>IF(OR(M2245="",N2245=""),"",SUMIFS('Barang Keluar'!$E:$E,'Barang Keluar'!$A:$A,M2245,'Barang Keluar'!$C:$C,N2245))</f>
        <v>0</v>
      </c>
    </row>
    <row r="2246" spans="13:16">
      <c r="M2246" s="49">
        <f>IF($A$4+22&gt;$B$4,"",$A$4+22)</f>
        <v>46045</v>
      </c>
      <c r="N2246">
        <f>IF(M2246="","",'Master Barang'!A40)</f>
        <v>0</v>
      </c>
      <c r="O2246">
        <f>IF(N2246="","",'Master Barang'!B40)</f>
        <v>0</v>
      </c>
      <c r="P2246">
        <f>IF(OR(M2246="",N2246=""),"",SUMIFS('Barang Keluar'!$E:$E,'Barang Keluar'!$A:$A,M2246,'Barang Keluar'!$C:$C,N2246))</f>
        <v>0</v>
      </c>
    </row>
    <row r="2247" spans="13:16">
      <c r="M2247" s="49">
        <f>IF($A$4+22&gt;$B$4,"",$A$4+22)</f>
        <v>46045</v>
      </c>
      <c r="N2247">
        <f>IF(M2247="","",'Master Barang'!A41)</f>
        <v>0</v>
      </c>
      <c r="O2247">
        <f>IF(N2247="","",'Master Barang'!B41)</f>
        <v>0</v>
      </c>
      <c r="P2247">
        <f>IF(OR(M2247="",N2247=""),"",SUMIFS('Barang Keluar'!$E:$E,'Barang Keluar'!$A:$A,M2247,'Barang Keluar'!$C:$C,N2247))</f>
        <v>0</v>
      </c>
    </row>
    <row r="2248" spans="13:16">
      <c r="M2248" s="49">
        <f>IF($A$4+22&gt;$B$4,"",$A$4+22)</f>
        <v>46045</v>
      </c>
      <c r="N2248">
        <f>IF(M2248="","",'Master Barang'!A42)</f>
        <v>0</v>
      </c>
      <c r="O2248">
        <f>IF(N2248="","",'Master Barang'!B42)</f>
        <v>0</v>
      </c>
      <c r="P2248">
        <f>IF(OR(M2248="",N2248=""),"",SUMIFS('Barang Keluar'!$E:$E,'Barang Keluar'!$A:$A,M2248,'Barang Keluar'!$C:$C,N2248))</f>
        <v>0</v>
      </c>
    </row>
    <row r="2249" spans="13:16">
      <c r="M2249" s="49">
        <f>IF($A$4+22&gt;$B$4,"",$A$4+22)</f>
        <v>46045</v>
      </c>
      <c r="N2249">
        <f>IF(M2249="","",'Master Barang'!A43)</f>
        <v>0</v>
      </c>
      <c r="O2249">
        <f>IF(N2249="","",'Master Barang'!B43)</f>
        <v>0</v>
      </c>
      <c r="P2249">
        <f>IF(OR(M2249="",N2249=""),"",SUMIFS('Barang Keluar'!$E:$E,'Barang Keluar'!$A:$A,M2249,'Barang Keluar'!$C:$C,N2249))</f>
        <v>0</v>
      </c>
    </row>
    <row r="2250" spans="13:16">
      <c r="M2250" s="49">
        <f>IF($A$4+22&gt;$B$4,"",$A$4+22)</f>
        <v>46045</v>
      </c>
      <c r="N2250">
        <f>IF(M2250="","",'Master Barang'!A44)</f>
        <v>0</v>
      </c>
      <c r="O2250">
        <f>IF(N2250="","",'Master Barang'!B44)</f>
        <v>0</v>
      </c>
      <c r="P2250">
        <f>IF(OR(M2250="",N2250=""),"",SUMIFS('Barang Keluar'!$E:$E,'Barang Keluar'!$A:$A,M2250,'Barang Keluar'!$C:$C,N2250))</f>
        <v>0</v>
      </c>
    </row>
    <row r="2251" spans="13:16">
      <c r="M2251" s="49">
        <f>IF($A$4+22&gt;$B$4,"",$A$4+22)</f>
        <v>46045</v>
      </c>
      <c r="N2251">
        <f>IF(M2251="","",'Master Barang'!A45)</f>
        <v>0</v>
      </c>
      <c r="O2251">
        <f>IF(N2251="","",'Master Barang'!B45)</f>
        <v>0</v>
      </c>
      <c r="P2251">
        <f>IF(OR(M2251="",N2251=""),"",SUMIFS('Barang Keluar'!$E:$E,'Barang Keluar'!$A:$A,M2251,'Barang Keluar'!$C:$C,N2251))</f>
        <v>0</v>
      </c>
    </row>
    <row r="2252" spans="13:16">
      <c r="M2252" s="49">
        <f>IF($A$4+22&gt;$B$4,"",$A$4+22)</f>
        <v>46045</v>
      </c>
      <c r="N2252">
        <f>IF(M2252="","",'Master Barang'!A46)</f>
        <v>0</v>
      </c>
      <c r="O2252">
        <f>IF(N2252="","",'Master Barang'!B46)</f>
        <v>0</v>
      </c>
      <c r="P2252">
        <f>IF(OR(M2252="",N2252=""),"",SUMIFS('Barang Keluar'!$E:$E,'Barang Keluar'!$A:$A,M2252,'Barang Keluar'!$C:$C,N2252))</f>
        <v>0</v>
      </c>
    </row>
    <row r="2253" spans="13:16">
      <c r="M2253" s="49">
        <f>IF($A$4+22&gt;$B$4,"",$A$4+22)</f>
        <v>46045</v>
      </c>
      <c r="N2253">
        <f>IF(M2253="","",'Master Barang'!A47)</f>
        <v>0</v>
      </c>
      <c r="O2253">
        <f>IF(N2253="","",'Master Barang'!B47)</f>
        <v>0</v>
      </c>
      <c r="P2253">
        <f>IF(OR(M2253="",N2253=""),"",SUMIFS('Barang Keluar'!$E:$E,'Barang Keluar'!$A:$A,M2253,'Barang Keluar'!$C:$C,N2253))</f>
        <v>0</v>
      </c>
    </row>
    <row r="2254" spans="13:16">
      <c r="M2254" s="49">
        <f>IF($A$4+22&gt;$B$4,"",$A$4+22)</f>
        <v>46045</v>
      </c>
      <c r="N2254">
        <f>IF(M2254="","",'Master Barang'!A48)</f>
        <v>0</v>
      </c>
      <c r="O2254">
        <f>IF(N2254="","",'Master Barang'!B48)</f>
        <v>0</v>
      </c>
      <c r="P2254">
        <f>IF(OR(M2254="",N2254=""),"",SUMIFS('Barang Keluar'!$E:$E,'Barang Keluar'!$A:$A,M2254,'Barang Keluar'!$C:$C,N2254))</f>
        <v>0</v>
      </c>
    </row>
    <row r="2255" spans="13:16">
      <c r="M2255" s="49">
        <f>IF($A$4+22&gt;$B$4,"",$A$4+22)</f>
        <v>46045</v>
      </c>
      <c r="N2255">
        <f>IF(M2255="","",'Master Barang'!A49)</f>
        <v>0</v>
      </c>
      <c r="O2255">
        <f>IF(N2255="","",'Master Barang'!B49)</f>
        <v>0</v>
      </c>
      <c r="P2255">
        <f>IF(OR(M2255="",N2255=""),"",SUMIFS('Barang Keluar'!$E:$E,'Barang Keluar'!$A:$A,M2255,'Barang Keluar'!$C:$C,N2255))</f>
        <v>0</v>
      </c>
    </row>
    <row r="2256" spans="13:16">
      <c r="M2256" s="49">
        <f>IF($A$4+22&gt;$B$4,"",$A$4+22)</f>
        <v>46045</v>
      </c>
      <c r="N2256">
        <f>IF(M2256="","",'Master Barang'!A50)</f>
        <v>0</v>
      </c>
      <c r="O2256">
        <f>IF(N2256="","",'Master Barang'!B50)</f>
        <v>0</v>
      </c>
      <c r="P2256">
        <f>IF(OR(M2256="",N2256=""),"",SUMIFS('Barang Keluar'!$E:$E,'Barang Keluar'!$A:$A,M2256,'Barang Keluar'!$C:$C,N2256))</f>
        <v>0</v>
      </c>
    </row>
    <row r="2257" spans="13:16">
      <c r="M2257" s="49">
        <f>IF($A$4+22&gt;$B$4,"",$A$4+22)</f>
        <v>46045</v>
      </c>
      <c r="N2257">
        <f>IF(M2257="","",'Master Barang'!A51)</f>
        <v>0</v>
      </c>
      <c r="O2257">
        <f>IF(N2257="","",'Master Barang'!B51)</f>
        <v>0</v>
      </c>
      <c r="P2257">
        <f>IF(OR(M2257="",N2257=""),"",SUMIFS('Barang Keluar'!$E:$E,'Barang Keluar'!$A:$A,M2257,'Barang Keluar'!$C:$C,N2257))</f>
        <v>0</v>
      </c>
    </row>
    <row r="2258" spans="13:16">
      <c r="M2258" s="49">
        <f>IF($A$4+22&gt;$B$4,"",$A$4+22)</f>
        <v>46045</v>
      </c>
      <c r="N2258">
        <f>IF(M2258="","",'Master Barang'!A52)</f>
        <v>0</v>
      </c>
      <c r="O2258">
        <f>IF(N2258="","",'Master Barang'!B52)</f>
        <v>0</v>
      </c>
      <c r="P2258">
        <f>IF(OR(M2258="",N2258=""),"",SUMIFS('Barang Keluar'!$E:$E,'Barang Keluar'!$A:$A,M2258,'Barang Keluar'!$C:$C,N2258))</f>
        <v>0</v>
      </c>
    </row>
    <row r="2259" spans="13:16">
      <c r="M2259" s="49">
        <f>IF($A$4+22&gt;$B$4,"",$A$4+22)</f>
        <v>46045</v>
      </c>
      <c r="N2259">
        <f>IF(M2259="","",'Master Barang'!A53)</f>
        <v>0</v>
      </c>
      <c r="O2259">
        <f>IF(N2259="","",'Master Barang'!B53)</f>
        <v>0</v>
      </c>
      <c r="P2259">
        <f>IF(OR(M2259="",N2259=""),"",SUMIFS('Barang Keluar'!$E:$E,'Barang Keluar'!$A:$A,M2259,'Barang Keluar'!$C:$C,N2259))</f>
        <v>0</v>
      </c>
    </row>
    <row r="2260" spans="13:16">
      <c r="M2260" s="49">
        <f>IF($A$4+22&gt;$B$4,"",$A$4+22)</f>
        <v>46045</v>
      </c>
      <c r="N2260">
        <f>IF(M2260="","",'Master Barang'!A54)</f>
        <v>0</v>
      </c>
      <c r="O2260">
        <f>IF(N2260="","",'Master Barang'!B54)</f>
        <v>0</v>
      </c>
      <c r="P2260">
        <f>IF(OR(M2260="",N2260=""),"",SUMIFS('Barang Keluar'!$E:$E,'Barang Keluar'!$A:$A,M2260,'Barang Keluar'!$C:$C,N2260))</f>
        <v>0</v>
      </c>
    </row>
    <row r="2261" spans="13:16">
      <c r="M2261" s="49">
        <f>IF($A$4+22&gt;$B$4,"",$A$4+22)</f>
        <v>46045</v>
      </c>
      <c r="N2261">
        <f>IF(M2261="","",'Master Barang'!A55)</f>
        <v>0</v>
      </c>
      <c r="O2261">
        <f>IF(N2261="","",'Master Barang'!B55)</f>
        <v>0</v>
      </c>
      <c r="P2261">
        <f>IF(OR(M2261="",N2261=""),"",SUMIFS('Barang Keluar'!$E:$E,'Barang Keluar'!$A:$A,M2261,'Barang Keluar'!$C:$C,N2261))</f>
        <v>0</v>
      </c>
    </row>
    <row r="2262" spans="13:16">
      <c r="M2262" s="49">
        <f>IF($A$4+22&gt;$B$4,"",$A$4+22)</f>
        <v>46045</v>
      </c>
      <c r="N2262">
        <f>IF(M2262="","",'Master Barang'!A56)</f>
        <v>0</v>
      </c>
      <c r="O2262">
        <f>IF(N2262="","",'Master Barang'!B56)</f>
        <v>0</v>
      </c>
      <c r="P2262">
        <f>IF(OR(M2262="",N2262=""),"",SUMIFS('Barang Keluar'!$E:$E,'Barang Keluar'!$A:$A,M2262,'Barang Keluar'!$C:$C,N2262))</f>
        <v>0</v>
      </c>
    </row>
    <row r="2263" spans="13:16">
      <c r="M2263" s="49">
        <f>IF($A$4+22&gt;$B$4,"",$A$4+22)</f>
        <v>46045</v>
      </c>
      <c r="N2263">
        <f>IF(M2263="","",'Master Barang'!A57)</f>
        <v>0</v>
      </c>
      <c r="O2263">
        <f>IF(N2263="","",'Master Barang'!B57)</f>
        <v>0</v>
      </c>
      <c r="P2263">
        <f>IF(OR(M2263="",N2263=""),"",SUMIFS('Barang Keluar'!$E:$E,'Barang Keluar'!$A:$A,M2263,'Barang Keluar'!$C:$C,N2263))</f>
        <v>0</v>
      </c>
    </row>
    <row r="2264" spans="13:16">
      <c r="M2264" s="49">
        <f>IF($A$4+22&gt;$B$4,"",$A$4+22)</f>
        <v>46045</v>
      </c>
      <c r="N2264">
        <f>IF(M2264="","",'Master Barang'!A58)</f>
        <v>0</v>
      </c>
      <c r="O2264">
        <f>IF(N2264="","",'Master Barang'!B58)</f>
        <v>0</v>
      </c>
      <c r="P2264">
        <f>IF(OR(M2264="",N2264=""),"",SUMIFS('Barang Keluar'!$E:$E,'Barang Keluar'!$A:$A,M2264,'Barang Keluar'!$C:$C,N2264))</f>
        <v>0</v>
      </c>
    </row>
    <row r="2265" spans="13:16">
      <c r="M2265" s="49">
        <f>IF($A$4+22&gt;$B$4,"",$A$4+22)</f>
        <v>46045</v>
      </c>
      <c r="N2265">
        <f>IF(M2265="","",'Master Barang'!A59)</f>
        <v>0</v>
      </c>
      <c r="O2265">
        <f>IF(N2265="","",'Master Barang'!B59)</f>
        <v>0</v>
      </c>
      <c r="P2265">
        <f>IF(OR(M2265="",N2265=""),"",SUMIFS('Barang Keluar'!$E:$E,'Barang Keluar'!$A:$A,M2265,'Barang Keluar'!$C:$C,N2265))</f>
        <v>0</v>
      </c>
    </row>
    <row r="2266" spans="13:16">
      <c r="M2266" s="49">
        <f>IF($A$4+22&gt;$B$4,"",$A$4+22)</f>
        <v>46045</v>
      </c>
      <c r="N2266">
        <f>IF(M2266="","",'Master Barang'!A60)</f>
        <v>0</v>
      </c>
      <c r="O2266">
        <f>IF(N2266="","",'Master Barang'!B60)</f>
        <v>0</v>
      </c>
      <c r="P2266">
        <f>IF(OR(M2266="",N2266=""),"",SUMIFS('Barang Keluar'!$E:$E,'Barang Keluar'!$A:$A,M2266,'Barang Keluar'!$C:$C,N2266))</f>
        <v>0</v>
      </c>
    </row>
    <row r="2267" spans="13:16">
      <c r="M2267" s="49">
        <f>IF($A$4+22&gt;$B$4,"",$A$4+22)</f>
        <v>46045</v>
      </c>
      <c r="N2267">
        <f>IF(M2267="","",'Master Barang'!A61)</f>
        <v>0</v>
      </c>
      <c r="O2267">
        <f>IF(N2267="","",'Master Barang'!B61)</f>
        <v>0</v>
      </c>
      <c r="P2267">
        <f>IF(OR(M2267="",N2267=""),"",SUMIFS('Barang Keluar'!$E:$E,'Barang Keluar'!$A:$A,M2267,'Barang Keluar'!$C:$C,N2267))</f>
        <v>0</v>
      </c>
    </row>
    <row r="2268" spans="13:16">
      <c r="M2268" s="49">
        <f>IF($A$4+22&gt;$B$4,"",$A$4+22)</f>
        <v>46045</v>
      </c>
      <c r="N2268">
        <f>IF(M2268="","",'Master Barang'!A62)</f>
        <v>0</v>
      </c>
      <c r="O2268">
        <f>IF(N2268="","",'Master Barang'!B62)</f>
        <v>0</v>
      </c>
      <c r="P2268">
        <f>IF(OR(M2268="",N2268=""),"",SUMIFS('Barang Keluar'!$E:$E,'Barang Keluar'!$A:$A,M2268,'Barang Keluar'!$C:$C,N2268))</f>
        <v>0</v>
      </c>
    </row>
    <row r="2269" spans="13:16">
      <c r="M2269" s="49">
        <f>IF($A$4+22&gt;$B$4,"",$A$4+22)</f>
        <v>46045</v>
      </c>
      <c r="N2269">
        <f>IF(M2269="","",'Master Barang'!A63)</f>
        <v>0</v>
      </c>
      <c r="O2269">
        <f>IF(N2269="","",'Master Barang'!B63)</f>
        <v>0</v>
      </c>
      <c r="P2269">
        <f>IF(OR(M2269="",N2269=""),"",SUMIFS('Barang Keluar'!$E:$E,'Barang Keluar'!$A:$A,M2269,'Barang Keluar'!$C:$C,N2269))</f>
        <v>0</v>
      </c>
    </row>
    <row r="2270" spans="13:16">
      <c r="M2270" s="49">
        <f>IF($A$4+22&gt;$B$4,"",$A$4+22)</f>
        <v>46045</v>
      </c>
      <c r="N2270">
        <f>IF(M2270="","",'Master Barang'!A64)</f>
        <v>0</v>
      </c>
      <c r="O2270">
        <f>IF(N2270="","",'Master Barang'!B64)</f>
        <v>0</v>
      </c>
      <c r="P2270">
        <f>IF(OR(M2270="",N2270=""),"",SUMIFS('Barang Keluar'!$E:$E,'Barang Keluar'!$A:$A,M2270,'Barang Keluar'!$C:$C,N2270))</f>
        <v>0</v>
      </c>
    </row>
    <row r="2271" spans="13:16">
      <c r="M2271" s="49">
        <f>IF($A$4+22&gt;$B$4,"",$A$4+22)</f>
        <v>46045</v>
      </c>
      <c r="N2271">
        <f>IF(M2271="","",'Master Barang'!A65)</f>
        <v>0</v>
      </c>
      <c r="O2271">
        <f>IF(N2271="","",'Master Barang'!B65)</f>
        <v>0</v>
      </c>
      <c r="P2271">
        <f>IF(OR(M2271="",N2271=""),"",SUMIFS('Barang Keluar'!$E:$E,'Barang Keluar'!$A:$A,M2271,'Barang Keluar'!$C:$C,N2271))</f>
        <v>0</v>
      </c>
    </row>
    <row r="2272" spans="13:16">
      <c r="M2272" s="49">
        <f>IF($A$4+22&gt;$B$4,"",$A$4+22)</f>
        <v>46045</v>
      </c>
      <c r="N2272">
        <f>IF(M2272="","",'Master Barang'!A66)</f>
        <v>0</v>
      </c>
      <c r="O2272">
        <f>IF(N2272="","",'Master Barang'!B66)</f>
        <v>0</v>
      </c>
      <c r="P2272">
        <f>IF(OR(M2272="",N2272=""),"",SUMIFS('Barang Keluar'!$E:$E,'Barang Keluar'!$A:$A,M2272,'Barang Keluar'!$C:$C,N2272))</f>
        <v>0</v>
      </c>
    </row>
    <row r="2273" spans="13:16">
      <c r="M2273" s="49">
        <f>IF($A$4+22&gt;$B$4,"",$A$4+22)</f>
        <v>46045</v>
      </c>
      <c r="N2273">
        <f>IF(M2273="","",'Master Barang'!A67)</f>
        <v>0</v>
      </c>
      <c r="O2273">
        <f>IF(N2273="","",'Master Barang'!B67)</f>
        <v>0</v>
      </c>
      <c r="P2273">
        <f>IF(OR(M2273="",N2273=""),"",SUMIFS('Barang Keluar'!$E:$E,'Barang Keluar'!$A:$A,M2273,'Barang Keluar'!$C:$C,N2273))</f>
        <v>0</v>
      </c>
    </row>
    <row r="2274" spans="13:16">
      <c r="M2274" s="49">
        <f>IF($A$4+22&gt;$B$4,"",$A$4+22)</f>
        <v>46045</v>
      </c>
      <c r="N2274">
        <f>IF(M2274="","",'Master Barang'!A68)</f>
        <v>0</v>
      </c>
      <c r="O2274">
        <f>IF(N2274="","",'Master Barang'!B68)</f>
        <v>0</v>
      </c>
      <c r="P2274">
        <f>IF(OR(M2274="",N2274=""),"",SUMIFS('Barang Keluar'!$E:$E,'Barang Keluar'!$A:$A,M2274,'Barang Keluar'!$C:$C,N2274))</f>
        <v>0</v>
      </c>
    </row>
    <row r="2275" spans="13:16">
      <c r="M2275" s="49">
        <f>IF($A$4+22&gt;$B$4,"",$A$4+22)</f>
        <v>46045</v>
      </c>
      <c r="N2275">
        <f>IF(M2275="","",'Master Barang'!A69)</f>
        <v>0</v>
      </c>
      <c r="O2275">
        <f>IF(N2275="","",'Master Barang'!B69)</f>
        <v>0</v>
      </c>
      <c r="P2275">
        <f>IF(OR(M2275="",N2275=""),"",SUMIFS('Barang Keluar'!$E:$E,'Barang Keluar'!$A:$A,M2275,'Barang Keluar'!$C:$C,N2275))</f>
        <v>0</v>
      </c>
    </row>
    <row r="2276" spans="13:16">
      <c r="M2276" s="49">
        <f>IF($A$4+22&gt;$B$4,"",$A$4+22)</f>
        <v>46045</v>
      </c>
      <c r="N2276">
        <f>IF(M2276="","",'Master Barang'!A70)</f>
        <v>0</v>
      </c>
      <c r="O2276">
        <f>IF(N2276="","",'Master Barang'!B70)</f>
        <v>0</v>
      </c>
      <c r="P2276">
        <f>IF(OR(M2276="",N2276=""),"",SUMIFS('Barang Keluar'!$E:$E,'Barang Keluar'!$A:$A,M2276,'Barang Keluar'!$C:$C,N2276))</f>
        <v>0</v>
      </c>
    </row>
    <row r="2277" spans="13:16">
      <c r="M2277" s="49">
        <f>IF($A$4+22&gt;$B$4,"",$A$4+22)</f>
        <v>46045</v>
      </c>
      <c r="N2277">
        <f>IF(M2277="","",'Master Barang'!A71)</f>
        <v>0</v>
      </c>
      <c r="O2277">
        <f>IF(N2277="","",'Master Barang'!B71)</f>
        <v>0</v>
      </c>
      <c r="P2277">
        <f>IF(OR(M2277="",N2277=""),"",SUMIFS('Barang Keluar'!$E:$E,'Barang Keluar'!$A:$A,M2277,'Barang Keluar'!$C:$C,N2277))</f>
        <v>0</v>
      </c>
    </row>
    <row r="2278" spans="13:16">
      <c r="M2278" s="49">
        <f>IF($A$4+22&gt;$B$4,"",$A$4+22)</f>
        <v>46045</v>
      </c>
      <c r="N2278">
        <f>IF(M2278="","",'Master Barang'!A72)</f>
        <v>0</v>
      </c>
      <c r="O2278">
        <f>IF(N2278="","",'Master Barang'!B72)</f>
        <v>0</v>
      </c>
      <c r="P2278">
        <f>IF(OR(M2278="",N2278=""),"",SUMIFS('Barang Keluar'!$E:$E,'Barang Keluar'!$A:$A,M2278,'Barang Keluar'!$C:$C,N2278))</f>
        <v>0</v>
      </c>
    </row>
    <row r="2279" spans="13:16">
      <c r="M2279" s="49">
        <f>IF($A$4+22&gt;$B$4,"",$A$4+22)</f>
        <v>46045</v>
      </c>
      <c r="N2279">
        <f>IF(M2279="","",'Master Barang'!A73)</f>
        <v>0</v>
      </c>
      <c r="O2279">
        <f>IF(N2279="","",'Master Barang'!B73)</f>
        <v>0</v>
      </c>
      <c r="P2279">
        <f>IF(OR(M2279="",N2279=""),"",SUMIFS('Barang Keluar'!$E:$E,'Barang Keluar'!$A:$A,M2279,'Barang Keluar'!$C:$C,N2279))</f>
        <v>0</v>
      </c>
    </row>
    <row r="2280" spans="13:16">
      <c r="M2280" s="49">
        <f>IF($A$4+22&gt;$B$4,"",$A$4+22)</f>
        <v>46045</v>
      </c>
      <c r="N2280">
        <f>IF(M2280="","",'Master Barang'!A74)</f>
        <v>0</v>
      </c>
      <c r="O2280">
        <f>IF(N2280="","",'Master Barang'!B74)</f>
        <v>0</v>
      </c>
      <c r="P2280">
        <f>IF(OR(M2280="",N2280=""),"",SUMIFS('Barang Keluar'!$E:$E,'Barang Keluar'!$A:$A,M2280,'Barang Keluar'!$C:$C,N2280))</f>
        <v>0</v>
      </c>
    </row>
    <row r="2281" spans="13:16">
      <c r="M2281" s="49">
        <f>IF($A$4+22&gt;$B$4,"",$A$4+22)</f>
        <v>46045</v>
      </c>
      <c r="N2281">
        <f>IF(M2281="","",'Master Barang'!A75)</f>
        <v>0</v>
      </c>
      <c r="O2281">
        <f>IF(N2281="","",'Master Barang'!B75)</f>
        <v>0</v>
      </c>
      <c r="P2281">
        <f>IF(OR(M2281="",N2281=""),"",SUMIFS('Barang Keluar'!$E:$E,'Barang Keluar'!$A:$A,M2281,'Barang Keluar'!$C:$C,N2281))</f>
        <v>0</v>
      </c>
    </row>
    <row r="2282" spans="13:16">
      <c r="M2282" s="49">
        <f>IF($A$4+22&gt;$B$4,"",$A$4+22)</f>
        <v>46045</v>
      </c>
      <c r="N2282">
        <f>IF(M2282="","",'Master Barang'!A76)</f>
        <v>0</v>
      </c>
      <c r="O2282">
        <f>IF(N2282="","",'Master Barang'!B76)</f>
        <v>0</v>
      </c>
      <c r="P2282">
        <f>IF(OR(M2282="",N2282=""),"",SUMIFS('Barang Keluar'!$E:$E,'Barang Keluar'!$A:$A,M2282,'Barang Keluar'!$C:$C,N2282))</f>
        <v>0</v>
      </c>
    </row>
    <row r="2283" spans="13:16">
      <c r="M2283" s="49">
        <f>IF($A$4+22&gt;$B$4,"",$A$4+22)</f>
        <v>46045</v>
      </c>
      <c r="N2283">
        <f>IF(M2283="","",'Master Barang'!A77)</f>
        <v>0</v>
      </c>
      <c r="O2283">
        <f>IF(N2283="","",'Master Barang'!B77)</f>
        <v>0</v>
      </c>
      <c r="P2283">
        <f>IF(OR(M2283="",N2283=""),"",SUMIFS('Barang Keluar'!$E:$E,'Barang Keluar'!$A:$A,M2283,'Barang Keluar'!$C:$C,N2283))</f>
        <v>0</v>
      </c>
    </row>
    <row r="2284" spans="13:16">
      <c r="M2284" s="49">
        <f>IF($A$4+22&gt;$B$4,"",$A$4+22)</f>
        <v>46045</v>
      </c>
      <c r="N2284">
        <f>IF(M2284="","",'Master Barang'!A78)</f>
        <v>0</v>
      </c>
      <c r="O2284">
        <f>IF(N2284="","",'Master Barang'!B78)</f>
        <v>0</v>
      </c>
      <c r="P2284">
        <f>IF(OR(M2284="",N2284=""),"",SUMIFS('Barang Keluar'!$E:$E,'Barang Keluar'!$A:$A,M2284,'Barang Keluar'!$C:$C,N2284))</f>
        <v>0</v>
      </c>
    </row>
    <row r="2285" spans="13:16">
      <c r="M2285" s="49">
        <f>IF($A$4+22&gt;$B$4,"",$A$4+22)</f>
        <v>46045</v>
      </c>
      <c r="N2285">
        <f>IF(M2285="","",'Master Barang'!A79)</f>
        <v>0</v>
      </c>
      <c r="O2285">
        <f>IF(N2285="","",'Master Barang'!B79)</f>
        <v>0</v>
      </c>
      <c r="P2285">
        <f>IF(OR(M2285="",N2285=""),"",SUMIFS('Barang Keluar'!$E:$E,'Barang Keluar'!$A:$A,M2285,'Barang Keluar'!$C:$C,N2285))</f>
        <v>0</v>
      </c>
    </row>
    <row r="2286" spans="13:16">
      <c r="M2286" s="49">
        <f>IF($A$4+22&gt;$B$4,"",$A$4+22)</f>
        <v>46045</v>
      </c>
      <c r="N2286">
        <f>IF(M2286="","",'Master Barang'!A80)</f>
        <v>0</v>
      </c>
      <c r="O2286">
        <f>IF(N2286="","",'Master Barang'!B80)</f>
        <v>0</v>
      </c>
      <c r="P2286">
        <f>IF(OR(M2286="",N2286=""),"",SUMIFS('Barang Keluar'!$E:$E,'Barang Keluar'!$A:$A,M2286,'Barang Keluar'!$C:$C,N2286))</f>
        <v>0</v>
      </c>
    </row>
    <row r="2287" spans="13:16">
      <c r="M2287" s="49">
        <f>IF($A$4+22&gt;$B$4,"",$A$4+22)</f>
        <v>46045</v>
      </c>
      <c r="N2287">
        <f>IF(M2287="","",'Master Barang'!A81)</f>
        <v>0</v>
      </c>
      <c r="O2287">
        <f>IF(N2287="","",'Master Barang'!B81)</f>
        <v>0</v>
      </c>
      <c r="P2287">
        <f>IF(OR(M2287="",N2287=""),"",SUMIFS('Barang Keluar'!$E:$E,'Barang Keluar'!$A:$A,M2287,'Barang Keluar'!$C:$C,N2287))</f>
        <v>0</v>
      </c>
    </row>
    <row r="2288" spans="13:16">
      <c r="M2288" s="49">
        <f>IF($A$4+22&gt;$B$4,"",$A$4+22)</f>
        <v>46045</v>
      </c>
      <c r="N2288">
        <f>IF(M2288="","",'Master Barang'!A82)</f>
        <v>0</v>
      </c>
      <c r="O2288">
        <f>IF(N2288="","",'Master Barang'!B82)</f>
        <v>0</v>
      </c>
      <c r="P2288">
        <f>IF(OR(M2288="",N2288=""),"",SUMIFS('Barang Keluar'!$E:$E,'Barang Keluar'!$A:$A,M2288,'Barang Keluar'!$C:$C,N2288))</f>
        <v>0</v>
      </c>
    </row>
    <row r="2289" spans="13:16">
      <c r="M2289" s="49">
        <f>IF($A$4+22&gt;$B$4,"",$A$4+22)</f>
        <v>46045</v>
      </c>
      <c r="N2289">
        <f>IF(M2289="","",'Master Barang'!A83)</f>
        <v>0</v>
      </c>
      <c r="O2289">
        <f>IF(N2289="","",'Master Barang'!B83)</f>
        <v>0</v>
      </c>
      <c r="P2289">
        <f>IF(OR(M2289="",N2289=""),"",SUMIFS('Barang Keluar'!$E:$E,'Barang Keluar'!$A:$A,M2289,'Barang Keluar'!$C:$C,N2289))</f>
        <v>0</v>
      </c>
    </row>
    <row r="2290" spans="13:16">
      <c r="M2290" s="49">
        <f>IF($A$4+22&gt;$B$4,"",$A$4+22)</f>
        <v>46045</v>
      </c>
      <c r="N2290">
        <f>IF(M2290="","",'Master Barang'!A84)</f>
        <v>0</v>
      </c>
      <c r="O2290">
        <f>IF(N2290="","",'Master Barang'!B84)</f>
        <v>0</v>
      </c>
      <c r="P2290">
        <f>IF(OR(M2290="",N2290=""),"",SUMIFS('Barang Keluar'!$E:$E,'Barang Keluar'!$A:$A,M2290,'Barang Keluar'!$C:$C,N2290))</f>
        <v>0</v>
      </c>
    </row>
    <row r="2291" spans="13:16">
      <c r="M2291" s="49">
        <f>IF($A$4+22&gt;$B$4,"",$A$4+22)</f>
        <v>46045</v>
      </c>
      <c r="N2291">
        <f>IF(M2291="","",'Master Barang'!A85)</f>
        <v>0</v>
      </c>
      <c r="O2291">
        <f>IF(N2291="","",'Master Barang'!B85)</f>
        <v>0</v>
      </c>
      <c r="P2291">
        <f>IF(OR(M2291="",N2291=""),"",SUMIFS('Barang Keluar'!$E:$E,'Barang Keluar'!$A:$A,M2291,'Barang Keluar'!$C:$C,N2291))</f>
        <v>0</v>
      </c>
    </row>
    <row r="2292" spans="13:16">
      <c r="M2292" s="49">
        <f>IF($A$4+22&gt;$B$4,"",$A$4+22)</f>
        <v>46045</v>
      </c>
      <c r="N2292">
        <f>IF(M2292="","",'Master Barang'!A86)</f>
        <v>0</v>
      </c>
      <c r="O2292">
        <f>IF(N2292="","",'Master Barang'!B86)</f>
        <v>0</v>
      </c>
      <c r="P2292">
        <f>IF(OR(M2292="",N2292=""),"",SUMIFS('Barang Keluar'!$E:$E,'Barang Keluar'!$A:$A,M2292,'Barang Keluar'!$C:$C,N2292))</f>
        <v>0</v>
      </c>
    </row>
    <row r="2293" spans="13:16">
      <c r="M2293" s="49">
        <f>IF($A$4+22&gt;$B$4,"",$A$4+22)</f>
        <v>46045</v>
      </c>
      <c r="N2293">
        <f>IF(M2293="","",'Master Barang'!A87)</f>
        <v>0</v>
      </c>
      <c r="O2293">
        <f>IF(N2293="","",'Master Barang'!B87)</f>
        <v>0</v>
      </c>
      <c r="P2293">
        <f>IF(OR(M2293="",N2293=""),"",SUMIFS('Barang Keluar'!$E:$E,'Barang Keluar'!$A:$A,M2293,'Barang Keluar'!$C:$C,N2293))</f>
        <v>0</v>
      </c>
    </row>
    <row r="2294" spans="13:16">
      <c r="M2294" s="49">
        <f>IF($A$4+22&gt;$B$4,"",$A$4+22)</f>
        <v>46045</v>
      </c>
      <c r="N2294">
        <f>IF(M2294="","",'Master Barang'!A88)</f>
        <v>0</v>
      </c>
      <c r="O2294">
        <f>IF(N2294="","",'Master Barang'!B88)</f>
        <v>0</v>
      </c>
      <c r="P2294">
        <f>IF(OR(M2294="",N2294=""),"",SUMIFS('Barang Keluar'!$E:$E,'Barang Keluar'!$A:$A,M2294,'Barang Keluar'!$C:$C,N2294))</f>
        <v>0</v>
      </c>
    </row>
    <row r="2295" spans="13:16">
      <c r="M2295" s="49">
        <f>IF($A$4+22&gt;$B$4,"",$A$4+22)</f>
        <v>46045</v>
      </c>
      <c r="N2295">
        <f>IF(M2295="","",'Master Barang'!A89)</f>
        <v>0</v>
      </c>
      <c r="O2295">
        <f>IF(N2295="","",'Master Barang'!B89)</f>
        <v>0</v>
      </c>
      <c r="P2295">
        <f>IF(OR(M2295="",N2295=""),"",SUMIFS('Barang Keluar'!$E:$E,'Barang Keluar'!$A:$A,M2295,'Barang Keluar'!$C:$C,N2295))</f>
        <v>0</v>
      </c>
    </row>
    <row r="2296" spans="13:16">
      <c r="M2296" s="49">
        <f>IF($A$4+22&gt;$B$4,"",$A$4+22)</f>
        <v>46045</v>
      </c>
      <c r="N2296">
        <f>IF(M2296="","",'Master Barang'!A90)</f>
        <v>0</v>
      </c>
      <c r="O2296">
        <f>IF(N2296="","",'Master Barang'!B90)</f>
        <v>0</v>
      </c>
      <c r="P2296">
        <f>IF(OR(M2296="",N2296=""),"",SUMIFS('Barang Keluar'!$E:$E,'Barang Keluar'!$A:$A,M2296,'Barang Keluar'!$C:$C,N2296))</f>
        <v>0</v>
      </c>
    </row>
    <row r="2297" spans="13:16">
      <c r="M2297" s="49">
        <f>IF($A$4+22&gt;$B$4,"",$A$4+22)</f>
        <v>46045</v>
      </c>
      <c r="N2297">
        <f>IF(M2297="","",'Master Barang'!A91)</f>
        <v>0</v>
      </c>
      <c r="O2297">
        <f>IF(N2297="","",'Master Barang'!B91)</f>
        <v>0</v>
      </c>
      <c r="P2297">
        <f>IF(OR(M2297="",N2297=""),"",SUMIFS('Barang Keluar'!$E:$E,'Barang Keluar'!$A:$A,M2297,'Barang Keluar'!$C:$C,N2297))</f>
        <v>0</v>
      </c>
    </row>
    <row r="2298" spans="13:16">
      <c r="M2298" s="49">
        <f>IF($A$4+22&gt;$B$4,"",$A$4+22)</f>
        <v>46045</v>
      </c>
      <c r="N2298">
        <f>IF(M2298="","",'Master Barang'!A92)</f>
        <v>0</v>
      </c>
      <c r="O2298">
        <f>IF(N2298="","",'Master Barang'!B92)</f>
        <v>0</v>
      </c>
      <c r="P2298">
        <f>IF(OR(M2298="",N2298=""),"",SUMIFS('Barang Keluar'!$E:$E,'Barang Keluar'!$A:$A,M2298,'Barang Keluar'!$C:$C,N2298))</f>
        <v>0</v>
      </c>
    </row>
    <row r="2299" spans="13:16">
      <c r="M2299" s="49">
        <f>IF($A$4+22&gt;$B$4,"",$A$4+22)</f>
        <v>46045</v>
      </c>
      <c r="N2299">
        <f>IF(M2299="","",'Master Barang'!A93)</f>
        <v>0</v>
      </c>
      <c r="O2299">
        <f>IF(N2299="","",'Master Barang'!B93)</f>
        <v>0</v>
      </c>
      <c r="P2299">
        <f>IF(OR(M2299="",N2299=""),"",SUMIFS('Barang Keluar'!$E:$E,'Barang Keluar'!$A:$A,M2299,'Barang Keluar'!$C:$C,N2299))</f>
        <v>0</v>
      </c>
    </row>
    <row r="2300" spans="13:16">
      <c r="M2300" s="49">
        <f>IF($A$4+22&gt;$B$4,"",$A$4+22)</f>
        <v>46045</v>
      </c>
      <c r="N2300">
        <f>IF(M2300="","",'Master Barang'!A94)</f>
        <v>0</v>
      </c>
      <c r="O2300">
        <f>IF(N2300="","",'Master Barang'!B94)</f>
        <v>0</v>
      </c>
      <c r="P2300">
        <f>IF(OR(M2300="",N2300=""),"",SUMIFS('Barang Keluar'!$E:$E,'Barang Keluar'!$A:$A,M2300,'Barang Keluar'!$C:$C,N2300))</f>
        <v>0</v>
      </c>
    </row>
    <row r="2301" spans="13:16">
      <c r="M2301" s="49">
        <f>IF($A$4+22&gt;$B$4,"",$A$4+22)</f>
        <v>46045</v>
      </c>
      <c r="N2301">
        <f>IF(M2301="","",'Master Barang'!A95)</f>
        <v>0</v>
      </c>
      <c r="O2301">
        <f>IF(N2301="","",'Master Barang'!B95)</f>
        <v>0</v>
      </c>
      <c r="P2301">
        <f>IF(OR(M2301="",N2301=""),"",SUMIFS('Barang Keluar'!$E:$E,'Barang Keluar'!$A:$A,M2301,'Barang Keluar'!$C:$C,N2301))</f>
        <v>0</v>
      </c>
    </row>
    <row r="2302" spans="13:16">
      <c r="M2302" s="49">
        <f>IF($A$4+22&gt;$B$4,"",$A$4+22)</f>
        <v>46045</v>
      </c>
      <c r="N2302">
        <f>IF(M2302="","",'Master Barang'!A96)</f>
        <v>0</v>
      </c>
      <c r="O2302">
        <f>IF(N2302="","",'Master Barang'!B96)</f>
        <v>0</v>
      </c>
      <c r="P2302">
        <f>IF(OR(M2302="",N2302=""),"",SUMIFS('Barang Keluar'!$E:$E,'Barang Keluar'!$A:$A,M2302,'Barang Keluar'!$C:$C,N2302))</f>
        <v>0</v>
      </c>
    </row>
    <row r="2303" spans="13:16">
      <c r="M2303" s="49">
        <f>IF($A$4+22&gt;$B$4,"",$A$4+22)</f>
        <v>46045</v>
      </c>
      <c r="N2303">
        <f>IF(M2303="","",'Master Barang'!A97)</f>
        <v>0</v>
      </c>
      <c r="O2303">
        <f>IF(N2303="","",'Master Barang'!B97)</f>
        <v>0</v>
      </c>
      <c r="P2303">
        <f>IF(OR(M2303="",N2303=""),"",SUMIFS('Barang Keluar'!$E:$E,'Barang Keluar'!$A:$A,M2303,'Barang Keluar'!$C:$C,N2303))</f>
        <v>0</v>
      </c>
    </row>
    <row r="2304" spans="13:16">
      <c r="M2304" s="49">
        <f>IF($A$4+22&gt;$B$4,"",$A$4+22)</f>
        <v>46045</v>
      </c>
      <c r="N2304">
        <f>IF(M2304="","",'Master Barang'!A98)</f>
        <v>0</v>
      </c>
      <c r="O2304">
        <f>IF(N2304="","",'Master Barang'!B98)</f>
        <v>0</v>
      </c>
      <c r="P2304">
        <f>IF(OR(M2304="",N2304=""),"",SUMIFS('Barang Keluar'!$E:$E,'Barang Keluar'!$A:$A,M2304,'Barang Keluar'!$C:$C,N2304))</f>
        <v>0</v>
      </c>
    </row>
    <row r="2305" spans="13:16">
      <c r="M2305" s="49">
        <f>IF($A$4+22&gt;$B$4,"",$A$4+22)</f>
        <v>46045</v>
      </c>
      <c r="N2305">
        <f>IF(M2305="","",'Master Barang'!A99)</f>
        <v>0</v>
      </c>
      <c r="O2305">
        <f>IF(N2305="","",'Master Barang'!B99)</f>
        <v>0</v>
      </c>
      <c r="P2305">
        <f>IF(OR(M2305="",N2305=""),"",SUMIFS('Barang Keluar'!$E:$E,'Barang Keluar'!$A:$A,M2305,'Barang Keluar'!$C:$C,N2305))</f>
        <v>0</v>
      </c>
    </row>
    <row r="2306" spans="13:16">
      <c r="M2306" s="49">
        <f>IF($A$4+22&gt;$B$4,"",$A$4+22)</f>
        <v>46045</v>
      </c>
      <c r="N2306">
        <f>IF(M2306="","",'Master Barang'!A100)</f>
        <v>0</v>
      </c>
      <c r="O2306">
        <f>IF(N2306="","",'Master Barang'!B100)</f>
        <v>0</v>
      </c>
      <c r="P2306">
        <f>IF(OR(M2306="",N2306=""),"",SUMIFS('Barang Keluar'!$E:$E,'Barang Keluar'!$A:$A,M2306,'Barang Keluar'!$C:$C,N2306))</f>
        <v>0</v>
      </c>
    </row>
    <row r="2307" spans="13:16">
      <c r="M2307" s="49">
        <f>IF($A$4+22&gt;$B$4,"",$A$4+22)</f>
        <v>46045</v>
      </c>
      <c r="N2307">
        <f>IF(M2307="","",'Master Barang'!A101)</f>
        <v>0</v>
      </c>
      <c r="O2307">
        <f>IF(N2307="","",'Master Barang'!B101)</f>
        <v>0</v>
      </c>
      <c r="P2307">
        <f>IF(OR(M2307="",N2307=""),"",SUMIFS('Barang Keluar'!$E:$E,'Barang Keluar'!$A:$A,M2307,'Barang Keluar'!$C:$C,N2307))</f>
        <v>0</v>
      </c>
    </row>
    <row r="2308" spans="13:16">
      <c r="M2308" s="49">
        <f>IF($A$4+23&gt;$B$4,"",$A$4+23)</f>
        <v>46046</v>
      </c>
      <c r="N2308" t="str">
        <f>IF(M2308="","",'Master Barang'!A2)</f>
        <v>PRL-001</v>
      </c>
      <c r="O2308" t="str">
        <f>IF(N2308="","",'Master Barang'!B2)</f>
        <v>natura desinfectant food grade 5l</v>
      </c>
      <c r="P2308">
        <f>IF(OR(M2308="",N2308=""),"",SUMIFS('Barang Keluar'!$E:$E,'Barang Keluar'!$A:$A,M2308,'Barang Keluar'!$C:$C,N2308))</f>
        <v>0</v>
      </c>
    </row>
    <row r="2309" spans="13:16">
      <c r="M2309" s="49">
        <f>IF($A$4+23&gt;$B$4,"",$A$4+23)</f>
        <v>46046</v>
      </c>
      <c r="N2309" t="str">
        <f>IF(M2309="","",'Master Barang'!A3)</f>
        <v>PRL-002</v>
      </c>
      <c r="O2309" t="str">
        <f>IF(N2309="","",'Master Barang'!B3)</f>
        <v>sunlight cairan pencuci piring 5l</v>
      </c>
      <c r="P2309">
        <f>IF(OR(M2309="",N2309=""),"",SUMIFS('Barang Keluar'!$E:$E,'Barang Keluar'!$A:$A,M2309,'Barang Keluar'!$C:$C,N2309))</f>
        <v>0</v>
      </c>
    </row>
    <row r="2310" spans="13:16">
      <c r="M2310" s="49">
        <f>IF($A$4+23&gt;$B$4,"",$A$4+23)</f>
        <v>46046</v>
      </c>
      <c r="N2310" t="str">
        <f>IF(M2310="","",'Master Barang'!A4)</f>
        <v>PRL-003</v>
      </c>
      <c r="O2310" t="str">
        <f>IF(N2310="","",'Master Barang'!B4)</f>
        <v>oixs cleaner 1l</v>
      </c>
      <c r="P2310">
        <f>IF(OR(M2310="",N2310=""),"",SUMIFS('Barang Keluar'!$E:$E,'Barang Keluar'!$A:$A,M2310,'Barang Keluar'!$C:$C,N2310))</f>
        <v>0</v>
      </c>
    </row>
    <row r="2311" spans="13:16">
      <c r="M2311" s="49">
        <f>IF($A$4+23&gt;$B$4,"",$A$4+23)</f>
        <v>46046</v>
      </c>
      <c r="N2311" t="str">
        <f>IF(M2311="","",'Master Barang'!A5)</f>
        <v>PRL-004</v>
      </c>
      <c r="O2311" t="str">
        <f>IF(N2311="","",'Master Barang'!B5)</f>
        <v>be clean tissue serbaguna</v>
      </c>
      <c r="P2311">
        <f>IF(OR(M2311="",N2311=""),"",SUMIFS('Barang Keluar'!$E:$E,'Barang Keluar'!$A:$A,M2311,'Barang Keluar'!$C:$C,N2311))</f>
        <v>0</v>
      </c>
    </row>
    <row r="2312" spans="13:16">
      <c r="M2312" s="49">
        <f>IF($A$4+23&gt;$B$4,"",$A$4+23)</f>
        <v>46046</v>
      </c>
      <c r="N2312" t="str">
        <f>IF(M2312="","",'Master Barang'!A6)</f>
        <v>PRL-005</v>
      </c>
      <c r="O2312" t="str">
        <f>IF(N2312="","",'Master Barang'!B6)</f>
        <v>spons cuci hijau</v>
      </c>
      <c r="P2312">
        <f>IF(OR(M2312="",N2312=""),"",SUMIFS('Barang Keluar'!$E:$E,'Barang Keluar'!$A:$A,M2312,'Barang Keluar'!$C:$C,N2312))</f>
        <v>0</v>
      </c>
    </row>
    <row r="2313" spans="13:16">
      <c r="M2313" s="49">
        <f>IF($A$4+23&gt;$B$4,"",$A$4+23)</f>
        <v>46046</v>
      </c>
      <c r="N2313" t="str">
        <f>IF(M2313="","",'Master Barang'!A7)</f>
        <v>PRL-006</v>
      </c>
      <c r="O2313" t="str">
        <f>IF(N2313="","",'Master Barang'!B7)</f>
        <v>sabut cuci stainless</v>
      </c>
      <c r="P2313">
        <f>IF(OR(M2313="",N2313=""),"",SUMIFS('Barang Keluar'!$E:$E,'Barang Keluar'!$A:$A,M2313,'Barang Keluar'!$C:$C,N2313))</f>
        <v>0</v>
      </c>
    </row>
    <row r="2314" spans="13:16">
      <c r="M2314" s="49">
        <f>IF($A$4+23&gt;$B$4,"",$A$4+23)</f>
        <v>46046</v>
      </c>
      <c r="N2314" t="str">
        <f>IF(M2314="","",'Master Barang'!A8)</f>
        <v>PRL-007</v>
      </c>
      <c r="O2314" t="str">
        <f>IF(N2314="","",'Master Barang'!B8)</f>
        <v>plastik kresek besar merah 50pc</v>
      </c>
      <c r="P2314">
        <f>IF(OR(M2314="",N2314=""),"",SUMIFS('Barang Keluar'!$E:$E,'Barang Keluar'!$A:$A,M2314,'Barang Keluar'!$C:$C,N2314))</f>
        <v>0</v>
      </c>
    </row>
    <row r="2315" spans="13:16">
      <c r="M2315" s="49">
        <f>IF($A$4+23&gt;$B$4,"",$A$4+23)</f>
        <v>46046</v>
      </c>
      <c r="N2315" t="str">
        <f>IF(M2315="","",'Master Barang'!A9)</f>
        <v>PRL-008</v>
      </c>
      <c r="O2315" t="str">
        <f>IF(N2315="","",'Master Barang'!B9)</f>
        <v>lap besar</v>
      </c>
      <c r="P2315">
        <f>IF(OR(M2315="",N2315=""),"",SUMIFS('Barang Keluar'!$E:$E,'Barang Keluar'!$A:$A,M2315,'Barang Keluar'!$C:$C,N2315))</f>
        <v>0</v>
      </c>
    </row>
    <row r="2316" spans="13:16">
      <c r="M2316" s="49">
        <f>IF($A$4+23&gt;$B$4,"",$A$4+23)</f>
        <v>46046</v>
      </c>
      <c r="N2316" t="str">
        <f>IF(M2316="","",'Master Barang'!A10)</f>
        <v>PRL-009</v>
      </c>
      <c r="O2316" t="str">
        <f>IF(N2316="","",'Master Barang'!B10)</f>
        <v>lap microfiber</v>
      </c>
      <c r="P2316">
        <f>IF(OR(M2316="",N2316=""),"",SUMIFS('Barang Keluar'!$E:$E,'Barang Keluar'!$A:$A,M2316,'Barang Keluar'!$C:$C,N2316))</f>
        <v>0</v>
      </c>
    </row>
    <row r="2317" spans="13:16">
      <c r="M2317" s="49">
        <f>IF($A$4+23&gt;$B$4,"",$A$4+23)</f>
        <v>46046</v>
      </c>
      <c r="N2317" t="str">
        <f>IF(M2317="","",'Master Barang'!A11)</f>
        <v>PRL-010</v>
      </c>
      <c r="O2317" t="str">
        <f>IF(N2317="","",'Master Barang'!B11)</f>
        <v>lap kecil</v>
      </c>
      <c r="P2317">
        <f>IF(OR(M2317="",N2317=""),"",SUMIFS('Barang Keluar'!$E:$E,'Barang Keluar'!$A:$A,M2317,'Barang Keluar'!$C:$C,N2317))</f>
        <v>0</v>
      </c>
    </row>
    <row r="2318" spans="13:16">
      <c r="M2318" s="49">
        <f>IF($A$4+23&gt;$B$4,"",$A$4+23)</f>
        <v>46046</v>
      </c>
      <c r="N2318" t="str">
        <f>IF(M2318="","",'Master Barang'!A12)</f>
        <v>PRL-011</v>
      </c>
      <c r="O2318" t="str">
        <f>IF(N2318="","",'Master Barang'!B12)</f>
        <v>kanebo kecil</v>
      </c>
      <c r="P2318">
        <f>IF(OR(M2318="",N2318=""),"",SUMIFS('Barang Keluar'!$E:$E,'Barang Keluar'!$A:$A,M2318,'Barang Keluar'!$C:$C,N2318))</f>
        <v>0</v>
      </c>
    </row>
    <row r="2319" spans="13:16">
      <c r="M2319" s="49">
        <f>IF($A$4+23&gt;$B$4,"",$A$4+23)</f>
        <v>46046</v>
      </c>
      <c r="N2319" t="str">
        <f>IF(M2319="","",'Master Barang'!A13)</f>
        <v>PRL-012</v>
      </c>
      <c r="O2319" t="str">
        <f>IF(N2319="","",'Master Barang'!B13)</f>
        <v>plastik 1/4kg joyoboyo 100 lembar</v>
      </c>
      <c r="P2319">
        <f>IF(OR(M2319="",N2319=""),"",SUMIFS('Barang Keluar'!$E:$E,'Barang Keluar'!$A:$A,M2319,'Barang Keluar'!$C:$C,N2319))</f>
        <v>0</v>
      </c>
    </row>
    <row r="2320" spans="13:16">
      <c r="M2320" s="49">
        <f>IF($A$4+23&gt;$B$4,"",$A$4+23)</f>
        <v>46046</v>
      </c>
      <c r="N2320" t="str">
        <f>IF(M2320="","",'Master Barang'!A14)</f>
        <v>PRL-013</v>
      </c>
      <c r="O2320" t="str">
        <f>IF(N2320="","",'Master Barang'!B14)</f>
        <v>sarung tangan plastik kaka 100 pcs</v>
      </c>
      <c r="P2320">
        <f>IF(OR(M2320="",N2320=""),"",SUMIFS('Barang Keluar'!$E:$E,'Barang Keluar'!$A:$A,M2320,'Barang Keluar'!$C:$C,N2320))</f>
        <v>0</v>
      </c>
    </row>
    <row r="2321" spans="13:16">
      <c r="M2321" s="49">
        <f>IF($A$4+23&gt;$B$4,"",$A$4+23)</f>
        <v>46046</v>
      </c>
      <c r="N2321" t="str">
        <f>IF(M2321="","",'Master Barang'!A15)</f>
        <v>PRL-014</v>
      </c>
      <c r="O2321" t="str">
        <f>IF(N2321="","",'Master Barang'!B15)</f>
        <v>optima trashbag 80x100</v>
      </c>
      <c r="P2321">
        <f>IF(OR(M2321="",N2321=""),"",SUMIFS('Barang Keluar'!$E:$E,'Barang Keluar'!$A:$A,M2321,'Barang Keluar'!$C:$C,N2321))</f>
        <v>0</v>
      </c>
    </row>
    <row r="2322" spans="13:16">
      <c r="M2322" s="49">
        <f>IF($A$4+23&gt;$B$4,"",$A$4+23)</f>
        <v>46046</v>
      </c>
      <c r="N2322" t="str">
        <f>IF(M2322="","",'Master Barang'!A16)</f>
        <v>PRL-015</v>
      </c>
      <c r="O2322" t="str">
        <f>IF(N2322="","",'Master Barang'!B16)</f>
        <v>optima trashbag 60x100</v>
      </c>
      <c r="P2322">
        <f>IF(OR(M2322="",N2322=""),"",SUMIFS('Barang Keluar'!$E:$E,'Barang Keluar'!$A:$A,M2322,'Barang Keluar'!$C:$C,N2322))</f>
        <v>0</v>
      </c>
    </row>
    <row r="2323" spans="13:16">
      <c r="M2323" s="49">
        <f>IF($A$4+23&gt;$B$4,"",$A$4+23)</f>
        <v>46046</v>
      </c>
      <c r="N2323" t="str">
        <f>IF(M2323="","",'Master Barang'!A17)</f>
        <v>PRL-016</v>
      </c>
      <c r="O2323" t="str">
        <f>IF(N2323="","",'Master Barang'!B17)</f>
        <v>rajawali trashbag 30x40</v>
      </c>
      <c r="P2323">
        <f>IF(OR(M2323="",N2323=""),"",SUMIFS('Barang Keluar'!$E:$E,'Barang Keluar'!$A:$A,M2323,'Barang Keluar'!$C:$C,N2323))</f>
        <v>0</v>
      </c>
    </row>
    <row r="2324" spans="13:16">
      <c r="M2324" s="49">
        <f>IF($A$4+23&gt;$B$4,"",$A$4+23)</f>
        <v>46046</v>
      </c>
      <c r="N2324" t="str">
        <f>IF(M2324="","",'Master Barang'!A18)</f>
        <v>PRL-017</v>
      </c>
      <c r="O2324" t="str">
        <f>IF(N2324="","",'Master Barang'!B18)</f>
        <v>onemed masker biru 3 play 50 pcs</v>
      </c>
      <c r="P2324">
        <f>IF(OR(M2324="",N2324=""),"",SUMIFS('Barang Keluar'!$E:$E,'Barang Keluar'!$A:$A,M2324,'Barang Keluar'!$C:$C,N2324))</f>
        <v>0</v>
      </c>
    </row>
    <row r="2325" spans="13:16">
      <c r="M2325" s="49">
        <f>IF($A$4+23&gt;$B$4,"",$A$4+23)</f>
        <v>46046</v>
      </c>
      <c r="N2325" t="str">
        <f>IF(M2325="","",'Master Barang'!A19)</f>
        <v>PRL-018</v>
      </c>
      <c r="O2325" t="str">
        <f>IF(N2325="","",'Master Barang'!B19)</f>
        <v>onemed masker biru 3 play hijab 50 pcs</v>
      </c>
      <c r="P2325">
        <f>IF(OR(M2325="",N2325=""),"",SUMIFS('Barang Keluar'!$E:$E,'Barang Keluar'!$A:$A,M2325,'Barang Keluar'!$C:$C,N2325))</f>
        <v>0</v>
      </c>
    </row>
    <row r="2326" spans="13:16">
      <c r="M2326" s="49">
        <f>IF($A$4+23&gt;$B$4,"",$A$4+23)</f>
        <v>46046</v>
      </c>
      <c r="N2326" t="str">
        <f>IF(M2326="","",'Master Barang'!A20)</f>
        <v>PRL-019</v>
      </c>
      <c r="O2326" t="str">
        <f>IF(N2326="","",'Master Barang'!B20)</f>
        <v>neo health masker biru 3 play 50 pcs</v>
      </c>
      <c r="P2326">
        <f>IF(OR(M2326="",N2326=""),"",SUMIFS('Barang Keluar'!$E:$E,'Barang Keluar'!$A:$A,M2326,'Barang Keluar'!$C:$C,N2326))</f>
        <v>0</v>
      </c>
    </row>
    <row r="2327" spans="13:16">
      <c r="M2327" s="49">
        <f>IF($A$4+23&gt;$B$4,"",$A$4+23)</f>
        <v>46046</v>
      </c>
      <c r="N2327" t="str">
        <f>IF(M2327="","",'Master Barang'!A21)</f>
        <v>PRL-020</v>
      </c>
      <c r="O2327" t="str">
        <f>IF(N2327="","",'Master Barang'!B21)</f>
        <v>baymed masker hijau 3 play hijau 50 pcs</v>
      </c>
      <c r="P2327">
        <f>IF(OR(M2327="",N2327=""),"",SUMIFS('Barang Keluar'!$E:$E,'Barang Keluar'!$A:$A,M2327,'Barang Keluar'!$C:$C,N2327))</f>
        <v>0</v>
      </c>
    </row>
    <row r="2328" spans="13:16">
      <c r="M2328" s="49">
        <f>IF($A$4+23&gt;$B$4,"",$A$4+23)</f>
        <v>46046</v>
      </c>
      <c r="N2328" t="str">
        <f>IF(M2328="","",'Master Barang'!A22)</f>
        <v>PRL-021</v>
      </c>
      <c r="O2328" t="str">
        <f>IF(N2328="","",'Master Barang'!B22)</f>
        <v>altamed nurse cap penutup kepala 100 pcs</v>
      </c>
      <c r="P2328">
        <f>IF(OR(M2328="",N2328=""),"",SUMIFS('Barang Keluar'!$E:$E,'Barang Keluar'!$A:$A,M2328,'Barang Keluar'!$C:$C,N2328))</f>
        <v>0</v>
      </c>
    </row>
    <row r="2329" spans="13:16">
      <c r="M2329" s="49">
        <f>IF($A$4+23&gt;$B$4,"",$A$4+23)</f>
        <v>46046</v>
      </c>
      <c r="N2329" t="str">
        <f>IF(M2329="","",'Master Barang'!A23)</f>
        <v>PRL-022</v>
      </c>
      <c r="O2329" t="str">
        <f>IF(N2329="","",'Master Barang'!B23)</f>
        <v>sabun cuci tangan</v>
      </c>
      <c r="P2329">
        <f>IF(OR(M2329="",N2329=""),"",SUMIFS('Barang Keluar'!$E:$E,'Barang Keluar'!$A:$A,M2329,'Barang Keluar'!$C:$C,N2329))</f>
        <v>0</v>
      </c>
    </row>
    <row r="2330" spans="13:16">
      <c r="M2330" s="49">
        <f>IF($A$4+23&gt;$B$4,"",$A$4+23)</f>
        <v>46046</v>
      </c>
      <c r="N2330" t="str">
        <f>IF(M2330="","",'Master Barang'!A24)</f>
        <v>PRL-023</v>
      </c>
      <c r="O2330" t="str">
        <f>IF(N2330="","",'Master Barang'!B24)</f>
        <v>gayung kecil</v>
      </c>
      <c r="P2330">
        <f>IF(OR(M2330="",N2330=""),"",SUMIFS('Barang Keluar'!$E:$E,'Barang Keluar'!$A:$A,M2330,'Barang Keluar'!$C:$C,N2330))</f>
        <v>0</v>
      </c>
    </row>
    <row r="2331" spans="13:16">
      <c r="M2331" s="49">
        <f>IF($A$4+23&gt;$B$4,"",$A$4+23)</f>
        <v>46046</v>
      </c>
      <c r="N2331" t="str">
        <f>IF(M2331="","",'Master Barang'!A25)</f>
        <v>PRL-024</v>
      </c>
      <c r="O2331" t="str">
        <f>IF(N2331="","",'Master Barang'!B25)</f>
        <v>cikrak kecil</v>
      </c>
      <c r="P2331">
        <f>IF(OR(M2331="",N2331=""),"",SUMIFS('Barang Keluar'!$E:$E,'Barang Keluar'!$A:$A,M2331,'Barang Keluar'!$C:$C,N2331))</f>
        <v>0</v>
      </c>
    </row>
    <row r="2332" spans="13:16">
      <c r="M2332" s="49">
        <f>IF($A$4+23&gt;$B$4,"",$A$4+23)</f>
        <v>46046</v>
      </c>
      <c r="N2332" t="str">
        <f>IF(M2332="","",'Master Barang'!A26)</f>
        <v>PRL-025</v>
      </c>
      <c r="O2332" t="str">
        <f>IF(N2332="","",'Master Barang'!B26)</f>
        <v>petromax plastik kecil 12x24 100 lembar</v>
      </c>
      <c r="P2332">
        <f>IF(OR(M2332="",N2332=""),"",SUMIFS('Barang Keluar'!$E:$E,'Barang Keluar'!$A:$A,M2332,'Barang Keluar'!$C:$C,N2332))</f>
        <v>0</v>
      </c>
    </row>
    <row r="2333" spans="13:16">
      <c r="M2333" s="49">
        <f>IF($A$4+23&gt;$B$4,"",$A$4+23)</f>
        <v>46046</v>
      </c>
      <c r="N2333" t="str">
        <f>IF(M2333="","",'Master Barang'!A27)</f>
        <v>PRL-026</v>
      </c>
      <c r="O2333" t="str">
        <f>IF(N2333="","",'Master Barang'!B27)</f>
        <v>lancar kresek kecil bening </v>
      </c>
      <c r="P2333">
        <f>IF(OR(M2333="",N2333=""),"",SUMIFS('Barang Keluar'!$E:$E,'Barang Keluar'!$A:$A,M2333,'Barang Keluar'!$C:$C,N2333))</f>
        <v>0</v>
      </c>
    </row>
    <row r="2334" spans="13:16">
      <c r="M2334" s="49">
        <f>IF($A$4+23&gt;$B$4,"",$A$4+23)</f>
        <v>46046</v>
      </c>
      <c r="N2334" t="str">
        <f>IF(M2334="","",'Master Barang'!A28)</f>
        <v>PRL-027</v>
      </c>
      <c r="O2334" t="str">
        <f>IF(N2334="","",'Master Barang'!B28)</f>
        <v>kresek klin warna warni kecil</v>
      </c>
      <c r="P2334">
        <f>IF(OR(M2334="",N2334=""),"",SUMIFS('Barang Keluar'!$E:$E,'Barang Keluar'!$A:$A,M2334,'Barang Keluar'!$C:$C,N2334))</f>
        <v>0</v>
      </c>
    </row>
    <row r="2335" spans="13:16">
      <c r="M2335" s="49">
        <f>IF($A$4+23&gt;$B$4,"",$A$4+23)</f>
        <v>46046</v>
      </c>
      <c r="N2335" t="str">
        <f>IF(M2335="","",'Master Barang'!A29)</f>
        <v>PRL-028</v>
      </c>
      <c r="O2335" t="str">
        <f>IF(N2335="","",'Master Barang'!B29)</f>
        <v>ctik plastik 7x10 100 pcs</v>
      </c>
      <c r="P2335">
        <f>IF(OR(M2335="",N2335=""),"",SUMIFS('Barang Keluar'!$E:$E,'Barang Keluar'!$A:$A,M2335,'Barang Keluar'!$C:$C,N2335))</f>
        <v>0</v>
      </c>
    </row>
    <row r="2336" spans="13:16">
      <c r="M2336" s="49">
        <f>IF($A$4+23&gt;$B$4,"",$A$4+23)</f>
        <v>46046</v>
      </c>
      <c r="N2336" t="str">
        <f>IF(M2336="","",'Master Barang'!A30)</f>
        <v>PRL-029</v>
      </c>
      <c r="O2336" t="str">
        <f>IF(N2336="","",'Master Barang'!B30)</f>
        <v>ctik plastik 6x10 100 pcs</v>
      </c>
      <c r="P2336">
        <f>IF(OR(M2336="",N2336=""),"",SUMIFS('Barang Keluar'!$E:$E,'Barang Keluar'!$A:$A,M2336,'Barang Keluar'!$C:$C,N2336))</f>
        <v>0</v>
      </c>
    </row>
    <row r="2337" spans="13:16">
      <c r="M2337" s="49">
        <f>IF($A$4+23&gt;$B$4,"",$A$4+23)</f>
        <v>46046</v>
      </c>
      <c r="N2337" t="str">
        <f>IF(M2337="","",'Master Barang'!A31)</f>
        <v>PRL-030</v>
      </c>
      <c r="O2337" t="str">
        <f>IF(N2337="","",'Master Barang'!B31)</f>
        <v>klip plastik 25x16 100 pcs</v>
      </c>
      <c r="P2337">
        <f>IF(OR(M2337="",N2337=""),"",SUMIFS('Barang Keluar'!$E:$E,'Barang Keluar'!$A:$A,M2337,'Barang Keluar'!$C:$C,N2337))</f>
        <v>0</v>
      </c>
    </row>
    <row r="2338" spans="13:16">
      <c r="M2338" s="49">
        <f>IF($A$4+23&gt;$B$4,"",$A$4+23)</f>
        <v>46046</v>
      </c>
      <c r="N2338" t="str">
        <f>IF(M2338="","",'Master Barang'!A32)</f>
        <v>PRL-031</v>
      </c>
      <c r="O2338" t="str">
        <f>IF(N2338="","",'Master Barang'!B32)</f>
        <v>tempat saus 20 ml</v>
      </c>
      <c r="P2338">
        <f>IF(OR(M2338="",N2338=""),"",SUMIFS('Barang Keluar'!$E:$E,'Barang Keluar'!$A:$A,M2338,'Barang Keluar'!$C:$C,N2338))</f>
        <v>0</v>
      </c>
    </row>
    <row r="2339" spans="13:16">
      <c r="M2339" s="49">
        <f>IF($A$4+23&gt;$B$4,"",$A$4+23)</f>
        <v>46046</v>
      </c>
      <c r="N2339" t="str">
        <f>IF(M2339="","",'Master Barang'!A33)</f>
        <v>PRL-032</v>
      </c>
      <c r="O2339" t="str">
        <f>IF(N2339="","",'Master Barang'!B33)</f>
        <v>plastik packaging ag box uk sedang</v>
      </c>
      <c r="P2339">
        <f>IF(OR(M2339="",N2339=""),"",SUMIFS('Barang Keluar'!$E:$E,'Barang Keluar'!$A:$A,M2339,'Barang Keluar'!$C:$C,N2339))</f>
        <v>0</v>
      </c>
    </row>
    <row r="2340" spans="13:16">
      <c r="M2340" s="49">
        <f>IF($A$4+23&gt;$B$4,"",$A$4+23)</f>
        <v>46046</v>
      </c>
      <c r="N2340" t="str">
        <f>IF(M2340="","",'Master Barang'!A34)</f>
        <v>PRL-033</v>
      </c>
      <c r="O2340">
        <f>IF(N2340="","",'Master Barang'!B34)</f>
        <v>0</v>
      </c>
      <c r="P2340">
        <f>IF(OR(M2340="",N2340=""),"",SUMIFS('Barang Keluar'!$E:$E,'Barang Keluar'!$A:$A,M2340,'Barang Keluar'!$C:$C,N2340))</f>
        <v>0</v>
      </c>
    </row>
    <row r="2341" spans="13:16">
      <c r="M2341" s="49">
        <f>IF($A$4+23&gt;$B$4,"",$A$4+23)</f>
        <v>46046</v>
      </c>
      <c r="N2341">
        <f>IF(M2341="","",'Master Barang'!A35)</f>
        <v>0</v>
      </c>
      <c r="O2341">
        <f>IF(N2341="","",'Master Barang'!B35)</f>
        <v>0</v>
      </c>
      <c r="P2341">
        <f>IF(OR(M2341="",N2341=""),"",SUMIFS('Barang Keluar'!$E:$E,'Barang Keluar'!$A:$A,M2341,'Barang Keluar'!$C:$C,N2341))</f>
        <v>0</v>
      </c>
    </row>
    <row r="2342" spans="13:16">
      <c r="M2342" s="49">
        <f>IF($A$4+23&gt;$B$4,"",$A$4+23)</f>
        <v>46046</v>
      </c>
      <c r="N2342">
        <f>IF(M2342="","",'Master Barang'!A36)</f>
        <v>0</v>
      </c>
      <c r="O2342">
        <f>IF(N2342="","",'Master Barang'!B36)</f>
        <v>0</v>
      </c>
      <c r="P2342">
        <f>IF(OR(M2342="",N2342=""),"",SUMIFS('Barang Keluar'!$E:$E,'Barang Keluar'!$A:$A,M2342,'Barang Keluar'!$C:$C,N2342))</f>
        <v>0</v>
      </c>
    </row>
    <row r="2343" spans="13:16">
      <c r="M2343" s="49">
        <f>IF($A$4+23&gt;$B$4,"",$A$4+23)</f>
        <v>46046</v>
      </c>
      <c r="N2343">
        <f>IF(M2343="","",'Master Barang'!A37)</f>
        <v>0</v>
      </c>
      <c r="O2343">
        <f>IF(N2343="","",'Master Barang'!B37)</f>
        <v>0</v>
      </c>
      <c r="P2343">
        <f>IF(OR(M2343="",N2343=""),"",SUMIFS('Barang Keluar'!$E:$E,'Barang Keluar'!$A:$A,M2343,'Barang Keluar'!$C:$C,N2343))</f>
        <v>0</v>
      </c>
    </row>
    <row r="2344" spans="13:16">
      <c r="M2344" s="49">
        <f>IF($A$4+23&gt;$B$4,"",$A$4+23)</f>
        <v>46046</v>
      </c>
      <c r="N2344">
        <f>IF(M2344="","",'Master Barang'!A38)</f>
        <v>0</v>
      </c>
      <c r="O2344">
        <f>IF(N2344="","",'Master Barang'!B38)</f>
        <v>0</v>
      </c>
      <c r="P2344">
        <f>IF(OR(M2344="",N2344=""),"",SUMIFS('Barang Keluar'!$E:$E,'Barang Keluar'!$A:$A,M2344,'Barang Keluar'!$C:$C,N2344))</f>
        <v>0</v>
      </c>
    </row>
    <row r="2345" spans="13:16">
      <c r="M2345" s="49">
        <f>IF($A$4+23&gt;$B$4,"",$A$4+23)</f>
        <v>46046</v>
      </c>
      <c r="N2345">
        <f>IF(M2345="","",'Master Barang'!A39)</f>
        <v>0</v>
      </c>
      <c r="O2345">
        <f>IF(N2345="","",'Master Barang'!B39)</f>
        <v>0</v>
      </c>
      <c r="P2345">
        <f>IF(OR(M2345="",N2345=""),"",SUMIFS('Barang Keluar'!$E:$E,'Barang Keluar'!$A:$A,M2345,'Barang Keluar'!$C:$C,N2345))</f>
        <v>0</v>
      </c>
    </row>
    <row r="2346" spans="13:16">
      <c r="M2346" s="49">
        <f>IF($A$4+23&gt;$B$4,"",$A$4+23)</f>
        <v>46046</v>
      </c>
      <c r="N2346">
        <f>IF(M2346="","",'Master Barang'!A40)</f>
        <v>0</v>
      </c>
      <c r="O2346">
        <f>IF(N2346="","",'Master Barang'!B40)</f>
        <v>0</v>
      </c>
      <c r="P2346">
        <f>IF(OR(M2346="",N2346=""),"",SUMIFS('Barang Keluar'!$E:$E,'Barang Keluar'!$A:$A,M2346,'Barang Keluar'!$C:$C,N2346))</f>
        <v>0</v>
      </c>
    </row>
    <row r="2347" spans="13:16">
      <c r="M2347" s="49">
        <f>IF($A$4+23&gt;$B$4,"",$A$4+23)</f>
        <v>46046</v>
      </c>
      <c r="N2347">
        <f>IF(M2347="","",'Master Barang'!A41)</f>
        <v>0</v>
      </c>
      <c r="O2347">
        <f>IF(N2347="","",'Master Barang'!B41)</f>
        <v>0</v>
      </c>
      <c r="P2347">
        <f>IF(OR(M2347="",N2347=""),"",SUMIFS('Barang Keluar'!$E:$E,'Barang Keluar'!$A:$A,M2347,'Barang Keluar'!$C:$C,N2347))</f>
        <v>0</v>
      </c>
    </row>
    <row r="2348" spans="13:16">
      <c r="M2348" s="49">
        <f>IF($A$4+23&gt;$B$4,"",$A$4+23)</f>
        <v>46046</v>
      </c>
      <c r="N2348">
        <f>IF(M2348="","",'Master Barang'!A42)</f>
        <v>0</v>
      </c>
      <c r="O2348">
        <f>IF(N2348="","",'Master Barang'!B42)</f>
        <v>0</v>
      </c>
      <c r="P2348">
        <f>IF(OR(M2348="",N2348=""),"",SUMIFS('Barang Keluar'!$E:$E,'Barang Keluar'!$A:$A,M2348,'Barang Keluar'!$C:$C,N2348))</f>
        <v>0</v>
      </c>
    </row>
    <row r="2349" spans="13:16">
      <c r="M2349" s="49">
        <f>IF($A$4+23&gt;$B$4,"",$A$4+23)</f>
        <v>46046</v>
      </c>
      <c r="N2349">
        <f>IF(M2349="","",'Master Barang'!A43)</f>
        <v>0</v>
      </c>
      <c r="O2349">
        <f>IF(N2349="","",'Master Barang'!B43)</f>
        <v>0</v>
      </c>
      <c r="P2349">
        <f>IF(OR(M2349="",N2349=""),"",SUMIFS('Barang Keluar'!$E:$E,'Barang Keluar'!$A:$A,M2349,'Barang Keluar'!$C:$C,N2349))</f>
        <v>0</v>
      </c>
    </row>
    <row r="2350" spans="13:16">
      <c r="M2350" s="49">
        <f>IF($A$4+23&gt;$B$4,"",$A$4+23)</f>
        <v>46046</v>
      </c>
      <c r="N2350">
        <f>IF(M2350="","",'Master Barang'!A44)</f>
        <v>0</v>
      </c>
      <c r="O2350">
        <f>IF(N2350="","",'Master Barang'!B44)</f>
        <v>0</v>
      </c>
      <c r="P2350">
        <f>IF(OR(M2350="",N2350=""),"",SUMIFS('Barang Keluar'!$E:$E,'Barang Keluar'!$A:$A,M2350,'Barang Keluar'!$C:$C,N2350))</f>
        <v>0</v>
      </c>
    </row>
    <row r="2351" spans="13:16">
      <c r="M2351" s="49">
        <f>IF($A$4+23&gt;$B$4,"",$A$4+23)</f>
        <v>46046</v>
      </c>
      <c r="N2351">
        <f>IF(M2351="","",'Master Barang'!A45)</f>
        <v>0</v>
      </c>
      <c r="O2351">
        <f>IF(N2351="","",'Master Barang'!B45)</f>
        <v>0</v>
      </c>
      <c r="P2351">
        <f>IF(OR(M2351="",N2351=""),"",SUMIFS('Barang Keluar'!$E:$E,'Barang Keluar'!$A:$A,M2351,'Barang Keluar'!$C:$C,N2351))</f>
        <v>0</v>
      </c>
    </row>
    <row r="2352" spans="13:16">
      <c r="M2352" s="49">
        <f>IF($A$4+23&gt;$B$4,"",$A$4+23)</f>
        <v>46046</v>
      </c>
      <c r="N2352">
        <f>IF(M2352="","",'Master Barang'!A46)</f>
        <v>0</v>
      </c>
      <c r="O2352">
        <f>IF(N2352="","",'Master Barang'!B46)</f>
        <v>0</v>
      </c>
      <c r="P2352">
        <f>IF(OR(M2352="",N2352=""),"",SUMIFS('Barang Keluar'!$E:$E,'Barang Keluar'!$A:$A,M2352,'Barang Keluar'!$C:$C,N2352))</f>
        <v>0</v>
      </c>
    </row>
    <row r="2353" spans="13:16">
      <c r="M2353" s="49">
        <f>IF($A$4+23&gt;$B$4,"",$A$4+23)</f>
        <v>46046</v>
      </c>
      <c r="N2353">
        <f>IF(M2353="","",'Master Barang'!A47)</f>
        <v>0</v>
      </c>
      <c r="O2353">
        <f>IF(N2353="","",'Master Barang'!B47)</f>
        <v>0</v>
      </c>
      <c r="P2353">
        <f>IF(OR(M2353="",N2353=""),"",SUMIFS('Barang Keluar'!$E:$E,'Barang Keluar'!$A:$A,M2353,'Barang Keluar'!$C:$C,N2353))</f>
        <v>0</v>
      </c>
    </row>
    <row r="2354" spans="13:16">
      <c r="M2354" s="49">
        <f>IF($A$4+23&gt;$B$4,"",$A$4+23)</f>
        <v>46046</v>
      </c>
      <c r="N2354">
        <f>IF(M2354="","",'Master Barang'!A48)</f>
        <v>0</v>
      </c>
      <c r="O2354">
        <f>IF(N2354="","",'Master Barang'!B48)</f>
        <v>0</v>
      </c>
      <c r="P2354">
        <f>IF(OR(M2354="",N2354=""),"",SUMIFS('Barang Keluar'!$E:$E,'Barang Keluar'!$A:$A,M2354,'Barang Keluar'!$C:$C,N2354))</f>
        <v>0</v>
      </c>
    </row>
    <row r="2355" spans="13:16">
      <c r="M2355" s="49">
        <f>IF($A$4+23&gt;$B$4,"",$A$4+23)</f>
        <v>46046</v>
      </c>
      <c r="N2355">
        <f>IF(M2355="","",'Master Barang'!A49)</f>
        <v>0</v>
      </c>
      <c r="O2355">
        <f>IF(N2355="","",'Master Barang'!B49)</f>
        <v>0</v>
      </c>
      <c r="P2355">
        <f>IF(OR(M2355="",N2355=""),"",SUMIFS('Barang Keluar'!$E:$E,'Barang Keluar'!$A:$A,M2355,'Barang Keluar'!$C:$C,N2355))</f>
        <v>0</v>
      </c>
    </row>
    <row r="2356" spans="13:16">
      <c r="M2356" s="49">
        <f>IF($A$4+23&gt;$B$4,"",$A$4+23)</f>
        <v>46046</v>
      </c>
      <c r="N2356">
        <f>IF(M2356="","",'Master Barang'!A50)</f>
        <v>0</v>
      </c>
      <c r="O2356">
        <f>IF(N2356="","",'Master Barang'!B50)</f>
        <v>0</v>
      </c>
      <c r="P2356">
        <f>IF(OR(M2356="",N2356=""),"",SUMIFS('Barang Keluar'!$E:$E,'Barang Keluar'!$A:$A,M2356,'Barang Keluar'!$C:$C,N2356))</f>
        <v>0</v>
      </c>
    </row>
    <row r="2357" spans="13:16">
      <c r="M2357" s="49">
        <f>IF($A$4+23&gt;$B$4,"",$A$4+23)</f>
        <v>46046</v>
      </c>
      <c r="N2357">
        <f>IF(M2357="","",'Master Barang'!A51)</f>
        <v>0</v>
      </c>
      <c r="O2357">
        <f>IF(N2357="","",'Master Barang'!B51)</f>
        <v>0</v>
      </c>
      <c r="P2357">
        <f>IF(OR(M2357="",N2357=""),"",SUMIFS('Barang Keluar'!$E:$E,'Barang Keluar'!$A:$A,M2357,'Barang Keluar'!$C:$C,N2357))</f>
        <v>0</v>
      </c>
    </row>
    <row r="2358" spans="13:16">
      <c r="M2358" s="49">
        <f>IF($A$4+23&gt;$B$4,"",$A$4+23)</f>
        <v>46046</v>
      </c>
      <c r="N2358">
        <f>IF(M2358="","",'Master Barang'!A52)</f>
        <v>0</v>
      </c>
      <c r="O2358">
        <f>IF(N2358="","",'Master Barang'!B52)</f>
        <v>0</v>
      </c>
      <c r="P2358">
        <f>IF(OR(M2358="",N2358=""),"",SUMIFS('Barang Keluar'!$E:$E,'Barang Keluar'!$A:$A,M2358,'Barang Keluar'!$C:$C,N2358))</f>
        <v>0</v>
      </c>
    </row>
    <row r="2359" spans="13:16">
      <c r="M2359" s="49">
        <f>IF($A$4+23&gt;$B$4,"",$A$4+23)</f>
        <v>46046</v>
      </c>
      <c r="N2359">
        <f>IF(M2359="","",'Master Barang'!A53)</f>
        <v>0</v>
      </c>
      <c r="O2359">
        <f>IF(N2359="","",'Master Barang'!B53)</f>
        <v>0</v>
      </c>
      <c r="P2359">
        <f>IF(OR(M2359="",N2359=""),"",SUMIFS('Barang Keluar'!$E:$E,'Barang Keluar'!$A:$A,M2359,'Barang Keluar'!$C:$C,N2359))</f>
        <v>0</v>
      </c>
    </row>
    <row r="2360" spans="13:16">
      <c r="M2360" s="49">
        <f>IF($A$4+23&gt;$B$4,"",$A$4+23)</f>
        <v>46046</v>
      </c>
      <c r="N2360">
        <f>IF(M2360="","",'Master Barang'!A54)</f>
        <v>0</v>
      </c>
      <c r="O2360">
        <f>IF(N2360="","",'Master Barang'!B54)</f>
        <v>0</v>
      </c>
      <c r="P2360">
        <f>IF(OR(M2360="",N2360=""),"",SUMIFS('Barang Keluar'!$E:$E,'Barang Keluar'!$A:$A,M2360,'Barang Keluar'!$C:$C,N2360))</f>
        <v>0</v>
      </c>
    </row>
    <row r="2361" spans="13:16">
      <c r="M2361" s="49">
        <f>IF($A$4+23&gt;$B$4,"",$A$4+23)</f>
        <v>46046</v>
      </c>
      <c r="N2361">
        <f>IF(M2361="","",'Master Barang'!A55)</f>
        <v>0</v>
      </c>
      <c r="O2361">
        <f>IF(N2361="","",'Master Barang'!B55)</f>
        <v>0</v>
      </c>
      <c r="P2361">
        <f>IF(OR(M2361="",N2361=""),"",SUMIFS('Barang Keluar'!$E:$E,'Barang Keluar'!$A:$A,M2361,'Barang Keluar'!$C:$C,N2361))</f>
        <v>0</v>
      </c>
    </row>
    <row r="2362" spans="13:16">
      <c r="M2362" s="49">
        <f>IF($A$4+23&gt;$B$4,"",$A$4+23)</f>
        <v>46046</v>
      </c>
      <c r="N2362">
        <f>IF(M2362="","",'Master Barang'!A56)</f>
        <v>0</v>
      </c>
      <c r="O2362">
        <f>IF(N2362="","",'Master Barang'!B56)</f>
        <v>0</v>
      </c>
      <c r="P2362">
        <f>IF(OR(M2362="",N2362=""),"",SUMIFS('Barang Keluar'!$E:$E,'Barang Keluar'!$A:$A,M2362,'Barang Keluar'!$C:$C,N2362))</f>
        <v>0</v>
      </c>
    </row>
    <row r="2363" spans="13:16">
      <c r="M2363" s="49">
        <f>IF($A$4+23&gt;$B$4,"",$A$4+23)</f>
        <v>46046</v>
      </c>
      <c r="N2363">
        <f>IF(M2363="","",'Master Barang'!A57)</f>
        <v>0</v>
      </c>
      <c r="O2363">
        <f>IF(N2363="","",'Master Barang'!B57)</f>
        <v>0</v>
      </c>
      <c r="P2363">
        <f>IF(OR(M2363="",N2363=""),"",SUMIFS('Barang Keluar'!$E:$E,'Barang Keluar'!$A:$A,M2363,'Barang Keluar'!$C:$C,N2363))</f>
        <v>0</v>
      </c>
    </row>
    <row r="2364" spans="13:16">
      <c r="M2364" s="49">
        <f>IF($A$4+23&gt;$B$4,"",$A$4+23)</f>
        <v>46046</v>
      </c>
      <c r="N2364">
        <f>IF(M2364="","",'Master Barang'!A58)</f>
        <v>0</v>
      </c>
      <c r="O2364">
        <f>IF(N2364="","",'Master Barang'!B58)</f>
        <v>0</v>
      </c>
      <c r="P2364">
        <f>IF(OR(M2364="",N2364=""),"",SUMIFS('Barang Keluar'!$E:$E,'Barang Keluar'!$A:$A,M2364,'Barang Keluar'!$C:$C,N2364))</f>
        <v>0</v>
      </c>
    </row>
    <row r="2365" spans="13:16">
      <c r="M2365" s="49">
        <f>IF($A$4+23&gt;$B$4,"",$A$4+23)</f>
        <v>46046</v>
      </c>
      <c r="N2365">
        <f>IF(M2365="","",'Master Barang'!A59)</f>
        <v>0</v>
      </c>
      <c r="O2365">
        <f>IF(N2365="","",'Master Barang'!B59)</f>
        <v>0</v>
      </c>
      <c r="P2365">
        <f>IF(OR(M2365="",N2365=""),"",SUMIFS('Barang Keluar'!$E:$E,'Barang Keluar'!$A:$A,M2365,'Barang Keluar'!$C:$C,N2365))</f>
        <v>0</v>
      </c>
    </row>
    <row r="2366" spans="13:16">
      <c r="M2366" s="49">
        <f>IF($A$4+23&gt;$B$4,"",$A$4+23)</f>
        <v>46046</v>
      </c>
      <c r="N2366">
        <f>IF(M2366="","",'Master Barang'!A60)</f>
        <v>0</v>
      </c>
      <c r="O2366">
        <f>IF(N2366="","",'Master Barang'!B60)</f>
        <v>0</v>
      </c>
      <c r="P2366">
        <f>IF(OR(M2366="",N2366=""),"",SUMIFS('Barang Keluar'!$E:$E,'Barang Keluar'!$A:$A,M2366,'Barang Keluar'!$C:$C,N2366))</f>
        <v>0</v>
      </c>
    </row>
    <row r="2367" spans="13:16">
      <c r="M2367" s="49">
        <f>IF($A$4+23&gt;$B$4,"",$A$4+23)</f>
        <v>46046</v>
      </c>
      <c r="N2367">
        <f>IF(M2367="","",'Master Barang'!A61)</f>
        <v>0</v>
      </c>
      <c r="O2367">
        <f>IF(N2367="","",'Master Barang'!B61)</f>
        <v>0</v>
      </c>
      <c r="P2367">
        <f>IF(OR(M2367="",N2367=""),"",SUMIFS('Barang Keluar'!$E:$E,'Barang Keluar'!$A:$A,M2367,'Barang Keluar'!$C:$C,N2367))</f>
        <v>0</v>
      </c>
    </row>
    <row r="2368" spans="13:16">
      <c r="M2368" s="49">
        <f>IF($A$4+23&gt;$B$4,"",$A$4+23)</f>
        <v>46046</v>
      </c>
      <c r="N2368">
        <f>IF(M2368="","",'Master Barang'!A62)</f>
        <v>0</v>
      </c>
      <c r="O2368">
        <f>IF(N2368="","",'Master Barang'!B62)</f>
        <v>0</v>
      </c>
      <c r="P2368">
        <f>IF(OR(M2368="",N2368=""),"",SUMIFS('Barang Keluar'!$E:$E,'Barang Keluar'!$A:$A,M2368,'Barang Keluar'!$C:$C,N2368))</f>
        <v>0</v>
      </c>
    </row>
    <row r="2369" spans="13:16">
      <c r="M2369" s="49">
        <f>IF($A$4+23&gt;$B$4,"",$A$4+23)</f>
        <v>46046</v>
      </c>
      <c r="N2369">
        <f>IF(M2369="","",'Master Barang'!A63)</f>
        <v>0</v>
      </c>
      <c r="O2369">
        <f>IF(N2369="","",'Master Barang'!B63)</f>
        <v>0</v>
      </c>
      <c r="P2369">
        <f>IF(OR(M2369="",N2369=""),"",SUMIFS('Barang Keluar'!$E:$E,'Barang Keluar'!$A:$A,M2369,'Barang Keluar'!$C:$C,N2369))</f>
        <v>0</v>
      </c>
    </row>
    <row r="2370" spans="13:16">
      <c r="M2370" s="49">
        <f>IF($A$4+23&gt;$B$4,"",$A$4+23)</f>
        <v>46046</v>
      </c>
      <c r="N2370">
        <f>IF(M2370="","",'Master Barang'!A64)</f>
        <v>0</v>
      </c>
      <c r="O2370">
        <f>IF(N2370="","",'Master Barang'!B64)</f>
        <v>0</v>
      </c>
      <c r="P2370">
        <f>IF(OR(M2370="",N2370=""),"",SUMIFS('Barang Keluar'!$E:$E,'Barang Keluar'!$A:$A,M2370,'Barang Keluar'!$C:$C,N2370))</f>
        <v>0</v>
      </c>
    </row>
    <row r="2371" spans="13:16">
      <c r="M2371" s="49">
        <f>IF($A$4+23&gt;$B$4,"",$A$4+23)</f>
        <v>46046</v>
      </c>
      <c r="N2371">
        <f>IF(M2371="","",'Master Barang'!A65)</f>
        <v>0</v>
      </c>
      <c r="O2371">
        <f>IF(N2371="","",'Master Barang'!B65)</f>
        <v>0</v>
      </c>
      <c r="P2371">
        <f>IF(OR(M2371="",N2371=""),"",SUMIFS('Barang Keluar'!$E:$E,'Barang Keluar'!$A:$A,M2371,'Barang Keluar'!$C:$C,N2371))</f>
        <v>0</v>
      </c>
    </row>
    <row r="2372" spans="13:16">
      <c r="M2372" s="49">
        <f>IF($A$4+23&gt;$B$4,"",$A$4+23)</f>
        <v>46046</v>
      </c>
      <c r="N2372">
        <f>IF(M2372="","",'Master Barang'!A66)</f>
        <v>0</v>
      </c>
      <c r="O2372">
        <f>IF(N2372="","",'Master Barang'!B66)</f>
        <v>0</v>
      </c>
      <c r="P2372">
        <f>IF(OR(M2372="",N2372=""),"",SUMIFS('Barang Keluar'!$E:$E,'Barang Keluar'!$A:$A,M2372,'Barang Keluar'!$C:$C,N2372))</f>
        <v>0</v>
      </c>
    </row>
    <row r="2373" spans="13:16">
      <c r="M2373" s="49">
        <f>IF($A$4+23&gt;$B$4,"",$A$4+23)</f>
        <v>46046</v>
      </c>
      <c r="N2373">
        <f>IF(M2373="","",'Master Barang'!A67)</f>
        <v>0</v>
      </c>
      <c r="O2373">
        <f>IF(N2373="","",'Master Barang'!B67)</f>
        <v>0</v>
      </c>
      <c r="P2373">
        <f>IF(OR(M2373="",N2373=""),"",SUMIFS('Barang Keluar'!$E:$E,'Barang Keluar'!$A:$A,M2373,'Barang Keluar'!$C:$C,N2373))</f>
        <v>0</v>
      </c>
    </row>
    <row r="2374" spans="13:16">
      <c r="M2374" s="49">
        <f>IF($A$4+23&gt;$B$4,"",$A$4+23)</f>
        <v>46046</v>
      </c>
      <c r="N2374">
        <f>IF(M2374="","",'Master Barang'!A68)</f>
        <v>0</v>
      </c>
      <c r="O2374">
        <f>IF(N2374="","",'Master Barang'!B68)</f>
        <v>0</v>
      </c>
      <c r="P2374">
        <f>IF(OR(M2374="",N2374=""),"",SUMIFS('Barang Keluar'!$E:$E,'Barang Keluar'!$A:$A,M2374,'Barang Keluar'!$C:$C,N2374))</f>
        <v>0</v>
      </c>
    </row>
    <row r="2375" spans="13:16">
      <c r="M2375" s="49">
        <f>IF($A$4+23&gt;$B$4,"",$A$4+23)</f>
        <v>46046</v>
      </c>
      <c r="N2375">
        <f>IF(M2375="","",'Master Barang'!A69)</f>
        <v>0</v>
      </c>
      <c r="O2375">
        <f>IF(N2375="","",'Master Barang'!B69)</f>
        <v>0</v>
      </c>
      <c r="P2375">
        <f>IF(OR(M2375="",N2375=""),"",SUMIFS('Barang Keluar'!$E:$E,'Barang Keluar'!$A:$A,M2375,'Barang Keluar'!$C:$C,N2375))</f>
        <v>0</v>
      </c>
    </row>
    <row r="2376" spans="13:16">
      <c r="M2376" s="49">
        <f>IF($A$4+23&gt;$B$4,"",$A$4+23)</f>
        <v>46046</v>
      </c>
      <c r="N2376">
        <f>IF(M2376="","",'Master Barang'!A70)</f>
        <v>0</v>
      </c>
      <c r="O2376">
        <f>IF(N2376="","",'Master Barang'!B70)</f>
        <v>0</v>
      </c>
      <c r="P2376">
        <f>IF(OR(M2376="",N2376=""),"",SUMIFS('Barang Keluar'!$E:$E,'Barang Keluar'!$A:$A,M2376,'Barang Keluar'!$C:$C,N2376))</f>
        <v>0</v>
      </c>
    </row>
    <row r="2377" spans="13:16">
      <c r="M2377" s="49">
        <f>IF($A$4+23&gt;$B$4,"",$A$4+23)</f>
        <v>46046</v>
      </c>
      <c r="N2377">
        <f>IF(M2377="","",'Master Barang'!A71)</f>
        <v>0</v>
      </c>
      <c r="O2377">
        <f>IF(N2377="","",'Master Barang'!B71)</f>
        <v>0</v>
      </c>
      <c r="P2377">
        <f>IF(OR(M2377="",N2377=""),"",SUMIFS('Barang Keluar'!$E:$E,'Barang Keluar'!$A:$A,M2377,'Barang Keluar'!$C:$C,N2377))</f>
        <v>0</v>
      </c>
    </row>
    <row r="2378" spans="13:16">
      <c r="M2378" s="49">
        <f>IF($A$4+23&gt;$B$4,"",$A$4+23)</f>
        <v>46046</v>
      </c>
      <c r="N2378">
        <f>IF(M2378="","",'Master Barang'!A72)</f>
        <v>0</v>
      </c>
      <c r="O2378">
        <f>IF(N2378="","",'Master Barang'!B72)</f>
        <v>0</v>
      </c>
      <c r="P2378">
        <f>IF(OR(M2378="",N2378=""),"",SUMIFS('Barang Keluar'!$E:$E,'Barang Keluar'!$A:$A,M2378,'Barang Keluar'!$C:$C,N2378))</f>
        <v>0</v>
      </c>
    </row>
    <row r="2379" spans="13:16">
      <c r="M2379" s="49">
        <f>IF($A$4+23&gt;$B$4,"",$A$4+23)</f>
        <v>46046</v>
      </c>
      <c r="N2379">
        <f>IF(M2379="","",'Master Barang'!A73)</f>
        <v>0</v>
      </c>
      <c r="O2379">
        <f>IF(N2379="","",'Master Barang'!B73)</f>
        <v>0</v>
      </c>
      <c r="P2379">
        <f>IF(OR(M2379="",N2379=""),"",SUMIFS('Barang Keluar'!$E:$E,'Barang Keluar'!$A:$A,M2379,'Barang Keluar'!$C:$C,N2379))</f>
        <v>0</v>
      </c>
    </row>
    <row r="2380" spans="13:16">
      <c r="M2380" s="49">
        <f>IF($A$4+23&gt;$B$4,"",$A$4+23)</f>
        <v>46046</v>
      </c>
      <c r="N2380">
        <f>IF(M2380="","",'Master Barang'!A74)</f>
        <v>0</v>
      </c>
      <c r="O2380">
        <f>IF(N2380="","",'Master Barang'!B74)</f>
        <v>0</v>
      </c>
      <c r="P2380">
        <f>IF(OR(M2380="",N2380=""),"",SUMIFS('Barang Keluar'!$E:$E,'Barang Keluar'!$A:$A,M2380,'Barang Keluar'!$C:$C,N2380))</f>
        <v>0</v>
      </c>
    </row>
    <row r="2381" spans="13:16">
      <c r="M2381" s="49">
        <f>IF($A$4+23&gt;$B$4,"",$A$4+23)</f>
        <v>46046</v>
      </c>
      <c r="N2381">
        <f>IF(M2381="","",'Master Barang'!A75)</f>
        <v>0</v>
      </c>
      <c r="O2381">
        <f>IF(N2381="","",'Master Barang'!B75)</f>
        <v>0</v>
      </c>
      <c r="P2381">
        <f>IF(OR(M2381="",N2381=""),"",SUMIFS('Barang Keluar'!$E:$E,'Barang Keluar'!$A:$A,M2381,'Barang Keluar'!$C:$C,N2381))</f>
        <v>0</v>
      </c>
    </row>
    <row r="2382" spans="13:16">
      <c r="M2382" s="49">
        <f>IF($A$4+23&gt;$B$4,"",$A$4+23)</f>
        <v>46046</v>
      </c>
      <c r="N2382">
        <f>IF(M2382="","",'Master Barang'!A76)</f>
        <v>0</v>
      </c>
      <c r="O2382">
        <f>IF(N2382="","",'Master Barang'!B76)</f>
        <v>0</v>
      </c>
      <c r="P2382">
        <f>IF(OR(M2382="",N2382=""),"",SUMIFS('Barang Keluar'!$E:$E,'Barang Keluar'!$A:$A,M2382,'Barang Keluar'!$C:$C,N2382))</f>
        <v>0</v>
      </c>
    </row>
    <row r="2383" spans="13:16">
      <c r="M2383" s="49">
        <f>IF($A$4+23&gt;$B$4,"",$A$4+23)</f>
        <v>46046</v>
      </c>
      <c r="N2383">
        <f>IF(M2383="","",'Master Barang'!A77)</f>
        <v>0</v>
      </c>
      <c r="O2383">
        <f>IF(N2383="","",'Master Barang'!B77)</f>
        <v>0</v>
      </c>
      <c r="P2383">
        <f>IF(OR(M2383="",N2383=""),"",SUMIFS('Barang Keluar'!$E:$E,'Barang Keluar'!$A:$A,M2383,'Barang Keluar'!$C:$C,N2383))</f>
        <v>0</v>
      </c>
    </row>
    <row r="2384" spans="13:16">
      <c r="M2384" s="49">
        <f>IF($A$4+23&gt;$B$4,"",$A$4+23)</f>
        <v>46046</v>
      </c>
      <c r="N2384">
        <f>IF(M2384="","",'Master Barang'!A78)</f>
        <v>0</v>
      </c>
      <c r="O2384">
        <f>IF(N2384="","",'Master Barang'!B78)</f>
        <v>0</v>
      </c>
      <c r="P2384">
        <f>IF(OR(M2384="",N2384=""),"",SUMIFS('Barang Keluar'!$E:$E,'Barang Keluar'!$A:$A,M2384,'Barang Keluar'!$C:$C,N2384))</f>
        <v>0</v>
      </c>
    </row>
    <row r="2385" spans="13:16">
      <c r="M2385" s="49">
        <f>IF($A$4+23&gt;$B$4,"",$A$4+23)</f>
        <v>46046</v>
      </c>
      <c r="N2385">
        <f>IF(M2385="","",'Master Barang'!A79)</f>
        <v>0</v>
      </c>
      <c r="O2385">
        <f>IF(N2385="","",'Master Barang'!B79)</f>
        <v>0</v>
      </c>
      <c r="P2385">
        <f>IF(OR(M2385="",N2385=""),"",SUMIFS('Barang Keluar'!$E:$E,'Barang Keluar'!$A:$A,M2385,'Barang Keluar'!$C:$C,N2385))</f>
        <v>0</v>
      </c>
    </row>
    <row r="2386" spans="13:16">
      <c r="M2386" s="49">
        <f>IF($A$4+23&gt;$B$4,"",$A$4+23)</f>
        <v>46046</v>
      </c>
      <c r="N2386">
        <f>IF(M2386="","",'Master Barang'!A80)</f>
        <v>0</v>
      </c>
      <c r="O2386">
        <f>IF(N2386="","",'Master Barang'!B80)</f>
        <v>0</v>
      </c>
      <c r="P2386">
        <f>IF(OR(M2386="",N2386=""),"",SUMIFS('Barang Keluar'!$E:$E,'Barang Keluar'!$A:$A,M2386,'Barang Keluar'!$C:$C,N2386))</f>
        <v>0</v>
      </c>
    </row>
    <row r="2387" spans="13:16">
      <c r="M2387" s="49">
        <f>IF($A$4+23&gt;$B$4,"",$A$4+23)</f>
        <v>46046</v>
      </c>
      <c r="N2387">
        <f>IF(M2387="","",'Master Barang'!A81)</f>
        <v>0</v>
      </c>
      <c r="O2387">
        <f>IF(N2387="","",'Master Barang'!B81)</f>
        <v>0</v>
      </c>
      <c r="P2387">
        <f>IF(OR(M2387="",N2387=""),"",SUMIFS('Barang Keluar'!$E:$E,'Barang Keluar'!$A:$A,M2387,'Barang Keluar'!$C:$C,N2387))</f>
        <v>0</v>
      </c>
    </row>
    <row r="2388" spans="13:16">
      <c r="M2388" s="49">
        <f>IF($A$4+23&gt;$B$4,"",$A$4+23)</f>
        <v>46046</v>
      </c>
      <c r="N2388">
        <f>IF(M2388="","",'Master Barang'!A82)</f>
        <v>0</v>
      </c>
      <c r="O2388">
        <f>IF(N2388="","",'Master Barang'!B82)</f>
        <v>0</v>
      </c>
      <c r="P2388">
        <f>IF(OR(M2388="",N2388=""),"",SUMIFS('Barang Keluar'!$E:$E,'Barang Keluar'!$A:$A,M2388,'Barang Keluar'!$C:$C,N2388))</f>
        <v>0</v>
      </c>
    </row>
    <row r="2389" spans="13:16">
      <c r="M2389" s="49">
        <f>IF($A$4+23&gt;$B$4,"",$A$4+23)</f>
        <v>46046</v>
      </c>
      <c r="N2389">
        <f>IF(M2389="","",'Master Barang'!A83)</f>
        <v>0</v>
      </c>
      <c r="O2389">
        <f>IF(N2389="","",'Master Barang'!B83)</f>
        <v>0</v>
      </c>
      <c r="P2389">
        <f>IF(OR(M2389="",N2389=""),"",SUMIFS('Barang Keluar'!$E:$E,'Barang Keluar'!$A:$A,M2389,'Barang Keluar'!$C:$C,N2389))</f>
        <v>0</v>
      </c>
    </row>
    <row r="2390" spans="13:16">
      <c r="M2390" s="49">
        <f>IF($A$4+23&gt;$B$4,"",$A$4+23)</f>
        <v>46046</v>
      </c>
      <c r="N2390">
        <f>IF(M2390="","",'Master Barang'!A84)</f>
        <v>0</v>
      </c>
      <c r="O2390">
        <f>IF(N2390="","",'Master Barang'!B84)</f>
        <v>0</v>
      </c>
      <c r="P2390">
        <f>IF(OR(M2390="",N2390=""),"",SUMIFS('Barang Keluar'!$E:$E,'Barang Keluar'!$A:$A,M2390,'Barang Keluar'!$C:$C,N2390))</f>
        <v>0</v>
      </c>
    </row>
    <row r="2391" spans="13:16">
      <c r="M2391" s="49">
        <f>IF($A$4+23&gt;$B$4,"",$A$4+23)</f>
        <v>46046</v>
      </c>
      <c r="N2391">
        <f>IF(M2391="","",'Master Barang'!A85)</f>
        <v>0</v>
      </c>
      <c r="O2391">
        <f>IF(N2391="","",'Master Barang'!B85)</f>
        <v>0</v>
      </c>
      <c r="P2391">
        <f>IF(OR(M2391="",N2391=""),"",SUMIFS('Barang Keluar'!$E:$E,'Barang Keluar'!$A:$A,M2391,'Barang Keluar'!$C:$C,N2391))</f>
        <v>0</v>
      </c>
    </row>
    <row r="2392" spans="13:16">
      <c r="M2392" s="49">
        <f>IF($A$4+23&gt;$B$4,"",$A$4+23)</f>
        <v>46046</v>
      </c>
      <c r="N2392">
        <f>IF(M2392="","",'Master Barang'!A86)</f>
        <v>0</v>
      </c>
      <c r="O2392">
        <f>IF(N2392="","",'Master Barang'!B86)</f>
        <v>0</v>
      </c>
      <c r="P2392">
        <f>IF(OR(M2392="",N2392=""),"",SUMIFS('Barang Keluar'!$E:$E,'Barang Keluar'!$A:$A,M2392,'Barang Keluar'!$C:$C,N2392))</f>
        <v>0</v>
      </c>
    </row>
    <row r="2393" spans="13:16">
      <c r="M2393" s="49">
        <f>IF($A$4+23&gt;$B$4,"",$A$4+23)</f>
        <v>46046</v>
      </c>
      <c r="N2393">
        <f>IF(M2393="","",'Master Barang'!A87)</f>
        <v>0</v>
      </c>
      <c r="O2393">
        <f>IF(N2393="","",'Master Barang'!B87)</f>
        <v>0</v>
      </c>
      <c r="P2393">
        <f>IF(OR(M2393="",N2393=""),"",SUMIFS('Barang Keluar'!$E:$E,'Barang Keluar'!$A:$A,M2393,'Barang Keluar'!$C:$C,N2393))</f>
        <v>0</v>
      </c>
    </row>
    <row r="2394" spans="13:16">
      <c r="M2394" s="49">
        <f>IF($A$4+23&gt;$B$4,"",$A$4+23)</f>
        <v>46046</v>
      </c>
      <c r="N2394">
        <f>IF(M2394="","",'Master Barang'!A88)</f>
        <v>0</v>
      </c>
      <c r="O2394">
        <f>IF(N2394="","",'Master Barang'!B88)</f>
        <v>0</v>
      </c>
      <c r="P2394">
        <f>IF(OR(M2394="",N2394=""),"",SUMIFS('Barang Keluar'!$E:$E,'Barang Keluar'!$A:$A,M2394,'Barang Keluar'!$C:$C,N2394))</f>
        <v>0</v>
      </c>
    </row>
    <row r="2395" spans="13:16">
      <c r="M2395" s="49">
        <f>IF($A$4+23&gt;$B$4,"",$A$4+23)</f>
        <v>46046</v>
      </c>
      <c r="N2395">
        <f>IF(M2395="","",'Master Barang'!A89)</f>
        <v>0</v>
      </c>
      <c r="O2395">
        <f>IF(N2395="","",'Master Barang'!B89)</f>
        <v>0</v>
      </c>
      <c r="P2395">
        <f>IF(OR(M2395="",N2395=""),"",SUMIFS('Barang Keluar'!$E:$E,'Barang Keluar'!$A:$A,M2395,'Barang Keluar'!$C:$C,N2395))</f>
        <v>0</v>
      </c>
    </row>
    <row r="2396" spans="13:16">
      <c r="M2396" s="49">
        <f>IF($A$4+23&gt;$B$4,"",$A$4+23)</f>
        <v>46046</v>
      </c>
      <c r="N2396">
        <f>IF(M2396="","",'Master Barang'!A90)</f>
        <v>0</v>
      </c>
      <c r="O2396">
        <f>IF(N2396="","",'Master Barang'!B90)</f>
        <v>0</v>
      </c>
      <c r="P2396">
        <f>IF(OR(M2396="",N2396=""),"",SUMIFS('Barang Keluar'!$E:$E,'Barang Keluar'!$A:$A,M2396,'Barang Keluar'!$C:$C,N2396))</f>
        <v>0</v>
      </c>
    </row>
    <row r="2397" spans="13:16">
      <c r="M2397" s="49">
        <f>IF($A$4+23&gt;$B$4,"",$A$4+23)</f>
        <v>46046</v>
      </c>
      <c r="N2397">
        <f>IF(M2397="","",'Master Barang'!A91)</f>
        <v>0</v>
      </c>
      <c r="O2397">
        <f>IF(N2397="","",'Master Barang'!B91)</f>
        <v>0</v>
      </c>
      <c r="P2397">
        <f>IF(OR(M2397="",N2397=""),"",SUMIFS('Barang Keluar'!$E:$E,'Barang Keluar'!$A:$A,M2397,'Barang Keluar'!$C:$C,N2397))</f>
        <v>0</v>
      </c>
    </row>
    <row r="2398" spans="13:16">
      <c r="M2398" s="49">
        <f>IF($A$4+23&gt;$B$4,"",$A$4+23)</f>
        <v>46046</v>
      </c>
      <c r="N2398">
        <f>IF(M2398="","",'Master Barang'!A92)</f>
        <v>0</v>
      </c>
      <c r="O2398">
        <f>IF(N2398="","",'Master Barang'!B92)</f>
        <v>0</v>
      </c>
      <c r="P2398">
        <f>IF(OR(M2398="",N2398=""),"",SUMIFS('Barang Keluar'!$E:$E,'Barang Keluar'!$A:$A,M2398,'Barang Keluar'!$C:$C,N2398))</f>
        <v>0</v>
      </c>
    </row>
    <row r="2399" spans="13:16">
      <c r="M2399" s="49">
        <f>IF($A$4+23&gt;$B$4,"",$A$4+23)</f>
        <v>46046</v>
      </c>
      <c r="N2399">
        <f>IF(M2399="","",'Master Barang'!A93)</f>
        <v>0</v>
      </c>
      <c r="O2399">
        <f>IF(N2399="","",'Master Barang'!B93)</f>
        <v>0</v>
      </c>
      <c r="P2399">
        <f>IF(OR(M2399="",N2399=""),"",SUMIFS('Barang Keluar'!$E:$E,'Barang Keluar'!$A:$A,M2399,'Barang Keluar'!$C:$C,N2399))</f>
        <v>0</v>
      </c>
    </row>
    <row r="2400" spans="13:16">
      <c r="M2400" s="49">
        <f>IF($A$4+23&gt;$B$4,"",$A$4+23)</f>
        <v>46046</v>
      </c>
      <c r="N2400">
        <f>IF(M2400="","",'Master Barang'!A94)</f>
        <v>0</v>
      </c>
      <c r="O2400">
        <f>IF(N2400="","",'Master Barang'!B94)</f>
        <v>0</v>
      </c>
      <c r="P2400">
        <f>IF(OR(M2400="",N2400=""),"",SUMIFS('Barang Keluar'!$E:$E,'Barang Keluar'!$A:$A,M2400,'Barang Keluar'!$C:$C,N2400))</f>
        <v>0</v>
      </c>
    </row>
    <row r="2401" spans="13:16">
      <c r="M2401" s="49">
        <f>IF($A$4+23&gt;$B$4,"",$A$4+23)</f>
        <v>46046</v>
      </c>
      <c r="N2401">
        <f>IF(M2401="","",'Master Barang'!A95)</f>
        <v>0</v>
      </c>
      <c r="O2401">
        <f>IF(N2401="","",'Master Barang'!B95)</f>
        <v>0</v>
      </c>
      <c r="P2401">
        <f>IF(OR(M2401="",N2401=""),"",SUMIFS('Barang Keluar'!$E:$E,'Barang Keluar'!$A:$A,M2401,'Barang Keluar'!$C:$C,N2401))</f>
        <v>0</v>
      </c>
    </row>
    <row r="2402" spans="13:16">
      <c r="M2402" s="49">
        <f>IF($A$4+23&gt;$B$4,"",$A$4+23)</f>
        <v>46046</v>
      </c>
      <c r="N2402">
        <f>IF(M2402="","",'Master Barang'!A96)</f>
        <v>0</v>
      </c>
      <c r="O2402">
        <f>IF(N2402="","",'Master Barang'!B96)</f>
        <v>0</v>
      </c>
      <c r="P2402">
        <f>IF(OR(M2402="",N2402=""),"",SUMIFS('Barang Keluar'!$E:$E,'Barang Keluar'!$A:$A,M2402,'Barang Keluar'!$C:$C,N2402))</f>
        <v>0</v>
      </c>
    </row>
    <row r="2403" spans="13:16">
      <c r="M2403" s="49">
        <f>IF($A$4+23&gt;$B$4,"",$A$4+23)</f>
        <v>46046</v>
      </c>
      <c r="N2403">
        <f>IF(M2403="","",'Master Barang'!A97)</f>
        <v>0</v>
      </c>
      <c r="O2403">
        <f>IF(N2403="","",'Master Barang'!B97)</f>
        <v>0</v>
      </c>
      <c r="P2403">
        <f>IF(OR(M2403="",N2403=""),"",SUMIFS('Barang Keluar'!$E:$E,'Barang Keluar'!$A:$A,M2403,'Barang Keluar'!$C:$C,N2403))</f>
        <v>0</v>
      </c>
    </row>
    <row r="2404" spans="13:16">
      <c r="M2404" s="49">
        <f>IF($A$4+23&gt;$B$4,"",$A$4+23)</f>
        <v>46046</v>
      </c>
      <c r="N2404">
        <f>IF(M2404="","",'Master Barang'!A98)</f>
        <v>0</v>
      </c>
      <c r="O2404">
        <f>IF(N2404="","",'Master Barang'!B98)</f>
        <v>0</v>
      </c>
      <c r="P2404">
        <f>IF(OR(M2404="",N2404=""),"",SUMIFS('Barang Keluar'!$E:$E,'Barang Keluar'!$A:$A,M2404,'Barang Keluar'!$C:$C,N2404))</f>
        <v>0</v>
      </c>
    </row>
    <row r="2405" spans="13:16">
      <c r="M2405" s="49">
        <f>IF($A$4+23&gt;$B$4,"",$A$4+23)</f>
        <v>46046</v>
      </c>
      <c r="N2405">
        <f>IF(M2405="","",'Master Barang'!A99)</f>
        <v>0</v>
      </c>
      <c r="O2405">
        <f>IF(N2405="","",'Master Barang'!B99)</f>
        <v>0</v>
      </c>
      <c r="P2405">
        <f>IF(OR(M2405="",N2405=""),"",SUMIFS('Barang Keluar'!$E:$E,'Barang Keluar'!$A:$A,M2405,'Barang Keluar'!$C:$C,N2405))</f>
        <v>0</v>
      </c>
    </row>
    <row r="2406" spans="13:16">
      <c r="M2406" s="49">
        <f>IF($A$4+23&gt;$B$4,"",$A$4+23)</f>
        <v>46046</v>
      </c>
      <c r="N2406">
        <f>IF(M2406="","",'Master Barang'!A100)</f>
        <v>0</v>
      </c>
      <c r="O2406">
        <f>IF(N2406="","",'Master Barang'!B100)</f>
        <v>0</v>
      </c>
      <c r="P2406">
        <f>IF(OR(M2406="",N2406=""),"",SUMIFS('Barang Keluar'!$E:$E,'Barang Keluar'!$A:$A,M2406,'Barang Keluar'!$C:$C,N2406))</f>
        <v>0</v>
      </c>
    </row>
    <row r="2407" spans="13:16">
      <c r="M2407" s="49">
        <f>IF($A$4+23&gt;$B$4,"",$A$4+23)</f>
        <v>46046</v>
      </c>
      <c r="N2407">
        <f>IF(M2407="","",'Master Barang'!A101)</f>
        <v>0</v>
      </c>
      <c r="O2407">
        <f>IF(N2407="","",'Master Barang'!B101)</f>
        <v>0</v>
      </c>
      <c r="P2407">
        <f>IF(OR(M2407="",N2407=""),"",SUMIFS('Barang Keluar'!$E:$E,'Barang Keluar'!$A:$A,M2407,'Barang Keluar'!$C:$C,N2407))</f>
        <v>0</v>
      </c>
    </row>
    <row r="2408" spans="13:16">
      <c r="M2408" s="49">
        <f>IF($A$4+24&gt;$B$4,"",$A$4+24)</f>
        <v>46047</v>
      </c>
      <c r="N2408" t="str">
        <f>IF(M2408="","",'Master Barang'!A2)</f>
        <v>PRL-001</v>
      </c>
      <c r="O2408" t="str">
        <f>IF(N2408="","",'Master Barang'!B2)</f>
        <v>natura desinfectant food grade 5l</v>
      </c>
      <c r="P2408">
        <f>IF(OR(M2408="",N2408=""),"",SUMIFS('Barang Keluar'!$E:$E,'Barang Keluar'!$A:$A,M2408,'Barang Keluar'!$C:$C,N2408))</f>
        <v>0</v>
      </c>
    </row>
    <row r="2409" spans="13:16">
      <c r="M2409" s="49">
        <f>IF($A$4+24&gt;$B$4,"",$A$4+24)</f>
        <v>46047</v>
      </c>
      <c r="N2409" t="str">
        <f>IF(M2409="","",'Master Barang'!A3)</f>
        <v>PRL-002</v>
      </c>
      <c r="O2409" t="str">
        <f>IF(N2409="","",'Master Barang'!B3)</f>
        <v>sunlight cairan pencuci piring 5l</v>
      </c>
      <c r="P2409">
        <f>IF(OR(M2409="",N2409=""),"",SUMIFS('Barang Keluar'!$E:$E,'Barang Keluar'!$A:$A,M2409,'Barang Keluar'!$C:$C,N2409))</f>
        <v>0</v>
      </c>
    </row>
    <row r="2410" spans="13:16">
      <c r="M2410" s="49">
        <f>IF($A$4+24&gt;$B$4,"",$A$4+24)</f>
        <v>46047</v>
      </c>
      <c r="N2410" t="str">
        <f>IF(M2410="","",'Master Barang'!A4)</f>
        <v>PRL-003</v>
      </c>
      <c r="O2410" t="str">
        <f>IF(N2410="","",'Master Barang'!B4)</f>
        <v>oixs cleaner 1l</v>
      </c>
      <c r="P2410">
        <f>IF(OR(M2410="",N2410=""),"",SUMIFS('Barang Keluar'!$E:$E,'Barang Keluar'!$A:$A,M2410,'Barang Keluar'!$C:$C,N2410))</f>
        <v>0</v>
      </c>
    </row>
    <row r="2411" spans="13:16">
      <c r="M2411" s="49">
        <f>IF($A$4+24&gt;$B$4,"",$A$4+24)</f>
        <v>46047</v>
      </c>
      <c r="N2411" t="str">
        <f>IF(M2411="","",'Master Barang'!A5)</f>
        <v>PRL-004</v>
      </c>
      <c r="O2411" t="str">
        <f>IF(N2411="","",'Master Barang'!B5)</f>
        <v>be clean tissue serbaguna</v>
      </c>
      <c r="P2411">
        <f>IF(OR(M2411="",N2411=""),"",SUMIFS('Barang Keluar'!$E:$E,'Barang Keluar'!$A:$A,M2411,'Barang Keluar'!$C:$C,N2411))</f>
        <v>0</v>
      </c>
    </row>
    <row r="2412" spans="13:16">
      <c r="M2412" s="49">
        <f>IF($A$4+24&gt;$B$4,"",$A$4+24)</f>
        <v>46047</v>
      </c>
      <c r="N2412" t="str">
        <f>IF(M2412="","",'Master Barang'!A6)</f>
        <v>PRL-005</v>
      </c>
      <c r="O2412" t="str">
        <f>IF(N2412="","",'Master Barang'!B6)</f>
        <v>spons cuci hijau</v>
      </c>
      <c r="P2412">
        <f>IF(OR(M2412="",N2412=""),"",SUMIFS('Barang Keluar'!$E:$E,'Barang Keluar'!$A:$A,M2412,'Barang Keluar'!$C:$C,N2412))</f>
        <v>0</v>
      </c>
    </row>
    <row r="2413" spans="13:16">
      <c r="M2413" s="49">
        <f>IF($A$4+24&gt;$B$4,"",$A$4+24)</f>
        <v>46047</v>
      </c>
      <c r="N2413" t="str">
        <f>IF(M2413="","",'Master Barang'!A7)</f>
        <v>PRL-006</v>
      </c>
      <c r="O2413" t="str">
        <f>IF(N2413="","",'Master Barang'!B7)</f>
        <v>sabut cuci stainless</v>
      </c>
      <c r="P2413">
        <f>IF(OR(M2413="",N2413=""),"",SUMIFS('Barang Keluar'!$E:$E,'Barang Keluar'!$A:$A,M2413,'Barang Keluar'!$C:$C,N2413))</f>
        <v>0</v>
      </c>
    </row>
    <row r="2414" spans="13:16">
      <c r="M2414" s="49">
        <f>IF($A$4+24&gt;$B$4,"",$A$4+24)</f>
        <v>46047</v>
      </c>
      <c r="N2414" t="str">
        <f>IF(M2414="","",'Master Barang'!A8)</f>
        <v>PRL-007</v>
      </c>
      <c r="O2414" t="str">
        <f>IF(N2414="","",'Master Barang'!B8)</f>
        <v>plastik kresek besar merah 50pc</v>
      </c>
      <c r="P2414">
        <f>IF(OR(M2414="",N2414=""),"",SUMIFS('Barang Keluar'!$E:$E,'Barang Keluar'!$A:$A,M2414,'Barang Keluar'!$C:$C,N2414))</f>
        <v>0</v>
      </c>
    </row>
    <row r="2415" spans="13:16">
      <c r="M2415" s="49">
        <f>IF($A$4+24&gt;$B$4,"",$A$4+24)</f>
        <v>46047</v>
      </c>
      <c r="N2415" t="str">
        <f>IF(M2415="","",'Master Barang'!A9)</f>
        <v>PRL-008</v>
      </c>
      <c r="O2415" t="str">
        <f>IF(N2415="","",'Master Barang'!B9)</f>
        <v>lap besar</v>
      </c>
      <c r="P2415">
        <f>IF(OR(M2415="",N2415=""),"",SUMIFS('Barang Keluar'!$E:$E,'Barang Keluar'!$A:$A,M2415,'Barang Keluar'!$C:$C,N2415))</f>
        <v>0</v>
      </c>
    </row>
    <row r="2416" spans="13:16">
      <c r="M2416" s="49">
        <f>IF($A$4+24&gt;$B$4,"",$A$4+24)</f>
        <v>46047</v>
      </c>
      <c r="N2416" t="str">
        <f>IF(M2416="","",'Master Barang'!A10)</f>
        <v>PRL-009</v>
      </c>
      <c r="O2416" t="str">
        <f>IF(N2416="","",'Master Barang'!B10)</f>
        <v>lap microfiber</v>
      </c>
      <c r="P2416">
        <f>IF(OR(M2416="",N2416=""),"",SUMIFS('Barang Keluar'!$E:$E,'Barang Keluar'!$A:$A,M2416,'Barang Keluar'!$C:$C,N2416))</f>
        <v>0</v>
      </c>
    </row>
    <row r="2417" spans="13:16">
      <c r="M2417" s="49">
        <f>IF($A$4+24&gt;$B$4,"",$A$4+24)</f>
        <v>46047</v>
      </c>
      <c r="N2417" t="str">
        <f>IF(M2417="","",'Master Barang'!A11)</f>
        <v>PRL-010</v>
      </c>
      <c r="O2417" t="str">
        <f>IF(N2417="","",'Master Barang'!B11)</f>
        <v>lap kecil</v>
      </c>
      <c r="P2417">
        <f>IF(OR(M2417="",N2417=""),"",SUMIFS('Barang Keluar'!$E:$E,'Barang Keluar'!$A:$A,M2417,'Barang Keluar'!$C:$C,N2417))</f>
        <v>0</v>
      </c>
    </row>
    <row r="2418" spans="13:16">
      <c r="M2418" s="49">
        <f>IF($A$4+24&gt;$B$4,"",$A$4+24)</f>
        <v>46047</v>
      </c>
      <c r="N2418" t="str">
        <f>IF(M2418="","",'Master Barang'!A12)</f>
        <v>PRL-011</v>
      </c>
      <c r="O2418" t="str">
        <f>IF(N2418="","",'Master Barang'!B12)</f>
        <v>kanebo kecil</v>
      </c>
      <c r="P2418">
        <f>IF(OR(M2418="",N2418=""),"",SUMIFS('Barang Keluar'!$E:$E,'Barang Keluar'!$A:$A,M2418,'Barang Keluar'!$C:$C,N2418))</f>
        <v>0</v>
      </c>
    </row>
    <row r="2419" spans="13:16">
      <c r="M2419" s="49">
        <f>IF($A$4+24&gt;$B$4,"",$A$4+24)</f>
        <v>46047</v>
      </c>
      <c r="N2419" t="str">
        <f>IF(M2419="","",'Master Barang'!A13)</f>
        <v>PRL-012</v>
      </c>
      <c r="O2419" t="str">
        <f>IF(N2419="","",'Master Barang'!B13)</f>
        <v>plastik 1/4kg joyoboyo 100 lembar</v>
      </c>
      <c r="P2419">
        <f>IF(OR(M2419="",N2419=""),"",SUMIFS('Barang Keluar'!$E:$E,'Barang Keluar'!$A:$A,M2419,'Barang Keluar'!$C:$C,N2419))</f>
        <v>0</v>
      </c>
    </row>
    <row r="2420" spans="13:16">
      <c r="M2420" s="49">
        <f>IF($A$4+24&gt;$B$4,"",$A$4+24)</f>
        <v>46047</v>
      </c>
      <c r="N2420" t="str">
        <f>IF(M2420="","",'Master Barang'!A14)</f>
        <v>PRL-013</v>
      </c>
      <c r="O2420" t="str">
        <f>IF(N2420="","",'Master Barang'!B14)</f>
        <v>sarung tangan plastik kaka 100 pcs</v>
      </c>
      <c r="P2420">
        <f>IF(OR(M2420="",N2420=""),"",SUMIFS('Barang Keluar'!$E:$E,'Barang Keluar'!$A:$A,M2420,'Barang Keluar'!$C:$C,N2420))</f>
        <v>0</v>
      </c>
    </row>
    <row r="2421" spans="13:16">
      <c r="M2421" s="49">
        <f>IF($A$4+24&gt;$B$4,"",$A$4+24)</f>
        <v>46047</v>
      </c>
      <c r="N2421" t="str">
        <f>IF(M2421="","",'Master Barang'!A15)</f>
        <v>PRL-014</v>
      </c>
      <c r="O2421" t="str">
        <f>IF(N2421="","",'Master Barang'!B15)</f>
        <v>optima trashbag 80x100</v>
      </c>
      <c r="P2421">
        <f>IF(OR(M2421="",N2421=""),"",SUMIFS('Barang Keluar'!$E:$E,'Barang Keluar'!$A:$A,M2421,'Barang Keluar'!$C:$C,N2421))</f>
        <v>0</v>
      </c>
    </row>
    <row r="2422" spans="13:16">
      <c r="M2422" s="49">
        <f>IF($A$4+24&gt;$B$4,"",$A$4+24)</f>
        <v>46047</v>
      </c>
      <c r="N2422" t="str">
        <f>IF(M2422="","",'Master Barang'!A16)</f>
        <v>PRL-015</v>
      </c>
      <c r="O2422" t="str">
        <f>IF(N2422="","",'Master Barang'!B16)</f>
        <v>optima trashbag 60x100</v>
      </c>
      <c r="P2422">
        <f>IF(OR(M2422="",N2422=""),"",SUMIFS('Barang Keluar'!$E:$E,'Barang Keluar'!$A:$A,M2422,'Barang Keluar'!$C:$C,N2422))</f>
        <v>0</v>
      </c>
    </row>
    <row r="2423" spans="13:16">
      <c r="M2423" s="49">
        <f>IF($A$4+24&gt;$B$4,"",$A$4+24)</f>
        <v>46047</v>
      </c>
      <c r="N2423" t="str">
        <f>IF(M2423="","",'Master Barang'!A17)</f>
        <v>PRL-016</v>
      </c>
      <c r="O2423" t="str">
        <f>IF(N2423="","",'Master Barang'!B17)</f>
        <v>rajawali trashbag 30x40</v>
      </c>
      <c r="P2423">
        <f>IF(OR(M2423="",N2423=""),"",SUMIFS('Barang Keluar'!$E:$E,'Barang Keluar'!$A:$A,M2423,'Barang Keluar'!$C:$C,N2423))</f>
        <v>0</v>
      </c>
    </row>
    <row r="2424" spans="13:16">
      <c r="M2424" s="49">
        <f>IF($A$4+24&gt;$B$4,"",$A$4+24)</f>
        <v>46047</v>
      </c>
      <c r="N2424" t="str">
        <f>IF(M2424="","",'Master Barang'!A18)</f>
        <v>PRL-017</v>
      </c>
      <c r="O2424" t="str">
        <f>IF(N2424="","",'Master Barang'!B18)</f>
        <v>onemed masker biru 3 play 50 pcs</v>
      </c>
      <c r="P2424">
        <f>IF(OR(M2424="",N2424=""),"",SUMIFS('Barang Keluar'!$E:$E,'Barang Keluar'!$A:$A,M2424,'Barang Keluar'!$C:$C,N2424))</f>
        <v>0</v>
      </c>
    </row>
    <row r="2425" spans="13:16">
      <c r="M2425" s="49">
        <f>IF($A$4+24&gt;$B$4,"",$A$4+24)</f>
        <v>46047</v>
      </c>
      <c r="N2425" t="str">
        <f>IF(M2425="","",'Master Barang'!A19)</f>
        <v>PRL-018</v>
      </c>
      <c r="O2425" t="str">
        <f>IF(N2425="","",'Master Barang'!B19)</f>
        <v>onemed masker biru 3 play hijab 50 pcs</v>
      </c>
      <c r="P2425">
        <f>IF(OR(M2425="",N2425=""),"",SUMIFS('Barang Keluar'!$E:$E,'Barang Keluar'!$A:$A,M2425,'Barang Keluar'!$C:$C,N2425))</f>
        <v>0</v>
      </c>
    </row>
    <row r="2426" spans="13:16">
      <c r="M2426" s="49">
        <f>IF($A$4+24&gt;$B$4,"",$A$4+24)</f>
        <v>46047</v>
      </c>
      <c r="N2426" t="str">
        <f>IF(M2426="","",'Master Barang'!A20)</f>
        <v>PRL-019</v>
      </c>
      <c r="O2426" t="str">
        <f>IF(N2426="","",'Master Barang'!B20)</f>
        <v>neo health masker biru 3 play 50 pcs</v>
      </c>
      <c r="P2426">
        <f>IF(OR(M2426="",N2426=""),"",SUMIFS('Barang Keluar'!$E:$E,'Barang Keluar'!$A:$A,M2426,'Barang Keluar'!$C:$C,N2426))</f>
        <v>0</v>
      </c>
    </row>
    <row r="2427" spans="13:16">
      <c r="M2427" s="49">
        <f>IF($A$4+24&gt;$B$4,"",$A$4+24)</f>
        <v>46047</v>
      </c>
      <c r="N2427" t="str">
        <f>IF(M2427="","",'Master Barang'!A21)</f>
        <v>PRL-020</v>
      </c>
      <c r="O2427" t="str">
        <f>IF(N2427="","",'Master Barang'!B21)</f>
        <v>baymed masker hijau 3 play hijau 50 pcs</v>
      </c>
      <c r="P2427">
        <f>IF(OR(M2427="",N2427=""),"",SUMIFS('Barang Keluar'!$E:$E,'Barang Keluar'!$A:$A,M2427,'Barang Keluar'!$C:$C,N2427))</f>
        <v>0</v>
      </c>
    </row>
    <row r="2428" spans="13:16">
      <c r="M2428" s="49">
        <f>IF($A$4+24&gt;$B$4,"",$A$4+24)</f>
        <v>46047</v>
      </c>
      <c r="N2428" t="str">
        <f>IF(M2428="","",'Master Barang'!A22)</f>
        <v>PRL-021</v>
      </c>
      <c r="O2428" t="str">
        <f>IF(N2428="","",'Master Barang'!B22)</f>
        <v>altamed nurse cap penutup kepala 100 pcs</v>
      </c>
      <c r="P2428">
        <f>IF(OR(M2428="",N2428=""),"",SUMIFS('Barang Keluar'!$E:$E,'Barang Keluar'!$A:$A,M2428,'Barang Keluar'!$C:$C,N2428))</f>
        <v>0</v>
      </c>
    </row>
    <row r="2429" spans="13:16">
      <c r="M2429" s="49">
        <f>IF($A$4+24&gt;$B$4,"",$A$4+24)</f>
        <v>46047</v>
      </c>
      <c r="N2429" t="str">
        <f>IF(M2429="","",'Master Barang'!A23)</f>
        <v>PRL-022</v>
      </c>
      <c r="O2429" t="str">
        <f>IF(N2429="","",'Master Barang'!B23)</f>
        <v>sabun cuci tangan</v>
      </c>
      <c r="P2429">
        <f>IF(OR(M2429="",N2429=""),"",SUMIFS('Barang Keluar'!$E:$E,'Barang Keluar'!$A:$A,M2429,'Barang Keluar'!$C:$C,N2429))</f>
        <v>0</v>
      </c>
    </row>
    <row r="2430" spans="13:16">
      <c r="M2430" s="49">
        <f>IF($A$4+24&gt;$B$4,"",$A$4+24)</f>
        <v>46047</v>
      </c>
      <c r="N2430" t="str">
        <f>IF(M2430="","",'Master Barang'!A24)</f>
        <v>PRL-023</v>
      </c>
      <c r="O2430" t="str">
        <f>IF(N2430="","",'Master Barang'!B24)</f>
        <v>gayung kecil</v>
      </c>
      <c r="P2430">
        <f>IF(OR(M2430="",N2430=""),"",SUMIFS('Barang Keluar'!$E:$E,'Barang Keluar'!$A:$A,M2430,'Barang Keluar'!$C:$C,N2430))</f>
        <v>0</v>
      </c>
    </row>
    <row r="2431" spans="13:16">
      <c r="M2431" s="49">
        <f>IF($A$4+24&gt;$B$4,"",$A$4+24)</f>
        <v>46047</v>
      </c>
      <c r="N2431" t="str">
        <f>IF(M2431="","",'Master Barang'!A25)</f>
        <v>PRL-024</v>
      </c>
      <c r="O2431" t="str">
        <f>IF(N2431="","",'Master Barang'!B25)</f>
        <v>cikrak kecil</v>
      </c>
      <c r="P2431">
        <f>IF(OR(M2431="",N2431=""),"",SUMIFS('Barang Keluar'!$E:$E,'Barang Keluar'!$A:$A,M2431,'Barang Keluar'!$C:$C,N2431))</f>
        <v>0</v>
      </c>
    </row>
    <row r="2432" spans="13:16">
      <c r="M2432" s="49">
        <f>IF($A$4+24&gt;$B$4,"",$A$4+24)</f>
        <v>46047</v>
      </c>
      <c r="N2432" t="str">
        <f>IF(M2432="","",'Master Barang'!A26)</f>
        <v>PRL-025</v>
      </c>
      <c r="O2432" t="str">
        <f>IF(N2432="","",'Master Barang'!B26)</f>
        <v>petromax plastik kecil 12x24 100 lembar</v>
      </c>
      <c r="P2432">
        <f>IF(OR(M2432="",N2432=""),"",SUMIFS('Barang Keluar'!$E:$E,'Barang Keluar'!$A:$A,M2432,'Barang Keluar'!$C:$C,N2432))</f>
        <v>0</v>
      </c>
    </row>
    <row r="2433" spans="13:16">
      <c r="M2433" s="49">
        <f>IF($A$4+24&gt;$B$4,"",$A$4+24)</f>
        <v>46047</v>
      </c>
      <c r="N2433" t="str">
        <f>IF(M2433="","",'Master Barang'!A27)</f>
        <v>PRL-026</v>
      </c>
      <c r="O2433" t="str">
        <f>IF(N2433="","",'Master Barang'!B27)</f>
        <v>lancar kresek kecil bening </v>
      </c>
      <c r="P2433">
        <f>IF(OR(M2433="",N2433=""),"",SUMIFS('Barang Keluar'!$E:$E,'Barang Keluar'!$A:$A,M2433,'Barang Keluar'!$C:$C,N2433))</f>
        <v>0</v>
      </c>
    </row>
    <row r="2434" spans="13:16">
      <c r="M2434" s="49">
        <f>IF($A$4+24&gt;$B$4,"",$A$4+24)</f>
        <v>46047</v>
      </c>
      <c r="N2434" t="str">
        <f>IF(M2434="","",'Master Barang'!A28)</f>
        <v>PRL-027</v>
      </c>
      <c r="O2434" t="str">
        <f>IF(N2434="","",'Master Barang'!B28)</f>
        <v>kresek klin warna warni kecil</v>
      </c>
      <c r="P2434">
        <f>IF(OR(M2434="",N2434=""),"",SUMIFS('Barang Keluar'!$E:$E,'Barang Keluar'!$A:$A,M2434,'Barang Keluar'!$C:$C,N2434))</f>
        <v>0</v>
      </c>
    </row>
    <row r="2435" spans="13:16">
      <c r="M2435" s="49">
        <f>IF($A$4+24&gt;$B$4,"",$A$4+24)</f>
        <v>46047</v>
      </c>
      <c r="N2435" t="str">
        <f>IF(M2435="","",'Master Barang'!A29)</f>
        <v>PRL-028</v>
      </c>
      <c r="O2435" t="str">
        <f>IF(N2435="","",'Master Barang'!B29)</f>
        <v>ctik plastik 7x10 100 pcs</v>
      </c>
      <c r="P2435">
        <f>IF(OR(M2435="",N2435=""),"",SUMIFS('Barang Keluar'!$E:$E,'Barang Keluar'!$A:$A,M2435,'Barang Keluar'!$C:$C,N2435))</f>
        <v>0</v>
      </c>
    </row>
    <row r="2436" spans="13:16">
      <c r="M2436" s="49">
        <f>IF($A$4+24&gt;$B$4,"",$A$4+24)</f>
        <v>46047</v>
      </c>
      <c r="N2436" t="str">
        <f>IF(M2436="","",'Master Barang'!A30)</f>
        <v>PRL-029</v>
      </c>
      <c r="O2436" t="str">
        <f>IF(N2436="","",'Master Barang'!B30)</f>
        <v>ctik plastik 6x10 100 pcs</v>
      </c>
      <c r="P2436">
        <f>IF(OR(M2436="",N2436=""),"",SUMIFS('Barang Keluar'!$E:$E,'Barang Keluar'!$A:$A,M2436,'Barang Keluar'!$C:$C,N2436))</f>
        <v>0</v>
      </c>
    </row>
    <row r="2437" spans="13:16">
      <c r="M2437" s="49">
        <f>IF($A$4+24&gt;$B$4,"",$A$4+24)</f>
        <v>46047</v>
      </c>
      <c r="N2437" t="str">
        <f>IF(M2437="","",'Master Barang'!A31)</f>
        <v>PRL-030</v>
      </c>
      <c r="O2437" t="str">
        <f>IF(N2437="","",'Master Barang'!B31)</f>
        <v>klip plastik 25x16 100 pcs</v>
      </c>
      <c r="P2437">
        <f>IF(OR(M2437="",N2437=""),"",SUMIFS('Barang Keluar'!$E:$E,'Barang Keluar'!$A:$A,M2437,'Barang Keluar'!$C:$C,N2437))</f>
        <v>0</v>
      </c>
    </row>
    <row r="2438" spans="13:16">
      <c r="M2438" s="49">
        <f>IF($A$4+24&gt;$B$4,"",$A$4+24)</f>
        <v>46047</v>
      </c>
      <c r="N2438" t="str">
        <f>IF(M2438="","",'Master Barang'!A32)</f>
        <v>PRL-031</v>
      </c>
      <c r="O2438" t="str">
        <f>IF(N2438="","",'Master Barang'!B32)</f>
        <v>tempat saus 20 ml</v>
      </c>
      <c r="P2438">
        <f>IF(OR(M2438="",N2438=""),"",SUMIFS('Barang Keluar'!$E:$E,'Barang Keluar'!$A:$A,M2438,'Barang Keluar'!$C:$C,N2438))</f>
        <v>0</v>
      </c>
    </row>
    <row r="2439" spans="13:16">
      <c r="M2439" s="49">
        <f>IF($A$4+24&gt;$B$4,"",$A$4+24)</f>
        <v>46047</v>
      </c>
      <c r="N2439" t="str">
        <f>IF(M2439="","",'Master Barang'!A33)</f>
        <v>PRL-032</v>
      </c>
      <c r="O2439" t="str">
        <f>IF(N2439="","",'Master Barang'!B33)</f>
        <v>plastik packaging ag box uk sedang</v>
      </c>
      <c r="P2439">
        <f>IF(OR(M2439="",N2439=""),"",SUMIFS('Barang Keluar'!$E:$E,'Barang Keluar'!$A:$A,M2439,'Barang Keluar'!$C:$C,N2439))</f>
        <v>0</v>
      </c>
    </row>
    <row r="2440" spans="13:16">
      <c r="M2440" s="49">
        <f>IF($A$4+24&gt;$B$4,"",$A$4+24)</f>
        <v>46047</v>
      </c>
      <c r="N2440" t="str">
        <f>IF(M2440="","",'Master Barang'!A34)</f>
        <v>PRL-033</v>
      </c>
      <c r="O2440">
        <f>IF(N2440="","",'Master Barang'!B34)</f>
        <v>0</v>
      </c>
      <c r="P2440">
        <f>IF(OR(M2440="",N2440=""),"",SUMIFS('Barang Keluar'!$E:$E,'Barang Keluar'!$A:$A,M2440,'Barang Keluar'!$C:$C,N2440))</f>
        <v>0</v>
      </c>
    </row>
    <row r="2441" spans="13:16">
      <c r="M2441" s="49">
        <f>IF($A$4+24&gt;$B$4,"",$A$4+24)</f>
        <v>46047</v>
      </c>
      <c r="N2441">
        <f>IF(M2441="","",'Master Barang'!A35)</f>
        <v>0</v>
      </c>
      <c r="O2441">
        <f>IF(N2441="","",'Master Barang'!B35)</f>
        <v>0</v>
      </c>
      <c r="P2441">
        <f>IF(OR(M2441="",N2441=""),"",SUMIFS('Barang Keluar'!$E:$E,'Barang Keluar'!$A:$A,M2441,'Barang Keluar'!$C:$C,N2441))</f>
        <v>0</v>
      </c>
    </row>
    <row r="2442" spans="13:16">
      <c r="M2442" s="49">
        <f>IF($A$4+24&gt;$B$4,"",$A$4+24)</f>
        <v>46047</v>
      </c>
      <c r="N2442">
        <f>IF(M2442="","",'Master Barang'!A36)</f>
        <v>0</v>
      </c>
      <c r="O2442">
        <f>IF(N2442="","",'Master Barang'!B36)</f>
        <v>0</v>
      </c>
      <c r="P2442">
        <f>IF(OR(M2442="",N2442=""),"",SUMIFS('Barang Keluar'!$E:$E,'Barang Keluar'!$A:$A,M2442,'Barang Keluar'!$C:$C,N2442))</f>
        <v>0</v>
      </c>
    </row>
    <row r="2443" spans="13:16">
      <c r="M2443" s="49">
        <f>IF($A$4+24&gt;$B$4,"",$A$4+24)</f>
        <v>46047</v>
      </c>
      <c r="N2443">
        <f>IF(M2443="","",'Master Barang'!A37)</f>
        <v>0</v>
      </c>
      <c r="O2443">
        <f>IF(N2443="","",'Master Barang'!B37)</f>
        <v>0</v>
      </c>
      <c r="P2443">
        <f>IF(OR(M2443="",N2443=""),"",SUMIFS('Barang Keluar'!$E:$E,'Barang Keluar'!$A:$A,M2443,'Barang Keluar'!$C:$C,N2443))</f>
        <v>0</v>
      </c>
    </row>
    <row r="2444" spans="13:16">
      <c r="M2444" s="49">
        <f>IF($A$4+24&gt;$B$4,"",$A$4+24)</f>
        <v>46047</v>
      </c>
      <c r="N2444">
        <f>IF(M2444="","",'Master Barang'!A38)</f>
        <v>0</v>
      </c>
      <c r="O2444">
        <f>IF(N2444="","",'Master Barang'!B38)</f>
        <v>0</v>
      </c>
      <c r="P2444">
        <f>IF(OR(M2444="",N2444=""),"",SUMIFS('Barang Keluar'!$E:$E,'Barang Keluar'!$A:$A,M2444,'Barang Keluar'!$C:$C,N2444))</f>
        <v>0</v>
      </c>
    </row>
    <row r="2445" spans="13:16">
      <c r="M2445" s="49">
        <f>IF($A$4+24&gt;$B$4,"",$A$4+24)</f>
        <v>46047</v>
      </c>
      <c r="N2445">
        <f>IF(M2445="","",'Master Barang'!A39)</f>
        <v>0</v>
      </c>
      <c r="O2445">
        <f>IF(N2445="","",'Master Barang'!B39)</f>
        <v>0</v>
      </c>
      <c r="P2445">
        <f>IF(OR(M2445="",N2445=""),"",SUMIFS('Barang Keluar'!$E:$E,'Barang Keluar'!$A:$A,M2445,'Barang Keluar'!$C:$C,N2445))</f>
        <v>0</v>
      </c>
    </row>
    <row r="2446" spans="13:16">
      <c r="M2446" s="49">
        <f>IF($A$4+24&gt;$B$4,"",$A$4+24)</f>
        <v>46047</v>
      </c>
      <c r="N2446">
        <f>IF(M2446="","",'Master Barang'!A40)</f>
        <v>0</v>
      </c>
      <c r="O2446">
        <f>IF(N2446="","",'Master Barang'!B40)</f>
        <v>0</v>
      </c>
      <c r="P2446">
        <f>IF(OR(M2446="",N2446=""),"",SUMIFS('Barang Keluar'!$E:$E,'Barang Keluar'!$A:$A,M2446,'Barang Keluar'!$C:$C,N2446))</f>
        <v>0</v>
      </c>
    </row>
    <row r="2447" spans="13:16">
      <c r="M2447" s="49">
        <f>IF($A$4+24&gt;$B$4,"",$A$4+24)</f>
        <v>46047</v>
      </c>
      <c r="N2447">
        <f>IF(M2447="","",'Master Barang'!A41)</f>
        <v>0</v>
      </c>
      <c r="O2447">
        <f>IF(N2447="","",'Master Barang'!B41)</f>
        <v>0</v>
      </c>
      <c r="P2447">
        <f>IF(OR(M2447="",N2447=""),"",SUMIFS('Barang Keluar'!$E:$E,'Barang Keluar'!$A:$A,M2447,'Barang Keluar'!$C:$C,N2447))</f>
        <v>0</v>
      </c>
    </row>
    <row r="2448" spans="13:16">
      <c r="M2448" s="49">
        <f>IF($A$4+24&gt;$B$4,"",$A$4+24)</f>
        <v>46047</v>
      </c>
      <c r="N2448">
        <f>IF(M2448="","",'Master Barang'!A42)</f>
        <v>0</v>
      </c>
      <c r="O2448">
        <f>IF(N2448="","",'Master Barang'!B42)</f>
        <v>0</v>
      </c>
      <c r="P2448">
        <f>IF(OR(M2448="",N2448=""),"",SUMIFS('Barang Keluar'!$E:$E,'Barang Keluar'!$A:$A,M2448,'Barang Keluar'!$C:$C,N2448))</f>
        <v>0</v>
      </c>
    </row>
    <row r="2449" spans="13:16">
      <c r="M2449" s="49">
        <f>IF($A$4+24&gt;$B$4,"",$A$4+24)</f>
        <v>46047</v>
      </c>
      <c r="N2449">
        <f>IF(M2449="","",'Master Barang'!A43)</f>
        <v>0</v>
      </c>
      <c r="O2449">
        <f>IF(N2449="","",'Master Barang'!B43)</f>
        <v>0</v>
      </c>
      <c r="P2449">
        <f>IF(OR(M2449="",N2449=""),"",SUMIFS('Barang Keluar'!$E:$E,'Barang Keluar'!$A:$A,M2449,'Barang Keluar'!$C:$C,N2449))</f>
        <v>0</v>
      </c>
    </row>
    <row r="2450" spans="13:16">
      <c r="M2450" s="49">
        <f>IF($A$4+24&gt;$B$4,"",$A$4+24)</f>
        <v>46047</v>
      </c>
      <c r="N2450">
        <f>IF(M2450="","",'Master Barang'!A44)</f>
        <v>0</v>
      </c>
      <c r="O2450">
        <f>IF(N2450="","",'Master Barang'!B44)</f>
        <v>0</v>
      </c>
      <c r="P2450">
        <f>IF(OR(M2450="",N2450=""),"",SUMIFS('Barang Keluar'!$E:$E,'Barang Keluar'!$A:$A,M2450,'Barang Keluar'!$C:$C,N2450))</f>
        <v>0</v>
      </c>
    </row>
    <row r="2451" spans="13:16">
      <c r="M2451" s="49">
        <f>IF($A$4+24&gt;$B$4,"",$A$4+24)</f>
        <v>46047</v>
      </c>
      <c r="N2451">
        <f>IF(M2451="","",'Master Barang'!A45)</f>
        <v>0</v>
      </c>
      <c r="O2451">
        <f>IF(N2451="","",'Master Barang'!B45)</f>
        <v>0</v>
      </c>
      <c r="P2451">
        <f>IF(OR(M2451="",N2451=""),"",SUMIFS('Barang Keluar'!$E:$E,'Barang Keluar'!$A:$A,M2451,'Barang Keluar'!$C:$C,N2451))</f>
        <v>0</v>
      </c>
    </row>
    <row r="2452" spans="13:16">
      <c r="M2452" s="49">
        <f>IF($A$4+24&gt;$B$4,"",$A$4+24)</f>
        <v>46047</v>
      </c>
      <c r="N2452">
        <f>IF(M2452="","",'Master Barang'!A46)</f>
        <v>0</v>
      </c>
      <c r="O2452">
        <f>IF(N2452="","",'Master Barang'!B46)</f>
        <v>0</v>
      </c>
      <c r="P2452">
        <f>IF(OR(M2452="",N2452=""),"",SUMIFS('Barang Keluar'!$E:$E,'Barang Keluar'!$A:$A,M2452,'Barang Keluar'!$C:$C,N2452))</f>
        <v>0</v>
      </c>
    </row>
    <row r="2453" spans="13:16">
      <c r="M2453" s="49">
        <f>IF($A$4+24&gt;$B$4,"",$A$4+24)</f>
        <v>46047</v>
      </c>
      <c r="N2453">
        <f>IF(M2453="","",'Master Barang'!A47)</f>
        <v>0</v>
      </c>
      <c r="O2453">
        <f>IF(N2453="","",'Master Barang'!B47)</f>
        <v>0</v>
      </c>
      <c r="P2453">
        <f>IF(OR(M2453="",N2453=""),"",SUMIFS('Barang Keluar'!$E:$E,'Barang Keluar'!$A:$A,M2453,'Barang Keluar'!$C:$C,N2453))</f>
        <v>0</v>
      </c>
    </row>
    <row r="2454" spans="13:16">
      <c r="M2454" s="49">
        <f>IF($A$4+24&gt;$B$4,"",$A$4+24)</f>
        <v>46047</v>
      </c>
      <c r="N2454">
        <f>IF(M2454="","",'Master Barang'!A48)</f>
        <v>0</v>
      </c>
      <c r="O2454">
        <f>IF(N2454="","",'Master Barang'!B48)</f>
        <v>0</v>
      </c>
      <c r="P2454">
        <f>IF(OR(M2454="",N2454=""),"",SUMIFS('Barang Keluar'!$E:$E,'Barang Keluar'!$A:$A,M2454,'Barang Keluar'!$C:$C,N2454))</f>
        <v>0</v>
      </c>
    </row>
    <row r="2455" spans="13:16">
      <c r="M2455" s="49">
        <f>IF($A$4+24&gt;$B$4,"",$A$4+24)</f>
        <v>46047</v>
      </c>
      <c r="N2455">
        <f>IF(M2455="","",'Master Barang'!A49)</f>
        <v>0</v>
      </c>
      <c r="O2455">
        <f>IF(N2455="","",'Master Barang'!B49)</f>
        <v>0</v>
      </c>
      <c r="P2455">
        <f>IF(OR(M2455="",N2455=""),"",SUMIFS('Barang Keluar'!$E:$E,'Barang Keluar'!$A:$A,M2455,'Barang Keluar'!$C:$C,N2455))</f>
        <v>0</v>
      </c>
    </row>
    <row r="2456" spans="13:16">
      <c r="M2456" s="49">
        <f>IF($A$4+24&gt;$B$4,"",$A$4+24)</f>
        <v>46047</v>
      </c>
      <c r="N2456">
        <f>IF(M2456="","",'Master Barang'!A50)</f>
        <v>0</v>
      </c>
      <c r="O2456">
        <f>IF(N2456="","",'Master Barang'!B50)</f>
        <v>0</v>
      </c>
      <c r="P2456">
        <f>IF(OR(M2456="",N2456=""),"",SUMIFS('Barang Keluar'!$E:$E,'Barang Keluar'!$A:$A,M2456,'Barang Keluar'!$C:$C,N2456))</f>
        <v>0</v>
      </c>
    </row>
    <row r="2457" spans="13:16">
      <c r="M2457" s="49">
        <f>IF($A$4+24&gt;$B$4,"",$A$4+24)</f>
        <v>46047</v>
      </c>
      <c r="N2457">
        <f>IF(M2457="","",'Master Barang'!A51)</f>
        <v>0</v>
      </c>
      <c r="O2457">
        <f>IF(N2457="","",'Master Barang'!B51)</f>
        <v>0</v>
      </c>
      <c r="P2457">
        <f>IF(OR(M2457="",N2457=""),"",SUMIFS('Barang Keluar'!$E:$E,'Barang Keluar'!$A:$A,M2457,'Barang Keluar'!$C:$C,N2457))</f>
        <v>0</v>
      </c>
    </row>
    <row r="2458" spans="13:16">
      <c r="M2458" s="49">
        <f>IF($A$4+24&gt;$B$4,"",$A$4+24)</f>
        <v>46047</v>
      </c>
      <c r="N2458">
        <f>IF(M2458="","",'Master Barang'!A52)</f>
        <v>0</v>
      </c>
      <c r="O2458">
        <f>IF(N2458="","",'Master Barang'!B52)</f>
        <v>0</v>
      </c>
      <c r="P2458">
        <f>IF(OR(M2458="",N2458=""),"",SUMIFS('Barang Keluar'!$E:$E,'Barang Keluar'!$A:$A,M2458,'Barang Keluar'!$C:$C,N2458))</f>
        <v>0</v>
      </c>
    </row>
    <row r="2459" spans="13:16">
      <c r="M2459" s="49">
        <f>IF($A$4+24&gt;$B$4,"",$A$4+24)</f>
        <v>46047</v>
      </c>
      <c r="N2459">
        <f>IF(M2459="","",'Master Barang'!A53)</f>
        <v>0</v>
      </c>
      <c r="O2459">
        <f>IF(N2459="","",'Master Barang'!B53)</f>
        <v>0</v>
      </c>
      <c r="P2459">
        <f>IF(OR(M2459="",N2459=""),"",SUMIFS('Barang Keluar'!$E:$E,'Barang Keluar'!$A:$A,M2459,'Barang Keluar'!$C:$C,N2459))</f>
        <v>0</v>
      </c>
    </row>
    <row r="2460" spans="13:16">
      <c r="M2460" s="49">
        <f>IF($A$4+24&gt;$B$4,"",$A$4+24)</f>
        <v>46047</v>
      </c>
      <c r="N2460">
        <f>IF(M2460="","",'Master Barang'!A54)</f>
        <v>0</v>
      </c>
      <c r="O2460">
        <f>IF(N2460="","",'Master Barang'!B54)</f>
        <v>0</v>
      </c>
      <c r="P2460">
        <f>IF(OR(M2460="",N2460=""),"",SUMIFS('Barang Keluar'!$E:$E,'Barang Keluar'!$A:$A,M2460,'Barang Keluar'!$C:$C,N2460))</f>
        <v>0</v>
      </c>
    </row>
    <row r="2461" spans="13:16">
      <c r="M2461" s="49">
        <f>IF($A$4+24&gt;$B$4,"",$A$4+24)</f>
        <v>46047</v>
      </c>
      <c r="N2461">
        <f>IF(M2461="","",'Master Barang'!A55)</f>
        <v>0</v>
      </c>
      <c r="O2461">
        <f>IF(N2461="","",'Master Barang'!B55)</f>
        <v>0</v>
      </c>
      <c r="P2461">
        <f>IF(OR(M2461="",N2461=""),"",SUMIFS('Barang Keluar'!$E:$E,'Barang Keluar'!$A:$A,M2461,'Barang Keluar'!$C:$C,N2461))</f>
        <v>0</v>
      </c>
    </row>
    <row r="2462" spans="13:16">
      <c r="M2462" s="49">
        <f>IF($A$4+24&gt;$B$4,"",$A$4+24)</f>
        <v>46047</v>
      </c>
      <c r="N2462">
        <f>IF(M2462="","",'Master Barang'!A56)</f>
        <v>0</v>
      </c>
      <c r="O2462">
        <f>IF(N2462="","",'Master Barang'!B56)</f>
        <v>0</v>
      </c>
      <c r="P2462">
        <f>IF(OR(M2462="",N2462=""),"",SUMIFS('Barang Keluar'!$E:$E,'Barang Keluar'!$A:$A,M2462,'Barang Keluar'!$C:$C,N2462))</f>
        <v>0</v>
      </c>
    </row>
    <row r="2463" spans="13:16">
      <c r="M2463" s="49">
        <f>IF($A$4+24&gt;$B$4,"",$A$4+24)</f>
        <v>46047</v>
      </c>
      <c r="N2463">
        <f>IF(M2463="","",'Master Barang'!A57)</f>
        <v>0</v>
      </c>
      <c r="O2463">
        <f>IF(N2463="","",'Master Barang'!B57)</f>
        <v>0</v>
      </c>
      <c r="P2463">
        <f>IF(OR(M2463="",N2463=""),"",SUMIFS('Barang Keluar'!$E:$E,'Barang Keluar'!$A:$A,M2463,'Barang Keluar'!$C:$C,N2463))</f>
        <v>0</v>
      </c>
    </row>
    <row r="2464" spans="13:16">
      <c r="M2464" s="49">
        <f>IF($A$4+24&gt;$B$4,"",$A$4+24)</f>
        <v>46047</v>
      </c>
      <c r="N2464">
        <f>IF(M2464="","",'Master Barang'!A58)</f>
        <v>0</v>
      </c>
      <c r="O2464">
        <f>IF(N2464="","",'Master Barang'!B58)</f>
        <v>0</v>
      </c>
      <c r="P2464">
        <f>IF(OR(M2464="",N2464=""),"",SUMIFS('Barang Keluar'!$E:$E,'Barang Keluar'!$A:$A,M2464,'Barang Keluar'!$C:$C,N2464))</f>
        <v>0</v>
      </c>
    </row>
    <row r="2465" spans="13:16">
      <c r="M2465" s="49">
        <f>IF($A$4+24&gt;$B$4,"",$A$4+24)</f>
        <v>46047</v>
      </c>
      <c r="N2465">
        <f>IF(M2465="","",'Master Barang'!A59)</f>
        <v>0</v>
      </c>
      <c r="O2465">
        <f>IF(N2465="","",'Master Barang'!B59)</f>
        <v>0</v>
      </c>
      <c r="P2465">
        <f>IF(OR(M2465="",N2465=""),"",SUMIFS('Barang Keluar'!$E:$E,'Barang Keluar'!$A:$A,M2465,'Barang Keluar'!$C:$C,N2465))</f>
        <v>0</v>
      </c>
    </row>
    <row r="2466" spans="13:16">
      <c r="M2466" s="49">
        <f>IF($A$4+24&gt;$B$4,"",$A$4+24)</f>
        <v>46047</v>
      </c>
      <c r="N2466">
        <f>IF(M2466="","",'Master Barang'!A60)</f>
        <v>0</v>
      </c>
      <c r="O2466">
        <f>IF(N2466="","",'Master Barang'!B60)</f>
        <v>0</v>
      </c>
      <c r="P2466">
        <f>IF(OR(M2466="",N2466=""),"",SUMIFS('Barang Keluar'!$E:$E,'Barang Keluar'!$A:$A,M2466,'Barang Keluar'!$C:$C,N2466))</f>
        <v>0</v>
      </c>
    </row>
    <row r="2467" spans="13:16">
      <c r="M2467" s="49">
        <f>IF($A$4+24&gt;$B$4,"",$A$4+24)</f>
        <v>46047</v>
      </c>
      <c r="N2467">
        <f>IF(M2467="","",'Master Barang'!A61)</f>
        <v>0</v>
      </c>
      <c r="O2467">
        <f>IF(N2467="","",'Master Barang'!B61)</f>
        <v>0</v>
      </c>
      <c r="P2467">
        <f>IF(OR(M2467="",N2467=""),"",SUMIFS('Barang Keluar'!$E:$E,'Barang Keluar'!$A:$A,M2467,'Barang Keluar'!$C:$C,N2467))</f>
        <v>0</v>
      </c>
    </row>
    <row r="2468" spans="13:16">
      <c r="M2468" s="49">
        <f>IF($A$4+24&gt;$B$4,"",$A$4+24)</f>
        <v>46047</v>
      </c>
      <c r="N2468">
        <f>IF(M2468="","",'Master Barang'!A62)</f>
        <v>0</v>
      </c>
      <c r="O2468">
        <f>IF(N2468="","",'Master Barang'!B62)</f>
        <v>0</v>
      </c>
      <c r="P2468">
        <f>IF(OR(M2468="",N2468=""),"",SUMIFS('Barang Keluar'!$E:$E,'Barang Keluar'!$A:$A,M2468,'Barang Keluar'!$C:$C,N2468))</f>
        <v>0</v>
      </c>
    </row>
    <row r="2469" spans="13:16">
      <c r="M2469" s="49">
        <f>IF($A$4+24&gt;$B$4,"",$A$4+24)</f>
        <v>46047</v>
      </c>
      <c r="N2469">
        <f>IF(M2469="","",'Master Barang'!A63)</f>
        <v>0</v>
      </c>
      <c r="O2469">
        <f>IF(N2469="","",'Master Barang'!B63)</f>
        <v>0</v>
      </c>
      <c r="P2469">
        <f>IF(OR(M2469="",N2469=""),"",SUMIFS('Barang Keluar'!$E:$E,'Barang Keluar'!$A:$A,M2469,'Barang Keluar'!$C:$C,N2469))</f>
        <v>0</v>
      </c>
    </row>
    <row r="2470" spans="13:16">
      <c r="M2470" s="49">
        <f>IF($A$4+24&gt;$B$4,"",$A$4+24)</f>
        <v>46047</v>
      </c>
      <c r="N2470">
        <f>IF(M2470="","",'Master Barang'!A64)</f>
        <v>0</v>
      </c>
      <c r="O2470">
        <f>IF(N2470="","",'Master Barang'!B64)</f>
        <v>0</v>
      </c>
      <c r="P2470">
        <f>IF(OR(M2470="",N2470=""),"",SUMIFS('Barang Keluar'!$E:$E,'Barang Keluar'!$A:$A,M2470,'Barang Keluar'!$C:$C,N2470))</f>
        <v>0</v>
      </c>
    </row>
    <row r="2471" spans="13:16">
      <c r="M2471" s="49">
        <f>IF($A$4+24&gt;$B$4,"",$A$4+24)</f>
        <v>46047</v>
      </c>
      <c r="N2471">
        <f>IF(M2471="","",'Master Barang'!A65)</f>
        <v>0</v>
      </c>
      <c r="O2471">
        <f>IF(N2471="","",'Master Barang'!B65)</f>
        <v>0</v>
      </c>
      <c r="P2471">
        <f>IF(OR(M2471="",N2471=""),"",SUMIFS('Barang Keluar'!$E:$E,'Barang Keluar'!$A:$A,M2471,'Barang Keluar'!$C:$C,N2471))</f>
        <v>0</v>
      </c>
    </row>
    <row r="2472" spans="13:16">
      <c r="M2472" s="49">
        <f>IF($A$4+24&gt;$B$4,"",$A$4+24)</f>
        <v>46047</v>
      </c>
      <c r="N2472">
        <f>IF(M2472="","",'Master Barang'!A66)</f>
        <v>0</v>
      </c>
      <c r="O2472">
        <f>IF(N2472="","",'Master Barang'!B66)</f>
        <v>0</v>
      </c>
      <c r="P2472">
        <f>IF(OR(M2472="",N2472=""),"",SUMIFS('Barang Keluar'!$E:$E,'Barang Keluar'!$A:$A,M2472,'Barang Keluar'!$C:$C,N2472))</f>
        <v>0</v>
      </c>
    </row>
    <row r="2473" spans="13:16">
      <c r="M2473" s="49">
        <f>IF($A$4+24&gt;$B$4,"",$A$4+24)</f>
        <v>46047</v>
      </c>
      <c r="N2473">
        <f>IF(M2473="","",'Master Barang'!A67)</f>
        <v>0</v>
      </c>
      <c r="O2473">
        <f>IF(N2473="","",'Master Barang'!B67)</f>
        <v>0</v>
      </c>
      <c r="P2473">
        <f>IF(OR(M2473="",N2473=""),"",SUMIFS('Barang Keluar'!$E:$E,'Barang Keluar'!$A:$A,M2473,'Barang Keluar'!$C:$C,N2473))</f>
        <v>0</v>
      </c>
    </row>
    <row r="2474" spans="13:16">
      <c r="M2474" s="49">
        <f>IF($A$4+24&gt;$B$4,"",$A$4+24)</f>
        <v>46047</v>
      </c>
      <c r="N2474">
        <f>IF(M2474="","",'Master Barang'!A68)</f>
        <v>0</v>
      </c>
      <c r="O2474">
        <f>IF(N2474="","",'Master Barang'!B68)</f>
        <v>0</v>
      </c>
      <c r="P2474">
        <f>IF(OR(M2474="",N2474=""),"",SUMIFS('Barang Keluar'!$E:$E,'Barang Keluar'!$A:$A,M2474,'Barang Keluar'!$C:$C,N2474))</f>
        <v>0</v>
      </c>
    </row>
    <row r="2475" spans="13:16">
      <c r="M2475" s="49">
        <f>IF($A$4+24&gt;$B$4,"",$A$4+24)</f>
        <v>46047</v>
      </c>
      <c r="N2475">
        <f>IF(M2475="","",'Master Barang'!A69)</f>
        <v>0</v>
      </c>
      <c r="O2475">
        <f>IF(N2475="","",'Master Barang'!B69)</f>
        <v>0</v>
      </c>
      <c r="P2475">
        <f>IF(OR(M2475="",N2475=""),"",SUMIFS('Barang Keluar'!$E:$E,'Barang Keluar'!$A:$A,M2475,'Barang Keluar'!$C:$C,N2475))</f>
        <v>0</v>
      </c>
    </row>
    <row r="2476" spans="13:16">
      <c r="M2476" s="49">
        <f>IF($A$4+24&gt;$B$4,"",$A$4+24)</f>
        <v>46047</v>
      </c>
      <c r="N2476">
        <f>IF(M2476="","",'Master Barang'!A70)</f>
        <v>0</v>
      </c>
      <c r="O2476">
        <f>IF(N2476="","",'Master Barang'!B70)</f>
        <v>0</v>
      </c>
      <c r="P2476">
        <f>IF(OR(M2476="",N2476=""),"",SUMIFS('Barang Keluar'!$E:$E,'Barang Keluar'!$A:$A,M2476,'Barang Keluar'!$C:$C,N2476))</f>
        <v>0</v>
      </c>
    </row>
    <row r="2477" spans="13:16">
      <c r="M2477" s="49">
        <f>IF($A$4+24&gt;$B$4,"",$A$4+24)</f>
        <v>46047</v>
      </c>
      <c r="N2477">
        <f>IF(M2477="","",'Master Barang'!A71)</f>
        <v>0</v>
      </c>
      <c r="O2477">
        <f>IF(N2477="","",'Master Barang'!B71)</f>
        <v>0</v>
      </c>
      <c r="P2477">
        <f>IF(OR(M2477="",N2477=""),"",SUMIFS('Barang Keluar'!$E:$E,'Barang Keluar'!$A:$A,M2477,'Barang Keluar'!$C:$C,N2477))</f>
        <v>0</v>
      </c>
    </row>
    <row r="2478" spans="13:16">
      <c r="M2478" s="49">
        <f>IF($A$4+24&gt;$B$4,"",$A$4+24)</f>
        <v>46047</v>
      </c>
      <c r="N2478">
        <f>IF(M2478="","",'Master Barang'!A72)</f>
        <v>0</v>
      </c>
      <c r="O2478">
        <f>IF(N2478="","",'Master Barang'!B72)</f>
        <v>0</v>
      </c>
      <c r="P2478">
        <f>IF(OR(M2478="",N2478=""),"",SUMIFS('Barang Keluar'!$E:$E,'Barang Keluar'!$A:$A,M2478,'Barang Keluar'!$C:$C,N2478))</f>
        <v>0</v>
      </c>
    </row>
    <row r="2479" spans="13:16">
      <c r="M2479" s="49">
        <f>IF($A$4+24&gt;$B$4,"",$A$4+24)</f>
        <v>46047</v>
      </c>
      <c r="N2479">
        <f>IF(M2479="","",'Master Barang'!A73)</f>
        <v>0</v>
      </c>
      <c r="O2479">
        <f>IF(N2479="","",'Master Barang'!B73)</f>
        <v>0</v>
      </c>
      <c r="P2479">
        <f>IF(OR(M2479="",N2479=""),"",SUMIFS('Barang Keluar'!$E:$E,'Barang Keluar'!$A:$A,M2479,'Barang Keluar'!$C:$C,N2479))</f>
        <v>0</v>
      </c>
    </row>
    <row r="2480" spans="13:16">
      <c r="M2480" s="49">
        <f>IF($A$4+24&gt;$B$4,"",$A$4+24)</f>
        <v>46047</v>
      </c>
      <c r="N2480">
        <f>IF(M2480="","",'Master Barang'!A74)</f>
        <v>0</v>
      </c>
      <c r="O2480">
        <f>IF(N2480="","",'Master Barang'!B74)</f>
        <v>0</v>
      </c>
      <c r="P2480">
        <f>IF(OR(M2480="",N2480=""),"",SUMIFS('Barang Keluar'!$E:$E,'Barang Keluar'!$A:$A,M2480,'Barang Keluar'!$C:$C,N2480))</f>
        <v>0</v>
      </c>
    </row>
    <row r="2481" spans="13:16">
      <c r="M2481" s="49">
        <f>IF($A$4+24&gt;$B$4,"",$A$4+24)</f>
        <v>46047</v>
      </c>
      <c r="N2481">
        <f>IF(M2481="","",'Master Barang'!A75)</f>
        <v>0</v>
      </c>
      <c r="O2481">
        <f>IF(N2481="","",'Master Barang'!B75)</f>
        <v>0</v>
      </c>
      <c r="P2481">
        <f>IF(OR(M2481="",N2481=""),"",SUMIFS('Barang Keluar'!$E:$E,'Barang Keluar'!$A:$A,M2481,'Barang Keluar'!$C:$C,N2481))</f>
        <v>0</v>
      </c>
    </row>
    <row r="2482" spans="13:16">
      <c r="M2482" s="49">
        <f>IF($A$4+24&gt;$B$4,"",$A$4+24)</f>
        <v>46047</v>
      </c>
      <c r="N2482">
        <f>IF(M2482="","",'Master Barang'!A76)</f>
        <v>0</v>
      </c>
      <c r="O2482">
        <f>IF(N2482="","",'Master Barang'!B76)</f>
        <v>0</v>
      </c>
      <c r="P2482">
        <f>IF(OR(M2482="",N2482=""),"",SUMIFS('Barang Keluar'!$E:$E,'Barang Keluar'!$A:$A,M2482,'Barang Keluar'!$C:$C,N2482))</f>
        <v>0</v>
      </c>
    </row>
    <row r="2483" spans="13:16">
      <c r="M2483" s="49">
        <f>IF($A$4+24&gt;$B$4,"",$A$4+24)</f>
        <v>46047</v>
      </c>
      <c r="N2483">
        <f>IF(M2483="","",'Master Barang'!A77)</f>
        <v>0</v>
      </c>
      <c r="O2483">
        <f>IF(N2483="","",'Master Barang'!B77)</f>
        <v>0</v>
      </c>
      <c r="P2483">
        <f>IF(OR(M2483="",N2483=""),"",SUMIFS('Barang Keluar'!$E:$E,'Barang Keluar'!$A:$A,M2483,'Barang Keluar'!$C:$C,N2483))</f>
        <v>0</v>
      </c>
    </row>
    <row r="2484" spans="13:16">
      <c r="M2484" s="49">
        <f>IF($A$4+24&gt;$B$4,"",$A$4+24)</f>
        <v>46047</v>
      </c>
      <c r="N2484">
        <f>IF(M2484="","",'Master Barang'!A78)</f>
        <v>0</v>
      </c>
      <c r="O2484">
        <f>IF(N2484="","",'Master Barang'!B78)</f>
        <v>0</v>
      </c>
      <c r="P2484">
        <f>IF(OR(M2484="",N2484=""),"",SUMIFS('Barang Keluar'!$E:$E,'Barang Keluar'!$A:$A,M2484,'Barang Keluar'!$C:$C,N2484))</f>
        <v>0</v>
      </c>
    </row>
    <row r="2485" spans="13:16">
      <c r="M2485" s="49">
        <f>IF($A$4+24&gt;$B$4,"",$A$4+24)</f>
        <v>46047</v>
      </c>
      <c r="N2485">
        <f>IF(M2485="","",'Master Barang'!A79)</f>
        <v>0</v>
      </c>
      <c r="O2485">
        <f>IF(N2485="","",'Master Barang'!B79)</f>
        <v>0</v>
      </c>
      <c r="P2485">
        <f>IF(OR(M2485="",N2485=""),"",SUMIFS('Barang Keluar'!$E:$E,'Barang Keluar'!$A:$A,M2485,'Barang Keluar'!$C:$C,N2485))</f>
        <v>0</v>
      </c>
    </row>
    <row r="2486" spans="13:16">
      <c r="M2486" s="49">
        <f>IF($A$4+24&gt;$B$4,"",$A$4+24)</f>
        <v>46047</v>
      </c>
      <c r="N2486">
        <f>IF(M2486="","",'Master Barang'!A80)</f>
        <v>0</v>
      </c>
      <c r="O2486">
        <f>IF(N2486="","",'Master Barang'!B80)</f>
        <v>0</v>
      </c>
      <c r="P2486">
        <f>IF(OR(M2486="",N2486=""),"",SUMIFS('Barang Keluar'!$E:$E,'Barang Keluar'!$A:$A,M2486,'Barang Keluar'!$C:$C,N2486))</f>
        <v>0</v>
      </c>
    </row>
    <row r="2487" spans="13:16">
      <c r="M2487" s="49">
        <f>IF($A$4+24&gt;$B$4,"",$A$4+24)</f>
        <v>46047</v>
      </c>
      <c r="N2487">
        <f>IF(M2487="","",'Master Barang'!A81)</f>
        <v>0</v>
      </c>
      <c r="O2487">
        <f>IF(N2487="","",'Master Barang'!B81)</f>
        <v>0</v>
      </c>
      <c r="P2487">
        <f>IF(OR(M2487="",N2487=""),"",SUMIFS('Barang Keluar'!$E:$E,'Barang Keluar'!$A:$A,M2487,'Barang Keluar'!$C:$C,N2487))</f>
        <v>0</v>
      </c>
    </row>
    <row r="2488" spans="13:16">
      <c r="M2488" s="49">
        <f>IF($A$4+24&gt;$B$4,"",$A$4+24)</f>
        <v>46047</v>
      </c>
      <c r="N2488">
        <f>IF(M2488="","",'Master Barang'!A82)</f>
        <v>0</v>
      </c>
      <c r="O2488">
        <f>IF(N2488="","",'Master Barang'!B82)</f>
        <v>0</v>
      </c>
      <c r="P2488">
        <f>IF(OR(M2488="",N2488=""),"",SUMIFS('Barang Keluar'!$E:$E,'Barang Keluar'!$A:$A,M2488,'Barang Keluar'!$C:$C,N2488))</f>
        <v>0</v>
      </c>
    </row>
    <row r="2489" spans="13:16">
      <c r="M2489" s="49">
        <f>IF($A$4+24&gt;$B$4,"",$A$4+24)</f>
        <v>46047</v>
      </c>
      <c r="N2489">
        <f>IF(M2489="","",'Master Barang'!A83)</f>
        <v>0</v>
      </c>
      <c r="O2489">
        <f>IF(N2489="","",'Master Barang'!B83)</f>
        <v>0</v>
      </c>
      <c r="P2489">
        <f>IF(OR(M2489="",N2489=""),"",SUMIFS('Barang Keluar'!$E:$E,'Barang Keluar'!$A:$A,M2489,'Barang Keluar'!$C:$C,N2489))</f>
        <v>0</v>
      </c>
    </row>
    <row r="2490" spans="13:16">
      <c r="M2490" s="49">
        <f>IF($A$4+24&gt;$B$4,"",$A$4+24)</f>
        <v>46047</v>
      </c>
      <c r="N2490">
        <f>IF(M2490="","",'Master Barang'!A84)</f>
        <v>0</v>
      </c>
      <c r="O2490">
        <f>IF(N2490="","",'Master Barang'!B84)</f>
        <v>0</v>
      </c>
      <c r="P2490">
        <f>IF(OR(M2490="",N2490=""),"",SUMIFS('Barang Keluar'!$E:$E,'Barang Keluar'!$A:$A,M2490,'Barang Keluar'!$C:$C,N2490))</f>
        <v>0</v>
      </c>
    </row>
    <row r="2491" spans="13:16">
      <c r="M2491" s="49">
        <f>IF($A$4+24&gt;$B$4,"",$A$4+24)</f>
        <v>46047</v>
      </c>
      <c r="N2491">
        <f>IF(M2491="","",'Master Barang'!A85)</f>
        <v>0</v>
      </c>
      <c r="O2491">
        <f>IF(N2491="","",'Master Barang'!B85)</f>
        <v>0</v>
      </c>
      <c r="P2491">
        <f>IF(OR(M2491="",N2491=""),"",SUMIFS('Barang Keluar'!$E:$E,'Barang Keluar'!$A:$A,M2491,'Barang Keluar'!$C:$C,N2491))</f>
        <v>0</v>
      </c>
    </row>
    <row r="2492" spans="13:16">
      <c r="M2492" s="49">
        <f>IF($A$4+24&gt;$B$4,"",$A$4+24)</f>
        <v>46047</v>
      </c>
      <c r="N2492">
        <f>IF(M2492="","",'Master Barang'!A86)</f>
        <v>0</v>
      </c>
      <c r="O2492">
        <f>IF(N2492="","",'Master Barang'!B86)</f>
        <v>0</v>
      </c>
      <c r="P2492">
        <f>IF(OR(M2492="",N2492=""),"",SUMIFS('Barang Keluar'!$E:$E,'Barang Keluar'!$A:$A,M2492,'Barang Keluar'!$C:$C,N2492))</f>
        <v>0</v>
      </c>
    </row>
    <row r="2493" spans="13:16">
      <c r="M2493" s="49">
        <f>IF($A$4+24&gt;$B$4,"",$A$4+24)</f>
        <v>46047</v>
      </c>
      <c r="N2493">
        <f>IF(M2493="","",'Master Barang'!A87)</f>
        <v>0</v>
      </c>
      <c r="O2493">
        <f>IF(N2493="","",'Master Barang'!B87)</f>
        <v>0</v>
      </c>
      <c r="P2493">
        <f>IF(OR(M2493="",N2493=""),"",SUMIFS('Barang Keluar'!$E:$E,'Barang Keluar'!$A:$A,M2493,'Barang Keluar'!$C:$C,N2493))</f>
        <v>0</v>
      </c>
    </row>
    <row r="2494" spans="13:16">
      <c r="M2494" s="49">
        <f>IF($A$4+24&gt;$B$4,"",$A$4+24)</f>
        <v>46047</v>
      </c>
      <c r="N2494">
        <f>IF(M2494="","",'Master Barang'!A88)</f>
        <v>0</v>
      </c>
      <c r="O2494">
        <f>IF(N2494="","",'Master Barang'!B88)</f>
        <v>0</v>
      </c>
      <c r="P2494">
        <f>IF(OR(M2494="",N2494=""),"",SUMIFS('Barang Keluar'!$E:$E,'Barang Keluar'!$A:$A,M2494,'Barang Keluar'!$C:$C,N2494))</f>
        <v>0</v>
      </c>
    </row>
    <row r="2495" spans="13:16">
      <c r="M2495" s="49">
        <f>IF($A$4+24&gt;$B$4,"",$A$4+24)</f>
        <v>46047</v>
      </c>
      <c r="N2495">
        <f>IF(M2495="","",'Master Barang'!A89)</f>
        <v>0</v>
      </c>
      <c r="O2495">
        <f>IF(N2495="","",'Master Barang'!B89)</f>
        <v>0</v>
      </c>
      <c r="P2495">
        <f>IF(OR(M2495="",N2495=""),"",SUMIFS('Barang Keluar'!$E:$E,'Barang Keluar'!$A:$A,M2495,'Barang Keluar'!$C:$C,N2495))</f>
        <v>0</v>
      </c>
    </row>
    <row r="2496" spans="13:16">
      <c r="M2496" s="49">
        <f>IF($A$4+24&gt;$B$4,"",$A$4+24)</f>
        <v>46047</v>
      </c>
      <c r="N2496">
        <f>IF(M2496="","",'Master Barang'!A90)</f>
        <v>0</v>
      </c>
      <c r="O2496">
        <f>IF(N2496="","",'Master Barang'!B90)</f>
        <v>0</v>
      </c>
      <c r="P2496">
        <f>IF(OR(M2496="",N2496=""),"",SUMIFS('Barang Keluar'!$E:$E,'Barang Keluar'!$A:$A,M2496,'Barang Keluar'!$C:$C,N2496))</f>
        <v>0</v>
      </c>
    </row>
    <row r="2497" spans="13:16">
      <c r="M2497" s="49">
        <f>IF($A$4+24&gt;$B$4,"",$A$4+24)</f>
        <v>46047</v>
      </c>
      <c r="N2497">
        <f>IF(M2497="","",'Master Barang'!A91)</f>
        <v>0</v>
      </c>
      <c r="O2497">
        <f>IF(N2497="","",'Master Barang'!B91)</f>
        <v>0</v>
      </c>
      <c r="P2497">
        <f>IF(OR(M2497="",N2497=""),"",SUMIFS('Barang Keluar'!$E:$E,'Barang Keluar'!$A:$A,M2497,'Barang Keluar'!$C:$C,N2497))</f>
        <v>0</v>
      </c>
    </row>
    <row r="2498" spans="13:16">
      <c r="M2498" s="49">
        <f>IF($A$4+24&gt;$B$4,"",$A$4+24)</f>
        <v>46047</v>
      </c>
      <c r="N2498">
        <f>IF(M2498="","",'Master Barang'!A92)</f>
        <v>0</v>
      </c>
      <c r="O2498">
        <f>IF(N2498="","",'Master Barang'!B92)</f>
        <v>0</v>
      </c>
      <c r="P2498">
        <f>IF(OR(M2498="",N2498=""),"",SUMIFS('Barang Keluar'!$E:$E,'Barang Keluar'!$A:$A,M2498,'Barang Keluar'!$C:$C,N2498))</f>
        <v>0</v>
      </c>
    </row>
    <row r="2499" spans="13:16">
      <c r="M2499" s="49">
        <f>IF($A$4+24&gt;$B$4,"",$A$4+24)</f>
        <v>46047</v>
      </c>
      <c r="N2499">
        <f>IF(M2499="","",'Master Barang'!A93)</f>
        <v>0</v>
      </c>
      <c r="O2499">
        <f>IF(N2499="","",'Master Barang'!B93)</f>
        <v>0</v>
      </c>
      <c r="P2499">
        <f>IF(OR(M2499="",N2499=""),"",SUMIFS('Barang Keluar'!$E:$E,'Barang Keluar'!$A:$A,M2499,'Barang Keluar'!$C:$C,N2499))</f>
        <v>0</v>
      </c>
    </row>
    <row r="2500" spans="13:16">
      <c r="M2500" s="49">
        <f>IF($A$4+24&gt;$B$4,"",$A$4+24)</f>
        <v>46047</v>
      </c>
      <c r="N2500">
        <f>IF(M2500="","",'Master Barang'!A94)</f>
        <v>0</v>
      </c>
      <c r="O2500">
        <f>IF(N2500="","",'Master Barang'!B94)</f>
        <v>0</v>
      </c>
      <c r="P2500">
        <f>IF(OR(M2500="",N2500=""),"",SUMIFS('Barang Keluar'!$E:$E,'Barang Keluar'!$A:$A,M2500,'Barang Keluar'!$C:$C,N2500))</f>
        <v>0</v>
      </c>
    </row>
    <row r="2501" spans="13:16">
      <c r="M2501" s="49">
        <f>IF($A$4+24&gt;$B$4,"",$A$4+24)</f>
        <v>46047</v>
      </c>
      <c r="N2501">
        <f>IF(M2501="","",'Master Barang'!A95)</f>
        <v>0</v>
      </c>
      <c r="O2501">
        <f>IF(N2501="","",'Master Barang'!B95)</f>
        <v>0</v>
      </c>
      <c r="P2501">
        <f>IF(OR(M2501="",N2501=""),"",SUMIFS('Barang Keluar'!$E:$E,'Barang Keluar'!$A:$A,M2501,'Barang Keluar'!$C:$C,N2501))</f>
        <v>0</v>
      </c>
    </row>
    <row r="2502" spans="13:16">
      <c r="M2502" s="49">
        <f>IF($A$4+24&gt;$B$4,"",$A$4+24)</f>
        <v>46047</v>
      </c>
      <c r="N2502">
        <f>IF(M2502="","",'Master Barang'!A96)</f>
        <v>0</v>
      </c>
      <c r="O2502">
        <f>IF(N2502="","",'Master Barang'!B96)</f>
        <v>0</v>
      </c>
      <c r="P2502">
        <f>IF(OR(M2502="",N2502=""),"",SUMIFS('Barang Keluar'!$E:$E,'Barang Keluar'!$A:$A,M2502,'Barang Keluar'!$C:$C,N2502))</f>
        <v>0</v>
      </c>
    </row>
    <row r="2503" spans="13:16">
      <c r="M2503" s="49">
        <f>IF($A$4+24&gt;$B$4,"",$A$4+24)</f>
        <v>46047</v>
      </c>
      <c r="N2503">
        <f>IF(M2503="","",'Master Barang'!A97)</f>
        <v>0</v>
      </c>
      <c r="O2503">
        <f>IF(N2503="","",'Master Barang'!B97)</f>
        <v>0</v>
      </c>
      <c r="P2503">
        <f>IF(OR(M2503="",N2503=""),"",SUMIFS('Barang Keluar'!$E:$E,'Barang Keluar'!$A:$A,M2503,'Barang Keluar'!$C:$C,N2503))</f>
        <v>0</v>
      </c>
    </row>
    <row r="2504" spans="13:16">
      <c r="M2504" s="49">
        <f>IF($A$4+24&gt;$B$4,"",$A$4+24)</f>
        <v>46047</v>
      </c>
      <c r="N2504">
        <f>IF(M2504="","",'Master Barang'!A98)</f>
        <v>0</v>
      </c>
      <c r="O2504">
        <f>IF(N2504="","",'Master Barang'!B98)</f>
        <v>0</v>
      </c>
      <c r="P2504">
        <f>IF(OR(M2504="",N2504=""),"",SUMIFS('Barang Keluar'!$E:$E,'Barang Keluar'!$A:$A,M2504,'Barang Keluar'!$C:$C,N2504))</f>
        <v>0</v>
      </c>
    </row>
    <row r="2505" spans="13:16">
      <c r="M2505" s="49">
        <f>IF($A$4+24&gt;$B$4,"",$A$4+24)</f>
        <v>46047</v>
      </c>
      <c r="N2505">
        <f>IF(M2505="","",'Master Barang'!A99)</f>
        <v>0</v>
      </c>
      <c r="O2505">
        <f>IF(N2505="","",'Master Barang'!B99)</f>
        <v>0</v>
      </c>
      <c r="P2505">
        <f>IF(OR(M2505="",N2505=""),"",SUMIFS('Barang Keluar'!$E:$E,'Barang Keluar'!$A:$A,M2505,'Barang Keluar'!$C:$C,N2505))</f>
        <v>0</v>
      </c>
    </row>
    <row r="2506" spans="13:16">
      <c r="M2506" s="49">
        <f>IF($A$4+24&gt;$B$4,"",$A$4+24)</f>
        <v>46047</v>
      </c>
      <c r="N2506">
        <f>IF(M2506="","",'Master Barang'!A100)</f>
        <v>0</v>
      </c>
      <c r="O2506">
        <f>IF(N2506="","",'Master Barang'!B100)</f>
        <v>0</v>
      </c>
      <c r="P2506">
        <f>IF(OR(M2506="",N2506=""),"",SUMIFS('Barang Keluar'!$E:$E,'Barang Keluar'!$A:$A,M2506,'Barang Keluar'!$C:$C,N2506))</f>
        <v>0</v>
      </c>
    </row>
    <row r="2507" spans="13:16">
      <c r="M2507" s="49">
        <f>IF($A$4+24&gt;$B$4,"",$A$4+24)</f>
        <v>46047</v>
      </c>
      <c r="N2507">
        <f>IF(M2507="","",'Master Barang'!A101)</f>
        <v>0</v>
      </c>
      <c r="O2507">
        <f>IF(N2507="","",'Master Barang'!B101)</f>
        <v>0</v>
      </c>
      <c r="P2507">
        <f>IF(OR(M2507="",N2507=""),"",SUMIFS('Barang Keluar'!$E:$E,'Barang Keluar'!$A:$A,M2507,'Barang Keluar'!$C:$C,N2507))</f>
        <v>0</v>
      </c>
    </row>
    <row r="2508" spans="13:16">
      <c r="M2508" s="49">
        <f>IF($A$4+25&gt;$B$4,"",$A$4+25)</f>
        <v>46048</v>
      </c>
      <c r="N2508" t="str">
        <f>IF(M2508="","",'Master Barang'!A2)</f>
        <v>PRL-001</v>
      </c>
      <c r="O2508" t="str">
        <f>IF(N2508="","",'Master Barang'!B2)</f>
        <v>natura desinfectant food grade 5l</v>
      </c>
      <c r="P2508">
        <f>IF(OR(M2508="",N2508=""),"",SUMIFS('Barang Keluar'!$E:$E,'Barang Keluar'!$A:$A,M2508,'Barang Keluar'!$C:$C,N2508))</f>
        <v>0</v>
      </c>
    </row>
    <row r="2509" spans="13:16">
      <c r="M2509" s="49">
        <f>IF($A$4+25&gt;$B$4,"",$A$4+25)</f>
        <v>46048</v>
      </c>
      <c r="N2509" t="str">
        <f>IF(M2509="","",'Master Barang'!A3)</f>
        <v>PRL-002</v>
      </c>
      <c r="O2509" t="str">
        <f>IF(N2509="","",'Master Barang'!B3)</f>
        <v>sunlight cairan pencuci piring 5l</v>
      </c>
      <c r="P2509">
        <f>IF(OR(M2509="",N2509=""),"",SUMIFS('Barang Keluar'!$E:$E,'Barang Keluar'!$A:$A,M2509,'Barang Keluar'!$C:$C,N2509))</f>
        <v>0</v>
      </c>
    </row>
    <row r="2510" spans="13:16">
      <c r="M2510" s="49">
        <f>IF($A$4+25&gt;$B$4,"",$A$4+25)</f>
        <v>46048</v>
      </c>
      <c r="N2510" t="str">
        <f>IF(M2510="","",'Master Barang'!A4)</f>
        <v>PRL-003</v>
      </c>
      <c r="O2510" t="str">
        <f>IF(N2510="","",'Master Barang'!B4)</f>
        <v>oixs cleaner 1l</v>
      </c>
      <c r="P2510">
        <f>IF(OR(M2510="",N2510=""),"",SUMIFS('Barang Keluar'!$E:$E,'Barang Keluar'!$A:$A,M2510,'Barang Keluar'!$C:$C,N2510))</f>
        <v>0</v>
      </c>
    </row>
    <row r="2511" spans="13:16">
      <c r="M2511" s="49">
        <f>IF($A$4+25&gt;$B$4,"",$A$4+25)</f>
        <v>46048</v>
      </c>
      <c r="N2511" t="str">
        <f>IF(M2511="","",'Master Barang'!A5)</f>
        <v>PRL-004</v>
      </c>
      <c r="O2511" t="str">
        <f>IF(N2511="","",'Master Barang'!B5)</f>
        <v>be clean tissue serbaguna</v>
      </c>
      <c r="P2511">
        <f>IF(OR(M2511="",N2511=""),"",SUMIFS('Barang Keluar'!$E:$E,'Barang Keluar'!$A:$A,M2511,'Barang Keluar'!$C:$C,N2511))</f>
        <v>0</v>
      </c>
    </row>
    <row r="2512" spans="13:16">
      <c r="M2512" s="49">
        <f>IF($A$4+25&gt;$B$4,"",$A$4+25)</f>
        <v>46048</v>
      </c>
      <c r="N2512" t="str">
        <f>IF(M2512="","",'Master Barang'!A6)</f>
        <v>PRL-005</v>
      </c>
      <c r="O2512" t="str">
        <f>IF(N2512="","",'Master Barang'!B6)</f>
        <v>spons cuci hijau</v>
      </c>
      <c r="P2512">
        <f>IF(OR(M2512="",N2512=""),"",SUMIFS('Barang Keluar'!$E:$E,'Barang Keluar'!$A:$A,M2512,'Barang Keluar'!$C:$C,N2512))</f>
        <v>0</v>
      </c>
    </row>
    <row r="2513" spans="13:16">
      <c r="M2513" s="49">
        <f>IF($A$4+25&gt;$B$4,"",$A$4+25)</f>
        <v>46048</v>
      </c>
      <c r="N2513" t="str">
        <f>IF(M2513="","",'Master Barang'!A7)</f>
        <v>PRL-006</v>
      </c>
      <c r="O2513" t="str">
        <f>IF(N2513="","",'Master Barang'!B7)</f>
        <v>sabut cuci stainless</v>
      </c>
      <c r="P2513">
        <f>IF(OR(M2513="",N2513=""),"",SUMIFS('Barang Keluar'!$E:$E,'Barang Keluar'!$A:$A,M2513,'Barang Keluar'!$C:$C,N2513))</f>
        <v>0</v>
      </c>
    </row>
    <row r="2514" spans="13:16">
      <c r="M2514" s="49">
        <f>IF($A$4+25&gt;$B$4,"",$A$4+25)</f>
        <v>46048</v>
      </c>
      <c r="N2514" t="str">
        <f>IF(M2514="","",'Master Barang'!A8)</f>
        <v>PRL-007</v>
      </c>
      <c r="O2514" t="str">
        <f>IF(N2514="","",'Master Barang'!B8)</f>
        <v>plastik kresek besar merah 50pc</v>
      </c>
      <c r="P2514">
        <f>IF(OR(M2514="",N2514=""),"",SUMIFS('Barang Keluar'!$E:$E,'Barang Keluar'!$A:$A,M2514,'Barang Keluar'!$C:$C,N2514))</f>
        <v>0</v>
      </c>
    </row>
    <row r="2515" spans="13:16">
      <c r="M2515" s="49">
        <f>IF($A$4+25&gt;$B$4,"",$A$4+25)</f>
        <v>46048</v>
      </c>
      <c r="N2515" t="str">
        <f>IF(M2515="","",'Master Barang'!A9)</f>
        <v>PRL-008</v>
      </c>
      <c r="O2515" t="str">
        <f>IF(N2515="","",'Master Barang'!B9)</f>
        <v>lap besar</v>
      </c>
      <c r="P2515">
        <f>IF(OR(M2515="",N2515=""),"",SUMIFS('Barang Keluar'!$E:$E,'Barang Keluar'!$A:$A,M2515,'Barang Keluar'!$C:$C,N2515))</f>
        <v>0</v>
      </c>
    </row>
    <row r="2516" spans="13:16">
      <c r="M2516" s="49">
        <f>IF($A$4+25&gt;$B$4,"",$A$4+25)</f>
        <v>46048</v>
      </c>
      <c r="N2516" t="str">
        <f>IF(M2516="","",'Master Barang'!A10)</f>
        <v>PRL-009</v>
      </c>
      <c r="O2516" t="str">
        <f>IF(N2516="","",'Master Barang'!B10)</f>
        <v>lap microfiber</v>
      </c>
      <c r="P2516">
        <f>IF(OR(M2516="",N2516=""),"",SUMIFS('Barang Keluar'!$E:$E,'Barang Keluar'!$A:$A,M2516,'Barang Keluar'!$C:$C,N2516))</f>
        <v>0</v>
      </c>
    </row>
    <row r="2517" spans="13:16">
      <c r="M2517" s="49">
        <f>IF($A$4+25&gt;$B$4,"",$A$4+25)</f>
        <v>46048</v>
      </c>
      <c r="N2517" t="str">
        <f>IF(M2517="","",'Master Barang'!A11)</f>
        <v>PRL-010</v>
      </c>
      <c r="O2517" t="str">
        <f>IF(N2517="","",'Master Barang'!B11)</f>
        <v>lap kecil</v>
      </c>
      <c r="P2517">
        <f>IF(OR(M2517="",N2517=""),"",SUMIFS('Barang Keluar'!$E:$E,'Barang Keluar'!$A:$A,M2517,'Barang Keluar'!$C:$C,N2517))</f>
        <v>0</v>
      </c>
    </row>
    <row r="2518" spans="13:16">
      <c r="M2518" s="49">
        <f>IF($A$4+25&gt;$B$4,"",$A$4+25)</f>
        <v>46048</v>
      </c>
      <c r="N2518" t="str">
        <f>IF(M2518="","",'Master Barang'!A12)</f>
        <v>PRL-011</v>
      </c>
      <c r="O2518" t="str">
        <f>IF(N2518="","",'Master Barang'!B12)</f>
        <v>kanebo kecil</v>
      </c>
      <c r="P2518">
        <f>IF(OR(M2518="",N2518=""),"",SUMIFS('Barang Keluar'!$E:$E,'Barang Keluar'!$A:$A,M2518,'Barang Keluar'!$C:$C,N2518))</f>
        <v>0</v>
      </c>
    </row>
    <row r="2519" spans="13:16">
      <c r="M2519" s="49">
        <f>IF($A$4+25&gt;$B$4,"",$A$4+25)</f>
        <v>46048</v>
      </c>
      <c r="N2519" t="str">
        <f>IF(M2519="","",'Master Barang'!A13)</f>
        <v>PRL-012</v>
      </c>
      <c r="O2519" t="str">
        <f>IF(N2519="","",'Master Barang'!B13)</f>
        <v>plastik 1/4kg joyoboyo 100 lembar</v>
      </c>
      <c r="P2519">
        <f>IF(OR(M2519="",N2519=""),"",SUMIFS('Barang Keluar'!$E:$E,'Barang Keluar'!$A:$A,M2519,'Barang Keluar'!$C:$C,N2519))</f>
        <v>0</v>
      </c>
    </row>
    <row r="2520" spans="13:16">
      <c r="M2520" s="49">
        <f>IF($A$4+25&gt;$B$4,"",$A$4+25)</f>
        <v>46048</v>
      </c>
      <c r="N2520" t="str">
        <f>IF(M2520="","",'Master Barang'!A14)</f>
        <v>PRL-013</v>
      </c>
      <c r="O2520" t="str">
        <f>IF(N2520="","",'Master Barang'!B14)</f>
        <v>sarung tangan plastik kaka 100 pcs</v>
      </c>
      <c r="P2520">
        <f>IF(OR(M2520="",N2520=""),"",SUMIFS('Barang Keluar'!$E:$E,'Barang Keluar'!$A:$A,M2520,'Barang Keluar'!$C:$C,N2520))</f>
        <v>0</v>
      </c>
    </row>
    <row r="2521" spans="13:16">
      <c r="M2521" s="49">
        <f>IF($A$4+25&gt;$B$4,"",$A$4+25)</f>
        <v>46048</v>
      </c>
      <c r="N2521" t="str">
        <f>IF(M2521="","",'Master Barang'!A15)</f>
        <v>PRL-014</v>
      </c>
      <c r="O2521" t="str">
        <f>IF(N2521="","",'Master Barang'!B15)</f>
        <v>optima trashbag 80x100</v>
      </c>
      <c r="P2521">
        <f>IF(OR(M2521="",N2521=""),"",SUMIFS('Barang Keluar'!$E:$E,'Barang Keluar'!$A:$A,M2521,'Barang Keluar'!$C:$C,N2521))</f>
        <v>0</v>
      </c>
    </row>
    <row r="2522" spans="13:16">
      <c r="M2522" s="49">
        <f>IF($A$4+25&gt;$B$4,"",$A$4+25)</f>
        <v>46048</v>
      </c>
      <c r="N2522" t="str">
        <f>IF(M2522="","",'Master Barang'!A16)</f>
        <v>PRL-015</v>
      </c>
      <c r="O2522" t="str">
        <f>IF(N2522="","",'Master Barang'!B16)</f>
        <v>optima trashbag 60x100</v>
      </c>
      <c r="P2522">
        <f>IF(OR(M2522="",N2522=""),"",SUMIFS('Barang Keluar'!$E:$E,'Barang Keluar'!$A:$A,M2522,'Barang Keluar'!$C:$C,N2522))</f>
        <v>0</v>
      </c>
    </row>
    <row r="2523" spans="13:16">
      <c r="M2523" s="49">
        <f>IF($A$4+25&gt;$B$4,"",$A$4+25)</f>
        <v>46048</v>
      </c>
      <c r="N2523" t="str">
        <f>IF(M2523="","",'Master Barang'!A17)</f>
        <v>PRL-016</v>
      </c>
      <c r="O2523" t="str">
        <f>IF(N2523="","",'Master Barang'!B17)</f>
        <v>rajawali trashbag 30x40</v>
      </c>
      <c r="P2523">
        <f>IF(OR(M2523="",N2523=""),"",SUMIFS('Barang Keluar'!$E:$E,'Barang Keluar'!$A:$A,M2523,'Barang Keluar'!$C:$C,N2523))</f>
        <v>0</v>
      </c>
    </row>
    <row r="2524" spans="13:16">
      <c r="M2524" s="49">
        <f>IF($A$4+25&gt;$B$4,"",$A$4+25)</f>
        <v>46048</v>
      </c>
      <c r="N2524" t="str">
        <f>IF(M2524="","",'Master Barang'!A18)</f>
        <v>PRL-017</v>
      </c>
      <c r="O2524" t="str">
        <f>IF(N2524="","",'Master Barang'!B18)</f>
        <v>onemed masker biru 3 play 50 pcs</v>
      </c>
      <c r="P2524">
        <f>IF(OR(M2524="",N2524=""),"",SUMIFS('Barang Keluar'!$E:$E,'Barang Keluar'!$A:$A,M2524,'Barang Keluar'!$C:$C,N2524))</f>
        <v>0</v>
      </c>
    </row>
    <row r="2525" spans="13:16">
      <c r="M2525" s="49">
        <f>IF($A$4+25&gt;$B$4,"",$A$4+25)</f>
        <v>46048</v>
      </c>
      <c r="N2525" t="str">
        <f>IF(M2525="","",'Master Barang'!A19)</f>
        <v>PRL-018</v>
      </c>
      <c r="O2525" t="str">
        <f>IF(N2525="","",'Master Barang'!B19)</f>
        <v>onemed masker biru 3 play hijab 50 pcs</v>
      </c>
      <c r="P2525">
        <f>IF(OR(M2525="",N2525=""),"",SUMIFS('Barang Keluar'!$E:$E,'Barang Keluar'!$A:$A,M2525,'Barang Keluar'!$C:$C,N2525))</f>
        <v>0</v>
      </c>
    </row>
    <row r="2526" spans="13:16">
      <c r="M2526" s="49">
        <f>IF($A$4+25&gt;$B$4,"",$A$4+25)</f>
        <v>46048</v>
      </c>
      <c r="N2526" t="str">
        <f>IF(M2526="","",'Master Barang'!A20)</f>
        <v>PRL-019</v>
      </c>
      <c r="O2526" t="str">
        <f>IF(N2526="","",'Master Barang'!B20)</f>
        <v>neo health masker biru 3 play 50 pcs</v>
      </c>
      <c r="P2526">
        <f>IF(OR(M2526="",N2526=""),"",SUMIFS('Barang Keluar'!$E:$E,'Barang Keluar'!$A:$A,M2526,'Barang Keluar'!$C:$C,N2526))</f>
        <v>0</v>
      </c>
    </row>
    <row r="2527" spans="13:16">
      <c r="M2527" s="49">
        <f>IF($A$4+25&gt;$B$4,"",$A$4+25)</f>
        <v>46048</v>
      </c>
      <c r="N2527" t="str">
        <f>IF(M2527="","",'Master Barang'!A21)</f>
        <v>PRL-020</v>
      </c>
      <c r="O2527" t="str">
        <f>IF(N2527="","",'Master Barang'!B21)</f>
        <v>baymed masker hijau 3 play hijau 50 pcs</v>
      </c>
      <c r="P2527">
        <f>IF(OR(M2527="",N2527=""),"",SUMIFS('Barang Keluar'!$E:$E,'Barang Keluar'!$A:$A,M2527,'Barang Keluar'!$C:$C,N2527))</f>
        <v>0</v>
      </c>
    </row>
    <row r="2528" spans="13:16">
      <c r="M2528" s="49">
        <f>IF($A$4+25&gt;$B$4,"",$A$4+25)</f>
        <v>46048</v>
      </c>
      <c r="N2528" t="str">
        <f>IF(M2528="","",'Master Barang'!A22)</f>
        <v>PRL-021</v>
      </c>
      <c r="O2528" t="str">
        <f>IF(N2528="","",'Master Barang'!B22)</f>
        <v>altamed nurse cap penutup kepala 100 pcs</v>
      </c>
      <c r="P2528">
        <f>IF(OR(M2528="",N2528=""),"",SUMIFS('Barang Keluar'!$E:$E,'Barang Keluar'!$A:$A,M2528,'Barang Keluar'!$C:$C,N2528))</f>
        <v>0</v>
      </c>
    </row>
    <row r="2529" spans="13:16">
      <c r="M2529" s="49">
        <f>IF($A$4+25&gt;$B$4,"",$A$4+25)</f>
        <v>46048</v>
      </c>
      <c r="N2529" t="str">
        <f>IF(M2529="","",'Master Barang'!A23)</f>
        <v>PRL-022</v>
      </c>
      <c r="O2529" t="str">
        <f>IF(N2529="","",'Master Barang'!B23)</f>
        <v>sabun cuci tangan</v>
      </c>
      <c r="P2529">
        <f>IF(OR(M2529="",N2529=""),"",SUMIFS('Barang Keluar'!$E:$E,'Barang Keluar'!$A:$A,M2529,'Barang Keluar'!$C:$C,N2529))</f>
        <v>0</v>
      </c>
    </row>
    <row r="2530" spans="13:16">
      <c r="M2530" s="49">
        <f>IF($A$4+25&gt;$B$4,"",$A$4+25)</f>
        <v>46048</v>
      </c>
      <c r="N2530" t="str">
        <f>IF(M2530="","",'Master Barang'!A24)</f>
        <v>PRL-023</v>
      </c>
      <c r="O2530" t="str">
        <f>IF(N2530="","",'Master Barang'!B24)</f>
        <v>gayung kecil</v>
      </c>
      <c r="P2530">
        <f>IF(OR(M2530="",N2530=""),"",SUMIFS('Barang Keluar'!$E:$E,'Barang Keluar'!$A:$A,M2530,'Barang Keluar'!$C:$C,N2530))</f>
        <v>0</v>
      </c>
    </row>
    <row r="2531" spans="13:16">
      <c r="M2531" s="49">
        <f>IF($A$4+25&gt;$B$4,"",$A$4+25)</f>
        <v>46048</v>
      </c>
      <c r="N2531" t="str">
        <f>IF(M2531="","",'Master Barang'!A25)</f>
        <v>PRL-024</v>
      </c>
      <c r="O2531" t="str">
        <f>IF(N2531="","",'Master Barang'!B25)</f>
        <v>cikrak kecil</v>
      </c>
      <c r="P2531">
        <f>IF(OR(M2531="",N2531=""),"",SUMIFS('Barang Keluar'!$E:$E,'Barang Keluar'!$A:$A,M2531,'Barang Keluar'!$C:$C,N2531))</f>
        <v>0</v>
      </c>
    </row>
    <row r="2532" spans="13:16">
      <c r="M2532" s="49">
        <f>IF($A$4+25&gt;$B$4,"",$A$4+25)</f>
        <v>46048</v>
      </c>
      <c r="N2532" t="str">
        <f>IF(M2532="","",'Master Barang'!A26)</f>
        <v>PRL-025</v>
      </c>
      <c r="O2532" t="str">
        <f>IF(N2532="","",'Master Barang'!B26)</f>
        <v>petromax plastik kecil 12x24 100 lembar</v>
      </c>
      <c r="P2532">
        <f>IF(OR(M2532="",N2532=""),"",SUMIFS('Barang Keluar'!$E:$E,'Barang Keluar'!$A:$A,M2532,'Barang Keluar'!$C:$C,N2532))</f>
        <v>0</v>
      </c>
    </row>
    <row r="2533" spans="13:16">
      <c r="M2533" s="49">
        <f>IF($A$4+25&gt;$B$4,"",$A$4+25)</f>
        <v>46048</v>
      </c>
      <c r="N2533" t="str">
        <f>IF(M2533="","",'Master Barang'!A27)</f>
        <v>PRL-026</v>
      </c>
      <c r="O2533" t="str">
        <f>IF(N2533="","",'Master Barang'!B27)</f>
        <v>lancar kresek kecil bening </v>
      </c>
      <c r="P2533">
        <f>IF(OR(M2533="",N2533=""),"",SUMIFS('Barang Keluar'!$E:$E,'Barang Keluar'!$A:$A,M2533,'Barang Keluar'!$C:$C,N2533))</f>
        <v>0</v>
      </c>
    </row>
    <row r="2534" spans="13:16">
      <c r="M2534" s="49">
        <f>IF($A$4+25&gt;$B$4,"",$A$4+25)</f>
        <v>46048</v>
      </c>
      <c r="N2534" t="str">
        <f>IF(M2534="","",'Master Barang'!A28)</f>
        <v>PRL-027</v>
      </c>
      <c r="O2534" t="str">
        <f>IF(N2534="","",'Master Barang'!B28)</f>
        <v>kresek klin warna warni kecil</v>
      </c>
      <c r="P2534">
        <f>IF(OR(M2534="",N2534=""),"",SUMIFS('Barang Keluar'!$E:$E,'Barang Keluar'!$A:$A,M2534,'Barang Keluar'!$C:$C,N2534))</f>
        <v>0</v>
      </c>
    </row>
    <row r="2535" spans="13:16">
      <c r="M2535" s="49">
        <f>IF($A$4+25&gt;$B$4,"",$A$4+25)</f>
        <v>46048</v>
      </c>
      <c r="N2535" t="str">
        <f>IF(M2535="","",'Master Barang'!A29)</f>
        <v>PRL-028</v>
      </c>
      <c r="O2535" t="str">
        <f>IF(N2535="","",'Master Barang'!B29)</f>
        <v>ctik plastik 7x10 100 pcs</v>
      </c>
      <c r="P2535">
        <f>IF(OR(M2535="",N2535=""),"",SUMIFS('Barang Keluar'!$E:$E,'Barang Keluar'!$A:$A,M2535,'Barang Keluar'!$C:$C,N2535))</f>
        <v>0</v>
      </c>
    </row>
    <row r="2536" spans="13:16">
      <c r="M2536" s="49">
        <f>IF($A$4+25&gt;$B$4,"",$A$4+25)</f>
        <v>46048</v>
      </c>
      <c r="N2536" t="str">
        <f>IF(M2536="","",'Master Barang'!A30)</f>
        <v>PRL-029</v>
      </c>
      <c r="O2536" t="str">
        <f>IF(N2536="","",'Master Barang'!B30)</f>
        <v>ctik plastik 6x10 100 pcs</v>
      </c>
      <c r="P2536">
        <f>IF(OR(M2536="",N2536=""),"",SUMIFS('Barang Keluar'!$E:$E,'Barang Keluar'!$A:$A,M2536,'Barang Keluar'!$C:$C,N2536))</f>
        <v>0</v>
      </c>
    </row>
    <row r="2537" spans="13:16">
      <c r="M2537" s="49">
        <f>IF($A$4+25&gt;$B$4,"",$A$4+25)</f>
        <v>46048</v>
      </c>
      <c r="N2537" t="str">
        <f>IF(M2537="","",'Master Barang'!A31)</f>
        <v>PRL-030</v>
      </c>
      <c r="O2537" t="str">
        <f>IF(N2537="","",'Master Barang'!B31)</f>
        <v>klip plastik 25x16 100 pcs</v>
      </c>
      <c r="P2537">
        <f>IF(OR(M2537="",N2537=""),"",SUMIFS('Barang Keluar'!$E:$E,'Barang Keluar'!$A:$A,M2537,'Barang Keluar'!$C:$C,N2537))</f>
        <v>0</v>
      </c>
    </row>
    <row r="2538" spans="13:16">
      <c r="M2538" s="49">
        <f>IF($A$4+25&gt;$B$4,"",$A$4+25)</f>
        <v>46048</v>
      </c>
      <c r="N2538" t="str">
        <f>IF(M2538="","",'Master Barang'!A32)</f>
        <v>PRL-031</v>
      </c>
      <c r="O2538" t="str">
        <f>IF(N2538="","",'Master Barang'!B32)</f>
        <v>tempat saus 20 ml</v>
      </c>
      <c r="P2538">
        <f>IF(OR(M2538="",N2538=""),"",SUMIFS('Barang Keluar'!$E:$E,'Barang Keluar'!$A:$A,M2538,'Barang Keluar'!$C:$C,N2538))</f>
        <v>0</v>
      </c>
    </row>
    <row r="2539" spans="13:16">
      <c r="M2539" s="49">
        <f>IF($A$4+25&gt;$B$4,"",$A$4+25)</f>
        <v>46048</v>
      </c>
      <c r="N2539" t="str">
        <f>IF(M2539="","",'Master Barang'!A33)</f>
        <v>PRL-032</v>
      </c>
      <c r="O2539" t="str">
        <f>IF(N2539="","",'Master Barang'!B33)</f>
        <v>plastik packaging ag box uk sedang</v>
      </c>
      <c r="P2539">
        <f>IF(OR(M2539="",N2539=""),"",SUMIFS('Barang Keluar'!$E:$E,'Barang Keluar'!$A:$A,M2539,'Barang Keluar'!$C:$C,N2539))</f>
        <v>0</v>
      </c>
    </row>
    <row r="2540" spans="13:16">
      <c r="M2540" s="49">
        <f>IF($A$4+25&gt;$B$4,"",$A$4+25)</f>
        <v>46048</v>
      </c>
      <c r="N2540" t="str">
        <f>IF(M2540="","",'Master Barang'!A34)</f>
        <v>PRL-033</v>
      </c>
      <c r="O2540">
        <f>IF(N2540="","",'Master Barang'!B34)</f>
        <v>0</v>
      </c>
      <c r="P2540">
        <f>IF(OR(M2540="",N2540=""),"",SUMIFS('Barang Keluar'!$E:$E,'Barang Keluar'!$A:$A,M2540,'Barang Keluar'!$C:$C,N2540))</f>
        <v>0</v>
      </c>
    </row>
    <row r="2541" spans="13:16">
      <c r="M2541" s="49">
        <f>IF($A$4+25&gt;$B$4,"",$A$4+25)</f>
        <v>46048</v>
      </c>
      <c r="N2541">
        <f>IF(M2541="","",'Master Barang'!A35)</f>
        <v>0</v>
      </c>
      <c r="O2541">
        <f>IF(N2541="","",'Master Barang'!B35)</f>
        <v>0</v>
      </c>
      <c r="P2541">
        <f>IF(OR(M2541="",N2541=""),"",SUMIFS('Barang Keluar'!$E:$E,'Barang Keluar'!$A:$A,M2541,'Barang Keluar'!$C:$C,N2541))</f>
        <v>0</v>
      </c>
    </row>
    <row r="2542" spans="13:16">
      <c r="M2542" s="49">
        <f>IF($A$4+25&gt;$B$4,"",$A$4+25)</f>
        <v>46048</v>
      </c>
      <c r="N2542">
        <f>IF(M2542="","",'Master Barang'!A36)</f>
        <v>0</v>
      </c>
      <c r="O2542">
        <f>IF(N2542="","",'Master Barang'!B36)</f>
        <v>0</v>
      </c>
      <c r="P2542">
        <f>IF(OR(M2542="",N2542=""),"",SUMIFS('Barang Keluar'!$E:$E,'Barang Keluar'!$A:$A,M2542,'Barang Keluar'!$C:$C,N2542))</f>
        <v>0</v>
      </c>
    </row>
    <row r="2543" spans="13:16">
      <c r="M2543" s="49">
        <f>IF($A$4+25&gt;$B$4,"",$A$4+25)</f>
        <v>46048</v>
      </c>
      <c r="N2543">
        <f>IF(M2543="","",'Master Barang'!A37)</f>
        <v>0</v>
      </c>
      <c r="O2543">
        <f>IF(N2543="","",'Master Barang'!B37)</f>
        <v>0</v>
      </c>
      <c r="P2543">
        <f>IF(OR(M2543="",N2543=""),"",SUMIFS('Barang Keluar'!$E:$E,'Barang Keluar'!$A:$A,M2543,'Barang Keluar'!$C:$C,N2543))</f>
        <v>0</v>
      </c>
    </row>
    <row r="2544" spans="13:16">
      <c r="M2544" s="49">
        <f>IF($A$4+25&gt;$B$4,"",$A$4+25)</f>
        <v>46048</v>
      </c>
      <c r="N2544">
        <f>IF(M2544="","",'Master Barang'!A38)</f>
        <v>0</v>
      </c>
      <c r="O2544">
        <f>IF(N2544="","",'Master Barang'!B38)</f>
        <v>0</v>
      </c>
      <c r="P2544">
        <f>IF(OR(M2544="",N2544=""),"",SUMIFS('Barang Keluar'!$E:$E,'Barang Keluar'!$A:$A,M2544,'Barang Keluar'!$C:$C,N2544))</f>
        <v>0</v>
      </c>
    </row>
    <row r="2545" spans="13:16">
      <c r="M2545" s="49">
        <f>IF($A$4+25&gt;$B$4,"",$A$4+25)</f>
        <v>46048</v>
      </c>
      <c r="N2545">
        <f>IF(M2545="","",'Master Barang'!A39)</f>
        <v>0</v>
      </c>
      <c r="O2545">
        <f>IF(N2545="","",'Master Barang'!B39)</f>
        <v>0</v>
      </c>
      <c r="P2545">
        <f>IF(OR(M2545="",N2545=""),"",SUMIFS('Barang Keluar'!$E:$E,'Barang Keluar'!$A:$A,M2545,'Barang Keluar'!$C:$C,N2545))</f>
        <v>0</v>
      </c>
    </row>
    <row r="2546" spans="13:16">
      <c r="M2546" s="49">
        <f>IF($A$4+25&gt;$B$4,"",$A$4+25)</f>
        <v>46048</v>
      </c>
      <c r="N2546">
        <f>IF(M2546="","",'Master Barang'!A40)</f>
        <v>0</v>
      </c>
      <c r="O2546">
        <f>IF(N2546="","",'Master Barang'!B40)</f>
        <v>0</v>
      </c>
      <c r="P2546">
        <f>IF(OR(M2546="",N2546=""),"",SUMIFS('Barang Keluar'!$E:$E,'Barang Keluar'!$A:$A,M2546,'Barang Keluar'!$C:$C,N2546))</f>
        <v>0</v>
      </c>
    </row>
    <row r="2547" spans="13:16">
      <c r="M2547" s="49">
        <f>IF($A$4+25&gt;$B$4,"",$A$4+25)</f>
        <v>46048</v>
      </c>
      <c r="N2547">
        <f>IF(M2547="","",'Master Barang'!A41)</f>
        <v>0</v>
      </c>
      <c r="O2547">
        <f>IF(N2547="","",'Master Barang'!B41)</f>
        <v>0</v>
      </c>
      <c r="P2547">
        <f>IF(OR(M2547="",N2547=""),"",SUMIFS('Barang Keluar'!$E:$E,'Barang Keluar'!$A:$A,M2547,'Barang Keluar'!$C:$C,N2547))</f>
        <v>0</v>
      </c>
    </row>
    <row r="2548" spans="13:16">
      <c r="M2548" s="49">
        <f>IF($A$4+25&gt;$B$4,"",$A$4+25)</f>
        <v>46048</v>
      </c>
      <c r="N2548">
        <f>IF(M2548="","",'Master Barang'!A42)</f>
        <v>0</v>
      </c>
      <c r="O2548">
        <f>IF(N2548="","",'Master Barang'!B42)</f>
        <v>0</v>
      </c>
      <c r="P2548">
        <f>IF(OR(M2548="",N2548=""),"",SUMIFS('Barang Keluar'!$E:$E,'Barang Keluar'!$A:$A,M2548,'Barang Keluar'!$C:$C,N2548))</f>
        <v>0</v>
      </c>
    </row>
    <row r="2549" spans="13:16">
      <c r="M2549" s="49">
        <f>IF($A$4+25&gt;$B$4,"",$A$4+25)</f>
        <v>46048</v>
      </c>
      <c r="N2549">
        <f>IF(M2549="","",'Master Barang'!A43)</f>
        <v>0</v>
      </c>
      <c r="O2549">
        <f>IF(N2549="","",'Master Barang'!B43)</f>
        <v>0</v>
      </c>
      <c r="P2549">
        <f>IF(OR(M2549="",N2549=""),"",SUMIFS('Barang Keluar'!$E:$E,'Barang Keluar'!$A:$A,M2549,'Barang Keluar'!$C:$C,N2549))</f>
        <v>0</v>
      </c>
    </row>
    <row r="2550" spans="13:16">
      <c r="M2550" s="49">
        <f>IF($A$4+25&gt;$B$4,"",$A$4+25)</f>
        <v>46048</v>
      </c>
      <c r="N2550">
        <f>IF(M2550="","",'Master Barang'!A44)</f>
        <v>0</v>
      </c>
      <c r="O2550">
        <f>IF(N2550="","",'Master Barang'!B44)</f>
        <v>0</v>
      </c>
      <c r="P2550">
        <f>IF(OR(M2550="",N2550=""),"",SUMIFS('Barang Keluar'!$E:$E,'Barang Keluar'!$A:$A,M2550,'Barang Keluar'!$C:$C,N2550))</f>
        <v>0</v>
      </c>
    </row>
    <row r="2551" spans="13:16">
      <c r="M2551" s="49">
        <f>IF($A$4+25&gt;$B$4,"",$A$4+25)</f>
        <v>46048</v>
      </c>
      <c r="N2551">
        <f>IF(M2551="","",'Master Barang'!A45)</f>
        <v>0</v>
      </c>
      <c r="O2551">
        <f>IF(N2551="","",'Master Barang'!B45)</f>
        <v>0</v>
      </c>
      <c r="P2551">
        <f>IF(OR(M2551="",N2551=""),"",SUMIFS('Barang Keluar'!$E:$E,'Barang Keluar'!$A:$A,M2551,'Barang Keluar'!$C:$C,N2551))</f>
        <v>0</v>
      </c>
    </row>
    <row r="2552" spans="13:16">
      <c r="M2552" s="49">
        <f>IF($A$4+25&gt;$B$4,"",$A$4+25)</f>
        <v>46048</v>
      </c>
      <c r="N2552">
        <f>IF(M2552="","",'Master Barang'!A46)</f>
        <v>0</v>
      </c>
      <c r="O2552">
        <f>IF(N2552="","",'Master Barang'!B46)</f>
        <v>0</v>
      </c>
      <c r="P2552">
        <f>IF(OR(M2552="",N2552=""),"",SUMIFS('Barang Keluar'!$E:$E,'Barang Keluar'!$A:$A,M2552,'Barang Keluar'!$C:$C,N2552))</f>
        <v>0</v>
      </c>
    </row>
    <row r="2553" spans="13:16">
      <c r="M2553" s="49">
        <f>IF($A$4+25&gt;$B$4,"",$A$4+25)</f>
        <v>46048</v>
      </c>
      <c r="N2553">
        <f>IF(M2553="","",'Master Barang'!A47)</f>
        <v>0</v>
      </c>
      <c r="O2553">
        <f>IF(N2553="","",'Master Barang'!B47)</f>
        <v>0</v>
      </c>
      <c r="P2553">
        <f>IF(OR(M2553="",N2553=""),"",SUMIFS('Barang Keluar'!$E:$E,'Barang Keluar'!$A:$A,M2553,'Barang Keluar'!$C:$C,N2553))</f>
        <v>0</v>
      </c>
    </row>
    <row r="2554" spans="13:16">
      <c r="M2554" s="49">
        <f>IF($A$4+25&gt;$B$4,"",$A$4+25)</f>
        <v>46048</v>
      </c>
      <c r="N2554">
        <f>IF(M2554="","",'Master Barang'!A48)</f>
        <v>0</v>
      </c>
      <c r="O2554">
        <f>IF(N2554="","",'Master Barang'!B48)</f>
        <v>0</v>
      </c>
      <c r="P2554">
        <f>IF(OR(M2554="",N2554=""),"",SUMIFS('Barang Keluar'!$E:$E,'Barang Keluar'!$A:$A,M2554,'Barang Keluar'!$C:$C,N2554))</f>
        <v>0</v>
      </c>
    </row>
    <row r="2555" spans="13:16">
      <c r="M2555" s="49">
        <f>IF($A$4+25&gt;$B$4,"",$A$4+25)</f>
        <v>46048</v>
      </c>
      <c r="N2555">
        <f>IF(M2555="","",'Master Barang'!A49)</f>
        <v>0</v>
      </c>
      <c r="O2555">
        <f>IF(N2555="","",'Master Barang'!B49)</f>
        <v>0</v>
      </c>
      <c r="P2555">
        <f>IF(OR(M2555="",N2555=""),"",SUMIFS('Barang Keluar'!$E:$E,'Barang Keluar'!$A:$A,M2555,'Barang Keluar'!$C:$C,N2555))</f>
        <v>0</v>
      </c>
    </row>
    <row r="2556" spans="13:16">
      <c r="M2556" s="49">
        <f>IF($A$4+25&gt;$B$4,"",$A$4+25)</f>
        <v>46048</v>
      </c>
      <c r="N2556">
        <f>IF(M2556="","",'Master Barang'!A50)</f>
        <v>0</v>
      </c>
      <c r="O2556">
        <f>IF(N2556="","",'Master Barang'!B50)</f>
        <v>0</v>
      </c>
      <c r="P2556">
        <f>IF(OR(M2556="",N2556=""),"",SUMIFS('Barang Keluar'!$E:$E,'Barang Keluar'!$A:$A,M2556,'Barang Keluar'!$C:$C,N2556))</f>
        <v>0</v>
      </c>
    </row>
    <row r="2557" spans="13:16">
      <c r="M2557" s="49">
        <f>IF($A$4+25&gt;$B$4,"",$A$4+25)</f>
        <v>46048</v>
      </c>
      <c r="N2557">
        <f>IF(M2557="","",'Master Barang'!A51)</f>
        <v>0</v>
      </c>
      <c r="O2557">
        <f>IF(N2557="","",'Master Barang'!B51)</f>
        <v>0</v>
      </c>
      <c r="P2557">
        <f>IF(OR(M2557="",N2557=""),"",SUMIFS('Barang Keluar'!$E:$E,'Barang Keluar'!$A:$A,M2557,'Barang Keluar'!$C:$C,N2557))</f>
        <v>0</v>
      </c>
    </row>
    <row r="2558" spans="13:16">
      <c r="M2558" s="49">
        <f>IF($A$4+25&gt;$B$4,"",$A$4+25)</f>
        <v>46048</v>
      </c>
      <c r="N2558">
        <f>IF(M2558="","",'Master Barang'!A52)</f>
        <v>0</v>
      </c>
      <c r="O2558">
        <f>IF(N2558="","",'Master Barang'!B52)</f>
        <v>0</v>
      </c>
      <c r="P2558">
        <f>IF(OR(M2558="",N2558=""),"",SUMIFS('Barang Keluar'!$E:$E,'Barang Keluar'!$A:$A,M2558,'Barang Keluar'!$C:$C,N2558))</f>
        <v>0</v>
      </c>
    </row>
    <row r="2559" spans="13:16">
      <c r="M2559" s="49">
        <f>IF($A$4+25&gt;$B$4,"",$A$4+25)</f>
        <v>46048</v>
      </c>
      <c r="N2559">
        <f>IF(M2559="","",'Master Barang'!A53)</f>
        <v>0</v>
      </c>
      <c r="O2559">
        <f>IF(N2559="","",'Master Barang'!B53)</f>
        <v>0</v>
      </c>
      <c r="P2559">
        <f>IF(OR(M2559="",N2559=""),"",SUMIFS('Barang Keluar'!$E:$E,'Barang Keluar'!$A:$A,M2559,'Barang Keluar'!$C:$C,N2559))</f>
        <v>0</v>
      </c>
    </row>
    <row r="2560" spans="13:16">
      <c r="M2560" s="49">
        <f>IF($A$4+25&gt;$B$4,"",$A$4+25)</f>
        <v>46048</v>
      </c>
      <c r="N2560">
        <f>IF(M2560="","",'Master Barang'!A54)</f>
        <v>0</v>
      </c>
      <c r="O2560">
        <f>IF(N2560="","",'Master Barang'!B54)</f>
        <v>0</v>
      </c>
      <c r="P2560">
        <f>IF(OR(M2560="",N2560=""),"",SUMIFS('Barang Keluar'!$E:$E,'Barang Keluar'!$A:$A,M2560,'Barang Keluar'!$C:$C,N2560))</f>
        <v>0</v>
      </c>
    </row>
    <row r="2561" spans="13:16">
      <c r="M2561" s="49">
        <f>IF($A$4+25&gt;$B$4,"",$A$4+25)</f>
        <v>46048</v>
      </c>
      <c r="N2561">
        <f>IF(M2561="","",'Master Barang'!A55)</f>
        <v>0</v>
      </c>
      <c r="O2561">
        <f>IF(N2561="","",'Master Barang'!B55)</f>
        <v>0</v>
      </c>
      <c r="P2561">
        <f>IF(OR(M2561="",N2561=""),"",SUMIFS('Barang Keluar'!$E:$E,'Barang Keluar'!$A:$A,M2561,'Barang Keluar'!$C:$C,N2561))</f>
        <v>0</v>
      </c>
    </row>
    <row r="2562" spans="13:16">
      <c r="M2562" s="49">
        <f>IF($A$4+25&gt;$B$4,"",$A$4+25)</f>
        <v>46048</v>
      </c>
      <c r="N2562">
        <f>IF(M2562="","",'Master Barang'!A56)</f>
        <v>0</v>
      </c>
      <c r="O2562">
        <f>IF(N2562="","",'Master Barang'!B56)</f>
        <v>0</v>
      </c>
      <c r="P2562">
        <f>IF(OR(M2562="",N2562=""),"",SUMIFS('Barang Keluar'!$E:$E,'Barang Keluar'!$A:$A,M2562,'Barang Keluar'!$C:$C,N2562))</f>
        <v>0</v>
      </c>
    </row>
    <row r="2563" spans="13:16">
      <c r="M2563" s="49">
        <f>IF($A$4+25&gt;$B$4,"",$A$4+25)</f>
        <v>46048</v>
      </c>
      <c r="N2563">
        <f>IF(M2563="","",'Master Barang'!A57)</f>
        <v>0</v>
      </c>
      <c r="O2563">
        <f>IF(N2563="","",'Master Barang'!B57)</f>
        <v>0</v>
      </c>
      <c r="P2563">
        <f>IF(OR(M2563="",N2563=""),"",SUMIFS('Barang Keluar'!$E:$E,'Barang Keluar'!$A:$A,M2563,'Barang Keluar'!$C:$C,N2563))</f>
        <v>0</v>
      </c>
    </row>
    <row r="2564" spans="13:16">
      <c r="M2564" s="49">
        <f>IF($A$4+25&gt;$B$4,"",$A$4+25)</f>
        <v>46048</v>
      </c>
      <c r="N2564">
        <f>IF(M2564="","",'Master Barang'!A58)</f>
        <v>0</v>
      </c>
      <c r="O2564">
        <f>IF(N2564="","",'Master Barang'!B58)</f>
        <v>0</v>
      </c>
      <c r="P2564">
        <f>IF(OR(M2564="",N2564=""),"",SUMIFS('Barang Keluar'!$E:$E,'Barang Keluar'!$A:$A,M2564,'Barang Keluar'!$C:$C,N2564))</f>
        <v>0</v>
      </c>
    </row>
    <row r="2565" spans="13:16">
      <c r="M2565" s="49">
        <f>IF($A$4+25&gt;$B$4,"",$A$4+25)</f>
        <v>46048</v>
      </c>
      <c r="N2565">
        <f>IF(M2565="","",'Master Barang'!A59)</f>
        <v>0</v>
      </c>
      <c r="O2565">
        <f>IF(N2565="","",'Master Barang'!B59)</f>
        <v>0</v>
      </c>
      <c r="P2565">
        <f>IF(OR(M2565="",N2565=""),"",SUMIFS('Barang Keluar'!$E:$E,'Barang Keluar'!$A:$A,M2565,'Barang Keluar'!$C:$C,N2565))</f>
        <v>0</v>
      </c>
    </row>
    <row r="2566" spans="13:16">
      <c r="M2566" s="49">
        <f>IF($A$4+25&gt;$B$4,"",$A$4+25)</f>
        <v>46048</v>
      </c>
      <c r="N2566">
        <f>IF(M2566="","",'Master Barang'!A60)</f>
        <v>0</v>
      </c>
      <c r="O2566">
        <f>IF(N2566="","",'Master Barang'!B60)</f>
        <v>0</v>
      </c>
      <c r="P2566">
        <f>IF(OR(M2566="",N2566=""),"",SUMIFS('Barang Keluar'!$E:$E,'Barang Keluar'!$A:$A,M2566,'Barang Keluar'!$C:$C,N2566))</f>
        <v>0</v>
      </c>
    </row>
    <row r="2567" spans="13:16">
      <c r="M2567" s="49">
        <f>IF($A$4+25&gt;$B$4,"",$A$4+25)</f>
        <v>46048</v>
      </c>
      <c r="N2567">
        <f>IF(M2567="","",'Master Barang'!A61)</f>
        <v>0</v>
      </c>
      <c r="O2567">
        <f>IF(N2567="","",'Master Barang'!B61)</f>
        <v>0</v>
      </c>
      <c r="P2567">
        <f>IF(OR(M2567="",N2567=""),"",SUMIFS('Barang Keluar'!$E:$E,'Barang Keluar'!$A:$A,M2567,'Barang Keluar'!$C:$C,N2567))</f>
        <v>0</v>
      </c>
    </row>
    <row r="2568" spans="13:16">
      <c r="M2568" s="49">
        <f>IF($A$4+25&gt;$B$4,"",$A$4+25)</f>
        <v>46048</v>
      </c>
      <c r="N2568">
        <f>IF(M2568="","",'Master Barang'!A62)</f>
        <v>0</v>
      </c>
      <c r="O2568">
        <f>IF(N2568="","",'Master Barang'!B62)</f>
        <v>0</v>
      </c>
      <c r="P2568">
        <f>IF(OR(M2568="",N2568=""),"",SUMIFS('Barang Keluar'!$E:$E,'Barang Keluar'!$A:$A,M2568,'Barang Keluar'!$C:$C,N2568))</f>
        <v>0</v>
      </c>
    </row>
    <row r="2569" spans="13:16">
      <c r="M2569" s="49">
        <f>IF($A$4+25&gt;$B$4,"",$A$4+25)</f>
        <v>46048</v>
      </c>
      <c r="N2569">
        <f>IF(M2569="","",'Master Barang'!A63)</f>
        <v>0</v>
      </c>
      <c r="O2569">
        <f>IF(N2569="","",'Master Barang'!B63)</f>
        <v>0</v>
      </c>
      <c r="P2569">
        <f>IF(OR(M2569="",N2569=""),"",SUMIFS('Barang Keluar'!$E:$E,'Barang Keluar'!$A:$A,M2569,'Barang Keluar'!$C:$C,N2569))</f>
        <v>0</v>
      </c>
    </row>
    <row r="2570" spans="13:16">
      <c r="M2570" s="49">
        <f>IF($A$4+25&gt;$B$4,"",$A$4+25)</f>
        <v>46048</v>
      </c>
      <c r="N2570">
        <f>IF(M2570="","",'Master Barang'!A64)</f>
        <v>0</v>
      </c>
      <c r="O2570">
        <f>IF(N2570="","",'Master Barang'!B64)</f>
        <v>0</v>
      </c>
      <c r="P2570">
        <f>IF(OR(M2570="",N2570=""),"",SUMIFS('Barang Keluar'!$E:$E,'Barang Keluar'!$A:$A,M2570,'Barang Keluar'!$C:$C,N2570))</f>
        <v>0</v>
      </c>
    </row>
    <row r="2571" spans="13:16">
      <c r="M2571" s="49">
        <f>IF($A$4+25&gt;$B$4,"",$A$4+25)</f>
        <v>46048</v>
      </c>
      <c r="N2571">
        <f>IF(M2571="","",'Master Barang'!A65)</f>
        <v>0</v>
      </c>
      <c r="O2571">
        <f>IF(N2571="","",'Master Barang'!B65)</f>
        <v>0</v>
      </c>
      <c r="P2571">
        <f>IF(OR(M2571="",N2571=""),"",SUMIFS('Barang Keluar'!$E:$E,'Barang Keluar'!$A:$A,M2571,'Barang Keluar'!$C:$C,N2571))</f>
        <v>0</v>
      </c>
    </row>
    <row r="2572" spans="13:16">
      <c r="M2572" s="49">
        <f>IF($A$4+25&gt;$B$4,"",$A$4+25)</f>
        <v>46048</v>
      </c>
      <c r="N2572">
        <f>IF(M2572="","",'Master Barang'!A66)</f>
        <v>0</v>
      </c>
      <c r="O2572">
        <f>IF(N2572="","",'Master Barang'!B66)</f>
        <v>0</v>
      </c>
      <c r="P2572">
        <f>IF(OR(M2572="",N2572=""),"",SUMIFS('Barang Keluar'!$E:$E,'Barang Keluar'!$A:$A,M2572,'Barang Keluar'!$C:$C,N2572))</f>
        <v>0</v>
      </c>
    </row>
    <row r="2573" spans="13:16">
      <c r="M2573" s="49">
        <f>IF($A$4+25&gt;$B$4,"",$A$4+25)</f>
        <v>46048</v>
      </c>
      <c r="N2573">
        <f>IF(M2573="","",'Master Barang'!A67)</f>
        <v>0</v>
      </c>
      <c r="O2573">
        <f>IF(N2573="","",'Master Barang'!B67)</f>
        <v>0</v>
      </c>
      <c r="P2573">
        <f>IF(OR(M2573="",N2573=""),"",SUMIFS('Barang Keluar'!$E:$E,'Barang Keluar'!$A:$A,M2573,'Barang Keluar'!$C:$C,N2573))</f>
        <v>0</v>
      </c>
    </row>
    <row r="2574" spans="13:16">
      <c r="M2574" s="49">
        <f>IF($A$4+25&gt;$B$4,"",$A$4+25)</f>
        <v>46048</v>
      </c>
      <c r="N2574">
        <f>IF(M2574="","",'Master Barang'!A68)</f>
        <v>0</v>
      </c>
      <c r="O2574">
        <f>IF(N2574="","",'Master Barang'!B68)</f>
        <v>0</v>
      </c>
      <c r="P2574">
        <f>IF(OR(M2574="",N2574=""),"",SUMIFS('Barang Keluar'!$E:$E,'Barang Keluar'!$A:$A,M2574,'Barang Keluar'!$C:$C,N2574))</f>
        <v>0</v>
      </c>
    </row>
    <row r="2575" spans="13:16">
      <c r="M2575" s="49">
        <f>IF($A$4+25&gt;$B$4,"",$A$4+25)</f>
        <v>46048</v>
      </c>
      <c r="N2575">
        <f>IF(M2575="","",'Master Barang'!A69)</f>
        <v>0</v>
      </c>
      <c r="O2575">
        <f>IF(N2575="","",'Master Barang'!B69)</f>
        <v>0</v>
      </c>
      <c r="P2575">
        <f>IF(OR(M2575="",N2575=""),"",SUMIFS('Barang Keluar'!$E:$E,'Barang Keluar'!$A:$A,M2575,'Barang Keluar'!$C:$C,N2575))</f>
        <v>0</v>
      </c>
    </row>
    <row r="2576" spans="13:16">
      <c r="M2576" s="49">
        <f>IF($A$4+25&gt;$B$4,"",$A$4+25)</f>
        <v>46048</v>
      </c>
      <c r="N2576">
        <f>IF(M2576="","",'Master Barang'!A70)</f>
        <v>0</v>
      </c>
      <c r="O2576">
        <f>IF(N2576="","",'Master Barang'!B70)</f>
        <v>0</v>
      </c>
      <c r="P2576">
        <f>IF(OR(M2576="",N2576=""),"",SUMIFS('Barang Keluar'!$E:$E,'Barang Keluar'!$A:$A,M2576,'Barang Keluar'!$C:$C,N2576))</f>
        <v>0</v>
      </c>
    </row>
    <row r="2577" spans="13:16">
      <c r="M2577" s="49">
        <f>IF($A$4+25&gt;$B$4,"",$A$4+25)</f>
        <v>46048</v>
      </c>
      <c r="N2577">
        <f>IF(M2577="","",'Master Barang'!A71)</f>
        <v>0</v>
      </c>
      <c r="O2577">
        <f>IF(N2577="","",'Master Barang'!B71)</f>
        <v>0</v>
      </c>
      <c r="P2577">
        <f>IF(OR(M2577="",N2577=""),"",SUMIFS('Barang Keluar'!$E:$E,'Barang Keluar'!$A:$A,M2577,'Barang Keluar'!$C:$C,N2577))</f>
        <v>0</v>
      </c>
    </row>
    <row r="2578" spans="13:16">
      <c r="M2578" s="49">
        <f>IF($A$4+25&gt;$B$4,"",$A$4+25)</f>
        <v>46048</v>
      </c>
      <c r="N2578">
        <f>IF(M2578="","",'Master Barang'!A72)</f>
        <v>0</v>
      </c>
      <c r="O2578">
        <f>IF(N2578="","",'Master Barang'!B72)</f>
        <v>0</v>
      </c>
      <c r="P2578">
        <f>IF(OR(M2578="",N2578=""),"",SUMIFS('Barang Keluar'!$E:$E,'Barang Keluar'!$A:$A,M2578,'Barang Keluar'!$C:$C,N2578))</f>
        <v>0</v>
      </c>
    </row>
    <row r="2579" spans="13:16">
      <c r="M2579" s="49">
        <f>IF($A$4+25&gt;$B$4,"",$A$4+25)</f>
        <v>46048</v>
      </c>
      <c r="N2579">
        <f>IF(M2579="","",'Master Barang'!A73)</f>
        <v>0</v>
      </c>
      <c r="O2579">
        <f>IF(N2579="","",'Master Barang'!B73)</f>
        <v>0</v>
      </c>
      <c r="P2579">
        <f>IF(OR(M2579="",N2579=""),"",SUMIFS('Barang Keluar'!$E:$E,'Barang Keluar'!$A:$A,M2579,'Barang Keluar'!$C:$C,N2579))</f>
        <v>0</v>
      </c>
    </row>
    <row r="2580" spans="13:16">
      <c r="M2580" s="49">
        <f>IF($A$4+25&gt;$B$4,"",$A$4+25)</f>
        <v>46048</v>
      </c>
      <c r="N2580">
        <f>IF(M2580="","",'Master Barang'!A74)</f>
        <v>0</v>
      </c>
      <c r="O2580">
        <f>IF(N2580="","",'Master Barang'!B74)</f>
        <v>0</v>
      </c>
      <c r="P2580">
        <f>IF(OR(M2580="",N2580=""),"",SUMIFS('Barang Keluar'!$E:$E,'Barang Keluar'!$A:$A,M2580,'Barang Keluar'!$C:$C,N2580))</f>
        <v>0</v>
      </c>
    </row>
    <row r="2581" spans="13:16">
      <c r="M2581" s="49">
        <f>IF($A$4+25&gt;$B$4,"",$A$4+25)</f>
        <v>46048</v>
      </c>
      <c r="N2581">
        <f>IF(M2581="","",'Master Barang'!A75)</f>
        <v>0</v>
      </c>
      <c r="O2581">
        <f>IF(N2581="","",'Master Barang'!B75)</f>
        <v>0</v>
      </c>
      <c r="P2581">
        <f>IF(OR(M2581="",N2581=""),"",SUMIFS('Barang Keluar'!$E:$E,'Barang Keluar'!$A:$A,M2581,'Barang Keluar'!$C:$C,N2581))</f>
        <v>0</v>
      </c>
    </row>
    <row r="2582" spans="13:16">
      <c r="M2582" s="49">
        <f>IF($A$4+25&gt;$B$4,"",$A$4+25)</f>
        <v>46048</v>
      </c>
      <c r="N2582">
        <f>IF(M2582="","",'Master Barang'!A76)</f>
        <v>0</v>
      </c>
      <c r="O2582">
        <f>IF(N2582="","",'Master Barang'!B76)</f>
        <v>0</v>
      </c>
      <c r="P2582">
        <f>IF(OR(M2582="",N2582=""),"",SUMIFS('Barang Keluar'!$E:$E,'Barang Keluar'!$A:$A,M2582,'Barang Keluar'!$C:$C,N2582))</f>
        <v>0</v>
      </c>
    </row>
    <row r="2583" spans="13:16">
      <c r="M2583" s="49">
        <f>IF($A$4+25&gt;$B$4,"",$A$4+25)</f>
        <v>46048</v>
      </c>
      <c r="N2583">
        <f>IF(M2583="","",'Master Barang'!A77)</f>
        <v>0</v>
      </c>
      <c r="O2583">
        <f>IF(N2583="","",'Master Barang'!B77)</f>
        <v>0</v>
      </c>
      <c r="P2583">
        <f>IF(OR(M2583="",N2583=""),"",SUMIFS('Barang Keluar'!$E:$E,'Barang Keluar'!$A:$A,M2583,'Barang Keluar'!$C:$C,N2583))</f>
        <v>0</v>
      </c>
    </row>
    <row r="2584" spans="13:16">
      <c r="M2584" s="49">
        <f>IF($A$4+25&gt;$B$4,"",$A$4+25)</f>
        <v>46048</v>
      </c>
      <c r="N2584">
        <f>IF(M2584="","",'Master Barang'!A78)</f>
        <v>0</v>
      </c>
      <c r="O2584">
        <f>IF(N2584="","",'Master Barang'!B78)</f>
        <v>0</v>
      </c>
      <c r="P2584">
        <f>IF(OR(M2584="",N2584=""),"",SUMIFS('Barang Keluar'!$E:$E,'Barang Keluar'!$A:$A,M2584,'Barang Keluar'!$C:$C,N2584))</f>
        <v>0</v>
      </c>
    </row>
    <row r="2585" spans="13:16">
      <c r="M2585" s="49">
        <f>IF($A$4+25&gt;$B$4,"",$A$4+25)</f>
        <v>46048</v>
      </c>
      <c r="N2585">
        <f>IF(M2585="","",'Master Barang'!A79)</f>
        <v>0</v>
      </c>
      <c r="O2585">
        <f>IF(N2585="","",'Master Barang'!B79)</f>
        <v>0</v>
      </c>
      <c r="P2585">
        <f>IF(OR(M2585="",N2585=""),"",SUMIFS('Barang Keluar'!$E:$E,'Barang Keluar'!$A:$A,M2585,'Barang Keluar'!$C:$C,N2585))</f>
        <v>0</v>
      </c>
    </row>
    <row r="2586" spans="13:16">
      <c r="M2586" s="49">
        <f>IF($A$4+25&gt;$B$4,"",$A$4+25)</f>
        <v>46048</v>
      </c>
      <c r="N2586">
        <f>IF(M2586="","",'Master Barang'!A80)</f>
        <v>0</v>
      </c>
      <c r="O2586">
        <f>IF(N2586="","",'Master Barang'!B80)</f>
        <v>0</v>
      </c>
      <c r="P2586">
        <f>IF(OR(M2586="",N2586=""),"",SUMIFS('Barang Keluar'!$E:$E,'Barang Keluar'!$A:$A,M2586,'Barang Keluar'!$C:$C,N2586))</f>
        <v>0</v>
      </c>
    </row>
    <row r="2587" spans="13:16">
      <c r="M2587" s="49">
        <f>IF($A$4+25&gt;$B$4,"",$A$4+25)</f>
        <v>46048</v>
      </c>
      <c r="N2587">
        <f>IF(M2587="","",'Master Barang'!A81)</f>
        <v>0</v>
      </c>
      <c r="O2587">
        <f>IF(N2587="","",'Master Barang'!B81)</f>
        <v>0</v>
      </c>
      <c r="P2587">
        <f>IF(OR(M2587="",N2587=""),"",SUMIFS('Barang Keluar'!$E:$E,'Barang Keluar'!$A:$A,M2587,'Barang Keluar'!$C:$C,N2587))</f>
        <v>0</v>
      </c>
    </row>
    <row r="2588" spans="13:16">
      <c r="M2588" s="49">
        <f>IF($A$4+25&gt;$B$4,"",$A$4+25)</f>
        <v>46048</v>
      </c>
      <c r="N2588">
        <f>IF(M2588="","",'Master Barang'!A82)</f>
        <v>0</v>
      </c>
      <c r="O2588">
        <f>IF(N2588="","",'Master Barang'!B82)</f>
        <v>0</v>
      </c>
      <c r="P2588">
        <f>IF(OR(M2588="",N2588=""),"",SUMIFS('Barang Keluar'!$E:$E,'Barang Keluar'!$A:$A,M2588,'Barang Keluar'!$C:$C,N2588))</f>
        <v>0</v>
      </c>
    </row>
    <row r="2589" spans="13:16">
      <c r="M2589" s="49">
        <f>IF($A$4+25&gt;$B$4,"",$A$4+25)</f>
        <v>46048</v>
      </c>
      <c r="N2589">
        <f>IF(M2589="","",'Master Barang'!A83)</f>
        <v>0</v>
      </c>
      <c r="O2589">
        <f>IF(N2589="","",'Master Barang'!B83)</f>
        <v>0</v>
      </c>
      <c r="P2589">
        <f>IF(OR(M2589="",N2589=""),"",SUMIFS('Barang Keluar'!$E:$E,'Barang Keluar'!$A:$A,M2589,'Barang Keluar'!$C:$C,N2589))</f>
        <v>0</v>
      </c>
    </row>
    <row r="2590" spans="13:16">
      <c r="M2590" s="49">
        <f>IF($A$4+25&gt;$B$4,"",$A$4+25)</f>
        <v>46048</v>
      </c>
      <c r="N2590">
        <f>IF(M2590="","",'Master Barang'!A84)</f>
        <v>0</v>
      </c>
      <c r="O2590">
        <f>IF(N2590="","",'Master Barang'!B84)</f>
        <v>0</v>
      </c>
      <c r="P2590">
        <f>IF(OR(M2590="",N2590=""),"",SUMIFS('Barang Keluar'!$E:$E,'Barang Keluar'!$A:$A,M2590,'Barang Keluar'!$C:$C,N2590))</f>
        <v>0</v>
      </c>
    </row>
    <row r="2591" spans="13:16">
      <c r="M2591" s="49">
        <f>IF($A$4+25&gt;$B$4,"",$A$4+25)</f>
        <v>46048</v>
      </c>
      <c r="N2591">
        <f>IF(M2591="","",'Master Barang'!A85)</f>
        <v>0</v>
      </c>
      <c r="O2591">
        <f>IF(N2591="","",'Master Barang'!B85)</f>
        <v>0</v>
      </c>
      <c r="P2591">
        <f>IF(OR(M2591="",N2591=""),"",SUMIFS('Barang Keluar'!$E:$E,'Barang Keluar'!$A:$A,M2591,'Barang Keluar'!$C:$C,N2591))</f>
        <v>0</v>
      </c>
    </row>
    <row r="2592" spans="13:16">
      <c r="M2592" s="49">
        <f>IF($A$4+25&gt;$B$4,"",$A$4+25)</f>
        <v>46048</v>
      </c>
      <c r="N2592">
        <f>IF(M2592="","",'Master Barang'!A86)</f>
        <v>0</v>
      </c>
      <c r="O2592">
        <f>IF(N2592="","",'Master Barang'!B86)</f>
        <v>0</v>
      </c>
      <c r="P2592">
        <f>IF(OR(M2592="",N2592=""),"",SUMIFS('Barang Keluar'!$E:$E,'Barang Keluar'!$A:$A,M2592,'Barang Keluar'!$C:$C,N2592))</f>
        <v>0</v>
      </c>
    </row>
    <row r="2593" spans="13:16">
      <c r="M2593" s="49">
        <f>IF($A$4+25&gt;$B$4,"",$A$4+25)</f>
        <v>46048</v>
      </c>
      <c r="N2593">
        <f>IF(M2593="","",'Master Barang'!A87)</f>
        <v>0</v>
      </c>
      <c r="O2593">
        <f>IF(N2593="","",'Master Barang'!B87)</f>
        <v>0</v>
      </c>
      <c r="P2593">
        <f>IF(OR(M2593="",N2593=""),"",SUMIFS('Barang Keluar'!$E:$E,'Barang Keluar'!$A:$A,M2593,'Barang Keluar'!$C:$C,N2593))</f>
        <v>0</v>
      </c>
    </row>
    <row r="2594" spans="13:16">
      <c r="M2594" s="49">
        <f>IF($A$4+25&gt;$B$4,"",$A$4+25)</f>
        <v>46048</v>
      </c>
      <c r="N2594">
        <f>IF(M2594="","",'Master Barang'!A88)</f>
        <v>0</v>
      </c>
      <c r="O2594">
        <f>IF(N2594="","",'Master Barang'!B88)</f>
        <v>0</v>
      </c>
      <c r="P2594">
        <f>IF(OR(M2594="",N2594=""),"",SUMIFS('Barang Keluar'!$E:$E,'Barang Keluar'!$A:$A,M2594,'Barang Keluar'!$C:$C,N2594))</f>
        <v>0</v>
      </c>
    </row>
    <row r="2595" spans="13:16">
      <c r="M2595" s="49">
        <f>IF($A$4+25&gt;$B$4,"",$A$4+25)</f>
        <v>46048</v>
      </c>
      <c r="N2595">
        <f>IF(M2595="","",'Master Barang'!A89)</f>
        <v>0</v>
      </c>
      <c r="O2595">
        <f>IF(N2595="","",'Master Barang'!B89)</f>
        <v>0</v>
      </c>
      <c r="P2595">
        <f>IF(OR(M2595="",N2595=""),"",SUMIFS('Barang Keluar'!$E:$E,'Barang Keluar'!$A:$A,M2595,'Barang Keluar'!$C:$C,N2595))</f>
        <v>0</v>
      </c>
    </row>
    <row r="2596" spans="13:16">
      <c r="M2596" s="49">
        <f>IF($A$4+25&gt;$B$4,"",$A$4+25)</f>
        <v>46048</v>
      </c>
      <c r="N2596">
        <f>IF(M2596="","",'Master Barang'!A90)</f>
        <v>0</v>
      </c>
      <c r="O2596">
        <f>IF(N2596="","",'Master Barang'!B90)</f>
        <v>0</v>
      </c>
      <c r="P2596">
        <f>IF(OR(M2596="",N2596=""),"",SUMIFS('Barang Keluar'!$E:$E,'Barang Keluar'!$A:$A,M2596,'Barang Keluar'!$C:$C,N2596))</f>
        <v>0</v>
      </c>
    </row>
    <row r="2597" spans="13:16">
      <c r="M2597" s="49">
        <f>IF($A$4+25&gt;$B$4,"",$A$4+25)</f>
        <v>46048</v>
      </c>
      <c r="N2597">
        <f>IF(M2597="","",'Master Barang'!A91)</f>
        <v>0</v>
      </c>
      <c r="O2597">
        <f>IF(N2597="","",'Master Barang'!B91)</f>
        <v>0</v>
      </c>
      <c r="P2597">
        <f>IF(OR(M2597="",N2597=""),"",SUMIFS('Barang Keluar'!$E:$E,'Barang Keluar'!$A:$A,M2597,'Barang Keluar'!$C:$C,N2597))</f>
        <v>0</v>
      </c>
    </row>
    <row r="2598" spans="13:16">
      <c r="M2598" s="49">
        <f>IF($A$4+25&gt;$B$4,"",$A$4+25)</f>
        <v>46048</v>
      </c>
      <c r="N2598">
        <f>IF(M2598="","",'Master Barang'!A92)</f>
        <v>0</v>
      </c>
      <c r="O2598">
        <f>IF(N2598="","",'Master Barang'!B92)</f>
        <v>0</v>
      </c>
      <c r="P2598">
        <f>IF(OR(M2598="",N2598=""),"",SUMIFS('Barang Keluar'!$E:$E,'Barang Keluar'!$A:$A,M2598,'Barang Keluar'!$C:$C,N2598))</f>
        <v>0</v>
      </c>
    </row>
    <row r="2599" spans="13:16">
      <c r="M2599" s="49">
        <f>IF($A$4+25&gt;$B$4,"",$A$4+25)</f>
        <v>46048</v>
      </c>
      <c r="N2599">
        <f>IF(M2599="","",'Master Barang'!A93)</f>
        <v>0</v>
      </c>
      <c r="O2599">
        <f>IF(N2599="","",'Master Barang'!B93)</f>
        <v>0</v>
      </c>
      <c r="P2599">
        <f>IF(OR(M2599="",N2599=""),"",SUMIFS('Barang Keluar'!$E:$E,'Barang Keluar'!$A:$A,M2599,'Barang Keluar'!$C:$C,N2599))</f>
        <v>0</v>
      </c>
    </row>
    <row r="2600" spans="13:16">
      <c r="M2600" s="49">
        <f>IF($A$4+25&gt;$B$4,"",$A$4+25)</f>
        <v>46048</v>
      </c>
      <c r="N2600">
        <f>IF(M2600="","",'Master Barang'!A94)</f>
        <v>0</v>
      </c>
      <c r="O2600">
        <f>IF(N2600="","",'Master Barang'!B94)</f>
        <v>0</v>
      </c>
      <c r="P2600">
        <f>IF(OR(M2600="",N2600=""),"",SUMIFS('Barang Keluar'!$E:$E,'Barang Keluar'!$A:$A,M2600,'Barang Keluar'!$C:$C,N2600))</f>
        <v>0</v>
      </c>
    </row>
    <row r="2601" spans="13:16">
      <c r="M2601" s="49">
        <f>IF($A$4+25&gt;$B$4,"",$A$4+25)</f>
        <v>46048</v>
      </c>
      <c r="N2601">
        <f>IF(M2601="","",'Master Barang'!A95)</f>
        <v>0</v>
      </c>
      <c r="O2601">
        <f>IF(N2601="","",'Master Barang'!B95)</f>
        <v>0</v>
      </c>
      <c r="P2601">
        <f>IF(OR(M2601="",N2601=""),"",SUMIFS('Barang Keluar'!$E:$E,'Barang Keluar'!$A:$A,M2601,'Barang Keluar'!$C:$C,N2601))</f>
        <v>0</v>
      </c>
    </row>
    <row r="2602" spans="13:16">
      <c r="M2602" s="49">
        <f>IF($A$4+25&gt;$B$4,"",$A$4+25)</f>
        <v>46048</v>
      </c>
      <c r="N2602">
        <f>IF(M2602="","",'Master Barang'!A96)</f>
        <v>0</v>
      </c>
      <c r="O2602">
        <f>IF(N2602="","",'Master Barang'!B96)</f>
        <v>0</v>
      </c>
      <c r="P2602">
        <f>IF(OR(M2602="",N2602=""),"",SUMIFS('Barang Keluar'!$E:$E,'Barang Keluar'!$A:$A,M2602,'Barang Keluar'!$C:$C,N2602))</f>
        <v>0</v>
      </c>
    </row>
    <row r="2603" spans="13:16">
      <c r="M2603" s="49">
        <f>IF($A$4+25&gt;$B$4,"",$A$4+25)</f>
        <v>46048</v>
      </c>
      <c r="N2603">
        <f>IF(M2603="","",'Master Barang'!A97)</f>
        <v>0</v>
      </c>
      <c r="O2603">
        <f>IF(N2603="","",'Master Barang'!B97)</f>
        <v>0</v>
      </c>
      <c r="P2603">
        <f>IF(OR(M2603="",N2603=""),"",SUMIFS('Barang Keluar'!$E:$E,'Barang Keluar'!$A:$A,M2603,'Barang Keluar'!$C:$C,N2603))</f>
        <v>0</v>
      </c>
    </row>
    <row r="2604" spans="13:16">
      <c r="M2604" s="49">
        <f>IF($A$4+25&gt;$B$4,"",$A$4+25)</f>
        <v>46048</v>
      </c>
      <c r="N2604">
        <f>IF(M2604="","",'Master Barang'!A98)</f>
        <v>0</v>
      </c>
      <c r="O2604">
        <f>IF(N2604="","",'Master Barang'!B98)</f>
        <v>0</v>
      </c>
      <c r="P2604">
        <f>IF(OR(M2604="",N2604=""),"",SUMIFS('Barang Keluar'!$E:$E,'Barang Keluar'!$A:$A,M2604,'Barang Keluar'!$C:$C,N2604))</f>
        <v>0</v>
      </c>
    </row>
    <row r="2605" spans="13:16">
      <c r="M2605" s="49">
        <f>IF($A$4+25&gt;$B$4,"",$A$4+25)</f>
        <v>46048</v>
      </c>
      <c r="N2605">
        <f>IF(M2605="","",'Master Barang'!A99)</f>
        <v>0</v>
      </c>
      <c r="O2605">
        <f>IF(N2605="","",'Master Barang'!B99)</f>
        <v>0</v>
      </c>
      <c r="P2605">
        <f>IF(OR(M2605="",N2605=""),"",SUMIFS('Barang Keluar'!$E:$E,'Barang Keluar'!$A:$A,M2605,'Barang Keluar'!$C:$C,N2605))</f>
        <v>0</v>
      </c>
    </row>
    <row r="2606" spans="13:16">
      <c r="M2606" s="49">
        <f>IF($A$4+25&gt;$B$4,"",$A$4+25)</f>
        <v>46048</v>
      </c>
      <c r="N2606">
        <f>IF(M2606="","",'Master Barang'!A100)</f>
        <v>0</v>
      </c>
      <c r="O2606">
        <f>IF(N2606="","",'Master Barang'!B100)</f>
        <v>0</v>
      </c>
      <c r="P2606">
        <f>IF(OR(M2606="",N2606=""),"",SUMIFS('Barang Keluar'!$E:$E,'Barang Keluar'!$A:$A,M2606,'Barang Keluar'!$C:$C,N2606))</f>
        <v>0</v>
      </c>
    </row>
    <row r="2607" spans="13:16">
      <c r="M2607" s="49">
        <f>IF($A$4+25&gt;$B$4,"",$A$4+25)</f>
        <v>46048</v>
      </c>
      <c r="N2607">
        <f>IF(M2607="","",'Master Barang'!A101)</f>
        <v>0</v>
      </c>
      <c r="O2607">
        <f>IF(N2607="","",'Master Barang'!B101)</f>
        <v>0</v>
      </c>
      <c r="P2607">
        <f>IF(OR(M2607="",N2607=""),"",SUMIFS('Barang Keluar'!$E:$E,'Barang Keluar'!$A:$A,M2607,'Barang Keluar'!$C:$C,N2607))</f>
        <v>0</v>
      </c>
    </row>
    <row r="2608" spans="13:16">
      <c r="M2608" s="49">
        <f>IF($A$4+26&gt;$B$4,"",$A$4+26)</f>
        <v>46049</v>
      </c>
      <c r="N2608" t="str">
        <f>IF(M2608="","",'Master Barang'!A2)</f>
        <v>PRL-001</v>
      </c>
      <c r="O2608" t="str">
        <f>IF(N2608="","",'Master Barang'!B2)</f>
        <v>natura desinfectant food grade 5l</v>
      </c>
      <c r="P2608">
        <f>IF(OR(M2608="",N2608=""),"",SUMIFS('Barang Keluar'!$E:$E,'Barang Keluar'!$A:$A,M2608,'Barang Keluar'!$C:$C,N2608))</f>
        <v>0</v>
      </c>
    </row>
    <row r="2609" spans="13:16">
      <c r="M2609" s="49">
        <f>IF($A$4+26&gt;$B$4,"",$A$4+26)</f>
        <v>46049</v>
      </c>
      <c r="N2609" t="str">
        <f>IF(M2609="","",'Master Barang'!A3)</f>
        <v>PRL-002</v>
      </c>
      <c r="O2609" t="str">
        <f>IF(N2609="","",'Master Barang'!B3)</f>
        <v>sunlight cairan pencuci piring 5l</v>
      </c>
      <c r="P2609">
        <f>IF(OR(M2609="",N2609=""),"",SUMIFS('Barang Keluar'!$E:$E,'Barang Keluar'!$A:$A,M2609,'Barang Keluar'!$C:$C,N2609))</f>
        <v>0</v>
      </c>
    </row>
    <row r="2610" spans="13:16">
      <c r="M2610" s="49">
        <f>IF($A$4+26&gt;$B$4,"",$A$4+26)</f>
        <v>46049</v>
      </c>
      <c r="N2610" t="str">
        <f>IF(M2610="","",'Master Barang'!A4)</f>
        <v>PRL-003</v>
      </c>
      <c r="O2610" t="str">
        <f>IF(N2610="","",'Master Barang'!B4)</f>
        <v>oixs cleaner 1l</v>
      </c>
      <c r="P2610">
        <f>IF(OR(M2610="",N2610=""),"",SUMIFS('Barang Keluar'!$E:$E,'Barang Keluar'!$A:$A,M2610,'Barang Keluar'!$C:$C,N2610))</f>
        <v>0</v>
      </c>
    </row>
    <row r="2611" spans="13:16">
      <c r="M2611" s="49">
        <f>IF($A$4+26&gt;$B$4,"",$A$4+26)</f>
        <v>46049</v>
      </c>
      <c r="N2611" t="str">
        <f>IF(M2611="","",'Master Barang'!A5)</f>
        <v>PRL-004</v>
      </c>
      <c r="O2611" t="str">
        <f>IF(N2611="","",'Master Barang'!B5)</f>
        <v>be clean tissue serbaguna</v>
      </c>
      <c r="P2611">
        <f>IF(OR(M2611="",N2611=""),"",SUMIFS('Barang Keluar'!$E:$E,'Barang Keluar'!$A:$A,M2611,'Barang Keluar'!$C:$C,N2611))</f>
        <v>0</v>
      </c>
    </row>
    <row r="2612" spans="13:16">
      <c r="M2612" s="49">
        <f>IF($A$4+26&gt;$B$4,"",$A$4+26)</f>
        <v>46049</v>
      </c>
      <c r="N2612" t="str">
        <f>IF(M2612="","",'Master Barang'!A6)</f>
        <v>PRL-005</v>
      </c>
      <c r="O2612" t="str">
        <f>IF(N2612="","",'Master Barang'!B6)</f>
        <v>spons cuci hijau</v>
      </c>
      <c r="P2612">
        <f>IF(OR(M2612="",N2612=""),"",SUMIFS('Barang Keluar'!$E:$E,'Barang Keluar'!$A:$A,M2612,'Barang Keluar'!$C:$C,N2612))</f>
        <v>0</v>
      </c>
    </row>
    <row r="2613" spans="13:16">
      <c r="M2613" s="49">
        <f>IF($A$4+26&gt;$B$4,"",$A$4+26)</f>
        <v>46049</v>
      </c>
      <c r="N2613" t="str">
        <f>IF(M2613="","",'Master Barang'!A7)</f>
        <v>PRL-006</v>
      </c>
      <c r="O2613" t="str">
        <f>IF(N2613="","",'Master Barang'!B7)</f>
        <v>sabut cuci stainless</v>
      </c>
      <c r="P2613">
        <f>IF(OR(M2613="",N2613=""),"",SUMIFS('Barang Keluar'!$E:$E,'Barang Keluar'!$A:$A,M2613,'Barang Keluar'!$C:$C,N2613))</f>
        <v>0</v>
      </c>
    </row>
    <row r="2614" spans="13:16">
      <c r="M2614" s="49">
        <f>IF($A$4+26&gt;$B$4,"",$A$4+26)</f>
        <v>46049</v>
      </c>
      <c r="N2614" t="str">
        <f>IF(M2614="","",'Master Barang'!A8)</f>
        <v>PRL-007</v>
      </c>
      <c r="O2614" t="str">
        <f>IF(N2614="","",'Master Barang'!B8)</f>
        <v>plastik kresek besar merah 50pc</v>
      </c>
      <c r="P2614">
        <f>IF(OR(M2614="",N2614=""),"",SUMIFS('Barang Keluar'!$E:$E,'Barang Keluar'!$A:$A,M2614,'Barang Keluar'!$C:$C,N2614))</f>
        <v>0</v>
      </c>
    </row>
    <row r="2615" spans="13:16">
      <c r="M2615" s="49">
        <f>IF($A$4+26&gt;$B$4,"",$A$4+26)</f>
        <v>46049</v>
      </c>
      <c r="N2615" t="str">
        <f>IF(M2615="","",'Master Barang'!A9)</f>
        <v>PRL-008</v>
      </c>
      <c r="O2615" t="str">
        <f>IF(N2615="","",'Master Barang'!B9)</f>
        <v>lap besar</v>
      </c>
      <c r="P2615">
        <f>IF(OR(M2615="",N2615=""),"",SUMIFS('Barang Keluar'!$E:$E,'Barang Keluar'!$A:$A,M2615,'Barang Keluar'!$C:$C,N2615))</f>
        <v>0</v>
      </c>
    </row>
    <row r="2616" spans="13:16">
      <c r="M2616" s="49">
        <f>IF($A$4+26&gt;$B$4,"",$A$4+26)</f>
        <v>46049</v>
      </c>
      <c r="N2616" t="str">
        <f>IF(M2616="","",'Master Barang'!A10)</f>
        <v>PRL-009</v>
      </c>
      <c r="O2616" t="str">
        <f>IF(N2616="","",'Master Barang'!B10)</f>
        <v>lap microfiber</v>
      </c>
      <c r="P2616">
        <f>IF(OR(M2616="",N2616=""),"",SUMIFS('Barang Keluar'!$E:$E,'Barang Keluar'!$A:$A,M2616,'Barang Keluar'!$C:$C,N2616))</f>
        <v>0</v>
      </c>
    </row>
    <row r="2617" spans="13:16">
      <c r="M2617" s="49">
        <f>IF($A$4+26&gt;$B$4,"",$A$4+26)</f>
        <v>46049</v>
      </c>
      <c r="N2617" t="str">
        <f>IF(M2617="","",'Master Barang'!A11)</f>
        <v>PRL-010</v>
      </c>
      <c r="O2617" t="str">
        <f>IF(N2617="","",'Master Barang'!B11)</f>
        <v>lap kecil</v>
      </c>
      <c r="P2617">
        <f>IF(OR(M2617="",N2617=""),"",SUMIFS('Barang Keluar'!$E:$E,'Barang Keluar'!$A:$A,M2617,'Barang Keluar'!$C:$C,N2617))</f>
        <v>0</v>
      </c>
    </row>
    <row r="2618" spans="13:16">
      <c r="M2618" s="49">
        <f>IF($A$4+26&gt;$B$4,"",$A$4+26)</f>
        <v>46049</v>
      </c>
      <c r="N2618" t="str">
        <f>IF(M2618="","",'Master Barang'!A12)</f>
        <v>PRL-011</v>
      </c>
      <c r="O2618" t="str">
        <f>IF(N2618="","",'Master Barang'!B12)</f>
        <v>kanebo kecil</v>
      </c>
      <c r="P2618">
        <f>IF(OR(M2618="",N2618=""),"",SUMIFS('Barang Keluar'!$E:$E,'Barang Keluar'!$A:$A,M2618,'Barang Keluar'!$C:$C,N2618))</f>
        <v>0</v>
      </c>
    </row>
    <row r="2619" spans="13:16">
      <c r="M2619" s="49">
        <f>IF($A$4+26&gt;$B$4,"",$A$4+26)</f>
        <v>46049</v>
      </c>
      <c r="N2619" t="str">
        <f>IF(M2619="","",'Master Barang'!A13)</f>
        <v>PRL-012</v>
      </c>
      <c r="O2619" t="str">
        <f>IF(N2619="","",'Master Barang'!B13)</f>
        <v>plastik 1/4kg joyoboyo 100 lembar</v>
      </c>
      <c r="P2619">
        <f>IF(OR(M2619="",N2619=""),"",SUMIFS('Barang Keluar'!$E:$E,'Barang Keluar'!$A:$A,M2619,'Barang Keluar'!$C:$C,N2619))</f>
        <v>0</v>
      </c>
    </row>
    <row r="2620" spans="13:16">
      <c r="M2620" s="49">
        <f>IF($A$4+26&gt;$B$4,"",$A$4+26)</f>
        <v>46049</v>
      </c>
      <c r="N2620" t="str">
        <f>IF(M2620="","",'Master Barang'!A14)</f>
        <v>PRL-013</v>
      </c>
      <c r="O2620" t="str">
        <f>IF(N2620="","",'Master Barang'!B14)</f>
        <v>sarung tangan plastik kaka 100 pcs</v>
      </c>
      <c r="P2620">
        <f>IF(OR(M2620="",N2620=""),"",SUMIFS('Barang Keluar'!$E:$E,'Barang Keluar'!$A:$A,M2620,'Barang Keluar'!$C:$C,N2620))</f>
        <v>0</v>
      </c>
    </row>
    <row r="2621" spans="13:16">
      <c r="M2621" s="49">
        <f>IF($A$4+26&gt;$B$4,"",$A$4+26)</f>
        <v>46049</v>
      </c>
      <c r="N2621" t="str">
        <f>IF(M2621="","",'Master Barang'!A15)</f>
        <v>PRL-014</v>
      </c>
      <c r="O2621" t="str">
        <f>IF(N2621="","",'Master Barang'!B15)</f>
        <v>optima trashbag 80x100</v>
      </c>
      <c r="P2621">
        <f>IF(OR(M2621="",N2621=""),"",SUMIFS('Barang Keluar'!$E:$E,'Barang Keluar'!$A:$A,M2621,'Barang Keluar'!$C:$C,N2621))</f>
        <v>0</v>
      </c>
    </row>
    <row r="2622" spans="13:16">
      <c r="M2622" s="49">
        <f>IF($A$4+26&gt;$B$4,"",$A$4+26)</f>
        <v>46049</v>
      </c>
      <c r="N2622" t="str">
        <f>IF(M2622="","",'Master Barang'!A16)</f>
        <v>PRL-015</v>
      </c>
      <c r="O2622" t="str">
        <f>IF(N2622="","",'Master Barang'!B16)</f>
        <v>optima trashbag 60x100</v>
      </c>
      <c r="P2622">
        <f>IF(OR(M2622="",N2622=""),"",SUMIFS('Barang Keluar'!$E:$E,'Barang Keluar'!$A:$A,M2622,'Barang Keluar'!$C:$C,N2622))</f>
        <v>0</v>
      </c>
    </row>
    <row r="2623" spans="13:16">
      <c r="M2623" s="49">
        <f>IF($A$4+26&gt;$B$4,"",$A$4+26)</f>
        <v>46049</v>
      </c>
      <c r="N2623" t="str">
        <f>IF(M2623="","",'Master Barang'!A17)</f>
        <v>PRL-016</v>
      </c>
      <c r="O2623" t="str">
        <f>IF(N2623="","",'Master Barang'!B17)</f>
        <v>rajawali trashbag 30x40</v>
      </c>
      <c r="P2623">
        <f>IF(OR(M2623="",N2623=""),"",SUMIFS('Barang Keluar'!$E:$E,'Barang Keluar'!$A:$A,M2623,'Barang Keluar'!$C:$C,N2623))</f>
        <v>0</v>
      </c>
    </row>
    <row r="2624" spans="13:16">
      <c r="M2624" s="49">
        <f>IF($A$4+26&gt;$B$4,"",$A$4+26)</f>
        <v>46049</v>
      </c>
      <c r="N2624" t="str">
        <f>IF(M2624="","",'Master Barang'!A18)</f>
        <v>PRL-017</v>
      </c>
      <c r="O2624" t="str">
        <f>IF(N2624="","",'Master Barang'!B18)</f>
        <v>onemed masker biru 3 play 50 pcs</v>
      </c>
      <c r="P2624">
        <f>IF(OR(M2624="",N2624=""),"",SUMIFS('Barang Keluar'!$E:$E,'Barang Keluar'!$A:$A,M2624,'Barang Keluar'!$C:$C,N2624))</f>
        <v>0</v>
      </c>
    </row>
    <row r="2625" spans="13:16">
      <c r="M2625" s="49">
        <f>IF($A$4+26&gt;$B$4,"",$A$4+26)</f>
        <v>46049</v>
      </c>
      <c r="N2625" t="str">
        <f>IF(M2625="","",'Master Barang'!A19)</f>
        <v>PRL-018</v>
      </c>
      <c r="O2625" t="str">
        <f>IF(N2625="","",'Master Barang'!B19)</f>
        <v>onemed masker biru 3 play hijab 50 pcs</v>
      </c>
      <c r="P2625">
        <f>IF(OR(M2625="",N2625=""),"",SUMIFS('Barang Keluar'!$E:$E,'Barang Keluar'!$A:$A,M2625,'Barang Keluar'!$C:$C,N2625))</f>
        <v>0</v>
      </c>
    </row>
    <row r="2626" spans="13:16">
      <c r="M2626" s="49">
        <f>IF($A$4+26&gt;$B$4,"",$A$4+26)</f>
        <v>46049</v>
      </c>
      <c r="N2626" t="str">
        <f>IF(M2626="","",'Master Barang'!A20)</f>
        <v>PRL-019</v>
      </c>
      <c r="O2626" t="str">
        <f>IF(N2626="","",'Master Barang'!B20)</f>
        <v>neo health masker biru 3 play 50 pcs</v>
      </c>
      <c r="P2626">
        <f>IF(OR(M2626="",N2626=""),"",SUMIFS('Barang Keluar'!$E:$E,'Barang Keluar'!$A:$A,M2626,'Barang Keluar'!$C:$C,N2626))</f>
        <v>0</v>
      </c>
    </row>
    <row r="2627" spans="13:16">
      <c r="M2627" s="49">
        <f>IF($A$4+26&gt;$B$4,"",$A$4+26)</f>
        <v>46049</v>
      </c>
      <c r="N2627" t="str">
        <f>IF(M2627="","",'Master Barang'!A21)</f>
        <v>PRL-020</v>
      </c>
      <c r="O2627" t="str">
        <f>IF(N2627="","",'Master Barang'!B21)</f>
        <v>baymed masker hijau 3 play hijau 50 pcs</v>
      </c>
      <c r="P2627">
        <f>IF(OR(M2627="",N2627=""),"",SUMIFS('Barang Keluar'!$E:$E,'Barang Keluar'!$A:$A,M2627,'Barang Keluar'!$C:$C,N2627))</f>
        <v>0</v>
      </c>
    </row>
    <row r="2628" spans="13:16">
      <c r="M2628" s="49">
        <f>IF($A$4+26&gt;$B$4,"",$A$4+26)</f>
        <v>46049</v>
      </c>
      <c r="N2628" t="str">
        <f>IF(M2628="","",'Master Barang'!A22)</f>
        <v>PRL-021</v>
      </c>
      <c r="O2628" t="str">
        <f>IF(N2628="","",'Master Barang'!B22)</f>
        <v>altamed nurse cap penutup kepala 100 pcs</v>
      </c>
      <c r="P2628">
        <f>IF(OR(M2628="",N2628=""),"",SUMIFS('Barang Keluar'!$E:$E,'Barang Keluar'!$A:$A,M2628,'Barang Keluar'!$C:$C,N2628))</f>
        <v>0</v>
      </c>
    </row>
    <row r="2629" spans="13:16">
      <c r="M2629" s="49">
        <f>IF($A$4+26&gt;$B$4,"",$A$4+26)</f>
        <v>46049</v>
      </c>
      <c r="N2629" t="str">
        <f>IF(M2629="","",'Master Barang'!A23)</f>
        <v>PRL-022</v>
      </c>
      <c r="O2629" t="str">
        <f>IF(N2629="","",'Master Barang'!B23)</f>
        <v>sabun cuci tangan</v>
      </c>
      <c r="P2629">
        <f>IF(OR(M2629="",N2629=""),"",SUMIFS('Barang Keluar'!$E:$E,'Barang Keluar'!$A:$A,M2629,'Barang Keluar'!$C:$C,N2629))</f>
        <v>0</v>
      </c>
    </row>
    <row r="2630" spans="13:16">
      <c r="M2630" s="49">
        <f>IF($A$4+26&gt;$B$4,"",$A$4+26)</f>
        <v>46049</v>
      </c>
      <c r="N2630" t="str">
        <f>IF(M2630="","",'Master Barang'!A24)</f>
        <v>PRL-023</v>
      </c>
      <c r="O2630" t="str">
        <f>IF(N2630="","",'Master Barang'!B24)</f>
        <v>gayung kecil</v>
      </c>
      <c r="P2630">
        <f>IF(OR(M2630="",N2630=""),"",SUMIFS('Barang Keluar'!$E:$E,'Barang Keluar'!$A:$A,M2630,'Barang Keluar'!$C:$C,N2630))</f>
        <v>0</v>
      </c>
    </row>
    <row r="2631" spans="13:16">
      <c r="M2631" s="49">
        <f>IF($A$4+26&gt;$B$4,"",$A$4+26)</f>
        <v>46049</v>
      </c>
      <c r="N2631" t="str">
        <f>IF(M2631="","",'Master Barang'!A25)</f>
        <v>PRL-024</v>
      </c>
      <c r="O2631" t="str">
        <f>IF(N2631="","",'Master Barang'!B25)</f>
        <v>cikrak kecil</v>
      </c>
      <c r="P2631">
        <f>IF(OR(M2631="",N2631=""),"",SUMIFS('Barang Keluar'!$E:$E,'Barang Keluar'!$A:$A,M2631,'Barang Keluar'!$C:$C,N2631))</f>
        <v>0</v>
      </c>
    </row>
    <row r="2632" spans="13:16">
      <c r="M2632" s="49">
        <f>IF($A$4+26&gt;$B$4,"",$A$4+26)</f>
        <v>46049</v>
      </c>
      <c r="N2632" t="str">
        <f>IF(M2632="","",'Master Barang'!A26)</f>
        <v>PRL-025</v>
      </c>
      <c r="O2632" t="str">
        <f>IF(N2632="","",'Master Barang'!B26)</f>
        <v>petromax plastik kecil 12x24 100 lembar</v>
      </c>
      <c r="P2632">
        <f>IF(OR(M2632="",N2632=""),"",SUMIFS('Barang Keluar'!$E:$E,'Barang Keluar'!$A:$A,M2632,'Barang Keluar'!$C:$C,N2632))</f>
        <v>0</v>
      </c>
    </row>
    <row r="2633" spans="13:16">
      <c r="M2633" s="49">
        <f>IF($A$4+26&gt;$B$4,"",$A$4+26)</f>
        <v>46049</v>
      </c>
      <c r="N2633" t="str">
        <f>IF(M2633="","",'Master Barang'!A27)</f>
        <v>PRL-026</v>
      </c>
      <c r="O2633" t="str">
        <f>IF(N2633="","",'Master Barang'!B27)</f>
        <v>lancar kresek kecil bening </v>
      </c>
      <c r="P2633">
        <f>IF(OR(M2633="",N2633=""),"",SUMIFS('Barang Keluar'!$E:$E,'Barang Keluar'!$A:$A,M2633,'Barang Keluar'!$C:$C,N2633))</f>
        <v>0</v>
      </c>
    </row>
    <row r="2634" spans="13:16">
      <c r="M2634" s="49">
        <f>IF($A$4+26&gt;$B$4,"",$A$4+26)</f>
        <v>46049</v>
      </c>
      <c r="N2634" t="str">
        <f>IF(M2634="","",'Master Barang'!A28)</f>
        <v>PRL-027</v>
      </c>
      <c r="O2634" t="str">
        <f>IF(N2634="","",'Master Barang'!B28)</f>
        <v>kresek klin warna warni kecil</v>
      </c>
      <c r="P2634">
        <f>IF(OR(M2634="",N2634=""),"",SUMIFS('Barang Keluar'!$E:$E,'Barang Keluar'!$A:$A,M2634,'Barang Keluar'!$C:$C,N2634))</f>
        <v>0</v>
      </c>
    </row>
    <row r="2635" spans="13:16">
      <c r="M2635" s="49">
        <f>IF($A$4+26&gt;$B$4,"",$A$4+26)</f>
        <v>46049</v>
      </c>
      <c r="N2635" t="str">
        <f>IF(M2635="","",'Master Barang'!A29)</f>
        <v>PRL-028</v>
      </c>
      <c r="O2635" t="str">
        <f>IF(N2635="","",'Master Barang'!B29)</f>
        <v>ctik plastik 7x10 100 pcs</v>
      </c>
      <c r="P2635">
        <f>IF(OR(M2635="",N2635=""),"",SUMIFS('Barang Keluar'!$E:$E,'Barang Keluar'!$A:$A,M2635,'Barang Keluar'!$C:$C,N2635))</f>
        <v>0</v>
      </c>
    </row>
    <row r="2636" spans="13:16">
      <c r="M2636" s="49">
        <f>IF($A$4+26&gt;$B$4,"",$A$4+26)</f>
        <v>46049</v>
      </c>
      <c r="N2636" t="str">
        <f>IF(M2636="","",'Master Barang'!A30)</f>
        <v>PRL-029</v>
      </c>
      <c r="O2636" t="str">
        <f>IF(N2636="","",'Master Barang'!B30)</f>
        <v>ctik plastik 6x10 100 pcs</v>
      </c>
      <c r="P2636">
        <f>IF(OR(M2636="",N2636=""),"",SUMIFS('Barang Keluar'!$E:$E,'Barang Keluar'!$A:$A,M2636,'Barang Keluar'!$C:$C,N2636))</f>
        <v>0</v>
      </c>
    </row>
    <row r="2637" spans="13:16">
      <c r="M2637" s="49">
        <f>IF($A$4+26&gt;$B$4,"",$A$4+26)</f>
        <v>46049</v>
      </c>
      <c r="N2637" t="str">
        <f>IF(M2637="","",'Master Barang'!A31)</f>
        <v>PRL-030</v>
      </c>
      <c r="O2637" t="str">
        <f>IF(N2637="","",'Master Barang'!B31)</f>
        <v>klip plastik 25x16 100 pcs</v>
      </c>
      <c r="P2637">
        <f>IF(OR(M2637="",N2637=""),"",SUMIFS('Barang Keluar'!$E:$E,'Barang Keluar'!$A:$A,M2637,'Barang Keluar'!$C:$C,N2637))</f>
        <v>0</v>
      </c>
    </row>
    <row r="2638" spans="13:16">
      <c r="M2638" s="49">
        <f>IF($A$4+26&gt;$B$4,"",$A$4+26)</f>
        <v>46049</v>
      </c>
      <c r="N2638" t="str">
        <f>IF(M2638="","",'Master Barang'!A32)</f>
        <v>PRL-031</v>
      </c>
      <c r="O2638" t="str">
        <f>IF(N2638="","",'Master Barang'!B32)</f>
        <v>tempat saus 20 ml</v>
      </c>
      <c r="P2638">
        <f>IF(OR(M2638="",N2638=""),"",SUMIFS('Barang Keluar'!$E:$E,'Barang Keluar'!$A:$A,M2638,'Barang Keluar'!$C:$C,N2638))</f>
        <v>0</v>
      </c>
    </row>
    <row r="2639" spans="13:16">
      <c r="M2639" s="49">
        <f>IF($A$4+26&gt;$B$4,"",$A$4+26)</f>
        <v>46049</v>
      </c>
      <c r="N2639" t="str">
        <f>IF(M2639="","",'Master Barang'!A33)</f>
        <v>PRL-032</v>
      </c>
      <c r="O2639" t="str">
        <f>IF(N2639="","",'Master Barang'!B33)</f>
        <v>plastik packaging ag box uk sedang</v>
      </c>
      <c r="P2639">
        <f>IF(OR(M2639="",N2639=""),"",SUMIFS('Barang Keluar'!$E:$E,'Barang Keluar'!$A:$A,M2639,'Barang Keluar'!$C:$C,N2639))</f>
        <v>0</v>
      </c>
    </row>
    <row r="2640" spans="13:16">
      <c r="M2640" s="49">
        <f>IF($A$4+26&gt;$B$4,"",$A$4+26)</f>
        <v>46049</v>
      </c>
      <c r="N2640" t="str">
        <f>IF(M2640="","",'Master Barang'!A34)</f>
        <v>PRL-033</v>
      </c>
      <c r="O2640">
        <f>IF(N2640="","",'Master Barang'!B34)</f>
        <v>0</v>
      </c>
      <c r="P2640">
        <f>IF(OR(M2640="",N2640=""),"",SUMIFS('Barang Keluar'!$E:$E,'Barang Keluar'!$A:$A,M2640,'Barang Keluar'!$C:$C,N2640))</f>
        <v>0</v>
      </c>
    </row>
    <row r="2641" spans="13:16">
      <c r="M2641" s="49">
        <f>IF($A$4+26&gt;$B$4,"",$A$4+26)</f>
        <v>46049</v>
      </c>
      <c r="N2641">
        <f>IF(M2641="","",'Master Barang'!A35)</f>
        <v>0</v>
      </c>
      <c r="O2641">
        <f>IF(N2641="","",'Master Barang'!B35)</f>
        <v>0</v>
      </c>
      <c r="P2641">
        <f>IF(OR(M2641="",N2641=""),"",SUMIFS('Barang Keluar'!$E:$E,'Barang Keluar'!$A:$A,M2641,'Barang Keluar'!$C:$C,N2641))</f>
        <v>0</v>
      </c>
    </row>
    <row r="2642" spans="13:16">
      <c r="M2642" s="49">
        <f>IF($A$4+26&gt;$B$4,"",$A$4+26)</f>
        <v>46049</v>
      </c>
      <c r="N2642">
        <f>IF(M2642="","",'Master Barang'!A36)</f>
        <v>0</v>
      </c>
      <c r="O2642">
        <f>IF(N2642="","",'Master Barang'!B36)</f>
        <v>0</v>
      </c>
      <c r="P2642">
        <f>IF(OR(M2642="",N2642=""),"",SUMIFS('Barang Keluar'!$E:$E,'Barang Keluar'!$A:$A,M2642,'Barang Keluar'!$C:$C,N2642))</f>
        <v>0</v>
      </c>
    </row>
    <row r="2643" spans="13:16">
      <c r="M2643" s="49">
        <f>IF($A$4+26&gt;$B$4,"",$A$4+26)</f>
        <v>46049</v>
      </c>
      <c r="N2643">
        <f>IF(M2643="","",'Master Barang'!A37)</f>
        <v>0</v>
      </c>
      <c r="O2643">
        <f>IF(N2643="","",'Master Barang'!B37)</f>
        <v>0</v>
      </c>
      <c r="P2643">
        <f>IF(OR(M2643="",N2643=""),"",SUMIFS('Barang Keluar'!$E:$E,'Barang Keluar'!$A:$A,M2643,'Barang Keluar'!$C:$C,N2643))</f>
        <v>0</v>
      </c>
    </row>
    <row r="2644" spans="13:16">
      <c r="M2644" s="49">
        <f>IF($A$4+26&gt;$B$4,"",$A$4+26)</f>
        <v>46049</v>
      </c>
      <c r="N2644">
        <f>IF(M2644="","",'Master Barang'!A38)</f>
        <v>0</v>
      </c>
      <c r="O2644">
        <f>IF(N2644="","",'Master Barang'!B38)</f>
        <v>0</v>
      </c>
      <c r="P2644">
        <f>IF(OR(M2644="",N2644=""),"",SUMIFS('Barang Keluar'!$E:$E,'Barang Keluar'!$A:$A,M2644,'Barang Keluar'!$C:$C,N2644))</f>
        <v>0</v>
      </c>
    </row>
    <row r="2645" spans="13:16">
      <c r="M2645" s="49">
        <f>IF($A$4+26&gt;$B$4,"",$A$4+26)</f>
        <v>46049</v>
      </c>
      <c r="N2645">
        <f>IF(M2645="","",'Master Barang'!A39)</f>
        <v>0</v>
      </c>
      <c r="O2645">
        <f>IF(N2645="","",'Master Barang'!B39)</f>
        <v>0</v>
      </c>
      <c r="P2645">
        <f>IF(OR(M2645="",N2645=""),"",SUMIFS('Barang Keluar'!$E:$E,'Barang Keluar'!$A:$A,M2645,'Barang Keluar'!$C:$C,N2645))</f>
        <v>0</v>
      </c>
    </row>
    <row r="2646" spans="13:16">
      <c r="M2646" s="49">
        <f>IF($A$4+26&gt;$B$4,"",$A$4+26)</f>
        <v>46049</v>
      </c>
      <c r="N2646">
        <f>IF(M2646="","",'Master Barang'!A40)</f>
        <v>0</v>
      </c>
      <c r="O2646">
        <f>IF(N2646="","",'Master Barang'!B40)</f>
        <v>0</v>
      </c>
      <c r="P2646">
        <f>IF(OR(M2646="",N2646=""),"",SUMIFS('Barang Keluar'!$E:$E,'Barang Keluar'!$A:$A,M2646,'Barang Keluar'!$C:$C,N2646))</f>
        <v>0</v>
      </c>
    </row>
    <row r="2647" spans="13:16">
      <c r="M2647" s="49">
        <f>IF($A$4+26&gt;$B$4,"",$A$4+26)</f>
        <v>46049</v>
      </c>
      <c r="N2647">
        <f>IF(M2647="","",'Master Barang'!A41)</f>
        <v>0</v>
      </c>
      <c r="O2647">
        <f>IF(N2647="","",'Master Barang'!B41)</f>
        <v>0</v>
      </c>
      <c r="P2647">
        <f>IF(OR(M2647="",N2647=""),"",SUMIFS('Barang Keluar'!$E:$E,'Barang Keluar'!$A:$A,M2647,'Barang Keluar'!$C:$C,N2647))</f>
        <v>0</v>
      </c>
    </row>
    <row r="2648" spans="13:16">
      <c r="M2648" s="49">
        <f>IF($A$4+26&gt;$B$4,"",$A$4+26)</f>
        <v>46049</v>
      </c>
      <c r="N2648">
        <f>IF(M2648="","",'Master Barang'!A42)</f>
        <v>0</v>
      </c>
      <c r="O2648">
        <f>IF(N2648="","",'Master Barang'!B42)</f>
        <v>0</v>
      </c>
      <c r="P2648">
        <f>IF(OR(M2648="",N2648=""),"",SUMIFS('Barang Keluar'!$E:$E,'Barang Keluar'!$A:$A,M2648,'Barang Keluar'!$C:$C,N2648))</f>
        <v>0</v>
      </c>
    </row>
    <row r="2649" spans="13:16">
      <c r="M2649" s="49">
        <f>IF($A$4+26&gt;$B$4,"",$A$4+26)</f>
        <v>46049</v>
      </c>
      <c r="N2649">
        <f>IF(M2649="","",'Master Barang'!A43)</f>
        <v>0</v>
      </c>
      <c r="O2649">
        <f>IF(N2649="","",'Master Barang'!B43)</f>
        <v>0</v>
      </c>
      <c r="P2649">
        <f>IF(OR(M2649="",N2649=""),"",SUMIFS('Barang Keluar'!$E:$E,'Barang Keluar'!$A:$A,M2649,'Barang Keluar'!$C:$C,N2649))</f>
        <v>0</v>
      </c>
    </row>
    <row r="2650" spans="13:16">
      <c r="M2650" s="49">
        <f>IF($A$4+26&gt;$B$4,"",$A$4+26)</f>
        <v>46049</v>
      </c>
      <c r="N2650">
        <f>IF(M2650="","",'Master Barang'!A44)</f>
        <v>0</v>
      </c>
      <c r="O2650">
        <f>IF(N2650="","",'Master Barang'!B44)</f>
        <v>0</v>
      </c>
      <c r="P2650">
        <f>IF(OR(M2650="",N2650=""),"",SUMIFS('Barang Keluar'!$E:$E,'Barang Keluar'!$A:$A,M2650,'Barang Keluar'!$C:$C,N2650))</f>
        <v>0</v>
      </c>
    </row>
    <row r="2651" spans="13:16">
      <c r="M2651" s="49">
        <f>IF($A$4+26&gt;$B$4,"",$A$4+26)</f>
        <v>46049</v>
      </c>
      <c r="N2651">
        <f>IF(M2651="","",'Master Barang'!A45)</f>
        <v>0</v>
      </c>
      <c r="O2651">
        <f>IF(N2651="","",'Master Barang'!B45)</f>
        <v>0</v>
      </c>
      <c r="P2651">
        <f>IF(OR(M2651="",N2651=""),"",SUMIFS('Barang Keluar'!$E:$E,'Barang Keluar'!$A:$A,M2651,'Barang Keluar'!$C:$C,N2651))</f>
        <v>0</v>
      </c>
    </row>
    <row r="2652" spans="13:16">
      <c r="M2652" s="49">
        <f>IF($A$4+26&gt;$B$4,"",$A$4+26)</f>
        <v>46049</v>
      </c>
      <c r="N2652">
        <f>IF(M2652="","",'Master Barang'!A46)</f>
        <v>0</v>
      </c>
      <c r="O2652">
        <f>IF(N2652="","",'Master Barang'!B46)</f>
        <v>0</v>
      </c>
      <c r="P2652">
        <f>IF(OR(M2652="",N2652=""),"",SUMIFS('Barang Keluar'!$E:$E,'Barang Keluar'!$A:$A,M2652,'Barang Keluar'!$C:$C,N2652))</f>
        <v>0</v>
      </c>
    </row>
    <row r="2653" spans="13:16">
      <c r="M2653" s="49">
        <f>IF($A$4+26&gt;$B$4,"",$A$4+26)</f>
        <v>46049</v>
      </c>
      <c r="N2653">
        <f>IF(M2653="","",'Master Barang'!A47)</f>
        <v>0</v>
      </c>
      <c r="O2653">
        <f>IF(N2653="","",'Master Barang'!B47)</f>
        <v>0</v>
      </c>
      <c r="P2653">
        <f>IF(OR(M2653="",N2653=""),"",SUMIFS('Barang Keluar'!$E:$E,'Barang Keluar'!$A:$A,M2653,'Barang Keluar'!$C:$C,N2653))</f>
        <v>0</v>
      </c>
    </row>
    <row r="2654" spans="13:16">
      <c r="M2654" s="49">
        <f>IF($A$4+26&gt;$B$4,"",$A$4+26)</f>
        <v>46049</v>
      </c>
      <c r="N2654">
        <f>IF(M2654="","",'Master Barang'!A48)</f>
        <v>0</v>
      </c>
      <c r="O2654">
        <f>IF(N2654="","",'Master Barang'!B48)</f>
        <v>0</v>
      </c>
      <c r="P2654">
        <f>IF(OR(M2654="",N2654=""),"",SUMIFS('Barang Keluar'!$E:$E,'Barang Keluar'!$A:$A,M2654,'Barang Keluar'!$C:$C,N2654))</f>
        <v>0</v>
      </c>
    </row>
    <row r="2655" spans="13:16">
      <c r="M2655" s="49">
        <f>IF($A$4+26&gt;$B$4,"",$A$4+26)</f>
        <v>46049</v>
      </c>
      <c r="N2655">
        <f>IF(M2655="","",'Master Barang'!A49)</f>
        <v>0</v>
      </c>
      <c r="O2655">
        <f>IF(N2655="","",'Master Barang'!B49)</f>
        <v>0</v>
      </c>
      <c r="P2655">
        <f>IF(OR(M2655="",N2655=""),"",SUMIFS('Barang Keluar'!$E:$E,'Barang Keluar'!$A:$A,M2655,'Barang Keluar'!$C:$C,N2655))</f>
        <v>0</v>
      </c>
    </row>
    <row r="2656" spans="13:16">
      <c r="M2656" s="49">
        <f>IF($A$4+26&gt;$B$4,"",$A$4+26)</f>
        <v>46049</v>
      </c>
      <c r="N2656">
        <f>IF(M2656="","",'Master Barang'!A50)</f>
        <v>0</v>
      </c>
      <c r="O2656">
        <f>IF(N2656="","",'Master Barang'!B50)</f>
        <v>0</v>
      </c>
      <c r="P2656">
        <f>IF(OR(M2656="",N2656=""),"",SUMIFS('Barang Keluar'!$E:$E,'Barang Keluar'!$A:$A,M2656,'Barang Keluar'!$C:$C,N2656))</f>
        <v>0</v>
      </c>
    </row>
    <row r="2657" spans="13:16">
      <c r="M2657" s="49">
        <f>IF($A$4+26&gt;$B$4,"",$A$4+26)</f>
        <v>46049</v>
      </c>
      <c r="N2657">
        <f>IF(M2657="","",'Master Barang'!A51)</f>
        <v>0</v>
      </c>
      <c r="O2657">
        <f>IF(N2657="","",'Master Barang'!B51)</f>
        <v>0</v>
      </c>
      <c r="P2657">
        <f>IF(OR(M2657="",N2657=""),"",SUMIFS('Barang Keluar'!$E:$E,'Barang Keluar'!$A:$A,M2657,'Barang Keluar'!$C:$C,N2657))</f>
        <v>0</v>
      </c>
    </row>
    <row r="2658" spans="13:16">
      <c r="M2658" s="49">
        <f>IF($A$4+26&gt;$B$4,"",$A$4+26)</f>
        <v>46049</v>
      </c>
      <c r="N2658">
        <f>IF(M2658="","",'Master Barang'!A52)</f>
        <v>0</v>
      </c>
      <c r="O2658">
        <f>IF(N2658="","",'Master Barang'!B52)</f>
        <v>0</v>
      </c>
      <c r="P2658">
        <f>IF(OR(M2658="",N2658=""),"",SUMIFS('Barang Keluar'!$E:$E,'Barang Keluar'!$A:$A,M2658,'Barang Keluar'!$C:$C,N2658))</f>
        <v>0</v>
      </c>
    </row>
    <row r="2659" spans="13:16">
      <c r="M2659" s="49">
        <f>IF($A$4+26&gt;$B$4,"",$A$4+26)</f>
        <v>46049</v>
      </c>
      <c r="N2659">
        <f>IF(M2659="","",'Master Barang'!A53)</f>
        <v>0</v>
      </c>
      <c r="O2659">
        <f>IF(N2659="","",'Master Barang'!B53)</f>
        <v>0</v>
      </c>
      <c r="P2659">
        <f>IF(OR(M2659="",N2659=""),"",SUMIFS('Barang Keluar'!$E:$E,'Barang Keluar'!$A:$A,M2659,'Barang Keluar'!$C:$C,N2659))</f>
        <v>0</v>
      </c>
    </row>
    <row r="2660" spans="13:16">
      <c r="M2660" s="49">
        <f>IF($A$4+26&gt;$B$4,"",$A$4+26)</f>
        <v>46049</v>
      </c>
      <c r="N2660">
        <f>IF(M2660="","",'Master Barang'!A54)</f>
        <v>0</v>
      </c>
      <c r="O2660">
        <f>IF(N2660="","",'Master Barang'!B54)</f>
        <v>0</v>
      </c>
      <c r="P2660">
        <f>IF(OR(M2660="",N2660=""),"",SUMIFS('Barang Keluar'!$E:$E,'Barang Keluar'!$A:$A,M2660,'Barang Keluar'!$C:$C,N2660))</f>
        <v>0</v>
      </c>
    </row>
    <row r="2661" spans="13:16">
      <c r="M2661" s="49">
        <f>IF($A$4+26&gt;$B$4,"",$A$4+26)</f>
        <v>46049</v>
      </c>
      <c r="N2661">
        <f>IF(M2661="","",'Master Barang'!A55)</f>
        <v>0</v>
      </c>
      <c r="O2661">
        <f>IF(N2661="","",'Master Barang'!B55)</f>
        <v>0</v>
      </c>
      <c r="P2661">
        <f>IF(OR(M2661="",N2661=""),"",SUMIFS('Barang Keluar'!$E:$E,'Barang Keluar'!$A:$A,M2661,'Barang Keluar'!$C:$C,N2661))</f>
        <v>0</v>
      </c>
    </row>
    <row r="2662" spans="13:16">
      <c r="M2662" s="49">
        <f>IF($A$4+26&gt;$B$4,"",$A$4+26)</f>
        <v>46049</v>
      </c>
      <c r="N2662">
        <f>IF(M2662="","",'Master Barang'!A56)</f>
        <v>0</v>
      </c>
      <c r="O2662">
        <f>IF(N2662="","",'Master Barang'!B56)</f>
        <v>0</v>
      </c>
      <c r="P2662">
        <f>IF(OR(M2662="",N2662=""),"",SUMIFS('Barang Keluar'!$E:$E,'Barang Keluar'!$A:$A,M2662,'Barang Keluar'!$C:$C,N2662))</f>
        <v>0</v>
      </c>
    </row>
    <row r="2663" spans="13:16">
      <c r="M2663" s="49">
        <f>IF($A$4+26&gt;$B$4,"",$A$4+26)</f>
        <v>46049</v>
      </c>
      <c r="N2663">
        <f>IF(M2663="","",'Master Barang'!A57)</f>
        <v>0</v>
      </c>
      <c r="O2663">
        <f>IF(N2663="","",'Master Barang'!B57)</f>
        <v>0</v>
      </c>
      <c r="P2663">
        <f>IF(OR(M2663="",N2663=""),"",SUMIFS('Barang Keluar'!$E:$E,'Barang Keluar'!$A:$A,M2663,'Barang Keluar'!$C:$C,N2663))</f>
        <v>0</v>
      </c>
    </row>
    <row r="2664" spans="13:16">
      <c r="M2664" s="49">
        <f>IF($A$4+26&gt;$B$4,"",$A$4+26)</f>
        <v>46049</v>
      </c>
      <c r="N2664">
        <f>IF(M2664="","",'Master Barang'!A58)</f>
        <v>0</v>
      </c>
      <c r="O2664">
        <f>IF(N2664="","",'Master Barang'!B58)</f>
        <v>0</v>
      </c>
      <c r="P2664">
        <f>IF(OR(M2664="",N2664=""),"",SUMIFS('Barang Keluar'!$E:$E,'Barang Keluar'!$A:$A,M2664,'Barang Keluar'!$C:$C,N2664))</f>
        <v>0</v>
      </c>
    </row>
    <row r="2665" spans="13:16">
      <c r="M2665" s="49">
        <f>IF($A$4+26&gt;$B$4,"",$A$4+26)</f>
        <v>46049</v>
      </c>
      <c r="N2665">
        <f>IF(M2665="","",'Master Barang'!A59)</f>
        <v>0</v>
      </c>
      <c r="O2665">
        <f>IF(N2665="","",'Master Barang'!B59)</f>
        <v>0</v>
      </c>
      <c r="P2665">
        <f>IF(OR(M2665="",N2665=""),"",SUMIFS('Barang Keluar'!$E:$E,'Barang Keluar'!$A:$A,M2665,'Barang Keluar'!$C:$C,N2665))</f>
        <v>0</v>
      </c>
    </row>
    <row r="2666" spans="13:16">
      <c r="M2666" s="49">
        <f>IF($A$4+26&gt;$B$4,"",$A$4+26)</f>
        <v>46049</v>
      </c>
      <c r="N2666">
        <f>IF(M2666="","",'Master Barang'!A60)</f>
        <v>0</v>
      </c>
      <c r="O2666">
        <f>IF(N2666="","",'Master Barang'!B60)</f>
        <v>0</v>
      </c>
      <c r="P2666">
        <f>IF(OR(M2666="",N2666=""),"",SUMIFS('Barang Keluar'!$E:$E,'Barang Keluar'!$A:$A,M2666,'Barang Keluar'!$C:$C,N2666))</f>
        <v>0</v>
      </c>
    </row>
    <row r="2667" spans="13:16">
      <c r="M2667" s="49">
        <f>IF($A$4+26&gt;$B$4,"",$A$4+26)</f>
        <v>46049</v>
      </c>
      <c r="N2667">
        <f>IF(M2667="","",'Master Barang'!A61)</f>
        <v>0</v>
      </c>
      <c r="O2667">
        <f>IF(N2667="","",'Master Barang'!B61)</f>
        <v>0</v>
      </c>
      <c r="P2667">
        <f>IF(OR(M2667="",N2667=""),"",SUMIFS('Barang Keluar'!$E:$E,'Barang Keluar'!$A:$A,M2667,'Barang Keluar'!$C:$C,N2667))</f>
        <v>0</v>
      </c>
    </row>
    <row r="2668" spans="13:16">
      <c r="M2668" s="49">
        <f>IF($A$4+26&gt;$B$4,"",$A$4+26)</f>
        <v>46049</v>
      </c>
      <c r="N2668">
        <f>IF(M2668="","",'Master Barang'!A62)</f>
        <v>0</v>
      </c>
      <c r="O2668">
        <f>IF(N2668="","",'Master Barang'!B62)</f>
        <v>0</v>
      </c>
      <c r="P2668">
        <f>IF(OR(M2668="",N2668=""),"",SUMIFS('Barang Keluar'!$E:$E,'Barang Keluar'!$A:$A,M2668,'Barang Keluar'!$C:$C,N2668))</f>
        <v>0</v>
      </c>
    </row>
    <row r="2669" spans="13:16">
      <c r="M2669" s="49">
        <f>IF($A$4+26&gt;$B$4,"",$A$4+26)</f>
        <v>46049</v>
      </c>
      <c r="N2669">
        <f>IF(M2669="","",'Master Barang'!A63)</f>
        <v>0</v>
      </c>
      <c r="O2669">
        <f>IF(N2669="","",'Master Barang'!B63)</f>
        <v>0</v>
      </c>
      <c r="P2669">
        <f>IF(OR(M2669="",N2669=""),"",SUMIFS('Barang Keluar'!$E:$E,'Barang Keluar'!$A:$A,M2669,'Barang Keluar'!$C:$C,N2669))</f>
        <v>0</v>
      </c>
    </row>
    <row r="2670" spans="13:16">
      <c r="M2670" s="49">
        <f>IF($A$4+26&gt;$B$4,"",$A$4+26)</f>
        <v>46049</v>
      </c>
      <c r="N2670">
        <f>IF(M2670="","",'Master Barang'!A64)</f>
        <v>0</v>
      </c>
      <c r="O2670">
        <f>IF(N2670="","",'Master Barang'!B64)</f>
        <v>0</v>
      </c>
      <c r="P2670">
        <f>IF(OR(M2670="",N2670=""),"",SUMIFS('Barang Keluar'!$E:$E,'Barang Keluar'!$A:$A,M2670,'Barang Keluar'!$C:$C,N2670))</f>
        <v>0</v>
      </c>
    </row>
    <row r="2671" spans="13:16">
      <c r="M2671" s="49">
        <f>IF($A$4+26&gt;$B$4,"",$A$4+26)</f>
        <v>46049</v>
      </c>
      <c r="N2671">
        <f>IF(M2671="","",'Master Barang'!A65)</f>
        <v>0</v>
      </c>
      <c r="O2671">
        <f>IF(N2671="","",'Master Barang'!B65)</f>
        <v>0</v>
      </c>
      <c r="P2671">
        <f>IF(OR(M2671="",N2671=""),"",SUMIFS('Barang Keluar'!$E:$E,'Barang Keluar'!$A:$A,M2671,'Barang Keluar'!$C:$C,N2671))</f>
        <v>0</v>
      </c>
    </row>
    <row r="2672" spans="13:16">
      <c r="M2672" s="49">
        <f>IF($A$4+26&gt;$B$4,"",$A$4+26)</f>
        <v>46049</v>
      </c>
      <c r="N2672">
        <f>IF(M2672="","",'Master Barang'!A66)</f>
        <v>0</v>
      </c>
      <c r="O2672">
        <f>IF(N2672="","",'Master Barang'!B66)</f>
        <v>0</v>
      </c>
      <c r="P2672">
        <f>IF(OR(M2672="",N2672=""),"",SUMIFS('Barang Keluar'!$E:$E,'Barang Keluar'!$A:$A,M2672,'Barang Keluar'!$C:$C,N2672))</f>
        <v>0</v>
      </c>
    </row>
    <row r="2673" spans="13:16">
      <c r="M2673" s="49">
        <f>IF($A$4+26&gt;$B$4,"",$A$4+26)</f>
        <v>46049</v>
      </c>
      <c r="N2673">
        <f>IF(M2673="","",'Master Barang'!A67)</f>
        <v>0</v>
      </c>
      <c r="O2673">
        <f>IF(N2673="","",'Master Barang'!B67)</f>
        <v>0</v>
      </c>
      <c r="P2673">
        <f>IF(OR(M2673="",N2673=""),"",SUMIFS('Barang Keluar'!$E:$E,'Barang Keluar'!$A:$A,M2673,'Barang Keluar'!$C:$C,N2673))</f>
        <v>0</v>
      </c>
    </row>
    <row r="2674" spans="13:16">
      <c r="M2674" s="49">
        <f>IF($A$4+26&gt;$B$4,"",$A$4+26)</f>
        <v>46049</v>
      </c>
      <c r="N2674">
        <f>IF(M2674="","",'Master Barang'!A68)</f>
        <v>0</v>
      </c>
      <c r="O2674">
        <f>IF(N2674="","",'Master Barang'!B68)</f>
        <v>0</v>
      </c>
      <c r="P2674">
        <f>IF(OR(M2674="",N2674=""),"",SUMIFS('Barang Keluar'!$E:$E,'Barang Keluar'!$A:$A,M2674,'Barang Keluar'!$C:$C,N2674))</f>
        <v>0</v>
      </c>
    </row>
    <row r="2675" spans="13:16">
      <c r="M2675" s="49">
        <f>IF($A$4+26&gt;$B$4,"",$A$4+26)</f>
        <v>46049</v>
      </c>
      <c r="N2675">
        <f>IF(M2675="","",'Master Barang'!A69)</f>
        <v>0</v>
      </c>
      <c r="O2675">
        <f>IF(N2675="","",'Master Barang'!B69)</f>
        <v>0</v>
      </c>
      <c r="P2675">
        <f>IF(OR(M2675="",N2675=""),"",SUMIFS('Barang Keluar'!$E:$E,'Barang Keluar'!$A:$A,M2675,'Barang Keluar'!$C:$C,N2675))</f>
        <v>0</v>
      </c>
    </row>
    <row r="2676" spans="13:16">
      <c r="M2676" s="49">
        <f>IF($A$4+26&gt;$B$4,"",$A$4+26)</f>
        <v>46049</v>
      </c>
      <c r="N2676">
        <f>IF(M2676="","",'Master Barang'!A70)</f>
        <v>0</v>
      </c>
      <c r="O2676">
        <f>IF(N2676="","",'Master Barang'!B70)</f>
        <v>0</v>
      </c>
      <c r="P2676">
        <f>IF(OR(M2676="",N2676=""),"",SUMIFS('Barang Keluar'!$E:$E,'Barang Keluar'!$A:$A,M2676,'Barang Keluar'!$C:$C,N2676))</f>
        <v>0</v>
      </c>
    </row>
    <row r="2677" spans="13:16">
      <c r="M2677" s="49">
        <f>IF($A$4+26&gt;$B$4,"",$A$4+26)</f>
        <v>46049</v>
      </c>
      <c r="N2677">
        <f>IF(M2677="","",'Master Barang'!A71)</f>
        <v>0</v>
      </c>
      <c r="O2677">
        <f>IF(N2677="","",'Master Barang'!B71)</f>
        <v>0</v>
      </c>
      <c r="P2677">
        <f>IF(OR(M2677="",N2677=""),"",SUMIFS('Barang Keluar'!$E:$E,'Barang Keluar'!$A:$A,M2677,'Barang Keluar'!$C:$C,N2677))</f>
        <v>0</v>
      </c>
    </row>
    <row r="2678" spans="13:16">
      <c r="M2678" s="49">
        <f>IF($A$4+26&gt;$B$4,"",$A$4+26)</f>
        <v>46049</v>
      </c>
      <c r="N2678">
        <f>IF(M2678="","",'Master Barang'!A72)</f>
        <v>0</v>
      </c>
      <c r="O2678">
        <f>IF(N2678="","",'Master Barang'!B72)</f>
        <v>0</v>
      </c>
      <c r="P2678">
        <f>IF(OR(M2678="",N2678=""),"",SUMIFS('Barang Keluar'!$E:$E,'Barang Keluar'!$A:$A,M2678,'Barang Keluar'!$C:$C,N2678))</f>
        <v>0</v>
      </c>
    </row>
    <row r="2679" spans="13:16">
      <c r="M2679" s="49">
        <f>IF($A$4+26&gt;$B$4,"",$A$4+26)</f>
        <v>46049</v>
      </c>
      <c r="N2679">
        <f>IF(M2679="","",'Master Barang'!A73)</f>
        <v>0</v>
      </c>
      <c r="O2679">
        <f>IF(N2679="","",'Master Barang'!B73)</f>
        <v>0</v>
      </c>
      <c r="P2679">
        <f>IF(OR(M2679="",N2679=""),"",SUMIFS('Barang Keluar'!$E:$E,'Barang Keluar'!$A:$A,M2679,'Barang Keluar'!$C:$C,N2679))</f>
        <v>0</v>
      </c>
    </row>
    <row r="2680" spans="13:16">
      <c r="M2680" s="49">
        <f>IF($A$4+26&gt;$B$4,"",$A$4+26)</f>
        <v>46049</v>
      </c>
      <c r="N2680">
        <f>IF(M2680="","",'Master Barang'!A74)</f>
        <v>0</v>
      </c>
      <c r="O2680">
        <f>IF(N2680="","",'Master Barang'!B74)</f>
        <v>0</v>
      </c>
      <c r="P2680">
        <f>IF(OR(M2680="",N2680=""),"",SUMIFS('Barang Keluar'!$E:$E,'Barang Keluar'!$A:$A,M2680,'Barang Keluar'!$C:$C,N2680))</f>
        <v>0</v>
      </c>
    </row>
    <row r="2681" spans="13:16">
      <c r="M2681" s="49">
        <f>IF($A$4+26&gt;$B$4,"",$A$4+26)</f>
        <v>46049</v>
      </c>
      <c r="N2681">
        <f>IF(M2681="","",'Master Barang'!A75)</f>
        <v>0</v>
      </c>
      <c r="O2681">
        <f>IF(N2681="","",'Master Barang'!B75)</f>
        <v>0</v>
      </c>
      <c r="P2681">
        <f>IF(OR(M2681="",N2681=""),"",SUMIFS('Barang Keluar'!$E:$E,'Barang Keluar'!$A:$A,M2681,'Barang Keluar'!$C:$C,N2681))</f>
        <v>0</v>
      </c>
    </row>
    <row r="2682" spans="13:16">
      <c r="M2682" s="49">
        <f>IF($A$4+26&gt;$B$4,"",$A$4+26)</f>
        <v>46049</v>
      </c>
      <c r="N2682">
        <f>IF(M2682="","",'Master Barang'!A76)</f>
        <v>0</v>
      </c>
      <c r="O2682">
        <f>IF(N2682="","",'Master Barang'!B76)</f>
        <v>0</v>
      </c>
      <c r="P2682">
        <f>IF(OR(M2682="",N2682=""),"",SUMIFS('Barang Keluar'!$E:$E,'Barang Keluar'!$A:$A,M2682,'Barang Keluar'!$C:$C,N2682))</f>
        <v>0</v>
      </c>
    </row>
    <row r="2683" spans="13:16">
      <c r="M2683" s="49">
        <f>IF($A$4+26&gt;$B$4,"",$A$4+26)</f>
        <v>46049</v>
      </c>
      <c r="N2683">
        <f>IF(M2683="","",'Master Barang'!A77)</f>
        <v>0</v>
      </c>
      <c r="O2683">
        <f>IF(N2683="","",'Master Barang'!B77)</f>
        <v>0</v>
      </c>
      <c r="P2683">
        <f>IF(OR(M2683="",N2683=""),"",SUMIFS('Barang Keluar'!$E:$E,'Barang Keluar'!$A:$A,M2683,'Barang Keluar'!$C:$C,N2683))</f>
        <v>0</v>
      </c>
    </row>
    <row r="2684" spans="13:16">
      <c r="M2684" s="49">
        <f>IF($A$4+26&gt;$B$4,"",$A$4+26)</f>
        <v>46049</v>
      </c>
      <c r="N2684">
        <f>IF(M2684="","",'Master Barang'!A78)</f>
        <v>0</v>
      </c>
      <c r="O2684">
        <f>IF(N2684="","",'Master Barang'!B78)</f>
        <v>0</v>
      </c>
      <c r="P2684">
        <f>IF(OR(M2684="",N2684=""),"",SUMIFS('Barang Keluar'!$E:$E,'Barang Keluar'!$A:$A,M2684,'Barang Keluar'!$C:$C,N2684))</f>
        <v>0</v>
      </c>
    </row>
    <row r="2685" spans="13:16">
      <c r="M2685" s="49">
        <f>IF($A$4+26&gt;$B$4,"",$A$4+26)</f>
        <v>46049</v>
      </c>
      <c r="N2685">
        <f>IF(M2685="","",'Master Barang'!A79)</f>
        <v>0</v>
      </c>
      <c r="O2685">
        <f>IF(N2685="","",'Master Barang'!B79)</f>
        <v>0</v>
      </c>
      <c r="P2685">
        <f>IF(OR(M2685="",N2685=""),"",SUMIFS('Barang Keluar'!$E:$E,'Barang Keluar'!$A:$A,M2685,'Barang Keluar'!$C:$C,N2685))</f>
        <v>0</v>
      </c>
    </row>
    <row r="2686" spans="13:16">
      <c r="M2686" s="49">
        <f>IF($A$4+26&gt;$B$4,"",$A$4+26)</f>
        <v>46049</v>
      </c>
      <c r="N2686">
        <f>IF(M2686="","",'Master Barang'!A80)</f>
        <v>0</v>
      </c>
      <c r="O2686">
        <f>IF(N2686="","",'Master Barang'!B80)</f>
        <v>0</v>
      </c>
      <c r="P2686">
        <f>IF(OR(M2686="",N2686=""),"",SUMIFS('Barang Keluar'!$E:$E,'Barang Keluar'!$A:$A,M2686,'Barang Keluar'!$C:$C,N2686))</f>
        <v>0</v>
      </c>
    </row>
    <row r="2687" spans="13:16">
      <c r="M2687" s="49">
        <f>IF($A$4+26&gt;$B$4,"",$A$4+26)</f>
        <v>46049</v>
      </c>
      <c r="N2687">
        <f>IF(M2687="","",'Master Barang'!A81)</f>
        <v>0</v>
      </c>
      <c r="O2687">
        <f>IF(N2687="","",'Master Barang'!B81)</f>
        <v>0</v>
      </c>
      <c r="P2687">
        <f>IF(OR(M2687="",N2687=""),"",SUMIFS('Barang Keluar'!$E:$E,'Barang Keluar'!$A:$A,M2687,'Barang Keluar'!$C:$C,N2687))</f>
        <v>0</v>
      </c>
    </row>
    <row r="2688" spans="13:16">
      <c r="M2688" s="49">
        <f>IF($A$4+26&gt;$B$4,"",$A$4+26)</f>
        <v>46049</v>
      </c>
      <c r="N2688">
        <f>IF(M2688="","",'Master Barang'!A82)</f>
        <v>0</v>
      </c>
      <c r="O2688">
        <f>IF(N2688="","",'Master Barang'!B82)</f>
        <v>0</v>
      </c>
      <c r="P2688">
        <f>IF(OR(M2688="",N2688=""),"",SUMIFS('Barang Keluar'!$E:$E,'Barang Keluar'!$A:$A,M2688,'Barang Keluar'!$C:$C,N2688))</f>
        <v>0</v>
      </c>
    </row>
    <row r="2689" spans="13:16">
      <c r="M2689" s="49">
        <f>IF($A$4+26&gt;$B$4,"",$A$4+26)</f>
        <v>46049</v>
      </c>
      <c r="N2689">
        <f>IF(M2689="","",'Master Barang'!A83)</f>
        <v>0</v>
      </c>
      <c r="O2689">
        <f>IF(N2689="","",'Master Barang'!B83)</f>
        <v>0</v>
      </c>
      <c r="P2689">
        <f>IF(OR(M2689="",N2689=""),"",SUMIFS('Barang Keluar'!$E:$E,'Barang Keluar'!$A:$A,M2689,'Barang Keluar'!$C:$C,N2689))</f>
        <v>0</v>
      </c>
    </row>
    <row r="2690" spans="13:16">
      <c r="M2690" s="49">
        <f>IF($A$4+26&gt;$B$4,"",$A$4+26)</f>
        <v>46049</v>
      </c>
      <c r="N2690">
        <f>IF(M2690="","",'Master Barang'!A84)</f>
        <v>0</v>
      </c>
      <c r="O2690">
        <f>IF(N2690="","",'Master Barang'!B84)</f>
        <v>0</v>
      </c>
      <c r="P2690">
        <f>IF(OR(M2690="",N2690=""),"",SUMIFS('Barang Keluar'!$E:$E,'Barang Keluar'!$A:$A,M2690,'Barang Keluar'!$C:$C,N2690))</f>
        <v>0</v>
      </c>
    </row>
    <row r="2691" spans="13:16">
      <c r="M2691" s="49">
        <f>IF($A$4+26&gt;$B$4,"",$A$4+26)</f>
        <v>46049</v>
      </c>
      <c r="N2691">
        <f>IF(M2691="","",'Master Barang'!A85)</f>
        <v>0</v>
      </c>
      <c r="O2691">
        <f>IF(N2691="","",'Master Barang'!B85)</f>
        <v>0</v>
      </c>
      <c r="P2691">
        <f>IF(OR(M2691="",N2691=""),"",SUMIFS('Barang Keluar'!$E:$E,'Barang Keluar'!$A:$A,M2691,'Barang Keluar'!$C:$C,N2691))</f>
        <v>0</v>
      </c>
    </row>
    <row r="2692" spans="13:16">
      <c r="M2692" s="49">
        <f>IF($A$4+26&gt;$B$4,"",$A$4+26)</f>
        <v>46049</v>
      </c>
      <c r="N2692">
        <f>IF(M2692="","",'Master Barang'!A86)</f>
        <v>0</v>
      </c>
      <c r="O2692">
        <f>IF(N2692="","",'Master Barang'!B86)</f>
        <v>0</v>
      </c>
      <c r="P2692">
        <f>IF(OR(M2692="",N2692=""),"",SUMIFS('Barang Keluar'!$E:$E,'Barang Keluar'!$A:$A,M2692,'Barang Keluar'!$C:$C,N2692))</f>
        <v>0</v>
      </c>
    </row>
    <row r="2693" spans="13:16">
      <c r="M2693" s="49">
        <f>IF($A$4+26&gt;$B$4,"",$A$4+26)</f>
        <v>46049</v>
      </c>
      <c r="N2693">
        <f>IF(M2693="","",'Master Barang'!A87)</f>
        <v>0</v>
      </c>
      <c r="O2693">
        <f>IF(N2693="","",'Master Barang'!B87)</f>
        <v>0</v>
      </c>
      <c r="P2693">
        <f>IF(OR(M2693="",N2693=""),"",SUMIFS('Barang Keluar'!$E:$E,'Barang Keluar'!$A:$A,M2693,'Barang Keluar'!$C:$C,N2693))</f>
        <v>0</v>
      </c>
    </row>
    <row r="2694" spans="13:16">
      <c r="M2694" s="49">
        <f>IF($A$4+26&gt;$B$4,"",$A$4+26)</f>
        <v>46049</v>
      </c>
      <c r="N2694">
        <f>IF(M2694="","",'Master Barang'!A88)</f>
        <v>0</v>
      </c>
      <c r="O2694">
        <f>IF(N2694="","",'Master Barang'!B88)</f>
        <v>0</v>
      </c>
      <c r="P2694">
        <f>IF(OR(M2694="",N2694=""),"",SUMIFS('Barang Keluar'!$E:$E,'Barang Keluar'!$A:$A,M2694,'Barang Keluar'!$C:$C,N2694))</f>
        <v>0</v>
      </c>
    </row>
    <row r="2695" spans="13:16">
      <c r="M2695" s="49">
        <f>IF($A$4+26&gt;$B$4,"",$A$4+26)</f>
        <v>46049</v>
      </c>
      <c r="N2695">
        <f>IF(M2695="","",'Master Barang'!A89)</f>
        <v>0</v>
      </c>
      <c r="O2695">
        <f>IF(N2695="","",'Master Barang'!B89)</f>
        <v>0</v>
      </c>
      <c r="P2695">
        <f>IF(OR(M2695="",N2695=""),"",SUMIFS('Barang Keluar'!$E:$E,'Barang Keluar'!$A:$A,M2695,'Barang Keluar'!$C:$C,N2695))</f>
        <v>0</v>
      </c>
    </row>
    <row r="2696" spans="13:16">
      <c r="M2696" s="49">
        <f>IF($A$4+26&gt;$B$4,"",$A$4+26)</f>
        <v>46049</v>
      </c>
      <c r="N2696">
        <f>IF(M2696="","",'Master Barang'!A90)</f>
        <v>0</v>
      </c>
      <c r="O2696">
        <f>IF(N2696="","",'Master Barang'!B90)</f>
        <v>0</v>
      </c>
      <c r="P2696">
        <f>IF(OR(M2696="",N2696=""),"",SUMIFS('Barang Keluar'!$E:$E,'Barang Keluar'!$A:$A,M2696,'Barang Keluar'!$C:$C,N2696))</f>
        <v>0</v>
      </c>
    </row>
    <row r="2697" spans="13:16">
      <c r="M2697" s="49">
        <f>IF($A$4+26&gt;$B$4,"",$A$4+26)</f>
        <v>46049</v>
      </c>
      <c r="N2697">
        <f>IF(M2697="","",'Master Barang'!A91)</f>
        <v>0</v>
      </c>
      <c r="O2697">
        <f>IF(N2697="","",'Master Barang'!B91)</f>
        <v>0</v>
      </c>
      <c r="P2697">
        <f>IF(OR(M2697="",N2697=""),"",SUMIFS('Barang Keluar'!$E:$E,'Barang Keluar'!$A:$A,M2697,'Barang Keluar'!$C:$C,N2697))</f>
        <v>0</v>
      </c>
    </row>
    <row r="2698" spans="13:16">
      <c r="M2698" s="49">
        <f>IF($A$4+26&gt;$B$4,"",$A$4+26)</f>
        <v>46049</v>
      </c>
      <c r="N2698">
        <f>IF(M2698="","",'Master Barang'!A92)</f>
        <v>0</v>
      </c>
      <c r="O2698">
        <f>IF(N2698="","",'Master Barang'!B92)</f>
        <v>0</v>
      </c>
      <c r="P2698">
        <f>IF(OR(M2698="",N2698=""),"",SUMIFS('Barang Keluar'!$E:$E,'Barang Keluar'!$A:$A,M2698,'Barang Keluar'!$C:$C,N2698))</f>
        <v>0</v>
      </c>
    </row>
    <row r="2699" spans="13:16">
      <c r="M2699" s="49">
        <f>IF($A$4+26&gt;$B$4,"",$A$4+26)</f>
        <v>46049</v>
      </c>
      <c r="N2699">
        <f>IF(M2699="","",'Master Barang'!A93)</f>
        <v>0</v>
      </c>
      <c r="O2699">
        <f>IF(N2699="","",'Master Barang'!B93)</f>
        <v>0</v>
      </c>
      <c r="P2699">
        <f>IF(OR(M2699="",N2699=""),"",SUMIFS('Barang Keluar'!$E:$E,'Barang Keluar'!$A:$A,M2699,'Barang Keluar'!$C:$C,N2699))</f>
        <v>0</v>
      </c>
    </row>
    <row r="2700" spans="13:16">
      <c r="M2700" s="49">
        <f>IF($A$4+26&gt;$B$4,"",$A$4+26)</f>
        <v>46049</v>
      </c>
      <c r="N2700">
        <f>IF(M2700="","",'Master Barang'!A94)</f>
        <v>0</v>
      </c>
      <c r="O2700">
        <f>IF(N2700="","",'Master Barang'!B94)</f>
        <v>0</v>
      </c>
      <c r="P2700">
        <f>IF(OR(M2700="",N2700=""),"",SUMIFS('Barang Keluar'!$E:$E,'Barang Keluar'!$A:$A,M2700,'Barang Keluar'!$C:$C,N2700))</f>
        <v>0</v>
      </c>
    </row>
    <row r="2701" spans="13:16">
      <c r="M2701" s="49">
        <f>IF($A$4+26&gt;$B$4,"",$A$4+26)</f>
        <v>46049</v>
      </c>
      <c r="N2701">
        <f>IF(M2701="","",'Master Barang'!A95)</f>
        <v>0</v>
      </c>
      <c r="O2701">
        <f>IF(N2701="","",'Master Barang'!B95)</f>
        <v>0</v>
      </c>
      <c r="P2701">
        <f>IF(OR(M2701="",N2701=""),"",SUMIFS('Barang Keluar'!$E:$E,'Barang Keluar'!$A:$A,M2701,'Barang Keluar'!$C:$C,N2701))</f>
        <v>0</v>
      </c>
    </row>
    <row r="2702" spans="13:16">
      <c r="M2702" s="49">
        <f>IF($A$4+26&gt;$B$4,"",$A$4+26)</f>
        <v>46049</v>
      </c>
      <c r="N2702">
        <f>IF(M2702="","",'Master Barang'!A96)</f>
        <v>0</v>
      </c>
      <c r="O2702">
        <f>IF(N2702="","",'Master Barang'!B96)</f>
        <v>0</v>
      </c>
      <c r="P2702">
        <f>IF(OR(M2702="",N2702=""),"",SUMIFS('Barang Keluar'!$E:$E,'Barang Keluar'!$A:$A,M2702,'Barang Keluar'!$C:$C,N2702))</f>
        <v>0</v>
      </c>
    </row>
    <row r="2703" spans="13:16">
      <c r="M2703" s="49">
        <f>IF($A$4+26&gt;$B$4,"",$A$4+26)</f>
        <v>46049</v>
      </c>
      <c r="N2703">
        <f>IF(M2703="","",'Master Barang'!A97)</f>
        <v>0</v>
      </c>
      <c r="O2703">
        <f>IF(N2703="","",'Master Barang'!B97)</f>
        <v>0</v>
      </c>
      <c r="P2703">
        <f>IF(OR(M2703="",N2703=""),"",SUMIFS('Barang Keluar'!$E:$E,'Barang Keluar'!$A:$A,M2703,'Barang Keluar'!$C:$C,N2703))</f>
        <v>0</v>
      </c>
    </row>
    <row r="2704" spans="13:16">
      <c r="M2704" s="49">
        <f>IF($A$4+26&gt;$B$4,"",$A$4+26)</f>
        <v>46049</v>
      </c>
      <c r="N2704">
        <f>IF(M2704="","",'Master Barang'!A98)</f>
        <v>0</v>
      </c>
      <c r="O2704">
        <f>IF(N2704="","",'Master Barang'!B98)</f>
        <v>0</v>
      </c>
      <c r="P2704">
        <f>IF(OR(M2704="",N2704=""),"",SUMIFS('Barang Keluar'!$E:$E,'Barang Keluar'!$A:$A,M2704,'Barang Keluar'!$C:$C,N2704))</f>
        <v>0</v>
      </c>
    </row>
    <row r="2705" spans="13:16">
      <c r="M2705" s="49">
        <f>IF($A$4+26&gt;$B$4,"",$A$4+26)</f>
        <v>46049</v>
      </c>
      <c r="N2705">
        <f>IF(M2705="","",'Master Barang'!A99)</f>
        <v>0</v>
      </c>
      <c r="O2705">
        <f>IF(N2705="","",'Master Barang'!B99)</f>
        <v>0</v>
      </c>
      <c r="P2705">
        <f>IF(OR(M2705="",N2705=""),"",SUMIFS('Barang Keluar'!$E:$E,'Barang Keluar'!$A:$A,M2705,'Barang Keluar'!$C:$C,N2705))</f>
        <v>0</v>
      </c>
    </row>
    <row r="2706" spans="13:16">
      <c r="M2706" s="49">
        <f>IF($A$4+26&gt;$B$4,"",$A$4+26)</f>
        <v>46049</v>
      </c>
      <c r="N2706">
        <f>IF(M2706="","",'Master Barang'!A100)</f>
        <v>0</v>
      </c>
      <c r="O2706">
        <f>IF(N2706="","",'Master Barang'!B100)</f>
        <v>0</v>
      </c>
      <c r="P2706">
        <f>IF(OR(M2706="",N2706=""),"",SUMIFS('Barang Keluar'!$E:$E,'Barang Keluar'!$A:$A,M2706,'Barang Keluar'!$C:$C,N2706))</f>
        <v>0</v>
      </c>
    </row>
    <row r="2707" spans="13:16">
      <c r="M2707" s="49">
        <f>IF($A$4+26&gt;$B$4,"",$A$4+26)</f>
        <v>46049</v>
      </c>
      <c r="N2707">
        <f>IF(M2707="","",'Master Barang'!A101)</f>
        <v>0</v>
      </c>
      <c r="O2707">
        <f>IF(N2707="","",'Master Barang'!B101)</f>
        <v>0</v>
      </c>
      <c r="P2707">
        <f>IF(OR(M2707="",N2707=""),"",SUMIFS('Barang Keluar'!$E:$E,'Barang Keluar'!$A:$A,M2707,'Barang Keluar'!$C:$C,N2707))</f>
        <v>0</v>
      </c>
    </row>
    <row r="2708" spans="13:16">
      <c r="M2708" s="49">
        <f>IF($A$4+27&gt;$B$4,"",$A$4+27)</f>
        <v>46050</v>
      </c>
      <c r="N2708" t="str">
        <f>IF(M2708="","",'Master Barang'!A2)</f>
        <v>PRL-001</v>
      </c>
      <c r="O2708" t="str">
        <f>IF(N2708="","",'Master Barang'!B2)</f>
        <v>natura desinfectant food grade 5l</v>
      </c>
      <c r="P2708">
        <f>IF(OR(M2708="",N2708=""),"",SUMIFS('Barang Keluar'!$E:$E,'Barang Keluar'!$A:$A,M2708,'Barang Keluar'!$C:$C,N2708))</f>
        <v>0</v>
      </c>
    </row>
    <row r="2709" spans="13:16">
      <c r="M2709" s="49">
        <f>IF($A$4+27&gt;$B$4,"",$A$4+27)</f>
        <v>46050</v>
      </c>
      <c r="N2709" t="str">
        <f>IF(M2709="","",'Master Barang'!A3)</f>
        <v>PRL-002</v>
      </c>
      <c r="O2709" t="str">
        <f>IF(N2709="","",'Master Barang'!B3)</f>
        <v>sunlight cairan pencuci piring 5l</v>
      </c>
      <c r="P2709">
        <f>IF(OR(M2709="",N2709=""),"",SUMIFS('Barang Keluar'!$E:$E,'Barang Keluar'!$A:$A,M2709,'Barang Keluar'!$C:$C,N2709))</f>
        <v>0</v>
      </c>
    </row>
    <row r="2710" spans="13:16">
      <c r="M2710" s="49">
        <f>IF($A$4+27&gt;$B$4,"",$A$4+27)</f>
        <v>46050</v>
      </c>
      <c r="N2710" t="str">
        <f>IF(M2710="","",'Master Barang'!A4)</f>
        <v>PRL-003</v>
      </c>
      <c r="O2710" t="str">
        <f>IF(N2710="","",'Master Barang'!B4)</f>
        <v>oixs cleaner 1l</v>
      </c>
      <c r="P2710">
        <f>IF(OR(M2710="",N2710=""),"",SUMIFS('Barang Keluar'!$E:$E,'Barang Keluar'!$A:$A,M2710,'Barang Keluar'!$C:$C,N2710))</f>
        <v>0</v>
      </c>
    </row>
    <row r="2711" spans="13:16">
      <c r="M2711" s="49">
        <f>IF($A$4+27&gt;$B$4,"",$A$4+27)</f>
        <v>46050</v>
      </c>
      <c r="N2711" t="str">
        <f>IF(M2711="","",'Master Barang'!A5)</f>
        <v>PRL-004</v>
      </c>
      <c r="O2711" t="str">
        <f>IF(N2711="","",'Master Barang'!B5)</f>
        <v>be clean tissue serbaguna</v>
      </c>
      <c r="P2711">
        <f>IF(OR(M2711="",N2711=""),"",SUMIFS('Barang Keluar'!$E:$E,'Barang Keluar'!$A:$A,M2711,'Barang Keluar'!$C:$C,N2711))</f>
        <v>0</v>
      </c>
    </row>
    <row r="2712" spans="13:16">
      <c r="M2712" s="49">
        <f>IF($A$4+27&gt;$B$4,"",$A$4+27)</f>
        <v>46050</v>
      </c>
      <c r="N2712" t="str">
        <f>IF(M2712="","",'Master Barang'!A6)</f>
        <v>PRL-005</v>
      </c>
      <c r="O2712" t="str">
        <f>IF(N2712="","",'Master Barang'!B6)</f>
        <v>spons cuci hijau</v>
      </c>
      <c r="P2712">
        <f>IF(OR(M2712="",N2712=""),"",SUMIFS('Barang Keluar'!$E:$E,'Barang Keluar'!$A:$A,M2712,'Barang Keluar'!$C:$C,N2712))</f>
        <v>0</v>
      </c>
    </row>
    <row r="2713" spans="13:16">
      <c r="M2713" s="49">
        <f>IF($A$4+27&gt;$B$4,"",$A$4+27)</f>
        <v>46050</v>
      </c>
      <c r="N2713" t="str">
        <f>IF(M2713="","",'Master Barang'!A7)</f>
        <v>PRL-006</v>
      </c>
      <c r="O2713" t="str">
        <f>IF(N2713="","",'Master Barang'!B7)</f>
        <v>sabut cuci stainless</v>
      </c>
      <c r="P2713">
        <f>IF(OR(M2713="",N2713=""),"",SUMIFS('Barang Keluar'!$E:$E,'Barang Keluar'!$A:$A,M2713,'Barang Keluar'!$C:$C,N2713))</f>
        <v>0</v>
      </c>
    </row>
    <row r="2714" spans="13:16">
      <c r="M2714" s="49">
        <f>IF($A$4+27&gt;$B$4,"",$A$4+27)</f>
        <v>46050</v>
      </c>
      <c r="N2714" t="str">
        <f>IF(M2714="","",'Master Barang'!A8)</f>
        <v>PRL-007</v>
      </c>
      <c r="O2714" t="str">
        <f>IF(N2714="","",'Master Barang'!B8)</f>
        <v>plastik kresek besar merah 50pc</v>
      </c>
      <c r="P2714">
        <f>IF(OR(M2714="",N2714=""),"",SUMIFS('Barang Keluar'!$E:$E,'Barang Keluar'!$A:$A,M2714,'Barang Keluar'!$C:$C,N2714))</f>
        <v>0</v>
      </c>
    </row>
    <row r="2715" spans="13:16">
      <c r="M2715" s="49">
        <f>IF($A$4+27&gt;$B$4,"",$A$4+27)</f>
        <v>46050</v>
      </c>
      <c r="N2715" t="str">
        <f>IF(M2715="","",'Master Barang'!A9)</f>
        <v>PRL-008</v>
      </c>
      <c r="O2715" t="str">
        <f>IF(N2715="","",'Master Barang'!B9)</f>
        <v>lap besar</v>
      </c>
      <c r="P2715">
        <f>IF(OR(M2715="",N2715=""),"",SUMIFS('Barang Keluar'!$E:$E,'Barang Keluar'!$A:$A,M2715,'Barang Keluar'!$C:$C,N2715))</f>
        <v>0</v>
      </c>
    </row>
    <row r="2716" spans="13:16">
      <c r="M2716" s="49">
        <f>IF($A$4+27&gt;$B$4,"",$A$4+27)</f>
        <v>46050</v>
      </c>
      <c r="N2716" t="str">
        <f>IF(M2716="","",'Master Barang'!A10)</f>
        <v>PRL-009</v>
      </c>
      <c r="O2716" t="str">
        <f>IF(N2716="","",'Master Barang'!B10)</f>
        <v>lap microfiber</v>
      </c>
      <c r="P2716">
        <f>IF(OR(M2716="",N2716=""),"",SUMIFS('Barang Keluar'!$E:$E,'Barang Keluar'!$A:$A,M2716,'Barang Keluar'!$C:$C,N2716))</f>
        <v>0</v>
      </c>
    </row>
    <row r="2717" spans="13:16">
      <c r="M2717" s="49">
        <f>IF($A$4+27&gt;$B$4,"",$A$4+27)</f>
        <v>46050</v>
      </c>
      <c r="N2717" t="str">
        <f>IF(M2717="","",'Master Barang'!A11)</f>
        <v>PRL-010</v>
      </c>
      <c r="O2717" t="str">
        <f>IF(N2717="","",'Master Barang'!B11)</f>
        <v>lap kecil</v>
      </c>
      <c r="P2717">
        <f>IF(OR(M2717="",N2717=""),"",SUMIFS('Barang Keluar'!$E:$E,'Barang Keluar'!$A:$A,M2717,'Barang Keluar'!$C:$C,N2717))</f>
        <v>0</v>
      </c>
    </row>
    <row r="2718" spans="13:16">
      <c r="M2718" s="49">
        <f>IF($A$4+27&gt;$B$4,"",$A$4+27)</f>
        <v>46050</v>
      </c>
      <c r="N2718" t="str">
        <f>IF(M2718="","",'Master Barang'!A12)</f>
        <v>PRL-011</v>
      </c>
      <c r="O2718" t="str">
        <f>IF(N2718="","",'Master Barang'!B12)</f>
        <v>kanebo kecil</v>
      </c>
      <c r="P2718">
        <f>IF(OR(M2718="",N2718=""),"",SUMIFS('Barang Keluar'!$E:$E,'Barang Keluar'!$A:$A,M2718,'Barang Keluar'!$C:$C,N2718))</f>
        <v>0</v>
      </c>
    </row>
    <row r="2719" spans="13:16">
      <c r="M2719" s="49">
        <f>IF($A$4+27&gt;$B$4,"",$A$4+27)</f>
        <v>46050</v>
      </c>
      <c r="N2719" t="str">
        <f>IF(M2719="","",'Master Barang'!A13)</f>
        <v>PRL-012</v>
      </c>
      <c r="O2719" t="str">
        <f>IF(N2719="","",'Master Barang'!B13)</f>
        <v>plastik 1/4kg joyoboyo 100 lembar</v>
      </c>
      <c r="P2719">
        <f>IF(OR(M2719="",N2719=""),"",SUMIFS('Barang Keluar'!$E:$E,'Barang Keluar'!$A:$A,M2719,'Barang Keluar'!$C:$C,N2719))</f>
        <v>0</v>
      </c>
    </row>
    <row r="2720" spans="13:16">
      <c r="M2720" s="49">
        <f>IF($A$4+27&gt;$B$4,"",$A$4+27)</f>
        <v>46050</v>
      </c>
      <c r="N2720" t="str">
        <f>IF(M2720="","",'Master Barang'!A14)</f>
        <v>PRL-013</v>
      </c>
      <c r="O2720" t="str">
        <f>IF(N2720="","",'Master Barang'!B14)</f>
        <v>sarung tangan plastik kaka 100 pcs</v>
      </c>
      <c r="P2720">
        <f>IF(OR(M2720="",N2720=""),"",SUMIFS('Barang Keluar'!$E:$E,'Barang Keluar'!$A:$A,M2720,'Barang Keluar'!$C:$C,N2720))</f>
        <v>0</v>
      </c>
    </row>
    <row r="2721" spans="13:16">
      <c r="M2721" s="49">
        <f>IF($A$4+27&gt;$B$4,"",$A$4+27)</f>
        <v>46050</v>
      </c>
      <c r="N2721" t="str">
        <f>IF(M2721="","",'Master Barang'!A15)</f>
        <v>PRL-014</v>
      </c>
      <c r="O2721" t="str">
        <f>IF(N2721="","",'Master Barang'!B15)</f>
        <v>optima trashbag 80x100</v>
      </c>
      <c r="P2721">
        <f>IF(OR(M2721="",N2721=""),"",SUMIFS('Barang Keluar'!$E:$E,'Barang Keluar'!$A:$A,M2721,'Barang Keluar'!$C:$C,N2721))</f>
        <v>0</v>
      </c>
    </row>
    <row r="2722" spans="13:16">
      <c r="M2722" s="49">
        <f>IF($A$4+27&gt;$B$4,"",$A$4+27)</f>
        <v>46050</v>
      </c>
      <c r="N2722" t="str">
        <f>IF(M2722="","",'Master Barang'!A16)</f>
        <v>PRL-015</v>
      </c>
      <c r="O2722" t="str">
        <f>IF(N2722="","",'Master Barang'!B16)</f>
        <v>optima trashbag 60x100</v>
      </c>
      <c r="P2722">
        <f>IF(OR(M2722="",N2722=""),"",SUMIFS('Barang Keluar'!$E:$E,'Barang Keluar'!$A:$A,M2722,'Barang Keluar'!$C:$C,N2722))</f>
        <v>0</v>
      </c>
    </row>
    <row r="2723" spans="13:16">
      <c r="M2723" s="49">
        <f>IF($A$4+27&gt;$B$4,"",$A$4+27)</f>
        <v>46050</v>
      </c>
      <c r="N2723" t="str">
        <f>IF(M2723="","",'Master Barang'!A17)</f>
        <v>PRL-016</v>
      </c>
      <c r="O2723" t="str">
        <f>IF(N2723="","",'Master Barang'!B17)</f>
        <v>rajawali trashbag 30x40</v>
      </c>
      <c r="P2723">
        <f>IF(OR(M2723="",N2723=""),"",SUMIFS('Barang Keluar'!$E:$E,'Barang Keluar'!$A:$A,M2723,'Barang Keluar'!$C:$C,N2723))</f>
        <v>0</v>
      </c>
    </row>
    <row r="2724" spans="13:16">
      <c r="M2724" s="49">
        <f>IF($A$4+27&gt;$B$4,"",$A$4+27)</f>
        <v>46050</v>
      </c>
      <c r="N2724" t="str">
        <f>IF(M2724="","",'Master Barang'!A18)</f>
        <v>PRL-017</v>
      </c>
      <c r="O2724" t="str">
        <f>IF(N2724="","",'Master Barang'!B18)</f>
        <v>onemed masker biru 3 play 50 pcs</v>
      </c>
      <c r="P2724">
        <f>IF(OR(M2724="",N2724=""),"",SUMIFS('Barang Keluar'!$E:$E,'Barang Keluar'!$A:$A,M2724,'Barang Keluar'!$C:$C,N2724))</f>
        <v>0</v>
      </c>
    </row>
    <row r="2725" spans="13:16">
      <c r="M2725" s="49">
        <f>IF($A$4+27&gt;$B$4,"",$A$4+27)</f>
        <v>46050</v>
      </c>
      <c r="N2725" t="str">
        <f>IF(M2725="","",'Master Barang'!A19)</f>
        <v>PRL-018</v>
      </c>
      <c r="O2725" t="str">
        <f>IF(N2725="","",'Master Barang'!B19)</f>
        <v>onemed masker biru 3 play hijab 50 pcs</v>
      </c>
      <c r="P2725">
        <f>IF(OR(M2725="",N2725=""),"",SUMIFS('Barang Keluar'!$E:$E,'Barang Keluar'!$A:$A,M2725,'Barang Keluar'!$C:$C,N2725))</f>
        <v>0</v>
      </c>
    </row>
    <row r="2726" spans="13:16">
      <c r="M2726" s="49">
        <f>IF($A$4+27&gt;$B$4,"",$A$4+27)</f>
        <v>46050</v>
      </c>
      <c r="N2726" t="str">
        <f>IF(M2726="","",'Master Barang'!A20)</f>
        <v>PRL-019</v>
      </c>
      <c r="O2726" t="str">
        <f>IF(N2726="","",'Master Barang'!B20)</f>
        <v>neo health masker biru 3 play 50 pcs</v>
      </c>
      <c r="P2726">
        <f>IF(OR(M2726="",N2726=""),"",SUMIFS('Barang Keluar'!$E:$E,'Barang Keluar'!$A:$A,M2726,'Barang Keluar'!$C:$C,N2726))</f>
        <v>0</v>
      </c>
    </row>
    <row r="2727" spans="13:16">
      <c r="M2727" s="49">
        <f>IF($A$4+27&gt;$B$4,"",$A$4+27)</f>
        <v>46050</v>
      </c>
      <c r="N2727" t="str">
        <f>IF(M2727="","",'Master Barang'!A21)</f>
        <v>PRL-020</v>
      </c>
      <c r="O2727" t="str">
        <f>IF(N2727="","",'Master Barang'!B21)</f>
        <v>baymed masker hijau 3 play hijau 50 pcs</v>
      </c>
      <c r="P2727">
        <f>IF(OR(M2727="",N2727=""),"",SUMIFS('Barang Keluar'!$E:$E,'Barang Keluar'!$A:$A,M2727,'Barang Keluar'!$C:$C,N2727))</f>
        <v>0</v>
      </c>
    </row>
    <row r="2728" spans="13:16">
      <c r="M2728" s="49">
        <f>IF($A$4+27&gt;$B$4,"",$A$4+27)</f>
        <v>46050</v>
      </c>
      <c r="N2728" t="str">
        <f>IF(M2728="","",'Master Barang'!A22)</f>
        <v>PRL-021</v>
      </c>
      <c r="O2728" t="str">
        <f>IF(N2728="","",'Master Barang'!B22)</f>
        <v>altamed nurse cap penutup kepala 100 pcs</v>
      </c>
      <c r="P2728">
        <f>IF(OR(M2728="",N2728=""),"",SUMIFS('Barang Keluar'!$E:$E,'Barang Keluar'!$A:$A,M2728,'Barang Keluar'!$C:$C,N2728))</f>
        <v>0</v>
      </c>
    </row>
    <row r="2729" spans="13:16">
      <c r="M2729" s="49">
        <f>IF($A$4+27&gt;$B$4,"",$A$4+27)</f>
        <v>46050</v>
      </c>
      <c r="N2729" t="str">
        <f>IF(M2729="","",'Master Barang'!A23)</f>
        <v>PRL-022</v>
      </c>
      <c r="O2729" t="str">
        <f>IF(N2729="","",'Master Barang'!B23)</f>
        <v>sabun cuci tangan</v>
      </c>
      <c r="P2729">
        <f>IF(OR(M2729="",N2729=""),"",SUMIFS('Barang Keluar'!$E:$E,'Barang Keluar'!$A:$A,M2729,'Barang Keluar'!$C:$C,N2729))</f>
        <v>0</v>
      </c>
    </row>
    <row r="2730" spans="13:16">
      <c r="M2730" s="49">
        <f>IF($A$4+27&gt;$B$4,"",$A$4+27)</f>
        <v>46050</v>
      </c>
      <c r="N2730" t="str">
        <f>IF(M2730="","",'Master Barang'!A24)</f>
        <v>PRL-023</v>
      </c>
      <c r="O2730" t="str">
        <f>IF(N2730="","",'Master Barang'!B24)</f>
        <v>gayung kecil</v>
      </c>
      <c r="P2730">
        <f>IF(OR(M2730="",N2730=""),"",SUMIFS('Barang Keluar'!$E:$E,'Barang Keluar'!$A:$A,M2730,'Barang Keluar'!$C:$C,N2730))</f>
        <v>0</v>
      </c>
    </row>
    <row r="2731" spans="13:16">
      <c r="M2731" s="49">
        <f>IF($A$4+27&gt;$B$4,"",$A$4+27)</f>
        <v>46050</v>
      </c>
      <c r="N2731" t="str">
        <f>IF(M2731="","",'Master Barang'!A25)</f>
        <v>PRL-024</v>
      </c>
      <c r="O2731" t="str">
        <f>IF(N2731="","",'Master Barang'!B25)</f>
        <v>cikrak kecil</v>
      </c>
      <c r="P2731">
        <f>IF(OR(M2731="",N2731=""),"",SUMIFS('Barang Keluar'!$E:$E,'Barang Keluar'!$A:$A,M2731,'Barang Keluar'!$C:$C,N2731))</f>
        <v>0</v>
      </c>
    </row>
    <row r="2732" spans="13:16">
      <c r="M2732" s="49">
        <f>IF($A$4+27&gt;$B$4,"",$A$4+27)</f>
        <v>46050</v>
      </c>
      <c r="N2732" t="str">
        <f>IF(M2732="","",'Master Barang'!A26)</f>
        <v>PRL-025</v>
      </c>
      <c r="O2732" t="str">
        <f>IF(N2732="","",'Master Barang'!B26)</f>
        <v>petromax plastik kecil 12x24 100 lembar</v>
      </c>
      <c r="P2732">
        <f>IF(OR(M2732="",N2732=""),"",SUMIFS('Barang Keluar'!$E:$E,'Barang Keluar'!$A:$A,M2732,'Barang Keluar'!$C:$C,N2732))</f>
        <v>0</v>
      </c>
    </row>
    <row r="2733" spans="13:16">
      <c r="M2733" s="49">
        <f>IF($A$4+27&gt;$B$4,"",$A$4+27)</f>
        <v>46050</v>
      </c>
      <c r="N2733" t="str">
        <f>IF(M2733="","",'Master Barang'!A27)</f>
        <v>PRL-026</v>
      </c>
      <c r="O2733" t="str">
        <f>IF(N2733="","",'Master Barang'!B27)</f>
        <v>lancar kresek kecil bening </v>
      </c>
      <c r="P2733">
        <f>IF(OR(M2733="",N2733=""),"",SUMIFS('Barang Keluar'!$E:$E,'Barang Keluar'!$A:$A,M2733,'Barang Keluar'!$C:$C,N2733))</f>
        <v>0</v>
      </c>
    </row>
    <row r="2734" spans="13:16">
      <c r="M2734" s="49">
        <f>IF($A$4+27&gt;$B$4,"",$A$4+27)</f>
        <v>46050</v>
      </c>
      <c r="N2734" t="str">
        <f>IF(M2734="","",'Master Barang'!A28)</f>
        <v>PRL-027</v>
      </c>
      <c r="O2734" t="str">
        <f>IF(N2734="","",'Master Barang'!B28)</f>
        <v>kresek klin warna warni kecil</v>
      </c>
      <c r="P2734">
        <f>IF(OR(M2734="",N2734=""),"",SUMIFS('Barang Keluar'!$E:$E,'Barang Keluar'!$A:$A,M2734,'Barang Keluar'!$C:$C,N2734))</f>
        <v>0</v>
      </c>
    </row>
    <row r="2735" spans="13:16">
      <c r="M2735" s="49">
        <f>IF($A$4+27&gt;$B$4,"",$A$4+27)</f>
        <v>46050</v>
      </c>
      <c r="N2735" t="str">
        <f>IF(M2735="","",'Master Barang'!A29)</f>
        <v>PRL-028</v>
      </c>
      <c r="O2735" t="str">
        <f>IF(N2735="","",'Master Barang'!B29)</f>
        <v>ctik plastik 7x10 100 pcs</v>
      </c>
      <c r="P2735">
        <f>IF(OR(M2735="",N2735=""),"",SUMIFS('Barang Keluar'!$E:$E,'Barang Keluar'!$A:$A,M2735,'Barang Keluar'!$C:$C,N2735))</f>
        <v>0</v>
      </c>
    </row>
    <row r="2736" spans="13:16">
      <c r="M2736" s="49">
        <f>IF($A$4+27&gt;$B$4,"",$A$4+27)</f>
        <v>46050</v>
      </c>
      <c r="N2736" t="str">
        <f>IF(M2736="","",'Master Barang'!A30)</f>
        <v>PRL-029</v>
      </c>
      <c r="O2736" t="str">
        <f>IF(N2736="","",'Master Barang'!B30)</f>
        <v>ctik plastik 6x10 100 pcs</v>
      </c>
      <c r="P2736">
        <f>IF(OR(M2736="",N2736=""),"",SUMIFS('Barang Keluar'!$E:$E,'Barang Keluar'!$A:$A,M2736,'Barang Keluar'!$C:$C,N2736))</f>
        <v>0</v>
      </c>
    </row>
    <row r="2737" spans="13:16">
      <c r="M2737" s="49">
        <f>IF($A$4+27&gt;$B$4,"",$A$4+27)</f>
        <v>46050</v>
      </c>
      <c r="N2737" t="str">
        <f>IF(M2737="","",'Master Barang'!A31)</f>
        <v>PRL-030</v>
      </c>
      <c r="O2737" t="str">
        <f>IF(N2737="","",'Master Barang'!B31)</f>
        <v>klip plastik 25x16 100 pcs</v>
      </c>
      <c r="P2737">
        <f>IF(OR(M2737="",N2737=""),"",SUMIFS('Barang Keluar'!$E:$E,'Barang Keluar'!$A:$A,M2737,'Barang Keluar'!$C:$C,N2737))</f>
        <v>0</v>
      </c>
    </row>
    <row r="2738" spans="13:16">
      <c r="M2738" s="49">
        <f>IF($A$4+27&gt;$B$4,"",$A$4+27)</f>
        <v>46050</v>
      </c>
      <c r="N2738" t="str">
        <f>IF(M2738="","",'Master Barang'!A32)</f>
        <v>PRL-031</v>
      </c>
      <c r="O2738" t="str">
        <f>IF(N2738="","",'Master Barang'!B32)</f>
        <v>tempat saus 20 ml</v>
      </c>
      <c r="P2738">
        <f>IF(OR(M2738="",N2738=""),"",SUMIFS('Barang Keluar'!$E:$E,'Barang Keluar'!$A:$A,M2738,'Barang Keluar'!$C:$C,N2738))</f>
        <v>0</v>
      </c>
    </row>
    <row r="2739" spans="13:16">
      <c r="M2739" s="49">
        <f>IF($A$4+27&gt;$B$4,"",$A$4+27)</f>
        <v>46050</v>
      </c>
      <c r="N2739" t="str">
        <f>IF(M2739="","",'Master Barang'!A33)</f>
        <v>PRL-032</v>
      </c>
      <c r="O2739" t="str">
        <f>IF(N2739="","",'Master Barang'!B33)</f>
        <v>plastik packaging ag box uk sedang</v>
      </c>
      <c r="P2739">
        <f>IF(OR(M2739="",N2739=""),"",SUMIFS('Barang Keluar'!$E:$E,'Barang Keluar'!$A:$A,M2739,'Barang Keluar'!$C:$C,N2739))</f>
        <v>0</v>
      </c>
    </row>
    <row r="2740" spans="13:16">
      <c r="M2740" s="49">
        <f>IF($A$4+27&gt;$B$4,"",$A$4+27)</f>
        <v>46050</v>
      </c>
      <c r="N2740" t="str">
        <f>IF(M2740="","",'Master Barang'!A34)</f>
        <v>PRL-033</v>
      </c>
      <c r="O2740">
        <f>IF(N2740="","",'Master Barang'!B34)</f>
        <v>0</v>
      </c>
      <c r="P2740">
        <f>IF(OR(M2740="",N2740=""),"",SUMIFS('Barang Keluar'!$E:$E,'Barang Keluar'!$A:$A,M2740,'Barang Keluar'!$C:$C,N2740))</f>
        <v>0</v>
      </c>
    </row>
    <row r="2741" spans="13:16">
      <c r="M2741" s="49">
        <f>IF($A$4+27&gt;$B$4,"",$A$4+27)</f>
        <v>46050</v>
      </c>
      <c r="N2741">
        <f>IF(M2741="","",'Master Barang'!A35)</f>
        <v>0</v>
      </c>
      <c r="O2741">
        <f>IF(N2741="","",'Master Barang'!B35)</f>
        <v>0</v>
      </c>
      <c r="P2741">
        <f>IF(OR(M2741="",N2741=""),"",SUMIFS('Barang Keluar'!$E:$E,'Barang Keluar'!$A:$A,M2741,'Barang Keluar'!$C:$C,N2741))</f>
        <v>0</v>
      </c>
    </row>
    <row r="2742" spans="13:16">
      <c r="M2742" s="49">
        <f>IF($A$4+27&gt;$B$4,"",$A$4+27)</f>
        <v>46050</v>
      </c>
      <c r="N2742">
        <f>IF(M2742="","",'Master Barang'!A36)</f>
        <v>0</v>
      </c>
      <c r="O2742">
        <f>IF(N2742="","",'Master Barang'!B36)</f>
        <v>0</v>
      </c>
      <c r="P2742">
        <f>IF(OR(M2742="",N2742=""),"",SUMIFS('Barang Keluar'!$E:$E,'Barang Keluar'!$A:$A,M2742,'Barang Keluar'!$C:$C,N2742))</f>
        <v>0</v>
      </c>
    </row>
    <row r="2743" spans="13:16">
      <c r="M2743" s="49">
        <f>IF($A$4+27&gt;$B$4,"",$A$4+27)</f>
        <v>46050</v>
      </c>
      <c r="N2743">
        <f>IF(M2743="","",'Master Barang'!A37)</f>
        <v>0</v>
      </c>
      <c r="O2743">
        <f>IF(N2743="","",'Master Barang'!B37)</f>
        <v>0</v>
      </c>
      <c r="P2743">
        <f>IF(OR(M2743="",N2743=""),"",SUMIFS('Barang Keluar'!$E:$E,'Barang Keluar'!$A:$A,M2743,'Barang Keluar'!$C:$C,N2743))</f>
        <v>0</v>
      </c>
    </row>
    <row r="2744" spans="13:16">
      <c r="M2744" s="49">
        <f>IF($A$4+27&gt;$B$4,"",$A$4+27)</f>
        <v>46050</v>
      </c>
      <c r="N2744">
        <f>IF(M2744="","",'Master Barang'!A38)</f>
        <v>0</v>
      </c>
      <c r="O2744">
        <f>IF(N2744="","",'Master Barang'!B38)</f>
        <v>0</v>
      </c>
      <c r="P2744">
        <f>IF(OR(M2744="",N2744=""),"",SUMIFS('Barang Keluar'!$E:$E,'Barang Keluar'!$A:$A,M2744,'Barang Keluar'!$C:$C,N2744))</f>
        <v>0</v>
      </c>
    </row>
    <row r="2745" spans="13:16">
      <c r="M2745" s="49">
        <f>IF($A$4+27&gt;$B$4,"",$A$4+27)</f>
        <v>46050</v>
      </c>
      <c r="N2745">
        <f>IF(M2745="","",'Master Barang'!A39)</f>
        <v>0</v>
      </c>
      <c r="O2745">
        <f>IF(N2745="","",'Master Barang'!B39)</f>
        <v>0</v>
      </c>
      <c r="P2745">
        <f>IF(OR(M2745="",N2745=""),"",SUMIFS('Barang Keluar'!$E:$E,'Barang Keluar'!$A:$A,M2745,'Barang Keluar'!$C:$C,N2745))</f>
        <v>0</v>
      </c>
    </row>
    <row r="2746" spans="13:16">
      <c r="M2746" s="49">
        <f>IF($A$4+27&gt;$B$4,"",$A$4+27)</f>
        <v>46050</v>
      </c>
      <c r="N2746">
        <f>IF(M2746="","",'Master Barang'!A40)</f>
        <v>0</v>
      </c>
      <c r="O2746">
        <f>IF(N2746="","",'Master Barang'!B40)</f>
        <v>0</v>
      </c>
      <c r="P2746">
        <f>IF(OR(M2746="",N2746=""),"",SUMIFS('Barang Keluar'!$E:$E,'Barang Keluar'!$A:$A,M2746,'Barang Keluar'!$C:$C,N2746))</f>
        <v>0</v>
      </c>
    </row>
    <row r="2747" spans="13:16">
      <c r="M2747" s="49">
        <f>IF($A$4+27&gt;$B$4,"",$A$4+27)</f>
        <v>46050</v>
      </c>
      <c r="N2747">
        <f>IF(M2747="","",'Master Barang'!A41)</f>
        <v>0</v>
      </c>
      <c r="O2747">
        <f>IF(N2747="","",'Master Barang'!B41)</f>
        <v>0</v>
      </c>
      <c r="P2747">
        <f>IF(OR(M2747="",N2747=""),"",SUMIFS('Barang Keluar'!$E:$E,'Barang Keluar'!$A:$A,M2747,'Barang Keluar'!$C:$C,N2747))</f>
        <v>0</v>
      </c>
    </row>
    <row r="2748" spans="13:16">
      <c r="M2748" s="49">
        <f>IF($A$4+27&gt;$B$4,"",$A$4+27)</f>
        <v>46050</v>
      </c>
      <c r="N2748">
        <f>IF(M2748="","",'Master Barang'!A42)</f>
        <v>0</v>
      </c>
      <c r="O2748">
        <f>IF(N2748="","",'Master Barang'!B42)</f>
        <v>0</v>
      </c>
      <c r="P2748">
        <f>IF(OR(M2748="",N2748=""),"",SUMIFS('Barang Keluar'!$E:$E,'Barang Keluar'!$A:$A,M2748,'Barang Keluar'!$C:$C,N2748))</f>
        <v>0</v>
      </c>
    </row>
    <row r="2749" spans="13:16">
      <c r="M2749" s="49">
        <f>IF($A$4+27&gt;$B$4,"",$A$4+27)</f>
        <v>46050</v>
      </c>
      <c r="N2749">
        <f>IF(M2749="","",'Master Barang'!A43)</f>
        <v>0</v>
      </c>
      <c r="O2749">
        <f>IF(N2749="","",'Master Barang'!B43)</f>
        <v>0</v>
      </c>
      <c r="P2749">
        <f>IF(OR(M2749="",N2749=""),"",SUMIFS('Barang Keluar'!$E:$E,'Barang Keluar'!$A:$A,M2749,'Barang Keluar'!$C:$C,N2749))</f>
        <v>0</v>
      </c>
    </row>
    <row r="2750" spans="13:16">
      <c r="M2750" s="49">
        <f>IF($A$4+27&gt;$B$4,"",$A$4+27)</f>
        <v>46050</v>
      </c>
      <c r="N2750">
        <f>IF(M2750="","",'Master Barang'!A44)</f>
        <v>0</v>
      </c>
      <c r="O2750">
        <f>IF(N2750="","",'Master Barang'!B44)</f>
        <v>0</v>
      </c>
      <c r="P2750">
        <f>IF(OR(M2750="",N2750=""),"",SUMIFS('Barang Keluar'!$E:$E,'Barang Keluar'!$A:$A,M2750,'Barang Keluar'!$C:$C,N2750))</f>
        <v>0</v>
      </c>
    </row>
    <row r="2751" spans="13:16">
      <c r="M2751" s="49">
        <f>IF($A$4+27&gt;$B$4,"",$A$4+27)</f>
        <v>46050</v>
      </c>
      <c r="N2751">
        <f>IF(M2751="","",'Master Barang'!A45)</f>
        <v>0</v>
      </c>
      <c r="O2751">
        <f>IF(N2751="","",'Master Barang'!B45)</f>
        <v>0</v>
      </c>
      <c r="P2751">
        <f>IF(OR(M2751="",N2751=""),"",SUMIFS('Barang Keluar'!$E:$E,'Barang Keluar'!$A:$A,M2751,'Barang Keluar'!$C:$C,N2751))</f>
        <v>0</v>
      </c>
    </row>
    <row r="2752" spans="13:16">
      <c r="M2752" s="49">
        <f>IF($A$4+27&gt;$B$4,"",$A$4+27)</f>
        <v>46050</v>
      </c>
      <c r="N2752">
        <f>IF(M2752="","",'Master Barang'!A46)</f>
        <v>0</v>
      </c>
      <c r="O2752">
        <f>IF(N2752="","",'Master Barang'!B46)</f>
        <v>0</v>
      </c>
      <c r="P2752">
        <f>IF(OR(M2752="",N2752=""),"",SUMIFS('Barang Keluar'!$E:$E,'Barang Keluar'!$A:$A,M2752,'Barang Keluar'!$C:$C,N2752))</f>
        <v>0</v>
      </c>
    </row>
    <row r="2753" spans="13:16">
      <c r="M2753" s="49">
        <f>IF($A$4+27&gt;$B$4,"",$A$4+27)</f>
        <v>46050</v>
      </c>
      <c r="N2753">
        <f>IF(M2753="","",'Master Barang'!A47)</f>
        <v>0</v>
      </c>
      <c r="O2753">
        <f>IF(N2753="","",'Master Barang'!B47)</f>
        <v>0</v>
      </c>
      <c r="P2753">
        <f>IF(OR(M2753="",N2753=""),"",SUMIFS('Barang Keluar'!$E:$E,'Barang Keluar'!$A:$A,M2753,'Barang Keluar'!$C:$C,N2753))</f>
        <v>0</v>
      </c>
    </row>
    <row r="2754" spans="13:16">
      <c r="M2754" s="49">
        <f>IF($A$4+27&gt;$B$4,"",$A$4+27)</f>
        <v>46050</v>
      </c>
      <c r="N2754">
        <f>IF(M2754="","",'Master Barang'!A48)</f>
        <v>0</v>
      </c>
      <c r="O2754">
        <f>IF(N2754="","",'Master Barang'!B48)</f>
        <v>0</v>
      </c>
      <c r="P2754">
        <f>IF(OR(M2754="",N2754=""),"",SUMIFS('Barang Keluar'!$E:$E,'Barang Keluar'!$A:$A,M2754,'Barang Keluar'!$C:$C,N2754))</f>
        <v>0</v>
      </c>
    </row>
    <row r="2755" spans="13:16">
      <c r="M2755" s="49">
        <f>IF($A$4+27&gt;$B$4,"",$A$4+27)</f>
        <v>46050</v>
      </c>
      <c r="N2755">
        <f>IF(M2755="","",'Master Barang'!A49)</f>
        <v>0</v>
      </c>
      <c r="O2755">
        <f>IF(N2755="","",'Master Barang'!B49)</f>
        <v>0</v>
      </c>
      <c r="P2755">
        <f>IF(OR(M2755="",N2755=""),"",SUMIFS('Barang Keluar'!$E:$E,'Barang Keluar'!$A:$A,M2755,'Barang Keluar'!$C:$C,N2755))</f>
        <v>0</v>
      </c>
    </row>
    <row r="2756" spans="13:16">
      <c r="M2756" s="49">
        <f>IF($A$4+27&gt;$B$4,"",$A$4+27)</f>
        <v>46050</v>
      </c>
      <c r="N2756">
        <f>IF(M2756="","",'Master Barang'!A50)</f>
        <v>0</v>
      </c>
      <c r="O2756">
        <f>IF(N2756="","",'Master Barang'!B50)</f>
        <v>0</v>
      </c>
      <c r="P2756">
        <f>IF(OR(M2756="",N2756=""),"",SUMIFS('Barang Keluar'!$E:$E,'Barang Keluar'!$A:$A,M2756,'Barang Keluar'!$C:$C,N2756))</f>
        <v>0</v>
      </c>
    </row>
    <row r="2757" spans="13:16">
      <c r="M2757" s="49">
        <f>IF($A$4+27&gt;$B$4,"",$A$4+27)</f>
        <v>46050</v>
      </c>
      <c r="N2757">
        <f>IF(M2757="","",'Master Barang'!A51)</f>
        <v>0</v>
      </c>
      <c r="O2757">
        <f>IF(N2757="","",'Master Barang'!B51)</f>
        <v>0</v>
      </c>
      <c r="P2757">
        <f>IF(OR(M2757="",N2757=""),"",SUMIFS('Barang Keluar'!$E:$E,'Barang Keluar'!$A:$A,M2757,'Barang Keluar'!$C:$C,N2757))</f>
        <v>0</v>
      </c>
    </row>
    <row r="2758" spans="13:16">
      <c r="M2758" s="49">
        <f>IF($A$4+27&gt;$B$4,"",$A$4+27)</f>
        <v>46050</v>
      </c>
      <c r="N2758">
        <f>IF(M2758="","",'Master Barang'!A52)</f>
        <v>0</v>
      </c>
      <c r="O2758">
        <f>IF(N2758="","",'Master Barang'!B52)</f>
        <v>0</v>
      </c>
      <c r="P2758">
        <f>IF(OR(M2758="",N2758=""),"",SUMIFS('Barang Keluar'!$E:$E,'Barang Keluar'!$A:$A,M2758,'Barang Keluar'!$C:$C,N2758))</f>
        <v>0</v>
      </c>
    </row>
    <row r="2759" spans="13:16">
      <c r="M2759" s="49">
        <f>IF($A$4+27&gt;$B$4,"",$A$4+27)</f>
        <v>46050</v>
      </c>
      <c r="N2759">
        <f>IF(M2759="","",'Master Barang'!A53)</f>
        <v>0</v>
      </c>
      <c r="O2759">
        <f>IF(N2759="","",'Master Barang'!B53)</f>
        <v>0</v>
      </c>
      <c r="P2759">
        <f>IF(OR(M2759="",N2759=""),"",SUMIFS('Barang Keluar'!$E:$E,'Barang Keluar'!$A:$A,M2759,'Barang Keluar'!$C:$C,N2759))</f>
        <v>0</v>
      </c>
    </row>
    <row r="2760" spans="13:16">
      <c r="M2760" s="49">
        <f>IF($A$4+27&gt;$B$4,"",$A$4+27)</f>
        <v>46050</v>
      </c>
      <c r="N2760">
        <f>IF(M2760="","",'Master Barang'!A54)</f>
        <v>0</v>
      </c>
      <c r="O2760">
        <f>IF(N2760="","",'Master Barang'!B54)</f>
        <v>0</v>
      </c>
      <c r="P2760">
        <f>IF(OR(M2760="",N2760=""),"",SUMIFS('Barang Keluar'!$E:$E,'Barang Keluar'!$A:$A,M2760,'Barang Keluar'!$C:$C,N2760))</f>
        <v>0</v>
      </c>
    </row>
    <row r="2761" spans="13:16">
      <c r="M2761" s="49">
        <f>IF($A$4+27&gt;$B$4,"",$A$4+27)</f>
        <v>46050</v>
      </c>
      <c r="N2761">
        <f>IF(M2761="","",'Master Barang'!A55)</f>
        <v>0</v>
      </c>
      <c r="O2761">
        <f>IF(N2761="","",'Master Barang'!B55)</f>
        <v>0</v>
      </c>
      <c r="P2761">
        <f>IF(OR(M2761="",N2761=""),"",SUMIFS('Barang Keluar'!$E:$E,'Barang Keluar'!$A:$A,M2761,'Barang Keluar'!$C:$C,N2761))</f>
        <v>0</v>
      </c>
    </row>
    <row r="2762" spans="13:16">
      <c r="M2762" s="49">
        <f>IF($A$4+27&gt;$B$4,"",$A$4+27)</f>
        <v>46050</v>
      </c>
      <c r="N2762">
        <f>IF(M2762="","",'Master Barang'!A56)</f>
        <v>0</v>
      </c>
      <c r="O2762">
        <f>IF(N2762="","",'Master Barang'!B56)</f>
        <v>0</v>
      </c>
      <c r="P2762">
        <f>IF(OR(M2762="",N2762=""),"",SUMIFS('Barang Keluar'!$E:$E,'Barang Keluar'!$A:$A,M2762,'Barang Keluar'!$C:$C,N2762))</f>
        <v>0</v>
      </c>
    </row>
    <row r="2763" spans="13:16">
      <c r="M2763" s="49">
        <f>IF($A$4+27&gt;$B$4,"",$A$4+27)</f>
        <v>46050</v>
      </c>
      <c r="N2763">
        <f>IF(M2763="","",'Master Barang'!A57)</f>
        <v>0</v>
      </c>
      <c r="O2763">
        <f>IF(N2763="","",'Master Barang'!B57)</f>
        <v>0</v>
      </c>
      <c r="P2763">
        <f>IF(OR(M2763="",N2763=""),"",SUMIFS('Barang Keluar'!$E:$E,'Barang Keluar'!$A:$A,M2763,'Barang Keluar'!$C:$C,N2763))</f>
        <v>0</v>
      </c>
    </row>
    <row r="2764" spans="13:16">
      <c r="M2764" s="49">
        <f>IF($A$4+27&gt;$B$4,"",$A$4+27)</f>
        <v>46050</v>
      </c>
      <c r="N2764">
        <f>IF(M2764="","",'Master Barang'!A58)</f>
        <v>0</v>
      </c>
      <c r="O2764">
        <f>IF(N2764="","",'Master Barang'!B58)</f>
        <v>0</v>
      </c>
      <c r="P2764">
        <f>IF(OR(M2764="",N2764=""),"",SUMIFS('Barang Keluar'!$E:$E,'Barang Keluar'!$A:$A,M2764,'Barang Keluar'!$C:$C,N2764))</f>
        <v>0</v>
      </c>
    </row>
    <row r="2765" spans="13:16">
      <c r="M2765" s="49">
        <f>IF($A$4+27&gt;$B$4,"",$A$4+27)</f>
        <v>46050</v>
      </c>
      <c r="N2765">
        <f>IF(M2765="","",'Master Barang'!A59)</f>
        <v>0</v>
      </c>
      <c r="O2765">
        <f>IF(N2765="","",'Master Barang'!B59)</f>
        <v>0</v>
      </c>
      <c r="P2765">
        <f>IF(OR(M2765="",N2765=""),"",SUMIFS('Barang Keluar'!$E:$E,'Barang Keluar'!$A:$A,M2765,'Barang Keluar'!$C:$C,N2765))</f>
        <v>0</v>
      </c>
    </row>
    <row r="2766" spans="13:16">
      <c r="M2766" s="49">
        <f>IF($A$4+27&gt;$B$4,"",$A$4+27)</f>
        <v>46050</v>
      </c>
      <c r="N2766">
        <f>IF(M2766="","",'Master Barang'!A60)</f>
        <v>0</v>
      </c>
      <c r="O2766">
        <f>IF(N2766="","",'Master Barang'!B60)</f>
        <v>0</v>
      </c>
      <c r="P2766">
        <f>IF(OR(M2766="",N2766=""),"",SUMIFS('Barang Keluar'!$E:$E,'Barang Keluar'!$A:$A,M2766,'Barang Keluar'!$C:$C,N2766))</f>
        <v>0</v>
      </c>
    </row>
    <row r="2767" spans="13:16">
      <c r="M2767" s="49">
        <f>IF($A$4+27&gt;$B$4,"",$A$4+27)</f>
        <v>46050</v>
      </c>
      <c r="N2767">
        <f>IF(M2767="","",'Master Barang'!A61)</f>
        <v>0</v>
      </c>
      <c r="O2767">
        <f>IF(N2767="","",'Master Barang'!B61)</f>
        <v>0</v>
      </c>
      <c r="P2767">
        <f>IF(OR(M2767="",N2767=""),"",SUMIFS('Barang Keluar'!$E:$E,'Barang Keluar'!$A:$A,M2767,'Barang Keluar'!$C:$C,N2767))</f>
        <v>0</v>
      </c>
    </row>
    <row r="2768" spans="13:16">
      <c r="M2768" s="49">
        <f>IF($A$4+27&gt;$B$4,"",$A$4+27)</f>
        <v>46050</v>
      </c>
      <c r="N2768">
        <f>IF(M2768="","",'Master Barang'!A62)</f>
        <v>0</v>
      </c>
      <c r="O2768">
        <f>IF(N2768="","",'Master Barang'!B62)</f>
        <v>0</v>
      </c>
      <c r="P2768">
        <f>IF(OR(M2768="",N2768=""),"",SUMIFS('Barang Keluar'!$E:$E,'Barang Keluar'!$A:$A,M2768,'Barang Keluar'!$C:$C,N2768))</f>
        <v>0</v>
      </c>
    </row>
    <row r="2769" spans="13:16">
      <c r="M2769" s="49">
        <f>IF($A$4+27&gt;$B$4,"",$A$4+27)</f>
        <v>46050</v>
      </c>
      <c r="N2769">
        <f>IF(M2769="","",'Master Barang'!A63)</f>
        <v>0</v>
      </c>
      <c r="O2769">
        <f>IF(N2769="","",'Master Barang'!B63)</f>
        <v>0</v>
      </c>
      <c r="P2769">
        <f>IF(OR(M2769="",N2769=""),"",SUMIFS('Barang Keluar'!$E:$E,'Barang Keluar'!$A:$A,M2769,'Barang Keluar'!$C:$C,N2769))</f>
        <v>0</v>
      </c>
    </row>
    <row r="2770" spans="13:16">
      <c r="M2770" s="49">
        <f>IF($A$4+27&gt;$B$4,"",$A$4+27)</f>
        <v>46050</v>
      </c>
      <c r="N2770">
        <f>IF(M2770="","",'Master Barang'!A64)</f>
        <v>0</v>
      </c>
      <c r="O2770">
        <f>IF(N2770="","",'Master Barang'!B64)</f>
        <v>0</v>
      </c>
      <c r="P2770">
        <f>IF(OR(M2770="",N2770=""),"",SUMIFS('Barang Keluar'!$E:$E,'Barang Keluar'!$A:$A,M2770,'Barang Keluar'!$C:$C,N2770))</f>
        <v>0</v>
      </c>
    </row>
    <row r="2771" spans="13:16">
      <c r="M2771" s="49">
        <f>IF($A$4+27&gt;$B$4,"",$A$4+27)</f>
        <v>46050</v>
      </c>
      <c r="N2771">
        <f>IF(M2771="","",'Master Barang'!A65)</f>
        <v>0</v>
      </c>
      <c r="O2771">
        <f>IF(N2771="","",'Master Barang'!B65)</f>
        <v>0</v>
      </c>
      <c r="P2771">
        <f>IF(OR(M2771="",N2771=""),"",SUMIFS('Barang Keluar'!$E:$E,'Barang Keluar'!$A:$A,M2771,'Barang Keluar'!$C:$C,N2771))</f>
        <v>0</v>
      </c>
    </row>
    <row r="2772" spans="13:16">
      <c r="M2772" s="49">
        <f>IF($A$4+27&gt;$B$4,"",$A$4+27)</f>
        <v>46050</v>
      </c>
      <c r="N2772">
        <f>IF(M2772="","",'Master Barang'!A66)</f>
        <v>0</v>
      </c>
      <c r="O2772">
        <f>IF(N2772="","",'Master Barang'!B66)</f>
        <v>0</v>
      </c>
      <c r="P2772">
        <f>IF(OR(M2772="",N2772=""),"",SUMIFS('Barang Keluar'!$E:$E,'Barang Keluar'!$A:$A,M2772,'Barang Keluar'!$C:$C,N2772))</f>
        <v>0</v>
      </c>
    </row>
    <row r="2773" spans="13:16">
      <c r="M2773" s="49">
        <f>IF($A$4+27&gt;$B$4,"",$A$4+27)</f>
        <v>46050</v>
      </c>
      <c r="N2773">
        <f>IF(M2773="","",'Master Barang'!A67)</f>
        <v>0</v>
      </c>
      <c r="O2773">
        <f>IF(N2773="","",'Master Barang'!B67)</f>
        <v>0</v>
      </c>
      <c r="P2773">
        <f>IF(OR(M2773="",N2773=""),"",SUMIFS('Barang Keluar'!$E:$E,'Barang Keluar'!$A:$A,M2773,'Barang Keluar'!$C:$C,N2773))</f>
        <v>0</v>
      </c>
    </row>
    <row r="2774" spans="13:16">
      <c r="M2774" s="49">
        <f>IF($A$4+27&gt;$B$4,"",$A$4+27)</f>
        <v>46050</v>
      </c>
      <c r="N2774">
        <f>IF(M2774="","",'Master Barang'!A68)</f>
        <v>0</v>
      </c>
      <c r="O2774">
        <f>IF(N2774="","",'Master Barang'!B68)</f>
        <v>0</v>
      </c>
      <c r="P2774">
        <f>IF(OR(M2774="",N2774=""),"",SUMIFS('Barang Keluar'!$E:$E,'Barang Keluar'!$A:$A,M2774,'Barang Keluar'!$C:$C,N2774))</f>
        <v>0</v>
      </c>
    </row>
    <row r="2775" spans="13:16">
      <c r="M2775" s="49">
        <f>IF($A$4+27&gt;$B$4,"",$A$4+27)</f>
        <v>46050</v>
      </c>
      <c r="N2775">
        <f>IF(M2775="","",'Master Barang'!A69)</f>
        <v>0</v>
      </c>
      <c r="O2775">
        <f>IF(N2775="","",'Master Barang'!B69)</f>
        <v>0</v>
      </c>
      <c r="P2775">
        <f>IF(OR(M2775="",N2775=""),"",SUMIFS('Barang Keluar'!$E:$E,'Barang Keluar'!$A:$A,M2775,'Barang Keluar'!$C:$C,N2775))</f>
        <v>0</v>
      </c>
    </row>
    <row r="2776" spans="13:16">
      <c r="M2776" s="49">
        <f>IF($A$4+27&gt;$B$4,"",$A$4+27)</f>
        <v>46050</v>
      </c>
      <c r="N2776">
        <f>IF(M2776="","",'Master Barang'!A70)</f>
        <v>0</v>
      </c>
      <c r="O2776">
        <f>IF(N2776="","",'Master Barang'!B70)</f>
        <v>0</v>
      </c>
      <c r="P2776">
        <f>IF(OR(M2776="",N2776=""),"",SUMIFS('Barang Keluar'!$E:$E,'Barang Keluar'!$A:$A,M2776,'Barang Keluar'!$C:$C,N2776))</f>
        <v>0</v>
      </c>
    </row>
    <row r="2777" spans="13:16">
      <c r="M2777" s="49">
        <f>IF($A$4+27&gt;$B$4,"",$A$4+27)</f>
        <v>46050</v>
      </c>
      <c r="N2777">
        <f>IF(M2777="","",'Master Barang'!A71)</f>
        <v>0</v>
      </c>
      <c r="O2777">
        <f>IF(N2777="","",'Master Barang'!B71)</f>
        <v>0</v>
      </c>
      <c r="P2777">
        <f>IF(OR(M2777="",N2777=""),"",SUMIFS('Barang Keluar'!$E:$E,'Barang Keluar'!$A:$A,M2777,'Barang Keluar'!$C:$C,N2777))</f>
        <v>0</v>
      </c>
    </row>
    <row r="2778" spans="13:16">
      <c r="M2778" s="49">
        <f>IF($A$4+27&gt;$B$4,"",$A$4+27)</f>
        <v>46050</v>
      </c>
      <c r="N2778">
        <f>IF(M2778="","",'Master Barang'!A72)</f>
        <v>0</v>
      </c>
      <c r="O2778">
        <f>IF(N2778="","",'Master Barang'!B72)</f>
        <v>0</v>
      </c>
      <c r="P2778">
        <f>IF(OR(M2778="",N2778=""),"",SUMIFS('Barang Keluar'!$E:$E,'Barang Keluar'!$A:$A,M2778,'Barang Keluar'!$C:$C,N2778))</f>
        <v>0</v>
      </c>
    </row>
    <row r="2779" spans="13:16">
      <c r="M2779" s="49">
        <f>IF($A$4+27&gt;$B$4,"",$A$4+27)</f>
        <v>46050</v>
      </c>
      <c r="N2779">
        <f>IF(M2779="","",'Master Barang'!A73)</f>
        <v>0</v>
      </c>
      <c r="O2779">
        <f>IF(N2779="","",'Master Barang'!B73)</f>
        <v>0</v>
      </c>
      <c r="P2779">
        <f>IF(OR(M2779="",N2779=""),"",SUMIFS('Barang Keluar'!$E:$E,'Barang Keluar'!$A:$A,M2779,'Barang Keluar'!$C:$C,N2779))</f>
        <v>0</v>
      </c>
    </row>
    <row r="2780" spans="13:16">
      <c r="M2780" s="49">
        <f>IF($A$4+27&gt;$B$4,"",$A$4+27)</f>
        <v>46050</v>
      </c>
      <c r="N2780">
        <f>IF(M2780="","",'Master Barang'!A74)</f>
        <v>0</v>
      </c>
      <c r="O2780">
        <f>IF(N2780="","",'Master Barang'!B74)</f>
        <v>0</v>
      </c>
      <c r="P2780">
        <f>IF(OR(M2780="",N2780=""),"",SUMIFS('Barang Keluar'!$E:$E,'Barang Keluar'!$A:$A,M2780,'Barang Keluar'!$C:$C,N2780))</f>
        <v>0</v>
      </c>
    </row>
    <row r="2781" spans="13:16">
      <c r="M2781" s="49">
        <f>IF($A$4+27&gt;$B$4,"",$A$4+27)</f>
        <v>46050</v>
      </c>
      <c r="N2781">
        <f>IF(M2781="","",'Master Barang'!A75)</f>
        <v>0</v>
      </c>
      <c r="O2781">
        <f>IF(N2781="","",'Master Barang'!B75)</f>
        <v>0</v>
      </c>
      <c r="P2781">
        <f>IF(OR(M2781="",N2781=""),"",SUMIFS('Barang Keluar'!$E:$E,'Barang Keluar'!$A:$A,M2781,'Barang Keluar'!$C:$C,N2781))</f>
        <v>0</v>
      </c>
    </row>
    <row r="2782" spans="13:16">
      <c r="M2782" s="49">
        <f>IF($A$4+27&gt;$B$4,"",$A$4+27)</f>
        <v>46050</v>
      </c>
      <c r="N2782">
        <f>IF(M2782="","",'Master Barang'!A76)</f>
        <v>0</v>
      </c>
      <c r="O2782">
        <f>IF(N2782="","",'Master Barang'!B76)</f>
        <v>0</v>
      </c>
      <c r="P2782">
        <f>IF(OR(M2782="",N2782=""),"",SUMIFS('Barang Keluar'!$E:$E,'Barang Keluar'!$A:$A,M2782,'Barang Keluar'!$C:$C,N2782))</f>
        <v>0</v>
      </c>
    </row>
    <row r="2783" spans="13:16">
      <c r="M2783" s="49">
        <f>IF($A$4+27&gt;$B$4,"",$A$4+27)</f>
        <v>46050</v>
      </c>
      <c r="N2783">
        <f>IF(M2783="","",'Master Barang'!A77)</f>
        <v>0</v>
      </c>
      <c r="O2783">
        <f>IF(N2783="","",'Master Barang'!B77)</f>
        <v>0</v>
      </c>
      <c r="P2783">
        <f>IF(OR(M2783="",N2783=""),"",SUMIFS('Barang Keluar'!$E:$E,'Barang Keluar'!$A:$A,M2783,'Barang Keluar'!$C:$C,N2783))</f>
        <v>0</v>
      </c>
    </row>
    <row r="2784" spans="13:16">
      <c r="M2784" s="49">
        <f>IF($A$4+27&gt;$B$4,"",$A$4+27)</f>
        <v>46050</v>
      </c>
      <c r="N2784">
        <f>IF(M2784="","",'Master Barang'!A78)</f>
        <v>0</v>
      </c>
      <c r="O2784">
        <f>IF(N2784="","",'Master Barang'!B78)</f>
        <v>0</v>
      </c>
      <c r="P2784">
        <f>IF(OR(M2784="",N2784=""),"",SUMIFS('Barang Keluar'!$E:$E,'Barang Keluar'!$A:$A,M2784,'Barang Keluar'!$C:$C,N2784))</f>
        <v>0</v>
      </c>
    </row>
    <row r="2785" spans="13:16">
      <c r="M2785" s="49">
        <f>IF($A$4+27&gt;$B$4,"",$A$4+27)</f>
        <v>46050</v>
      </c>
      <c r="N2785">
        <f>IF(M2785="","",'Master Barang'!A79)</f>
        <v>0</v>
      </c>
      <c r="O2785">
        <f>IF(N2785="","",'Master Barang'!B79)</f>
        <v>0</v>
      </c>
      <c r="P2785">
        <f>IF(OR(M2785="",N2785=""),"",SUMIFS('Barang Keluar'!$E:$E,'Barang Keluar'!$A:$A,M2785,'Barang Keluar'!$C:$C,N2785))</f>
        <v>0</v>
      </c>
    </row>
    <row r="2786" spans="13:16">
      <c r="M2786" s="49">
        <f>IF($A$4+27&gt;$B$4,"",$A$4+27)</f>
        <v>46050</v>
      </c>
      <c r="N2786">
        <f>IF(M2786="","",'Master Barang'!A80)</f>
        <v>0</v>
      </c>
      <c r="O2786">
        <f>IF(N2786="","",'Master Barang'!B80)</f>
        <v>0</v>
      </c>
      <c r="P2786">
        <f>IF(OR(M2786="",N2786=""),"",SUMIFS('Barang Keluar'!$E:$E,'Barang Keluar'!$A:$A,M2786,'Barang Keluar'!$C:$C,N2786))</f>
        <v>0</v>
      </c>
    </row>
    <row r="2787" spans="13:16">
      <c r="M2787" s="49">
        <f>IF($A$4+27&gt;$B$4,"",$A$4+27)</f>
        <v>46050</v>
      </c>
      <c r="N2787">
        <f>IF(M2787="","",'Master Barang'!A81)</f>
        <v>0</v>
      </c>
      <c r="O2787">
        <f>IF(N2787="","",'Master Barang'!B81)</f>
        <v>0</v>
      </c>
      <c r="P2787">
        <f>IF(OR(M2787="",N2787=""),"",SUMIFS('Barang Keluar'!$E:$E,'Barang Keluar'!$A:$A,M2787,'Barang Keluar'!$C:$C,N2787))</f>
        <v>0</v>
      </c>
    </row>
    <row r="2788" spans="13:16">
      <c r="M2788" s="49">
        <f>IF($A$4+27&gt;$B$4,"",$A$4+27)</f>
        <v>46050</v>
      </c>
      <c r="N2788">
        <f>IF(M2788="","",'Master Barang'!A82)</f>
        <v>0</v>
      </c>
      <c r="O2788">
        <f>IF(N2788="","",'Master Barang'!B82)</f>
        <v>0</v>
      </c>
      <c r="P2788">
        <f>IF(OR(M2788="",N2788=""),"",SUMIFS('Barang Keluar'!$E:$E,'Barang Keluar'!$A:$A,M2788,'Barang Keluar'!$C:$C,N2788))</f>
        <v>0</v>
      </c>
    </row>
    <row r="2789" spans="13:16">
      <c r="M2789" s="49">
        <f>IF($A$4+27&gt;$B$4,"",$A$4+27)</f>
        <v>46050</v>
      </c>
      <c r="N2789">
        <f>IF(M2789="","",'Master Barang'!A83)</f>
        <v>0</v>
      </c>
      <c r="O2789">
        <f>IF(N2789="","",'Master Barang'!B83)</f>
        <v>0</v>
      </c>
      <c r="P2789">
        <f>IF(OR(M2789="",N2789=""),"",SUMIFS('Barang Keluar'!$E:$E,'Barang Keluar'!$A:$A,M2789,'Barang Keluar'!$C:$C,N2789))</f>
        <v>0</v>
      </c>
    </row>
    <row r="2790" spans="13:16">
      <c r="M2790" s="49">
        <f>IF($A$4+27&gt;$B$4,"",$A$4+27)</f>
        <v>46050</v>
      </c>
      <c r="N2790">
        <f>IF(M2790="","",'Master Barang'!A84)</f>
        <v>0</v>
      </c>
      <c r="O2790">
        <f>IF(N2790="","",'Master Barang'!B84)</f>
        <v>0</v>
      </c>
      <c r="P2790">
        <f>IF(OR(M2790="",N2790=""),"",SUMIFS('Barang Keluar'!$E:$E,'Barang Keluar'!$A:$A,M2790,'Barang Keluar'!$C:$C,N2790))</f>
        <v>0</v>
      </c>
    </row>
    <row r="2791" spans="13:16">
      <c r="M2791" s="49">
        <f>IF($A$4+27&gt;$B$4,"",$A$4+27)</f>
        <v>46050</v>
      </c>
      <c r="N2791">
        <f>IF(M2791="","",'Master Barang'!A85)</f>
        <v>0</v>
      </c>
      <c r="O2791">
        <f>IF(N2791="","",'Master Barang'!B85)</f>
        <v>0</v>
      </c>
      <c r="P2791">
        <f>IF(OR(M2791="",N2791=""),"",SUMIFS('Barang Keluar'!$E:$E,'Barang Keluar'!$A:$A,M2791,'Barang Keluar'!$C:$C,N2791))</f>
        <v>0</v>
      </c>
    </row>
    <row r="2792" spans="13:16">
      <c r="M2792" s="49">
        <f>IF($A$4+27&gt;$B$4,"",$A$4+27)</f>
        <v>46050</v>
      </c>
      <c r="N2792">
        <f>IF(M2792="","",'Master Barang'!A86)</f>
        <v>0</v>
      </c>
      <c r="O2792">
        <f>IF(N2792="","",'Master Barang'!B86)</f>
        <v>0</v>
      </c>
      <c r="P2792">
        <f>IF(OR(M2792="",N2792=""),"",SUMIFS('Barang Keluar'!$E:$E,'Barang Keluar'!$A:$A,M2792,'Barang Keluar'!$C:$C,N2792))</f>
        <v>0</v>
      </c>
    </row>
    <row r="2793" spans="13:16">
      <c r="M2793" s="49">
        <f>IF($A$4+27&gt;$B$4,"",$A$4+27)</f>
        <v>46050</v>
      </c>
      <c r="N2793">
        <f>IF(M2793="","",'Master Barang'!A87)</f>
        <v>0</v>
      </c>
      <c r="O2793">
        <f>IF(N2793="","",'Master Barang'!B87)</f>
        <v>0</v>
      </c>
      <c r="P2793">
        <f>IF(OR(M2793="",N2793=""),"",SUMIFS('Barang Keluar'!$E:$E,'Barang Keluar'!$A:$A,M2793,'Barang Keluar'!$C:$C,N2793))</f>
        <v>0</v>
      </c>
    </row>
    <row r="2794" spans="13:16">
      <c r="M2794" s="49">
        <f>IF($A$4+27&gt;$B$4,"",$A$4+27)</f>
        <v>46050</v>
      </c>
      <c r="N2794">
        <f>IF(M2794="","",'Master Barang'!A88)</f>
        <v>0</v>
      </c>
      <c r="O2794">
        <f>IF(N2794="","",'Master Barang'!B88)</f>
        <v>0</v>
      </c>
      <c r="P2794">
        <f>IF(OR(M2794="",N2794=""),"",SUMIFS('Barang Keluar'!$E:$E,'Barang Keluar'!$A:$A,M2794,'Barang Keluar'!$C:$C,N2794))</f>
        <v>0</v>
      </c>
    </row>
    <row r="2795" spans="13:16">
      <c r="M2795" s="49">
        <f>IF($A$4+27&gt;$B$4,"",$A$4+27)</f>
        <v>46050</v>
      </c>
      <c r="N2795">
        <f>IF(M2795="","",'Master Barang'!A89)</f>
        <v>0</v>
      </c>
      <c r="O2795">
        <f>IF(N2795="","",'Master Barang'!B89)</f>
        <v>0</v>
      </c>
      <c r="P2795">
        <f>IF(OR(M2795="",N2795=""),"",SUMIFS('Barang Keluar'!$E:$E,'Barang Keluar'!$A:$A,M2795,'Barang Keluar'!$C:$C,N2795))</f>
        <v>0</v>
      </c>
    </row>
    <row r="2796" spans="13:16">
      <c r="M2796" s="49">
        <f>IF($A$4+27&gt;$B$4,"",$A$4+27)</f>
        <v>46050</v>
      </c>
      <c r="N2796">
        <f>IF(M2796="","",'Master Barang'!A90)</f>
        <v>0</v>
      </c>
      <c r="O2796">
        <f>IF(N2796="","",'Master Barang'!B90)</f>
        <v>0</v>
      </c>
      <c r="P2796">
        <f>IF(OR(M2796="",N2796=""),"",SUMIFS('Barang Keluar'!$E:$E,'Barang Keluar'!$A:$A,M2796,'Barang Keluar'!$C:$C,N2796))</f>
        <v>0</v>
      </c>
    </row>
    <row r="2797" spans="13:16">
      <c r="M2797" s="49">
        <f>IF($A$4+27&gt;$B$4,"",$A$4+27)</f>
        <v>46050</v>
      </c>
      <c r="N2797">
        <f>IF(M2797="","",'Master Barang'!A91)</f>
        <v>0</v>
      </c>
      <c r="O2797">
        <f>IF(N2797="","",'Master Barang'!B91)</f>
        <v>0</v>
      </c>
      <c r="P2797">
        <f>IF(OR(M2797="",N2797=""),"",SUMIFS('Barang Keluar'!$E:$E,'Barang Keluar'!$A:$A,M2797,'Barang Keluar'!$C:$C,N2797))</f>
        <v>0</v>
      </c>
    </row>
    <row r="2798" spans="13:16">
      <c r="M2798" s="49">
        <f>IF($A$4+27&gt;$B$4,"",$A$4+27)</f>
        <v>46050</v>
      </c>
      <c r="N2798">
        <f>IF(M2798="","",'Master Barang'!A92)</f>
        <v>0</v>
      </c>
      <c r="O2798">
        <f>IF(N2798="","",'Master Barang'!B92)</f>
        <v>0</v>
      </c>
      <c r="P2798">
        <f>IF(OR(M2798="",N2798=""),"",SUMIFS('Barang Keluar'!$E:$E,'Barang Keluar'!$A:$A,M2798,'Barang Keluar'!$C:$C,N2798))</f>
        <v>0</v>
      </c>
    </row>
    <row r="2799" spans="13:16">
      <c r="M2799" s="49">
        <f>IF($A$4+27&gt;$B$4,"",$A$4+27)</f>
        <v>46050</v>
      </c>
      <c r="N2799">
        <f>IF(M2799="","",'Master Barang'!A93)</f>
        <v>0</v>
      </c>
      <c r="O2799">
        <f>IF(N2799="","",'Master Barang'!B93)</f>
        <v>0</v>
      </c>
      <c r="P2799">
        <f>IF(OR(M2799="",N2799=""),"",SUMIFS('Barang Keluar'!$E:$E,'Barang Keluar'!$A:$A,M2799,'Barang Keluar'!$C:$C,N2799))</f>
        <v>0</v>
      </c>
    </row>
    <row r="2800" spans="13:16">
      <c r="M2800" s="49">
        <f>IF($A$4+27&gt;$B$4,"",$A$4+27)</f>
        <v>46050</v>
      </c>
      <c r="N2800">
        <f>IF(M2800="","",'Master Barang'!A94)</f>
        <v>0</v>
      </c>
      <c r="O2800">
        <f>IF(N2800="","",'Master Barang'!B94)</f>
        <v>0</v>
      </c>
      <c r="P2800">
        <f>IF(OR(M2800="",N2800=""),"",SUMIFS('Barang Keluar'!$E:$E,'Barang Keluar'!$A:$A,M2800,'Barang Keluar'!$C:$C,N2800))</f>
        <v>0</v>
      </c>
    </row>
    <row r="2801" spans="13:16">
      <c r="M2801" s="49">
        <f>IF($A$4+27&gt;$B$4,"",$A$4+27)</f>
        <v>46050</v>
      </c>
      <c r="N2801">
        <f>IF(M2801="","",'Master Barang'!A95)</f>
        <v>0</v>
      </c>
      <c r="O2801">
        <f>IF(N2801="","",'Master Barang'!B95)</f>
        <v>0</v>
      </c>
      <c r="P2801">
        <f>IF(OR(M2801="",N2801=""),"",SUMIFS('Barang Keluar'!$E:$E,'Barang Keluar'!$A:$A,M2801,'Barang Keluar'!$C:$C,N2801))</f>
        <v>0</v>
      </c>
    </row>
    <row r="2802" spans="13:16">
      <c r="M2802" s="49">
        <f>IF($A$4+27&gt;$B$4,"",$A$4+27)</f>
        <v>46050</v>
      </c>
      <c r="N2802">
        <f>IF(M2802="","",'Master Barang'!A96)</f>
        <v>0</v>
      </c>
      <c r="O2802">
        <f>IF(N2802="","",'Master Barang'!B96)</f>
        <v>0</v>
      </c>
      <c r="P2802">
        <f>IF(OR(M2802="",N2802=""),"",SUMIFS('Barang Keluar'!$E:$E,'Barang Keluar'!$A:$A,M2802,'Barang Keluar'!$C:$C,N2802))</f>
        <v>0</v>
      </c>
    </row>
    <row r="2803" spans="13:16">
      <c r="M2803" s="49">
        <f>IF($A$4+27&gt;$B$4,"",$A$4+27)</f>
        <v>46050</v>
      </c>
      <c r="N2803">
        <f>IF(M2803="","",'Master Barang'!A97)</f>
        <v>0</v>
      </c>
      <c r="O2803">
        <f>IF(N2803="","",'Master Barang'!B97)</f>
        <v>0</v>
      </c>
      <c r="P2803">
        <f>IF(OR(M2803="",N2803=""),"",SUMIFS('Barang Keluar'!$E:$E,'Barang Keluar'!$A:$A,M2803,'Barang Keluar'!$C:$C,N2803))</f>
        <v>0</v>
      </c>
    </row>
    <row r="2804" spans="13:16">
      <c r="M2804" s="49">
        <f>IF($A$4+27&gt;$B$4,"",$A$4+27)</f>
        <v>46050</v>
      </c>
      <c r="N2804">
        <f>IF(M2804="","",'Master Barang'!A98)</f>
        <v>0</v>
      </c>
      <c r="O2804">
        <f>IF(N2804="","",'Master Barang'!B98)</f>
        <v>0</v>
      </c>
      <c r="P2804">
        <f>IF(OR(M2804="",N2804=""),"",SUMIFS('Barang Keluar'!$E:$E,'Barang Keluar'!$A:$A,M2804,'Barang Keluar'!$C:$C,N2804))</f>
        <v>0</v>
      </c>
    </row>
    <row r="2805" spans="13:16">
      <c r="M2805" s="49">
        <f>IF($A$4+27&gt;$B$4,"",$A$4+27)</f>
        <v>46050</v>
      </c>
      <c r="N2805">
        <f>IF(M2805="","",'Master Barang'!A99)</f>
        <v>0</v>
      </c>
      <c r="O2805">
        <f>IF(N2805="","",'Master Barang'!B99)</f>
        <v>0</v>
      </c>
      <c r="P2805">
        <f>IF(OR(M2805="",N2805=""),"",SUMIFS('Barang Keluar'!$E:$E,'Barang Keluar'!$A:$A,M2805,'Barang Keluar'!$C:$C,N2805))</f>
        <v>0</v>
      </c>
    </row>
    <row r="2806" spans="13:16">
      <c r="M2806" s="49">
        <f>IF($A$4+27&gt;$B$4,"",$A$4+27)</f>
        <v>46050</v>
      </c>
      <c r="N2806">
        <f>IF(M2806="","",'Master Barang'!A100)</f>
        <v>0</v>
      </c>
      <c r="O2806">
        <f>IF(N2806="","",'Master Barang'!B100)</f>
        <v>0</v>
      </c>
      <c r="P2806">
        <f>IF(OR(M2806="",N2806=""),"",SUMIFS('Barang Keluar'!$E:$E,'Barang Keluar'!$A:$A,M2806,'Barang Keluar'!$C:$C,N2806))</f>
        <v>0</v>
      </c>
    </row>
    <row r="2807" spans="13:16">
      <c r="M2807" s="49">
        <f>IF($A$4+27&gt;$B$4,"",$A$4+27)</f>
        <v>46050</v>
      </c>
      <c r="N2807">
        <f>IF(M2807="","",'Master Barang'!A101)</f>
        <v>0</v>
      </c>
      <c r="O2807">
        <f>IF(N2807="","",'Master Barang'!B101)</f>
        <v>0</v>
      </c>
      <c r="P2807">
        <f>IF(OR(M2807="",N2807=""),"",SUMIFS('Barang Keluar'!$E:$E,'Barang Keluar'!$A:$A,M2807,'Barang Keluar'!$C:$C,N2807))</f>
        <v>0</v>
      </c>
    </row>
    <row r="2808" spans="13:16">
      <c r="M2808" s="49">
        <f>IF($A$4+28&gt;$B$4,"",$A$4+28)</f>
        <v>46051</v>
      </c>
      <c r="N2808" t="str">
        <f>IF(M2808="","",'Master Barang'!A2)</f>
        <v>PRL-001</v>
      </c>
      <c r="O2808" t="str">
        <f>IF(N2808="","",'Master Barang'!B2)</f>
        <v>natura desinfectant food grade 5l</v>
      </c>
      <c r="P2808">
        <f>IF(OR(M2808="",N2808=""),"",SUMIFS('Barang Keluar'!$E:$E,'Barang Keluar'!$A:$A,M2808,'Barang Keluar'!$C:$C,N2808))</f>
        <v>0</v>
      </c>
    </row>
    <row r="2809" spans="13:16">
      <c r="M2809" s="49">
        <f>IF($A$4+28&gt;$B$4,"",$A$4+28)</f>
        <v>46051</v>
      </c>
      <c r="N2809" t="str">
        <f>IF(M2809="","",'Master Barang'!A3)</f>
        <v>PRL-002</v>
      </c>
      <c r="O2809" t="str">
        <f>IF(N2809="","",'Master Barang'!B3)</f>
        <v>sunlight cairan pencuci piring 5l</v>
      </c>
      <c r="P2809">
        <f>IF(OR(M2809="",N2809=""),"",SUMIFS('Barang Keluar'!$E:$E,'Barang Keluar'!$A:$A,M2809,'Barang Keluar'!$C:$C,N2809))</f>
        <v>0</v>
      </c>
    </row>
    <row r="2810" spans="13:16">
      <c r="M2810" s="49">
        <f>IF($A$4+28&gt;$B$4,"",$A$4+28)</f>
        <v>46051</v>
      </c>
      <c r="N2810" t="str">
        <f>IF(M2810="","",'Master Barang'!A4)</f>
        <v>PRL-003</v>
      </c>
      <c r="O2810" t="str">
        <f>IF(N2810="","",'Master Barang'!B4)</f>
        <v>oixs cleaner 1l</v>
      </c>
      <c r="P2810">
        <f>IF(OR(M2810="",N2810=""),"",SUMIFS('Barang Keluar'!$E:$E,'Barang Keluar'!$A:$A,M2810,'Barang Keluar'!$C:$C,N2810))</f>
        <v>0</v>
      </c>
    </row>
    <row r="2811" spans="13:16">
      <c r="M2811" s="49">
        <f>IF($A$4+28&gt;$B$4,"",$A$4+28)</f>
        <v>46051</v>
      </c>
      <c r="N2811" t="str">
        <f>IF(M2811="","",'Master Barang'!A5)</f>
        <v>PRL-004</v>
      </c>
      <c r="O2811" t="str">
        <f>IF(N2811="","",'Master Barang'!B5)</f>
        <v>be clean tissue serbaguna</v>
      </c>
      <c r="P2811">
        <f>IF(OR(M2811="",N2811=""),"",SUMIFS('Barang Keluar'!$E:$E,'Barang Keluar'!$A:$A,M2811,'Barang Keluar'!$C:$C,N2811))</f>
        <v>0</v>
      </c>
    </row>
    <row r="2812" spans="13:16">
      <c r="M2812" s="49">
        <f>IF($A$4+28&gt;$B$4,"",$A$4+28)</f>
        <v>46051</v>
      </c>
      <c r="N2812" t="str">
        <f>IF(M2812="","",'Master Barang'!A6)</f>
        <v>PRL-005</v>
      </c>
      <c r="O2812" t="str">
        <f>IF(N2812="","",'Master Barang'!B6)</f>
        <v>spons cuci hijau</v>
      </c>
      <c r="P2812">
        <f>IF(OR(M2812="",N2812=""),"",SUMIFS('Barang Keluar'!$E:$E,'Barang Keluar'!$A:$A,M2812,'Barang Keluar'!$C:$C,N2812))</f>
        <v>0</v>
      </c>
    </row>
    <row r="2813" spans="13:16">
      <c r="M2813" s="49">
        <f>IF($A$4+28&gt;$B$4,"",$A$4+28)</f>
        <v>46051</v>
      </c>
      <c r="N2813" t="str">
        <f>IF(M2813="","",'Master Barang'!A7)</f>
        <v>PRL-006</v>
      </c>
      <c r="O2813" t="str">
        <f>IF(N2813="","",'Master Barang'!B7)</f>
        <v>sabut cuci stainless</v>
      </c>
      <c r="P2813">
        <f>IF(OR(M2813="",N2813=""),"",SUMIFS('Barang Keluar'!$E:$E,'Barang Keluar'!$A:$A,M2813,'Barang Keluar'!$C:$C,N2813))</f>
        <v>0</v>
      </c>
    </row>
    <row r="2814" spans="13:16">
      <c r="M2814" s="49">
        <f>IF($A$4+28&gt;$B$4,"",$A$4+28)</f>
        <v>46051</v>
      </c>
      <c r="N2814" t="str">
        <f>IF(M2814="","",'Master Barang'!A8)</f>
        <v>PRL-007</v>
      </c>
      <c r="O2814" t="str">
        <f>IF(N2814="","",'Master Barang'!B8)</f>
        <v>plastik kresek besar merah 50pc</v>
      </c>
      <c r="P2814">
        <f>IF(OR(M2814="",N2814=""),"",SUMIFS('Barang Keluar'!$E:$E,'Barang Keluar'!$A:$A,M2814,'Barang Keluar'!$C:$C,N2814))</f>
        <v>0</v>
      </c>
    </row>
    <row r="2815" spans="13:16">
      <c r="M2815" s="49">
        <f>IF($A$4+28&gt;$B$4,"",$A$4+28)</f>
        <v>46051</v>
      </c>
      <c r="N2815" t="str">
        <f>IF(M2815="","",'Master Barang'!A9)</f>
        <v>PRL-008</v>
      </c>
      <c r="O2815" t="str">
        <f>IF(N2815="","",'Master Barang'!B9)</f>
        <v>lap besar</v>
      </c>
      <c r="P2815">
        <f>IF(OR(M2815="",N2815=""),"",SUMIFS('Barang Keluar'!$E:$E,'Barang Keluar'!$A:$A,M2815,'Barang Keluar'!$C:$C,N2815))</f>
        <v>0</v>
      </c>
    </row>
    <row r="2816" spans="13:16">
      <c r="M2816" s="49">
        <f>IF($A$4+28&gt;$B$4,"",$A$4+28)</f>
        <v>46051</v>
      </c>
      <c r="N2816" t="str">
        <f>IF(M2816="","",'Master Barang'!A10)</f>
        <v>PRL-009</v>
      </c>
      <c r="O2816" t="str">
        <f>IF(N2816="","",'Master Barang'!B10)</f>
        <v>lap microfiber</v>
      </c>
      <c r="P2816">
        <f>IF(OR(M2816="",N2816=""),"",SUMIFS('Barang Keluar'!$E:$E,'Barang Keluar'!$A:$A,M2816,'Barang Keluar'!$C:$C,N2816))</f>
        <v>0</v>
      </c>
    </row>
    <row r="2817" spans="13:16">
      <c r="M2817" s="49">
        <f>IF($A$4+28&gt;$B$4,"",$A$4+28)</f>
        <v>46051</v>
      </c>
      <c r="N2817" t="str">
        <f>IF(M2817="","",'Master Barang'!A11)</f>
        <v>PRL-010</v>
      </c>
      <c r="O2817" t="str">
        <f>IF(N2817="","",'Master Barang'!B11)</f>
        <v>lap kecil</v>
      </c>
      <c r="P2817">
        <f>IF(OR(M2817="",N2817=""),"",SUMIFS('Barang Keluar'!$E:$E,'Barang Keluar'!$A:$A,M2817,'Barang Keluar'!$C:$C,N2817))</f>
        <v>0</v>
      </c>
    </row>
    <row r="2818" spans="13:16">
      <c r="M2818" s="49">
        <f>IF($A$4+28&gt;$B$4,"",$A$4+28)</f>
        <v>46051</v>
      </c>
      <c r="N2818" t="str">
        <f>IF(M2818="","",'Master Barang'!A12)</f>
        <v>PRL-011</v>
      </c>
      <c r="O2818" t="str">
        <f>IF(N2818="","",'Master Barang'!B12)</f>
        <v>kanebo kecil</v>
      </c>
      <c r="P2818">
        <f>IF(OR(M2818="",N2818=""),"",SUMIFS('Barang Keluar'!$E:$E,'Barang Keluar'!$A:$A,M2818,'Barang Keluar'!$C:$C,N2818))</f>
        <v>0</v>
      </c>
    </row>
    <row r="2819" spans="13:16">
      <c r="M2819" s="49">
        <f>IF($A$4+28&gt;$B$4,"",$A$4+28)</f>
        <v>46051</v>
      </c>
      <c r="N2819" t="str">
        <f>IF(M2819="","",'Master Barang'!A13)</f>
        <v>PRL-012</v>
      </c>
      <c r="O2819" t="str">
        <f>IF(N2819="","",'Master Barang'!B13)</f>
        <v>plastik 1/4kg joyoboyo 100 lembar</v>
      </c>
      <c r="P2819">
        <f>IF(OR(M2819="",N2819=""),"",SUMIFS('Barang Keluar'!$E:$E,'Barang Keluar'!$A:$A,M2819,'Barang Keluar'!$C:$C,N2819))</f>
        <v>0</v>
      </c>
    </row>
    <row r="2820" spans="13:16">
      <c r="M2820" s="49">
        <f>IF($A$4+28&gt;$B$4,"",$A$4+28)</f>
        <v>46051</v>
      </c>
      <c r="N2820" t="str">
        <f>IF(M2820="","",'Master Barang'!A14)</f>
        <v>PRL-013</v>
      </c>
      <c r="O2820" t="str">
        <f>IF(N2820="","",'Master Barang'!B14)</f>
        <v>sarung tangan plastik kaka 100 pcs</v>
      </c>
      <c r="P2820">
        <f>IF(OR(M2820="",N2820=""),"",SUMIFS('Barang Keluar'!$E:$E,'Barang Keluar'!$A:$A,M2820,'Barang Keluar'!$C:$C,N2820))</f>
        <v>0</v>
      </c>
    </row>
    <row r="2821" spans="13:16">
      <c r="M2821" s="49">
        <f>IF($A$4+28&gt;$B$4,"",$A$4+28)</f>
        <v>46051</v>
      </c>
      <c r="N2821" t="str">
        <f>IF(M2821="","",'Master Barang'!A15)</f>
        <v>PRL-014</v>
      </c>
      <c r="O2821" t="str">
        <f>IF(N2821="","",'Master Barang'!B15)</f>
        <v>optima trashbag 80x100</v>
      </c>
      <c r="P2821">
        <f>IF(OR(M2821="",N2821=""),"",SUMIFS('Barang Keluar'!$E:$E,'Barang Keluar'!$A:$A,M2821,'Barang Keluar'!$C:$C,N2821))</f>
        <v>0</v>
      </c>
    </row>
    <row r="2822" spans="13:16">
      <c r="M2822" s="49">
        <f>IF($A$4+28&gt;$B$4,"",$A$4+28)</f>
        <v>46051</v>
      </c>
      <c r="N2822" t="str">
        <f>IF(M2822="","",'Master Barang'!A16)</f>
        <v>PRL-015</v>
      </c>
      <c r="O2822" t="str">
        <f>IF(N2822="","",'Master Barang'!B16)</f>
        <v>optima trashbag 60x100</v>
      </c>
      <c r="P2822">
        <f>IF(OR(M2822="",N2822=""),"",SUMIFS('Barang Keluar'!$E:$E,'Barang Keluar'!$A:$A,M2822,'Barang Keluar'!$C:$C,N2822))</f>
        <v>0</v>
      </c>
    </row>
    <row r="2823" spans="13:16">
      <c r="M2823" s="49">
        <f>IF($A$4+28&gt;$B$4,"",$A$4+28)</f>
        <v>46051</v>
      </c>
      <c r="N2823" t="str">
        <f>IF(M2823="","",'Master Barang'!A17)</f>
        <v>PRL-016</v>
      </c>
      <c r="O2823" t="str">
        <f>IF(N2823="","",'Master Barang'!B17)</f>
        <v>rajawali trashbag 30x40</v>
      </c>
      <c r="P2823">
        <f>IF(OR(M2823="",N2823=""),"",SUMIFS('Barang Keluar'!$E:$E,'Barang Keluar'!$A:$A,M2823,'Barang Keluar'!$C:$C,N2823))</f>
        <v>0</v>
      </c>
    </row>
    <row r="2824" spans="13:16">
      <c r="M2824" s="49">
        <f>IF($A$4+28&gt;$B$4,"",$A$4+28)</f>
        <v>46051</v>
      </c>
      <c r="N2824" t="str">
        <f>IF(M2824="","",'Master Barang'!A18)</f>
        <v>PRL-017</v>
      </c>
      <c r="O2824" t="str">
        <f>IF(N2824="","",'Master Barang'!B18)</f>
        <v>onemed masker biru 3 play 50 pcs</v>
      </c>
      <c r="P2824">
        <f>IF(OR(M2824="",N2824=""),"",SUMIFS('Barang Keluar'!$E:$E,'Barang Keluar'!$A:$A,M2824,'Barang Keluar'!$C:$C,N2824))</f>
        <v>0</v>
      </c>
    </row>
    <row r="2825" spans="13:16">
      <c r="M2825" s="49">
        <f>IF($A$4+28&gt;$B$4,"",$A$4+28)</f>
        <v>46051</v>
      </c>
      <c r="N2825" t="str">
        <f>IF(M2825="","",'Master Barang'!A19)</f>
        <v>PRL-018</v>
      </c>
      <c r="O2825" t="str">
        <f>IF(N2825="","",'Master Barang'!B19)</f>
        <v>onemed masker biru 3 play hijab 50 pcs</v>
      </c>
      <c r="P2825">
        <f>IF(OR(M2825="",N2825=""),"",SUMIFS('Barang Keluar'!$E:$E,'Barang Keluar'!$A:$A,M2825,'Barang Keluar'!$C:$C,N2825))</f>
        <v>0</v>
      </c>
    </row>
    <row r="2826" spans="13:16">
      <c r="M2826" s="49">
        <f>IF($A$4+28&gt;$B$4,"",$A$4+28)</f>
        <v>46051</v>
      </c>
      <c r="N2826" t="str">
        <f>IF(M2826="","",'Master Barang'!A20)</f>
        <v>PRL-019</v>
      </c>
      <c r="O2826" t="str">
        <f>IF(N2826="","",'Master Barang'!B20)</f>
        <v>neo health masker biru 3 play 50 pcs</v>
      </c>
      <c r="P2826">
        <f>IF(OR(M2826="",N2826=""),"",SUMIFS('Barang Keluar'!$E:$E,'Barang Keluar'!$A:$A,M2826,'Barang Keluar'!$C:$C,N2826))</f>
        <v>0</v>
      </c>
    </row>
    <row r="2827" spans="13:16">
      <c r="M2827" s="49">
        <f>IF($A$4+28&gt;$B$4,"",$A$4+28)</f>
        <v>46051</v>
      </c>
      <c r="N2827" t="str">
        <f>IF(M2827="","",'Master Barang'!A21)</f>
        <v>PRL-020</v>
      </c>
      <c r="O2827" t="str">
        <f>IF(N2827="","",'Master Barang'!B21)</f>
        <v>baymed masker hijau 3 play hijau 50 pcs</v>
      </c>
      <c r="P2827">
        <f>IF(OR(M2827="",N2827=""),"",SUMIFS('Barang Keluar'!$E:$E,'Barang Keluar'!$A:$A,M2827,'Barang Keluar'!$C:$C,N2827))</f>
        <v>0</v>
      </c>
    </row>
    <row r="2828" spans="13:16">
      <c r="M2828" s="49">
        <f>IF($A$4+28&gt;$B$4,"",$A$4+28)</f>
        <v>46051</v>
      </c>
      <c r="N2828" t="str">
        <f>IF(M2828="","",'Master Barang'!A22)</f>
        <v>PRL-021</v>
      </c>
      <c r="O2828" t="str">
        <f>IF(N2828="","",'Master Barang'!B22)</f>
        <v>altamed nurse cap penutup kepala 100 pcs</v>
      </c>
      <c r="P2828">
        <f>IF(OR(M2828="",N2828=""),"",SUMIFS('Barang Keluar'!$E:$E,'Barang Keluar'!$A:$A,M2828,'Barang Keluar'!$C:$C,N2828))</f>
        <v>0</v>
      </c>
    </row>
    <row r="2829" spans="13:16">
      <c r="M2829" s="49">
        <f>IF($A$4+28&gt;$B$4,"",$A$4+28)</f>
        <v>46051</v>
      </c>
      <c r="N2829" t="str">
        <f>IF(M2829="","",'Master Barang'!A23)</f>
        <v>PRL-022</v>
      </c>
      <c r="O2829" t="str">
        <f>IF(N2829="","",'Master Barang'!B23)</f>
        <v>sabun cuci tangan</v>
      </c>
      <c r="P2829">
        <f>IF(OR(M2829="",N2829=""),"",SUMIFS('Barang Keluar'!$E:$E,'Barang Keluar'!$A:$A,M2829,'Barang Keluar'!$C:$C,N2829))</f>
        <v>0</v>
      </c>
    </row>
    <row r="2830" spans="13:16">
      <c r="M2830" s="49">
        <f>IF($A$4+28&gt;$B$4,"",$A$4+28)</f>
        <v>46051</v>
      </c>
      <c r="N2830" t="str">
        <f>IF(M2830="","",'Master Barang'!A24)</f>
        <v>PRL-023</v>
      </c>
      <c r="O2830" t="str">
        <f>IF(N2830="","",'Master Barang'!B24)</f>
        <v>gayung kecil</v>
      </c>
      <c r="P2830">
        <f>IF(OR(M2830="",N2830=""),"",SUMIFS('Barang Keluar'!$E:$E,'Barang Keluar'!$A:$A,M2830,'Barang Keluar'!$C:$C,N2830))</f>
        <v>0</v>
      </c>
    </row>
    <row r="2831" spans="13:16">
      <c r="M2831" s="49">
        <f>IF($A$4+28&gt;$B$4,"",$A$4+28)</f>
        <v>46051</v>
      </c>
      <c r="N2831" t="str">
        <f>IF(M2831="","",'Master Barang'!A25)</f>
        <v>PRL-024</v>
      </c>
      <c r="O2831" t="str">
        <f>IF(N2831="","",'Master Barang'!B25)</f>
        <v>cikrak kecil</v>
      </c>
      <c r="P2831">
        <f>IF(OR(M2831="",N2831=""),"",SUMIFS('Barang Keluar'!$E:$E,'Barang Keluar'!$A:$A,M2831,'Barang Keluar'!$C:$C,N2831))</f>
        <v>0</v>
      </c>
    </row>
    <row r="2832" spans="13:16">
      <c r="M2832" s="49">
        <f>IF($A$4+28&gt;$B$4,"",$A$4+28)</f>
        <v>46051</v>
      </c>
      <c r="N2832" t="str">
        <f>IF(M2832="","",'Master Barang'!A26)</f>
        <v>PRL-025</v>
      </c>
      <c r="O2832" t="str">
        <f>IF(N2832="","",'Master Barang'!B26)</f>
        <v>petromax plastik kecil 12x24 100 lembar</v>
      </c>
      <c r="P2832">
        <f>IF(OR(M2832="",N2832=""),"",SUMIFS('Barang Keluar'!$E:$E,'Barang Keluar'!$A:$A,M2832,'Barang Keluar'!$C:$C,N2832))</f>
        <v>0</v>
      </c>
    </row>
    <row r="2833" spans="13:16">
      <c r="M2833" s="49">
        <f>IF($A$4+28&gt;$B$4,"",$A$4+28)</f>
        <v>46051</v>
      </c>
      <c r="N2833" t="str">
        <f>IF(M2833="","",'Master Barang'!A27)</f>
        <v>PRL-026</v>
      </c>
      <c r="O2833" t="str">
        <f>IF(N2833="","",'Master Barang'!B27)</f>
        <v>lancar kresek kecil bening </v>
      </c>
      <c r="P2833">
        <f>IF(OR(M2833="",N2833=""),"",SUMIFS('Barang Keluar'!$E:$E,'Barang Keluar'!$A:$A,M2833,'Barang Keluar'!$C:$C,N2833))</f>
        <v>0</v>
      </c>
    </row>
    <row r="2834" spans="13:16">
      <c r="M2834" s="49">
        <f>IF($A$4+28&gt;$B$4,"",$A$4+28)</f>
        <v>46051</v>
      </c>
      <c r="N2834" t="str">
        <f>IF(M2834="","",'Master Barang'!A28)</f>
        <v>PRL-027</v>
      </c>
      <c r="O2834" t="str">
        <f>IF(N2834="","",'Master Barang'!B28)</f>
        <v>kresek klin warna warni kecil</v>
      </c>
      <c r="P2834">
        <f>IF(OR(M2834="",N2834=""),"",SUMIFS('Barang Keluar'!$E:$E,'Barang Keluar'!$A:$A,M2834,'Barang Keluar'!$C:$C,N2834))</f>
        <v>0</v>
      </c>
    </row>
    <row r="2835" spans="13:16">
      <c r="M2835" s="49">
        <f>IF($A$4+28&gt;$B$4,"",$A$4+28)</f>
        <v>46051</v>
      </c>
      <c r="N2835" t="str">
        <f>IF(M2835="","",'Master Barang'!A29)</f>
        <v>PRL-028</v>
      </c>
      <c r="O2835" t="str">
        <f>IF(N2835="","",'Master Barang'!B29)</f>
        <v>ctik plastik 7x10 100 pcs</v>
      </c>
      <c r="P2835">
        <f>IF(OR(M2835="",N2835=""),"",SUMIFS('Barang Keluar'!$E:$E,'Barang Keluar'!$A:$A,M2835,'Barang Keluar'!$C:$C,N2835))</f>
        <v>0</v>
      </c>
    </row>
    <row r="2836" spans="13:16">
      <c r="M2836" s="49">
        <f>IF($A$4+28&gt;$B$4,"",$A$4+28)</f>
        <v>46051</v>
      </c>
      <c r="N2836" t="str">
        <f>IF(M2836="","",'Master Barang'!A30)</f>
        <v>PRL-029</v>
      </c>
      <c r="O2836" t="str">
        <f>IF(N2836="","",'Master Barang'!B30)</f>
        <v>ctik plastik 6x10 100 pcs</v>
      </c>
      <c r="P2836">
        <f>IF(OR(M2836="",N2836=""),"",SUMIFS('Barang Keluar'!$E:$E,'Barang Keluar'!$A:$A,M2836,'Barang Keluar'!$C:$C,N2836))</f>
        <v>0</v>
      </c>
    </row>
    <row r="2837" spans="13:16">
      <c r="M2837" s="49">
        <f>IF($A$4+28&gt;$B$4,"",$A$4+28)</f>
        <v>46051</v>
      </c>
      <c r="N2837" t="str">
        <f>IF(M2837="","",'Master Barang'!A31)</f>
        <v>PRL-030</v>
      </c>
      <c r="O2837" t="str">
        <f>IF(N2837="","",'Master Barang'!B31)</f>
        <v>klip plastik 25x16 100 pcs</v>
      </c>
      <c r="P2837">
        <f>IF(OR(M2837="",N2837=""),"",SUMIFS('Barang Keluar'!$E:$E,'Barang Keluar'!$A:$A,M2837,'Barang Keluar'!$C:$C,N2837))</f>
        <v>0</v>
      </c>
    </row>
    <row r="2838" spans="13:16">
      <c r="M2838" s="49">
        <f>IF($A$4+28&gt;$B$4,"",$A$4+28)</f>
        <v>46051</v>
      </c>
      <c r="N2838" t="str">
        <f>IF(M2838="","",'Master Barang'!A32)</f>
        <v>PRL-031</v>
      </c>
      <c r="O2838" t="str">
        <f>IF(N2838="","",'Master Barang'!B32)</f>
        <v>tempat saus 20 ml</v>
      </c>
      <c r="P2838">
        <f>IF(OR(M2838="",N2838=""),"",SUMIFS('Barang Keluar'!$E:$E,'Barang Keluar'!$A:$A,M2838,'Barang Keluar'!$C:$C,N2838))</f>
        <v>0</v>
      </c>
    </row>
    <row r="2839" spans="13:16">
      <c r="M2839" s="49">
        <f>IF($A$4+28&gt;$B$4,"",$A$4+28)</f>
        <v>46051</v>
      </c>
      <c r="N2839" t="str">
        <f>IF(M2839="","",'Master Barang'!A33)</f>
        <v>PRL-032</v>
      </c>
      <c r="O2839" t="str">
        <f>IF(N2839="","",'Master Barang'!B33)</f>
        <v>plastik packaging ag box uk sedang</v>
      </c>
      <c r="P2839">
        <f>IF(OR(M2839="",N2839=""),"",SUMIFS('Barang Keluar'!$E:$E,'Barang Keluar'!$A:$A,M2839,'Barang Keluar'!$C:$C,N2839))</f>
        <v>0</v>
      </c>
    </row>
    <row r="2840" spans="13:16">
      <c r="M2840" s="49">
        <f>IF($A$4+28&gt;$B$4,"",$A$4+28)</f>
        <v>46051</v>
      </c>
      <c r="N2840" t="str">
        <f>IF(M2840="","",'Master Barang'!A34)</f>
        <v>PRL-033</v>
      </c>
      <c r="O2840">
        <f>IF(N2840="","",'Master Barang'!B34)</f>
        <v>0</v>
      </c>
      <c r="P2840">
        <f>IF(OR(M2840="",N2840=""),"",SUMIFS('Barang Keluar'!$E:$E,'Barang Keluar'!$A:$A,M2840,'Barang Keluar'!$C:$C,N2840))</f>
        <v>0</v>
      </c>
    </row>
    <row r="2841" spans="13:16">
      <c r="M2841" s="49">
        <f>IF($A$4+28&gt;$B$4,"",$A$4+28)</f>
        <v>46051</v>
      </c>
      <c r="N2841">
        <f>IF(M2841="","",'Master Barang'!A35)</f>
        <v>0</v>
      </c>
      <c r="O2841">
        <f>IF(N2841="","",'Master Barang'!B35)</f>
        <v>0</v>
      </c>
      <c r="P2841">
        <f>IF(OR(M2841="",N2841=""),"",SUMIFS('Barang Keluar'!$E:$E,'Barang Keluar'!$A:$A,M2841,'Barang Keluar'!$C:$C,N2841))</f>
        <v>0</v>
      </c>
    </row>
    <row r="2842" spans="13:16">
      <c r="M2842" s="49">
        <f>IF($A$4+28&gt;$B$4,"",$A$4+28)</f>
        <v>46051</v>
      </c>
      <c r="N2842">
        <f>IF(M2842="","",'Master Barang'!A36)</f>
        <v>0</v>
      </c>
      <c r="O2842">
        <f>IF(N2842="","",'Master Barang'!B36)</f>
        <v>0</v>
      </c>
      <c r="P2842">
        <f>IF(OR(M2842="",N2842=""),"",SUMIFS('Barang Keluar'!$E:$E,'Barang Keluar'!$A:$A,M2842,'Barang Keluar'!$C:$C,N2842))</f>
        <v>0</v>
      </c>
    </row>
    <row r="2843" spans="13:16">
      <c r="M2843" s="49">
        <f>IF($A$4+28&gt;$B$4,"",$A$4+28)</f>
        <v>46051</v>
      </c>
      <c r="N2843">
        <f>IF(M2843="","",'Master Barang'!A37)</f>
        <v>0</v>
      </c>
      <c r="O2843">
        <f>IF(N2843="","",'Master Barang'!B37)</f>
        <v>0</v>
      </c>
      <c r="P2843">
        <f>IF(OR(M2843="",N2843=""),"",SUMIFS('Barang Keluar'!$E:$E,'Barang Keluar'!$A:$A,M2843,'Barang Keluar'!$C:$C,N2843))</f>
        <v>0</v>
      </c>
    </row>
    <row r="2844" spans="13:16">
      <c r="M2844" s="49">
        <f>IF($A$4+28&gt;$B$4,"",$A$4+28)</f>
        <v>46051</v>
      </c>
      <c r="N2844">
        <f>IF(M2844="","",'Master Barang'!A38)</f>
        <v>0</v>
      </c>
      <c r="O2844">
        <f>IF(N2844="","",'Master Barang'!B38)</f>
        <v>0</v>
      </c>
      <c r="P2844">
        <f>IF(OR(M2844="",N2844=""),"",SUMIFS('Barang Keluar'!$E:$E,'Barang Keluar'!$A:$A,M2844,'Barang Keluar'!$C:$C,N2844))</f>
        <v>0</v>
      </c>
    </row>
    <row r="2845" spans="13:16">
      <c r="M2845" s="49">
        <f>IF($A$4+28&gt;$B$4,"",$A$4+28)</f>
        <v>46051</v>
      </c>
      <c r="N2845">
        <f>IF(M2845="","",'Master Barang'!A39)</f>
        <v>0</v>
      </c>
      <c r="O2845">
        <f>IF(N2845="","",'Master Barang'!B39)</f>
        <v>0</v>
      </c>
      <c r="P2845">
        <f>IF(OR(M2845="",N2845=""),"",SUMIFS('Barang Keluar'!$E:$E,'Barang Keluar'!$A:$A,M2845,'Barang Keluar'!$C:$C,N2845))</f>
        <v>0</v>
      </c>
    </row>
    <row r="2846" spans="13:16">
      <c r="M2846" s="49">
        <f>IF($A$4+28&gt;$B$4,"",$A$4+28)</f>
        <v>46051</v>
      </c>
      <c r="N2846">
        <f>IF(M2846="","",'Master Barang'!A40)</f>
        <v>0</v>
      </c>
      <c r="O2846">
        <f>IF(N2846="","",'Master Barang'!B40)</f>
        <v>0</v>
      </c>
      <c r="P2846">
        <f>IF(OR(M2846="",N2846=""),"",SUMIFS('Barang Keluar'!$E:$E,'Barang Keluar'!$A:$A,M2846,'Barang Keluar'!$C:$C,N2846))</f>
        <v>0</v>
      </c>
    </row>
    <row r="2847" spans="13:16">
      <c r="M2847" s="49">
        <f>IF($A$4+28&gt;$B$4,"",$A$4+28)</f>
        <v>46051</v>
      </c>
      <c r="N2847">
        <f>IF(M2847="","",'Master Barang'!A41)</f>
        <v>0</v>
      </c>
      <c r="O2847">
        <f>IF(N2847="","",'Master Barang'!B41)</f>
        <v>0</v>
      </c>
      <c r="P2847">
        <f>IF(OR(M2847="",N2847=""),"",SUMIFS('Barang Keluar'!$E:$E,'Barang Keluar'!$A:$A,M2847,'Barang Keluar'!$C:$C,N2847))</f>
        <v>0</v>
      </c>
    </row>
    <row r="2848" spans="13:16">
      <c r="M2848" s="49">
        <f>IF($A$4+28&gt;$B$4,"",$A$4+28)</f>
        <v>46051</v>
      </c>
      <c r="N2848">
        <f>IF(M2848="","",'Master Barang'!A42)</f>
        <v>0</v>
      </c>
      <c r="O2848">
        <f>IF(N2848="","",'Master Barang'!B42)</f>
        <v>0</v>
      </c>
      <c r="P2848">
        <f>IF(OR(M2848="",N2848=""),"",SUMIFS('Barang Keluar'!$E:$E,'Barang Keluar'!$A:$A,M2848,'Barang Keluar'!$C:$C,N2848))</f>
        <v>0</v>
      </c>
    </row>
    <row r="2849" spans="13:16">
      <c r="M2849" s="49">
        <f>IF($A$4+28&gt;$B$4,"",$A$4+28)</f>
        <v>46051</v>
      </c>
      <c r="N2849">
        <f>IF(M2849="","",'Master Barang'!A43)</f>
        <v>0</v>
      </c>
      <c r="O2849">
        <f>IF(N2849="","",'Master Barang'!B43)</f>
        <v>0</v>
      </c>
      <c r="P2849">
        <f>IF(OR(M2849="",N2849=""),"",SUMIFS('Barang Keluar'!$E:$E,'Barang Keluar'!$A:$A,M2849,'Barang Keluar'!$C:$C,N2849))</f>
        <v>0</v>
      </c>
    </row>
    <row r="2850" spans="13:16">
      <c r="M2850" s="49">
        <f>IF($A$4+28&gt;$B$4,"",$A$4+28)</f>
        <v>46051</v>
      </c>
      <c r="N2850">
        <f>IF(M2850="","",'Master Barang'!A44)</f>
        <v>0</v>
      </c>
      <c r="O2850">
        <f>IF(N2850="","",'Master Barang'!B44)</f>
        <v>0</v>
      </c>
      <c r="P2850">
        <f>IF(OR(M2850="",N2850=""),"",SUMIFS('Barang Keluar'!$E:$E,'Barang Keluar'!$A:$A,M2850,'Barang Keluar'!$C:$C,N2850))</f>
        <v>0</v>
      </c>
    </row>
    <row r="2851" spans="13:16">
      <c r="M2851" s="49">
        <f>IF($A$4+28&gt;$B$4,"",$A$4+28)</f>
        <v>46051</v>
      </c>
      <c r="N2851">
        <f>IF(M2851="","",'Master Barang'!A45)</f>
        <v>0</v>
      </c>
      <c r="O2851">
        <f>IF(N2851="","",'Master Barang'!B45)</f>
        <v>0</v>
      </c>
      <c r="P2851">
        <f>IF(OR(M2851="",N2851=""),"",SUMIFS('Barang Keluar'!$E:$E,'Barang Keluar'!$A:$A,M2851,'Barang Keluar'!$C:$C,N2851))</f>
        <v>0</v>
      </c>
    </row>
    <row r="2852" spans="13:16">
      <c r="M2852" s="49">
        <f>IF($A$4+28&gt;$B$4,"",$A$4+28)</f>
        <v>46051</v>
      </c>
      <c r="N2852">
        <f>IF(M2852="","",'Master Barang'!A46)</f>
        <v>0</v>
      </c>
      <c r="O2852">
        <f>IF(N2852="","",'Master Barang'!B46)</f>
        <v>0</v>
      </c>
      <c r="P2852">
        <f>IF(OR(M2852="",N2852=""),"",SUMIFS('Barang Keluar'!$E:$E,'Barang Keluar'!$A:$A,M2852,'Barang Keluar'!$C:$C,N2852))</f>
        <v>0</v>
      </c>
    </row>
    <row r="2853" spans="13:16">
      <c r="M2853" s="49">
        <f>IF($A$4+28&gt;$B$4,"",$A$4+28)</f>
        <v>46051</v>
      </c>
      <c r="N2853">
        <f>IF(M2853="","",'Master Barang'!A47)</f>
        <v>0</v>
      </c>
      <c r="O2853">
        <f>IF(N2853="","",'Master Barang'!B47)</f>
        <v>0</v>
      </c>
      <c r="P2853">
        <f>IF(OR(M2853="",N2853=""),"",SUMIFS('Barang Keluar'!$E:$E,'Barang Keluar'!$A:$A,M2853,'Barang Keluar'!$C:$C,N2853))</f>
        <v>0</v>
      </c>
    </row>
    <row r="2854" spans="13:16">
      <c r="M2854" s="49">
        <f>IF($A$4+28&gt;$B$4,"",$A$4+28)</f>
        <v>46051</v>
      </c>
      <c r="N2854">
        <f>IF(M2854="","",'Master Barang'!A48)</f>
        <v>0</v>
      </c>
      <c r="O2854">
        <f>IF(N2854="","",'Master Barang'!B48)</f>
        <v>0</v>
      </c>
      <c r="P2854">
        <f>IF(OR(M2854="",N2854=""),"",SUMIFS('Barang Keluar'!$E:$E,'Barang Keluar'!$A:$A,M2854,'Barang Keluar'!$C:$C,N2854))</f>
        <v>0</v>
      </c>
    </row>
    <row r="2855" spans="13:16">
      <c r="M2855" s="49">
        <f>IF($A$4+28&gt;$B$4,"",$A$4+28)</f>
        <v>46051</v>
      </c>
      <c r="N2855">
        <f>IF(M2855="","",'Master Barang'!A49)</f>
        <v>0</v>
      </c>
      <c r="O2855">
        <f>IF(N2855="","",'Master Barang'!B49)</f>
        <v>0</v>
      </c>
      <c r="P2855">
        <f>IF(OR(M2855="",N2855=""),"",SUMIFS('Barang Keluar'!$E:$E,'Barang Keluar'!$A:$A,M2855,'Barang Keluar'!$C:$C,N2855))</f>
        <v>0</v>
      </c>
    </row>
    <row r="2856" spans="13:16">
      <c r="M2856" s="49">
        <f>IF($A$4+28&gt;$B$4,"",$A$4+28)</f>
        <v>46051</v>
      </c>
      <c r="N2856">
        <f>IF(M2856="","",'Master Barang'!A50)</f>
        <v>0</v>
      </c>
      <c r="O2856">
        <f>IF(N2856="","",'Master Barang'!B50)</f>
        <v>0</v>
      </c>
      <c r="P2856">
        <f>IF(OR(M2856="",N2856=""),"",SUMIFS('Barang Keluar'!$E:$E,'Barang Keluar'!$A:$A,M2856,'Barang Keluar'!$C:$C,N2856))</f>
        <v>0</v>
      </c>
    </row>
    <row r="2857" spans="13:16">
      <c r="M2857" s="49">
        <f>IF($A$4+28&gt;$B$4,"",$A$4+28)</f>
        <v>46051</v>
      </c>
      <c r="N2857">
        <f>IF(M2857="","",'Master Barang'!A51)</f>
        <v>0</v>
      </c>
      <c r="O2857">
        <f>IF(N2857="","",'Master Barang'!B51)</f>
        <v>0</v>
      </c>
      <c r="P2857">
        <f>IF(OR(M2857="",N2857=""),"",SUMIFS('Barang Keluar'!$E:$E,'Barang Keluar'!$A:$A,M2857,'Barang Keluar'!$C:$C,N2857))</f>
        <v>0</v>
      </c>
    </row>
    <row r="2858" spans="13:16">
      <c r="M2858" s="49">
        <f>IF($A$4+28&gt;$B$4,"",$A$4+28)</f>
        <v>46051</v>
      </c>
      <c r="N2858">
        <f>IF(M2858="","",'Master Barang'!A52)</f>
        <v>0</v>
      </c>
      <c r="O2858">
        <f>IF(N2858="","",'Master Barang'!B52)</f>
        <v>0</v>
      </c>
      <c r="P2858">
        <f>IF(OR(M2858="",N2858=""),"",SUMIFS('Barang Keluar'!$E:$E,'Barang Keluar'!$A:$A,M2858,'Barang Keluar'!$C:$C,N2858))</f>
        <v>0</v>
      </c>
    </row>
    <row r="2859" spans="13:16">
      <c r="M2859" s="49">
        <f>IF($A$4+28&gt;$B$4,"",$A$4+28)</f>
        <v>46051</v>
      </c>
      <c r="N2859">
        <f>IF(M2859="","",'Master Barang'!A53)</f>
        <v>0</v>
      </c>
      <c r="O2859">
        <f>IF(N2859="","",'Master Barang'!B53)</f>
        <v>0</v>
      </c>
      <c r="P2859">
        <f>IF(OR(M2859="",N2859=""),"",SUMIFS('Barang Keluar'!$E:$E,'Barang Keluar'!$A:$A,M2859,'Barang Keluar'!$C:$C,N2859))</f>
        <v>0</v>
      </c>
    </row>
    <row r="2860" spans="13:16">
      <c r="M2860" s="49">
        <f>IF($A$4+28&gt;$B$4,"",$A$4+28)</f>
        <v>46051</v>
      </c>
      <c r="N2860">
        <f>IF(M2860="","",'Master Barang'!A54)</f>
        <v>0</v>
      </c>
      <c r="O2860">
        <f>IF(N2860="","",'Master Barang'!B54)</f>
        <v>0</v>
      </c>
      <c r="P2860">
        <f>IF(OR(M2860="",N2860=""),"",SUMIFS('Barang Keluar'!$E:$E,'Barang Keluar'!$A:$A,M2860,'Barang Keluar'!$C:$C,N2860))</f>
        <v>0</v>
      </c>
    </row>
    <row r="2861" spans="13:16">
      <c r="M2861" s="49">
        <f>IF($A$4+28&gt;$B$4,"",$A$4+28)</f>
        <v>46051</v>
      </c>
      <c r="N2861">
        <f>IF(M2861="","",'Master Barang'!A55)</f>
        <v>0</v>
      </c>
      <c r="O2861">
        <f>IF(N2861="","",'Master Barang'!B55)</f>
        <v>0</v>
      </c>
      <c r="P2861">
        <f>IF(OR(M2861="",N2861=""),"",SUMIFS('Barang Keluar'!$E:$E,'Barang Keluar'!$A:$A,M2861,'Barang Keluar'!$C:$C,N2861))</f>
        <v>0</v>
      </c>
    </row>
    <row r="2862" spans="13:16">
      <c r="M2862" s="49">
        <f>IF($A$4+28&gt;$B$4,"",$A$4+28)</f>
        <v>46051</v>
      </c>
      <c r="N2862">
        <f>IF(M2862="","",'Master Barang'!A56)</f>
        <v>0</v>
      </c>
      <c r="O2862">
        <f>IF(N2862="","",'Master Barang'!B56)</f>
        <v>0</v>
      </c>
      <c r="P2862">
        <f>IF(OR(M2862="",N2862=""),"",SUMIFS('Barang Keluar'!$E:$E,'Barang Keluar'!$A:$A,M2862,'Barang Keluar'!$C:$C,N2862))</f>
        <v>0</v>
      </c>
    </row>
    <row r="2863" spans="13:16">
      <c r="M2863" s="49">
        <f>IF($A$4+28&gt;$B$4,"",$A$4+28)</f>
        <v>46051</v>
      </c>
      <c r="N2863">
        <f>IF(M2863="","",'Master Barang'!A57)</f>
        <v>0</v>
      </c>
      <c r="O2863">
        <f>IF(N2863="","",'Master Barang'!B57)</f>
        <v>0</v>
      </c>
      <c r="P2863">
        <f>IF(OR(M2863="",N2863=""),"",SUMIFS('Barang Keluar'!$E:$E,'Barang Keluar'!$A:$A,M2863,'Barang Keluar'!$C:$C,N2863))</f>
        <v>0</v>
      </c>
    </row>
    <row r="2864" spans="13:16">
      <c r="M2864" s="49">
        <f>IF($A$4+28&gt;$B$4,"",$A$4+28)</f>
        <v>46051</v>
      </c>
      <c r="N2864">
        <f>IF(M2864="","",'Master Barang'!A58)</f>
        <v>0</v>
      </c>
      <c r="O2864">
        <f>IF(N2864="","",'Master Barang'!B58)</f>
        <v>0</v>
      </c>
      <c r="P2864">
        <f>IF(OR(M2864="",N2864=""),"",SUMIFS('Barang Keluar'!$E:$E,'Barang Keluar'!$A:$A,M2864,'Barang Keluar'!$C:$C,N2864))</f>
        <v>0</v>
      </c>
    </row>
    <row r="2865" spans="13:16">
      <c r="M2865" s="49">
        <f>IF($A$4+28&gt;$B$4,"",$A$4+28)</f>
        <v>46051</v>
      </c>
      <c r="N2865">
        <f>IF(M2865="","",'Master Barang'!A59)</f>
        <v>0</v>
      </c>
      <c r="O2865">
        <f>IF(N2865="","",'Master Barang'!B59)</f>
        <v>0</v>
      </c>
      <c r="P2865">
        <f>IF(OR(M2865="",N2865=""),"",SUMIFS('Barang Keluar'!$E:$E,'Barang Keluar'!$A:$A,M2865,'Barang Keluar'!$C:$C,N2865))</f>
        <v>0</v>
      </c>
    </row>
    <row r="2866" spans="13:16">
      <c r="M2866" s="49">
        <f>IF($A$4+28&gt;$B$4,"",$A$4+28)</f>
        <v>46051</v>
      </c>
      <c r="N2866">
        <f>IF(M2866="","",'Master Barang'!A60)</f>
        <v>0</v>
      </c>
      <c r="O2866">
        <f>IF(N2866="","",'Master Barang'!B60)</f>
        <v>0</v>
      </c>
      <c r="P2866">
        <f>IF(OR(M2866="",N2866=""),"",SUMIFS('Barang Keluar'!$E:$E,'Barang Keluar'!$A:$A,M2866,'Barang Keluar'!$C:$C,N2866))</f>
        <v>0</v>
      </c>
    </row>
    <row r="2867" spans="13:16">
      <c r="M2867" s="49">
        <f>IF($A$4+28&gt;$B$4,"",$A$4+28)</f>
        <v>46051</v>
      </c>
      <c r="N2867">
        <f>IF(M2867="","",'Master Barang'!A61)</f>
        <v>0</v>
      </c>
      <c r="O2867">
        <f>IF(N2867="","",'Master Barang'!B61)</f>
        <v>0</v>
      </c>
      <c r="P2867">
        <f>IF(OR(M2867="",N2867=""),"",SUMIFS('Barang Keluar'!$E:$E,'Barang Keluar'!$A:$A,M2867,'Barang Keluar'!$C:$C,N2867))</f>
        <v>0</v>
      </c>
    </row>
    <row r="2868" spans="13:16">
      <c r="M2868" s="49">
        <f>IF($A$4+28&gt;$B$4,"",$A$4+28)</f>
        <v>46051</v>
      </c>
      <c r="N2868">
        <f>IF(M2868="","",'Master Barang'!A62)</f>
        <v>0</v>
      </c>
      <c r="O2868">
        <f>IF(N2868="","",'Master Barang'!B62)</f>
        <v>0</v>
      </c>
      <c r="P2868">
        <f>IF(OR(M2868="",N2868=""),"",SUMIFS('Barang Keluar'!$E:$E,'Barang Keluar'!$A:$A,M2868,'Barang Keluar'!$C:$C,N2868))</f>
        <v>0</v>
      </c>
    </row>
    <row r="2869" spans="13:16">
      <c r="M2869" s="49">
        <f>IF($A$4+28&gt;$B$4,"",$A$4+28)</f>
        <v>46051</v>
      </c>
      <c r="N2869">
        <f>IF(M2869="","",'Master Barang'!A63)</f>
        <v>0</v>
      </c>
      <c r="O2869">
        <f>IF(N2869="","",'Master Barang'!B63)</f>
        <v>0</v>
      </c>
      <c r="P2869">
        <f>IF(OR(M2869="",N2869=""),"",SUMIFS('Barang Keluar'!$E:$E,'Barang Keluar'!$A:$A,M2869,'Barang Keluar'!$C:$C,N2869))</f>
        <v>0</v>
      </c>
    </row>
    <row r="2870" spans="13:16">
      <c r="M2870" s="49">
        <f>IF($A$4+28&gt;$B$4,"",$A$4+28)</f>
        <v>46051</v>
      </c>
      <c r="N2870">
        <f>IF(M2870="","",'Master Barang'!A64)</f>
        <v>0</v>
      </c>
      <c r="O2870">
        <f>IF(N2870="","",'Master Barang'!B64)</f>
        <v>0</v>
      </c>
      <c r="P2870">
        <f>IF(OR(M2870="",N2870=""),"",SUMIFS('Barang Keluar'!$E:$E,'Barang Keluar'!$A:$A,M2870,'Barang Keluar'!$C:$C,N2870))</f>
        <v>0</v>
      </c>
    </row>
    <row r="2871" spans="13:16">
      <c r="M2871" s="49">
        <f>IF($A$4+28&gt;$B$4,"",$A$4+28)</f>
        <v>46051</v>
      </c>
      <c r="N2871">
        <f>IF(M2871="","",'Master Barang'!A65)</f>
        <v>0</v>
      </c>
      <c r="O2871">
        <f>IF(N2871="","",'Master Barang'!B65)</f>
        <v>0</v>
      </c>
      <c r="P2871">
        <f>IF(OR(M2871="",N2871=""),"",SUMIFS('Barang Keluar'!$E:$E,'Barang Keluar'!$A:$A,M2871,'Barang Keluar'!$C:$C,N2871))</f>
        <v>0</v>
      </c>
    </row>
    <row r="2872" spans="13:16">
      <c r="M2872" s="49">
        <f>IF($A$4+28&gt;$B$4,"",$A$4+28)</f>
        <v>46051</v>
      </c>
      <c r="N2872">
        <f>IF(M2872="","",'Master Barang'!A66)</f>
        <v>0</v>
      </c>
      <c r="O2872">
        <f>IF(N2872="","",'Master Barang'!B66)</f>
        <v>0</v>
      </c>
      <c r="P2872">
        <f>IF(OR(M2872="",N2872=""),"",SUMIFS('Barang Keluar'!$E:$E,'Barang Keluar'!$A:$A,M2872,'Barang Keluar'!$C:$C,N2872))</f>
        <v>0</v>
      </c>
    </row>
    <row r="2873" spans="13:16">
      <c r="M2873" s="49">
        <f>IF($A$4+28&gt;$B$4,"",$A$4+28)</f>
        <v>46051</v>
      </c>
      <c r="N2873">
        <f>IF(M2873="","",'Master Barang'!A67)</f>
        <v>0</v>
      </c>
      <c r="O2873">
        <f>IF(N2873="","",'Master Barang'!B67)</f>
        <v>0</v>
      </c>
      <c r="P2873">
        <f>IF(OR(M2873="",N2873=""),"",SUMIFS('Barang Keluar'!$E:$E,'Barang Keluar'!$A:$A,M2873,'Barang Keluar'!$C:$C,N2873))</f>
        <v>0</v>
      </c>
    </row>
    <row r="2874" spans="13:16">
      <c r="M2874" s="49">
        <f>IF($A$4+28&gt;$B$4,"",$A$4+28)</f>
        <v>46051</v>
      </c>
      <c r="N2874">
        <f>IF(M2874="","",'Master Barang'!A68)</f>
        <v>0</v>
      </c>
      <c r="O2874">
        <f>IF(N2874="","",'Master Barang'!B68)</f>
        <v>0</v>
      </c>
      <c r="P2874">
        <f>IF(OR(M2874="",N2874=""),"",SUMIFS('Barang Keluar'!$E:$E,'Barang Keluar'!$A:$A,M2874,'Barang Keluar'!$C:$C,N2874))</f>
        <v>0</v>
      </c>
    </row>
    <row r="2875" spans="13:16">
      <c r="M2875" s="49">
        <f>IF($A$4+28&gt;$B$4,"",$A$4+28)</f>
        <v>46051</v>
      </c>
      <c r="N2875">
        <f>IF(M2875="","",'Master Barang'!A69)</f>
        <v>0</v>
      </c>
      <c r="O2875">
        <f>IF(N2875="","",'Master Barang'!B69)</f>
        <v>0</v>
      </c>
      <c r="P2875">
        <f>IF(OR(M2875="",N2875=""),"",SUMIFS('Barang Keluar'!$E:$E,'Barang Keluar'!$A:$A,M2875,'Barang Keluar'!$C:$C,N2875))</f>
        <v>0</v>
      </c>
    </row>
    <row r="2876" spans="13:16">
      <c r="M2876" s="49">
        <f>IF($A$4+28&gt;$B$4,"",$A$4+28)</f>
        <v>46051</v>
      </c>
      <c r="N2876">
        <f>IF(M2876="","",'Master Barang'!A70)</f>
        <v>0</v>
      </c>
      <c r="O2876">
        <f>IF(N2876="","",'Master Barang'!B70)</f>
        <v>0</v>
      </c>
      <c r="P2876">
        <f>IF(OR(M2876="",N2876=""),"",SUMIFS('Barang Keluar'!$E:$E,'Barang Keluar'!$A:$A,M2876,'Barang Keluar'!$C:$C,N2876))</f>
        <v>0</v>
      </c>
    </row>
    <row r="2877" spans="13:16">
      <c r="M2877" s="49">
        <f>IF($A$4+28&gt;$B$4,"",$A$4+28)</f>
        <v>46051</v>
      </c>
      <c r="N2877">
        <f>IF(M2877="","",'Master Barang'!A71)</f>
        <v>0</v>
      </c>
      <c r="O2877">
        <f>IF(N2877="","",'Master Barang'!B71)</f>
        <v>0</v>
      </c>
      <c r="P2877">
        <f>IF(OR(M2877="",N2877=""),"",SUMIFS('Barang Keluar'!$E:$E,'Barang Keluar'!$A:$A,M2877,'Barang Keluar'!$C:$C,N2877))</f>
        <v>0</v>
      </c>
    </row>
    <row r="2878" spans="13:16">
      <c r="M2878" s="49">
        <f>IF($A$4+28&gt;$B$4,"",$A$4+28)</f>
        <v>46051</v>
      </c>
      <c r="N2878">
        <f>IF(M2878="","",'Master Barang'!A72)</f>
        <v>0</v>
      </c>
      <c r="O2878">
        <f>IF(N2878="","",'Master Barang'!B72)</f>
        <v>0</v>
      </c>
      <c r="P2878">
        <f>IF(OR(M2878="",N2878=""),"",SUMIFS('Barang Keluar'!$E:$E,'Barang Keluar'!$A:$A,M2878,'Barang Keluar'!$C:$C,N2878))</f>
        <v>0</v>
      </c>
    </row>
    <row r="2879" spans="13:16">
      <c r="M2879" s="49">
        <f>IF($A$4+28&gt;$B$4,"",$A$4+28)</f>
        <v>46051</v>
      </c>
      <c r="N2879">
        <f>IF(M2879="","",'Master Barang'!A73)</f>
        <v>0</v>
      </c>
      <c r="O2879">
        <f>IF(N2879="","",'Master Barang'!B73)</f>
        <v>0</v>
      </c>
      <c r="P2879">
        <f>IF(OR(M2879="",N2879=""),"",SUMIFS('Barang Keluar'!$E:$E,'Barang Keluar'!$A:$A,M2879,'Barang Keluar'!$C:$C,N2879))</f>
        <v>0</v>
      </c>
    </row>
    <row r="2880" spans="13:16">
      <c r="M2880" s="49">
        <f>IF($A$4+28&gt;$B$4,"",$A$4+28)</f>
        <v>46051</v>
      </c>
      <c r="N2880">
        <f>IF(M2880="","",'Master Barang'!A74)</f>
        <v>0</v>
      </c>
      <c r="O2880">
        <f>IF(N2880="","",'Master Barang'!B74)</f>
        <v>0</v>
      </c>
      <c r="P2880">
        <f>IF(OR(M2880="",N2880=""),"",SUMIFS('Barang Keluar'!$E:$E,'Barang Keluar'!$A:$A,M2880,'Barang Keluar'!$C:$C,N2880))</f>
        <v>0</v>
      </c>
    </row>
    <row r="2881" spans="13:16">
      <c r="M2881" s="49">
        <f>IF($A$4+28&gt;$B$4,"",$A$4+28)</f>
        <v>46051</v>
      </c>
      <c r="N2881">
        <f>IF(M2881="","",'Master Barang'!A75)</f>
        <v>0</v>
      </c>
      <c r="O2881">
        <f>IF(N2881="","",'Master Barang'!B75)</f>
        <v>0</v>
      </c>
      <c r="P2881">
        <f>IF(OR(M2881="",N2881=""),"",SUMIFS('Barang Keluar'!$E:$E,'Barang Keluar'!$A:$A,M2881,'Barang Keluar'!$C:$C,N2881))</f>
        <v>0</v>
      </c>
    </row>
    <row r="2882" spans="13:16">
      <c r="M2882" s="49">
        <f>IF($A$4+28&gt;$B$4,"",$A$4+28)</f>
        <v>46051</v>
      </c>
      <c r="N2882">
        <f>IF(M2882="","",'Master Barang'!A76)</f>
        <v>0</v>
      </c>
      <c r="O2882">
        <f>IF(N2882="","",'Master Barang'!B76)</f>
        <v>0</v>
      </c>
      <c r="P2882">
        <f>IF(OR(M2882="",N2882=""),"",SUMIFS('Barang Keluar'!$E:$E,'Barang Keluar'!$A:$A,M2882,'Barang Keluar'!$C:$C,N2882))</f>
        <v>0</v>
      </c>
    </row>
    <row r="2883" spans="13:16">
      <c r="M2883" s="49">
        <f>IF($A$4+28&gt;$B$4,"",$A$4+28)</f>
        <v>46051</v>
      </c>
      <c r="N2883">
        <f>IF(M2883="","",'Master Barang'!A77)</f>
        <v>0</v>
      </c>
      <c r="O2883">
        <f>IF(N2883="","",'Master Barang'!B77)</f>
        <v>0</v>
      </c>
      <c r="P2883">
        <f>IF(OR(M2883="",N2883=""),"",SUMIFS('Barang Keluar'!$E:$E,'Barang Keluar'!$A:$A,M2883,'Barang Keluar'!$C:$C,N2883))</f>
        <v>0</v>
      </c>
    </row>
    <row r="2884" spans="13:16">
      <c r="M2884" s="49">
        <f>IF($A$4+28&gt;$B$4,"",$A$4+28)</f>
        <v>46051</v>
      </c>
      <c r="N2884">
        <f>IF(M2884="","",'Master Barang'!A78)</f>
        <v>0</v>
      </c>
      <c r="O2884">
        <f>IF(N2884="","",'Master Barang'!B78)</f>
        <v>0</v>
      </c>
      <c r="P2884">
        <f>IF(OR(M2884="",N2884=""),"",SUMIFS('Barang Keluar'!$E:$E,'Barang Keluar'!$A:$A,M2884,'Barang Keluar'!$C:$C,N2884))</f>
        <v>0</v>
      </c>
    </row>
    <row r="2885" spans="13:16">
      <c r="M2885" s="49">
        <f>IF($A$4+28&gt;$B$4,"",$A$4+28)</f>
        <v>46051</v>
      </c>
      <c r="N2885">
        <f>IF(M2885="","",'Master Barang'!A79)</f>
        <v>0</v>
      </c>
      <c r="O2885">
        <f>IF(N2885="","",'Master Barang'!B79)</f>
        <v>0</v>
      </c>
      <c r="P2885">
        <f>IF(OR(M2885="",N2885=""),"",SUMIFS('Barang Keluar'!$E:$E,'Barang Keluar'!$A:$A,M2885,'Barang Keluar'!$C:$C,N2885))</f>
        <v>0</v>
      </c>
    </row>
    <row r="2886" spans="13:16">
      <c r="M2886" s="49">
        <f>IF($A$4+28&gt;$B$4,"",$A$4+28)</f>
        <v>46051</v>
      </c>
      <c r="N2886">
        <f>IF(M2886="","",'Master Barang'!A80)</f>
        <v>0</v>
      </c>
      <c r="O2886">
        <f>IF(N2886="","",'Master Barang'!B80)</f>
        <v>0</v>
      </c>
      <c r="P2886">
        <f>IF(OR(M2886="",N2886=""),"",SUMIFS('Barang Keluar'!$E:$E,'Barang Keluar'!$A:$A,M2886,'Barang Keluar'!$C:$C,N2886))</f>
        <v>0</v>
      </c>
    </row>
    <row r="2887" spans="13:16">
      <c r="M2887" s="49">
        <f>IF($A$4+28&gt;$B$4,"",$A$4+28)</f>
        <v>46051</v>
      </c>
      <c r="N2887">
        <f>IF(M2887="","",'Master Barang'!A81)</f>
        <v>0</v>
      </c>
      <c r="O2887">
        <f>IF(N2887="","",'Master Barang'!B81)</f>
        <v>0</v>
      </c>
      <c r="P2887">
        <f>IF(OR(M2887="",N2887=""),"",SUMIFS('Barang Keluar'!$E:$E,'Barang Keluar'!$A:$A,M2887,'Barang Keluar'!$C:$C,N2887))</f>
        <v>0</v>
      </c>
    </row>
    <row r="2888" spans="13:16">
      <c r="M2888" s="49">
        <f>IF($A$4+28&gt;$B$4,"",$A$4+28)</f>
        <v>46051</v>
      </c>
      <c r="N2888">
        <f>IF(M2888="","",'Master Barang'!A82)</f>
        <v>0</v>
      </c>
      <c r="O2888">
        <f>IF(N2888="","",'Master Barang'!B82)</f>
        <v>0</v>
      </c>
      <c r="P2888">
        <f>IF(OR(M2888="",N2888=""),"",SUMIFS('Barang Keluar'!$E:$E,'Barang Keluar'!$A:$A,M2888,'Barang Keluar'!$C:$C,N2888))</f>
        <v>0</v>
      </c>
    </row>
    <row r="2889" spans="13:16">
      <c r="M2889" s="49">
        <f>IF($A$4+28&gt;$B$4,"",$A$4+28)</f>
        <v>46051</v>
      </c>
      <c r="N2889">
        <f>IF(M2889="","",'Master Barang'!A83)</f>
        <v>0</v>
      </c>
      <c r="O2889">
        <f>IF(N2889="","",'Master Barang'!B83)</f>
        <v>0</v>
      </c>
      <c r="P2889">
        <f>IF(OR(M2889="",N2889=""),"",SUMIFS('Barang Keluar'!$E:$E,'Barang Keluar'!$A:$A,M2889,'Barang Keluar'!$C:$C,N2889))</f>
        <v>0</v>
      </c>
    </row>
    <row r="2890" spans="13:16">
      <c r="M2890" s="49">
        <f>IF($A$4+28&gt;$B$4,"",$A$4+28)</f>
        <v>46051</v>
      </c>
      <c r="N2890">
        <f>IF(M2890="","",'Master Barang'!A84)</f>
        <v>0</v>
      </c>
      <c r="O2890">
        <f>IF(N2890="","",'Master Barang'!B84)</f>
        <v>0</v>
      </c>
      <c r="P2890">
        <f>IF(OR(M2890="",N2890=""),"",SUMIFS('Barang Keluar'!$E:$E,'Barang Keluar'!$A:$A,M2890,'Barang Keluar'!$C:$C,N2890))</f>
        <v>0</v>
      </c>
    </row>
    <row r="2891" spans="13:16">
      <c r="M2891" s="49">
        <f>IF($A$4+28&gt;$B$4,"",$A$4+28)</f>
        <v>46051</v>
      </c>
      <c r="N2891">
        <f>IF(M2891="","",'Master Barang'!A85)</f>
        <v>0</v>
      </c>
      <c r="O2891">
        <f>IF(N2891="","",'Master Barang'!B85)</f>
        <v>0</v>
      </c>
      <c r="P2891">
        <f>IF(OR(M2891="",N2891=""),"",SUMIFS('Barang Keluar'!$E:$E,'Barang Keluar'!$A:$A,M2891,'Barang Keluar'!$C:$C,N2891))</f>
        <v>0</v>
      </c>
    </row>
    <row r="2892" spans="13:16">
      <c r="M2892" s="49">
        <f>IF($A$4+28&gt;$B$4,"",$A$4+28)</f>
        <v>46051</v>
      </c>
      <c r="N2892">
        <f>IF(M2892="","",'Master Barang'!A86)</f>
        <v>0</v>
      </c>
      <c r="O2892">
        <f>IF(N2892="","",'Master Barang'!B86)</f>
        <v>0</v>
      </c>
      <c r="P2892">
        <f>IF(OR(M2892="",N2892=""),"",SUMIFS('Barang Keluar'!$E:$E,'Barang Keluar'!$A:$A,M2892,'Barang Keluar'!$C:$C,N2892))</f>
        <v>0</v>
      </c>
    </row>
    <row r="2893" spans="13:16">
      <c r="M2893" s="49">
        <f>IF($A$4+28&gt;$B$4,"",$A$4+28)</f>
        <v>46051</v>
      </c>
      <c r="N2893">
        <f>IF(M2893="","",'Master Barang'!A87)</f>
        <v>0</v>
      </c>
      <c r="O2893">
        <f>IF(N2893="","",'Master Barang'!B87)</f>
        <v>0</v>
      </c>
      <c r="P2893">
        <f>IF(OR(M2893="",N2893=""),"",SUMIFS('Barang Keluar'!$E:$E,'Barang Keluar'!$A:$A,M2893,'Barang Keluar'!$C:$C,N2893))</f>
        <v>0</v>
      </c>
    </row>
    <row r="2894" spans="13:16">
      <c r="M2894" s="49">
        <f>IF($A$4+28&gt;$B$4,"",$A$4+28)</f>
        <v>46051</v>
      </c>
      <c r="N2894">
        <f>IF(M2894="","",'Master Barang'!A88)</f>
        <v>0</v>
      </c>
      <c r="O2894">
        <f>IF(N2894="","",'Master Barang'!B88)</f>
        <v>0</v>
      </c>
      <c r="P2894">
        <f>IF(OR(M2894="",N2894=""),"",SUMIFS('Barang Keluar'!$E:$E,'Barang Keluar'!$A:$A,M2894,'Barang Keluar'!$C:$C,N2894))</f>
        <v>0</v>
      </c>
    </row>
    <row r="2895" spans="13:16">
      <c r="M2895" s="49">
        <f>IF($A$4+28&gt;$B$4,"",$A$4+28)</f>
        <v>46051</v>
      </c>
      <c r="N2895">
        <f>IF(M2895="","",'Master Barang'!A89)</f>
        <v>0</v>
      </c>
      <c r="O2895">
        <f>IF(N2895="","",'Master Barang'!B89)</f>
        <v>0</v>
      </c>
      <c r="P2895">
        <f>IF(OR(M2895="",N2895=""),"",SUMIFS('Barang Keluar'!$E:$E,'Barang Keluar'!$A:$A,M2895,'Barang Keluar'!$C:$C,N2895))</f>
        <v>0</v>
      </c>
    </row>
    <row r="2896" spans="13:16">
      <c r="M2896" s="49">
        <f>IF($A$4+28&gt;$B$4,"",$A$4+28)</f>
        <v>46051</v>
      </c>
      <c r="N2896">
        <f>IF(M2896="","",'Master Barang'!A90)</f>
        <v>0</v>
      </c>
      <c r="O2896">
        <f>IF(N2896="","",'Master Barang'!B90)</f>
        <v>0</v>
      </c>
      <c r="P2896">
        <f>IF(OR(M2896="",N2896=""),"",SUMIFS('Barang Keluar'!$E:$E,'Barang Keluar'!$A:$A,M2896,'Barang Keluar'!$C:$C,N2896))</f>
        <v>0</v>
      </c>
    </row>
    <row r="2897" spans="13:16">
      <c r="M2897" s="49">
        <f>IF($A$4+28&gt;$B$4,"",$A$4+28)</f>
        <v>46051</v>
      </c>
      <c r="N2897">
        <f>IF(M2897="","",'Master Barang'!A91)</f>
        <v>0</v>
      </c>
      <c r="O2897">
        <f>IF(N2897="","",'Master Barang'!B91)</f>
        <v>0</v>
      </c>
      <c r="P2897">
        <f>IF(OR(M2897="",N2897=""),"",SUMIFS('Barang Keluar'!$E:$E,'Barang Keluar'!$A:$A,M2897,'Barang Keluar'!$C:$C,N2897))</f>
        <v>0</v>
      </c>
    </row>
    <row r="2898" spans="13:16">
      <c r="M2898" s="49">
        <f>IF($A$4+28&gt;$B$4,"",$A$4+28)</f>
        <v>46051</v>
      </c>
      <c r="N2898">
        <f>IF(M2898="","",'Master Barang'!A92)</f>
        <v>0</v>
      </c>
      <c r="O2898">
        <f>IF(N2898="","",'Master Barang'!B92)</f>
        <v>0</v>
      </c>
      <c r="P2898">
        <f>IF(OR(M2898="",N2898=""),"",SUMIFS('Barang Keluar'!$E:$E,'Barang Keluar'!$A:$A,M2898,'Barang Keluar'!$C:$C,N2898))</f>
        <v>0</v>
      </c>
    </row>
    <row r="2899" spans="13:16">
      <c r="M2899" s="49">
        <f>IF($A$4+28&gt;$B$4,"",$A$4+28)</f>
        <v>46051</v>
      </c>
      <c r="N2899">
        <f>IF(M2899="","",'Master Barang'!A93)</f>
        <v>0</v>
      </c>
      <c r="O2899">
        <f>IF(N2899="","",'Master Barang'!B93)</f>
        <v>0</v>
      </c>
      <c r="P2899">
        <f>IF(OR(M2899="",N2899=""),"",SUMIFS('Barang Keluar'!$E:$E,'Barang Keluar'!$A:$A,M2899,'Barang Keluar'!$C:$C,N2899))</f>
        <v>0</v>
      </c>
    </row>
    <row r="2900" spans="13:16">
      <c r="M2900" s="49">
        <f>IF($A$4+28&gt;$B$4,"",$A$4+28)</f>
        <v>46051</v>
      </c>
      <c r="N2900">
        <f>IF(M2900="","",'Master Barang'!A94)</f>
        <v>0</v>
      </c>
      <c r="O2900">
        <f>IF(N2900="","",'Master Barang'!B94)</f>
        <v>0</v>
      </c>
      <c r="P2900">
        <f>IF(OR(M2900="",N2900=""),"",SUMIFS('Barang Keluar'!$E:$E,'Barang Keluar'!$A:$A,M2900,'Barang Keluar'!$C:$C,N2900))</f>
        <v>0</v>
      </c>
    </row>
    <row r="2901" spans="13:16">
      <c r="M2901" s="49">
        <f>IF($A$4+28&gt;$B$4,"",$A$4+28)</f>
        <v>46051</v>
      </c>
      <c r="N2901">
        <f>IF(M2901="","",'Master Barang'!A95)</f>
        <v>0</v>
      </c>
      <c r="O2901">
        <f>IF(N2901="","",'Master Barang'!B95)</f>
        <v>0</v>
      </c>
      <c r="P2901">
        <f>IF(OR(M2901="",N2901=""),"",SUMIFS('Barang Keluar'!$E:$E,'Barang Keluar'!$A:$A,M2901,'Barang Keluar'!$C:$C,N2901))</f>
        <v>0</v>
      </c>
    </row>
    <row r="2902" spans="13:16">
      <c r="M2902" s="49">
        <f>IF($A$4+28&gt;$B$4,"",$A$4+28)</f>
        <v>46051</v>
      </c>
      <c r="N2902">
        <f>IF(M2902="","",'Master Barang'!A96)</f>
        <v>0</v>
      </c>
      <c r="O2902">
        <f>IF(N2902="","",'Master Barang'!B96)</f>
        <v>0</v>
      </c>
      <c r="P2902">
        <f>IF(OR(M2902="",N2902=""),"",SUMIFS('Barang Keluar'!$E:$E,'Barang Keluar'!$A:$A,M2902,'Barang Keluar'!$C:$C,N2902))</f>
        <v>0</v>
      </c>
    </row>
    <row r="2903" spans="13:16">
      <c r="M2903" s="49">
        <f>IF($A$4+28&gt;$B$4,"",$A$4+28)</f>
        <v>46051</v>
      </c>
      <c r="N2903">
        <f>IF(M2903="","",'Master Barang'!A97)</f>
        <v>0</v>
      </c>
      <c r="O2903">
        <f>IF(N2903="","",'Master Barang'!B97)</f>
        <v>0</v>
      </c>
      <c r="P2903">
        <f>IF(OR(M2903="",N2903=""),"",SUMIFS('Barang Keluar'!$E:$E,'Barang Keluar'!$A:$A,M2903,'Barang Keluar'!$C:$C,N2903))</f>
        <v>0</v>
      </c>
    </row>
    <row r="2904" spans="13:16">
      <c r="M2904" s="49">
        <f>IF($A$4+28&gt;$B$4,"",$A$4+28)</f>
        <v>46051</v>
      </c>
      <c r="N2904">
        <f>IF(M2904="","",'Master Barang'!A98)</f>
        <v>0</v>
      </c>
      <c r="O2904">
        <f>IF(N2904="","",'Master Barang'!B98)</f>
        <v>0</v>
      </c>
      <c r="P2904">
        <f>IF(OR(M2904="",N2904=""),"",SUMIFS('Barang Keluar'!$E:$E,'Barang Keluar'!$A:$A,M2904,'Barang Keluar'!$C:$C,N2904))</f>
        <v>0</v>
      </c>
    </row>
    <row r="2905" spans="13:16">
      <c r="M2905" s="49">
        <f>IF($A$4+28&gt;$B$4,"",$A$4+28)</f>
        <v>46051</v>
      </c>
      <c r="N2905">
        <f>IF(M2905="","",'Master Barang'!A99)</f>
        <v>0</v>
      </c>
      <c r="O2905">
        <f>IF(N2905="","",'Master Barang'!B99)</f>
        <v>0</v>
      </c>
      <c r="P2905">
        <f>IF(OR(M2905="",N2905=""),"",SUMIFS('Barang Keluar'!$E:$E,'Barang Keluar'!$A:$A,M2905,'Barang Keluar'!$C:$C,N2905))</f>
        <v>0</v>
      </c>
    </row>
    <row r="2906" spans="13:16">
      <c r="M2906" s="49">
        <f>IF($A$4+28&gt;$B$4,"",$A$4+28)</f>
        <v>46051</v>
      </c>
      <c r="N2906">
        <f>IF(M2906="","",'Master Barang'!A100)</f>
        <v>0</v>
      </c>
      <c r="O2906">
        <f>IF(N2906="","",'Master Barang'!B100)</f>
        <v>0</v>
      </c>
      <c r="P2906">
        <f>IF(OR(M2906="",N2906=""),"",SUMIFS('Barang Keluar'!$E:$E,'Barang Keluar'!$A:$A,M2906,'Barang Keluar'!$C:$C,N2906))</f>
        <v>0</v>
      </c>
    </row>
    <row r="2907" spans="13:16">
      <c r="M2907" s="49">
        <f>IF($A$4+28&gt;$B$4,"",$A$4+28)</f>
        <v>46051</v>
      </c>
      <c r="N2907">
        <f>IF(M2907="","",'Master Barang'!A101)</f>
        <v>0</v>
      </c>
      <c r="O2907">
        <f>IF(N2907="","",'Master Barang'!B101)</f>
        <v>0</v>
      </c>
      <c r="P2907">
        <f>IF(OR(M2907="",N2907=""),"",SUMIFS('Barang Keluar'!$E:$E,'Barang Keluar'!$A:$A,M2907,'Barang Keluar'!$C:$C,N2907))</f>
        <v>0</v>
      </c>
    </row>
    <row r="2908" spans="13:16">
      <c r="M2908" s="49">
        <f>IF($A$4+29&gt;$B$4,"",$A$4+29)</f>
        <v>46052</v>
      </c>
      <c r="N2908" t="str">
        <f>IF(M2908="","",'Master Barang'!A2)</f>
        <v>PRL-001</v>
      </c>
      <c r="O2908" t="str">
        <f>IF(N2908="","",'Master Barang'!B2)</f>
        <v>natura desinfectant food grade 5l</v>
      </c>
      <c r="P2908">
        <f>IF(OR(M2908="",N2908=""),"",SUMIFS('Barang Keluar'!$E:$E,'Barang Keluar'!$A:$A,M2908,'Barang Keluar'!$C:$C,N2908))</f>
        <v>0</v>
      </c>
    </row>
    <row r="2909" spans="13:16">
      <c r="M2909" s="49">
        <f>IF($A$4+29&gt;$B$4,"",$A$4+29)</f>
        <v>46052</v>
      </c>
      <c r="N2909" t="str">
        <f>IF(M2909="","",'Master Barang'!A3)</f>
        <v>PRL-002</v>
      </c>
      <c r="O2909" t="str">
        <f>IF(N2909="","",'Master Barang'!B3)</f>
        <v>sunlight cairan pencuci piring 5l</v>
      </c>
      <c r="P2909">
        <f>IF(OR(M2909="",N2909=""),"",SUMIFS('Barang Keluar'!$E:$E,'Barang Keluar'!$A:$A,M2909,'Barang Keluar'!$C:$C,N2909))</f>
        <v>0</v>
      </c>
    </row>
    <row r="2910" spans="13:16">
      <c r="M2910" s="49">
        <f>IF($A$4+29&gt;$B$4,"",$A$4+29)</f>
        <v>46052</v>
      </c>
      <c r="N2910" t="str">
        <f>IF(M2910="","",'Master Barang'!A4)</f>
        <v>PRL-003</v>
      </c>
      <c r="O2910" t="str">
        <f>IF(N2910="","",'Master Barang'!B4)</f>
        <v>oixs cleaner 1l</v>
      </c>
      <c r="P2910">
        <f>IF(OR(M2910="",N2910=""),"",SUMIFS('Barang Keluar'!$E:$E,'Barang Keluar'!$A:$A,M2910,'Barang Keluar'!$C:$C,N2910))</f>
        <v>0</v>
      </c>
    </row>
    <row r="2911" spans="13:16">
      <c r="M2911" s="49">
        <f>IF($A$4+29&gt;$B$4,"",$A$4+29)</f>
        <v>46052</v>
      </c>
      <c r="N2911" t="str">
        <f>IF(M2911="","",'Master Barang'!A5)</f>
        <v>PRL-004</v>
      </c>
      <c r="O2911" t="str">
        <f>IF(N2911="","",'Master Barang'!B5)</f>
        <v>be clean tissue serbaguna</v>
      </c>
      <c r="P2911">
        <f>IF(OR(M2911="",N2911=""),"",SUMIFS('Barang Keluar'!$E:$E,'Barang Keluar'!$A:$A,M2911,'Barang Keluar'!$C:$C,N2911))</f>
        <v>0</v>
      </c>
    </row>
    <row r="2912" spans="13:16">
      <c r="M2912" s="49">
        <f>IF($A$4+29&gt;$B$4,"",$A$4+29)</f>
        <v>46052</v>
      </c>
      <c r="N2912" t="str">
        <f>IF(M2912="","",'Master Barang'!A6)</f>
        <v>PRL-005</v>
      </c>
      <c r="O2912" t="str">
        <f>IF(N2912="","",'Master Barang'!B6)</f>
        <v>spons cuci hijau</v>
      </c>
      <c r="P2912">
        <f>IF(OR(M2912="",N2912=""),"",SUMIFS('Barang Keluar'!$E:$E,'Barang Keluar'!$A:$A,M2912,'Barang Keluar'!$C:$C,N2912))</f>
        <v>0</v>
      </c>
    </row>
    <row r="2913" spans="13:16">
      <c r="M2913" s="49">
        <f>IF($A$4+29&gt;$B$4,"",$A$4+29)</f>
        <v>46052</v>
      </c>
      <c r="N2913" t="str">
        <f>IF(M2913="","",'Master Barang'!A7)</f>
        <v>PRL-006</v>
      </c>
      <c r="O2913" t="str">
        <f>IF(N2913="","",'Master Barang'!B7)</f>
        <v>sabut cuci stainless</v>
      </c>
      <c r="P2913">
        <f>IF(OR(M2913="",N2913=""),"",SUMIFS('Barang Keluar'!$E:$E,'Barang Keluar'!$A:$A,M2913,'Barang Keluar'!$C:$C,N2913))</f>
        <v>0</v>
      </c>
    </row>
    <row r="2914" spans="13:16">
      <c r="M2914" s="49">
        <f>IF($A$4+29&gt;$B$4,"",$A$4+29)</f>
        <v>46052</v>
      </c>
      <c r="N2914" t="str">
        <f>IF(M2914="","",'Master Barang'!A8)</f>
        <v>PRL-007</v>
      </c>
      <c r="O2914" t="str">
        <f>IF(N2914="","",'Master Barang'!B8)</f>
        <v>plastik kresek besar merah 50pc</v>
      </c>
      <c r="P2914">
        <f>IF(OR(M2914="",N2914=""),"",SUMIFS('Barang Keluar'!$E:$E,'Barang Keluar'!$A:$A,M2914,'Barang Keluar'!$C:$C,N2914))</f>
        <v>0</v>
      </c>
    </row>
    <row r="2915" spans="13:16">
      <c r="M2915" s="49">
        <f>IF($A$4+29&gt;$B$4,"",$A$4+29)</f>
        <v>46052</v>
      </c>
      <c r="N2915" t="str">
        <f>IF(M2915="","",'Master Barang'!A9)</f>
        <v>PRL-008</v>
      </c>
      <c r="O2915" t="str">
        <f>IF(N2915="","",'Master Barang'!B9)</f>
        <v>lap besar</v>
      </c>
      <c r="P2915">
        <f>IF(OR(M2915="",N2915=""),"",SUMIFS('Barang Keluar'!$E:$E,'Barang Keluar'!$A:$A,M2915,'Barang Keluar'!$C:$C,N2915))</f>
        <v>0</v>
      </c>
    </row>
    <row r="2916" spans="13:16">
      <c r="M2916" s="49">
        <f>IF($A$4+29&gt;$B$4,"",$A$4+29)</f>
        <v>46052</v>
      </c>
      <c r="N2916" t="str">
        <f>IF(M2916="","",'Master Barang'!A10)</f>
        <v>PRL-009</v>
      </c>
      <c r="O2916" t="str">
        <f>IF(N2916="","",'Master Barang'!B10)</f>
        <v>lap microfiber</v>
      </c>
      <c r="P2916">
        <f>IF(OR(M2916="",N2916=""),"",SUMIFS('Barang Keluar'!$E:$E,'Barang Keluar'!$A:$A,M2916,'Barang Keluar'!$C:$C,N2916))</f>
        <v>0</v>
      </c>
    </row>
    <row r="2917" spans="13:16">
      <c r="M2917" s="49">
        <f>IF($A$4+29&gt;$B$4,"",$A$4+29)</f>
        <v>46052</v>
      </c>
      <c r="N2917" t="str">
        <f>IF(M2917="","",'Master Barang'!A11)</f>
        <v>PRL-010</v>
      </c>
      <c r="O2917" t="str">
        <f>IF(N2917="","",'Master Barang'!B11)</f>
        <v>lap kecil</v>
      </c>
      <c r="P2917">
        <f>IF(OR(M2917="",N2917=""),"",SUMIFS('Barang Keluar'!$E:$E,'Barang Keluar'!$A:$A,M2917,'Barang Keluar'!$C:$C,N2917))</f>
        <v>0</v>
      </c>
    </row>
    <row r="2918" spans="13:16">
      <c r="M2918" s="49">
        <f>IF($A$4+29&gt;$B$4,"",$A$4+29)</f>
        <v>46052</v>
      </c>
      <c r="N2918" t="str">
        <f>IF(M2918="","",'Master Barang'!A12)</f>
        <v>PRL-011</v>
      </c>
      <c r="O2918" t="str">
        <f>IF(N2918="","",'Master Barang'!B12)</f>
        <v>kanebo kecil</v>
      </c>
      <c r="P2918">
        <f>IF(OR(M2918="",N2918=""),"",SUMIFS('Barang Keluar'!$E:$E,'Barang Keluar'!$A:$A,M2918,'Barang Keluar'!$C:$C,N2918))</f>
        <v>0</v>
      </c>
    </row>
    <row r="2919" spans="13:16">
      <c r="M2919" s="49">
        <f>IF($A$4+29&gt;$B$4,"",$A$4+29)</f>
        <v>46052</v>
      </c>
      <c r="N2919" t="str">
        <f>IF(M2919="","",'Master Barang'!A13)</f>
        <v>PRL-012</v>
      </c>
      <c r="O2919" t="str">
        <f>IF(N2919="","",'Master Barang'!B13)</f>
        <v>plastik 1/4kg joyoboyo 100 lembar</v>
      </c>
      <c r="P2919">
        <f>IF(OR(M2919="",N2919=""),"",SUMIFS('Barang Keluar'!$E:$E,'Barang Keluar'!$A:$A,M2919,'Barang Keluar'!$C:$C,N2919))</f>
        <v>0</v>
      </c>
    </row>
    <row r="2920" spans="13:16">
      <c r="M2920" s="49">
        <f>IF($A$4+29&gt;$B$4,"",$A$4+29)</f>
        <v>46052</v>
      </c>
      <c r="N2920" t="str">
        <f>IF(M2920="","",'Master Barang'!A14)</f>
        <v>PRL-013</v>
      </c>
      <c r="O2920" t="str">
        <f>IF(N2920="","",'Master Barang'!B14)</f>
        <v>sarung tangan plastik kaka 100 pcs</v>
      </c>
      <c r="P2920">
        <f>IF(OR(M2920="",N2920=""),"",SUMIFS('Barang Keluar'!$E:$E,'Barang Keluar'!$A:$A,M2920,'Barang Keluar'!$C:$C,N2920))</f>
        <v>0</v>
      </c>
    </row>
    <row r="2921" spans="13:16">
      <c r="M2921" s="49">
        <f>IF($A$4+29&gt;$B$4,"",$A$4+29)</f>
        <v>46052</v>
      </c>
      <c r="N2921" t="str">
        <f>IF(M2921="","",'Master Barang'!A15)</f>
        <v>PRL-014</v>
      </c>
      <c r="O2921" t="str">
        <f>IF(N2921="","",'Master Barang'!B15)</f>
        <v>optima trashbag 80x100</v>
      </c>
      <c r="P2921">
        <f>IF(OR(M2921="",N2921=""),"",SUMIFS('Barang Keluar'!$E:$E,'Barang Keluar'!$A:$A,M2921,'Barang Keluar'!$C:$C,N2921))</f>
        <v>0</v>
      </c>
    </row>
    <row r="2922" spans="13:16">
      <c r="M2922" s="49">
        <f>IF($A$4+29&gt;$B$4,"",$A$4+29)</f>
        <v>46052</v>
      </c>
      <c r="N2922" t="str">
        <f>IF(M2922="","",'Master Barang'!A16)</f>
        <v>PRL-015</v>
      </c>
      <c r="O2922" t="str">
        <f>IF(N2922="","",'Master Barang'!B16)</f>
        <v>optima trashbag 60x100</v>
      </c>
      <c r="P2922">
        <f>IF(OR(M2922="",N2922=""),"",SUMIFS('Barang Keluar'!$E:$E,'Barang Keluar'!$A:$A,M2922,'Barang Keluar'!$C:$C,N2922))</f>
        <v>0</v>
      </c>
    </row>
    <row r="2923" spans="13:16">
      <c r="M2923" s="49">
        <f>IF($A$4+29&gt;$B$4,"",$A$4+29)</f>
        <v>46052</v>
      </c>
      <c r="N2923" t="str">
        <f>IF(M2923="","",'Master Barang'!A17)</f>
        <v>PRL-016</v>
      </c>
      <c r="O2923" t="str">
        <f>IF(N2923="","",'Master Barang'!B17)</f>
        <v>rajawali trashbag 30x40</v>
      </c>
      <c r="P2923">
        <f>IF(OR(M2923="",N2923=""),"",SUMIFS('Barang Keluar'!$E:$E,'Barang Keluar'!$A:$A,M2923,'Barang Keluar'!$C:$C,N2923))</f>
        <v>0</v>
      </c>
    </row>
    <row r="2924" spans="13:16">
      <c r="M2924" s="49">
        <f>IF($A$4+29&gt;$B$4,"",$A$4+29)</f>
        <v>46052</v>
      </c>
      <c r="N2924" t="str">
        <f>IF(M2924="","",'Master Barang'!A18)</f>
        <v>PRL-017</v>
      </c>
      <c r="O2924" t="str">
        <f>IF(N2924="","",'Master Barang'!B18)</f>
        <v>onemed masker biru 3 play 50 pcs</v>
      </c>
      <c r="P2924">
        <f>IF(OR(M2924="",N2924=""),"",SUMIFS('Barang Keluar'!$E:$E,'Barang Keluar'!$A:$A,M2924,'Barang Keluar'!$C:$C,N2924))</f>
        <v>0</v>
      </c>
    </row>
    <row r="2925" spans="13:16">
      <c r="M2925" s="49">
        <f>IF($A$4+29&gt;$B$4,"",$A$4+29)</f>
        <v>46052</v>
      </c>
      <c r="N2925" t="str">
        <f>IF(M2925="","",'Master Barang'!A19)</f>
        <v>PRL-018</v>
      </c>
      <c r="O2925" t="str">
        <f>IF(N2925="","",'Master Barang'!B19)</f>
        <v>onemed masker biru 3 play hijab 50 pcs</v>
      </c>
      <c r="P2925">
        <f>IF(OR(M2925="",N2925=""),"",SUMIFS('Barang Keluar'!$E:$E,'Barang Keluar'!$A:$A,M2925,'Barang Keluar'!$C:$C,N2925))</f>
        <v>0</v>
      </c>
    </row>
    <row r="2926" spans="13:16">
      <c r="M2926" s="49">
        <f>IF($A$4+29&gt;$B$4,"",$A$4+29)</f>
        <v>46052</v>
      </c>
      <c r="N2926" t="str">
        <f>IF(M2926="","",'Master Barang'!A20)</f>
        <v>PRL-019</v>
      </c>
      <c r="O2926" t="str">
        <f>IF(N2926="","",'Master Barang'!B20)</f>
        <v>neo health masker biru 3 play 50 pcs</v>
      </c>
      <c r="P2926">
        <f>IF(OR(M2926="",N2926=""),"",SUMIFS('Barang Keluar'!$E:$E,'Barang Keluar'!$A:$A,M2926,'Barang Keluar'!$C:$C,N2926))</f>
        <v>0</v>
      </c>
    </row>
    <row r="2927" spans="13:16">
      <c r="M2927" s="49">
        <f>IF($A$4+29&gt;$B$4,"",$A$4+29)</f>
        <v>46052</v>
      </c>
      <c r="N2927" t="str">
        <f>IF(M2927="","",'Master Barang'!A21)</f>
        <v>PRL-020</v>
      </c>
      <c r="O2927" t="str">
        <f>IF(N2927="","",'Master Barang'!B21)</f>
        <v>baymed masker hijau 3 play hijau 50 pcs</v>
      </c>
      <c r="P2927">
        <f>IF(OR(M2927="",N2927=""),"",SUMIFS('Barang Keluar'!$E:$E,'Barang Keluar'!$A:$A,M2927,'Barang Keluar'!$C:$C,N2927))</f>
        <v>0</v>
      </c>
    </row>
    <row r="2928" spans="13:16">
      <c r="M2928" s="49">
        <f>IF($A$4+29&gt;$B$4,"",$A$4+29)</f>
        <v>46052</v>
      </c>
      <c r="N2928" t="str">
        <f>IF(M2928="","",'Master Barang'!A22)</f>
        <v>PRL-021</v>
      </c>
      <c r="O2928" t="str">
        <f>IF(N2928="","",'Master Barang'!B22)</f>
        <v>altamed nurse cap penutup kepala 100 pcs</v>
      </c>
      <c r="P2928">
        <f>IF(OR(M2928="",N2928=""),"",SUMIFS('Barang Keluar'!$E:$E,'Barang Keluar'!$A:$A,M2928,'Barang Keluar'!$C:$C,N2928))</f>
        <v>0</v>
      </c>
    </row>
    <row r="2929" spans="13:16">
      <c r="M2929" s="49">
        <f>IF($A$4+29&gt;$B$4,"",$A$4+29)</f>
        <v>46052</v>
      </c>
      <c r="N2929" t="str">
        <f>IF(M2929="","",'Master Barang'!A23)</f>
        <v>PRL-022</v>
      </c>
      <c r="O2929" t="str">
        <f>IF(N2929="","",'Master Barang'!B23)</f>
        <v>sabun cuci tangan</v>
      </c>
      <c r="P2929">
        <f>IF(OR(M2929="",N2929=""),"",SUMIFS('Barang Keluar'!$E:$E,'Barang Keluar'!$A:$A,M2929,'Barang Keluar'!$C:$C,N2929))</f>
        <v>0</v>
      </c>
    </row>
    <row r="2930" spans="13:16">
      <c r="M2930" s="49">
        <f>IF($A$4+29&gt;$B$4,"",$A$4+29)</f>
        <v>46052</v>
      </c>
      <c r="N2930" t="str">
        <f>IF(M2930="","",'Master Barang'!A24)</f>
        <v>PRL-023</v>
      </c>
      <c r="O2930" t="str">
        <f>IF(N2930="","",'Master Barang'!B24)</f>
        <v>gayung kecil</v>
      </c>
      <c r="P2930">
        <f>IF(OR(M2930="",N2930=""),"",SUMIFS('Barang Keluar'!$E:$E,'Barang Keluar'!$A:$A,M2930,'Barang Keluar'!$C:$C,N2930))</f>
        <v>0</v>
      </c>
    </row>
    <row r="2931" spans="13:16">
      <c r="M2931" s="49">
        <f>IF($A$4+29&gt;$B$4,"",$A$4+29)</f>
        <v>46052</v>
      </c>
      <c r="N2931" t="str">
        <f>IF(M2931="","",'Master Barang'!A25)</f>
        <v>PRL-024</v>
      </c>
      <c r="O2931" t="str">
        <f>IF(N2931="","",'Master Barang'!B25)</f>
        <v>cikrak kecil</v>
      </c>
      <c r="P2931">
        <f>IF(OR(M2931="",N2931=""),"",SUMIFS('Barang Keluar'!$E:$E,'Barang Keluar'!$A:$A,M2931,'Barang Keluar'!$C:$C,N2931))</f>
        <v>0</v>
      </c>
    </row>
    <row r="2932" spans="13:16">
      <c r="M2932" s="49">
        <f>IF($A$4+29&gt;$B$4,"",$A$4+29)</f>
        <v>46052</v>
      </c>
      <c r="N2932" t="str">
        <f>IF(M2932="","",'Master Barang'!A26)</f>
        <v>PRL-025</v>
      </c>
      <c r="O2932" t="str">
        <f>IF(N2932="","",'Master Barang'!B26)</f>
        <v>petromax plastik kecil 12x24 100 lembar</v>
      </c>
      <c r="P2932">
        <f>IF(OR(M2932="",N2932=""),"",SUMIFS('Barang Keluar'!$E:$E,'Barang Keluar'!$A:$A,M2932,'Barang Keluar'!$C:$C,N2932))</f>
        <v>0</v>
      </c>
    </row>
    <row r="2933" spans="13:16">
      <c r="M2933" s="49">
        <f>IF($A$4+29&gt;$B$4,"",$A$4+29)</f>
        <v>46052</v>
      </c>
      <c r="N2933" t="str">
        <f>IF(M2933="","",'Master Barang'!A27)</f>
        <v>PRL-026</v>
      </c>
      <c r="O2933" t="str">
        <f>IF(N2933="","",'Master Barang'!B27)</f>
        <v>lancar kresek kecil bening </v>
      </c>
      <c r="P2933">
        <f>IF(OR(M2933="",N2933=""),"",SUMIFS('Barang Keluar'!$E:$E,'Barang Keluar'!$A:$A,M2933,'Barang Keluar'!$C:$C,N2933))</f>
        <v>0</v>
      </c>
    </row>
    <row r="2934" spans="13:16">
      <c r="M2934" s="49">
        <f>IF($A$4+29&gt;$B$4,"",$A$4+29)</f>
        <v>46052</v>
      </c>
      <c r="N2934" t="str">
        <f>IF(M2934="","",'Master Barang'!A28)</f>
        <v>PRL-027</v>
      </c>
      <c r="O2934" t="str">
        <f>IF(N2934="","",'Master Barang'!B28)</f>
        <v>kresek klin warna warni kecil</v>
      </c>
      <c r="P2934">
        <f>IF(OR(M2934="",N2934=""),"",SUMIFS('Barang Keluar'!$E:$E,'Barang Keluar'!$A:$A,M2934,'Barang Keluar'!$C:$C,N2934))</f>
        <v>0</v>
      </c>
    </row>
    <row r="2935" spans="13:16">
      <c r="M2935" s="49">
        <f>IF($A$4+29&gt;$B$4,"",$A$4+29)</f>
        <v>46052</v>
      </c>
      <c r="N2935" t="str">
        <f>IF(M2935="","",'Master Barang'!A29)</f>
        <v>PRL-028</v>
      </c>
      <c r="O2935" t="str">
        <f>IF(N2935="","",'Master Barang'!B29)</f>
        <v>ctik plastik 7x10 100 pcs</v>
      </c>
      <c r="P2935">
        <f>IF(OR(M2935="",N2935=""),"",SUMIFS('Barang Keluar'!$E:$E,'Barang Keluar'!$A:$A,M2935,'Barang Keluar'!$C:$C,N2935))</f>
        <v>0</v>
      </c>
    </row>
    <row r="2936" spans="13:16">
      <c r="M2936" s="49">
        <f>IF($A$4+29&gt;$B$4,"",$A$4+29)</f>
        <v>46052</v>
      </c>
      <c r="N2936" t="str">
        <f>IF(M2936="","",'Master Barang'!A30)</f>
        <v>PRL-029</v>
      </c>
      <c r="O2936" t="str">
        <f>IF(N2936="","",'Master Barang'!B30)</f>
        <v>ctik plastik 6x10 100 pcs</v>
      </c>
      <c r="P2936">
        <f>IF(OR(M2936="",N2936=""),"",SUMIFS('Barang Keluar'!$E:$E,'Barang Keluar'!$A:$A,M2936,'Barang Keluar'!$C:$C,N2936))</f>
        <v>0</v>
      </c>
    </row>
    <row r="2937" spans="13:16">
      <c r="M2937" s="49">
        <f>IF($A$4+29&gt;$B$4,"",$A$4+29)</f>
        <v>46052</v>
      </c>
      <c r="N2937" t="str">
        <f>IF(M2937="","",'Master Barang'!A31)</f>
        <v>PRL-030</v>
      </c>
      <c r="O2937" t="str">
        <f>IF(N2937="","",'Master Barang'!B31)</f>
        <v>klip plastik 25x16 100 pcs</v>
      </c>
      <c r="P2937">
        <f>IF(OR(M2937="",N2937=""),"",SUMIFS('Barang Keluar'!$E:$E,'Barang Keluar'!$A:$A,M2937,'Barang Keluar'!$C:$C,N2937))</f>
        <v>0</v>
      </c>
    </row>
    <row r="2938" spans="13:16">
      <c r="M2938" s="49">
        <f>IF($A$4+29&gt;$B$4,"",$A$4+29)</f>
        <v>46052</v>
      </c>
      <c r="N2938" t="str">
        <f>IF(M2938="","",'Master Barang'!A32)</f>
        <v>PRL-031</v>
      </c>
      <c r="O2938" t="str">
        <f>IF(N2938="","",'Master Barang'!B32)</f>
        <v>tempat saus 20 ml</v>
      </c>
      <c r="P2938">
        <f>IF(OR(M2938="",N2938=""),"",SUMIFS('Barang Keluar'!$E:$E,'Barang Keluar'!$A:$A,M2938,'Barang Keluar'!$C:$C,N2938))</f>
        <v>0</v>
      </c>
    </row>
    <row r="2939" spans="13:16">
      <c r="M2939" s="49">
        <f>IF($A$4+29&gt;$B$4,"",$A$4+29)</f>
        <v>46052</v>
      </c>
      <c r="N2939" t="str">
        <f>IF(M2939="","",'Master Barang'!A33)</f>
        <v>PRL-032</v>
      </c>
      <c r="O2939" t="str">
        <f>IF(N2939="","",'Master Barang'!B33)</f>
        <v>plastik packaging ag box uk sedang</v>
      </c>
      <c r="P2939">
        <f>IF(OR(M2939="",N2939=""),"",SUMIFS('Barang Keluar'!$E:$E,'Barang Keluar'!$A:$A,M2939,'Barang Keluar'!$C:$C,N2939))</f>
        <v>0</v>
      </c>
    </row>
    <row r="2940" spans="13:16">
      <c r="M2940" s="49">
        <f>IF($A$4+29&gt;$B$4,"",$A$4+29)</f>
        <v>46052</v>
      </c>
      <c r="N2940" t="str">
        <f>IF(M2940="","",'Master Barang'!A34)</f>
        <v>PRL-033</v>
      </c>
      <c r="O2940">
        <f>IF(N2940="","",'Master Barang'!B34)</f>
        <v>0</v>
      </c>
      <c r="P2940">
        <f>IF(OR(M2940="",N2940=""),"",SUMIFS('Barang Keluar'!$E:$E,'Barang Keluar'!$A:$A,M2940,'Barang Keluar'!$C:$C,N2940))</f>
        <v>0</v>
      </c>
    </row>
    <row r="2941" spans="13:16">
      <c r="M2941" s="49">
        <f>IF($A$4+29&gt;$B$4,"",$A$4+29)</f>
        <v>46052</v>
      </c>
      <c r="N2941">
        <f>IF(M2941="","",'Master Barang'!A35)</f>
        <v>0</v>
      </c>
      <c r="O2941">
        <f>IF(N2941="","",'Master Barang'!B35)</f>
        <v>0</v>
      </c>
      <c r="P2941">
        <f>IF(OR(M2941="",N2941=""),"",SUMIFS('Barang Keluar'!$E:$E,'Barang Keluar'!$A:$A,M2941,'Barang Keluar'!$C:$C,N2941))</f>
        <v>0</v>
      </c>
    </row>
    <row r="2942" spans="13:16">
      <c r="M2942" s="49">
        <f>IF($A$4+29&gt;$B$4,"",$A$4+29)</f>
        <v>46052</v>
      </c>
      <c r="N2942">
        <f>IF(M2942="","",'Master Barang'!A36)</f>
        <v>0</v>
      </c>
      <c r="O2942">
        <f>IF(N2942="","",'Master Barang'!B36)</f>
        <v>0</v>
      </c>
      <c r="P2942">
        <f>IF(OR(M2942="",N2942=""),"",SUMIFS('Barang Keluar'!$E:$E,'Barang Keluar'!$A:$A,M2942,'Barang Keluar'!$C:$C,N2942))</f>
        <v>0</v>
      </c>
    </row>
    <row r="2943" spans="13:16">
      <c r="M2943" s="49">
        <f>IF($A$4+29&gt;$B$4,"",$A$4+29)</f>
        <v>46052</v>
      </c>
      <c r="N2943">
        <f>IF(M2943="","",'Master Barang'!A37)</f>
        <v>0</v>
      </c>
      <c r="O2943">
        <f>IF(N2943="","",'Master Barang'!B37)</f>
        <v>0</v>
      </c>
      <c r="P2943">
        <f>IF(OR(M2943="",N2943=""),"",SUMIFS('Barang Keluar'!$E:$E,'Barang Keluar'!$A:$A,M2943,'Barang Keluar'!$C:$C,N2943))</f>
        <v>0</v>
      </c>
    </row>
    <row r="2944" spans="13:16">
      <c r="M2944" s="49">
        <f>IF($A$4+29&gt;$B$4,"",$A$4+29)</f>
        <v>46052</v>
      </c>
      <c r="N2944">
        <f>IF(M2944="","",'Master Barang'!A38)</f>
        <v>0</v>
      </c>
      <c r="O2944">
        <f>IF(N2944="","",'Master Barang'!B38)</f>
        <v>0</v>
      </c>
      <c r="P2944">
        <f>IF(OR(M2944="",N2944=""),"",SUMIFS('Barang Keluar'!$E:$E,'Barang Keluar'!$A:$A,M2944,'Barang Keluar'!$C:$C,N2944))</f>
        <v>0</v>
      </c>
    </row>
    <row r="2945" spans="13:16">
      <c r="M2945" s="49">
        <f>IF($A$4+29&gt;$B$4,"",$A$4+29)</f>
        <v>46052</v>
      </c>
      <c r="N2945">
        <f>IF(M2945="","",'Master Barang'!A39)</f>
        <v>0</v>
      </c>
      <c r="O2945">
        <f>IF(N2945="","",'Master Barang'!B39)</f>
        <v>0</v>
      </c>
      <c r="P2945">
        <f>IF(OR(M2945="",N2945=""),"",SUMIFS('Barang Keluar'!$E:$E,'Barang Keluar'!$A:$A,M2945,'Barang Keluar'!$C:$C,N2945))</f>
        <v>0</v>
      </c>
    </row>
    <row r="2946" spans="13:16">
      <c r="M2946" s="49">
        <f>IF($A$4+29&gt;$B$4,"",$A$4+29)</f>
        <v>46052</v>
      </c>
      <c r="N2946">
        <f>IF(M2946="","",'Master Barang'!A40)</f>
        <v>0</v>
      </c>
      <c r="O2946">
        <f>IF(N2946="","",'Master Barang'!B40)</f>
        <v>0</v>
      </c>
      <c r="P2946">
        <f>IF(OR(M2946="",N2946=""),"",SUMIFS('Barang Keluar'!$E:$E,'Barang Keluar'!$A:$A,M2946,'Barang Keluar'!$C:$C,N2946))</f>
        <v>0</v>
      </c>
    </row>
    <row r="2947" spans="13:16">
      <c r="M2947" s="49">
        <f>IF($A$4+29&gt;$B$4,"",$A$4+29)</f>
        <v>46052</v>
      </c>
      <c r="N2947">
        <f>IF(M2947="","",'Master Barang'!A41)</f>
        <v>0</v>
      </c>
      <c r="O2947">
        <f>IF(N2947="","",'Master Barang'!B41)</f>
        <v>0</v>
      </c>
      <c r="P2947">
        <f>IF(OR(M2947="",N2947=""),"",SUMIFS('Barang Keluar'!$E:$E,'Barang Keluar'!$A:$A,M2947,'Barang Keluar'!$C:$C,N2947))</f>
        <v>0</v>
      </c>
    </row>
    <row r="2948" spans="13:16">
      <c r="M2948" s="49">
        <f>IF($A$4+29&gt;$B$4,"",$A$4+29)</f>
        <v>46052</v>
      </c>
      <c r="N2948">
        <f>IF(M2948="","",'Master Barang'!A42)</f>
        <v>0</v>
      </c>
      <c r="O2948">
        <f>IF(N2948="","",'Master Barang'!B42)</f>
        <v>0</v>
      </c>
      <c r="P2948">
        <f>IF(OR(M2948="",N2948=""),"",SUMIFS('Barang Keluar'!$E:$E,'Barang Keluar'!$A:$A,M2948,'Barang Keluar'!$C:$C,N2948))</f>
        <v>0</v>
      </c>
    </row>
    <row r="2949" spans="13:16">
      <c r="M2949" s="49">
        <f>IF($A$4+29&gt;$B$4,"",$A$4+29)</f>
        <v>46052</v>
      </c>
      <c r="N2949">
        <f>IF(M2949="","",'Master Barang'!A43)</f>
        <v>0</v>
      </c>
      <c r="O2949">
        <f>IF(N2949="","",'Master Barang'!B43)</f>
        <v>0</v>
      </c>
      <c r="P2949">
        <f>IF(OR(M2949="",N2949=""),"",SUMIFS('Barang Keluar'!$E:$E,'Barang Keluar'!$A:$A,M2949,'Barang Keluar'!$C:$C,N2949))</f>
        <v>0</v>
      </c>
    </row>
    <row r="2950" spans="13:16">
      <c r="M2950" s="49">
        <f>IF($A$4+29&gt;$B$4,"",$A$4+29)</f>
        <v>46052</v>
      </c>
      <c r="N2950">
        <f>IF(M2950="","",'Master Barang'!A44)</f>
        <v>0</v>
      </c>
      <c r="O2950">
        <f>IF(N2950="","",'Master Barang'!B44)</f>
        <v>0</v>
      </c>
      <c r="P2950">
        <f>IF(OR(M2950="",N2950=""),"",SUMIFS('Barang Keluar'!$E:$E,'Barang Keluar'!$A:$A,M2950,'Barang Keluar'!$C:$C,N2950))</f>
        <v>0</v>
      </c>
    </row>
    <row r="2951" spans="13:16">
      <c r="M2951" s="49">
        <f>IF($A$4+29&gt;$B$4,"",$A$4+29)</f>
        <v>46052</v>
      </c>
      <c r="N2951">
        <f>IF(M2951="","",'Master Barang'!A45)</f>
        <v>0</v>
      </c>
      <c r="O2951">
        <f>IF(N2951="","",'Master Barang'!B45)</f>
        <v>0</v>
      </c>
      <c r="P2951">
        <f>IF(OR(M2951="",N2951=""),"",SUMIFS('Barang Keluar'!$E:$E,'Barang Keluar'!$A:$A,M2951,'Barang Keluar'!$C:$C,N2951))</f>
        <v>0</v>
      </c>
    </row>
    <row r="2952" spans="13:16">
      <c r="M2952" s="49">
        <f>IF($A$4+29&gt;$B$4,"",$A$4+29)</f>
        <v>46052</v>
      </c>
      <c r="N2952">
        <f>IF(M2952="","",'Master Barang'!A46)</f>
        <v>0</v>
      </c>
      <c r="O2952">
        <f>IF(N2952="","",'Master Barang'!B46)</f>
        <v>0</v>
      </c>
      <c r="P2952">
        <f>IF(OR(M2952="",N2952=""),"",SUMIFS('Barang Keluar'!$E:$E,'Barang Keluar'!$A:$A,M2952,'Barang Keluar'!$C:$C,N2952))</f>
        <v>0</v>
      </c>
    </row>
    <row r="2953" spans="13:16">
      <c r="M2953" s="49">
        <f>IF($A$4+29&gt;$B$4,"",$A$4+29)</f>
        <v>46052</v>
      </c>
      <c r="N2953">
        <f>IF(M2953="","",'Master Barang'!A47)</f>
        <v>0</v>
      </c>
      <c r="O2953">
        <f>IF(N2953="","",'Master Barang'!B47)</f>
        <v>0</v>
      </c>
      <c r="P2953">
        <f>IF(OR(M2953="",N2953=""),"",SUMIFS('Barang Keluar'!$E:$E,'Barang Keluar'!$A:$A,M2953,'Barang Keluar'!$C:$C,N2953))</f>
        <v>0</v>
      </c>
    </row>
    <row r="2954" spans="13:16">
      <c r="M2954" s="49">
        <f>IF($A$4+29&gt;$B$4,"",$A$4+29)</f>
        <v>46052</v>
      </c>
      <c r="N2954">
        <f>IF(M2954="","",'Master Barang'!A48)</f>
        <v>0</v>
      </c>
      <c r="O2954">
        <f>IF(N2954="","",'Master Barang'!B48)</f>
        <v>0</v>
      </c>
      <c r="P2954">
        <f>IF(OR(M2954="",N2954=""),"",SUMIFS('Barang Keluar'!$E:$E,'Barang Keluar'!$A:$A,M2954,'Barang Keluar'!$C:$C,N2954))</f>
        <v>0</v>
      </c>
    </row>
    <row r="2955" spans="13:16">
      <c r="M2955" s="49">
        <f>IF($A$4+29&gt;$B$4,"",$A$4+29)</f>
        <v>46052</v>
      </c>
      <c r="N2955">
        <f>IF(M2955="","",'Master Barang'!A49)</f>
        <v>0</v>
      </c>
      <c r="O2955">
        <f>IF(N2955="","",'Master Barang'!B49)</f>
        <v>0</v>
      </c>
      <c r="P2955">
        <f>IF(OR(M2955="",N2955=""),"",SUMIFS('Barang Keluar'!$E:$E,'Barang Keluar'!$A:$A,M2955,'Barang Keluar'!$C:$C,N2955))</f>
        <v>0</v>
      </c>
    </row>
    <row r="2956" spans="13:16">
      <c r="M2956" s="49">
        <f>IF($A$4+29&gt;$B$4,"",$A$4+29)</f>
        <v>46052</v>
      </c>
      <c r="N2956">
        <f>IF(M2956="","",'Master Barang'!A50)</f>
        <v>0</v>
      </c>
      <c r="O2956">
        <f>IF(N2956="","",'Master Barang'!B50)</f>
        <v>0</v>
      </c>
      <c r="P2956">
        <f>IF(OR(M2956="",N2956=""),"",SUMIFS('Barang Keluar'!$E:$E,'Barang Keluar'!$A:$A,M2956,'Barang Keluar'!$C:$C,N2956))</f>
        <v>0</v>
      </c>
    </row>
    <row r="2957" spans="13:16">
      <c r="M2957" s="49">
        <f>IF($A$4+29&gt;$B$4,"",$A$4+29)</f>
        <v>46052</v>
      </c>
      <c r="N2957">
        <f>IF(M2957="","",'Master Barang'!A51)</f>
        <v>0</v>
      </c>
      <c r="O2957">
        <f>IF(N2957="","",'Master Barang'!B51)</f>
        <v>0</v>
      </c>
      <c r="P2957">
        <f>IF(OR(M2957="",N2957=""),"",SUMIFS('Barang Keluar'!$E:$E,'Barang Keluar'!$A:$A,M2957,'Barang Keluar'!$C:$C,N2957))</f>
        <v>0</v>
      </c>
    </row>
    <row r="2958" spans="13:16">
      <c r="M2958" s="49">
        <f>IF($A$4+29&gt;$B$4,"",$A$4+29)</f>
        <v>46052</v>
      </c>
      <c r="N2958">
        <f>IF(M2958="","",'Master Barang'!A52)</f>
        <v>0</v>
      </c>
      <c r="O2958">
        <f>IF(N2958="","",'Master Barang'!B52)</f>
        <v>0</v>
      </c>
      <c r="P2958">
        <f>IF(OR(M2958="",N2958=""),"",SUMIFS('Barang Keluar'!$E:$E,'Barang Keluar'!$A:$A,M2958,'Barang Keluar'!$C:$C,N2958))</f>
        <v>0</v>
      </c>
    </row>
    <row r="2959" spans="13:16">
      <c r="M2959" s="49">
        <f>IF($A$4+29&gt;$B$4,"",$A$4+29)</f>
        <v>46052</v>
      </c>
      <c r="N2959">
        <f>IF(M2959="","",'Master Barang'!A53)</f>
        <v>0</v>
      </c>
      <c r="O2959">
        <f>IF(N2959="","",'Master Barang'!B53)</f>
        <v>0</v>
      </c>
      <c r="P2959">
        <f>IF(OR(M2959="",N2959=""),"",SUMIFS('Barang Keluar'!$E:$E,'Barang Keluar'!$A:$A,M2959,'Barang Keluar'!$C:$C,N2959))</f>
        <v>0</v>
      </c>
    </row>
    <row r="2960" spans="13:16">
      <c r="M2960" s="49">
        <f>IF($A$4+29&gt;$B$4,"",$A$4+29)</f>
        <v>46052</v>
      </c>
      <c r="N2960">
        <f>IF(M2960="","",'Master Barang'!A54)</f>
        <v>0</v>
      </c>
      <c r="O2960">
        <f>IF(N2960="","",'Master Barang'!B54)</f>
        <v>0</v>
      </c>
      <c r="P2960">
        <f>IF(OR(M2960="",N2960=""),"",SUMIFS('Barang Keluar'!$E:$E,'Barang Keluar'!$A:$A,M2960,'Barang Keluar'!$C:$C,N2960))</f>
        <v>0</v>
      </c>
    </row>
    <row r="2961" spans="13:16">
      <c r="M2961" s="49">
        <f>IF($A$4+29&gt;$B$4,"",$A$4+29)</f>
        <v>46052</v>
      </c>
      <c r="N2961">
        <f>IF(M2961="","",'Master Barang'!A55)</f>
        <v>0</v>
      </c>
      <c r="O2961">
        <f>IF(N2961="","",'Master Barang'!B55)</f>
        <v>0</v>
      </c>
      <c r="P2961">
        <f>IF(OR(M2961="",N2961=""),"",SUMIFS('Barang Keluar'!$E:$E,'Barang Keluar'!$A:$A,M2961,'Barang Keluar'!$C:$C,N2961))</f>
        <v>0</v>
      </c>
    </row>
    <row r="2962" spans="13:16">
      <c r="M2962" s="49">
        <f>IF($A$4+29&gt;$B$4,"",$A$4+29)</f>
        <v>46052</v>
      </c>
      <c r="N2962">
        <f>IF(M2962="","",'Master Barang'!A56)</f>
        <v>0</v>
      </c>
      <c r="O2962">
        <f>IF(N2962="","",'Master Barang'!B56)</f>
        <v>0</v>
      </c>
      <c r="P2962">
        <f>IF(OR(M2962="",N2962=""),"",SUMIFS('Barang Keluar'!$E:$E,'Barang Keluar'!$A:$A,M2962,'Barang Keluar'!$C:$C,N2962))</f>
        <v>0</v>
      </c>
    </row>
    <row r="2963" spans="13:16">
      <c r="M2963" s="49">
        <f>IF($A$4+29&gt;$B$4,"",$A$4+29)</f>
        <v>46052</v>
      </c>
      <c r="N2963">
        <f>IF(M2963="","",'Master Barang'!A57)</f>
        <v>0</v>
      </c>
      <c r="O2963">
        <f>IF(N2963="","",'Master Barang'!B57)</f>
        <v>0</v>
      </c>
      <c r="P2963">
        <f>IF(OR(M2963="",N2963=""),"",SUMIFS('Barang Keluar'!$E:$E,'Barang Keluar'!$A:$A,M2963,'Barang Keluar'!$C:$C,N2963))</f>
        <v>0</v>
      </c>
    </row>
    <row r="2964" spans="13:16">
      <c r="M2964" s="49">
        <f>IF($A$4+29&gt;$B$4,"",$A$4+29)</f>
        <v>46052</v>
      </c>
      <c r="N2964">
        <f>IF(M2964="","",'Master Barang'!A58)</f>
        <v>0</v>
      </c>
      <c r="O2964">
        <f>IF(N2964="","",'Master Barang'!B58)</f>
        <v>0</v>
      </c>
      <c r="P2964">
        <f>IF(OR(M2964="",N2964=""),"",SUMIFS('Barang Keluar'!$E:$E,'Barang Keluar'!$A:$A,M2964,'Barang Keluar'!$C:$C,N2964))</f>
        <v>0</v>
      </c>
    </row>
    <row r="2965" spans="13:16">
      <c r="M2965" s="49">
        <f>IF($A$4+29&gt;$B$4,"",$A$4+29)</f>
        <v>46052</v>
      </c>
      <c r="N2965">
        <f>IF(M2965="","",'Master Barang'!A59)</f>
        <v>0</v>
      </c>
      <c r="O2965">
        <f>IF(N2965="","",'Master Barang'!B59)</f>
        <v>0</v>
      </c>
      <c r="P2965">
        <f>IF(OR(M2965="",N2965=""),"",SUMIFS('Barang Keluar'!$E:$E,'Barang Keluar'!$A:$A,M2965,'Barang Keluar'!$C:$C,N2965))</f>
        <v>0</v>
      </c>
    </row>
    <row r="2966" spans="13:16">
      <c r="M2966" s="49">
        <f>IF($A$4+29&gt;$B$4,"",$A$4+29)</f>
        <v>46052</v>
      </c>
      <c r="N2966">
        <f>IF(M2966="","",'Master Barang'!A60)</f>
        <v>0</v>
      </c>
      <c r="O2966">
        <f>IF(N2966="","",'Master Barang'!B60)</f>
        <v>0</v>
      </c>
      <c r="P2966">
        <f>IF(OR(M2966="",N2966=""),"",SUMIFS('Barang Keluar'!$E:$E,'Barang Keluar'!$A:$A,M2966,'Barang Keluar'!$C:$C,N2966))</f>
        <v>0</v>
      </c>
    </row>
    <row r="2967" spans="13:16">
      <c r="M2967" s="49">
        <f>IF($A$4+29&gt;$B$4,"",$A$4+29)</f>
        <v>46052</v>
      </c>
      <c r="N2967">
        <f>IF(M2967="","",'Master Barang'!A61)</f>
        <v>0</v>
      </c>
      <c r="O2967">
        <f>IF(N2967="","",'Master Barang'!B61)</f>
        <v>0</v>
      </c>
      <c r="P2967">
        <f>IF(OR(M2967="",N2967=""),"",SUMIFS('Barang Keluar'!$E:$E,'Barang Keluar'!$A:$A,M2967,'Barang Keluar'!$C:$C,N2967))</f>
        <v>0</v>
      </c>
    </row>
    <row r="2968" spans="13:16">
      <c r="M2968" s="49">
        <f>IF($A$4+29&gt;$B$4,"",$A$4+29)</f>
        <v>46052</v>
      </c>
      <c r="N2968">
        <f>IF(M2968="","",'Master Barang'!A62)</f>
        <v>0</v>
      </c>
      <c r="O2968">
        <f>IF(N2968="","",'Master Barang'!B62)</f>
        <v>0</v>
      </c>
      <c r="P2968">
        <f>IF(OR(M2968="",N2968=""),"",SUMIFS('Barang Keluar'!$E:$E,'Barang Keluar'!$A:$A,M2968,'Barang Keluar'!$C:$C,N2968))</f>
        <v>0</v>
      </c>
    </row>
    <row r="2969" spans="13:16">
      <c r="M2969" s="49">
        <f>IF($A$4+29&gt;$B$4,"",$A$4+29)</f>
        <v>46052</v>
      </c>
      <c r="N2969">
        <f>IF(M2969="","",'Master Barang'!A63)</f>
        <v>0</v>
      </c>
      <c r="O2969">
        <f>IF(N2969="","",'Master Barang'!B63)</f>
        <v>0</v>
      </c>
      <c r="P2969">
        <f>IF(OR(M2969="",N2969=""),"",SUMIFS('Barang Keluar'!$E:$E,'Barang Keluar'!$A:$A,M2969,'Barang Keluar'!$C:$C,N2969))</f>
        <v>0</v>
      </c>
    </row>
    <row r="2970" spans="13:16">
      <c r="M2970" s="49">
        <f>IF($A$4+29&gt;$B$4,"",$A$4+29)</f>
        <v>46052</v>
      </c>
      <c r="N2970">
        <f>IF(M2970="","",'Master Barang'!A64)</f>
        <v>0</v>
      </c>
      <c r="O2970">
        <f>IF(N2970="","",'Master Barang'!B64)</f>
        <v>0</v>
      </c>
      <c r="P2970">
        <f>IF(OR(M2970="",N2970=""),"",SUMIFS('Barang Keluar'!$E:$E,'Barang Keluar'!$A:$A,M2970,'Barang Keluar'!$C:$C,N2970))</f>
        <v>0</v>
      </c>
    </row>
    <row r="2971" spans="13:16">
      <c r="M2971" s="49">
        <f>IF($A$4+29&gt;$B$4,"",$A$4+29)</f>
        <v>46052</v>
      </c>
      <c r="N2971">
        <f>IF(M2971="","",'Master Barang'!A65)</f>
        <v>0</v>
      </c>
      <c r="O2971">
        <f>IF(N2971="","",'Master Barang'!B65)</f>
        <v>0</v>
      </c>
      <c r="P2971">
        <f>IF(OR(M2971="",N2971=""),"",SUMIFS('Barang Keluar'!$E:$E,'Barang Keluar'!$A:$A,M2971,'Barang Keluar'!$C:$C,N2971))</f>
        <v>0</v>
      </c>
    </row>
    <row r="2972" spans="13:16">
      <c r="M2972" s="49">
        <f>IF($A$4+29&gt;$B$4,"",$A$4+29)</f>
        <v>46052</v>
      </c>
      <c r="N2972">
        <f>IF(M2972="","",'Master Barang'!A66)</f>
        <v>0</v>
      </c>
      <c r="O2972">
        <f>IF(N2972="","",'Master Barang'!B66)</f>
        <v>0</v>
      </c>
      <c r="P2972">
        <f>IF(OR(M2972="",N2972=""),"",SUMIFS('Barang Keluar'!$E:$E,'Barang Keluar'!$A:$A,M2972,'Barang Keluar'!$C:$C,N2972))</f>
        <v>0</v>
      </c>
    </row>
    <row r="2973" spans="13:16">
      <c r="M2973" s="49">
        <f>IF($A$4+29&gt;$B$4,"",$A$4+29)</f>
        <v>46052</v>
      </c>
      <c r="N2973">
        <f>IF(M2973="","",'Master Barang'!A67)</f>
        <v>0</v>
      </c>
      <c r="O2973">
        <f>IF(N2973="","",'Master Barang'!B67)</f>
        <v>0</v>
      </c>
      <c r="P2973">
        <f>IF(OR(M2973="",N2973=""),"",SUMIFS('Barang Keluar'!$E:$E,'Barang Keluar'!$A:$A,M2973,'Barang Keluar'!$C:$C,N2973))</f>
        <v>0</v>
      </c>
    </row>
    <row r="2974" spans="13:16">
      <c r="M2974" s="49">
        <f>IF($A$4+29&gt;$B$4,"",$A$4+29)</f>
        <v>46052</v>
      </c>
      <c r="N2974">
        <f>IF(M2974="","",'Master Barang'!A68)</f>
        <v>0</v>
      </c>
      <c r="O2974">
        <f>IF(N2974="","",'Master Barang'!B68)</f>
        <v>0</v>
      </c>
      <c r="P2974">
        <f>IF(OR(M2974="",N2974=""),"",SUMIFS('Barang Keluar'!$E:$E,'Barang Keluar'!$A:$A,M2974,'Barang Keluar'!$C:$C,N2974))</f>
        <v>0</v>
      </c>
    </row>
    <row r="2975" spans="13:16">
      <c r="M2975" s="49">
        <f>IF($A$4+29&gt;$B$4,"",$A$4+29)</f>
        <v>46052</v>
      </c>
      <c r="N2975">
        <f>IF(M2975="","",'Master Barang'!A69)</f>
        <v>0</v>
      </c>
      <c r="O2975">
        <f>IF(N2975="","",'Master Barang'!B69)</f>
        <v>0</v>
      </c>
      <c r="P2975">
        <f>IF(OR(M2975="",N2975=""),"",SUMIFS('Barang Keluar'!$E:$E,'Barang Keluar'!$A:$A,M2975,'Barang Keluar'!$C:$C,N2975))</f>
        <v>0</v>
      </c>
    </row>
    <row r="2976" spans="13:16">
      <c r="M2976" s="49">
        <f>IF($A$4+29&gt;$B$4,"",$A$4+29)</f>
        <v>46052</v>
      </c>
      <c r="N2976">
        <f>IF(M2976="","",'Master Barang'!A70)</f>
        <v>0</v>
      </c>
      <c r="O2976">
        <f>IF(N2976="","",'Master Barang'!B70)</f>
        <v>0</v>
      </c>
      <c r="P2976">
        <f>IF(OR(M2976="",N2976=""),"",SUMIFS('Barang Keluar'!$E:$E,'Barang Keluar'!$A:$A,M2976,'Barang Keluar'!$C:$C,N2976))</f>
        <v>0</v>
      </c>
    </row>
    <row r="2977" spans="13:16">
      <c r="M2977" s="49">
        <f>IF($A$4+29&gt;$B$4,"",$A$4+29)</f>
        <v>46052</v>
      </c>
      <c r="N2977">
        <f>IF(M2977="","",'Master Barang'!A71)</f>
        <v>0</v>
      </c>
      <c r="O2977">
        <f>IF(N2977="","",'Master Barang'!B71)</f>
        <v>0</v>
      </c>
      <c r="P2977">
        <f>IF(OR(M2977="",N2977=""),"",SUMIFS('Barang Keluar'!$E:$E,'Barang Keluar'!$A:$A,M2977,'Barang Keluar'!$C:$C,N2977))</f>
        <v>0</v>
      </c>
    </row>
    <row r="2978" spans="13:16">
      <c r="M2978" s="49">
        <f>IF($A$4+29&gt;$B$4,"",$A$4+29)</f>
        <v>46052</v>
      </c>
      <c r="N2978">
        <f>IF(M2978="","",'Master Barang'!A72)</f>
        <v>0</v>
      </c>
      <c r="O2978">
        <f>IF(N2978="","",'Master Barang'!B72)</f>
        <v>0</v>
      </c>
      <c r="P2978">
        <f>IF(OR(M2978="",N2978=""),"",SUMIFS('Barang Keluar'!$E:$E,'Barang Keluar'!$A:$A,M2978,'Barang Keluar'!$C:$C,N2978))</f>
        <v>0</v>
      </c>
    </row>
    <row r="2979" spans="13:16">
      <c r="M2979" s="49">
        <f>IF($A$4+29&gt;$B$4,"",$A$4+29)</f>
        <v>46052</v>
      </c>
      <c r="N2979">
        <f>IF(M2979="","",'Master Barang'!A73)</f>
        <v>0</v>
      </c>
      <c r="O2979">
        <f>IF(N2979="","",'Master Barang'!B73)</f>
        <v>0</v>
      </c>
      <c r="P2979">
        <f>IF(OR(M2979="",N2979=""),"",SUMIFS('Barang Keluar'!$E:$E,'Barang Keluar'!$A:$A,M2979,'Barang Keluar'!$C:$C,N2979))</f>
        <v>0</v>
      </c>
    </row>
    <row r="2980" spans="13:16">
      <c r="M2980" s="49">
        <f>IF($A$4+29&gt;$B$4,"",$A$4+29)</f>
        <v>46052</v>
      </c>
      <c r="N2980">
        <f>IF(M2980="","",'Master Barang'!A74)</f>
        <v>0</v>
      </c>
      <c r="O2980">
        <f>IF(N2980="","",'Master Barang'!B74)</f>
        <v>0</v>
      </c>
      <c r="P2980">
        <f>IF(OR(M2980="",N2980=""),"",SUMIFS('Barang Keluar'!$E:$E,'Barang Keluar'!$A:$A,M2980,'Barang Keluar'!$C:$C,N2980))</f>
        <v>0</v>
      </c>
    </row>
    <row r="2981" spans="13:16">
      <c r="M2981" s="49">
        <f>IF($A$4+29&gt;$B$4,"",$A$4+29)</f>
        <v>46052</v>
      </c>
      <c r="N2981">
        <f>IF(M2981="","",'Master Barang'!A75)</f>
        <v>0</v>
      </c>
      <c r="O2981">
        <f>IF(N2981="","",'Master Barang'!B75)</f>
        <v>0</v>
      </c>
      <c r="P2981">
        <f>IF(OR(M2981="",N2981=""),"",SUMIFS('Barang Keluar'!$E:$E,'Barang Keluar'!$A:$A,M2981,'Barang Keluar'!$C:$C,N2981))</f>
        <v>0</v>
      </c>
    </row>
    <row r="2982" spans="13:16">
      <c r="M2982" s="49">
        <f>IF($A$4+29&gt;$B$4,"",$A$4+29)</f>
        <v>46052</v>
      </c>
      <c r="N2982">
        <f>IF(M2982="","",'Master Barang'!A76)</f>
        <v>0</v>
      </c>
      <c r="O2982">
        <f>IF(N2982="","",'Master Barang'!B76)</f>
        <v>0</v>
      </c>
      <c r="P2982">
        <f>IF(OR(M2982="",N2982=""),"",SUMIFS('Barang Keluar'!$E:$E,'Barang Keluar'!$A:$A,M2982,'Barang Keluar'!$C:$C,N2982))</f>
        <v>0</v>
      </c>
    </row>
    <row r="2983" spans="13:16">
      <c r="M2983" s="49">
        <f>IF($A$4+29&gt;$B$4,"",$A$4+29)</f>
        <v>46052</v>
      </c>
      <c r="N2983">
        <f>IF(M2983="","",'Master Barang'!A77)</f>
        <v>0</v>
      </c>
      <c r="O2983">
        <f>IF(N2983="","",'Master Barang'!B77)</f>
        <v>0</v>
      </c>
      <c r="P2983">
        <f>IF(OR(M2983="",N2983=""),"",SUMIFS('Barang Keluar'!$E:$E,'Barang Keluar'!$A:$A,M2983,'Barang Keluar'!$C:$C,N2983))</f>
        <v>0</v>
      </c>
    </row>
    <row r="2984" spans="13:16">
      <c r="M2984" s="49">
        <f>IF($A$4+29&gt;$B$4,"",$A$4+29)</f>
        <v>46052</v>
      </c>
      <c r="N2984">
        <f>IF(M2984="","",'Master Barang'!A78)</f>
        <v>0</v>
      </c>
      <c r="O2984">
        <f>IF(N2984="","",'Master Barang'!B78)</f>
        <v>0</v>
      </c>
      <c r="P2984">
        <f>IF(OR(M2984="",N2984=""),"",SUMIFS('Barang Keluar'!$E:$E,'Barang Keluar'!$A:$A,M2984,'Barang Keluar'!$C:$C,N2984))</f>
        <v>0</v>
      </c>
    </row>
    <row r="2985" spans="13:16">
      <c r="M2985" s="49">
        <f>IF($A$4+29&gt;$B$4,"",$A$4+29)</f>
        <v>46052</v>
      </c>
      <c r="N2985">
        <f>IF(M2985="","",'Master Barang'!A79)</f>
        <v>0</v>
      </c>
      <c r="O2985">
        <f>IF(N2985="","",'Master Barang'!B79)</f>
        <v>0</v>
      </c>
      <c r="P2985">
        <f>IF(OR(M2985="",N2985=""),"",SUMIFS('Barang Keluar'!$E:$E,'Barang Keluar'!$A:$A,M2985,'Barang Keluar'!$C:$C,N2985))</f>
        <v>0</v>
      </c>
    </row>
    <row r="2986" spans="13:16">
      <c r="M2986" s="49">
        <f>IF($A$4+29&gt;$B$4,"",$A$4+29)</f>
        <v>46052</v>
      </c>
      <c r="N2986">
        <f>IF(M2986="","",'Master Barang'!A80)</f>
        <v>0</v>
      </c>
      <c r="O2986">
        <f>IF(N2986="","",'Master Barang'!B80)</f>
        <v>0</v>
      </c>
      <c r="P2986">
        <f>IF(OR(M2986="",N2986=""),"",SUMIFS('Barang Keluar'!$E:$E,'Barang Keluar'!$A:$A,M2986,'Barang Keluar'!$C:$C,N2986))</f>
        <v>0</v>
      </c>
    </row>
    <row r="2987" spans="13:16">
      <c r="M2987" s="49">
        <f>IF($A$4+29&gt;$B$4,"",$A$4+29)</f>
        <v>46052</v>
      </c>
      <c r="N2987">
        <f>IF(M2987="","",'Master Barang'!A81)</f>
        <v>0</v>
      </c>
      <c r="O2987">
        <f>IF(N2987="","",'Master Barang'!B81)</f>
        <v>0</v>
      </c>
      <c r="P2987">
        <f>IF(OR(M2987="",N2987=""),"",SUMIFS('Barang Keluar'!$E:$E,'Barang Keluar'!$A:$A,M2987,'Barang Keluar'!$C:$C,N2987))</f>
        <v>0</v>
      </c>
    </row>
    <row r="2988" spans="13:16">
      <c r="M2988" s="49">
        <f>IF($A$4+29&gt;$B$4,"",$A$4+29)</f>
        <v>46052</v>
      </c>
      <c r="N2988">
        <f>IF(M2988="","",'Master Barang'!A82)</f>
        <v>0</v>
      </c>
      <c r="O2988">
        <f>IF(N2988="","",'Master Barang'!B82)</f>
        <v>0</v>
      </c>
      <c r="P2988">
        <f>IF(OR(M2988="",N2988=""),"",SUMIFS('Barang Keluar'!$E:$E,'Barang Keluar'!$A:$A,M2988,'Barang Keluar'!$C:$C,N2988))</f>
        <v>0</v>
      </c>
    </row>
    <row r="2989" spans="13:16">
      <c r="M2989" s="49">
        <f>IF($A$4+29&gt;$B$4,"",$A$4+29)</f>
        <v>46052</v>
      </c>
      <c r="N2989">
        <f>IF(M2989="","",'Master Barang'!A83)</f>
        <v>0</v>
      </c>
      <c r="O2989">
        <f>IF(N2989="","",'Master Barang'!B83)</f>
        <v>0</v>
      </c>
      <c r="P2989">
        <f>IF(OR(M2989="",N2989=""),"",SUMIFS('Barang Keluar'!$E:$E,'Barang Keluar'!$A:$A,M2989,'Barang Keluar'!$C:$C,N2989))</f>
        <v>0</v>
      </c>
    </row>
    <row r="2990" spans="13:16">
      <c r="M2990" s="49">
        <f>IF($A$4+29&gt;$B$4,"",$A$4+29)</f>
        <v>46052</v>
      </c>
      <c r="N2990">
        <f>IF(M2990="","",'Master Barang'!A84)</f>
        <v>0</v>
      </c>
      <c r="O2990">
        <f>IF(N2990="","",'Master Barang'!B84)</f>
        <v>0</v>
      </c>
      <c r="P2990">
        <f>IF(OR(M2990="",N2990=""),"",SUMIFS('Barang Keluar'!$E:$E,'Barang Keluar'!$A:$A,M2990,'Barang Keluar'!$C:$C,N2990))</f>
        <v>0</v>
      </c>
    </row>
    <row r="2991" spans="13:16">
      <c r="M2991" s="49">
        <f>IF($A$4+29&gt;$B$4,"",$A$4+29)</f>
        <v>46052</v>
      </c>
      <c r="N2991">
        <f>IF(M2991="","",'Master Barang'!A85)</f>
        <v>0</v>
      </c>
      <c r="O2991">
        <f>IF(N2991="","",'Master Barang'!B85)</f>
        <v>0</v>
      </c>
      <c r="P2991">
        <f>IF(OR(M2991="",N2991=""),"",SUMIFS('Barang Keluar'!$E:$E,'Barang Keluar'!$A:$A,M2991,'Barang Keluar'!$C:$C,N2991))</f>
        <v>0</v>
      </c>
    </row>
    <row r="2992" spans="13:16">
      <c r="M2992" s="49">
        <f>IF($A$4+29&gt;$B$4,"",$A$4+29)</f>
        <v>46052</v>
      </c>
      <c r="N2992">
        <f>IF(M2992="","",'Master Barang'!A86)</f>
        <v>0</v>
      </c>
      <c r="O2992">
        <f>IF(N2992="","",'Master Barang'!B86)</f>
        <v>0</v>
      </c>
      <c r="P2992">
        <f>IF(OR(M2992="",N2992=""),"",SUMIFS('Barang Keluar'!$E:$E,'Barang Keluar'!$A:$A,M2992,'Barang Keluar'!$C:$C,N2992))</f>
        <v>0</v>
      </c>
    </row>
    <row r="2993" spans="13:16">
      <c r="M2993" s="49">
        <f>IF($A$4+29&gt;$B$4,"",$A$4+29)</f>
        <v>46052</v>
      </c>
      <c r="N2993">
        <f>IF(M2993="","",'Master Barang'!A87)</f>
        <v>0</v>
      </c>
      <c r="O2993">
        <f>IF(N2993="","",'Master Barang'!B87)</f>
        <v>0</v>
      </c>
      <c r="P2993">
        <f>IF(OR(M2993="",N2993=""),"",SUMIFS('Barang Keluar'!$E:$E,'Barang Keluar'!$A:$A,M2993,'Barang Keluar'!$C:$C,N2993))</f>
        <v>0</v>
      </c>
    </row>
    <row r="2994" spans="13:16">
      <c r="M2994" s="49">
        <f>IF($A$4+29&gt;$B$4,"",$A$4+29)</f>
        <v>46052</v>
      </c>
      <c r="N2994">
        <f>IF(M2994="","",'Master Barang'!A88)</f>
        <v>0</v>
      </c>
      <c r="O2994">
        <f>IF(N2994="","",'Master Barang'!B88)</f>
        <v>0</v>
      </c>
      <c r="P2994">
        <f>IF(OR(M2994="",N2994=""),"",SUMIFS('Barang Keluar'!$E:$E,'Barang Keluar'!$A:$A,M2994,'Barang Keluar'!$C:$C,N2994))</f>
        <v>0</v>
      </c>
    </row>
    <row r="2995" spans="13:16">
      <c r="M2995" s="49">
        <f>IF($A$4+29&gt;$B$4,"",$A$4+29)</f>
        <v>46052</v>
      </c>
      <c r="N2995">
        <f>IF(M2995="","",'Master Barang'!A89)</f>
        <v>0</v>
      </c>
      <c r="O2995">
        <f>IF(N2995="","",'Master Barang'!B89)</f>
        <v>0</v>
      </c>
      <c r="P2995">
        <f>IF(OR(M2995="",N2995=""),"",SUMIFS('Barang Keluar'!$E:$E,'Barang Keluar'!$A:$A,M2995,'Barang Keluar'!$C:$C,N2995))</f>
        <v>0</v>
      </c>
    </row>
    <row r="2996" spans="13:16">
      <c r="M2996" s="49">
        <f>IF($A$4+29&gt;$B$4,"",$A$4+29)</f>
        <v>46052</v>
      </c>
      <c r="N2996">
        <f>IF(M2996="","",'Master Barang'!A90)</f>
        <v>0</v>
      </c>
      <c r="O2996">
        <f>IF(N2996="","",'Master Barang'!B90)</f>
        <v>0</v>
      </c>
      <c r="P2996">
        <f>IF(OR(M2996="",N2996=""),"",SUMIFS('Barang Keluar'!$E:$E,'Barang Keluar'!$A:$A,M2996,'Barang Keluar'!$C:$C,N2996))</f>
        <v>0</v>
      </c>
    </row>
    <row r="2997" spans="13:16">
      <c r="M2997" s="49">
        <f>IF($A$4+29&gt;$B$4,"",$A$4+29)</f>
        <v>46052</v>
      </c>
      <c r="N2997">
        <f>IF(M2997="","",'Master Barang'!A91)</f>
        <v>0</v>
      </c>
      <c r="O2997">
        <f>IF(N2997="","",'Master Barang'!B91)</f>
        <v>0</v>
      </c>
      <c r="P2997">
        <f>IF(OR(M2997="",N2997=""),"",SUMIFS('Barang Keluar'!$E:$E,'Barang Keluar'!$A:$A,M2997,'Barang Keluar'!$C:$C,N2997))</f>
        <v>0</v>
      </c>
    </row>
    <row r="2998" spans="13:16">
      <c r="M2998" s="49">
        <f>IF($A$4+29&gt;$B$4,"",$A$4+29)</f>
        <v>46052</v>
      </c>
      <c r="N2998">
        <f>IF(M2998="","",'Master Barang'!A92)</f>
        <v>0</v>
      </c>
      <c r="O2998">
        <f>IF(N2998="","",'Master Barang'!B92)</f>
        <v>0</v>
      </c>
      <c r="P2998">
        <f>IF(OR(M2998="",N2998=""),"",SUMIFS('Barang Keluar'!$E:$E,'Barang Keluar'!$A:$A,M2998,'Barang Keluar'!$C:$C,N2998))</f>
        <v>0</v>
      </c>
    </row>
    <row r="2999" spans="13:16">
      <c r="M2999" s="49">
        <f>IF($A$4+29&gt;$B$4,"",$A$4+29)</f>
        <v>46052</v>
      </c>
      <c r="N2999">
        <f>IF(M2999="","",'Master Barang'!A93)</f>
        <v>0</v>
      </c>
      <c r="O2999">
        <f>IF(N2999="","",'Master Barang'!B93)</f>
        <v>0</v>
      </c>
      <c r="P2999">
        <f>IF(OR(M2999="",N2999=""),"",SUMIFS('Barang Keluar'!$E:$E,'Barang Keluar'!$A:$A,M2999,'Barang Keluar'!$C:$C,N2999))</f>
        <v>0</v>
      </c>
    </row>
    <row r="3000" spans="13:16">
      <c r="M3000" s="49">
        <f>IF($A$4+29&gt;$B$4,"",$A$4+29)</f>
        <v>46052</v>
      </c>
      <c r="N3000">
        <f>IF(M3000="","",'Master Barang'!A94)</f>
        <v>0</v>
      </c>
      <c r="O3000">
        <f>IF(N3000="","",'Master Barang'!B94)</f>
        <v>0</v>
      </c>
      <c r="P3000">
        <f>IF(OR(M3000="",N3000=""),"",SUMIFS('Barang Keluar'!$E:$E,'Barang Keluar'!$A:$A,M3000,'Barang Keluar'!$C:$C,N3000))</f>
        <v>0</v>
      </c>
    </row>
    <row r="3001" spans="13:16">
      <c r="M3001" s="49">
        <f>IF($A$4+29&gt;$B$4,"",$A$4+29)</f>
        <v>46052</v>
      </c>
      <c r="N3001">
        <f>IF(M3001="","",'Master Barang'!A95)</f>
        <v>0</v>
      </c>
      <c r="O3001">
        <f>IF(N3001="","",'Master Barang'!B95)</f>
        <v>0</v>
      </c>
      <c r="P3001">
        <f>IF(OR(M3001="",N3001=""),"",SUMIFS('Barang Keluar'!$E:$E,'Barang Keluar'!$A:$A,M3001,'Barang Keluar'!$C:$C,N3001))</f>
        <v>0</v>
      </c>
    </row>
    <row r="3002" spans="13:16">
      <c r="M3002" s="49">
        <f>IF($A$4+29&gt;$B$4,"",$A$4+29)</f>
        <v>46052</v>
      </c>
      <c r="N3002">
        <f>IF(M3002="","",'Master Barang'!A96)</f>
        <v>0</v>
      </c>
      <c r="O3002">
        <f>IF(N3002="","",'Master Barang'!B96)</f>
        <v>0</v>
      </c>
      <c r="P3002">
        <f>IF(OR(M3002="",N3002=""),"",SUMIFS('Barang Keluar'!$E:$E,'Barang Keluar'!$A:$A,M3002,'Barang Keluar'!$C:$C,N3002))</f>
        <v>0</v>
      </c>
    </row>
    <row r="3003" spans="13:16">
      <c r="M3003" s="49">
        <f>IF($A$4+29&gt;$B$4,"",$A$4+29)</f>
        <v>46052</v>
      </c>
      <c r="N3003">
        <f>IF(M3003="","",'Master Barang'!A97)</f>
        <v>0</v>
      </c>
      <c r="O3003">
        <f>IF(N3003="","",'Master Barang'!B97)</f>
        <v>0</v>
      </c>
      <c r="P3003">
        <f>IF(OR(M3003="",N3003=""),"",SUMIFS('Barang Keluar'!$E:$E,'Barang Keluar'!$A:$A,M3003,'Barang Keluar'!$C:$C,N3003))</f>
        <v>0</v>
      </c>
    </row>
    <row r="3004" spans="13:16">
      <c r="M3004" s="49">
        <f>IF($A$4+29&gt;$B$4,"",$A$4+29)</f>
        <v>46052</v>
      </c>
      <c r="N3004">
        <f>IF(M3004="","",'Master Barang'!A98)</f>
        <v>0</v>
      </c>
      <c r="O3004">
        <f>IF(N3004="","",'Master Barang'!B98)</f>
        <v>0</v>
      </c>
      <c r="P3004">
        <f>IF(OR(M3004="",N3004=""),"",SUMIFS('Barang Keluar'!$E:$E,'Barang Keluar'!$A:$A,M3004,'Barang Keluar'!$C:$C,N3004))</f>
        <v>0</v>
      </c>
    </row>
    <row r="3005" spans="13:16">
      <c r="M3005" s="49">
        <f>IF($A$4+29&gt;$B$4,"",$A$4+29)</f>
        <v>46052</v>
      </c>
      <c r="N3005">
        <f>IF(M3005="","",'Master Barang'!A99)</f>
        <v>0</v>
      </c>
      <c r="O3005">
        <f>IF(N3005="","",'Master Barang'!B99)</f>
        <v>0</v>
      </c>
      <c r="P3005">
        <f>IF(OR(M3005="",N3005=""),"",SUMIFS('Barang Keluar'!$E:$E,'Barang Keluar'!$A:$A,M3005,'Barang Keluar'!$C:$C,N3005))</f>
        <v>0</v>
      </c>
    </row>
    <row r="3006" spans="13:16">
      <c r="M3006" s="49">
        <f>IF($A$4+29&gt;$B$4,"",$A$4+29)</f>
        <v>46052</v>
      </c>
      <c r="N3006">
        <f>IF(M3006="","",'Master Barang'!A100)</f>
        <v>0</v>
      </c>
      <c r="O3006">
        <f>IF(N3006="","",'Master Barang'!B100)</f>
        <v>0</v>
      </c>
      <c r="P3006">
        <f>IF(OR(M3006="",N3006=""),"",SUMIFS('Barang Keluar'!$E:$E,'Barang Keluar'!$A:$A,M3006,'Barang Keluar'!$C:$C,N3006))</f>
        <v>0</v>
      </c>
    </row>
    <row r="3007" spans="13:16">
      <c r="M3007" s="49">
        <f>IF($A$4+29&gt;$B$4,"",$A$4+29)</f>
        <v>46052</v>
      </c>
      <c r="N3007">
        <f>IF(M3007="","",'Master Barang'!A101)</f>
        <v>0</v>
      </c>
      <c r="O3007">
        <f>IF(N3007="","",'Master Barang'!B101)</f>
        <v>0</v>
      </c>
      <c r="P3007">
        <f>IF(OR(M3007="",N3007=""),"",SUMIFS('Barang Keluar'!$E:$E,'Barang Keluar'!$A:$A,M3007,'Barang Keluar'!$C:$C,N3007))</f>
        <v>0</v>
      </c>
    </row>
    <row r="3008" spans="13:16">
      <c r="M3008" s="49">
        <f>IF($A$4+30&gt;$B$4,"",$A$4+30)</f>
        <v>46053</v>
      </c>
      <c r="N3008" t="str">
        <f>IF(M3008="","",'Master Barang'!A2)</f>
        <v>PRL-001</v>
      </c>
      <c r="O3008" t="str">
        <f>IF(N3008="","",'Master Barang'!B2)</f>
        <v>natura desinfectant food grade 5l</v>
      </c>
      <c r="P3008">
        <f>IF(OR(M3008="",N3008=""),"",SUMIFS('Barang Keluar'!$E:$E,'Barang Keluar'!$A:$A,M3008,'Barang Keluar'!$C:$C,N3008))</f>
        <v>0</v>
      </c>
    </row>
    <row r="3009" spans="13:16">
      <c r="M3009" s="49">
        <f>IF($A$4+30&gt;$B$4,"",$A$4+30)</f>
        <v>46053</v>
      </c>
      <c r="N3009" t="str">
        <f>IF(M3009="","",'Master Barang'!A3)</f>
        <v>PRL-002</v>
      </c>
      <c r="O3009" t="str">
        <f>IF(N3009="","",'Master Barang'!B3)</f>
        <v>sunlight cairan pencuci piring 5l</v>
      </c>
      <c r="P3009">
        <f>IF(OR(M3009="",N3009=""),"",SUMIFS('Barang Keluar'!$E:$E,'Barang Keluar'!$A:$A,M3009,'Barang Keluar'!$C:$C,N3009))</f>
        <v>0</v>
      </c>
    </row>
    <row r="3010" spans="13:16">
      <c r="M3010" s="49">
        <f>IF($A$4+30&gt;$B$4,"",$A$4+30)</f>
        <v>46053</v>
      </c>
      <c r="N3010" t="str">
        <f>IF(M3010="","",'Master Barang'!A4)</f>
        <v>PRL-003</v>
      </c>
      <c r="O3010" t="str">
        <f>IF(N3010="","",'Master Barang'!B4)</f>
        <v>oixs cleaner 1l</v>
      </c>
      <c r="P3010">
        <f>IF(OR(M3010="",N3010=""),"",SUMIFS('Barang Keluar'!$E:$E,'Barang Keluar'!$A:$A,M3010,'Barang Keluar'!$C:$C,N3010))</f>
        <v>0</v>
      </c>
    </row>
    <row r="3011" spans="13:16">
      <c r="M3011" s="49">
        <f>IF($A$4+30&gt;$B$4,"",$A$4+30)</f>
        <v>46053</v>
      </c>
      <c r="N3011" t="str">
        <f>IF(M3011="","",'Master Barang'!A5)</f>
        <v>PRL-004</v>
      </c>
      <c r="O3011" t="str">
        <f>IF(N3011="","",'Master Barang'!B5)</f>
        <v>be clean tissue serbaguna</v>
      </c>
      <c r="P3011">
        <f>IF(OR(M3011="",N3011=""),"",SUMIFS('Barang Keluar'!$E:$E,'Barang Keluar'!$A:$A,M3011,'Barang Keluar'!$C:$C,N3011))</f>
        <v>0</v>
      </c>
    </row>
    <row r="3012" spans="13:16">
      <c r="M3012" s="49">
        <f>IF($A$4+30&gt;$B$4,"",$A$4+30)</f>
        <v>46053</v>
      </c>
      <c r="N3012" t="str">
        <f>IF(M3012="","",'Master Barang'!A6)</f>
        <v>PRL-005</v>
      </c>
      <c r="O3012" t="str">
        <f>IF(N3012="","",'Master Barang'!B6)</f>
        <v>spons cuci hijau</v>
      </c>
      <c r="P3012">
        <f>IF(OR(M3012="",N3012=""),"",SUMIFS('Barang Keluar'!$E:$E,'Barang Keluar'!$A:$A,M3012,'Barang Keluar'!$C:$C,N3012))</f>
        <v>0</v>
      </c>
    </row>
    <row r="3013" spans="13:16">
      <c r="M3013" s="49">
        <f>IF($A$4+30&gt;$B$4,"",$A$4+30)</f>
        <v>46053</v>
      </c>
      <c r="N3013" t="str">
        <f>IF(M3013="","",'Master Barang'!A7)</f>
        <v>PRL-006</v>
      </c>
      <c r="O3013" t="str">
        <f>IF(N3013="","",'Master Barang'!B7)</f>
        <v>sabut cuci stainless</v>
      </c>
      <c r="P3013">
        <f>IF(OR(M3013="",N3013=""),"",SUMIFS('Barang Keluar'!$E:$E,'Barang Keluar'!$A:$A,M3013,'Barang Keluar'!$C:$C,N3013))</f>
        <v>0</v>
      </c>
    </row>
    <row r="3014" spans="13:16">
      <c r="M3014" s="49">
        <f>IF($A$4+30&gt;$B$4,"",$A$4+30)</f>
        <v>46053</v>
      </c>
      <c r="N3014" t="str">
        <f>IF(M3014="","",'Master Barang'!A8)</f>
        <v>PRL-007</v>
      </c>
      <c r="O3014" t="str">
        <f>IF(N3014="","",'Master Barang'!B8)</f>
        <v>plastik kresek besar merah 50pc</v>
      </c>
      <c r="P3014">
        <f>IF(OR(M3014="",N3014=""),"",SUMIFS('Barang Keluar'!$E:$E,'Barang Keluar'!$A:$A,M3014,'Barang Keluar'!$C:$C,N3014))</f>
        <v>0</v>
      </c>
    </row>
    <row r="3015" spans="13:16">
      <c r="M3015" s="49">
        <f>IF($A$4+30&gt;$B$4,"",$A$4+30)</f>
        <v>46053</v>
      </c>
      <c r="N3015" t="str">
        <f>IF(M3015="","",'Master Barang'!A9)</f>
        <v>PRL-008</v>
      </c>
      <c r="O3015" t="str">
        <f>IF(N3015="","",'Master Barang'!B9)</f>
        <v>lap besar</v>
      </c>
      <c r="P3015">
        <f>IF(OR(M3015="",N3015=""),"",SUMIFS('Barang Keluar'!$E:$E,'Barang Keluar'!$A:$A,M3015,'Barang Keluar'!$C:$C,N3015))</f>
        <v>0</v>
      </c>
    </row>
    <row r="3016" spans="13:16">
      <c r="M3016" s="49">
        <f>IF($A$4+30&gt;$B$4,"",$A$4+30)</f>
        <v>46053</v>
      </c>
      <c r="N3016" t="str">
        <f>IF(M3016="","",'Master Barang'!A10)</f>
        <v>PRL-009</v>
      </c>
      <c r="O3016" t="str">
        <f>IF(N3016="","",'Master Barang'!B10)</f>
        <v>lap microfiber</v>
      </c>
      <c r="P3016">
        <f>IF(OR(M3016="",N3016=""),"",SUMIFS('Barang Keluar'!$E:$E,'Barang Keluar'!$A:$A,M3016,'Barang Keluar'!$C:$C,N3016))</f>
        <v>0</v>
      </c>
    </row>
    <row r="3017" spans="13:16">
      <c r="M3017" s="49">
        <f>IF($A$4+30&gt;$B$4,"",$A$4+30)</f>
        <v>46053</v>
      </c>
      <c r="N3017" t="str">
        <f>IF(M3017="","",'Master Barang'!A11)</f>
        <v>PRL-010</v>
      </c>
      <c r="O3017" t="str">
        <f>IF(N3017="","",'Master Barang'!B11)</f>
        <v>lap kecil</v>
      </c>
      <c r="P3017">
        <f>IF(OR(M3017="",N3017=""),"",SUMIFS('Barang Keluar'!$E:$E,'Barang Keluar'!$A:$A,M3017,'Barang Keluar'!$C:$C,N3017))</f>
        <v>0</v>
      </c>
    </row>
    <row r="3018" spans="13:16">
      <c r="M3018" s="49">
        <f>IF($A$4+30&gt;$B$4,"",$A$4+30)</f>
        <v>46053</v>
      </c>
      <c r="N3018" t="str">
        <f>IF(M3018="","",'Master Barang'!A12)</f>
        <v>PRL-011</v>
      </c>
      <c r="O3018" t="str">
        <f>IF(N3018="","",'Master Barang'!B12)</f>
        <v>kanebo kecil</v>
      </c>
      <c r="P3018">
        <f>IF(OR(M3018="",N3018=""),"",SUMIFS('Barang Keluar'!$E:$E,'Barang Keluar'!$A:$A,M3018,'Barang Keluar'!$C:$C,N3018))</f>
        <v>0</v>
      </c>
    </row>
    <row r="3019" spans="13:16">
      <c r="M3019" s="49">
        <f>IF($A$4+30&gt;$B$4,"",$A$4+30)</f>
        <v>46053</v>
      </c>
      <c r="N3019" t="str">
        <f>IF(M3019="","",'Master Barang'!A13)</f>
        <v>PRL-012</v>
      </c>
      <c r="O3019" t="str">
        <f>IF(N3019="","",'Master Barang'!B13)</f>
        <v>plastik 1/4kg joyoboyo 100 lembar</v>
      </c>
      <c r="P3019">
        <f>IF(OR(M3019="",N3019=""),"",SUMIFS('Barang Keluar'!$E:$E,'Barang Keluar'!$A:$A,M3019,'Barang Keluar'!$C:$C,N3019))</f>
        <v>0</v>
      </c>
    </row>
    <row r="3020" spans="13:16">
      <c r="M3020" s="49">
        <f>IF($A$4+30&gt;$B$4,"",$A$4+30)</f>
        <v>46053</v>
      </c>
      <c r="N3020" t="str">
        <f>IF(M3020="","",'Master Barang'!A14)</f>
        <v>PRL-013</v>
      </c>
      <c r="O3020" t="str">
        <f>IF(N3020="","",'Master Barang'!B14)</f>
        <v>sarung tangan plastik kaka 100 pcs</v>
      </c>
      <c r="P3020">
        <f>IF(OR(M3020="",N3020=""),"",SUMIFS('Barang Keluar'!$E:$E,'Barang Keluar'!$A:$A,M3020,'Barang Keluar'!$C:$C,N3020))</f>
        <v>0</v>
      </c>
    </row>
    <row r="3021" spans="13:16">
      <c r="M3021" s="49">
        <f>IF($A$4+30&gt;$B$4,"",$A$4+30)</f>
        <v>46053</v>
      </c>
      <c r="N3021" t="str">
        <f>IF(M3021="","",'Master Barang'!A15)</f>
        <v>PRL-014</v>
      </c>
      <c r="O3021" t="str">
        <f>IF(N3021="","",'Master Barang'!B15)</f>
        <v>optima trashbag 80x100</v>
      </c>
      <c r="P3021">
        <f>IF(OR(M3021="",N3021=""),"",SUMIFS('Barang Keluar'!$E:$E,'Barang Keluar'!$A:$A,M3021,'Barang Keluar'!$C:$C,N3021))</f>
        <v>0</v>
      </c>
    </row>
    <row r="3022" spans="13:16">
      <c r="M3022" s="49">
        <f>IF($A$4+30&gt;$B$4,"",$A$4+30)</f>
        <v>46053</v>
      </c>
      <c r="N3022" t="str">
        <f>IF(M3022="","",'Master Barang'!A16)</f>
        <v>PRL-015</v>
      </c>
      <c r="O3022" t="str">
        <f>IF(N3022="","",'Master Barang'!B16)</f>
        <v>optima trashbag 60x100</v>
      </c>
      <c r="P3022">
        <f>IF(OR(M3022="",N3022=""),"",SUMIFS('Barang Keluar'!$E:$E,'Barang Keluar'!$A:$A,M3022,'Barang Keluar'!$C:$C,N3022))</f>
        <v>0</v>
      </c>
    </row>
    <row r="3023" spans="13:16">
      <c r="M3023" s="49">
        <f>IF($A$4+30&gt;$B$4,"",$A$4+30)</f>
        <v>46053</v>
      </c>
      <c r="N3023" t="str">
        <f>IF(M3023="","",'Master Barang'!A17)</f>
        <v>PRL-016</v>
      </c>
      <c r="O3023" t="str">
        <f>IF(N3023="","",'Master Barang'!B17)</f>
        <v>rajawali trashbag 30x40</v>
      </c>
      <c r="P3023">
        <f>IF(OR(M3023="",N3023=""),"",SUMIFS('Barang Keluar'!$E:$E,'Barang Keluar'!$A:$A,M3023,'Barang Keluar'!$C:$C,N3023))</f>
        <v>0</v>
      </c>
    </row>
    <row r="3024" spans="13:16">
      <c r="M3024" s="49">
        <f>IF($A$4+30&gt;$B$4,"",$A$4+30)</f>
        <v>46053</v>
      </c>
      <c r="N3024" t="str">
        <f>IF(M3024="","",'Master Barang'!A18)</f>
        <v>PRL-017</v>
      </c>
      <c r="O3024" t="str">
        <f>IF(N3024="","",'Master Barang'!B18)</f>
        <v>onemed masker biru 3 play 50 pcs</v>
      </c>
      <c r="P3024">
        <f>IF(OR(M3024="",N3024=""),"",SUMIFS('Barang Keluar'!$E:$E,'Barang Keluar'!$A:$A,M3024,'Barang Keluar'!$C:$C,N3024))</f>
        <v>0</v>
      </c>
    </row>
    <row r="3025" spans="13:16">
      <c r="M3025" s="49">
        <f>IF($A$4+30&gt;$B$4,"",$A$4+30)</f>
        <v>46053</v>
      </c>
      <c r="N3025" t="str">
        <f>IF(M3025="","",'Master Barang'!A19)</f>
        <v>PRL-018</v>
      </c>
      <c r="O3025" t="str">
        <f>IF(N3025="","",'Master Barang'!B19)</f>
        <v>onemed masker biru 3 play hijab 50 pcs</v>
      </c>
      <c r="P3025">
        <f>IF(OR(M3025="",N3025=""),"",SUMIFS('Barang Keluar'!$E:$E,'Barang Keluar'!$A:$A,M3025,'Barang Keluar'!$C:$C,N3025))</f>
        <v>0</v>
      </c>
    </row>
    <row r="3026" spans="13:16">
      <c r="M3026" s="49">
        <f>IF($A$4+30&gt;$B$4,"",$A$4+30)</f>
        <v>46053</v>
      </c>
      <c r="N3026" t="str">
        <f>IF(M3026="","",'Master Barang'!A20)</f>
        <v>PRL-019</v>
      </c>
      <c r="O3026" t="str">
        <f>IF(N3026="","",'Master Barang'!B20)</f>
        <v>neo health masker biru 3 play 50 pcs</v>
      </c>
      <c r="P3026">
        <f>IF(OR(M3026="",N3026=""),"",SUMIFS('Barang Keluar'!$E:$E,'Barang Keluar'!$A:$A,M3026,'Barang Keluar'!$C:$C,N3026))</f>
        <v>0</v>
      </c>
    </row>
    <row r="3027" spans="13:16">
      <c r="M3027" s="49">
        <f>IF($A$4+30&gt;$B$4,"",$A$4+30)</f>
        <v>46053</v>
      </c>
      <c r="N3027" t="str">
        <f>IF(M3027="","",'Master Barang'!A21)</f>
        <v>PRL-020</v>
      </c>
      <c r="O3027" t="str">
        <f>IF(N3027="","",'Master Barang'!B21)</f>
        <v>baymed masker hijau 3 play hijau 50 pcs</v>
      </c>
      <c r="P3027">
        <f>IF(OR(M3027="",N3027=""),"",SUMIFS('Barang Keluar'!$E:$E,'Barang Keluar'!$A:$A,M3027,'Barang Keluar'!$C:$C,N3027))</f>
        <v>0</v>
      </c>
    </row>
    <row r="3028" spans="13:16">
      <c r="M3028" s="49">
        <f>IF($A$4+30&gt;$B$4,"",$A$4+30)</f>
        <v>46053</v>
      </c>
      <c r="N3028" t="str">
        <f>IF(M3028="","",'Master Barang'!A22)</f>
        <v>PRL-021</v>
      </c>
      <c r="O3028" t="str">
        <f>IF(N3028="","",'Master Barang'!B22)</f>
        <v>altamed nurse cap penutup kepala 100 pcs</v>
      </c>
      <c r="P3028">
        <f>IF(OR(M3028="",N3028=""),"",SUMIFS('Barang Keluar'!$E:$E,'Barang Keluar'!$A:$A,M3028,'Barang Keluar'!$C:$C,N3028))</f>
        <v>0</v>
      </c>
    </row>
    <row r="3029" spans="13:16">
      <c r="M3029" s="49">
        <f>IF($A$4+30&gt;$B$4,"",$A$4+30)</f>
        <v>46053</v>
      </c>
      <c r="N3029" t="str">
        <f>IF(M3029="","",'Master Barang'!A23)</f>
        <v>PRL-022</v>
      </c>
      <c r="O3029" t="str">
        <f>IF(N3029="","",'Master Barang'!B23)</f>
        <v>sabun cuci tangan</v>
      </c>
      <c r="P3029">
        <f>IF(OR(M3029="",N3029=""),"",SUMIFS('Barang Keluar'!$E:$E,'Barang Keluar'!$A:$A,M3029,'Barang Keluar'!$C:$C,N3029))</f>
        <v>0</v>
      </c>
    </row>
    <row r="3030" spans="13:16">
      <c r="M3030" s="49">
        <f>IF($A$4+30&gt;$B$4,"",$A$4+30)</f>
        <v>46053</v>
      </c>
      <c r="N3030" t="str">
        <f>IF(M3030="","",'Master Barang'!A24)</f>
        <v>PRL-023</v>
      </c>
      <c r="O3030" t="str">
        <f>IF(N3030="","",'Master Barang'!B24)</f>
        <v>gayung kecil</v>
      </c>
      <c r="P3030">
        <f>IF(OR(M3030="",N3030=""),"",SUMIFS('Barang Keluar'!$E:$E,'Barang Keluar'!$A:$A,M3030,'Barang Keluar'!$C:$C,N3030))</f>
        <v>0</v>
      </c>
    </row>
    <row r="3031" spans="13:16">
      <c r="M3031" s="49">
        <f>IF($A$4+30&gt;$B$4,"",$A$4+30)</f>
        <v>46053</v>
      </c>
      <c r="N3031" t="str">
        <f>IF(M3031="","",'Master Barang'!A25)</f>
        <v>PRL-024</v>
      </c>
      <c r="O3031" t="str">
        <f>IF(N3031="","",'Master Barang'!B25)</f>
        <v>cikrak kecil</v>
      </c>
      <c r="P3031">
        <f>IF(OR(M3031="",N3031=""),"",SUMIFS('Barang Keluar'!$E:$E,'Barang Keluar'!$A:$A,M3031,'Barang Keluar'!$C:$C,N3031))</f>
        <v>0</v>
      </c>
    </row>
    <row r="3032" spans="13:16">
      <c r="M3032" s="49">
        <f>IF($A$4+30&gt;$B$4,"",$A$4+30)</f>
        <v>46053</v>
      </c>
      <c r="N3032" t="str">
        <f>IF(M3032="","",'Master Barang'!A26)</f>
        <v>PRL-025</v>
      </c>
      <c r="O3032" t="str">
        <f>IF(N3032="","",'Master Barang'!B26)</f>
        <v>petromax plastik kecil 12x24 100 lembar</v>
      </c>
      <c r="P3032">
        <f>IF(OR(M3032="",N3032=""),"",SUMIFS('Barang Keluar'!$E:$E,'Barang Keluar'!$A:$A,M3032,'Barang Keluar'!$C:$C,N3032))</f>
        <v>0</v>
      </c>
    </row>
    <row r="3033" spans="13:16">
      <c r="M3033" s="49">
        <f>IF($A$4+30&gt;$B$4,"",$A$4+30)</f>
        <v>46053</v>
      </c>
      <c r="N3033" t="str">
        <f>IF(M3033="","",'Master Barang'!A27)</f>
        <v>PRL-026</v>
      </c>
      <c r="O3033" t="str">
        <f>IF(N3033="","",'Master Barang'!B27)</f>
        <v>lancar kresek kecil bening </v>
      </c>
      <c r="P3033">
        <f>IF(OR(M3033="",N3033=""),"",SUMIFS('Barang Keluar'!$E:$E,'Barang Keluar'!$A:$A,M3033,'Barang Keluar'!$C:$C,N3033))</f>
        <v>0</v>
      </c>
    </row>
    <row r="3034" spans="13:16">
      <c r="M3034" s="49">
        <f>IF($A$4+30&gt;$B$4,"",$A$4+30)</f>
        <v>46053</v>
      </c>
      <c r="N3034" t="str">
        <f>IF(M3034="","",'Master Barang'!A28)</f>
        <v>PRL-027</v>
      </c>
      <c r="O3034" t="str">
        <f>IF(N3034="","",'Master Barang'!B28)</f>
        <v>kresek klin warna warni kecil</v>
      </c>
      <c r="P3034">
        <f>IF(OR(M3034="",N3034=""),"",SUMIFS('Barang Keluar'!$E:$E,'Barang Keluar'!$A:$A,M3034,'Barang Keluar'!$C:$C,N3034))</f>
        <v>0</v>
      </c>
    </row>
    <row r="3035" spans="13:16">
      <c r="M3035" s="49">
        <f>IF($A$4+30&gt;$B$4,"",$A$4+30)</f>
        <v>46053</v>
      </c>
      <c r="N3035" t="str">
        <f>IF(M3035="","",'Master Barang'!A29)</f>
        <v>PRL-028</v>
      </c>
      <c r="O3035" t="str">
        <f>IF(N3035="","",'Master Barang'!B29)</f>
        <v>ctik plastik 7x10 100 pcs</v>
      </c>
      <c r="P3035">
        <f>IF(OR(M3035="",N3035=""),"",SUMIFS('Barang Keluar'!$E:$E,'Barang Keluar'!$A:$A,M3035,'Barang Keluar'!$C:$C,N3035))</f>
        <v>0</v>
      </c>
    </row>
    <row r="3036" spans="13:16">
      <c r="M3036" s="49">
        <f>IF($A$4+30&gt;$B$4,"",$A$4+30)</f>
        <v>46053</v>
      </c>
      <c r="N3036" t="str">
        <f>IF(M3036="","",'Master Barang'!A30)</f>
        <v>PRL-029</v>
      </c>
      <c r="O3036" t="str">
        <f>IF(N3036="","",'Master Barang'!B30)</f>
        <v>ctik plastik 6x10 100 pcs</v>
      </c>
      <c r="P3036">
        <f>IF(OR(M3036="",N3036=""),"",SUMIFS('Barang Keluar'!$E:$E,'Barang Keluar'!$A:$A,M3036,'Barang Keluar'!$C:$C,N3036))</f>
        <v>0</v>
      </c>
    </row>
    <row r="3037" spans="13:16">
      <c r="M3037" s="49">
        <f>IF($A$4+30&gt;$B$4,"",$A$4+30)</f>
        <v>46053</v>
      </c>
      <c r="N3037" t="str">
        <f>IF(M3037="","",'Master Barang'!A31)</f>
        <v>PRL-030</v>
      </c>
      <c r="O3037" t="str">
        <f>IF(N3037="","",'Master Barang'!B31)</f>
        <v>klip plastik 25x16 100 pcs</v>
      </c>
      <c r="P3037">
        <f>IF(OR(M3037="",N3037=""),"",SUMIFS('Barang Keluar'!$E:$E,'Barang Keluar'!$A:$A,M3037,'Barang Keluar'!$C:$C,N3037))</f>
        <v>0</v>
      </c>
    </row>
    <row r="3038" spans="13:16">
      <c r="M3038" s="49">
        <f>IF($A$4+30&gt;$B$4,"",$A$4+30)</f>
        <v>46053</v>
      </c>
      <c r="N3038" t="str">
        <f>IF(M3038="","",'Master Barang'!A32)</f>
        <v>PRL-031</v>
      </c>
      <c r="O3038" t="str">
        <f>IF(N3038="","",'Master Barang'!B32)</f>
        <v>tempat saus 20 ml</v>
      </c>
      <c r="P3038">
        <f>IF(OR(M3038="",N3038=""),"",SUMIFS('Barang Keluar'!$E:$E,'Barang Keluar'!$A:$A,M3038,'Barang Keluar'!$C:$C,N3038))</f>
        <v>0</v>
      </c>
    </row>
    <row r="3039" spans="13:16">
      <c r="M3039" s="49">
        <f>IF($A$4+30&gt;$B$4,"",$A$4+30)</f>
        <v>46053</v>
      </c>
      <c r="N3039" t="str">
        <f>IF(M3039="","",'Master Barang'!A33)</f>
        <v>PRL-032</v>
      </c>
      <c r="O3039" t="str">
        <f>IF(N3039="","",'Master Barang'!B33)</f>
        <v>plastik packaging ag box uk sedang</v>
      </c>
      <c r="P3039">
        <f>IF(OR(M3039="",N3039=""),"",SUMIFS('Barang Keluar'!$E:$E,'Barang Keluar'!$A:$A,M3039,'Barang Keluar'!$C:$C,N3039))</f>
        <v>0</v>
      </c>
    </row>
    <row r="3040" spans="13:16">
      <c r="M3040" s="49">
        <f>IF($A$4+30&gt;$B$4,"",$A$4+30)</f>
        <v>46053</v>
      </c>
      <c r="N3040" t="str">
        <f>IF(M3040="","",'Master Barang'!A34)</f>
        <v>PRL-033</v>
      </c>
      <c r="O3040">
        <f>IF(N3040="","",'Master Barang'!B34)</f>
        <v>0</v>
      </c>
      <c r="P3040">
        <f>IF(OR(M3040="",N3040=""),"",SUMIFS('Barang Keluar'!$E:$E,'Barang Keluar'!$A:$A,M3040,'Barang Keluar'!$C:$C,N3040))</f>
        <v>0</v>
      </c>
    </row>
    <row r="3041" spans="13:16">
      <c r="M3041" s="49">
        <f>IF($A$4+30&gt;$B$4,"",$A$4+30)</f>
        <v>46053</v>
      </c>
      <c r="N3041">
        <f>IF(M3041="","",'Master Barang'!A35)</f>
        <v>0</v>
      </c>
      <c r="O3041">
        <f>IF(N3041="","",'Master Barang'!B35)</f>
        <v>0</v>
      </c>
      <c r="P3041">
        <f>IF(OR(M3041="",N3041=""),"",SUMIFS('Barang Keluar'!$E:$E,'Barang Keluar'!$A:$A,M3041,'Barang Keluar'!$C:$C,N3041))</f>
        <v>0</v>
      </c>
    </row>
    <row r="3042" spans="13:16">
      <c r="M3042" s="49">
        <f>IF($A$4+30&gt;$B$4,"",$A$4+30)</f>
        <v>46053</v>
      </c>
      <c r="N3042">
        <f>IF(M3042="","",'Master Barang'!A36)</f>
        <v>0</v>
      </c>
      <c r="O3042">
        <f>IF(N3042="","",'Master Barang'!B36)</f>
        <v>0</v>
      </c>
      <c r="P3042">
        <f>IF(OR(M3042="",N3042=""),"",SUMIFS('Barang Keluar'!$E:$E,'Barang Keluar'!$A:$A,M3042,'Barang Keluar'!$C:$C,N3042))</f>
        <v>0</v>
      </c>
    </row>
    <row r="3043" spans="13:16">
      <c r="M3043" s="49">
        <f>IF($A$4+30&gt;$B$4,"",$A$4+30)</f>
        <v>46053</v>
      </c>
      <c r="N3043">
        <f>IF(M3043="","",'Master Barang'!A37)</f>
        <v>0</v>
      </c>
      <c r="O3043">
        <f>IF(N3043="","",'Master Barang'!B37)</f>
        <v>0</v>
      </c>
      <c r="P3043">
        <f>IF(OR(M3043="",N3043=""),"",SUMIFS('Barang Keluar'!$E:$E,'Barang Keluar'!$A:$A,M3043,'Barang Keluar'!$C:$C,N3043))</f>
        <v>0</v>
      </c>
    </row>
    <row r="3044" spans="13:16">
      <c r="M3044" s="49">
        <f>IF($A$4+30&gt;$B$4,"",$A$4+30)</f>
        <v>46053</v>
      </c>
      <c r="N3044">
        <f>IF(M3044="","",'Master Barang'!A38)</f>
        <v>0</v>
      </c>
      <c r="O3044">
        <f>IF(N3044="","",'Master Barang'!B38)</f>
        <v>0</v>
      </c>
      <c r="P3044">
        <f>IF(OR(M3044="",N3044=""),"",SUMIFS('Barang Keluar'!$E:$E,'Barang Keluar'!$A:$A,M3044,'Barang Keluar'!$C:$C,N3044))</f>
        <v>0</v>
      </c>
    </row>
    <row r="3045" spans="13:16">
      <c r="M3045" s="49">
        <f>IF($A$4+30&gt;$B$4,"",$A$4+30)</f>
        <v>46053</v>
      </c>
      <c r="N3045">
        <f>IF(M3045="","",'Master Barang'!A39)</f>
        <v>0</v>
      </c>
      <c r="O3045">
        <f>IF(N3045="","",'Master Barang'!B39)</f>
        <v>0</v>
      </c>
      <c r="P3045">
        <f>IF(OR(M3045="",N3045=""),"",SUMIFS('Barang Keluar'!$E:$E,'Barang Keluar'!$A:$A,M3045,'Barang Keluar'!$C:$C,N3045))</f>
        <v>0</v>
      </c>
    </row>
    <row r="3046" spans="13:16">
      <c r="M3046" s="49">
        <f>IF($A$4+30&gt;$B$4,"",$A$4+30)</f>
        <v>46053</v>
      </c>
      <c r="N3046">
        <f>IF(M3046="","",'Master Barang'!A40)</f>
        <v>0</v>
      </c>
      <c r="O3046">
        <f>IF(N3046="","",'Master Barang'!B40)</f>
        <v>0</v>
      </c>
      <c r="P3046">
        <f>IF(OR(M3046="",N3046=""),"",SUMIFS('Barang Keluar'!$E:$E,'Barang Keluar'!$A:$A,M3046,'Barang Keluar'!$C:$C,N3046))</f>
        <v>0</v>
      </c>
    </row>
    <row r="3047" spans="13:16">
      <c r="M3047" s="49">
        <f>IF($A$4+30&gt;$B$4,"",$A$4+30)</f>
        <v>46053</v>
      </c>
      <c r="N3047">
        <f>IF(M3047="","",'Master Barang'!A41)</f>
        <v>0</v>
      </c>
      <c r="O3047">
        <f>IF(N3047="","",'Master Barang'!B41)</f>
        <v>0</v>
      </c>
      <c r="P3047">
        <f>IF(OR(M3047="",N3047=""),"",SUMIFS('Barang Keluar'!$E:$E,'Barang Keluar'!$A:$A,M3047,'Barang Keluar'!$C:$C,N3047))</f>
        <v>0</v>
      </c>
    </row>
    <row r="3048" spans="13:16">
      <c r="M3048" s="49">
        <f>IF($A$4+30&gt;$B$4,"",$A$4+30)</f>
        <v>46053</v>
      </c>
      <c r="N3048">
        <f>IF(M3048="","",'Master Barang'!A42)</f>
        <v>0</v>
      </c>
      <c r="O3048">
        <f>IF(N3048="","",'Master Barang'!B42)</f>
        <v>0</v>
      </c>
      <c r="P3048">
        <f>IF(OR(M3048="",N3048=""),"",SUMIFS('Barang Keluar'!$E:$E,'Barang Keluar'!$A:$A,M3048,'Barang Keluar'!$C:$C,N3048))</f>
        <v>0</v>
      </c>
    </row>
    <row r="3049" spans="13:16">
      <c r="M3049" s="49">
        <f>IF($A$4+30&gt;$B$4,"",$A$4+30)</f>
        <v>46053</v>
      </c>
      <c r="N3049">
        <f>IF(M3049="","",'Master Barang'!A43)</f>
        <v>0</v>
      </c>
      <c r="O3049">
        <f>IF(N3049="","",'Master Barang'!B43)</f>
        <v>0</v>
      </c>
      <c r="P3049">
        <f>IF(OR(M3049="",N3049=""),"",SUMIFS('Barang Keluar'!$E:$E,'Barang Keluar'!$A:$A,M3049,'Barang Keluar'!$C:$C,N3049))</f>
        <v>0</v>
      </c>
    </row>
    <row r="3050" spans="13:16">
      <c r="M3050" s="49">
        <f>IF($A$4+30&gt;$B$4,"",$A$4+30)</f>
        <v>46053</v>
      </c>
      <c r="N3050">
        <f>IF(M3050="","",'Master Barang'!A44)</f>
        <v>0</v>
      </c>
      <c r="O3050">
        <f>IF(N3050="","",'Master Barang'!B44)</f>
        <v>0</v>
      </c>
      <c r="P3050">
        <f>IF(OR(M3050="",N3050=""),"",SUMIFS('Barang Keluar'!$E:$E,'Barang Keluar'!$A:$A,M3050,'Barang Keluar'!$C:$C,N3050))</f>
        <v>0</v>
      </c>
    </row>
    <row r="3051" spans="13:16">
      <c r="M3051" s="49">
        <f>IF($A$4+30&gt;$B$4,"",$A$4+30)</f>
        <v>46053</v>
      </c>
      <c r="N3051">
        <f>IF(M3051="","",'Master Barang'!A45)</f>
        <v>0</v>
      </c>
      <c r="O3051">
        <f>IF(N3051="","",'Master Barang'!B45)</f>
        <v>0</v>
      </c>
      <c r="P3051">
        <f>IF(OR(M3051="",N3051=""),"",SUMIFS('Barang Keluar'!$E:$E,'Barang Keluar'!$A:$A,M3051,'Barang Keluar'!$C:$C,N3051))</f>
        <v>0</v>
      </c>
    </row>
    <row r="3052" spans="13:16">
      <c r="M3052" s="49">
        <f>IF($A$4+30&gt;$B$4,"",$A$4+30)</f>
        <v>46053</v>
      </c>
      <c r="N3052">
        <f>IF(M3052="","",'Master Barang'!A46)</f>
        <v>0</v>
      </c>
      <c r="O3052">
        <f>IF(N3052="","",'Master Barang'!B46)</f>
        <v>0</v>
      </c>
      <c r="P3052">
        <f>IF(OR(M3052="",N3052=""),"",SUMIFS('Barang Keluar'!$E:$E,'Barang Keluar'!$A:$A,M3052,'Barang Keluar'!$C:$C,N3052))</f>
        <v>0</v>
      </c>
    </row>
    <row r="3053" spans="13:16">
      <c r="M3053" s="49">
        <f>IF($A$4+30&gt;$B$4,"",$A$4+30)</f>
        <v>46053</v>
      </c>
      <c r="N3053">
        <f>IF(M3053="","",'Master Barang'!A47)</f>
        <v>0</v>
      </c>
      <c r="O3053">
        <f>IF(N3053="","",'Master Barang'!B47)</f>
        <v>0</v>
      </c>
      <c r="P3053">
        <f>IF(OR(M3053="",N3053=""),"",SUMIFS('Barang Keluar'!$E:$E,'Barang Keluar'!$A:$A,M3053,'Barang Keluar'!$C:$C,N3053))</f>
        <v>0</v>
      </c>
    </row>
    <row r="3054" spans="13:16">
      <c r="M3054" s="49">
        <f>IF($A$4+30&gt;$B$4,"",$A$4+30)</f>
        <v>46053</v>
      </c>
      <c r="N3054">
        <f>IF(M3054="","",'Master Barang'!A48)</f>
        <v>0</v>
      </c>
      <c r="O3054">
        <f>IF(N3054="","",'Master Barang'!B48)</f>
        <v>0</v>
      </c>
      <c r="P3054">
        <f>IF(OR(M3054="",N3054=""),"",SUMIFS('Barang Keluar'!$E:$E,'Barang Keluar'!$A:$A,M3054,'Barang Keluar'!$C:$C,N3054))</f>
        <v>0</v>
      </c>
    </row>
    <row r="3055" spans="13:16">
      <c r="M3055" s="49">
        <f>IF($A$4+30&gt;$B$4,"",$A$4+30)</f>
        <v>46053</v>
      </c>
      <c r="N3055">
        <f>IF(M3055="","",'Master Barang'!A49)</f>
        <v>0</v>
      </c>
      <c r="O3055">
        <f>IF(N3055="","",'Master Barang'!B49)</f>
        <v>0</v>
      </c>
      <c r="P3055">
        <f>IF(OR(M3055="",N3055=""),"",SUMIFS('Barang Keluar'!$E:$E,'Barang Keluar'!$A:$A,M3055,'Barang Keluar'!$C:$C,N3055))</f>
        <v>0</v>
      </c>
    </row>
    <row r="3056" spans="13:16">
      <c r="M3056" s="49">
        <f>IF($A$4+30&gt;$B$4,"",$A$4+30)</f>
        <v>46053</v>
      </c>
      <c r="N3056">
        <f>IF(M3056="","",'Master Barang'!A50)</f>
        <v>0</v>
      </c>
      <c r="O3056">
        <f>IF(N3056="","",'Master Barang'!B50)</f>
        <v>0</v>
      </c>
      <c r="P3056">
        <f>IF(OR(M3056="",N3056=""),"",SUMIFS('Barang Keluar'!$E:$E,'Barang Keluar'!$A:$A,M3056,'Barang Keluar'!$C:$C,N3056))</f>
        <v>0</v>
      </c>
    </row>
    <row r="3057" spans="13:16">
      <c r="M3057" s="49">
        <f>IF($A$4+30&gt;$B$4,"",$A$4+30)</f>
        <v>46053</v>
      </c>
      <c r="N3057">
        <f>IF(M3057="","",'Master Barang'!A51)</f>
        <v>0</v>
      </c>
      <c r="O3057">
        <f>IF(N3057="","",'Master Barang'!B51)</f>
        <v>0</v>
      </c>
      <c r="P3057">
        <f>IF(OR(M3057="",N3057=""),"",SUMIFS('Barang Keluar'!$E:$E,'Barang Keluar'!$A:$A,M3057,'Barang Keluar'!$C:$C,N3057))</f>
        <v>0</v>
      </c>
    </row>
    <row r="3058" spans="13:16">
      <c r="M3058" s="49">
        <f>IF($A$4+30&gt;$B$4,"",$A$4+30)</f>
        <v>46053</v>
      </c>
      <c r="N3058">
        <f>IF(M3058="","",'Master Barang'!A52)</f>
        <v>0</v>
      </c>
      <c r="O3058">
        <f>IF(N3058="","",'Master Barang'!B52)</f>
        <v>0</v>
      </c>
      <c r="P3058">
        <f>IF(OR(M3058="",N3058=""),"",SUMIFS('Barang Keluar'!$E:$E,'Barang Keluar'!$A:$A,M3058,'Barang Keluar'!$C:$C,N3058))</f>
        <v>0</v>
      </c>
    </row>
    <row r="3059" spans="13:16">
      <c r="M3059" s="49">
        <f>IF($A$4+30&gt;$B$4,"",$A$4+30)</f>
        <v>46053</v>
      </c>
      <c r="N3059">
        <f>IF(M3059="","",'Master Barang'!A53)</f>
        <v>0</v>
      </c>
      <c r="O3059">
        <f>IF(N3059="","",'Master Barang'!B53)</f>
        <v>0</v>
      </c>
      <c r="P3059">
        <f>IF(OR(M3059="",N3059=""),"",SUMIFS('Barang Keluar'!$E:$E,'Barang Keluar'!$A:$A,M3059,'Barang Keluar'!$C:$C,N3059))</f>
        <v>0</v>
      </c>
    </row>
    <row r="3060" spans="13:16">
      <c r="M3060" s="49">
        <f>IF($A$4+30&gt;$B$4,"",$A$4+30)</f>
        <v>46053</v>
      </c>
      <c r="N3060">
        <f>IF(M3060="","",'Master Barang'!A54)</f>
        <v>0</v>
      </c>
      <c r="O3060">
        <f>IF(N3060="","",'Master Barang'!B54)</f>
        <v>0</v>
      </c>
      <c r="P3060">
        <f>IF(OR(M3060="",N3060=""),"",SUMIFS('Barang Keluar'!$E:$E,'Barang Keluar'!$A:$A,M3060,'Barang Keluar'!$C:$C,N3060))</f>
        <v>0</v>
      </c>
    </row>
    <row r="3061" spans="13:16">
      <c r="M3061" s="49">
        <f>IF($A$4+30&gt;$B$4,"",$A$4+30)</f>
        <v>46053</v>
      </c>
      <c r="N3061">
        <f>IF(M3061="","",'Master Barang'!A55)</f>
        <v>0</v>
      </c>
      <c r="O3061">
        <f>IF(N3061="","",'Master Barang'!B55)</f>
        <v>0</v>
      </c>
      <c r="P3061">
        <f>IF(OR(M3061="",N3061=""),"",SUMIFS('Barang Keluar'!$E:$E,'Barang Keluar'!$A:$A,M3061,'Barang Keluar'!$C:$C,N3061))</f>
        <v>0</v>
      </c>
    </row>
    <row r="3062" spans="13:16">
      <c r="M3062" s="49">
        <f>IF($A$4+30&gt;$B$4,"",$A$4+30)</f>
        <v>46053</v>
      </c>
      <c r="N3062">
        <f>IF(M3062="","",'Master Barang'!A56)</f>
        <v>0</v>
      </c>
      <c r="O3062">
        <f>IF(N3062="","",'Master Barang'!B56)</f>
        <v>0</v>
      </c>
      <c r="P3062">
        <f>IF(OR(M3062="",N3062=""),"",SUMIFS('Barang Keluar'!$E:$E,'Barang Keluar'!$A:$A,M3062,'Barang Keluar'!$C:$C,N3062))</f>
        <v>0</v>
      </c>
    </row>
    <row r="3063" spans="13:16">
      <c r="M3063" s="49">
        <f>IF($A$4+30&gt;$B$4,"",$A$4+30)</f>
        <v>46053</v>
      </c>
      <c r="N3063">
        <f>IF(M3063="","",'Master Barang'!A57)</f>
        <v>0</v>
      </c>
      <c r="O3063">
        <f>IF(N3063="","",'Master Barang'!B57)</f>
        <v>0</v>
      </c>
      <c r="P3063">
        <f>IF(OR(M3063="",N3063=""),"",SUMIFS('Barang Keluar'!$E:$E,'Barang Keluar'!$A:$A,M3063,'Barang Keluar'!$C:$C,N3063))</f>
        <v>0</v>
      </c>
    </row>
    <row r="3064" spans="13:16">
      <c r="M3064" s="49">
        <f>IF($A$4+30&gt;$B$4,"",$A$4+30)</f>
        <v>46053</v>
      </c>
      <c r="N3064">
        <f>IF(M3064="","",'Master Barang'!A58)</f>
        <v>0</v>
      </c>
      <c r="O3064">
        <f>IF(N3064="","",'Master Barang'!B58)</f>
        <v>0</v>
      </c>
      <c r="P3064">
        <f>IF(OR(M3064="",N3064=""),"",SUMIFS('Barang Keluar'!$E:$E,'Barang Keluar'!$A:$A,M3064,'Barang Keluar'!$C:$C,N3064))</f>
        <v>0</v>
      </c>
    </row>
    <row r="3065" spans="13:16">
      <c r="M3065" s="49">
        <f>IF($A$4+30&gt;$B$4,"",$A$4+30)</f>
        <v>46053</v>
      </c>
      <c r="N3065">
        <f>IF(M3065="","",'Master Barang'!A59)</f>
        <v>0</v>
      </c>
      <c r="O3065">
        <f>IF(N3065="","",'Master Barang'!B59)</f>
        <v>0</v>
      </c>
      <c r="P3065">
        <f>IF(OR(M3065="",N3065=""),"",SUMIFS('Barang Keluar'!$E:$E,'Barang Keluar'!$A:$A,M3065,'Barang Keluar'!$C:$C,N3065))</f>
        <v>0</v>
      </c>
    </row>
    <row r="3066" spans="13:16">
      <c r="M3066" s="49">
        <f>IF($A$4+30&gt;$B$4,"",$A$4+30)</f>
        <v>46053</v>
      </c>
      <c r="N3066">
        <f>IF(M3066="","",'Master Barang'!A60)</f>
        <v>0</v>
      </c>
      <c r="O3066">
        <f>IF(N3066="","",'Master Barang'!B60)</f>
        <v>0</v>
      </c>
      <c r="P3066">
        <f>IF(OR(M3066="",N3066=""),"",SUMIFS('Barang Keluar'!$E:$E,'Barang Keluar'!$A:$A,M3066,'Barang Keluar'!$C:$C,N3066))</f>
        <v>0</v>
      </c>
    </row>
    <row r="3067" spans="13:16">
      <c r="M3067" s="49">
        <f>IF($A$4+30&gt;$B$4,"",$A$4+30)</f>
        <v>46053</v>
      </c>
      <c r="N3067">
        <f>IF(M3067="","",'Master Barang'!A61)</f>
        <v>0</v>
      </c>
      <c r="O3067">
        <f>IF(N3067="","",'Master Barang'!B61)</f>
        <v>0</v>
      </c>
      <c r="P3067">
        <f>IF(OR(M3067="",N3067=""),"",SUMIFS('Barang Keluar'!$E:$E,'Barang Keluar'!$A:$A,M3067,'Barang Keluar'!$C:$C,N3067))</f>
        <v>0</v>
      </c>
    </row>
    <row r="3068" spans="13:16">
      <c r="M3068" s="49">
        <f>IF($A$4+30&gt;$B$4,"",$A$4+30)</f>
        <v>46053</v>
      </c>
      <c r="N3068">
        <f>IF(M3068="","",'Master Barang'!A62)</f>
        <v>0</v>
      </c>
      <c r="O3068">
        <f>IF(N3068="","",'Master Barang'!B62)</f>
        <v>0</v>
      </c>
      <c r="P3068">
        <f>IF(OR(M3068="",N3068=""),"",SUMIFS('Barang Keluar'!$E:$E,'Barang Keluar'!$A:$A,M3068,'Barang Keluar'!$C:$C,N3068))</f>
        <v>0</v>
      </c>
    </row>
    <row r="3069" spans="13:16">
      <c r="M3069" s="49">
        <f>IF($A$4+30&gt;$B$4,"",$A$4+30)</f>
        <v>46053</v>
      </c>
      <c r="N3069">
        <f>IF(M3069="","",'Master Barang'!A63)</f>
        <v>0</v>
      </c>
      <c r="O3069">
        <f>IF(N3069="","",'Master Barang'!B63)</f>
        <v>0</v>
      </c>
      <c r="P3069">
        <f>IF(OR(M3069="",N3069=""),"",SUMIFS('Barang Keluar'!$E:$E,'Barang Keluar'!$A:$A,M3069,'Barang Keluar'!$C:$C,N3069))</f>
        <v>0</v>
      </c>
    </row>
    <row r="3070" spans="13:16">
      <c r="M3070" s="49">
        <f>IF($A$4+30&gt;$B$4,"",$A$4+30)</f>
        <v>46053</v>
      </c>
      <c r="N3070">
        <f>IF(M3070="","",'Master Barang'!A64)</f>
        <v>0</v>
      </c>
      <c r="O3070">
        <f>IF(N3070="","",'Master Barang'!B64)</f>
        <v>0</v>
      </c>
      <c r="P3070">
        <f>IF(OR(M3070="",N3070=""),"",SUMIFS('Barang Keluar'!$E:$E,'Barang Keluar'!$A:$A,M3070,'Barang Keluar'!$C:$C,N3070))</f>
        <v>0</v>
      </c>
    </row>
    <row r="3071" spans="13:16">
      <c r="M3071" s="49">
        <f>IF($A$4+30&gt;$B$4,"",$A$4+30)</f>
        <v>46053</v>
      </c>
      <c r="N3071">
        <f>IF(M3071="","",'Master Barang'!A65)</f>
        <v>0</v>
      </c>
      <c r="O3071">
        <f>IF(N3071="","",'Master Barang'!B65)</f>
        <v>0</v>
      </c>
      <c r="P3071">
        <f>IF(OR(M3071="",N3071=""),"",SUMIFS('Barang Keluar'!$E:$E,'Barang Keluar'!$A:$A,M3071,'Barang Keluar'!$C:$C,N3071))</f>
        <v>0</v>
      </c>
    </row>
    <row r="3072" spans="13:16">
      <c r="M3072" s="49">
        <f>IF($A$4+30&gt;$B$4,"",$A$4+30)</f>
        <v>46053</v>
      </c>
      <c r="N3072">
        <f>IF(M3072="","",'Master Barang'!A66)</f>
        <v>0</v>
      </c>
      <c r="O3072">
        <f>IF(N3072="","",'Master Barang'!B66)</f>
        <v>0</v>
      </c>
      <c r="P3072">
        <f>IF(OR(M3072="",N3072=""),"",SUMIFS('Barang Keluar'!$E:$E,'Barang Keluar'!$A:$A,M3072,'Barang Keluar'!$C:$C,N3072))</f>
        <v>0</v>
      </c>
    </row>
    <row r="3073" spans="13:16">
      <c r="M3073" s="49">
        <f>IF($A$4+30&gt;$B$4,"",$A$4+30)</f>
        <v>46053</v>
      </c>
      <c r="N3073">
        <f>IF(M3073="","",'Master Barang'!A67)</f>
        <v>0</v>
      </c>
      <c r="O3073">
        <f>IF(N3073="","",'Master Barang'!B67)</f>
        <v>0</v>
      </c>
      <c r="P3073">
        <f>IF(OR(M3073="",N3073=""),"",SUMIFS('Barang Keluar'!$E:$E,'Barang Keluar'!$A:$A,M3073,'Barang Keluar'!$C:$C,N3073))</f>
        <v>0</v>
      </c>
    </row>
    <row r="3074" spans="13:16">
      <c r="M3074" s="49">
        <f>IF($A$4+30&gt;$B$4,"",$A$4+30)</f>
        <v>46053</v>
      </c>
      <c r="N3074">
        <f>IF(M3074="","",'Master Barang'!A68)</f>
        <v>0</v>
      </c>
      <c r="O3074">
        <f>IF(N3074="","",'Master Barang'!B68)</f>
        <v>0</v>
      </c>
      <c r="P3074">
        <f>IF(OR(M3074="",N3074=""),"",SUMIFS('Barang Keluar'!$E:$E,'Barang Keluar'!$A:$A,M3074,'Barang Keluar'!$C:$C,N3074))</f>
        <v>0</v>
      </c>
    </row>
    <row r="3075" spans="13:16">
      <c r="M3075" s="49">
        <f>IF($A$4+30&gt;$B$4,"",$A$4+30)</f>
        <v>46053</v>
      </c>
      <c r="N3075">
        <f>IF(M3075="","",'Master Barang'!A69)</f>
        <v>0</v>
      </c>
      <c r="O3075">
        <f>IF(N3075="","",'Master Barang'!B69)</f>
        <v>0</v>
      </c>
      <c r="P3075">
        <f>IF(OR(M3075="",N3075=""),"",SUMIFS('Barang Keluar'!$E:$E,'Barang Keluar'!$A:$A,M3075,'Barang Keluar'!$C:$C,N3075))</f>
        <v>0</v>
      </c>
    </row>
    <row r="3076" spans="13:16">
      <c r="M3076" s="49">
        <f>IF($A$4+30&gt;$B$4,"",$A$4+30)</f>
        <v>46053</v>
      </c>
      <c r="N3076">
        <f>IF(M3076="","",'Master Barang'!A70)</f>
        <v>0</v>
      </c>
      <c r="O3076">
        <f>IF(N3076="","",'Master Barang'!B70)</f>
        <v>0</v>
      </c>
      <c r="P3076">
        <f>IF(OR(M3076="",N3076=""),"",SUMIFS('Barang Keluar'!$E:$E,'Barang Keluar'!$A:$A,M3076,'Barang Keluar'!$C:$C,N3076))</f>
        <v>0</v>
      </c>
    </row>
    <row r="3077" spans="13:16">
      <c r="M3077" s="49">
        <f>IF($A$4+30&gt;$B$4,"",$A$4+30)</f>
        <v>46053</v>
      </c>
      <c r="N3077">
        <f>IF(M3077="","",'Master Barang'!A71)</f>
        <v>0</v>
      </c>
      <c r="O3077">
        <f>IF(N3077="","",'Master Barang'!B71)</f>
        <v>0</v>
      </c>
      <c r="P3077">
        <f>IF(OR(M3077="",N3077=""),"",SUMIFS('Barang Keluar'!$E:$E,'Barang Keluar'!$A:$A,M3077,'Barang Keluar'!$C:$C,N3077))</f>
        <v>0</v>
      </c>
    </row>
    <row r="3078" spans="13:16">
      <c r="M3078" s="49">
        <f>IF($A$4+30&gt;$B$4,"",$A$4+30)</f>
        <v>46053</v>
      </c>
      <c r="N3078">
        <f>IF(M3078="","",'Master Barang'!A72)</f>
        <v>0</v>
      </c>
      <c r="O3078">
        <f>IF(N3078="","",'Master Barang'!B72)</f>
        <v>0</v>
      </c>
      <c r="P3078">
        <f>IF(OR(M3078="",N3078=""),"",SUMIFS('Barang Keluar'!$E:$E,'Barang Keluar'!$A:$A,M3078,'Barang Keluar'!$C:$C,N3078))</f>
        <v>0</v>
      </c>
    </row>
    <row r="3079" spans="13:16">
      <c r="M3079" s="49">
        <f>IF($A$4+30&gt;$B$4,"",$A$4+30)</f>
        <v>46053</v>
      </c>
      <c r="N3079">
        <f>IF(M3079="","",'Master Barang'!A73)</f>
        <v>0</v>
      </c>
      <c r="O3079">
        <f>IF(N3079="","",'Master Barang'!B73)</f>
        <v>0</v>
      </c>
      <c r="P3079">
        <f>IF(OR(M3079="",N3079=""),"",SUMIFS('Barang Keluar'!$E:$E,'Barang Keluar'!$A:$A,M3079,'Barang Keluar'!$C:$C,N3079))</f>
        <v>0</v>
      </c>
    </row>
    <row r="3080" spans="13:16">
      <c r="M3080" s="49">
        <f>IF($A$4+30&gt;$B$4,"",$A$4+30)</f>
        <v>46053</v>
      </c>
      <c r="N3080">
        <f>IF(M3080="","",'Master Barang'!A74)</f>
        <v>0</v>
      </c>
      <c r="O3080">
        <f>IF(N3080="","",'Master Barang'!B74)</f>
        <v>0</v>
      </c>
      <c r="P3080">
        <f>IF(OR(M3080="",N3080=""),"",SUMIFS('Barang Keluar'!$E:$E,'Barang Keluar'!$A:$A,M3080,'Barang Keluar'!$C:$C,N3080))</f>
        <v>0</v>
      </c>
    </row>
    <row r="3081" spans="13:16">
      <c r="M3081" s="49">
        <f>IF($A$4+30&gt;$B$4,"",$A$4+30)</f>
        <v>46053</v>
      </c>
      <c r="N3081">
        <f>IF(M3081="","",'Master Barang'!A75)</f>
        <v>0</v>
      </c>
      <c r="O3081">
        <f>IF(N3081="","",'Master Barang'!B75)</f>
        <v>0</v>
      </c>
      <c r="P3081">
        <f>IF(OR(M3081="",N3081=""),"",SUMIFS('Barang Keluar'!$E:$E,'Barang Keluar'!$A:$A,M3081,'Barang Keluar'!$C:$C,N3081))</f>
        <v>0</v>
      </c>
    </row>
    <row r="3082" spans="13:16">
      <c r="M3082" s="49">
        <f>IF($A$4+30&gt;$B$4,"",$A$4+30)</f>
        <v>46053</v>
      </c>
      <c r="N3082">
        <f>IF(M3082="","",'Master Barang'!A76)</f>
        <v>0</v>
      </c>
      <c r="O3082">
        <f>IF(N3082="","",'Master Barang'!B76)</f>
        <v>0</v>
      </c>
      <c r="P3082">
        <f>IF(OR(M3082="",N3082=""),"",SUMIFS('Barang Keluar'!$E:$E,'Barang Keluar'!$A:$A,M3082,'Barang Keluar'!$C:$C,N3082))</f>
        <v>0</v>
      </c>
    </row>
    <row r="3083" spans="13:16">
      <c r="M3083" s="49">
        <f>IF($A$4+30&gt;$B$4,"",$A$4+30)</f>
        <v>46053</v>
      </c>
      <c r="N3083">
        <f>IF(M3083="","",'Master Barang'!A77)</f>
        <v>0</v>
      </c>
      <c r="O3083">
        <f>IF(N3083="","",'Master Barang'!B77)</f>
        <v>0</v>
      </c>
      <c r="P3083">
        <f>IF(OR(M3083="",N3083=""),"",SUMIFS('Barang Keluar'!$E:$E,'Barang Keluar'!$A:$A,M3083,'Barang Keluar'!$C:$C,N3083))</f>
        <v>0</v>
      </c>
    </row>
    <row r="3084" spans="13:16">
      <c r="M3084" s="49">
        <f>IF($A$4+30&gt;$B$4,"",$A$4+30)</f>
        <v>46053</v>
      </c>
      <c r="N3084">
        <f>IF(M3084="","",'Master Barang'!A78)</f>
        <v>0</v>
      </c>
      <c r="O3084">
        <f>IF(N3084="","",'Master Barang'!B78)</f>
        <v>0</v>
      </c>
      <c r="P3084">
        <f>IF(OR(M3084="",N3084=""),"",SUMIFS('Barang Keluar'!$E:$E,'Barang Keluar'!$A:$A,M3084,'Barang Keluar'!$C:$C,N3084))</f>
        <v>0</v>
      </c>
    </row>
    <row r="3085" spans="13:16">
      <c r="M3085" s="49">
        <f>IF($A$4+30&gt;$B$4,"",$A$4+30)</f>
        <v>46053</v>
      </c>
      <c r="N3085">
        <f>IF(M3085="","",'Master Barang'!A79)</f>
        <v>0</v>
      </c>
      <c r="O3085">
        <f>IF(N3085="","",'Master Barang'!B79)</f>
        <v>0</v>
      </c>
      <c r="P3085">
        <f>IF(OR(M3085="",N3085=""),"",SUMIFS('Barang Keluar'!$E:$E,'Barang Keluar'!$A:$A,M3085,'Barang Keluar'!$C:$C,N3085))</f>
        <v>0</v>
      </c>
    </row>
    <row r="3086" spans="13:16">
      <c r="M3086" s="49">
        <f>IF($A$4+30&gt;$B$4,"",$A$4+30)</f>
        <v>46053</v>
      </c>
      <c r="N3086">
        <f>IF(M3086="","",'Master Barang'!A80)</f>
        <v>0</v>
      </c>
      <c r="O3086">
        <f>IF(N3086="","",'Master Barang'!B80)</f>
        <v>0</v>
      </c>
      <c r="P3086">
        <f>IF(OR(M3086="",N3086=""),"",SUMIFS('Barang Keluar'!$E:$E,'Barang Keluar'!$A:$A,M3086,'Barang Keluar'!$C:$C,N3086))</f>
        <v>0</v>
      </c>
    </row>
    <row r="3087" spans="13:16">
      <c r="M3087" s="49">
        <f>IF($A$4+30&gt;$B$4,"",$A$4+30)</f>
        <v>46053</v>
      </c>
      <c r="N3087">
        <f>IF(M3087="","",'Master Barang'!A81)</f>
        <v>0</v>
      </c>
      <c r="O3087">
        <f>IF(N3087="","",'Master Barang'!B81)</f>
        <v>0</v>
      </c>
      <c r="P3087">
        <f>IF(OR(M3087="",N3087=""),"",SUMIFS('Barang Keluar'!$E:$E,'Barang Keluar'!$A:$A,M3087,'Barang Keluar'!$C:$C,N3087))</f>
        <v>0</v>
      </c>
    </row>
    <row r="3088" spans="13:16">
      <c r="M3088" s="49">
        <f>IF($A$4+30&gt;$B$4,"",$A$4+30)</f>
        <v>46053</v>
      </c>
      <c r="N3088">
        <f>IF(M3088="","",'Master Barang'!A82)</f>
        <v>0</v>
      </c>
      <c r="O3088">
        <f>IF(N3088="","",'Master Barang'!B82)</f>
        <v>0</v>
      </c>
      <c r="P3088">
        <f>IF(OR(M3088="",N3088=""),"",SUMIFS('Barang Keluar'!$E:$E,'Barang Keluar'!$A:$A,M3088,'Barang Keluar'!$C:$C,N3088))</f>
        <v>0</v>
      </c>
    </row>
    <row r="3089" spans="13:16">
      <c r="M3089" s="49">
        <f>IF($A$4+30&gt;$B$4,"",$A$4+30)</f>
        <v>46053</v>
      </c>
      <c r="N3089">
        <f>IF(M3089="","",'Master Barang'!A83)</f>
        <v>0</v>
      </c>
      <c r="O3089">
        <f>IF(N3089="","",'Master Barang'!B83)</f>
        <v>0</v>
      </c>
      <c r="P3089">
        <f>IF(OR(M3089="",N3089=""),"",SUMIFS('Barang Keluar'!$E:$E,'Barang Keluar'!$A:$A,M3089,'Barang Keluar'!$C:$C,N3089))</f>
        <v>0</v>
      </c>
    </row>
    <row r="3090" spans="13:16">
      <c r="M3090" s="49">
        <f>IF($A$4+30&gt;$B$4,"",$A$4+30)</f>
        <v>46053</v>
      </c>
      <c r="N3090">
        <f>IF(M3090="","",'Master Barang'!A84)</f>
        <v>0</v>
      </c>
      <c r="O3090">
        <f>IF(N3090="","",'Master Barang'!B84)</f>
        <v>0</v>
      </c>
      <c r="P3090">
        <f>IF(OR(M3090="",N3090=""),"",SUMIFS('Barang Keluar'!$E:$E,'Barang Keluar'!$A:$A,M3090,'Barang Keluar'!$C:$C,N3090))</f>
        <v>0</v>
      </c>
    </row>
    <row r="3091" spans="13:16">
      <c r="M3091" s="49">
        <f>IF($A$4+30&gt;$B$4,"",$A$4+30)</f>
        <v>46053</v>
      </c>
      <c r="N3091">
        <f>IF(M3091="","",'Master Barang'!A85)</f>
        <v>0</v>
      </c>
      <c r="O3091">
        <f>IF(N3091="","",'Master Barang'!B85)</f>
        <v>0</v>
      </c>
      <c r="P3091">
        <f>IF(OR(M3091="",N3091=""),"",SUMIFS('Barang Keluar'!$E:$E,'Barang Keluar'!$A:$A,M3091,'Barang Keluar'!$C:$C,N3091))</f>
        <v>0</v>
      </c>
    </row>
    <row r="3092" spans="13:16">
      <c r="M3092" s="49">
        <f>IF($A$4+30&gt;$B$4,"",$A$4+30)</f>
        <v>46053</v>
      </c>
      <c r="N3092">
        <f>IF(M3092="","",'Master Barang'!A86)</f>
        <v>0</v>
      </c>
      <c r="O3092">
        <f>IF(N3092="","",'Master Barang'!B86)</f>
        <v>0</v>
      </c>
      <c r="P3092">
        <f>IF(OR(M3092="",N3092=""),"",SUMIFS('Barang Keluar'!$E:$E,'Barang Keluar'!$A:$A,M3092,'Barang Keluar'!$C:$C,N3092))</f>
        <v>0</v>
      </c>
    </row>
    <row r="3093" spans="13:16">
      <c r="M3093" s="49">
        <f>IF($A$4+30&gt;$B$4,"",$A$4+30)</f>
        <v>46053</v>
      </c>
      <c r="N3093">
        <f>IF(M3093="","",'Master Barang'!A87)</f>
        <v>0</v>
      </c>
      <c r="O3093">
        <f>IF(N3093="","",'Master Barang'!B87)</f>
        <v>0</v>
      </c>
      <c r="P3093">
        <f>IF(OR(M3093="",N3093=""),"",SUMIFS('Barang Keluar'!$E:$E,'Barang Keluar'!$A:$A,M3093,'Barang Keluar'!$C:$C,N3093))</f>
        <v>0</v>
      </c>
    </row>
    <row r="3094" spans="13:16">
      <c r="M3094" s="49">
        <f>IF($A$4+30&gt;$B$4,"",$A$4+30)</f>
        <v>46053</v>
      </c>
      <c r="N3094">
        <f>IF(M3094="","",'Master Barang'!A88)</f>
        <v>0</v>
      </c>
      <c r="O3094">
        <f>IF(N3094="","",'Master Barang'!B88)</f>
        <v>0</v>
      </c>
      <c r="P3094">
        <f>IF(OR(M3094="",N3094=""),"",SUMIFS('Barang Keluar'!$E:$E,'Barang Keluar'!$A:$A,M3094,'Barang Keluar'!$C:$C,N3094))</f>
        <v>0</v>
      </c>
    </row>
    <row r="3095" spans="13:16">
      <c r="M3095" s="49">
        <f>IF($A$4+30&gt;$B$4,"",$A$4+30)</f>
        <v>46053</v>
      </c>
      <c r="N3095">
        <f>IF(M3095="","",'Master Barang'!A89)</f>
        <v>0</v>
      </c>
      <c r="O3095">
        <f>IF(N3095="","",'Master Barang'!B89)</f>
        <v>0</v>
      </c>
      <c r="P3095">
        <f>IF(OR(M3095="",N3095=""),"",SUMIFS('Barang Keluar'!$E:$E,'Barang Keluar'!$A:$A,M3095,'Barang Keluar'!$C:$C,N3095))</f>
        <v>0</v>
      </c>
    </row>
    <row r="3096" spans="13:16">
      <c r="M3096" s="49">
        <f>IF($A$4+30&gt;$B$4,"",$A$4+30)</f>
        <v>46053</v>
      </c>
      <c r="N3096">
        <f>IF(M3096="","",'Master Barang'!A90)</f>
        <v>0</v>
      </c>
      <c r="O3096">
        <f>IF(N3096="","",'Master Barang'!B90)</f>
        <v>0</v>
      </c>
      <c r="P3096">
        <f>IF(OR(M3096="",N3096=""),"",SUMIFS('Barang Keluar'!$E:$E,'Barang Keluar'!$A:$A,M3096,'Barang Keluar'!$C:$C,N3096))</f>
        <v>0</v>
      </c>
    </row>
    <row r="3097" spans="13:16">
      <c r="M3097" s="49">
        <f>IF($A$4+30&gt;$B$4,"",$A$4+30)</f>
        <v>46053</v>
      </c>
      <c r="N3097">
        <f>IF(M3097="","",'Master Barang'!A91)</f>
        <v>0</v>
      </c>
      <c r="O3097">
        <f>IF(N3097="","",'Master Barang'!B91)</f>
        <v>0</v>
      </c>
      <c r="P3097">
        <f>IF(OR(M3097="",N3097=""),"",SUMIFS('Barang Keluar'!$E:$E,'Barang Keluar'!$A:$A,M3097,'Barang Keluar'!$C:$C,N3097))</f>
        <v>0</v>
      </c>
    </row>
    <row r="3098" spans="13:16">
      <c r="M3098" s="49">
        <f>IF($A$4+30&gt;$B$4,"",$A$4+30)</f>
        <v>46053</v>
      </c>
      <c r="N3098">
        <f>IF(M3098="","",'Master Barang'!A92)</f>
        <v>0</v>
      </c>
      <c r="O3098">
        <f>IF(N3098="","",'Master Barang'!B92)</f>
        <v>0</v>
      </c>
      <c r="P3098">
        <f>IF(OR(M3098="",N3098=""),"",SUMIFS('Barang Keluar'!$E:$E,'Barang Keluar'!$A:$A,M3098,'Barang Keluar'!$C:$C,N3098))</f>
        <v>0</v>
      </c>
    </row>
    <row r="3099" spans="13:16">
      <c r="M3099" s="49">
        <f>IF($A$4+30&gt;$B$4,"",$A$4+30)</f>
        <v>46053</v>
      </c>
      <c r="N3099">
        <f>IF(M3099="","",'Master Barang'!A93)</f>
        <v>0</v>
      </c>
      <c r="O3099">
        <f>IF(N3099="","",'Master Barang'!B93)</f>
        <v>0</v>
      </c>
      <c r="P3099">
        <f>IF(OR(M3099="",N3099=""),"",SUMIFS('Barang Keluar'!$E:$E,'Barang Keluar'!$A:$A,M3099,'Barang Keluar'!$C:$C,N3099))</f>
        <v>0</v>
      </c>
    </row>
    <row r="3100" spans="13:16">
      <c r="M3100" s="49">
        <f>IF($A$4+30&gt;$B$4,"",$A$4+30)</f>
        <v>46053</v>
      </c>
      <c r="N3100">
        <f>IF(M3100="","",'Master Barang'!A94)</f>
        <v>0</v>
      </c>
      <c r="O3100">
        <f>IF(N3100="","",'Master Barang'!B94)</f>
        <v>0</v>
      </c>
      <c r="P3100">
        <f>IF(OR(M3100="",N3100=""),"",SUMIFS('Barang Keluar'!$E:$E,'Barang Keluar'!$A:$A,M3100,'Barang Keluar'!$C:$C,N3100))</f>
        <v>0</v>
      </c>
    </row>
    <row r="3101" spans="13:16">
      <c r="M3101" s="49">
        <f>IF($A$4+30&gt;$B$4,"",$A$4+30)</f>
        <v>46053</v>
      </c>
      <c r="N3101">
        <f>IF(M3101="","",'Master Barang'!A95)</f>
        <v>0</v>
      </c>
      <c r="O3101">
        <f>IF(N3101="","",'Master Barang'!B95)</f>
        <v>0</v>
      </c>
      <c r="P3101">
        <f>IF(OR(M3101="",N3101=""),"",SUMIFS('Barang Keluar'!$E:$E,'Barang Keluar'!$A:$A,M3101,'Barang Keluar'!$C:$C,N3101))</f>
        <v>0</v>
      </c>
    </row>
    <row r="3102" spans="13:16">
      <c r="M3102" s="49">
        <f>IF($A$4+30&gt;$B$4,"",$A$4+30)</f>
        <v>46053</v>
      </c>
      <c r="N3102">
        <f>IF(M3102="","",'Master Barang'!A96)</f>
        <v>0</v>
      </c>
      <c r="O3102">
        <f>IF(N3102="","",'Master Barang'!B96)</f>
        <v>0</v>
      </c>
      <c r="P3102">
        <f>IF(OR(M3102="",N3102=""),"",SUMIFS('Barang Keluar'!$E:$E,'Barang Keluar'!$A:$A,M3102,'Barang Keluar'!$C:$C,N3102))</f>
        <v>0</v>
      </c>
    </row>
    <row r="3103" spans="13:16">
      <c r="M3103" s="49">
        <f>IF($A$4+30&gt;$B$4,"",$A$4+30)</f>
        <v>46053</v>
      </c>
      <c r="N3103">
        <f>IF(M3103="","",'Master Barang'!A97)</f>
        <v>0</v>
      </c>
      <c r="O3103">
        <f>IF(N3103="","",'Master Barang'!B97)</f>
        <v>0</v>
      </c>
      <c r="P3103">
        <f>IF(OR(M3103="",N3103=""),"",SUMIFS('Barang Keluar'!$E:$E,'Barang Keluar'!$A:$A,M3103,'Barang Keluar'!$C:$C,N3103))</f>
        <v>0</v>
      </c>
    </row>
    <row r="3104" spans="13:16">
      <c r="M3104" s="49">
        <f>IF($A$4+30&gt;$B$4,"",$A$4+30)</f>
        <v>46053</v>
      </c>
      <c r="N3104">
        <f>IF(M3104="","",'Master Barang'!A98)</f>
        <v>0</v>
      </c>
      <c r="O3104">
        <f>IF(N3104="","",'Master Barang'!B98)</f>
        <v>0</v>
      </c>
      <c r="P3104">
        <f>IF(OR(M3104="",N3104=""),"",SUMIFS('Barang Keluar'!$E:$E,'Barang Keluar'!$A:$A,M3104,'Barang Keluar'!$C:$C,N3104))</f>
        <v>0</v>
      </c>
    </row>
    <row r="3105" spans="13:16">
      <c r="M3105" s="49">
        <f>IF($A$4+30&gt;$B$4,"",$A$4+30)</f>
        <v>46053</v>
      </c>
      <c r="N3105">
        <f>IF(M3105="","",'Master Barang'!A99)</f>
        <v>0</v>
      </c>
      <c r="O3105">
        <f>IF(N3105="","",'Master Barang'!B99)</f>
        <v>0</v>
      </c>
      <c r="P3105">
        <f>IF(OR(M3105="",N3105=""),"",SUMIFS('Barang Keluar'!$E:$E,'Barang Keluar'!$A:$A,M3105,'Barang Keluar'!$C:$C,N3105))</f>
        <v>0</v>
      </c>
    </row>
    <row r="3106" spans="13:16">
      <c r="M3106" s="49">
        <f>IF($A$4+30&gt;$B$4,"",$A$4+30)</f>
        <v>46053</v>
      </c>
      <c r="N3106">
        <f>IF(M3106="","",'Master Barang'!A100)</f>
        <v>0</v>
      </c>
      <c r="O3106">
        <f>IF(N3106="","",'Master Barang'!B100)</f>
        <v>0</v>
      </c>
      <c r="P3106">
        <f>IF(OR(M3106="",N3106=""),"",SUMIFS('Barang Keluar'!$E:$E,'Barang Keluar'!$A:$A,M3106,'Barang Keluar'!$C:$C,N3106))</f>
        <v>0</v>
      </c>
    </row>
    <row r="3107" spans="13:16">
      <c r="M3107" s="49">
        <f>IF($A$4+30&gt;$B$4,"",$A$4+30)</f>
        <v>46053</v>
      </c>
      <c r="N3107">
        <f>IF(M3107="","",'Master Barang'!A101)</f>
        <v>0</v>
      </c>
      <c r="O3107">
        <f>IF(N3107="","",'Master Barang'!B101)</f>
        <v>0</v>
      </c>
      <c r="P3107">
        <f>IF(OR(M3107="",N3107=""),"",SUMIFS('Barang Keluar'!$E:$E,'Barang Keluar'!$A:$A,M3107,'Barang Keluar'!$C:$C,N3107))</f>
        <v>0</v>
      </c>
    </row>
    <row r="3108" spans="13:16">
      <c r="M3108" s="49">
        <f>IF($A$4+31&gt;$B$4,"",$A$4+31)</f>
        <v>46054</v>
      </c>
      <c r="N3108" t="str">
        <f>IF(M3108="","",'Master Barang'!A2)</f>
        <v>PRL-001</v>
      </c>
      <c r="O3108" t="str">
        <f>IF(N3108="","",'Master Barang'!B2)</f>
        <v>natura desinfectant food grade 5l</v>
      </c>
      <c r="P3108">
        <f>IF(OR(M3108="",N3108=""),"",SUMIFS('Barang Keluar'!$E:$E,'Barang Keluar'!$A:$A,M3108,'Barang Keluar'!$C:$C,N3108))</f>
        <v>0</v>
      </c>
    </row>
    <row r="3109" spans="13:16">
      <c r="M3109" s="49">
        <f>IF($A$4+31&gt;$B$4,"",$A$4+31)</f>
        <v>46054</v>
      </c>
      <c r="N3109" t="str">
        <f>IF(M3109="","",'Master Barang'!A3)</f>
        <v>PRL-002</v>
      </c>
      <c r="O3109" t="str">
        <f>IF(N3109="","",'Master Barang'!B3)</f>
        <v>sunlight cairan pencuci piring 5l</v>
      </c>
      <c r="P3109">
        <f>IF(OR(M3109="",N3109=""),"",SUMIFS('Barang Keluar'!$E:$E,'Barang Keluar'!$A:$A,M3109,'Barang Keluar'!$C:$C,N3109))</f>
        <v>0</v>
      </c>
    </row>
    <row r="3110" spans="13:16">
      <c r="M3110" s="49">
        <f>IF($A$4+31&gt;$B$4,"",$A$4+31)</f>
        <v>46054</v>
      </c>
      <c r="N3110" t="str">
        <f>IF(M3110="","",'Master Barang'!A4)</f>
        <v>PRL-003</v>
      </c>
      <c r="O3110" t="str">
        <f>IF(N3110="","",'Master Barang'!B4)</f>
        <v>oixs cleaner 1l</v>
      </c>
      <c r="P3110">
        <f>IF(OR(M3110="",N3110=""),"",SUMIFS('Barang Keluar'!$E:$E,'Barang Keluar'!$A:$A,M3110,'Barang Keluar'!$C:$C,N3110))</f>
        <v>0</v>
      </c>
    </row>
    <row r="3111" spans="13:16">
      <c r="M3111" s="49">
        <f>IF($A$4+31&gt;$B$4,"",$A$4+31)</f>
        <v>46054</v>
      </c>
      <c r="N3111" t="str">
        <f>IF(M3111="","",'Master Barang'!A5)</f>
        <v>PRL-004</v>
      </c>
      <c r="O3111" t="str">
        <f>IF(N3111="","",'Master Barang'!B5)</f>
        <v>be clean tissue serbaguna</v>
      </c>
      <c r="P3111">
        <f>IF(OR(M3111="",N3111=""),"",SUMIFS('Barang Keluar'!$E:$E,'Barang Keluar'!$A:$A,M3111,'Barang Keluar'!$C:$C,N3111))</f>
        <v>0</v>
      </c>
    </row>
    <row r="3112" spans="13:16">
      <c r="M3112" s="49">
        <f>IF($A$4+31&gt;$B$4,"",$A$4+31)</f>
        <v>46054</v>
      </c>
      <c r="N3112" t="str">
        <f>IF(M3112="","",'Master Barang'!A6)</f>
        <v>PRL-005</v>
      </c>
      <c r="O3112" t="str">
        <f>IF(N3112="","",'Master Barang'!B6)</f>
        <v>spons cuci hijau</v>
      </c>
      <c r="P3112">
        <f>IF(OR(M3112="",N3112=""),"",SUMIFS('Barang Keluar'!$E:$E,'Barang Keluar'!$A:$A,M3112,'Barang Keluar'!$C:$C,N3112))</f>
        <v>0</v>
      </c>
    </row>
    <row r="3113" spans="13:16">
      <c r="M3113" s="49">
        <f>IF($A$4+31&gt;$B$4,"",$A$4+31)</f>
        <v>46054</v>
      </c>
      <c r="N3113" t="str">
        <f>IF(M3113="","",'Master Barang'!A7)</f>
        <v>PRL-006</v>
      </c>
      <c r="O3113" t="str">
        <f>IF(N3113="","",'Master Barang'!B7)</f>
        <v>sabut cuci stainless</v>
      </c>
      <c r="P3113">
        <f>IF(OR(M3113="",N3113=""),"",SUMIFS('Barang Keluar'!$E:$E,'Barang Keluar'!$A:$A,M3113,'Barang Keluar'!$C:$C,N3113))</f>
        <v>0</v>
      </c>
    </row>
    <row r="3114" spans="13:16">
      <c r="M3114" s="49">
        <f>IF($A$4+31&gt;$B$4,"",$A$4+31)</f>
        <v>46054</v>
      </c>
      <c r="N3114" t="str">
        <f>IF(M3114="","",'Master Barang'!A8)</f>
        <v>PRL-007</v>
      </c>
      <c r="O3114" t="str">
        <f>IF(N3114="","",'Master Barang'!B8)</f>
        <v>plastik kresek besar merah 50pc</v>
      </c>
      <c r="P3114">
        <f>IF(OR(M3114="",N3114=""),"",SUMIFS('Barang Keluar'!$E:$E,'Barang Keluar'!$A:$A,M3114,'Barang Keluar'!$C:$C,N3114))</f>
        <v>0</v>
      </c>
    </row>
    <row r="3115" spans="13:16">
      <c r="M3115" s="49">
        <f>IF($A$4+31&gt;$B$4,"",$A$4+31)</f>
        <v>46054</v>
      </c>
      <c r="N3115" t="str">
        <f>IF(M3115="","",'Master Barang'!A9)</f>
        <v>PRL-008</v>
      </c>
      <c r="O3115" t="str">
        <f>IF(N3115="","",'Master Barang'!B9)</f>
        <v>lap besar</v>
      </c>
      <c r="P3115">
        <f>IF(OR(M3115="",N3115=""),"",SUMIFS('Barang Keluar'!$E:$E,'Barang Keluar'!$A:$A,M3115,'Barang Keluar'!$C:$C,N3115))</f>
        <v>0</v>
      </c>
    </row>
    <row r="3116" spans="13:16">
      <c r="M3116" s="49">
        <f>IF($A$4+31&gt;$B$4,"",$A$4+31)</f>
        <v>46054</v>
      </c>
      <c r="N3116" t="str">
        <f>IF(M3116="","",'Master Barang'!A10)</f>
        <v>PRL-009</v>
      </c>
      <c r="O3116" t="str">
        <f>IF(N3116="","",'Master Barang'!B10)</f>
        <v>lap microfiber</v>
      </c>
      <c r="P3116">
        <f>IF(OR(M3116="",N3116=""),"",SUMIFS('Barang Keluar'!$E:$E,'Barang Keluar'!$A:$A,M3116,'Barang Keluar'!$C:$C,N3116))</f>
        <v>0</v>
      </c>
    </row>
    <row r="3117" spans="13:16">
      <c r="M3117" s="49">
        <f>IF($A$4+31&gt;$B$4,"",$A$4+31)</f>
        <v>46054</v>
      </c>
      <c r="N3117" t="str">
        <f>IF(M3117="","",'Master Barang'!A11)</f>
        <v>PRL-010</v>
      </c>
      <c r="O3117" t="str">
        <f>IF(N3117="","",'Master Barang'!B11)</f>
        <v>lap kecil</v>
      </c>
      <c r="P3117">
        <f>IF(OR(M3117="",N3117=""),"",SUMIFS('Barang Keluar'!$E:$E,'Barang Keluar'!$A:$A,M3117,'Barang Keluar'!$C:$C,N3117))</f>
        <v>0</v>
      </c>
    </row>
    <row r="3118" spans="13:16">
      <c r="M3118" s="49">
        <f>IF($A$4+31&gt;$B$4,"",$A$4+31)</f>
        <v>46054</v>
      </c>
      <c r="N3118" t="str">
        <f>IF(M3118="","",'Master Barang'!A12)</f>
        <v>PRL-011</v>
      </c>
      <c r="O3118" t="str">
        <f>IF(N3118="","",'Master Barang'!B12)</f>
        <v>kanebo kecil</v>
      </c>
      <c r="P3118">
        <f>IF(OR(M3118="",N3118=""),"",SUMIFS('Barang Keluar'!$E:$E,'Barang Keluar'!$A:$A,M3118,'Barang Keluar'!$C:$C,N3118))</f>
        <v>0</v>
      </c>
    </row>
    <row r="3119" spans="13:16">
      <c r="M3119" s="49">
        <f>IF($A$4+31&gt;$B$4,"",$A$4+31)</f>
        <v>46054</v>
      </c>
      <c r="N3119" t="str">
        <f>IF(M3119="","",'Master Barang'!A13)</f>
        <v>PRL-012</v>
      </c>
      <c r="O3119" t="str">
        <f>IF(N3119="","",'Master Barang'!B13)</f>
        <v>plastik 1/4kg joyoboyo 100 lembar</v>
      </c>
      <c r="P3119">
        <f>IF(OR(M3119="",N3119=""),"",SUMIFS('Barang Keluar'!$E:$E,'Barang Keluar'!$A:$A,M3119,'Barang Keluar'!$C:$C,N3119))</f>
        <v>0</v>
      </c>
    </row>
    <row r="3120" spans="13:16">
      <c r="M3120" s="49">
        <f>IF($A$4+31&gt;$B$4,"",$A$4+31)</f>
        <v>46054</v>
      </c>
      <c r="N3120" t="str">
        <f>IF(M3120="","",'Master Barang'!A14)</f>
        <v>PRL-013</v>
      </c>
      <c r="O3120" t="str">
        <f>IF(N3120="","",'Master Barang'!B14)</f>
        <v>sarung tangan plastik kaka 100 pcs</v>
      </c>
      <c r="P3120">
        <f>IF(OR(M3120="",N3120=""),"",SUMIFS('Barang Keluar'!$E:$E,'Barang Keluar'!$A:$A,M3120,'Barang Keluar'!$C:$C,N3120))</f>
        <v>0</v>
      </c>
    </row>
    <row r="3121" spans="13:16">
      <c r="M3121" s="49">
        <f>IF($A$4+31&gt;$B$4,"",$A$4+31)</f>
        <v>46054</v>
      </c>
      <c r="N3121" t="str">
        <f>IF(M3121="","",'Master Barang'!A15)</f>
        <v>PRL-014</v>
      </c>
      <c r="O3121" t="str">
        <f>IF(N3121="","",'Master Barang'!B15)</f>
        <v>optima trashbag 80x100</v>
      </c>
      <c r="P3121">
        <f>IF(OR(M3121="",N3121=""),"",SUMIFS('Barang Keluar'!$E:$E,'Barang Keluar'!$A:$A,M3121,'Barang Keluar'!$C:$C,N3121))</f>
        <v>0</v>
      </c>
    </row>
    <row r="3122" spans="13:16">
      <c r="M3122" s="49">
        <f>IF($A$4+31&gt;$B$4,"",$A$4+31)</f>
        <v>46054</v>
      </c>
      <c r="N3122" t="str">
        <f>IF(M3122="","",'Master Barang'!A16)</f>
        <v>PRL-015</v>
      </c>
      <c r="O3122" t="str">
        <f>IF(N3122="","",'Master Barang'!B16)</f>
        <v>optima trashbag 60x100</v>
      </c>
      <c r="P3122">
        <f>IF(OR(M3122="",N3122=""),"",SUMIFS('Barang Keluar'!$E:$E,'Barang Keluar'!$A:$A,M3122,'Barang Keluar'!$C:$C,N3122))</f>
        <v>0</v>
      </c>
    </row>
    <row r="3123" spans="13:16">
      <c r="M3123" s="49">
        <f>IF($A$4+31&gt;$B$4,"",$A$4+31)</f>
        <v>46054</v>
      </c>
      <c r="N3123" t="str">
        <f>IF(M3123="","",'Master Barang'!A17)</f>
        <v>PRL-016</v>
      </c>
      <c r="O3123" t="str">
        <f>IF(N3123="","",'Master Barang'!B17)</f>
        <v>rajawali trashbag 30x40</v>
      </c>
      <c r="P3123">
        <f>IF(OR(M3123="",N3123=""),"",SUMIFS('Barang Keluar'!$E:$E,'Barang Keluar'!$A:$A,M3123,'Barang Keluar'!$C:$C,N3123))</f>
        <v>0</v>
      </c>
    </row>
    <row r="3124" spans="13:16">
      <c r="M3124" s="49">
        <f>IF($A$4+31&gt;$B$4,"",$A$4+31)</f>
        <v>46054</v>
      </c>
      <c r="N3124" t="str">
        <f>IF(M3124="","",'Master Barang'!A18)</f>
        <v>PRL-017</v>
      </c>
      <c r="O3124" t="str">
        <f>IF(N3124="","",'Master Barang'!B18)</f>
        <v>onemed masker biru 3 play 50 pcs</v>
      </c>
      <c r="P3124">
        <f>IF(OR(M3124="",N3124=""),"",SUMIFS('Barang Keluar'!$E:$E,'Barang Keluar'!$A:$A,M3124,'Barang Keluar'!$C:$C,N3124))</f>
        <v>0</v>
      </c>
    </row>
    <row r="3125" spans="13:16">
      <c r="M3125" s="49">
        <f>IF($A$4+31&gt;$B$4,"",$A$4+31)</f>
        <v>46054</v>
      </c>
      <c r="N3125" t="str">
        <f>IF(M3125="","",'Master Barang'!A19)</f>
        <v>PRL-018</v>
      </c>
      <c r="O3125" t="str">
        <f>IF(N3125="","",'Master Barang'!B19)</f>
        <v>onemed masker biru 3 play hijab 50 pcs</v>
      </c>
      <c r="P3125">
        <f>IF(OR(M3125="",N3125=""),"",SUMIFS('Barang Keluar'!$E:$E,'Barang Keluar'!$A:$A,M3125,'Barang Keluar'!$C:$C,N3125))</f>
        <v>0</v>
      </c>
    </row>
    <row r="3126" spans="13:16">
      <c r="M3126" s="49">
        <f>IF($A$4+31&gt;$B$4,"",$A$4+31)</f>
        <v>46054</v>
      </c>
      <c r="N3126" t="str">
        <f>IF(M3126="","",'Master Barang'!A20)</f>
        <v>PRL-019</v>
      </c>
      <c r="O3126" t="str">
        <f>IF(N3126="","",'Master Barang'!B20)</f>
        <v>neo health masker biru 3 play 50 pcs</v>
      </c>
      <c r="P3126">
        <f>IF(OR(M3126="",N3126=""),"",SUMIFS('Barang Keluar'!$E:$E,'Barang Keluar'!$A:$A,M3126,'Barang Keluar'!$C:$C,N3126))</f>
        <v>0</v>
      </c>
    </row>
    <row r="3127" spans="13:16">
      <c r="M3127" s="49">
        <f>IF($A$4+31&gt;$B$4,"",$A$4+31)</f>
        <v>46054</v>
      </c>
      <c r="N3127" t="str">
        <f>IF(M3127="","",'Master Barang'!A21)</f>
        <v>PRL-020</v>
      </c>
      <c r="O3127" t="str">
        <f>IF(N3127="","",'Master Barang'!B21)</f>
        <v>baymed masker hijau 3 play hijau 50 pcs</v>
      </c>
      <c r="P3127">
        <f>IF(OR(M3127="",N3127=""),"",SUMIFS('Barang Keluar'!$E:$E,'Barang Keluar'!$A:$A,M3127,'Barang Keluar'!$C:$C,N3127))</f>
        <v>0</v>
      </c>
    </row>
    <row r="3128" spans="13:16">
      <c r="M3128" s="49">
        <f>IF($A$4+31&gt;$B$4,"",$A$4+31)</f>
        <v>46054</v>
      </c>
      <c r="N3128" t="str">
        <f>IF(M3128="","",'Master Barang'!A22)</f>
        <v>PRL-021</v>
      </c>
      <c r="O3128" t="str">
        <f>IF(N3128="","",'Master Barang'!B22)</f>
        <v>altamed nurse cap penutup kepala 100 pcs</v>
      </c>
      <c r="P3128">
        <f>IF(OR(M3128="",N3128=""),"",SUMIFS('Barang Keluar'!$E:$E,'Barang Keluar'!$A:$A,M3128,'Barang Keluar'!$C:$C,N3128))</f>
        <v>0</v>
      </c>
    </row>
    <row r="3129" spans="13:16">
      <c r="M3129" s="49">
        <f>IF($A$4+31&gt;$B$4,"",$A$4+31)</f>
        <v>46054</v>
      </c>
      <c r="N3129" t="str">
        <f>IF(M3129="","",'Master Barang'!A23)</f>
        <v>PRL-022</v>
      </c>
      <c r="O3129" t="str">
        <f>IF(N3129="","",'Master Barang'!B23)</f>
        <v>sabun cuci tangan</v>
      </c>
      <c r="P3129">
        <f>IF(OR(M3129="",N3129=""),"",SUMIFS('Barang Keluar'!$E:$E,'Barang Keluar'!$A:$A,M3129,'Barang Keluar'!$C:$C,N3129))</f>
        <v>0</v>
      </c>
    </row>
    <row r="3130" spans="13:16">
      <c r="M3130" s="49">
        <f>IF($A$4+31&gt;$B$4,"",$A$4+31)</f>
        <v>46054</v>
      </c>
      <c r="N3130" t="str">
        <f>IF(M3130="","",'Master Barang'!A24)</f>
        <v>PRL-023</v>
      </c>
      <c r="O3130" t="str">
        <f>IF(N3130="","",'Master Barang'!B24)</f>
        <v>gayung kecil</v>
      </c>
      <c r="P3130">
        <f>IF(OR(M3130="",N3130=""),"",SUMIFS('Barang Keluar'!$E:$E,'Barang Keluar'!$A:$A,M3130,'Barang Keluar'!$C:$C,N3130))</f>
        <v>0</v>
      </c>
    </row>
    <row r="3131" spans="13:16">
      <c r="M3131" s="49">
        <f>IF($A$4+31&gt;$B$4,"",$A$4+31)</f>
        <v>46054</v>
      </c>
      <c r="N3131" t="str">
        <f>IF(M3131="","",'Master Barang'!A25)</f>
        <v>PRL-024</v>
      </c>
      <c r="O3131" t="str">
        <f>IF(N3131="","",'Master Barang'!B25)</f>
        <v>cikrak kecil</v>
      </c>
      <c r="P3131">
        <f>IF(OR(M3131="",N3131=""),"",SUMIFS('Barang Keluar'!$E:$E,'Barang Keluar'!$A:$A,M3131,'Barang Keluar'!$C:$C,N3131))</f>
        <v>0</v>
      </c>
    </row>
    <row r="3132" spans="13:16">
      <c r="M3132" s="49">
        <f>IF($A$4+31&gt;$B$4,"",$A$4+31)</f>
        <v>46054</v>
      </c>
      <c r="N3132" t="str">
        <f>IF(M3132="","",'Master Barang'!A26)</f>
        <v>PRL-025</v>
      </c>
      <c r="O3132" t="str">
        <f>IF(N3132="","",'Master Barang'!B26)</f>
        <v>petromax plastik kecil 12x24 100 lembar</v>
      </c>
      <c r="P3132">
        <f>IF(OR(M3132="",N3132=""),"",SUMIFS('Barang Keluar'!$E:$E,'Barang Keluar'!$A:$A,M3132,'Barang Keluar'!$C:$C,N3132))</f>
        <v>0</v>
      </c>
    </row>
    <row r="3133" spans="13:16">
      <c r="M3133" s="49">
        <f>IF($A$4+31&gt;$B$4,"",$A$4+31)</f>
        <v>46054</v>
      </c>
      <c r="N3133" t="str">
        <f>IF(M3133="","",'Master Barang'!A27)</f>
        <v>PRL-026</v>
      </c>
      <c r="O3133" t="str">
        <f>IF(N3133="","",'Master Barang'!B27)</f>
        <v>lancar kresek kecil bening </v>
      </c>
      <c r="P3133">
        <f>IF(OR(M3133="",N3133=""),"",SUMIFS('Barang Keluar'!$E:$E,'Barang Keluar'!$A:$A,M3133,'Barang Keluar'!$C:$C,N3133))</f>
        <v>0</v>
      </c>
    </row>
    <row r="3134" spans="13:16">
      <c r="M3134" s="49">
        <f>IF($A$4+31&gt;$B$4,"",$A$4+31)</f>
        <v>46054</v>
      </c>
      <c r="N3134" t="str">
        <f>IF(M3134="","",'Master Barang'!A28)</f>
        <v>PRL-027</v>
      </c>
      <c r="O3134" t="str">
        <f>IF(N3134="","",'Master Barang'!B28)</f>
        <v>kresek klin warna warni kecil</v>
      </c>
      <c r="P3134">
        <f>IF(OR(M3134="",N3134=""),"",SUMIFS('Barang Keluar'!$E:$E,'Barang Keluar'!$A:$A,M3134,'Barang Keluar'!$C:$C,N3134))</f>
        <v>0</v>
      </c>
    </row>
    <row r="3135" spans="13:16">
      <c r="M3135" s="49">
        <f>IF($A$4+31&gt;$B$4,"",$A$4+31)</f>
        <v>46054</v>
      </c>
      <c r="N3135" t="str">
        <f>IF(M3135="","",'Master Barang'!A29)</f>
        <v>PRL-028</v>
      </c>
      <c r="O3135" t="str">
        <f>IF(N3135="","",'Master Barang'!B29)</f>
        <v>ctik plastik 7x10 100 pcs</v>
      </c>
      <c r="P3135">
        <f>IF(OR(M3135="",N3135=""),"",SUMIFS('Barang Keluar'!$E:$E,'Barang Keluar'!$A:$A,M3135,'Barang Keluar'!$C:$C,N3135))</f>
        <v>0</v>
      </c>
    </row>
    <row r="3136" spans="13:16">
      <c r="M3136" s="49">
        <f>IF($A$4+31&gt;$B$4,"",$A$4+31)</f>
        <v>46054</v>
      </c>
      <c r="N3136" t="str">
        <f>IF(M3136="","",'Master Barang'!A30)</f>
        <v>PRL-029</v>
      </c>
      <c r="O3136" t="str">
        <f>IF(N3136="","",'Master Barang'!B30)</f>
        <v>ctik plastik 6x10 100 pcs</v>
      </c>
      <c r="P3136">
        <f>IF(OR(M3136="",N3136=""),"",SUMIFS('Barang Keluar'!$E:$E,'Barang Keluar'!$A:$A,M3136,'Barang Keluar'!$C:$C,N3136))</f>
        <v>0</v>
      </c>
    </row>
    <row r="3137" spans="13:16">
      <c r="M3137" s="49">
        <f>IF($A$4+31&gt;$B$4,"",$A$4+31)</f>
        <v>46054</v>
      </c>
      <c r="N3137" t="str">
        <f>IF(M3137="","",'Master Barang'!A31)</f>
        <v>PRL-030</v>
      </c>
      <c r="O3137" t="str">
        <f>IF(N3137="","",'Master Barang'!B31)</f>
        <v>klip plastik 25x16 100 pcs</v>
      </c>
      <c r="P3137">
        <f>IF(OR(M3137="",N3137=""),"",SUMIFS('Barang Keluar'!$E:$E,'Barang Keluar'!$A:$A,M3137,'Barang Keluar'!$C:$C,N3137))</f>
        <v>0</v>
      </c>
    </row>
    <row r="3138" spans="13:16">
      <c r="M3138" s="49">
        <f>IF($A$4+31&gt;$B$4,"",$A$4+31)</f>
        <v>46054</v>
      </c>
      <c r="N3138" t="str">
        <f>IF(M3138="","",'Master Barang'!A32)</f>
        <v>PRL-031</v>
      </c>
      <c r="O3138" t="str">
        <f>IF(N3138="","",'Master Barang'!B32)</f>
        <v>tempat saus 20 ml</v>
      </c>
      <c r="P3138">
        <f>IF(OR(M3138="",N3138=""),"",SUMIFS('Barang Keluar'!$E:$E,'Barang Keluar'!$A:$A,M3138,'Barang Keluar'!$C:$C,N3138))</f>
        <v>0</v>
      </c>
    </row>
    <row r="3139" spans="13:16">
      <c r="M3139" s="49">
        <f>IF($A$4+31&gt;$B$4,"",$A$4+31)</f>
        <v>46054</v>
      </c>
      <c r="N3139" t="str">
        <f>IF(M3139="","",'Master Barang'!A33)</f>
        <v>PRL-032</v>
      </c>
      <c r="O3139" t="str">
        <f>IF(N3139="","",'Master Barang'!B33)</f>
        <v>plastik packaging ag box uk sedang</v>
      </c>
      <c r="P3139">
        <f>IF(OR(M3139="",N3139=""),"",SUMIFS('Barang Keluar'!$E:$E,'Barang Keluar'!$A:$A,M3139,'Barang Keluar'!$C:$C,N3139))</f>
        <v>0</v>
      </c>
    </row>
    <row r="3140" spans="13:16">
      <c r="M3140" s="49">
        <f>IF($A$4+31&gt;$B$4,"",$A$4+31)</f>
        <v>46054</v>
      </c>
      <c r="N3140" t="str">
        <f>IF(M3140="","",'Master Barang'!A34)</f>
        <v>PRL-033</v>
      </c>
      <c r="O3140">
        <f>IF(N3140="","",'Master Barang'!B34)</f>
        <v>0</v>
      </c>
      <c r="P3140">
        <f>IF(OR(M3140="",N3140=""),"",SUMIFS('Barang Keluar'!$E:$E,'Barang Keluar'!$A:$A,M3140,'Barang Keluar'!$C:$C,N3140))</f>
        <v>0</v>
      </c>
    </row>
    <row r="3141" spans="13:16">
      <c r="M3141" s="49">
        <f>IF($A$4+31&gt;$B$4,"",$A$4+31)</f>
        <v>46054</v>
      </c>
      <c r="N3141">
        <f>IF(M3141="","",'Master Barang'!A35)</f>
        <v>0</v>
      </c>
      <c r="O3141">
        <f>IF(N3141="","",'Master Barang'!B35)</f>
        <v>0</v>
      </c>
      <c r="P3141">
        <f>IF(OR(M3141="",N3141=""),"",SUMIFS('Barang Keluar'!$E:$E,'Barang Keluar'!$A:$A,M3141,'Barang Keluar'!$C:$C,N3141))</f>
        <v>0</v>
      </c>
    </row>
    <row r="3142" spans="13:16">
      <c r="M3142" s="49">
        <f>IF($A$4+31&gt;$B$4,"",$A$4+31)</f>
        <v>46054</v>
      </c>
      <c r="N3142">
        <f>IF(M3142="","",'Master Barang'!A36)</f>
        <v>0</v>
      </c>
      <c r="O3142">
        <f>IF(N3142="","",'Master Barang'!B36)</f>
        <v>0</v>
      </c>
      <c r="P3142">
        <f>IF(OR(M3142="",N3142=""),"",SUMIFS('Barang Keluar'!$E:$E,'Barang Keluar'!$A:$A,M3142,'Barang Keluar'!$C:$C,N3142))</f>
        <v>0</v>
      </c>
    </row>
    <row r="3143" spans="13:16">
      <c r="M3143" s="49">
        <f>IF($A$4+31&gt;$B$4,"",$A$4+31)</f>
        <v>46054</v>
      </c>
      <c r="N3143">
        <f>IF(M3143="","",'Master Barang'!A37)</f>
        <v>0</v>
      </c>
      <c r="O3143">
        <f>IF(N3143="","",'Master Barang'!B37)</f>
        <v>0</v>
      </c>
      <c r="P3143">
        <f>IF(OR(M3143="",N3143=""),"",SUMIFS('Barang Keluar'!$E:$E,'Barang Keluar'!$A:$A,M3143,'Barang Keluar'!$C:$C,N3143))</f>
        <v>0</v>
      </c>
    </row>
    <row r="3144" spans="13:16">
      <c r="M3144" s="49">
        <f>IF($A$4+31&gt;$B$4,"",$A$4+31)</f>
        <v>46054</v>
      </c>
      <c r="N3144">
        <f>IF(M3144="","",'Master Barang'!A38)</f>
        <v>0</v>
      </c>
      <c r="O3144">
        <f>IF(N3144="","",'Master Barang'!B38)</f>
        <v>0</v>
      </c>
      <c r="P3144">
        <f>IF(OR(M3144="",N3144=""),"",SUMIFS('Barang Keluar'!$E:$E,'Barang Keluar'!$A:$A,M3144,'Barang Keluar'!$C:$C,N3144))</f>
        <v>0</v>
      </c>
    </row>
    <row r="3145" spans="13:16">
      <c r="M3145" s="49">
        <f>IF($A$4+31&gt;$B$4,"",$A$4+31)</f>
        <v>46054</v>
      </c>
      <c r="N3145">
        <f>IF(M3145="","",'Master Barang'!A39)</f>
        <v>0</v>
      </c>
      <c r="O3145">
        <f>IF(N3145="","",'Master Barang'!B39)</f>
        <v>0</v>
      </c>
      <c r="P3145">
        <f>IF(OR(M3145="",N3145=""),"",SUMIFS('Barang Keluar'!$E:$E,'Barang Keluar'!$A:$A,M3145,'Barang Keluar'!$C:$C,N3145))</f>
        <v>0</v>
      </c>
    </row>
    <row r="3146" spans="13:16">
      <c r="M3146" s="49">
        <f>IF($A$4+31&gt;$B$4,"",$A$4+31)</f>
        <v>46054</v>
      </c>
      <c r="N3146">
        <f>IF(M3146="","",'Master Barang'!A40)</f>
        <v>0</v>
      </c>
      <c r="O3146">
        <f>IF(N3146="","",'Master Barang'!B40)</f>
        <v>0</v>
      </c>
      <c r="P3146">
        <f>IF(OR(M3146="",N3146=""),"",SUMIFS('Barang Keluar'!$E:$E,'Barang Keluar'!$A:$A,M3146,'Barang Keluar'!$C:$C,N3146))</f>
        <v>0</v>
      </c>
    </row>
    <row r="3147" spans="13:16">
      <c r="M3147" s="49">
        <f>IF($A$4+31&gt;$B$4,"",$A$4+31)</f>
        <v>46054</v>
      </c>
      <c r="N3147">
        <f>IF(M3147="","",'Master Barang'!A41)</f>
        <v>0</v>
      </c>
      <c r="O3147">
        <f>IF(N3147="","",'Master Barang'!B41)</f>
        <v>0</v>
      </c>
      <c r="P3147">
        <f>IF(OR(M3147="",N3147=""),"",SUMIFS('Barang Keluar'!$E:$E,'Barang Keluar'!$A:$A,M3147,'Barang Keluar'!$C:$C,N3147))</f>
        <v>0</v>
      </c>
    </row>
    <row r="3148" spans="13:16">
      <c r="M3148" s="49">
        <f>IF($A$4+31&gt;$B$4,"",$A$4+31)</f>
        <v>46054</v>
      </c>
      <c r="N3148">
        <f>IF(M3148="","",'Master Barang'!A42)</f>
        <v>0</v>
      </c>
      <c r="O3148">
        <f>IF(N3148="","",'Master Barang'!B42)</f>
        <v>0</v>
      </c>
      <c r="P3148">
        <f>IF(OR(M3148="",N3148=""),"",SUMIFS('Barang Keluar'!$E:$E,'Barang Keluar'!$A:$A,M3148,'Barang Keluar'!$C:$C,N3148))</f>
        <v>0</v>
      </c>
    </row>
    <row r="3149" spans="13:16">
      <c r="M3149" s="49">
        <f>IF($A$4+31&gt;$B$4,"",$A$4+31)</f>
        <v>46054</v>
      </c>
      <c r="N3149">
        <f>IF(M3149="","",'Master Barang'!A43)</f>
        <v>0</v>
      </c>
      <c r="O3149">
        <f>IF(N3149="","",'Master Barang'!B43)</f>
        <v>0</v>
      </c>
      <c r="P3149">
        <f>IF(OR(M3149="",N3149=""),"",SUMIFS('Barang Keluar'!$E:$E,'Barang Keluar'!$A:$A,M3149,'Barang Keluar'!$C:$C,N3149))</f>
        <v>0</v>
      </c>
    </row>
    <row r="3150" spans="13:16">
      <c r="M3150" s="49">
        <f>IF($A$4+31&gt;$B$4,"",$A$4+31)</f>
        <v>46054</v>
      </c>
      <c r="N3150">
        <f>IF(M3150="","",'Master Barang'!A44)</f>
        <v>0</v>
      </c>
      <c r="O3150">
        <f>IF(N3150="","",'Master Barang'!B44)</f>
        <v>0</v>
      </c>
      <c r="P3150">
        <f>IF(OR(M3150="",N3150=""),"",SUMIFS('Barang Keluar'!$E:$E,'Barang Keluar'!$A:$A,M3150,'Barang Keluar'!$C:$C,N3150))</f>
        <v>0</v>
      </c>
    </row>
    <row r="3151" spans="13:16">
      <c r="M3151" s="49">
        <f>IF($A$4+31&gt;$B$4,"",$A$4+31)</f>
        <v>46054</v>
      </c>
      <c r="N3151">
        <f>IF(M3151="","",'Master Barang'!A45)</f>
        <v>0</v>
      </c>
      <c r="O3151">
        <f>IF(N3151="","",'Master Barang'!B45)</f>
        <v>0</v>
      </c>
      <c r="P3151">
        <f>IF(OR(M3151="",N3151=""),"",SUMIFS('Barang Keluar'!$E:$E,'Barang Keluar'!$A:$A,M3151,'Barang Keluar'!$C:$C,N3151))</f>
        <v>0</v>
      </c>
    </row>
    <row r="3152" spans="13:16">
      <c r="M3152" s="49">
        <f>IF($A$4+31&gt;$B$4,"",$A$4+31)</f>
        <v>46054</v>
      </c>
      <c r="N3152">
        <f>IF(M3152="","",'Master Barang'!A46)</f>
        <v>0</v>
      </c>
      <c r="O3152">
        <f>IF(N3152="","",'Master Barang'!B46)</f>
        <v>0</v>
      </c>
      <c r="P3152">
        <f>IF(OR(M3152="",N3152=""),"",SUMIFS('Barang Keluar'!$E:$E,'Barang Keluar'!$A:$A,M3152,'Barang Keluar'!$C:$C,N3152))</f>
        <v>0</v>
      </c>
    </row>
    <row r="3153" spans="13:16">
      <c r="M3153" s="49">
        <f>IF($A$4+31&gt;$B$4,"",$A$4+31)</f>
        <v>46054</v>
      </c>
      <c r="N3153">
        <f>IF(M3153="","",'Master Barang'!A47)</f>
        <v>0</v>
      </c>
      <c r="O3153">
        <f>IF(N3153="","",'Master Barang'!B47)</f>
        <v>0</v>
      </c>
      <c r="P3153">
        <f>IF(OR(M3153="",N3153=""),"",SUMIFS('Barang Keluar'!$E:$E,'Barang Keluar'!$A:$A,M3153,'Barang Keluar'!$C:$C,N3153))</f>
        <v>0</v>
      </c>
    </row>
    <row r="3154" spans="13:16">
      <c r="M3154" s="49">
        <f>IF($A$4+31&gt;$B$4,"",$A$4+31)</f>
        <v>46054</v>
      </c>
      <c r="N3154">
        <f>IF(M3154="","",'Master Barang'!A48)</f>
        <v>0</v>
      </c>
      <c r="O3154">
        <f>IF(N3154="","",'Master Barang'!B48)</f>
        <v>0</v>
      </c>
      <c r="P3154">
        <f>IF(OR(M3154="",N3154=""),"",SUMIFS('Barang Keluar'!$E:$E,'Barang Keluar'!$A:$A,M3154,'Barang Keluar'!$C:$C,N3154))</f>
        <v>0</v>
      </c>
    </row>
    <row r="3155" spans="13:16">
      <c r="M3155" s="49">
        <f>IF($A$4+31&gt;$B$4,"",$A$4+31)</f>
        <v>46054</v>
      </c>
      <c r="N3155">
        <f>IF(M3155="","",'Master Barang'!A49)</f>
        <v>0</v>
      </c>
      <c r="O3155">
        <f>IF(N3155="","",'Master Barang'!B49)</f>
        <v>0</v>
      </c>
      <c r="P3155">
        <f>IF(OR(M3155="",N3155=""),"",SUMIFS('Barang Keluar'!$E:$E,'Barang Keluar'!$A:$A,M3155,'Barang Keluar'!$C:$C,N3155))</f>
        <v>0</v>
      </c>
    </row>
    <row r="3156" spans="13:16">
      <c r="M3156" s="49">
        <f>IF($A$4+31&gt;$B$4,"",$A$4+31)</f>
        <v>46054</v>
      </c>
      <c r="N3156">
        <f>IF(M3156="","",'Master Barang'!A50)</f>
        <v>0</v>
      </c>
      <c r="O3156">
        <f>IF(N3156="","",'Master Barang'!B50)</f>
        <v>0</v>
      </c>
      <c r="P3156">
        <f>IF(OR(M3156="",N3156=""),"",SUMIFS('Barang Keluar'!$E:$E,'Barang Keluar'!$A:$A,M3156,'Barang Keluar'!$C:$C,N3156))</f>
        <v>0</v>
      </c>
    </row>
    <row r="3157" spans="13:16">
      <c r="M3157" s="49">
        <f>IF($A$4+31&gt;$B$4,"",$A$4+31)</f>
        <v>46054</v>
      </c>
      <c r="N3157">
        <f>IF(M3157="","",'Master Barang'!A51)</f>
        <v>0</v>
      </c>
      <c r="O3157">
        <f>IF(N3157="","",'Master Barang'!B51)</f>
        <v>0</v>
      </c>
      <c r="P3157">
        <f>IF(OR(M3157="",N3157=""),"",SUMIFS('Barang Keluar'!$E:$E,'Barang Keluar'!$A:$A,M3157,'Barang Keluar'!$C:$C,N3157))</f>
        <v>0</v>
      </c>
    </row>
    <row r="3158" spans="13:16">
      <c r="M3158" s="49">
        <f>IF($A$4+31&gt;$B$4,"",$A$4+31)</f>
        <v>46054</v>
      </c>
      <c r="N3158">
        <f>IF(M3158="","",'Master Barang'!A52)</f>
        <v>0</v>
      </c>
      <c r="O3158">
        <f>IF(N3158="","",'Master Barang'!B52)</f>
        <v>0</v>
      </c>
      <c r="P3158">
        <f>IF(OR(M3158="",N3158=""),"",SUMIFS('Barang Keluar'!$E:$E,'Barang Keluar'!$A:$A,M3158,'Barang Keluar'!$C:$C,N3158))</f>
        <v>0</v>
      </c>
    </row>
    <row r="3159" spans="13:16">
      <c r="M3159" s="49">
        <f>IF($A$4+31&gt;$B$4,"",$A$4+31)</f>
        <v>46054</v>
      </c>
      <c r="N3159">
        <f>IF(M3159="","",'Master Barang'!A53)</f>
        <v>0</v>
      </c>
      <c r="O3159">
        <f>IF(N3159="","",'Master Barang'!B53)</f>
        <v>0</v>
      </c>
      <c r="P3159">
        <f>IF(OR(M3159="",N3159=""),"",SUMIFS('Barang Keluar'!$E:$E,'Barang Keluar'!$A:$A,M3159,'Barang Keluar'!$C:$C,N3159))</f>
        <v>0</v>
      </c>
    </row>
    <row r="3160" spans="13:16">
      <c r="M3160" s="49">
        <f>IF($A$4+31&gt;$B$4,"",$A$4+31)</f>
        <v>46054</v>
      </c>
      <c r="N3160">
        <f>IF(M3160="","",'Master Barang'!A54)</f>
        <v>0</v>
      </c>
      <c r="O3160">
        <f>IF(N3160="","",'Master Barang'!B54)</f>
        <v>0</v>
      </c>
      <c r="P3160">
        <f>IF(OR(M3160="",N3160=""),"",SUMIFS('Barang Keluar'!$E:$E,'Barang Keluar'!$A:$A,M3160,'Barang Keluar'!$C:$C,N3160))</f>
        <v>0</v>
      </c>
    </row>
    <row r="3161" spans="13:16">
      <c r="M3161" s="49">
        <f>IF($A$4+31&gt;$B$4,"",$A$4+31)</f>
        <v>46054</v>
      </c>
      <c r="N3161">
        <f>IF(M3161="","",'Master Barang'!A55)</f>
        <v>0</v>
      </c>
      <c r="O3161">
        <f>IF(N3161="","",'Master Barang'!B55)</f>
        <v>0</v>
      </c>
      <c r="P3161">
        <f>IF(OR(M3161="",N3161=""),"",SUMIFS('Barang Keluar'!$E:$E,'Barang Keluar'!$A:$A,M3161,'Barang Keluar'!$C:$C,N3161))</f>
        <v>0</v>
      </c>
    </row>
    <row r="3162" spans="13:16">
      <c r="M3162" s="49">
        <f>IF($A$4+31&gt;$B$4,"",$A$4+31)</f>
        <v>46054</v>
      </c>
      <c r="N3162">
        <f>IF(M3162="","",'Master Barang'!A56)</f>
        <v>0</v>
      </c>
      <c r="O3162">
        <f>IF(N3162="","",'Master Barang'!B56)</f>
        <v>0</v>
      </c>
      <c r="P3162">
        <f>IF(OR(M3162="",N3162=""),"",SUMIFS('Barang Keluar'!$E:$E,'Barang Keluar'!$A:$A,M3162,'Barang Keluar'!$C:$C,N3162))</f>
        <v>0</v>
      </c>
    </row>
    <row r="3163" spans="13:16">
      <c r="M3163" s="49">
        <f>IF($A$4+31&gt;$B$4,"",$A$4+31)</f>
        <v>46054</v>
      </c>
      <c r="N3163">
        <f>IF(M3163="","",'Master Barang'!A57)</f>
        <v>0</v>
      </c>
      <c r="O3163">
        <f>IF(N3163="","",'Master Barang'!B57)</f>
        <v>0</v>
      </c>
      <c r="P3163">
        <f>IF(OR(M3163="",N3163=""),"",SUMIFS('Barang Keluar'!$E:$E,'Barang Keluar'!$A:$A,M3163,'Barang Keluar'!$C:$C,N3163))</f>
        <v>0</v>
      </c>
    </row>
    <row r="3164" spans="13:16">
      <c r="M3164" s="49">
        <f>IF($A$4+31&gt;$B$4,"",$A$4+31)</f>
        <v>46054</v>
      </c>
      <c r="N3164">
        <f>IF(M3164="","",'Master Barang'!A58)</f>
        <v>0</v>
      </c>
      <c r="O3164">
        <f>IF(N3164="","",'Master Barang'!B58)</f>
        <v>0</v>
      </c>
      <c r="P3164">
        <f>IF(OR(M3164="",N3164=""),"",SUMIFS('Barang Keluar'!$E:$E,'Barang Keluar'!$A:$A,M3164,'Barang Keluar'!$C:$C,N3164))</f>
        <v>0</v>
      </c>
    </row>
    <row r="3165" spans="13:16">
      <c r="M3165" s="49">
        <f>IF($A$4+31&gt;$B$4,"",$A$4+31)</f>
        <v>46054</v>
      </c>
      <c r="N3165">
        <f>IF(M3165="","",'Master Barang'!A59)</f>
        <v>0</v>
      </c>
      <c r="O3165">
        <f>IF(N3165="","",'Master Barang'!B59)</f>
        <v>0</v>
      </c>
      <c r="P3165">
        <f>IF(OR(M3165="",N3165=""),"",SUMIFS('Barang Keluar'!$E:$E,'Barang Keluar'!$A:$A,M3165,'Barang Keluar'!$C:$C,N3165))</f>
        <v>0</v>
      </c>
    </row>
    <row r="3166" spans="13:16">
      <c r="M3166" s="49">
        <f>IF($A$4+31&gt;$B$4,"",$A$4+31)</f>
        <v>46054</v>
      </c>
      <c r="N3166">
        <f>IF(M3166="","",'Master Barang'!A60)</f>
        <v>0</v>
      </c>
      <c r="O3166">
        <f>IF(N3166="","",'Master Barang'!B60)</f>
        <v>0</v>
      </c>
      <c r="P3166">
        <f>IF(OR(M3166="",N3166=""),"",SUMIFS('Barang Keluar'!$E:$E,'Barang Keluar'!$A:$A,M3166,'Barang Keluar'!$C:$C,N3166))</f>
        <v>0</v>
      </c>
    </row>
    <row r="3167" spans="13:16">
      <c r="M3167" s="49">
        <f>IF($A$4+31&gt;$B$4,"",$A$4+31)</f>
        <v>46054</v>
      </c>
      <c r="N3167">
        <f>IF(M3167="","",'Master Barang'!A61)</f>
        <v>0</v>
      </c>
      <c r="O3167">
        <f>IF(N3167="","",'Master Barang'!B61)</f>
        <v>0</v>
      </c>
      <c r="P3167">
        <f>IF(OR(M3167="",N3167=""),"",SUMIFS('Barang Keluar'!$E:$E,'Barang Keluar'!$A:$A,M3167,'Barang Keluar'!$C:$C,N3167))</f>
        <v>0</v>
      </c>
    </row>
    <row r="3168" spans="13:16">
      <c r="M3168" s="49">
        <f>IF($A$4+31&gt;$B$4,"",$A$4+31)</f>
        <v>46054</v>
      </c>
      <c r="N3168">
        <f>IF(M3168="","",'Master Barang'!A62)</f>
        <v>0</v>
      </c>
      <c r="O3168">
        <f>IF(N3168="","",'Master Barang'!B62)</f>
        <v>0</v>
      </c>
      <c r="P3168">
        <f>IF(OR(M3168="",N3168=""),"",SUMIFS('Barang Keluar'!$E:$E,'Barang Keluar'!$A:$A,M3168,'Barang Keluar'!$C:$C,N3168))</f>
        <v>0</v>
      </c>
    </row>
    <row r="3169" spans="13:16">
      <c r="M3169" s="49">
        <f>IF($A$4+31&gt;$B$4,"",$A$4+31)</f>
        <v>46054</v>
      </c>
      <c r="N3169">
        <f>IF(M3169="","",'Master Barang'!A63)</f>
        <v>0</v>
      </c>
      <c r="O3169">
        <f>IF(N3169="","",'Master Barang'!B63)</f>
        <v>0</v>
      </c>
      <c r="P3169">
        <f>IF(OR(M3169="",N3169=""),"",SUMIFS('Barang Keluar'!$E:$E,'Barang Keluar'!$A:$A,M3169,'Barang Keluar'!$C:$C,N3169))</f>
        <v>0</v>
      </c>
    </row>
    <row r="3170" spans="13:16">
      <c r="M3170" s="49">
        <f>IF($A$4+31&gt;$B$4,"",$A$4+31)</f>
        <v>46054</v>
      </c>
      <c r="N3170">
        <f>IF(M3170="","",'Master Barang'!A64)</f>
        <v>0</v>
      </c>
      <c r="O3170">
        <f>IF(N3170="","",'Master Barang'!B64)</f>
        <v>0</v>
      </c>
      <c r="P3170">
        <f>IF(OR(M3170="",N3170=""),"",SUMIFS('Barang Keluar'!$E:$E,'Barang Keluar'!$A:$A,M3170,'Barang Keluar'!$C:$C,N3170))</f>
        <v>0</v>
      </c>
    </row>
    <row r="3171" spans="13:16">
      <c r="M3171" s="49">
        <f>IF($A$4+31&gt;$B$4,"",$A$4+31)</f>
        <v>46054</v>
      </c>
      <c r="N3171">
        <f>IF(M3171="","",'Master Barang'!A65)</f>
        <v>0</v>
      </c>
      <c r="O3171">
        <f>IF(N3171="","",'Master Barang'!B65)</f>
        <v>0</v>
      </c>
      <c r="P3171">
        <f>IF(OR(M3171="",N3171=""),"",SUMIFS('Barang Keluar'!$E:$E,'Barang Keluar'!$A:$A,M3171,'Barang Keluar'!$C:$C,N3171))</f>
        <v>0</v>
      </c>
    </row>
    <row r="3172" spans="13:16">
      <c r="M3172" s="49">
        <f>IF($A$4+31&gt;$B$4,"",$A$4+31)</f>
        <v>46054</v>
      </c>
      <c r="N3172">
        <f>IF(M3172="","",'Master Barang'!A66)</f>
        <v>0</v>
      </c>
      <c r="O3172">
        <f>IF(N3172="","",'Master Barang'!B66)</f>
        <v>0</v>
      </c>
      <c r="P3172">
        <f>IF(OR(M3172="",N3172=""),"",SUMIFS('Barang Keluar'!$E:$E,'Barang Keluar'!$A:$A,M3172,'Barang Keluar'!$C:$C,N3172))</f>
        <v>0</v>
      </c>
    </row>
    <row r="3173" spans="13:16">
      <c r="M3173" s="49">
        <f>IF($A$4+31&gt;$B$4,"",$A$4+31)</f>
        <v>46054</v>
      </c>
      <c r="N3173">
        <f>IF(M3173="","",'Master Barang'!A67)</f>
        <v>0</v>
      </c>
      <c r="O3173">
        <f>IF(N3173="","",'Master Barang'!B67)</f>
        <v>0</v>
      </c>
      <c r="P3173">
        <f>IF(OR(M3173="",N3173=""),"",SUMIFS('Barang Keluar'!$E:$E,'Barang Keluar'!$A:$A,M3173,'Barang Keluar'!$C:$C,N3173))</f>
        <v>0</v>
      </c>
    </row>
    <row r="3174" spans="13:16">
      <c r="M3174" s="49">
        <f>IF($A$4+31&gt;$B$4,"",$A$4+31)</f>
        <v>46054</v>
      </c>
      <c r="N3174">
        <f>IF(M3174="","",'Master Barang'!A68)</f>
        <v>0</v>
      </c>
      <c r="O3174">
        <f>IF(N3174="","",'Master Barang'!B68)</f>
        <v>0</v>
      </c>
      <c r="P3174">
        <f>IF(OR(M3174="",N3174=""),"",SUMIFS('Barang Keluar'!$E:$E,'Barang Keluar'!$A:$A,M3174,'Barang Keluar'!$C:$C,N3174))</f>
        <v>0</v>
      </c>
    </row>
    <row r="3175" spans="13:16">
      <c r="M3175" s="49">
        <f>IF($A$4+31&gt;$B$4,"",$A$4+31)</f>
        <v>46054</v>
      </c>
      <c r="N3175">
        <f>IF(M3175="","",'Master Barang'!A69)</f>
        <v>0</v>
      </c>
      <c r="O3175">
        <f>IF(N3175="","",'Master Barang'!B69)</f>
        <v>0</v>
      </c>
      <c r="P3175">
        <f>IF(OR(M3175="",N3175=""),"",SUMIFS('Barang Keluar'!$E:$E,'Barang Keluar'!$A:$A,M3175,'Barang Keluar'!$C:$C,N3175))</f>
        <v>0</v>
      </c>
    </row>
    <row r="3176" spans="13:16">
      <c r="M3176" s="49">
        <f>IF($A$4+31&gt;$B$4,"",$A$4+31)</f>
        <v>46054</v>
      </c>
      <c r="N3176">
        <f>IF(M3176="","",'Master Barang'!A70)</f>
        <v>0</v>
      </c>
      <c r="O3176">
        <f>IF(N3176="","",'Master Barang'!B70)</f>
        <v>0</v>
      </c>
      <c r="P3176">
        <f>IF(OR(M3176="",N3176=""),"",SUMIFS('Barang Keluar'!$E:$E,'Barang Keluar'!$A:$A,M3176,'Barang Keluar'!$C:$C,N3176))</f>
        <v>0</v>
      </c>
    </row>
    <row r="3177" spans="13:16">
      <c r="M3177" s="49">
        <f>IF($A$4+31&gt;$B$4,"",$A$4+31)</f>
        <v>46054</v>
      </c>
      <c r="N3177">
        <f>IF(M3177="","",'Master Barang'!A71)</f>
        <v>0</v>
      </c>
      <c r="O3177">
        <f>IF(N3177="","",'Master Barang'!B71)</f>
        <v>0</v>
      </c>
      <c r="P3177">
        <f>IF(OR(M3177="",N3177=""),"",SUMIFS('Barang Keluar'!$E:$E,'Barang Keluar'!$A:$A,M3177,'Barang Keluar'!$C:$C,N3177))</f>
        <v>0</v>
      </c>
    </row>
    <row r="3178" spans="13:16">
      <c r="M3178" s="49">
        <f>IF($A$4+31&gt;$B$4,"",$A$4+31)</f>
        <v>46054</v>
      </c>
      <c r="N3178">
        <f>IF(M3178="","",'Master Barang'!A72)</f>
        <v>0</v>
      </c>
      <c r="O3178">
        <f>IF(N3178="","",'Master Barang'!B72)</f>
        <v>0</v>
      </c>
      <c r="P3178">
        <f>IF(OR(M3178="",N3178=""),"",SUMIFS('Barang Keluar'!$E:$E,'Barang Keluar'!$A:$A,M3178,'Barang Keluar'!$C:$C,N3178))</f>
        <v>0</v>
      </c>
    </row>
    <row r="3179" spans="13:16">
      <c r="M3179" s="49">
        <f>IF($A$4+31&gt;$B$4,"",$A$4+31)</f>
        <v>46054</v>
      </c>
      <c r="N3179">
        <f>IF(M3179="","",'Master Barang'!A73)</f>
        <v>0</v>
      </c>
      <c r="O3179">
        <f>IF(N3179="","",'Master Barang'!B73)</f>
        <v>0</v>
      </c>
      <c r="P3179">
        <f>IF(OR(M3179="",N3179=""),"",SUMIFS('Barang Keluar'!$E:$E,'Barang Keluar'!$A:$A,M3179,'Barang Keluar'!$C:$C,N3179))</f>
        <v>0</v>
      </c>
    </row>
    <row r="3180" spans="13:16">
      <c r="M3180" s="49">
        <f>IF($A$4+31&gt;$B$4,"",$A$4+31)</f>
        <v>46054</v>
      </c>
      <c r="N3180">
        <f>IF(M3180="","",'Master Barang'!A74)</f>
        <v>0</v>
      </c>
      <c r="O3180">
        <f>IF(N3180="","",'Master Barang'!B74)</f>
        <v>0</v>
      </c>
      <c r="P3180">
        <f>IF(OR(M3180="",N3180=""),"",SUMIFS('Barang Keluar'!$E:$E,'Barang Keluar'!$A:$A,M3180,'Barang Keluar'!$C:$C,N3180))</f>
        <v>0</v>
      </c>
    </row>
    <row r="3181" spans="13:16">
      <c r="M3181" s="49">
        <f>IF($A$4+31&gt;$B$4,"",$A$4+31)</f>
        <v>46054</v>
      </c>
      <c r="N3181">
        <f>IF(M3181="","",'Master Barang'!A75)</f>
        <v>0</v>
      </c>
      <c r="O3181">
        <f>IF(N3181="","",'Master Barang'!B75)</f>
        <v>0</v>
      </c>
      <c r="P3181">
        <f>IF(OR(M3181="",N3181=""),"",SUMIFS('Barang Keluar'!$E:$E,'Barang Keluar'!$A:$A,M3181,'Barang Keluar'!$C:$C,N3181))</f>
        <v>0</v>
      </c>
    </row>
    <row r="3182" spans="13:16">
      <c r="M3182" s="49">
        <f>IF($A$4+31&gt;$B$4,"",$A$4+31)</f>
        <v>46054</v>
      </c>
      <c r="N3182">
        <f>IF(M3182="","",'Master Barang'!A76)</f>
        <v>0</v>
      </c>
      <c r="O3182">
        <f>IF(N3182="","",'Master Barang'!B76)</f>
        <v>0</v>
      </c>
      <c r="P3182">
        <f>IF(OR(M3182="",N3182=""),"",SUMIFS('Barang Keluar'!$E:$E,'Barang Keluar'!$A:$A,M3182,'Barang Keluar'!$C:$C,N3182))</f>
        <v>0</v>
      </c>
    </row>
    <row r="3183" spans="13:16">
      <c r="M3183" s="49">
        <f>IF($A$4+31&gt;$B$4,"",$A$4+31)</f>
        <v>46054</v>
      </c>
      <c r="N3183">
        <f>IF(M3183="","",'Master Barang'!A77)</f>
        <v>0</v>
      </c>
      <c r="O3183">
        <f>IF(N3183="","",'Master Barang'!B77)</f>
        <v>0</v>
      </c>
      <c r="P3183">
        <f>IF(OR(M3183="",N3183=""),"",SUMIFS('Barang Keluar'!$E:$E,'Barang Keluar'!$A:$A,M3183,'Barang Keluar'!$C:$C,N3183))</f>
        <v>0</v>
      </c>
    </row>
    <row r="3184" spans="13:16">
      <c r="M3184" s="49">
        <f>IF($A$4+31&gt;$B$4,"",$A$4+31)</f>
        <v>46054</v>
      </c>
      <c r="N3184">
        <f>IF(M3184="","",'Master Barang'!A78)</f>
        <v>0</v>
      </c>
      <c r="O3184">
        <f>IF(N3184="","",'Master Barang'!B78)</f>
        <v>0</v>
      </c>
      <c r="P3184">
        <f>IF(OR(M3184="",N3184=""),"",SUMIFS('Barang Keluar'!$E:$E,'Barang Keluar'!$A:$A,M3184,'Barang Keluar'!$C:$C,N3184))</f>
        <v>0</v>
      </c>
    </row>
    <row r="3185" spans="13:16">
      <c r="M3185" s="49">
        <f>IF($A$4+31&gt;$B$4,"",$A$4+31)</f>
        <v>46054</v>
      </c>
      <c r="N3185">
        <f>IF(M3185="","",'Master Barang'!A79)</f>
        <v>0</v>
      </c>
      <c r="O3185">
        <f>IF(N3185="","",'Master Barang'!B79)</f>
        <v>0</v>
      </c>
      <c r="P3185">
        <f>IF(OR(M3185="",N3185=""),"",SUMIFS('Barang Keluar'!$E:$E,'Barang Keluar'!$A:$A,M3185,'Barang Keluar'!$C:$C,N3185))</f>
        <v>0</v>
      </c>
    </row>
    <row r="3186" spans="13:16">
      <c r="M3186" s="49">
        <f>IF($A$4+31&gt;$B$4,"",$A$4+31)</f>
        <v>46054</v>
      </c>
      <c r="N3186">
        <f>IF(M3186="","",'Master Barang'!A80)</f>
        <v>0</v>
      </c>
      <c r="O3186">
        <f>IF(N3186="","",'Master Barang'!B80)</f>
        <v>0</v>
      </c>
      <c r="P3186">
        <f>IF(OR(M3186="",N3186=""),"",SUMIFS('Barang Keluar'!$E:$E,'Barang Keluar'!$A:$A,M3186,'Barang Keluar'!$C:$C,N3186))</f>
        <v>0</v>
      </c>
    </row>
    <row r="3187" spans="13:16">
      <c r="M3187" s="49">
        <f>IF($A$4+31&gt;$B$4,"",$A$4+31)</f>
        <v>46054</v>
      </c>
      <c r="N3187">
        <f>IF(M3187="","",'Master Barang'!A81)</f>
        <v>0</v>
      </c>
      <c r="O3187">
        <f>IF(N3187="","",'Master Barang'!B81)</f>
        <v>0</v>
      </c>
      <c r="P3187">
        <f>IF(OR(M3187="",N3187=""),"",SUMIFS('Barang Keluar'!$E:$E,'Barang Keluar'!$A:$A,M3187,'Barang Keluar'!$C:$C,N3187))</f>
        <v>0</v>
      </c>
    </row>
    <row r="3188" spans="13:16">
      <c r="M3188" s="49">
        <f>IF($A$4+31&gt;$B$4,"",$A$4+31)</f>
        <v>46054</v>
      </c>
      <c r="N3188">
        <f>IF(M3188="","",'Master Barang'!A82)</f>
        <v>0</v>
      </c>
      <c r="O3188">
        <f>IF(N3188="","",'Master Barang'!B82)</f>
        <v>0</v>
      </c>
      <c r="P3188">
        <f>IF(OR(M3188="",N3188=""),"",SUMIFS('Barang Keluar'!$E:$E,'Barang Keluar'!$A:$A,M3188,'Barang Keluar'!$C:$C,N3188))</f>
        <v>0</v>
      </c>
    </row>
    <row r="3189" spans="13:16">
      <c r="M3189" s="49">
        <f>IF($A$4+31&gt;$B$4,"",$A$4+31)</f>
        <v>46054</v>
      </c>
      <c r="N3189">
        <f>IF(M3189="","",'Master Barang'!A83)</f>
        <v>0</v>
      </c>
      <c r="O3189">
        <f>IF(N3189="","",'Master Barang'!B83)</f>
        <v>0</v>
      </c>
      <c r="P3189">
        <f>IF(OR(M3189="",N3189=""),"",SUMIFS('Barang Keluar'!$E:$E,'Barang Keluar'!$A:$A,M3189,'Barang Keluar'!$C:$C,N3189))</f>
        <v>0</v>
      </c>
    </row>
    <row r="3190" spans="13:16">
      <c r="M3190" s="49">
        <f>IF($A$4+31&gt;$B$4,"",$A$4+31)</f>
        <v>46054</v>
      </c>
      <c r="N3190">
        <f>IF(M3190="","",'Master Barang'!A84)</f>
        <v>0</v>
      </c>
      <c r="O3190">
        <f>IF(N3190="","",'Master Barang'!B84)</f>
        <v>0</v>
      </c>
      <c r="P3190">
        <f>IF(OR(M3190="",N3190=""),"",SUMIFS('Barang Keluar'!$E:$E,'Barang Keluar'!$A:$A,M3190,'Barang Keluar'!$C:$C,N3190))</f>
        <v>0</v>
      </c>
    </row>
    <row r="3191" spans="13:16">
      <c r="M3191" s="49">
        <f>IF($A$4+31&gt;$B$4,"",$A$4+31)</f>
        <v>46054</v>
      </c>
      <c r="N3191">
        <f>IF(M3191="","",'Master Barang'!A85)</f>
        <v>0</v>
      </c>
      <c r="O3191">
        <f>IF(N3191="","",'Master Barang'!B85)</f>
        <v>0</v>
      </c>
      <c r="P3191">
        <f>IF(OR(M3191="",N3191=""),"",SUMIFS('Barang Keluar'!$E:$E,'Barang Keluar'!$A:$A,M3191,'Barang Keluar'!$C:$C,N3191))</f>
        <v>0</v>
      </c>
    </row>
    <row r="3192" spans="13:16">
      <c r="M3192" s="49">
        <f>IF($A$4+31&gt;$B$4,"",$A$4+31)</f>
        <v>46054</v>
      </c>
      <c r="N3192">
        <f>IF(M3192="","",'Master Barang'!A86)</f>
        <v>0</v>
      </c>
      <c r="O3192">
        <f>IF(N3192="","",'Master Barang'!B86)</f>
        <v>0</v>
      </c>
      <c r="P3192">
        <f>IF(OR(M3192="",N3192=""),"",SUMIFS('Barang Keluar'!$E:$E,'Barang Keluar'!$A:$A,M3192,'Barang Keluar'!$C:$C,N3192))</f>
        <v>0</v>
      </c>
    </row>
    <row r="3193" spans="13:16">
      <c r="M3193" s="49">
        <f>IF($A$4+31&gt;$B$4,"",$A$4+31)</f>
        <v>46054</v>
      </c>
      <c r="N3193">
        <f>IF(M3193="","",'Master Barang'!A87)</f>
        <v>0</v>
      </c>
      <c r="O3193">
        <f>IF(N3193="","",'Master Barang'!B87)</f>
        <v>0</v>
      </c>
      <c r="P3193">
        <f>IF(OR(M3193="",N3193=""),"",SUMIFS('Barang Keluar'!$E:$E,'Barang Keluar'!$A:$A,M3193,'Barang Keluar'!$C:$C,N3193))</f>
        <v>0</v>
      </c>
    </row>
    <row r="3194" spans="13:16">
      <c r="M3194" s="49">
        <f>IF($A$4+31&gt;$B$4,"",$A$4+31)</f>
        <v>46054</v>
      </c>
      <c r="N3194">
        <f>IF(M3194="","",'Master Barang'!A88)</f>
        <v>0</v>
      </c>
      <c r="O3194">
        <f>IF(N3194="","",'Master Barang'!B88)</f>
        <v>0</v>
      </c>
      <c r="P3194">
        <f>IF(OR(M3194="",N3194=""),"",SUMIFS('Barang Keluar'!$E:$E,'Barang Keluar'!$A:$A,M3194,'Barang Keluar'!$C:$C,N3194))</f>
        <v>0</v>
      </c>
    </row>
    <row r="3195" spans="13:16">
      <c r="M3195" s="49">
        <f>IF($A$4+31&gt;$B$4,"",$A$4+31)</f>
        <v>46054</v>
      </c>
      <c r="N3195">
        <f>IF(M3195="","",'Master Barang'!A89)</f>
        <v>0</v>
      </c>
      <c r="O3195">
        <f>IF(N3195="","",'Master Barang'!B89)</f>
        <v>0</v>
      </c>
      <c r="P3195">
        <f>IF(OR(M3195="",N3195=""),"",SUMIFS('Barang Keluar'!$E:$E,'Barang Keluar'!$A:$A,M3195,'Barang Keluar'!$C:$C,N3195))</f>
        <v>0</v>
      </c>
    </row>
    <row r="3196" spans="13:16">
      <c r="M3196" s="49">
        <f>IF($A$4+31&gt;$B$4,"",$A$4+31)</f>
        <v>46054</v>
      </c>
      <c r="N3196">
        <f>IF(M3196="","",'Master Barang'!A90)</f>
        <v>0</v>
      </c>
      <c r="O3196">
        <f>IF(N3196="","",'Master Barang'!B90)</f>
        <v>0</v>
      </c>
      <c r="P3196">
        <f>IF(OR(M3196="",N3196=""),"",SUMIFS('Barang Keluar'!$E:$E,'Barang Keluar'!$A:$A,M3196,'Barang Keluar'!$C:$C,N3196))</f>
        <v>0</v>
      </c>
    </row>
    <row r="3197" spans="13:16">
      <c r="M3197" s="49">
        <f>IF($A$4+31&gt;$B$4,"",$A$4+31)</f>
        <v>46054</v>
      </c>
      <c r="N3197">
        <f>IF(M3197="","",'Master Barang'!A91)</f>
        <v>0</v>
      </c>
      <c r="O3197">
        <f>IF(N3197="","",'Master Barang'!B91)</f>
        <v>0</v>
      </c>
      <c r="P3197">
        <f>IF(OR(M3197="",N3197=""),"",SUMIFS('Barang Keluar'!$E:$E,'Barang Keluar'!$A:$A,M3197,'Barang Keluar'!$C:$C,N3197))</f>
        <v>0</v>
      </c>
    </row>
    <row r="3198" spans="13:16">
      <c r="M3198" s="49">
        <f>IF($A$4+31&gt;$B$4,"",$A$4+31)</f>
        <v>46054</v>
      </c>
      <c r="N3198">
        <f>IF(M3198="","",'Master Barang'!A92)</f>
        <v>0</v>
      </c>
      <c r="O3198">
        <f>IF(N3198="","",'Master Barang'!B92)</f>
        <v>0</v>
      </c>
      <c r="P3198">
        <f>IF(OR(M3198="",N3198=""),"",SUMIFS('Barang Keluar'!$E:$E,'Barang Keluar'!$A:$A,M3198,'Barang Keluar'!$C:$C,N3198))</f>
        <v>0</v>
      </c>
    </row>
    <row r="3199" spans="13:16">
      <c r="M3199" s="49">
        <f>IF($A$4+31&gt;$B$4,"",$A$4+31)</f>
        <v>46054</v>
      </c>
      <c r="N3199">
        <f>IF(M3199="","",'Master Barang'!A93)</f>
        <v>0</v>
      </c>
      <c r="O3199">
        <f>IF(N3199="","",'Master Barang'!B93)</f>
        <v>0</v>
      </c>
      <c r="P3199">
        <f>IF(OR(M3199="",N3199=""),"",SUMIFS('Barang Keluar'!$E:$E,'Barang Keluar'!$A:$A,M3199,'Barang Keluar'!$C:$C,N3199))</f>
        <v>0</v>
      </c>
    </row>
    <row r="3200" spans="13:16">
      <c r="M3200" s="49">
        <f>IF($A$4+31&gt;$B$4,"",$A$4+31)</f>
        <v>46054</v>
      </c>
      <c r="N3200">
        <f>IF(M3200="","",'Master Barang'!A94)</f>
        <v>0</v>
      </c>
      <c r="O3200">
        <f>IF(N3200="","",'Master Barang'!B94)</f>
        <v>0</v>
      </c>
      <c r="P3200">
        <f>IF(OR(M3200="",N3200=""),"",SUMIFS('Barang Keluar'!$E:$E,'Barang Keluar'!$A:$A,M3200,'Barang Keluar'!$C:$C,N3200))</f>
        <v>0</v>
      </c>
    </row>
    <row r="3201" spans="13:16">
      <c r="M3201" s="49">
        <f>IF($A$4+31&gt;$B$4,"",$A$4+31)</f>
        <v>46054</v>
      </c>
      <c r="N3201">
        <f>IF(M3201="","",'Master Barang'!A95)</f>
        <v>0</v>
      </c>
      <c r="O3201">
        <f>IF(N3201="","",'Master Barang'!B95)</f>
        <v>0</v>
      </c>
      <c r="P3201">
        <f>IF(OR(M3201="",N3201=""),"",SUMIFS('Barang Keluar'!$E:$E,'Barang Keluar'!$A:$A,M3201,'Barang Keluar'!$C:$C,N3201))</f>
        <v>0</v>
      </c>
    </row>
    <row r="3202" spans="13:16">
      <c r="M3202" s="49">
        <f>IF($A$4+31&gt;$B$4,"",$A$4+31)</f>
        <v>46054</v>
      </c>
      <c r="N3202">
        <f>IF(M3202="","",'Master Barang'!A96)</f>
        <v>0</v>
      </c>
      <c r="O3202">
        <f>IF(N3202="","",'Master Barang'!B96)</f>
        <v>0</v>
      </c>
      <c r="P3202">
        <f>IF(OR(M3202="",N3202=""),"",SUMIFS('Barang Keluar'!$E:$E,'Barang Keluar'!$A:$A,M3202,'Barang Keluar'!$C:$C,N3202))</f>
        <v>0</v>
      </c>
    </row>
    <row r="3203" spans="13:16">
      <c r="M3203" s="49">
        <f>IF($A$4+31&gt;$B$4,"",$A$4+31)</f>
        <v>46054</v>
      </c>
      <c r="N3203">
        <f>IF(M3203="","",'Master Barang'!A97)</f>
        <v>0</v>
      </c>
      <c r="O3203">
        <f>IF(N3203="","",'Master Barang'!B97)</f>
        <v>0</v>
      </c>
      <c r="P3203">
        <f>IF(OR(M3203="",N3203=""),"",SUMIFS('Barang Keluar'!$E:$E,'Barang Keluar'!$A:$A,M3203,'Barang Keluar'!$C:$C,N3203))</f>
        <v>0</v>
      </c>
    </row>
    <row r="3204" spans="13:16">
      <c r="M3204" s="49">
        <f>IF($A$4+31&gt;$B$4,"",$A$4+31)</f>
        <v>46054</v>
      </c>
      <c r="N3204">
        <f>IF(M3204="","",'Master Barang'!A98)</f>
        <v>0</v>
      </c>
      <c r="O3204">
        <f>IF(N3204="","",'Master Barang'!B98)</f>
        <v>0</v>
      </c>
      <c r="P3204">
        <f>IF(OR(M3204="",N3204=""),"",SUMIFS('Barang Keluar'!$E:$E,'Barang Keluar'!$A:$A,M3204,'Barang Keluar'!$C:$C,N3204))</f>
        <v>0</v>
      </c>
    </row>
    <row r="3205" spans="13:16">
      <c r="M3205" s="49">
        <f>IF($A$4+31&gt;$B$4,"",$A$4+31)</f>
        <v>46054</v>
      </c>
      <c r="N3205">
        <f>IF(M3205="","",'Master Barang'!A99)</f>
        <v>0</v>
      </c>
      <c r="O3205">
        <f>IF(N3205="","",'Master Barang'!B99)</f>
        <v>0</v>
      </c>
      <c r="P3205">
        <f>IF(OR(M3205="",N3205=""),"",SUMIFS('Barang Keluar'!$E:$E,'Barang Keluar'!$A:$A,M3205,'Barang Keluar'!$C:$C,N3205))</f>
        <v>0</v>
      </c>
    </row>
    <row r="3206" spans="13:16">
      <c r="M3206" s="49">
        <f>IF($A$4+31&gt;$B$4,"",$A$4+31)</f>
        <v>46054</v>
      </c>
      <c r="N3206">
        <f>IF(M3206="","",'Master Barang'!A100)</f>
        <v>0</v>
      </c>
      <c r="O3206">
        <f>IF(N3206="","",'Master Barang'!B100)</f>
        <v>0</v>
      </c>
      <c r="P3206">
        <f>IF(OR(M3206="",N3206=""),"",SUMIFS('Barang Keluar'!$E:$E,'Barang Keluar'!$A:$A,M3206,'Barang Keluar'!$C:$C,N3206))</f>
        <v>0</v>
      </c>
    </row>
    <row r="3207" spans="13:16">
      <c r="M3207" s="49">
        <f>IF($A$4+31&gt;$B$4,"",$A$4+31)</f>
        <v>46054</v>
      </c>
      <c r="N3207">
        <f>IF(M3207="","",'Master Barang'!A101)</f>
        <v>0</v>
      </c>
      <c r="O3207">
        <f>IF(N3207="","",'Master Barang'!B101)</f>
        <v>0</v>
      </c>
      <c r="P3207">
        <f>IF(OR(M3207="",N3207=""),"",SUMIFS('Barang Keluar'!$E:$E,'Barang Keluar'!$A:$A,M3207,'Barang Keluar'!$C:$C,N3207))</f>
        <v>0</v>
      </c>
    </row>
    <row r="3208" spans="13:16">
      <c r="M3208" s="49">
        <f>IF($A$4+32&gt;$B$4,"",$A$4+32)</f>
        <v>46055</v>
      </c>
      <c r="N3208" t="str">
        <f>IF(M3208="","",'Master Barang'!A2)</f>
        <v>PRL-001</v>
      </c>
      <c r="O3208" t="str">
        <f>IF(N3208="","",'Master Barang'!B2)</f>
        <v>natura desinfectant food grade 5l</v>
      </c>
      <c r="P3208">
        <f>IF(OR(M3208="",N3208=""),"",SUMIFS('Barang Keluar'!$E:$E,'Barang Keluar'!$A:$A,M3208,'Barang Keluar'!$C:$C,N3208))</f>
        <v>0</v>
      </c>
    </row>
    <row r="3209" spans="13:16">
      <c r="M3209" s="49">
        <f>IF($A$4+32&gt;$B$4,"",$A$4+32)</f>
        <v>46055</v>
      </c>
      <c r="N3209" t="str">
        <f>IF(M3209="","",'Master Barang'!A3)</f>
        <v>PRL-002</v>
      </c>
      <c r="O3209" t="str">
        <f>IF(N3209="","",'Master Barang'!B3)</f>
        <v>sunlight cairan pencuci piring 5l</v>
      </c>
      <c r="P3209">
        <f>IF(OR(M3209="",N3209=""),"",SUMIFS('Barang Keluar'!$E:$E,'Barang Keluar'!$A:$A,M3209,'Barang Keluar'!$C:$C,N3209))</f>
        <v>0</v>
      </c>
    </row>
    <row r="3210" spans="13:16">
      <c r="M3210" s="49">
        <f>IF($A$4+32&gt;$B$4,"",$A$4+32)</f>
        <v>46055</v>
      </c>
      <c r="N3210" t="str">
        <f>IF(M3210="","",'Master Barang'!A4)</f>
        <v>PRL-003</v>
      </c>
      <c r="O3210" t="str">
        <f>IF(N3210="","",'Master Barang'!B4)</f>
        <v>oixs cleaner 1l</v>
      </c>
      <c r="P3210">
        <f>IF(OR(M3210="",N3210=""),"",SUMIFS('Barang Keluar'!$E:$E,'Barang Keluar'!$A:$A,M3210,'Barang Keluar'!$C:$C,N3210))</f>
        <v>0</v>
      </c>
    </row>
    <row r="3211" spans="13:16">
      <c r="M3211" s="49">
        <f>IF($A$4+32&gt;$B$4,"",$A$4+32)</f>
        <v>46055</v>
      </c>
      <c r="N3211" t="str">
        <f>IF(M3211="","",'Master Barang'!A5)</f>
        <v>PRL-004</v>
      </c>
      <c r="O3211" t="str">
        <f>IF(N3211="","",'Master Barang'!B5)</f>
        <v>be clean tissue serbaguna</v>
      </c>
      <c r="P3211">
        <f>IF(OR(M3211="",N3211=""),"",SUMIFS('Barang Keluar'!$E:$E,'Barang Keluar'!$A:$A,M3211,'Barang Keluar'!$C:$C,N3211))</f>
        <v>0</v>
      </c>
    </row>
    <row r="3212" spans="13:16">
      <c r="M3212" s="49">
        <f>IF($A$4+32&gt;$B$4,"",$A$4+32)</f>
        <v>46055</v>
      </c>
      <c r="N3212" t="str">
        <f>IF(M3212="","",'Master Barang'!A6)</f>
        <v>PRL-005</v>
      </c>
      <c r="O3212" t="str">
        <f>IF(N3212="","",'Master Barang'!B6)</f>
        <v>spons cuci hijau</v>
      </c>
      <c r="P3212">
        <f>IF(OR(M3212="",N3212=""),"",SUMIFS('Barang Keluar'!$E:$E,'Barang Keluar'!$A:$A,M3212,'Barang Keluar'!$C:$C,N3212))</f>
        <v>0</v>
      </c>
    </row>
    <row r="3213" spans="13:16">
      <c r="M3213" s="49">
        <f>IF($A$4+32&gt;$B$4,"",$A$4+32)</f>
        <v>46055</v>
      </c>
      <c r="N3213" t="str">
        <f>IF(M3213="","",'Master Barang'!A7)</f>
        <v>PRL-006</v>
      </c>
      <c r="O3213" t="str">
        <f>IF(N3213="","",'Master Barang'!B7)</f>
        <v>sabut cuci stainless</v>
      </c>
      <c r="P3213">
        <f>IF(OR(M3213="",N3213=""),"",SUMIFS('Barang Keluar'!$E:$E,'Barang Keluar'!$A:$A,M3213,'Barang Keluar'!$C:$C,N3213))</f>
        <v>0</v>
      </c>
    </row>
    <row r="3214" spans="13:16">
      <c r="M3214" s="49">
        <f>IF($A$4+32&gt;$B$4,"",$A$4+32)</f>
        <v>46055</v>
      </c>
      <c r="N3214" t="str">
        <f>IF(M3214="","",'Master Barang'!A8)</f>
        <v>PRL-007</v>
      </c>
      <c r="O3214" t="str">
        <f>IF(N3214="","",'Master Barang'!B8)</f>
        <v>plastik kresek besar merah 50pc</v>
      </c>
      <c r="P3214">
        <f>IF(OR(M3214="",N3214=""),"",SUMIFS('Barang Keluar'!$E:$E,'Barang Keluar'!$A:$A,M3214,'Barang Keluar'!$C:$C,N3214))</f>
        <v>0</v>
      </c>
    </row>
    <row r="3215" spans="13:16">
      <c r="M3215" s="49">
        <f>IF($A$4+32&gt;$B$4,"",$A$4+32)</f>
        <v>46055</v>
      </c>
      <c r="N3215" t="str">
        <f>IF(M3215="","",'Master Barang'!A9)</f>
        <v>PRL-008</v>
      </c>
      <c r="O3215" t="str">
        <f>IF(N3215="","",'Master Barang'!B9)</f>
        <v>lap besar</v>
      </c>
      <c r="P3215">
        <f>IF(OR(M3215="",N3215=""),"",SUMIFS('Barang Keluar'!$E:$E,'Barang Keluar'!$A:$A,M3215,'Barang Keluar'!$C:$C,N3215))</f>
        <v>0</v>
      </c>
    </row>
    <row r="3216" spans="13:16">
      <c r="M3216" s="49">
        <f>IF($A$4+32&gt;$B$4,"",$A$4+32)</f>
        <v>46055</v>
      </c>
      <c r="N3216" t="str">
        <f>IF(M3216="","",'Master Barang'!A10)</f>
        <v>PRL-009</v>
      </c>
      <c r="O3216" t="str">
        <f>IF(N3216="","",'Master Barang'!B10)</f>
        <v>lap microfiber</v>
      </c>
      <c r="P3216">
        <f>IF(OR(M3216="",N3216=""),"",SUMIFS('Barang Keluar'!$E:$E,'Barang Keluar'!$A:$A,M3216,'Barang Keluar'!$C:$C,N3216))</f>
        <v>0</v>
      </c>
    </row>
    <row r="3217" spans="13:16">
      <c r="M3217" s="49">
        <f>IF($A$4+32&gt;$B$4,"",$A$4+32)</f>
        <v>46055</v>
      </c>
      <c r="N3217" t="str">
        <f>IF(M3217="","",'Master Barang'!A11)</f>
        <v>PRL-010</v>
      </c>
      <c r="O3217" t="str">
        <f>IF(N3217="","",'Master Barang'!B11)</f>
        <v>lap kecil</v>
      </c>
      <c r="P3217">
        <f>IF(OR(M3217="",N3217=""),"",SUMIFS('Barang Keluar'!$E:$E,'Barang Keluar'!$A:$A,M3217,'Barang Keluar'!$C:$C,N3217))</f>
        <v>0</v>
      </c>
    </row>
    <row r="3218" spans="13:16">
      <c r="M3218" s="49">
        <f>IF($A$4+32&gt;$B$4,"",$A$4+32)</f>
        <v>46055</v>
      </c>
      <c r="N3218" t="str">
        <f>IF(M3218="","",'Master Barang'!A12)</f>
        <v>PRL-011</v>
      </c>
      <c r="O3218" t="str">
        <f>IF(N3218="","",'Master Barang'!B12)</f>
        <v>kanebo kecil</v>
      </c>
      <c r="P3218">
        <f>IF(OR(M3218="",N3218=""),"",SUMIFS('Barang Keluar'!$E:$E,'Barang Keluar'!$A:$A,M3218,'Barang Keluar'!$C:$C,N3218))</f>
        <v>0</v>
      </c>
    </row>
    <row r="3219" spans="13:16">
      <c r="M3219" s="49">
        <f>IF($A$4+32&gt;$B$4,"",$A$4+32)</f>
        <v>46055</v>
      </c>
      <c r="N3219" t="str">
        <f>IF(M3219="","",'Master Barang'!A13)</f>
        <v>PRL-012</v>
      </c>
      <c r="O3219" t="str">
        <f>IF(N3219="","",'Master Barang'!B13)</f>
        <v>plastik 1/4kg joyoboyo 100 lembar</v>
      </c>
      <c r="P3219">
        <f>IF(OR(M3219="",N3219=""),"",SUMIFS('Barang Keluar'!$E:$E,'Barang Keluar'!$A:$A,M3219,'Barang Keluar'!$C:$C,N3219))</f>
        <v>0</v>
      </c>
    </row>
    <row r="3220" spans="13:16">
      <c r="M3220" s="49">
        <f>IF($A$4+32&gt;$B$4,"",$A$4+32)</f>
        <v>46055</v>
      </c>
      <c r="N3220" t="str">
        <f>IF(M3220="","",'Master Barang'!A14)</f>
        <v>PRL-013</v>
      </c>
      <c r="O3220" t="str">
        <f>IF(N3220="","",'Master Barang'!B14)</f>
        <v>sarung tangan plastik kaka 100 pcs</v>
      </c>
      <c r="P3220">
        <f>IF(OR(M3220="",N3220=""),"",SUMIFS('Barang Keluar'!$E:$E,'Barang Keluar'!$A:$A,M3220,'Barang Keluar'!$C:$C,N3220))</f>
        <v>0</v>
      </c>
    </row>
    <row r="3221" spans="13:16">
      <c r="M3221" s="49">
        <f>IF($A$4+32&gt;$B$4,"",$A$4+32)</f>
        <v>46055</v>
      </c>
      <c r="N3221" t="str">
        <f>IF(M3221="","",'Master Barang'!A15)</f>
        <v>PRL-014</v>
      </c>
      <c r="O3221" t="str">
        <f>IF(N3221="","",'Master Barang'!B15)</f>
        <v>optima trashbag 80x100</v>
      </c>
      <c r="P3221">
        <f>IF(OR(M3221="",N3221=""),"",SUMIFS('Barang Keluar'!$E:$E,'Barang Keluar'!$A:$A,M3221,'Barang Keluar'!$C:$C,N3221))</f>
        <v>0</v>
      </c>
    </row>
    <row r="3222" spans="13:16">
      <c r="M3222" s="49">
        <f>IF($A$4+32&gt;$B$4,"",$A$4+32)</f>
        <v>46055</v>
      </c>
      <c r="N3222" t="str">
        <f>IF(M3222="","",'Master Barang'!A16)</f>
        <v>PRL-015</v>
      </c>
      <c r="O3222" t="str">
        <f>IF(N3222="","",'Master Barang'!B16)</f>
        <v>optima trashbag 60x100</v>
      </c>
      <c r="P3222">
        <f>IF(OR(M3222="",N3222=""),"",SUMIFS('Barang Keluar'!$E:$E,'Barang Keluar'!$A:$A,M3222,'Barang Keluar'!$C:$C,N3222))</f>
        <v>0</v>
      </c>
    </row>
    <row r="3223" spans="13:16">
      <c r="M3223" s="49">
        <f>IF($A$4+32&gt;$B$4,"",$A$4+32)</f>
        <v>46055</v>
      </c>
      <c r="N3223" t="str">
        <f>IF(M3223="","",'Master Barang'!A17)</f>
        <v>PRL-016</v>
      </c>
      <c r="O3223" t="str">
        <f>IF(N3223="","",'Master Barang'!B17)</f>
        <v>rajawali trashbag 30x40</v>
      </c>
      <c r="P3223">
        <f>IF(OR(M3223="",N3223=""),"",SUMIFS('Barang Keluar'!$E:$E,'Barang Keluar'!$A:$A,M3223,'Barang Keluar'!$C:$C,N3223))</f>
        <v>0</v>
      </c>
    </row>
    <row r="3224" spans="13:16">
      <c r="M3224" s="49">
        <f>IF($A$4+32&gt;$B$4,"",$A$4+32)</f>
        <v>46055</v>
      </c>
      <c r="N3224" t="str">
        <f>IF(M3224="","",'Master Barang'!A18)</f>
        <v>PRL-017</v>
      </c>
      <c r="O3224" t="str">
        <f>IF(N3224="","",'Master Barang'!B18)</f>
        <v>onemed masker biru 3 play 50 pcs</v>
      </c>
      <c r="P3224">
        <f>IF(OR(M3224="",N3224=""),"",SUMIFS('Barang Keluar'!$E:$E,'Barang Keluar'!$A:$A,M3224,'Barang Keluar'!$C:$C,N3224))</f>
        <v>0</v>
      </c>
    </row>
    <row r="3225" spans="13:16">
      <c r="M3225" s="49">
        <f>IF($A$4+32&gt;$B$4,"",$A$4+32)</f>
        <v>46055</v>
      </c>
      <c r="N3225" t="str">
        <f>IF(M3225="","",'Master Barang'!A19)</f>
        <v>PRL-018</v>
      </c>
      <c r="O3225" t="str">
        <f>IF(N3225="","",'Master Barang'!B19)</f>
        <v>onemed masker biru 3 play hijab 50 pcs</v>
      </c>
      <c r="P3225">
        <f>IF(OR(M3225="",N3225=""),"",SUMIFS('Barang Keluar'!$E:$E,'Barang Keluar'!$A:$A,M3225,'Barang Keluar'!$C:$C,N3225))</f>
        <v>0</v>
      </c>
    </row>
    <row r="3226" spans="13:16">
      <c r="M3226" s="49">
        <f>IF($A$4+32&gt;$B$4,"",$A$4+32)</f>
        <v>46055</v>
      </c>
      <c r="N3226" t="str">
        <f>IF(M3226="","",'Master Barang'!A20)</f>
        <v>PRL-019</v>
      </c>
      <c r="O3226" t="str">
        <f>IF(N3226="","",'Master Barang'!B20)</f>
        <v>neo health masker biru 3 play 50 pcs</v>
      </c>
      <c r="P3226">
        <f>IF(OR(M3226="",N3226=""),"",SUMIFS('Barang Keluar'!$E:$E,'Barang Keluar'!$A:$A,M3226,'Barang Keluar'!$C:$C,N3226))</f>
        <v>0</v>
      </c>
    </row>
    <row r="3227" spans="13:16">
      <c r="M3227" s="49">
        <f>IF($A$4+32&gt;$B$4,"",$A$4+32)</f>
        <v>46055</v>
      </c>
      <c r="N3227" t="str">
        <f>IF(M3227="","",'Master Barang'!A21)</f>
        <v>PRL-020</v>
      </c>
      <c r="O3227" t="str">
        <f>IF(N3227="","",'Master Barang'!B21)</f>
        <v>baymed masker hijau 3 play hijau 50 pcs</v>
      </c>
      <c r="P3227">
        <f>IF(OR(M3227="",N3227=""),"",SUMIFS('Barang Keluar'!$E:$E,'Barang Keluar'!$A:$A,M3227,'Barang Keluar'!$C:$C,N3227))</f>
        <v>0</v>
      </c>
    </row>
    <row r="3228" spans="13:16">
      <c r="M3228" s="49">
        <f>IF($A$4+32&gt;$B$4,"",$A$4+32)</f>
        <v>46055</v>
      </c>
      <c r="N3228" t="str">
        <f>IF(M3228="","",'Master Barang'!A22)</f>
        <v>PRL-021</v>
      </c>
      <c r="O3228" t="str">
        <f>IF(N3228="","",'Master Barang'!B22)</f>
        <v>altamed nurse cap penutup kepala 100 pcs</v>
      </c>
      <c r="P3228">
        <f>IF(OR(M3228="",N3228=""),"",SUMIFS('Barang Keluar'!$E:$E,'Barang Keluar'!$A:$A,M3228,'Barang Keluar'!$C:$C,N3228))</f>
        <v>0</v>
      </c>
    </row>
    <row r="3229" spans="13:16">
      <c r="M3229" s="49">
        <f>IF($A$4+32&gt;$B$4,"",$A$4+32)</f>
        <v>46055</v>
      </c>
      <c r="N3229" t="str">
        <f>IF(M3229="","",'Master Barang'!A23)</f>
        <v>PRL-022</v>
      </c>
      <c r="O3229" t="str">
        <f>IF(N3229="","",'Master Barang'!B23)</f>
        <v>sabun cuci tangan</v>
      </c>
      <c r="P3229">
        <f>IF(OR(M3229="",N3229=""),"",SUMIFS('Barang Keluar'!$E:$E,'Barang Keluar'!$A:$A,M3229,'Barang Keluar'!$C:$C,N3229))</f>
        <v>0</v>
      </c>
    </row>
    <row r="3230" spans="13:16">
      <c r="M3230" s="49">
        <f>IF($A$4+32&gt;$B$4,"",$A$4+32)</f>
        <v>46055</v>
      </c>
      <c r="N3230" t="str">
        <f>IF(M3230="","",'Master Barang'!A24)</f>
        <v>PRL-023</v>
      </c>
      <c r="O3230" t="str">
        <f>IF(N3230="","",'Master Barang'!B24)</f>
        <v>gayung kecil</v>
      </c>
      <c r="P3230">
        <f>IF(OR(M3230="",N3230=""),"",SUMIFS('Barang Keluar'!$E:$E,'Barang Keluar'!$A:$A,M3230,'Barang Keluar'!$C:$C,N3230))</f>
        <v>0</v>
      </c>
    </row>
    <row r="3231" spans="13:16">
      <c r="M3231" s="49">
        <f>IF($A$4+32&gt;$B$4,"",$A$4+32)</f>
        <v>46055</v>
      </c>
      <c r="N3231" t="str">
        <f>IF(M3231="","",'Master Barang'!A25)</f>
        <v>PRL-024</v>
      </c>
      <c r="O3231" t="str">
        <f>IF(N3231="","",'Master Barang'!B25)</f>
        <v>cikrak kecil</v>
      </c>
      <c r="P3231">
        <f>IF(OR(M3231="",N3231=""),"",SUMIFS('Barang Keluar'!$E:$E,'Barang Keluar'!$A:$A,M3231,'Barang Keluar'!$C:$C,N3231))</f>
        <v>0</v>
      </c>
    </row>
    <row r="3232" spans="13:16">
      <c r="M3232" s="49">
        <f>IF($A$4+32&gt;$B$4,"",$A$4+32)</f>
        <v>46055</v>
      </c>
      <c r="N3232" t="str">
        <f>IF(M3232="","",'Master Barang'!A26)</f>
        <v>PRL-025</v>
      </c>
      <c r="O3232" t="str">
        <f>IF(N3232="","",'Master Barang'!B26)</f>
        <v>petromax plastik kecil 12x24 100 lembar</v>
      </c>
      <c r="P3232">
        <f>IF(OR(M3232="",N3232=""),"",SUMIFS('Barang Keluar'!$E:$E,'Barang Keluar'!$A:$A,M3232,'Barang Keluar'!$C:$C,N3232))</f>
        <v>0</v>
      </c>
    </row>
    <row r="3233" spans="13:16">
      <c r="M3233" s="49">
        <f>IF($A$4+32&gt;$B$4,"",$A$4+32)</f>
        <v>46055</v>
      </c>
      <c r="N3233" t="str">
        <f>IF(M3233="","",'Master Barang'!A27)</f>
        <v>PRL-026</v>
      </c>
      <c r="O3233" t="str">
        <f>IF(N3233="","",'Master Barang'!B27)</f>
        <v>lancar kresek kecil bening </v>
      </c>
      <c r="P3233">
        <f>IF(OR(M3233="",N3233=""),"",SUMIFS('Barang Keluar'!$E:$E,'Barang Keluar'!$A:$A,M3233,'Barang Keluar'!$C:$C,N3233))</f>
        <v>0</v>
      </c>
    </row>
    <row r="3234" spans="13:16">
      <c r="M3234" s="49">
        <f>IF($A$4+32&gt;$B$4,"",$A$4+32)</f>
        <v>46055</v>
      </c>
      <c r="N3234" t="str">
        <f>IF(M3234="","",'Master Barang'!A28)</f>
        <v>PRL-027</v>
      </c>
      <c r="O3234" t="str">
        <f>IF(N3234="","",'Master Barang'!B28)</f>
        <v>kresek klin warna warni kecil</v>
      </c>
      <c r="P3234">
        <f>IF(OR(M3234="",N3234=""),"",SUMIFS('Barang Keluar'!$E:$E,'Barang Keluar'!$A:$A,M3234,'Barang Keluar'!$C:$C,N3234))</f>
        <v>0</v>
      </c>
    </row>
    <row r="3235" spans="13:16">
      <c r="M3235" s="49">
        <f>IF($A$4+32&gt;$B$4,"",$A$4+32)</f>
        <v>46055</v>
      </c>
      <c r="N3235" t="str">
        <f>IF(M3235="","",'Master Barang'!A29)</f>
        <v>PRL-028</v>
      </c>
      <c r="O3235" t="str">
        <f>IF(N3235="","",'Master Barang'!B29)</f>
        <v>ctik plastik 7x10 100 pcs</v>
      </c>
      <c r="P3235">
        <f>IF(OR(M3235="",N3235=""),"",SUMIFS('Barang Keluar'!$E:$E,'Barang Keluar'!$A:$A,M3235,'Barang Keluar'!$C:$C,N3235))</f>
        <v>0</v>
      </c>
    </row>
    <row r="3236" spans="13:16">
      <c r="M3236" s="49">
        <f>IF($A$4+32&gt;$B$4,"",$A$4+32)</f>
        <v>46055</v>
      </c>
      <c r="N3236" t="str">
        <f>IF(M3236="","",'Master Barang'!A30)</f>
        <v>PRL-029</v>
      </c>
      <c r="O3236" t="str">
        <f>IF(N3236="","",'Master Barang'!B30)</f>
        <v>ctik plastik 6x10 100 pcs</v>
      </c>
      <c r="P3236">
        <f>IF(OR(M3236="",N3236=""),"",SUMIFS('Barang Keluar'!$E:$E,'Barang Keluar'!$A:$A,M3236,'Barang Keluar'!$C:$C,N3236))</f>
        <v>0</v>
      </c>
    </row>
    <row r="3237" spans="13:16">
      <c r="M3237" s="49">
        <f>IF($A$4+32&gt;$B$4,"",$A$4+32)</f>
        <v>46055</v>
      </c>
      <c r="N3237" t="str">
        <f>IF(M3237="","",'Master Barang'!A31)</f>
        <v>PRL-030</v>
      </c>
      <c r="O3237" t="str">
        <f>IF(N3237="","",'Master Barang'!B31)</f>
        <v>klip plastik 25x16 100 pcs</v>
      </c>
      <c r="P3237">
        <f>IF(OR(M3237="",N3237=""),"",SUMIFS('Barang Keluar'!$E:$E,'Barang Keluar'!$A:$A,M3237,'Barang Keluar'!$C:$C,N3237))</f>
        <v>0</v>
      </c>
    </row>
    <row r="3238" spans="13:16">
      <c r="M3238" s="49">
        <f>IF($A$4+32&gt;$B$4,"",$A$4+32)</f>
        <v>46055</v>
      </c>
      <c r="N3238" t="str">
        <f>IF(M3238="","",'Master Barang'!A32)</f>
        <v>PRL-031</v>
      </c>
      <c r="O3238" t="str">
        <f>IF(N3238="","",'Master Barang'!B32)</f>
        <v>tempat saus 20 ml</v>
      </c>
      <c r="P3238">
        <f>IF(OR(M3238="",N3238=""),"",SUMIFS('Barang Keluar'!$E:$E,'Barang Keluar'!$A:$A,M3238,'Barang Keluar'!$C:$C,N3238))</f>
        <v>0</v>
      </c>
    </row>
    <row r="3239" spans="13:16">
      <c r="M3239" s="49">
        <f>IF($A$4+32&gt;$B$4,"",$A$4+32)</f>
        <v>46055</v>
      </c>
      <c r="N3239" t="str">
        <f>IF(M3239="","",'Master Barang'!A33)</f>
        <v>PRL-032</v>
      </c>
      <c r="O3239" t="str">
        <f>IF(N3239="","",'Master Barang'!B33)</f>
        <v>plastik packaging ag box uk sedang</v>
      </c>
      <c r="P3239">
        <f>IF(OR(M3239="",N3239=""),"",SUMIFS('Barang Keluar'!$E:$E,'Barang Keluar'!$A:$A,M3239,'Barang Keluar'!$C:$C,N3239))</f>
        <v>0</v>
      </c>
    </row>
    <row r="3240" spans="13:16">
      <c r="M3240" s="49">
        <f>IF($A$4+32&gt;$B$4,"",$A$4+32)</f>
        <v>46055</v>
      </c>
      <c r="N3240" t="str">
        <f>IF(M3240="","",'Master Barang'!A34)</f>
        <v>PRL-033</v>
      </c>
      <c r="O3240">
        <f>IF(N3240="","",'Master Barang'!B34)</f>
        <v>0</v>
      </c>
      <c r="P3240">
        <f>IF(OR(M3240="",N3240=""),"",SUMIFS('Barang Keluar'!$E:$E,'Barang Keluar'!$A:$A,M3240,'Barang Keluar'!$C:$C,N3240))</f>
        <v>0</v>
      </c>
    </row>
    <row r="3241" spans="13:16">
      <c r="M3241" s="49">
        <f>IF($A$4+32&gt;$B$4,"",$A$4+32)</f>
        <v>46055</v>
      </c>
      <c r="N3241">
        <f>IF(M3241="","",'Master Barang'!A35)</f>
        <v>0</v>
      </c>
      <c r="O3241">
        <f>IF(N3241="","",'Master Barang'!B35)</f>
        <v>0</v>
      </c>
      <c r="P3241">
        <f>IF(OR(M3241="",N3241=""),"",SUMIFS('Barang Keluar'!$E:$E,'Barang Keluar'!$A:$A,M3241,'Barang Keluar'!$C:$C,N3241))</f>
        <v>0</v>
      </c>
    </row>
    <row r="3242" spans="13:16">
      <c r="M3242" s="49">
        <f>IF($A$4+32&gt;$B$4,"",$A$4+32)</f>
        <v>46055</v>
      </c>
      <c r="N3242">
        <f>IF(M3242="","",'Master Barang'!A36)</f>
        <v>0</v>
      </c>
      <c r="O3242">
        <f>IF(N3242="","",'Master Barang'!B36)</f>
        <v>0</v>
      </c>
      <c r="P3242">
        <f>IF(OR(M3242="",N3242=""),"",SUMIFS('Barang Keluar'!$E:$E,'Barang Keluar'!$A:$A,M3242,'Barang Keluar'!$C:$C,N3242))</f>
        <v>0</v>
      </c>
    </row>
    <row r="3243" spans="13:16">
      <c r="M3243" s="49">
        <f>IF($A$4+32&gt;$B$4,"",$A$4+32)</f>
        <v>46055</v>
      </c>
      <c r="N3243">
        <f>IF(M3243="","",'Master Barang'!A37)</f>
        <v>0</v>
      </c>
      <c r="O3243">
        <f>IF(N3243="","",'Master Barang'!B37)</f>
        <v>0</v>
      </c>
      <c r="P3243">
        <f>IF(OR(M3243="",N3243=""),"",SUMIFS('Barang Keluar'!$E:$E,'Barang Keluar'!$A:$A,M3243,'Barang Keluar'!$C:$C,N3243))</f>
        <v>0</v>
      </c>
    </row>
    <row r="3244" spans="13:16">
      <c r="M3244" s="49">
        <f>IF($A$4+32&gt;$B$4,"",$A$4+32)</f>
        <v>46055</v>
      </c>
      <c r="N3244">
        <f>IF(M3244="","",'Master Barang'!A38)</f>
        <v>0</v>
      </c>
      <c r="O3244">
        <f>IF(N3244="","",'Master Barang'!B38)</f>
        <v>0</v>
      </c>
      <c r="P3244">
        <f>IF(OR(M3244="",N3244=""),"",SUMIFS('Barang Keluar'!$E:$E,'Barang Keluar'!$A:$A,M3244,'Barang Keluar'!$C:$C,N3244))</f>
        <v>0</v>
      </c>
    </row>
    <row r="3245" spans="13:16">
      <c r="M3245" s="49">
        <f>IF($A$4+32&gt;$B$4,"",$A$4+32)</f>
        <v>46055</v>
      </c>
      <c r="N3245">
        <f>IF(M3245="","",'Master Barang'!A39)</f>
        <v>0</v>
      </c>
      <c r="O3245">
        <f>IF(N3245="","",'Master Barang'!B39)</f>
        <v>0</v>
      </c>
      <c r="P3245">
        <f>IF(OR(M3245="",N3245=""),"",SUMIFS('Barang Keluar'!$E:$E,'Barang Keluar'!$A:$A,M3245,'Barang Keluar'!$C:$C,N3245))</f>
        <v>0</v>
      </c>
    </row>
    <row r="3246" spans="13:16">
      <c r="M3246" s="49">
        <f>IF($A$4+32&gt;$B$4,"",$A$4+32)</f>
        <v>46055</v>
      </c>
      <c r="N3246">
        <f>IF(M3246="","",'Master Barang'!A40)</f>
        <v>0</v>
      </c>
      <c r="O3246">
        <f>IF(N3246="","",'Master Barang'!B40)</f>
        <v>0</v>
      </c>
      <c r="P3246">
        <f>IF(OR(M3246="",N3246=""),"",SUMIFS('Barang Keluar'!$E:$E,'Barang Keluar'!$A:$A,M3246,'Barang Keluar'!$C:$C,N3246))</f>
        <v>0</v>
      </c>
    </row>
    <row r="3247" spans="13:16">
      <c r="M3247" s="49">
        <f>IF($A$4+32&gt;$B$4,"",$A$4+32)</f>
        <v>46055</v>
      </c>
      <c r="N3247">
        <f>IF(M3247="","",'Master Barang'!A41)</f>
        <v>0</v>
      </c>
      <c r="O3247">
        <f>IF(N3247="","",'Master Barang'!B41)</f>
        <v>0</v>
      </c>
      <c r="P3247">
        <f>IF(OR(M3247="",N3247=""),"",SUMIFS('Barang Keluar'!$E:$E,'Barang Keluar'!$A:$A,M3247,'Barang Keluar'!$C:$C,N3247))</f>
        <v>0</v>
      </c>
    </row>
    <row r="3248" spans="13:16">
      <c r="M3248" s="49">
        <f>IF($A$4+32&gt;$B$4,"",$A$4+32)</f>
        <v>46055</v>
      </c>
      <c r="N3248">
        <f>IF(M3248="","",'Master Barang'!A42)</f>
        <v>0</v>
      </c>
      <c r="O3248">
        <f>IF(N3248="","",'Master Barang'!B42)</f>
        <v>0</v>
      </c>
      <c r="P3248">
        <f>IF(OR(M3248="",N3248=""),"",SUMIFS('Barang Keluar'!$E:$E,'Barang Keluar'!$A:$A,M3248,'Barang Keluar'!$C:$C,N3248))</f>
        <v>0</v>
      </c>
    </row>
    <row r="3249" spans="13:16">
      <c r="M3249" s="49">
        <f>IF($A$4+32&gt;$B$4,"",$A$4+32)</f>
        <v>46055</v>
      </c>
      <c r="N3249">
        <f>IF(M3249="","",'Master Barang'!A43)</f>
        <v>0</v>
      </c>
      <c r="O3249">
        <f>IF(N3249="","",'Master Barang'!B43)</f>
        <v>0</v>
      </c>
      <c r="P3249">
        <f>IF(OR(M3249="",N3249=""),"",SUMIFS('Barang Keluar'!$E:$E,'Barang Keluar'!$A:$A,M3249,'Barang Keluar'!$C:$C,N3249))</f>
        <v>0</v>
      </c>
    </row>
    <row r="3250" spans="13:16">
      <c r="M3250" s="49">
        <f>IF($A$4+32&gt;$B$4,"",$A$4+32)</f>
        <v>46055</v>
      </c>
      <c r="N3250">
        <f>IF(M3250="","",'Master Barang'!A44)</f>
        <v>0</v>
      </c>
      <c r="O3250">
        <f>IF(N3250="","",'Master Barang'!B44)</f>
        <v>0</v>
      </c>
      <c r="P3250">
        <f>IF(OR(M3250="",N3250=""),"",SUMIFS('Barang Keluar'!$E:$E,'Barang Keluar'!$A:$A,M3250,'Barang Keluar'!$C:$C,N3250))</f>
        <v>0</v>
      </c>
    </row>
    <row r="3251" spans="13:16">
      <c r="M3251" s="49">
        <f>IF($A$4+32&gt;$B$4,"",$A$4+32)</f>
        <v>46055</v>
      </c>
      <c r="N3251">
        <f>IF(M3251="","",'Master Barang'!A45)</f>
        <v>0</v>
      </c>
      <c r="O3251">
        <f>IF(N3251="","",'Master Barang'!B45)</f>
        <v>0</v>
      </c>
      <c r="P3251">
        <f>IF(OR(M3251="",N3251=""),"",SUMIFS('Barang Keluar'!$E:$E,'Barang Keluar'!$A:$A,M3251,'Barang Keluar'!$C:$C,N3251))</f>
        <v>0</v>
      </c>
    </row>
    <row r="3252" spans="13:16">
      <c r="M3252" s="49">
        <f>IF($A$4+32&gt;$B$4,"",$A$4+32)</f>
        <v>46055</v>
      </c>
      <c r="N3252">
        <f>IF(M3252="","",'Master Barang'!A46)</f>
        <v>0</v>
      </c>
      <c r="O3252">
        <f>IF(N3252="","",'Master Barang'!B46)</f>
        <v>0</v>
      </c>
      <c r="P3252">
        <f>IF(OR(M3252="",N3252=""),"",SUMIFS('Barang Keluar'!$E:$E,'Barang Keluar'!$A:$A,M3252,'Barang Keluar'!$C:$C,N3252))</f>
        <v>0</v>
      </c>
    </row>
    <row r="3253" spans="13:16">
      <c r="M3253" s="49">
        <f>IF($A$4+32&gt;$B$4,"",$A$4+32)</f>
        <v>46055</v>
      </c>
      <c r="N3253">
        <f>IF(M3253="","",'Master Barang'!A47)</f>
        <v>0</v>
      </c>
      <c r="O3253">
        <f>IF(N3253="","",'Master Barang'!B47)</f>
        <v>0</v>
      </c>
      <c r="P3253">
        <f>IF(OR(M3253="",N3253=""),"",SUMIFS('Barang Keluar'!$E:$E,'Barang Keluar'!$A:$A,M3253,'Barang Keluar'!$C:$C,N3253))</f>
        <v>0</v>
      </c>
    </row>
    <row r="3254" spans="13:16">
      <c r="M3254" s="49">
        <f>IF($A$4+32&gt;$B$4,"",$A$4+32)</f>
        <v>46055</v>
      </c>
      <c r="N3254">
        <f>IF(M3254="","",'Master Barang'!A48)</f>
        <v>0</v>
      </c>
      <c r="O3254">
        <f>IF(N3254="","",'Master Barang'!B48)</f>
        <v>0</v>
      </c>
      <c r="P3254">
        <f>IF(OR(M3254="",N3254=""),"",SUMIFS('Barang Keluar'!$E:$E,'Barang Keluar'!$A:$A,M3254,'Barang Keluar'!$C:$C,N3254))</f>
        <v>0</v>
      </c>
    </row>
    <row r="3255" spans="13:16">
      <c r="M3255" s="49">
        <f>IF($A$4+32&gt;$B$4,"",$A$4+32)</f>
        <v>46055</v>
      </c>
      <c r="N3255">
        <f>IF(M3255="","",'Master Barang'!A49)</f>
        <v>0</v>
      </c>
      <c r="O3255">
        <f>IF(N3255="","",'Master Barang'!B49)</f>
        <v>0</v>
      </c>
      <c r="P3255">
        <f>IF(OR(M3255="",N3255=""),"",SUMIFS('Barang Keluar'!$E:$E,'Barang Keluar'!$A:$A,M3255,'Barang Keluar'!$C:$C,N3255))</f>
        <v>0</v>
      </c>
    </row>
    <row r="3256" spans="13:16">
      <c r="M3256" s="49">
        <f>IF($A$4+32&gt;$B$4,"",$A$4+32)</f>
        <v>46055</v>
      </c>
      <c r="N3256">
        <f>IF(M3256="","",'Master Barang'!A50)</f>
        <v>0</v>
      </c>
      <c r="O3256">
        <f>IF(N3256="","",'Master Barang'!B50)</f>
        <v>0</v>
      </c>
      <c r="P3256">
        <f>IF(OR(M3256="",N3256=""),"",SUMIFS('Barang Keluar'!$E:$E,'Barang Keluar'!$A:$A,M3256,'Barang Keluar'!$C:$C,N3256))</f>
        <v>0</v>
      </c>
    </row>
    <row r="3257" spans="13:16">
      <c r="M3257" s="49">
        <f>IF($A$4+32&gt;$B$4,"",$A$4+32)</f>
        <v>46055</v>
      </c>
      <c r="N3257">
        <f>IF(M3257="","",'Master Barang'!A51)</f>
        <v>0</v>
      </c>
      <c r="O3257">
        <f>IF(N3257="","",'Master Barang'!B51)</f>
        <v>0</v>
      </c>
      <c r="P3257">
        <f>IF(OR(M3257="",N3257=""),"",SUMIFS('Barang Keluar'!$E:$E,'Barang Keluar'!$A:$A,M3257,'Barang Keluar'!$C:$C,N3257))</f>
        <v>0</v>
      </c>
    </row>
    <row r="3258" spans="13:16">
      <c r="M3258" s="49">
        <f>IF($A$4+32&gt;$B$4,"",$A$4+32)</f>
        <v>46055</v>
      </c>
      <c r="N3258">
        <f>IF(M3258="","",'Master Barang'!A52)</f>
        <v>0</v>
      </c>
      <c r="O3258">
        <f>IF(N3258="","",'Master Barang'!B52)</f>
        <v>0</v>
      </c>
      <c r="P3258">
        <f>IF(OR(M3258="",N3258=""),"",SUMIFS('Barang Keluar'!$E:$E,'Barang Keluar'!$A:$A,M3258,'Barang Keluar'!$C:$C,N3258))</f>
        <v>0</v>
      </c>
    </row>
    <row r="3259" spans="13:16">
      <c r="M3259" s="49">
        <f>IF($A$4+32&gt;$B$4,"",$A$4+32)</f>
        <v>46055</v>
      </c>
      <c r="N3259">
        <f>IF(M3259="","",'Master Barang'!A53)</f>
        <v>0</v>
      </c>
      <c r="O3259">
        <f>IF(N3259="","",'Master Barang'!B53)</f>
        <v>0</v>
      </c>
      <c r="P3259">
        <f>IF(OR(M3259="",N3259=""),"",SUMIFS('Barang Keluar'!$E:$E,'Barang Keluar'!$A:$A,M3259,'Barang Keluar'!$C:$C,N3259))</f>
        <v>0</v>
      </c>
    </row>
    <row r="3260" spans="13:16">
      <c r="M3260" s="49">
        <f>IF($A$4+32&gt;$B$4,"",$A$4+32)</f>
        <v>46055</v>
      </c>
      <c r="N3260">
        <f>IF(M3260="","",'Master Barang'!A54)</f>
        <v>0</v>
      </c>
      <c r="O3260">
        <f>IF(N3260="","",'Master Barang'!B54)</f>
        <v>0</v>
      </c>
      <c r="P3260">
        <f>IF(OR(M3260="",N3260=""),"",SUMIFS('Barang Keluar'!$E:$E,'Barang Keluar'!$A:$A,M3260,'Barang Keluar'!$C:$C,N3260))</f>
        <v>0</v>
      </c>
    </row>
    <row r="3261" spans="13:16">
      <c r="M3261" s="49">
        <f>IF($A$4+32&gt;$B$4,"",$A$4+32)</f>
        <v>46055</v>
      </c>
      <c r="N3261">
        <f>IF(M3261="","",'Master Barang'!A55)</f>
        <v>0</v>
      </c>
      <c r="O3261">
        <f>IF(N3261="","",'Master Barang'!B55)</f>
        <v>0</v>
      </c>
      <c r="P3261">
        <f>IF(OR(M3261="",N3261=""),"",SUMIFS('Barang Keluar'!$E:$E,'Barang Keluar'!$A:$A,M3261,'Barang Keluar'!$C:$C,N3261))</f>
        <v>0</v>
      </c>
    </row>
    <row r="3262" spans="13:16">
      <c r="M3262" s="49">
        <f>IF($A$4+32&gt;$B$4,"",$A$4+32)</f>
        <v>46055</v>
      </c>
      <c r="N3262">
        <f>IF(M3262="","",'Master Barang'!A56)</f>
        <v>0</v>
      </c>
      <c r="O3262">
        <f>IF(N3262="","",'Master Barang'!B56)</f>
        <v>0</v>
      </c>
      <c r="P3262">
        <f>IF(OR(M3262="",N3262=""),"",SUMIFS('Barang Keluar'!$E:$E,'Barang Keluar'!$A:$A,M3262,'Barang Keluar'!$C:$C,N3262))</f>
        <v>0</v>
      </c>
    </row>
    <row r="3263" spans="13:16">
      <c r="M3263" s="49">
        <f>IF($A$4+32&gt;$B$4,"",$A$4+32)</f>
        <v>46055</v>
      </c>
      <c r="N3263">
        <f>IF(M3263="","",'Master Barang'!A57)</f>
        <v>0</v>
      </c>
      <c r="O3263">
        <f>IF(N3263="","",'Master Barang'!B57)</f>
        <v>0</v>
      </c>
      <c r="P3263">
        <f>IF(OR(M3263="",N3263=""),"",SUMIFS('Barang Keluar'!$E:$E,'Barang Keluar'!$A:$A,M3263,'Barang Keluar'!$C:$C,N3263))</f>
        <v>0</v>
      </c>
    </row>
    <row r="3264" spans="13:16">
      <c r="M3264" s="49">
        <f>IF($A$4+32&gt;$B$4,"",$A$4+32)</f>
        <v>46055</v>
      </c>
      <c r="N3264">
        <f>IF(M3264="","",'Master Barang'!A58)</f>
        <v>0</v>
      </c>
      <c r="O3264">
        <f>IF(N3264="","",'Master Barang'!B58)</f>
        <v>0</v>
      </c>
      <c r="P3264">
        <f>IF(OR(M3264="",N3264=""),"",SUMIFS('Barang Keluar'!$E:$E,'Barang Keluar'!$A:$A,M3264,'Barang Keluar'!$C:$C,N3264))</f>
        <v>0</v>
      </c>
    </row>
    <row r="3265" spans="13:16">
      <c r="M3265" s="49">
        <f>IF($A$4+32&gt;$B$4,"",$A$4+32)</f>
        <v>46055</v>
      </c>
      <c r="N3265">
        <f>IF(M3265="","",'Master Barang'!A59)</f>
        <v>0</v>
      </c>
      <c r="O3265">
        <f>IF(N3265="","",'Master Barang'!B59)</f>
        <v>0</v>
      </c>
      <c r="P3265">
        <f>IF(OR(M3265="",N3265=""),"",SUMIFS('Barang Keluar'!$E:$E,'Barang Keluar'!$A:$A,M3265,'Barang Keluar'!$C:$C,N3265))</f>
        <v>0</v>
      </c>
    </row>
    <row r="3266" spans="13:16">
      <c r="M3266" s="49">
        <f>IF($A$4+32&gt;$B$4,"",$A$4+32)</f>
        <v>46055</v>
      </c>
      <c r="N3266">
        <f>IF(M3266="","",'Master Barang'!A60)</f>
        <v>0</v>
      </c>
      <c r="O3266">
        <f>IF(N3266="","",'Master Barang'!B60)</f>
        <v>0</v>
      </c>
      <c r="P3266">
        <f>IF(OR(M3266="",N3266=""),"",SUMIFS('Barang Keluar'!$E:$E,'Barang Keluar'!$A:$A,M3266,'Barang Keluar'!$C:$C,N3266))</f>
        <v>0</v>
      </c>
    </row>
    <row r="3267" spans="13:16">
      <c r="M3267" s="49">
        <f>IF($A$4+32&gt;$B$4,"",$A$4+32)</f>
        <v>46055</v>
      </c>
      <c r="N3267">
        <f>IF(M3267="","",'Master Barang'!A61)</f>
        <v>0</v>
      </c>
      <c r="O3267">
        <f>IF(N3267="","",'Master Barang'!B61)</f>
        <v>0</v>
      </c>
      <c r="P3267">
        <f>IF(OR(M3267="",N3267=""),"",SUMIFS('Barang Keluar'!$E:$E,'Barang Keluar'!$A:$A,M3267,'Barang Keluar'!$C:$C,N3267))</f>
        <v>0</v>
      </c>
    </row>
    <row r="3268" spans="13:16">
      <c r="M3268" s="49">
        <f>IF($A$4+32&gt;$B$4,"",$A$4+32)</f>
        <v>46055</v>
      </c>
      <c r="N3268">
        <f>IF(M3268="","",'Master Barang'!A62)</f>
        <v>0</v>
      </c>
      <c r="O3268">
        <f>IF(N3268="","",'Master Barang'!B62)</f>
        <v>0</v>
      </c>
      <c r="P3268">
        <f>IF(OR(M3268="",N3268=""),"",SUMIFS('Barang Keluar'!$E:$E,'Barang Keluar'!$A:$A,M3268,'Barang Keluar'!$C:$C,N3268))</f>
        <v>0</v>
      </c>
    </row>
    <row r="3269" spans="13:16">
      <c r="M3269" s="49">
        <f>IF($A$4+32&gt;$B$4,"",$A$4+32)</f>
        <v>46055</v>
      </c>
      <c r="N3269">
        <f>IF(M3269="","",'Master Barang'!A63)</f>
        <v>0</v>
      </c>
      <c r="O3269">
        <f>IF(N3269="","",'Master Barang'!B63)</f>
        <v>0</v>
      </c>
      <c r="P3269">
        <f>IF(OR(M3269="",N3269=""),"",SUMIFS('Barang Keluar'!$E:$E,'Barang Keluar'!$A:$A,M3269,'Barang Keluar'!$C:$C,N3269))</f>
        <v>0</v>
      </c>
    </row>
    <row r="3270" spans="13:16">
      <c r="M3270" s="49">
        <f>IF($A$4+32&gt;$B$4,"",$A$4+32)</f>
        <v>46055</v>
      </c>
      <c r="N3270">
        <f>IF(M3270="","",'Master Barang'!A64)</f>
        <v>0</v>
      </c>
      <c r="O3270">
        <f>IF(N3270="","",'Master Barang'!B64)</f>
        <v>0</v>
      </c>
      <c r="P3270">
        <f>IF(OR(M3270="",N3270=""),"",SUMIFS('Barang Keluar'!$E:$E,'Barang Keluar'!$A:$A,M3270,'Barang Keluar'!$C:$C,N3270))</f>
        <v>0</v>
      </c>
    </row>
    <row r="3271" spans="13:16">
      <c r="M3271" s="49">
        <f>IF($A$4+32&gt;$B$4,"",$A$4+32)</f>
        <v>46055</v>
      </c>
      <c r="N3271">
        <f>IF(M3271="","",'Master Barang'!A65)</f>
        <v>0</v>
      </c>
      <c r="O3271">
        <f>IF(N3271="","",'Master Barang'!B65)</f>
        <v>0</v>
      </c>
      <c r="P3271">
        <f>IF(OR(M3271="",N3271=""),"",SUMIFS('Barang Keluar'!$E:$E,'Barang Keluar'!$A:$A,M3271,'Barang Keluar'!$C:$C,N3271))</f>
        <v>0</v>
      </c>
    </row>
    <row r="3272" spans="13:16">
      <c r="M3272" s="49">
        <f>IF($A$4+32&gt;$B$4,"",$A$4+32)</f>
        <v>46055</v>
      </c>
      <c r="N3272">
        <f>IF(M3272="","",'Master Barang'!A66)</f>
        <v>0</v>
      </c>
      <c r="O3272">
        <f>IF(N3272="","",'Master Barang'!B66)</f>
        <v>0</v>
      </c>
      <c r="P3272">
        <f>IF(OR(M3272="",N3272=""),"",SUMIFS('Barang Keluar'!$E:$E,'Barang Keluar'!$A:$A,M3272,'Barang Keluar'!$C:$C,N3272))</f>
        <v>0</v>
      </c>
    </row>
    <row r="3273" spans="13:16">
      <c r="M3273" s="49">
        <f>IF($A$4+32&gt;$B$4,"",$A$4+32)</f>
        <v>46055</v>
      </c>
      <c r="N3273">
        <f>IF(M3273="","",'Master Barang'!A67)</f>
        <v>0</v>
      </c>
      <c r="O3273">
        <f>IF(N3273="","",'Master Barang'!B67)</f>
        <v>0</v>
      </c>
      <c r="P3273">
        <f>IF(OR(M3273="",N3273=""),"",SUMIFS('Barang Keluar'!$E:$E,'Barang Keluar'!$A:$A,M3273,'Barang Keluar'!$C:$C,N3273))</f>
        <v>0</v>
      </c>
    </row>
    <row r="3274" spans="13:16">
      <c r="M3274" s="49">
        <f>IF($A$4+32&gt;$B$4,"",$A$4+32)</f>
        <v>46055</v>
      </c>
      <c r="N3274">
        <f>IF(M3274="","",'Master Barang'!A68)</f>
        <v>0</v>
      </c>
      <c r="O3274">
        <f>IF(N3274="","",'Master Barang'!B68)</f>
        <v>0</v>
      </c>
      <c r="P3274">
        <f>IF(OR(M3274="",N3274=""),"",SUMIFS('Barang Keluar'!$E:$E,'Barang Keluar'!$A:$A,M3274,'Barang Keluar'!$C:$C,N3274))</f>
        <v>0</v>
      </c>
    </row>
    <row r="3275" spans="13:16">
      <c r="M3275" s="49">
        <f>IF($A$4+32&gt;$B$4,"",$A$4+32)</f>
        <v>46055</v>
      </c>
      <c r="N3275">
        <f>IF(M3275="","",'Master Barang'!A69)</f>
        <v>0</v>
      </c>
      <c r="O3275">
        <f>IF(N3275="","",'Master Barang'!B69)</f>
        <v>0</v>
      </c>
      <c r="P3275">
        <f>IF(OR(M3275="",N3275=""),"",SUMIFS('Barang Keluar'!$E:$E,'Barang Keluar'!$A:$A,M3275,'Barang Keluar'!$C:$C,N3275))</f>
        <v>0</v>
      </c>
    </row>
    <row r="3276" spans="13:16">
      <c r="M3276" s="49">
        <f>IF($A$4+32&gt;$B$4,"",$A$4+32)</f>
        <v>46055</v>
      </c>
      <c r="N3276">
        <f>IF(M3276="","",'Master Barang'!A70)</f>
        <v>0</v>
      </c>
      <c r="O3276">
        <f>IF(N3276="","",'Master Barang'!B70)</f>
        <v>0</v>
      </c>
      <c r="P3276">
        <f>IF(OR(M3276="",N3276=""),"",SUMIFS('Barang Keluar'!$E:$E,'Barang Keluar'!$A:$A,M3276,'Barang Keluar'!$C:$C,N3276))</f>
        <v>0</v>
      </c>
    </row>
    <row r="3277" spans="13:16">
      <c r="M3277" s="49">
        <f>IF($A$4+32&gt;$B$4,"",$A$4+32)</f>
        <v>46055</v>
      </c>
      <c r="N3277">
        <f>IF(M3277="","",'Master Barang'!A71)</f>
        <v>0</v>
      </c>
      <c r="O3277">
        <f>IF(N3277="","",'Master Barang'!B71)</f>
        <v>0</v>
      </c>
      <c r="P3277">
        <f>IF(OR(M3277="",N3277=""),"",SUMIFS('Barang Keluar'!$E:$E,'Barang Keluar'!$A:$A,M3277,'Barang Keluar'!$C:$C,N3277))</f>
        <v>0</v>
      </c>
    </row>
    <row r="3278" spans="13:16">
      <c r="M3278" s="49">
        <f>IF($A$4+32&gt;$B$4,"",$A$4+32)</f>
        <v>46055</v>
      </c>
      <c r="N3278">
        <f>IF(M3278="","",'Master Barang'!A72)</f>
        <v>0</v>
      </c>
      <c r="O3278">
        <f>IF(N3278="","",'Master Barang'!B72)</f>
        <v>0</v>
      </c>
      <c r="P3278">
        <f>IF(OR(M3278="",N3278=""),"",SUMIFS('Barang Keluar'!$E:$E,'Barang Keluar'!$A:$A,M3278,'Barang Keluar'!$C:$C,N3278))</f>
        <v>0</v>
      </c>
    </row>
    <row r="3279" spans="13:16">
      <c r="M3279" s="49">
        <f>IF($A$4+32&gt;$B$4,"",$A$4+32)</f>
        <v>46055</v>
      </c>
      <c r="N3279">
        <f>IF(M3279="","",'Master Barang'!A73)</f>
        <v>0</v>
      </c>
      <c r="O3279">
        <f>IF(N3279="","",'Master Barang'!B73)</f>
        <v>0</v>
      </c>
      <c r="P3279">
        <f>IF(OR(M3279="",N3279=""),"",SUMIFS('Barang Keluar'!$E:$E,'Barang Keluar'!$A:$A,M3279,'Barang Keluar'!$C:$C,N3279))</f>
        <v>0</v>
      </c>
    </row>
    <row r="3280" spans="13:16">
      <c r="M3280" s="49">
        <f>IF($A$4+32&gt;$B$4,"",$A$4+32)</f>
        <v>46055</v>
      </c>
      <c r="N3280">
        <f>IF(M3280="","",'Master Barang'!A74)</f>
        <v>0</v>
      </c>
      <c r="O3280">
        <f>IF(N3280="","",'Master Barang'!B74)</f>
        <v>0</v>
      </c>
      <c r="P3280">
        <f>IF(OR(M3280="",N3280=""),"",SUMIFS('Barang Keluar'!$E:$E,'Barang Keluar'!$A:$A,M3280,'Barang Keluar'!$C:$C,N3280))</f>
        <v>0</v>
      </c>
    </row>
    <row r="3281" spans="13:16">
      <c r="M3281" s="49">
        <f>IF($A$4+32&gt;$B$4,"",$A$4+32)</f>
        <v>46055</v>
      </c>
      <c r="N3281">
        <f>IF(M3281="","",'Master Barang'!A75)</f>
        <v>0</v>
      </c>
      <c r="O3281">
        <f>IF(N3281="","",'Master Barang'!B75)</f>
        <v>0</v>
      </c>
      <c r="P3281">
        <f>IF(OR(M3281="",N3281=""),"",SUMIFS('Barang Keluar'!$E:$E,'Barang Keluar'!$A:$A,M3281,'Barang Keluar'!$C:$C,N3281))</f>
        <v>0</v>
      </c>
    </row>
    <row r="3282" spans="13:16">
      <c r="M3282" s="49">
        <f>IF($A$4+32&gt;$B$4,"",$A$4+32)</f>
        <v>46055</v>
      </c>
      <c r="N3282">
        <f>IF(M3282="","",'Master Barang'!A76)</f>
        <v>0</v>
      </c>
      <c r="O3282">
        <f>IF(N3282="","",'Master Barang'!B76)</f>
        <v>0</v>
      </c>
      <c r="P3282">
        <f>IF(OR(M3282="",N3282=""),"",SUMIFS('Barang Keluar'!$E:$E,'Barang Keluar'!$A:$A,M3282,'Barang Keluar'!$C:$C,N3282))</f>
        <v>0</v>
      </c>
    </row>
    <row r="3283" spans="13:16">
      <c r="M3283" s="49">
        <f>IF($A$4+32&gt;$B$4,"",$A$4+32)</f>
        <v>46055</v>
      </c>
      <c r="N3283">
        <f>IF(M3283="","",'Master Barang'!A77)</f>
        <v>0</v>
      </c>
      <c r="O3283">
        <f>IF(N3283="","",'Master Barang'!B77)</f>
        <v>0</v>
      </c>
      <c r="P3283">
        <f>IF(OR(M3283="",N3283=""),"",SUMIFS('Barang Keluar'!$E:$E,'Barang Keluar'!$A:$A,M3283,'Barang Keluar'!$C:$C,N3283))</f>
        <v>0</v>
      </c>
    </row>
    <row r="3284" spans="13:16">
      <c r="M3284" s="49">
        <f>IF($A$4+32&gt;$B$4,"",$A$4+32)</f>
        <v>46055</v>
      </c>
      <c r="N3284">
        <f>IF(M3284="","",'Master Barang'!A78)</f>
        <v>0</v>
      </c>
      <c r="O3284">
        <f>IF(N3284="","",'Master Barang'!B78)</f>
        <v>0</v>
      </c>
      <c r="P3284">
        <f>IF(OR(M3284="",N3284=""),"",SUMIFS('Barang Keluar'!$E:$E,'Barang Keluar'!$A:$A,M3284,'Barang Keluar'!$C:$C,N3284))</f>
        <v>0</v>
      </c>
    </row>
    <row r="3285" spans="13:16">
      <c r="M3285" s="49">
        <f>IF($A$4+32&gt;$B$4,"",$A$4+32)</f>
        <v>46055</v>
      </c>
      <c r="N3285">
        <f>IF(M3285="","",'Master Barang'!A79)</f>
        <v>0</v>
      </c>
      <c r="O3285">
        <f>IF(N3285="","",'Master Barang'!B79)</f>
        <v>0</v>
      </c>
      <c r="P3285">
        <f>IF(OR(M3285="",N3285=""),"",SUMIFS('Barang Keluar'!$E:$E,'Barang Keluar'!$A:$A,M3285,'Barang Keluar'!$C:$C,N3285))</f>
        <v>0</v>
      </c>
    </row>
    <row r="3286" spans="13:16">
      <c r="M3286" s="49">
        <f>IF($A$4+32&gt;$B$4,"",$A$4+32)</f>
        <v>46055</v>
      </c>
      <c r="N3286">
        <f>IF(M3286="","",'Master Barang'!A80)</f>
        <v>0</v>
      </c>
      <c r="O3286">
        <f>IF(N3286="","",'Master Barang'!B80)</f>
        <v>0</v>
      </c>
      <c r="P3286">
        <f>IF(OR(M3286="",N3286=""),"",SUMIFS('Barang Keluar'!$E:$E,'Barang Keluar'!$A:$A,M3286,'Barang Keluar'!$C:$C,N3286))</f>
        <v>0</v>
      </c>
    </row>
    <row r="3287" spans="13:16">
      <c r="M3287" s="49">
        <f>IF($A$4+32&gt;$B$4,"",$A$4+32)</f>
        <v>46055</v>
      </c>
      <c r="N3287">
        <f>IF(M3287="","",'Master Barang'!A81)</f>
        <v>0</v>
      </c>
      <c r="O3287">
        <f>IF(N3287="","",'Master Barang'!B81)</f>
        <v>0</v>
      </c>
      <c r="P3287">
        <f>IF(OR(M3287="",N3287=""),"",SUMIFS('Barang Keluar'!$E:$E,'Barang Keluar'!$A:$A,M3287,'Barang Keluar'!$C:$C,N3287))</f>
        <v>0</v>
      </c>
    </row>
    <row r="3288" spans="13:16">
      <c r="M3288" s="49">
        <f>IF($A$4+32&gt;$B$4,"",$A$4+32)</f>
        <v>46055</v>
      </c>
      <c r="N3288">
        <f>IF(M3288="","",'Master Barang'!A82)</f>
        <v>0</v>
      </c>
      <c r="O3288">
        <f>IF(N3288="","",'Master Barang'!B82)</f>
        <v>0</v>
      </c>
      <c r="P3288">
        <f>IF(OR(M3288="",N3288=""),"",SUMIFS('Barang Keluar'!$E:$E,'Barang Keluar'!$A:$A,M3288,'Barang Keluar'!$C:$C,N3288))</f>
        <v>0</v>
      </c>
    </row>
    <row r="3289" spans="13:16">
      <c r="M3289" s="49">
        <f>IF($A$4+32&gt;$B$4,"",$A$4+32)</f>
        <v>46055</v>
      </c>
      <c r="N3289">
        <f>IF(M3289="","",'Master Barang'!A83)</f>
        <v>0</v>
      </c>
      <c r="O3289">
        <f>IF(N3289="","",'Master Barang'!B83)</f>
        <v>0</v>
      </c>
      <c r="P3289">
        <f>IF(OR(M3289="",N3289=""),"",SUMIFS('Barang Keluar'!$E:$E,'Barang Keluar'!$A:$A,M3289,'Barang Keluar'!$C:$C,N3289))</f>
        <v>0</v>
      </c>
    </row>
    <row r="3290" spans="13:16">
      <c r="M3290" s="49">
        <f>IF($A$4+32&gt;$B$4,"",$A$4+32)</f>
        <v>46055</v>
      </c>
      <c r="N3290">
        <f>IF(M3290="","",'Master Barang'!A84)</f>
        <v>0</v>
      </c>
      <c r="O3290">
        <f>IF(N3290="","",'Master Barang'!B84)</f>
        <v>0</v>
      </c>
      <c r="P3290">
        <f>IF(OR(M3290="",N3290=""),"",SUMIFS('Barang Keluar'!$E:$E,'Barang Keluar'!$A:$A,M3290,'Barang Keluar'!$C:$C,N3290))</f>
        <v>0</v>
      </c>
    </row>
    <row r="3291" spans="13:16">
      <c r="M3291" s="49">
        <f>IF($A$4+32&gt;$B$4,"",$A$4+32)</f>
        <v>46055</v>
      </c>
      <c r="N3291">
        <f>IF(M3291="","",'Master Barang'!A85)</f>
        <v>0</v>
      </c>
      <c r="O3291">
        <f>IF(N3291="","",'Master Barang'!B85)</f>
        <v>0</v>
      </c>
      <c r="P3291">
        <f>IF(OR(M3291="",N3291=""),"",SUMIFS('Barang Keluar'!$E:$E,'Barang Keluar'!$A:$A,M3291,'Barang Keluar'!$C:$C,N3291))</f>
        <v>0</v>
      </c>
    </row>
    <row r="3292" spans="13:16">
      <c r="M3292" s="49">
        <f>IF($A$4+32&gt;$B$4,"",$A$4+32)</f>
        <v>46055</v>
      </c>
      <c r="N3292">
        <f>IF(M3292="","",'Master Barang'!A86)</f>
        <v>0</v>
      </c>
      <c r="O3292">
        <f>IF(N3292="","",'Master Barang'!B86)</f>
        <v>0</v>
      </c>
      <c r="P3292">
        <f>IF(OR(M3292="",N3292=""),"",SUMIFS('Barang Keluar'!$E:$E,'Barang Keluar'!$A:$A,M3292,'Barang Keluar'!$C:$C,N3292))</f>
        <v>0</v>
      </c>
    </row>
    <row r="3293" spans="13:16">
      <c r="M3293" s="49">
        <f>IF($A$4+32&gt;$B$4,"",$A$4+32)</f>
        <v>46055</v>
      </c>
      <c r="N3293">
        <f>IF(M3293="","",'Master Barang'!A87)</f>
        <v>0</v>
      </c>
      <c r="O3293">
        <f>IF(N3293="","",'Master Barang'!B87)</f>
        <v>0</v>
      </c>
      <c r="P3293">
        <f>IF(OR(M3293="",N3293=""),"",SUMIFS('Barang Keluar'!$E:$E,'Barang Keluar'!$A:$A,M3293,'Barang Keluar'!$C:$C,N3293))</f>
        <v>0</v>
      </c>
    </row>
    <row r="3294" spans="13:16">
      <c r="M3294" s="49">
        <f>IF($A$4+32&gt;$B$4,"",$A$4+32)</f>
        <v>46055</v>
      </c>
      <c r="N3294">
        <f>IF(M3294="","",'Master Barang'!A88)</f>
        <v>0</v>
      </c>
      <c r="O3294">
        <f>IF(N3294="","",'Master Barang'!B88)</f>
        <v>0</v>
      </c>
      <c r="P3294">
        <f>IF(OR(M3294="",N3294=""),"",SUMIFS('Barang Keluar'!$E:$E,'Barang Keluar'!$A:$A,M3294,'Barang Keluar'!$C:$C,N3294))</f>
        <v>0</v>
      </c>
    </row>
    <row r="3295" spans="13:16">
      <c r="M3295" s="49">
        <f>IF($A$4+32&gt;$B$4,"",$A$4+32)</f>
        <v>46055</v>
      </c>
      <c r="N3295">
        <f>IF(M3295="","",'Master Barang'!A89)</f>
        <v>0</v>
      </c>
      <c r="O3295">
        <f>IF(N3295="","",'Master Barang'!B89)</f>
        <v>0</v>
      </c>
      <c r="P3295">
        <f>IF(OR(M3295="",N3295=""),"",SUMIFS('Barang Keluar'!$E:$E,'Barang Keluar'!$A:$A,M3295,'Barang Keluar'!$C:$C,N3295))</f>
        <v>0</v>
      </c>
    </row>
    <row r="3296" spans="13:16">
      <c r="M3296" s="49">
        <f>IF($A$4+32&gt;$B$4,"",$A$4+32)</f>
        <v>46055</v>
      </c>
      <c r="N3296">
        <f>IF(M3296="","",'Master Barang'!A90)</f>
        <v>0</v>
      </c>
      <c r="O3296">
        <f>IF(N3296="","",'Master Barang'!B90)</f>
        <v>0</v>
      </c>
      <c r="P3296">
        <f>IF(OR(M3296="",N3296=""),"",SUMIFS('Barang Keluar'!$E:$E,'Barang Keluar'!$A:$A,M3296,'Barang Keluar'!$C:$C,N3296))</f>
        <v>0</v>
      </c>
    </row>
    <row r="3297" spans="13:16">
      <c r="M3297" s="49">
        <f>IF($A$4+32&gt;$B$4,"",$A$4+32)</f>
        <v>46055</v>
      </c>
      <c r="N3297">
        <f>IF(M3297="","",'Master Barang'!A91)</f>
        <v>0</v>
      </c>
      <c r="O3297">
        <f>IF(N3297="","",'Master Barang'!B91)</f>
        <v>0</v>
      </c>
      <c r="P3297">
        <f>IF(OR(M3297="",N3297=""),"",SUMIFS('Barang Keluar'!$E:$E,'Barang Keluar'!$A:$A,M3297,'Barang Keluar'!$C:$C,N3297))</f>
        <v>0</v>
      </c>
    </row>
    <row r="3298" spans="13:16">
      <c r="M3298" s="49">
        <f>IF($A$4+32&gt;$B$4,"",$A$4+32)</f>
        <v>46055</v>
      </c>
      <c r="N3298">
        <f>IF(M3298="","",'Master Barang'!A92)</f>
        <v>0</v>
      </c>
      <c r="O3298">
        <f>IF(N3298="","",'Master Barang'!B92)</f>
        <v>0</v>
      </c>
      <c r="P3298">
        <f>IF(OR(M3298="",N3298=""),"",SUMIFS('Barang Keluar'!$E:$E,'Barang Keluar'!$A:$A,M3298,'Barang Keluar'!$C:$C,N3298))</f>
        <v>0</v>
      </c>
    </row>
    <row r="3299" spans="13:16">
      <c r="M3299" s="49">
        <f>IF($A$4+32&gt;$B$4,"",$A$4+32)</f>
        <v>46055</v>
      </c>
      <c r="N3299">
        <f>IF(M3299="","",'Master Barang'!A93)</f>
        <v>0</v>
      </c>
      <c r="O3299">
        <f>IF(N3299="","",'Master Barang'!B93)</f>
        <v>0</v>
      </c>
      <c r="P3299">
        <f>IF(OR(M3299="",N3299=""),"",SUMIFS('Barang Keluar'!$E:$E,'Barang Keluar'!$A:$A,M3299,'Barang Keluar'!$C:$C,N3299))</f>
        <v>0</v>
      </c>
    </row>
    <row r="3300" spans="13:16">
      <c r="M3300" s="49">
        <f>IF($A$4+32&gt;$B$4,"",$A$4+32)</f>
        <v>46055</v>
      </c>
      <c r="N3300">
        <f>IF(M3300="","",'Master Barang'!A94)</f>
        <v>0</v>
      </c>
      <c r="O3300">
        <f>IF(N3300="","",'Master Barang'!B94)</f>
        <v>0</v>
      </c>
      <c r="P3300">
        <f>IF(OR(M3300="",N3300=""),"",SUMIFS('Barang Keluar'!$E:$E,'Barang Keluar'!$A:$A,M3300,'Barang Keluar'!$C:$C,N3300))</f>
        <v>0</v>
      </c>
    </row>
    <row r="3301" spans="13:16">
      <c r="M3301" s="49">
        <f>IF($A$4+32&gt;$B$4,"",$A$4+32)</f>
        <v>46055</v>
      </c>
      <c r="N3301">
        <f>IF(M3301="","",'Master Barang'!A95)</f>
        <v>0</v>
      </c>
      <c r="O3301">
        <f>IF(N3301="","",'Master Barang'!B95)</f>
        <v>0</v>
      </c>
      <c r="P3301">
        <f>IF(OR(M3301="",N3301=""),"",SUMIFS('Barang Keluar'!$E:$E,'Barang Keluar'!$A:$A,M3301,'Barang Keluar'!$C:$C,N3301))</f>
        <v>0</v>
      </c>
    </row>
    <row r="3302" spans="13:16">
      <c r="M3302" s="49">
        <f>IF($A$4+32&gt;$B$4,"",$A$4+32)</f>
        <v>46055</v>
      </c>
      <c r="N3302">
        <f>IF(M3302="","",'Master Barang'!A96)</f>
        <v>0</v>
      </c>
      <c r="O3302">
        <f>IF(N3302="","",'Master Barang'!B96)</f>
        <v>0</v>
      </c>
      <c r="P3302">
        <f>IF(OR(M3302="",N3302=""),"",SUMIFS('Barang Keluar'!$E:$E,'Barang Keluar'!$A:$A,M3302,'Barang Keluar'!$C:$C,N3302))</f>
        <v>0</v>
      </c>
    </row>
    <row r="3303" spans="13:16">
      <c r="M3303" s="49">
        <f>IF($A$4+32&gt;$B$4,"",$A$4+32)</f>
        <v>46055</v>
      </c>
      <c r="N3303">
        <f>IF(M3303="","",'Master Barang'!A97)</f>
        <v>0</v>
      </c>
      <c r="O3303">
        <f>IF(N3303="","",'Master Barang'!B97)</f>
        <v>0</v>
      </c>
      <c r="P3303">
        <f>IF(OR(M3303="",N3303=""),"",SUMIFS('Barang Keluar'!$E:$E,'Barang Keluar'!$A:$A,M3303,'Barang Keluar'!$C:$C,N3303))</f>
        <v>0</v>
      </c>
    </row>
    <row r="3304" spans="13:16">
      <c r="M3304" s="49">
        <f>IF($A$4+32&gt;$B$4,"",$A$4+32)</f>
        <v>46055</v>
      </c>
      <c r="N3304">
        <f>IF(M3304="","",'Master Barang'!A98)</f>
        <v>0</v>
      </c>
      <c r="O3304">
        <f>IF(N3304="","",'Master Barang'!B98)</f>
        <v>0</v>
      </c>
      <c r="P3304">
        <f>IF(OR(M3304="",N3304=""),"",SUMIFS('Barang Keluar'!$E:$E,'Barang Keluar'!$A:$A,M3304,'Barang Keluar'!$C:$C,N3304))</f>
        <v>0</v>
      </c>
    </row>
    <row r="3305" spans="13:16">
      <c r="M3305" s="49">
        <f>IF($A$4+32&gt;$B$4,"",$A$4+32)</f>
        <v>46055</v>
      </c>
      <c r="N3305">
        <f>IF(M3305="","",'Master Barang'!A99)</f>
        <v>0</v>
      </c>
      <c r="O3305">
        <f>IF(N3305="","",'Master Barang'!B99)</f>
        <v>0</v>
      </c>
      <c r="P3305">
        <f>IF(OR(M3305="",N3305=""),"",SUMIFS('Barang Keluar'!$E:$E,'Barang Keluar'!$A:$A,M3305,'Barang Keluar'!$C:$C,N3305))</f>
        <v>0</v>
      </c>
    </row>
    <row r="3306" spans="13:16">
      <c r="M3306" s="49">
        <f>IF($A$4+32&gt;$B$4,"",$A$4+32)</f>
        <v>46055</v>
      </c>
      <c r="N3306">
        <f>IF(M3306="","",'Master Barang'!A100)</f>
        <v>0</v>
      </c>
      <c r="O3306">
        <f>IF(N3306="","",'Master Barang'!B100)</f>
        <v>0</v>
      </c>
      <c r="P3306">
        <f>IF(OR(M3306="",N3306=""),"",SUMIFS('Barang Keluar'!$E:$E,'Barang Keluar'!$A:$A,M3306,'Barang Keluar'!$C:$C,N3306))</f>
        <v>0</v>
      </c>
    </row>
    <row r="3307" spans="13:16">
      <c r="M3307" s="49">
        <f>IF($A$4+32&gt;$B$4,"",$A$4+32)</f>
        <v>46055</v>
      </c>
      <c r="N3307">
        <f>IF(M3307="","",'Master Barang'!A101)</f>
        <v>0</v>
      </c>
      <c r="O3307">
        <f>IF(N3307="","",'Master Barang'!B101)</f>
        <v>0</v>
      </c>
      <c r="P3307">
        <f>IF(OR(M3307="",N3307=""),"",SUMIFS('Barang Keluar'!$E:$E,'Barang Keluar'!$A:$A,M3307,'Barang Keluar'!$C:$C,N3307))</f>
        <v>0</v>
      </c>
    </row>
    <row r="3308" spans="13:16">
      <c r="M3308" s="49">
        <f>IF($A$4+33&gt;$B$4,"",$A$4+33)</f>
        <v>46056</v>
      </c>
      <c r="N3308" t="str">
        <f>IF(M3308="","",'Master Barang'!A2)</f>
        <v>PRL-001</v>
      </c>
      <c r="O3308" t="str">
        <f>IF(N3308="","",'Master Barang'!B2)</f>
        <v>natura desinfectant food grade 5l</v>
      </c>
      <c r="P3308">
        <f>IF(OR(M3308="",N3308=""),"",SUMIFS('Barang Keluar'!$E:$E,'Barang Keluar'!$A:$A,M3308,'Barang Keluar'!$C:$C,N3308))</f>
        <v>0</v>
      </c>
    </row>
    <row r="3309" spans="13:16">
      <c r="M3309" s="49">
        <f>IF($A$4+33&gt;$B$4,"",$A$4+33)</f>
        <v>46056</v>
      </c>
      <c r="N3309" t="str">
        <f>IF(M3309="","",'Master Barang'!A3)</f>
        <v>PRL-002</v>
      </c>
      <c r="O3309" t="str">
        <f>IF(N3309="","",'Master Barang'!B3)</f>
        <v>sunlight cairan pencuci piring 5l</v>
      </c>
      <c r="P3309">
        <f>IF(OR(M3309="",N3309=""),"",SUMIFS('Barang Keluar'!$E:$E,'Barang Keluar'!$A:$A,M3309,'Barang Keluar'!$C:$C,N3309))</f>
        <v>0</v>
      </c>
    </row>
    <row r="3310" spans="13:16">
      <c r="M3310" s="49">
        <f>IF($A$4+33&gt;$B$4,"",$A$4+33)</f>
        <v>46056</v>
      </c>
      <c r="N3310" t="str">
        <f>IF(M3310="","",'Master Barang'!A4)</f>
        <v>PRL-003</v>
      </c>
      <c r="O3310" t="str">
        <f>IF(N3310="","",'Master Barang'!B4)</f>
        <v>oixs cleaner 1l</v>
      </c>
      <c r="P3310">
        <f>IF(OR(M3310="",N3310=""),"",SUMIFS('Barang Keluar'!$E:$E,'Barang Keluar'!$A:$A,M3310,'Barang Keluar'!$C:$C,N3310))</f>
        <v>0</v>
      </c>
    </row>
    <row r="3311" spans="13:16">
      <c r="M3311" s="49">
        <f>IF($A$4+33&gt;$B$4,"",$A$4+33)</f>
        <v>46056</v>
      </c>
      <c r="N3311" t="str">
        <f>IF(M3311="","",'Master Barang'!A5)</f>
        <v>PRL-004</v>
      </c>
      <c r="O3311" t="str">
        <f>IF(N3311="","",'Master Barang'!B5)</f>
        <v>be clean tissue serbaguna</v>
      </c>
      <c r="P3311">
        <f>IF(OR(M3311="",N3311=""),"",SUMIFS('Barang Keluar'!$E:$E,'Barang Keluar'!$A:$A,M3311,'Barang Keluar'!$C:$C,N3311))</f>
        <v>0</v>
      </c>
    </row>
    <row r="3312" spans="13:16">
      <c r="M3312" s="49">
        <f>IF($A$4+33&gt;$B$4,"",$A$4+33)</f>
        <v>46056</v>
      </c>
      <c r="N3312" t="str">
        <f>IF(M3312="","",'Master Barang'!A6)</f>
        <v>PRL-005</v>
      </c>
      <c r="O3312" t="str">
        <f>IF(N3312="","",'Master Barang'!B6)</f>
        <v>spons cuci hijau</v>
      </c>
      <c r="P3312">
        <f>IF(OR(M3312="",N3312=""),"",SUMIFS('Barang Keluar'!$E:$E,'Barang Keluar'!$A:$A,M3312,'Barang Keluar'!$C:$C,N3312))</f>
        <v>0</v>
      </c>
    </row>
    <row r="3313" spans="13:16">
      <c r="M3313" s="49">
        <f>IF($A$4+33&gt;$B$4,"",$A$4+33)</f>
        <v>46056</v>
      </c>
      <c r="N3313" t="str">
        <f>IF(M3313="","",'Master Barang'!A7)</f>
        <v>PRL-006</v>
      </c>
      <c r="O3313" t="str">
        <f>IF(N3313="","",'Master Barang'!B7)</f>
        <v>sabut cuci stainless</v>
      </c>
      <c r="P3313">
        <f>IF(OR(M3313="",N3313=""),"",SUMIFS('Barang Keluar'!$E:$E,'Barang Keluar'!$A:$A,M3313,'Barang Keluar'!$C:$C,N3313))</f>
        <v>0</v>
      </c>
    </row>
    <row r="3314" spans="13:16">
      <c r="M3314" s="49">
        <f>IF($A$4+33&gt;$B$4,"",$A$4+33)</f>
        <v>46056</v>
      </c>
      <c r="N3314" t="str">
        <f>IF(M3314="","",'Master Barang'!A8)</f>
        <v>PRL-007</v>
      </c>
      <c r="O3314" t="str">
        <f>IF(N3314="","",'Master Barang'!B8)</f>
        <v>plastik kresek besar merah 50pc</v>
      </c>
      <c r="P3314">
        <f>IF(OR(M3314="",N3314=""),"",SUMIFS('Barang Keluar'!$E:$E,'Barang Keluar'!$A:$A,M3314,'Barang Keluar'!$C:$C,N3314))</f>
        <v>0</v>
      </c>
    </row>
    <row r="3315" spans="13:16">
      <c r="M3315" s="49">
        <f>IF($A$4+33&gt;$B$4,"",$A$4+33)</f>
        <v>46056</v>
      </c>
      <c r="N3315" t="str">
        <f>IF(M3315="","",'Master Barang'!A9)</f>
        <v>PRL-008</v>
      </c>
      <c r="O3315" t="str">
        <f>IF(N3315="","",'Master Barang'!B9)</f>
        <v>lap besar</v>
      </c>
      <c r="P3315">
        <f>IF(OR(M3315="",N3315=""),"",SUMIFS('Barang Keluar'!$E:$E,'Barang Keluar'!$A:$A,M3315,'Barang Keluar'!$C:$C,N3315))</f>
        <v>0</v>
      </c>
    </row>
    <row r="3316" spans="13:16">
      <c r="M3316" s="49">
        <f>IF($A$4+33&gt;$B$4,"",$A$4+33)</f>
        <v>46056</v>
      </c>
      <c r="N3316" t="str">
        <f>IF(M3316="","",'Master Barang'!A10)</f>
        <v>PRL-009</v>
      </c>
      <c r="O3316" t="str">
        <f>IF(N3316="","",'Master Barang'!B10)</f>
        <v>lap microfiber</v>
      </c>
      <c r="P3316">
        <f>IF(OR(M3316="",N3316=""),"",SUMIFS('Barang Keluar'!$E:$E,'Barang Keluar'!$A:$A,M3316,'Barang Keluar'!$C:$C,N3316))</f>
        <v>0</v>
      </c>
    </row>
    <row r="3317" spans="13:16">
      <c r="M3317" s="49">
        <f>IF($A$4+33&gt;$B$4,"",$A$4+33)</f>
        <v>46056</v>
      </c>
      <c r="N3317" t="str">
        <f>IF(M3317="","",'Master Barang'!A11)</f>
        <v>PRL-010</v>
      </c>
      <c r="O3317" t="str">
        <f>IF(N3317="","",'Master Barang'!B11)</f>
        <v>lap kecil</v>
      </c>
      <c r="P3317">
        <f>IF(OR(M3317="",N3317=""),"",SUMIFS('Barang Keluar'!$E:$E,'Barang Keluar'!$A:$A,M3317,'Barang Keluar'!$C:$C,N3317))</f>
        <v>0</v>
      </c>
    </row>
    <row r="3318" spans="13:16">
      <c r="M3318" s="49">
        <f>IF($A$4+33&gt;$B$4,"",$A$4+33)</f>
        <v>46056</v>
      </c>
      <c r="N3318" t="str">
        <f>IF(M3318="","",'Master Barang'!A12)</f>
        <v>PRL-011</v>
      </c>
      <c r="O3318" t="str">
        <f>IF(N3318="","",'Master Barang'!B12)</f>
        <v>kanebo kecil</v>
      </c>
      <c r="P3318">
        <f>IF(OR(M3318="",N3318=""),"",SUMIFS('Barang Keluar'!$E:$E,'Barang Keluar'!$A:$A,M3318,'Barang Keluar'!$C:$C,N3318))</f>
        <v>0</v>
      </c>
    </row>
    <row r="3319" spans="13:16">
      <c r="M3319" s="49">
        <f>IF($A$4+33&gt;$B$4,"",$A$4+33)</f>
        <v>46056</v>
      </c>
      <c r="N3319" t="str">
        <f>IF(M3319="","",'Master Barang'!A13)</f>
        <v>PRL-012</v>
      </c>
      <c r="O3319" t="str">
        <f>IF(N3319="","",'Master Barang'!B13)</f>
        <v>plastik 1/4kg joyoboyo 100 lembar</v>
      </c>
      <c r="P3319">
        <f>IF(OR(M3319="",N3319=""),"",SUMIFS('Barang Keluar'!$E:$E,'Barang Keluar'!$A:$A,M3319,'Barang Keluar'!$C:$C,N3319))</f>
        <v>0</v>
      </c>
    </row>
    <row r="3320" spans="13:16">
      <c r="M3320" s="49">
        <f>IF($A$4+33&gt;$B$4,"",$A$4+33)</f>
        <v>46056</v>
      </c>
      <c r="N3320" t="str">
        <f>IF(M3320="","",'Master Barang'!A14)</f>
        <v>PRL-013</v>
      </c>
      <c r="O3320" t="str">
        <f>IF(N3320="","",'Master Barang'!B14)</f>
        <v>sarung tangan plastik kaka 100 pcs</v>
      </c>
      <c r="P3320">
        <f>IF(OR(M3320="",N3320=""),"",SUMIFS('Barang Keluar'!$E:$E,'Barang Keluar'!$A:$A,M3320,'Barang Keluar'!$C:$C,N3320))</f>
        <v>0</v>
      </c>
    </row>
    <row r="3321" spans="13:16">
      <c r="M3321" s="49">
        <f>IF($A$4+33&gt;$B$4,"",$A$4+33)</f>
        <v>46056</v>
      </c>
      <c r="N3321" t="str">
        <f>IF(M3321="","",'Master Barang'!A15)</f>
        <v>PRL-014</v>
      </c>
      <c r="O3321" t="str">
        <f>IF(N3321="","",'Master Barang'!B15)</f>
        <v>optima trashbag 80x100</v>
      </c>
      <c r="P3321">
        <f>IF(OR(M3321="",N3321=""),"",SUMIFS('Barang Keluar'!$E:$E,'Barang Keluar'!$A:$A,M3321,'Barang Keluar'!$C:$C,N3321))</f>
        <v>0</v>
      </c>
    </row>
    <row r="3322" spans="13:16">
      <c r="M3322" s="49">
        <f>IF($A$4+33&gt;$B$4,"",$A$4+33)</f>
        <v>46056</v>
      </c>
      <c r="N3322" t="str">
        <f>IF(M3322="","",'Master Barang'!A16)</f>
        <v>PRL-015</v>
      </c>
      <c r="O3322" t="str">
        <f>IF(N3322="","",'Master Barang'!B16)</f>
        <v>optima trashbag 60x100</v>
      </c>
      <c r="P3322">
        <f>IF(OR(M3322="",N3322=""),"",SUMIFS('Barang Keluar'!$E:$E,'Barang Keluar'!$A:$A,M3322,'Barang Keluar'!$C:$C,N3322))</f>
        <v>0</v>
      </c>
    </row>
    <row r="3323" spans="13:16">
      <c r="M3323" s="49">
        <f>IF($A$4+33&gt;$B$4,"",$A$4+33)</f>
        <v>46056</v>
      </c>
      <c r="N3323" t="str">
        <f>IF(M3323="","",'Master Barang'!A17)</f>
        <v>PRL-016</v>
      </c>
      <c r="O3323" t="str">
        <f>IF(N3323="","",'Master Barang'!B17)</f>
        <v>rajawali trashbag 30x40</v>
      </c>
      <c r="P3323">
        <f>IF(OR(M3323="",N3323=""),"",SUMIFS('Barang Keluar'!$E:$E,'Barang Keluar'!$A:$A,M3323,'Barang Keluar'!$C:$C,N3323))</f>
        <v>0</v>
      </c>
    </row>
    <row r="3324" spans="13:16">
      <c r="M3324" s="49">
        <f>IF($A$4+33&gt;$B$4,"",$A$4+33)</f>
        <v>46056</v>
      </c>
      <c r="N3324" t="str">
        <f>IF(M3324="","",'Master Barang'!A18)</f>
        <v>PRL-017</v>
      </c>
      <c r="O3324" t="str">
        <f>IF(N3324="","",'Master Barang'!B18)</f>
        <v>onemed masker biru 3 play 50 pcs</v>
      </c>
      <c r="P3324">
        <f>IF(OR(M3324="",N3324=""),"",SUMIFS('Barang Keluar'!$E:$E,'Barang Keluar'!$A:$A,M3324,'Barang Keluar'!$C:$C,N3324))</f>
        <v>0</v>
      </c>
    </row>
    <row r="3325" spans="13:16">
      <c r="M3325" s="49">
        <f>IF($A$4+33&gt;$B$4,"",$A$4+33)</f>
        <v>46056</v>
      </c>
      <c r="N3325" t="str">
        <f>IF(M3325="","",'Master Barang'!A19)</f>
        <v>PRL-018</v>
      </c>
      <c r="O3325" t="str">
        <f>IF(N3325="","",'Master Barang'!B19)</f>
        <v>onemed masker biru 3 play hijab 50 pcs</v>
      </c>
      <c r="P3325">
        <f>IF(OR(M3325="",N3325=""),"",SUMIFS('Barang Keluar'!$E:$E,'Barang Keluar'!$A:$A,M3325,'Barang Keluar'!$C:$C,N3325))</f>
        <v>0</v>
      </c>
    </row>
    <row r="3326" spans="13:16">
      <c r="M3326" s="49">
        <f>IF($A$4+33&gt;$B$4,"",$A$4+33)</f>
        <v>46056</v>
      </c>
      <c r="N3326" t="str">
        <f>IF(M3326="","",'Master Barang'!A20)</f>
        <v>PRL-019</v>
      </c>
      <c r="O3326" t="str">
        <f>IF(N3326="","",'Master Barang'!B20)</f>
        <v>neo health masker biru 3 play 50 pcs</v>
      </c>
      <c r="P3326">
        <f>IF(OR(M3326="",N3326=""),"",SUMIFS('Barang Keluar'!$E:$E,'Barang Keluar'!$A:$A,M3326,'Barang Keluar'!$C:$C,N3326))</f>
        <v>0</v>
      </c>
    </row>
    <row r="3327" spans="13:16">
      <c r="M3327" s="49">
        <f>IF($A$4+33&gt;$B$4,"",$A$4+33)</f>
        <v>46056</v>
      </c>
      <c r="N3327" t="str">
        <f>IF(M3327="","",'Master Barang'!A21)</f>
        <v>PRL-020</v>
      </c>
      <c r="O3327" t="str">
        <f>IF(N3327="","",'Master Barang'!B21)</f>
        <v>baymed masker hijau 3 play hijau 50 pcs</v>
      </c>
      <c r="P3327">
        <f>IF(OR(M3327="",N3327=""),"",SUMIFS('Barang Keluar'!$E:$E,'Barang Keluar'!$A:$A,M3327,'Barang Keluar'!$C:$C,N3327))</f>
        <v>0</v>
      </c>
    </row>
    <row r="3328" spans="13:16">
      <c r="M3328" s="49">
        <f>IF($A$4+33&gt;$B$4,"",$A$4+33)</f>
        <v>46056</v>
      </c>
      <c r="N3328" t="str">
        <f>IF(M3328="","",'Master Barang'!A22)</f>
        <v>PRL-021</v>
      </c>
      <c r="O3328" t="str">
        <f>IF(N3328="","",'Master Barang'!B22)</f>
        <v>altamed nurse cap penutup kepala 100 pcs</v>
      </c>
      <c r="P3328">
        <f>IF(OR(M3328="",N3328=""),"",SUMIFS('Barang Keluar'!$E:$E,'Barang Keluar'!$A:$A,M3328,'Barang Keluar'!$C:$C,N3328))</f>
        <v>0</v>
      </c>
    </row>
    <row r="3329" spans="13:16">
      <c r="M3329" s="49">
        <f>IF($A$4+33&gt;$B$4,"",$A$4+33)</f>
        <v>46056</v>
      </c>
      <c r="N3329" t="str">
        <f>IF(M3329="","",'Master Barang'!A23)</f>
        <v>PRL-022</v>
      </c>
      <c r="O3329" t="str">
        <f>IF(N3329="","",'Master Barang'!B23)</f>
        <v>sabun cuci tangan</v>
      </c>
      <c r="P3329">
        <f>IF(OR(M3329="",N3329=""),"",SUMIFS('Barang Keluar'!$E:$E,'Barang Keluar'!$A:$A,M3329,'Barang Keluar'!$C:$C,N3329))</f>
        <v>0</v>
      </c>
    </row>
    <row r="3330" spans="13:16">
      <c r="M3330" s="49">
        <f>IF($A$4+33&gt;$B$4,"",$A$4+33)</f>
        <v>46056</v>
      </c>
      <c r="N3330" t="str">
        <f>IF(M3330="","",'Master Barang'!A24)</f>
        <v>PRL-023</v>
      </c>
      <c r="O3330" t="str">
        <f>IF(N3330="","",'Master Barang'!B24)</f>
        <v>gayung kecil</v>
      </c>
      <c r="P3330">
        <f>IF(OR(M3330="",N3330=""),"",SUMIFS('Barang Keluar'!$E:$E,'Barang Keluar'!$A:$A,M3330,'Barang Keluar'!$C:$C,N3330))</f>
        <v>0</v>
      </c>
    </row>
    <row r="3331" spans="13:16">
      <c r="M3331" s="49">
        <f>IF($A$4+33&gt;$B$4,"",$A$4+33)</f>
        <v>46056</v>
      </c>
      <c r="N3331" t="str">
        <f>IF(M3331="","",'Master Barang'!A25)</f>
        <v>PRL-024</v>
      </c>
      <c r="O3331" t="str">
        <f>IF(N3331="","",'Master Barang'!B25)</f>
        <v>cikrak kecil</v>
      </c>
      <c r="P3331">
        <f>IF(OR(M3331="",N3331=""),"",SUMIFS('Barang Keluar'!$E:$E,'Barang Keluar'!$A:$A,M3331,'Barang Keluar'!$C:$C,N3331))</f>
        <v>0</v>
      </c>
    </row>
    <row r="3332" spans="13:16">
      <c r="M3332" s="49">
        <f>IF($A$4+33&gt;$B$4,"",$A$4+33)</f>
        <v>46056</v>
      </c>
      <c r="N3332" t="str">
        <f>IF(M3332="","",'Master Barang'!A26)</f>
        <v>PRL-025</v>
      </c>
      <c r="O3332" t="str">
        <f>IF(N3332="","",'Master Barang'!B26)</f>
        <v>petromax plastik kecil 12x24 100 lembar</v>
      </c>
      <c r="P3332">
        <f>IF(OR(M3332="",N3332=""),"",SUMIFS('Barang Keluar'!$E:$E,'Barang Keluar'!$A:$A,M3332,'Barang Keluar'!$C:$C,N3332))</f>
        <v>0</v>
      </c>
    </row>
    <row r="3333" spans="13:16">
      <c r="M3333" s="49">
        <f>IF($A$4+33&gt;$B$4,"",$A$4+33)</f>
        <v>46056</v>
      </c>
      <c r="N3333" t="str">
        <f>IF(M3333="","",'Master Barang'!A27)</f>
        <v>PRL-026</v>
      </c>
      <c r="O3333" t="str">
        <f>IF(N3333="","",'Master Barang'!B27)</f>
        <v>lancar kresek kecil bening </v>
      </c>
      <c r="P3333">
        <f>IF(OR(M3333="",N3333=""),"",SUMIFS('Barang Keluar'!$E:$E,'Barang Keluar'!$A:$A,M3333,'Barang Keluar'!$C:$C,N3333))</f>
        <v>0</v>
      </c>
    </row>
    <row r="3334" spans="13:16">
      <c r="M3334" s="49">
        <f>IF($A$4+33&gt;$B$4,"",$A$4+33)</f>
        <v>46056</v>
      </c>
      <c r="N3334" t="str">
        <f>IF(M3334="","",'Master Barang'!A28)</f>
        <v>PRL-027</v>
      </c>
      <c r="O3334" t="str">
        <f>IF(N3334="","",'Master Barang'!B28)</f>
        <v>kresek klin warna warni kecil</v>
      </c>
      <c r="P3334">
        <f>IF(OR(M3334="",N3334=""),"",SUMIFS('Barang Keluar'!$E:$E,'Barang Keluar'!$A:$A,M3334,'Barang Keluar'!$C:$C,N3334))</f>
        <v>0</v>
      </c>
    </row>
    <row r="3335" spans="13:16">
      <c r="M3335" s="49">
        <f>IF($A$4+33&gt;$B$4,"",$A$4+33)</f>
        <v>46056</v>
      </c>
      <c r="N3335" t="str">
        <f>IF(M3335="","",'Master Barang'!A29)</f>
        <v>PRL-028</v>
      </c>
      <c r="O3335" t="str">
        <f>IF(N3335="","",'Master Barang'!B29)</f>
        <v>ctik plastik 7x10 100 pcs</v>
      </c>
      <c r="P3335">
        <f>IF(OR(M3335="",N3335=""),"",SUMIFS('Barang Keluar'!$E:$E,'Barang Keluar'!$A:$A,M3335,'Barang Keluar'!$C:$C,N3335))</f>
        <v>0</v>
      </c>
    </row>
    <row r="3336" spans="13:16">
      <c r="M3336" s="49">
        <f>IF($A$4+33&gt;$B$4,"",$A$4+33)</f>
        <v>46056</v>
      </c>
      <c r="N3336" t="str">
        <f>IF(M3336="","",'Master Barang'!A30)</f>
        <v>PRL-029</v>
      </c>
      <c r="O3336" t="str">
        <f>IF(N3336="","",'Master Barang'!B30)</f>
        <v>ctik plastik 6x10 100 pcs</v>
      </c>
      <c r="P3336">
        <f>IF(OR(M3336="",N3336=""),"",SUMIFS('Barang Keluar'!$E:$E,'Barang Keluar'!$A:$A,M3336,'Barang Keluar'!$C:$C,N3336))</f>
        <v>0</v>
      </c>
    </row>
    <row r="3337" spans="13:16">
      <c r="M3337" s="49">
        <f>IF($A$4+33&gt;$B$4,"",$A$4+33)</f>
        <v>46056</v>
      </c>
      <c r="N3337" t="str">
        <f>IF(M3337="","",'Master Barang'!A31)</f>
        <v>PRL-030</v>
      </c>
      <c r="O3337" t="str">
        <f>IF(N3337="","",'Master Barang'!B31)</f>
        <v>klip plastik 25x16 100 pcs</v>
      </c>
      <c r="P3337">
        <f>IF(OR(M3337="",N3337=""),"",SUMIFS('Barang Keluar'!$E:$E,'Barang Keluar'!$A:$A,M3337,'Barang Keluar'!$C:$C,N3337))</f>
        <v>0</v>
      </c>
    </row>
    <row r="3338" spans="13:16">
      <c r="M3338" s="49">
        <f>IF($A$4+33&gt;$B$4,"",$A$4+33)</f>
        <v>46056</v>
      </c>
      <c r="N3338" t="str">
        <f>IF(M3338="","",'Master Barang'!A32)</f>
        <v>PRL-031</v>
      </c>
      <c r="O3338" t="str">
        <f>IF(N3338="","",'Master Barang'!B32)</f>
        <v>tempat saus 20 ml</v>
      </c>
      <c r="P3338">
        <f>IF(OR(M3338="",N3338=""),"",SUMIFS('Barang Keluar'!$E:$E,'Barang Keluar'!$A:$A,M3338,'Barang Keluar'!$C:$C,N3338))</f>
        <v>0</v>
      </c>
    </row>
    <row r="3339" spans="13:16">
      <c r="M3339" s="49">
        <f>IF($A$4+33&gt;$B$4,"",$A$4+33)</f>
        <v>46056</v>
      </c>
      <c r="N3339" t="str">
        <f>IF(M3339="","",'Master Barang'!A33)</f>
        <v>PRL-032</v>
      </c>
      <c r="O3339" t="str">
        <f>IF(N3339="","",'Master Barang'!B33)</f>
        <v>plastik packaging ag box uk sedang</v>
      </c>
      <c r="P3339">
        <f>IF(OR(M3339="",N3339=""),"",SUMIFS('Barang Keluar'!$E:$E,'Barang Keluar'!$A:$A,M3339,'Barang Keluar'!$C:$C,N3339))</f>
        <v>0</v>
      </c>
    </row>
    <row r="3340" spans="13:16">
      <c r="M3340" s="49">
        <f>IF($A$4+33&gt;$B$4,"",$A$4+33)</f>
        <v>46056</v>
      </c>
      <c r="N3340" t="str">
        <f>IF(M3340="","",'Master Barang'!A34)</f>
        <v>PRL-033</v>
      </c>
      <c r="O3340">
        <f>IF(N3340="","",'Master Barang'!B34)</f>
        <v>0</v>
      </c>
      <c r="P3340">
        <f>IF(OR(M3340="",N3340=""),"",SUMIFS('Barang Keluar'!$E:$E,'Barang Keluar'!$A:$A,M3340,'Barang Keluar'!$C:$C,N3340))</f>
        <v>0</v>
      </c>
    </row>
    <row r="3341" spans="13:16">
      <c r="M3341" s="49">
        <f>IF($A$4+33&gt;$B$4,"",$A$4+33)</f>
        <v>46056</v>
      </c>
      <c r="N3341">
        <f>IF(M3341="","",'Master Barang'!A35)</f>
        <v>0</v>
      </c>
      <c r="O3341">
        <f>IF(N3341="","",'Master Barang'!B35)</f>
        <v>0</v>
      </c>
      <c r="P3341">
        <f>IF(OR(M3341="",N3341=""),"",SUMIFS('Barang Keluar'!$E:$E,'Barang Keluar'!$A:$A,M3341,'Barang Keluar'!$C:$C,N3341))</f>
        <v>0</v>
      </c>
    </row>
    <row r="3342" spans="13:16">
      <c r="M3342" s="49">
        <f>IF($A$4+33&gt;$B$4,"",$A$4+33)</f>
        <v>46056</v>
      </c>
      <c r="N3342">
        <f>IF(M3342="","",'Master Barang'!A36)</f>
        <v>0</v>
      </c>
      <c r="O3342">
        <f>IF(N3342="","",'Master Barang'!B36)</f>
        <v>0</v>
      </c>
      <c r="P3342">
        <f>IF(OR(M3342="",N3342=""),"",SUMIFS('Barang Keluar'!$E:$E,'Barang Keluar'!$A:$A,M3342,'Barang Keluar'!$C:$C,N3342))</f>
        <v>0</v>
      </c>
    </row>
    <row r="3343" spans="13:16">
      <c r="M3343" s="49">
        <f>IF($A$4+33&gt;$B$4,"",$A$4+33)</f>
        <v>46056</v>
      </c>
      <c r="N3343">
        <f>IF(M3343="","",'Master Barang'!A37)</f>
        <v>0</v>
      </c>
      <c r="O3343">
        <f>IF(N3343="","",'Master Barang'!B37)</f>
        <v>0</v>
      </c>
      <c r="P3343">
        <f>IF(OR(M3343="",N3343=""),"",SUMIFS('Barang Keluar'!$E:$E,'Barang Keluar'!$A:$A,M3343,'Barang Keluar'!$C:$C,N3343))</f>
        <v>0</v>
      </c>
    </row>
    <row r="3344" spans="13:16">
      <c r="M3344" s="49">
        <f>IF($A$4+33&gt;$B$4,"",$A$4+33)</f>
        <v>46056</v>
      </c>
      <c r="N3344">
        <f>IF(M3344="","",'Master Barang'!A38)</f>
        <v>0</v>
      </c>
      <c r="O3344">
        <f>IF(N3344="","",'Master Barang'!B38)</f>
        <v>0</v>
      </c>
      <c r="P3344">
        <f>IF(OR(M3344="",N3344=""),"",SUMIFS('Barang Keluar'!$E:$E,'Barang Keluar'!$A:$A,M3344,'Barang Keluar'!$C:$C,N3344))</f>
        <v>0</v>
      </c>
    </row>
    <row r="3345" spans="13:16">
      <c r="M3345" s="49">
        <f>IF($A$4+33&gt;$B$4,"",$A$4+33)</f>
        <v>46056</v>
      </c>
      <c r="N3345">
        <f>IF(M3345="","",'Master Barang'!A39)</f>
        <v>0</v>
      </c>
      <c r="O3345">
        <f>IF(N3345="","",'Master Barang'!B39)</f>
        <v>0</v>
      </c>
      <c r="P3345">
        <f>IF(OR(M3345="",N3345=""),"",SUMIFS('Barang Keluar'!$E:$E,'Barang Keluar'!$A:$A,M3345,'Barang Keluar'!$C:$C,N3345))</f>
        <v>0</v>
      </c>
    </row>
    <row r="3346" spans="13:16">
      <c r="M3346" s="49">
        <f>IF($A$4+33&gt;$B$4,"",$A$4+33)</f>
        <v>46056</v>
      </c>
      <c r="N3346">
        <f>IF(M3346="","",'Master Barang'!A40)</f>
        <v>0</v>
      </c>
      <c r="O3346">
        <f>IF(N3346="","",'Master Barang'!B40)</f>
        <v>0</v>
      </c>
      <c r="P3346">
        <f>IF(OR(M3346="",N3346=""),"",SUMIFS('Barang Keluar'!$E:$E,'Barang Keluar'!$A:$A,M3346,'Barang Keluar'!$C:$C,N3346))</f>
        <v>0</v>
      </c>
    </row>
    <row r="3347" spans="13:16">
      <c r="M3347" s="49">
        <f>IF($A$4+33&gt;$B$4,"",$A$4+33)</f>
        <v>46056</v>
      </c>
      <c r="N3347">
        <f>IF(M3347="","",'Master Barang'!A41)</f>
        <v>0</v>
      </c>
      <c r="O3347">
        <f>IF(N3347="","",'Master Barang'!B41)</f>
        <v>0</v>
      </c>
      <c r="P3347">
        <f>IF(OR(M3347="",N3347=""),"",SUMIFS('Barang Keluar'!$E:$E,'Barang Keluar'!$A:$A,M3347,'Barang Keluar'!$C:$C,N3347))</f>
        <v>0</v>
      </c>
    </row>
    <row r="3348" spans="13:16">
      <c r="M3348" s="49">
        <f>IF($A$4+33&gt;$B$4,"",$A$4+33)</f>
        <v>46056</v>
      </c>
      <c r="N3348">
        <f>IF(M3348="","",'Master Barang'!A42)</f>
        <v>0</v>
      </c>
      <c r="O3348">
        <f>IF(N3348="","",'Master Barang'!B42)</f>
        <v>0</v>
      </c>
      <c r="P3348">
        <f>IF(OR(M3348="",N3348=""),"",SUMIFS('Barang Keluar'!$E:$E,'Barang Keluar'!$A:$A,M3348,'Barang Keluar'!$C:$C,N3348))</f>
        <v>0</v>
      </c>
    </row>
    <row r="3349" spans="13:16">
      <c r="M3349" s="49">
        <f>IF($A$4+33&gt;$B$4,"",$A$4+33)</f>
        <v>46056</v>
      </c>
      <c r="N3349">
        <f>IF(M3349="","",'Master Barang'!A43)</f>
        <v>0</v>
      </c>
      <c r="O3349">
        <f>IF(N3349="","",'Master Barang'!B43)</f>
        <v>0</v>
      </c>
      <c r="P3349">
        <f>IF(OR(M3349="",N3349=""),"",SUMIFS('Barang Keluar'!$E:$E,'Barang Keluar'!$A:$A,M3349,'Barang Keluar'!$C:$C,N3349))</f>
        <v>0</v>
      </c>
    </row>
    <row r="3350" spans="13:16">
      <c r="M3350" s="49">
        <f>IF($A$4+33&gt;$B$4,"",$A$4+33)</f>
        <v>46056</v>
      </c>
      <c r="N3350">
        <f>IF(M3350="","",'Master Barang'!A44)</f>
        <v>0</v>
      </c>
      <c r="O3350">
        <f>IF(N3350="","",'Master Barang'!B44)</f>
        <v>0</v>
      </c>
      <c r="P3350">
        <f>IF(OR(M3350="",N3350=""),"",SUMIFS('Barang Keluar'!$E:$E,'Barang Keluar'!$A:$A,M3350,'Barang Keluar'!$C:$C,N3350))</f>
        <v>0</v>
      </c>
    </row>
    <row r="3351" spans="13:16">
      <c r="M3351" s="49">
        <f>IF($A$4+33&gt;$B$4,"",$A$4+33)</f>
        <v>46056</v>
      </c>
      <c r="N3351">
        <f>IF(M3351="","",'Master Barang'!A45)</f>
        <v>0</v>
      </c>
      <c r="O3351">
        <f>IF(N3351="","",'Master Barang'!B45)</f>
        <v>0</v>
      </c>
      <c r="P3351">
        <f>IF(OR(M3351="",N3351=""),"",SUMIFS('Barang Keluar'!$E:$E,'Barang Keluar'!$A:$A,M3351,'Barang Keluar'!$C:$C,N3351))</f>
        <v>0</v>
      </c>
    </row>
    <row r="3352" spans="13:16">
      <c r="M3352" s="49">
        <f>IF($A$4+33&gt;$B$4,"",$A$4+33)</f>
        <v>46056</v>
      </c>
      <c r="N3352">
        <f>IF(M3352="","",'Master Barang'!A46)</f>
        <v>0</v>
      </c>
      <c r="O3352">
        <f>IF(N3352="","",'Master Barang'!B46)</f>
        <v>0</v>
      </c>
      <c r="P3352">
        <f>IF(OR(M3352="",N3352=""),"",SUMIFS('Barang Keluar'!$E:$E,'Barang Keluar'!$A:$A,M3352,'Barang Keluar'!$C:$C,N3352))</f>
        <v>0</v>
      </c>
    </row>
    <row r="3353" spans="13:16">
      <c r="M3353" s="49">
        <f>IF($A$4+33&gt;$B$4,"",$A$4+33)</f>
        <v>46056</v>
      </c>
      <c r="N3353">
        <f>IF(M3353="","",'Master Barang'!A47)</f>
        <v>0</v>
      </c>
      <c r="O3353">
        <f>IF(N3353="","",'Master Barang'!B47)</f>
        <v>0</v>
      </c>
      <c r="P3353">
        <f>IF(OR(M3353="",N3353=""),"",SUMIFS('Barang Keluar'!$E:$E,'Barang Keluar'!$A:$A,M3353,'Barang Keluar'!$C:$C,N3353))</f>
        <v>0</v>
      </c>
    </row>
    <row r="3354" spans="13:16">
      <c r="M3354" s="49">
        <f>IF($A$4+33&gt;$B$4,"",$A$4+33)</f>
        <v>46056</v>
      </c>
      <c r="N3354">
        <f>IF(M3354="","",'Master Barang'!A48)</f>
        <v>0</v>
      </c>
      <c r="O3354">
        <f>IF(N3354="","",'Master Barang'!B48)</f>
        <v>0</v>
      </c>
      <c r="P3354">
        <f>IF(OR(M3354="",N3354=""),"",SUMIFS('Barang Keluar'!$E:$E,'Barang Keluar'!$A:$A,M3354,'Barang Keluar'!$C:$C,N3354))</f>
        <v>0</v>
      </c>
    </row>
    <row r="3355" spans="13:16">
      <c r="M3355" s="49">
        <f>IF($A$4+33&gt;$B$4,"",$A$4+33)</f>
        <v>46056</v>
      </c>
      <c r="N3355">
        <f>IF(M3355="","",'Master Barang'!A49)</f>
        <v>0</v>
      </c>
      <c r="O3355">
        <f>IF(N3355="","",'Master Barang'!B49)</f>
        <v>0</v>
      </c>
      <c r="P3355">
        <f>IF(OR(M3355="",N3355=""),"",SUMIFS('Barang Keluar'!$E:$E,'Barang Keluar'!$A:$A,M3355,'Barang Keluar'!$C:$C,N3355))</f>
        <v>0</v>
      </c>
    </row>
    <row r="3356" spans="13:16">
      <c r="M3356" s="49">
        <f>IF($A$4+33&gt;$B$4,"",$A$4+33)</f>
        <v>46056</v>
      </c>
      <c r="N3356">
        <f>IF(M3356="","",'Master Barang'!A50)</f>
        <v>0</v>
      </c>
      <c r="O3356">
        <f>IF(N3356="","",'Master Barang'!B50)</f>
        <v>0</v>
      </c>
      <c r="P3356">
        <f>IF(OR(M3356="",N3356=""),"",SUMIFS('Barang Keluar'!$E:$E,'Barang Keluar'!$A:$A,M3356,'Barang Keluar'!$C:$C,N3356))</f>
        <v>0</v>
      </c>
    </row>
    <row r="3357" spans="13:16">
      <c r="M3357" s="49">
        <f>IF($A$4+33&gt;$B$4,"",$A$4+33)</f>
        <v>46056</v>
      </c>
      <c r="N3357">
        <f>IF(M3357="","",'Master Barang'!A51)</f>
        <v>0</v>
      </c>
      <c r="O3357">
        <f>IF(N3357="","",'Master Barang'!B51)</f>
        <v>0</v>
      </c>
      <c r="P3357">
        <f>IF(OR(M3357="",N3357=""),"",SUMIFS('Barang Keluar'!$E:$E,'Barang Keluar'!$A:$A,M3357,'Barang Keluar'!$C:$C,N3357))</f>
        <v>0</v>
      </c>
    </row>
    <row r="3358" spans="13:16">
      <c r="M3358" s="49">
        <f>IF($A$4+33&gt;$B$4,"",$A$4+33)</f>
        <v>46056</v>
      </c>
      <c r="N3358">
        <f>IF(M3358="","",'Master Barang'!A52)</f>
        <v>0</v>
      </c>
      <c r="O3358">
        <f>IF(N3358="","",'Master Barang'!B52)</f>
        <v>0</v>
      </c>
      <c r="P3358">
        <f>IF(OR(M3358="",N3358=""),"",SUMIFS('Barang Keluar'!$E:$E,'Barang Keluar'!$A:$A,M3358,'Barang Keluar'!$C:$C,N3358))</f>
        <v>0</v>
      </c>
    </row>
    <row r="3359" spans="13:16">
      <c r="M3359" s="49">
        <f>IF($A$4+33&gt;$B$4,"",$A$4+33)</f>
        <v>46056</v>
      </c>
      <c r="N3359">
        <f>IF(M3359="","",'Master Barang'!A53)</f>
        <v>0</v>
      </c>
      <c r="O3359">
        <f>IF(N3359="","",'Master Barang'!B53)</f>
        <v>0</v>
      </c>
      <c r="P3359">
        <f>IF(OR(M3359="",N3359=""),"",SUMIFS('Barang Keluar'!$E:$E,'Barang Keluar'!$A:$A,M3359,'Barang Keluar'!$C:$C,N3359))</f>
        <v>0</v>
      </c>
    </row>
    <row r="3360" spans="13:16">
      <c r="M3360" s="49">
        <f>IF($A$4+33&gt;$B$4,"",$A$4+33)</f>
        <v>46056</v>
      </c>
      <c r="N3360">
        <f>IF(M3360="","",'Master Barang'!A54)</f>
        <v>0</v>
      </c>
      <c r="O3360">
        <f>IF(N3360="","",'Master Barang'!B54)</f>
        <v>0</v>
      </c>
      <c r="P3360">
        <f>IF(OR(M3360="",N3360=""),"",SUMIFS('Barang Keluar'!$E:$E,'Barang Keluar'!$A:$A,M3360,'Barang Keluar'!$C:$C,N3360))</f>
        <v>0</v>
      </c>
    </row>
    <row r="3361" spans="13:16">
      <c r="M3361" s="49">
        <f>IF($A$4+33&gt;$B$4,"",$A$4+33)</f>
        <v>46056</v>
      </c>
      <c r="N3361">
        <f>IF(M3361="","",'Master Barang'!A55)</f>
        <v>0</v>
      </c>
      <c r="O3361">
        <f>IF(N3361="","",'Master Barang'!B55)</f>
        <v>0</v>
      </c>
      <c r="P3361">
        <f>IF(OR(M3361="",N3361=""),"",SUMIFS('Barang Keluar'!$E:$E,'Barang Keluar'!$A:$A,M3361,'Barang Keluar'!$C:$C,N3361))</f>
        <v>0</v>
      </c>
    </row>
    <row r="3362" spans="13:16">
      <c r="M3362" s="49">
        <f>IF($A$4+33&gt;$B$4,"",$A$4+33)</f>
        <v>46056</v>
      </c>
      <c r="N3362">
        <f>IF(M3362="","",'Master Barang'!A56)</f>
        <v>0</v>
      </c>
      <c r="O3362">
        <f>IF(N3362="","",'Master Barang'!B56)</f>
        <v>0</v>
      </c>
      <c r="P3362">
        <f>IF(OR(M3362="",N3362=""),"",SUMIFS('Barang Keluar'!$E:$E,'Barang Keluar'!$A:$A,M3362,'Barang Keluar'!$C:$C,N3362))</f>
        <v>0</v>
      </c>
    </row>
    <row r="3363" spans="13:16">
      <c r="M3363" s="49">
        <f>IF($A$4+33&gt;$B$4,"",$A$4+33)</f>
        <v>46056</v>
      </c>
      <c r="N3363">
        <f>IF(M3363="","",'Master Barang'!A57)</f>
        <v>0</v>
      </c>
      <c r="O3363">
        <f>IF(N3363="","",'Master Barang'!B57)</f>
        <v>0</v>
      </c>
      <c r="P3363">
        <f>IF(OR(M3363="",N3363=""),"",SUMIFS('Barang Keluar'!$E:$E,'Barang Keluar'!$A:$A,M3363,'Barang Keluar'!$C:$C,N3363))</f>
        <v>0</v>
      </c>
    </row>
    <row r="3364" spans="13:16">
      <c r="M3364" s="49">
        <f>IF($A$4+33&gt;$B$4,"",$A$4+33)</f>
        <v>46056</v>
      </c>
      <c r="N3364">
        <f>IF(M3364="","",'Master Barang'!A58)</f>
        <v>0</v>
      </c>
      <c r="O3364">
        <f>IF(N3364="","",'Master Barang'!B58)</f>
        <v>0</v>
      </c>
      <c r="P3364">
        <f>IF(OR(M3364="",N3364=""),"",SUMIFS('Barang Keluar'!$E:$E,'Barang Keluar'!$A:$A,M3364,'Barang Keluar'!$C:$C,N3364))</f>
        <v>0</v>
      </c>
    </row>
    <row r="3365" spans="13:16">
      <c r="M3365" s="49">
        <f>IF($A$4+33&gt;$B$4,"",$A$4+33)</f>
        <v>46056</v>
      </c>
      <c r="N3365">
        <f>IF(M3365="","",'Master Barang'!A59)</f>
        <v>0</v>
      </c>
      <c r="O3365">
        <f>IF(N3365="","",'Master Barang'!B59)</f>
        <v>0</v>
      </c>
      <c r="P3365">
        <f>IF(OR(M3365="",N3365=""),"",SUMIFS('Barang Keluar'!$E:$E,'Barang Keluar'!$A:$A,M3365,'Barang Keluar'!$C:$C,N3365))</f>
        <v>0</v>
      </c>
    </row>
    <row r="3366" spans="13:16">
      <c r="M3366" s="49">
        <f>IF($A$4+33&gt;$B$4,"",$A$4+33)</f>
        <v>46056</v>
      </c>
      <c r="N3366">
        <f>IF(M3366="","",'Master Barang'!A60)</f>
        <v>0</v>
      </c>
      <c r="O3366">
        <f>IF(N3366="","",'Master Barang'!B60)</f>
        <v>0</v>
      </c>
      <c r="P3366">
        <f>IF(OR(M3366="",N3366=""),"",SUMIFS('Barang Keluar'!$E:$E,'Barang Keluar'!$A:$A,M3366,'Barang Keluar'!$C:$C,N3366))</f>
        <v>0</v>
      </c>
    </row>
    <row r="3367" spans="13:16">
      <c r="M3367" s="49">
        <f>IF($A$4+33&gt;$B$4,"",$A$4+33)</f>
        <v>46056</v>
      </c>
      <c r="N3367">
        <f>IF(M3367="","",'Master Barang'!A61)</f>
        <v>0</v>
      </c>
      <c r="O3367">
        <f>IF(N3367="","",'Master Barang'!B61)</f>
        <v>0</v>
      </c>
      <c r="P3367">
        <f>IF(OR(M3367="",N3367=""),"",SUMIFS('Barang Keluar'!$E:$E,'Barang Keluar'!$A:$A,M3367,'Barang Keluar'!$C:$C,N3367))</f>
        <v>0</v>
      </c>
    </row>
    <row r="3368" spans="13:16">
      <c r="M3368" s="49">
        <f>IF($A$4+33&gt;$B$4,"",$A$4+33)</f>
        <v>46056</v>
      </c>
      <c r="N3368">
        <f>IF(M3368="","",'Master Barang'!A62)</f>
        <v>0</v>
      </c>
      <c r="O3368">
        <f>IF(N3368="","",'Master Barang'!B62)</f>
        <v>0</v>
      </c>
      <c r="P3368">
        <f>IF(OR(M3368="",N3368=""),"",SUMIFS('Barang Keluar'!$E:$E,'Barang Keluar'!$A:$A,M3368,'Barang Keluar'!$C:$C,N3368))</f>
        <v>0</v>
      </c>
    </row>
    <row r="3369" spans="13:16">
      <c r="M3369" s="49">
        <f>IF($A$4+33&gt;$B$4,"",$A$4+33)</f>
        <v>46056</v>
      </c>
      <c r="N3369">
        <f>IF(M3369="","",'Master Barang'!A63)</f>
        <v>0</v>
      </c>
      <c r="O3369">
        <f>IF(N3369="","",'Master Barang'!B63)</f>
        <v>0</v>
      </c>
      <c r="P3369">
        <f>IF(OR(M3369="",N3369=""),"",SUMIFS('Barang Keluar'!$E:$E,'Barang Keluar'!$A:$A,M3369,'Barang Keluar'!$C:$C,N3369))</f>
        <v>0</v>
      </c>
    </row>
    <row r="3370" spans="13:16">
      <c r="M3370" s="49">
        <f>IF($A$4+33&gt;$B$4,"",$A$4+33)</f>
        <v>46056</v>
      </c>
      <c r="N3370">
        <f>IF(M3370="","",'Master Barang'!A64)</f>
        <v>0</v>
      </c>
      <c r="O3370">
        <f>IF(N3370="","",'Master Barang'!B64)</f>
        <v>0</v>
      </c>
      <c r="P3370">
        <f>IF(OR(M3370="",N3370=""),"",SUMIFS('Barang Keluar'!$E:$E,'Barang Keluar'!$A:$A,M3370,'Barang Keluar'!$C:$C,N3370))</f>
        <v>0</v>
      </c>
    </row>
    <row r="3371" spans="13:16">
      <c r="M3371" s="49">
        <f>IF($A$4+33&gt;$B$4,"",$A$4+33)</f>
        <v>46056</v>
      </c>
      <c r="N3371">
        <f>IF(M3371="","",'Master Barang'!A65)</f>
        <v>0</v>
      </c>
      <c r="O3371">
        <f>IF(N3371="","",'Master Barang'!B65)</f>
        <v>0</v>
      </c>
      <c r="P3371">
        <f>IF(OR(M3371="",N3371=""),"",SUMIFS('Barang Keluar'!$E:$E,'Barang Keluar'!$A:$A,M3371,'Barang Keluar'!$C:$C,N3371))</f>
        <v>0</v>
      </c>
    </row>
    <row r="3372" spans="13:16">
      <c r="M3372" s="49">
        <f>IF($A$4+33&gt;$B$4,"",$A$4+33)</f>
        <v>46056</v>
      </c>
      <c r="N3372">
        <f>IF(M3372="","",'Master Barang'!A66)</f>
        <v>0</v>
      </c>
      <c r="O3372">
        <f>IF(N3372="","",'Master Barang'!B66)</f>
        <v>0</v>
      </c>
      <c r="P3372">
        <f>IF(OR(M3372="",N3372=""),"",SUMIFS('Barang Keluar'!$E:$E,'Barang Keluar'!$A:$A,M3372,'Barang Keluar'!$C:$C,N3372))</f>
        <v>0</v>
      </c>
    </row>
    <row r="3373" spans="13:16">
      <c r="M3373" s="49">
        <f>IF($A$4+33&gt;$B$4,"",$A$4+33)</f>
        <v>46056</v>
      </c>
      <c r="N3373">
        <f>IF(M3373="","",'Master Barang'!A67)</f>
        <v>0</v>
      </c>
      <c r="O3373">
        <f>IF(N3373="","",'Master Barang'!B67)</f>
        <v>0</v>
      </c>
      <c r="P3373">
        <f>IF(OR(M3373="",N3373=""),"",SUMIFS('Barang Keluar'!$E:$E,'Barang Keluar'!$A:$A,M3373,'Barang Keluar'!$C:$C,N3373))</f>
        <v>0</v>
      </c>
    </row>
    <row r="3374" spans="13:16">
      <c r="M3374" s="49">
        <f>IF($A$4+33&gt;$B$4,"",$A$4+33)</f>
        <v>46056</v>
      </c>
      <c r="N3374">
        <f>IF(M3374="","",'Master Barang'!A68)</f>
        <v>0</v>
      </c>
      <c r="O3374">
        <f>IF(N3374="","",'Master Barang'!B68)</f>
        <v>0</v>
      </c>
      <c r="P3374">
        <f>IF(OR(M3374="",N3374=""),"",SUMIFS('Barang Keluar'!$E:$E,'Barang Keluar'!$A:$A,M3374,'Barang Keluar'!$C:$C,N3374))</f>
        <v>0</v>
      </c>
    </row>
    <row r="3375" spans="13:16">
      <c r="M3375" s="49">
        <f>IF($A$4+33&gt;$B$4,"",$A$4+33)</f>
        <v>46056</v>
      </c>
      <c r="N3375">
        <f>IF(M3375="","",'Master Barang'!A69)</f>
        <v>0</v>
      </c>
      <c r="O3375">
        <f>IF(N3375="","",'Master Barang'!B69)</f>
        <v>0</v>
      </c>
      <c r="P3375">
        <f>IF(OR(M3375="",N3375=""),"",SUMIFS('Barang Keluar'!$E:$E,'Barang Keluar'!$A:$A,M3375,'Barang Keluar'!$C:$C,N3375))</f>
        <v>0</v>
      </c>
    </row>
    <row r="3376" spans="13:16">
      <c r="M3376" s="49">
        <f>IF($A$4+33&gt;$B$4,"",$A$4+33)</f>
        <v>46056</v>
      </c>
      <c r="N3376">
        <f>IF(M3376="","",'Master Barang'!A70)</f>
        <v>0</v>
      </c>
      <c r="O3376">
        <f>IF(N3376="","",'Master Barang'!B70)</f>
        <v>0</v>
      </c>
      <c r="P3376">
        <f>IF(OR(M3376="",N3376=""),"",SUMIFS('Barang Keluar'!$E:$E,'Barang Keluar'!$A:$A,M3376,'Barang Keluar'!$C:$C,N3376))</f>
        <v>0</v>
      </c>
    </row>
    <row r="3377" spans="13:16">
      <c r="M3377" s="49">
        <f>IF($A$4+33&gt;$B$4,"",$A$4+33)</f>
        <v>46056</v>
      </c>
      <c r="N3377">
        <f>IF(M3377="","",'Master Barang'!A71)</f>
        <v>0</v>
      </c>
      <c r="O3377">
        <f>IF(N3377="","",'Master Barang'!B71)</f>
        <v>0</v>
      </c>
      <c r="P3377">
        <f>IF(OR(M3377="",N3377=""),"",SUMIFS('Barang Keluar'!$E:$E,'Barang Keluar'!$A:$A,M3377,'Barang Keluar'!$C:$C,N3377))</f>
        <v>0</v>
      </c>
    </row>
    <row r="3378" spans="13:16">
      <c r="M3378" s="49">
        <f>IF($A$4+33&gt;$B$4,"",$A$4+33)</f>
        <v>46056</v>
      </c>
      <c r="N3378">
        <f>IF(M3378="","",'Master Barang'!A72)</f>
        <v>0</v>
      </c>
      <c r="O3378">
        <f>IF(N3378="","",'Master Barang'!B72)</f>
        <v>0</v>
      </c>
      <c r="P3378">
        <f>IF(OR(M3378="",N3378=""),"",SUMIFS('Barang Keluar'!$E:$E,'Barang Keluar'!$A:$A,M3378,'Barang Keluar'!$C:$C,N3378))</f>
        <v>0</v>
      </c>
    </row>
    <row r="3379" spans="13:16">
      <c r="M3379" s="49">
        <f>IF($A$4+33&gt;$B$4,"",$A$4+33)</f>
        <v>46056</v>
      </c>
      <c r="N3379">
        <f>IF(M3379="","",'Master Barang'!A73)</f>
        <v>0</v>
      </c>
      <c r="O3379">
        <f>IF(N3379="","",'Master Barang'!B73)</f>
        <v>0</v>
      </c>
      <c r="P3379">
        <f>IF(OR(M3379="",N3379=""),"",SUMIFS('Barang Keluar'!$E:$E,'Barang Keluar'!$A:$A,M3379,'Barang Keluar'!$C:$C,N3379))</f>
        <v>0</v>
      </c>
    </row>
    <row r="3380" spans="13:16">
      <c r="M3380" s="49">
        <f>IF($A$4+33&gt;$B$4,"",$A$4+33)</f>
        <v>46056</v>
      </c>
      <c r="N3380">
        <f>IF(M3380="","",'Master Barang'!A74)</f>
        <v>0</v>
      </c>
      <c r="O3380">
        <f>IF(N3380="","",'Master Barang'!B74)</f>
        <v>0</v>
      </c>
      <c r="P3380">
        <f>IF(OR(M3380="",N3380=""),"",SUMIFS('Barang Keluar'!$E:$E,'Barang Keluar'!$A:$A,M3380,'Barang Keluar'!$C:$C,N3380))</f>
        <v>0</v>
      </c>
    </row>
    <row r="3381" spans="13:16">
      <c r="M3381" s="49">
        <f>IF($A$4+33&gt;$B$4,"",$A$4+33)</f>
        <v>46056</v>
      </c>
      <c r="N3381">
        <f>IF(M3381="","",'Master Barang'!A75)</f>
        <v>0</v>
      </c>
      <c r="O3381">
        <f>IF(N3381="","",'Master Barang'!B75)</f>
        <v>0</v>
      </c>
      <c r="P3381">
        <f>IF(OR(M3381="",N3381=""),"",SUMIFS('Barang Keluar'!$E:$E,'Barang Keluar'!$A:$A,M3381,'Barang Keluar'!$C:$C,N3381))</f>
        <v>0</v>
      </c>
    </row>
    <row r="3382" spans="13:16">
      <c r="M3382" s="49">
        <f>IF($A$4+33&gt;$B$4,"",$A$4+33)</f>
        <v>46056</v>
      </c>
      <c r="N3382">
        <f>IF(M3382="","",'Master Barang'!A76)</f>
        <v>0</v>
      </c>
      <c r="O3382">
        <f>IF(N3382="","",'Master Barang'!B76)</f>
        <v>0</v>
      </c>
      <c r="P3382">
        <f>IF(OR(M3382="",N3382=""),"",SUMIFS('Barang Keluar'!$E:$E,'Barang Keluar'!$A:$A,M3382,'Barang Keluar'!$C:$C,N3382))</f>
        <v>0</v>
      </c>
    </row>
    <row r="3383" spans="13:16">
      <c r="M3383" s="49">
        <f>IF($A$4+33&gt;$B$4,"",$A$4+33)</f>
        <v>46056</v>
      </c>
      <c r="N3383">
        <f>IF(M3383="","",'Master Barang'!A77)</f>
        <v>0</v>
      </c>
      <c r="O3383">
        <f>IF(N3383="","",'Master Barang'!B77)</f>
        <v>0</v>
      </c>
      <c r="P3383">
        <f>IF(OR(M3383="",N3383=""),"",SUMIFS('Barang Keluar'!$E:$E,'Barang Keluar'!$A:$A,M3383,'Barang Keluar'!$C:$C,N3383))</f>
        <v>0</v>
      </c>
    </row>
    <row r="3384" spans="13:16">
      <c r="M3384" s="49">
        <f>IF($A$4+33&gt;$B$4,"",$A$4+33)</f>
        <v>46056</v>
      </c>
      <c r="N3384">
        <f>IF(M3384="","",'Master Barang'!A78)</f>
        <v>0</v>
      </c>
      <c r="O3384">
        <f>IF(N3384="","",'Master Barang'!B78)</f>
        <v>0</v>
      </c>
      <c r="P3384">
        <f>IF(OR(M3384="",N3384=""),"",SUMIFS('Barang Keluar'!$E:$E,'Barang Keluar'!$A:$A,M3384,'Barang Keluar'!$C:$C,N3384))</f>
        <v>0</v>
      </c>
    </row>
    <row r="3385" spans="13:16">
      <c r="M3385" s="49">
        <f>IF($A$4+33&gt;$B$4,"",$A$4+33)</f>
        <v>46056</v>
      </c>
      <c r="N3385">
        <f>IF(M3385="","",'Master Barang'!A79)</f>
        <v>0</v>
      </c>
      <c r="O3385">
        <f>IF(N3385="","",'Master Barang'!B79)</f>
        <v>0</v>
      </c>
      <c r="P3385">
        <f>IF(OR(M3385="",N3385=""),"",SUMIFS('Barang Keluar'!$E:$E,'Barang Keluar'!$A:$A,M3385,'Barang Keluar'!$C:$C,N3385))</f>
        <v>0</v>
      </c>
    </row>
    <row r="3386" spans="13:16">
      <c r="M3386" s="49">
        <f>IF($A$4+33&gt;$B$4,"",$A$4+33)</f>
        <v>46056</v>
      </c>
      <c r="N3386">
        <f>IF(M3386="","",'Master Barang'!A80)</f>
        <v>0</v>
      </c>
      <c r="O3386">
        <f>IF(N3386="","",'Master Barang'!B80)</f>
        <v>0</v>
      </c>
      <c r="P3386">
        <f>IF(OR(M3386="",N3386=""),"",SUMIFS('Barang Keluar'!$E:$E,'Barang Keluar'!$A:$A,M3386,'Barang Keluar'!$C:$C,N3386))</f>
        <v>0</v>
      </c>
    </row>
    <row r="3387" spans="13:16">
      <c r="M3387" s="49">
        <f>IF($A$4+33&gt;$B$4,"",$A$4+33)</f>
        <v>46056</v>
      </c>
      <c r="N3387">
        <f>IF(M3387="","",'Master Barang'!A81)</f>
        <v>0</v>
      </c>
      <c r="O3387">
        <f>IF(N3387="","",'Master Barang'!B81)</f>
        <v>0</v>
      </c>
      <c r="P3387">
        <f>IF(OR(M3387="",N3387=""),"",SUMIFS('Barang Keluar'!$E:$E,'Barang Keluar'!$A:$A,M3387,'Barang Keluar'!$C:$C,N3387))</f>
        <v>0</v>
      </c>
    </row>
    <row r="3388" spans="13:16">
      <c r="M3388" s="49">
        <f>IF($A$4+33&gt;$B$4,"",$A$4+33)</f>
        <v>46056</v>
      </c>
      <c r="N3388">
        <f>IF(M3388="","",'Master Barang'!A82)</f>
        <v>0</v>
      </c>
      <c r="O3388">
        <f>IF(N3388="","",'Master Barang'!B82)</f>
        <v>0</v>
      </c>
      <c r="P3388">
        <f>IF(OR(M3388="",N3388=""),"",SUMIFS('Barang Keluar'!$E:$E,'Barang Keluar'!$A:$A,M3388,'Barang Keluar'!$C:$C,N3388))</f>
        <v>0</v>
      </c>
    </row>
    <row r="3389" spans="13:16">
      <c r="M3389" s="49">
        <f>IF($A$4+33&gt;$B$4,"",$A$4+33)</f>
        <v>46056</v>
      </c>
      <c r="N3389">
        <f>IF(M3389="","",'Master Barang'!A83)</f>
        <v>0</v>
      </c>
      <c r="O3389">
        <f>IF(N3389="","",'Master Barang'!B83)</f>
        <v>0</v>
      </c>
      <c r="P3389">
        <f>IF(OR(M3389="",N3389=""),"",SUMIFS('Barang Keluar'!$E:$E,'Barang Keluar'!$A:$A,M3389,'Barang Keluar'!$C:$C,N3389))</f>
        <v>0</v>
      </c>
    </row>
    <row r="3390" spans="13:16">
      <c r="M3390" s="49">
        <f>IF($A$4+33&gt;$B$4,"",$A$4+33)</f>
        <v>46056</v>
      </c>
      <c r="N3390">
        <f>IF(M3390="","",'Master Barang'!A84)</f>
        <v>0</v>
      </c>
      <c r="O3390">
        <f>IF(N3390="","",'Master Barang'!B84)</f>
        <v>0</v>
      </c>
      <c r="P3390">
        <f>IF(OR(M3390="",N3390=""),"",SUMIFS('Barang Keluar'!$E:$E,'Barang Keluar'!$A:$A,M3390,'Barang Keluar'!$C:$C,N3390))</f>
        <v>0</v>
      </c>
    </row>
    <row r="3391" spans="13:16">
      <c r="M3391" s="49">
        <f>IF($A$4+33&gt;$B$4,"",$A$4+33)</f>
        <v>46056</v>
      </c>
      <c r="N3391">
        <f>IF(M3391="","",'Master Barang'!A85)</f>
        <v>0</v>
      </c>
      <c r="O3391">
        <f>IF(N3391="","",'Master Barang'!B85)</f>
        <v>0</v>
      </c>
      <c r="P3391">
        <f>IF(OR(M3391="",N3391=""),"",SUMIFS('Barang Keluar'!$E:$E,'Barang Keluar'!$A:$A,M3391,'Barang Keluar'!$C:$C,N3391))</f>
        <v>0</v>
      </c>
    </row>
    <row r="3392" spans="13:16">
      <c r="M3392" s="49">
        <f>IF($A$4+33&gt;$B$4,"",$A$4+33)</f>
        <v>46056</v>
      </c>
      <c r="N3392">
        <f>IF(M3392="","",'Master Barang'!A86)</f>
        <v>0</v>
      </c>
      <c r="O3392">
        <f>IF(N3392="","",'Master Barang'!B86)</f>
        <v>0</v>
      </c>
      <c r="P3392">
        <f>IF(OR(M3392="",N3392=""),"",SUMIFS('Barang Keluar'!$E:$E,'Barang Keluar'!$A:$A,M3392,'Barang Keluar'!$C:$C,N3392))</f>
        <v>0</v>
      </c>
    </row>
    <row r="3393" spans="13:16">
      <c r="M3393" s="49">
        <f>IF($A$4+33&gt;$B$4,"",$A$4+33)</f>
        <v>46056</v>
      </c>
      <c r="N3393">
        <f>IF(M3393="","",'Master Barang'!A87)</f>
        <v>0</v>
      </c>
      <c r="O3393">
        <f>IF(N3393="","",'Master Barang'!B87)</f>
        <v>0</v>
      </c>
      <c r="P3393">
        <f>IF(OR(M3393="",N3393=""),"",SUMIFS('Barang Keluar'!$E:$E,'Barang Keluar'!$A:$A,M3393,'Barang Keluar'!$C:$C,N3393))</f>
        <v>0</v>
      </c>
    </row>
    <row r="3394" spans="13:16">
      <c r="M3394" s="49">
        <f>IF($A$4+33&gt;$B$4,"",$A$4+33)</f>
        <v>46056</v>
      </c>
      <c r="N3394">
        <f>IF(M3394="","",'Master Barang'!A88)</f>
        <v>0</v>
      </c>
      <c r="O3394">
        <f>IF(N3394="","",'Master Barang'!B88)</f>
        <v>0</v>
      </c>
      <c r="P3394">
        <f>IF(OR(M3394="",N3394=""),"",SUMIFS('Barang Keluar'!$E:$E,'Barang Keluar'!$A:$A,M3394,'Barang Keluar'!$C:$C,N3394))</f>
        <v>0</v>
      </c>
    </row>
    <row r="3395" spans="13:16">
      <c r="M3395" s="49">
        <f>IF($A$4+33&gt;$B$4,"",$A$4+33)</f>
        <v>46056</v>
      </c>
      <c r="N3395">
        <f>IF(M3395="","",'Master Barang'!A89)</f>
        <v>0</v>
      </c>
      <c r="O3395">
        <f>IF(N3395="","",'Master Barang'!B89)</f>
        <v>0</v>
      </c>
      <c r="P3395">
        <f>IF(OR(M3395="",N3395=""),"",SUMIFS('Barang Keluar'!$E:$E,'Barang Keluar'!$A:$A,M3395,'Barang Keluar'!$C:$C,N3395))</f>
        <v>0</v>
      </c>
    </row>
    <row r="3396" spans="13:16">
      <c r="M3396" s="49">
        <f>IF($A$4+33&gt;$B$4,"",$A$4+33)</f>
        <v>46056</v>
      </c>
      <c r="N3396">
        <f>IF(M3396="","",'Master Barang'!A90)</f>
        <v>0</v>
      </c>
      <c r="O3396">
        <f>IF(N3396="","",'Master Barang'!B90)</f>
        <v>0</v>
      </c>
      <c r="P3396">
        <f>IF(OR(M3396="",N3396=""),"",SUMIFS('Barang Keluar'!$E:$E,'Barang Keluar'!$A:$A,M3396,'Barang Keluar'!$C:$C,N3396))</f>
        <v>0</v>
      </c>
    </row>
    <row r="3397" spans="13:16">
      <c r="M3397" s="49">
        <f>IF($A$4+33&gt;$B$4,"",$A$4+33)</f>
        <v>46056</v>
      </c>
      <c r="N3397">
        <f>IF(M3397="","",'Master Barang'!A91)</f>
        <v>0</v>
      </c>
      <c r="O3397">
        <f>IF(N3397="","",'Master Barang'!B91)</f>
        <v>0</v>
      </c>
      <c r="P3397">
        <f>IF(OR(M3397="",N3397=""),"",SUMIFS('Barang Keluar'!$E:$E,'Barang Keluar'!$A:$A,M3397,'Barang Keluar'!$C:$C,N3397))</f>
        <v>0</v>
      </c>
    </row>
    <row r="3398" spans="13:16">
      <c r="M3398" s="49">
        <f>IF($A$4+33&gt;$B$4,"",$A$4+33)</f>
        <v>46056</v>
      </c>
      <c r="N3398">
        <f>IF(M3398="","",'Master Barang'!A92)</f>
        <v>0</v>
      </c>
      <c r="O3398">
        <f>IF(N3398="","",'Master Barang'!B92)</f>
        <v>0</v>
      </c>
      <c r="P3398">
        <f>IF(OR(M3398="",N3398=""),"",SUMIFS('Barang Keluar'!$E:$E,'Barang Keluar'!$A:$A,M3398,'Barang Keluar'!$C:$C,N3398))</f>
        <v>0</v>
      </c>
    </row>
    <row r="3399" spans="13:16">
      <c r="M3399" s="49">
        <f>IF($A$4+33&gt;$B$4,"",$A$4+33)</f>
        <v>46056</v>
      </c>
      <c r="N3399">
        <f>IF(M3399="","",'Master Barang'!A93)</f>
        <v>0</v>
      </c>
      <c r="O3399">
        <f>IF(N3399="","",'Master Barang'!B93)</f>
        <v>0</v>
      </c>
      <c r="P3399">
        <f>IF(OR(M3399="",N3399=""),"",SUMIFS('Barang Keluar'!$E:$E,'Barang Keluar'!$A:$A,M3399,'Barang Keluar'!$C:$C,N3399))</f>
        <v>0</v>
      </c>
    </row>
    <row r="3400" spans="13:16">
      <c r="M3400" s="49">
        <f>IF($A$4+33&gt;$B$4,"",$A$4+33)</f>
        <v>46056</v>
      </c>
      <c r="N3400">
        <f>IF(M3400="","",'Master Barang'!A94)</f>
        <v>0</v>
      </c>
      <c r="O3400">
        <f>IF(N3400="","",'Master Barang'!B94)</f>
        <v>0</v>
      </c>
      <c r="P3400">
        <f>IF(OR(M3400="",N3400=""),"",SUMIFS('Barang Keluar'!$E:$E,'Barang Keluar'!$A:$A,M3400,'Barang Keluar'!$C:$C,N3400))</f>
        <v>0</v>
      </c>
    </row>
    <row r="3401" spans="13:16">
      <c r="M3401" s="49">
        <f>IF($A$4+33&gt;$B$4,"",$A$4+33)</f>
        <v>46056</v>
      </c>
      <c r="N3401">
        <f>IF(M3401="","",'Master Barang'!A95)</f>
        <v>0</v>
      </c>
      <c r="O3401">
        <f>IF(N3401="","",'Master Barang'!B95)</f>
        <v>0</v>
      </c>
      <c r="P3401">
        <f>IF(OR(M3401="",N3401=""),"",SUMIFS('Barang Keluar'!$E:$E,'Barang Keluar'!$A:$A,M3401,'Barang Keluar'!$C:$C,N3401))</f>
        <v>0</v>
      </c>
    </row>
    <row r="3402" spans="13:16">
      <c r="M3402" s="49">
        <f>IF($A$4+33&gt;$B$4,"",$A$4+33)</f>
        <v>46056</v>
      </c>
      <c r="N3402">
        <f>IF(M3402="","",'Master Barang'!A96)</f>
        <v>0</v>
      </c>
      <c r="O3402">
        <f>IF(N3402="","",'Master Barang'!B96)</f>
        <v>0</v>
      </c>
      <c r="P3402">
        <f>IF(OR(M3402="",N3402=""),"",SUMIFS('Barang Keluar'!$E:$E,'Barang Keluar'!$A:$A,M3402,'Barang Keluar'!$C:$C,N3402))</f>
        <v>0</v>
      </c>
    </row>
    <row r="3403" spans="13:16">
      <c r="M3403" s="49">
        <f>IF($A$4+33&gt;$B$4,"",$A$4+33)</f>
        <v>46056</v>
      </c>
      <c r="N3403">
        <f>IF(M3403="","",'Master Barang'!A97)</f>
        <v>0</v>
      </c>
      <c r="O3403">
        <f>IF(N3403="","",'Master Barang'!B97)</f>
        <v>0</v>
      </c>
      <c r="P3403">
        <f>IF(OR(M3403="",N3403=""),"",SUMIFS('Barang Keluar'!$E:$E,'Barang Keluar'!$A:$A,M3403,'Barang Keluar'!$C:$C,N3403))</f>
        <v>0</v>
      </c>
    </row>
    <row r="3404" spans="13:16">
      <c r="M3404" s="49">
        <f>IF($A$4+33&gt;$B$4,"",$A$4+33)</f>
        <v>46056</v>
      </c>
      <c r="N3404">
        <f>IF(M3404="","",'Master Barang'!A98)</f>
        <v>0</v>
      </c>
      <c r="O3404">
        <f>IF(N3404="","",'Master Barang'!B98)</f>
        <v>0</v>
      </c>
      <c r="P3404">
        <f>IF(OR(M3404="",N3404=""),"",SUMIFS('Barang Keluar'!$E:$E,'Barang Keluar'!$A:$A,M3404,'Barang Keluar'!$C:$C,N3404))</f>
        <v>0</v>
      </c>
    </row>
    <row r="3405" spans="13:16">
      <c r="M3405" s="49">
        <f>IF($A$4+33&gt;$B$4,"",$A$4+33)</f>
        <v>46056</v>
      </c>
      <c r="N3405">
        <f>IF(M3405="","",'Master Barang'!A99)</f>
        <v>0</v>
      </c>
      <c r="O3405">
        <f>IF(N3405="","",'Master Barang'!B99)</f>
        <v>0</v>
      </c>
      <c r="P3405">
        <f>IF(OR(M3405="",N3405=""),"",SUMIFS('Barang Keluar'!$E:$E,'Barang Keluar'!$A:$A,M3405,'Barang Keluar'!$C:$C,N3405))</f>
        <v>0</v>
      </c>
    </row>
    <row r="3406" spans="13:16">
      <c r="M3406" s="49">
        <f>IF($A$4+33&gt;$B$4,"",$A$4+33)</f>
        <v>46056</v>
      </c>
      <c r="N3406">
        <f>IF(M3406="","",'Master Barang'!A100)</f>
        <v>0</v>
      </c>
      <c r="O3406">
        <f>IF(N3406="","",'Master Barang'!B100)</f>
        <v>0</v>
      </c>
      <c r="P3406">
        <f>IF(OR(M3406="",N3406=""),"",SUMIFS('Barang Keluar'!$E:$E,'Barang Keluar'!$A:$A,M3406,'Barang Keluar'!$C:$C,N3406))</f>
        <v>0</v>
      </c>
    </row>
    <row r="3407" spans="13:16">
      <c r="M3407" s="49">
        <f>IF($A$4+33&gt;$B$4,"",$A$4+33)</f>
        <v>46056</v>
      </c>
      <c r="N3407">
        <f>IF(M3407="","",'Master Barang'!A101)</f>
        <v>0</v>
      </c>
      <c r="O3407">
        <f>IF(N3407="","",'Master Barang'!B101)</f>
        <v>0</v>
      </c>
      <c r="P3407">
        <f>IF(OR(M3407="",N3407=""),"",SUMIFS('Barang Keluar'!$E:$E,'Barang Keluar'!$A:$A,M3407,'Barang Keluar'!$C:$C,N3407))</f>
        <v>0</v>
      </c>
    </row>
    <row r="3408" spans="13:16">
      <c r="M3408" s="49">
        <f>IF($A$4+34&gt;$B$4,"",$A$4+34)</f>
        <v>46057</v>
      </c>
      <c r="N3408" t="str">
        <f>IF(M3408="","",'Master Barang'!A2)</f>
        <v>PRL-001</v>
      </c>
      <c r="O3408" t="str">
        <f>IF(N3408="","",'Master Barang'!B2)</f>
        <v>natura desinfectant food grade 5l</v>
      </c>
      <c r="P3408">
        <f>IF(OR(M3408="",N3408=""),"",SUMIFS('Barang Keluar'!$E:$E,'Barang Keluar'!$A:$A,M3408,'Barang Keluar'!$C:$C,N3408))</f>
        <v>0</v>
      </c>
    </row>
    <row r="3409" spans="13:16">
      <c r="M3409" s="49">
        <f>IF($A$4+34&gt;$B$4,"",$A$4+34)</f>
        <v>46057</v>
      </c>
      <c r="N3409" t="str">
        <f>IF(M3409="","",'Master Barang'!A3)</f>
        <v>PRL-002</v>
      </c>
      <c r="O3409" t="str">
        <f>IF(N3409="","",'Master Barang'!B3)</f>
        <v>sunlight cairan pencuci piring 5l</v>
      </c>
      <c r="P3409">
        <f>IF(OR(M3409="",N3409=""),"",SUMIFS('Barang Keluar'!$E:$E,'Barang Keluar'!$A:$A,M3409,'Barang Keluar'!$C:$C,N3409))</f>
        <v>0</v>
      </c>
    </row>
    <row r="3410" spans="13:16">
      <c r="M3410" s="49">
        <f>IF($A$4+34&gt;$B$4,"",$A$4+34)</f>
        <v>46057</v>
      </c>
      <c r="N3410" t="str">
        <f>IF(M3410="","",'Master Barang'!A4)</f>
        <v>PRL-003</v>
      </c>
      <c r="O3410" t="str">
        <f>IF(N3410="","",'Master Barang'!B4)</f>
        <v>oixs cleaner 1l</v>
      </c>
      <c r="P3410">
        <f>IF(OR(M3410="",N3410=""),"",SUMIFS('Barang Keluar'!$E:$E,'Barang Keluar'!$A:$A,M3410,'Barang Keluar'!$C:$C,N3410))</f>
        <v>0</v>
      </c>
    </row>
    <row r="3411" spans="13:16">
      <c r="M3411" s="49">
        <f>IF($A$4+34&gt;$B$4,"",$A$4+34)</f>
        <v>46057</v>
      </c>
      <c r="N3411" t="str">
        <f>IF(M3411="","",'Master Barang'!A5)</f>
        <v>PRL-004</v>
      </c>
      <c r="O3411" t="str">
        <f>IF(N3411="","",'Master Barang'!B5)</f>
        <v>be clean tissue serbaguna</v>
      </c>
      <c r="P3411">
        <f>IF(OR(M3411="",N3411=""),"",SUMIFS('Barang Keluar'!$E:$E,'Barang Keluar'!$A:$A,M3411,'Barang Keluar'!$C:$C,N3411))</f>
        <v>0</v>
      </c>
    </row>
    <row r="3412" spans="13:16">
      <c r="M3412" s="49">
        <f>IF($A$4+34&gt;$B$4,"",$A$4+34)</f>
        <v>46057</v>
      </c>
      <c r="N3412" t="str">
        <f>IF(M3412="","",'Master Barang'!A6)</f>
        <v>PRL-005</v>
      </c>
      <c r="O3412" t="str">
        <f>IF(N3412="","",'Master Barang'!B6)</f>
        <v>spons cuci hijau</v>
      </c>
      <c r="P3412">
        <f>IF(OR(M3412="",N3412=""),"",SUMIFS('Barang Keluar'!$E:$E,'Barang Keluar'!$A:$A,M3412,'Barang Keluar'!$C:$C,N3412))</f>
        <v>0</v>
      </c>
    </row>
    <row r="3413" spans="13:16">
      <c r="M3413" s="49">
        <f>IF($A$4+34&gt;$B$4,"",$A$4+34)</f>
        <v>46057</v>
      </c>
      <c r="N3413" t="str">
        <f>IF(M3413="","",'Master Barang'!A7)</f>
        <v>PRL-006</v>
      </c>
      <c r="O3413" t="str">
        <f>IF(N3413="","",'Master Barang'!B7)</f>
        <v>sabut cuci stainless</v>
      </c>
      <c r="P3413">
        <f>IF(OR(M3413="",N3413=""),"",SUMIFS('Barang Keluar'!$E:$E,'Barang Keluar'!$A:$A,M3413,'Barang Keluar'!$C:$C,N3413))</f>
        <v>0</v>
      </c>
    </row>
    <row r="3414" spans="13:16">
      <c r="M3414" s="49">
        <f>IF($A$4+34&gt;$B$4,"",$A$4+34)</f>
        <v>46057</v>
      </c>
      <c r="N3414" t="str">
        <f>IF(M3414="","",'Master Barang'!A8)</f>
        <v>PRL-007</v>
      </c>
      <c r="O3414" t="str">
        <f>IF(N3414="","",'Master Barang'!B8)</f>
        <v>plastik kresek besar merah 50pc</v>
      </c>
      <c r="P3414">
        <f>IF(OR(M3414="",N3414=""),"",SUMIFS('Barang Keluar'!$E:$E,'Barang Keluar'!$A:$A,M3414,'Barang Keluar'!$C:$C,N3414))</f>
        <v>0</v>
      </c>
    </row>
    <row r="3415" spans="13:16">
      <c r="M3415" s="49">
        <f>IF($A$4+34&gt;$B$4,"",$A$4+34)</f>
        <v>46057</v>
      </c>
      <c r="N3415" t="str">
        <f>IF(M3415="","",'Master Barang'!A9)</f>
        <v>PRL-008</v>
      </c>
      <c r="O3415" t="str">
        <f>IF(N3415="","",'Master Barang'!B9)</f>
        <v>lap besar</v>
      </c>
      <c r="P3415">
        <f>IF(OR(M3415="",N3415=""),"",SUMIFS('Barang Keluar'!$E:$E,'Barang Keluar'!$A:$A,M3415,'Barang Keluar'!$C:$C,N3415))</f>
        <v>0</v>
      </c>
    </row>
    <row r="3416" spans="13:16">
      <c r="M3416" s="49">
        <f>IF($A$4+34&gt;$B$4,"",$A$4+34)</f>
        <v>46057</v>
      </c>
      <c r="N3416" t="str">
        <f>IF(M3416="","",'Master Barang'!A10)</f>
        <v>PRL-009</v>
      </c>
      <c r="O3416" t="str">
        <f>IF(N3416="","",'Master Barang'!B10)</f>
        <v>lap microfiber</v>
      </c>
      <c r="P3416">
        <f>IF(OR(M3416="",N3416=""),"",SUMIFS('Barang Keluar'!$E:$E,'Barang Keluar'!$A:$A,M3416,'Barang Keluar'!$C:$C,N3416))</f>
        <v>0</v>
      </c>
    </row>
    <row r="3417" spans="13:16">
      <c r="M3417" s="49">
        <f>IF($A$4+34&gt;$B$4,"",$A$4+34)</f>
        <v>46057</v>
      </c>
      <c r="N3417" t="str">
        <f>IF(M3417="","",'Master Barang'!A11)</f>
        <v>PRL-010</v>
      </c>
      <c r="O3417" t="str">
        <f>IF(N3417="","",'Master Barang'!B11)</f>
        <v>lap kecil</v>
      </c>
      <c r="P3417">
        <f>IF(OR(M3417="",N3417=""),"",SUMIFS('Barang Keluar'!$E:$E,'Barang Keluar'!$A:$A,M3417,'Barang Keluar'!$C:$C,N3417))</f>
        <v>0</v>
      </c>
    </row>
    <row r="3418" spans="13:16">
      <c r="M3418" s="49">
        <f>IF($A$4+34&gt;$B$4,"",$A$4+34)</f>
        <v>46057</v>
      </c>
      <c r="N3418" t="str">
        <f>IF(M3418="","",'Master Barang'!A12)</f>
        <v>PRL-011</v>
      </c>
      <c r="O3418" t="str">
        <f>IF(N3418="","",'Master Barang'!B12)</f>
        <v>kanebo kecil</v>
      </c>
      <c r="P3418">
        <f>IF(OR(M3418="",N3418=""),"",SUMIFS('Barang Keluar'!$E:$E,'Barang Keluar'!$A:$A,M3418,'Barang Keluar'!$C:$C,N3418))</f>
        <v>0</v>
      </c>
    </row>
    <row r="3419" spans="13:16">
      <c r="M3419" s="49">
        <f>IF($A$4+34&gt;$B$4,"",$A$4+34)</f>
        <v>46057</v>
      </c>
      <c r="N3419" t="str">
        <f>IF(M3419="","",'Master Barang'!A13)</f>
        <v>PRL-012</v>
      </c>
      <c r="O3419" t="str">
        <f>IF(N3419="","",'Master Barang'!B13)</f>
        <v>plastik 1/4kg joyoboyo 100 lembar</v>
      </c>
      <c r="P3419">
        <f>IF(OR(M3419="",N3419=""),"",SUMIFS('Barang Keluar'!$E:$E,'Barang Keluar'!$A:$A,M3419,'Barang Keluar'!$C:$C,N3419))</f>
        <v>0</v>
      </c>
    </row>
    <row r="3420" spans="13:16">
      <c r="M3420" s="49">
        <f>IF($A$4+34&gt;$B$4,"",$A$4+34)</f>
        <v>46057</v>
      </c>
      <c r="N3420" t="str">
        <f>IF(M3420="","",'Master Barang'!A14)</f>
        <v>PRL-013</v>
      </c>
      <c r="O3420" t="str">
        <f>IF(N3420="","",'Master Barang'!B14)</f>
        <v>sarung tangan plastik kaka 100 pcs</v>
      </c>
      <c r="P3420">
        <f>IF(OR(M3420="",N3420=""),"",SUMIFS('Barang Keluar'!$E:$E,'Barang Keluar'!$A:$A,M3420,'Barang Keluar'!$C:$C,N3420))</f>
        <v>0</v>
      </c>
    </row>
    <row r="3421" spans="13:16">
      <c r="M3421" s="49">
        <f>IF($A$4+34&gt;$B$4,"",$A$4+34)</f>
        <v>46057</v>
      </c>
      <c r="N3421" t="str">
        <f>IF(M3421="","",'Master Barang'!A15)</f>
        <v>PRL-014</v>
      </c>
      <c r="O3421" t="str">
        <f>IF(N3421="","",'Master Barang'!B15)</f>
        <v>optima trashbag 80x100</v>
      </c>
      <c r="P3421">
        <f>IF(OR(M3421="",N3421=""),"",SUMIFS('Barang Keluar'!$E:$E,'Barang Keluar'!$A:$A,M3421,'Barang Keluar'!$C:$C,N3421))</f>
        <v>0</v>
      </c>
    </row>
    <row r="3422" spans="13:16">
      <c r="M3422" s="49">
        <f>IF($A$4+34&gt;$B$4,"",$A$4+34)</f>
        <v>46057</v>
      </c>
      <c r="N3422" t="str">
        <f>IF(M3422="","",'Master Barang'!A16)</f>
        <v>PRL-015</v>
      </c>
      <c r="O3422" t="str">
        <f>IF(N3422="","",'Master Barang'!B16)</f>
        <v>optima trashbag 60x100</v>
      </c>
      <c r="P3422">
        <f>IF(OR(M3422="",N3422=""),"",SUMIFS('Barang Keluar'!$E:$E,'Barang Keluar'!$A:$A,M3422,'Barang Keluar'!$C:$C,N3422))</f>
        <v>0</v>
      </c>
    </row>
    <row r="3423" spans="13:16">
      <c r="M3423" s="49">
        <f>IF($A$4+34&gt;$B$4,"",$A$4+34)</f>
        <v>46057</v>
      </c>
      <c r="N3423" t="str">
        <f>IF(M3423="","",'Master Barang'!A17)</f>
        <v>PRL-016</v>
      </c>
      <c r="O3423" t="str">
        <f>IF(N3423="","",'Master Barang'!B17)</f>
        <v>rajawali trashbag 30x40</v>
      </c>
      <c r="P3423">
        <f>IF(OR(M3423="",N3423=""),"",SUMIFS('Barang Keluar'!$E:$E,'Barang Keluar'!$A:$A,M3423,'Barang Keluar'!$C:$C,N3423))</f>
        <v>0</v>
      </c>
    </row>
    <row r="3424" spans="13:16">
      <c r="M3424" s="49">
        <f>IF($A$4+34&gt;$B$4,"",$A$4+34)</f>
        <v>46057</v>
      </c>
      <c r="N3424" t="str">
        <f>IF(M3424="","",'Master Barang'!A18)</f>
        <v>PRL-017</v>
      </c>
      <c r="O3424" t="str">
        <f>IF(N3424="","",'Master Barang'!B18)</f>
        <v>onemed masker biru 3 play 50 pcs</v>
      </c>
      <c r="P3424">
        <f>IF(OR(M3424="",N3424=""),"",SUMIFS('Barang Keluar'!$E:$E,'Barang Keluar'!$A:$A,M3424,'Barang Keluar'!$C:$C,N3424))</f>
        <v>0</v>
      </c>
    </row>
    <row r="3425" spans="13:16">
      <c r="M3425" s="49">
        <f>IF($A$4+34&gt;$B$4,"",$A$4+34)</f>
        <v>46057</v>
      </c>
      <c r="N3425" t="str">
        <f>IF(M3425="","",'Master Barang'!A19)</f>
        <v>PRL-018</v>
      </c>
      <c r="O3425" t="str">
        <f>IF(N3425="","",'Master Barang'!B19)</f>
        <v>onemed masker biru 3 play hijab 50 pcs</v>
      </c>
      <c r="P3425">
        <f>IF(OR(M3425="",N3425=""),"",SUMIFS('Barang Keluar'!$E:$E,'Barang Keluar'!$A:$A,M3425,'Barang Keluar'!$C:$C,N3425))</f>
        <v>0</v>
      </c>
    </row>
    <row r="3426" spans="13:16">
      <c r="M3426" s="49">
        <f>IF($A$4+34&gt;$B$4,"",$A$4+34)</f>
        <v>46057</v>
      </c>
      <c r="N3426" t="str">
        <f>IF(M3426="","",'Master Barang'!A20)</f>
        <v>PRL-019</v>
      </c>
      <c r="O3426" t="str">
        <f>IF(N3426="","",'Master Barang'!B20)</f>
        <v>neo health masker biru 3 play 50 pcs</v>
      </c>
      <c r="P3426">
        <f>IF(OR(M3426="",N3426=""),"",SUMIFS('Barang Keluar'!$E:$E,'Barang Keluar'!$A:$A,M3426,'Barang Keluar'!$C:$C,N3426))</f>
        <v>0</v>
      </c>
    </row>
    <row r="3427" spans="13:16">
      <c r="M3427" s="49">
        <f>IF($A$4+34&gt;$B$4,"",$A$4+34)</f>
        <v>46057</v>
      </c>
      <c r="N3427" t="str">
        <f>IF(M3427="","",'Master Barang'!A21)</f>
        <v>PRL-020</v>
      </c>
      <c r="O3427" t="str">
        <f>IF(N3427="","",'Master Barang'!B21)</f>
        <v>baymed masker hijau 3 play hijau 50 pcs</v>
      </c>
      <c r="P3427">
        <f>IF(OR(M3427="",N3427=""),"",SUMIFS('Barang Keluar'!$E:$E,'Barang Keluar'!$A:$A,M3427,'Barang Keluar'!$C:$C,N3427))</f>
        <v>0</v>
      </c>
    </row>
    <row r="3428" spans="13:16">
      <c r="M3428" s="49">
        <f>IF($A$4+34&gt;$B$4,"",$A$4+34)</f>
        <v>46057</v>
      </c>
      <c r="N3428" t="str">
        <f>IF(M3428="","",'Master Barang'!A22)</f>
        <v>PRL-021</v>
      </c>
      <c r="O3428" t="str">
        <f>IF(N3428="","",'Master Barang'!B22)</f>
        <v>altamed nurse cap penutup kepala 100 pcs</v>
      </c>
      <c r="P3428">
        <f>IF(OR(M3428="",N3428=""),"",SUMIFS('Barang Keluar'!$E:$E,'Barang Keluar'!$A:$A,M3428,'Barang Keluar'!$C:$C,N3428))</f>
        <v>0</v>
      </c>
    </row>
    <row r="3429" spans="13:16">
      <c r="M3429" s="49">
        <f>IF($A$4+34&gt;$B$4,"",$A$4+34)</f>
        <v>46057</v>
      </c>
      <c r="N3429" t="str">
        <f>IF(M3429="","",'Master Barang'!A23)</f>
        <v>PRL-022</v>
      </c>
      <c r="O3429" t="str">
        <f>IF(N3429="","",'Master Barang'!B23)</f>
        <v>sabun cuci tangan</v>
      </c>
      <c r="P3429">
        <f>IF(OR(M3429="",N3429=""),"",SUMIFS('Barang Keluar'!$E:$E,'Barang Keluar'!$A:$A,M3429,'Barang Keluar'!$C:$C,N3429))</f>
        <v>0</v>
      </c>
    </row>
    <row r="3430" spans="13:16">
      <c r="M3430" s="49">
        <f>IF($A$4+34&gt;$B$4,"",$A$4+34)</f>
        <v>46057</v>
      </c>
      <c r="N3430" t="str">
        <f>IF(M3430="","",'Master Barang'!A24)</f>
        <v>PRL-023</v>
      </c>
      <c r="O3430" t="str">
        <f>IF(N3430="","",'Master Barang'!B24)</f>
        <v>gayung kecil</v>
      </c>
      <c r="P3430">
        <f>IF(OR(M3430="",N3430=""),"",SUMIFS('Barang Keluar'!$E:$E,'Barang Keluar'!$A:$A,M3430,'Barang Keluar'!$C:$C,N3430))</f>
        <v>0</v>
      </c>
    </row>
    <row r="3431" spans="13:16">
      <c r="M3431" s="49">
        <f>IF($A$4+34&gt;$B$4,"",$A$4+34)</f>
        <v>46057</v>
      </c>
      <c r="N3431" t="str">
        <f>IF(M3431="","",'Master Barang'!A25)</f>
        <v>PRL-024</v>
      </c>
      <c r="O3431" t="str">
        <f>IF(N3431="","",'Master Barang'!B25)</f>
        <v>cikrak kecil</v>
      </c>
      <c r="P3431">
        <f>IF(OR(M3431="",N3431=""),"",SUMIFS('Barang Keluar'!$E:$E,'Barang Keluar'!$A:$A,M3431,'Barang Keluar'!$C:$C,N3431))</f>
        <v>0</v>
      </c>
    </row>
    <row r="3432" spans="13:16">
      <c r="M3432" s="49">
        <f>IF($A$4+34&gt;$B$4,"",$A$4+34)</f>
        <v>46057</v>
      </c>
      <c r="N3432" t="str">
        <f>IF(M3432="","",'Master Barang'!A26)</f>
        <v>PRL-025</v>
      </c>
      <c r="O3432" t="str">
        <f>IF(N3432="","",'Master Barang'!B26)</f>
        <v>petromax plastik kecil 12x24 100 lembar</v>
      </c>
      <c r="P3432">
        <f>IF(OR(M3432="",N3432=""),"",SUMIFS('Barang Keluar'!$E:$E,'Barang Keluar'!$A:$A,M3432,'Barang Keluar'!$C:$C,N3432))</f>
        <v>0</v>
      </c>
    </row>
    <row r="3433" spans="13:16">
      <c r="M3433" s="49">
        <f>IF($A$4+34&gt;$B$4,"",$A$4+34)</f>
        <v>46057</v>
      </c>
      <c r="N3433" t="str">
        <f>IF(M3433="","",'Master Barang'!A27)</f>
        <v>PRL-026</v>
      </c>
      <c r="O3433" t="str">
        <f>IF(N3433="","",'Master Barang'!B27)</f>
        <v>lancar kresek kecil bening </v>
      </c>
      <c r="P3433">
        <f>IF(OR(M3433="",N3433=""),"",SUMIFS('Barang Keluar'!$E:$E,'Barang Keluar'!$A:$A,M3433,'Barang Keluar'!$C:$C,N3433))</f>
        <v>0</v>
      </c>
    </row>
    <row r="3434" spans="13:16">
      <c r="M3434" s="49">
        <f>IF($A$4+34&gt;$B$4,"",$A$4+34)</f>
        <v>46057</v>
      </c>
      <c r="N3434" t="str">
        <f>IF(M3434="","",'Master Barang'!A28)</f>
        <v>PRL-027</v>
      </c>
      <c r="O3434" t="str">
        <f>IF(N3434="","",'Master Barang'!B28)</f>
        <v>kresek klin warna warni kecil</v>
      </c>
      <c r="P3434">
        <f>IF(OR(M3434="",N3434=""),"",SUMIFS('Barang Keluar'!$E:$E,'Barang Keluar'!$A:$A,M3434,'Barang Keluar'!$C:$C,N3434))</f>
        <v>0</v>
      </c>
    </row>
    <row r="3435" spans="13:16">
      <c r="M3435" s="49">
        <f>IF($A$4+34&gt;$B$4,"",$A$4+34)</f>
        <v>46057</v>
      </c>
      <c r="N3435" t="str">
        <f>IF(M3435="","",'Master Barang'!A29)</f>
        <v>PRL-028</v>
      </c>
      <c r="O3435" t="str">
        <f>IF(N3435="","",'Master Barang'!B29)</f>
        <v>ctik plastik 7x10 100 pcs</v>
      </c>
      <c r="P3435">
        <f>IF(OR(M3435="",N3435=""),"",SUMIFS('Barang Keluar'!$E:$E,'Barang Keluar'!$A:$A,M3435,'Barang Keluar'!$C:$C,N3435))</f>
        <v>0</v>
      </c>
    </row>
    <row r="3436" spans="13:16">
      <c r="M3436" s="49">
        <f>IF($A$4+34&gt;$B$4,"",$A$4+34)</f>
        <v>46057</v>
      </c>
      <c r="N3436" t="str">
        <f>IF(M3436="","",'Master Barang'!A30)</f>
        <v>PRL-029</v>
      </c>
      <c r="O3436" t="str">
        <f>IF(N3436="","",'Master Barang'!B30)</f>
        <v>ctik plastik 6x10 100 pcs</v>
      </c>
      <c r="P3436">
        <f>IF(OR(M3436="",N3436=""),"",SUMIFS('Barang Keluar'!$E:$E,'Barang Keluar'!$A:$A,M3436,'Barang Keluar'!$C:$C,N3436))</f>
        <v>0</v>
      </c>
    </row>
    <row r="3437" spans="13:16">
      <c r="M3437" s="49">
        <f>IF($A$4+34&gt;$B$4,"",$A$4+34)</f>
        <v>46057</v>
      </c>
      <c r="N3437" t="str">
        <f>IF(M3437="","",'Master Barang'!A31)</f>
        <v>PRL-030</v>
      </c>
      <c r="O3437" t="str">
        <f>IF(N3437="","",'Master Barang'!B31)</f>
        <v>klip plastik 25x16 100 pcs</v>
      </c>
      <c r="P3437">
        <f>IF(OR(M3437="",N3437=""),"",SUMIFS('Barang Keluar'!$E:$E,'Barang Keluar'!$A:$A,M3437,'Barang Keluar'!$C:$C,N3437))</f>
        <v>0</v>
      </c>
    </row>
    <row r="3438" spans="13:16">
      <c r="M3438" s="49">
        <f>IF($A$4+34&gt;$B$4,"",$A$4+34)</f>
        <v>46057</v>
      </c>
      <c r="N3438" t="str">
        <f>IF(M3438="","",'Master Barang'!A32)</f>
        <v>PRL-031</v>
      </c>
      <c r="O3438" t="str">
        <f>IF(N3438="","",'Master Barang'!B32)</f>
        <v>tempat saus 20 ml</v>
      </c>
      <c r="P3438">
        <f>IF(OR(M3438="",N3438=""),"",SUMIFS('Barang Keluar'!$E:$E,'Barang Keluar'!$A:$A,M3438,'Barang Keluar'!$C:$C,N3438))</f>
        <v>0</v>
      </c>
    </row>
    <row r="3439" spans="13:16">
      <c r="M3439" s="49">
        <f>IF($A$4+34&gt;$B$4,"",$A$4+34)</f>
        <v>46057</v>
      </c>
      <c r="N3439" t="str">
        <f>IF(M3439="","",'Master Barang'!A33)</f>
        <v>PRL-032</v>
      </c>
      <c r="O3439" t="str">
        <f>IF(N3439="","",'Master Barang'!B33)</f>
        <v>plastik packaging ag box uk sedang</v>
      </c>
      <c r="P3439">
        <f>IF(OR(M3439="",N3439=""),"",SUMIFS('Barang Keluar'!$E:$E,'Barang Keluar'!$A:$A,M3439,'Barang Keluar'!$C:$C,N3439))</f>
        <v>0</v>
      </c>
    </row>
    <row r="3440" spans="13:16">
      <c r="M3440" s="49">
        <f>IF($A$4+34&gt;$B$4,"",$A$4+34)</f>
        <v>46057</v>
      </c>
      <c r="N3440" t="str">
        <f>IF(M3440="","",'Master Barang'!A34)</f>
        <v>PRL-033</v>
      </c>
      <c r="O3440">
        <f>IF(N3440="","",'Master Barang'!B34)</f>
        <v>0</v>
      </c>
      <c r="P3440">
        <f>IF(OR(M3440="",N3440=""),"",SUMIFS('Barang Keluar'!$E:$E,'Barang Keluar'!$A:$A,M3440,'Barang Keluar'!$C:$C,N3440))</f>
        <v>0</v>
      </c>
    </row>
    <row r="3441" spans="13:16">
      <c r="M3441" s="49">
        <f>IF($A$4+34&gt;$B$4,"",$A$4+34)</f>
        <v>46057</v>
      </c>
      <c r="N3441">
        <f>IF(M3441="","",'Master Barang'!A35)</f>
        <v>0</v>
      </c>
      <c r="O3441">
        <f>IF(N3441="","",'Master Barang'!B35)</f>
        <v>0</v>
      </c>
      <c r="P3441">
        <f>IF(OR(M3441="",N3441=""),"",SUMIFS('Barang Keluar'!$E:$E,'Barang Keluar'!$A:$A,M3441,'Barang Keluar'!$C:$C,N3441))</f>
        <v>0</v>
      </c>
    </row>
    <row r="3442" spans="13:16">
      <c r="M3442" s="49">
        <f>IF($A$4+34&gt;$B$4,"",$A$4+34)</f>
        <v>46057</v>
      </c>
      <c r="N3442">
        <f>IF(M3442="","",'Master Barang'!A36)</f>
        <v>0</v>
      </c>
      <c r="O3442">
        <f>IF(N3442="","",'Master Barang'!B36)</f>
        <v>0</v>
      </c>
      <c r="P3442">
        <f>IF(OR(M3442="",N3442=""),"",SUMIFS('Barang Keluar'!$E:$E,'Barang Keluar'!$A:$A,M3442,'Barang Keluar'!$C:$C,N3442))</f>
        <v>0</v>
      </c>
    </row>
    <row r="3443" spans="13:16">
      <c r="M3443" s="49">
        <f>IF($A$4+34&gt;$B$4,"",$A$4+34)</f>
        <v>46057</v>
      </c>
      <c r="N3443">
        <f>IF(M3443="","",'Master Barang'!A37)</f>
        <v>0</v>
      </c>
      <c r="O3443">
        <f>IF(N3443="","",'Master Barang'!B37)</f>
        <v>0</v>
      </c>
      <c r="P3443">
        <f>IF(OR(M3443="",N3443=""),"",SUMIFS('Barang Keluar'!$E:$E,'Barang Keluar'!$A:$A,M3443,'Barang Keluar'!$C:$C,N3443))</f>
        <v>0</v>
      </c>
    </row>
    <row r="3444" spans="13:16">
      <c r="M3444" s="49">
        <f>IF($A$4+34&gt;$B$4,"",$A$4+34)</f>
        <v>46057</v>
      </c>
      <c r="N3444">
        <f>IF(M3444="","",'Master Barang'!A38)</f>
        <v>0</v>
      </c>
      <c r="O3444">
        <f>IF(N3444="","",'Master Barang'!B38)</f>
        <v>0</v>
      </c>
      <c r="P3444">
        <f>IF(OR(M3444="",N3444=""),"",SUMIFS('Barang Keluar'!$E:$E,'Barang Keluar'!$A:$A,M3444,'Barang Keluar'!$C:$C,N3444))</f>
        <v>0</v>
      </c>
    </row>
    <row r="3445" spans="13:16">
      <c r="M3445" s="49">
        <f>IF($A$4+34&gt;$B$4,"",$A$4+34)</f>
        <v>46057</v>
      </c>
      <c r="N3445">
        <f>IF(M3445="","",'Master Barang'!A39)</f>
        <v>0</v>
      </c>
      <c r="O3445">
        <f>IF(N3445="","",'Master Barang'!B39)</f>
        <v>0</v>
      </c>
      <c r="P3445">
        <f>IF(OR(M3445="",N3445=""),"",SUMIFS('Barang Keluar'!$E:$E,'Barang Keluar'!$A:$A,M3445,'Barang Keluar'!$C:$C,N3445))</f>
        <v>0</v>
      </c>
    </row>
    <row r="3446" spans="13:16">
      <c r="M3446" s="49">
        <f>IF($A$4+34&gt;$B$4,"",$A$4+34)</f>
        <v>46057</v>
      </c>
      <c r="N3446">
        <f>IF(M3446="","",'Master Barang'!A40)</f>
        <v>0</v>
      </c>
      <c r="O3446">
        <f>IF(N3446="","",'Master Barang'!B40)</f>
        <v>0</v>
      </c>
      <c r="P3446">
        <f>IF(OR(M3446="",N3446=""),"",SUMIFS('Barang Keluar'!$E:$E,'Barang Keluar'!$A:$A,M3446,'Barang Keluar'!$C:$C,N3446))</f>
        <v>0</v>
      </c>
    </row>
    <row r="3447" spans="13:16">
      <c r="M3447" s="49">
        <f>IF($A$4+34&gt;$B$4,"",$A$4+34)</f>
        <v>46057</v>
      </c>
      <c r="N3447">
        <f>IF(M3447="","",'Master Barang'!A41)</f>
        <v>0</v>
      </c>
      <c r="O3447">
        <f>IF(N3447="","",'Master Barang'!B41)</f>
        <v>0</v>
      </c>
      <c r="P3447">
        <f>IF(OR(M3447="",N3447=""),"",SUMIFS('Barang Keluar'!$E:$E,'Barang Keluar'!$A:$A,M3447,'Barang Keluar'!$C:$C,N3447))</f>
        <v>0</v>
      </c>
    </row>
    <row r="3448" spans="13:16">
      <c r="M3448" s="49">
        <f>IF($A$4+34&gt;$B$4,"",$A$4+34)</f>
        <v>46057</v>
      </c>
      <c r="N3448">
        <f>IF(M3448="","",'Master Barang'!A42)</f>
        <v>0</v>
      </c>
      <c r="O3448">
        <f>IF(N3448="","",'Master Barang'!B42)</f>
        <v>0</v>
      </c>
      <c r="P3448">
        <f>IF(OR(M3448="",N3448=""),"",SUMIFS('Barang Keluar'!$E:$E,'Barang Keluar'!$A:$A,M3448,'Barang Keluar'!$C:$C,N3448))</f>
        <v>0</v>
      </c>
    </row>
    <row r="3449" spans="13:16">
      <c r="M3449" s="49">
        <f>IF($A$4+34&gt;$B$4,"",$A$4+34)</f>
        <v>46057</v>
      </c>
      <c r="N3449">
        <f>IF(M3449="","",'Master Barang'!A43)</f>
        <v>0</v>
      </c>
      <c r="O3449">
        <f>IF(N3449="","",'Master Barang'!B43)</f>
        <v>0</v>
      </c>
      <c r="P3449">
        <f>IF(OR(M3449="",N3449=""),"",SUMIFS('Barang Keluar'!$E:$E,'Barang Keluar'!$A:$A,M3449,'Barang Keluar'!$C:$C,N3449))</f>
        <v>0</v>
      </c>
    </row>
    <row r="3450" spans="13:16">
      <c r="M3450" s="49">
        <f>IF($A$4+34&gt;$B$4,"",$A$4+34)</f>
        <v>46057</v>
      </c>
      <c r="N3450">
        <f>IF(M3450="","",'Master Barang'!A44)</f>
        <v>0</v>
      </c>
      <c r="O3450">
        <f>IF(N3450="","",'Master Barang'!B44)</f>
        <v>0</v>
      </c>
      <c r="P3450">
        <f>IF(OR(M3450="",N3450=""),"",SUMIFS('Barang Keluar'!$E:$E,'Barang Keluar'!$A:$A,M3450,'Barang Keluar'!$C:$C,N3450))</f>
        <v>0</v>
      </c>
    </row>
    <row r="3451" spans="13:16">
      <c r="M3451" s="49">
        <f>IF($A$4+34&gt;$B$4,"",$A$4+34)</f>
        <v>46057</v>
      </c>
      <c r="N3451">
        <f>IF(M3451="","",'Master Barang'!A45)</f>
        <v>0</v>
      </c>
      <c r="O3451">
        <f>IF(N3451="","",'Master Barang'!B45)</f>
        <v>0</v>
      </c>
      <c r="P3451">
        <f>IF(OR(M3451="",N3451=""),"",SUMIFS('Barang Keluar'!$E:$E,'Barang Keluar'!$A:$A,M3451,'Barang Keluar'!$C:$C,N3451))</f>
        <v>0</v>
      </c>
    </row>
    <row r="3452" spans="13:16">
      <c r="M3452" s="49">
        <f>IF($A$4+34&gt;$B$4,"",$A$4+34)</f>
        <v>46057</v>
      </c>
      <c r="N3452">
        <f>IF(M3452="","",'Master Barang'!A46)</f>
        <v>0</v>
      </c>
      <c r="O3452">
        <f>IF(N3452="","",'Master Barang'!B46)</f>
        <v>0</v>
      </c>
      <c r="P3452">
        <f>IF(OR(M3452="",N3452=""),"",SUMIFS('Barang Keluar'!$E:$E,'Barang Keluar'!$A:$A,M3452,'Barang Keluar'!$C:$C,N3452))</f>
        <v>0</v>
      </c>
    </row>
    <row r="3453" spans="13:16">
      <c r="M3453" s="49">
        <f>IF($A$4+34&gt;$B$4,"",$A$4+34)</f>
        <v>46057</v>
      </c>
      <c r="N3453">
        <f>IF(M3453="","",'Master Barang'!A47)</f>
        <v>0</v>
      </c>
      <c r="O3453">
        <f>IF(N3453="","",'Master Barang'!B47)</f>
        <v>0</v>
      </c>
      <c r="P3453">
        <f>IF(OR(M3453="",N3453=""),"",SUMIFS('Barang Keluar'!$E:$E,'Barang Keluar'!$A:$A,M3453,'Barang Keluar'!$C:$C,N3453))</f>
        <v>0</v>
      </c>
    </row>
    <row r="3454" spans="13:16">
      <c r="M3454" s="49">
        <f>IF($A$4+34&gt;$B$4,"",$A$4+34)</f>
        <v>46057</v>
      </c>
      <c r="N3454">
        <f>IF(M3454="","",'Master Barang'!A48)</f>
        <v>0</v>
      </c>
      <c r="O3454">
        <f>IF(N3454="","",'Master Barang'!B48)</f>
        <v>0</v>
      </c>
      <c r="P3454">
        <f>IF(OR(M3454="",N3454=""),"",SUMIFS('Barang Keluar'!$E:$E,'Barang Keluar'!$A:$A,M3454,'Barang Keluar'!$C:$C,N3454))</f>
        <v>0</v>
      </c>
    </row>
    <row r="3455" spans="13:16">
      <c r="M3455" s="49">
        <f>IF($A$4+34&gt;$B$4,"",$A$4+34)</f>
        <v>46057</v>
      </c>
      <c r="N3455">
        <f>IF(M3455="","",'Master Barang'!A49)</f>
        <v>0</v>
      </c>
      <c r="O3455">
        <f>IF(N3455="","",'Master Barang'!B49)</f>
        <v>0</v>
      </c>
      <c r="P3455">
        <f>IF(OR(M3455="",N3455=""),"",SUMIFS('Barang Keluar'!$E:$E,'Barang Keluar'!$A:$A,M3455,'Barang Keluar'!$C:$C,N3455))</f>
        <v>0</v>
      </c>
    </row>
    <row r="3456" spans="13:16">
      <c r="M3456" s="49">
        <f>IF($A$4+34&gt;$B$4,"",$A$4+34)</f>
        <v>46057</v>
      </c>
      <c r="N3456">
        <f>IF(M3456="","",'Master Barang'!A50)</f>
        <v>0</v>
      </c>
      <c r="O3456">
        <f>IF(N3456="","",'Master Barang'!B50)</f>
        <v>0</v>
      </c>
      <c r="P3456">
        <f>IF(OR(M3456="",N3456=""),"",SUMIFS('Barang Keluar'!$E:$E,'Barang Keluar'!$A:$A,M3456,'Barang Keluar'!$C:$C,N3456))</f>
        <v>0</v>
      </c>
    </row>
    <row r="3457" spans="13:16">
      <c r="M3457" s="49">
        <f>IF($A$4+34&gt;$B$4,"",$A$4+34)</f>
        <v>46057</v>
      </c>
      <c r="N3457">
        <f>IF(M3457="","",'Master Barang'!A51)</f>
        <v>0</v>
      </c>
      <c r="O3457">
        <f>IF(N3457="","",'Master Barang'!B51)</f>
        <v>0</v>
      </c>
      <c r="P3457">
        <f>IF(OR(M3457="",N3457=""),"",SUMIFS('Barang Keluar'!$E:$E,'Barang Keluar'!$A:$A,M3457,'Barang Keluar'!$C:$C,N3457))</f>
        <v>0</v>
      </c>
    </row>
    <row r="3458" spans="13:16">
      <c r="M3458" s="49">
        <f>IF($A$4+34&gt;$B$4,"",$A$4+34)</f>
        <v>46057</v>
      </c>
      <c r="N3458">
        <f>IF(M3458="","",'Master Barang'!A52)</f>
        <v>0</v>
      </c>
      <c r="O3458">
        <f>IF(N3458="","",'Master Barang'!B52)</f>
        <v>0</v>
      </c>
      <c r="P3458">
        <f>IF(OR(M3458="",N3458=""),"",SUMIFS('Barang Keluar'!$E:$E,'Barang Keluar'!$A:$A,M3458,'Barang Keluar'!$C:$C,N3458))</f>
        <v>0</v>
      </c>
    </row>
    <row r="3459" spans="13:16">
      <c r="M3459" s="49">
        <f>IF($A$4+34&gt;$B$4,"",$A$4+34)</f>
        <v>46057</v>
      </c>
      <c r="N3459">
        <f>IF(M3459="","",'Master Barang'!A53)</f>
        <v>0</v>
      </c>
      <c r="O3459">
        <f>IF(N3459="","",'Master Barang'!B53)</f>
        <v>0</v>
      </c>
      <c r="P3459">
        <f>IF(OR(M3459="",N3459=""),"",SUMIFS('Barang Keluar'!$E:$E,'Barang Keluar'!$A:$A,M3459,'Barang Keluar'!$C:$C,N3459))</f>
        <v>0</v>
      </c>
    </row>
    <row r="3460" spans="13:16">
      <c r="M3460" s="49">
        <f>IF($A$4+34&gt;$B$4,"",$A$4+34)</f>
        <v>46057</v>
      </c>
      <c r="N3460">
        <f>IF(M3460="","",'Master Barang'!A54)</f>
        <v>0</v>
      </c>
      <c r="O3460">
        <f>IF(N3460="","",'Master Barang'!B54)</f>
        <v>0</v>
      </c>
      <c r="P3460">
        <f>IF(OR(M3460="",N3460=""),"",SUMIFS('Barang Keluar'!$E:$E,'Barang Keluar'!$A:$A,M3460,'Barang Keluar'!$C:$C,N3460))</f>
        <v>0</v>
      </c>
    </row>
    <row r="3461" spans="13:16">
      <c r="M3461" s="49">
        <f>IF($A$4+34&gt;$B$4,"",$A$4+34)</f>
        <v>46057</v>
      </c>
      <c r="N3461">
        <f>IF(M3461="","",'Master Barang'!A55)</f>
        <v>0</v>
      </c>
      <c r="O3461">
        <f>IF(N3461="","",'Master Barang'!B55)</f>
        <v>0</v>
      </c>
      <c r="P3461">
        <f>IF(OR(M3461="",N3461=""),"",SUMIFS('Barang Keluar'!$E:$E,'Barang Keluar'!$A:$A,M3461,'Barang Keluar'!$C:$C,N3461))</f>
        <v>0</v>
      </c>
    </row>
    <row r="3462" spans="13:16">
      <c r="M3462" s="49">
        <f>IF($A$4+34&gt;$B$4,"",$A$4+34)</f>
        <v>46057</v>
      </c>
      <c r="N3462">
        <f>IF(M3462="","",'Master Barang'!A56)</f>
        <v>0</v>
      </c>
      <c r="O3462">
        <f>IF(N3462="","",'Master Barang'!B56)</f>
        <v>0</v>
      </c>
      <c r="P3462">
        <f>IF(OR(M3462="",N3462=""),"",SUMIFS('Barang Keluar'!$E:$E,'Barang Keluar'!$A:$A,M3462,'Barang Keluar'!$C:$C,N3462))</f>
        <v>0</v>
      </c>
    </row>
    <row r="3463" spans="13:16">
      <c r="M3463" s="49">
        <f>IF($A$4+34&gt;$B$4,"",$A$4+34)</f>
        <v>46057</v>
      </c>
      <c r="N3463">
        <f>IF(M3463="","",'Master Barang'!A57)</f>
        <v>0</v>
      </c>
      <c r="O3463">
        <f>IF(N3463="","",'Master Barang'!B57)</f>
        <v>0</v>
      </c>
      <c r="P3463">
        <f>IF(OR(M3463="",N3463=""),"",SUMIFS('Barang Keluar'!$E:$E,'Barang Keluar'!$A:$A,M3463,'Barang Keluar'!$C:$C,N3463))</f>
        <v>0</v>
      </c>
    </row>
    <row r="3464" spans="13:16">
      <c r="M3464" s="49">
        <f>IF($A$4+34&gt;$B$4,"",$A$4+34)</f>
        <v>46057</v>
      </c>
      <c r="N3464">
        <f>IF(M3464="","",'Master Barang'!A58)</f>
        <v>0</v>
      </c>
      <c r="O3464">
        <f>IF(N3464="","",'Master Barang'!B58)</f>
        <v>0</v>
      </c>
      <c r="P3464">
        <f>IF(OR(M3464="",N3464=""),"",SUMIFS('Barang Keluar'!$E:$E,'Barang Keluar'!$A:$A,M3464,'Barang Keluar'!$C:$C,N3464))</f>
        <v>0</v>
      </c>
    </row>
    <row r="3465" spans="13:16">
      <c r="M3465" s="49">
        <f>IF($A$4+34&gt;$B$4,"",$A$4+34)</f>
        <v>46057</v>
      </c>
      <c r="N3465">
        <f>IF(M3465="","",'Master Barang'!A59)</f>
        <v>0</v>
      </c>
      <c r="O3465">
        <f>IF(N3465="","",'Master Barang'!B59)</f>
        <v>0</v>
      </c>
      <c r="P3465">
        <f>IF(OR(M3465="",N3465=""),"",SUMIFS('Barang Keluar'!$E:$E,'Barang Keluar'!$A:$A,M3465,'Barang Keluar'!$C:$C,N3465))</f>
        <v>0</v>
      </c>
    </row>
    <row r="3466" spans="13:16">
      <c r="M3466" s="49">
        <f>IF($A$4+34&gt;$B$4,"",$A$4+34)</f>
        <v>46057</v>
      </c>
      <c r="N3466">
        <f>IF(M3466="","",'Master Barang'!A60)</f>
        <v>0</v>
      </c>
      <c r="O3466">
        <f>IF(N3466="","",'Master Barang'!B60)</f>
        <v>0</v>
      </c>
      <c r="P3466">
        <f>IF(OR(M3466="",N3466=""),"",SUMIFS('Barang Keluar'!$E:$E,'Barang Keluar'!$A:$A,M3466,'Barang Keluar'!$C:$C,N3466))</f>
        <v>0</v>
      </c>
    </row>
    <row r="3467" spans="13:16">
      <c r="M3467" s="49">
        <f>IF($A$4+34&gt;$B$4,"",$A$4+34)</f>
        <v>46057</v>
      </c>
      <c r="N3467">
        <f>IF(M3467="","",'Master Barang'!A61)</f>
        <v>0</v>
      </c>
      <c r="O3467">
        <f>IF(N3467="","",'Master Barang'!B61)</f>
        <v>0</v>
      </c>
      <c r="P3467">
        <f>IF(OR(M3467="",N3467=""),"",SUMIFS('Barang Keluar'!$E:$E,'Barang Keluar'!$A:$A,M3467,'Barang Keluar'!$C:$C,N3467))</f>
        <v>0</v>
      </c>
    </row>
    <row r="3468" spans="13:16">
      <c r="M3468" s="49">
        <f>IF($A$4+34&gt;$B$4,"",$A$4+34)</f>
        <v>46057</v>
      </c>
      <c r="N3468">
        <f>IF(M3468="","",'Master Barang'!A62)</f>
        <v>0</v>
      </c>
      <c r="O3468">
        <f>IF(N3468="","",'Master Barang'!B62)</f>
        <v>0</v>
      </c>
      <c r="P3468">
        <f>IF(OR(M3468="",N3468=""),"",SUMIFS('Barang Keluar'!$E:$E,'Barang Keluar'!$A:$A,M3468,'Barang Keluar'!$C:$C,N3468))</f>
        <v>0</v>
      </c>
    </row>
    <row r="3469" spans="13:16">
      <c r="M3469" s="49">
        <f>IF($A$4+34&gt;$B$4,"",$A$4+34)</f>
        <v>46057</v>
      </c>
      <c r="N3469">
        <f>IF(M3469="","",'Master Barang'!A63)</f>
        <v>0</v>
      </c>
      <c r="O3469">
        <f>IF(N3469="","",'Master Barang'!B63)</f>
        <v>0</v>
      </c>
      <c r="P3469">
        <f>IF(OR(M3469="",N3469=""),"",SUMIFS('Barang Keluar'!$E:$E,'Barang Keluar'!$A:$A,M3469,'Barang Keluar'!$C:$C,N3469))</f>
        <v>0</v>
      </c>
    </row>
    <row r="3470" spans="13:16">
      <c r="M3470" s="49">
        <f>IF($A$4+34&gt;$B$4,"",$A$4+34)</f>
        <v>46057</v>
      </c>
      <c r="N3470">
        <f>IF(M3470="","",'Master Barang'!A64)</f>
        <v>0</v>
      </c>
      <c r="O3470">
        <f>IF(N3470="","",'Master Barang'!B64)</f>
        <v>0</v>
      </c>
      <c r="P3470">
        <f>IF(OR(M3470="",N3470=""),"",SUMIFS('Barang Keluar'!$E:$E,'Barang Keluar'!$A:$A,M3470,'Barang Keluar'!$C:$C,N3470))</f>
        <v>0</v>
      </c>
    </row>
    <row r="3471" spans="13:16">
      <c r="M3471" s="49">
        <f>IF($A$4+34&gt;$B$4,"",$A$4+34)</f>
        <v>46057</v>
      </c>
      <c r="N3471">
        <f>IF(M3471="","",'Master Barang'!A65)</f>
        <v>0</v>
      </c>
      <c r="O3471">
        <f>IF(N3471="","",'Master Barang'!B65)</f>
        <v>0</v>
      </c>
      <c r="P3471">
        <f>IF(OR(M3471="",N3471=""),"",SUMIFS('Barang Keluar'!$E:$E,'Barang Keluar'!$A:$A,M3471,'Barang Keluar'!$C:$C,N3471))</f>
        <v>0</v>
      </c>
    </row>
    <row r="3472" spans="13:16">
      <c r="M3472" s="49">
        <f>IF($A$4+34&gt;$B$4,"",$A$4+34)</f>
        <v>46057</v>
      </c>
      <c r="N3472">
        <f>IF(M3472="","",'Master Barang'!A66)</f>
        <v>0</v>
      </c>
      <c r="O3472">
        <f>IF(N3472="","",'Master Barang'!B66)</f>
        <v>0</v>
      </c>
      <c r="P3472">
        <f>IF(OR(M3472="",N3472=""),"",SUMIFS('Barang Keluar'!$E:$E,'Barang Keluar'!$A:$A,M3472,'Barang Keluar'!$C:$C,N3472))</f>
        <v>0</v>
      </c>
    </row>
    <row r="3473" spans="13:16">
      <c r="M3473" s="49">
        <f>IF($A$4+34&gt;$B$4,"",$A$4+34)</f>
        <v>46057</v>
      </c>
      <c r="N3473">
        <f>IF(M3473="","",'Master Barang'!A67)</f>
        <v>0</v>
      </c>
      <c r="O3473">
        <f>IF(N3473="","",'Master Barang'!B67)</f>
        <v>0</v>
      </c>
      <c r="P3473">
        <f>IF(OR(M3473="",N3473=""),"",SUMIFS('Barang Keluar'!$E:$E,'Barang Keluar'!$A:$A,M3473,'Barang Keluar'!$C:$C,N3473))</f>
        <v>0</v>
      </c>
    </row>
    <row r="3474" spans="13:16">
      <c r="M3474" s="49">
        <f>IF($A$4+34&gt;$B$4,"",$A$4+34)</f>
        <v>46057</v>
      </c>
      <c r="N3474">
        <f>IF(M3474="","",'Master Barang'!A68)</f>
        <v>0</v>
      </c>
      <c r="O3474">
        <f>IF(N3474="","",'Master Barang'!B68)</f>
        <v>0</v>
      </c>
      <c r="P3474">
        <f>IF(OR(M3474="",N3474=""),"",SUMIFS('Barang Keluar'!$E:$E,'Barang Keluar'!$A:$A,M3474,'Barang Keluar'!$C:$C,N3474))</f>
        <v>0</v>
      </c>
    </row>
    <row r="3475" spans="13:16">
      <c r="M3475" s="49">
        <f>IF($A$4+34&gt;$B$4,"",$A$4+34)</f>
        <v>46057</v>
      </c>
      <c r="N3475">
        <f>IF(M3475="","",'Master Barang'!A69)</f>
        <v>0</v>
      </c>
      <c r="O3475">
        <f>IF(N3475="","",'Master Barang'!B69)</f>
        <v>0</v>
      </c>
      <c r="P3475">
        <f>IF(OR(M3475="",N3475=""),"",SUMIFS('Barang Keluar'!$E:$E,'Barang Keluar'!$A:$A,M3475,'Barang Keluar'!$C:$C,N3475))</f>
        <v>0</v>
      </c>
    </row>
    <row r="3476" spans="13:16">
      <c r="M3476" s="49">
        <f>IF($A$4+34&gt;$B$4,"",$A$4+34)</f>
        <v>46057</v>
      </c>
      <c r="N3476">
        <f>IF(M3476="","",'Master Barang'!A70)</f>
        <v>0</v>
      </c>
      <c r="O3476">
        <f>IF(N3476="","",'Master Barang'!B70)</f>
        <v>0</v>
      </c>
      <c r="P3476">
        <f>IF(OR(M3476="",N3476=""),"",SUMIFS('Barang Keluar'!$E:$E,'Barang Keluar'!$A:$A,M3476,'Barang Keluar'!$C:$C,N3476))</f>
        <v>0</v>
      </c>
    </row>
    <row r="3477" spans="13:16">
      <c r="M3477" s="49">
        <f>IF($A$4+34&gt;$B$4,"",$A$4+34)</f>
        <v>46057</v>
      </c>
      <c r="N3477">
        <f>IF(M3477="","",'Master Barang'!A71)</f>
        <v>0</v>
      </c>
      <c r="O3477">
        <f>IF(N3477="","",'Master Barang'!B71)</f>
        <v>0</v>
      </c>
      <c r="P3477">
        <f>IF(OR(M3477="",N3477=""),"",SUMIFS('Barang Keluar'!$E:$E,'Barang Keluar'!$A:$A,M3477,'Barang Keluar'!$C:$C,N3477))</f>
        <v>0</v>
      </c>
    </row>
    <row r="3478" spans="13:16">
      <c r="M3478" s="49">
        <f>IF($A$4+34&gt;$B$4,"",$A$4+34)</f>
        <v>46057</v>
      </c>
      <c r="N3478">
        <f>IF(M3478="","",'Master Barang'!A72)</f>
        <v>0</v>
      </c>
      <c r="O3478">
        <f>IF(N3478="","",'Master Barang'!B72)</f>
        <v>0</v>
      </c>
      <c r="P3478">
        <f>IF(OR(M3478="",N3478=""),"",SUMIFS('Barang Keluar'!$E:$E,'Barang Keluar'!$A:$A,M3478,'Barang Keluar'!$C:$C,N3478))</f>
        <v>0</v>
      </c>
    </row>
    <row r="3479" spans="13:16">
      <c r="M3479" s="49">
        <f>IF($A$4+34&gt;$B$4,"",$A$4+34)</f>
        <v>46057</v>
      </c>
      <c r="N3479">
        <f>IF(M3479="","",'Master Barang'!A73)</f>
        <v>0</v>
      </c>
      <c r="O3479">
        <f>IF(N3479="","",'Master Barang'!B73)</f>
        <v>0</v>
      </c>
      <c r="P3479">
        <f>IF(OR(M3479="",N3479=""),"",SUMIFS('Barang Keluar'!$E:$E,'Barang Keluar'!$A:$A,M3479,'Barang Keluar'!$C:$C,N3479))</f>
        <v>0</v>
      </c>
    </row>
    <row r="3480" spans="13:16">
      <c r="M3480" s="49">
        <f>IF($A$4+34&gt;$B$4,"",$A$4+34)</f>
        <v>46057</v>
      </c>
      <c r="N3480">
        <f>IF(M3480="","",'Master Barang'!A74)</f>
        <v>0</v>
      </c>
      <c r="O3480">
        <f>IF(N3480="","",'Master Barang'!B74)</f>
        <v>0</v>
      </c>
      <c r="P3480">
        <f>IF(OR(M3480="",N3480=""),"",SUMIFS('Barang Keluar'!$E:$E,'Barang Keluar'!$A:$A,M3480,'Barang Keluar'!$C:$C,N3480))</f>
        <v>0</v>
      </c>
    </row>
    <row r="3481" spans="13:16">
      <c r="M3481" s="49">
        <f>IF($A$4+34&gt;$B$4,"",$A$4+34)</f>
        <v>46057</v>
      </c>
      <c r="N3481">
        <f>IF(M3481="","",'Master Barang'!A75)</f>
        <v>0</v>
      </c>
      <c r="O3481">
        <f>IF(N3481="","",'Master Barang'!B75)</f>
        <v>0</v>
      </c>
      <c r="P3481">
        <f>IF(OR(M3481="",N3481=""),"",SUMIFS('Barang Keluar'!$E:$E,'Barang Keluar'!$A:$A,M3481,'Barang Keluar'!$C:$C,N3481))</f>
        <v>0</v>
      </c>
    </row>
    <row r="3482" spans="13:16">
      <c r="M3482" s="49">
        <f>IF($A$4+34&gt;$B$4,"",$A$4+34)</f>
        <v>46057</v>
      </c>
      <c r="N3482">
        <f>IF(M3482="","",'Master Barang'!A76)</f>
        <v>0</v>
      </c>
      <c r="O3482">
        <f>IF(N3482="","",'Master Barang'!B76)</f>
        <v>0</v>
      </c>
      <c r="P3482">
        <f>IF(OR(M3482="",N3482=""),"",SUMIFS('Barang Keluar'!$E:$E,'Barang Keluar'!$A:$A,M3482,'Barang Keluar'!$C:$C,N3482))</f>
        <v>0</v>
      </c>
    </row>
    <row r="3483" spans="13:16">
      <c r="M3483" s="49">
        <f>IF($A$4+34&gt;$B$4,"",$A$4+34)</f>
        <v>46057</v>
      </c>
      <c r="N3483">
        <f>IF(M3483="","",'Master Barang'!A77)</f>
        <v>0</v>
      </c>
      <c r="O3483">
        <f>IF(N3483="","",'Master Barang'!B77)</f>
        <v>0</v>
      </c>
      <c r="P3483">
        <f>IF(OR(M3483="",N3483=""),"",SUMIFS('Barang Keluar'!$E:$E,'Barang Keluar'!$A:$A,M3483,'Barang Keluar'!$C:$C,N3483))</f>
        <v>0</v>
      </c>
    </row>
    <row r="3484" spans="13:16">
      <c r="M3484" s="49">
        <f>IF($A$4+34&gt;$B$4,"",$A$4+34)</f>
        <v>46057</v>
      </c>
      <c r="N3484">
        <f>IF(M3484="","",'Master Barang'!A78)</f>
        <v>0</v>
      </c>
      <c r="O3484">
        <f>IF(N3484="","",'Master Barang'!B78)</f>
        <v>0</v>
      </c>
      <c r="P3484">
        <f>IF(OR(M3484="",N3484=""),"",SUMIFS('Barang Keluar'!$E:$E,'Barang Keluar'!$A:$A,M3484,'Barang Keluar'!$C:$C,N3484))</f>
        <v>0</v>
      </c>
    </row>
    <row r="3485" spans="13:16">
      <c r="M3485" s="49">
        <f>IF($A$4+34&gt;$B$4,"",$A$4+34)</f>
        <v>46057</v>
      </c>
      <c r="N3485">
        <f>IF(M3485="","",'Master Barang'!A79)</f>
        <v>0</v>
      </c>
      <c r="O3485">
        <f>IF(N3485="","",'Master Barang'!B79)</f>
        <v>0</v>
      </c>
      <c r="P3485">
        <f>IF(OR(M3485="",N3485=""),"",SUMIFS('Barang Keluar'!$E:$E,'Barang Keluar'!$A:$A,M3485,'Barang Keluar'!$C:$C,N3485))</f>
        <v>0</v>
      </c>
    </row>
    <row r="3486" spans="13:16">
      <c r="M3486" s="49">
        <f>IF($A$4+34&gt;$B$4,"",$A$4+34)</f>
        <v>46057</v>
      </c>
      <c r="N3486">
        <f>IF(M3486="","",'Master Barang'!A80)</f>
        <v>0</v>
      </c>
      <c r="O3486">
        <f>IF(N3486="","",'Master Barang'!B80)</f>
        <v>0</v>
      </c>
      <c r="P3486">
        <f>IF(OR(M3486="",N3486=""),"",SUMIFS('Barang Keluar'!$E:$E,'Barang Keluar'!$A:$A,M3486,'Barang Keluar'!$C:$C,N3486))</f>
        <v>0</v>
      </c>
    </row>
    <row r="3487" spans="13:16">
      <c r="M3487" s="49">
        <f>IF($A$4+34&gt;$B$4,"",$A$4+34)</f>
        <v>46057</v>
      </c>
      <c r="N3487">
        <f>IF(M3487="","",'Master Barang'!A81)</f>
        <v>0</v>
      </c>
      <c r="O3487">
        <f>IF(N3487="","",'Master Barang'!B81)</f>
        <v>0</v>
      </c>
      <c r="P3487">
        <f>IF(OR(M3487="",N3487=""),"",SUMIFS('Barang Keluar'!$E:$E,'Barang Keluar'!$A:$A,M3487,'Barang Keluar'!$C:$C,N3487))</f>
        <v>0</v>
      </c>
    </row>
    <row r="3488" spans="13:16">
      <c r="M3488" s="49">
        <f>IF($A$4+34&gt;$B$4,"",$A$4+34)</f>
        <v>46057</v>
      </c>
      <c r="N3488">
        <f>IF(M3488="","",'Master Barang'!A82)</f>
        <v>0</v>
      </c>
      <c r="O3488">
        <f>IF(N3488="","",'Master Barang'!B82)</f>
        <v>0</v>
      </c>
      <c r="P3488">
        <f>IF(OR(M3488="",N3488=""),"",SUMIFS('Barang Keluar'!$E:$E,'Barang Keluar'!$A:$A,M3488,'Barang Keluar'!$C:$C,N3488))</f>
        <v>0</v>
      </c>
    </row>
    <row r="3489" spans="13:16">
      <c r="M3489" s="49">
        <f>IF($A$4+34&gt;$B$4,"",$A$4+34)</f>
        <v>46057</v>
      </c>
      <c r="N3489">
        <f>IF(M3489="","",'Master Barang'!A83)</f>
        <v>0</v>
      </c>
      <c r="O3489">
        <f>IF(N3489="","",'Master Barang'!B83)</f>
        <v>0</v>
      </c>
      <c r="P3489">
        <f>IF(OR(M3489="",N3489=""),"",SUMIFS('Barang Keluar'!$E:$E,'Barang Keluar'!$A:$A,M3489,'Barang Keluar'!$C:$C,N3489))</f>
        <v>0</v>
      </c>
    </row>
    <row r="3490" spans="13:16">
      <c r="M3490" s="49">
        <f>IF($A$4+34&gt;$B$4,"",$A$4+34)</f>
        <v>46057</v>
      </c>
      <c r="N3490">
        <f>IF(M3490="","",'Master Barang'!A84)</f>
        <v>0</v>
      </c>
      <c r="O3490">
        <f>IF(N3490="","",'Master Barang'!B84)</f>
        <v>0</v>
      </c>
      <c r="P3490">
        <f>IF(OR(M3490="",N3490=""),"",SUMIFS('Barang Keluar'!$E:$E,'Barang Keluar'!$A:$A,M3490,'Barang Keluar'!$C:$C,N3490))</f>
        <v>0</v>
      </c>
    </row>
    <row r="3491" spans="13:16">
      <c r="M3491" s="49">
        <f>IF($A$4+34&gt;$B$4,"",$A$4+34)</f>
        <v>46057</v>
      </c>
      <c r="N3491">
        <f>IF(M3491="","",'Master Barang'!A85)</f>
        <v>0</v>
      </c>
      <c r="O3491">
        <f>IF(N3491="","",'Master Barang'!B85)</f>
        <v>0</v>
      </c>
      <c r="P3491">
        <f>IF(OR(M3491="",N3491=""),"",SUMIFS('Barang Keluar'!$E:$E,'Barang Keluar'!$A:$A,M3491,'Barang Keluar'!$C:$C,N3491))</f>
        <v>0</v>
      </c>
    </row>
    <row r="3492" spans="13:16">
      <c r="M3492" s="49">
        <f>IF($A$4+34&gt;$B$4,"",$A$4+34)</f>
        <v>46057</v>
      </c>
      <c r="N3492">
        <f>IF(M3492="","",'Master Barang'!A86)</f>
        <v>0</v>
      </c>
      <c r="O3492">
        <f>IF(N3492="","",'Master Barang'!B86)</f>
        <v>0</v>
      </c>
      <c r="P3492">
        <f>IF(OR(M3492="",N3492=""),"",SUMIFS('Barang Keluar'!$E:$E,'Barang Keluar'!$A:$A,M3492,'Barang Keluar'!$C:$C,N3492))</f>
        <v>0</v>
      </c>
    </row>
    <row r="3493" spans="13:16">
      <c r="M3493" s="49">
        <f>IF($A$4+34&gt;$B$4,"",$A$4+34)</f>
        <v>46057</v>
      </c>
      <c r="N3493">
        <f>IF(M3493="","",'Master Barang'!A87)</f>
        <v>0</v>
      </c>
      <c r="O3493">
        <f>IF(N3493="","",'Master Barang'!B87)</f>
        <v>0</v>
      </c>
      <c r="P3493">
        <f>IF(OR(M3493="",N3493=""),"",SUMIFS('Barang Keluar'!$E:$E,'Barang Keluar'!$A:$A,M3493,'Barang Keluar'!$C:$C,N3493))</f>
        <v>0</v>
      </c>
    </row>
    <row r="3494" spans="13:16">
      <c r="M3494" s="49">
        <f>IF($A$4+34&gt;$B$4,"",$A$4+34)</f>
        <v>46057</v>
      </c>
      <c r="N3494">
        <f>IF(M3494="","",'Master Barang'!A88)</f>
        <v>0</v>
      </c>
      <c r="O3494">
        <f>IF(N3494="","",'Master Barang'!B88)</f>
        <v>0</v>
      </c>
      <c r="P3494">
        <f>IF(OR(M3494="",N3494=""),"",SUMIFS('Barang Keluar'!$E:$E,'Barang Keluar'!$A:$A,M3494,'Barang Keluar'!$C:$C,N3494))</f>
        <v>0</v>
      </c>
    </row>
    <row r="3495" spans="13:16">
      <c r="M3495" s="49">
        <f>IF($A$4+34&gt;$B$4,"",$A$4+34)</f>
        <v>46057</v>
      </c>
      <c r="N3495">
        <f>IF(M3495="","",'Master Barang'!A89)</f>
        <v>0</v>
      </c>
      <c r="O3495">
        <f>IF(N3495="","",'Master Barang'!B89)</f>
        <v>0</v>
      </c>
      <c r="P3495">
        <f>IF(OR(M3495="",N3495=""),"",SUMIFS('Barang Keluar'!$E:$E,'Barang Keluar'!$A:$A,M3495,'Barang Keluar'!$C:$C,N3495))</f>
        <v>0</v>
      </c>
    </row>
    <row r="3496" spans="13:16">
      <c r="M3496" s="49">
        <f>IF($A$4+34&gt;$B$4,"",$A$4+34)</f>
        <v>46057</v>
      </c>
      <c r="N3496">
        <f>IF(M3496="","",'Master Barang'!A90)</f>
        <v>0</v>
      </c>
      <c r="O3496">
        <f>IF(N3496="","",'Master Barang'!B90)</f>
        <v>0</v>
      </c>
      <c r="P3496">
        <f>IF(OR(M3496="",N3496=""),"",SUMIFS('Barang Keluar'!$E:$E,'Barang Keluar'!$A:$A,M3496,'Barang Keluar'!$C:$C,N3496))</f>
        <v>0</v>
      </c>
    </row>
    <row r="3497" spans="13:16">
      <c r="M3497" s="49">
        <f>IF($A$4+34&gt;$B$4,"",$A$4+34)</f>
        <v>46057</v>
      </c>
      <c r="N3497">
        <f>IF(M3497="","",'Master Barang'!A91)</f>
        <v>0</v>
      </c>
      <c r="O3497">
        <f>IF(N3497="","",'Master Barang'!B91)</f>
        <v>0</v>
      </c>
      <c r="P3497">
        <f>IF(OR(M3497="",N3497=""),"",SUMIFS('Barang Keluar'!$E:$E,'Barang Keluar'!$A:$A,M3497,'Barang Keluar'!$C:$C,N3497))</f>
        <v>0</v>
      </c>
    </row>
    <row r="3498" spans="13:16">
      <c r="M3498" s="49">
        <f>IF($A$4+34&gt;$B$4,"",$A$4+34)</f>
        <v>46057</v>
      </c>
      <c r="N3498">
        <f>IF(M3498="","",'Master Barang'!A92)</f>
        <v>0</v>
      </c>
      <c r="O3498">
        <f>IF(N3498="","",'Master Barang'!B92)</f>
        <v>0</v>
      </c>
      <c r="P3498">
        <f>IF(OR(M3498="",N3498=""),"",SUMIFS('Barang Keluar'!$E:$E,'Barang Keluar'!$A:$A,M3498,'Barang Keluar'!$C:$C,N3498))</f>
        <v>0</v>
      </c>
    </row>
    <row r="3499" spans="13:16">
      <c r="M3499" s="49">
        <f>IF($A$4+34&gt;$B$4,"",$A$4+34)</f>
        <v>46057</v>
      </c>
      <c r="N3499">
        <f>IF(M3499="","",'Master Barang'!A93)</f>
        <v>0</v>
      </c>
      <c r="O3499">
        <f>IF(N3499="","",'Master Barang'!B93)</f>
        <v>0</v>
      </c>
      <c r="P3499">
        <f>IF(OR(M3499="",N3499=""),"",SUMIFS('Barang Keluar'!$E:$E,'Barang Keluar'!$A:$A,M3499,'Barang Keluar'!$C:$C,N3499))</f>
        <v>0</v>
      </c>
    </row>
    <row r="3500" spans="13:16">
      <c r="M3500" s="49">
        <f>IF($A$4+34&gt;$B$4,"",$A$4+34)</f>
        <v>46057</v>
      </c>
      <c r="N3500">
        <f>IF(M3500="","",'Master Barang'!A94)</f>
        <v>0</v>
      </c>
      <c r="O3500">
        <f>IF(N3500="","",'Master Barang'!B94)</f>
        <v>0</v>
      </c>
      <c r="P3500">
        <f>IF(OR(M3500="",N3500=""),"",SUMIFS('Barang Keluar'!$E:$E,'Barang Keluar'!$A:$A,M3500,'Barang Keluar'!$C:$C,N3500))</f>
        <v>0</v>
      </c>
    </row>
    <row r="3501" spans="13:16">
      <c r="M3501" s="49">
        <f>IF($A$4+34&gt;$B$4,"",$A$4+34)</f>
        <v>46057</v>
      </c>
      <c r="N3501">
        <f>IF(M3501="","",'Master Barang'!A95)</f>
        <v>0</v>
      </c>
      <c r="O3501">
        <f>IF(N3501="","",'Master Barang'!B95)</f>
        <v>0</v>
      </c>
      <c r="P3501">
        <f>IF(OR(M3501="",N3501=""),"",SUMIFS('Barang Keluar'!$E:$E,'Barang Keluar'!$A:$A,M3501,'Barang Keluar'!$C:$C,N3501))</f>
        <v>0</v>
      </c>
    </row>
    <row r="3502" spans="13:16">
      <c r="M3502" s="49">
        <f>IF($A$4+34&gt;$B$4,"",$A$4+34)</f>
        <v>46057</v>
      </c>
      <c r="N3502">
        <f>IF(M3502="","",'Master Barang'!A96)</f>
        <v>0</v>
      </c>
      <c r="O3502">
        <f>IF(N3502="","",'Master Barang'!B96)</f>
        <v>0</v>
      </c>
      <c r="P3502">
        <f>IF(OR(M3502="",N3502=""),"",SUMIFS('Barang Keluar'!$E:$E,'Barang Keluar'!$A:$A,M3502,'Barang Keluar'!$C:$C,N3502))</f>
        <v>0</v>
      </c>
    </row>
    <row r="3503" spans="13:16">
      <c r="M3503" s="49">
        <f>IF($A$4+34&gt;$B$4,"",$A$4+34)</f>
        <v>46057</v>
      </c>
      <c r="N3503">
        <f>IF(M3503="","",'Master Barang'!A97)</f>
        <v>0</v>
      </c>
      <c r="O3503">
        <f>IF(N3503="","",'Master Barang'!B97)</f>
        <v>0</v>
      </c>
      <c r="P3503">
        <f>IF(OR(M3503="",N3503=""),"",SUMIFS('Barang Keluar'!$E:$E,'Barang Keluar'!$A:$A,M3503,'Barang Keluar'!$C:$C,N3503))</f>
        <v>0</v>
      </c>
    </row>
    <row r="3504" spans="13:16">
      <c r="M3504" s="49">
        <f>IF($A$4+34&gt;$B$4,"",$A$4+34)</f>
        <v>46057</v>
      </c>
      <c r="N3504">
        <f>IF(M3504="","",'Master Barang'!A98)</f>
        <v>0</v>
      </c>
      <c r="O3504">
        <f>IF(N3504="","",'Master Barang'!B98)</f>
        <v>0</v>
      </c>
      <c r="P3504">
        <f>IF(OR(M3504="",N3504=""),"",SUMIFS('Barang Keluar'!$E:$E,'Barang Keluar'!$A:$A,M3504,'Barang Keluar'!$C:$C,N3504))</f>
        <v>0</v>
      </c>
    </row>
    <row r="3505" spans="13:16">
      <c r="M3505" s="49">
        <f>IF($A$4+34&gt;$B$4,"",$A$4+34)</f>
        <v>46057</v>
      </c>
      <c r="N3505">
        <f>IF(M3505="","",'Master Barang'!A99)</f>
        <v>0</v>
      </c>
      <c r="O3505">
        <f>IF(N3505="","",'Master Barang'!B99)</f>
        <v>0</v>
      </c>
      <c r="P3505">
        <f>IF(OR(M3505="",N3505=""),"",SUMIFS('Barang Keluar'!$E:$E,'Barang Keluar'!$A:$A,M3505,'Barang Keluar'!$C:$C,N3505))</f>
        <v>0</v>
      </c>
    </row>
    <row r="3506" spans="13:16">
      <c r="M3506" s="49">
        <f>IF($A$4+34&gt;$B$4,"",$A$4+34)</f>
        <v>46057</v>
      </c>
      <c r="N3506">
        <f>IF(M3506="","",'Master Barang'!A100)</f>
        <v>0</v>
      </c>
      <c r="O3506">
        <f>IF(N3506="","",'Master Barang'!B100)</f>
        <v>0</v>
      </c>
      <c r="P3506">
        <f>IF(OR(M3506="",N3506=""),"",SUMIFS('Barang Keluar'!$E:$E,'Barang Keluar'!$A:$A,M3506,'Barang Keluar'!$C:$C,N3506))</f>
        <v>0</v>
      </c>
    </row>
    <row r="3507" spans="13:16">
      <c r="M3507" s="49">
        <f>IF($A$4+34&gt;$B$4,"",$A$4+34)</f>
        <v>46057</v>
      </c>
      <c r="N3507">
        <f>IF(M3507="","",'Master Barang'!A101)</f>
        <v>0</v>
      </c>
      <c r="O3507">
        <f>IF(N3507="","",'Master Barang'!B101)</f>
        <v>0</v>
      </c>
      <c r="P3507">
        <f>IF(OR(M3507="",N3507=""),"",SUMIFS('Barang Keluar'!$E:$E,'Barang Keluar'!$A:$A,M3507,'Barang Keluar'!$C:$C,N3507))</f>
        <v>0</v>
      </c>
    </row>
    <row r="3508" spans="13:16">
      <c r="M3508" s="49">
        <f>IF($A$4+35&gt;$B$4,"",$A$4+35)</f>
        <v>46058</v>
      </c>
      <c r="N3508" t="str">
        <f>IF(M3508="","",'Master Barang'!A2)</f>
        <v>PRL-001</v>
      </c>
      <c r="O3508" t="str">
        <f>IF(N3508="","",'Master Barang'!B2)</f>
        <v>natura desinfectant food grade 5l</v>
      </c>
      <c r="P3508">
        <f>IF(OR(M3508="",N3508=""),"",SUMIFS('Barang Keluar'!$E:$E,'Barang Keluar'!$A:$A,M3508,'Barang Keluar'!$C:$C,N3508))</f>
        <v>0</v>
      </c>
    </row>
    <row r="3509" spans="13:16">
      <c r="M3509" s="49">
        <f>IF($A$4+35&gt;$B$4,"",$A$4+35)</f>
        <v>46058</v>
      </c>
      <c r="N3509" t="str">
        <f>IF(M3509="","",'Master Barang'!A3)</f>
        <v>PRL-002</v>
      </c>
      <c r="O3509" t="str">
        <f>IF(N3509="","",'Master Barang'!B3)</f>
        <v>sunlight cairan pencuci piring 5l</v>
      </c>
      <c r="P3509">
        <f>IF(OR(M3509="",N3509=""),"",SUMIFS('Barang Keluar'!$E:$E,'Barang Keluar'!$A:$A,M3509,'Barang Keluar'!$C:$C,N3509))</f>
        <v>0</v>
      </c>
    </row>
    <row r="3510" spans="13:16">
      <c r="M3510" s="49">
        <f>IF($A$4+35&gt;$B$4,"",$A$4+35)</f>
        <v>46058</v>
      </c>
      <c r="N3510" t="str">
        <f>IF(M3510="","",'Master Barang'!A4)</f>
        <v>PRL-003</v>
      </c>
      <c r="O3510" t="str">
        <f>IF(N3510="","",'Master Barang'!B4)</f>
        <v>oixs cleaner 1l</v>
      </c>
      <c r="P3510">
        <f>IF(OR(M3510="",N3510=""),"",SUMIFS('Barang Keluar'!$E:$E,'Barang Keluar'!$A:$A,M3510,'Barang Keluar'!$C:$C,N3510))</f>
        <v>0</v>
      </c>
    </row>
    <row r="3511" spans="13:16">
      <c r="M3511" s="49">
        <f>IF($A$4+35&gt;$B$4,"",$A$4+35)</f>
        <v>46058</v>
      </c>
      <c r="N3511" t="str">
        <f>IF(M3511="","",'Master Barang'!A5)</f>
        <v>PRL-004</v>
      </c>
      <c r="O3511" t="str">
        <f>IF(N3511="","",'Master Barang'!B5)</f>
        <v>be clean tissue serbaguna</v>
      </c>
      <c r="P3511">
        <f>IF(OR(M3511="",N3511=""),"",SUMIFS('Barang Keluar'!$E:$E,'Barang Keluar'!$A:$A,M3511,'Barang Keluar'!$C:$C,N3511))</f>
        <v>0</v>
      </c>
    </row>
    <row r="3512" spans="13:16">
      <c r="M3512" s="49">
        <f>IF($A$4+35&gt;$B$4,"",$A$4+35)</f>
        <v>46058</v>
      </c>
      <c r="N3512" t="str">
        <f>IF(M3512="","",'Master Barang'!A6)</f>
        <v>PRL-005</v>
      </c>
      <c r="O3512" t="str">
        <f>IF(N3512="","",'Master Barang'!B6)</f>
        <v>spons cuci hijau</v>
      </c>
      <c r="P3512">
        <f>IF(OR(M3512="",N3512=""),"",SUMIFS('Barang Keluar'!$E:$E,'Barang Keluar'!$A:$A,M3512,'Barang Keluar'!$C:$C,N3512))</f>
        <v>0</v>
      </c>
    </row>
    <row r="3513" spans="13:16">
      <c r="M3513" s="49">
        <f>IF($A$4+35&gt;$B$4,"",$A$4+35)</f>
        <v>46058</v>
      </c>
      <c r="N3513" t="str">
        <f>IF(M3513="","",'Master Barang'!A7)</f>
        <v>PRL-006</v>
      </c>
      <c r="O3513" t="str">
        <f>IF(N3513="","",'Master Barang'!B7)</f>
        <v>sabut cuci stainless</v>
      </c>
      <c r="P3513">
        <f>IF(OR(M3513="",N3513=""),"",SUMIFS('Barang Keluar'!$E:$E,'Barang Keluar'!$A:$A,M3513,'Barang Keluar'!$C:$C,N3513))</f>
        <v>0</v>
      </c>
    </row>
    <row r="3514" spans="13:16">
      <c r="M3514" s="49">
        <f>IF($A$4+35&gt;$B$4,"",$A$4+35)</f>
        <v>46058</v>
      </c>
      <c r="N3514" t="str">
        <f>IF(M3514="","",'Master Barang'!A8)</f>
        <v>PRL-007</v>
      </c>
      <c r="O3514" t="str">
        <f>IF(N3514="","",'Master Barang'!B8)</f>
        <v>plastik kresek besar merah 50pc</v>
      </c>
      <c r="P3514">
        <f>IF(OR(M3514="",N3514=""),"",SUMIFS('Barang Keluar'!$E:$E,'Barang Keluar'!$A:$A,M3514,'Barang Keluar'!$C:$C,N3514))</f>
        <v>0</v>
      </c>
    </row>
    <row r="3515" spans="13:16">
      <c r="M3515" s="49">
        <f>IF($A$4+35&gt;$B$4,"",$A$4+35)</f>
        <v>46058</v>
      </c>
      <c r="N3515" t="str">
        <f>IF(M3515="","",'Master Barang'!A9)</f>
        <v>PRL-008</v>
      </c>
      <c r="O3515" t="str">
        <f>IF(N3515="","",'Master Barang'!B9)</f>
        <v>lap besar</v>
      </c>
      <c r="P3515">
        <f>IF(OR(M3515="",N3515=""),"",SUMIFS('Barang Keluar'!$E:$E,'Barang Keluar'!$A:$A,M3515,'Barang Keluar'!$C:$C,N3515))</f>
        <v>0</v>
      </c>
    </row>
    <row r="3516" spans="13:16">
      <c r="M3516" s="49">
        <f>IF($A$4+35&gt;$B$4,"",$A$4+35)</f>
        <v>46058</v>
      </c>
      <c r="N3516" t="str">
        <f>IF(M3516="","",'Master Barang'!A10)</f>
        <v>PRL-009</v>
      </c>
      <c r="O3516" t="str">
        <f>IF(N3516="","",'Master Barang'!B10)</f>
        <v>lap microfiber</v>
      </c>
      <c r="P3516">
        <f>IF(OR(M3516="",N3516=""),"",SUMIFS('Barang Keluar'!$E:$E,'Barang Keluar'!$A:$A,M3516,'Barang Keluar'!$C:$C,N3516))</f>
        <v>0</v>
      </c>
    </row>
    <row r="3517" spans="13:16">
      <c r="M3517" s="49">
        <f>IF($A$4+35&gt;$B$4,"",$A$4+35)</f>
        <v>46058</v>
      </c>
      <c r="N3517" t="str">
        <f>IF(M3517="","",'Master Barang'!A11)</f>
        <v>PRL-010</v>
      </c>
      <c r="O3517" t="str">
        <f>IF(N3517="","",'Master Barang'!B11)</f>
        <v>lap kecil</v>
      </c>
      <c r="P3517">
        <f>IF(OR(M3517="",N3517=""),"",SUMIFS('Barang Keluar'!$E:$E,'Barang Keluar'!$A:$A,M3517,'Barang Keluar'!$C:$C,N3517))</f>
        <v>0</v>
      </c>
    </row>
    <row r="3518" spans="13:16">
      <c r="M3518" s="49">
        <f>IF($A$4+35&gt;$B$4,"",$A$4+35)</f>
        <v>46058</v>
      </c>
      <c r="N3518" t="str">
        <f>IF(M3518="","",'Master Barang'!A12)</f>
        <v>PRL-011</v>
      </c>
      <c r="O3518" t="str">
        <f>IF(N3518="","",'Master Barang'!B12)</f>
        <v>kanebo kecil</v>
      </c>
      <c r="P3518">
        <f>IF(OR(M3518="",N3518=""),"",SUMIFS('Barang Keluar'!$E:$E,'Barang Keluar'!$A:$A,M3518,'Barang Keluar'!$C:$C,N3518))</f>
        <v>0</v>
      </c>
    </row>
    <row r="3519" spans="13:16">
      <c r="M3519" s="49">
        <f>IF($A$4+35&gt;$B$4,"",$A$4+35)</f>
        <v>46058</v>
      </c>
      <c r="N3519" t="str">
        <f>IF(M3519="","",'Master Barang'!A13)</f>
        <v>PRL-012</v>
      </c>
      <c r="O3519" t="str">
        <f>IF(N3519="","",'Master Barang'!B13)</f>
        <v>plastik 1/4kg joyoboyo 100 lembar</v>
      </c>
      <c r="P3519">
        <f>IF(OR(M3519="",N3519=""),"",SUMIFS('Barang Keluar'!$E:$E,'Barang Keluar'!$A:$A,M3519,'Barang Keluar'!$C:$C,N3519))</f>
        <v>0</v>
      </c>
    </row>
    <row r="3520" spans="13:16">
      <c r="M3520" s="49">
        <f>IF($A$4+35&gt;$B$4,"",$A$4+35)</f>
        <v>46058</v>
      </c>
      <c r="N3520" t="str">
        <f>IF(M3520="","",'Master Barang'!A14)</f>
        <v>PRL-013</v>
      </c>
      <c r="O3520" t="str">
        <f>IF(N3520="","",'Master Barang'!B14)</f>
        <v>sarung tangan plastik kaka 100 pcs</v>
      </c>
      <c r="P3520">
        <f>IF(OR(M3520="",N3520=""),"",SUMIFS('Barang Keluar'!$E:$E,'Barang Keluar'!$A:$A,M3520,'Barang Keluar'!$C:$C,N3520))</f>
        <v>0</v>
      </c>
    </row>
    <row r="3521" spans="13:16">
      <c r="M3521" s="49">
        <f>IF($A$4+35&gt;$B$4,"",$A$4+35)</f>
        <v>46058</v>
      </c>
      <c r="N3521" t="str">
        <f>IF(M3521="","",'Master Barang'!A15)</f>
        <v>PRL-014</v>
      </c>
      <c r="O3521" t="str">
        <f>IF(N3521="","",'Master Barang'!B15)</f>
        <v>optima trashbag 80x100</v>
      </c>
      <c r="P3521">
        <f>IF(OR(M3521="",N3521=""),"",SUMIFS('Barang Keluar'!$E:$E,'Barang Keluar'!$A:$A,M3521,'Barang Keluar'!$C:$C,N3521))</f>
        <v>0</v>
      </c>
    </row>
    <row r="3522" spans="13:16">
      <c r="M3522" s="49">
        <f>IF($A$4+35&gt;$B$4,"",$A$4+35)</f>
        <v>46058</v>
      </c>
      <c r="N3522" t="str">
        <f>IF(M3522="","",'Master Barang'!A16)</f>
        <v>PRL-015</v>
      </c>
      <c r="O3522" t="str">
        <f>IF(N3522="","",'Master Barang'!B16)</f>
        <v>optima trashbag 60x100</v>
      </c>
      <c r="P3522">
        <f>IF(OR(M3522="",N3522=""),"",SUMIFS('Barang Keluar'!$E:$E,'Barang Keluar'!$A:$A,M3522,'Barang Keluar'!$C:$C,N3522))</f>
        <v>0</v>
      </c>
    </row>
    <row r="3523" spans="13:16">
      <c r="M3523" s="49">
        <f>IF($A$4+35&gt;$B$4,"",$A$4+35)</f>
        <v>46058</v>
      </c>
      <c r="N3523" t="str">
        <f>IF(M3523="","",'Master Barang'!A17)</f>
        <v>PRL-016</v>
      </c>
      <c r="O3523" t="str">
        <f>IF(N3523="","",'Master Barang'!B17)</f>
        <v>rajawali trashbag 30x40</v>
      </c>
      <c r="P3523">
        <f>IF(OR(M3523="",N3523=""),"",SUMIFS('Barang Keluar'!$E:$E,'Barang Keluar'!$A:$A,M3523,'Barang Keluar'!$C:$C,N3523))</f>
        <v>0</v>
      </c>
    </row>
    <row r="3524" spans="13:16">
      <c r="M3524" s="49">
        <f>IF($A$4+35&gt;$B$4,"",$A$4+35)</f>
        <v>46058</v>
      </c>
      <c r="N3524" t="str">
        <f>IF(M3524="","",'Master Barang'!A18)</f>
        <v>PRL-017</v>
      </c>
      <c r="O3524" t="str">
        <f>IF(N3524="","",'Master Barang'!B18)</f>
        <v>onemed masker biru 3 play 50 pcs</v>
      </c>
      <c r="P3524">
        <f>IF(OR(M3524="",N3524=""),"",SUMIFS('Barang Keluar'!$E:$E,'Barang Keluar'!$A:$A,M3524,'Barang Keluar'!$C:$C,N3524))</f>
        <v>0</v>
      </c>
    </row>
    <row r="3525" spans="13:16">
      <c r="M3525" s="49">
        <f>IF($A$4+35&gt;$B$4,"",$A$4+35)</f>
        <v>46058</v>
      </c>
      <c r="N3525" t="str">
        <f>IF(M3525="","",'Master Barang'!A19)</f>
        <v>PRL-018</v>
      </c>
      <c r="O3525" t="str">
        <f>IF(N3525="","",'Master Barang'!B19)</f>
        <v>onemed masker biru 3 play hijab 50 pcs</v>
      </c>
      <c r="P3525">
        <f>IF(OR(M3525="",N3525=""),"",SUMIFS('Barang Keluar'!$E:$E,'Barang Keluar'!$A:$A,M3525,'Barang Keluar'!$C:$C,N3525))</f>
        <v>0</v>
      </c>
    </row>
    <row r="3526" spans="13:16">
      <c r="M3526" s="49">
        <f>IF($A$4+35&gt;$B$4,"",$A$4+35)</f>
        <v>46058</v>
      </c>
      <c r="N3526" t="str">
        <f>IF(M3526="","",'Master Barang'!A20)</f>
        <v>PRL-019</v>
      </c>
      <c r="O3526" t="str">
        <f>IF(N3526="","",'Master Barang'!B20)</f>
        <v>neo health masker biru 3 play 50 pcs</v>
      </c>
      <c r="P3526">
        <f>IF(OR(M3526="",N3526=""),"",SUMIFS('Barang Keluar'!$E:$E,'Barang Keluar'!$A:$A,M3526,'Barang Keluar'!$C:$C,N3526))</f>
        <v>0</v>
      </c>
    </row>
    <row r="3527" spans="13:16">
      <c r="M3527" s="49">
        <f>IF($A$4+35&gt;$B$4,"",$A$4+35)</f>
        <v>46058</v>
      </c>
      <c r="N3527" t="str">
        <f>IF(M3527="","",'Master Barang'!A21)</f>
        <v>PRL-020</v>
      </c>
      <c r="O3527" t="str">
        <f>IF(N3527="","",'Master Barang'!B21)</f>
        <v>baymed masker hijau 3 play hijau 50 pcs</v>
      </c>
      <c r="P3527">
        <f>IF(OR(M3527="",N3527=""),"",SUMIFS('Barang Keluar'!$E:$E,'Barang Keluar'!$A:$A,M3527,'Barang Keluar'!$C:$C,N3527))</f>
        <v>0</v>
      </c>
    </row>
    <row r="3528" spans="13:16">
      <c r="M3528" s="49">
        <f>IF($A$4+35&gt;$B$4,"",$A$4+35)</f>
        <v>46058</v>
      </c>
      <c r="N3528" t="str">
        <f>IF(M3528="","",'Master Barang'!A22)</f>
        <v>PRL-021</v>
      </c>
      <c r="O3528" t="str">
        <f>IF(N3528="","",'Master Barang'!B22)</f>
        <v>altamed nurse cap penutup kepala 100 pcs</v>
      </c>
      <c r="P3528">
        <f>IF(OR(M3528="",N3528=""),"",SUMIFS('Barang Keluar'!$E:$E,'Barang Keluar'!$A:$A,M3528,'Barang Keluar'!$C:$C,N3528))</f>
        <v>0</v>
      </c>
    </row>
    <row r="3529" spans="13:16">
      <c r="M3529" s="49">
        <f>IF($A$4+35&gt;$B$4,"",$A$4+35)</f>
        <v>46058</v>
      </c>
      <c r="N3529" t="str">
        <f>IF(M3529="","",'Master Barang'!A23)</f>
        <v>PRL-022</v>
      </c>
      <c r="O3529" t="str">
        <f>IF(N3529="","",'Master Barang'!B23)</f>
        <v>sabun cuci tangan</v>
      </c>
      <c r="P3529">
        <f>IF(OR(M3529="",N3529=""),"",SUMIFS('Barang Keluar'!$E:$E,'Barang Keluar'!$A:$A,M3529,'Barang Keluar'!$C:$C,N3529))</f>
        <v>0</v>
      </c>
    </row>
    <row r="3530" spans="13:16">
      <c r="M3530" s="49">
        <f>IF($A$4+35&gt;$B$4,"",$A$4+35)</f>
        <v>46058</v>
      </c>
      <c r="N3530" t="str">
        <f>IF(M3530="","",'Master Barang'!A24)</f>
        <v>PRL-023</v>
      </c>
      <c r="O3530" t="str">
        <f>IF(N3530="","",'Master Barang'!B24)</f>
        <v>gayung kecil</v>
      </c>
      <c r="P3530">
        <f>IF(OR(M3530="",N3530=""),"",SUMIFS('Barang Keluar'!$E:$E,'Barang Keluar'!$A:$A,M3530,'Barang Keluar'!$C:$C,N3530))</f>
        <v>0</v>
      </c>
    </row>
    <row r="3531" spans="13:16">
      <c r="M3531" s="49">
        <f>IF($A$4+35&gt;$B$4,"",$A$4+35)</f>
        <v>46058</v>
      </c>
      <c r="N3531" t="str">
        <f>IF(M3531="","",'Master Barang'!A25)</f>
        <v>PRL-024</v>
      </c>
      <c r="O3531" t="str">
        <f>IF(N3531="","",'Master Barang'!B25)</f>
        <v>cikrak kecil</v>
      </c>
      <c r="P3531">
        <f>IF(OR(M3531="",N3531=""),"",SUMIFS('Barang Keluar'!$E:$E,'Barang Keluar'!$A:$A,M3531,'Barang Keluar'!$C:$C,N3531))</f>
        <v>0</v>
      </c>
    </row>
    <row r="3532" spans="13:16">
      <c r="M3532" s="49">
        <f>IF($A$4+35&gt;$B$4,"",$A$4+35)</f>
        <v>46058</v>
      </c>
      <c r="N3532" t="str">
        <f>IF(M3532="","",'Master Barang'!A26)</f>
        <v>PRL-025</v>
      </c>
      <c r="O3532" t="str">
        <f>IF(N3532="","",'Master Barang'!B26)</f>
        <v>petromax plastik kecil 12x24 100 lembar</v>
      </c>
      <c r="P3532">
        <f>IF(OR(M3532="",N3532=""),"",SUMIFS('Barang Keluar'!$E:$E,'Barang Keluar'!$A:$A,M3532,'Barang Keluar'!$C:$C,N3532))</f>
        <v>0</v>
      </c>
    </row>
    <row r="3533" spans="13:16">
      <c r="M3533" s="49">
        <f>IF($A$4+35&gt;$B$4,"",$A$4+35)</f>
        <v>46058</v>
      </c>
      <c r="N3533" t="str">
        <f>IF(M3533="","",'Master Barang'!A27)</f>
        <v>PRL-026</v>
      </c>
      <c r="O3533" t="str">
        <f>IF(N3533="","",'Master Barang'!B27)</f>
        <v>lancar kresek kecil bening </v>
      </c>
      <c r="P3533">
        <f>IF(OR(M3533="",N3533=""),"",SUMIFS('Barang Keluar'!$E:$E,'Barang Keluar'!$A:$A,M3533,'Barang Keluar'!$C:$C,N3533))</f>
        <v>0</v>
      </c>
    </row>
    <row r="3534" spans="13:16">
      <c r="M3534" s="49">
        <f>IF($A$4+35&gt;$B$4,"",$A$4+35)</f>
        <v>46058</v>
      </c>
      <c r="N3534" t="str">
        <f>IF(M3534="","",'Master Barang'!A28)</f>
        <v>PRL-027</v>
      </c>
      <c r="O3534" t="str">
        <f>IF(N3534="","",'Master Barang'!B28)</f>
        <v>kresek klin warna warni kecil</v>
      </c>
      <c r="P3534">
        <f>IF(OR(M3534="",N3534=""),"",SUMIFS('Barang Keluar'!$E:$E,'Barang Keluar'!$A:$A,M3534,'Barang Keluar'!$C:$C,N3534))</f>
        <v>0</v>
      </c>
    </row>
    <row r="3535" spans="13:16">
      <c r="M3535" s="49">
        <f>IF($A$4+35&gt;$B$4,"",$A$4+35)</f>
        <v>46058</v>
      </c>
      <c r="N3535" t="str">
        <f>IF(M3535="","",'Master Barang'!A29)</f>
        <v>PRL-028</v>
      </c>
      <c r="O3535" t="str">
        <f>IF(N3535="","",'Master Barang'!B29)</f>
        <v>ctik plastik 7x10 100 pcs</v>
      </c>
      <c r="P3535">
        <f>IF(OR(M3535="",N3535=""),"",SUMIFS('Barang Keluar'!$E:$E,'Barang Keluar'!$A:$A,M3535,'Barang Keluar'!$C:$C,N3535))</f>
        <v>0</v>
      </c>
    </row>
    <row r="3536" spans="13:16">
      <c r="M3536" s="49">
        <f>IF($A$4+35&gt;$B$4,"",$A$4+35)</f>
        <v>46058</v>
      </c>
      <c r="N3536" t="str">
        <f>IF(M3536="","",'Master Barang'!A30)</f>
        <v>PRL-029</v>
      </c>
      <c r="O3536" t="str">
        <f>IF(N3536="","",'Master Barang'!B30)</f>
        <v>ctik plastik 6x10 100 pcs</v>
      </c>
      <c r="P3536">
        <f>IF(OR(M3536="",N3536=""),"",SUMIFS('Barang Keluar'!$E:$E,'Barang Keluar'!$A:$A,M3536,'Barang Keluar'!$C:$C,N3536))</f>
        <v>0</v>
      </c>
    </row>
    <row r="3537" spans="13:16">
      <c r="M3537" s="49">
        <f>IF($A$4+35&gt;$B$4,"",$A$4+35)</f>
        <v>46058</v>
      </c>
      <c r="N3537" t="str">
        <f>IF(M3537="","",'Master Barang'!A31)</f>
        <v>PRL-030</v>
      </c>
      <c r="O3537" t="str">
        <f>IF(N3537="","",'Master Barang'!B31)</f>
        <v>klip plastik 25x16 100 pcs</v>
      </c>
      <c r="P3537">
        <f>IF(OR(M3537="",N3537=""),"",SUMIFS('Barang Keluar'!$E:$E,'Barang Keluar'!$A:$A,M3537,'Barang Keluar'!$C:$C,N3537))</f>
        <v>0</v>
      </c>
    </row>
    <row r="3538" spans="13:16">
      <c r="M3538" s="49">
        <f>IF($A$4+35&gt;$B$4,"",$A$4+35)</f>
        <v>46058</v>
      </c>
      <c r="N3538" t="str">
        <f>IF(M3538="","",'Master Barang'!A32)</f>
        <v>PRL-031</v>
      </c>
      <c r="O3538" t="str">
        <f>IF(N3538="","",'Master Barang'!B32)</f>
        <v>tempat saus 20 ml</v>
      </c>
      <c r="P3538">
        <f>IF(OR(M3538="",N3538=""),"",SUMIFS('Barang Keluar'!$E:$E,'Barang Keluar'!$A:$A,M3538,'Barang Keluar'!$C:$C,N3538))</f>
        <v>0</v>
      </c>
    </row>
    <row r="3539" spans="13:16">
      <c r="M3539" s="49">
        <f>IF($A$4+35&gt;$B$4,"",$A$4+35)</f>
        <v>46058</v>
      </c>
      <c r="N3539" t="str">
        <f>IF(M3539="","",'Master Barang'!A33)</f>
        <v>PRL-032</v>
      </c>
      <c r="O3539" t="str">
        <f>IF(N3539="","",'Master Barang'!B33)</f>
        <v>plastik packaging ag box uk sedang</v>
      </c>
      <c r="P3539">
        <f>IF(OR(M3539="",N3539=""),"",SUMIFS('Barang Keluar'!$E:$E,'Barang Keluar'!$A:$A,M3539,'Barang Keluar'!$C:$C,N3539))</f>
        <v>0</v>
      </c>
    </row>
    <row r="3540" spans="13:16">
      <c r="M3540" s="49">
        <f>IF($A$4+35&gt;$B$4,"",$A$4+35)</f>
        <v>46058</v>
      </c>
      <c r="N3540" t="str">
        <f>IF(M3540="","",'Master Barang'!A34)</f>
        <v>PRL-033</v>
      </c>
      <c r="O3540">
        <f>IF(N3540="","",'Master Barang'!B34)</f>
        <v>0</v>
      </c>
      <c r="P3540">
        <f>IF(OR(M3540="",N3540=""),"",SUMIFS('Barang Keluar'!$E:$E,'Barang Keluar'!$A:$A,M3540,'Barang Keluar'!$C:$C,N3540))</f>
        <v>0</v>
      </c>
    </row>
    <row r="3541" spans="13:16">
      <c r="M3541" s="49">
        <f>IF($A$4+35&gt;$B$4,"",$A$4+35)</f>
        <v>46058</v>
      </c>
      <c r="N3541">
        <f>IF(M3541="","",'Master Barang'!A35)</f>
        <v>0</v>
      </c>
      <c r="O3541">
        <f>IF(N3541="","",'Master Barang'!B35)</f>
        <v>0</v>
      </c>
      <c r="P3541">
        <f>IF(OR(M3541="",N3541=""),"",SUMIFS('Barang Keluar'!$E:$E,'Barang Keluar'!$A:$A,M3541,'Barang Keluar'!$C:$C,N3541))</f>
        <v>0</v>
      </c>
    </row>
    <row r="3542" spans="13:16">
      <c r="M3542" s="49">
        <f>IF($A$4+35&gt;$B$4,"",$A$4+35)</f>
        <v>46058</v>
      </c>
      <c r="N3542">
        <f>IF(M3542="","",'Master Barang'!A36)</f>
        <v>0</v>
      </c>
      <c r="O3542">
        <f>IF(N3542="","",'Master Barang'!B36)</f>
        <v>0</v>
      </c>
      <c r="P3542">
        <f>IF(OR(M3542="",N3542=""),"",SUMIFS('Barang Keluar'!$E:$E,'Barang Keluar'!$A:$A,M3542,'Barang Keluar'!$C:$C,N3542))</f>
        <v>0</v>
      </c>
    </row>
    <row r="3543" spans="13:16">
      <c r="M3543" s="49">
        <f>IF($A$4+35&gt;$B$4,"",$A$4+35)</f>
        <v>46058</v>
      </c>
      <c r="N3543">
        <f>IF(M3543="","",'Master Barang'!A37)</f>
        <v>0</v>
      </c>
      <c r="O3543">
        <f>IF(N3543="","",'Master Barang'!B37)</f>
        <v>0</v>
      </c>
      <c r="P3543">
        <f>IF(OR(M3543="",N3543=""),"",SUMIFS('Barang Keluar'!$E:$E,'Barang Keluar'!$A:$A,M3543,'Barang Keluar'!$C:$C,N3543))</f>
        <v>0</v>
      </c>
    </row>
    <row r="3544" spans="13:16">
      <c r="M3544" s="49">
        <f>IF($A$4+35&gt;$B$4,"",$A$4+35)</f>
        <v>46058</v>
      </c>
      <c r="N3544">
        <f>IF(M3544="","",'Master Barang'!A38)</f>
        <v>0</v>
      </c>
      <c r="O3544">
        <f>IF(N3544="","",'Master Barang'!B38)</f>
        <v>0</v>
      </c>
      <c r="P3544">
        <f>IF(OR(M3544="",N3544=""),"",SUMIFS('Barang Keluar'!$E:$E,'Barang Keluar'!$A:$A,M3544,'Barang Keluar'!$C:$C,N3544))</f>
        <v>0</v>
      </c>
    </row>
    <row r="3545" spans="13:16">
      <c r="M3545" s="49">
        <f>IF($A$4+35&gt;$B$4,"",$A$4+35)</f>
        <v>46058</v>
      </c>
      <c r="N3545">
        <f>IF(M3545="","",'Master Barang'!A39)</f>
        <v>0</v>
      </c>
      <c r="O3545">
        <f>IF(N3545="","",'Master Barang'!B39)</f>
        <v>0</v>
      </c>
      <c r="P3545">
        <f>IF(OR(M3545="",N3545=""),"",SUMIFS('Barang Keluar'!$E:$E,'Barang Keluar'!$A:$A,M3545,'Barang Keluar'!$C:$C,N3545))</f>
        <v>0</v>
      </c>
    </row>
    <row r="3546" spans="13:16">
      <c r="M3546" s="49">
        <f>IF($A$4+35&gt;$B$4,"",$A$4+35)</f>
        <v>46058</v>
      </c>
      <c r="N3546">
        <f>IF(M3546="","",'Master Barang'!A40)</f>
        <v>0</v>
      </c>
      <c r="O3546">
        <f>IF(N3546="","",'Master Barang'!B40)</f>
        <v>0</v>
      </c>
      <c r="P3546">
        <f>IF(OR(M3546="",N3546=""),"",SUMIFS('Barang Keluar'!$E:$E,'Barang Keluar'!$A:$A,M3546,'Barang Keluar'!$C:$C,N3546))</f>
        <v>0</v>
      </c>
    </row>
    <row r="3547" spans="13:16">
      <c r="M3547" s="49">
        <f>IF($A$4+35&gt;$B$4,"",$A$4+35)</f>
        <v>46058</v>
      </c>
      <c r="N3547">
        <f>IF(M3547="","",'Master Barang'!A41)</f>
        <v>0</v>
      </c>
      <c r="O3547">
        <f>IF(N3547="","",'Master Barang'!B41)</f>
        <v>0</v>
      </c>
      <c r="P3547">
        <f>IF(OR(M3547="",N3547=""),"",SUMIFS('Barang Keluar'!$E:$E,'Barang Keluar'!$A:$A,M3547,'Barang Keluar'!$C:$C,N3547))</f>
        <v>0</v>
      </c>
    </row>
    <row r="3548" spans="13:16">
      <c r="M3548" s="49">
        <f>IF($A$4+35&gt;$B$4,"",$A$4+35)</f>
        <v>46058</v>
      </c>
      <c r="N3548">
        <f>IF(M3548="","",'Master Barang'!A42)</f>
        <v>0</v>
      </c>
      <c r="O3548">
        <f>IF(N3548="","",'Master Barang'!B42)</f>
        <v>0</v>
      </c>
      <c r="P3548">
        <f>IF(OR(M3548="",N3548=""),"",SUMIFS('Barang Keluar'!$E:$E,'Barang Keluar'!$A:$A,M3548,'Barang Keluar'!$C:$C,N3548))</f>
        <v>0</v>
      </c>
    </row>
    <row r="3549" spans="13:16">
      <c r="M3549" s="49">
        <f>IF($A$4+35&gt;$B$4,"",$A$4+35)</f>
        <v>46058</v>
      </c>
      <c r="N3549">
        <f>IF(M3549="","",'Master Barang'!A43)</f>
        <v>0</v>
      </c>
      <c r="O3549">
        <f>IF(N3549="","",'Master Barang'!B43)</f>
        <v>0</v>
      </c>
      <c r="P3549">
        <f>IF(OR(M3549="",N3549=""),"",SUMIFS('Barang Keluar'!$E:$E,'Barang Keluar'!$A:$A,M3549,'Barang Keluar'!$C:$C,N3549))</f>
        <v>0</v>
      </c>
    </row>
    <row r="3550" spans="13:16">
      <c r="M3550" s="49">
        <f>IF($A$4+35&gt;$B$4,"",$A$4+35)</f>
        <v>46058</v>
      </c>
      <c r="N3550">
        <f>IF(M3550="","",'Master Barang'!A44)</f>
        <v>0</v>
      </c>
      <c r="O3550">
        <f>IF(N3550="","",'Master Barang'!B44)</f>
        <v>0</v>
      </c>
      <c r="P3550">
        <f>IF(OR(M3550="",N3550=""),"",SUMIFS('Barang Keluar'!$E:$E,'Barang Keluar'!$A:$A,M3550,'Barang Keluar'!$C:$C,N3550))</f>
        <v>0</v>
      </c>
    </row>
    <row r="3551" spans="13:16">
      <c r="M3551" s="49">
        <f>IF($A$4+35&gt;$B$4,"",$A$4+35)</f>
        <v>46058</v>
      </c>
      <c r="N3551">
        <f>IF(M3551="","",'Master Barang'!A45)</f>
        <v>0</v>
      </c>
      <c r="O3551">
        <f>IF(N3551="","",'Master Barang'!B45)</f>
        <v>0</v>
      </c>
      <c r="P3551">
        <f>IF(OR(M3551="",N3551=""),"",SUMIFS('Barang Keluar'!$E:$E,'Barang Keluar'!$A:$A,M3551,'Barang Keluar'!$C:$C,N3551))</f>
        <v>0</v>
      </c>
    </row>
    <row r="3552" spans="13:16">
      <c r="M3552" s="49">
        <f>IF($A$4+35&gt;$B$4,"",$A$4+35)</f>
        <v>46058</v>
      </c>
      <c r="N3552">
        <f>IF(M3552="","",'Master Barang'!A46)</f>
        <v>0</v>
      </c>
      <c r="O3552">
        <f>IF(N3552="","",'Master Barang'!B46)</f>
        <v>0</v>
      </c>
      <c r="P3552">
        <f>IF(OR(M3552="",N3552=""),"",SUMIFS('Barang Keluar'!$E:$E,'Barang Keluar'!$A:$A,M3552,'Barang Keluar'!$C:$C,N3552))</f>
        <v>0</v>
      </c>
    </row>
    <row r="3553" spans="13:16">
      <c r="M3553" s="49">
        <f>IF($A$4+35&gt;$B$4,"",$A$4+35)</f>
        <v>46058</v>
      </c>
      <c r="N3553">
        <f>IF(M3553="","",'Master Barang'!A47)</f>
        <v>0</v>
      </c>
      <c r="O3553">
        <f>IF(N3553="","",'Master Barang'!B47)</f>
        <v>0</v>
      </c>
      <c r="P3553">
        <f>IF(OR(M3553="",N3553=""),"",SUMIFS('Barang Keluar'!$E:$E,'Barang Keluar'!$A:$A,M3553,'Barang Keluar'!$C:$C,N3553))</f>
        <v>0</v>
      </c>
    </row>
    <row r="3554" spans="13:16">
      <c r="M3554" s="49">
        <f>IF($A$4+35&gt;$B$4,"",$A$4+35)</f>
        <v>46058</v>
      </c>
      <c r="N3554">
        <f>IF(M3554="","",'Master Barang'!A48)</f>
        <v>0</v>
      </c>
      <c r="O3554">
        <f>IF(N3554="","",'Master Barang'!B48)</f>
        <v>0</v>
      </c>
      <c r="P3554">
        <f>IF(OR(M3554="",N3554=""),"",SUMIFS('Barang Keluar'!$E:$E,'Barang Keluar'!$A:$A,M3554,'Barang Keluar'!$C:$C,N3554))</f>
        <v>0</v>
      </c>
    </row>
    <row r="3555" spans="13:16">
      <c r="M3555" s="49">
        <f>IF($A$4+35&gt;$B$4,"",$A$4+35)</f>
        <v>46058</v>
      </c>
      <c r="N3555">
        <f>IF(M3555="","",'Master Barang'!A49)</f>
        <v>0</v>
      </c>
      <c r="O3555">
        <f>IF(N3555="","",'Master Barang'!B49)</f>
        <v>0</v>
      </c>
      <c r="P3555">
        <f>IF(OR(M3555="",N3555=""),"",SUMIFS('Barang Keluar'!$E:$E,'Barang Keluar'!$A:$A,M3555,'Barang Keluar'!$C:$C,N3555))</f>
        <v>0</v>
      </c>
    </row>
    <row r="3556" spans="13:16">
      <c r="M3556" s="49">
        <f>IF($A$4+35&gt;$B$4,"",$A$4+35)</f>
        <v>46058</v>
      </c>
      <c r="N3556">
        <f>IF(M3556="","",'Master Barang'!A50)</f>
        <v>0</v>
      </c>
      <c r="O3556">
        <f>IF(N3556="","",'Master Barang'!B50)</f>
        <v>0</v>
      </c>
      <c r="P3556">
        <f>IF(OR(M3556="",N3556=""),"",SUMIFS('Barang Keluar'!$E:$E,'Barang Keluar'!$A:$A,M3556,'Barang Keluar'!$C:$C,N3556))</f>
        <v>0</v>
      </c>
    </row>
    <row r="3557" spans="13:16">
      <c r="M3557" s="49">
        <f>IF($A$4+35&gt;$B$4,"",$A$4+35)</f>
        <v>46058</v>
      </c>
      <c r="N3557">
        <f>IF(M3557="","",'Master Barang'!A51)</f>
        <v>0</v>
      </c>
      <c r="O3557">
        <f>IF(N3557="","",'Master Barang'!B51)</f>
        <v>0</v>
      </c>
      <c r="P3557">
        <f>IF(OR(M3557="",N3557=""),"",SUMIFS('Barang Keluar'!$E:$E,'Barang Keluar'!$A:$A,M3557,'Barang Keluar'!$C:$C,N3557))</f>
        <v>0</v>
      </c>
    </row>
    <row r="3558" spans="13:16">
      <c r="M3558" s="49">
        <f>IF($A$4+35&gt;$B$4,"",$A$4+35)</f>
        <v>46058</v>
      </c>
      <c r="N3558">
        <f>IF(M3558="","",'Master Barang'!A52)</f>
        <v>0</v>
      </c>
      <c r="O3558">
        <f>IF(N3558="","",'Master Barang'!B52)</f>
        <v>0</v>
      </c>
      <c r="P3558">
        <f>IF(OR(M3558="",N3558=""),"",SUMIFS('Barang Keluar'!$E:$E,'Barang Keluar'!$A:$A,M3558,'Barang Keluar'!$C:$C,N3558))</f>
        <v>0</v>
      </c>
    </row>
    <row r="3559" spans="13:16">
      <c r="M3559" s="49">
        <f>IF($A$4+35&gt;$B$4,"",$A$4+35)</f>
        <v>46058</v>
      </c>
      <c r="N3559">
        <f>IF(M3559="","",'Master Barang'!A53)</f>
        <v>0</v>
      </c>
      <c r="O3559">
        <f>IF(N3559="","",'Master Barang'!B53)</f>
        <v>0</v>
      </c>
      <c r="P3559">
        <f>IF(OR(M3559="",N3559=""),"",SUMIFS('Barang Keluar'!$E:$E,'Barang Keluar'!$A:$A,M3559,'Barang Keluar'!$C:$C,N3559))</f>
        <v>0</v>
      </c>
    </row>
    <row r="3560" spans="13:16">
      <c r="M3560" s="49">
        <f>IF($A$4+35&gt;$B$4,"",$A$4+35)</f>
        <v>46058</v>
      </c>
      <c r="N3560">
        <f>IF(M3560="","",'Master Barang'!A54)</f>
        <v>0</v>
      </c>
      <c r="O3560">
        <f>IF(N3560="","",'Master Barang'!B54)</f>
        <v>0</v>
      </c>
      <c r="P3560">
        <f>IF(OR(M3560="",N3560=""),"",SUMIFS('Barang Keluar'!$E:$E,'Barang Keluar'!$A:$A,M3560,'Barang Keluar'!$C:$C,N3560))</f>
        <v>0</v>
      </c>
    </row>
    <row r="3561" spans="13:16">
      <c r="M3561" s="49">
        <f>IF($A$4+35&gt;$B$4,"",$A$4+35)</f>
        <v>46058</v>
      </c>
      <c r="N3561">
        <f>IF(M3561="","",'Master Barang'!A55)</f>
        <v>0</v>
      </c>
      <c r="O3561">
        <f>IF(N3561="","",'Master Barang'!B55)</f>
        <v>0</v>
      </c>
      <c r="P3561">
        <f>IF(OR(M3561="",N3561=""),"",SUMIFS('Barang Keluar'!$E:$E,'Barang Keluar'!$A:$A,M3561,'Barang Keluar'!$C:$C,N3561))</f>
        <v>0</v>
      </c>
    </row>
    <row r="3562" spans="13:16">
      <c r="M3562" s="49">
        <f>IF($A$4+35&gt;$B$4,"",$A$4+35)</f>
        <v>46058</v>
      </c>
      <c r="N3562">
        <f>IF(M3562="","",'Master Barang'!A56)</f>
        <v>0</v>
      </c>
      <c r="O3562">
        <f>IF(N3562="","",'Master Barang'!B56)</f>
        <v>0</v>
      </c>
      <c r="P3562">
        <f>IF(OR(M3562="",N3562=""),"",SUMIFS('Barang Keluar'!$E:$E,'Barang Keluar'!$A:$A,M3562,'Barang Keluar'!$C:$C,N3562))</f>
        <v>0</v>
      </c>
    </row>
    <row r="3563" spans="13:16">
      <c r="M3563" s="49">
        <f>IF($A$4+35&gt;$B$4,"",$A$4+35)</f>
        <v>46058</v>
      </c>
      <c r="N3563">
        <f>IF(M3563="","",'Master Barang'!A57)</f>
        <v>0</v>
      </c>
      <c r="O3563">
        <f>IF(N3563="","",'Master Barang'!B57)</f>
        <v>0</v>
      </c>
      <c r="P3563">
        <f>IF(OR(M3563="",N3563=""),"",SUMIFS('Barang Keluar'!$E:$E,'Barang Keluar'!$A:$A,M3563,'Barang Keluar'!$C:$C,N3563))</f>
        <v>0</v>
      </c>
    </row>
    <row r="3564" spans="13:16">
      <c r="M3564" s="49">
        <f>IF($A$4+35&gt;$B$4,"",$A$4+35)</f>
        <v>46058</v>
      </c>
      <c r="N3564">
        <f>IF(M3564="","",'Master Barang'!A58)</f>
        <v>0</v>
      </c>
      <c r="O3564">
        <f>IF(N3564="","",'Master Barang'!B58)</f>
        <v>0</v>
      </c>
      <c r="P3564">
        <f>IF(OR(M3564="",N3564=""),"",SUMIFS('Barang Keluar'!$E:$E,'Barang Keluar'!$A:$A,M3564,'Barang Keluar'!$C:$C,N3564))</f>
        <v>0</v>
      </c>
    </row>
    <row r="3565" spans="13:16">
      <c r="M3565" s="49">
        <f>IF($A$4+35&gt;$B$4,"",$A$4+35)</f>
        <v>46058</v>
      </c>
      <c r="N3565">
        <f>IF(M3565="","",'Master Barang'!A59)</f>
        <v>0</v>
      </c>
      <c r="O3565">
        <f>IF(N3565="","",'Master Barang'!B59)</f>
        <v>0</v>
      </c>
      <c r="P3565">
        <f>IF(OR(M3565="",N3565=""),"",SUMIFS('Barang Keluar'!$E:$E,'Barang Keluar'!$A:$A,M3565,'Barang Keluar'!$C:$C,N3565))</f>
        <v>0</v>
      </c>
    </row>
    <row r="3566" spans="13:16">
      <c r="M3566" s="49">
        <f>IF($A$4+35&gt;$B$4,"",$A$4+35)</f>
        <v>46058</v>
      </c>
      <c r="N3566">
        <f>IF(M3566="","",'Master Barang'!A60)</f>
        <v>0</v>
      </c>
      <c r="O3566">
        <f>IF(N3566="","",'Master Barang'!B60)</f>
        <v>0</v>
      </c>
      <c r="P3566">
        <f>IF(OR(M3566="",N3566=""),"",SUMIFS('Barang Keluar'!$E:$E,'Barang Keluar'!$A:$A,M3566,'Barang Keluar'!$C:$C,N3566))</f>
        <v>0</v>
      </c>
    </row>
    <row r="3567" spans="13:16">
      <c r="M3567" s="49">
        <f>IF($A$4+35&gt;$B$4,"",$A$4+35)</f>
        <v>46058</v>
      </c>
      <c r="N3567">
        <f>IF(M3567="","",'Master Barang'!A61)</f>
        <v>0</v>
      </c>
      <c r="O3567">
        <f>IF(N3567="","",'Master Barang'!B61)</f>
        <v>0</v>
      </c>
      <c r="P3567">
        <f>IF(OR(M3567="",N3567=""),"",SUMIFS('Barang Keluar'!$E:$E,'Barang Keluar'!$A:$A,M3567,'Barang Keluar'!$C:$C,N3567))</f>
        <v>0</v>
      </c>
    </row>
    <row r="3568" spans="13:16">
      <c r="M3568" s="49">
        <f>IF($A$4+35&gt;$B$4,"",$A$4+35)</f>
        <v>46058</v>
      </c>
      <c r="N3568">
        <f>IF(M3568="","",'Master Barang'!A62)</f>
        <v>0</v>
      </c>
      <c r="O3568">
        <f>IF(N3568="","",'Master Barang'!B62)</f>
        <v>0</v>
      </c>
      <c r="P3568">
        <f>IF(OR(M3568="",N3568=""),"",SUMIFS('Barang Keluar'!$E:$E,'Barang Keluar'!$A:$A,M3568,'Barang Keluar'!$C:$C,N3568))</f>
        <v>0</v>
      </c>
    </row>
    <row r="3569" spans="13:16">
      <c r="M3569" s="49">
        <f>IF($A$4+35&gt;$B$4,"",$A$4+35)</f>
        <v>46058</v>
      </c>
      <c r="N3569">
        <f>IF(M3569="","",'Master Barang'!A63)</f>
        <v>0</v>
      </c>
      <c r="O3569">
        <f>IF(N3569="","",'Master Barang'!B63)</f>
        <v>0</v>
      </c>
      <c r="P3569">
        <f>IF(OR(M3569="",N3569=""),"",SUMIFS('Barang Keluar'!$E:$E,'Barang Keluar'!$A:$A,M3569,'Barang Keluar'!$C:$C,N3569))</f>
        <v>0</v>
      </c>
    </row>
    <row r="3570" spans="13:16">
      <c r="M3570" s="49">
        <f>IF($A$4+35&gt;$B$4,"",$A$4+35)</f>
        <v>46058</v>
      </c>
      <c r="N3570">
        <f>IF(M3570="","",'Master Barang'!A64)</f>
        <v>0</v>
      </c>
      <c r="O3570">
        <f>IF(N3570="","",'Master Barang'!B64)</f>
        <v>0</v>
      </c>
      <c r="P3570">
        <f>IF(OR(M3570="",N3570=""),"",SUMIFS('Barang Keluar'!$E:$E,'Barang Keluar'!$A:$A,M3570,'Barang Keluar'!$C:$C,N3570))</f>
        <v>0</v>
      </c>
    </row>
    <row r="3571" spans="13:16">
      <c r="M3571" s="49">
        <f>IF($A$4+35&gt;$B$4,"",$A$4+35)</f>
        <v>46058</v>
      </c>
      <c r="N3571">
        <f>IF(M3571="","",'Master Barang'!A65)</f>
        <v>0</v>
      </c>
      <c r="O3571">
        <f>IF(N3571="","",'Master Barang'!B65)</f>
        <v>0</v>
      </c>
      <c r="P3571">
        <f>IF(OR(M3571="",N3571=""),"",SUMIFS('Barang Keluar'!$E:$E,'Barang Keluar'!$A:$A,M3571,'Barang Keluar'!$C:$C,N3571))</f>
        <v>0</v>
      </c>
    </row>
    <row r="3572" spans="13:16">
      <c r="M3572" s="49">
        <f>IF($A$4+35&gt;$B$4,"",$A$4+35)</f>
        <v>46058</v>
      </c>
      <c r="N3572">
        <f>IF(M3572="","",'Master Barang'!A66)</f>
        <v>0</v>
      </c>
      <c r="O3572">
        <f>IF(N3572="","",'Master Barang'!B66)</f>
        <v>0</v>
      </c>
      <c r="P3572">
        <f>IF(OR(M3572="",N3572=""),"",SUMIFS('Barang Keluar'!$E:$E,'Barang Keluar'!$A:$A,M3572,'Barang Keluar'!$C:$C,N3572))</f>
        <v>0</v>
      </c>
    </row>
    <row r="3573" spans="13:16">
      <c r="M3573" s="49">
        <f>IF($A$4+35&gt;$B$4,"",$A$4+35)</f>
        <v>46058</v>
      </c>
      <c r="N3573">
        <f>IF(M3573="","",'Master Barang'!A67)</f>
        <v>0</v>
      </c>
      <c r="O3573">
        <f>IF(N3573="","",'Master Barang'!B67)</f>
        <v>0</v>
      </c>
      <c r="P3573">
        <f>IF(OR(M3573="",N3573=""),"",SUMIFS('Barang Keluar'!$E:$E,'Barang Keluar'!$A:$A,M3573,'Barang Keluar'!$C:$C,N3573))</f>
        <v>0</v>
      </c>
    </row>
    <row r="3574" spans="13:16">
      <c r="M3574" s="49">
        <f>IF($A$4+35&gt;$B$4,"",$A$4+35)</f>
        <v>46058</v>
      </c>
      <c r="N3574">
        <f>IF(M3574="","",'Master Barang'!A68)</f>
        <v>0</v>
      </c>
      <c r="O3574">
        <f>IF(N3574="","",'Master Barang'!B68)</f>
        <v>0</v>
      </c>
      <c r="P3574">
        <f>IF(OR(M3574="",N3574=""),"",SUMIFS('Barang Keluar'!$E:$E,'Barang Keluar'!$A:$A,M3574,'Barang Keluar'!$C:$C,N3574))</f>
        <v>0</v>
      </c>
    </row>
    <row r="3575" spans="13:16">
      <c r="M3575" s="49">
        <f>IF($A$4+35&gt;$B$4,"",$A$4+35)</f>
        <v>46058</v>
      </c>
      <c r="N3575">
        <f>IF(M3575="","",'Master Barang'!A69)</f>
        <v>0</v>
      </c>
      <c r="O3575">
        <f>IF(N3575="","",'Master Barang'!B69)</f>
        <v>0</v>
      </c>
      <c r="P3575">
        <f>IF(OR(M3575="",N3575=""),"",SUMIFS('Barang Keluar'!$E:$E,'Barang Keluar'!$A:$A,M3575,'Barang Keluar'!$C:$C,N3575))</f>
        <v>0</v>
      </c>
    </row>
    <row r="3576" spans="13:16">
      <c r="M3576" s="49">
        <f>IF($A$4+35&gt;$B$4,"",$A$4+35)</f>
        <v>46058</v>
      </c>
      <c r="N3576">
        <f>IF(M3576="","",'Master Barang'!A70)</f>
        <v>0</v>
      </c>
      <c r="O3576">
        <f>IF(N3576="","",'Master Barang'!B70)</f>
        <v>0</v>
      </c>
      <c r="P3576">
        <f>IF(OR(M3576="",N3576=""),"",SUMIFS('Barang Keluar'!$E:$E,'Barang Keluar'!$A:$A,M3576,'Barang Keluar'!$C:$C,N3576))</f>
        <v>0</v>
      </c>
    </row>
    <row r="3577" spans="13:16">
      <c r="M3577" s="49">
        <f>IF($A$4+35&gt;$B$4,"",$A$4+35)</f>
        <v>46058</v>
      </c>
      <c r="N3577">
        <f>IF(M3577="","",'Master Barang'!A71)</f>
        <v>0</v>
      </c>
      <c r="O3577">
        <f>IF(N3577="","",'Master Barang'!B71)</f>
        <v>0</v>
      </c>
      <c r="P3577">
        <f>IF(OR(M3577="",N3577=""),"",SUMIFS('Barang Keluar'!$E:$E,'Barang Keluar'!$A:$A,M3577,'Barang Keluar'!$C:$C,N3577))</f>
        <v>0</v>
      </c>
    </row>
    <row r="3578" spans="13:16">
      <c r="M3578" s="49">
        <f>IF($A$4+35&gt;$B$4,"",$A$4+35)</f>
        <v>46058</v>
      </c>
      <c r="N3578">
        <f>IF(M3578="","",'Master Barang'!A72)</f>
        <v>0</v>
      </c>
      <c r="O3578">
        <f>IF(N3578="","",'Master Barang'!B72)</f>
        <v>0</v>
      </c>
      <c r="P3578">
        <f>IF(OR(M3578="",N3578=""),"",SUMIFS('Barang Keluar'!$E:$E,'Barang Keluar'!$A:$A,M3578,'Barang Keluar'!$C:$C,N3578))</f>
        <v>0</v>
      </c>
    </row>
    <row r="3579" spans="13:16">
      <c r="M3579" s="49">
        <f>IF($A$4+35&gt;$B$4,"",$A$4+35)</f>
        <v>46058</v>
      </c>
      <c r="N3579">
        <f>IF(M3579="","",'Master Barang'!A73)</f>
        <v>0</v>
      </c>
      <c r="O3579">
        <f>IF(N3579="","",'Master Barang'!B73)</f>
        <v>0</v>
      </c>
      <c r="P3579">
        <f>IF(OR(M3579="",N3579=""),"",SUMIFS('Barang Keluar'!$E:$E,'Barang Keluar'!$A:$A,M3579,'Barang Keluar'!$C:$C,N3579))</f>
        <v>0</v>
      </c>
    </row>
    <row r="3580" spans="13:16">
      <c r="M3580" s="49">
        <f>IF($A$4+35&gt;$B$4,"",$A$4+35)</f>
        <v>46058</v>
      </c>
      <c r="N3580">
        <f>IF(M3580="","",'Master Barang'!A74)</f>
        <v>0</v>
      </c>
      <c r="O3580">
        <f>IF(N3580="","",'Master Barang'!B74)</f>
        <v>0</v>
      </c>
      <c r="P3580">
        <f>IF(OR(M3580="",N3580=""),"",SUMIFS('Barang Keluar'!$E:$E,'Barang Keluar'!$A:$A,M3580,'Barang Keluar'!$C:$C,N3580))</f>
        <v>0</v>
      </c>
    </row>
    <row r="3581" spans="13:16">
      <c r="M3581" s="49">
        <f>IF($A$4+35&gt;$B$4,"",$A$4+35)</f>
        <v>46058</v>
      </c>
      <c r="N3581">
        <f>IF(M3581="","",'Master Barang'!A75)</f>
        <v>0</v>
      </c>
      <c r="O3581">
        <f>IF(N3581="","",'Master Barang'!B75)</f>
        <v>0</v>
      </c>
      <c r="P3581">
        <f>IF(OR(M3581="",N3581=""),"",SUMIFS('Barang Keluar'!$E:$E,'Barang Keluar'!$A:$A,M3581,'Barang Keluar'!$C:$C,N3581))</f>
        <v>0</v>
      </c>
    </row>
    <row r="3582" spans="13:16">
      <c r="M3582" s="49">
        <f>IF($A$4+35&gt;$B$4,"",$A$4+35)</f>
        <v>46058</v>
      </c>
      <c r="N3582">
        <f>IF(M3582="","",'Master Barang'!A76)</f>
        <v>0</v>
      </c>
      <c r="O3582">
        <f>IF(N3582="","",'Master Barang'!B76)</f>
        <v>0</v>
      </c>
      <c r="P3582">
        <f>IF(OR(M3582="",N3582=""),"",SUMIFS('Barang Keluar'!$E:$E,'Barang Keluar'!$A:$A,M3582,'Barang Keluar'!$C:$C,N3582))</f>
        <v>0</v>
      </c>
    </row>
    <row r="3583" spans="13:16">
      <c r="M3583" s="49">
        <f>IF($A$4+35&gt;$B$4,"",$A$4+35)</f>
        <v>46058</v>
      </c>
      <c r="N3583">
        <f>IF(M3583="","",'Master Barang'!A77)</f>
        <v>0</v>
      </c>
      <c r="O3583">
        <f>IF(N3583="","",'Master Barang'!B77)</f>
        <v>0</v>
      </c>
      <c r="P3583">
        <f>IF(OR(M3583="",N3583=""),"",SUMIFS('Barang Keluar'!$E:$E,'Barang Keluar'!$A:$A,M3583,'Barang Keluar'!$C:$C,N3583))</f>
        <v>0</v>
      </c>
    </row>
    <row r="3584" spans="13:16">
      <c r="M3584" s="49">
        <f>IF($A$4+35&gt;$B$4,"",$A$4+35)</f>
        <v>46058</v>
      </c>
      <c r="N3584">
        <f>IF(M3584="","",'Master Barang'!A78)</f>
        <v>0</v>
      </c>
      <c r="O3584">
        <f>IF(N3584="","",'Master Barang'!B78)</f>
        <v>0</v>
      </c>
      <c r="P3584">
        <f>IF(OR(M3584="",N3584=""),"",SUMIFS('Barang Keluar'!$E:$E,'Barang Keluar'!$A:$A,M3584,'Barang Keluar'!$C:$C,N3584))</f>
        <v>0</v>
      </c>
    </row>
    <row r="3585" spans="13:16">
      <c r="M3585" s="49">
        <f>IF($A$4+35&gt;$B$4,"",$A$4+35)</f>
        <v>46058</v>
      </c>
      <c r="N3585">
        <f>IF(M3585="","",'Master Barang'!A79)</f>
        <v>0</v>
      </c>
      <c r="O3585">
        <f>IF(N3585="","",'Master Barang'!B79)</f>
        <v>0</v>
      </c>
      <c r="P3585">
        <f>IF(OR(M3585="",N3585=""),"",SUMIFS('Barang Keluar'!$E:$E,'Barang Keluar'!$A:$A,M3585,'Barang Keluar'!$C:$C,N3585))</f>
        <v>0</v>
      </c>
    </row>
    <row r="3586" spans="13:16">
      <c r="M3586" s="49">
        <f>IF($A$4+35&gt;$B$4,"",$A$4+35)</f>
        <v>46058</v>
      </c>
      <c r="N3586">
        <f>IF(M3586="","",'Master Barang'!A80)</f>
        <v>0</v>
      </c>
      <c r="O3586">
        <f>IF(N3586="","",'Master Barang'!B80)</f>
        <v>0</v>
      </c>
      <c r="P3586">
        <f>IF(OR(M3586="",N3586=""),"",SUMIFS('Barang Keluar'!$E:$E,'Barang Keluar'!$A:$A,M3586,'Barang Keluar'!$C:$C,N3586))</f>
        <v>0</v>
      </c>
    </row>
    <row r="3587" spans="13:16">
      <c r="M3587" s="49">
        <f>IF($A$4+35&gt;$B$4,"",$A$4+35)</f>
        <v>46058</v>
      </c>
      <c r="N3587">
        <f>IF(M3587="","",'Master Barang'!A81)</f>
        <v>0</v>
      </c>
      <c r="O3587">
        <f>IF(N3587="","",'Master Barang'!B81)</f>
        <v>0</v>
      </c>
      <c r="P3587">
        <f>IF(OR(M3587="",N3587=""),"",SUMIFS('Barang Keluar'!$E:$E,'Barang Keluar'!$A:$A,M3587,'Barang Keluar'!$C:$C,N3587))</f>
        <v>0</v>
      </c>
    </row>
    <row r="3588" spans="13:16">
      <c r="M3588" s="49">
        <f>IF($A$4+35&gt;$B$4,"",$A$4+35)</f>
        <v>46058</v>
      </c>
      <c r="N3588">
        <f>IF(M3588="","",'Master Barang'!A82)</f>
        <v>0</v>
      </c>
      <c r="O3588">
        <f>IF(N3588="","",'Master Barang'!B82)</f>
        <v>0</v>
      </c>
      <c r="P3588">
        <f>IF(OR(M3588="",N3588=""),"",SUMIFS('Barang Keluar'!$E:$E,'Barang Keluar'!$A:$A,M3588,'Barang Keluar'!$C:$C,N3588))</f>
        <v>0</v>
      </c>
    </row>
    <row r="3589" spans="13:16">
      <c r="M3589" s="49">
        <f>IF($A$4+35&gt;$B$4,"",$A$4+35)</f>
        <v>46058</v>
      </c>
      <c r="N3589">
        <f>IF(M3589="","",'Master Barang'!A83)</f>
        <v>0</v>
      </c>
      <c r="O3589">
        <f>IF(N3589="","",'Master Barang'!B83)</f>
        <v>0</v>
      </c>
      <c r="P3589">
        <f>IF(OR(M3589="",N3589=""),"",SUMIFS('Barang Keluar'!$E:$E,'Barang Keluar'!$A:$A,M3589,'Barang Keluar'!$C:$C,N3589))</f>
        <v>0</v>
      </c>
    </row>
    <row r="3590" spans="13:16">
      <c r="M3590" s="49">
        <f>IF($A$4+35&gt;$B$4,"",$A$4+35)</f>
        <v>46058</v>
      </c>
      <c r="N3590">
        <f>IF(M3590="","",'Master Barang'!A84)</f>
        <v>0</v>
      </c>
      <c r="O3590">
        <f>IF(N3590="","",'Master Barang'!B84)</f>
        <v>0</v>
      </c>
      <c r="P3590">
        <f>IF(OR(M3590="",N3590=""),"",SUMIFS('Barang Keluar'!$E:$E,'Barang Keluar'!$A:$A,M3590,'Barang Keluar'!$C:$C,N3590))</f>
        <v>0</v>
      </c>
    </row>
    <row r="3591" spans="13:16">
      <c r="M3591" s="49">
        <f>IF($A$4+35&gt;$B$4,"",$A$4+35)</f>
        <v>46058</v>
      </c>
      <c r="N3591">
        <f>IF(M3591="","",'Master Barang'!A85)</f>
        <v>0</v>
      </c>
      <c r="O3591">
        <f>IF(N3591="","",'Master Barang'!B85)</f>
        <v>0</v>
      </c>
      <c r="P3591">
        <f>IF(OR(M3591="",N3591=""),"",SUMIFS('Barang Keluar'!$E:$E,'Barang Keluar'!$A:$A,M3591,'Barang Keluar'!$C:$C,N3591))</f>
        <v>0</v>
      </c>
    </row>
    <row r="3592" spans="13:16">
      <c r="M3592" s="49">
        <f>IF($A$4+35&gt;$B$4,"",$A$4+35)</f>
        <v>46058</v>
      </c>
      <c r="N3592">
        <f>IF(M3592="","",'Master Barang'!A86)</f>
        <v>0</v>
      </c>
      <c r="O3592">
        <f>IF(N3592="","",'Master Barang'!B86)</f>
        <v>0</v>
      </c>
      <c r="P3592">
        <f>IF(OR(M3592="",N3592=""),"",SUMIFS('Barang Keluar'!$E:$E,'Barang Keluar'!$A:$A,M3592,'Barang Keluar'!$C:$C,N3592))</f>
        <v>0</v>
      </c>
    </row>
    <row r="3593" spans="13:16">
      <c r="M3593" s="49">
        <f>IF($A$4+35&gt;$B$4,"",$A$4+35)</f>
        <v>46058</v>
      </c>
      <c r="N3593">
        <f>IF(M3593="","",'Master Barang'!A87)</f>
        <v>0</v>
      </c>
      <c r="O3593">
        <f>IF(N3593="","",'Master Barang'!B87)</f>
        <v>0</v>
      </c>
      <c r="P3593">
        <f>IF(OR(M3593="",N3593=""),"",SUMIFS('Barang Keluar'!$E:$E,'Barang Keluar'!$A:$A,M3593,'Barang Keluar'!$C:$C,N3593))</f>
        <v>0</v>
      </c>
    </row>
    <row r="3594" spans="13:16">
      <c r="M3594" s="49">
        <f>IF($A$4+35&gt;$B$4,"",$A$4+35)</f>
        <v>46058</v>
      </c>
      <c r="N3594">
        <f>IF(M3594="","",'Master Barang'!A88)</f>
        <v>0</v>
      </c>
      <c r="O3594">
        <f>IF(N3594="","",'Master Barang'!B88)</f>
        <v>0</v>
      </c>
      <c r="P3594">
        <f>IF(OR(M3594="",N3594=""),"",SUMIFS('Barang Keluar'!$E:$E,'Barang Keluar'!$A:$A,M3594,'Barang Keluar'!$C:$C,N3594))</f>
        <v>0</v>
      </c>
    </row>
    <row r="3595" spans="13:16">
      <c r="M3595" s="49">
        <f>IF($A$4+35&gt;$B$4,"",$A$4+35)</f>
        <v>46058</v>
      </c>
      <c r="N3595">
        <f>IF(M3595="","",'Master Barang'!A89)</f>
        <v>0</v>
      </c>
      <c r="O3595">
        <f>IF(N3595="","",'Master Barang'!B89)</f>
        <v>0</v>
      </c>
      <c r="P3595">
        <f>IF(OR(M3595="",N3595=""),"",SUMIFS('Barang Keluar'!$E:$E,'Barang Keluar'!$A:$A,M3595,'Barang Keluar'!$C:$C,N3595))</f>
        <v>0</v>
      </c>
    </row>
    <row r="3596" spans="13:16">
      <c r="M3596" s="49">
        <f>IF($A$4+35&gt;$B$4,"",$A$4+35)</f>
        <v>46058</v>
      </c>
      <c r="N3596">
        <f>IF(M3596="","",'Master Barang'!A90)</f>
        <v>0</v>
      </c>
      <c r="O3596">
        <f>IF(N3596="","",'Master Barang'!B90)</f>
        <v>0</v>
      </c>
      <c r="P3596">
        <f>IF(OR(M3596="",N3596=""),"",SUMIFS('Barang Keluar'!$E:$E,'Barang Keluar'!$A:$A,M3596,'Barang Keluar'!$C:$C,N3596))</f>
        <v>0</v>
      </c>
    </row>
    <row r="3597" spans="13:16">
      <c r="M3597" s="49">
        <f>IF($A$4+35&gt;$B$4,"",$A$4+35)</f>
        <v>46058</v>
      </c>
      <c r="N3597">
        <f>IF(M3597="","",'Master Barang'!A91)</f>
        <v>0</v>
      </c>
      <c r="O3597">
        <f>IF(N3597="","",'Master Barang'!B91)</f>
        <v>0</v>
      </c>
      <c r="P3597">
        <f>IF(OR(M3597="",N3597=""),"",SUMIFS('Barang Keluar'!$E:$E,'Barang Keluar'!$A:$A,M3597,'Barang Keluar'!$C:$C,N3597))</f>
        <v>0</v>
      </c>
    </row>
    <row r="3598" spans="13:16">
      <c r="M3598" s="49">
        <f>IF($A$4+35&gt;$B$4,"",$A$4+35)</f>
        <v>46058</v>
      </c>
      <c r="N3598">
        <f>IF(M3598="","",'Master Barang'!A92)</f>
        <v>0</v>
      </c>
      <c r="O3598">
        <f>IF(N3598="","",'Master Barang'!B92)</f>
        <v>0</v>
      </c>
      <c r="P3598">
        <f>IF(OR(M3598="",N3598=""),"",SUMIFS('Barang Keluar'!$E:$E,'Barang Keluar'!$A:$A,M3598,'Barang Keluar'!$C:$C,N3598))</f>
        <v>0</v>
      </c>
    </row>
    <row r="3599" spans="13:16">
      <c r="M3599" s="49">
        <f>IF($A$4+35&gt;$B$4,"",$A$4+35)</f>
        <v>46058</v>
      </c>
      <c r="N3599">
        <f>IF(M3599="","",'Master Barang'!A93)</f>
        <v>0</v>
      </c>
      <c r="O3599">
        <f>IF(N3599="","",'Master Barang'!B93)</f>
        <v>0</v>
      </c>
      <c r="P3599">
        <f>IF(OR(M3599="",N3599=""),"",SUMIFS('Barang Keluar'!$E:$E,'Barang Keluar'!$A:$A,M3599,'Barang Keluar'!$C:$C,N3599))</f>
        <v>0</v>
      </c>
    </row>
    <row r="3600" spans="13:16">
      <c r="M3600" s="49">
        <f>IF($A$4+35&gt;$B$4,"",$A$4+35)</f>
        <v>46058</v>
      </c>
      <c r="N3600">
        <f>IF(M3600="","",'Master Barang'!A94)</f>
        <v>0</v>
      </c>
      <c r="O3600">
        <f>IF(N3600="","",'Master Barang'!B94)</f>
        <v>0</v>
      </c>
      <c r="P3600">
        <f>IF(OR(M3600="",N3600=""),"",SUMIFS('Barang Keluar'!$E:$E,'Barang Keluar'!$A:$A,M3600,'Barang Keluar'!$C:$C,N3600))</f>
        <v>0</v>
      </c>
    </row>
    <row r="3601" spans="13:16">
      <c r="M3601" s="49">
        <f>IF($A$4+35&gt;$B$4,"",$A$4+35)</f>
        <v>46058</v>
      </c>
      <c r="N3601">
        <f>IF(M3601="","",'Master Barang'!A95)</f>
        <v>0</v>
      </c>
      <c r="O3601">
        <f>IF(N3601="","",'Master Barang'!B95)</f>
        <v>0</v>
      </c>
      <c r="P3601">
        <f>IF(OR(M3601="",N3601=""),"",SUMIFS('Barang Keluar'!$E:$E,'Barang Keluar'!$A:$A,M3601,'Barang Keluar'!$C:$C,N3601))</f>
        <v>0</v>
      </c>
    </row>
    <row r="3602" spans="13:16">
      <c r="M3602" s="49">
        <f>IF($A$4+35&gt;$B$4,"",$A$4+35)</f>
        <v>46058</v>
      </c>
      <c r="N3602">
        <f>IF(M3602="","",'Master Barang'!A96)</f>
        <v>0</v>
      </c>
      <c r="O3602">
        <f>IF(N3602="","",'Master Barang'!B96)</f>
        <v>0</v>
      </c>
      <c r="P3602">
        <f>IF(OR(M3602="",N3602=""),"",SUMIFS('Barang Keluar'!$E:$E,'Barang Keluar'!$A:$A,M3602,'Barang Keluar'!$C:$C,N3602))</f>
        <v>0</v>
      </c>
    </row>
    <row r="3603" spans="13:16">
      <c r="M3603" s="49">
        <f>IF($A$4+35&gt;$B$4,"",$A$4+35)</f>
        <v>46058</v>
      </c>
      <c r="N3603">
        <f>IF(M3603="","",'Master Barang'!A97)</f>
        <v>0</v>
      </c>
      <c r="O3603">
        <f>IF(N3603="","",'Master Barang'!B97)</f>
        <v>0</v>
      </c>
      <c r="P3603">
        <f>IF(OR(M3603="",N3603=""),"",SUMIFS('Barang Keluar'!$E:$E,'Barang Keluar'!$A:$A,M3603,'Barang Keluar'!$C:$C,N3603))</f>
        <v>0</v>
      </c>
    </row>
    <row r="3604" spans="13:16">
      <c r="M3604" s="49">
        <f>IF($A$4+35&gt;$B$4,"",$A$4+35)</f>
        <v>46058</v>
      </c>
      <c r="N3604">
        <f>IF(M3604="","",'Master Barang'!A98)</f>
        <v>0</v>
      </c>
      <c r="O3604">
        <f>IF(N3604="","",'Master Barang'!B98)</f>
        <v>0</v>
      </c>
      <c r="P3604">
        <f>IF(OR(M3604="",N3604=""),"",SUMIFS('Barang Keluar'!$E:$E,'Barang Keluar'!$A:$A,M3604,'Barang Keluar'!$C:$C,N3604))</f>
        <v>0</v>
      </c>
    </row>
    <row r="3605" spans="13:16">
      <c r="M3605" s="49">
        <f>IF($A$4+35&gt;$B$4,"",$A$4+35)</f>
        <v>46058</v>
      </c>
      <c r="N3605">
        <f>IF(M3605="","",'Master Barang'!A99)</f>
        <v>0</v>
      </c>
      <c r="O3605">
        <f>IF(N3605="","",'Master Barang'!B99)</f>
        <v>0</v>
      </c>
      <c r="P3605">
        <f>IF(OR(M3605="",N3605=""),"",SUMIFS('Barang Keluar'!$E:$E,'Barang Keluar'!$A:$A,M3605,'Barang Keluar'!$C:$C,N3605))</f>
        <v>0</v>
      </c>
    </row>
    <row r="3606" spans="13:16">
      <c r="M3606" s="49">
        <f>IF($A$4+35&gt;$B$4,"",$A$4+35)</f>
        <v>46058</v>
      </c>
      <c r="N3606">
        <f>IF(M3606="","",'Master Barang'!A100)</f>
        <v>0</v>
      </c>
      <c r="O3606">
        <f>IF(N3606="","",'Master Barang'!B100)</f>
        <v>0</v>
      </c>
      <c r="P3606">
        <f>IF(OR(M3606="",N3606=""),"",SUMIFS('Barang Keluar'!$E:$E,'Barang Keluar'!$A:$A,M3606,'Barang Keluar'!$C:$C,N3606))</f>
        <v>0</v>
      </c>
    </row>
    <row r="3607" spans="13:16">
      <c r="M3607" s="49">
        <f>IF($A$4+35&gt;$B$4,"",$A$4+35)</f>
        <v>46058</v>
      </c>
      <c r="N3607">
        <f>IF(M3607="","",'Master Barang'!A101)</f>
        <v>0</v>
      </c>
      <c r="O3607">
        <f>IF(N3607="","",'Master Barang'!B101)</f>
        <v>0</v>
      </c>
      <c r="P3607">
        <f>IF(OR(M3607="",N3607=""),"",SUMIFS('Barang Keluar'!$E:$E,'Barang Keluar'!$A:$A,M3607,'Barang Keluar'!$C:$C,N3607))</f>
        <v>0</v>
      </c>
    </row>
    <row r="3608" spans="13:16">
      <c r="M3608" s="49">
        <f>IF($A$4+36&gt;$B$4,"",$A$4+36)</f>
        <v>46059</v>
      </c>
      <c r="N3608" t="str">
        <f>IF(M3608="","",'Master Barang'!A2)</f>
        <v>PRL-001</v>
      </c>
      <c r="O3608" t="str">
        <f>IF(N3608="","",'Master Barang'!B2)</f>
        <v>natura desinfectant food grade 5l</v>
      </c>
      <c r="P3608">
        <f>IF(OR(M3608="",N3608=""),"",SUMIFS('Barang Keluar'!$E:$E,'Barang Keluar'!$A:$A,M3608,'Barang Keluar'!$C:$C,N3608))</f>
        <v>0</v>
      </c>
    </row>
    <row r="3609" spans="13:16">
      <c r="M3609" s="49">
        <f>IF($A$4+36&gt;$B$4,"",$A$4+36)</f>
        <v>46059</v>
      </c>
      <c r="N3609" t="str">
        <f>IF(M3609="","",'Master Barang'!A3)</f>
        <v>PRL-002</v>
      </c>
      <c r="O3609" t="str">
        <f>IF(N3609="","",'Master Barang'!B3)</f>
        <v>sunlight cairan pencuci piring 5l</v>
      </c>
      <c r="P3609">
        <f>IF(OR(M3609="",N3609=""),"",SUMIFS('Barang Keluar'!$E:$E,'Barang Keluar'!$A:$A,M3609,'Barang Keluar'!$C:$C,N3609))</f>
        <v>0</v>
      </c>
    </row>
    <row r="3610" spans="13:16">
      <c r="M3610" s="49">
        <f>IF($A$4+36&gt;$B$4,"",$A$4+36)</f>
        <v>46059</v>
      </c>
      <c r="N3610" t="str">
        <f>IF(M3610="","",'Master Barang'!A4)</f>
        <v>PRL-003</v>
      </c>
      <c r="O3610" t="str">
        <f>IF(N3610="","",'Master Barang'!B4)</f>
        <v>oixs cleaner 1l</v>
      </c>
      <c r="P3610">
        <f>IF(OR(M3610="",N3610=""),"",SUMIFS('Barang Keluar'!$E:$E,'Barang Keluar'!$A:$A,M3610,'Barang Keluar'!$C:$C,N3610))</f>
        <v>0</v>
      </c>
    </row>
    <row r="3611" spans="13:16">
      <c r="M3611" s="49">
        <f>IF($A$4+36&gt;$B$4,"",$A$4+36)</f>
        <v>46059</v>
      </c>
      <c r="N3611" t="str">
        <f>IF(M3611="","",'Master Barang'!A5)</f>
        <v>PRL-004</v>
      </c>
      <c r="O3611" t="str">
        <f>IF(N3611="","",'Master Barang'!B5)</f>
        <v>be clean tissue serbaguna</v>
      </c>
      <c r="P3611">
        <f>IF(OR(M3611="",N3611=""),"",SUMIFS('Barang Keluar'!$E:$E,'Barang Keluar'!$A:$A,M3611,'Barang Keluar'!$C:$C,N3611))</f>
        <v>0</v>
      </c>
    </row>
    <row r="3612" spans="13:16">
      <c r="M3612" s="49">
        <f>IF($A$4+36&gt;$B$4,"",$A$4+36)</f>
        <v>46059</v>
      </c>
      <c r="N3612" t="str">
        <f>IF(M3612="","",'Master Barang'!A6)</f>
        <v>PRL-005</v>
      </c>
      <c r="O3612" t="str">
        <f>IF(N3612="","",'Master Barang'!B6)</f>
        <v>spons cuci hijau</v>
      </c>
      <c r="P3612">
        <f>IF(OR(M3612="",N3612=""),"",SUMIFS('Barang Keluar'!$E:$E,'Barang Keluar'!$A:$A,M3612,'Barang Keluar'!$C:$C,N3612))</f>
        <v>0</v>
      </c>
    </row>
    <row r="3613" spans="13:16">
      <c r="M3613" s="49">
        <f>IF($A$4+36&gt;$B$4,"",$A$4+36)</f>
        <v>46059</v>
      </c>
      <c r="N3613" t="str">
        <f>IF(M3613="","",'Master Barang'!A7)</f>
        <v>PRL-006</v>
      </c>
      <c r="O3613" t="str">
        <f>IF(N3613="","",'Master Barang'!B7)</f>
        <v>sabut cuci stainless</v>
      </c>
      <c r="P3613">
        <f>IF(OR(M3613="",N3613=""),"",SUMIFS('Barang Keluar'!$E:$E,'Barang Keluar'!$A:$A,M3613,'Barang Keluar'!$C:$C,N3613))</f>
        <v>0</v>
      </c>
    </row>
    <row r="3614" spans="13:16">
      <c r="M3614" s="49">
        <f>IF($A$4+36&gt;$B$4,"",$A$4+36)</f>
        <v>46059</v>
      </c>
      <c r="N3614" t="str">
        <f>IF(M3614="","",'Master Barang'!A8)</f>
        <v>PRL-007</v>
      </c>
      <c r="O3614" t="str">
        <f>IF(N3614="","",'Master Barang'!B8)</f>
        <v>plastik kresek besar merah 50pc</v>
      </c>
      <c r="P3614">
        <f>IF(OR(M3614="",N3614=""),"",SUMIFS('Barang Keluar'!$E:$E,'Barang Keluar'!$A:$A,M3614,'Barang Keluar'!$C:$C,N3614))</f>
        <v>0</v>
      </c>
    </row>
    <row r="3615" spans="13:16">
      <c r="M3615" s="49">
        <f>IF($A$4+36&gt;$B$4,"",$A$4+36)</f>
        <v>46059</v>
      </c>
      <c r="N3615" t="str">
        <f>IF(M3615="","",'Master Barang'!A9)</f>
        <v>PRL-008</v>
      </c>
      <c r="O3615" t="str">
        <f>IF(N3615="","",'Master Barang'!B9)</f>
        <v>lap besar</v>
      </c>
      <c r="P3615">
        <f>IF(OR(M3615="",N3615=""),"",SUMIFS('Barang Keluar'!$E:$E,'Barang Keluar'!$A:$A,M3615,'Barang Keluar'!$C:$C,N3615))</f>
        <v>0</v>
      </c>
    </row>
    <row r="3616" spans="13:16">
      <c r="M3616" s="49">
        <f>IF($A$4+36&gt;$B$4,"",$A$4+36)</f>
        <v>46059</v>
      </c>
      <c r="N3616" t="str">
        <f>IF(M3616="","",'Master Barang'!A10)</f>
        <v>PRL-009</v>
      </c>
      <c r="O3616" t="str">
        <f>IF(N3616="","",'Master Barang'!B10)</f>
        <v>lap microfiber</v>
      </c>
      <c r="P3616">
        <f>IF(OR(M3616="",N3616=""),"",SUMIFS('Barang Keluar'!$E:$E,'Barang Keluar'!$A:$A,M3616,'Barang Keluar'!$C:$C,N3616))</f>
        <v>0</v>
      </c>
    </row>
    <row r="3617" spans="13:16">
      <c r="M3617" s="49">
        <f>IF($A$4+36&gt;$B$4,"",$A$4+36)</f>
        <v>46059</v>
      </c>
      <c r="N3617" t="str">
        <f>IF(M3617="","",'Master Barang'!A11)</f>
        <v>PRL-010</v>
      </c>
      <c r="O3617" t="str">
        <f>IF(N3617="","",'Master Barang'!B11)</f>
        <v>lap kecil</v>
      </c>
      <c r="P3617">
        <f>IF(OR(M3617="",N3617=""),"",SUMIFS('Barang Keluar'!$E:$E,'Barang Keluar'!$A:$A,M3617,'Barang Keluar'!$C:$C,N3617))</f>
        <v>0</v>
      </c>
    </row>
    <row r="3618" spans="13:16">
      <c r="M3618" s="49">
        <f>IF($A$4+36&gt;$B$4,"",$A$4+36)</f>
        <v>46059</v>
      </c>
      <c r="N3618" t="str">
        <f>IF(M3618="","",'Master Barang'!A12)</f>
        <v>PRL-011</v>
      </c>
      <c r="O3618" t="str">
        <f>IF(N3618="","",'Master Barang'!B12)</f>
        <v>kanebo kecil</v>
      </c>
      <c r="P3618">
        <f>IF(OR(M3618="",N3618=""),"",SUMIFS('Barang Keluar'!$E:$E,'Barang Keluar'!$A:$A,M3618,'Barang Keluar'!$C:$C,N3618))</f>
        <v>0</v>
      </c>
    </row>
    <row r="3619" spans="13:16">
      <c r="M3619" s="49">
        <f>IF($A$4+36&gt;$B$4,"",$A$4+36)</f>
        <v>46059</v>
      </c>
      <c r="N3619" t="str">
        <f>IF(M3619="","",'Master Barang'!A13)</f>
        <v>PRL-012</v>
      </c>
      <c r="O3619" t="str">
        <f>IF(N3619="","",'Master Barang'!B13)</f>
        <v>plastik 1/4kg joyoboyo 100 lembar</v>
      </c>
      <c r="P3619">
        <f>IF(OR(M3619="",N3619=""),"",SUMIFS('Barang Keluar'!$E:$E,'Barang Keluar'!$A:$A,M3619,'Barang Keluar'!$C:$C,N3619))</f>
        <v>0</v>
      </c>
    </row>
    <row r="3620" spans="13:16">
      <c r="M3620" s="49">
        <f>IF($A$4+36&gt;$B$4,"",$A$4+36)</f>
        <v>46059</v>
      </c>
      <c r="N3620" t="str">
        <f>IF(M3620="","",'Master Barang'!A14)</f>
        <v>PRL-013</v>
      </c>
      <c r="O3620" t="str">
        <f>IF(N3620="","",'Master Barang'!B14)</f>
        <v>sarung tangan plastik kaka 100 pcs</v>
      </c>
      <c r="P3620">
        <f>IF(OR(M3620="",N3620=""),"",SUMIFS('Barang Keluar'!$E:$E,'Barang Keluar'!$A:$A,M3620,'Barang Keluar'!$C:$C,N3620))</f>
        <v>0</v>
      </c>
    </row>
    <row r="3621" spans="13:16">
      <c r="M3621" s="49">
        <f>IF($A$4+36&gt;$B$4,"",$A$4+36)</f>
        <v>46059</v>
      </c>
      <c r="N3621" t="str">
        <f>IF(M3621="","",'Master Barang'!A15)</f>
        <v>PRL-014</v>
      </c>
      <c r="O3621" t="str">
        <f>IF(N3621="","",'Master Barang'!B15)</f>
        <v>optima trashbag 80x100</v>
      </c>
      <c r="P3621">
        <f>IF(OR(M3621="",N3621=""),"",SUMIFS('Barang Keluar'!$E:$E,'Barang Keluar'!$A:$A,M3621,'Barang Keluar'!$C:$C,N3621))</f>
        <v>0</v>
      </c>
    </row>
    <row r="3622" spans="13:16">
      <c r="M3622" s="49">
        <f>IF($A$4+36&gt;$B$4,"",$A$4+36)</f>
        <v>46059</v>
      </c>
      <c r="N3622" t="str">
        <f>IF(M3622="","",'Master Barang'!A16)</f>
        <v>PRL-015</v>
      </c>
      <c r="O3622" t="str">
        <f>IF(N3622="","",'Master Barang'!B16)</f>
        <v>optima trashbag 60x100</v>
      </c>
      <c r="P3622">
        <f>IF(OR(M3622="",N3622=""),"",SUMIFS('Barang Keluar'!$E:$E,'Barang Keluar'!$A:$A,M3622,'Barang Keluar'!$C:$C,N3622))</f>
        <v>0</v>
      </c>
    </row>
    <row r="3623" spans="13:16">
      <c r="M3623" s="49">
        <f>IF($A$4+36&gt;$B$4,"",$A$4+36)</f>
        <v>46059</v>
      </c>
      <c r="N3623" t="str">
        <f>IF(M3623="","",'Master Barang'!A17)</f>
        <v>PRL-016</v>
      </c>
      <c r="O3623" t="str">
        <f>IF(N3623="","",'Master Barang'!B17)</f>
        <v>rajawali trashbag 30x40</v>
      </c>
      <c r="P3623">
        <f>IF(OR(M3623="",N3623=""),"",SUMIFS('Barang Keluar'!$E:$E,'Barang Keluar'!$A:$A,M3623,'Barang Keluar'!$C:$C,N3623))</f>
        <v>0</v>
      </c>
    </row>
    <row r="3624" spans="13:16">
      <c r="M3624" s="49">
        <f>IF($A$4+36&gt;$B$4,"",$A$4+36)</f>
        <v>46059</v>
      </c>
      <c r="N3624" t="str">
        <f>IF(M3624="","",'Master Barang'!A18)</f>
        <v>PRL-017</v>
      </c>
      <c r="O3624" t="str">
        <f>IF(N3624="","",'Master Barang'!B18)</f>
        <v>onemed masker biru 3 play 50 pcs</v>
      </c>
      <c r="P3624">
        <f>IF(OR(M3624="",N3624=""),"",SUMIFS('Barang Keluar'!$E:$E,'Barang Keluar'!$A:$A,M3624,'Barang Keluar'!$C:$C,N3624))</f>
        <v>0</v>
      </c>
    </row>
    <row r="3625" spans="13:16">
      <c r="M3625" s="49">
        <f>IF($A$4+36&gt;$B$4,"",$A$4+36)</f>
        <v>46059</v>
      </c>
      <c r="N3625" t="str">
        <f>IF(M3625="","",'Master Barang'!A19)</f>
        <v>PRL-018</v>
      </c>
      <c r="O3625" t="str">
        <f>IF(N3625="","",'Master Barang'!B19)</f>
        <v>onemed masker biru 3 play hijab 50 pcs</v>
      </c>
      <c r="P3625">
        <f>IF(OR(M3625="",N3625=""),"",SUMIFS('Barang Keluar'!$E:$E,'Barang Keluar'!$A:$A,M3625,'Barang Keluar'!$C:$C,N3625))</f>
        <v>0</v>
      </c>
    </row>
    <row r="3626" spans="13:16">
      <c r="M3626" s="49">
        <f>IF($A$4+36&gt;$B$4,"",$A$4+36)</f>
        <v>46059</v>
      </c>
      <c r="N3626" t="str">
        <f>IF(M3626="","",'Master Barang'!A20)</f>
        <v>PRL-019</v>
      </c>
      <c r="O3626" t="str">
        <f>IF(N3626="","",'Master Barang'!B20)</f>
        <v>neo health masker biru 3 play 50 pcs</v>
      </c>
      <c r="P3626">
        <f>IF(OR(M3626="",N3626=""),"",SUMIFS('Barang Keluar'!$E:$E,'Barang Keluar'!$A:$A,M3626,'Barang Keluar'!$C:$C,N3626))</f>
        <v>0</v>
      </c>
    </row>
    <row r="3627" spans="13:16">
      <c r="M3627" s="49">
        <f>IF($A$4+36&gt;$B$4,"",$A$4+36)</f>
        <v>46059</v>
      </c>
      <c r="N3627" t="str">
        <f>IF(M3627="","",'Master Barang'!A21)</f>
        <v>PRL-020</v>
      </c>
      <c r="O3627" t="str">
        <f>IF(N3627="","",'Master Barang'!B21)</f>
        <v>baymed masker hijau 3 play hijau 50 pcs</v>
      </c>
      <c r="P3627">
        <f>IF(OR(M3627="",N3627=""),"",SUMIFS('Barang Keluar'!$E:$E,'Barang Keluar'!$A:$A,M3627,'Barang Keluar'!$C:$C,N3627))</f>
        <v>0</v>
      </c>
    </row>
    <row r="3628" spans="13:16">
      <c r="M3628" s="49">
        <f>IF($A$4+36&gt;$B$4,"",$A$4+36)</f>
        <v>46059</v>
      </c>
      <c r="N3628" t="str">
        <f>IF(M3628="","",'Master Barang'!A22)</f>
        <v>PRL-021</v>
      </c>
      <c r="O3628" t="str">
        <f>IF(N3628="","",'Master Barang'!B22)</f>
        <v>altamed nurse cap penutup kepala 100 pcs</v>
      </c>
      <c r="P3628">
        <f>IF(OR(M3628="",N3628=""),"",SUMIFS('Barang Keluar'!$E:$E,'Barang Keluar'!$A:$A,M3628,'Barang Keluar'!$C:$C,N3628))</f>
        <v>0</v>
      </c>
    </row>
    <row r="3629" spans="13:16">
      <c r="M3629" s="49">
        <f>IF($A$4+36&gt;$B$4,"",$A$4+36)</f>
        <v>46059</v>
      </c>
      <c r="N3629" t="str">
        <f>IF(M3629="","",'Master Barang'!A23)</f>
        <v>PRL-022</v>
      </c>
      <c r="O3629" t="str">
        <f>IF(N3629="","",'Master Barang'!B23)</f>
        <v>sabun cuci tangan</v>
      </c>
      <c r="P3629">
        <f>IF(OR(M3629="",N3629=""),"",SUMIFS('Barang Keluar'!$E:$E,'Barang Keluar'!$A:$A,M3629,'Barang Keluar'!$C:$C,N3629))</f>
        <v>0</v>
      </c>
    </row>
    <row r="3630" spans="13:16">
      <c r="M3630" s="49">
        <f>IF($A$4+36&gt;$B$4,"",$A$4+36)</f>
        <v>46059</v>
      </c>
      <c r="N3630" t="str">
        <f>IF(M3630="","",'Master Barang'!A24)</f>
        <v>PRL-023</v>
      </c>
      <c r="O3630" t="str">
        <f>IF(N3630="","",'Master Barang'!B24)</f>
        <v>gayung kecil</v>
      </c>
      <c r="P3630">
        <f>IF(OR(M3630="",N3630=""),"",SUMIFS('Barang Keluar'!$E:$E,'Barang Keluar'!$A:$A,M3630,'Barang Keluar'!$C:$C,N3630))</f>
        <v>0</v>
      </c>
    </row>
    <row r="3631" spans="13:16">
      <c r="M3631" s="49">
        <f>IF($A$4+36&gt;$B$4,"",$A$4+36)</f>
        <v>46059</v>
      </c>
      <c r="N3631" t="str">
        <f>IF(M3631="","",'Master Barang'!A25)</f>
        <v>PRL-024</v>
      </c>
      <c r="O3631" t="str">
        <f>IF(N3631="","",'Master Barang'!B25)</f>
        <v>cikrak kecil</v>
      </c>
      <c r="P3631">
        <f>IF(OR(M3631="",N3631=""),"",SUMIFS('Barang Keluar'!$E:$E,'Barang Keluar'!$A:$A,M3631,'Barang Keluar'!$C:$C,N3631))</f>
        <v>0</v>
      </c>
    </row>
    <row r="3632" spans="13:16">
      <c r="M3632" s="49">
        <f>IF($A$4+36&gt;$B$4,"",$A$4+36)</f>
        <v>46059</v>
      </c>
      <c r="N3632" t="str">
        <f>IF(M3632="","",'Master Barang'!A26)</f>
        <v>PRL-025</v>
      </c>
      <c r="O3632" t="str">
        <f>IF(N3632="","",'Master Barang'!B26)</f>
        <v>petromax plastik kecil 12x24 100 lembar</v>
      </c>
      <c r="P3632">
        <f>IF(OR(M3632="",N3632=""),"",SUMIFS('Barang Keluar'!$E:$E,'Barang Keluar'!$A:$A,M3632,'Barang Keluar'!$C:$C,N3632))</f>
        <v>0</v>
      </c>
    </row>
    <row r="3633" spans="13:16">
      <c r="M3633" s="49">
        <f>IF($A$4+36&gt;$B$4,"",$A$4+36)</f>
        <v>46059</v>
      </c>
      <c r="N3633" t="str">
        <f>IF(M3633="","",'Master Barang'!A27)</f>
        <v>PRL-026</v>
      </c>
      <c r="O3633" t="str">
        <f>IF(N3633="","",'Master Barang'!B27)</f>
        <v>lancar kresek kecil bening </v>
      </c>
      <c r="P3633">
        <f>IF(OR(M3633="",N3633=""),"",SUMIFS('Barang Keluar'!$E:$E,'Barang Keluar'!$A:$A,M3633,'Barang Keluar'!$C:$C,N3633))</f>
        <v>0</v>
      </c>
    </row>
    <row r="3634" spans="13:16">
      <c r="M3634" s="49">
        <f>IF($A$4+36&gt;$B$4,"",$A$4+36)</f>
        <v>46059</v>
      </c>
      <c r="N3634" t="str">
        <f>IF(M3634="","",'Master Barang'!A28)</f>
        <v>PRL-027</v>
      </c>
      <c r="O3634" t="str">
        <f>IF(N3634="","",'Master Barang'!B28)</f>
        <v>kresek klin warna warni kecil</v>
      </c>
      <c r="P3634">
        <f>IF(OR(M3634="",N3634=""),"",SUMIFS('Barang Keluar'!$E:$E,'Barang Keluar'!$A:$A,M3634,'Barang Keluar'!$C:$C,N3634))</f>
        <v>0</v>
      </c>
    </row>
    <row r="3635" spans="13:16">
      <c r="M3635" s="49">
        <f>IF($A$4+36&gt;$B$4,"",$A$4+36)</f>
        <v>46059</v>
      </c>
      <c r="N3635" t="str">
        <f>IF(M3635="","",'Master Barang'!A29)</f>
        <v>PRL-028</v>
      </c>
      <c r="O3635" t="str">
        <f>IF(N3635="","",'Master Barang'!B29)</f>
        <v>ctik plastik 7x10 100 pcs</v>
      </c>
      <c r="P3635">
        <f>IF(OR(M3635="",N3635=""),"",SUMIFS('Barang Keluar'!$E:$E,'Barang Keluar'!$A:$A,M3635,'Barang Keluar'!$C:$C,N3635))</f>
        <v>0</v>
      </c>
    </row>
    <row r="3636" spans="13:16">
      <c r="M3636" s="49">
        <f>IF($A$4+36&gt;$B$4,"",$A$4+36)</f>
        <v>46059</v>
      </c>
      <c r="N3636" t="str">
        <f>IF(M3636="","",'Master Barang'!A30)</f>
        <v>PRL-029</v>
      </c>
      <c r="O3636" t="str">
        <f>IF(N3636="","",'Master Barang'!B30)</f>
        <v>ctik plastik 6x10 100 pcs</v>
      </c>
      <c r="P3636">
        <f>IF(OR(M3636="",N3636=""),"",SUMIFS('Barang Keluar'!$E:$E,'Barang Keluar'!$A:$A,M3636,'Barang Keluar'!$C:$C,N3636))</f>
        <v>0</v>
      </c>
    </row>
    <row r="3637" spans="13:16">
      <c r="M3637" s="49">
        <f>IF($A$4+36&gt;$B$4,"",$A$4+36)</f>
        <v>46059</v>
      </c>
      <c r="N3637" t="str">
        <f>IF(M3637="","",'Master Barang'!A31)</f>
        <v>PRL-030</v>
      </c>
      <c r="O3637" t="str">
        <f>IF(N3637="","",'Master Barang'!B31)</f>
        <v>klip plastik 25x16 100 pcs</v>
      </c>
      <c r="P3637">
        <f>IF(OR(M3637="",N3637=""),"",SUMIFS('Barang Keluar'!$E:$E,'Barang Keluar'!$A:$A,M3637,'Barang Keluar'!$C:$C,N3637))</f>
        <v>0</v>
      </c>
    </row>
    <row r="3638" spans="13:16">
      <c r="M3638" s="49">
        <f>IF($A$4+36&gt;$B$4,"",$A$4+36)</f>
        <v>46059</v>
      </c>
      <c r="N3638" t="str">
        <f>IF(M3638="","",'Master Barang'!A32)</f>
        <v>PRL-031</v>
      </c>
      <c r="O3638" t="str">
        <f>IF(N3638="","",'Master Barang'!B32)</f>
        <v>tempat saus 20 ml</v>
      </c>
      <c r="P3638">
        <f>IF(OR(M3638="",N3638=""),"",SUMIFS('Barang Keluar'!$E:$E,'Barang Keluar'!$A:$A,M3638,'Barang Keluar'!$C:$C,N3638))</f>
        <v>0</v>
      </c>
    </row>
    <row r="3639" spans="13:16">
      <c r="M3639" s="49">
        <f>IF($A$4+36&gt;$B$4,"",$A$4+36)</f>
        <v>46059</v>
      </c>
      <c r="N3639" t="str">
        <f>IF(M3639="","",'Master Barang'!A33)</f>
        <v>PRL-032</v>
      </c>
      <c r="O3639" t="str">
        <f>IF(N3639="","",'Master Barang'!B33)</f>
        <v>plastik packaging ag box uk sedang</v>
      </c>
      <c r="P3639">
        <f>IF(OR(M3639="",N3639=""),"",SUMIFS('Barang Keluar'!$E:$E,'Barang Keluar'!$A:$A,M3639,'Barang Keluar'!$C:$C,N3639))</f>
        <v>0</v>
      </c>
    </row>
    <row r="3640" spans="13:16">
      <c r="M3640" s="49">
        <f>IF($A$4+36&gt;$B$4,"",$A$4+36)</f>
        <v>46059</v>
      </c>
      <c r="N3640" t="str">
        <f>IF(M3640="","",'Master Barang'!A34)</f>
        <v>PRL-033</v>
      </c>
      <c r="O3640">
        <f>IF(N3640="","",'Master Barang'!B34)</f>
        <v>0</v>
      </c>
      <c r="P3640">
        <f>IF(OR(M3640="",N3640=""),"",SUMIFS('Barang Keluar'!$E:$E,'Barang Keluar'!$A:$A,M3640,'Barang Keluar'!$C:$C,N3640))</f>
        <v>0</v>
      </c>
    </row>
    <row r="3641" spans="13:16">
      <c r="M3641" s="49">
        <f>IF($A$4+36&gt;$B$4,"",$A$4+36)</f>
        <v>46059</v>
      </c>
      <c r="N3641">
        <f>IF(M3641="","",'Master Barang'!A35)</f>
        <v>0</v>
      </c>
      <c r="O3641">
        <f>IF(N3641="","",'Master Barang'!B35)</f>
        <v>0</v>
      </c>
      <c r="P3641">
        <f>IF(OR(M3641="",N3641=""),"",SUMIFS('Barang Keluar'!$E:$E,'Barang Keluar'!$A:$A,M3641,'Barang Keluar'!$C:$C,N3641))</f>
        <v>0</v>
      </c>
    </row>
    <row r="3642" spans="13:16">
      <c r="M3642" s="49">
        <f>IF($A$4+36&gt;$B$4,"",$A$4+36)</f>
        <v>46059</v>
      </c>
      <c r="N3642">
        <f>IF(M3642="","",'Master Barang'!A36)</f>
        <v>0</v>
      </c>
      <c r="O3642">
        <f>IF(N3642="","",'Master Barang'!B36)</f>
        <v>0</v>
      </c>
      <c r="P3642">
        <f>IF(OR(M3642="",N3642=""),"",SUMIFS('Barang Keluar'!$E:$E,'Barang Keluar'!$A:$A,M3642,'Barang Keluar'!$C:$C,N3642))</f>
        <v>0</v>
      </c>
    </row>
    <row r="3643" spans="13:16">
      <c r="M3643" s="49">
        <f>IF($A$4+36&gt;$B$4,"",$A$4+36)</f>
        <v>46059</v>
      </c>
      <c r="N3643">
        <f>IF(M3643="","",'Master Barang'!A37)</f>
        <v>0</v>
      </c>
      <c r="O3643">
        <f>IF(N3643="","",'Master Barang'!B37)</f>
        <v>0</v>
      </c>
      <c r="P3643">
        <f>IF(OR(M3643="",N3643=""),"",SUMIFS('Barang Keluar'!$E:$E,'Barang Keluar'!$A:$A,M3643,'Barang Keluar'!$C:$C,N3643))</f>
        <v>0</v>
      </c>
    </row>
    <row r="3644" spans="13:16">
      <c r="M3644" s="49">
        <f>IF($A$4+36&gt;$B$4,"",$A$4+36)</f>
        <v>46059</v>
      </c>
      <c r="N3644">
        <f>IF(M3644="","",'Master Barang'!A38)</f>
        <v>0</v>
      </c>
      <c r="O3644">
        <f>IF(N3644="","",'Master Barang'!B38)</f>
        <v>0</v>
      </c>
      <c r="P3644">
        <f>IF(OR(M3644="",N3644=""),"",SUMIFS('Barang Keluar'!$E:$E,'Barang Keluar'!$A:$A,M3644,'Barang Keluar'!$C:$C,N3644))</f>
        <v>0</v>
      </c>
    </row>
    <row r="3645" spans="13:16">
      <c r="M3645" s="49">
        <f>IF($A$4+36&gt;$B$4,"",$A$4+36)</f>
        <v>46059</v>
      </c>
      <c r="N3645">
        <f>IF(M3645="","",'Master Barang'!A39)</f>
        <v>0</v>
      </c>
      <c r="O3645">
        <f>IF(N3645="","",'Master Barang'!B39)</f>
        <v>0</v>
      </c>
      <c r="P3645">
        <f>IF(OR(M3645="",N3645=""),"",SUMIFS('Barang Keluar'!$E:$E,'Barang Keluar'!$A:$A,M3645,'Barang Keluar'!$C:$C,N3645))</f>
        <v>0</v>
      </c>
    </row>
    <row r="3646" spans="13:16">
      <c r="M3646" s="49">
        <f>IF($A$4+36&gt;$B$4,"",$A$4+36)</f>
        <v>46059</v>
      </c>
      <c r="N3646">
        <f>IF(M3646="","",'Master Barang'!A40)</f>
        <v>0</v>
      </c>
      <c r="O3646">
        <f>IF(N3646="","",'Master Barang'!B40)</f>
        <v>0</v>
      </c>
      <c r="P3646">
        <f>IF(OR(M3646="",N3646=""),"",SUMIFS('Barang Keluar'!$E:$E,'Barang Keluar'!$A:$A,M3646,'Barang Keluar'!$C:$C,N3646))</f>
        <v>0</v>
      </c>
    </row>
    <row r="3647" spans="13:16">
      <c r="M3647" s="49">
        <f>IF($A$4+36&gt;$B$4,"",$A$4+36)</f>
        <v>46059</v>
      </c>
      <c r="N3647">
        <f>IF(M3647="","",'Master Barang'!A41)</f>
        <v>0</v>
      </c>
      <c r="O3647">
        <f>IF(N3647="","",'Master Barang'!B41)</f>
        <v>0</v>
      </c>
      <c r="P3647">
        <f>IF(OR(M3647="",N3647=""),"",SUMIFS('Barang Keluar'!$E:$E,'Barang Keluar'!$A:$A,M3647,'Barang Keluar'!$C:$C,N3647))</f>
        <v>0</v>
      </c>
    </row>
    <row r="3648" spans="13:16">
      <c r="M3648" s="49">
        <f>IF($A$4+36&gt;$B$4,"",$A$4+36)</f>
        <v>46059</v>
      </c>
      <c r="N3648">
        <f>IF(M3648="","",'Master Barang'!A42)</f>
        <v>0</v>
      </c>
      <c r="O3648">
        <f>IF(N3648="","",'Master Barang'!B42)</f>
        <v>0</v>
      </c>
      <c r="P3648">
        <f>IF(OR(M3648="",N3648=""),"",SUMIFS('Barang Keluar'!$E:$E,'Barang Keluar'!$A:$A,M3648,'Barang Keluar'!$C:$C,N3648))</f>
        <v>0</v>
      </c>
    </row>
    <row r="3649" spans="13:16">
      <c r="M3649" s="49">
        <f>IF($A$4+36&gt;$B$4,"",$A$4+36)</f>
        <v>46059</v>
      </c>
      <c r="N3649">
        <f>IF(M3649="","",'Master Barang'!A43)</f>
        <v>0</v>
      </c>
      <c r="O3649">
        <f>IF(N3649="","",'Master Barang'!B43)</f>
        <v>0</v>
      </c>
      <c r="P3649">
        <f>IF(OR(M3649="",N3649=""),"",SUMIFS('Barang Keluar'!$E:$E,'Barang Keluar'!$A:$A,M3649,'Barang Keluar'!$C:$C,N3649))</f>
        <v>0</v>
      </c>
    </row>
    <row r="3650" spans="13:16">
      <c r="M3650" s="49">
        <f>IF($A$4+36&gt;$B$4,"",$A$4+36)</f>
        <v>46059</v>
      </c>
      <c r="N3650">
        <f>IF(M3650="","",'Master Barang'!A44)</f>
        <v>0</v>
      </c>
      <c r="O3650">
        <f>IF(N3650="","",'Master Barang'!B44)</f>
        <v>0</v>
      </c>
      <c r="P3650">
        <f>IF(OR(M3650="",N3650=""),"",SUMIFS('Barang Keluar'!$E:$E,'Barang Keluar'!$A:$A,M3650,'Barang Keluar'!$C:$C,N3650))</f>
        <v>0</v>
      </c>
    </row>
    <row r="3651" spans="13:16">
      <c r="M3651" s="49">
        <f>IF($A$4+36&gt;$B$4,"",$A$4+36)</f>
        <v>46059</v>
      </c>
      <c r="N3651">
        <f>IF(M3651="","",'Master Barang'!A45)</f>
        <v>0</v>
      </c>
      <c r="O3651">
        <f>IF(N3651="","",'Master Barang'!B45)</f>
        <v>0</v>
      </c>
      <c r="P3651">
        <f>IF(OR(M3651="",N3651=""),"",SUMIFS('Barang Keluar'!$E:$E,'Barang Keluar'!$A:$A,M3651,'Barang Keluar'!$C:$C,N3651))</f>
        <v>0</v>
      </c>
    </row>
    <row r="3652" spans="13:16">
      <c r="M3652" s="49">
        <f>IF($A$4+36&gt;$B$4,"",$A$4+36)</f>
        <v>46059</v>
      </c>
      <c r="N3652">
        <f>IF(M3652="","",'Master Barang'!A46)</f>
        <v>0</v>
      </c>
      <c r="O3652">
        <f>IF(N3652="","",'Master Barang'!B46)</f>
        <v>0</v>
      </c>
      <c r="P3652">
        <f>IF(OR(M3652="",N3652=""),"",SUMIFS('Barang Keluar'!$E:$E,'Barang Keluar'!$A:$A,M3652,'Barang Keluar'!$C:$C,N3652))</f>
        <v>0</v>
      </c>
    </row>
    <row r="3653" spans="13:16">
      <c r="M3653" s="49">
        <f>IF($A$4+36&gt;$B$4,"",$A$4+36)</f>
        <v>46059</v>
      </c>
      <c r="N3653">
        <f>IF(M3653="","",'Master Barang'!A47)</f>
        <v>0</v>
      </c>
      <c r="O3653">
        <f>IF(N3653="","",'Master Barang'!B47)</f>
        <v>0</v>
      </c>
      <c r="P3653">
        <f>IF(OR(M3653="",N3653=""),"",SUMIFS('Barang Keluar'!$E:$E,'Barang Keluar'!$A:$A,M3653,'Barang Keluar'!$C:$C,N3653))</f>
        <v>0</v>
      </c>
    </row>
    <row r="3654" spans="13:16">
      <c r="M3654" s="49">
        <f>IF($A$4+36&gt;$B$4,"",$A$4+36)</f>
        <v>46059</v>
      </c>
      <c r="N3654">
        <f>IF(M3654="","",'Master Barang'!A48)</f>
        <v>0</v>
      </c>
      <c r="O3654">
        <f>IF(N3654="","",'Master Barang'!B48)</f>
        <v>0</v>
      </c>
      <c r="P3654">
        <f>IF(OR(M3654="",N3654=""),"",SUMIFS('Barang Keluar'!$E:$E,'Barang Keluar'!$A:$A,M3654,'Barang Keluar'!$C:$C,N3654))</f>
        <v>0</v>
      </c>
    </row>
    <row r="3655" spans="13:16">
      <c r="M3655" s="49">
        <f>IF($A$4+36&gt;$B$4,"",$A$4+36)</f>
        <v>46059</v>
      </c>
      <c r="N3655">
        <f>IF(M3655="","",'Master Barang'!A49)</f>
        <v>0</v>
      </c>
      <c r="O3655">
        <f>IF(N3655="","",'Master Barang'!B49)</f>
        <v>0</v>
      </c>
      <c r="P3655">
        <f>IF(OR(M3655="",N3655=""),"",SUMIFS('Barang Keluar'!$E:$E,'Barang Keluar'!$A:$A,M3655,'Barang Keluar'!$C:$C,N3655))</f>
        <v>0</v>
      </c>
    </row>
    <row r="3656" spans="13:16">
      <c r="M3656" s="49">
        <f>IF($A$4+36&gt;$B$4,"",$A$4+36)</f>
        <v>46059</v>
      </c>
      <c r="N3656">
        <f>IF(M3656="","",'Master Barang'!A50)</f>
        <v>0</v>
      </c>
      <c r="O3656">
        <f>IF(N3656="","",'Master Barang'!B50)</f>
        <v>0</v>
      </c>
      <c r="P3656">
        <f>IF(OR(M3656="",N3656=""),"",SUMIFS('Barang Keluar'!$E:$E,'Barang Keluar'!$A:$A,M3656,'Barang Keluar'!$C:$C,N3656))</f>
        <v>0</v>
      </c>
    </row>
    <row r="3657" spans="13:16">
      <c r="M3657" s="49">
        <f>IF($A$4+36&gt;$B$4,"",$A$4+36)</f>
        <v>46059</v>
      </c>
      <c r="N3657">
        <f>IF(M3657="","",'Master Barang'!A51)</f>
        <v>0</v>
      </c>
      <c r="O3657">
        <f>IF(N3657="","",'Master Barang'!B51)</f>
        <v>0</v>
      </c>
      <c r="P3657">
        <f>IF(OR(M3657="",N3657=""),"",SUMIFS('Barang Keluar'!$E:$E,'Barang Keluar'!$A:$A,M3657,'Barang Keluar'!$C:$C,N3657))</f>
        <v>0</v>
      </c>
    </row>
    <row r="3658" spans="13:16">
      <c r="M3658" s="49">
        <f>IF($A$4+36&gt;$B$4,"",$A$4+36)</f>
        <v>46059</v>
      </c>
      <c r="N3658">
        <f>IF(M3658="","",'Master Barang'!A52)</f>
        <v>0</v>
      </c>
      <c r="O3658">
        <f>IF(N3658="","",'Master Barang'!B52)</f>
        <v>0</v>
      </c>
      <c r="P3658">
        <f>IF(OR(M3658="",N3658=""),"",SUMIFS('Barang Keluar'!$E:$E,'Barang Keluar'!$A:$A,M3658,'Barang Keluar'!$C:$C,N3658))</f>
        <v>0</v>
      </c>
    </row>
    <row r="3659" spans="13:16">
      <c r="M3659" s="49">
        <f>IF($A$4+36&gt;$B$4,"",$A$4+36)</f>
        <v>46059</v>
      </c>
      <c r="N3659">
        <f>IF(M3659="","",'Master Barang'!A53)</f>
        <v>0</v>
      </c>
      <c r="O3659">
        <f>IF(N3659="","",'Master Barang'!B53)</f>
        <v>0</v>
      </c>
      <c r="P3659">
        <f>IF(OR(M3659="",N3659=""),"",SUMIFS('Barang Keluar'!$E:$E,'Barang Keluar'!$A:$A,M3659,'Barang Keluar'!$C:$C,N3659))</f>
        <v>0</v>
      </c>
    </row>
    <row r="3660" spans="13:16">
      <c r="M3660" s="49">
        <f>IF($A$4+36&gt;$B$4,"",$A$4+36)</f>
        <v>46059</v>
      </c>
      <c r="N3660">
        <f>IF(M3660="","",'Master Barang'!A54)</f>
        <v>0</v>
      </c>
      <c r="O3660">
        <f>IF(N3660="","",'Master Barang'!B54)</f>
        <v>0</v>
      </c>
      <c r="P3660">
        <f>IF(OR(M3660="",N3660=""),"",SUMIFS('Barang Keluar'!$E:$E,'Barang Keluar'!$A:$A,M3660,'Barang Keluar'!$C:$C,N3660))</f>
        <v>0</v>
      </c>
    </row>
    <row r="3661" spans="13:16">
      <c r="M3661" s="49">
        <f>IF($A$4+36&gt;$B$4,"",$A$4+36)</f>
        <v>46059</v>
      </c>
      <c r="N3661">
        <f>IF(M3661="","",'Master Barang'!A55)</f>
        <v>0</v>
      </c>
      <c r="O3661">
        <f>IF(N3661="","",'Master Barang'!B55)</f>
        <v>0</v>
      </c>
      <c r="P3661">
        <f>IF(OR(M3661="",N3661=""),"",SUMIFS('Barang Keluar'!$E:$E,'Barang Keluar'!$A:$A,M3661,'Barang Keluar'!$C:$C,N3661))</f>
        <v>0</v>
      </c>
    </row>
    <row r="3662" spans="13:16">
      <c r="M3662" s="49">
        <f>IF($A$4+36&gt;$B$4,"",$A$4+36)</f>
        <v>46059</v>
      </c>
      <c r="N3662">
        <f>IF(M3662="","",'Master Barang'!A56)</f>
        <v>0</v>
      </c>
      <c r="O3662">
        <f>IF(N3662="","",'Master Barang'!B56)</f>
        <v>0</v>
      </c>
      <c r="P3662">
        <f>IF(OR(M3662="",N3662=""),"",SUMIFS('Barang Keluar'!$E:$E,'Barang Keluar'!$A:$A,M3662,'Barang Keluar'!$C:$C,N3662))</f>
        <v>0</v>
      </c>
    </row>
    <row r="3663" spans="13:16">
      <c r="M3663" s="49">
        <f>IF($A$4+36&gt;$B$4,"",$A$4+36)</f>
        <v>46059</v>
      </c>
      <c r="N3663">
        <f>IF(M3663="","",'Master Barang'!A57)</f>
        <v>0</v>
      </c>
      <c r="O3663">
        <f>IF(N3663="","",'Master Barang'!B57)</f>
        <v>0</v>
      </c>
      <c r="P3663">
        <f>IF(OR(M3663="",N3663=""),"",SUMIFS('Barang Keluar'!$E:$E,'Barang Keluar'!$A:$A,M3663,'Barang Keluar'!$C:$C,N3663))</f>
        <v>0</v>
      </c>
    </row>
    <row r="3664" spans="13:16">
      <c r="M3664" s="49">
        <f>IF($A$4+36&gt;$B$4,"",$A$4+36)</f>
        <v>46059</v>
      </c>
      <c r="N3664">
        <f>IF(M3664="","",'Master Barang'!A58)</f>
        <v>0</v>
      </c>
      <c r="O3664">
        <f>IF(N3664="","",'Master Barang'!B58)</f>
        <v>0</v>
      </c>
      <c r="P3664">
        <f>IF(OR(M3664="",N3664=""),"",SUMIFS('Barang Keluar'!$E:$E,'Barang Keluar'!$A:$A,M3664,'Barang Keluar'!$C:$C,N3664))</f>
        <v>0</v>
      </c>
    </row>
    <row r="3665" spans="13:16">
      <c r="M3665" s="49">
        <f>IF($A$4+36&gt;$B$4,"",$A$4+36)</f>
        <v>46059</v>
      </c>
      <c r="N3665">
        <f>IF(M3665="","",'Master Barang'!A59)</f>
        <v>0</v>
      </c>
      <c r="O3665">
        <f>IF(N3665="","",'Master Barang'!B59)</f>
        <v>0</v>
      </c>
      <c r="P3665">
        <f>IF(OR(M3665="",N3665=""),"",SUMIFS('Barang Keluar'!$E:$E,'Barang Keluar'!$A:$A,M3665,'Barang Keluar'!$C:$C,N3665))</f>
        <v>0</v>
      </c>
    </row>
    <row r="3666" spans="13:16">
      <c r="M3666" s="49">
        <f>IF($A$4+36&gt;$B$4,"",$A$4+36)</f>
        <v>46059</v>
      </c>
      <c r="N3666">
        <f>IF(M3666="","",'Master Barang'!A60)</f>
        <v>0</v>
      </c>
      <c r="O3666">
        <f>IF(N3666="","",'Master Barang'!B60)</f>
        <v>0</v>
      </c>
      <c r="P3666">
        <f>IF(OR(M3666="",N3666=""),"",SUMIFS('Barang Keluar'!$E:$E,'Barang Keluar'!$A:$A,M3666,'Barang Keluar'!$C:$C,N3666))</f>
        <v>0</v>
      </c>
    </row>
    <row r="3667" spans="13:16">
      <c r="M3667" s="49">
        <f>IF($A$4+36&gt;$B$4,"",$A$4+36)</f>
        <v>46059</v>
      </c>
      <c r="N3667">
        <f>IF(M3667="","",'Master Barang'!A61)</f>
        <v>0</v>
      </c>
      <c r="O3667">
        <f>IF(N3667="","",'Master Barang'!B61)</f>
        <v>0</v>
      </c>
      <c r="P3667">
        <f>IF(OR(M3667="",N3667=""),"",SUMIFS('Barang Keluar'!$E:$E,'Barang Keluar'!$A:$A,M3667,'Barang Keluar'!$C:$C,N3667))</f>
        <v>0</v>
      </c>
    </row>
    <row r="3668" spans="13:16">
      <c r="M3668" s="49">
        <f>IF($A$4+36&gt;$B$4,"",$A$4+36)</f>
        <v>46059</v>
      </c>
      <c r="N3668">
        <f>IF(M3668="","",'Master Barang'!A62)</f>
        <v>0</v>
      </c>
      <c r="O3668">
        <f>IF(N3668="","",'Master Barang'!B62)</f>
        <v>0</v>
      </c>
      <c r="P3668">
        <f>IF(OR(M3668="",N3668=""),"",SUMIFS('Barang Keluar'!$E:$E,'Barang Keluar'!$A:$A,M3668,'Barang Keluar'!$C:$C,N3668))</f>
        <v>0</v>
      </c>
    </row>
    <row r="3669" spans="13:16">
      <c r="M3669" s="49">
        <f>IF($A$4+36&gt;$B$4,"",$A$4+36)</f>
        <v>46059</v>
      </c>
      <c r="N3669">
        <f>IF(M3669="","",'Master Barang'!A63)</f>
        <v>0</v>
      </c>
      <c r="O3669">
        <f>IF(N3669="","",'Master Barang'!B63)</f>
        <v>0</v>
      </c>
      <c r="P3669">
        <f>IF(OR(M3669="",N3669=""),"",SUMIFS('Barang Keluar'!$E:$E,'Barang Keluar'!$A:$A,M3669,'Barang Keluar'!$C:$C,N3669))</f>
        <v>0</v>
      </c>
    </row>
    <row r="3670" spans="13:16">
      <c r="M3670" s="49">
        <f>IF($A$4+36&gt;$B$4,"",$A$4+36)</f>
        <v>46059</v>
      </c>
      <c r="N3670">
        <f>IF(M3670="","",'Master Barang'!A64)</f>
        <v>0</v>
      </c>
      <c r="O3670">
        <f>IF(N3670="","",'Master Barang'!B64)</f>
        <v>0</v>
      </c>
      <c r="P3670">
        <f>IF(OR(M3670="",N3670=""),"",SUMIFS('Barang Keluar'!$E:$E,'Barang Keluar'!$A:$A,M3670,'Barang Keluar'!$C:$C,N3670))</f>
        <v>0</v>
      </c>
    </row>
    <row r="3671" spans="13:16">
      <c r="M3671" s="49">
        <f>IF($A$4+36&gt;$B$4,"",$A$4+36)</f>
        <v>46059</v>
      </c>
      <c r="N3671">
        <f>IF(M3671="","",'Master Barang'!A65)</f>
        <v>0</v>
      </c>
      <c r="O3671">
        <f>IF(N3671="","",'Master Barang'!B65)</f>
        <v>0</v>
      </c>
      <c r="P3671">
        <f>IF(OR(M3671="",N3671=""),"",SUMIFS('Barang Keluar'!$E:$E,'Barang Keluar'!$A:$A,M3671,'Barang Keluar'!$C:$C,N3671))</f>
        <v>0</v>
      </c>
    </row>
    <row r="3672" spans="13:16">
      <c r="M3672" s="49">
        <f>IF($A$4+36&gt;$B$4,"",$A$4+36)</f>
        <v>46059</v>
      </c>
      <c r="N3672">
        <f>IF(M3672="","",'Master Barang'!A66)</f>
        <v>0</v>
      </c>
      <c r="O3672">
        <f>IF(N3672="","",'Master Barang'!B66)</f>
        <v>0</v>
      </c>
      <c r="P3672">
        <f>IF(OR(M3672="",N3672=""),"",SUMIFS('Barang Keluar'!$E:$E,'Barang Keluar'!$A:$A,M3672,'Barang Keluar'!$C:$C,N3672))</f>
        <v>0</v>
      </c>
    </row>
    <row r="3673" spans="13:16">
      <c r="M3673" s="49">
        <f>IF($A$4+36&gt;$B$4,"",$A$4+36)</f>
        <v>46059</v>
      </c>
      <c r="N3673">
        <f>IF(M3673="","",'Master Barang'!A67)</f>
        <v>0</v>
      </c>
      <c r="O3673">
        <f>IF(N3673="","",'Master Barang'!B67)</f>
        <v>0</v>
      </c>
      <c r="P3673">
        <f>IF(OR(M3673="",N3673=""),"",SUMIFS('Barang Keluar'!$E:$E,'Barang Keluar'!$A:$A,M3673,'Barang Keluar'!$C:$C,N3673))</f>
        <v>0</v>
      </c>
    </row>
    <row r="3674" spans="13:16">
      <c r="M3674" s="49">
        <f>IF($A$4+36&gt;$B$4,"",$A$4+36)</f>
        <v>46059</v>
      </c>
      <c r="N3674">
        <f>IF(M3674="","",'Master Barang'!A68)</f>
        <v>0</v>
      </c>
      <c r="O3674">
        <f>IF(N3674="","",'Master Barang'!B68)</f>
        <v>0</v>
      </c>
      <c r="P3674">
        <f>IF(OR(M3674="",N3674=""),"",SUMIFS('Barang Keluar'!$E:$E,'Barang Keluar'!$A:$A,M3674,'Barang Keluar'!$C:$C,N3674))</f>
        <v>0</v>
      </c>
    </row>
    <row r="3675" spans="13:16">
      <c r="M3675" s="49">
        <f>IF($A$4+36&gt;$B$4,"",$A$4+36)</f>
        <v>46059</v>
      </c>
      <c r="N3675">
        <f>IF(M3675="","",'Master Barang'!A69)</f>
        <v>0</v>
      </c>
      <c r="O3675">
        <f>IF(N3675="","",'Master Barang'!B69)</f>
        <v>0</v>
      </c>
      <c r="P3675">
        <f>IF(OR(M3675="",N3675=""),"",SUMIFS('Barang Keluar'!$E:$E,'Barang Keluar'!$A:$A,M3675,'Barang Keluar'!$C:$C,N3675))</f>
        <v>0</v>
      </c>
    </row>
    <row r="3676" spans="13:16">
      <c r="M3676" s="49">
        <f>IF($A$4+36&gt;$B$4,"",$A$4+36)</f>
        <v>46059</v>
      </c>
      <c r="N3676">
        <f>IF(M3676="","",'Master Barang'!A70)</f>
        <v>0</v>
      </c>
      <c r="O3676">
        <f>IF(N3676="","",'Master Barang'!B70)</f>
        <v>0</v>
      </c>
      <c r="P3676">
        <f>IF(OR(M3676="",N3676=""),"",SUMIFS('Barang Keluar'!$E:$E,'Barang Keluar'!$A:$A,M3676,'Barang Keluar'!$C:$C,N3676))</f>
        <v>0</v>
      </c>
    </row>
    <row r="3677" spans="13:16">
      <c r="M3677" s="49">
        <f>IF($A$4+36&gt;$B$4,"",$A$4+36)</f>
        <v>46059</v>
      </c>
      <c r="N3677">
        <f>IF(M3677="","",'Master Barang'!A71)</f>
        <v>0</v>
      </c>
      <c r="O3677">
        <f>IF(N3677="","",'Master Barang'!B71)</f>
        <v>0</v>
      </c>
      <c r="P3677">
        <f>IF(OR(M3677="",N3677=""),"",SUMIFS('Barang Keluar'!$E:$E,'Barang Keluar'!$A:$A,M3677,'Barang Keluar'!$C:$C,N3677))</f>
        <v>0</v>
      </c>
    </row>
    <row r="3678" spans="13:16">
      <c r="M3678" s="49">
        <f>IF($A$4+36&gt;$B$4,"",$A$4+36)</f>
        <v>46059</v>
      </c>
      <c r="N3678">
        <f>IF(M3678="","",'Master Barang'!A72)</f>
        <v>0</v>
      </c>
      <c r="O3678">
        <f>IF(N3678="","",'Master Barang'!B72)</f>
        <v>0</v>
      </c>
      <c r="P3678">
        <f>IF(OR(M3678="",N3678=""),"",SUMIFS('Barang Keluar'!$E:$E,'Barang Keluar'!$A:$A,M3678,'Barang Keluar'!$C:$C,N3678))</f>
        <v>0</v>
      </c>
    </row>
    <row r="3679" spans="13:16">
      <c r="M3679" s="49">
        <f>IF($A$4+36&gt;$B$4,"",$A$4+36)</f>
        <v>46059</v>
      </c>
      <c r="N3679">
        <f>IF(M3679="","",'Master Barang'!A73)</f>
        <v>0</v>
      </c>
      <c r="O3679">
        <f>IF(N3679="","",'Master Barang'!B73)</f>
        <v>0</v>
      </c>
      <c r="P3679">
        <f>IF(OR(M3679="",N3679=""),"",SUMIFS('Barang Keluar'!$E:$E,'Barang Keluar'!$A:$A,M3679,'Barang Keluar'!$C:$C,N3679))</f>
        <v>0</v>
      </c>
    </row>
    <row r="3680" spans="13:16">
      <c r="M3680" s="49">
        <f>IF($A$4+36&gt;$B$4,"",$A$4+36)</f>
        <v>46059</v>
      </c>
      <c r="N3680">
        <f>IF(M3680="","",'Master Barang'!A74)</f>
        <v>0</v>
      </c>
      <c r="O3680">
        <f>IF(N3680="","",'Master Barang'!B74)</f>
        <v>0</v>
      </c>
      <c r="P3680">
        <f>IF(OR(M3680="",N3680=""),"",SUMIFS('Barang Keluar'!$E:$E,'Barang Keluar'!$A:$A,M3680,'Barang Keluar'!$C:$C,N3680))</f>
        <v>0</v>
      </c>
    </row>
    <row r="3681" spans="13:16">
      <c r="M3681" s="49">
        <f>IF($A$4+36&gt;$B$4,"",$A$4+36)</f>
        <v>46059</v>
      </c>
      <c r="N3681">
        <f>IF(M3681="","",'Master Barang'!A75)</f>
        <v>0</v>
      </c>
      <c r="O3681">
        <f>IF(N3681="","",'Master Barang'!B75)</f>
        <v>0</v>
      </c>
      <c r="P3681">
        <f>IF(OR(M3681="",N3681=""),"",SUMIFS('Barang Keluar'!$E:$E,'Barang Keluar'!$A:$A,M3681,'Barang Keluar'!$C:$C,N3681))</f>
        <v>0</v>
      </c>
    </row>
    <row r="3682" spans="13:16">
      <c r="M3682" s="49">
        <f>IF($A$4+36&gt;$B$4,"",$A$4+36)</f>
        <v>46059</v>
      </c>
      <c r="N3682">
        <f>IF(M3682="","",'Master Barang'!A76)</f>
        <v>0</v>
      </c>
      <c r="O3682">
        <f>IF(N3682="","",'Master Barang'!B76)</f>
        <v>0</v>
      </c>
      <c r="P3682">
        <f>IF(OR(M3682="",N3682=""),"",SUMIFS('Barang Keluar'!$E:$E,'Barang Keluar'!$A:$A,M3682,'Barang Keluar'!$C:$C,N3682))</f>
        <v>0</v>
      </c>
    </row>
    <row r="3683" spans="13:16">
      <c r="M3683" s="49">
        <f>IF($A$4+36&gt;$B$4,"",$A$4+36)</f>
        <v>46059</v>
      </c>
      <c r="N3683">
        <f>IF(M3683="","",'Master Barang'!A77)</f>
        <v>0</v>
      </c>
      <c r="O3683">
        <f>IF(N3683="","",'Master Barang'!B77)</f>
        <v>0</v>
      </c>
      <c r="P3683">
        <f>IF(OR(M3683="",N3683=""),"",SUMIFS('Barang Keluar'!$E:$E,'Barang Keluar'!$A:$A,M3683,'Barang Keluar'!$C:$C,N3683))</f>
        <v>0</v>
      </c>
    </row>
    <row r="3684" spans="13:16">
      <c r="M3684" s="49">
        <f>IF($A$4+36&gt;$B$4,"",$A$4+36)</f>
        <v>46059</v>
      </c>
      <c r="N3684">
        <f>IF(M3684="","",'Master Barang'!A78)</f>
        <v>0</v>
      </c>
      <c r="O3684">
        <f>IF(N3684="","",'Master Barang'!B78)</f>
        <v>0</v>
      </c>
      <c r="P3684">
        <f>IF(OR(M3684="",N3684=""),"",SUMIFS('Barang Keluar'!$E:$E,'Barang Keluar'!$A:$A,M3684,'Barang Keluar'!$C:$C,N3684))</f>
        <v>0</v>
      </c>
    </row>
    <row r="3685" spans="13:16">
      <c r="M3685" s="49">
        <f>IF($A$4+36&gt;$B$4,"",$A$4+36)</f>
        <v>46059</v>
      </c>
      <c r="N3685">
        <f>IF(M3685="","",'Master Barang'!A79)</f>
        <v>0</v>
      </c>
      <c r="O3685">
        <f>IF(N3685="","",'Master Barang'!B79)</f>
        <v>0</v>
      </c>
      <c r="P3685">
        <f>IF(OR(M3685="",N3685=""),"",SUMIFS('Barang Keluar'!$E:$E,'Barang Keluar'!$A:$A,M3685,'Barang Keluar'!$C:$C,N3685))</f>
        <v>0</v>
      </c>
    </row>
    <row r="3686" spans="13:16">
      <c r="M3686" s="49">
        <f>IF($A$4+36&gt;$B$4,"",$A$4+36)</f>
        <v>46059</v>
      </c>
      <c r="N3686">
        <f>IF(M3686="","",'Master Barang'!A80)</f>
        <v>0</v>
      </c>
      <c r="O3686">
        <f>IF(N3686="","",'Master Barang'!B80)</f>
        <v>0</v>
      </c>
      <c r="P3686">
        <f>IF(OR(M3686="",N3686=""),"",SUMIFS('Barang Keluar'!$E:$E,'Barang Keluar'!$A:$A,M3686,'Barang Keluar'!$C:$C,N3686))</f>
        <v>0</v>
      </c>
    </row>
    <row r="3687" spans="13:16">
      <c r="M3687" s="49">
        <f>IF($A$4+36&gt;$B$4,"",$A$4+36)</f>
        <v>46059</v>
      </c>
      <c r="N3687">
        <f>IF(M3687="","",'Master Barang'!A81)</f>
        <v>0</v>
      </c>
      <c r="O3687">
        <f>IF(N3687="","",'Master Barang'!B81)</f>
        <v>0</v>
      </c>
      <c r="P3687">
        <f>IF(OR(M3687="",N3687=""),"",SUMIFS('Barang Keluar'!$E:$E,'Barang Keluar'!$A:$A,M3687,'Barang Keluar'!$C:$C,N3687))</f>
        <v>0</v>
      </c>
    </row>
    <row r="3688" spans="13:16">
      <c r="M3688" s="49">
        <f>IF($A$4+36&gt;$B$4,"",$A$4+36)</f>
        <v>46059</v>
      </c>
      <c r="N3688">
        <f>IF(M3688="","",'Master Barang'!A82)</f>
        <v>0</v>
      </c>
      <c r="O3688">
        <f>IF(N3688="","",'Master Barang'!B82)</f>
        <v>0</v>
      </c>
      <c r="P3688">
        <f>IF(OR(M3688="",N3688=""),"",SUMIFS('Barang Keluar'!$E:$E,'Barang Keluar'!$A:$A,M3688,'Barang Keluar'!$C:$C,N3688))</f>
        <v>0</v>
      </c>
    </row>
    <row r="3689" spans="13:16">
      <c r="M3689" s="49">
        <f>IF($A$4+36&gt;$B$4,"",$A$4+36)</f>
        <v>46059</v>
      </c>
      <c r="N3689">
        <f>IF(M3689="","",'Master Barang'!A83)</f>
        <v>0</v>
      </c>
      <c r="O3689">
        <f>IF(N3689="","",'Master Barang'!B83)</f>
        <v>0</v>
      </c>
      <c r="P3689">
        <f>IF(OR(M3689="",N3689=""),"",SUMIFS('Barang Keluar'!$E:$E,'Barang Keluar'!$A:$A,M3689,'Barang Keluar'!$C:$C,N3689))</f>
        <v>0</v>
      </c>
    </row>
    <row r="3690" spans="13:16">
      <c r="M3690" s="49">
        <f>IF($A$4+36&gt;$B$4,"",$A$4+36)</f>
        <v>46059</v>
      </c>
      <c r="N3690">
        <f>IF(M3690="","",'Master Barang'!A84)</f>
        <v>0</v>
      </c>
      <c r="O3690">
        <f>IF(N3690="","",'Master Barang'!B84)</f>
        <v>0</v>
      </c>
      <c r="P3690">
        <f>IF(OR(M3690="",N3690=""),"",SUMIFS('Barang Keluar'!$E:$E,'Barang Keluar'!$A:$A,M3690,'Barang Keluar'!$C:$C,N3690))</f>
        <v>0</v>
      </c>
    </row>
    <row r="3691" spans="13:16">
      <c r="M3691" s="49">
        <f>IF($A$4+36&gt;$B$4,"",$A$4+36)</f>
        <v>46059</v>
      </c>
      <c r="N3691">
        <f>IF(M3691="","",'Master Barang'!A85)</f>
        <v>0</v>
      </c>
      <c r="O3691">
        <f>IF(N3691="","",'Master Barang'!B85)</f>
        <v>0</v>
      </c>
      <c r="P3691">
        <f>IF(OR(M3691="",N3691=""),"",SUMIFS('Barang Keluar'!$E:$E,'Barang Keluar'!$A:$A,M3691,'Barang Keluar'!$C:$C,N3691))</f>
        <v>0</v>
      </c>
    </row>
    <row r="3692" spans="13:16">
      <c r="M3692" s="49">
        <f>IF($A$4+36&gt;$B$4,"",$A$4+36)</f>
        <v>46059</v>
      </c>
      <c r="N3692">
        <f>IF(M3692="","",'Master Barang'!A86)</f>
        <v>0</v>
      </c>
      <c r="O3692">
        <f>IF(N3692="","",'Master Barang'!B86)</f>
        <v>0</v>
      </c>
      <c r="P3692">
        <f>IF(OR(M3692="",N3692=""),"",SUMIFS('Barang Keluar'!$E:$E,'Barang Keluar'!$A:$A,M3692,'Barang Keluar'!$C:$C,N3692))</f>
        <v>0</v>
      </c>
    </row>
    <row r="3693" spans="13:16">
      <c r="M3693" s="49">
        <f>IF($A$4+36&gt;$B$4,"",$A$4+36)</f>
        <v>46059</v>
      </c>
      <c r="N3693">
        <f>IF(M3693="","",'Master Barang'!A87)</f>
        <v>0</v>
      </c>
      <c r="O3693">
        <f>IF(N3693="","",'Master Barang'!B87)</f>
        <v>0</v>
      </c>
      <c r="P3693">
        <f>IF(OR(M3693="",N3693=""),"",SUMIFS('Barang Keluar'!$E:$E,'Barang Keluar'!$A:$A,M3693,'Barang Keluar'!$C:$C,N3693))</f>
        <v>0</v>
      </c>
    </row>
    <row r="3694" spans="13:16">
      <c r="M3694" s="49">
        <f>IF($A$4+36&gt;$B$4,"",$A$4+36)</f>
        <v>46059</v>
      </c>
      <c r="N3694">
        <f>IF(M3694="","",'Master Barang'!A88)</f>
        <v>0</v>
      </c>
      <c r="O3694">
        <f>IF(N3694="","",'Master Barang'!B88)</f>
        <v>0</v>
      </c>
      <c r="P3694">
        <f>IF(OR(M3694="",N3694=""),"",SUMIFS('Barang Keluar'!$E:$E,'Barang Keluar'!$A:$A,M3694,'Barang Keluar'!$C:$C,N3694))</f>
        <v>0</v>
      </c>
    </row>
    <row r="3695" spans="13:16">
      <c r="M3695" s="49">
        <f>IF($A$4+36&gt;$B$4,"",$A$4+36)</f>
        <v>46059</v>
      </c>
      <c r="N3695">
        <f>IF(M3695="","",'Master Barang'!A89)</f>
        <v>0</v>
      </c>
      <c r="O3695">
        <f>IF(N3695="","",'Master Barang'!B89)</f>
        <v>0</v>
      </c>
      <c r="P3695">
        <f>IF(OR(M3695="",N3695=""),"",SUMIFS('Barang Keluar'!$E:$E,'Barang Keluar'!$A:$A,M3695,'Barang Keluar'!$C:$C,N3695))</f>
        <v>0</v>
      </c>
    </row>
    <row r="3696" spans="13:16">
      <c r="M3696" s="49">
        <f>IF($A$4+36&gt;$B$4,"",$A$4+36)</f>
        <v>46059</v>
      </c>
      <c r="N3696">
        <f>IF(M3696="","",'Master Barang'!A90)</f>
        <v>0</v>
      </c>
      <c r="O3696">
        <f>IF(N3696="","",'Master Barang'!B90)</f>
        <v>0</v>
      </c>
      <c r="P3696">
        <f>IF(OR(M3696="",N3696=""),"",SUMIFS('Barang Keluar'!$E:$E,'Barang Keluar'!$A:$A,M3696,'Barang Keluar'!$C:$C,N3696))</f>
        <v>0</v>
      </c>
    </row>
    <row r="3697" spans="13:16">
      <c r="M3697" s="49">
        <f>IF($A$4+36&gt;$B$4,"",$A$4+36)</f>
        <v>46059</v>
      </c>
      <c r="N3697">
        <f>IF(M3697="","",'Master Barang'!A91)</f>
        <v>0</v>
      </c>
      <c r="O3697">
        <f>IF(N3697="","",'Master Barang'!B91)</f>
        <v>0</v>
      </c>
      <c r="P3697">
        <f>IF(OR(M3697="",N3697=""),"",SUMIFS('Barang Keluar'!$E:$E,'Barang Keluar'!$A:$A,M3697,'Barang Keluar'!$C:$C,N3697))</f>
        <v>0</v>
      </c>
    </row>
    <row r="3698" spans="13:16">
      <c r="M3698" s="49">
        <f>IF($A$4+36&gt;$B$4,"",$A$4+36)</f>
        <v>46059</v>
      </c>
      <c r="N3698">
        <f>IF(M3698="","",'Master Barang'!A92)</f>
        <v>0</v>
      </c>
      <c r="O3698">
        <f>IF(N3698="","",'Master Barang'!B92)</f>
        <v>0</v>
      </c>
      <c r="P3698">
        <f>IF(OR(M3698="",N3698=""),"",SUMIFS('Barang Keluar'!$E:$E,'Barang Keluar'!$A:$A,M3698,'Barang Keluar'!$C:$C,N3698))</f>
        <v>0</v>
      </c>
    </row>
    <row r="3699" spans="13:16">
      <c r="M3699" s="49">
        <f>IF($A$4+36&gt;$B$4,"",$A$4+36)</f>
        <v>46059</v>
      </c>
      <c r="N3699">
        <f>IF(M3699="","",'Master Barang'!A93)</f>
        <v>0</v>
      </c>
      <c r="O3699">
        <f>IF(N3699="","",'Master Barang'!B93)</f>
        <v>0</v>
      </c>
      <c r="P3699">
        <f>IF(OR(M3699="",N3699=""),"",SUMIFS('Barang Keluar'!$E:$E,'Barang Keluar'!$A:$A,M3699,'Barang Keluar'!$C:$C,N3699))</f>
        <v>0</v>
      </c>
    </row>
    <row r="3700" spans="13:16">
      <c r="M3700" s="49">
        <f>IF($A$4+36&gt;$B$4,"",$A$4+36)</f>
        <v>46059</v>
      </c>
      <c r="N3700">
        <f>IF(M3700="","",'Master Barang'!A94)</f>
        <v>0</v>
      </c>
      <c r="O3700">
        <f>IF(N3700="","",'Master Barang'!B94)</f>
        <v>0</v>
      </c>
      <c r="P3700">
        <f>IF(OR(M3700="",N3700=""),"",SUMIFS('Barang Keluar'!$E:$E,'Barang Keluar'!$A:$A,M3700,'Barang Keluar'!$C:$C,N3700))</f>
        <v>0</v>
      </c>
    </row>
    <row r="3701" spans="13:16">
      <c r="M3701" s="49">
        <f>IF($A$4+36&gt;$B$4,"",$A$4+36)</f>
        <v>46059</v>
      </c>
      <c r="N3701">
        <f>IF(M3701="","",'Master Barang'!A95)</f>
        <v>0</v>
      </c>
      <c r="O3701">
        <f>IF(N3701="","",'Master Barang'!B95)</f>
        <v>0</v>
      </c>
      <c r="P3701">
        <f>IF(OR(M3701="",N3701=""),"",SUMIFS('Barang Keluar'!$E:$E,'Barang Keluar'!$A:$A,M3701,'Barang Keluar'!$C:$C,N3701))</f>
        <v>0</v>
      </c>
    </row>
    <row r="3702" spans="13:16">
      <c r="M3702" s="49">
        <f>IF($A$4+36&gt;$B$4,"",$A$4+36)</f>
        <v>46059</v>
      </c>
      <c r="N3702">
        <f>IF(M3702="","",'Master Barang'!A96)</f>
        <v>0</v>
      </c>
      <c r="O3702">
        <f>IF(N3702="","",'Master Barang'!B96)</f>
        <v>0</v>
      </c>
      <c r="P3702">
        <f>IF(OR(M3702="",N3702=""),"",SUMIFS('Barang Keluar'!$E:$E,'Barang Keluar'!$A:$A,M3702,'Barang Keluar'!$C:$C,N3702))</f>
        <v>0</v>
      </c>
    </row>
    <row r="3703" spans="13:16">
      <c r="M3703" s="49">
        <f>IF($A$4+36&gt;$B$4,"",$A$4+36)</f>
        <v>46059</v>
      </c>
      <c r="N3703">
        <f>IF(M3703="","",'Master Barang'!A97)</f>
        <v>0</v>
      </c>
      <c r="O3703">
        <f>IF(N3703="","",'Master Barang'!B97)</f>
        <v>0</v>
      </c>
      <c r="P3703">
        <f>IF(OR(M3703="",N3703=""),"",SUMIFS('Barang Keluar'!$E:$E,'Barang Keluar'!$A:$A,M3703,'Barang Keluar'!$C:$C,N3703))</f>
        <v>0</v>
      </c>
    </row>
    <row r="3704" spans="13:16">
      <c r="M3704" s="49">
        <f>IF($A$4+36&gt;$B$4,"",$A$4+36)</f>
        <v>46059</v>
      </c>
      <c r="N3704">
        <f>IF(M3704="","",'Master Barang'!A98)</f>
        <v>0</v>
      </c>
      <c r="O3704">
        <f>IF(N3704="","",'Master Barang'!B98)</f>
        <v>0</v>
      </c>
      <c r="P3704">
        <f>IF(OR(M3704="",N3704=""),"",SUMIFS('Barang Keluar'!$E:$E,'Barang Keluar'!$A:$A,M3704,'Barang Keluar'!$C:$C,N3704))</f>
        <v>0</v>
      </c>
    </row>
    <row r="3705" spans="13:16">
      <c r="M3705" s="49">
        <f>IF($A$4+36&gt;$B$4,"",$A$4+36)</f>
        <v>46059</v>
      </c>
      <c r="N3705">
        <f>IF(M3705="","",'Master Barang'!A99)</f>
        <v>0</v>
      </c>
      <c r="O3705">
        <f>IF(N3705="","",'Master Barang'!B99)</f>
        <v>0</v>
      </c>
      <c r="P3705">
        <f>IF(OR(M3705="",N3705=""),"",SUMIFS('Barang Keluar'!$E:$E,'Barang Keluar'!$A:$A,M3705,'Barang Keluar'!$C:$C,N3705))</f>
        <v>0</v>
      </c>
    </row>
    <row r="3706" spans="13:16">
      <c r="M3706" s="49">
        <f>IF($A$4+36&gt;$B$4,"",$A$4+36)</f>
        <v>46059</v>
      </c>
      <c r="N3706">
        <f>IF(M3706="","",'Master Barang'!A100)</f>
        <v>0</v>
      </c>
      <c r="O3706">
        <f>IF(N3706="","",'Master Barang'!B100)</f>
        <v>0</v>
      </c>
      <c r="P3706">
        <f>IF(OR(M3706="",N3706=""),"",SUMIFS('Barang Keluar'!$E:$E,'Barang Keluar'!$A:$A,M3706,'Barang Keluar'!$C:$C,N3706))</f>
        <v>0</v>
      </c>
    </row>
    <row r="3707" spans="13:16">
      <c r="M3707" s="49">
        <f>IF($A$4+36&gt;$B$4,"",$A$4+36)</f>
        <v>46059</v>
      </c>
      <c r="N3707">
        <f>IF(M3707="","",'Master Barang'!A101)</f>
        <v>0</v>
      </c>
      <c r="O3707">
        <f>IF(N3707="","",'Master Barang'!B101)</f>
        <v>0</v>
      </c>
      <c r="P3707">
        <f>IF(OR(M3707="",N3707=""),"",SUMIFS('Barang Keluar'!$E:$E,'Barang Keluar'!$A:$A,M3707,'Barang Keluar'!$C:$C,N3707))</f>
        <v>0</v>
      </c>
    </row>
    <row r="3708" spans="13:16">
      <c r="M3708" s="49">
        <f>IF($A$4+37&gt;$B$4,"",$A$4+37)</f>
        <v>46060</v>
      </c>
      <c r="N3708" t="str">
        <f>IF(M3708="","",'Master Barang'!A2)</f>
        <v>PRL-001</v>
      </c>
      <c r="O3708" t="str">
        <f>IF(N3708="","",'Master Barang'!B2)</f>
        <v>natura desinfectant food grade 5l</v>
      </c>
      <c r="P3708">
        <f>IF(OR(M3708="",N3708=""),"",SUMIFS('Barang Keluar'!$E:$E,'Barang Keluar'!$A:$A,M3708,'Barang Keluar'!$C:$C,N3708))</f>
        <v>0</v>
      </c>
    </row>
    <row r="3709" spans="13:16">
      <c r="M3709" s="49">
        <f>IF($A$4+37&gt;$B$4,"",$A$4+37)</f>
        <v>46060</v>
      </c>
      <c r="N3709" t="str">
        <f>IF(M3709="","",'Master Barang'!A3)</f>
        <v>PRL-002</v>
      </c>
      <c r="O3709" t="str">
        <f>IF(N3709="","",'Master Barang'!B3)</f>
        <v>sunlight cairan pencuci piring 5l</v>
      </c>
      <c r="P3709">
        <f>IF(OR(M3709="",N3709=""),"",SUMIFS('Barang Keluar'!$E:$E,'Barang Keluar'!$A:$A,M3709,'Barang Keluar'!$C:$C,N3709))</f>
        <v>0</v>
      </c>
    </row>
    <row r="3710" spans="13:16">
      <c r="M3710" s="49">
        <f>IF($A$4+37&gt;$B$4,"",$A$4+37)</f>
        <v>46060</v>
      </c>
      <c r="N3710" t="str">
        <f>IF(M3710="","",'Master Barang'!A4)</f>
        <v>PRL-003</v>
      </c>
      <c r="O3710" t="str">
        <f>IF(N3710="","",'Master Barang'!B4)</f>
        <v>oixs cleaner 1l</v>
      </c>
      <c r="P3710">
        <f>IF(OR(M3710="",N3710=""),"",SUMIFS('Barang Keluar'!$E:$E,'Barang Keluar'!$A:$A,M3710,'Barang Keluar'!$C:$C,N3710))</f>
        <v>0</v>
      </c>
    </row>
    <row r="3711" spans="13:16">
      <c r="M3711" s="49">
        <f>IF($A$4+37&gt;$B$4,"",$A$4+37)</f>
        <v>46060</v>
      </c>
      <c r="N3711" t="str">
        <f>IF(M3711="","",'Master Barang'!A5)</f>
        <v>PRL-004</v>
      </c>
      <c r="O3711" t="str">
        <f>IF(N3711="","",'Master Barang'!B5)</f>
        <v>be clean tissue serbaguna</v>
      </c>
      <c r="P3711">
        <f>IF(OR(M3711="",N3711=""),"",SUMIFS('Barang Keluar'!$E:$E,'Barang Keluar'!$A:$A,M3711,'Barang Keluar'!$C:$C,N3711))</f>
        <v>0</v>
      </c>
    </row>
    <row r="3712" spans="13:16">
      <c r="M3712" s="49">
        <f>IF($A$4+37&gt;$B$4,"",$A$4+37)</f>
        <v>46060</v>
      </c>
      <c r="N3712" t="str">
        <f>IF(M3712="","",'Master Barang'!A6)</f>
        <v>PRL-005</v>
      </c>
      <c r="O3712" t="str">
        <f>IF(N3712="","",'Master Barang'!B6)</f>
        <v>spons cuci hijau</v>
      </c>
      <c r="P3712">
        <f>IF(OR(M3712="",N3712=""),"",SUMIFS('Barang Keluar'!$E:$E,'Barang Keluar'!$A:$A,M3712,'Barang Keluar'!$C:$C,N3712))</f>
        <v>0</v>
      </c>
    </row>
    <row r="3713" spans="13:16">
      <c r="M3713" s="49">
        <f>IF($A$4+37&gt;$B$4,"",$A$4+37)</f>
        <v>46060</v>
      </c>
      <c r="N3713" t="str">
        <f>IF(M3713="","",'Master Barang'!A7)</f>
        <v>PRL-006</v>
      </c>
      <c r="O3713" t="str">
        <f>IF(N3713="","",'Master Barang'!B7)</f>
        <v>sabut cuci stainless</v>
      </c>
      <c r="P3713">
        <f>IF(OR(M3713="",N3713=""),"",SUMIFS('Barang Keluar'!$E:$E,'Barang Keluar'!$A:$A,M3713,'Barang Keluar'!$C:$C,N3713))</f>
        <v>0</v>
      </c>
    </row>
    <row r="3714" spans="13:16">
      <c r="M3714" s="49">
        <f>IF($A$4+37&gt;$B$4,"",$A$4+37)</f>
        <v>46060</v>
      </c>
      <c r="N3714" t="str">
        <f>IF(M3714="","",'Master Barang'!A8)</f>
        <v>PRL-007</v>
      </c>
      <c r="O3714" t="str">
        <f>IF(N3714="","",'Master Barang'!B8)</f>
        <v>plastik kresek besar merah 50pc</v>
      </c>
      <c r="P3714">
        <f>IF(OR(M3714="",N3714=""),"",SUMIFS('Barang Keluar'!$E:$E,'Barang Keluar'!$A:$A,M3714,'Barang Keluar'!$C:$C,N3714))</f>
        <v>0</v>
      </c>
    </row>
    <row r="3715" spans="13:16">
      <c r="M3715" s="49">
        <f>IF($A$4+37&gt;$B$4,"",$A$4+37)</f>
        <v>46060</v>
      </c>
      <c r="N3715" t="str">
        <f>IF(M3715="","",'Master Barang'!A9)</f>
        <v>PRL-008</v>
      </c>
      <c r="O3715" t="str">
        <f>IF(N3715="","",'Master Barang'!B9)</f>
        <v>lap besar</v>
      </c>
      <c r="P3715">
        <f>IF(OR(M3715="",N3715=""),"",SUMIFS('Barang Keluar'!$E:$E,'Barang Keluar'!$A:$A,M3715,'Barang Keluar'!$C:$C,N3715))</f>
        <v>0</v>
      </c>
    </row>
    <row r="3716" spans="13:16">
      <c r="M3716" s="49">
        <f>IF($A$4+37&gt;$B$4,"",$A$4+37)</f>
        <v>46060</v>
      </c>
      <c r="N3716" t="str">
        <f>IF(M3716="","",'Master Barang'!A10)</f>
        <v>PRL-009</v>
      </c>
      <c r="O3716" t="str">
        <f>IF(N3716="","",'Master Barang'!B10)</f>
        <v>lap microfiber</v>
      </c>
      <c r="P3716">
        <f>IF(OR(M3716="",N3716=""),"",SUMIFS('Barang Keluar'!$E:$E,'Barang Keluar'!$A:$A,M3716,'Barang Keluar'!$C:$C,N3716))</f>
        <v>0</v>
      </c>
    </row>
    <row r="3717" spans="13:16">
      <c r="M3717" s="49">
        <f>IF($A$4+37&gt;$B$4,"",$A$4+37)</f>
        <v>46060</v>
      </c>
      <c r="N3717" t="str">
        <f>IF(M3717="","",'Master Barang'!A11)</f>
        <v>PRL-010</v>
      </c>
      <c r="O3717" t="str">
        <f>IF(N3717="","",'Master Barang'!B11)</f>
        <v>lap kecil</v>
      </c>
      <c r="P3717">
        <f>IF(OR(M3717="",N3717=""),"",SUMIFS('Barang Keluar'!$E:$E,'Barang Keluar'!$A:$A,M3717,'Barang Keluar'!$C:$C,N3717))</f>
        <v>0</v>
      </c>
    </row>
    <row r="3718" spans="13:16">
      <c r="M3718" s="49">
        <f>IF($A$4+37&gt;$B$4,"",$A$4+37)</f>
        <v>46060</v>
      </c>
      <c r="N3718" t="str">
        <f>IF(M3718="","",'Master Barang'!A12)</f>
        <v>PRL-011</v>
      </c>
      <c r="O3718" t="str">
        <f>IF(N3718="","",'Master Barang'!B12)</f>
        <v>kanebo kecil</v>
      </c>
      <c r="P3718">
        <f>IF(OR(M3718="",N3718=""),"",SUMIFS('Barang Keluar'!$E:$E,'Barang Keluar'!$A:$A,M3718,'Barang Keluar'!$C:$C,N3718))</f>
        <v>0</v>
      </c>
    </row>
    <row r="3719" spans="13:16">
      <c r="M3719" s="49">
        <f>IF($A$4+37&gt;$B$4,"",$A$4+37)</f>
        <v>46060</v>
      </c>
      <c r="N3719" t="str">
        <f>IF(M3719="","",'Master Barang'!A13)</f>
        <v>PRL-012</v>
      </c>
      <c r="O3719" t="str">
        <f>IF(N3719="","",'Master Barang'!B13)</f>
        <v>plastik 1/4kg joyoboyo 100 lembar</v>
      </c>
      <c r="P3719">
        <f>IF(OR(M3719="",N3719=""),"",SUMIFS('Barang Keluar'!$E:$E,'Barang Keluar'!$A:$A,M3719,'Barang Keluar'!$C:$C,N3719))</f>
        <v>0</v>
      </c>
    </row>
    <row r="3720" spans="13:16">
      <c r="M3720" s="49">
        <f>IF($A$4+37&gt;$B$4,"",$A$4+37)</f>
        <v>46060</v>
      </c>
      <c r="N3720" t="str">
        <f>IF(M3720="","",'Master Barang'!A14)</f>
        <v>PRL-013</v>
      </c>
      <c r="O3720" t="str">
        <f>IF(N3720="","",'Master Barang'!B14)</f>
        <v>sarung tangan plastik kaka 100 pcs</v>
      </c>
      <c r="P3720">
        <f>IF(OR(M3720="",N3720=""),"",SUMIFS('Barang Keluar'!$E:$E,'Barang Keluar'!$A:$A,M3720,'Barang Keluar'!$C:$C,N3720))</f>
        <v>0</v>
      </c>
    </row>
    <row r="3721" spans="13:16">
      <c r="M3721" s="49">
        <f>IF($A$4+37&gt;$B$4,"",$A$4+37)</f>
        <v>46060</v>
      </c>
      <c r="N3721" t="str">
        <f>IF(M3721="","",'Master Barang'!A15)</f>
        <v>PRL-014</v>
      </c>
      <c r="O3721" t="str">
        <f>IF(N3721="","",'Master Barang'!B15)</f>
        <v>optima trashbag 80x100</v>
      </c>
      <c r="P3721">
        <f>IF(OR(M3721="",N3721=""),"",SUMIFS('Barang Keluar'!$E:$E,'Barang Keluar'!$A:$A,M3721,'Barang Keluar'!$C:$C,N3721))</f>
        <v>0</v>
      </c>
    </row>
    <row r="3722" spans="13:16">
      <c r="M3722" s="49">
        <f>IF($A$4+37&gt;$B$4,"",$A$4+37)</f>
        <v>46060</v>
      </c>
      <c r="N3722" t="str">
        <f>IF(M3722="","",'Master Barang'!A16)</f>
        <v>PRL-015</v>
      </c>
      <c r="O3722" t="str">
        <f>IF(N3722="","",'Master Barang'!B16)</f>
        <v>optima trashbag 60x100</v>
      </c>
      <c r="P3722">
        <f>IF(OR(M3722="",N3722=""),"",SUMIFS('Barang Keluar'!$E:$E,'Barang Keluar'!$A:$A,M3722,'Barang Keluar'!$C:$C,N3722))</f>
        <v>0</v>
      </c>
    </row>
    <row r="3723" spans="13:16">
      <c r="M3723" s="49">
        <f>IF($A$4+37&gt;$B$4,"",$A$4+37)</f>
        <v>46060</v>
      </c>
      <c r="N3723" t="str">
        <f>IF(M3723="","",'Master Barang'!A17)</f>
        <v>PRL-016</v>
      </c>
      <c r="O3723" t="str">
        <f>IF(N3723="","",'Master Barang'!B17)</f>
        <v>rajawali trashbag 30x40</v>
      </c>
      <c r="P3723">
        <f>IF(OR(M3723="",N3723=""),"",SUMIFS('Barang Keluar'!$E:$E,'Barang Keluar'!$A:$A,M3723,'Barang Keluar'!$C:$C,N3723))</f>
        <v>0</v>
      </c>
    </row>
    <row r="3724" spans="13:16">
      <c r="M3724" s="49">
        <f>IF($A$4+37&gt;$B$4,"",$A$4+37)</f>
        <v>46060</v>
      </c>
      <c r="N3724" t="str">
        <f>IF(M3724="","",'Master Barang'!A18)</f>
        <v>PRL-017</v>
      </c>
      <c r="O3724" t="str">
        <f>IF(N3724="","",'Master Barang'!B18)</f>
        <v>onemed masker biru 3 play 50 pcs</v>
      </c>
      <c r="P3724">
        <f>IF(OR(M3724="",N3724=""),"",SUMIFS('Barang Keluar'!$E:$E,'Barang Keluar'!$A:$A,M3724,'Barang Keluar'!$C:$C,N3724))</f>
        <v>0</v>
      </c>
    </row>
    <row r="3725" spans="13:16">
      <c r="M3725" s="49">
        <f>IF($A$4+37&gt;$B$4,"",$A$4+37)</f>
        <v>46060</v>
      </c>
      <c r="N3725" t="str">
        <f>IF(M3725="","",'Master Barang'!A19)</f>
        <v>PRL-018</v>
      </c>
      <c r="O3725" t="str">
        <f>IF(N3725="","",'Master Barang'!B19)</f>
        <v>onemed masker biru 3 play hijab 50 pcs</v>
      </c>
      <c r="P3725">
        <f>IF(OR(M3725="",N3725=""),"",SUMIFS('Barang Keluar'!$E:$E,'Barang Keluar'!$A:$A,M3725,'Barang Keluar'!$C:$C,N3725))</f>
        <v>0</v>
      </c>
    </row>
    <row r="3726" spans="13:16">
      <c r="M3726" s="49">
        <f>IF($A$4+37&gt;$B$4,"",$A$4+37)</f>
        <v>46060</v>
      </c>
      <c r="N3726" t="str">
        <f>IF(M3726="","",'Master Barang'!A20)</f>
        <v>PRL-019</v>
      </c>
      <c r="O3726" t="str">
        <f>IF(N3726="","",'Master Barang'!B20)</f>
        <v>neo health masker biru 3 play 50 pcs</v>
      </c>
      <c r="P3726">
        <f>IF(OR(M3726="",N3726=""),"",SUMIFS('Barang Keluar'!$E:$E,'Barang Keluar'!$A:$A,M3726,'Barang Keluar'!$C:$C,N3726))</f>
        <v>0</v>
      </c>
    </row>
    <row r="3727" spans="13:16">
      <c r="M3727" s="49">
        <f>IF($A$4+37&gt;$B$4,"",$A$4+37)</f>
        <v>46060</v>
      </c>
      <c r="N3727" t="str">
        <f>IF(M3727="","",'Master Barang'!A21)</f>
        <v>PRL-020</v>
      </c>
      <c r="O3727" t="str">
        <f>IF(N3727="","",'Master Barang'!B21)</f>
        <v>baymed masker hijau 3 play hijau 50 pcs</v>
      </c>
      <c r="P3727">
        <f>IF(OR(M3727="",N3727=""),"",SUMIFS('Barang Keluar'!$E:$E,'Barang Keluar'!$A:$A,M3727,'Barang Keluar'!$C:$C,N3727))</f>
        <v>0</v>
      </c>
    </row>
    <row r="3728" spans="13:16">
      <c r="M3728" s="49">
        <f>IF($A$4+37&gt;$B$4,"",$A$4+37)</f>
        <v>46060</v>
      </c>
      <c r="N3728" t="str">
        <f>IF(M3728="","",'Master Barang'!A22)</f>
        <v>PRL-021</v>
      </c>
      <c r="O3728" t="str">
        <f>IF(N3728="","",'Master Barang'!B22)</f>
        <v>altamed nurse cap penutup kepala 100 pcs</v>
      </c>
      <c r="P3728">
        <f>IF(OR(M3728="",N3728=""),"",SUMIFS('Barang Keluar'!$E:$E,'Barang Keluar'!$A:$A,M3728,'Barang Keluar'!$C:$C,N3728))</f>
        <v>0</v>
      </c>
    </row>
    <row r="3729" spans="13:16">
      <c r="M3729" s="49">
        <f>IF($A$4+37&gt;$B$4,"",$A$4+37)</f>
        <v>46060</v>
      </c>
      <c r="N3729" t="str">
        <f>IF(M3729="","",'Master Barang'!A23)</f>
        <v>PRL-022</v>
      </c>
      <c r="O3729" t="str">
        <f>IF(N3729="","",'Master Barang'!B23)</f>
        <v>sabun cuci tangan</v>
      </c>
      <c r="P3729">
        <f>IF(OR(M3729="",N3729=""),"",SUMIFS('Barang Keluar'!$E:$E,'Barang Keluar'!$A:$A,M3729,'Barang Keluar'!$C:$C,N3729))</f>
        <v>0</v>
      </c>
    </row>
    <row r="3730" spans="13:16">
      <c r="M3730" s="49">
        <f>IF($A$4+37&gt;$B$4,"",$A$4+37)</f>
        <v>46060</v>
      </c>
      <c r="N3730" t="str">
        <f>IF(M3730="","",'Master Barang'!A24)</f>
        <v>PRL-023</v>
      </c>
      <c r="O3730" t="str">
        <f>IF(N3730="","",'Master Barang'!B24)</f>
        <v>gayung kecil</v>
      </c>
      <c r="P3730">
        <f>IF(OR(M3730="",N3730=""),"",SUMIFS('Barang Keluar'!$E:$E,'Barang Keluar'!$A:$A,M3730,'Barang Keluar'!$C:$C,N3730))</f>
        <v>0</v>
      </c>
    </row>
    <row r="3731" spans="13:16">
      <c r="M3731" s="49">
        <f>IF($A$4+37&gt;$B$4,"",$A$4+37)</f>
        <v>46060</v>
      </c>
      <c r="N3731" t="str">
        <f>IF(M3731="","",'Master Barang'!A25)</f>
        <v>PRL-024</v>
      </c>
      <c r="O3731" t="str">
        <f>IF(N3731="","",'Master Barang'!B25)</f>
        <v>cikrak kecil</v>
      </c>
      <c r="P3731">
        <f>IF(OR(M3731="",N3731=""),"",SUMIFS('Barang Keluar'!$E:$E,'Barang Keluar'!$A:$A,M3731,'Barang Keluar'!$C:$C,N3731))</f>
        <v>0</v>
      </c>
    </row>
    <row r="3732" spans="13:16">
      <c r="M3732" s="49">
        <f>IF($A$4+37&gt;$B$4,"",$A$4+37)</f>
        <v>46060</v>
      </c>
      <c r="N3732" t="str">
        <f>IF(M3732="","",'Master Barang'!A26)</f>
        <v>PRL-025</v>
      </c>
      <c r="O3732" t="str">
        <f>IF(N3732="","",'Master Barang'!B26)</f>
        <v>petromax plastik kecil 12x24 100 lembar</v>
      </c>
      <c r="P3732">
        <f>IF(OR(M3732="",N3732=""),"",SUMIFS('Barang Keluar'!$E:$E,'Barang Keluar'!$A:$A,M3732,'Barang Keluar'!$C:$C,N3732))</f>
        <v>0</v>
      </c>
    </row>
    <row r="3733" spans="13:16">
      <c r="M3733" s="49">
        <f>IF($A$4+37&gt;$B$4,"",$A$4+37)</f>
        <v>46060</v>
      </c>
      <c r="N3733" t="str">
        <f>IF(M3733="","",'Master Barang'!A27)</f>
        <v>PRL-026</v>
      </c>
      <c r="O3733" t="str">
        <f>IF(N3733="","",'Master Barang'!B27)</f>
        <v>lancar kresek kecil bening </v>
      </c>
      <c r="P3733">
        <f>IF(OR(M3733="",N3733=""),"",SUMIFS('Barang Keluar'!$E:$E,'Barang Keluar'!$A:$A,M3733,'Barang Keluar'!$C:$C,N3733))</f>
        <v>0</v>
      </c>
    </row>
    <row r="3734" spans="13:16">
      <c r="M3734" s="49">
        <f>IF($A$4+37&gt;$B$4,"",$A$4+37)</f>
        <v>46060</v>
      </c>
      <c r="N3734" t="str">
        <f>IF(M3734="","",'Master Barang'!A28)</f>
        <v>PRL-027</v>
      </c>
      <c r="O3734" t="str">
        <f>IF(N3734="","",'Master Barang'!B28)</f>
        <v>kresek klin warna warni kecil</v>
      </c>
      <c r="P3734">
        <f>IF(OR(M3734="",N3734=""),"",SUMIFS('Barang Keluar'!$E:$E,'Barang Keluar'!$A:$A,M3734,'Barang Keluar'!$C:$C,N3734))</f>
        <v>0</v>
      </c>
    </row>
    <row r="3735" spans="13:16">
      <c r="M3735" s="49">
        <f>IF($A$4+37&gt;$B$4,"",$A$4+37)</f>
        <v>46060</v>
      </c>
      <c r="N3735" t="str">
        <f>IF(M3735="","",'Master Barang'!A29)</f>
        <v>PRL-028</v>
      </c>
      <c r="O3735" t="str">
        <f>IF(N3735="","",'Master Barang'!B29)</f>
        <v>ctik plastik 7x10 100 pcs</v>
      </c>
      <c r="P3735">
        <f>IF(OR(M3735="",N3735=""),"",SUMIFS('Barang Keluar'!$E:$E,'Barang Keluar'!$A:$A,M3735,'Barang Keluar'!$C:$C,N3735))</f>
        <v>0</v>
      </c>
    </row>
    <row r="3736" spans="13:16">
      <c r="M3736" s="49">
        <f>IF($A$4+37&gt;$B$4,"",$A$4+37)</f>
        <v>46060</v>
      </c>
      <c r="N3736" t="str">
        <f>IF(M3736="","",'Master Barang'!A30)</f>
        <v>PRL-029</v>
      </c>
      <c r="O3736" t="str">
        <f>IF(N3736="","",'Master Barang'!B30)</f>
        <v>ctik plastik 6x10 100 pcs</v>
      </c>
      <c r="P3736">
        <f>IF(OR(M3736="",N3736=""),"",SUMIFS('Barang Keluar'!$E:$E,'Barang Keluar'!$A:$A,M3736,'Barang Keluar'!$C:$C,N3736))</f>
        <v>0</v>
      </c>
    </row>
    <row r="3737" spans="13:16">
      <c r="M3737" s="49">
        <f>IF($A$4+37&gt;$B$4,"",$A$4+37)</f>
        <v>46060</v>
      </c>
      <c r="N3737" t="str">
        <f>IF(M3737="","",'Master Barang'!A31)</f>
        <v>PRL-030</v>
      </c>
      <c r="O3737" t="str">
        <f>IF(N3737="","",'Master Barang'!B31)</f>
        <v>klip plastik 25x16 100 pcs</v>
      </c>
      <c r="P3737">
        <f>IF(OR(M3737="",N3737=""),"",SUMIFS('Barang Keluar'!$E:$E,'Barang Keluar'!$A:$A,M3737,'Barang Keluar'!$C:$C,N3737))</f>
        <v>0</v>
      </c>
    </row>
    <row r="3738" spans="13:16">
      <c r="M3738" s="49">
        <f>IF($A$4+37&gt;$B$4,"",$A$4+37)</f>
        <v>46060</v>
      </c>
      <c r="N3738" t="str">
        <f>IF(M3738="","",'Master Barang'!A32)</f>
        <v>PRL-031</v>
      </c>
      <c r="O3738" t="str">
        <f>IF(N3738="","",'Master Barang'!B32)</f>
        <v>tempat saus 20 ml</v>
      </c>
      <c r="P3738">
        <f>IF(OR(M3738="",N3738=""),"",SUMIFS('Barang Keluar'!$E:$E,'Barang Keluar'!$A:$A,M3738,'Barang Keluar'!$C:$C,N3738))</f>
        <v>0</v>
      </c>
    </row>
    <row r="3739" spans="13:16">
      <c r="M3739" s="49">
        <f>IF($A$4+37&gt;$B$4,"",$A$4+37)</f>
        <v>46060</v>
      </c>
      <c r="N3739" t="str">
        <f>IF(M3739="","",'Master Barang'!A33)</f>
        <v>PRL-032</v>
      </c>
      <c r="O3739" t="str">
        <f>IF(N3739="","",'Master Barang'!B33)</f>
        <v>plastik packaging ag box uk sedang</v>
      </c>
      <c r="P3739">
        <f>IF(OR(M3739="",N3739=""),"",SUMIFS('Barang Keluar'!$E:$E,'Barang Keluar'!$A:$A,M3739,'Barang Keluar'!$C:$C,N3739))</f>
        <v>0</v>
      </c>
    </row>
    <row r="3740" spans="13:16">
      <c r="M3740" s="49">
        <f>IF($A$4+37&gt;$B$4,"",$A$4+37)</f>
        <v>46060</v>
      </c>
      <c r="N3740" t="str">
        <f>IF(M3740="","",'Master Barang'!A34)</f>
        <v>PRL-033</v>
      </c>
      <c r="O3740">
        <f>IF(N3740="","",'Master Barang'!B34)</f>
        <v>0</v>
      </c>
      <c r="P3740">
        <f>IF(OR(M3740="",N3740=""),"",SUMIFS('Barang Keluar'!$E:$E,'Barang Keluar'!$A:$A,M3740,'Barang Keluar'!$C:$C,N3740))</f>
        <v>0</v>
      </c>
    </row>
    <row r="3741" spans="13:16">
      <c r="M3741" s="49">
        <f>IF($A$4+37&gt;$B$4,"",$A$4+37)</f>
        <v>46060</v>
      </c>
      <c r="N3741">
        <f>IF(M3741="","",'Master Barang'!A35)</f>
        <v>0</v>
      </c>
      <c r="O3741">
        <f>IF(N3741="","",'Master Barang'!B35)</f>
        <v>0</v>
      </c>
      <c r="P3741">
        <f>IF(OR(M3741="",N3741=""),"",SUMIFS('Barang Keluar'!$E:$E,'Barang Keluar'!$A:$A,M3741,'Barang Keluar'!$C:$C,N3741))</f>
        <v>0</v>
      </c>
    </row>
    <row r="3742" spans="13:16">
      <c r="M3742" s="49">
        <f>IF($A$4+37&gt;$B$4,"",$A$4+37)</f>
        <v>46060</v>
      </c>
      <c r="N3742">
        <f>IF(M3742="","",'Master Barang'!A36)</f>
        <v>0</v>
      </c>
      <c r="O3742">
        <f>IF(N3742="","",'Master Barang'!B36)</f>
        <v>0</v>
      </c>
      <c r="P3742">
        <f>IF(OR(M3742="",N3742=""),"",SUMIFS('Barang Keluar'!$E:$E,'Barang Keluar'!$A:$A,M3742,'Barang Keluar'!$C:$C,N3742))</f>
        <v>0</v>
      </c>
    </row>
    <row r="3743" spans="13:16">
      <c r="M3743" s="49">
        <f>IF($A$4+37&gt;$B$4,"",$A$4+37)</f>
        <v>46060</v>
      </c>
      <c r="N3743">
        <f>IF(M3743="","",'Master Barang'!A37)</f>
        <v>0</v>
      </c>
      <c r="O3743">
        <f>IF(N3743="","",'Master Barang'!B37)</f>
        <v>0</v>
      </c>
      <c r="P3743">
        <f>IF(OR(M3743="",N3743=""),"",SUMIFS('Barang Keluar'!$E:$E,'Barang Keluar'!$A:$A,M3743,'Barang Keluar'!$C:$C,N3743))</f>
        <v>0</v>
      </c>
    </row>
    <row r="3744" spans="13:16">
      <c r="M3744" s="49">
        <f>IF($A$4+37&gt;$B$4,"",$A$4+37)</f>
        <v>46060</v>
      </c>
      <c r="N3744">
        <f>IF(M3744="","",'Master Barang'!A38)</f>
        <v>0</v>
      </c>
      <c r="O3744">
        <f>IF(N3744="","",'Master Barang'!B38)</f>
        <v>0</v>
      </c>
      <c r="P3744">
        <f>IF(OR(M3744="",N3744=""),"",SUMIFS('Barang Keluar'!$E:$E,'Barang Keluar'!$A:$A,M3744,'Barang Keluar'!$C:$C,N3744))</f>
        <v>0</v>
      </c>
    </row>
    <row r="3745" spans="13:16">
      <c r="M3745" s="49">
        <f>IF($A$4+37&gt;$B$4,"",$A$4+37)</f>
        <v>46060</v>
      </c>
      <c r="N3745">
        <f>IF(M3745="","",'Master Barang'!A39)</f>
        <v>0</v>
      </c>
      <c r="O3745">
        <f>IF(N3745="","",'Master Barang'!B39)</f>
        <v>0</v>
      </c>
      <c r="P3745">
        <f>IF(OR(M3745="",N3745=""),"",SUMIFS('Barang Keluar'!$E:$E,'Barang Keluar'!$A:$A,M3745,'Barang Keluar'!$C:$C,N3745))</f>
        <v>0</v>
      </c>
    </row>
    <row r="3746" spans="13:16">
      <c r="M3746" s="49">
        <f>IF($A$4+37&gt;$B$4,"",$A$4+37)</f>
        <v>46060</v>
      </c>
      <c r="N3746">
        <f>IF(M3746="","",'Master Barang'!A40)</f>
        <v>0</v>
      </c>
      <c r="O3746">
        <f>IF(N3746="","",'Master Barang'!B40)</f>
        <v>0</v>
      </c>
      <c r="P3746">
        <f>IF(OR(M3746="",N3746=""),"",SUMIFS('Barang Keluar'!$E:$E,'Barang Keluar'!$A:$A,M3746,'Barang Keluar'!$C:$C,N3746))</f>
        <v>0</v>
      </c>
    </row>
    <row r="3747" spans="13:16">
      <c r="M3747" s="49">
        <f>IF($A$4+37&gt;$B$4,"",$A$4+37)</f>
        <v>46060</v>
      </c>
      <c r="N3747">
        <f>IF(M3747="","",'Master Barang'!A41)</f>
        <v>0</v>
      </c>
      <c r="O3747">
        <f>IF(N3747="","",'Master Barang'!B41)</f>
        <v>0</v>
      </c>
      <c r="P3747">
        <f>IF(OR(M3747="",N3747=""),"",SUMIFS('Barang Keluar'!$E:$E,'Barang Keluar'!$A:$A,M3747,'Barang Keluar'!$C:$C,N3747))</f>
        <v>0</v>
      </c>
    </row>
    <row r="3748" spans="13:16">
      <c r="M3748" s="49">
        <f>IF($A$4+37&gt;$B$4,"",$A$4+37)</f>
        <v>46060</v>
      </c>
      <c r="N3748">
        <f>IF(M3748="","",'Master Barang'!A42)</f>
        <v>0</v>
      </c>
      <c r="O3748">
        <f>IF(N3748="","",'Master Barang'!B42)</f>
        <v>0</v>
      </c>
      <c r="P3748">
        <f>IF(OR(M3748="",N3748=""),"",SUMIFS('Barang Keluar'!$E:$E,'Barang Keluar'!$A:$A,M3748,'Barang Keluar'!$C:$C,N3748))</f>
        <v>0</v>
      </c>
    </row>
    <row r="3749" spans="13:16">
      <c r="M3749" s="49">
        <f>IF($A$4+37&gt;$B$4,"",$A$4+37)</f>
        <v>46060</v>
      </c>
      <c r="N3749">
        <f>IF(M3749="","",'Master Barang'!A43)</f>
        <v>0</v>
      </c>
      <c r="O3749">
        <f>IF(N3749="","",'Master Barang'!B43)</f>
        <v>0</v>
      </c>
      <c r="P3749">
        <f>IF(OR(M3749="",N3749=""),"",SUMIFS('Barang Keluar'!$E:$E,'Barang Keluar'!$A:$A,M3749,'Barang Keluar'!$C:$C,N3749))</f>
        <v>0</v>
      </c>
    </row>
    <row r="3750" spans="13:16">
      <c r="M3750" s="49">
        <f>IF($A$4+37&gt;$B$4,"",$A$4+37)</f>
        <v>46060</v>
      </c>
      <c r="N3750">
        <f>IF(M3750="","",'Master Barang'!A44)</f>
        <v>0</v>
      </c>
      <c r="O3750">
        <f>IF(N3750="","",'Master Barang'!B44)</f>
        <v>0</v>
      </c>
      <c r="P3750">
        <f>IF(OR(M3750="",N3750=""),"",SUMIFS('Barang Keluar'!$E:$E,'Barang Keluar'!$A:$A,M3750,'Barang Keluar'!$C:$C,N3750))</f>
        <v>0</v>
      </c>
    </row>
    <row r="3751" spans="13:16">
      <c r="M3751" s="49">
        <f>IF($A$4+37&gt;$B$4,"",$A$4+37)</f>
        <v>46060</v>
      </c>
      <c r="N3751">
        <f>IF(M3751="","",'Master Barang'!A45)</f>
        <v>0</v>
      </c>
      <c r="O3751">
        <f>IF(N3751="","",'Master Barang'!B45)</f>
        <v>0</v>
      </c>
      <c r="P3751">
        <f>IF(OR(M3751="",N3751=""),"",SUMIFS('Barang Keluar'!$E:$E,'Barang Keluar'!$A:$A,M3751,'Barang Keluar'!$C:$C,N3751))</f>
        <v>0</v>
      </c>
    </row>
    <row r="3752" spans="13:16">
      <c r="M3752" s="49">
        <f>IF($A$4+37&gt;$B$4,"",$A$4+37)</f>
        <v>46060</v>
      </c>
      <c r="N3752">
        <f>IF(M3752="","",'Master Barang'!A46)</f>
        <v>0</v>
      </c>
      <c r="O3752">
        <f>IF(N3752="","",'Master Barang'!B46)</f>
        <v>0</v>
      </c>
      <c r="P3752">
        <f>IF(OR(M3752="",N3752=""),"",SUMIFS('Barang Keluar'!$E:$E,'Barang Keluar'!$A:$A,M3752,'Barang Keluar'!$C:$C,N3752))</f>
        <v>0</v>
      </c>
    </row>
    <row r="3753" spans="13:16">
      <c r="M3753" s="49">
        <f>IF($A$4+37&gt;$B$4,"",$A$4+37)</f>
        <v>46060</v>
      </c>
      <c r="N3753">
        <f>IF(M3753="","",'Master Barang'!A47)</f>
        <v>0</v>
      </c>
      <c r="O3753">
        <f>IF(N3753="","",'Master Barang'!B47)</f>
        <v>0</v>
      </c>
      <c r="P3753">
        <f>IF(OR(M3753="",N3753=""),"",SUMIFS('Barang Keluar'!$E:$E,'Barang Keluar'!$A:$A,M3753,'Barang Keluar'!$C:$C,N3753))</f>
        <v>0</v>
      </c>
    </row>
    <row r="3754" spans="13:16">
      <c r="M3754" s="49">
        <f>IF($A$4+37&gt;$B$4,"",$A$4+37)</f>
        <v>46060</v>
      </c>
      <c r="N3754">
        <f>IF(M3754="","",'Master Barang'!A48)</f>
        <v>0</v>
      </c>
      <c r="O3754">
        <f>IF(N3754="","",'Master Barang'!B48)</f>
        <v>0</v>
      </c>
      <c r="P3754">
        <f>IF(OR(M3754="",N3754=""),"",SUMIFS('Barang Keluar'!$E:$E,'Barang Keluar'!$A:$A,M3754,'Barang Keluar'!$C:$C,N3754))</f>
        <v>0</v>
      </c>
    </row>
    <row r="3755" spans="13:16">
      <c r="M3755" s="49">
        <f>IF($A$4+37&gt;$B$4,"",$A$4+37)</f>
        <v>46060</v>
      </c>
      <c r="N3755">
        <f>IF(M3755="","",'Master Barang'!A49)</f>
        <v>0</v>
      </c>
      <c r="O3755">
        <f>IF(N3755="","",'Master Barang'!B49)</f>
        <v>0</v>
      </c>
      <c r="P3755">
        <f>IF(OR(M3755="",N3755=""),"",SUMIFS('Barang Keluar'!$E:$E,'Barang Keluar'!$A:$A,M3755,'Barang Keluar'!$C:$C,N3755))</f>
        <v>0</v>
      </c>
    </row>
    <row r="3756" spans="13:16">
      <c r="M3756" s="49">
        <f>IF($A$4+37&gt;$B$4,"",$A$4+37)</f>
        <v>46060</v>
      </c>
      <c r="N3756">
        <f>IF(M3756="","",'Master Barang'!A50)</f>
        <v>0</v>
      </c>
      <c r="O3756">
        <f>IF(N3756="","",'Master Barang'!B50)</f>
        <v>0</v>
      </c>
      <c r="P3756">
        <f>IF(OR(M3756="",N3756=""),"",SUMIFS('Barang Keluar'!$E:$E,'Barang Keluar'!$A:$A,M3756,'Barang Keluar'!$C:$C,N3756))</f>
        <v>0</v>
      </c>
    </row>
    <row r="3757" spans="13:16">
      <c r="M3757" s="49">
        <f>IF($A$4+37&gt;$B$4,"",$A$4+37)</f>
        <v>46060</v>
      </c>
      <c r="N3757">
        <f>IF(M3757="","",'Master Barang'!A51)</f>
        <v>0</v>
      </c>
      <c r="O3757">
        <f>IF(N3757="","",'Master Barang'!B51)</f>
        <v>0</v>
      </c>
      <c r="P3757">
        <f>IF(OR(M3757="",N3757=""),"",SUMIFS('Barang Keluar'!$E:$E,'Barang Keluar'!$A:$A,M3757,'Barang Keluar'!$C:$C,N3757))</f>
        <v>0</v>
      </c>
    </row>
    <row r="3758" spans="13:16">
      <c r="M3758" s="49">
        <f>IF($A$4+37&gt;$B$4,"",$A$4+37)</f>
        <v>46060</v>
      </c>
      <c r="N3758">
        <f>IF(M3758="","",'Master Barang'!A52)</f>
        <v>0</v>
      </c>
      <c r="O3758">
        <f>IF(N3758="","",'Master Barang'!B52)</f>
        <v>0</v>
      </c>
      <c r="P3758">
        <f>IF(OR(M3758="",N3758=""),"",SUMIFS('Barang Keluar'!$E:$E,'Barang Keluar'!$A:$A,M3758,'Barang Keluar'!$C:$C,N3758))</f>
        <v>0</v>
      </c>
    </row>
    <row r="3759" spans="13:16">
      <c r="M3759" s="49">
        <f>IF($A$4+37&gt;$B$4,"",$A$4+37)</f>
        <v>46060</v>
      </c>
      <c r="N3759">
        <f>IF(M3759="","",'Master Barang'!A53)</f>
        <v>0</v>
      </c>
      <c r="O3759">
        <f>IF(N3759="","",'Master Barang'!B53)</f>
        <v>0</v>
      </c>
      <c r="P3759">
        <f>IF(OR(M3759="",N3759=""),"",SUMIFS('Barang Keluar'!$E:$E,'Barang Keluar'!$A:$A,M3759,'Barang Keluar'!$C:$C,N3759))</f>
        <v>0</v>
      </c>
    </row>
    <row r="3760" spans="13:16">
      <c r="M3760" s="49">
        <f>IF($A$4+37&gt;$B$4,"",$A$4+37)</f>
        <v>46060</v>
      </c>
      <c r="N3760">
        <f>IF(M3760="","",'Master Barang'!A54)</f>
        <v>0</v>
      </c>
      <c r="O3760">
        <f>IF(N3760="","",'Master Barang'!B54)</f>
        <v>0</v>
      </c>
      <c r="P3760">
        <f>IF(OR(M3760="",N3760=""),"",SUMIFS('Barang Keluar'!$E:$E,'Barang Keluar'!$A:$A,M3760,'Barang Keluar'!$C:$C,N3760))</f>
        <v>0</v>
      </c>
    </row>
    <row r="3761" spans="13:16">
      <c r="M3761" s="49">
        <f>IF($A$4+37&gt;$B$4,"",$A$4+37)</f>
        <v>46060</v>
      </c>
      <c r="N3761">
        <f>IF(M3761="","",'Master Barang'!A55)</f>
        <v>0</v>
      </c>
      <c r="O3761">
        <f>IF(N3761="","",'Master Barang'!B55)</f>
        <v>0</v>
      </c>
      <c r="P3761">
        <f>IF(OR(M3761="",N3761=""),"",SUMIFS('Barang Keluar'!$E:$E,'Barang Keluar'!$A:$A,M3761,'Barang Keluar'!$C:$C,N3761))</f>
        <v>0</v>
      </c>
    </row>
    <row r="3762" spans="13:16">
      <c r="M3762" s="49">
        <f>IF($A$4+37&gt;$B$4,"",$A$4+37)</f>
        <v>46060</v>
      </c>
      <c r="N3762">
        <f>IF(M3762="","",'Master Barang'!A56)</f>
        <v>0</v>
      </c>
      <c r="O3762">
        <f>IF(N3762="","",'Master Barang'!B56)</f>
        <v>0</v>
      </c>
      <c r="P3762">
        <f>IF(OR(M3762="",N3762=""),"",SUMIFS('Barang Keluar'!$E:$E,'Barang Keluar'!$A:$A,M3762,'Barang Keluar'!$C:$C,N3762))</f>
        <v>0</v>
      </c>
    </row>
    <row r="3763" spans="13:16">
      <c r="M3763" s="49">
        <f>IF($A$4+37&gt;$B$4,"",$A$4+37)</f>
        <v>46060</v>
      </c>
      <c r="N3763">
        <f>IF(M3763="","",'Master Barang'!A57)</f>
        <v>0</v>
      </c>
      <c r="O3763">
        <f>IF(N3763="","",'Master Barang'!B57)</f>
        <v>0</v>
      </c>
      <c r="P3763">
        <f>IF(OR(M3763="",N3763=""),"",SUMIFS('Barang Keluar'!$E:$E,'Barang Keluar'!$A:$A,M3763,'Barang Keluar'!$C:$C,N3763))</f>
        <v>0</v>
      </c>
    </row>
    <row r="3764" spans="13:16">
      <c r="M3764" s="49">
        <f>IF($A$4+37&gt;$B$4,"",$A$4+37)</f>
        <v>46060</v>
      </c>
      <c r="N3764">
        <f>IF(M3764="","",'Master Barang'!A58)</f>
        <v>0</v>
      </c>
      <c r="O3764">
        <f>IF(N3764="","",'Master Barang'!B58)</f>
        <v>0</v>
      </c>
      <c r="P3764">
        <f>IF(OR(M3764="",N3764=""),"",SUMIFS('Barang Keluar'!$E:$E,'Barang Keluar'!$A:$A,M3764,'Barang Keluar'!$C:$C,N3764))</f>
        <v>0</v>
      </c>
    </row>
    <row r="3765" spans="13:16">
      <c r="M3765" s="49">
        <f>IF($A$4+37&gt;$B$4,"",$A$4+37)</f>
        <v>46060</v>
      </c>
      <c r="N3765">
        <f>IF(M3765="","",'Master Barang'!A59)</f>
        <v>0</v>
      </c>
      <c r="O3765">
        <f>IF(N3765="","",'Master Barang'!B59)</f>
        <v>0</v>
      </c>
      <c r="P3765">
        <f>IF(OR(M3765="",N3765=""),"",SUMIFS('Barang Keluar'!$E:$E,'Barang Keluar'!$A:$A,M3765,'Barang Keluar'!$C:$C,N3765))</f>
        <v>0</v>
      </c>
    </row>
    <row r="3766" spans="13:16">
      <c r="M3766" s="49">
        <f>IF($A$4+37&gt;$B$4,"",$A$4+37)</f>
        <v>46060</v>
      </c>
      <c r="N3766">
        <f>IF(M3766="","",'Master Barang'!A60)</f>
        <v>0</v>
      </c>
      <c r="O3766">
        <f>IF(N3766="","",'Master Barang'!B60)</f>
        <v>0</v>
      </c>
      <c r="P3766">
        <f>IF(OR(M3766="",N3766=""),"",SUMIFS('Barang Keluar'!$E:$E,'Barang Keluar'!$A:$A,M3766,'Barang Keluar'!$C:$C,N3766))</f>
        <v>0</v>
      </c>
    </row>
    <row r="3767" spans="13:16">
      <c r="M3767" s="49">
        <f>IF($A$4+37&gt;$B$4,"",$A$4+37)</f>
        <v>46060</v>
      </c>
      <c r="N3767">
        <f>IF(M3767="","",'Master Barang'!A61)</f>
        <v>0</v>
      </c>
      <c r="O3767">
        <f>IF(N3767="","",'Master Barang'!B61)</f>
        <v>0</v>
      </c>
      <c r="P3767">
        <f>IF(OR(M3767="",N3767=""),"",SUMIFS('Barang Keluar'!$E:$E,'Barang Keluar'!$A:$A,M3767,'Barang Keluar'!$C:$C,N3767))</f>
        <v>0</v>
      </c>
    </row>
    <row r="3768" spans="13:16">
      <c r="M3768" s="49">
        <f>IF($A$4+37&gt;$B$4,"",$A$4+37)</f>
        <v>46060</v>
      </c>
      <c r="N3768">
        <f>IF(M3768="","",'Master Barang'!A62)</f>
        <v>0</v>
      </c>
      <c r="O3768">
        <f>IF(N3768="","",'Master Barang'!B62)</f>
        <v>0</v>
      </c>
      <c r="P3768">
        <f>IF(OR(M3768="",N3768=""),"",SUMIFS('Barang Keluar'!$E:$E,'Barang Keluar'!$A:$A,M3768,'Barang Keluar'!$C:$C,N3768))</f>
        <v>0</v>
      </c>
    </row>
    <row r="3769" spans="13:16">
      <c r="M3769" s="49">
        <f>IF($A$4+37&gt;$B$4,"",$A$4+37)</f>
        <v>46060</v>
      </c>
      <c r="N3769">
        <f>IF(M3769="","",'Master Barang'!A63)</f>
        <v>0</v>
      </c>
      <c r="O3769">
        <f>IF(N3769="","",'Master Barang'!B63)</f>
        <v>0</v>
      </c>
      <c r="P3769">
        <f>IF(OR(M3769="",N3769=""),"",SUMIFS('Barang Keluar'!$E:$E,'Barang Keluar'!$A:$A,M3769,'Barang Keluar'!$C:$C,N3769))</f>
        <v>0</v>
      </c>
    </row>
    <row r="3770" spans="13:16">
      <c r="M3770" s="49">
        <f>IF($A$4+37&gt;$B$4,"",$A$4+37)</f>
        <v>46060</v>
      </c>
      <c r="N3770">
        <f>IF(M3770="","",'Master Barang'!A64)</f>
        <v>0</v>
      </c>
      <c r="O3770">
        <f>IF(N3770="","",'Master Barang'!B64)</f>
        <v>0</v>
      </c>
      <c r="P3770">
        <f>IF(OR(M3770="",N3770=""),"",SUMIFS('Barang Keluar'!$E:$E,'Barang Keluar'!$A:$A,M3770,'Barang Keluar'!$C:$C,N3770))</f>
        <v>0</v>
      </c>
    </row>
    <row r="3771" spans="13:16">
      <c r="M3771" s="49">
        <f>IF($A$4+37&gt;$B$4,"",$A$4+37)</f>
        <v>46060</v>
      </c>
      <c r="N3771">
        <f>IF(M3771="","",'Master Barang'!A65)</f>
        <v>0</v>
      </c>
      <c r="O3771">
        <f>IF(N3771="","",'Master Barang'!B65)</f>
        <v>0</v>
      </c>
      <c r="P3771">
        <f>IF(OR(M3771="",N3771=""),"",SUMIFS('Barang Keluar'!$E:$E,'Barang Keluar'!$A:$A,M3771,'Barang Keluar'!$C:$C,N3771))</f>
        <v>0</v>
      </c>
    </row>
    <row r="3772" spans="13:16">
      <c r="M3772" s="49">
        <f>IF($A$4+37&gt;$B$4,"",$A$4+37)</f>
        <v>46060</v>
      </c>
      <c r="N3772">
        <f>IF(M3772="","",'Master Barang'!A66)</f>
        <v>0</v>
      </c>
      <c r="O3772">
        <f>IF(N3772="","",'Master Barang'!B66)</f>
        <v>0</v>
      </c>
      <c r="P3772">
        <f>IF(OR(M3772="",N3772=""),"",SUMIFS('Barang Keluar'!$E:$E,'Barang Keluar'!$A:$A,M3772,'Barang Keluar'!$C:$C,N3772))</f>
        <v>0</v>
      </c>
    </row>
    <row r="3773" spans="13:16">
      <c r="M3773" s="49">
        <f>IF($A$4+37&gt;$B$4,"",$A$4+37)</f>
        <v>46060</v>
      </c>
      <c r="N3773">
        <f>IF(M3773="","",'Master Barang'!A67)</f>
        <v>0</v>
      </c>
      <c r="O3773">
        <f>IF(N3773="","",'Master Barang'!B67)</f>
        <v>0</v>
      </c>
      <c r="P3773">
        <f>IF(OR(M3773="",N3773=""),"",SUMIFS('Barang Keluar'!$E:$E,'Barang Keluar'!$A:$A,M3773,'Barang Keluar'!$C:$C,N3773))</f>
        <v>0</v>
      </c>
    </row>
    <row r="3774" spans="13:16">
      <c r="M3774" s="49">
        <f>IF($A$4+37&gt;$B$4,"",$A$4+37)</f>
        <v>46060</v>
      </c>
      <c r="N3774">
        <f>IF(M3774="","",'Master Barang'!A68)</f>
        <v>0</v>
      </c>
      <c r="O3774">
        <f>IF(N3774="","",'Master Barang'!B68)</f>
        <v>0</v>
      </c>
      <c r="P3774">
        <f>IF(OR(M3774="",N3774=""),"",SUMIFS('Barang Keluar'!$E:$E,'Barang Keluar'!$A:$A,M3774,'Barang Keluar'!$C:$C,N3774))</f>
        <v>0</v>
      </c>
    </row>
    <row r="3775" spans="13:16">
      <c r="M3775" s="49">
        <f>IF($A$4+37&gt;$B$4,"",$A$4+37)</f>
        <v>46060</v>
      </c>
      <c r="N3775">
        <f>IF(M3775="","",'Master Barang'!A69)</f>
        <v>0</v>
      </c>
      <c r="O3775">
        <f>IF(N3775="","",'Master Barang'!B69)</f>
        <v>0</v>
      </c>
      <c r="P3775">
        <f>IF(OR(M3775="",N3775=""),"",SUMIFS('Barang Keluar'!$E:$E,'Barang Keluar'!$A:$A,M3775,'Barang Keluar'!$C:$C,N3775))</f>
        <v>0</v>
      </c>
    </row>
    <row r="3776" spans="13:16">
      <c r="M3776" s="49">
        <f>IF($A$4+37&gt;$B$4,"",$A$4+37)</f>
        <v>46060</v>
      </c>
      <c r="N3776">
        <f>IF(M3776="","",'Master Barang'!A70)</f>
        <v>0</v>
      </c>
      <c r="O3776">
        <f>IF(N3776="","",'Master Barang'!B70)</f>
        <v>0</v>
      </c>
      <c r="P3776">
        <f>IF(OR(M3776="",N3776=""),"",SUMIFS('Barang Keluar'!$E:$E,'Barang Keluar'!$A:$A,M3776,'Barang Keluar'!$C:$C,N3776))</f>
        <v>0</v>
      </c>
    </row>
    <row r="3777" spans="13:16">
      <c r="M3777" s="49">
        <f>IF($A$4+37&gt;$B$4,"",$A$4+37)</f>
        <v>46060</v>
      </c>
      <c r="N3777">
        <f>IF(M3777="","",'Master Barang'!A71)</f>
        <v>0</v>
      </c>
      <c r="O3777">
        <f>IF(N3777="","",'Master Barang'!B71)</f>
        <v>0</v>
      </c>
      <c r="P3777">
        <f>IF(OR(M3777="",N3777=""),"",SUMIFS('Barang Keluar'!$E:$E,'Barang Keluar'!$A:$A,M3777,'Barang Keluar'!$C:$C,N3777))</f>
        <v>0</v>
      </c>
    </row>
    <row r="3778" spans="13:16">
      <c r="M3778" s="49">
        <f>IF($A$4+37&gt;$B$4,"",$A$4+37)</f>
        <v>46060</v>
      </c>
      <c r="N3778">
        <f>IF(M3778="","",'Master Barang'!A72)</f>
        <v>0</v>
      </c>
      <c r="O3778">
        <f>IF(N3778="","",'Master Barang'!B72)</f>
        <v>0</v>
      </c>
      <c r="P3778">
        <f>IF(OR(M3778="",N3778=""),"",SUMIFS('Barang Keluar'!$E:$E,'Barang Keluar'!$A:$A,M3778,'Barang Keluar'!$C:$C,N3778))</f>
        <v>0</v>
      </c>
    </row>
    <row r="3779" spans="13:16">
      <c r="M3779" s="49">
        <f>IF($A$4+37&gt;$B$4,"",$A$4+37)</f>
        <v>46060</v>
      </c>
      <c r="N3779">
        <f>IF(M3779="","",'Master Barang'!A73)</f>
        <v>0</v>
      </c>
      <c r="O3779">
        <f>IF(N3779="","",'Master Barang'!B73)</f>
        <v>0</v>
      </c>
      <c r="P3779">
        <f>IF(OR(M3779="",N3779=""),"",SUMIFS('Barang Keluar'!$E:$E,'Barang Keluar'!$A:$A,M3779,'Barang Keluar'!$C:$C,N3779))</f>
        <v>0</v>
      </c>
    </row>
    <row r="3780" spans="13:16">
      <c r="M3780" s="49">
        <f>IF($A$4+37&gt;$B$4,"",$A$4+37)</f>
        <v>46060</v>
      </c>
      <c r="N3780">
        <f>IF(M3780="","",'Master Barang'!A74)</f>
        <v>0</v>
      </c>
      <c r="O3780">
        <f>IF(N3780="","",'Master Barang'!B74)</f>
        <v>0</v>
      </c>
      <c r="P3780">
        <f>IF(OR(M3780="",N3780=""),"",SUMIFS('Barang Keluar'!$E:$E,'Barang Keluar'!$A:$A,M3780,'Barang Keluar'!$C:$C,N3780))</f>
        <v>0</v>
      </c>
    </row>
    <row r="3781" spans="13:16">
      <c r="M3781" s="49">
        <f>IF($A$4+37&gt;$B$4,"",$A$4+37)</f>
        <v>46060</v>
      </c>
      <c r="N3781">
        <f>IF(M3781="","",'Master Barang'!A75)</f>
        <v>0</v>
      </c>
      <c r="O3781">
        <f>IF(N3781="","",'Master Barang'!B75)</f>
        <v>0</v>
      </c>
      <c r="P3781">
        <f>IF(OR(M3781="",N3781=""),"",SUMIFS('Barang Keluar'!$E:$E,'Barang Keluar'!$A:$A,M3781,'Barang Keluar'!$C:$C,N3781))</f>
        <v>0</v>
      </c>
    </row>
    <row r="3782" spans="13:16">
      <c r="M3782" s="49">
        <f>IF($A$4+37&gt;$B$4,"",$A$4+37)</f>
        <v>46060</v>
      </c>
      <c r="N3782">
        <f>IF(M3782="","",'Master Barang'!A76)</f>
        <v>0</v>
      </c>
      <c r="O3782">
        <f>IF(N3782="","",'Master Barang'!B76)</f>
        <v>0</v>
      </c>
      <c r="P3782">
        <f>IF(OR(M3782="",N3782=""),"",SUMIFS('Barang Keluar'!$E:$E,'Barang Keluar'!$A:$A,M3782,'Barang Keluar'!$C:$C,N3782))</f>
        <v>0</v>
      </c>
    </row>
    <row r="3783" spans="13:16">
      <c r="M3783" s="49">
        <f>IF($A$4+37&gt;$B$4,"",$A$4+37)</f>
        <v>46060</v>
      </c>
      <c r="N3783">
        <f>IF(M3783="","",'Master Barang'!A77)</f>
        <v>0</v>
      </c>
      <c r="O3783">
        <f>IF(N3783="","",'Master Barang'!B77)</f>
        <v>0</v>
      </c>
      <c r="P3783">
        <f>IF(OR(M3783="",N3783=""),"",SUMIFS('Barang Keluar'!$E:$E,'Barang Keluar'!$A:$A,M3783,'Barang Keluar'!$C:$C,N3783))</f>
        <v>0</v>
      </c>
    </row>
    <row r="3784" spans="13:16">
      <c r="M3784" s="49">
        <f>IF($A$4+37&gt;$B$4,"",$A$4+37)</f>
        <v>46060</v>
      </c>
      <c r="N3784">
        <f>IF(M3784="","",'Master Barang'!A78)</f>
        <v>0</v>
      </c>
      <c r="O3784">
        <f>IF(N3784="","",'Master Barang'!B78)</f>
        <v>0</v>
      </c>
      <c r="P3784">
        <f>IF(OR(M3784="",N3784=""),"",SUMIFS('Barang Keluar'!$E:$E,'Barang Keluar'!$A:$A,M3784,'Barang Keluar'!$C:$C,N3784))</f>
        <v>0</v>
      </c>
    </row>
    <row r="3785" spans="13:16">
      <c r="M3785" s="49">
        <f>IF($A$4+37&gt;$B$4,"",$A$4+37)</f>
        <v>46060</v>
      </c>
      <c r="N3785">
        <f>IF(M3785="","",'Master Barang'!A79)</f>
        <v>0</v>
      </c>
      <c r="O3785">
        <f>IF(N3785="","",'Master Barang'!B79)</f>
        <v>0</v>
      </c>
      <c r="P3785">
        <f>IF(OR(M3785="",N3785=""),"",SUMIFS('Barang Keluar'!$E:$E,'Barang Keluar'!$A:$A,M3785,'Barang Keluar'!$C:$C,N3785))</f>
        <v>0</v>
      </c>
    </row>
    <row r="3786" spans="13:16">
      <c r="M3786" s="49">
        <f>IF($A$4+37&gt;$B$4,"",$A$4+37)</f>
        <v>46060</v>
      </c>
      <c r="N3786">
        <f>IF(M3786="","",'Master Barang'!A80)</f>
        <v>0</v>
      </c>
      <c r="O3786">
        <f>IF(N3786="","",'Master Barang'!B80)</f>
        <v>0</v>
      </c>
      <c r="P3786">
        <f>IF(OR(M3786="",N3786=""),"",SUMIFS('Barang Keluar'!$E:$E,'Barang Keluar'!$A:$A,M3786,'Barang Keluar'!$C:$C,N3786))</f>
        <v>0</v>
      </c>
    </row>
    <row r="3787" spans="13:16">
      <c r="M3787" s="49">
        <f>IF($A$4+37&gt;$B$4,"",$A$4+37)</f>
        <v>46060</v>
      </c>
      <c r="N3787">
        <f>IF(M3787="","",'Master Barang'!A81)</f>
        <v>0</v>
      </c>
      <c r="O3787">
        <f>IF(N3787="","",'Master Barang'!B81)</f>
        <v>0</v>
      </c>
      <c r="P3787">
        <f>IF(OR(M3787="",N3787=""),"",SUMIFS('Barang Keluar'!$E:$E,'Barang Keluar'!$A:$A,M3787,'Barang Keluar'!$C:$C,N3787))</f>
        <v>0</v>
      </c>
    </row>
    <row r="3788" spans="13:16">
      <c r="M3788" s="49">
        <f>IF($A$4+37&gt;$B$4,"",$A$4+37)</f>
        <v>46060</v>
      </c>
      <c r="N3788">
        <f>IF(M3788="","",'Master Barang'!A82)</f>
        <v>0</v>
      </c>
      <c r="O3788">
        <f>IF(N3788="","",'Master Barang'!B82)</f>
        <v>0</v>
      </c>
      <c r="P3788">
        <f>IF(OR(M3788="",N3788=""),"",SUMIFS('Barang Keluar'!$E:$E,'Barang Keluar'!$A:$A,M3788,'Barang Keluar'!$C:$C,N3788))</f>
        <v>0</v>
      </c>
    </row>
    <row r="3789" spans="13:16">
      <c r="M3789" s="49">
        <f>IF($A$4+37&gt;$B$4,"",$A$4+37)</f>
        <v>46060</v>
      </c>
      <c r="N3789">
        <f>IF(M3789="","",'Master Barang'!A83)</f>
        <v>0</v>
      </c>
      <c r="O3789">
        <f>IF(N3789="","",'Master Barang'!B83)</f>
        <v>0</v>
      </c>
      <c r="P3789">
        <f>IF(OR(M3789="",N3789=""),"",SUMIFS('Barang Keluar'!$E:$E,'Barang Keluar'!$A:$A,M3789,'Barang Keluar'!$C:$C,N3789))</f>
        <v>0</v>
      </c>
    </row>
    <row r="3790" spans="13:16">
      <c r="M3790" s="49">
        <f>IF($A$4+37&gt;$B$4,"",$A$4+37)</f>
        <v>46060</v>
      </c>
      <c r="N3790">
        <f>IF(M3790="","",'Master Barang'!A84)</f>
        <v>0</v>
      </c>
      <c r="O3790">
        <f>IF(N3790="","",'Master Barang'!B84)</f>
        <v>0</v>
      </c>
      <c r="P3790">
        <f>IF(OR(M3790="",N3790=""),"",SUMIFS('Barang Keluar'!$E:$E,'Barang Keluar'!$A:$A,M3790,'Barang Keluar'!$C:$C,N3790))</f>
        <v>0</v>
      </c>
    </row>
    <row r="3791" spans="13:16">
      <c r="M3791" s="49">
        <f>IF($A$4+37&gt;$B$4,"",$A$4+37)</f>
        <v>46060</v>
      </c>
      <c r="N3791">
        <f>IF(M3791="","",'Master Barang'!A85)</f>
        <v>0</v>
      </c>
      <c r="O3791">
        <f>IF(N3791="","",'Master Barang'!B85)</f>
        <v>0</v>
      </c>
      <c r="P3791">
        <f>IF(OR(M3791="",N3791=""),"",SUMIFS('Barang Keluar'!$E:$E,'Barang Keluar'!$A:$A,M3791,'Barang Keluar'!$C:$C,N3791))</f>
        <v>0</v>
      </c>
    </row>
    <row r="3792" spans="13:16">
      <c r="M3792" s="49">
        <f>IF($A$4+37&gt;$B$4,"",$A$4+37)</f>
        <v>46060</v>
      </c>
      <c r="N3792">
        <f>IF(M3792="","",'Master Barang'!A86)</f>
        <v>0</v>
      </c>
      <c r="O3792">
        <f>IF(N3792="","",'Master Barang'!B86)</f>
        <v>0</v>
      </c>
      <c r="P3792">
        <f>IF(OR(M3792="",N3792=""),"",SUMIFS('Barang Keluar'!$E:$E,'Barang Keluar'!$A:$A,M3792,'Barang Keluar'!$C:$C,N3792))</f>
        <v>0</v>
      </c>
    </row>
    <row r="3793" spans="13:16">
      <c r="M3793" s="49">
        <f>IF($A$4+37&gt;$B$4,"",$A$4+37)</f>
        <v>46060</v>
      </c>
      <c r="N3793">
        <f>IF(M3793="","",'Master Barang'!A87)</f>
        <v>0</v>
      </c>
      <c r="O3793">
        <f>IF(N3793="","",'Master Barang'!B87)</f>
        <v>0</v>
      </c>
      <c r="P3793">
        <f>IF(OR(M3793="",N3793=""),"",SUMIFS('Barang Keluar'!$E:$E,'Barang Keluar'!$A:$A,M3793,'Barang Keluar'!$C:$C,N3793))</f>
        <v>0</v>
      </c>
    </row>
    <row r="3794" spans="13:16">
      <c r="M3794" s="49">
        <f>IF($A$4+37&gt;$B$4,"",$A$4+37)</f>
        <v>46060</v>
      </c>
      <c r="N3794">
        <f>IF(M3794="","",'Master Barang'!A88)</f>
        <v>0</v>
      </c>
      <c r="O3794">
        <f>IF(N3794="","",'Master Barang'!B88)</f>
        <v>0</v>
      </c>
      <c r="P3794">
        <f>IF(OR(M3794="",N3794=""),"",SUMIFS('Barang Keluar'!$E:$E,'Barang Keluar'!$A:$A,M3794,'Barang Keluar'!$C:$C,N3794))</f>
        <v>0</v>
      </c>
    </row>
    <row r="3795" spans="13:16">
      <c r="M3795" s="49">
        <f>IF($A$4+37&gt;$B$4,"",$A$4+37)</f>
        <v>46060</v>
      </c>
      <c r="N3795">
        <f>IF(M3795="","",'Master Barang'!A89)</f>
        <v>0</v>
      </c>
      <c r="O3795">
        <f>IF(N3795="","",'Master Barang'!B89)</f>
        <v>0</v>
      </c>
      <c r="P3795">
        <f>IF(OR(M3795="",N3795=""),"",SUMIFS('Barang Keluar'!$E:$E,'Barang Keluar'!$A:$A,M3795,'Barang Keluar'!$C:$C,N3795))</f>
        <v>0</v>
      </c>
    </row>
    <row r="3796" spans="13:16">
      <c r="M3796" s="49">
        <f>IF($A$4+37&gt;$B$4,"",$A$4+37)</f>
        <v>46060</v>
      </c>
      <c r="N3796">
        <f>IF(M3796="","",'Master Barang'!A90)</f>
        <v>0</v>
      </c>
      <c r="O3796">
        <f>IF(N3796="","",'Master Barang'!B90)</f>
        <v>0</v>
      </c>
      <c r="P3796">
        <f>IF(OR(M3796="",N3796=""),"",SUMIFS('Barang Keluar'!$E:$E,'Barang Keluar'!$A:$A,M3796,'Barang Keluar'!$C:$C,N3796))</f>
        <v>0</v>
      </c>
    </row>
    <row r="3797" spans="13:16">
      <c r="M3797" s="49">
        <f>IF($A$4+37&gt;$B$4,"",$A$4+37)</f>
        <v>46060</v>
      </c>
      <c r="N3797">
        <f>IF(M3797="","",'Master Barang'!A91)</f>
        <v>0</v>
      </c>
      <c r="O3797">
        <f>IF(N3797="","",'Master Barang'!B91)</f>
        <v>0</v>
      </c>
      <c r="P3797">
        <f>IF(OR(M3797="",N3797=""),"",SUMIFS('Barang Keluar'!$E:$E,'Barang Keluar'!$A:$A,M3797,'Barang Keluar'!$C:$C,N3797))</f>
        <v>0</v>
      </c>
    </row>
    <row r="3798" spans="13:16">
      <c r="M3798" s="49">
        <f>IF($A$4+37&gt;$B$4,"",$A$4+37)</f>
        <v>46060</v>
      </c>
      <c r="N3798">
        <f>IF(M3798="","",'Master Barang'!A92)</f>
        <v>0</v>
      </c>
      <c r="O3798">
        <f>IF(N3798="","",'Master Barang'!B92)</f>
        <v>0</v>
      </c>
      <c r="P3798">
        <f>IF(OR(M3798="",N3798=""),"",SUMIFS('Barang Keluar'!$E:$E,'Barang Keluar'!$A:$A,M3798,'Barang Keluar'!$C:$C,N3798))</f>
        <v>0</v>
      </c>
    </row>
    <row r="3799" spans="13:16">
      <c r="M3799" s="49">
        <f>IF($A$4+37&gt;$B$4,"",$A$4+37)</f>
        <v>46060</v>
      </c>
      <c r="N3799">
        <f>IF(M3799="","",'Master Barang'!A93)</f>
        <v>0</v>
      </c>
      <c r="O3799">
        <f>IF(N3799="","",'Master Barang'!B93)</f>
        <v>0</v>
      </c>
      <c r="P3799">
        <f>IF(OR(M3799="",N3799=""),"",SUMIFS('Barang Keluar'!$E:$E,'Barang Keluar'!$A:$A,M3799,'Barang Keluar'!$C:$C,N3799))</f>
        <v>0</v>
      </c>
    </row>
    <row r="3800" spans="13:16">
      <c r="M3800" s="49">
        <f>IF($A$4+37&gt;$B$4,"",$A$4+37)</f>
        <v>46060</v>
      </c>
      <c r="N3800">
        <f>IF(M3800="","",'Master Barang'!A94)</f>
        <v>0</v>
      </c>
      <c r="O3800">
        <f>IF(N3800="","",'Master Barang'!B94)</f>
        <v>0</v>
      </c>
      <c r="P3800">
        <f>IF(OR(M3800="",N3800=""),"",SUMIFS('Barang Keluar'!$E:$E,'Barang Keluar'!$A:$A,M3800,'Barang Keluar'!$C:$C,N3800))</f>
        <v>0</v>
      </c>
    </row>
    <row r="3801" spans="13:16">
      <c r="M3801" s="49">
        <f>IF($A$4+37&gt;$B$4,"",$A$4+37)</f>
        <v>46060</v>
      </c>
      <c r="N3801">
        <f>IF(M3801="","",'Master Barang'!A95)</f>
        <v>0</v>
      </c>
      <c r="O3801">
        <f>IF(N3801="","",'Master Barang'!B95)</f>
        <v>0</v>
      </c>
      <c r="P3801">
        <f>IF(OR(M3801="",N3801=""),"",SUMIFS('Barang Keluar'!$E:$E,'Barang Keluar'!$A:$A,M3801,'Barang Keluar'!$C:$C,N3801))</f>
        <v>0</v>
      </c>
    </row>
    <row r="3802" spans="13:16">
      <c r="M3802" s="49">
        <f>IF($A$4+37&gt;$B$4,"",$A$4+37)</f>
        <v>46060</v>
      </c>
      <c r="N3802">
        <f>IF(M3802="","",'Master Barang'!A96)</f>
        <v>0</v>
      </c>
      <c r="O3802">
        <f>IF(N3802="","",'Master Barang'!B96)</f>
        <v>0</v>
      </c>
      <c r="P3802">
        <f>IF(OR(M3802="",N3802=""),"",SUMIFS('Barang Keluar'!$E:$E,'Barang Keluar'!$A:$A,M3802,'Barang Keluar'!$C:$C,N3802))</f>
        <v>0</v>
      </c>
    </row>
    <row r="3803" spans="13:16">
      <c r="M3803" s="49">
        <f>IF($A$4+37&gt;$B$4,"",$A$4+37)</f>
        <v>46060</v>
      </c>
      <c r="N3803">
        <f>IF(M3803="","",'Master Barang'!A97)</f>
        <v>0</v>
      </c>
      <c r="O3803">
        <f>IF(N3803="","",'Master Barang'!B97)</f>
        <v>0</v>
      </c>
      <c r="P3803">
        <f>IF(OR(M3803="",N3803=""),"",SUMIFS('Barang Keluar'!$E:$E,'Barang Keluar'!$A:$A,M3803,'Barang Keluar'!$C:$C,N3803))</f>
        <v>0</v>
      </c>
    </row>
    <row r="3804" spans="13:16">
      <c r="M3804" s="49">
        <f>IF($A$4+37&gt;$B$4,"",$A$4+37)</f>
        <v>46060</v>
      </c>
      <c r="N3804">
        <f>IF(M3804="","",'Master Barang'!A98)</f>
        <v>0</v>
      </c>
      <c r="O3804">
        <f>IF(N3804="","",'Master Barang'!B98)</f>
        <v>0</v>
      </c>
      <c r="P3804">
        <f>IF(OR(M3804="",N3804=""),"",SUMIFS('Barang Keluar'!$E:$E,'Barang Keluar'!$A:$A,M3804,'Barang Keluar'!$C:$C,N3804))</f>
        <v>0</v>
      </c>
    </row>
    <row r="3805" spans="13:16">
      <c r="M3805" s="49">
        <f>IF($A$4+37&gt;$B$4,"",$A$4+37)</f>
        <v>46060</v>
      </c>
      <c r="N3805">
        <f>IF(M3805="","",'Master Barang'!A99)</f>
        <v>0</v>
      </c>
      <c r="O3805">
        <f>IF(N3805="","",'Master Barang'!B99)</f>
        <v>0</v>
      </c>
      <c r="P3805">
        <f>IF(OR(M3805="",N3805=""),"",SUMIFS('Barang Keluar'!$E:$E,'Barang Keluar'!$A:$A,M3805,'Barang Keluar'!$C:$C,N3805))</f>
        <v>0</v>
      </c>
    </row>
    <row r="3806" spans="13:16">
      <c r="M3806" s="49">
        <f>IF($A$4+37&gt;$B$4,"",$A$4+37)</f>
        <v>46060</v>
      </c>
      <c r="N3806">
        <f>IF(M3806="","",'Master Barang'!A100)</f>
        <v>0</v>
      </c>
      <c r="O3806">
        <f>IF(N3806="","",'Master Barang'!B100)</f>
        <v>0</v>
      </c>
      <c r="P3806">
        <f>IF(OR(M3806="",N3806=""),"",SUMIFS('Barang Keluar'!$E:$E,'Barang Keluar'!$A:$A,M3806,'Barang Keluar'!$C:$C,N3806))</f>
        <v>0</v>
      </c>
    </row>
    <row r="3807" spans="13:16">
      <c r="M3807" s="49">
        <f>IF($A$4+37&gt;$B$4,"",$A$4+37)</f>
        <v>46060</v>
      </c>
      <c r="N3807">
        <f>IF(M3807="","",'Master Barang'!A101)</f>
        <v>0</v>
      </c>
      <c r="O3807">
        <f>IF(N3807="","",'Master Barang'!B101)</f>
        <v>0</v>
      </c>
      <c r="P3807">
        <f>IF(OR(M3807="",N3807=""),"",SUMIFS('Barang Keluar'!$E:$E,'Barang Keluar'!$A:$A,M3807,'Barang Keluar'!$C:$C,N3807))</f>
        <v>0</v>
      </c>
    </row>
    <row r="3808" spans="13:16">
      <c r="M3808" s="49">
        <f>IF($A$4+38&gt;$B$4,"",$A$4+38)</f>
        <v>46061</v>
      </c>
      <c r="N3808" t="str">
        <f>IF(M3808="","",'Master Barang'!A2)</f>
        <v>PRL-001</v>
      </c>
      <c r="O3808" t="str">
        <f>IF(N3808="","",'Master Barang'!B2)</f>
        <v>natura desinfectant food grade 5l</v>
      </c>
      <c r="P3808">
        <f>IF(OR(M3808="",N3808=""),"",SUMIFS('Barang Keluar'!$E:$E,'Barang Keluar'!$A:$A,M3808,'Barang Keluar'!$C:$C,N3808))</f>
        <v>0</v>
      </c>
    </row>
    <row r="3809" spans="13:16">
      <c r="M3809" s="49">
        <f>IF($A$4+38&gt;$B$4,"",$A$4+38)</f>
        <v>46061</v>
      </c>
      <c r="N3809" t="str">
        <f>IF(M3809="","",'Master Barang'!A3)</f>
        <v>PRL-002</v>
      </c>
      <c r="O3809" t="str">
        <f>IF(N3809="","",'Master Barang'!B3)</f>
        <v>sunlight cairan pencuci piring 5l</v>
      </c>
      <c r="P3809">
        <f>IF(OR(M3809="",N3809=""),"",SUMIFS('Barang Keluar'!$E:$E,'Barang Keluar'!$A:$A,M3809,'Barang Keluar'!$C:$C,N3809))</f>
        <v>0</v>
      </c>
    </row>
    <row r="3810" spans="13:16">
      <c r="M3810" s="49">
        <f>IF($A$4+38&gt;$B$4,"",$A$4+38)</f>
        <v>46061</v>
      </c>
      <c r="N3810" t="str">
        <f>IF(M3810="","",'Master Barang'!A4)</f>
        <v>PRL-003</v>
      </c>
      <c r="O3810" t="str">
        <f>IF(N3810="","",'Master Barang'!B4)</f>
        <v>oixs cleaner 1l</v>
      </c>
      <c r="P3810">
        <f>IF(OR(M3810="",N3810=""),"",SUMIFS('Barang Keluar'!$E:$E,'Barang Keluar'!$A:$A,M3810,'Barang Keluar'!$C:$C,N3810))</f>
        <v>0</v>
      </c>
    </row>
    <row r="3811" spans="13:16">
      <c r="M3811" s="49">
        <f>IF($A$4+38&gt;$B$4,"",$A$4+38)</f>
        <v>46061</v>
      </c>
      <c r="N3811" t="str">
        <f>IF(M3811="","",'Master Barang'!A5)</f>
        <v>PRL-004</v>
      </c>
      <c r="O3811" t="str">
        <f>IF(N3811="","",'Master Barang'!B5)</f>
        <v>be clean tissue serbaguna</v>
      </c>
      <c r="P3811">
        <f>IF(OR(M3811="",N3811=""),"",SUMIFS('Barang Keluar'!$E:$E,'Barang Keluar'!$A:$A,M3811,'Barang Keluar'!$C:$C,N3811))</f>
        <v>0</v>
      </c>
    </row>
    <row r="3812" spans="13:16">
      <c r="M3812" s="49">
        <f>IF($A$4+38&gt;$B$4,"",$A$4+38)</f>
        <v>46061</v>
      </c>
      <c r="N3812" t="str">
        <f>IF(M3812="","",'Master Barang'!A6)</f>
        <v>PRL-005</v>
      </c>
      <c r="O3812" t="str">
        <f>IF(N3812="","",'Master Barang'!B6)</f>
        <v>spons cuci hijau</v>
      </c>
      <c r="P3812">
        <f>IF(OR(M3812="",N3812=""),"",SUMIFS('Barang Keluar'!$E:$E,'Barang Keluar'!$A:$A,M3812,'Barang Keluar'!$C:$C,N3812))</f>
        <v>0</v>
      </c>
    </row>
    <row r="3813" spans="13:16">
      <c r="M3813" s="49">
        <f>IF($A$4+38&gt;$B$4,"",$A$4+38)</f>
        <v>46061</v>
      </c>
      <c r="N3813" t="str">
        <f>IF(M3813="","",'Master Barang'!A7)</f>
        <v>PRL-006</v>
      </c>
      <c r="O3813" t="str">
        <f>IF(N3813="","",'Master Barang'!B7)</f>
        <v>sabut cuci stainless</v>
      </c>
      <c r="P3813">
        <f>IF(OR(M3813="",N3813=""),"",SUMIFS('Barang Keluar'!$E:$E,'Barang Keluar'!$A:$A,M3813,'Barang Keluar'!$C:$C,N3813))</f>
        <v>0</v>
      </c>
    </row>
    <row r="3814" spans="13:16">
      <c r="M3814" s="49">
        <f>IF($A$4+38&gt;$B$4,"",$A$4+38)</f>
        <v>46061</v>
      </c>
      <c r="N3814" t="str">
        <f>IF(M3814="","",'Master Barang'!A8)</f>
        <v>PRL-007</v>
      </c>
      <c r="O3814" t="str">
        <f>IF(N3814="","",'Master Barang'!B8)</f>
        <v>plastik kresek besar merah 50pc</v>
      </c>
      <c r="P3814">
        <f>IF(OR(M3814="",N3814=""),"",SUMIFS('Barang Keluar'!$E:$E,'Barang Keluar'!$A:$A,M3814,'Barang Keluar'!$C:$C,N3814))</f>
        <v>0</v>
      </c>
    </row>
    <row r="3815" spans="13:16">
      <c r="M3815" s="49">
        <f>IF($A$4+38&gt;$B$4,"",$A$4+38)</f>
        <v>46061</v>
      </c>
      <c r="N3815" t="str">
        <f>IF(M3815="","",'Master Barang'!A9)</f>
        <v>PRL-008</v>
      </c>
      <c r="O3815" t="str">
        <f>IF(N3815="","",'Master Barang'!B9)</f>
        <v>lap besar</v>
      </c>
      <c r="P3815">
        <f>IF(OR(M3815="",N3815=""),"",SUMIFS('Barang Keluar'!$E:$E,'Barang Keluar'!$A:$A,M3815,'Barang Keluar'!$C:$C,N3815))</f>
        <v>0</v>
      </c>
    </row>
    <row r="3816" spans="13:16">
      <c r="M3816" s="49">
        <f>IF($A$4+38&gt;$B$4,"",$A$4+38)</f>
        <v>46061</v>
      </c>
      <c r="N3816" t="str">
        <f>IF(M3816="","",'Master Barang'!A10)</f>
        <v>PRL-009</v>
      </c>
      <c r="O3816" t="str">
        <f>IF(N3816="","",'Master Barang'!B10)</f>
        <v>lap microfiber</v>
      </c>
      <c r="P3816">
        <f>IF(OR(M3816="",N3816=""),"",SUMIFS('Barang Keluar'!$E:$E,'Barang Keluar'!$A:$A,M3816,'Barang Keluar'!$C:$C,N3816))</f>
        <v>0</v>
      </c>
    </row>
    <row r="3817" spans="13:16">
      <c r="M3817" s="49">
        <f>IF($A$4+38&gt;$B$4,"",$A$4+38)</f>
        <v>46061</v>
      </c>
      <c r="N3817" t="str">
        <f>IF(M3817="","",'Master Barang'!A11)</f>
        <v>PRL-010</v>
      </c>
      <c r="O3817" t="str">
        <f>IF(N3817="","",'Master Barang'!B11)</f>
        <v>lap kecil</v>
      </c>
      <c r="P3817">
        <f>IF(OR(M3817="",N3817=""),"",SUMIFS('Barang Keluar'!$E:$E,'Barang Keluar'!$A:$A,M3817,'Barang Keluar'!$C:$C,N3817))</f>
        <v>0</v>
      </c>
    </row>
    <row r="3818" spans="13:16">
      <c r="M3818" s="49">
        <f>IF($A$4+38&gt;$B$4,"",$A$4+38)</f>
        <v>46061</v>
      </c>
      <c r="N3818" t="str">
        <f>IF(M3818="","",'Master Barang'!A12)</f>
        <v>PRL-011</v>
      </c>
      <c r="O3818" t="str">
        <f>IF(N3818="","",'Master Barang'!B12)</f>
        <v>kanebo kecil</v>
      </c>
      <c r="P3818">
        <f>IF(OR(M3818="",N3818=""),"",SUMIFS('Barang Keluar'!$E:$E,'Barang Keluar'!$A:$A,M3818,'Barang Keluar'!$C:$C,N3818))</f>
        <v>0</v>
      </c>
    </row>
    <row r="3819" spans="13:16">
      <c r="M3819" s="49">
        <f>IF($A$4+38&gt;$B$4,"",$A$4+38)</f>
        <v>46061</v>
      </c>
      <c r="N3819" t="str">
        <f>IF(M3819="","",'Master Barang'!A13)</f>
        <v>PRL-012</v>
      </c>
      <c r="O3819" t="str">
        <f>IF(N3819="","",'Master Barang'!B13)</f>
        <v>plastik 1/4kg joyoboyo 100 lembar</v>
      </c>
      <c r="P3819">
        <f>IF(OR(M3819="",N3819=""),"",SUMIFS('Barang Keluar'!$E:$E,'Barang Keluar'!$A:$A,M3819,'Barang Keluar'!$C:$C,N3819))</f>
        <v>0</v>
      </c>
    </row>
    <row r="3820" spans="13:16">
      <c r="M3820" s="49">
        <f>IF($A$4+38&gt;$B$4,"",$A$4+38)</f>
        <v>46061</v>
      </c>
      <c r="N3820" t="str">
        <f>IF(M3820="","",'Master Barang'!A14)</f>
        <v>PRL-013</v>
      </c>
      <c r="O3820" t="str">
        <f>IF(N3820="","",'Master Barang'!B14)</f>
        <v>sarung tangan plastik kaka 100 pcs</v>
      </c>
      <c r="P3820">
        <f>IF(OR(M3820="",N3820=""),"",SUMIFS('Barang Keluar'!$E:$E,'Barang Keluar'!$A:$A,M3820,'Barang Keluar'!$C:$C,N3820))</f>
        <v>0</v>
      </c>
    </row>
    <row r="3821" spans="13:16">
      <c r="M3821" s="49">
        <f>IF($A$4+38&gt;$B$4,"",$A$4+38)</f>
        <v>46061</v>
      </c>
      <c r="N3821" t="str">
        <f>IF(M3821="","",'Master Barang'!A15)</f>
        <v>PRL-014</v>
      </c>
      <c r="O3821" t="str">
        <f>IF(N3821="","",'Master Barang'!B15)</f>
        <v>optima trashbag 80x100</v>
      </c>
      <c r="P3821">
        <f>IF(OR(M3821="",N3821=""),"",SUMIFS('Barang Keluar'!$E:$E,'Barang Keluar'!$A:$A,M3821,'Barang Keluar'!$C:$C,N3821))</f>
        <v>0</v>
      </c>
    </row>
    <row r="3822" spans="13:16">
      <c r="M3822" s="49">
        <f>IF($A$4+38&gt;$B$4,"",$A$4+38)</f>
        <v>46061</v>
      </c>
      <c r="N3822" t="str">
        <f>IF(M3822="","",'Master Barang'!A16)</f>
        <v>PRL-015</v>
      </c>
      <c r="O3822" t="str">
        <f>IF(N3822="","",'Master Barang'!B16)</f>
        <v>optima trashbag 60x100</v>
      </c>
      <c r="P3822">
        <f>IF(OR(M3822="",N3822=""),"",SUMIFS('Barang Keluar'!$E:$E,'Barang Keluar'!$A:$A,M3822,'Barang Keluar'!$C:$C,N3822))</f>
        <v>0</v>
      </c>
    </row>
    <row r="3823" spans="13:16">
      <c r="M3823" s="49">
        <f>IF($A$4+38&gt;$B$4,"",$A$4+38)</f>
        <v>46061</v>
      </c>
      <c r="N3823" t="str">
        <f>IF(M3823="","",'Master Barang'!A17)</f>
        <v>PRL-016</v>
      </c>
      <c r="O3823" t="str">
        <f>IF(N3823="","",'Master Barang'!B17)</f>
        <v>rajawali trashbag 30x40</v>
      </c>
      <c r="P3823">
        <f>IF(OR(M3823="",N3823=""),"",SUMIFS('Barang Keluar'!$E:$E,'Barang Keluar'!$A:$A,M3823,'Barang Keluar'!$C:$C,N3823))</f>
        <v>0</v>
      </c>
    </row>
    <row r="3824" spans="13:16">
      <c r="M3824" s="49">
        <f>IF($A$4+38&gt;$B$4,"",$A$4+38)</f>
        <v>46061</v>
      </c>
      <c r="N3824" t="str">
        <f>IF(M3824="","",'Master Barang'!A18)</f>
        <v>PRL-017</v>
      </c>
      <c r="O3824" t="str">
        <f>IF(N3824="","",'Master Barang'!B18)</f>
        <v>onemed masker biru 3 play 50 pcs</v>
      </c>
      <c r="P3824">
        <f>IF(OR(M3824="",N3824=""),"",SUMIFS('Barang Keluar'!$E:$E,'Barang Keluar'!$A:$A,M3824,'Barang Keluar'!$C:$C,N3824))</f>
        <v>0</v>
      </c>
    </row>
    <row r="3825" spans="13:16">
      <c r="M3825" s="49">
        <f>IF($A$4+38&gt;$B$4,"",$A$4+38)</f>
        <v>46061</v>
      </c>
      <c r="N3825" t="str">
        <f>IF(M3825="","",'Master Barang'!A19)</f>
        <v>PRL-018</v>
      </c>
      <c r="O3825" t="str">
        <f>IF(N3825="","",'Master Barang'!B19)</f>
        <v>onemed masker biru 3 play hijab 50 pcs</v>
      </c>
      <c r="P3825">
        <f>IF(OR(M3825="",N3825=""),"",SUMIFS('Barang Keluar'!$E:$E,'Barang Keluar'!$A:$A,M3825,'Barang Keluar'!$C:$C,N3825))</f>
        <v>0</v>
      </c>
    </row>
    <row r="3826" spans="13:16">
      <c r="M3826" s="49">
        <f>IF($A$4+38&gt;$B$4,"",$A$4+38)</f>
        <v>46061</v>
      </c>
      <c r="N3826" t="str">
        <f>IF(M3826="","",'Master Barang'!A20)</f>
        <v>PRL-019</v>
      </c>
      <c r="O3826" t="str">
        <f>IF(N3826="","",'Master Barang'!B20)</f>
        <v>neo health masker biru 3 play 50 pcs</v>
      </c>
      <c r="P3826">
        <f>IF(OR(M3826="",N3826=""),"",SUMIFS('Barang Keluar'!$E:$E,'Barang Keluar'!$A:$A,M3826,'Barang Keluar'!$C:$C,N3826))</f>
        <v>0</v>
      </c>
    </row>
    <row r="3827" spans="13:16">
      <c r="M3827" s="49">
        <f>IF($A$4+38&gt;$B$4,"",$A$4+38)</f>
        <v>46061</v>
      </c>
      <c r="N3827" t="str">
        <f>IF(M3827="","",'Master Barang'!A21)</f>
        <v>PRL-020</v>
      </c>
      <c r="O3827" t="str">
        <f>IF(N3827="","",'Master Barang'!B21)</f>
        <v>baymed masker hijau 3 play hijau 50 pcs</v>
      </c>
      <c r="P3827">
        <f>IF(OR(M3827="",N3827=""),"",SUMIFS('Barang Keluar'!$E:$E,'Barang Keluar'!$A:$A,M3827,'Barang Keluar'!$C:$C,N3827))</f>
        <v>0</v>
      </c>
    </row>
    <row r="3828" spans="13:16">
      <c r="M3828" s="49">
        <f>IF($A$4+38&gt;$B$4,"",$A$4+38)</f>
        <v>46061</v>
      </c>
      <c r="N3828" t="str">
        <f>IF(M3828="","",'Master Barang'!A22)</f>
        <v>PRL-021</v>
      </c>
      <c r="O3828" t="str">
        <f>IF(N3828="","",'Master Barang'!B22)</f>
        <v>altamed nurse cap penutup kepala 100 pcs</v>
      </c>
      <c r="P3828">
        <f>IF(OR(M3828="",N3828=""),"",SUMIFS('Barang Keluar'!$E:$E,'Barang Keluar'!$A:$A,M3828,'Barang Keluar'!$C:$C,N3828))</f>
        <v>0</v>
      </c>
    </row>
    <row r="3829" spans="13:16">
      <c r="M3829" s="49">
        <f>IF($A$4+38&gt;$B$4,"",$A$4+38)</f>
        <v>46061</v>
      </c>
      <c r="N3829" t="str">
        <f>IF(M3829="","",'Master Barang'!A23)</f>
        <v>PRL-022</v>
      </c>
      <c r="O3829" t="str">
        <f>IF(N3829="","",'Master Barang'!B23)</f>
        <v>sabun cuci tangan</v>
      </c>
      <c r="P3829">
        <f>IF(OR(M3829="",N3829=""),"",SUMIFS('Barang Keluar'!$E:$E,'Barang Keluar'!$A:$A,M3829,'Barang Keluar'!$C:$C,N3829))</f>
        <v>0</v>
      </c>
    </row>
    <row r="3830" spans="13:16">
      <c r="M3830" s="49">
        <f>IF($A$4+38&gt;$B$4,"",$A$4+38)</f>
        <v>46061</v>
      </c>
      <c r="N3830" t="str">
        <f>IF(M3830="","",'Master Barang'!A24)</f>
        <v>PRL-023</v>
      </c>
      <c r="O3830" t="str">
        <f>IF(N3830="","",'Master Barang'!B24)</f>
        <v>gayung kecil</v>
      </c>
      <c r="P3830">
        <f>IF(OR(M3830="",N3830=""),"",SUMIFS('Barang Keluar'!$E:$E,'Barang Keluar'!$A:$A,M3830,'Barang Keluar'!$C:$C,N3830))</f>
        <v>0</v>
      </c>
    </row>
    <row r="3831" spans="13:16">
      <c r="M3831" s="49">
        <f>IF($A$4+38&gt;$B$4,"",$A$4+38)</f>
        <v>46061</v>
      </c>
      <c r="N3831" t="str">
        <f>IF(M3831="","",'Master Barang'!A25)</f>
        <v>PRL-024</v>
      </c>
      <c r="O3831" t="str">
        <f>IF(N3831="","",'Master Barang'!B25)</f>
        <v>cikrak kecil</v>
      </c>
      <c r="P3831">
        <f>IF(OR(M3831="",N3831=""),"",SUMIFS('Barang Keluar'!$E:$E,'Barang Keluar'!$A:$A,M3831,'Barang Keluar'!$C:$C,N3831))</f>
        <v>0</v>
      </c>
    </row>
    <row r="3832" spans="13:16">
      <c r="M3832" s="49">
        <f>IF($A$4+38&gt;$B$4,"",$A$4+38)</f>
        <v>46061</v>
      </c>
      <c r="N3832" t="str">
        <f>IF(M3832="","",'Master Barang'!A26)</f>
        <v>PRL-025</v>
      </c>
      <c r="O3832" t="str">
        <f>IF(N3832="","",'Master Barang'!B26)</f>
        <v>petromax plastik kecil 12x24 100 lembar</v>
      </c>
      <c r="P3832">
        <f>IF(OR(M3832="",N3832=""),"",SUMIFS('Barang Keluar'!$E:$E,'Barang Keluar'!$A:$A,M3832,'Barang Keluar'!$C:$C,N3832))</f>
        <v>0</v>
      </c>
    </row>
    <row r="3833" spans="13:16">
      <c r="M3833" s="49">
        <f>IF($A$4+38&gt;$B$4,"",$A$4+38)</f>
        <v>46061</v>
      </c>
      <c r="N3833" t="str">
        <f>IF(M3833="","",'Master Barang'!A27)</f>
        <v>PRL-026</v>
      </c>
      <c r="O3833" t="str">
        <f>IF(N3833="","",'Master Barang'!B27)</f>
        <v>lancar kresek kecil bening </v>
      </c>
      <c r="P3833">
        <f>IF(OR(M3833="",N3833=""),"",SUMIFS('Barang Keluar'!$E:$E,'Barang Keluar'!$A:$A,M3833,'Barang Keluar'!$C:$C,N3833))</f>
        <v>0</v>
      </c>
    </row>
    <row r="3834" spans="13:16">
      <c r="M3834" s="49">
        <f>IF($A$4+38&gt;$B$4,"",$A$4+38)</f>
        <v>46061</v>
      </c>
      <c r="N3834" t="str">
        <f>IF(M3834="","",'Master Barang'!A28)</f>
        <v>PRL-027</v>
      </c>
      <c r="O3834" t="str">
        <f>IF(N3834="","",'Master Barang'!B28)</f>
        <v>kresek klin warna warni kecil</v>
      </c>
      <c r="P3834">
        <f>IF(OR(M3834="",N3834=""),"",SUMIFS('Barang Keluar'!$E:$E,'Barang Keluar'!$A:$A,M3834,'Barang Keluar'!$C:$C,N3834))</f>
        <v>0</v>
      </c>
    </row>
    <row r="3835" spans="13:16">
      <c r="M3835" s="49">
        <f>IF($A$4+38&gt;$B$4,"",$A$4+38)</f>
        <v>46061</v>
      </c>
      <c r="N3835" t="str">
        <f>IF(M3835="","",'Master Barang'!A29)</f>
        <v>PRL-028</v>
      </c>
      <c r="O3835" t="str">
        <f>IF(N3835="","",'Master Barang'!B29)</f>
        <v>ctik plastik 7x10 100 pcs</v>
      </c>
      <c r="P3835">
        <f>IF(OR(M3835="",N3835=""),"",SUMIFS('Barang Keluar'!$E:$E,'Barang Keluar'!$A:$A,M3835,'Barang Keluar'!$C:$C,N3835))</f>
        <v>0</v>
      </c>
    </row>
    <row r="3836" spans="13:16">
      <c r="M3836" s="49">
        <f>IF($A$4+38&gt;$B$4,"",$A$4+38)</f>
        <v>46061</v>
      </c>
      <c r="N3836" t="str">
        <f>IF(M3836="","",'Master Barang'!A30)</f>
        <v>PRL-029</v>
      </c>
      <c r="O3836" t="str">
        <f>IF(N3836="","",'Master Barang'!B30)</f>
        <v>ctik plastik 6x10 100 pcs</v>
      </c>
      <c r="P3836">
        <f>IF(OR(M3836="",N3836=""),"",SUMIFS('Barang Keluar'!$E:$E,'Barang Keluar'!$A:$A,M3836,'Barang Keluar'!$C:$C,N3836))</f>
        <v>0</v>
      </c>
    </row>
    <row r="3837" spans="13:16">
      <c r="M3837" s="49">
        <f>IF($A$4+38&gt;$B$4,"",$A$4+38)</f>
        <v>46061</v>
      </c>
      <c r="N3837" t="str">
        <f>IF(M3837="","",'Master Barang'!A31)</f>
        <v>PRL-030</v>
      </c>
      <c r="O3837" t="str">
        <f>IF(N3837="","",'Master Barang'!B31)</f>
        <v>klip plastik 25x16 100 pcs</v>
      </c>
      <c r="P3837">
        <f>IF(OR(M3837="",N3837=""),"",SUMIFS('Barang Keluar'!$E:$E,'Barang Keluar'!$A:$A,M3837,'Barang Keluar'!$C:$C,N3837))</f>
        <v>0</v>
      </c>
    </row>
    <row r="3838" spans="13:16">
      <c r="M3838" s="49">
        <f>IF($A$4+38&gt;$B$4,"",$A$4+38)</f>
        <v>46061</v>
      </c>
      <c r="N3838" t="str">
        <f>IF(M3838="","",'Master Barang'!A32)</f>
        <v>PRL-031</v>
      </c>
      <c r="O3838" t="str">
        <f>IF(N3838="","",'Master Barang'!B32)</f>
        <v>tempat saus 20 ml</v>
      </c>
      <c r="P3838">
        <f>IF(OR(M3838="",N3838=""),"",SUMIFS('Barang Keluar'!$E:$E,'Barang Keluar'!$A:$A,M3838,'Barang Keluar'!$C:$C,N3838))</f>
        <v>0</v>
      </c>
    </row>
    <row r="3839" spans="13:16">
      <c r="M3839" s="49">
        <f>IF($A$4+38&gt;$B$4,"",$A$4+38)</f>
        <v>46061</v>
      </c>
      <c r="N3839" t="str">
        <f>IF(M3839="","",'Master Barang'!A33)</f>
        <v>PRL-032</v>
      </c>
      <c r="O3839" t="str">
        <f>IF(N3839="","",'Master Barang'!B33)</f>
        <v>plastik packaging ag box uk sedang</v>
      </c>
      <c r="P3839">
        <f>IF(OR(M3839="",N3839=""),"",SUMIFS('Barang Keluar'!$E:$E,'Barang Keluar'!$A:$A,M3839,'Barang Keluar'!$C:$C,N3839))</f>
        <v>0</v>
      </c>
    </row>
    <row r="3840" spans="13:16">
      <c r="M3840" s="49">
        <f>IF($A$4+38&gt;$B$4,"",$A$4+38)</f>
        <v>46061</v>
      </c>
      <c r="N3840" t="str">
        <f>IF(M3840="","",'Master Barang'!A34)</f>
        <v>PRL-033</v>
      </c>
      <c r="O3840">
        <f>IF(N3840="","",'Master Barang'!B34)</f>
        <v>0</v>
      </c>
      <c r="P3840">
        <f>IF(OR(M3840="",N3840=""),"",SUMIFS('Barang Keluar'!$E:$E,'Barang Keluar'!$A:$A,M3840,'Barang Keluar'!$C:$C,N3840))</f>
        <v>0</v>
      </c>
    </row>
    <row r="3841" spans="13:16">
      <c r="M3841" s="49">
        <f>IF($A$4+38&gt;$B$4,"",$A$4+38)</f>
        <v>46061</v>
      </c>
      <c r="N3841">
        <f>IF(M3841="","",'Master Barang'!A35)</f>
        <v>0</v>
      </c>
      <c r="O3841">
        <f>IF(N3841="","",'Master Barang'!B35)</f>
        <v>0</v>
      </c>
      <c r="P3841">
        <f>IF(OR(M3841="",N3841=""),"",SUMIFS('Barang Keluar'!$E:$E,'Barang Keluar'!$A:$A,M3841,'Barang Keluar'!$C:$C,N3841))</f>
        <v>0</v>
      </c>
    </row>
    <row r="3842" spans="13:16">
      <c r="M3842" s="49">
        <f>IF($A$4+38&gt;$B$4,"",$A$4+38)</f>
        <v>46061</v>
      </c>
      <c r="N3842">
        <f>IF(M3842="","",'Master Barang'!A36)</f>
        <v>0</v>
      </c>
      <c r="O3842">
        <f>IF(N3842="","",'Master Barang'!B36)</f>
        <v>0</v>
      </c>
      <c r="P3842">
        <f>IF(OR(M3842="",N3842=""),"",SUMIFS('Barang Keluar'!$E:$E,'Barang Keluar'!$A:$A,M3842,'Barang Keluar'!$C:$C,N3842))</f>
        <v>0</v>
      </c>
    </row>
    <row r="3843" spans="13:16">
      <c r="M3843" s="49">
        <f>IF($A$4+38&gt;$B$4,"",$A$4+38)</f>
        <v>46061</v>
      </c>
      <c r="N3843">
        <f>IF(M3843="","",'Master Barang'!A37)</f>
        <v>0</v>
      </c>
      <c r="O3843">
        <f>IF(N3843="","",'Master Barang'!B37)</f>
        <v>0</v>
      </c>
      <c r="P3843">
        <f>IF(OR(M3843="",N3843=""),"",SUMIFS('Barang Keluar'!$E:$E,'Barang Keluar'!$A:$A,M3843,'Barang Keluar'!$C:$C,N3843))</f>
        <v>0</v>
      </c>
    </row>
    <row r="3844" spans="13:16">
      <c r="M3844" s="49">
        <f>IF($A$4+38&gt;$B$4,"",$A$4+38)</f>
        <v>46061</v>
      </c>
      <c r="N3844">
        <f>IF(M3844="","",'Master Barang'!A38)</f>
        <v>0</v>
      </c>
      <c r="O3844">
        <f>IF(N3844="","",'Master Barang'!B38)</f>
        <v>0</v>
      </c>
      <c r="P3844">
        <f>IF(OR(M3844="",N3844=""),"",SUMIFS('Barang Keluar'!$E:$E,'Barang Keluar'!$A:$A,M3844,'Barang Keluar'!$C:$C,N3844))</f>
        <v>0</v>
      </c>
    </row>
    <row r="3845" spans="13:16">
      <c r="M3845" s="49">
        <f>IF($A$4+38&gt;$B$4,"",$A$4+38)</f>
        <v>46061</v>
      </c>
      <c r="N3845">
        <f>IF(M3845="","",'Master Barang'!A39)</f>
        <v>0</v>
      </c>
      <c r="O3845">
        <f>IF(N3845="","",'Master Barang'!B39)</f>
        <v>0</v>
      </c>
      <c r="P3845">
        <f>IF(OR(M3845="",N3845=""),"",SUMIFS('Barang Keluar'!$E:$E,'Barang Keluar'!$A:$A,M3845,'Barang Keluar'!$C:$C,N3845))</f>
        <v>0</v>
      </c>
    </row>
    <row r="3846" spans="13:16">
      <c r="M3846" s="49">
        <f>IF($A$4+38&gt;$B$4,"",$A$4+38)</f>
        <v>46061</v>
      </c>
      <c r="N3846">
        <f>IF(M3846="","",'Master Barang'!A40)</f>
        <v>0</v>
      </c>
      <c r="O3846">
        <f>IF(N3846="","",'Master Barang'!B40)</f>
        <v>0</v>
      </c>
      <c r="P3846">
        <f>IF(OR(M3846="",N3846=""),"",SUMIFS('Barang Keluar'!$E:$E,'Barang Keluar'!$A:$A,M3846,'Barang Keluar'!$C:$C,N3846))</f>
        <v>0</v>
      </c>
    </row>
    <row r="3847" spans="13:16">
      <c r="M3847" s="49">
        <f>IF($A$4+38&gt;$B$4,"",$A$4+38)</f>
        <v>46061</v>
      </c>
      <c r="N3847">
        <f>IF(M3847="","",'Master Barang'!A41)</f>
        <v>0</v>
      </c>
      <c r="O3847">
        <f>IF(N3847="","",'Master Barang'!B41)</f>
        <v>0</v>
      </c>
      <c r="P3847">
        <f>IF(OR(M3847="",N3847=""),"",SUMIFS('Barang Keluar'!$E:$E,'Barang Keluar'!$A:$A,M3847,'Barang Keluar'!$C:$C,N3847))</f>
        <v>0</v>
      </c>
    </row>
    <row r="3848" spans="13:16">
      <c r="M3848" s="49">
        <f>IF($A$4+38&gt;$B$4,"",$A$4+38)</f>
        <v>46061</v>
      </c>
      <c r="N3848">
        <f>IF(M3848="","",'Master Barang'!A42)</f>
        <v>0</v>
      </c>
      <c r="O3848">
        <f>IF(N3848="","",'Master Barang'!B42)</f>
        <v>0</v>
      </c>
      <c r="P3848">
        <f>IF(OR(M3848="",N3848=""),"",SUMIFS('Barang Keluar'!$E:$E,'Barang Keluar'!$A:$A,M3848,'Barang Keluar'!$C:$C,N3848))</f>
        <v>0</v>
      </c>
    </row>
    <row r="3849" spans="13:16">
      <c r="M3849" s="49">
        <f>IF($A$4+38&gt;$B$4,"",$A$4+38)</f>
        <v>46061</v>
      </c>
      <c r="N3849">
        <f>IF(M3849="","",'Master Barang'!A43)</f>
        <v>0</v>
      </c>
      <c r="O3849">
        <f>IF(N3849="","",'Master Barang'!B43)</f>
        <v>0</v>
      </c>
      <c r="P3849">
        <f>IF(OR(M3849="",N3849=""),"",SUMIFS('Barang Keluar'!$E:$E,'Barang Keluar'!$A:$A,M3849,'Barang Keluar'!$C:$C,N3849))</f>
        <v>0</v>
      </c>
    </row>
    <row r="3850" spans="13:16">
      <c r="M3850" s="49">
        <f>IF($A$4+38&gt;$B$4,"",$A$4+38)</f>
        <v>46061</v>
      </c>
      <c r="N3850">
        <f>IF(M3850="","",'Master Barang'!A44)</f>
        <v>0</v>
      </c>
      <c r="O3850">
        <f>IF(N3850="","",'Master Barang'!B44)</f>
        <v>0</v>
      </c>
      <c r="P3850">
        <f>IF(OR(M3850="",N3850=""),"",SUMIFS('Barang Keluar'!$E:$E,'Barang Keluar'!$A:$A,M3850,'Barang Keluar'!$C:$C,N3850))</f>
        <v>0</v>
      </c>
    </row>
    <row r="3851" spans="13:16">
      <c r="M3851" s="49">
        <f>IF($A$4+38&gt;$B$4,"",$A$4+38)</f>
        <v>46061</v>
      </c>
      <c r="N3851">
        <f>IF(M3851="","",'Master Barang'!A45)</f>
        <v>0</v>
      </c>
      <c r="O3851">
        <f>IF(N3851="","",'Master Barang'!B45)</f>
        <v>0</v>
      </c>
      <c r="P3851">
        <f>IF(OR(M3851="",N3851=""),"",SUMIFS('Barang Keluar'!$E:$E,'Barang Keluar'!$A:$A,M3851,'Barang Keluar'!$C:$C,N3851))</f>
        <v>0</v>
      </c>
    </row>
    <row r="3852" spans="13:16">
      <c r="M3852" s="49">
        <f>IF($A$4+38&gt;$B$4,"",$A$4+38)</f>
        <v>46061</v>
      </c>
      <c r="N3852">
        <f>IF(M3852="","",'Master Barang'!A46)</f>
        <v>0</v>
      </c>
      <c r="O3852">
        <f>IF(N3852="","",'Master Barang'!B46)</f>
        <v>0</v>
      </c>
      <c r="P3852">
        <f>IF(OR(M3852="",N3852=""),"",SUMIFS('Barang Keluar'!$E:$E,'Barang Keluar'!$A:$A,M3852,'Barang Keluar'!$C:$C,N3852))</f>
        <v>0</v>
      </c>
    </row>
    <row r="3853" spans="13:16">
      <c r="M3853" s="49">
        <f>IF($A$4+38&gt;$B$4,"",$A$4+38)</f>
        <v>46061</v>
      </c>
      <c r="N3853">
        <f>IF(M3853="","",'Master Barang'!A47)</f>
        <v>0</v>
      </c>
      <c r="O3853">
        <f>IF(N3853="","",'Master Barang'!B47)</f>
        <v>0</v>
      </c>
      <c r="P3853">
        <f>IF(OR(M3853="",N3853=""),"",SUMIFS('Barang Keluar'!$E:$E,'Barang Keluar'!$A:$A,M3853,'Barang Keluar'!$C:$C,N3853))</f>
        <v>0</v>
      </c>
    </row>
    <row r="3854" spans="13:16">
      <c r="M3854" s="49">
        <f>IF($A$4+38&gt;$B$4,"",$A$4+38)</f>
        <v>46061</v>
      </c>
      <c r="N3854">
        <f>IF(M3854="","",'Master Barang'!A48)</f>
        <v>0</v>
      </c>
      <c r="O3854">
        <f>IF(N3854="","",'Master Barang'!B48)</f>
        <v>0</v>
      </c>
      <c r="P3854">
        <f>IF(OR(M3854="",N3854=""),"",SUMIFS('Barang Keluar'!$E:$E,'Barang Keluar'!$A:$A,M3854,'Barang Keluar'!$C:$C,N3854))</f>
        <v>0</v>
      </c>
    </row>
    <row r="3855" spans="13:16">
      <c r="M3855" s="49">
        <f>IF($A$4+38&gt;$B$4,"",$A$4+38)</f>
        <v>46061</v>
      </c>
      <c r="N3855">
        <f>IF(M3855="","",'Master Barang'!A49)</f>
        <v>0</v>
      </c>
      <c r="O3855">
        <f>IF(N3855="","",'Master Barang'!B49)</f>
        <v>0</v>
      </c>
      <c r="P3855">
        <f>IF(OR(M3855="",N3855=""),"",SUMIFS('Barang Keluar'!$E:$E,'Barang Keluar'!$A:$A,M3855,'Barang Keluar'!$C:$C,N3855))</f>
        <v>0</v>
      </c>
    </row>
    <row r="3856" spans="13:16">
      <c r="M3856" s="49">
        <f>IF($A$4+38&gt;$B$4,"",$A$4+38)</f>
        <v>46061</v>
      </c>
      <c r="N3856">
        <f>IF(M3856="","",'Master Barang'!A50)</f>
        <v>0</v>
      </c>
      <c r="O3856">
        <f>IF(N3856="","",'Master Barang'!B50)</f>
        <v>0</v>
      </c>
      <c r="P3856">
        <f>IF(OR(M3856="",N3856=""),"",SUMIFS('Barang Keluar'!$E:$E,'Barang Keluar'!$A:$A,M3856,'Barang Keluar'!$C:$C,N3856))</f>
        <v>0</v>
      </c>
    </row>
    <row r="3857" spans="13:16">
      <c r="M3857" s="49">
        <f>IF($A$4+38&gt;$B$4,"",$A$4+38)</f>
        <v>46061</v>
      </c>
      <c r="N3857">
        <f>IF(M3857="","",'Master Barang'!A51)</f>
        <v>0</v>
      </c>
      <c r="O3857">
        <f>IF(N3857="","",'Master Barang'!B51)</f>
        <v>0</v>
      </c>
      <c r="P3857">
        <f>IF(OR(M3857="",N3857=""),"",SUMIFS('Barang Keluar'!$E:$E,'Barang Keluar'!$A:$A,M3857,'Barang Keluar'!$C:$C,N3857))</f>
        <v>0</v>
      </c>
    </row>
    <row r="3858" spans="13:16">
      <c r="M3858" s="49">
        <f>IF($A$4+38&gt;$B$4,"",$A$4+38)</f>
        <v>46061</v>
      </c>
      <c r="N3858">
        <f>IF(M3858="","",'Master Barang'!A52)</f>
        <v>0</v>
      </c>
      <c r="O3858">
        <f>IF(N3858="","",'Master Barang'!B52)</f>
        <v>0</v>
      </c>
      <c r="P3858">
        <f>IF(OR(M3858="",N3858=""),"",SUMIFS('Barang Keluar'!$E:$E,'Barang Keluar'!$A:$A,M3858,'Barang Keluar'!$C:$C,N3858))</f>
        <v>0</v>
      </c>
    </row>
    <row r="3859" spans="13:16">
      <c r="M3859" s="49">
        <f>IF($A$4+38&gt;$B$4,"",$A$4+38)</f>
        <v>46061</v>
      </c>
      <c r="N3859">
        <f>IF(M3859="","",'Master Barang'!A53)</f>
        <v>0</v>
      </c>
      <c r="O3859">
        <f>IF(N3859="","",'Master Barang'!B53)</f>
        <v>0</v>
      </c>
      <c r="P3859">
        <f>IF(OR(M3859="",N3859=""),"",SUMIFS('Barang Keluar'!$E:$E,'Barang Keluar'!$A:$A,M3859,'Barang Keluar'!$C:$C,N3859))</f>
        <v>0</v>
      </c>
    </row>
    <row r="3860" spans="13:16">
      <c r="M3860" s="49">
        <f>IF($A$4+38&gt;$B$4,"",$A$4+38)</f>
        <v>46061</v>
      </c>
      <c r="N3860">
        <f>IF(M3860="","",'Master Barang'!A54)</f>
        <v>0</v>
      </c>
      <c r="O3860">
        <f>IF(N3860="","",'Master Barang'!B54)</f>
        <v>0</v>
      </c>
      <c r="P3860">
        <f>IF(OR(M3860="",N3860=""),"",SUMIFS('Barang Keluar'!$E:$E,'Barang Keluar'!$A:$A,M3860,'Barang Keluar'!$C:$C,N3860))</f>
        <v>0</v>
      </c>
    </row>
    <row r="3861" spans="13:16">
      <c r="M3861" s="49">
        <f>IF($A$4+38&gt;$B$4,"",$A$4+38)</f>
        <v>46061</v>
      </c>
      <c r="N3861">
        <f>IF(M3861="","",'Master Barang'!A55)</f>
        <v>0</v>
      </c>
      <c r="O3861">
        <f>IF(N3861="","",'Master Barang'!B55)</f>
        <v>0</v>
      </c>
      <c r="P3861">
        <f>IF(OR(M3861="",N3861=""),"",SUMIFS('Barang Keluar'!$E:$E,'Barang Keluar'!$A:$A,M3861,'Barang Keluar'!$C:$C,N3861))</f>
        <v>0</v>
      </c>
    </row>
    <row r="3862" spans="13:16">
      <c r="M3862" s="49">
        <f>IF($A$4+38&gt;$B$4,"",$A$4+38)</f>
        <v>46061</v>
      </c>
      <c r="N3862">
        <f>IF(M3862="","",'Master Barang'!A56)</f>
        <v>0</v>
      </c>
      <c r="O3862">
        <f>IF(N3862="","",'Master Barang'!B56)</f>
        <v>0</v>
      </c>
      <c r="P3862">
        <f>IF(OR(M3862="",N3862=""),"",SUMIFS('Barang Keluar'!$E:$E,'Barang Keluar'!$A:$A,M3862,'Barang Keluar'!$C:$C,N3862))</f>
        <v>0</v>
      </c>
    </row>
    <row r="3863" spans="13:16">
      <c r="M3863" s="49">
        <f>IF($A$4+38&gt;$B$4,"",$A$4+38)</f>
        <v>46061</v>
      </c>
      <c r="N3863">
        <f>IF(M3863="","",'Master Barang'!A57)</f>
        <v>0</v>
      </c>
      <c r="O3863">
        <f>IF(N3863="","",'Master Barang'!B57)</f>
        <v>0</v>
      </c>
      <c r="P3863">
        <f>IF(OR(M3863="",N3863=""),"",SUMIFS('Barang Keluar'!$E:$E,'Barang Keluar'!$A:$A,M3863,'Barang Keluar'!$C:$C,N3863))</f>
        <v>0</v>
      </c>
    </row>
    <row r="3864" spans="13:16">
      <c r="M3864" s="49">
        <f>IF($A$4+38&gt;$B$4,"",$A$4+38)</f>
        <v>46061</v>
      </c>
      <c r="N3864">
        <f>IF(M3864="","",'Master Barang'!A58)</f>
        <v>0</v>
      </c>
      <c r="O3864">
        <f>IF(N3864="","",'Master Barang'!B58)</f>
        <v>0</v>
      </c>
      <c r="P3864">
        <f>IF(OR(M3864="",N3864=""),"",SUMIFS('Barang Keluar'!$E:$E,'Barang Keluar'!$A:$A,M3864,'Barang Keluar'!$C:$C,N3864))</f>
        <v>0</v>
      </c>
    </row>
    <row r="3865" spans="13:16">
      <c r="M3865" s="49">
        <f>IF($A$4+38&gt;$B$4,"",$A$4+38)</f>
        <v>46061</v>
      </c>
      <c r="N3865">
        <f>IF(M3865="","",'Master Barang'!A59)</f>
        <v>0</v>
      </c>
      <c r="O3865">
        <f>IF(N3865="","",'Master Barang'!B59)</f>
        <v>0</v>
      </c>
      <c r="P3865">
        <f>IF(OR(M3865="",N3865=""),"",SUMIFS('Barang Keluar'!$E:$E,'Barang Keluar'!$A:$A,M3865,'Barang Keluar'!$C:$C,N3865))</f>
        <v>0</v>
      </c>
    </row>
    <row r="3866" spans="13:16">
      <c r="M3866" s="49">
        <f>IF($A$4+38&gt;$B$4,"",$A$4+38)</f>
        <v>46061</v>
      </c>
      <c r="N3866">
        <f>IF(M3866="","",'Master Barang'!A60)</f>
        <v>0</v>
      </c>
      <c r="O3866">
        <f>IF(N3866="","",'Master Barang'!B60)</f>
        <v>0</v>
      </c>
      <c r="P3866">
        <f>IF(OR(M3866="",N3866=""),"",SUMIFS('Barang Keluar'!$E:$E,'Barang Keluar'!$A:$A,M3866,'Barang Keluar'!$C:$C,N3866))</f>
        <v>0</v>
      </c>
    </row>
    <row r="3867" spans="13:16">
      <c r="M3867" s="49">
        <f>IF($A$4+38&gt;$B$4,"",$A$4+38)</f>
        <v>46061</v>
      </c>
      <c r="N3867">
        <f>IF(M3867="","",'Master Barang'!A61)</f>
        <v>0</v>
      </c>
      <c r="O3867">
        <f>IF(N3867="","",'Master Barang'!B61)</f>
        <v>0</v>
      </c>
      <c r="P3867">
        <f>IF(OR(M3867="",N3867=""),"",SUMIFS('Barang Keluar'!$E:$E,'Barang Keluar'!$A:$A,M3867,'Barang Keluar'!$C:$C,N3867))</f>
        <v>0</v>
      </c>
    </row>
    <row r="3868" spans="13:16">
      <c r="M3868" s="49">
        <f>IF($A$4+38&gt;$B$4,"",$A$4+38)</f>
        <v>46061</v>
      </c>
      <c r="N3868">
        <f>IF(M3868="","",'Master Barang'!A62)</f>
        <v>0</v>
      </c>
      <c r="O3868">
        <f>IF(N3868="","",'Master Barang'!B62)</f>
        <v>0</v>
      </c>
      <c r="P3868">
        <f>IF(OR(M3868="",N3868=""),"",SUMIFS('Barang Keluar'!$E:$E,'Barang Keluar'!$A:$A,M3868,'Barang Keluar'!$C:$C,N3868))</f>
        <v>0</v>
      </c>
    </row>
    <row r="3869" spans="13:16">
      <c r="M3869" s="49">
        <f>IF($A$4+38&gt;$B$4,"",$A$4+38)</f>
        <v>46061</v>
      </c>
      <c r="N3869">
        <f>IF(M3869="","",'Master Barang'!A63)</f>
        <v>0</v>
      </c>
      <c r="O3869">
        <f>IF(N3869="","",'Master Barang'!B63)</f>
        <v>0</v>
      </c>
      <c r="P3869">
        <f>IF(OR(M3869="",N3869=""),"",SUMIFS('Barang Keluar'!$E:$E,'Barang Keluar'!$A:$A,M3869,'Barang Keluar'!$C:$C,N3869))</f>
        <v>0</v>
      </c>
    </row>
    <row r="3870" spans="13:16">
      <c r="M3870" s="49">
        <f>IF($A$4+38&gt;$B$4,"",$A$4+38)</f>
        <v>46061</v>
      </c>
      <c r="N3870">
        <f>IF(M3870="","",'Master Barang'!A64)</f>
        <v>0</v>
      </c>
      <c r="O3870">
        <f>IF(N3870="","",'Master Barang'!B64)</f>
        <v>0</v>
      </c>
      <c r="P3870">
        <f>IF(OR(M3870="",N3870=""),"",SUMIFS('Barang Keluar'!$E:$E,'Barang Keluar'!$A:$A,M3870,'Barang Keluar'!$C:$C,N3870))</f>
        <v>0</v>
      </c>
    </row>
    <row r="3871" spans="13:16">
      <c r="M3871" s="49">
        <f>IF($A$4+38&gt;$B$4,"",$A$4+38)</f>
        <v>46061</v>
      </c>
      <c r="N3871">
        <f>IF(M3871="","",'Master Barang'!A65)</f>
        <v>0</v>
      </c>
      <c r="O3871">
        <f>IF(N3871="","",'Master Barang'!B65)</f>
        <v>0</v>
      </c>
      <c r="P3871">
        <f>IF(OR(M3871="",N3871=""),"",SUMIFS('Barang Keluar'!$E:$E,'Barang Keluar'!$A:$A,M3871,'Barang Keluar'!$C:$C,N3871))</f>
        <v>0</v>
      </c>
    </row>
    <row r="3872" spans="13:16">
      <c r="M3872" s="49">
        <f>IF($A$4+38&gt;$B$4,"",$A$4+38)</f>
        <v>46061</v>
      </c>
      <c r="N3872">
        <f>IF(M3872="","",'Master Barang'!A66)</f>
        <v>0</v>
      </c>
      <c r="O3872">
        <f>IF(N3872="","",'Master Barang'!B66)</f>
        <v>0</v>
      </c>
      <c r="P3872">
        <f>IF(OR(M3872="",N3872=""),"",SUMIFS('Barang Keluar'!$E:$E,'Barang Keluar'!$A:$A,M3872,'Barang Keluar'!$C:$C,N3872))</f>
        <v>0</v>
      </c>
    </row>
    <row r="3873" spans="13:16">
      <c r="M3873" s="49">
        <f>IF($A$4+38&gt;$B$4,"",$A$4+38)</f>
        <v>46061</v>
      </c>
      <c r="N3873">
        <f>IF(M3873="","",'Master Barang'!A67)</f>
        <v>0</v>
      </c>
      <c r="O3873">
        <f>IF(N3873="","",'Master Barang'!B67)</f>
        <v>0</v>
      </c>
      <c r="P3873">
        <f>IF(OR(M3873="",N3873=""),"",SUMIFS('Barang Keluar'!$E:$E,'Barang Keluar'!$A:$A,M3873,'Barang Keluar'!$C:$C,N3873))</f>
        <v>0</v>
      </c>
    </row>
    <row r="3874" spans="13:16">
      <c r="M3874" s="49">
        <f>IF($A$4+38&gt;$B$4,"",$A$4+38)</f>
        <v>46061</v>
      </c>
      <c r="N3874">
        <f>IF(M3874="","",'Master Barang'!A68)</f>
        <v>0</v>
      </c>
      <c r="O3874">
        <f>IF(N3874="","",'Master Barang'!B68)</f>
        <v>0</v>
      </c>
      <c r="P3874">
        <f>IF(OR(M3874="",N3874=""),"",SUMIFS('Barang Keluar'!$E:$E,'Barang Keluar'!$A:$A,M3874,'Barang Keluar'!$C:$C,N3874))</f>
        <v>0</v>
      </c>
    </row>
    <row r="3875" spans="13:16">
      <c r="M3875" s="49">
        <f>IF($A$4+38&gt;$B$4,"",$A$4+38)</f>
        <v>46061</v>
      </c>
      <c r="N3875">
        <f>IF(M3875="","",'Master Barang'!A69)</f>
        <v>0</v>
      </c>
      <c r="O3875">
        <f>IF(N3875="","",'Master Barang'!B69)</f>
        <v>0</v>
      </c>
      <c r="P3875">
        <f>IF(OR(M3875="",N3875=""),"",SUMIFS('Barang Keluar'!$E:$E,'Barang Keluar'!$A:$A,M3875,'Barang Keluar'!$C:$C,N3875))</f>
        <v>0</v>
      </c>
    </row>
    <row r="3876" spans="13:16">
      <c r="M3876" s="49">
        <f>IF($A$4+38&gt;$B$4,"",$A$4+38)</f>
        <v>46061</v>
      </c>
      <c r="N3876">
        <f>IF(M3876="","",'Master Barang'!A70)</f>
        <v>0</v>
      </c>
      <c r="O3876">
        <f>IF(N3876="","",'Master Barang'!B70)</f>
        <v>0</v>
      </c>
      <c r="P3876">
        <f>IF(OR(M3876="",N3876=""),"",SUMIFS('Barang Keluar'!$E:$E,'Barang Keluar'!$A:$A,M3876,'Barang Keluar'!$C:$C,N3876))</f>
        <v>0</v>
      </c>
    </row>
    <row r="3877" spans="13:16">
      <c r="M3877" s="49">
        <f>IF($A$4+38&gt;$B$4,"",$A$4+38)</f>
        <v>46061</v>
      </c>
      <c r="N3877">
        <f>IF(M3877="","",'Master Barang'!A71)</f>
        <v>0</v>
      </c>
      <c r="O3877">
        <f>IF(N3877="","",'Master Barang'!B71)</f>
        <v>0</v>
      </c>
      <c r="P3877">
        <f>IF(OR(M3877="",N3877=""),"",SUMIFS('Barang Keluar'!$E:$E,'Barang Keluar'!$A:$A,M3877,'Barang Keluar'!$C:$C,N3877))</f>
        <v>0</v>
      </c>
    </row>
    <row r="3878" spans="13:16">
      <c r="M3878" s="49">
        <f>IF($A$4+38&gt;$B$4,"",$A$4+38)</f>
        <v>46061</v>
      </c>
      <c r="N3878">
        <f>IF(M3878="","",'Master Barang'!A72)</f>
        <v>0</v>
      </c>
      <c r="O3878">
        <f>IF(N3878="","",'Master Barang'!B72)</f>
        <v>0</v>
      </c>
      <c r="P3878">
        <f>IF(OR(M3878="",N3878=""),"",SUMIFS('Barang Keluar'!$E:$E,'Barang Keluar'!$A:$A,M3878,'Barang Keluar'!$C:$C,N3878))</f>
        <v>0</v>
      </c>
    </row>
    <row r="3879" spans="13:16">
      <c r="M3879" s="49">
        <f>IF($A$4+38&gt;$B$4,"",$A$4+38)</f>
        <v>46061</v>
      </c>
      <c r="N3879">
        <f>IF(M3879="","",'Master Barang'!A73)</f>
        <v>0</v>
      </c>
      <c r="O3879">
        <f>IF(N3879="","",'Master Barang'!B73)</f>
        <v>0</v>
      </c>
      <c r="P3879">
        <f>IF(OR(M3879="",N3879=""),"",SUMIFS('Barang Keluar'!$E:$E,'Barang Keluar'!$A:$A,M3879,'Barang Keluar'!$C:$C,N3879))</f>
        <v>0</v>
      </c>
    </row>
    <row r="3880" spans="13:16">
      <c r="M3880" s="49">
        <f>IF($A$4+38&gt;$B$4,"",$A$4+38)</f>
        <v>46061</v>
      </c>
      <c r="N3880">
        <f>IF(M3880="","",'Master Barang'!A74)</f>
        <v>0</v>
      </c>
      <c r="O3880">
        <f>IF(N3880="","",'Master Barang'!B74)</f>
        <v>0</v>
      </c>
      <c r="P3880">
        <f>IF(OR(M3880="",N3880=""),"",SUMIFS('Barang Keluar'!$E:$E,'Barang Keluar'!$A:$A,M3880,'Barang Keluar'!$C:$C,N3880))</f>
        <v>0</v>
      </c>
    </row>
    <row r="3881" spans="13:16">
      <c r="M3881" s="49">
        <f>IF($A$4+38&gt;$B$4,"",$A$4+38)</f>
        <v>46061</v>
      </c>
      <c r="N3881">
        <f>IF(M3881="","",'Master Barang'!A75)</f>
        <v>0</v>
      </c>
      <c r="O3881">
        <f>IF(N3881="","",'Master Barang'!B75)</f>
        <v>0</v>
      </c>
      <c r="P3881">
        <f>IF(OR(M3881="",N3881=""),"",SUMIFS('Barang Keluar'!$E:$E,'Barang Keluar'!$A:$A,M3881,'Barang Keluar'!$C:$C,N3881))</f>
        <v>0</v>
      </c>
    </row>
    <row r="3882" spans="13:16">
      <c r="M3882" s="49">
        <f>IF($A$4+38&gt;$B$4,"",$A$4+38)</f>
        <v>46061</v>
      </c>
      <c r="N3882">
        <f>IF(M3882="","",'Master Barang'!A76)</f>
        <v>0</v>
      </c>
      <c r="O3882">
        <f>IF(N3882="","",'Master Barang'!B76)</f>
        <v>0</v>
      </c>
      <c r="P3882">
        <f>IF(OR(M3882="",N3882=""),"",SUMIFS('Barang Keluar'!$E:$E,'Barang Keluar'!$A:$A,M3882,'Barang Keluar'!$C:$C,N3882))</f>
        <v>0</v>
      </c>
    </row>
    <row r="3883" spans="13:16">
      <c r="M3883" s="49">
        <f>IF($A$4+38&gt;$B$4,"",$A$4+38)</f>
        <v>46061</v>
      </c>
      <c r="N3883">
        <f>IF(M3883="","",'Master Barang'!A77)</f>
        <v>0</v>
      </c>
      <c r="O3883">
        <f>IF(N3883="","",'Master Barang'!B77)</f>
        <v>0</v>
      </c>
      <c r="P3883">
        <f>IF(OR(M3883="",N3883=""),"",SUMIFS('Barang Keluar'!$E:$E,'Barang Keluar'!$A:$A,M3883,'Barang Keluar'!$C:$C,N3883))</f>
        <v>0</v>
      </c>
    </row>
    <row r="3884" spans="13:16">
      <c r="M3884" s="49">
        <f>IF($A$4+38&gt;$B$4,"",$A$4+38)</f>
        <v>46061</v>
      </c>
      <c r="N3884">
        <f>IF(M3884="","",'Master Barang'!A78)</f>
        <v>0</v>
      </c>
      <c r="O3884">
        <f>IF(N3884="","",'Master Barang'!B78)</f>
        <v>0</v>
      </c>
      <c r="P3884">
        <f>IF(OR(M3884="",N3884=""),"",SUMIFS('Barang Keluar'!$E:$E,'Barang Keluar'!$A:$A,M3884,'Barang Keluar'!$C:$C,N3884))</f>
        <v>0</v>
      </c>
    </row>
    <row r="3885" spans="13:16">
      <c r="M3885" s="49">
        <f>IF($A$4+38&gt;$B$4,"",$A$4+38)</f>
        <v>46061</v>
      </c>
      <c r="N3885">
        <f>IF(M3885="","",'Master Barang'!A79)</f>
        <v>0</v>
      </c>
      <c r="O3885">
        <f>IF(N3885="","",'Master Barang'!B79)</f>
        <v>0</v>
      </c>
      <c r="P3885">
        <f>IF(OR(M3885="",N3885=""),"",SUMIFS('Barang Keluar'!$E:$E,'Barang Keluar'!$A:$A,M3885,'Barang Keluar'!$C:$C,N3885))</f>
        <v>0</v>
      </c>
    </row>
    <row r="3886" spans="13:16">
      <c r="M3886" s="49">
        <f>IF($A$4+38&gt;$B$4,"",$A$4+38)</f>
        <v>46061</v>
      </c>
      <c r="N3886">
        <f>IF(M3886="","",'Master Barang'!A80)</f>
        <v>0</v>
      </c>
      <c r="O3886">
        <f>IF(N3886="","",'Master Barang'!B80)</f>
        <v>0</v>
      </c>
      <c r="P3886">
        <f>IF(OR(M3886="",N3886=""),"",SUMIFS('Barang Keluar'!$E:$E,'Barang Keluar'!$A:$A,M3886,'Barang Keluar'!$C:$C,N3886))</f>
        <v>0</v>
      </c>
    </row>
    <row r="3887" spans="13:16">
      <c r="M3887" s="49">
        <f>IF($A$4+38&gt;$B$4,"",$A$4+38)</f>
        <v>46061</v>
      </c>
      <c r="N3887">
        <f>IF(M3887="","",'Master Barang'!A81)</f>
        <v>0</v>
      </c>
      <c r="O3887">
        <f>IF(N3887="","",'Master Barang'!B81)</f>
        <v>0</v>
      </c>
      <c r="P3887">
        <f>IF(OR(M3887="",N3887=""),"",SUMIFS('Barang Keluar'!$E:$E,'Barang Keluar'!$A:$A,M3887,'Barang Keluar'!$C:$C,N3887))</f>
        <v>0</v>
      </c>
    </row>
    <row r="3888" spans="13:16">
      <c r="M3888" s="49">
        <f>IF($A$4+38&gt;$B$4,"",$A$4+38)</f>
        <v>46061</v>
      </c>
      <c r="N3888">
        <f>IF(M3888="","",'Master Barang'!A82)</f>
        <v>0</v>
      </c>
      <c r="O3888">
        <f>IF(N3888="","",'Master Barang'!B82)</f>
        <v>0</v>
      </c>
      <c r="P3888">
        <f>IF(OR(M3888="",N3888=""),"",SUMIFS('Barang Keluar'!$E:$E,'Barang Keluar'!$A:$A,M3888,'Barang Keluar'!$C:$C,N3888))</f>
        <v>0</v>
      </c>
    </row>
    <row r="3889" spans="13:16">
      <c r="M3889" s="49">
        <f>IF($A$4+38&gt;$B$4,"",$A$4+38)</f>
        <v>46061</v>
      </c>
      <c r="N3889">
        <f>IF(M3889="","",'Master Barang'!A83)</f>
        <v>0</v>
      </c>
      <c r="O3889">
        <f>IF(N3889="","",'Master Barang'!B83)</f>
        <v>0</v>
      </c>
      <c r="P3889">
        <f>IF(OR(M3889="",N3889=""),"",SUMIFS('Barang Keluar'!$E:$E,'Barang Keluar'!$A:$A,M3889,'Barang Keluar'!$C:$C,N3889))</f>
        <v>0</v>
      </c>
    </row>
    <row r="3890" spans="13:16">
      <c r="M3890" s="49">
        <f>IF($A$4+38&gt;$B$4,"",$A$4+38)</f>
        <v>46061</v>
      </c>
      <c r="N3890">
        <f>IF(M3890="","",'Master Barang'!A84)</f>
        <v>0</v>
      </c>
      <c r="O3890">
        <f>IF(N3890="","",'Master Barang'!B84)</f>
        <v>0</v>
      </c>
      <c r="P3890">
        <f>IF(OR(M3890="",N3890=""),"",SUMIFS('Barang Keluar'!$E:$E,'Barang Keluar'!$A:$A,M3890,'Barang Keluar'!$C:$C,N3890))</f>
        <v>0</v>
      </c>
    </row>
    <row r="3891" spans="13:16">
      <c r="M3891" s="49">
        <f>IF($A$4+38&gt;$B$4,"",$A$4+38)</f>
        <v>46061</v>
      </c>
      <c r="N3891">
        <f>IF(M3891="","",'Master Barang'!A85)</f>
        <v>0</v>
      </c>
      <c r="O3891">
        <f>IF(N3891="","",'Master Barang'!B85)</f>
        <v>0</v>
      </c>
      <c r="P3891">
        <f>IF(OR(M3891="",N3891=""),"",SUMIFS('Barang Keluar'!$E:$E,'Barang Keluar'!$A:$A,M3891,'Barang Keluar'!$C:$C,N3891))</f>
        <v>0</v>
      </c>
    </row>
    <row r="3892" spans="13:16">
      <c r="M3892" s="49">
        <f>IF($A$4+38&gt;$B$4,"",$A$4+38)</f>
        <v>46061</v>
      </c>
      <c r="N3892">
        <f>IF(M3892="","",'Master Barang'!A86)</f>
        <v>0</v>
      </c>
      <c r="O3892">
        <f>IF(N3892="","",'Master Barang'!B86)</f>
        <v>0</v>
      </c>
      <c r="P3892">
        <f>IF(OR(M3892="",N3892=""),"",SUMIFS('Barang Keluar'!$E:$E,'Barang Keluar'!$A:$A,M3892,'Barang Keluar'!$C:$C,N3892))</f>
        <v>0</v>
      </c>
    </row>
    <row r="3893" spans="13:16">
      <c r="M3893" s="49">
        <f>IF($A$4+38&gt;$B$4,"",$A$4+38)</f>
        <v>46061</v>
      </c>
      <c r="N3893">
        <f>IF(M3893="","",'Master Barang'!A87)</f>
        <v>0</v>
      </c>
      <c r="O3893">
        <f>IF(N3893="","",'Master Barang'!B87)</f>
        <v>0</v>
      </c>
      <c r="P3893">
        <f>IF(OR(M3893="",N3893=""),"",SUMIFS('Barang Keluar'!$E:$E,'Barang Keluar'!$A:$A,M3893,'Barang Keluar'!$C:$C,N3893))</f>
        <v>0</v>
      </c>
    </row>
    <row r="3894" spans="13:16">
      <c r="M3894" s="49">
        <f>IF($A$4+38&gt;$B$4,"",$A$4+38)</f>
        <v>46061</v>
      </c>
      <c r="N3894">
        <f>IF(M3894="","",'Master Barang'!A88)</f>
        <v>0</v>
      </c>
      <c r="O3894">
        <f>IF(N3894="","",'Master Barang'!B88)</f>
        <v>0</v>
      </c>
      <c r="P3894">
        <f>IF(OR(M3894="",N3894=""),"",SUMIFS('Barang Keluar'!$E:$E,'Barang Keluar'!$A:$A,M3894,'Barang Keluar'!$C:$C,N3894))</f>
        <v>0</v>
      </c>
    </row>
    <row r="3895" spans="13:16">
      <c r="M3895" s="49">
        <f>IF($A$4+38&gt;$B$4,"",$A$4+38)</f>
        <v>46061</v>
      </c>
      <c r="N3895">
        <f>IF(M3895="","",'Master Barang'!A89)</f>
        <v>0</v>
      </c>
      <c r="O3895">
        <f>IF(N3895="","",'Master Barang'!B89)</f>
        <v>0</v>
      </c>
      <c r="P3895">
        <f>IF(OR(M3895="",N3895=""),"",SUMIFS('Barang Keluar'!$E:$E,'Barang Keluar'!$A:$A,M3895,'Barang Keluar'!$C:$C,N3895))</f>
        <v>0</v>
      </c>
    </row>
    <row r="3896" spans="13:16">
      <c r="M3896" s="49">
        <f>IF($A$4+38&gt;$B$4,"",$A$4+38)</f>
        <v>46061</v>
      </c>
      <c r="N3896">
        <f>IF(M3896="","",'Master Barang'!A90)</f>
        <v>0</v>
      </c>
      <c r="O3896">
        <f>IF(N3896="","",'Master Barang'!B90)</f>
        <v>0</v>
      </c>
      <c r="P3896">
        <f>IF(OR(M3896="",N3896=""),"",SUMIFS('Barang Keluar'!$E:$E,'Barang Keluar'!$A:$A,M3896,'Barang Keluar'!$C:$C,N3896))</f>
        <v>0</v>
      </c>
    </row>
    <row r="3897" spans="13:16">
      <c r="M3897" s="49">
        <f>IF($A$4+38&gt;$B$4,"",$A$4+38)</f>
        <v>46061</v>
      </c>
      <c r="N3897">
        <f>IF(M3897="","",'Master Barang'!A91)</f>
        <v>0</v>
      </c>
      <c r="O3897">
        <f>IF(N3897="","",'Master Barang'!B91)</f>
        <v>0</v>
      </c>
      <c r="P3897">
        <f>IF(OR(M3897="",N3897=""),"",SUMIFS('Barang Keluar'!$E:$E,'Barang Keluar'!$A:$A,M3897,'Barang Keluar'!$C:$C,N3897))</f>
        <v>0</v>
      </c>
    </row>
    <row r="3898" spans="13:16">
      <c r="M3898" s="49">
        <f>IF($A$4+38&gt;$B$4,"",$A$4+38)</f>
        <v>46061</v>
      </c>
      <c r="N3898">
        <f>IF(M3898="","",'Master Barang'!A92)</f>
        <v>0</v>
      </c>
      <c r="O3898">
        <f>IF(N3898="","",'Master Barang'!B92)</f>
        <v>0</v>
      </c>
      <c r="P3898">
        <f>IF(OR(M3898="",N3898=""),"",SUMIFS('Barang Keluar'!$E:$E,'Barang Keluar'!$A:$A,M3898,'Barang Keluar'!$C:$C,N3898))</f>
        <v>0</v>
      </c>
    </row>
    <row r="3899" spans="13:16">
      <c r="M3899" s="49">
        <f>IF($A$4+38&gt;$B$4,"",$A$4+38)</f>
        <v>46061</v>
      </c>
      <c r="N3899">
        <f>IF(M3899="","",'Master Barang'!A93)</f>
        <v>0</v>
      </c>
      <c r="O3899">
        <f>IF(N3899="","",'Master Barang'!B93)</f>
        <v>0</v>
      </c>
      <c r="P3899">
        <f>IF(OR(M3899="",N3899=""),"",SUMIFS('Barang Keluar'!$E:$E,'Barang Keluar'!$A:$A,M3899,'Barang Keluar'!$C:$C,N3899))</f>
        <v>0</v>
      </c>
    </row>
    <row r="3900" spans="13:16">
      <c r="M3900" s="49">
        <f>IF($A$4+38&gt;$B$4,"",$A$4+38)</f>
        <v>46061</v>
      </c>
      <c r="N3900">
        <f>IF(M3900="","",'Master Barang'!A94)</f>
        <v>0</v>
      </c>
      <c r="O3900">
        <f>IF(N3900="","",'Master Barang'!B94)</f>
        <v>0</v>
      </c>
      <c r="P3900">
        <f>IF(OR(M3900="",N3900=""),"",SUMIFS('Barang Keluar'!$E:$E,'Barang Keluar'!$A:$A,M3900,'Barang Keluar'!$C:$C,N3900))</f>
        <v>0</v>
      </c>
    </row>
    <row r="3901" spans="13:16">
      <c r="M3901" s="49">
        <f>IF($A$4+38&gt;$B$4,"",$A$4+38)</f>
        <v>46061</v>
      </c>
      <c r="N3901">
        <f>IF(M3901="","",'Master Barang'!A95)</f>
        <v>0</v>
      </c>
      <c r="O3901">
        <f>IF(N3901="","",'Master Barang'!B95)</f>
        <v>0</v>
      </c>
      <c r="P3901">
        <f>IF(OR(M3901="",N3901=""),"",SUMIFS('Barang Keluar'!$E:$E,'Barang Keluar'!$A:$A,M3901,'Barang Keluar'!$C:$C,N3901))</f>
        <v>0</v>
      </c>
    </row>
    <row r="3902" spans="13:16">
      <c r="M3902" s="49">
        <f>IF($A$4+38&gt;$B$4,"",$A$4+38)</f>
        <v>46061</v>
      </c>
      <c r="N3902">
        <f>IF(M3902="","",'Master Barang'!A96)</f>
        <v>0</v>
      </c>
      <c r="O3902">
        <f>IF(N3902="","",'Master Barang'!B96)</f>
        <v>0</v>
      </c>
      <c r="P3902">
        <f>IF(OR(M3902="",N3902=""),"",SUMIFS('Barang Keluar'!$E:$E,'Barang Keluar'!$A:$A,M3902,'Barang Keluar'!$C:$C,N3902))</f>
        <v>0</v>
      </c>
    </row>
    <row r="3903" spans="13:16">
      <c r="M3903" s="49">
        <f>IF($A$4+38&gt;$B$4,"",$A$4+38)</f>
        <v>46061</v>
      </c>
      <c r="N3903">
        <f>IF(M3903="","",'Master Barang'!A97)</f>
        <v>0</v>
      </c>
      <c r="O3903">
        <f>IF(N3903="","",'Master Barang'!B97)</f>
        <v>0</v>
      </c>
      <c r="P3903">
        <f>IF(OR(M3903="",N3903=""),"",SUMIFS('Barang Keluar'!$E:$E,'Barang Keluar'!$A:$A,M3903,'Barang Keluar'!$C:$C,N3903))</f>
        <v>0</v>
      </c>
    </row>
    <row r="3904" spans="13:16">
      <c r="M3904" s="49">
        <f>IF($A$4+38&gt;$B$4,"",$A$4+38)</f>
        <v>46061</v>
      </c>
      <c r="N3904">
        <f>IF(M3904="","",'Master Barang'!A98)</f>
        <v>0</v>
      </c>
      <c r="O3904">
        <f>IF(N3904="","",'Master Barang'!B98)</f>
        <v>0</v>
      </c>
      <c r="P3904">
        <f>IF(OR(M3904="",N3904=""),"",SUMIFS('Barang Keluar'!$E:$E,'Barang Keluar'!$A:$A,M3904,'Barang Keluar'!$C:$C,N3904))</f>
        <v>0</v>
      </c>
    </row>
    <row r="3905" spans="13:16">
      <c r="M3905" s="49">
        <f>IF($A$4+38&gt;$B$4,"",$A$4+38)</f>
        <v>46061</v>
      </c>
      <c r="N3905">
        <f>IF(M3905="","",'Master Barang'!A99)</f>
        <v>0</v>
      </c>
      <c r="O3905">
        <f>IF(N3905="","",'Master Barang'!B99)</f>
        <v>0</v>
      </c>
      <c r="P3905">
        <f>IF(OR(M3905="",N3905=""),"",SUMIFS('Barang Keluar'!$E:$E,'Barang Keluar'!$A:$A,M3905,'Barang Keluar'!$C:$C,N3905))</f>
        <v>0</v>
      </c>
    </row>
    <row r="3906" spans="13:16">
      <c r="M3906" s="49">
        <f>IF($A$4+38&gt;$B$4,"",$A$4+38)</f>
        <v>46061</v>
      </c>
      <c r="N3906">
        <f>IF(M3906="","",'Master Barang'!A100)</f>
        <v>0</v>
      </c>
      <c r="O3906">
        <f>IF(N3906="","",'Master Barang'!B100)</f>
        <v>0</v>
      </c>
      <c r="P3906">
        <f>IF(OR(M3906="",N3906=""),"",SUMIFS('Barang Keluar'!$E:$E,'Barang Keluar'!$A:$A,M3906,'Barang Keluar'!$C:$C,N3906))</f>
        <v>0</v>
      </c>
    </row>
    <row r="3907" spans="13:16">
      <c r="M3907" s="49">
        <f>IF($A$4+38&gt;$B$4,"",$A$4+38)</f>
        <v>46061</v>
      </c>
      <c r="N3907">
        <f>IF(M3907="","",'Master Barang'!A101)</f>
        <v>0</v>
      </c>
      <c r="O3907">
        <f>IF(N3907="","",'Master Barang'!B101)</f>
        <v>0</v>
      </c>
      <c r="P3907">
        <f>IF(OR(M3907="",N3907=""),"",SUMIFS('Barang Keluar'!$E:$E,'Barang Keluar'!$A:$A,M3907,'Barang Keluar'!$C:$C,N3907))</f>
        <v>0</v>
      </c>
    </row>
    <row r="3908" spans="13:16">
      <c r="M3908" s="49">
        <f>IF($A$4+39&gt;$B$4,"",$A$4+39)</f>
        <v>46062</v>
      </c>
      <c r="N3908" t="str">
        <f>IF(M3908="","",'Master Barang'!A2)</f>
        <v>PRL-001</v>
      </c>
      <c r="O3908" t="str">
        <f>IF(N3908="","",'Master Barang'!B2)</f>
        <v>natura desinfectant food grade 5l</v>
      </c>
      <c r="P3908">
        <f>IF(OR(M3908="",N3908=""),"",SUMIFS('Barang Keluar'!$E:$E,'Barang Keluar'!$A:$A,M3908,'Barang Keluar'!$C:$C,N3908))</f>
        <v>0</v>
      </c>
    </row>
    <row r="3909" spans="13:16">
      <c r="M3909" s="49">
        <f>IF($A$4+39&gt;$B$4,"",$A$4+39)</f>
        <v>46062</v>
      </c>
      <c r="N3909" t="str">
        <f>IF(M3909="","",'Master Barang'!A3)</f>
        <v>PRL-002</v>
      </c>
      <c r="O3909" t="str">
        <f>IF(N3909="","",'Master Barang'!B3)</f>
        <v>sunlight cairan pencuci piring 5l</v>
      </c>
      <c r="P3909">
        <f>IF(OR(M3909="",N3909=""),"",SUMIFS('Barang Keluar'!$E:$E,'Barang Keluar'!$A:$A,M3909,'Barang Keluar'!$C:$C,N3909))</f>
        <v>0</v>
      </c>
    </row>
    <row r="3910" spans="13:16">
      <c r="M3910" s="49">
        <f>IF($A$4+39&gt;$B$4,"",$A$4+39)</f>
        <v>46062</v>
      </c>
      <c r="N3910" t="str">
        <f>IF(M3910="","",'Master Barang'!A4)</f>
        <v>PRL-003</v>
      </c>
      <c r="O3910" t="str">
        <f>IF(N3910="","",'Master Barang'!B4)</f>
        <v>oixs cleaner 1l</v>
      </c>
      <c r="P3910">
        <f>IF(OR(M3910="",N3910=""),"",SUMIFS('Barang Keluar'!$E:$E,'Barang Keluar'!$A:$A,M3910,'Barang Keluar'!$C:$C,N3910))</f>
        <v>0</v>
      </c>
    </row>
    <row r="3911" spans="13:16">
      <c r="M3911" s="49">
        <f>IF($A$4+39&gt;$B$4,"",$A$4+39)</f>
        <v>46062</v>
      </c>
      <c r="N3911" t="str">
        <f>IF(M3911="","",'Master Barang'!A5)</f>
        <v>PRL-004</v>
      </c>
      <c r="O3911" t="str">
        <f>IF(N3911="","",'Master Barang'!B5)</f>
        <v>be clean tissue serbaguna</v>
      </c>
      <c r="P3911">
        <f>IF(OR(M3911="",N3911=""),"",SUMIFS('Barang Keluar'!$E:$E,'Barang Keluar'!$A:$A,M3911,'Barang Keluar'!$C:$C,N3911))</f>
        <v>0</v>
      </c>
    </row>
    <row r="3912" spans="13:16">
      <c r="M3912" s="49">
        <f>IF($A$4+39&gt;$B$4,"",$A$4+39)</f>
        <v>46062</v>
      </c>
      <c r="N3912" t="str">
        <f>IF(M3912="","",'Master Barang'!A6)</f>
        <v>PRL-005</v>
      </c>
      <c r="O3912" t="str">
        <f>IF(N3912="","",'Master Barang'!B6)</f>
        <v>spons cuci hijau</v>
      </c>
      <c r="P3912">
        <f>IF(OR(M3912="",N3912=""),"",SUMIFS('Barang Keluar'!$E:$E,'Barang Keluar'!$A:$A,M3912,'Barang Keluar'!$C:$C,N3912))</f>
        <v>0</v>
      </c>
    </row>
    <row r="3913" spans="13:16">
      <c r="M3913" s="49">
        <f>IF($A$4+39&gt;$B$4,"",$A$4+39)</f>
        <v>46062</v>
      </c>
      <c r="N3913" t="str">
        <f>IF(M3913="","",'Master Barang'!A7)</f>
        <v>PRL-006</v>
      </c>
      <c r="O3913" t="str">
        <f>IF(N3913="","",'Master Barang'!B7)</f>
        <v>sabut cuci stainless</v>
      </c>
      <c r="P3913">
        <f>IF(OR(M3913="",N3913=""),"",SUMIFS('Barang Keluar'!$E:$E,'Barang Keluar'!$A:$A,M3913,'Barang Keluar'!$C:$C,N3913))</f>
        <v>0</v>
      </c>
    </row>
    <row r="3914" spans="13:16">
      <c r="M3914" s="49">
        <f>IF($A$4+39&gt;$B$4,"",$A$4+39)</f>
        <v>46062</v>
      </c>
      <c r="N3914" t="str">
        <f>IF(M3914="","",'Master Barang'!A8)</f>
        <v>PRL-007</v>
      </c>
      <c r="O3914" t="str">
        <f>IF(N3914="","",'Master Barang'!B8)</f>
        <v>plastik kresek besar merah 50pc</v>
      </c>
      <c r="P3914">
        <f>IF(OR(M3914="",N3914=""),"",SUMIFS('Barang Keluar'!$E:$E,'Barang Keluar'!$A:$A,M3914,'Barang Keluar'!$C:$C,N3914))</f>
        <v>0</v>
      </c>
    </row>
    <row r="3915" spans="13:16">
      <c r="M3915" s="49">
        <f>IF($A$4+39&gt;$B$4,"",$A$4+39)</f>
        <v>46062</v>
      </c>
      <c r="N3915" t="str">
        <f>IF(M3915="","",'Master Barang'!A9)</f>
        <v>PRL-008</v>
      </c>
      <c r="O3915" t="str">
        <f>IF(N3915="","",'Master Barang'!B9)</f>
        <v>lap besar</v>
      </c>
      <c r="P3915">
        <f>IF(OR(M3915="",N3915=""),"",SUMIFS('Barang Keluar'!$E:$E,'Barang Keluar'!$A:$A,M3915,'Barang Keluar'!$C:$C,N3915))</f>
        <v>0</v>
      </c>
    </row>
    <row r="3916" spans="13:16">
      <c r="M3916" s="49">
        <f>IF($A$4+39&gt;$B$4,"",$A$4+39)</f>
        <v>46062</v>
      </c>
      <c r="N3916" t="str">
        <f>IF(M3916="","",'Master Barang'!A10)</f>
        <v>PRL-009</v>
      </c>
      <c r="O3916" t="str">
        <f>IF(N3916="","",'Master Barang'!B10)</f>
        <v>lap microfiber</v>
      </c>
      <c r="P3916">
        <f>IF(OR(M3916="",N3916=""),"",SUMIFS('Barang Keluar'!$E:$E,'Barang Keluar'!$A:$A,M3916,'Barang Keluar'!$C:$C,N3916))</f>
        <v>0</v>
      </c>
    </row>
    <row r="3917" spans="13:16">
      <c r="M3917" s="49">
        <f>IF($A$4+39&gt;$B$4,"",$A$4+39)</f>
        <v>46062</v>
      </c>
      <c r="N3917" t="str">
        <f>IF(M3917="","",'Master Barang'!A11)</f>
        <v>PRL-010</v>
      </c>
      <c r="O3917" t="str">
        <f>IF(N3917="","",'Master Barang'!B11)</f>
        <v>lap kecil</v>
      </c>
      <c r="P3917">
        <f>IF(OR(M3917="",N3917=""),"",SUMIFS('Barang Keluar'!$E:$E,'Barang Keluar'!$A:$A,M3917,'Barang Keluar'!$C:$C,N3917))</f>
        <v>0</v>
      </c>
    </row>
    <row r="3918" spans="13:16">
      <c r="M3918" s="49">
        <f>IF($A$4+39&gt;$B$4,"",$A$4+39)</f>
        <v>46062</v>
      </c>
      <c r="N3918" t="str">
        <f>IF(M3918="","",'Master Barang'!A12)</f>
        <v>PRL-011</v>
      </c>
      <c r="O3918" t="str">
        <f>IF(N3918="","",'Master Barang'!B12)</f>
        <v>kanebo kecil</v>
      </c>
      <c r="P3918">
        <f>IF(OR(M3918="",N3918=""),"",SUMIFS('Barang Keluar'!$E:$E,'Barang Keluar'!$A:$A,M3918,'Barang Keluar'!$C:$C,N3918))</f>
        <v>0</v>
      </c>
    </row>
    <row r="3919" spans="13:16">
      <c r="M3919" s="49">
        <f>IF($A$4+39&gt;$B$4,"",$A$4+39)</f>
        <v>46062</v>
      </c>
      <c r="N3919" t="str">
        <f>IF(M3919="","",'Master Barang'!A13)</f>
        <v>PRL-012</v>
      </c>
      <c r="O3919" t="str">
        <f>IF(N3919="","",'Master Barang'!B13)</f>
        <v>plastik 1/4kg joyoboyo 100 lembar</v>
      </c>
      <c r="P3919">
        <f>IF(OR(M3919="",N3919=""),"",SUMIFS('Barang Keluar'!$E:$E,'Barang Keluar'!$A:$A,M3919,'Barang Keluar'!$C:$C,N3919))</f>
        <v>0</v>
      </c>
    </row>
    <row r="3920" spans="13:16">
      <c r="M3920" s="49">
        <f>IF($A$4+39&gt;$B$4,"",$A$4+39)</f>
        <v>46062</v>
      </c>
      <c r="N3920" t="str">
        <f>IF(M3920="","",'Master Barang'!A14)</f>
        <v>PRL-013</v>
      </c>
      <c r="O3920" t="str">
        <f>IF(N3920="","",'Master Barang'!B14)</f>
        <v>sarung tangan plastik kaka 100 pcs</v>
      </c>
      <c r="P3920">
        <f>IF(OR(M3920="",N3920=""),"",SUMIFS('Barang Keluar'!$E:$E,'Barang Keluar'!$A:$A,M3920,'Barang Keluar'!$C:$C,N3920))</f>
        <v>0</v>
      </c>
    </row>
    <row r="3921" spans="13:16">
      <c r="M3921" s="49">
        <f>IF($A$4+39&gt;$B$4,"",$A$4+39)</f>
        <v>46062</v>
      </c>
      <c r="N3921" t="str">
        <f>IF(M3921="","",'Master Barang'!A15)</f>
        <v>PRL-014</v>
      </c>
      <c r="O3921" t="str">
        <f>IF(N3921="","",'Master Barang'!B15)</f>
        <v>optima trashbag 80x100</v>
      </c>
      <c r="P3921">
        <f>IF(OR(M3921="",N3921=""),"",SUMIFS('Barang Keluar'!$E:$E,'Barang Keluar'!$A:$A,M3921,'Barang Keluar'!$C:$C,N3921))</f>
        <v>0</v>
      </c>
    </row>
    <row r="3922" spans="13:16">
      <c r="M3922" s="49">
        <f>IF($A$4+39&gt;$B$4,"",$A$4+39)</f>
        <v>46062</v>
      </c>
      <c r="N3922" t="str">
        <f>IF(M3922="","",'Master Barang'!A16)</f>
        <v>PRL-015</v>
      </c>
      <c r="O3922" t="str">
        <f>IF(N3922="","",'Master Barang'!B16)</f>
        <v>optima trashbag 60x100</v>
      </c>
      <c r="P3922">
        <f>IF(OR(M3922="",N3922=""),"",SUMIFS('Barang Keluar'!$E:$E,'Barang Keluar'!$A:$A,M3922,'Barang Keluar'!$C:$C,N3922))</f>
        <v>0</v>
      </c>
    </row>
    <row r="3923" spans="13:16">
      <c r="M3923" s="49">
        <f>IF($A$4+39&gt;$B$4,"",$A$4+39)</f>
        <v>46062</v>
      </c>
      <c r="N3923" t="str">
        <f>IF(M3923="","",'Master Barang'!A17)</f>
        <v>PRL-016</v>
      </c>
      <c r="O3923" t="str">
        <f>IF(N3923="","",'Master Barang'!B17)</f>
        <v>rajawali trashbag 30x40</v>
      </c>
      <c r="P3923">
        <f>IF(OR(M3923="",N3923=""),"",SUMIFS('Barang Keluar'!$E:$E,'Barang Keluar'!$A:$A,M3923,'Barang Keluar'!$C:$C,N3923))</f>
        <v>0</v>
      </c>
    </row>
    <row r="3924" spans="13:16">
      <c r="M3924" s="49">
        <f>IF($A$4+39&gt;$B$4,"",$A$4+39)</f>
        <v>46062</v>
      </c>
      <c r="N3924" t="str">
        <f>IF(M3924="","",'Master Barang'!A18)</f>
        <v>PRL-017</v>
      </c>
      <c r="O3924" t="str">
        <f>IF(N3924="","",'Master Barang'!B18)</f>
        <v>onemed masker biru 3 play 50 pcs</v>
      </c>
      <c r="P3924">
        <f>IF(OR(M3924="",N3924=""),"",SUMIFS('Barang Keluar'!$E:$E,'Barang Keluar'!$A:$A,M3924,'Barang Keluar'!$C:$C,N3924))</f>
        <v>0</v>
      </c>
    </row>
    <row r="3925" spans="13:16">
      <c r="M3925" s="49">
        <f>IF($A$4+39&gt;$B$4,"",$A$4+39)</f>
        <v>46062</v>
      </c>
      <c r="N3925" t="str">
        <f>IF(M3925="","",'Master Barang'!A19)</f>
        <v>PRL-018</v>
      </c>
      <c r="O3925" t="str">
        <f>IF(N3925="","",'Master Barang'!B19)</f>
        <v>onemed masker biru 3 play hijab 50 pcs</v>
      </c>
      <c r="P3925">
        <f>IF(OR(M3925="",N3925=""),"",SUMIFS('Barang Keluar'!$E:$E,'Barang Keluar'!$A:$A,M3925,'Barang Keluar'!$C:$C,N3925))</f>
        <v>0</v>
      </c>
    </row>
    <row r="3926" spans="13:16">
      <c r="M3926" s="49">
        <f>IF($A$4+39&gt;$B$4,"",$A$4+39)</f>
        <v>46062</v>
      </c>
      <c r="N3926" t="str">
        <f>IF(M3926="","",'Master Barang'!A20)</f>
        <v>PRL-019</v>
      </c>
      <c r="O3926" t="str">
        <f>IF(N3926="","",'Master Barang'!B20)</f>
        <v>neo health masker biru 3 play 50 pcs</v>
      </c>
      <c r="P3926">
        <f>IF(OR(M3926="",N3926=""),"",SUMIFS('Barang Keluar'!$E:$E,'Barang Keluar'!$A:$A,M3926,'Barang Keluar'!$C:$C,N3926))</f>
        <v>0</v>
      </c>
    </row>
    <row r="3927" spans="13:16">
      <c r="M3927" s="49">
        <f>IF($A$4+39&gt;$B$4,"",$A$4+39)</f>
        <v>46062</v>
      </c>
      <c r="N3927" t="str">
        <f>IF(M3927="","",'Master Barang'!A21)</f>
        <v>PRL-020</v>
      </c>
      <c r="O3927" t="str">
        <f>IF(N3927="","",'Master Barang'!B21)</f>
        <v>baymed masker hijau 3 play hijau 50 pcs</v>
      </c>
      <c r="P3927">
        <f>IF(OR(M3927="",N3927=""),"",SUMIFS('Barang Keluar'!$E:$E,'Barang Keluar'!$A:$A,M3927,'Barang Keluar'!$C:$C,N3927))</f>
        <v>0</v>
      </c>
    </row>
    <row r="3928" spans="13:16">
      <c r="M3928" s="49">
        <f>IF($A$4+39&gt;$B$4,"",$A$4+39)</f>
        <v>46062</v>
      </c>
      <c r="N3928" t="str">
        <f>IF(M3928="","",'Master Barang'!A22)</f>
        <v>PRL-021</v>
      </c>
      <c r="O3928" t="str">
        <f>IF(N3928="","",'Master Barang'!B22)</f>
        <v>altamed nurse cap penutup kepala 100 pcs</v>
      </c>
      <c r="P3928">
        <f>IF(OR(M3928="",N3928=""),"",SUMIFS('Barang Keluar'!$E:$E,'Barang Keluar'!$A:$A,M3928,'Barang Keluar'!$C:$C,N3928))</f>
        <v>0</v>
      </c>
    </row>
    <row r="3929" spans="13:16">
      <c r="M3929" s="49">
        <f>IF($A$4+39&gt;$B$4,"",$A$4+39)</f>
        <v>46062</v>
      </c>
      <c r="N3929" t="str">
        <f>IF(M3929="","",'Master Barang'!A23)</f>
        <v>PRL-022</v>
      </c>
      <c r="O3929" t="str">
        <f>IF(N3929="","",'Master Barang'!B23)</f>
        <v>sabun cuci tangan</v>
      </c>
      <c r="P3929">
        <f>IF(OR(M3929="",N3929=""),"",SUMIFS('Barang Keluar'!$E:$E,'Barang Keluar'!$A:$A,M3929,'Barang Keluar'!$C:$C,N3929))</f>
        <v>0</v>
      </c>
    </row>
    <row r="3930" spans="13:16">
      <c r="M3930" s="49">
        <f>IF($A$4+39&gt;$B$4,"",$A$4+39)</f>
        <v>46062</v>
      </c>
      <c r="N3930" t="str">
        <f>IF(M3930="","",'Master Barang'!A24)</f>
        <v>PRL-023</v>
      </c>
      <c r="O3930" t="str">
        <f>IF(N3930="","",'Master Barang'!B24)</f>
        <v>gayung kecil</v>
      </c>
      <c r="P3930">
        <f>IF(OR(M3930="",N3930=""),"",SUMIFS('Barang Keluar'!$E:$E,'Barang Keluar'!$A:$A,M3930,'Barang Keluar'!$C:$C,N3930))</f>
        <v>0</v>
      </c>
    </row>
    <row r="3931" spans="13:16">
      <c r="M3931" s="49">
        <f>IF($A$4+39&gt;$B$4,"",$A$4+39)</f>
        <v>46062</v>
      </c>
      <c r="N3931" t="str">
        <f>IF(M3931="","",'Master Barang'!A25)</f>
        <v>PRL-024</v>
      </c>
      <c r="O3931" t="str">
        <f>IF(N3931="","",'Master Barang'!B25)</f>
        <v>cikrak kecil</v>
      </c>
      <c r="P3931">
        <f>IF(OR(M3931="",N3931=""),"",SUMIFS('Barang Keluar'!$E:$E,'Barang Keluar'!$A:$A,M3931,'Barang Keluar'!$C:$C,N3931))</f>
        <v>0</v>
      </c>
    </row>
    <row r="3932" spans="13:16">
      <c r="M3932" s="49">
        <f>IF($A$4+39&gt;$B$4,"",$A$4+39)</f>
        <v>46062</v>
      </c>
      <c r="N3932" t="str">
        <f>IF(M3932="","",'Master Barang'!A26)</f>
        <v>PRL-025</v>
      </c>
      <c r="O3932" t="str">
        <f>IF(N3932="","",'Master Barang'!B26)</f>
        <v>petromax plastik kecil 12x24 100 lembar</v>
      </c>
      <c r="P3932">
        <f>IF(OR(M3932="",N3932=""),"",SUMIFS('Barang Keluar'!$E:$E,'Barang Keluar'!$A:$A,M3932,'Barang Keluar'!$C:$C,N3932))</f>
        <v>0</v>
      </c>
    </row>
    <row r="3933" spans="13:16">
      <c r="M3933" s="49">
        <f>IF($A$4+39&gt;$B$4,"",$A$4+39)</f>
        <v>46062</v>
      </c>
      <c r="N3933" t="str">
        <f>IF(M3933="","",'Master Barang'!A27)</f>
        <v>PRL-026</v>
      </c>
      <c r="O3933" t="str">
        <f>IF(N3933="","",'Master Barang'!B27)</f>
        <v>lancar kresek kecil bening </v>
      </c>
      <c r="P3933">
        <f>IF(OR(M3933="",N3933=""),"",SUMIFS('Barang Keluar'!$E:$E,'Barang Keluar'!$A:$A,M3933,'Barang Keluar'!$C:$C,N3933))</f>
        <v>0</v>
      </c>
    </row>
    <row r="3934" spans="13:16">
      <c r="M3934" s="49">
        <f>IF($A$4+39&gt;$B$4,"",$A$4+39)</f>
        <v>46062</v>
      </c>
      <c r="N3934" t="str">
        <f>IF(M3934="","",'Master Barang'!A28)</f>
        <v>PRL-027</v>
      </c>
      <c r="O3934" t="str">
        <f>IF(N3934="","",'Master Barang'!B28)</f>
        <v>kresek klin warna warni kecil</v>
      </c>
      <c r="P3934">
        <f>IF(OR(M3934="",N3934=""),"",SUMIFS('Barang Keluar'!$E:$E,'Barang Keluar'!$A:$A,M3934,'Barang Keluar'!$C:$C,N3934))</f>
        <v>0</v>
      </c>
    </row>
    <row r="3935" spans="13:16">
      <c r="M3935" s="49">
        <f>IF($A$4+39&gt;$B$4,"",$A$4+39)</f>
        <v>46062</v>
      </c>
      <c r="N3935" t="str">
        <f>IF(M3935="","",'Master Barang'!A29)</f>
        <v>PRL-028</v>
      </c>
      <c r="O3935" t="str">
        <f>IF(N3935="","",'Master Barang'!B29)</f>
        <v>ctik plastik 7x10 100 pcs</v>
      </c>
      <c r="P3935">
        <f>IF(OR(M3935="",N3935=""),"",SUMIFS('Barang Keluar'!$E:$E,'Barang Keluar'!$A:$A,M3935,'Barang Keluar'!$C:$C,N3935))</f>
        <v>0</v>
      </c>
    </row>
    <row r="3936" spans="13:16">
      <c r="M3936" s="49">
        <f>IF($A$4+39&gt;$B$4,"",$A$4+39)</f>
        <v>46062</v>
      </c>
      <c r="N3936" t="str">
        <f>IF(M3936="","",'Master Barang'!A30)</f>
        <v>PRL-029</v>
      </c>
      <c r="O3936" t="str">
        <f>IF(N3936="","",'Master Barang'!B30)</f>
        <v>ctik plastik 6x10 100 pcs</v>
      </c>
      <c r="P3936">
        <f>IF(OR(M3936="",N3936=""),"",SUMIFS('Barang Keluar'!$E:$E,'Barang Keluar'!$A:$A,M3936,'Barang Keluar'!$C:$C,N3936))</f>
        <v>0</v>
      </c>
    </row>
    <row r="3937" spans="13:16">
      <c r="M3937" s="49">
        <f>IF($A$4+39&gt;$B$4,"",$A$4+39)</f>
        <v>46062</v>
      </c>
      <c r="N3937" t="str">
        <f>IF(M3937="","",'Master Barang'!A31)</f>
        <v>PRL-030</v>
      </c>
      <c r="O3937" t="str">
        <f>IF(N3937="","",'Master Barang'!B31)</f>
        <v>klip plastik 25x16 100 pcs</v>
      </c>
      <c r="P3937">
        <f>IF(OR(M3937="",N3937=""),"",SUMIFS('Barang Keluar'!$E:$E,'Barang Keluar'!$A:$A,M3937,'Barang Keluar'!$C:$C,N3937))</f>
        <v>0</v>
      </c>
    </row>
    <row r="3938" spans="13:16">
      <c r="M3938" s="49">
        <f>IF($A$4+39&gt;$B$4,"",$A$4+39)</f>
        <v>46062</v>
      </c>
      <c r="N3938" t="str">
        <f>IF(M3938="","",'Master Barang'!A32)</f>
        <v>PRL-031</v>
      </c>
      <c r="O3938" t="str">
        <f>IF(N3938="","",'Master Barang'!B32)</f>
        <v>tempat saus 20 ml</v>
      </c>
      <c r="P3938">
        <f>IF(OR(M3938="",N3938=""),"",SUMIFS('Barang Keluar'!$E:$E,'Barang Keluar'!$A:$A,M3938,'Barang Keluar'!$C:$C,N3938))</f>
        <v>0</v>
      </c>
    </row>
    <row r="3939" spans="13:16">
      <c r="M3939" s="49">
        <f>IF($A$4+39&gt;$B$4,"",$A$4+39)</f>
        <v>46062</v>
      </c>
      <c r="N3939" t="str">
        <f>IF(M3939="","",'Master Barang'!A33)</f>
        <v>PRL-032</v>
      </c>
      <c r="O3939" t="str">
        <f>IF(N3939="","",'Master Barang'!B33)</f>
        <v>plastik packaging ag box uk sedang</v>
      </c>
      <c r="P3939">
        <f>IF(OR(M3939="",N3939=""),"",SUMIFS('Barang Keluar'!$E:$E,'Barang Keluar'!$A:$A,M3939,'Barang Keluar'!$C:$C,N3939))</f>
        <v>0</v>
      </c>
    </row>
    <row r="3940" spans="13:16">
      <c r="M3940" s="49">
        <f>IF($A$4+39&gt;$B$4,"",$A$4+39)</f>
        <v>46062</v>
      </c>
      <c r="N3940" t="str">
        <f>IF(M3940="","",'Master Barang'!A34)</f>
        <v>PRL-033</v>
      </c>
      <c r="O3940">
        <f>IF(N3940="","",'Master Barang'!B34)</f>
        <v>0</v>
      </c>
      <c r="P3940">
        <f>IF(OR(M3940="",N3940=""),"",SUMIFS('Barang Keluar'!$E:$E,'Barang Keluar'!$A:$A,M3940,'Barang Keluar'!$C:$C,N3940))</f>
        <v>0</v>
      </c>
    </row>
    <row r="3941" spans="13:16">
      <c r="M3941" s="49">
        <f>IF($A$4+39&gt;$B$4,"",$A$4+39)</f>
        <v>46062</v>
      </c>
      <c r="N3941">
        <f>IF(M3941="","",'Master Barang'!A35)</f>
        <v>0</v>
      </c>
      <c r="O3941">
        <f>IF(N3941="","",'Master Barang'!B35)</f>
        <v>0</v>
      </c>
      <c r="P3941">
        <f>IF(OR(M3941="",N3941=""),"",SUMIFS('Barang Keluar'!$E:$E,'Barang Keluar'!$A:$A,M3941,'Barang Keluar'!$C:$C,N3941))</f>
        <v>0</v>
      </c>
    </row>
    <row r="3942" spans="13:16">
      <c r="M3942" s="49">
        <f>IF($A$4+39&gt;$B$4,"",$A$4+39)</f>
        <v>46062</v>
      </c>
      <c r="N3942">
        <f>IF(M3942="","",'Master Barang'!A36)</f>
        <v>0</v>
      </c>
      <c r="O3942">
        <f>IF(N3942="","",'Master Barang'!B36)</f>
        <v>0</v>
      </c>
      <c r="P3942">
        <f>IF(OR(M3942="",N3942=""),"",SUMIFS('Barang Keluar'!$E:$E,'Barang Keluar'!$A:$A,M3942,'Barang Keluar'!$C:$C,N3942))</f>
        <v>0</v>
      </c>
    </row>
    <row r="3943" spans="13:16">
      <c r="M3943" s="49">
        <f>IF($A$4+39&gt;$B$4,"",$A$4+39)</f>
        <v>46062</v>
      </c>
      <c r="N3943">
        <f>IF(M3943="","",'Master Barang'!A37)</f>
        <v>0</v>
      </c>
      <c r="O3943">
        <f>IF(N3943="","",'Master Barang'!B37)</f>
        <v>0</v>
      </c>
      <c r="P3943">
        <f>IF(OR(M3943="",N3943=""),"",SUMIFS('Barang Keluar'!$E:$E,'Barang Keluar'!$A:$A,M3943,'Barang Keluar'!$C:$C,N3943))</f>
        <v>0</v>
      </c>
    </row>
    <row r="3944" spans="13:16">
      <c r="M3944" s="49">
        <f>IF($A$4+39&gt;$B$4,"",$A$4+39)</f>
        <v>46062</v>
      </c>
      <c r="N3944">
        <f>IF(M3944="","",'Master Barang'!A38)</f>
        <v>0</v>
      </c>
      <c r="O3944">
        <f>IF(N3944="","",'Master Barang'!B38)</f>
        <v>0</v>
      </c>
      <c r="P3944">
        <f>IF(OR(M3944="",N3944=""),"",SUMIFS('Barang Keluar'!$E:$E,'Barang Keluar'!$A:$A,M3944,'Barang Keluar'!$C:$C,N3944))</f>
        <v>0</v>
      </c>
    </row>
    <row r="3945" spans="13:16">
      <c r="M3945" s="49">
        <f>IF($A$4+39&gt;$B$4,"",$A$4+39)</f>
        <v>46062</v>
      </c>
      <c r="N3945">
        <f>IF(M3945="","",'Master Barang'!A39)</f>
        <v>0</v>
      </c>
      <c r="O3945">
        <f>IF(N3945="","",'Master Barang'!B39)</f>
        <v>0</v>
      </c>
      <c r="P3945">
        <f>IF(OR(M3945="",N3945=""),"",SUMIFS('Barang Keluar'!$E:$E,'Barang Keluar'!$A:$A,M3945,'Barang Keluar'!$C:$C,N3945))</f>
        <v>0</v>
      </c>
    </row>
    <row r="3946" spans="13:16">
      <c r="M3946" s="49">
        <f>IF($A$4+39&gt;$B$4,"",$A$4+39)</f>
        <v>46062</v>
      </c>
      <c r="N3946">
        <f>IF(M3946="","",'Master Barang'!A40)</f>
        <v>0</v>
      </c>
      <c r="O3946">
        <f>IF(N3946="","",'Master Barang'!B40)</f>
        <v>0</v>
      </c>
      <c r="P3946">
        <f>IF(OR(M3946="",N3946=""),"",SUMIFS('Barang Keluar'!$E:$E,'Barang Keluar'!$A:$A,M3946,'Barang Keluar'!$C:$C,N3946))</f>
        <v>0</v>
      </c>
    </row>
    <row r="3947" spans="13:16">
      <c r="M3947" s="49">
        <f>IF($A$4+39&gt;$B$4,"",$A$4+39)</f>
        <v>46062</v>
      </c>
      <c r="N3947">
        <f>IF(M3947="","",'Master Barang'!A41)</f>
        <v>0</v>
      </c>
      <c r="O3947">
        <f>IF(N3947="","",'Master Barang'!B41)</f>
        <v>0</v>
      </c>
      <c r="P3947">
        <f>IF(OR(M3947="",N3947=""),"",SUMIFS('Barang Keluar'!$E:$E,'Barang Keluar'!$A:$A,M3947,'Barang Keluar'!$C:$C,N3947))</f>
        <v>0</v>
      </c>
    </row>
    <row r="3948" spans="13:16">
      <c r="M3948" s="49">
        <f>IF($A$4+39&gt;$B$4,"",$A$4+39)</f>
        <v>46062</v>
      </c>
      <c r="N3948">
        <f>IF(M3948="","",'Master Barang'!A42)</f>
        <v>0</v>
      </c>
      <c r="O3948">
        <f>IF(N3948="","",'Master Barang'!B42)</f>
        <v>0</v>
      </c>
      <c r="P3948">
        <f>IF(OR(M3948="",N3948=""),"",SUMIFS('Barang Keluar'!$E:$E,'Barang Keluar'!$A:$A,M3948,'Barang Keluar'!$C:$C,N3948))</f>
        <v>0</v>
      </c>
    </row>
    <row r="3949" spans="13:16">
      <c r="M3949" s="49">
        <f>IF($A$4+39&gt;$B$4,"",$A$4+39)</f>
        <v>46062</v>
      </c>
      <c r="N3949">
        <f>IF(M3949="","",'Master Barang'!A43)</f>
        <v>0</v>
      </c>
      <c r="O3949">
        <f>IF(N3949="","",'Master Barang'!B43)</f>
        <v>0</v>
      </c>
      <c r="P3949">
        <f>IF(OR(M3949="",N3949=""),"",SUMIFS('Barang Keluar'!$E:$E,'Barang Keluar'!$A:$A,M3949,'Barang Keluar'!$C:$C,N3949))</f>
        <v>0</v>
      </c>
    </row>
    <row r="3950" spans="13:16">
      <c r="M3950" s="49">
        <f>IF($A$4+39&gt;$B$4,"",$A$4+39)</f>
        <v>46062</v>
      </c>
      <c r="N3950">
        <f>IF(M3950="","",'Master Barang'!A44)</f>
        <v>0</v>
      </c>
      <c r="O3950">
        <f>IF(N3950="","",'Master Barang'!B44)</f>
        <v>0</v>
      </c>
      <c r="P3950">
        <f>IF(OR(M3950="",N3950=""),"",SUMIFS('Barang Keluar'!$E:$E,'Barang Keluar'!$A:$A,M3950,'Barang Keluar'!$C:$C,N3950))</f>
        <v>0</v>
      </c>
    </row>
    <row r="3951" spans="13:16">
      <c r="M3951" s="49">
        <f>IF($A$4+39&gt;$B$4,"",$A$4+39)</f>
        <v>46062</v>
      </c>
      <c r="N3951">
        <f>IF(M3951="","",'Master Barang'!A45)</f>
        <v>0</v>
      </c>
      <c r="O3951">
        <f>IF(N3951="","",'Master Barang'!B45)</f>
        <v>0</v>
      </c>
      <c r="P3951">
        <f>IF(OR(M3951="",N3951=""),"",SUMIFS('Barang Keluar'!$E:$E,'Barang Keluar'!$A:$A,M3951,'Barang Keluar'!$C:$C,N3951))</f>
        <v>0</v>
      </c>
    </row>
    <row r="3952" spans="13:16">
      <c r="M3952" s="49">
        <f>IF($A$4+39&gt;$B$4,"",$A$4+39)</f>
        <v>46062</v>
      </c>
      <c r="N3952">
        <f>IF(M3952="","",'Master Barang'!A46)</f>
        <v>0</v>
      </c>
      <c r="O3952">
        <f>IF(N3952="","",'Master Barang'!B46)</f>
        <v>0</v>
      </c>
      <c r="P3952">
        <f>IF(OR(M3952="",N3952=""),"",SUMIFS('Barang Keluar'!$E:$E,'Barang Keluar'!$A:$A,M3952,'Barang Keluar'!$C:$C,N3952))</f>
        <v>0</v>
      </c>
    </row>
    <row r="3953" spans="13:16">
      <c r="M3953" s="49">
        <f>IF($A$4+39&gt;$B$4,"",$A$4+39)</f>
        <v>46062</v>
      </c>
      <c r="N3953">
        <f>IF(M3953="","",'Master Barang'!A47)</f>
        <v>0</v>
      </c>
      <c r="O3953">
        <f>IF(N3953="","",'Master Barang'!B47)</f>
        <v>0</v>
      </c>
      <c r="P3953">
        <f>IF(OR(M3953="",N3953=""),"",SUMIFS('Barang Keluar'!$E:$E,'Barang Keluar'!$A:$A,M3953,'Barang Keluar'!$C:$C,N3953))</f>
        <v>0</v>
      </c>
    </row>
    <row r="3954" spans="13:16">
      <c r="M3954" s="49">
        <f>IF($A$4+39&gt;$B$4,"",$A$4+39)</f>
        <v>46062</v>
      </c>
      <c r="N3954">
        <f>IF(M3954="","",'Master Barang'!A48)</f>
        <v>0</v>
      </c>
      <c r="O3954">
        <f>IF(N3954="","",'Master Barang'!B48)</f>
        <v>0</v>
      </c>
      <c r="P3954">
        <f>IF(OR(M3954="",N3954=""),"",SUMIFS('Barang Keluar'!$E:$E,'Barang Keluar'!$A:$A,M3954,'Barang Keluar'!$C:$C,N3954))</f>
        <v>0</v>
      </c>
    </row>
    <row r="3955" spans="13:16">
      <c r="M3955" s="49">
        <f>IF($A$4+39&gt;$B$4,"",$A$4+39)</f>
        <v>46062</v>
      </c>
      <c r="N3955">
        <f>IF(M3955="","",'Master Barang'!A49)</f>
        <v>0</v>
      </c>
      <c r="O3955">
        <f>IF(N3955="","",'Master Barang'!B49)</f>
        <v>0</v>
      </c>
      <c r="P3955">
        <f>IF(OR(M3955="",N3955=""),"",SUMIFS('Barang Keluar'!$E:$E,'Barang Keluar'!$A:$A,M3955,'Barang Keluar'!$C:$C,N3955))</f>
        <v>0</v>
      </c>
    </row>
    <row r="3956" spans="13:16">
      <c r="M3956" s="49">
        <f>IF($A$4+39&gt;$B$4,"",$A$4+39)</f>
        <v>46062</v>
      </c>
      <c r="N3956">
        <f>IF(M3956="","",'Master Barang'!A50)</f>
        <v>0</v>
      </c>
      <c r="O3956">
        <f>IF(N3956="","",'Master Barang'!B50)</f>
        <v>0</v>
      </c>
      <c r="P3956">
        <f>IF(OR(M3956="",N3956=""),"",SUMIFS('Barang Keluar'!$E:$E,'Barang Keluar'!$A:$A,M3956,'Barang Keluar'!$C:$C,N3956))</f>
        <v>0</v>
      </c>
    </row>
    <row r="3957" spans="13:16">
      <c r="M3957" s="49">
        <f>IF($A$4+39&gt;$B$4,"",$A$4+39)</f>
        <v>46062</v>
      </c>
      <c r="N3957">
        <f>IF(M3957="","",'Master Barang'!A51)</f>
        <v>0</v>
      </c>
      <c r="O3957">
        <f>IF(N3957="","",'Master Barang'!B51)</f>
        <v>0</v>
      </c>
      <c r="P3957">
        <f>IF(OR(M3957="",N3957=""),"",SUMIFS('Barang Keluar'!$E:$E,'Barang Keluar'!$A:$A,M3957,'Barang Keluar'!$C:$C,N3957))</f>
        <v>0</v>
      </c>
    </row>
    <row r="3958" spans="13:16">
      <c r="M3958" s="49">
        <f>IF($A$4+39&gt;$B$4,"",$A$4+39)</f>
        <v>46062</v>
      </c>
      <c r="N3958">
        <f>IF(M3958="","",'Master Barang'!A52)</f>
        <v>0</v>
      </c>
      <c r="O3958">
        <f>IF(N3958="","",'Master Barang'!B52)</f>
        <v>0</v>
      </c>
      <c r="P3958">
        <f>IF(OR(M3958="",N3958=""),"",SUMIFS('Barang Keluar'!$E:$E,'Barang Keluar'!$A:$A,M3958,'Barang Keluar'!$C:$C,N3958))</f>
        <v>0</v>
      </c>
    </row>
    <row r="3959" spans="13:16">
      <c r="M3959" s="49">
        <f>IF($A$4+39&gt;$B$4,"",$A$4+39)</f>
        <v>46062</v>
      </c>
      <c r="N3959">
        <f>IF(M3959="","",'Master Barang'!A53)</f>
        <v>0</v>
      </c>
      <c r="O3959">
        <f>IF(N3959="","",'Master Barang'!B53)</f>
        <v>0</v>
      </c>
      <c r="P3959">
        <f>IF(OR(M3959="",N3959=""),"",SUMIFS('Barang Keluar'!$E:$E,'Barang Keluar'!$A:$A,M3959,'Barang Keluar'!$C:$C,N3959))</f>
        <v>0</v>
      </c>
    </row>
    <row r="3960" spans="13:16">
      <c r="M3960" s="49">
        <f>IF($A$4+39&gt;$B$4,"",$A$4+39)</f>
        <v>46062</v>
      </c>
      <c r="N3960">
        <f>IF(M3960="","",'Master Barang'!A54)</f>
        <v>0</v>
      </c>
      <c r="O3960">
        <f>IF(N3960="","",'Master Barang'!B54)</f>
        <v>0</v>
      </c>
      <c r="P3960">
        <f>IF(OR(M3960="",N3960=""),"",SUMIFS('Barang Keluar'!$E:$E,'Barang Keluar'!$A:$A,M3960,'Barang Keluar'!$C:$C,N3960))</f>
        <v>0</v>
      </c>
    </row>
    <row r="3961" spans="13:16">
      <c r="M3961" s="49">
        <f>IF($A$4+39&gt;$B$4,"",$A$4+39)</f>
        <v>46062</v>
      </c>
      <c r="N3961">
        <f>IF(M3961="","",'Master Barang'!A55)</f>
        <v>0</v>
      </c>
      <c r="O3961">
        <f>IF(N3961="","",'Master Barang'!B55)</f>
        <v>0</v>
      </c>
      <c r="P3961">
        <f>IF(OR(M3961="",N3961=""),"",SUMIFS('Barang Keluar'!$E:$E,'Barang Keluar'!$A:$A,M3961,'Barang Keluar'!$C:$C,N3961))</f>
        <v>0</v>
      </c>
    </row>
    <row r="3962" spans="13:16">
      <c r="M3962" s="49">
        <f>IF($A$4+39&gt;$B$4,"",$A$4+39)</f>
        <v>46062</v>
      </c>
      <c r="N3962">
        <f>IF(M3962="","",'Master Barang'!A56)</f>
        <v>0</v>
      </c>
      <c r="O3962">
        <f>IF(N3962="","",'Master Barang'!B56)</f>
        <v>0</v>
      </c>
      <c r="P3962">
        <f>IF(OR(M3962="",N3962=""),"",SUMIFS('Barang Keluar'!$E:$E,'Barang Keluar'!$A:$A,M3962,'Barang Keluar'!$C:$C,N3962))</f>
        <v>0</v>
      </c>
    </row>
    <row r="3963" spans="13:16">
      <c r="M3963" s="49">
        <f>IF($A$4+39&gt;$B$4,"",$A$4+39)</f>
        <v>46062</v>
      </c>
      <c r="N3963">
        <f>IF(M3963="","",'Master Barang'!A57)</f>
        <v>0</v>
      </c>
      <c r="O3963">
        <f>IF(N3963="","",'Master Barang'!B57)</f>
        <v>0</v>
      </c>
      <c r="P3963">
        <f>IF(OR(M3963="",N3963=""),"",SUMIFS('Barang Keluar'!$E:$E,'Barang Keluar'!$A:$A,M3963,'Barang Keluar'!$C:$C,N3963))</f>
        <v>0</v>
      </c>
    </row>
    <row r="3964" spans="13:16">
      <c r="M3964" s="49">
        <f>IF($A$4+39&gt;$B$4,"",$A$4+39)</f>
        <v>46062</v>
      </c>
      <c r="N3964">
        <f>IF(M3964="","",'Master Barang'!A58)</f>
        <v>0</v>
      </c>
      <c r="O3964">
        <f>IF(N3964="","",'Master Barang'!B58)</f>
        <v>0</v>
      </c>
      <c r="P3964">
        <f>IF(OR(M3964="",N3964=""),"",SUMIFS('Barang Keluar'!$E:$E,'Barang Keluar'!$A:$A,M3964,'Barang Keluar'!$C:$C,N3964))</f>
        <v>0</v>
      </c>
    </row>
    <row r="3965" spans="13:16">
      <c r="M3965" s="49">
        <f>IF($A$4+39&gt;$B$4,"",$A$4+39)</f>
        <v>46062</v>
      </c>
      <c r="N3965">
        <f>IF(M3965="","",'Master Barang'!A59)</f>
        <v>0</v>
      </c>
      <c r="O3965">
        <f>IF(N3965="","",'Master Barang'!B59)</f>
        <v>0</v>
      </c>
      <c r="P3965">
        <f>IF(OR(M3965="",N3965=""),"",SUMIFS('Barang Keluar'!$E:$E,'Barang Keluar'!$A:$A,M3965,'Barang Keluar'!$C:$C,N3965))</f>
        <v>0</v>
      </c>
    </row>
    <row r="3966" spans="13:16">
      <c r="M3966" s="49">
        <f>IF($A$4+39&gt;$B$4,"",$A$4+39)</f>
        <v>46062</v>
      </c>
      <c r="N3966">
        <f>IF(M3966="","",'Master Barang'!A60)</f>
        <v>0</v>
      </c>
      <c r="O3966">
        <f>IF(N3966="","",'Master Barang'!B60)</f>
        <v>0</v>
      </c>
      <c r="P3966">
        <f>IF(OR(M3966="",N3966=""),"",SUMIFS('Barang Keluar'!$E:$E,'Barang Keluar'!$A:$A,M3966,'Barang Keluar'!$C:$C,N3966))</f>
        <v>0</v>
      </c>
    </row>
    <row r="3967" spans="13:16">
      <c r="M3967" s="49">
        <f>IF($A$4+39&gt;$B$4,"",$A$4+39)</f>
        <v>46062</v>
      </c>
      <c r="N3967">
        <f>IF(M3967="","",'Master Barang'!A61)</f>
        <v>0</v>
      </c>
      <c r="O3967">
        <f>IF(N3967="","",'Master Barang'!B61)</f>
        <v>0</v>
      </c>
      <c r="P3967">
        <f>IF(OR(M3967="",N3967=""),"",SUMIFS('Barang Keluar'!$E:$E,'Barang Keluar'!$A:$A,M3967,'Barang Keluar'!$C:$C,N3967))</f>
        <v>0</v>
      </c>
    </row>
    <row r="3968" spans="13:16">
      <c r="M3968" s="49">
        <f>IF($A$4+39&gt;$B$4,"",$A$4+39)</f>
        <v>46062</v>
      </c>
      <c r="N3968">
        <f>IF(M3968="","",'Master Barang'!A62)</f>
        <v>0</v>
      </c>
      <c r="O3968">
        <f>IF(N3968="","",'Master Barang'!B62)</f>
        <v>0</v>
      </c>
      <c r="P3968">
        <f>IF(OR(M3968="",N3968=""),"",SUMIFS('Barang Keluar'!$E:$E,'Barang Keluar'!$A:$A,M3968,'Barang Keluar'!$C:$C,N3968))</f>
        <v>0</v>
      </c>
    </row>
    <row r="3969" spans="13:16">
      <c r="M3969" s="49">
        <f>IF($A$4+39&gt;$B$4,"",$A$4+39)</f>
        <v>46062</v>
      </c>
      <c r="N3969">
        <f>IF(M3969="","",'Master Barang'!A63)</f>
        <v>0</v>
      </c>
      <c r="O3969">
        <f>IF(N3969="","",'Master Barang'!B63)</f>
        <v>0</v>
      </c>
      <c r="P3969">
        <f>IF(OR(M3969="",N3969=""),"",SUMIFS('Barang Keluar'!$E:$E,'Barang Keluar'!$A:$A,M3969,'Barang Keluar'!$C:$C,N3969))</f>
        <v>0</v>
      </c>
    </row>
    <row r="3970" spans="13:16">
      <c r="M3970" s="49">
        <f>IF($A$4+39&gt;$B$4,"",$A$4+39)</f>
        <v>46062</v>
      </c>
      <c r="N3970">
        <f>IF(M3970="","",'Master Barang'!A64)</f>
        <v>0</v>
      </c>
      <c r="O3970">
        <f>IF(N3970="","",'Master Barang'!B64)</f>
        <v>0</v>
      </c>
      <c r="P3970">
        <f>IF(OR(M3970="",N3970=""),"",SUMIFS('Barang Keluar'!$E:$E,'Barang Keluar'!$A:$A,M3970,'Barang Keluar'!$C:$C,N3970))</f>
        <v>0</v>
      </c>
    </row>
    <row r="3971" spans="13:16">
      <c r="M3971" s="49">
        <f>IF($A$4+39&gt;$B$4,"",$A$4+39)</f>
        <v>46062</v>
      </c>
      <c r="N3971">
        <f>IF(M3971="","",'Master Barang'!A65)</f>
        <v>0</v>
      </c>
      <c r="O3971">
        <f>IF(N3971="","",'Master Barang'!B65)</f>
        <v>0</v>
      </c>
      <c r="P3971">
        <f>IF(OR(M3971="",N3971=""),"",SUMIFS('Barang Keluar'!$E:$E,'Barang Keluar'!$A:$A,M3971,'Barang Keluar'!$C:$C,N3971))</f>
        <v>0</v>
      </c>
    </row>
    <row r="3972" spans="13:16">
      <c r="M3972" s="49">
        <f>IF($A$4+39&gt;$B$4,"",$A$4+39)</f>
        <v>46062</v>
      </c>
      <c r="N3972">
        <f>IF(M3972="","",'Master Barang'!A66)</f>
        <v>0</v>
      </c>
      <c r="O3972">
        <f>IF(N3972="","",'Master Barang'!B66)</f>
        <v>0</v>
      </c>
      <c r="P3972">
        <f>IF(OR(M3972="",N3972=""),"",SUMIFS('Barang Keluar'!$E:$E,'Barang Keluar'!$A:$A,M3972,'Barang Keluar'!$C:$C,N3972))</f>
        <v>0</v>
      </c>
    </row>
    <row r="3973" spans="13:16">
      <c r="M3973" s="49">
        <f>IF($A$4+39&gt;$B$4,"",$A$4+39)</f>
        <v>46062</v>
      </c>
      <c r="N3973">
        <f>IF(M3973="","",'Master Barang'!A67)</f>
        <v>0</v>
      </c>
      <c r="O3973">
        <f>IF(N3973="","",'Master Barang'!B67)</f>
        <v>0</v>
      </c>
      <c r="P3973">
        <f>IF(OR(M3973="",N3973=""),"",SUMIFS('Barang Keluar'!$E:$E,'Barang Keluar'!$A:$A,M3973,'Barang Keluar'!$C:$C,N3973))</f>
        <v>0</v>
      </c>
    </row>
    <row r="3974" spans="13:16">
      <c r="M3974" s="49">
        <f>IF($A$4+39&gt;$B$4,"",$A$4+39)</f>
        <v>46062</v>
      </c>
      <c r="N3974">
        <f>IF(M3974="","",'Master Barang'!A68)</f>
        <v>0</v>
      </c>
      <c r="O3974">
        <f>IF(N3974="","",'Master Barang'!B68)</f>
        <v>0</v>
      </c>
      <c r="P3974">
        <f>IF(OR(M3974="",N3974=""),"",SUMIFS('Barang Keluar'!$E:$E,'Barang Keluar'!$A:$A,M3974,'Barang Keluar'!$C:$C,N3974))</f>
        <v>0</v>
      </c>
    </row>
    <row r="3975" spans="13:16">
      <c r="M3975" s="49">
        <f>IF($A$4+39&gt;$B$4,"",$A$4+39)</f>
        <v>46062</v>
      </c>
      <c r="N3975">
        <f>IF(M3975="","",'Master Barang'!A69)</f>
        <v>0</v>
      </c>
      <c r="O3975">
        <f>IF(N3975="","",'Master Barang'!B69)</f>
        <v>0</v>
      </c>
      <c r="P3975">
        <f>IF(OR(M3975="",N3975=""),"",SUMIFS('Barang Keluar'!$E:$E,'Barang Keluar'!$A:$A,M3975,'Barang Keluar'!$C:$C,N3975))</f>
        <v>0</v>
      </c>
    </row>
    <row r="3976" spans="13:16">
      <c r="M3976" s="49">
        <f>IF($A$4+39&gt;$B$4,"",$A$4+39)</f>
        <v>46062</v>
      </c>
      <c r="N3976">
        <f>IF(M3976="","",'Master Barang'!A70)</f>
        <v>0</v>
      </c>
      <c r="O3976">
        <f>IF(N3976="","",'Master Barang'!B70)</f>
        <v>0</v>
      </c>
      <c r="P3976">
        <f>IF(OR(M3976="",N3976=""),"",SUMIFS('Barang Keluar'!$E:$E,'Barang Keluar'!$A:$A,M3976,'Barang Keluar'!$C:$C,N3976))</f>
        <v>0</v>
      </c>
    </row>
    <row r="3977" spans="13:16">
      <c r="M3977" s="49">
        <f>IF($A$4+39&gt;$B$4,"",$A$4+39)</f>
        <v>46062</v>
      </c>
      <c r="N3977">
        <f>IF(M3977="","",'Master Barang'!A71)</f>
        <v>0</v>
      </c>
      <c r="O3977">
        <f>IF(N3977="","",'Master Barang'!B71)</f>
        <v>0</v>
      </c>
      <c r="P3977">
        <f>IF(OR(M3977="",N3977=""),"",SUMIFS('Barang Keluar'!$E:$E,'Barang Keluar'!$A:$A,M3977,'Barang Keluar'!$C:$C,N3977))</f>
        <v>0</v>
      </c>
    </row>
    <row r="3978" spans="13:16">
      <c r="M3978" s="49">
        <f>IF($A$4+39&gt;$B$4,"",$A$4+39)</f>
        <v>46062</v>
      </c>
      <c r="N3978">
        <f>IF(M3978="","",'Master Barang'!A72)</f>
        <v>0</v>
      </c>
      <c r="O3978">
        <f>IF(N3978="","",'Master Barang'!B72)</f>
        <v>0</v>
      </c>
      <c r="P3978">
        <f>IF(OR(M3978="",N3978=""),"",SUMIFS('Barang Keluar'!$E:$E,'Barang Keluar'!$A:$A,M3978,'Barang Keluar'!$C:$C,N3978))</f>
        <v>0</v>
      </c>
    </row>
    <row r="3979" spans="13:16">
      <c r="M3979" s="49">
        <f>IF($A$4+39&gt;$B$4,"",$A$4+39)</f>
        <v>46062</v>
      </c>
      <c r="N3979">
        <f>IF(M3979="","",'Master Barang'!A73)</f>
        <v>0</v>
      </c>
      <c r="O3979">
        <f>IF(N3979="","",'Master Barang'!B73)</f>
        <v>0</v>
      </c>
      <c r="P3979">
        <f>IF(OR(M3979="",N3979=""),"",SUMIFS('Barang Keluar'!$E:$E,'Barang Keluar'!$A:$A,M3979,'Barang Keluar'!$C:$C,N3979))</f>
        <v>0</v>
      </c>
    </row>
    <row r="3980" spans="13:16">
      <c r="M3980" s="49">
        <f>IF($A$4+39&gt;$B$4,"",$A$4+39)</f>
        <v>46062</v>
      </c>
      <c r="N3980">
        <f>IF(M3980="","",'Master Barang'!A74)</f>
        <v>0</v>
      </c>
      <c r="O3980">
        <f>IF(N3980="","",'Master Barang'!B74)</f>
        <v>0</v>
      </c>
      <c r="P3980">
        <f>IF(OR(M3980="",N3980=""),"",SUMIFS('Barang Keluar'!$E:$E,'Barang Keluar'!$A:$A,M3980,'Barang Keluar'!$C:$C,N3980))</f>
        <v>0</v>
      </c>
    </row>
    <row r="3981" spans="13:16">
      <c r="M3981" s="49">
        <f>IF($A$4+39&gt;$B$4,"",$A$4+39)</f>
        <v>46062</v>
      </c>
      <c r="N3981">
        <f>IF(M3981="","",'Master Barang'!A75)</f>
        <v>0</v>
      </c>
      <c r="O3981">
        <f>IF(N3981="","",'Master Barang'!B75)</f>
        <v>0</v>
      </c>
      <c r="P3981">
        <f>IF(OR(M3981="",N3981=""),"",SUMIFS('Barang Keluar'!$E:$E,'Barang Keluar'!$A:$A,M3981,'Barang Keluar'!$C:$C,N3981))</f>
        <v>0</v>
      </c>
    </row>
    <row r="3982" spans="13:16">
      <c r="M3982" s="49">
        <f>IF($A$4+39&gt;$B$4,"",$A$4+39)</f>
        <v>46062</v>
      </c>
      <c r="N3982">
        <f>IF(M3982="","",'Master Barang'!A76)</f>
        <v>0</v>
      </c>
      <c r="O3982">
        <f>IF(N3982="","",'Master Barang'!B76)</f>
        <v>0</v>
      </c>
      <c r="P3982">
        <f>IF(OR(M3982="",N3982=""),"",SUMIFS('Barang Keluar'!$E:$E,'Barang Keluar'!$A:$A,M3982,'Barang Keluar'!$C:$C,N3982))</f>
        <v>0</v>
      </c>
    </row>
    <row r="3983" spans="13:16">
      <c r="M3983" s="49">
        <f>IF($A$4+39&gt;$B$4,"",$A$4+39)</f>
        <v>46062</v>
      </c>
      <c r="N3983">
        <f>IF(M3983="","",'Master Barang'!A77)</f>
        <v>0</v>
      </c>
      <c r="O3983">
        <f>IF(N3983="","",'Master Barang'!B77)</f>
        <v>0</v>
      </c>
      <c r="P3983">
        <f>IF(OR(M3983="",N3983=""),"",SUMIFS('Barang Keluar'!$E:$E,'Barang Keluar'!$A:$A,M3983,'Barang Keluar'!$C:$C,N3983))</f>
        <v>0</v>
      </c>
    </row>
    <row r="3984" spans="13:16">
      <c r="M3984" s="49">
        <f>IF($A$4+39&gt;$B$4,"",$A$4+39)</f>
        <v>46062</v>
      </c>
      <c r="N3984">
        <f>IF(M3984="","",'Master Barang'!A78)</f>
        <v>0</v>
      </c>
      <c r="O3984">
        <f>IF(N3984="","",'Master Barang'!B78)</f>
        <v>0</v>
      </c>
      <c r="P3984">
        <f>IF(OR(M3984="",N3984=""),"",SUMIFS('Barang Keluar'!$E:$E,'Barang Keluar'!$A:$A,M3984,'Barang Keluar'!$C:$C,N3984))</f>
        <v>0</v>
      </c>
    </row>
    <row r="3985" spans="13:16">
      <c r="M3985" s="49">
        <f>IF($A$4+39&gt;$B$4,"",$A$4+39)</f>
        <v>46062</v>
      </c>
      <c r="N3985">
        <f>IF(M3985="","",'Master Barang'!A79)</f>
        <v>0</v>
      </c>
      <c r="O3985">
        <f>IF(N3985="","",'Master Barang'!B79)</f>
        <v>0</v>
      </c>
      <c r="P3985">
        <f>IF(OR(M3985="",N3985=""),"",SUMIFS('Barang Keluar'!$E:$E,'Barang Keluar'!$A:$A,M3985,'Barang Keluar'!$C:$C,N3985))</f>
        <v>0</v>
      </c>
    </row>
    <row r="3986" spans="13:16">
      <c r="M3986" s="49">
        <f>IF($A$4+39&gt;$B$4,"",$A$4+39)</f>
        <v>46062</v>
      </c>
      <c r="N3986">
        <f>IF(M3986="","",'Master Barang'!A80)</f>
        <v>0</v>
      </c>
      <c r="O3986">
        <f>IF(N3986="","",'Master Barang'!B80)</f>
        <v>0</v>
      </c>
      <c r="P3986">
        <f>IF(OR(M3986="",N3986=""),"",SUMIFS('Barang Keluar'!$E:$E,'Barang Keluar'!$A:$A,M3986,'Barang Keluar'!$C:$C,N3986))</f>
        <v>0</v>
      </c>
    </row>
    <row r="3987" spans="13:16">
      <c r="M3987" s="49">
        <f>IF($A$4+39&gt;$B$4,"",$A$4+39)</f>
        <v>46062</v>
      </c>
      <c r="N3987">
        <f>IF(M3987="","",'Master Barang'!A81)</f>
        <v>0</v>
      </c>
      <c r="O3987">
        <f>IF(N3987="","",'Master Barang'!B81)</f>
        <v>0</v>
      </c>
      <c r="P3987">
        <f>IF(OR(M3987="",N3987=""),"",SUMIFS('Barang Keluar'!$E:$E,'Barang Keluar'!$A:$A,M3987,'Barang Keluar'!$C:$C,N3987))</f>
        <v>0</v>
      </c>
    </row>
    <row r="3988" spans="13:16">
      <c r="M3988" s="49">
        <f>IF($A$4+39&gt;$B$4,"",$A$4+39)</f>
        <v>46062</v>
      </c>
      <c r="N3988">
        <f>IF(M3988="","",'Master Barang'!A82)</f>
        <v>0</v>
      </c>
      <c r="O3988">
        <f>IF(N3988="","",'Master Barang'!B82)</f>
        <v>0</v>
      </c>
      <c r="P3988">
        <f>IF(OR(M3988="",N3988=""),"",SUMIFS('Barang Keluar'!$E:$E,'Barang Keluar'!$A:$A,M3988,'Barang Keluar'!$C:$C,N3988))</f>
        <v>0</v>
      </c>
    </row>
    <row r="3989" spans="13:16">
      <c r="M3989" s="49">
        <f>IF($A$4+39&gt;$B$4,"",$A$4+39)</f>
        <v>46062</v>
      </c>
      <c r="N3989">
        <f>IF(M3989="","",'Master Barang'!A83)</f>
        <v>0</v>
      </c>
      <c r="O3989">
        <f>IF(N3989="","",'Master Barang'!B83)</f>
        <v>0</v>
      </c>
      <c r="P3989">
        <f>IF(OR(M3989="",N3989=""),"",SUMIFS('Barang Keluar'!$E:$E,'Barang Keluar'!$A:$A,M3989,'Barang Keluar'!$C:$C,N3989))</f>
        <v>0</v>
      </c>
    </row>
    <row r="3990" spans="13:16">
      <c r="M3990" s="49">
        <f>IF($A$4+39&gt;$B$4,"",$A$4+39)</f>
        <v>46062</v>
      </c>
      <c r="N3990">
        <f>IF(M3990="","",'Master Barang'!A84)</f>
        <v>0</v>
      </c>
      <c r="O3990">
        <f>IF(N3990="","",'Master Barang'!B84)</f>
        <v>0</v>
      </c>
      <c r="P3990">
        <f>IF(OR(M3990="",N3990=""),"",SUMIFS('Barang Keluar'!$E:$E,'Barang Keluar'!$A:$A,M3990,'Barang Keluar'!$C:$C,N3990))</f>
        <v>0</v>
      </c>
    </row>
    <row r="3991" spans="13:16">
      <c r="M3991" s="49">
        <f>IF($A$4+39&gt;$B$4,"",$A$4+39)</f>
        <v>46062</v>
      </c>
      <c r="N3991">
        <f>IF(M3991="","",'Master Barang'!A85)</f>
        <v>0</v>
      </c>
      <c r="O3991">
        <f>IF(N3991="","",'Master Barang'!B85)</f>
        <v>0</v>
      </c>
      <c r="P3991">
        <f>IF(OR(M3991="",N3991=""),"",SUMIFS('Barang Keluar'!$E:$E,'Barang Keluar'!$A:$A,M3991,'Barang Keluar'!$C:$C,N3991))</f>
        <v>0</v>
      </c>
    </row>
    <row r="3992" spans="13:16">
      <c r="M3992" s="49">
        <f>IF($A$4+39&gt;$B$4,"",$A$4+39)</f>
        <v>46062</v>
      </c>
      <c r="N3992">
        <f>IF(M3992="","",'Master Barang'!A86)</f>
        <v>0</v>
      </c>
      <c r="O3992">
        <f>IF(N3992="","",'Master Barang'!B86)</f>
        <v>0</v>
      </c>
      <c r="P3992">
        <f>IF(OR(M3992="",N3992=""),"",SUMIFS('Barang Keluar'!$E:$E,'Barang Keluar'!$A:$A,M3992,'Barang Keluar'!$C:$C,N3992))</f>
        <v>0</v>
      </c>
    </row>
    <row r="3993" spans="13:16">
      <c r="M3993" s="49">
        <f>IF($A$4+39&gt;$B$4,"",$A$4+39)</f>
        <v>46062</v>
      </c>
      <c r="N3993">
        <f>IF(M3993="","",'Master Barang'!A87)</f>
        <v>0</v>
      </c>
      <c r="O3993">
        <f>IF(N3993="","",'Master Barang'!B87)</f>
        <v>0</v>
      </c>
      <c r="P3993">
        <f>IF(OR(M3993="",N3993=""),"",SUMIFS('Barang Keluar'!$E:$E,'Barang Keluar'!$A:$A,M3993,'Barang Keluar'!$C:$C,N3993))</f>
        <v>0</v>
      </c>
    </row>
    <row r="3994" spans="13:16">
      <c r="M3994" s="49">
        <f>IF($A$4+39&gt;$B$4,"",$A$4+39)</f>
        <v>46062</v>
      </c>
      <c r="N3994">
        <f>IF(M3994="","",'Master Barang'!A88)</f>
        <v>0</v>
      </c>
      <c r="O3994">
        <f>IF(N3994="","",'Master Barang'!B88)</f>
        <v>0</v>
      </c>
      <c r="P3994">
        <f>IF(OR(M3994="",N3994=""),"",SUMIFS('Barang Keluar'!$E:$E,'Barang Keluar'!$A:$A,M3994,'Barang Keluar'!$C:$C,N3994))</f>
        <v>0</v>
      </c>
    </row>
    <row r="3995" spans="13:16">
      <c r="M3995" s="49">
        <f>IF($A$4+39&gt;$B$4,"",$A$4+39)</f>
        <v>46062</v>
      </c>
      <c r="N3995">
        <f>IF(M3995="","",'Master Barang'!A89)</f>
        <v>0</v>
      </c>
      <c r="O3995">
        <f>IF(N3995="","",'Master Barang'!B89)</f>
        <v>0</v>
      </c>
      <c r="P3995">
        <f>IF(OR(M3995="",N3995=""),"",SUMIFS('Barang Keluar'!$E:$E,'Barang Keluar'!$A:$A,M3995,'Barang Keluar'!$C:$C,N3995))</f>
        <v>0</v>
      </c>
    </row>
    <row r="3996" spans="13:16">
      <c r="M3996" s="49">
        <f>IF($A$4+39&gt;$B$4,"",$A$4+39)</f>
        <v>46062</v>
      </c>
      <c r="N3996">
        <f>IF(M3996="","",'Master Barang'!A90)</f>
        <v>0</v>
      </c>
      <c r="O3996">
        <f>IF(N3996="","",'Master Barang'!B90)</f>
        <v>0</v>
      </c>
      <c r="P3996">
        <f>IF(OR(M3996="",N3996=""),"",SUMIFS('Barang Keluar'!$E:$E,'Barang Keluar'!$A:$A,M3996,'Barang Keluar'!$C:$C,N3996))</f>
        <v>0</v>
      </c>
    </row>
    <row r="3997" spans="13:16">
      <c r="M3997" s="49">
        <f>IF($A$4+39&gt;$B$4,"",$A$4+39)</f>
        <v>46062</v>
      </c>
      <c r="N3997">
        <f>IF(M3997="","",'Master Barang'!A91)</f>
        <v>0</v>
      </c>
      <c r="O3997">
        <f>IF(N3997="","",'Master Barang'!B91)</f>
        <v>0</v>
      </c>
      <c r="P3997">
        <f>IF(OR(M3997="",N3997=""),"",SUMIFS('Barang Keluar'!$E:$E,'Barang Keluar'!$A:$A,M3997,'Barang Keluar'!$C:$C,N3997))</f>
        <v>0</v>
      </c>
    </row>
    <row r="3998" spans="13:16">
      <c r="M3998" s="49">
        <f>IF($A$4+39&gt;$B$4,"",$A$4+39)</f>
        <v>46062</v>
      </c>
      <c r="N3998">
        <f>IF(M3998="","",'Master Barang'!A92)</f>
        <v>0</v>
      </c>
      <c r="O3998">
        <f>IF(N3998="","",'Master Barang'!B92)</f>
        <v>0</v>
      </c>
      <c r="P3998">
        <f>IF(OR(M3998="",N3998=""),"",SUMIFS('Barang Keluar'!$E:$E,'Barang Keluar'!$A:$A,M3998,'Barang Keluar'!$C:$C,N3998))</f>
        <v>0</v>
      </c>
    </row>
    <row r="3999" spans="13:16">
      <c r="M3999" s="49">
        <f>IF($A$4+39&gt;$B$4,"",$A$4+39)</f>
        <v>46062</v>
      </c>
      <c r="N3999">
        <f>IF(M3999="","",'Master Barang'!A93)</f>
        <v>0</v>
      </c>
      <c r="O3999">
        <f>IF(N3999="","",'Master Barang'!B93)</f>
        <v>0</v>
      </c>
      <c r="P3999">
        <f>IF(OR(M3999="",N3999=""),"",SUMIFS('Barang Keluar'!$E:$E,'Barang Keluar'!$A:$A,M3999,'Barang Keluar'!$C:$C,N3999))</f>
        <v>0</v>
      </c>
    </row>
    <row r="4000" spans="13:16">
      <c r="M4000" s="49">
        <f>IF($A$4+39&gt;$B$4,"",$A$4+39)</f>
        <v>46062</v>
      </c>
      <c r="N4000">
        <f>IF(M4000="","",'Master Barang'!A94)</f>
        <v>0</v>
      </c>
      <c r="O4000">
        <f>IF(N4000="","",'Master Barang'!B94)</f>
        <v>0</v>
      </c>
      <c r="P4000">
        <f>IF(OR(M4000="",N4000=""),"",SUMIFS('Barang Keluar'!$E:$E,'Barang Keluar'!$A:$A,M4000,'Barang Keluar'!$C:$C,N4000))</f>
        <v>0</v>
      </c>
    </row>
    <row r="4001" spans="13:16">
      <c r="M4001" s="49">
        <f>IF($A$4+39&gt;$B$4,"",$A$4+39)</f>
        <v>46062</v>
      </c>
      <c r="N4001">
        <f>IF(M4001="","",'Master Barang'!A95)</f>
        <v>0</v>
      </c>
      <c r="O4001">
        <f>IF(N4001="","",'Master Barang'!B95)</f>
        <v>0</v>
      </c>
      <c r="P4001">
        <f>IF(OR(M4001="",N4001=""),"",SUMIFS('Barang Keluar'!$E:$E,'Barang Keluar'!$A:$A,M4001,'Barang Keluar'!$C:$C,N4001))</f>
        <v>0</v>
      </c>
    </row>
    <row r="4002" spans="13:16">
      <c r="M4002" s="49">
        <f>IF($A$4+39&gt;$B$4,"",$A$4+39)</f>
        <v>46062</v>
      </c>
      <c r="N4002">
        <f>IF(M4002="","",'Master Barang'!A96)</f>
        <v>0</v>
      </c>
      <c r="O4002">
        <f>IF(N4002="","",'Master Barang'!B96)</f>
        <v>0</v>
      </c>
      <c r="P4002">
        <f>IF(OR(M4002="",N4002=""),"",SUMIFS('Barang Keluar'!$E:$E,'Barang Keluar'!$A:$A,M4002,'Barang Keluar'!$C:$C,N4002))</f>
        <v>0</v>
      </c>
    </row>
    <row r="4003" spans="13:16">
      <c r="M4003" s="49">
        <f>IF($A$4+39&gt;$B$4,"",$A$4+39)</f>
        <v>46062</v>
      </c>
      <c r="N4003">
        <f>IF(M4003="","",'Master Barang'!A97)</f>
        <v>0</v>
      </c>
      <c r="O4003">
        <f>IF(N4003="","",'Master Barang'!B97)</f>
        <v>0</v>
      </c>
      <c r="P4003">
        <f>IF(OR(M4003="",N4003=""),"",SUMIFS('Barang Keluar'!$E:$E,'Barang Keluar'!$A:$A,M4003,'Barang Keluar'!$C:$C,N4003))</f>
        <v>0</v>
      </c>
    </row>
    <row r="4004" spans="13:16">
      <c r="M4004" s="49">
        <f>IF($A$4+39&gt;$B$4,"",$A$4+39)</f>
        <v>46062</v>
      </c>
      <c r="N4004">
        <f>IF(M4004="","",'Master Barang'!A98)</f>
        <v>0</v>
      </c>
      <c r="O4004">
        <f>IF(N4004="","",'Master Barang'!B98)</f>
        <v>0</v>
      </c>
      <c r="P4004">
        <f>IF(OR(M4004="",N4004=""),"",SUMIFS('Barang Keluar'!$E:$E,'Barang Keluar'!$A:$A,M4004,'Barang Keluar'!$C:$C,N4004))</f>
        <v>0</v>
      </c>
    </row>
    <row r="4005" spans="13:16">
      <c r="M4005" s="49">
        <f>IF($A$4+39&gt;$B$4,"",$A$4+39)</f>
        <v>46062</v>
      </c>
      <c r="N4005">
        <f>IF(M4005="","",'Master Barang'!A99)</f>
        <v>0</v>
      </c>
      <c r="O4005">
        <f>IF(N4005="","",'Master Barang'!B99)</f>
        <v>0</v>
      </c>
      <c r="P4005">
        <f>IF(OR(M4005="",N4005=""),"",SUMIFS('Barang Keluar'!$E:$E,'Barang Keluar'!$A:$A,M4005,'Barang Keluar'!$C:$C,N4005))</f>
        <v>0</v>
      </c>
    </row>
    <row r="4006" spans="13:16">
      <c r="M4006" s="49">
        <f>IF($A$4+39&gt;$B$4,"",$A$4+39)</f>
        <v>46062</v>
      </c>
      <c r="N4006">
        <f>IF(M4006="","",'Master Barang'!A100)</f>
        <v>0</v>
      </c>
      <c r="O4006">
        <f>IF(N4006="","",'Master Barang'!B100)</f>
        <v>0</v>
      </c>
      <c r="P4006">
        <f>IF(OR(M4006="",N4006=""),"",SUMIFS('Barang Keluar'!$E:$E,'Barang Keluar'!$A:$A,M4006,'Barang Keluar'!$C:$C,N4006))</f>
        <v>0</v>
      </c>
    </row>
    <row r="4007" spans="13:16">
      <c r="M4007" s="49">
        <f>IF($A$4+39&gt;$B$4,"",$A$4+39)</f>
        <v>46062</v>
      </c>
      <c r="N4007">
        <f>IF(M4007="","",'Master Barang'!A101)</f>
        <v>0</v>
      </c>
      <c r="O4007">
        <f>IF(N4007="","",'Master Barang'!B101)</f>
        <v>0</v>
      </c>
      <c r="P4007">
        <f>IF(OR(M4007="",N4007=""),"",SUMIFS('Barang Keluar'!$E:$E,'Barang Keluar'!$A:$A,M4007,'Barang Keluar'!$C:$C,N4007))</f>
        <v>0</v>
      </c>
    </row>
    <row r="4008" spans="13:16">
      <c r="M4008" s="49">
        <f>IF($A$4+40&gt;$B$4,"",$A$4+40)</f>
        <v>46063</v>
      </c>
      <c r="N4008" t="str">
        <f>IF(M4008="","",'Master Barang'!A2)</f>
        <v>PRL-001</v>
      </c>
      <c r="O4008" t="str">
        <f>IF(N4008="","",'Master Barang'!B2)</f>
        <v>natura desinfectant food grade 5l</v>
      </c>
      <c r="P4008">
        <f>IF(OR(M4008="",N4008=""),"",SUMIFS('Barang Keluar'!$E:$E,'Barang Keluar'!$A:$A,M4008,'Barang Keluar'!$C:$C,N4008))</f>
        <v>0</v>
      </c>
    </row>
    <row r="4009" spans="13:16">
      <c r="M4009" s="49">
        <f>IF($A$4+40&gt;$B$4,"",$A$4+40)</f>
        <v>46063</v>
      </c>
      <c r="N4009" t="str">
        <f>IF(M4009="","",'Master Barang'!A3)</f>
        <v>PRL-002</v>
      </c>
      <c r="O4009" t="str">
        <f>IF(N4009="","",'Master Barang'!B3)</f>
        <v>sunlight cairan pencuci piring 5l</v>
      </c>
      <c r="P4009">
        <f>IF(OR(M4009="",N4009=""),"",SUMIFS('Barang Keluar'!$E:$E,'Barang Keluar'!$A:$A,M4009,'Barang Keluar'!$C:$C,N4009))</f>
        <v>0</v>
      </c>
    </row>
    <row r="4010" spans="13:16">
      <c r="M4010" s="49">
        <f>IF($A$4+40&gt;$B$4,"",$A$4+40)</f>
        <v>46063</v>
      </c>
      <c r="N4010" t="str">
        <f>IF(M4010="","",'Master Barang'!A4)</f>
        <v>PRL-003</v>
      </c>
      <c r="O4010" t="str">
        <f>IF(N4010="","",'Master Barang'!B4)</f>
        <v>oixs cleaner 1l</v>
      </c>
      <c r="P4010">
        <f>IF(OR(M4010="",N4010=""),"",SUMIFS('Barang Keluar'!$E:$E,'Barang Keluar'!$A:$A,M4010,'Barang Keluar'!$C:$C,N4010))</f>
        <v>0</v>
      </c>
    </row>
    <row r="4011" spans="13:16">
      <c r="M4011" s="49">
        <f>IF($A$4+40&gt;$B$4,"",$A$4+40)</f>
        <v>46063</v>
      </c>
      <c r="N4011" t="str">
        <f>IF(M4011="","",'Master Barang'!A5)</f>
        <v>PRL-004</v>
      </c>
      <c r="O4011" t="str">
        <f>IF(N4011="","",'Master Barang'!B5)</f>
        <v>be clean tissue serbaguna</v>
      </c>
      <c r="P4011">
        <f>IF(OR(M4011="",N4011=""),"",SUMIFS('Barang Keluar'!$E:$E,'Barang Keluar'!$A:$A,M4011,'Barang Keluar'!$C:$C,N4011))</f>
        <v>0</v>
      </c>
    </row>
    <row r="4012" spans="13:16">
      <c r="M4012" s="49">
        <f>IF($A$4+40&gt;$B$4,"",$A$4+40)</f>
        <v>46063</v>
      </c>
      <c r="N4012" t="str">
        <f>IF(M4012="","",'Master Barang'!A6)</f>
        <v>PRL-005</v>
      </c>
      <c r="O4012" t="str">
        <f>IF(N4012="","",'Master Barang'!B6)</f>
        <v>spons cuci hijau</v>
      </c>
      <c r="P4012">
        <f>IF(OR(M4012="",N4012=""),"",SUMIFS('Barang Keluar'!$E:$E,'Barang Keluar'!$A:$A,M4012,'Barang Keluar'!$C:$C,N4012))</f>
        <v>0</v>
      </c>
    </row>
    <row r="4013" spans="13:16">
      <c r="M4013" s="49">
        <f>IF($A$4+40&gt;$B$4,"",$A$4+40)</f>
        <v>46063</v>
      </c>
      <c r="N4013" t="str">
        <f>IF(M4013="","",'Master Barang'!A7)</f>
        <v>PRL-006</v>
      </c>
      <c r="O4013" t="str">
        <f>IF(N4013="","",'Master Barang'!B7)</f>
        <v>sabut cuci stainless</v>
      </c>
      <c r="P4013">
        <f>IF(OR(M4013="",N4013=""),"",SUMIFS('Barang Keluar'!$E:$E,'Barang Keluar'!$A:$A,M4013,'Barang Keluar'!$C:$C,N4013))</f>
        <v>0</v>
      </c>
    </row>
    <row r="4014" spans="13:16">
      <c r="M4014" s="49">
        <f>IF($A$4+40&gt;$B$4,"",$A$4+40)</f>
        <v>46063</v>
      </c>
      <c r="N4014" t="str">
        <f>IF(M4014="","",'Master Barang'!A8)</f>
        <v>PRL-007</v>
      </c>
      <c r="O4014" t="str">
        <f>IF(N4014="","",'Master Barang'!B8)</f>
        <v>plastik kresek besar merah 50pc</v>
      </c>
      <c r="P4014">
        <f>IF(OR(M4014="",N4014=""),"",SUMIFS('Barang Keluar'!$E:$E,'Barang Keluar'!$A:$A,M4014,'Barang Keluar'!$C:$C,N4014))</f>
        <v>0</v>
      </c>
    </row>
    <row r="4015" spans="13:16">
      <c r="M4015" s="49">
        <f>IF($A$4+40&gt;$B$4,"",$A$4+40)</f>
        <v>46063</v>
      </c>
      <c r="N4015" t="str">
        <f>IF(M4015="","",'Master Barang'!A9)</f>
        <v>PRL-008</v>
      </c>
      <c r="O4015" t="str">
        <f>IF(N4015="","",'Master Barang'!B9)</f>
        <v>lap besar</v>
      </c>
      <c r="P4015">
        <f>IF(OR(M4015="",N4015=""),"",SUMIFS('Barang Keluar'!$E:$E,'Barang Keluar'!$A:$A,M4015,'Barang Keluar'!$C:$C,N4015))</f>
        <v>0</v>
      </c>
    </row>
    <row r="4016" spans="13:16">
      <c r="M4016" s="49">
        <f>IF($A$4+40&gt;$B$4,"",$A$4+40)</f>
        <v>46063</v>
      </c>
      <c r="N4016" t="str">
        <f>IF(M4016="","",'Master Barang'!A10)</f>
        <v>PRL-009</v>
      </c>
      <c r="O4016" t="str">
        <f>IF(N4016="","",'Master Barang'!B10)</f>
        <v>lap microfiber</v>
      </c>
      <c r="P4016">
        <f>IF(OR(M4016="",N4016=""),"",SUMIFS('Barang Keluar'!$E:$E,'Barang Keluar'!$A:$A,M4016,'Barang Keluar'!$C:$C,N4016))</f>
        <v>0</v>
      </c>
    </row>
    <row r="4017" spans="13:16">
      <c r="M4017" s="49">
        <f>IF($A$4+40&gt;$B$4,"",$A$4+40)</f>
        <v>46063</v>
      </c>
      <c r="N4017" t="str">
        <f>IF(M4017="","",'Master Barang'!A11)</f>
        <v>PRL-010</v>
      </c>
      <c r="O4017" t="str">
        <f>IF(N4017="","",'Master Barang'!B11)</f>
        <v>lap kecil</v>
      </c>
      <c r="P4017">
        <f>IF(OR(M4017="",N4017=""),"",SUMIFS('Barang Keluar'!$E:$E,'Barang Keluar'!$A:$A,M4017,'Barang Keluar'!$C:$C,N4017))</f>
        <v>0</v>
      </c>
    </row>
    <row r="4018" spans="13:16">
      <c r="M4018" s="49">
        <f>IF($A$4+40&gt;$B$4,"",$A$4+40)</f>
        <v>46063</v>
      </c>
      <c r="N4018" t="str">
        <f>IF(M4018="","",'Master Barang'!A12)</f>
        <v>PRL-011</v>
      </c>
      <c r="O4018" t="str">
        <f>IF(N4018="","",'Master Barang'!B12)</f>
        <v>kanebo kecil</v>
      </c>
      <c r="P4018">
        <f>IF(OR(M4018="",N4018=""),"",SUMIFS('Barang Keluar'!$E:$E,'Barang Keluar'!$A:$A,M4018,'Barang Keluar'!$C:$C,N4018))</f>
        <v>0</v>
      </c>
    </row>
    <row r="4019" spans="13:16">
      <c r="M4019" s="49">
        <f>IF($A$4+40&gt;$B$4,"",$A$4+40)</f>
        <v>46063</v>
      </c>
      <c r="N4019" t="str">
        <f>IF(M4019="","",'Master Barang'!A13)</f>
        <v>PRL-012</v>
      </c>
      <c r="O4019" t="str">
        <f>IF(N4019="","",'Master Barang'!B13)</f>
        <v>plastik 1/4kg joyoboyo 100 lembar</v>
      </c>
      <c r="P4019">
        <f>IF(OR(M4019="",N4019=""),"",SUMIFS('Barang Keluar'!$E:$E,'Barang Keluar'!$A:$A,M4019,'Barang Keluar'!$C:$C,N4019))</f>
        <v>0</v>
      </c>
    </row>
    <row r="4020" spans="13:16">
      <c r="M4020" s="49">
        <f>IF($A$4+40&gt;$B$4,"",$A$4+40)</f>
        <v>46063</v>
      </c>
      <c r="N4020" t="str">
        <f>IF(M4020="","",'Master Barang'!A14)</f>
        <v>PRL-013</v>
      </c>
      <c r="O4020" t="str">
        <f>IF(N4020="","",'Master Barang'!B14)</f>
        <v>sarung tangan plastik kaka 100 pcs</v>
      </c>
      <c r="P4020">
        <f>IF(OR(M4020="",N4020=""),"",SUMIFS('Barang Keluar'!$E:$E,'Barang Keluar'!$A:$A,M4020,'Barang Keluar'!$C:$C,N4020))</f>
        <v>0</v>
      </c>
    </row>
    <row r="4021" spans="13:16">
      <c r="M4021" s="49">
        <f>IF($A$4+40&gt;$B$4,"",$A$4+40)</f>
        <v>46063</v>
      </c>
      <c r="N4021" t="str">
        <f>IF(M4021="","",'Master Barang'!A15)</f>
        <v>PRL-014</v>
      </c>
      <c r="O4021" t="str">
        <f>IF(N4021="","",'Master Barang'!B15)</f>
        <v>optima trashbag 80x100</v>
      </c>
      <c r="P4021">
        <f>IF(OR(M4021="",N4021=""),"",SUMIFS('Barang Keluar'!$E:$E,'Barang Keluar'!$A:$A,M4021,'Barang Keluar'!$C:$C,N4021))</f>
        <v>0</v>
      </c>
    </row>
    <row r="4022" spans="13:16">
      <c r="M4022" s="49">
        <f>IF($A$4+40&gt;$B$4,"",$A$4+40)</f>
        <v>46063</v>
      </c>
      <c r="N4022" t="str">
        <f>IF(M4022="","",'Master Barang'!A16)</f>
        <v>PRL-015</v>
      </c>
      <c r="O4022" t="str">
        <f>IF(N4022="","",'Master Barang'!B16)</f>
        <v>optima trashbag 60x100</v>
      </c>
      <c r="P4022">
        <f>IF(OR(M4022="",N4022=""),"",SUMIFS('Barang Keluar'!$E:$E,'Barang Keluar'!$A:$A,M4022,'Barang Keluar'!$C:$C,N4022))</f>
        <v>0</v>
      </c>
    </row>
    <row r="4023" spans="13:16">
      <c r="M4023" s="49">
        <f>IF($A$4+40&gt;$B$4,"",$A$4+40)</f>
        <v>46063</v>
      </c>
      <c r="N4023" t="str">
        <f>IF(M4023="","",'Master Barang'!A17)</f>
        <v>PRL-016</v>
      </c>
      <c r="O4023" t="str">
        <f>IF(N4023="","",'Master Barang'!B17)</f>
        <v>rajawali trashbag 30x40</v>
      </c>
      <c r="P4023">
        <f>IF(OR(M4023="",N4023=""),"",SUMIFS('Barang Keluar'!$E:$E,'Barang Keluar'!$A:$A,M4023,'Barang Keluar'!$C:$C,N4023))</f>
        <v>0</v>
      </c>
    </row>
    <row r="4024" spans="13:16">
      <c r="M4024" s="49">
        <f>IF($A$4+40&gt;$B$4,"",$A$4+40)</f>
        <v>46063</v>
      </c>
      <c r="N4024" t="str">
        <f>IF(M4024="","",'Master Barang'!A18)</f>
        <v>PRL-017</v>
      </c>
      <c r="O4024" t="str">
        <f>IF(N4024="","",'Master Barang'!B18)</f>
        <v>onemed masker biru 3 play 50 pcs</v>
      </c>
      <c r="P4024">
        <f>IF(OR(M4024="",N4024=""),"",SUMIFS('Barang Keluar'!$E:$E,'Barang Keluar'!$A:$A,M4024,'Barang Keluar'!$C:$C,N4024))</f>
        <v>0</v>
      </c>
    </row>
    <row r="4025" spans="13:16">
      <c r="M4025" s="49">
        <f>IF($A$4+40&gt;$B$4,"",$A$4+40)</f>
        <v>46063</v>
      </c>
      <c r="N4025" t="str">
        <f>IF(M4025="","",'Master Barang'!A19)</f>
        <v>PRL-018</v>
      </c>
      <c r="O4025" t="str">
        <f>IF(N4025="","",'Master Barang'!B19)</f>
        <v>onemed masker biru 3 play hijab 50 pcs</v>
      </c>
      <c r="P4025">
        <f>IF(OR(M4025="",N4025=""),"",SUMIFS('Barang Keluar'!$E:$E,'Barang Keluar'!$A:$A,M4025,'Barang Keluar'!$C:$C,N4025))</f>
        <v>0</v>
      </c>
    </row>
    <row r="4026" spans="13:16">
      <c r="M4026" s="49">
        <f>IF($A$4+40&gt;$B$4,"",$A$4+40)</f>
        <v>46063</v>
      </c>
      <c r="N4026" t="str">
        <f>IF(M4026="","",'Master Barang'!A20)</f>
        <v>PRL-019</v>
      </c>
      <c r="O4026" t="str">
        <f>IF(N4026="","",'Master Barang'!B20)</f>
        <v>neo health masker biru 3 play 50 pcs</v>
      </c>
      <c r="P4026">
        <f>IF(OR(M4026="",N4026=""),"",SUMIFS('Barang Keluar'!$E:$E,'Barang Keluar'!$A:$A,M4026,'Barang Keluar'!$C:$C,N4026))</f>
        <v>0</v>
      </c>
    </row>
    <row r="4027" spans="13:16">
      <c r="M4027" s="49">
        <f>IF($A$4+40&gt;$B$4,"",$A$4+40)</f>
        <v>46063</v>
      </c>
      <c r="N4027" t="str">
        <f>IF(M4027="","",'Master Barang'!A21)</f>
        <v>PRL-020</v>
      </c>
      <c r="O4027" t="str">
        <f>IF(N4027="","",'Master Barang'!B21)</f>
        <v>baymed masker hijau 3 play hijau 50 pcs</v>
      </c>
      <c r="P4027">
        <f>IF(OR(M4027="",N4027=""),"",SUMIFS('Barang Keluar'!$E:$E,'Barang Keluar'!$A:$A,M4027,'Barang Keluar'!$C:$C,N4027))</f>
        <v>0</v>
      </c>
    </row>
    <row r="4028" spans="13:16">
      <c r="M4028" s="49">
        <f>IF($A$4+40&gt;$B$4,"",$A$4+40)</f>
        <v>46063</v>
      </c>
      <c r="N4028" t="str">
        <f>IF(M4028="","",'Master Barang'!A22)</f>
        <v>PRL-021</v>
      </c>
      <c r="O4028" t="str">
        <f>IF(N4028="","",'Master Barang'!B22)</f>
        <v>altamed nurse cap penutup kepala 100 pcs</v>
      </c>
      <c r="P4028">
        <f>IF(OR(M4028="",N4028=""),"",SUMIFS('Barang Keluar'!$E:$E,'Barang Keluar'!$A:$A,M4028,'Barang Keluar'!$C:$C,N4028))</f>
        <v>0</v>
      </c>
    </row>
    <row r="4029" spans="13:16">
      <c r="M4029" s="49">
        <f>IF($A$4+40&gt;$B$4,"",$A$4+40)</f>
        <v>46063</v>
      </c>
      <c r="N4029" t="str">
        <f>IF(M4029="","",'Master Barang'!A23)</f>
        <v>PRL-022</v>
      </c>
      <c r="O4029" t="str">
        <f>IF(N4029="","",'Master Barang'!B23)</f>
        <v>sabun cuci tangan</v>
      </c>
      <c r="P4029">
        <f>IF(OR(M4029="",N4029=""),"",SUMIFS('Barang Keluar'!$E:$E,'Barang Keluar'!$A:$A,M4029,'Barang Keluar'!$C:$C,N4029))</f>
        <v>0</v>
      </c>
    </row>
    <row r="4030" spans="13:16">
      <c r="M4030" s="49">
        <f>IF($A$4+40&gt;$B$4,"",$A$4+40)</f>
        <v>46063</v>
      </c>
      <c r="N4030" t="str">
        <f>IF(M4030="","",'Master Barang'!A24)</f>
        <v>PRL-023</v>
      </c>
      <c r="O4030" t="str">
        <f>IF(N4030="","",'Master Barang'!B24)</f>
        <v>gayung kecil</v>
      </c>
      <c r="P4030">
        <f>IF(OR(M4030="",N4030=""),"",SUMIFS('Barang Keluar'!$E:$E,'Barang Keluar'!$A:$A,M4030,'Barang Keluar'!$C:$C,N4030))</f>
        <v>0</v>
      </c>
    </row>
    <row r="4031" spans="13:16">
      <c r="M4031" s="49">
        <f>IF($A$4+40&gt;$B$4,"",$A$4+40)</f>
        <v>46063</v>
      </c>
      <c r="N4031" t="str">
        <f>IF(M4031="","",'Master Barang'!A25)</f>
        <v>PRL-024</v>
      </c>
      <c r="O4031" t="str">
        <f>IF(N4031="","",'Master Barang'!B25)</f>
        <v>cikrak kecil</v>
      </c>
      <c r="P4031">
        <f>IF(OR(M4031="",N4031=""),"",SUMIFS('Barang Keluar'!$E:$E,'Barang Keluar'!$A:$A,M4031,'Barang Keluar'!$C:$C,N4031))</f>
        <v>0</v>
      </c>
    </row>
    <row r="4032" spans="13:16">
      <c r="M4032" s="49">
        <f>IF($A$4+40&gt;$B$4,"",$A$4+40)</f>
        <v>46063</v>
      </c>
      <c r="N4032" t="str">
        <f>IF(M4032="","",'Master Barang'!A26)</f>
        <v>PRL-025</v>
      </c>
      <c r="O4032" t="str">
        <f>IF(N4032="","",'Master Barang'!B26)</f>
        <v>petromax plastik kecil 12x24 100 lembar</v>
      </c>
      <c r="P4032">
        <f>IF(OR(M4032="",N4032=""),"",SUMIFS('Barang Keluar'!$E:$E,'Barang Keluar'!$A:$A,M4032,'Barang Keluar'!$C:$C,N4032))</f>
        <v>0</v>
      </c>
    </row>
    <row r="4033" spans="13:16">
      <c r="M4033" s="49">
        <f>IF($A$4+40&gt;$B$4,"",$A$4+40)</f>
        <v>46063</v>
      </c>
      <c r="N4033" t="str">
        <f>IF(M4033="","",'Master Barang'!A27)</f>
        <v>PRL-026</v>
      </c>
      <c r="O4033" t="str">
        <f>IF(N4033="","",'Master Barang'!B27)</f>
        <v>lancar kresek kecil bening </v>
      </c>
      <c r="P4033">
        <f>IF(OR(M4033="",N4033=""),"",SUMIFS('Barang Keluar'!$E:$E,'Barang Keluar'!$A:$A,M4033,'Barang Keluar'!$C:$C,N4033))</f>
        <v>0</v>
      </c>
    </row>
    <row r="4034" spans="13:16">
      <c r="M4034" s="49">
        <f>IF($A$4+40&gt;$B$4,"",$A$4+40)</f>
        <v>46063</v>
      </c>
      <c r="N4034" t="str">
        <f>IF(M4034="","",'Master Barang'!A28)</f>
        <v>PRL-027</v>
      </c>
      <c r="O4034" t="str">
        <f>IF(N4034="","",'Master Barang'!B28)</f>
        <v>kresek klin warna warni kecil</v>
      </c>
      <c r="P4034">
        <f>IF(OR(M4034="",N4034=""),"",SUMIFS('Barang Keluar'!$E:$E,'Barang Keluar'!$A:$A,M4034,'Barang Keluar'!$C:$C,N4034))</f>
        <v>0</v>
      </c>
    </row>
    <row r="4035" spans="13:16">
      <c r="M4035" s="49">
        <f>IF($A$4+40&gt;$B$4,"",$A$4+40)</f>
        <v>46063</v>
      </c>
      <c r="N4035" t="str">
        <f>IF(M4035="","",'Master Barang'!A29)</f>
        <v>PRL-028</v>
      </c>
      <c r="O4035" t="str">
        <f>IF(N4035="","",'Master Barang'!B29)</f>
        <v>ctik plastik 7x10 100 pcs</v>
      </c>
      <c r="P4035">
        <f>IF(OR(M4035="",N4035=""),"",SUMIFS('Barang Keluar'!$E:$E,'Barang Keluar'!$A:$A,M4035,'Barang Keluar'!$C:$C,N4035))</f>
        <v>0</v>
      </c>
    </row>
    <row r="4036" spans="13:16">
      <c r="M4036" s="49">
        <f>IF($A$4+40&gt;$B$4,"",$A$4+40)</f>
        <v>46063</v>
      </c>
      <c r="N4036" t="str">
        <f>IF(M4036="","",'Master Barang'!A30)</f>
        <v>PRL-029</v>
      </c>
      <c r="O4036" t="str">
        <f>IF(N4036="","",'Master Barang'!B30)</f>
        <v>ctik plastik 6x10 100 pcs</v>
      </c>
      <c r="P4036">
        <f>IF(OR(M4036="",N4036=""),"",SUMIFS('Barang Keluar'!$E:$E,'Barang Keluar'!$A:$A,M4036,'Barang Keluar'!$C:$C,N4036))</f>
        <v>0</v>
      </c>
    </row>
    <row r="4037" spans="13:16">
      <c r="M4037" s="49">
        <f>IF($A$4+40&gt;$B$4,"",$A$4+40)</f>
        <v>46063</v>
      </c>
      <c r="N4037" t="str">
        <f>IF(M4037="","",'Master Barang'!A31)</f>
        <v>PRL-030</v>
      </c>
      <c r="O4037" t="str">
        <f>IF(N4037="","",'Master Barang'!B31)</f>
        <v>klip plastik 25x16 100 pcs</v>
      </c>
      <c r="P4037">
        <f>IF(OR(M4037="",N4037=""),"",SUMIFS('Barang Keluar'!$E:$E,'Barang Keluar'!$A:$A,M4037,'Barang Keluar'!$C:$C,N4037))</f>
        <v>0</v>
      </c>
    </row>
    <row r="4038" spans="13:16">
      <c r="M4038" s="49">
        <f>IF($A$4+40&gt;$B$4,"",$A$4+40)</f>
        <v>46063</v>
      </c>
      <c r="N4038" t="str">
        <f>IF(M4038="","",'Master Barang'!A32)</f>
        <v>PRL-031</v>
      </c>
      <c r="O4038" t="str">
        <f>IF(N4038="","",'Master Barang'!B32)</f>
        <v>tempat saus 20 ml</v>
      </c>
      <c r="P4038">
        <f>IF(OR(M4038="",N4038=""),"",SUMIFS('Barang Keluar'!$E:$E,'Barang Keluar'!$A:$A,M4038,'Barang Keluar'!$C:$C,N4038))</f>
        <v>0</v>
      </c>
    </row>
    <row r="4039" spans="13:16">
      <c r="M4039" s="49">
        <f>IF($A$4+40&gt;$B$4,"",$A$4+40)</f>
        <v>46063</v>
      </c>
      <c r="N4039" t="str">
        <f>IF(M4039="","",'Master Barang'!A33)</f>
        <v>PRL-032</v>
      </c>
      <c r="O4039" t="str">
        <f>IF(N4039="","",'Master Barang'!B33)</f>
        <v>plastik packaging ag box uk sedang</v>
      </c>
      <c r="P4039">
        <f>IF(OR(M4039="",N4039=""),"",SUMIFS('Barang Keluar'!$E:$E,'Barang Keluar'!$A:$A,M4039,'Barang Keluar'!$C:$C,N4039))</f>
        <v>0</v>
      </c>
    </row>
    <row r="4040" spans="13:16">
      <c r="M4040" s="49">
        <f>IF($A$4+40&gt;$B$4,"",$A$4+40)</f>
        <v>46063</v>
      </c>
      <c r="N4040" t="str">
        <f>IF(M4040="","",'Master Barang'!A34)</f>
        <v>PRL-033</v>
      </c>
      <c r="O4040">
        <f>IF(N4040="","",'Master Barang'!B34)</f>
        <v>0</v>
      </c>
      <c r="P4040">
        <f>IF(OR(M4040="",N4040=""),"",SUMIFS('Barang Keluar'!$E:$E,'Barang Keluar'!$A:$A,M4040,'Barang Keluar'!$C:$C,N4040))</f>
        <v>0</v>
      </c>
    </row>
    <row r="4041" spans="13:16">
      <c r="M4041" s="49">
        <f>IF($A$4+40&gt;$B$4,"",$A$4+40)</f>
        <v>46063</v>
      </c>
      <c r="N4041">
        <f>IF(M4041="","",'Master Barang'!A35)</f>
        <v>0</v>
      </c>
      <c r="O4041">
        <f>IF(N4041="","",'Master Barang'!B35)</f>
        <v>0</v>
      </c>
      <c r="P4041">
        <f>IF(OR(M4041="",N4041=""),"",SUMIFS('Barang Keluar'!$E:$E,'Barang Keluar'!$A:$A,M4041,'Barang Keluar'!$C:$C,N4041))</f>
        <v>0</v>
      </c>
    </row>
    <row r="4042" spans="13:16">
      <c r="M4042" s="49">
        <f>IF($A$4+40&gt;$B$4,"",$A$4+40)</f>
        <v>46063</v>
      </c>
      <c r="N4042">
        <f>IF(M4042="","",'Master Barang'!A36)</f>
        <v>0</v>
      </c>
      <c r="O4042">
        <f>IF(N4042="","",'Master Barang'!B36)</f>
        <v>0</v>
      </c>
      <c r="P4042">
        <f>IF(OR(M4042="",N4042=""),"",SUMIFS('Barang Keluar'!$E:$E,'Barang Keluar'!$A:$A,M4042,'Barang Keluar'!$C:$C,N4042))</f>
        <v>0</v>
      </c>
    </row>
    <row r="4043" spans="13:16">
      <c r="M4043" s="49">
        <f>IF($A$4+40&gt;$B$4,"",$A$4+40)</f>
        <v>46063</v>
      </c>
      <c r="N4043">
        <f>IF(M4043="","",'Master Barang'!A37)</f>
        <v>0</v>
      </c>
      <c r="O4043">
        <f>IF(N4043="","",'Master Barang'!B37)</f>
        <v>0</v>
      </c>
      <c r="P4043">
        <f>IF(OR(M4043="",N4043=""),"",SUMIFS('Barang Keluar'!$E:$E,'Barang Keluar'!$A:$A,M4043,'Barang Keluar'!$C:$C,N4043))</f>
        <v>0</v>
      </c>
    </row>
    <row r="4044" spans="13:16">
      <c r="M4044" s="49">
        <f>IF($A$4+40&gt;$B$4,"",$A$4+40)</f>
        <v>46063</v>
      </c>
      <c r="N4044">
        <f>IF(M4044="","",'Master Barang'!A38)</f>
        <v>0</v>
      </c>
      <c r="O4044">
        <f>IF(N4044="","",'Master Barang'!B38)</f>
        <v>0</v>
      </c>
      <c r="P4044">
        <f>IF(OR(M4044="",N4044=""),"",SUMIFS('Barang Keluar'!$E:$E,'Barang Keluar'!$A:$A,M4044,'Barang Keluar'!$C:$C,N4044))</f>
        <v>0</v>
      </c>
    </row>
    <row r="4045" spans="13:16">
      <c r="M4045" s="49">
        <f>IF($A$4+40&gt;$B$4,"",$A$4+40)</f>
        <v>46063</v>
      </c>
      <c r="N4045">
        <f>IF(M4045="","",'Master Barang'!A39)</f>
        <v>0</v>
      </c>
      <c r="O4045">
        <f>IF(N4045="","",'Master Barang'!B39)</f>
        <v>0</v>
      </c>
      <c r="P4045">
        <f>IF(OR(M4045="",N4045=""),"",SUMIFS('Barang Keluar'!$E:$E,'Barang Keluar'!$A:$A,M4045,'Barang Keluar'!$C:$C,N4045))</f>
        <v>0</v>
      </c>
    </row>
    <row r="4046" spans="13:16">
      <c r="M4046" s="49">
        <f>IF($A$4+40&gt;$B$4,"",$A$4+40)</f>
        <v>46063</v>
      </c>
      <c r="N4046">
        <f>IF(M4046="","",'Master Barang'!A40)</f>
        <v>0</v>
      </c>
      <c r="O4046">
        <f>IF(N4046="","",'Master Barang'!B40)</f>
        <v>0</v>
      </c>
      <c r="P4046">
        <f>IF(OR(M4046="",N4046=""),"",SUMIFS('Barang Keluar'!$E:$E,'Barang Keluar'!$A:$A,M4046,'Barang Keluar'!$C:$C,N4046))</f>
        <v>0</v>
      </c>
    </row>
    <row r="4047" spans="13:16">
      <c r="M4047" s="49">
        <f>IF($A$4+40&gt;$B$4,"",$A$4+40)</f>
        <v>46063</v>
      </c>
      <c r="N4047">
        <f>IF(M4047="","",'Master Barang'!A41)</f>
        <v>0</v>
      </c>
      <c r="O4047">
        <f>IF(N4047="","",'Master Barang'!B41)</f>
        <v>0</v>
      </c>
      <c r="P4047">
        <f>IF(OR(M4047="",N4047=""),"",SUMIFS('Barang Keluar'!$E:$E,'Barang Keluar'!$A:$A,M4047,'Barang Keluar'!$C:$C,N4047))</f>
        <v>0</v>
      </c>
    </row>
    <row r="4048" spans="13:16">
      <c r="M4048" s="49">
        <f>IF($A$4+40&gt;$B$4,"",$A$4+40)</f>
        <v>46063</v>
      </c>
      <c r="N4048">
        <f>IF(M4048="","",'Master Barang'!A42)</f>
        <v>0</v>
      </c>
      <c r="O4048">
        <f>IF(N4048="","",'Master Barang'!B42)</f>
        <v>0</v>
      </c>
      <c r="P4048">
        <f>IF(OR(M4048="",N4048=""),"",SUMIFS('Barang Keluar'!$E:$E,'Barang Keluar'!$A:$A,M4048,'Barang Keluar'!$C:$C,N4048))</f>
        <v>0</v>
      </c>
    </row>
    <row r="4049" spans="13:16">
      <c r="M4049" s="49">
        <f>IF($A$4+40&gt;$B$4,"",$A$4+40)</f>
        <v>46063</v>
      </c>
      <c r="N4049">
        <f>IF(M4049="","",'Master Barang'!A43)</f>
        <v>0</v>
      </c>
      <c r="O4049">
        <f>IF(N4049="","",'Master Barang'!B43)</f>
        <v>0</v>
      </c>
      <c r="P4049">
        <f>IF(OR(M4049="",N4049=""),"",SUMIFS('Barang Keluar'!$E:$E,'Barang Keluar'!$A:$A,M4049,'Barang Keluar'!$C:$C,N4049))</f>
        <v>0</v>
      </c>
    </row>
    <row r="4050" spans="13:16">
      <c r="M4050" s="49">
        <f>IF($A$4+40&gt;$B$4,"",$A$4+40)</f>
        <v>46063</v>
      </c>
      <c r="N4050">
        <f>IF(M4050="","",'Master Barang'!A44)</f>
        <v>0</v>
      </c>
      <c r="O4050">
        <f>IF(N4050="","",'Master Barang'!B44)</f>
        <v>0</v>
      </c>
      <c r="P4050">
        <f>IF(OR(M4050="",N4050=""),"",SUMIFS('Barang Keluar'!$E:$E,'Barang Keluar'!$A:$A,M4050,'Barang Keluar'!$C:$C,N4050))</f>
        <v>0</v>
      </c>
    </row>
    <row r="4051" spans="13:16">
      <c r="M4051" s="49">
        <f>IF($A$4+40&gt;$B$4,"",$A$4+40)</f>
        <v>46063</v>
      </c>
      <c r="N4051">
        <f>IF(M4051="","",'Master Barang'!A45)</f>
        <v>0</v>
      </c>
      <c r="O4051">
        <f>IF(N4051="","",'Master Barang'!B45)</f>
        <v>0</v>
      </c>
      <c r="P4051">
        <f>IF(OR(M4051="",N4051=""),"",SUMIFS('Barang Keluar'!$E:$E,'Barang Keluar'!$A:$A,M4051,'Barang Keluar'!$C:$C,N4051))</f>
        <v>0</v>
      </c>
    </row>
    <row r="4052" spans="13:16">
      <c r="M4052" s="49">
        <f>IF($A$4+40&gt;$B$4,"",$A$4+40)</f>
        <v>46063</v>
      </c>
      <c r="N4052">
        <f>IF(M4052="","",'Master Barang'!A46)</f>
        <v>0</v>
      </c>
      <c r="O4052">
        <f>IF(N4052="","",'Master Barang'!B46)</f>
        <v>0</v>
      </c>
      <c r="P4052">
        <f>IF(OR(M4052="",N4052=""),"",SUMIFS('Barang Keluar'!$E:$E,'Barang Keluar'!$A:$A,M4052,'Barang Keluar'!$C:$C,N4052))</f>
        <v>0</v>
      </c>
    </row>
    <row r="4053" spans="13:16">
      <c r="M4053" s="49">
        <f>IF($A$4+40&gt;$B$4,"",$A$4+40)</f>
        <v>46063</v>
      </c>
      <c r="N4053">
        <f>IF(M4053="","",'Master Barang'!A47)</f>
        <v>0</v>
      </c>
      <c r="O4053">
        <f>IF(N4053="","",'Master Barang'!B47)</f>
        <v>0</v>
      </c>
      <c r="P4053">
        <f>IF(OR(M4053="",N4053=""),"",SUMIFS('Barang Keluar'!$E:$E,'Barang Keluar'!$A:$A,M4053,'Barang Keluar'!$C:$C,N4053))</f>
        <v>0</v>
      </c>
    </row>
    <row r="4054" spans="13:16">
      <c r="M4054" s="49">
        <f>IF($A$4+40&gt;$B$4,"",$A$4+40)</f>
        <v>46063</v>
      </c>
      <c r="N4054">
        <f>IF(M4054="","",'Master Barang'!A48)</f>
        <v>0</v>
      </c>
      <c r="O4054">
        <f>IF(N4054="","",'Master Barang'!B48)</f>
        <v>0</v>
      </c>
      <c r="P4054">
        <f>IF(OR(M4054="",N4054=""),"",SUMIFS('Barang Keluar'!$E:$E,'Barang Keluar'!$A:$A,M4054,'Barang Keluar'!$C:$C,N4054))</f>
        <v>0</v>
      </c>
    </row>
    <row r="4055" spans="13:16">
      <c r="M4055" s="49">
        <f>IF($A$4+40&gt;$B$4,"",$A$4+40)</f>
        <v>46063</v>
      </c>
      <c r="N4055">
        <f>IF(M4055="","",'Master Barang'!A49)</f>
        <v>0</v>
      </c>
      <c r="O4055">
        <f>IF(N4055="","",'Master Barang'!B49)</f>
        <v>0</v>
      </c>
      <c r="P4055">
        <f>IF(OR(M4055="",N4055=""),"",SUMIFS('Barang Keluar'!$E:$E,'Barang Keluar'!$A:$A,M4055,'Barang Keluar'!$C:$C,N4055))</f>
        <v>0</v>
      </c>
    </row>
    <row r="4056" spans="13:16">
      <c r="M4056" s="49">
        <f>IF($A$4+40&gt;$B$4,"",$A$4+40)</f>
        <v>46063</v>
      </c>
      <c r="N4056">
        <f>IF(M4056="","",'Master Barang'!A50)</f>
        <v>0</v>
      </c>
      <c r="O4056">
        <f>IF(N4056="","",'Master Barang'!B50)</f>
        <v>0</v>
      </c>
      <c r="P4056">
        <f>IF(OR(M4056="",N4056=""),"",SUMIFS('Barang Keluar'!$E:$E,'Barang Keluar'!$A:$A,M4056,'Barang Keluar'!$C:$C,N4056))</f>
        <v>0</v>
      </c>
    </row>
    <row r="4057" spans="13:16">
      <c r="M4057" s="49">
        <f>IF($A$4+40&gt;$B$4,"",$A$4+40)</f>
        <v>46063</v>
      </c>
      <c r="N4057">
        <f>IF(M4057="","",'Master Barang'!A51)</f>
        <v>0</v>
      </c>
      <c r="O4057">
        <f>IF(N4057="","",'Master Barang'!B51)</f>
        <v>0</v>
      </c>
      <c r="P4057">
        <f>IF(OR(M4057="",N4057=""),"",SUMIFS('Barang Keluar'!$E:$E,'Barang Keluar'!$A:$A,M4057,'Barang Keluar'!$C:$C,N4057))</f>
        <v>0</v>
      </c>
    </row>
    <row r="4058" spans="13:16">
      <c r="M4058" s="49">
        <f>IF($A$4+40&gt;$B$4,"",$A$4+40)</f>
        <v>46063</v>
      </c>
      <c r="N4058">
        <f>IF(M4058="","",'Master Barang'!A52)</f>
        <v>0</v>
      </c>
      <c r="O4058">
        <f>IF(N4058="","",'Master Barang'!B52)</f>
        <v>0</v>
      </c>
      <c r="P4058">
        <f>IF(OR(M4058="",N4058=""),"",SUMIFS('Barang Keluar'!$E:$E,'Barang Keluar'!$A:$A,M4058,'Barang Keluar'!$C:$C,N4058))</f>
        <v>0</v>
      </c>
    </row>
    <row r="4059" spans="13:16">
      <c r="M4059" s="49">
        <f>IF($A$4+40&gt;$B$4,"",$A$4+40)</f>
        <v>46063</v>
      </c>
      <c r="N4059">
        <f>IF(M4059="","",'Master Barang'!A53)</f>
        <v>0</v>
      </c>
      <c r="O4059">
        <f>IF(N4059="","",'Master Barang'!B53)</f>
        <v>0</v>
      </c>
      <c r="P4059">
        <f>IF(OR(M4059="",N4059=""),"",SUMIFS('Barang Keluar'!$E:$E,'Barang Keluar'!$A:$A,M4059,'Barang Keluar'!$C:$C,N4059))</f>
        <v>0</v>
      </c>
    </row>
    <row r="4060" spans="13:16">
      <c r="M4060" s="49">
        <f>IF($A$4+40&gt;$B$4,"",$A$4+40)</f>
        <v>46063</v>
      </c>
      <c r="N4060">
        <f>IF(M4060="","",'Master Barang'!A54)</f>
        <v>0</v>
      </c>
      <c r="O4060">
        <f>IF(N4060="","",'Master Barang'!B54)</f>
        <v>0</v>
      </c>
      <c r="P4060">
        <f>IF(OR(M4060="",N4060=""),"",SUMIFS('Barang Keluar'!$E:$E,'Barang Keluar'!$A:$A,M4060,'Barang Keluar'!$C:$C,N4060))</f>
        <v>0</v>
      </c>
    </row>
    <row r="4061" spans="13:16">
      <c r="M4061" s="49">
        <f>IF($A$4+40&gt;$B$4,"",$A$4+40)</f>
        <v>46063</v>
      </c>
      <c r="N4061">
        <f>IF(M4061="","",'Master Barang'!A55)</f>
        <v>0</v>
      </c>
      <c r="O4061">
        <f>IF(N4061="","",'Master Barang'!B55)</f>
        <v>0</v>
      </c>
      <c r="P4061">
        <f>IF(OR(M4061="",N4061=""),"",SUMIFS('Barang Keluar'!$E:$E,'Barang Keluar'!$A:$A,M4061,'Barang Keluar'!$C:$C,N4061))</f>
        <v>0</v>
      </c>
    </row>
    <row r="4062" spans="13:16">
      <c r="M4062" s="49">
        <f>IF($A$4+40&gt;$B$4,"",$A$4+40)</f>
        <v>46063</v>
      </c>
      <c r="N4062">
        <f>IF(M4062="","",'Master Barang'!A56)</f>
        <v>0</v>
      </c>
      <c r="O4062">
        <f>IF(N4062="","",'Master Barang'!B56)</f>
        <v>0</v>
      </c>
      <c r="P4062">
        <f>IF(OR(M4062="",N4062=""),"",SUMIFS('Barang Keluar'!$E:$E,'Barang Keluar'!$A:$A,M4062,'Barang Keluar'!$C:$C,N4062))</f>
        <v>0</v>
      </c>
    </row>
    <row r="4063" spans="13:16">
      <c r="M4063" s="49">
        <f>IF($A$4+40&gt;$B$4,"",$A$4+40)</f>
        <v>46063</v>
      </c>
      <c r="N4063">
        <f>IF(M4063="","",'Master Barang'!A57)</f>
        <v>0</v>
      </c>
      <c r="O4063">
        <f>IF(N4063="","",'Master Barang'!B57)</f>
        <v>0</v>
      </c>
      <c r="P4063">
        <f>IF(OR(M4063="",N4063=""),"",SUMIFS('Barang Keluar'!$E:$E,'Barang Keluar'!$A:$A,M4063,'Barang Keluar'!$C:$C,N4063))</f>
        <v>0</v>
      </c>
    </row>
    <row r="4064" spans="13:16">
      <c r="M4064" s="49">
        <f>IF($A$4+40&gt;$B$4,"",$A$4+40)</f>
        <v>46063</v>
      </c>
      <c r="N4064">
        <f>IF(M4064="","",'Master Barang'!A58)</f>
        <v>0</v>
      </c>
      <c r="O4064">
        <f>IF(N4064="","",'Master Barang'!B58)</f>
        <v>0</v>
      </c>
      <c r="P4064">
        <f>IF(OR(M4064="",N4064=""),"",SUMIFS('Barang Keluar'!$E:$E,'Barang Keluar'!$A:$A,M4064,'Barang Keluar'!$C:$C,N4064))</f>
        <v>0</v>
      </c>
    </row>
    <row r="4065" spans="13:16">
      <c r="M4065" s="49">
        <f>IF($A$4+40&gt;$B$4,"",$A$4+40)</f>
        <v>46063</v>
      </c>
      <c r="N4065">
        <f>IF(M4065="","",'Master Barang'!A59)</f>
        <v>0</v>
      </c>
      <c r="O4065">
        <f>IF(N4065="","",'Master Barang'!B59)</f>
        <v>0</v>
      </c>
      <c r="P4065">
        <f>IF(OR(M4065="",N4065=""),"",SUMIFS('Barang Keluar'!$E:$E,'Barang Keluar'!$A:$A,M4065,'Barang Keluar'!$C:$C,N4065))</f>
        <v>0</v>
      </c>
    </row>
    <row r="4066" spans="13:16">
      <c r="M4066" s="49">
        <f>IF($A$4+40&gt;$B$4,"",$A$4+40)</f>
        <v>46063</v>
      </c>
      <c r="N4066">
        <f>IF(M4066="","",'Master Barang'!A60)</f>
        <v>0</v>
      </c>
      <c r="O4066">
        <f>IF(N4066="","",'Master Barang'!B60)</f>
        <v>0</v>
      </c>
      <c r="P4066">
        <f>IF(OR(M4066="",N4066=""),"",SUMIFS('Barang Keluar'!$E:$E,'Barang Keluar'!$A:$A,M4066,'Barang Keluar'!$C:$C,N4066))</f>
        <v>0</v>
      </c>
    </row>
    <row r="4067" spans="13:16">
      <c r="M4067" s="49">
        <f>IF($A$4+40&gt;$B$4,"",$A$4+40)</f>
        <v>46063</v>
      </c>
      <c r="N4067">
        <f>IF(M4067="","",'Master Barang'!A61)</f>
        <v>0</v>
      </c>
      <c r="O4067">
        <f>IF(N4067="","",'Master Barang'!B61)</f>
        <v>0</v>
      </c>
      <c r="P4067">
        <f>IF(OR(M4067="",N4067=""),"",SUMIFS('Barang Keluar'!$E:$E,'Barang Keluar'!$A:$A,M4067,'Barang Keluar'!$C:$C,N4067))</f>
        <v>0</v>
      </c>
    </row>
    <row r="4068" spans="13:16">
      <c r="M4068" s="49">
        <f>IF($A$4+40&gt;$B$4,"",$A$4+40)</f>
        <v>46063</v>
      </c>
      <c r="N4068">
        <f>IF(M4068="","",'Master Barang'!A62)</f>
        <v>0</v>
      </c>
      <c r="O4068">
        <f>IF(N4068="","",'Master Barang'!B62)</f>
        <v>0</v>
      </c>
      <c r="P4068">
        <f>IF(OR(M4068="",N4068=""),"",SUMIFS('Barang Keluar'!$E:$E,'Barang Keluar'!$A:$A,M4068,'Barang Keluar'!$C:$C,N4068))</f>
        <v>0</v>
      </c>
    </row>
    <row r="4069" spans="13:16">
      <c r="M4069" s="49">
        <f>IF($A$4+40&gt;$B$4,"",$A$4+40)</f>
        <v>46063</v>
      </c>
      <c r="N4069">
        <f>IF(M4069="","",'Master Barang'!A63)</f>
        <v>0</v>
      </c>
      <c r="O4069">
        <f>IF(N4069="","",'Master Barang'!B63)</f>
        <v>0</v>
      </c>
      <c r="P4069">
        <f>IF(OR(M4069="",N4069=""),"",SUMIFS('Barang Keluar'!$E:$E,'Barang Keluar'!$A:$A,M4069,'Barang Keluar'!$C:$C,N4069))</f>
        <v>0</v>
      </c>
    </row>
    <row r="4070" spans="13:16">
      <c r="M4070" s="49">
        <f>IF($A$4+40&gt;$B$4,"",$A$4+40)</f>
        <v>46063</v>
      </c>
      <c r="N4070">
        <f>IF(M4070="","",'Master Barang'!A64)</f>
        <v>0</v>
      </c>
      <c r="O4070">
        <f>IF(N4070="","",'Master Barang'!B64)</f>
        <v>0</v>
      </c>
      <c r="P4070">
        <f>IF(OR(M4070="",N4070=""),"",SUMIFS('Barang Keluar'!$E:$E,'Barang Keluar'!$A:$A,M4070,'Barang Keluar'!$C:$C,N4070))</f>
        <v>0</v>
      </c>
    </row>
    <row r="4071" spans="13:16">
      <c r="M4071" s="49">
        <f>IF($A$4+40&gt;$B$4,"",$A$4+40)</f>
        <v>46063</v>
      </c>
      <c r="N4071">
        <f>IF(M4071="","",'Master Barang'!A65)</f>
        <v>0</v>
      </c>
      <c r="O4071">
        <f>IF(N4071="","",'Master Barang'!B65)</f>
        <v>0</v>
      </c>
      <c r="P4071">
        <f>IF(OR(M4071="",N4071=""),"",SUMIFS('Barang Keluar'!$E:$E,'Barang Keluar'!$A:$A,M4071,'Barang Keluar'!$C:$C,N4071))</f>
        <v>0</v>
      </c>
    </row>
    <row r="4072" spans="13:16">
      <c r="M4072" s="49">
        <f>IF($A$4+40&gt;$B$4,"",$A$4+40)</f>
        <v>46063</v>
      </c>
      <c r="N4072">
        <f>IF(M4072="","",'Master Barang'!A66)</f>
        <v>0</v>
      </c>
      <c r="O4072">
        <f>IF(N4072="","",'Master Barang'!B66)</f>
        <v>0</v>
      </c>
      <c r="P4072">
        <f>IF(OR(M4072="",N4072=""),"",SUMIFS('Barang Keluar'!$E:$E,'Barang Keluar'!$A:$A,M4072,'Barang Keluar'!$C:$C,N4072))</f>
        <v>0</v>
      </c>
    </row>
    <row r="4073" spans="13:16">
      <c r="M4073" s="49">
        <f>IF($A$4+40&gt;$B$4,"",$A$4+40)</f>
        <v>46063</v>
      </c>
      <c r="N4073">
        <f>IF(M4073="","",'Master Barang'!A67)</f>
        <v>0</v>
      </c>
      <c r="O4073">
        <f>IF(N4073="","",'Master Barang'!B67)</f>
        <v>0</v>
      </c>
      <c r="P4073">
        <f>IF(OR(M4073="",N4073=""),"",SUMIFS('Barang Keluar'!$E:$E,'Barang Keluar'!$A:$A,M4073,'Barang Keluar'!$C:$C,N4073))</f>
        <v>0</v>
      </c>
    </row>
    <row r="4074" spans="13:16">
      <c r="M4074" s="49">
        <f>IF($A$4+40&gt;$B$4,"",$A$4+40)</f>
        <v>46063</v>
      </c>
      <c r="N4074">
        <f>IF(M4074="","",'Master Barang'!A68)</f>
        <v>0</v>
      </c>
      <c r="O4074">
        <f>IF(N4074="","",'Master Barang'!B68)</f>
        <v>0</v>
      </c>
      <c r="P4074">
        <f>IF(OR(M4074="",N4074=""),"",SUMIFS('Barang Keluar'!$E:$E,'Barang Keluar'!$A:$A,M4074,'Barang Keluar'!$C:$C,N4074))</f>
        <v>0</v>
      </c>
    </row>
    <row r="4075" spans="13:16">
      <c r="M4075" s="49">
        <f>IF($A$4+40&gt;$B$4,"",$A$4+40)</f>
        <v>46063</v>
      </c>
      <c r="N4075">
        <f>IF(M4075="","",'Master Barang'!A69)</f>
        <v>0</v>
      </c>
      <c r="O4075">
        <f>IF(N4075="","",'Master Barang'!B69)</f>
        <v>0</v>
      </c>
      <c r="P4075">
        <f>IF(OR(M4075="",N4075=""),"",SUMIFS('Barang Keluar'!$E:$E,'Barang Keluar'!$A:$A,M4075,'Barang Keluar'!$C:$C,N4075))</f>
        <v>0</v>
      </c>
    </row>
    <row r="4076" spans="13:16">
      <c r="M4076" s="49">
        <f>IF($A$4+40&gt;$B$4,"",$A$4+40)</f>
        <v>46063</v>
      </c>
      <c r="N4076">
        <f>IF(M4076="","",'Master Barang'!A70)</f>
        <v>0</v>
      </c>
      <c r="O4076">
        <f>IF(N4076="","",'Master Barang'!B70)</f>
        <v>0</v>
      </c>
      <c r="P4076">
        <f>IF(OR(M4076="",N4076=""),"",SUMIFS('Barang Keluar'!$E:$E,'Barang Keluar'!$A:$A,M4076,'Barang Keluar'!$C:$C,N4076))</f>
        <v>0</v>
      </c>
    </row>
    <row r="4077" spans="13:16">
      <c r="M4077" s="49">
        <f>IF($A$4+40&gt;$B$4,"",$A$4+40)</f>
        <v>46063</v>
      </c>
      <c r="N4077">
        <f>IF(M4077="","",'Master Barang'!A71)</f>
        <v>0</v>
      </c>
      <c r="O4077">
        <f>IF(N4077="","",'Master Barang'!B71)</f>
        <v>0</v>
      </c>
      <c r="P4077">
        <f>IF(OR(M4077="",N4077=""),"",SUMIFS('Barang Keluar'!$E:$E,'Barang Keluar'!$A:$A,M4077,'Barang Keluar'!$C:$C,N4077))</f>
        <v>0</v>
      </c>
    </row>
    <row r="4078" spans="13:16">
      <c r="M4078" s="49">
        <f>IF($A$4+40&gt;$B$4,"",$A$4+40)</f>
        <v>46063</v>
      </c>
      <c r="N4078">
        <f>IF(M4078="","",'Master Barang'!A72)</f>
        <v>0</v>
      </c>
      <c r="O4078">
        <f>IF(N4078="","",'Master Barang'!B72)</f>
        <v>0</v>
      </c>
      <c r="P4078">
        <f>IF(OR(M4078="",N4078=""),"",SUMIFS('Barang Keluar'!$E:$E,'Barang Keluar'!$A:$A,M4078,'Barang Keluar'!$C:$C,N4078))</f>
        <v>0</v>
      </c>
    </row>
    <row r="4079" spans="13:16">
      <c r="M4079" s="49">
        <f>IF($A$4+40&gt;$B$4,"",$A$4+40)</f>
        <v>46063</v>
      </c>
      <c r="N4079">
        <f>IF(M4079="","",'Master Barang'!A73)</f>
        <v>0</v>
      </c>
      <c r="O4079">
        <f>IF(N4079="","",'Master Barang'!B73)</f>
        <v>0</v>
      </c>
      <c r="P4079">
        <f>IF(OR(M4079="",N4079=""),"",SUMIFS('Barang Keluar'!$E:$E,'Barang Keluar'!$A:$A,M4079,'Barang Keluar'!$C:$C,N4079))</f>
        <v>0</v>
      </c>
    </row>
    <row r="4080" spans="13:16">
      <c r="M4080" s="49">
        <f>IF($A$4+40&gt;$B$4,"",$A$4+40)</f>
        <v>46063</v>
      </c>
      <c r="N4080">
        <f>IF(M4080="","",'Master Barang'!A74)</f>
        <v>0</v>
      </c>
      <c r="O4080">
        <f>IF(N4080="","",'Master Barang'!B74)</f>
        <v>0</v>
      </c>
      <c r="P4080">
        <f>IF(OR(M4080="",N4080=""),"",SUMIFS('Barang Keluar'!$E:$E,'Barang Keluar'!$A:$A,M4080,'Barang Keluar'!$C:$C,N4080))</f>
        <v>0</v>
      </c>
    </row>
    <row r="4081" spans="13:16">
      <c r="M4081" s="49">
        <f>IF($A$4+40&gt;$B$4,"",$A$4+40)</f>
        <v>46063</v>
      </c>
      <c r="N4081">
        <f>IF(M4081="","",'Master Barang'!A75)</f>
        <v>0</v>
      </c>
      <c r="O4081">
        <f>IF(N4081="","",'Master Barang'!B75)</f>
        <v>0</v>
      </c>
      <c r="P4081">
        <f>IF(OR(M4081="",N4081=""),"",SUMIFS('Barang Keluar'!$E:$E,'Barang Keluar'!$A:$A,M4081,'Barang Keluar'!$C:$C,N4081))</f>
        <v>0</v>
      </c>
    </row>
    <row r="4082" spans="13:16">
      <c r="M4082" s="49">
        <f>IF($A$4+40&gt;$B$4,"",$A$4+40)</f>
        <v>46063</v>
      </c>
      <c r="N4082">
        <f>IF(M4082="","",'Master Barang'!A76)</f>
        <v>0</v>
      </c>
      <c r="O4082">
        <f>IF(N4082="","",'Master Barang'!B76)</f>
        <v>0</v>
      </c>
      <c r="P4082">
        <f>IF(OR(M4082="",N4082=""),"",SUMIFS('Barang Keluar'!$E:$E,'Barang Keluar'!$A:$A,M4082,'Barang Keluar'!$C:$C,N4082))</f>
        <v>0</v>
      </c>
    </row>
    <row r="4083" spans="13:16">
      <c r="M4083" s="49">
        <f>IF($A$4+40&gt;$B$4,"",$A$4+40)</f>
        <v>46063</v>
      </c>
      <c r="N4083">
        <f>IF(M4083="","",'Master Barang'!A77)</f>
        <v>0</v>
      </c>
      <c r="O4083">
        <f>IF(N4083="","",'Master Barang'!B77)</f>
        <v>0</v>
      </c>
      <c r="P4083">
        <f>IF(OR(M4083="",N4083=""),"",SUMIFS('Barang Keluar'!$E:$E,'Barang Keluar'!$A:$A,M4083,'Barang Keluar'!$C:$C,N4083))</f>
        <v>0</v>
      </c>
    </row>
    <row r="4084" spans="13:16">
      <c r="M4084" s="49">
        <f>IF($A$4+40&gt;$B$4,"",$A$4+40)</f>
        <v>46063</v>
      </c>
      <c r="N4084">
        <f>IF(M4084="","",'Master Barang'!A78)</f>
        <v>0</v>
      </c>
      <c r="O4084">
        <f>IF(N4084="","",'Master Barang'!B78)</f>
        <v>0</v>
      </c>
      <c r="P4084">
        <f>IF(OR(M4084="",N4084=""),"",SUMIFS('Barang Keluar'!$E:$E,'Barang Keluar'!$A:$A,M4084,'Barang Keluar'!$C:$C,N4084))</f>
        <v>0</v>
      </c>
    </row>
    <row r="4085" spans="13:16">
      <c r="M4085" s="49">
        <f>IF($A$4+40&gt;$B$4,"",$A$4+40)</f>
        <v>46063</v>
      </c>
      <c r="N4085">
        <f>IF(M4085="","",'Master Barang'!A79)</f>
        <v>0</v>
      </c>
      <c r="O4085">
        <f>IF(N4085="","",'Master Barang'!B79)</f>
        <v>0</v>
      </c>
      <c r="P4085">
        <f>IF(OR(M4085="",N4085=""),"",SUMIFS('Barang Keluar'!$E:$E,'Barang Keluar'!$A:$A,M4085,'Barang Keluar'!$C:$C,N4085))</f>
        <v>0</v>
      </c>
    </row>
    <row r="4086" spans="13:16">
      <c r="M4086" s="49">
        <f>IF($A$4+40&gt;$B$4,"",$A$4+40)</f>
        <v>46063</v>
      </c>
      <c r="N4086">
        <f>IF(M4086="","",'Master Barang'!A80)</f>
        <v>0</v>
      </c>
      <c r="O4086">
        <f>IF(N4086="","",'Master Barang'!B80)</f>
        <v>0</v>
      </c>
      <c r="P4086">
        <f>IF(OR(M4086="",N4086=""),"",SUMIFS('Barang Keluar'!$E:$E,'Barang Keluar'!$A:$A,M4086,'Barang Keluar'!$C:$C,N4086))</f>
        <v>0</v>
      </c>
    </row>
    <row r="4087" spans="13:16">
      <c r="M4087" s="49">
        <f>IF($A$4+40&gt;$B$4,"",$A$4+40)</f>
        <v>46063</v>
      </c>
      <c r="N4087">
        <f>IF(M4087="","",'Master Barang'!A81)</f>
        <v>0</v>
      </c>
      <c r="O4087">
        <f>IF(N4087="","",'Master Barang'!B81)</f>
        <v>0</v>
      </c>
      <c r="P4087">
        <f>IF(OR(M4087="",N4087=""),"",SUMIFS('Barang Keluar'!$E:$E,'Barang Keluar'!$A:$A,M4087,'Barang Keluar'!$C:$C,N4087))</f>
        <v>0</v>
      </c>
    </row>
    <row r="4088" spans="13:16">
      <c r="M4088" s="49">
        <f>IF($A$4+40&gt;$B$4,"",$A$4+40)</f>
        <v>46063</v>
      </c>
      <c r="N4088">
        <f>IF(M4088="","",'Master Barang'!A82)</f>
        <v>0</v>
      </c>
      <c r="O4088">
        <f>IF(N4088="","",'Master Barang'!B82)</f>
        <v>0</v>
      </c>
      <c r="P4088">
        <f>IF(OR(M4088="",N4088=""),"",SUMIFS('Barang Keluar'!$E:$E,'Barang Keluar'!$A:$A,M4088,'Barang Keluar'!$C:$C,N4088))</f>
        <v>0</v>
      </c>
    </row>
    <row r="4089" spans="13:16">
      <c r="M4089" s="49">
        <f>IF($A$4+40&gt;$B$4,"",$A$4+40)</f>
        <v>46063</v>
      </c>
      <c r="N4089">
        <f>IF(M4089="","",'Master Barang'!A83)</f>
        <v>0</v>
      </c>
      <c r="O4089">
        <f>IF(N4089="","",'Master Barang'!B83)</f>
        <v>0</v>
      </c>
      <c r="P4089">
        <f>IF(OR(M4089="",N4089=""),"",SUMIFS('Barang Keluar'!$E:$E,'Barang Keluar'!$A:$A,M4089,'Barang Keluar'!$C:$C,N4089))</f>
        <v>0</v>
      </c>
    </row>
    <row r="4090" spans="13:16">
      <c r="M4090" s="49">
        <f>IF($A$4+40&gt;$B$4,"",$A$4+40)</f>
        <v>46063</v>
      </c>
      <c r="N4090">
        <f>IF(M4090="","",'Master Barang'!A84)</f>
        <v>0</v>
      </c>
      <c r="O4090">
        <f>IF(N4090="","",'Master Barang'!B84)</f>
        <v>0</v>
      </c>
      <c r="P4090">
        <f>IF(OR(M4090="",N4090=""),"",SUMIFS('Barang Keluar'!$E:$E,'Barang Keluar'!$A:$A,M4090,'Barang Keluar'!$C:$C,N4090))</f>
        <v>0</v>
      </c>
    </row>
    <row r="4091" spans="13:16">
      <c r="M4091" s="49">
        <f>IF($A$4+40&gt;$B$4,"",$A$4+40)</f>
        <v>46063</v>
      </c>
      <c r="N4091">
        <f>IF(M4091="","",'Master Barang'!A85)</f>
        <v>0</v>
      </c>
      <c r="O4091">
        <f>IF(N4091="","",'Master Barang'!B85)</f>
        <v>0</v>
      </c>
      <c r="P4091">
        <f>IF(OR(M4091="",N4091=""),"",SUMIFS('Barang Keluar'!$E:$E,'Barang Keluar'!$A:$A,M4091,'Barang Keluar'!$C:$C,N4091))</f>
        <v>0</v>
      </c>
    </row>
    <row r="4092" spans="13:16">
      <c r="M4092" s="49">
        <f>IF($A$4+40&gt;$B$4,"",$A$4+40)</f>
        <v>46063</v>
      </c>
      <c r="N4092">
        <f>IF(M4092="","",'Master Barang'!A86)</f>
        <v>0</v>
      </c>
      <c r="O4092">
        <f>IF(N4092="","",'Master Barang'!B86)</f>
        <v>0</v>
      </c>
      <c r="P4092">
        <f>IF(OR(M4092="",N4092=""),"",SUMIFS('Barang Keluar'!$E:$E,'Barang Keluar'!$A:$A,M4092,'Barang Keluar'!$C:$C,N4092))</f>
        <v>0</v>
      </c>
    </row>
    <row r="4093" spans="13:16">
      <c r="M4093" s="49">
        <f>IF($A$4+40&gt;$B$4,"",$A$4+40)</f>
        <v>46063</v>
      </c>
      <c r="N4093">
        <f>IF(M4093="","",'Master Barang'!A87)</f>
        <v>0</v>
      </c>
      <c r="O4093">
        <f>IF(N4093="","",'Master Barang'!B87)</f>
        <v>0</v>
      </c>
      <c r="P4093">
        <f>IF(OR(M4093="",N4093=""),"",SUMIFS('Barang Keluar'!$E:$E,'Barang Keluar'!$A:$A,M4093,'Barang Keluar'!$C:$C,N4093))</f>
        <v>0</v>
      </c>
    </row>
    <row r="4094" spans="13:16">
      <c r="M4094" s="49">
        <f>IF($A$4+40&gt;$B$4,"",$A$4+40)</f>
        <v>46063</v>
      </c>
      <c r="N4094">
        <f>IF(M4094="","",'Master Barang'!A88)</f>
        <v>0</v>
      </c>
      <c r="O4094">
        <f>IF(N4094="","",'Master Barang'!B88)</f>
        <v>0</v>
      </c>
      <c r="P4094">
        <f>IF(OR(M4094="",N4094=""),"",SUMIFS('Barang Keluar'!$E:$E,'Barang Keluar'!$A:$A,M4094,'Barang Keluar'!$C:$C,N4094))</f>
        <v>0</v>
      </c>
    </row>
    <row r="4095" spans="13:16">
      <c r="M4095" s="49">
        <f>IF($A$4+40&gt;$B$4,"",$A$4+40)</f>
        <v>46063</v>
      </c>
      <c r="N4095">
        <f>IF(M4095="","",'Master Barang'!A89)</f>
        <v>0</v>
      </c>
      <c r="O4095">
        <f>IF(N4095="","",'Master Barang'!B89)</f>
        <v>0</v>
      </c>
      <c r="P4095">
        <f>IF(OR(M4095="",N4095=""),"",SUMIFS('Barang Keluar'!$E:$E,'Barang Keluar'!$A:$A,M4095,'Barang Keluar'!$C:$C,N4095))</f>
        <v>0</v>
      </c>
    </row>
    <row r="4096" spans="13:16">
      <c r="M4096" s="49">
        <f>IF($A$4+40&gt;$B$4,"",$A$4+40)</f>
        <v>46063</v>
      </c>
      <c r="N4096">
        <f>IF(M4096="","",'Master Barang'!A90)</f>
        <v>0</v>
      </c>
      <c r="O4096">
        <f>IF(N4096="","",'Master Barang'!B90)</f>
        <v>0</v>
      </c>
      <c r="P4096">
        <f>IF(OR(M4096="",N4096=""),"",SUMIFS('Barang Keluar'!$E:$E,'Barang Keluar'!$A:$A,M4096,'Barang Keluar'!$C:$C,N4096))</f>
        <v>0</v>
      </c>
    </row>
    <row r="4097" spans="13:16">
      <c r="M4097" s="49">
        <f>IF($A$4+40&gt;$B$4,"",$A$4+40)</f>
        <v>46063</v>
      </c>
      <c r="N4097">
        <f>IF(M4097="","",'Master Barang'!A91)</f>
        <v>0</v>
      </c>
      <c r="O4097">
        <f>IF(N4097="","",'Master Barang'!B91)</f>
        <v>0</v>
      </c>
      <c r="P4097">
        <f>IF(OR(M4097="",N4097=""),"",SUMIFS('Barang Keluar'!$E:$E,'Barang Keluar'!$A:$A,M4097,'Barang Keluar'!$C:$C,N4097))</f>
        <v>0</v>
      </c>
    </row>
    <row r="4098" spans="13:16">
      <c r="M4098" s="49">
        <f>IF($A$4+40&gt;$B$4,"",$A$4+40)</f>
        <v>46063</v>
      </c>
      <c r="N4098">
        <f>IF(M4098="","",'Master Barang'!A92)</f>
        <v>0</v>
      </c>
      <c r="O4098">
        <f>IF(N4098="","",'Master Barang'!B92)</f>
        <v>0</v>
      </c>
      <c r="P4098">
        <f>IF(OR(M4098="",N4098=""),"",SUMIFS('Barang Keluar'!$E:$E,'Barang Keluar'!$A:$A,M4098,'Barang Keluar'!$C:$C,N4098))</f>
        <v>0</v>
      </c>
    </row>
    <row r="4099" spans="13:16">
      <c r="M4099" s="49">
        <f>IF($A$4+40&gt;$B$4,"",$A$4+40)</f>
        <v>46063</v>
      </c>
      <c r="N4099">
        <f>IF(M4099="","",'Master Barang'!A93)</f>
        <v>0</v>
      </c>
      <c r="O4099">
        <f>IF(N4099="","",'Master Barang'!B93)</f>
        <v>0</v>
      </c>
      <c r="P4099">
        <f>IF(OR(M4099="",N4099=""),"",SUMIFS('Barang Keluar'!$E:$E,'Barang Keluar'!$A:$A,M4099,'Barang Keluar'!$C:$C,N4099))</f>
        <v>0</v>
      </c>
    </row>
    <row r="4100" spans="13:16">
      <c r="M4100" s="49">
        <f>IF($A$4+40&gt;$B$4,"",$A$4+40)</f>
        <v>46063</v>
      </c>
      <c r="N4100">
        <f>IF(M4100="","",'Master Barang'!A94)</f>
        <v>0</v>
      </c>
      <c r="O4100">
        <f>IF(N4100="","",'Master Barang'!B94)</f>
        <v>0</v>
      </c>
      <c r="P4100">
        <f>IF(OR(M4100="",N4100=""),"",SUMIFS('Barang Keluar'!$E:$E,'Barang Keluar'!$A:$A,M4100,'Barang Keluar'!$C:$C,N4100))</f>
        <v>0</v>
      </c>
    </row>
    <row r="4101" spans="13:16">
      <c r="M4101" s="49">
        <f>IF($A$4+40&gt;$B$4,"",$A$4+40)</f>
        <v>46063</v>
      </c>
      <c r="N4101">
        <f>IF(M4101="","",'Master Barang'!A95)</f>
        <v>0</v>
      </c>
      <c r="O4101">
        <f>IF(N4101="","",'Master Barang'!B95)</f>
        <v>0</v>
      </c>
      <c r="P4101">
        <f>IF(OR(M4101="",N4101=""),"",SUMIFS('Barang Keluar'!$E:$E,'Barang Keluar'!$A:$A,M4101,'Barang Keluar'!$C:$C,N4101))</f>
        <v>0</v>
      </c>
    </row>
    <row r="4102" spans="13:16">
      <c r="M4102" s="49">
        <f>IF($A$4+40&gt;$B$4,"",$A$4+40)</f>
        <v>46063</v>
      </c>
      <c r="N4102">
        <f>IF(M4102="","",'Master Barang'!A96)</f>
        <v>0</v>
      </c>
      <c r="O4102">
        <f>IF(N4102="","",'Master Barang'!B96)</f>
        <v>0</v>
      </c>
      <c r="P4102">
        <f>IF(OR(M4102="",N4102=""),"",SUMIFS('Barang Keluar'!$E:$E,'Barang Keluar'!$A:$A,M4102,'Barang Keluar'!$C:$C,N4102))</f>
        <v>0</v>
      </c>
    </row>
    <row r="4103" spans="13:16">
      <c r="M4103" s="49">
        <f>IF($A$4+40&gt;$B$4,"",$A$4+40)</f>
        <v>46063</v>
      </c>
      <c r="N4103">
        <f>IF(M4103="","",'Master Barang'!A97)</f>
        <v>0</v>
      </c>
      <c r="O4103">
        <f>IF(N4103="","",'Master Barang'!B97)</f>
        <v>0</v>
      </c>
      <c r="P4103">
        <f>IF(OR(M4103="",N4103=""),"",SUMIFS('Barang Keluar'!$E:$E,'Barang Keluar'!$A:$A,M4103,'Barang Keluar'!$C:$C,N4103))</f>
        <v>0</v>
      </c>
    </row>
    <row r="4104" spans="13:16">
      <c r="M4104" s="49">
        <f>IF($A$4+40&gt;$B$4,"",$A$4+40)</f>
        <v>46063</v>
      </c>
      <c r="N4104">
        <f>IF(M4104="","",'Master Barang'!A98)</f>
        <v>0</v>
      </c>
      <c r="O4104">
        <f>IF(N4104="","",'Master Barang'!B98)</f>
        <v>0</v>
      </c>
      <c r="P4104">
        <f>IF(OR(M4104="",N4104=""),"",SUMIFS('Barang Keluar'!$E:$E,'Barang Keluar'!$A:$A,M4104,'Barang Keluar'!$C:$C,N4104))</f>
        <v>0</v>
      </c>
    </row>
    <row r="4105" spans="13:16">
      <c r="M4105" s="49">
        <f>IF($A$4+40&gt;$B$4,"",$A$4+40)</f>
        <v>46063</v>
      </c>
      <c r="N4105">
        <f>IF(M4105="","",'Master Barang'!A99)</f>
        <v>0</v>
      </c>
      <c r="O4105">
        <f>IF(N4105="","",'Master Barang'!B99)</f>
        <v>0</v>
      </c>
      <c r="P4105">
        <f>IF(OR(M4105="",N4105=""),"",SUMIFS('Barang Keluar'!$E:$E,'Barang Keluar'!$A:$A,M4105,'Barang Keluar'!$C:$C,N4105))</f>
        <v>0</v>
      </c>
    </row>
    <row r="4106" spans="13:16">
      <c r="M4106" s="49">
        <f>IF($A$4+40&gt;$B$4,"",$A$4+40)</f>
        <v>46063</v>
      </c>
      <c r="N4106">
        <f>IF(M4106="","",'Master Barang'!A100)</f>
        <v>0</v>
      </c>
      <c r="O4106">
        <f>IF(N4106="","",'Master Barang'!B100)</f>
        <v>0</v>
      </c>
      <c r="P4106">
        <f>IF(OR(M4106="",N4106=""),"",SUMIFS('Barang Keluar'!$E:$E,'Barang Keluar'!$A:$A,M4106,'Barang Keluar'!$C:$C,N4106))</f>
        <v>0</v>
      </c>
    </row>
    <row r="4107" spans="13:16">
      <c r="M4107" s="49">
        <f>IF($A$4+40&gt;$B$4,"",$A$4+40)</f>
        <v>46063</v>
      </c>
      <c r="N4107">
        <f>IF(M4107="","",'Master Barang'!A101)</f>
        <v>0</v>
      </c>
      <c r="O4107">
        <f>IF(N4107="","",'Master Barang'!B101)</f>
        <v>0</v>
      </c>
      <c r="P4107">
        <f>IF(OR(M4107="",N4107=""),"",SUMIFS('Barang Keluar'!$E:$E,'Barang Keluar'!$A:$A,M4107,'Barang Keluar'!$C:$C,N4107))</f>
        <v>0</v>
      </c>
    </row>
    <row r="4108" spans="13:16">
      <c r="M4108" s="49">
        <f>IF($A$4+41&gt;$B$4,"",$A$4+41)</f>
        <v>46064</v>
      </c>
      <c r="N4108" t="str">
        <f>IF(M4108="","",'Master Barang'!A2)</f>
        <v>PRL-001</v>
      </c>
      <c r="O4108" t="str">
        <f>IF(N4108="","",'Master Barang'!B2)</f>
        <v>natura desinfectant food grade 5l</v>
      </c>
      <c r="P4108">
        <f>IF(OR(M4108="",N4108=""),"",SUMIFS('Barang Keluar'!$E:$E,'Barang Keluar'!$A:$A,M4108,'Barang Keluar'!$C:$C,N4108))</f>
        <v>0</v>
      </c>
    </row>
    <row r="4109" spans="13:16">
      <c r="M4109" s="49">
        <f>IF($A$4+41&gt;$B$4,"",$A$4+41)</f>
        <v>46064</v>
      </c>
      <c r="N4109" t="str">
        <f>IF(M4109="","",'Master Barang'!A3)</f>
        <v>PRL-002</v>
      </c>
      <c r="O4109" t="str">
        <f>IF(N4109="","",'Master Barang'!B3)</f>
        <v>sunlight cairan pencuci piring 5l</v>
      </c>
      <c r="P4109">
        <f>IF(OR(M4109="",N4109=""),"",SUMIFS('Barang Keluar'!$E:$E,'Barang Keluar'!$A:$A,M4109,'Barang Keluar'!$C:$C,N4109))</f>
        <v>0</v>
      </c>
    </row>
    <row r="4110" spans="13:16">
      <c r="M4110" s="49">
        <f>IF($A$4+41&gt;$B$4,"",$A$4+41)</f>
        <v>46064</v>
      </c>
      <c r="N4110" t="str">
        <f>IF(M4110="","",'Master Barang'!A4)</f>
        <v>PRL-003</v>
      </c>
      <c r="O4110" t="str">
        <f>IF(N4110="","",'Master Barang'!B4)</f>
        <v>oixs cleaner 1l</v>
      </c>
      <c r="P4110">
        <f>IF(OR(M4110="",N4110=""),"",SUMIFS('Barang Keluar'!$E:$E,'Barang Keluar'!$A:$A,M4110,'Barang Keluar'!$C:$C,N4110))</f>
        <v>0</v>
      </c>
    </row>
    <row r="4111" spans="13:16">
      <c r="M4111" s="49">
        <f>IF($A$4+41&gt;$B$4,"",$A$4+41)</f>
        <v>46064</v>
      </c>
      <c r="N4111" t="str">
        <f>IF(M4111="","",'Master Barang'!A5)</f>
        <v>PRL-004</v>
      </c>
      <c r="O4111" t="str">
        <f>IF(N4111="","",'Master Barang'!B5)</f>
        <v>be clean tissue serbaguna</v>
      </c>
      <c r="P4111">
        <f>IF(OR(M4111="",N4111=""),"",SUMIFS('Barang Keluar'!$E:$E,'Barang Keluar'!$A:$A,M4111,'Barang Keluar'!$C:$C,N4111))</f>
        <v>0</v>
      </c>
    </row>
    <row r="4112" spans="13:16">
      <c r="M4112" s="49">
        <f>IF($A$4+41&gt;$B$4,"",$A$4+41)</f>
        <v>46064</v>
      </c>
      <c r="N4112" t="str">
        <f>IF(M4112="","",'Master Barang'!A6)</f>
        <v>PRL-005</v>
      </c>
      <c r="O4112" t="str">
        <f>IF(N4112="","",'Master Barang'!B6)</f>
        <v>spons cuci hijau</v>
      </c>
      <c r="P4112">
        <f>IF(OR(M4112="",N4112=""),"",SUMIFS('Barang Keluar'!$E:$E,'Barang Keluar'!$A:$A,M4112,'Barang Keluar'!$C:$C,N4112))</f>
        <v>0</v>
      </c>
    </row>
    <row r="4113" spans="13:16">
      <c r="M4113" s="49">
        <f>IF($A$4+41&gt;$B$4,"",$A$4+41)</f>
        <v>46064</v>
      </c>
      <c r="N4113" t="str">
        <f>IF(M4113="","",'Master Barang'!A7)</f>
        <v>PRL-006</v>
      </c>
      <c r="O4113" t="str">
        <f>IF(N4113="","",'Master Barang'!B7)</f>
        <v>sabut cuci stainless</v>
      </c>
      <c r="P4113">
        <f>IF(OR(M4113="",N4113=""),"",SUMIFS('Barang Keluar'!$E:$E,'Barang Keluar'!$A:$A,M4113,'Barang Keluar'!$C:$C,N4113))</f>
        <v>0</v>
      </c>
    </row>
    <row r="4114" spans="13:16">
      <c r="M4114" s="49">
        <f>IF($A$4+41&gt;$B$4,"",$A$4+41)</f>
        <v>46064</v>
      </c>
      <c r="N4114" t="str">
        <f>IF(M4114="","",'Master Barang'!A8)</f>
        <v>PRL-007</v>
      </c>
      <c r="O4114" t="str">
        <f>IF(N4114="","",'Master Barang'!B8)</f>
        <v>plastik kresek besar merah 50pc</v>
      </c>
      <c r="P4114">
        <f>IF(OR(M4114="",N4114=""),"",SUMIFS('Barang Keluar'!$E:$E,'Barang Keluar'!$A:$A,M4114,'Barang Keluar'!$C:$C,N4114))</f>
        <v>0</v>
      </c>
    </row>
    <row r="4115" spans="13:16">
      <c r="M4115" s="49">
        <f>IF($A$4+41&gt;$B$4,"",$A$4+41)</f>
        <v>46064</v>
      </c>
      <c r="N4115" t="str">
        <f>IF(M4115="","",'Master Barang'!A9)</f>
        <v>PRL-008</v>
      </c>
      <c r="O4115" t="str">
        <f>IF(N4115="","",'Master Barang'!B9)</f>
        <v>lap besar</v>
      </c>
      <c r="P4115">
        <f>IF(OR(M4115="",N4115=""),"",SUMIFS('Barang Keluar'!$E:$E,'Barang Keluar'!$A:$A,M4115,'Barang Keluar'!$C:$C,N4115))</f>
        <v>0</v>
      </c>
    </row>
    <row r="4116" spans="13:16">
      <c r="M4116" s="49">
        <f>IF($A$4+41&gt;$B$4,"",$A$4+41)</f>
        <v>46064</v>
      </c>
      <c r="N4116" t="str">
        <f>IF(M4116="","",'Master Barang'!A10)</f>
        <v>PRL-009</v>
      </c>
      <c r="O4116" t="str">
        <f>IF(N4116="","",'Master Barang'!B10)</f>
        <v>lap microfiber</v>
      </c>
      <c r="P4116">
        <f>IF(OR(M4116="",N4116=""),"",SUMIFS('Barang Keluar'!$E:$E,'Barang Keluar'!$A:$A,M4116,'Barang Keluar'!$C:$C,N4116))</f>
        <v>0</v>
      </c>
    </row>
    <row r="4117" spans="13:16">
      <c r="M4117" s="49">
        <f>IF($A$4+41&gt;$B$4,"",$A$4+41)</f>
        <v>46064</v>
      </c>
      <c r="N4117" t="str">
        <f>IF(M4117="","",'Master Barang'!A11)</f>
        <v>PRL-010</v>
      </c>
      <c r="O4117" t="str">
        <f>IF(N4117="","",'Master Barang'!B11)</f>
        <v>lap kecil</v>
      </c>
      <c r="P4117">
        <f>IF(OR(M4117="",N4117=""),"",SUMIFS('Barang Keluar'!$E:$E,'Barang Keluar'!$A:$A,M4117,'Barang Keluar'!$C:$C,N4117))</f>
        <v>0</v>
      </c>
    </row>
    <row r="4118" spans="13:16">
      <c r="M4118" s="49">
        <f>IF($A$4+41&gt;$B$4,"",$A$4+41)</f>
        <v>46064</v>
      </c>
      <c r="N4118" t="str">
        <f>IF(M4118="","",'Master Barang'!A12)</f>
        <v>PRL-011</v>
      </c>
      <c r="O4118" t="str">
        <f>IF(N4118="","",'Master Barang'!B12)</f>
        <v>kanebo kecil</v>
      </c>
      <c r="P4118">
        <f>IF(OR(M4118="",N4118=""),"",SUMIFS('Barang Keluar'!$E:$E,'Barang Keluar'!$A:$A,M4118,'Barang Keluar'!$C:$C,N4118))</f>
        <v>0</v>
      </c>
    </row>
    <row r="4119" spans="13:16">
      <c r="M4119" s="49">
        <f>IF($A$4+41&gt;$B$4,"",$A$4+41)</f>
        <v>46064</v>
      </c>
      <c r="N4119" t="str">
        <f>IF(M4119="","",'Master Barang'!A13)</f>
        <v>PRL-012</v>
      </c>
      <c r="O4119" t="str">
        <f>IF(N4119="","",'Master Barang'!B13)</f>
        <v>plastik 1/4kg joyoboyo 100 lembar</v>
      </c>
      <c r="P4119">
        <f>IF(OR(M4119="",N4119=""),"",SUMIFS('Barang Keluar'!$E:$E,'Barang Keluar'!$A:$A,M4119,'Barang Keluar'!$C:$C,N4119))</f>
        <v>0</v>
      </c>
    </row>
    <row r="4120" spans="13:16">
      <c r="M4120" s="49">
        <f>IF($A$4+41&gt;$B$4,"",$A$4+41)</f>
        <v>46064</v>
      </c>
      <c r="N4120" t="str">
        <f>IF(M4120="","",'Master Barang'!A14)</f>
        <v>PRL-013</v>
      </c>
      <c r="O4120" t="str">
        <f>IF(N4120="","",'Master Barang'!B14)</f>
        <v>sarung tangan plastik kaka 100 pcs</v>
      </c>
      <c r="P4120">
        <f>IF(OR(M4120="",N4120=""),"",SUMIFS('Barang Keluar'!$E:$E,'Barang Keluar'!$A:$A,M4120,'Barang Keluar'!$C:$C,N4120))</f>
        <v>0</v>
      </c>
    </row>
    <row r="4121" spans="13:16">
      <c r="M4121" s="49">
        <f>IF($A$4+41&gt;$B$4,"",$A$4+41)</f>
        <v>46064</v>
      </c>
      <c r="N4121" t="str">
        <f>IF(M4121="","",'Master Barang'!A15)</f>
        <v>PRL-014</v>
      </c>
      <c r="O4121" t="str">
        <f>IF(N4121="","",'Master Barang'!B15)</f>
        <v>optima trashbag 80x100</v>
      </c>
      <c r="P4121">
        <f>IF(OR(M4121="",N4121=""),"",SUMIFS('Barang Keluar'!$E:$E,'Barang Keluar'!$A:$A,M4121,'Barang Keluar'!$C:$C,N4121))</f>
        <v>0</v>
      </c>
    </row>
    <row r="4122" spans="13:16">
      <c r="M4122" s="49">
        <f>IF($A$4+41&gt;$B$4,"",$A$4+41)</f>
        <v>46064</v>
      </c>
      <c r="N4122" t="str">
        <f>IF(M4122="","",'Master Barang'!A16)</f>
        <v>PRL-015</v>
      </c>
      <c r="O4122" t="str">
        <f>IF(N4122="","",'Master Barang'!B16)</f>
        <v>optima trashbag 60x100</v>
      </c>
      <c r="P4122">
        <f>IF(OR(M4122="",N4122=""),"",SUMIFS('Barang Keluar'!$E:$E,'Barang Keluar'!$A:$A,M4122,'Barang Keluar'!$C:$C,N4122))</f>
        <v>0</v>
      </c>
    </row>
    <row r="4123" spans="13:16">
      <c r="M4123" s="49">
        <f>IF($A$4+41&gt;$B$4,"",$A$4+41)</f>
        <v>46064</v>
      </c>
      <c r="N4123" t="str">
        <f>IF(M4123="","",'Master Barang'!A17)</f>
        <v>PRL-016</v>
      </c>
      <c r="O4123" t="str">
        <f>IF(N4123="","",'Master Barang'!B17)</f>
        <v>rajawali trashbag 30x40</v>
      </c>
      <c r="P4123">
        <f>IF(OR(M4123="",N4123=""),"",SUMIFS('Barang Keluar'!$E:$E,'Barang Keluar'!$A:$A,M4123,'Barang Keluar'!$C:$C,N4123))</f>
        <v>0</v>
      </c>
    </row>
    <row r="4124" spans="13:16">
      <c r="M4124" s="49">
        <f>IF($A$4+41&gt;$B$4,"",$A$4+41)</f>
        <v>46064</v>
      </c>
      <c r="N4124" t="str">
        <f>IF(M4124="","",'Master Barang'!A18)</f>
        <v>PRL-017</v>
      </c>
      <c r="O4124" t="str">
        <f>IF(N4124="","",'Master Barang'!B18)</f>
        <v>onemed masker biru 3 play 50 pcs</v>
      </c>
      <c r="P4124">
        <f>IF(OR(M4124="",N4124=""),"",SUMIFS('Barang Keluar'!$E:$E,'Barang Keluar'!$A:$A,M4124,'Barang Keluar'!$C:$C,N4124))</f>
        <v>0</v>
      </c>
    </row>
    <row r="4125" spans="13:16">
      <c r="M4125" s="49">
        <f>IF($A$4+41&gt;$B$4,"",$A$4+41)</f>
        <v>46064</v>
      </c>
      <c r="N4125" t="str">
        <f>IF(M4125="","",'Master Barang'!A19)</f>
        <v>PRL-018</v>
      </c>
      <c r="O4125" t="str">
        <f>IF(N4125="","",'Master Barang'!B19)</f>
        <v>onemed masker biru 3 play hijab 50 pcs</v>
      </c>
      <c r="P4125">
        <f>IF(OR(M4125="",N4125=""),"",SUMIFS('Barang Keluar'!$E:$E,'Barang Keluar'!$A:$A,M4125,'Barang Keluar'!$C:$C,N4125))</f>
        <v>0</v>
      </c>
    </row>
    <row r="4126" spans="13:16">
      <c r="M4126" s="49">
        <f>IF($A$4+41&gt;$B$4,"",$A$4+41)</f>
        <v>46064</v>
      </c>
      <c r="N4126" t="str">
        <f>IF(M4126="","",'Master Barang'!A20)</f>
        <v>PRL-019</v>
      </c>
      <c r="O4126" t="str">
        <f>IF(N4126="","",'Master Barang'!B20)</f>
        <v>neo health masker biru 3 play 50 pcs</v>
      </c>
      <c r="P4126">
        <f>IF(OR(M4126="",N4126=""),"",SUMIFS('Barang Keluar'!$E:$E,'Barang Keluar'!$A:$A,M4126,'Barang Keluar'!$C:$C,N4126))</f>
        <v>0</v>
      </c>
    </row>
    <row r="4127" spans="13:16">
      <c r="M4127" s="49">
        <f>IF($A$4+41&gt;$B$4,"",$A$4+41)</f>
        <v>46064</v>
      </c>
      <c r="N4127" t="str">
        <f>IF(M4127="","",'Master Barang'!A21)</f>
        <v>PRL-020</v>
      </c>
      <c r="O4127" t="str">
        <f>IF(N4127="","",'Master Barang'!B21)</f>
        <v>baymed masker hijau 3 play hijau 50 pcs</v>
      </c>
      <c r="P4127">
        <f>IF(OR(M4127="",N4127=""),"",SUMIFS('Barang Keluar'!$E:$E,'Barang Keluar'!$A:$A,M4127,'Barang Keluar'!$C:$C,N4127))</f>
        <v>0</v>
      </c>
    </row>
    <row r="4128" spans="13:16">
      <c r="M4128" s="49">
        <f>IF($A$4+41&gt;$B$4,"",$A$4+41)</f>
        <v>46064</v>
      </c>
      <c r="N4128" t="str">
        <f>IF(M4128="","",'Master Barang'!A22)</f>
        <v>PRL-021</v>
      </c>
      <c r="O4128" t="str">
        <f>IF(N4128="","",'Master Barang'!B22)</f>
        <v>altamed nurse cap penutup kepala 100 pcs</v>
      </c>
      <c r="P4128">
        <f>IF(OR(M4128="",N4128=""),"",SUMIFS('Barang Keluar'!$E:$E,'Barang Keluar'!$A:$A,M4128,'Barang Keluar'!$C:$C,N4128))</f>
        <v>0</v>
      </c>
    </row>
    <row r="4129" spans="13:16">
      <c r="M4129" s="49">
        <f>IF($A$4+41&gt;$B$4,"",$A$4+41)</f>
        <v>46064</v>
      </c>
      <c r="N4129" t="str">
        <f>IF(M4129="","",'Master Barang'!A23)</f>
        <v>PRL-022</v>
      </c>
      <c r="O4129" t="str">
        <f>IF(N4129="","",'Master Barang'!B23)</f>
        <v>sabun cuci tangan</v>
      </c>
      <c r="P4129">
        <f>IF(OR(M4129="",N4129=""),"",SUMIFS('Barang Keluar'!$E:$E,'Barang Keluar'!$A:$A,M4129,'Barang Keluar'!$C:$C,N4129))</f>
        <v>0</v>
      </c>
    </row>
    <row r="4130" spans="13:16">
      <c r="M4130" s="49">
        <f>IF($A$4+41&gt;$B$4,"",$A$4+41)</f>
        <v>46064</v>
      </c>
      <c r="N4130" t="str">
        <f>IF(M4130="","",'Master Barang'!A24)</f>
        <v>PRL-023</v>
      </c>
      <c r="O4130" t="str">
        <f>IF(N4130="","",'Master Barang'!B24)</f>
        <v>gayung kecil</v>
      </c>
      <c r="P4130">
        <f>IF(OR(M4130="",N4130=""),"",SUMIFS('Barang Keluar'!$E:$E,'Barang Keluar'!$A:$A,M4130,'Barang Keluar'!$C:$C,N4130))</f>
        <v>0</v>
      </c>
    </row>
    <row r="4131" spans="13:16">
      <c r="M4131" s="49">
        <f>IF($A$4+41&gt;$B$4,"",$A$4+41)</f>
        <v>46064</v>
      </c>
      <c r="N4131" t="str">
        <f>IF(M4131="","",'Master Barang'!A25)</f>
        <v>PRL-024</v>
      </c>
      <c r="O4131" t="str">
        <f>IF(N4131="","",'Master Barang'!B25)</f>
        <v>cikrak kecil</v>
      </c>
      <c r="P4131">
        <f>IF(OR(M4131="",N4131=""),"",SUMIFS('Barang Keluar'!$E:$E,'Barang Keluar'!$A:$A,M4131,'Barang Keluar'!$C:$C,N4131))</f>
        <v>0</v>
      </c>
    </row>
    <row r="4132" spans="13:16">
      <c r="M4132" s="49">
        <f>IF($A$4+41&gt;$B$4,"",$A$4+41)</f>
        <v>46064</v>
      </c>
      <c r="N4132" t="str">
        <f>IF(M4132="","",'Master Barang'!A26)</f>
        <v>PRL-025</v>
      </c>
      <c r="O4132" t="str">
        <f>IF(N4132="","",'Master Barang'!B26)</f>
        <v>petromax plastik kecil 12x24 100 lembar</v>
      </c>
      <c r="P4132">
        <f>IF(OR(M4132="",N4132=""),"",SUMIFS('Barang Keluar'!$E:$E,'Barang Keluar'!$A:$A,M4132,'Barang Keluar'!$C:$C,N4132))</f>
        <v>0</v>
      </c>
    </row>
    <row r="4133" spans="13:16">
      <c r="M4133" s="49">
        <f>IF($A$4+41&gt;$B$4,"",$A$4+41)</f>
        <v>46064</v>
      </c>
      <c r="N4133" t="str">
        <f>IF(M4133="","",'Master Barang'!A27)</f>
        <v>PRL-026</v>
      </c>
      <c r="O4133" t="str">
        <f>IF(N4133="","",'Master Barang'!B27)</f>
        <v>lancar kresek kecil bening </v>
      </c>
      <c r="P4133">
        <f>IF(OR(M4133="",N4133=""),"",SUMIFS('Barang Keluar'!$E:$E,'Barang Keluar'!$A:$A,M4133,'Barang Keluar'!$C:$C,N4133))</f>
        <v>0</v>
      </c>
    </row>
    <row r="4134" spans="13:16">
      <c r="M4134" s="49">
        <f>IF($A$4+41&gt;$B$4,"",$A$4+41)</f>
        <v>46064</v>
      </c>
      <c r="N4134" t="str">
        <f>IF(M4134="","",'Master Barang'!A28)</f>
        <v>PRL-027</v>
      </c>
      <c r="O4134" t="str">
        <f>IF(N4134="","",'Master Barang'!B28)</f>
        <v>kresek klin warna warni kecil</v>
      </c>
      <c r="P4134">
        <f>IF(OR(M4134="",N4134=""),"",SUMIFS('Barang Keluar'!$E:$E,'Barang Keluar'!$A:$A,M4134,'Barang Keluar'!$C:$C,N4134))</f>
        <v>0</v>
      </c>
    </row>
    <row r="4135" spans="13:16">
      <c r="M4135" s="49">
        <f>IF($A$4+41&gt;$B$4,"",$A$4+41)</f>
        <v>46064</v>
      </c>
      <c r="N4135" t="str">
        <f>IF(M4135="","",'Master Barang'!A29)</f>
        <v>PRL-028</v>
      </c>
      <c r="O4135" t="str">
        <f>IF(N4135="","",'Master Barang'!B29)</f>
        <v>ctik plastik 7x10 100 pcs</v>
      </c>
      <c r="P4135">
        <f>IF(OR(M4135="",N4135=""),"",SUMIFS('Barang Keluar'!$E:$E,'Barang Keluar'!$A:$A,M4135,'Barang Keluar'!$C:$C,N4135))</f>
        <v>0</v>
      </c>
    </row>
    <row r="4136" spans="13:16">
      <c r="M4136" s="49">
        <f>IF($A$4+41&gt;$B$4,"",$A$4+41)</f>
        <v>46064</v>
      </c>
      <c r="N4136" t="str">
        <f>IF(M4136="","",'Master Barang'!A30)</f>
        <v>PRL-029</v>
      </c>
      <c r="O4136" t="str">
        <f>IF(N4136="","",'Master Barang'!B30)</f>
        <v>ctik plastik 6x10 100 pcs</v>
      </c>
      <c r="P4136">
        <f>IF(OR(M4136="",N4136=""),"",SUMIFS('Barang Keluar'!$E:$E,'Barang Keluar'!$A:$A,M4136,'Barang Keluar'!$C:$C,N4136))</f>
        <v>0</v>
      </c>
    </row>
    <row r="4137" spans="13:16">
      <c r="M4137" s="49">
        <f>IF($A$4+41&gt;$B$4,"",$A$4+41)</f>
        <v>46064</v>
      </c>
      <c r="N4137" t="str">
        <f>IF(M4137="","",'Master Barang'!A31)</f>
        <v>PRL-030</v>
      </c>
      <c r="O4137" t="str">
        <f>IF(N4137="","",'Master Barang'!B31)</f>
        <v>klip plastik 25x16 100 pcs</v>
      </c>
      <c r="P4137">
        <f>IF(OR(M4137="",N4137=""),"",SUMIFS('Barang Keluar'!$E:$E,'Barang Keluar'!$A:$A,M4137,'Barang Keluar'!$C:$C,N4137))</f>
        <v>0</v>
      </c>
    </row>
    <row r="4138" spans="13:16">
      <c r="M4138" s="49">
        <f>IF($A$4+41&gt;$B$4,"",$A$4+41)</f>
        <v>46064</v>
      </c>
      <c r="N4138" t="str">
        <f>IF(M4138="","",'Master Barang'!A32)</f>
        <v>PRL-031</v>
      </c>
      <c r="O4138" t="str">
        <f>IF(N4138="","",'Master Barang'!B32)</f>
        <v>tempat saus 20 ml</v>
      </c>
      <c r="P4138">
        <f>IF(OR(M4138="",N4138=""),"",SUMIFS('Barang Keluar'!$E:$E,'Barang Keluar'!$A:$A,M4138,'Barang Keluar'!$C:$C,N4138))</f>
        <v>0</v>
      </c>
    </row>
    <row r="4139" spans="13:16">
      <c r="M4139" s="49">
        <f>IF($A$4+41&gt;$B$4,"",$A$4+41)</f>
        <v>46064</v>
      </c>
      <c r="N4139" t="str">
        <f>IF(M4139="","",'Master Barang'!A33)</f>
        <v>PRL-032</v>
      </c>
      <c r="O4139" t="str">
        <f>IF(N4139="","",'Master Barang'!B33)</f>
        <v>plastik packaging ag box uk sedang</v>
      </c>
      <c r="P4139">
        <f>IF(OR(M4139="",N4139=""),"",SUMIFS('Barang Keluar'!$E:$E,'Barang Keluar'!$A:$A,M4139,'Barang Keluar'!$C:$C,N4139))</f>
        <v>0</v>
      </c>
    </row>
    <row r="4140" spans="13:16">
      <c r="M4140" s="49">
        <f>IF($A$4+41&gt;$B$4,"",$A$4+41)</f>
        <v>46064</v>
      </c>
      <c r="N4140" t="str">
        <f>IF(M4140="","",'Master Barang'!A34)</f>
        <v>PRL-033</v>
      </c>
      <c r="O4140">
        <f>IF(N4140="","",'Master Barang'!B34)</f>
        <v>0</v>
      </c>
      <c r="P4140">
        <f>IF(OR(M4140="",N4140=""),"",SUMIFS('Barang Keluar'!$E:$E,'Barang Keluar'!$A:$A,M4140,'Barang Keluar'!$C:$C,N4140))</f>
        <v>0</v>
      </c>
    </row>
    <row r="4141" spans="13:16">
      <c r="M4141" s="49">
        <f>IF($A$4+41&gt;$B$4,"",$A$4+41)</f>
        <v>46064</v>
      </c>
      <c r="N4141">
        <f>IF(M4141="","",'Master Barang'!A35)</f>
        <v>0</v>
      </c>
      <c r="O4141">
        <f>IF(N4141="","",'Master Barang'!B35)</f>
        <v>0</v>
      </c>
      <c r="P4141">
        <f>IF(OR(M4141="",N4141=""),"",SUMIFS('Barang Keluar'!$E:$E,'Barang Keluar'!$A:$A,M4141,'Barang Keluar'!$C:$C,N4141))</f>
        <v>0</v>
      </c>
    </row>
    <row r="4142" spans="13:16">
      <c r="M4142" s="49">
        <f>IF($A$4+41&gt;$B$4,"",$A$4+41)</f>
        <v>46064</v>
      </c>
      <c r="N4142">
        <f>IF(M4142="","",'Master Barang'!A36)</f>
        <v>0</v>
      </c>
      <c r="O4142">
        <f>IF(N4142="","",'Master Barang'!B36)</f>
        <v>0</v>
      </c>
      <c r="P4142">
        <f>IF(OR(M4142="",N4142=""),"",SUMIFS('Barang Keluar'!$E:$E,'Barang Keluar'!$A:$A,M4142,'Barang Keluar'!$C:$C,N4142))</f>
        <v>0</v>
      </c>
    </row>
    <row r="4143" spans="13:16">
      <c r="M4143" s="49">
        <f>IF($A$4+41&gt;$B$4,"",$A$4+41)</f>
        <v>46064</v>
      </c>
      <c r="N4143">
        <f>IF(M4143="","",'Master Barang'!A37)</f>
        <v>0</v>
      </c>
      <c r="O4143">
        <f>IF(N4143="","",'Master Barang'!B37)</f>
        <v>0</v>
      </c>
      <c r="P4143">
        <f>IF(OR(M4143="",N4143=""),"",SUMIFS('Barang Keluar'!$E:$E,'Barang Keluar'!$A:$A,M4143,'Barang Keluar'!$C:$C,N4143))</f>
        <v>0</v>
      </c>
    </row>
    <row r="4144" spans="13:16">
      <c r="M4144" s="49">
        <f>IF($A$4+41&gt;$B$4,"",$A$4+41)</f>
        <v>46064</v>
      </c>
      <c r="N4144">
        <f>IF(M4144="","",'Master Barang'!A38)</f>
        <v>0</v>
      </c>
      <c r="O4144">
        <f>IF(N4144="","",'Master Barang'!B38)</f>
        <v>0</v>
      </c>
      <c r="P4144">
        <f>IF(OR(M4144="",N4144=""),"",SUMIFS('Barang Keluar'!$E:$E,'Barang Keluar'!$A:$A,M4144,'Barang Keluar'!$C:$C,N4144))</f>
        <v>0</v>
      </c>
    </row>
    <row r="4145" spans="13:16">
      <c r="M4145" s="49">
        <f>IF($A$4+41&gt;$B$4,"",$A$4+41)</f>
        <v>46064</v>
      </c>
      <c r="N4145">
        <f>IF(M4145="","",'Master Barang'!A39)</f>
        <v>0</v>
      </c>
      <c r="O4145">
        <f>IF(N4145="","",'Master Barang'!B39)</f>
        <v>0</v>
      </c>
      <c r="P4145">
        <f>IF(OR(M4145="",N4145=""),"",SUMIFS('Barang Keluar'!$E:$E,'Barang Keluar'!$A:$A,M4145,'Barang Keluar'!$C:$C,N4145))</f>
        <v>0</v>
      </c>
    </row>
    <row r="4146" spans="13:16">
      <c r="M4146" s="49">
        <f>IF($A$4+41&gt;$B$4,"",$A$4+41)</f>
        <v>46064</v>
      </c>
      <c r="N4146">
        <f>IF(M4146="","",'Master Barang'!A40)</f>
        <v>0</v>
      </c>
      <c r="O4146">
        <f>IF(N4146="","",'Master Barang'!B40)</f>
        <v>0</v>
      </c>
      <c r="P4146">
        <f>IF(OR(M4146="",N4146=""),"",SUMIFS('Barang Keluar'!$E:$E,'Barang Keluar'!$A:$A,M4146,'Barang Keluar'!$C:$C,N4146))</f>
        <v>0</v>
      </c>
    </row>
    <row r="4147" spans="13:16">
      <c r="M4147" s="49">
        <f>IF($A$4+41&gt;$B$4,"",$A$4+41)</f>
        <v>46064</v>
      </c>
      <c r="N4147">
        <f>IF(M4147="","",'Master Barang'!A41)</f>
        <v>0</v>
      </c>
      <c r="O4147">
        <f>IF(N4147="","",'Master Barang'!B41)</f>
        <v>0</v>
      </c>
      <c r="P4147">
        <f>IF(OR(M4147="",N4147=""),"",SUMIFS('Barang Keluar'!$E:$E,'Barang Keluar'!$A:$A,M4147,'Barang Keluar'!$C:$C,N4147))</f>
        <v>0</v>
      </c>
    </row>
    <row r="4148" spans="13:16">
      <c r="M4148" s="49">
        <f>IF($A$4+41&gt;$B$4,"",$A$4+41)</f>
        <v>46064</v>
      </c>
      <c r="N4148">
        <f>IF(M4148="","",'Master Barang'!A42)</f>
        <v>0</v>
      </c>
      <c r="O4148">
        <f>IF(N4148="","",'Master Barang'!B42)</f>
        <v>0</v>
      </c>
      <c r="P4148">
        <f>IF(OR(M4148="",N4148=""),"",SUMIFS('Barang Keluar'!$E:$E,'Barang Keluar'!$A:$A,M4148,'Barang Keluar'!$C:$C,N4148))</f>
        <v>0</v>
      </c>
    </row>
    <row r="4149" spans="13:16">
      <c r="M4149" s="49">
        <f>IF($A$4+41&gt;$B$4,"",$A$4+41)</f>
        <v>46064</v>
      </c>
      <c r="N4149">
        <f>IF(M4149="","",'Master Barang'!A43)</f>
        <v>0</v>
      </c>
      <c r="O4149">
        <f>IF(N4149="","",'Master Barang'!B43)</f>
        <v>0</v>
      </c>
      <c r="P4149">
        <f>IF(OR(M4149="",N4149=""),"",SUMIFS('Barang Keluar'!$E:$E,'Barang Keluar'!$A:$A,M4149,'Barang Keluar'!$C:$C,N4149))</f>
        <v>0</v>
      </c>
    </row>
    <row r="4150" spans="13:16">
      <c r="M4150" s="49">
        <f>IF($A$4+41&gt;$B$4,"",$A$4+41)</f>
        <v>46064</v>
      </c>
      <c r="N4150">
        <f>IF(M4150="","",'Master Barang'!A44)</f>
        <v>0</v>
      </c>
      <c r="O4150">
        <f>IF(N4150="","",'Master Barang'!B44)</f>
        <v>0</v>
      </c>
      <c r="P4150">
        <f>IF(OR(M4150="",N4150=""),"",SUMIFS('Barang Keluar'!$E:$E,'Barang Keluar'!$A:$A,M4150,'Barang Keluar'!$C:$C,N4150))</f>
        <v>0</v>
      </c>
    </row>
    <row r="4151" spans="13:16">
      <c r="M4151" s="49">
        <f>IF($A$4+41&gt;$B$4,"",$A$4+41)</f>
        <v>46064</v>
      </c>
      <c r="N4151">
        <f>IF(M4151="","",'Master Barang'!A45)</f>
        <v>0</v>
      </c>
      <c r="O4151">
        <f>IF(N4151="","",'Master Barang'!B45)</f>
        <v>0</v>
      </c>
      <c r="P4151">
        <f>IF(OR(M4151="",N4151=""),"",SUMIFS('Barang Keluar'!$E:$E,'Barang Keluar'!$A:$A,M4151,'Barang Keluar'!$C:$C,N4151))</f>
        <v>0</v>
      </c>
    </row>
    <row r="4152" spans="13:16">
      <c r="M4152" s="49">
        <f>IF($A$4+41&gt;$B$4,"",$A$4+41)</f>
        <v>46064</v>
      </c>
      <c r="N4152">
        <f>IF(M4152="","",'Master Barang'!A46)</f>
        <v>0</v>
      </c>
      <c r="O4152">
        <f>IF(N4152="","",'Master Barang'!B46)</f>
        <v>0</v>
      </c>
      <c r="P4152">
        <f>IF(OR(M4152="",N4152=""),"",SUMIFS('Barang Keluar'!$E:$E,'Barang Keluar'!$A:$A,M4152,'Barang Keluar'!$C:$C,N4152))</f>
        <v>0</v>
      </c>
    </row>
    <row r="4153" spans="13:16">
      <c r="M4153" s="49">
        <f>IF($A$4+41&gt;$B$4,"",$A$4+41)</f>
        <v>46064</v>
      </c>
      <c r="N4153">
        <f>IF(M4153="","",'Master Barang'!A47)</f>
        <v>0</v>
      </c>
      <c r="O4153">
        <f>IF(N4153="","",'Master Barang'!B47)</f>
        <v>0</v>
      </c>
      <c r="P4153">
        <f>IF(OR(M4153="",N4153=""),"",SUMIFS('Barang Keluar'!$E:$E,'Barang Keluar'!$A:$A,M4153,'Barang Keluar'!$C:$C,N4153))</f>
        <v>0</v>
      </c>
    </row>
    <row r="4154" spans="13:16">
      <c r="M4154" s="49">
        <f>IF($A$4+41&gt;$B$4,"",$A$4+41)</f>
        <v>46064</v>
      </c>
      <c r="N4154">
        <f>IF(M4154="","",'Master Barang'!A48)</f>
        <v>0</v>
      </c>
      <c r="O4154">
        <f>IF(N4154="","",'Master Barang'!B48)</f>
        <v>0</v>
      </c>
      <c r="P4154">
        <f>IF(OR(M4154="",N4154=""),"",SUMIFS('Barang Keluar'!$E:$E,'Barang Keluar'!$A:$A,M4154,'Barang Keluar'!$C:$C,N4154))</f>
        <v>0</v>
      </c>
    </row>
    <row r="4155" spans="13:16">
      <c r="M4155" s="49">
        <f>IF($A$4+41&gt;$B$4,"",$A$4+41)</f>
        <v>46064</v>
      </c>
      <c r="N4155">
        <f>IF(M4155="","",'Master Barang'!A49)</f>
        <v>0</v>
      </c>
      <c r="O4155">
        <f>IF(N4155="","",'Master Barang'!B49)</f>
        <v>0</v>
      </c>
      <c r="P4155">
        <f>IF(OR(M4155="",N4155=""),"",SUMIFS('Barang Keluar'!$E:$E,'Barang Keluar'!$A:$A,M4155,'Barang Keluar'!$C:$C,N4155))</f>
        <v>0</v>
      </c>
    </row>
    <row r="4156" spans="13:16">
      <c r="M4156" s="49">
        <f>IF($A$4+41&gt;$B$4,"",$A$4+41)</f>
        <v>46064</v>
      </c>
      <c r="N4156">
        <f>IF(M4156="","",'Master Barang'!A50)</f>
        <v>0</v>
      </c>
      <c r="O4156">
        <f>IF(N4156="","",'Master Barang'!B50)</f>
        <v>0</v>
      </c>
      <c r="P4156">
        <f>IF(OR(M4156="",N4156=""),"",SUMIFS('Barang Keluar'!$E:$E,'Barang Keluar'!$A:$A,M4156,'Barang Keluar'!$C:$C,N4156))</f>
        <v>0</v>
      </c>
    </row>
    <row r="4157" spans="13:16">
      <c r="M4157" s="49">
        <f>IF($A$4+41&gt;$B$4,"",$A$4+41)</f>
        <v>46064</v>
      </c>
      <c r="N4157">
        <f>IF(M4157="","",'Master Barang'!A51)</f>
        <v>0</v>
      </c>
      <c r="O4157">
        <f>IF(N4157="","",'Master Barang'!B51)</f>
        <v>0</v>
      </c>
      <c r="P4157">
        <f>IF(OR(M4157="",N4157=""),"",SUMIFS('Barang Keluar'!$E:$E,'Barang Keluar'!$A:$A,M4157,'Barang Keluar'!$C:$C,N4157))</f>
        <v>0</v>
      </c>
    </row>
    <row r="4158" spans="13:16">
      <c r="M4158" s="49">
        <f>IF($A$4+41&gt;$B$4,"",$A$4+41)</f>
        <v>46064</v>
      </c>
      <c r="N4158">
        <f>IF(M4158="","",'Master Barang'!A52)</f>
        <v>0</v>
      </c>
      <c r="O4158">
        <f>IF(N4158="","",'Master Barang'!B52)</f>
        <v>0</v>
      </c>
      <c r="P4158">
        <f>IF(OR(M4158="",N4158=""),"",SUMIFS('Barang Keluar'!$E:$E,'Barang Keluar'!$A:$A,M4158,'Barang Keluar'!$C:$C,N4158))</f>
        <v>0</v>
      </c>
    </row>
    <row r="4159" spans="13:16">
      <c r="M4159" s="49">
        <f>IF($A$4+41&gt;$B$4,"",$A$4+41)</f>
        <v>46064</v>
      </c>
      <c r="N4159">
        <f>IF(M4159="","",'Master Barang'!A53)</f>
        <v>0</v>
      </c>
      <c r="O4159">
        <f>IF(N4159="","",'Master Barang'!B53)</f>
        <v>0</v>
      </c>
      <c r="P4159">
        <f>IF(OR(M4159="",N4159=""),"",SUMIFS('Barang Keluar'!$E:$E,'Barang Keluar'!$A:$A,M4159,'Barang Keluar'!$C:$C,N4159))</f>
        <v>0</v>
      </c>
    </row>
    <row r="4160" spans="13:16">
      <c r="M4160" s="49">
        <f>IF($A$4+41&gt;$B$4,"",$A$4+41)</f>
        <v>46064</v>
      </c>
      <c r="N4160">
        <f>IF(M4160="","",'Master Barang'!A54)</f>
        <v>0</v>
      </c>
      <c r="O4160">
        <f>IF(N4160="","",'Master Barang'!B54)</f>
        <v>0</v>
      </c>
      <c r="P4160">
        <f>IF(OR(M4160="",N4160=""),"",SUMIFS('Barang Keluar'!$E:$E,'Barang Keluar'!$A:$A,M4160,'Barang Keluar'!$C:$C,N4160))</f>
        <v>0</v>
      </c>
    </row>
    <row r="4161" spans="13:16">
      <c r="M4161" s="49">
        <f>IF($A$4+41&gt;$B$4,"",$A$4+41)</f>
        <v>46064</v>
      </c>
      <c r="N4161">
        <f>IF(M4161="","",'Master Barang'!A55)</f>
        <v>0</v>
      </c>
      <c r="O4161">
        <f>IF(N4161="","",'Master Barang'!B55)</f>
        <v>0</v>
      </c>
      <c r="P4161">
        <f>IF(OR(M4161="",N4161=""),"",SUMIFS('Barang Keluar'!$E:$E,'Barang Keluar'!$A:$A,M4161,'Barang Keluar'!$C:$C,N4161))</f>
        <v>0</v>
      </c>
    </row>
    <row r="4162" spans="13:16">
      <c r="M4162" s="49">
        <f>IF($A$4+41&gt;$B$4,"",$A$4+41)</f>
        <v>46064</v>
      </c>
      <c r="N4162">
        <f>IF(M4162="","",'Master Barang'!A56)</f>
        <v>0</v>
      </c>
      <c r="O4162">
        <f>IF(N4162="","",'Master Barang'!B56)</f>
        <v>0</v>
      </c>
      <c r="P4162">
        <f>IF(OR(M4162="",N4162=""),"",SUMIFS('Barang Keluar'!$E:$E,'Barang Keluar'!$A:$A,M4162,'Barang Keluar'!$C:$C,N4162))</f>
        <v>0</v>
      </c>
    </row>
    <row r="4163" spans="13:16">
      <c r="M4163" s="49">
        <f>IF($A$4+41&gt;$B$4,"",$A$4+41)</f>
        <v>46064</v>
      </c>
      <c r="N4163">
        <f>IF(M4163="","",'Master Barang'!A57)</f>
        <v>0</v>
      </c>
      <c r="O4163">
        <f>IF(N4163="","",'Master Barang'!B57)</f>
        <v>0</v>
      </c>
      <c r="P4163">
        <f>IF(OR(M4163="",N4163=""),"",SUMIFS('Barang Keluar'!$E:$E,'Barang Keluar'!$A:$A,M4163,'Barang Keluar'!$C:$C,N4163))</f>
        <v>0</v>
      </c>
    </row>
    <row r="4164" spans="13:16">
      <c r="M4164" s="49">
        <f>IF($A$4+41&gt;$B$4,"",$A$4+41)</f>
        <v>46064</v>
      </c>
      <c r="N4164">
        <f>IF(M4164="","",'Master Barang'!A58)</f>
        <v>0</v>
      </c>
      <c r="O4164">
        <f>IF(N4164="","",'Master Barang'!B58)</f>
        <v>0</v>
      </c>
      <c r="P4164">
        <f>IF(OR(M4164="",N4164=""),"",SUMIFS('Barang Keluar'!$E:$E,'Barang Keluar'!$A:$A,M4164,'Barang Keluar'!$C:$C,N4164))</f>
        <v>0</v>
      </c>
    </row>
    <row r="4165" spans="13:16">
      <c r="M4165" s="49">
        <f>IF($A$4+41&gt;$B$4,"",$A$4+41)</f>
        <v>46064</v>
      </c>
      <c r="N4165">
        <f>IF(M4165="","",'Master Barang'!A59)</f>
        <v>0</v>
      </c>
      <c r="O4165">
        <f>IF(N4165="","",'Master Barang'!B59)</f>
        <v>0</v>
      </c>
      <c r="P4165">
        <f>IF(OR(M4165="",N4165=""),"",SUMIFS('Barang Keluar'!$E:$E,'Barang Keluar'!$A:$A,M4165,'Barang Keluar'!$C:$C,N4165))</f>
        <v>0</v>
      </c>
    </row>
    <row r="4166" spans="13:16">
      <c r="M4166" s="49">
        <f>IF($A$4+41&gt;$B$4,"",$A$4+41)</f>
        <v>46064</v>
      </c>
      <c r="N4166">
        <f>IF(M4166="","",'Master Barang'!A60)</f>
        <v>0</v>
      </c>
      <c r="O4166">
        <f>IF(N4166="","",'Master Barang'!B60)</f>
        <v>0</v>
      </c>
      <c r="P4166">
        <f>IF(OR(M4166="",N4166=""),"",SUMIFS('Barang Keluar'!$E:$E,'Barang Keluar'!$A:$A,M4166,'Barang Keluar'!$C:$C,N4166))</f>
        <v>0</v>
      </c>
    </row>
    <row r="4167" spans="13:16">
      <c r="M4167" s="49">
        <f>IF($A$4+41&gt;$B$4,"",$A$4+41)</f>
        <v>46064</v>
      </c>
      <c r="N4167">
        <f>IF(M4167="","",'Master Barang'!A61)</f>
        <v>0</v>
      </c>
      <c r="O4167">
        <f>IF(N4167="","",'Master Barang'!B61)</f>
        <v>0</v>
      </c>
      <c r="P4167">
        <f>IF(OR(M4167="",N4167=""),"",SUMIFS('Barang Keluar'!$E:$E,'Barang Keluar'!$A:$A,M4167,'Barang Keluar'!$C:$C,N4167))</f>
        <v>0</v>
      </c>
    </row>
    <row r="4168" spans="13:16">
      <c r="M4168" s="49">
        <f>IF($A$4+41&gt;$B$4,"",$A$4+41)</f>
        <v>46064</v>
      </c>
      <c r="N4168">
        <f>IF(M4168="","",'Master Barang'!A62)</f>
        <v>0</v>
      </c>
      <c r="O4168">
        <f>IF(N4168="","",'Master Barang'!B62)</f>
        <v>0</v>
      </c>
      <c r="P4168">
        <f>IF(OR(M4168="",N4168=""),"",SUMIFS('Barang Keluar'!$E:$E,'Barang Keluar'!$A:$A,M4168,'Barang Keluar'!$C:$C,N4168))</f>
        <v>0</v>
      </c>
    </row>
    <row r="4169" spans="13:16">
      <c r="M4169" s="49">
        <f>IF($A$4+41&gt;$B$4,"",$A$4+41)</f>
        <v>46064</v>
      </c>
      <c r="N4169">
        <f>IF(M4169="","",'Master Barang'!A63)</f>
        <v>0</v>
      </c>
      <c r="O4169">
        <f>IF(N4169="","",'Master Barang'!B63)</f>
        <v>0</v>
      </c>
      <c r="P4169">
        <f>IF(OR(M4169="",N4169=""),"",SUMIFS('Barang Keluar'!$E:$E,'Barang Keluar'!$A:$A,M4169,'Barang Keluar'!$C:$C,N4169))</f>
        <v>0</v>
      </c>
    </row>
    <row r="4170" spans="13:16">
      <c r="M4170" s="49">
        <f>IF($A$4+41&gt;$B$4,"",$A$4+41)</f>
        <v>46064</v>
      </c>
      <c r="N4170">
        <f>IF(M4170="","",'Master Barang'!A64)</f>
        <v>0</v>
      </c>
      <c r="O4170">
        <f>IF(N4170="","",'Master Barang'!B64)</f>
        <v>0</v>
      </c>
      <c r="P4170">
        <f>IF(OR(M4170="",N4170=""),"",SUMIFS('Barang Keluar'!$E:$E,'Barang Keluar'!$A:$A,M4170,'Barang Keluar'!$C:$C,N4170))</f>
        <v>0</v>
      </c>
    </row>
    <row r="4171" spans="13:16">
      <c r="M4171" s="49">
        <f>IF($A$4+41&gt;$B$4,"",$A$4+41)</f>
        <v>46064</v>
      </c>
      <c r="N4171">
        <f>IF(M4171="","",'Master Barang'!A65)</f>
        <v>0</v>
      </c>
      <c r="O4171">
        <f>IF(N4171="","",'Master Barang'!B65)</f>
        <v>0</v>
      </c>
      <c r="P4171">
        <f>IF(OR(M4171="",N4171=""),"",SUMIFS('Barang Keluar'!$E:$E,'Barang Keluar'!$A:$A,M4171,'Barang Keluar'!$C:$C,N4171))</f>
        <v>0</v>
      </c>
    </row>
    <row r="4172" spans="13:16">
      <c r="M4172" s="49">
        <f>IF($A$4+41&gt;$B$4,"",$A$4+41)</f>
        <v>46064</v>
      </c>
      <c r="N4172">
        <f>IF(M4172="","",'Master Barang'!A66)</f>
        <v>0</v>
      </c>
      <c r="O4172">
        <f>IF(N4172="","",'Master Barang'!B66)</f>
        <v>0</v>
      </c>
      <c r="P4172">
        <f>IF(OR(M4172="",N4172=""),"",SUMIFS('Barang Keluar'!$E:$E,'Barang Keluar'!$A:$A,M4172,'Barang Keluar'!$C:$C,N4172))</f>
        <v>0</v>
      </c>
    </row>
    <row r="4173" spans="13:16">
      <c r="M4173" s="49">
        <f>IF($A$4+41&gt;$B$4,"",$A$4+41)</f>
        <v>46064</v>
      </c>
      <c r="N4173">
        <f>IF(M4173="","",'Master Barang'!A67)</f>
        <v>0</v>
      </c>
      <c r="O4173">
        <f>IF(N4173="","",'Master Barang'!B67)</f>
        <v>0</v>
      </c>
      <c r="P4173">
        <f>IF(OR(M4173="",N4173=""),"",SUMIFS('Barang Keluar'!$E:$E,'Barang Keluar'!$A:$A,M4173,'Barang Keluar'!$C:$C,N4173))</f>
        <v>0</v>
      </c>
    </row>
    <row r="4174" spans="13:16">
      <c r="M4174" s="49">
        <f>IF($A$4+41&gt;$B$4,"",$A$4+41)</f>
        <v>46064</v>
      </c>
      <c r="N4174">
        <f>IF(M4174="","",'Master Barang'!A68)</f>
        <v>0</v>
      </c>
      <c r="O4174">
        <f>IF(N4174="","",'Master Barang'!B68)</f>
        <v>0</v>
      </c>
      <c r="P4174">
        <f>IF(OR(M4174="",N4174=""),"",SUMIFS('Barang Keluar'!$E:$E,'Barang Keluar'!$A:$A,M4174,'Barang Keluar'!$C:$C,N4174))</f>
        <v>0</v>
      </c>
    </row>
    <row r="4175" spans="13:16">
      <c r="M4175" s="49">
        <f>IF($A$4+41&gt;$B$4,"",$A$4+41)</f>
        <v>46064</v>
      </c>
      <c r="N4175">
        <f>IF(M4175="","",'Master Barang'!A69)</f>
        <v>0</v>
      </c>
      <c r="O4175">
        <f>IF(N4175="","",'Master Barang'!B69)</f>
        <v>0</v>
      </c>
      <c r="P4175">
        <f>IF(OR(M4175="",N4175=""),"",SUMIFS('Barang Keluar'!$E:$E,'Barang Keluar'!$A:$A,M4175,'Barang Keluar'!$C:$C,N4175))</f>
        <v>0</v>
      </c>
    </row>
    <row r="4176" spans="13:16">
      <c r="M4176" s="49">
        <f>IF($A$4+41&gt;$B$4,"",$A$4+41)</f>
        <v>46064</v>
      </c>
      <c r="N4176">
        <f>IF(M4176="","",'Master Barang'!A70)</f>
        <v>0</v>
      </c>
      <c r="O4176">
        <f>IF(N4176="","",'Master Barang'!B70)</f>
        <v>0</v>
      </c>
      <c r="P4176">
        <f>IF(OR(M4176="",N4176=""),"",SUMIFS('Barang Keluar'!$E:$E,'Barang Keluar'!$A:$A,M4176,'Barang Keluar'!$C:$C,N4176))</f>
        <v>0</v>
      </c>
    </row>
    <row r="4177" spans="13:16">
      <c r="M4177" s="49">
        <f>IF($A$4+41&gt;$B$4,"",$A$4+41)</f>
        <v>46064</v>
      </c>
      <c r="N4177">
        <f>IF(M4177="","",'Master Barang'!A71)</f>
        <v>0</v>
      </c>
      <c r="O4177">
        <f>IF(N4177="","",'Master Barang'!B71)</f>
        <v>0</v>
      </c>
      <c r="P4177">
        <f>IF(OR(M4177="",N4177=""),"",SUMIFS('Barang Keluar'!$E:$E,'Barang Keluar'!$A:$A,M4177,'Barang Keluar'!$C:$C,N4177))</f>
        <v>0</v>
      </c>
    </row>
    <row r="4178" spans="13:16">
      <c r="M4178" s="49">
        <f>IF($A$4+41&gt;$B$4,"",$A$4+41)</f>
        <v>46064</v>
      </c>
      <c r="N4178">
        <f>IF(M4178="","",'Master Barang'!A72)</f>
        <v>0</v>
      </c>
      <c r="O4178">
        <f>IF(N4178="","",'Master Barang'!B72)</f>
        <v>0</v>
      </c>
      <c r="P4178">
        <f>IF(OR(M4178="",N4178=""),"",SUMIFS('Barang Keluar'!$E:$E,'Barang Keluar'!$A:$A,M4178,'Barang Keluar'!$C:$C,N4178))</f>
        <v>0</v>
      </c>
    </row>
    <row r="4179" spans="13:16">
      <c r="M4179" s="49">
        <f>IF($A$4+41&gt;$B$4,"",$A$4+41)</f>
        <v>46064</v>
      </c>
      <c r="N4179">
        <f>IF(M4179="","",'Master Barang'!A73)</f>
        <v>0</v>
      </c>
      <c r="O4179">
        <f>IF(N4179="","",'Master Barang'!B73)</f>
        <v>0</v>
      </c>
      <c r="P4179">
        <f>IF(OR(M4179="",N4179=""),"",SUMIFS('Barang Keluar'!$E:$E,'Barang Keluar'!$A:$A,M4179,'Barang Keluar'!$C:$C,N4179))</f>
        <v>0</v>
      </c>
    </row>
    <row r="4180" spans="13:16">
      <c r="M4180" s="49">
        <f>IF($A$4+41&gt;$B$4,"",$A$4+41)</f>
        <v>46064</v>
      </c>
      <c r="N4180">
        <f>IF(M4180="","",'Master Barang'!A74)</f>
        <v>0</v>
      </c>
      <c r="O4180">
        <f>IF(N4180="","",'Master Barang'!B74)</f>
        <v>0</v>
      </c>
      <c r="P4180">
        <f>IF(OR(M4180="",N4180=""),"",SUMIFS('Barang Keluar'!$E:$E,'Barang Keluar'!$A:$A,M4180,'Barang Keluar'!$C:$C,N4180))</f>
        <v>0</v>
      </c>
    </row>
    <row r="4181" spans="13:16">
      <c r="M4181" s="49">
        <f>IF($A$4+41&gt;$B$4,"",$A$4+41)</f>
        <v>46064</v>
      </c>
      <c r="N4181">
        <f>IF(M4181="","",'Master Barang'!A75)</f>
        <v>0</v>
      </c>
      <c r="O4181">
        <f>IF(N4181="","",'Master Barang'!B75)</f>
        <v>0</v>
      </c>
      <c r="P4181">
        <f>IF(OR(M4181="",N4181=""),"",SUMIFS('Barang Keluar'!$E:$E,'Barang Keluar'!$A:$A,M4181,'Barang Keluar'!$C:$C,N4181))</f>
        <v>0</v>
      </c>
    </row>
    <row r="4182" spans="13:16">
      <c r="M4182" s="49">
        <f>IF($A$4+41&gt;$B$4,"",$A$4+41)</f>
        <v>46064</v>
      </c>
      <c r="N4182">
        <f>IF(M4182="","",'Master Barang'!A76)</f>
        <v>0</v>
      </c>
      <c r="O4182">
        <f>IF(N4182="","",'Master Barang'!B76)</f>
        <v>0</v>
      </c>
      <c r="P4182">
        <f>IF(OR(M4182="",N4182=""),"",SUMIFS('Barang Keluar'!$E:$E,'Barang Keluar'!$A:$A,M4182,'Barang Keluar'!$C:$C,N4182))</f>
        <v>0</v>
      </c>
    </row>
    <row r="4183" spans="13:16">
      <c r="M4183" s="49">
        <f>IF($A$4+41&gt;$B$4,"",$A$4+41)</f>
        <v>46064</v>
      </c>
      <c r="N4183">
        <f>IF(M4183="","",'Master Barang'!A77)</f>
        <v>0</v>
      </c>
      <c r="O4183">
        <f>IF(N4183="","",'Master Barang'!B77)</f>
        <v>0</v>
      </c>
      <c r="P4183">
        <f>IF(OR(M4183="",N4183=""),"",SUMIFS('Barang Keluar'!$E:$E,'Barang Keluar'!$A:$A,M4183,'Barang Keluar'!$C:$C,N4183))</f>
        <v>0</v>
      </c>
    </row>
    <row r="4184" spans="13:16">
      <c r="M4184" s="49">
        <f>IF($A$4+41&gt;$B$4,"",$A$4+41)</f>
        <v>46064</v>
      </c>
      <c r="N4184">
        <f>IF(M4184="","",'Master Barang'!A78)</f>
        <v>0</v>
      </c>
      <c r="O4184">
        <f>IF(N4184="","",'Master Barang'!B78)</f>
        <v>0</v>
      </c>
      <c r="P4184">
        <f>IF(OR(M4184="",N4184=""),"",SUMIFS('Barang Keluar'!$E:$E,'Barang Keluar'!$A:$A,M4184,'Barang Keluar'!$C:$C,N4184))</f>
        <v>0</v>
      </c>
    </row>
    <row r="4185" spans="13:16">
      <c r="M4185" s="49">
        <f>IF($A$4+41&gt;$B$4,"",$A$4+41)</f>
        <v>46064</v>
      </c>
      <c r="N4185">
        <f>IF(M4185="","",'Master Barang'!A79)</f>
        <v>0</v>
      </c>
      <c r="O4185">
        <f>IF(N4185="","",'Master Barang'!B79)</f>
        <v>0</v>
      </c>
      <c r="P4185">
        <f>IF(OR(M4185="",N4185=""),"",SUMIFS('Barang Keluar'!$E:$E,'Barang Keluar'!$A:$A,M4185,'Barang Keluar'!$C:$C,N4185))</f>
        <v>0</v>
      </c>
    </row>
    <row r="4186" spans="13:16">
      <c r="M4186" s="49">
        <f>IF($A$4+41&gt;$B$4,"",$A$4+41)</f>
        <v>46064</v>
      </c>
      <c r="N4186">
        <f>IF(M4186="","",'Master Barang'!A80)</f>
        <v>0</v>
      </c>
      <c r="O4186">
        <f>IF(N4186="","",'Master Barang'!B80)</f>
        <v>0</v>
      </c>
      <c r="P4186">
        <f>IF(OR(M4186="",N4186=""),"",SUMIFS('Barang Keluar'!$E:$E,'Barang Keluar'!$A:$A,M4186,'Barang Keluar'!$C:$C,N4186))</f>
        <v>0</v>
      </c>
    </row>
    <row r="4187" spans="13:16">
      <c r="M4187" s="49">
        <f>IF($A$4+41&gt;$B$4,"",$A$4+41)</f>
        <v>46064</v>
      </c>
      <c r="N4187">
        <f>IF(M4187="","",'Master Barang'!A81)</f>
        <v>0</v>
      </c>
      <c r="O4187">
        <f>IF(N4187="","",'Master Barang'!B81)</f>
        <v>0</v>
      </c>
      <c r="P4187">
        <f>IF(OR(M4187="",N4187=""),"",SUMIFS('Barang Keluar'!$E:$E,'Barang Keluar'!$A:$A,M4187,'Barang Keluar'!$C:$C,N4187))</f>
        <v>0</v>
      </c>
    </row>
    <row r="4188" spans="13:16">
      <c r="M4188" s="49">
        <f>IF($A$4+41&gt;$B$4,"",$A$4+41)</f>
        <v>46064</v>
      </c>
      <c r="N4188">
        <f>IF(M4188="","",'Master Barang'!A82)</f>
        <v>0</v>
      </c>
      <c r="O4188">
        <f>IF(N4188="","",'Master Barang'!B82)</f>
        <v>0</v>
      </c>
      <c r="P4188">
        <f>IF(OR(M4188="",N4188=""),"",SUMIFS('Barang Keluar'!$E:$E,'Barang Keluar'!$A:$A,M4188,'Barang Keluar'!$C:$C,N4188))</f>
        <v>0</v>
      </c>
    </row>
    <row r="4189" spans="13:16">
      <c r="M4189" s="49">
        <f>IF($A$4+41&gt;$B$4,"",$A$4+41)</f>
        <v>46064</v>
      </c>
      <c r="N4189">
        <f>IF(M4189="","",'Master Barang'!A83)</f>
        <v>0</v>
      </c>
      <c r="O4189">
        <f>IF(N4189="","",'Master Barang'!B83)</f>
        <v>0</v>
      </c>
      <c r="P4189">
        <f>IF(OR(M4189="",N4189=""),"",SUMIFS('Barang Keluar'!$E:$E,'Barang Keluar'!$A:$A,M4189,'Barang Keluar'!$C:$C,N4189))</f>
        <v>0</v>
      </c>
    </row>
    <row r="4190" spans="13:16">
      <c r="M4190" s="49">
        <f>IF($A$4+41&gt;$B$4,"",$A$4+41)</f>
        <v>46064</v>
      </c>
      <c r="N4190">
        <f>IF(M4190="","",'Master Barang'!A84)</f>
        <v>0</v>
      </c>
      <c r="O4190">
        <f>IF(N4190="","",'Master Barang'!B84)</f>
        <v>0</v>
      </c>
      <c r="P4190">
        <f>IF(OR(M4190="",N4190=""),"",SUMIFS('Barang Keluar'!$E:$E,'Barang Keluar'!$A:$A,M4190,'Barang Keluar'!$C:$C,N4190))</f>
        <v>0</v>
      </c>
    </row>
    <row r="4191" spans="13:16">
      <c r="M4191" s="49">
        <f>IF($A$4+41&gt;$B$4,"",$A$4+41)</f>
        <v>46064</v>
      </c>
      <c r="N4191">
        <f>IF(M4191="","",'Master Barang'!A85)</f>
        <v>0</v>
      </c>
      <c r="O4191">
        <f>IF(N4191="","",'Master Barang'!B85)</f>
        <v>0</v>
      </c>
      <c r="P4191">
        <f>IF(OR(M4191="",N4191=""),"",SUMIFS('Barang Keluar'!$E:$E,'Barang Keluar'!$A:$A,M4191,'Barang Keluar'!$C:$C,N4191))</f>
        <v>0</v>
      </c>
    </row>
    <row r="4192" spans="13:16">
      <c r="M4192" s="49">
        <f>IF($A$4+41&gt;$B$4,"",$A$4+41)</f>
        <v>46064</v>
      </c>
      <c r="N4192">
        <f>IF(M4192="","",'Master Barang'!A86)</f>
        <v>0</v>
      </c>
      <c r="O4192">
        <f>IF(N4192="","",'Master Barang'!B86)</f>
        <v>0</v>
      </c>
      <c r="P4192">
        <f>IF(OR(M4192="",N4192=""),"",SUMIFS('Barang Keluar'!$E:$E,'Barang Keluar'!$A:$A,M4192,'Barang Keluar'!$C:$C,N4192))</f>
        <v>0</v>
      </c>
    </row>
    <row r="4193" spans="13:16">
      <c r="M4193" s="49">
        <f>IF($A$4+41&gt;$B$4,"",$A$4+41)</f>
        <v>46064</v>
      </c>
      <c r="N4193">
        <f>IF(M4193="","",'Master Barang'!A87)</f>
        <v>0</v>
      </c>
      <c r="O4193">
        <f>IF(N4193="","",'Master Barang'!B87)</f>
        <v>0</v>
      </c>
      <c r="P4193">
        <f>IF(OR(M4193="",N4193=""),"",SUMIFS('Barang Keluar'!$E:$E,'Barang Keluar'!$A:$A,M4193,'Barang Keluar'!$C:$C,N4193))</f>
        <v>0</v>
      </c>
    </row>
    <row r="4194" spans="13:16">
      <c r="M4194" s="49">
        <f>IF($A$4+41&gt;$B$4,"",$A$4+41)</f>
        <v>46064</v>
      </c>
      <c r="N4194">
        <f>IF(M4194="","",'Master Barang'!A88)</f>
        <v>0</v>
      </c>
      <c r="O4194">
        <f>IF(N4194="","",'Master Barang'!B88)</f>
        <v>0</v>
      </c>
      <c r="P4194">
        <f>IF(OR(M4194="",N4194=""),"",SUMIFS('Barang Keluar'!$E:$E,'Barang Keluar'!$A:$A,M4194,'Barang Keluar'!$C:$C,N4194))</f>
        <v>0</v>
      </c>
    </row>
    <row r="4195" spans="13:16">
      <c r="M4195" s="49">
        <f>IF($A$4+41&gt;$B$4,"",$A$4+41)</f>
        <v>46064</v>
      </c>
      <c r="N4195">
        <f>IF(M4195="","",'Master Barang'!A89)</f>
        <v>0</v>
      </c>
      <c r="O4195">
        <f>IF(N4195="","",'Master Barang'!B89)</f>
        <v>0</v>
      </c>
      <c r="P4195">
        <f>IF(OR(M4195="",N4195=""),"",SUMIFS('Barang Keluar'!$E:$E,'Barang Keluar'!$A:$A,M4195,'Barang Keluar'!$C:$C,N4195))</f>
        <v>0</v>
      </c>
    </row>
    <row r="4196" spans="13:16">
      <c r="M4196" s="49">
        <f>IF($A$4+41&gt;$B$4,"",$A$4+41)</f>
        <v>46064</v>
      </c>
      <c r="N4196">
        <f>IF(M4196="","",'Master Barang'!A90)</f>
        <v>0</v>
      </c>
      <c r="O4196">
        <f>IF(N4196="","",'Master Barang'!B90)</f>
        <v>0</v>
      </c>
      <c r="P4196">
        <f>IF(OR(M4196="",N4196=""),"",SUMIFS('Barang Keluar'!$E:$E,'Barang Keluar'!$A:$A,M4196,'Barang Keluar'!$C:$C,N4196))</f>
        <v>0</v>
      </c>
    </row>
    <row r="4197" spans="13:16">
      <c r="M4197" s="49">
        <f>IF($A$4+41&gt;$B$4,"",$A$4+41)</f>
        <v>46064</v>
      </c>
      <c r="N4197">
        <f>IF(M4197="","",'Master Barang'!A91)</f>
        <v>0</v>
      </c>
      <c r="O4197">
        <f>IF(N4197="","",'Master Barang'!B91)</f>
        <v>0</v>
      </c>
      <c r="P4197">
        <f>IF(OR(M4197="",N4197=""),"",SUMIFS('Barang Keluar'!$E:$E,'Barang Keluar'!$A:$A,M4197,'Barang Keluar'!$C:$C,N4197))</f>
        <v>0</v>
      </c>
    </row>
    <row r="4198" spans="13:16">
      <c r="M4198" s="49">
        <f>IF($A$4+41&gt;$B$4,"",$A$4+41)</f>
        <v>46064</v>
      </c>
      <c r="N4198">
        <f>IF(M4198="","",'Master Barang'!A92)</f>
        <v>0</v>
      </c>
      <c r="O4198">
        <f>IF(N4198="","",'Master Barang'!B92)</f>
        <v>0</v>
      </c>
      <c r="P4198">
        <f>IF(OR(M4198="",N4198=""),"",SUMIFS('Barang Keluar'!$E:$E,'Barang Keluar'!$A:$A,M4198,'Barang Keluar'!$C:$C,N4198))</f>
        <v>0</v>
      </c>
    </row>
    <row r="4199" spans="13:16">
      <c r="M4199" s="49">
        <f>IF($A$4+41&gt;$B$4,"",$A$4+41)</f>
        <v>46064</v>
      </c>
      <c r="N4199">
        <f>IF(M4199="","",'Master Barang'!A93)</f>
        <v>0</v>
      </c>
      <c r="O4199">
        <f>IF(N4199="","",'Master Barang'!B93)</f>
        <v>0</v>
      </c>
      <c r="P4199">
        <f>IF(OR(M4199="",N4199=""),"",SUMIFS('Barang Keluar'!$E:$E,'Barang Keluar'!$A:$A,M4199,'Barang Keluar'!$C:$C,N4199))</f>
        <v>0</v>
      </c>
    </row>
    <row r="4200" spans="13:16">
      <c r="M4200" s="49">
        <f>IF($A$4+41&gt;$B$4,"",$A$4+41)</f>
        <v>46064</v>
      </c>
      <c r="N4200">
        <f>IF(M4200="","",'Master Barang'!A94)</f>
        <v>0</v>
      </c>
      <c r="O4200">
        <f>IF(N4200="","",'Master Barang'!B94)</f>
        <v>0</v>
      </c>
      <c r="P4200">
        <f>IF(OR(M4200="",N4200=""),"",SUMIFS('Barang Keluar'!$E:$E,'Barang Keluar'!$A:$A,M4200,'Barang Keluar'!$C:$C,N4200))</f>
        <v>0</v>
      </c>
    </row>
    <row r="4201" spans="13:16">
      <c r="M4201" s="49">
        <f>IF($A$4+41&gt;$B$4,"",$A$4+41)</f>
        <v>46064</v>
      </c>
      <c r="N4201">
        <f>IF(M4201="","",'Master Barang'!A95)</f>
        <v>0</v>
      </c>
      <c r="O4201">
        <f>IF(N4201="","",'Master Barang'!B95)</f>
        <v>0</v>
      </c>
      <c r="P4201">
        <f>IF(OR(M4201="",N4201=""),"",SUMIFS('Barang Keluar'!$E:$E,'Barang Keluar'!$A:$A,M4201,'Barang Keluar'!$C:$C,N4201))</f>
        <v>0</v>
      </c>
    </row>
    <row r="4202" spans="13:16">
      <c r="M4202" s="49">
        <f>IF($A$4+41&gt;$B$4,"",$A$4+41)</f>
        <v>46064</v>
      </c>
      <c r="N4202">
        <f>IF(M4202="","",'Master Barang'!A96)</f>
        <v>0</v>
      </c>
      <c r="O4202">
        <f>IF(N4202="","",'Master Barang'!B96)</f>
        <v>0</v>
      </c>
      <c r="P4202">
        <f>IF(OR(M4202="",N4202=""),"",SUMIFS('Barang Keluar'!$E:$E,'Barang Keluar'!$A:$A,M4202,'Barang Keluar'!$C:$C,N4202))</f>
        <v>0</v>
      </c>
    </row>
    <row r="4203" spans="13:16">
      <c r="M4203" s="49">
        <f>IF($A$4+41&gt;$B$4,"",$A$4+41)</f>
        <v>46064</v>
      </c>
      <c r="N4203">
        <f>IF(M4203="","",'Master Barang'!A97)</f>
        <v>0</v>
      </c>
      <c r="O4203">
        <f>IF(N4203="","",'Master Barang'!B97)</f>
        <v>0</v>
      </c>
      <c r="P4203">
        <f>IF(OR(M4203="",N4203=""),"",SUMIFS('Barang Keluar'!$E:$E,'Barang Keluar'!$A:$A,M4203,'Barang Keluar'!$C:$C,N4203))</f>
        <v>0</v>
      </c>
    </row>
    <row r="4204" spans="13:16">
      <c r="M4204" s="49">
        <f>IF($A$4+41&gt;$B$4,"",$A$4+41)</f>
        <v>46064</v>
      </c>
      <c r="N4204">
        <f>IF(M4204="","",'Master Barang'!A98)</f>
        <v>0</v>
      </c>
      <c r="O4204">
        <f>IF(N4204="","",'Master Barang'!B98)</f>
        <v>0</v>
      </c>
      <c r="P4204">
        <f>IF(OR(M4204="",N4204=""),"",SUMIFS('Barang Keluar'!$E:$E,'Barang Keluar'!$A:$A,M4204,'Barang Keluar'!$C:$C,N4204))</f>
        <v>0</v>
      </c>
    </row>
    <row r="4205" spans="13:16">
      <c r="M4205" s="49">
        <f>IF($A$4+41&gt;$B$4,"",$A$4+41)</f>
        <v>46064</v>
      </c>
      <c r="N4205">
        <f>IF(M4205="","",'Master Barang'!A99)</f>
        <v>0</v>
      </c>
      <c r="O4205">
        <f>IF(N4205="","",'Master Barang'!B99)</f>
        <v>0</v>
      </c>
      <c r="P4205">
        <f>IF(OR(M4205="",N4205=""),"",SUMIFS('Barang Keluar'!$E:$E,'Barang Keluar'!$A:$A,M4205,'Barang Keluar'!$C:$C,N4205))</f>
        <v>0</v>
      </c>
    </row>
    <row r="4206" spans="13:16">
      <c r="M4206" s="49">
        <f>IF($A$4+41&gt;$B$4,"",$A$4+41)</f>
        <v>46064</v>
      </c>
      <c r="N4206">
        <f>IF(M4206="","",'Master Barang'!A100)</f>
        <v>0</v>
      </c>
      <c r="O4206">
        <f>IF(N4206="","",'Master Barang'!B100)</f>
        <v>0</v>
      </c>
      <c r="P4206">
        <f>IF(OR(M4206="",N4206=""),"",SUMIFS('Barang Keluar'!$E:$E,'Barang Keluar'!$A:$A,M4206,'Barang Keluar'!$C:$C,N4206))</f>
        <v>0</v>
      </c>
    </row>
    <row r="4207" spans="13:16">
      <c r="M4207" s="49">
        <f>IF($A$4+41&gt;$B$4,"",$A$4+41)</f>
        <v>46064</v>
      </c>
      <c r="N4207">
        <f>IF(M4207="","",'Master Barang'!A101)</f>
        <v>0</v>
      </c>
      <c r="O4207">
        <f>IF(N4207="","",'Master Barang'!B101)</f>
        <v>0</v>
      </c>
      <c r="P4207">
        <f>IF(OR(M4207="",N4207=""),"",SUMIFS('Barang Keluar'!$E:$E,'Barang Keluar'!$A:$A,M4207,'Barang Keluar'!$C:$C,N4207))</f>
        <v>0</v>
      </c>
    </row>
    <row r="4208" spans="13:16">
      <c r="M4208" s="49">
        <f>IF($A$4+42&gt;$B$4,"",$A$4+42)</f>
        <v>46065</v>
      </c>
      <c r="N4208" t="str">
        <f>IF(M4208="","",'Master Barang'!A2)</f>
        <v>PRL-001</v>
      </c>
      <c r="O4208" t="str">
        <f>IF(N4208="","",'Master Barang'!B2)</f>
        <v>natura desinfectant food grade 5l</v>
      </c>
      <c r="P4208">
        <f>IF(OR(M4208="",N4208=""),"",SUMIFS('Barang Keluar'!$E:$E,'Barang Keluar'!$A:$A,M4208,'Barang Keluar'!$C:$C,N4208))</f>
        <v>0</v>
      </c>
    </row>
    <row r="4209" spans="13:16">
      <c r="M4209" s="49">
        <f>IF($A$4+42&gt;$B$4,"",$A$4+42)</f>
        <v>46065</v>
      </c>
      <c r="N4209" t="str">
        <f>IF(M4209="","",'Master Barang'!A3)</f>
        <v>PRL-002</v>
      </c>
      <c r="O4209" t="str">
        <f>IF(N4209="","",'Master Barang'!B3)</f>
        <v>sunlight cairan pencuci piring 5l</v>
      </c>
      <c r="P4209">
        <f>IF(OR(M4209="",N4209=""),"",SUMIFS('Barang Keluar'!$E:$E,'Barang Keluar'!$A:$A,M4209,'Barang Keluar'!$C:$C,N4209))</f>
        <v>0</v>
      </c>
    </row>
    <row r="4210" spans="13:16">
      <c r="M4210" s="49">
        <f>IF($A$4+42&gt;$B$4,"",$A$4+42)</f>
        <v>46065</v>
      </c>
      <c r="N4210" t="str">
        <f>IF(M4210="","",'Master Barang'!A4)</f>
        <v>PRL-003</v>
      </c>
      <c r="O4210" t="str">
        <f>IF(N4210="","",'Master Barang'!B4)</f>
        <v>oixs cleaner 1l</v>
      </c>
      <c r="P4210">
        <f>IF(OR(M4210="",N4210=""),"",SUMIFS('Barang Keluar'!$E:$E,'Barang Keluar'!$A:$A,M4210,'Barang Keluar'!$C:$C,N4210))</f>
        <v>0</v>
      </c>
    </row>
    <row r="4211" spans="13:16">
      <c r="M4211" s="49">
        <f>IF($A$4+42&gt;$B$4,"",$A$4+42)</f>
        <v>46065</v>
      </c>
      <c r="N4211" t="str">
        <f>IF(M4211="","",'Master Barang'!A5)</f>
        <v>PRL-004</v>
      </c>
      <c r="O4211" t="str">
        <f>IF(N4211="","",'Master Barang'!B5)</f>
        <v>be clean tissue serbaguna</v>
      </c>
      <c r="P4211">
        <f>IF(OR(M4211="",N4211=""),"",SUMIFS('Barang Keluar'!$E:$E,'Barang Keluar'!$A:$A,M4211,'Barang Keluar'!$C:$C,N4211))</f>
        <v>0</v>
      </c>
    </row>
    <row r="4212" spans="13:16">
      <c r="M4212" s="49">
        <f>IF($A$4+42&gt;$B$4,"",$A$4+42)</f>
        <v>46065</v>
      </c>
      <c r="N4212" t="str">
        <f>IF(M4212="","",'Master Barang'!A6)</f>
        <v>PRL-005</v>
      </c>
      <c r="O4212" t="str">
        <f>IF(N4212="","",'Master Barang'!B6)</f>
        <v>spons cuci hijau</v>
      </c>
      <c r="P4212">
        <f>IF(OR(M4212="",N4212=""),"",SUMIFS('Barang Keluar'!$E:$E,'Barang Keluar'!$A:$A,M4212,'Barang Keluar'!$C:$C,N4212))</f>
        <v>0</v>
      </c>
    </row>
    <row r="4213" spans="13:16">
      <c r="M4213" s="49">
        <f>IF($A$4+42&gt;$B$4,"",$A$4+42)</f>
        <v>46065</v>
      </c>
      <c r="N4213" t="str">
        <f>IF(M4213="","",'Master Barang'!A7)</f>
        <v>PRL-006</v>
      </c>
      <c r="O4213" t="str">
        <f>IF(N4213="","",'Master Barang'!B7)</f>
        <v>sabut cuci stainless</v>
      </c>
      <c r="P4213">
        <f>IF(OR(M4213="",N4213=""),"",SUMIFS('Barang Keluar'!$E:$E,'Barang Keluar'!$A:$A,M4213,'Barang Keluar'!$C:$C,N4213))</f>
        <v>0</v>
      </c>
    </row>
    <row r="4214" spans="13:16">
      <c r="M4214" s="49">
        <f>IF($A$4+42&gt;$B$4,"",$A$4+42)</f>
        <v>46065</v>
      </c>
      <c r="N4214" t="str">
        <f>IF(M4214="","",'Master Barang'!A8)</f>
        <v>PRL-007</v>
      </c>
      <c r="O4214" t="str">
        <f>IF(N4214="","",'Master Barang'!B8)</f>
        <v>plastik kresek besar merah 50pc</v>
      </c>
      <c r="P4214">
        <f>IF(OR(M4214="",N4214=""),"",SUMIFS('Barang Keluar'!$E:$E,'Barang Keluar'!$A:$A,M4214,'Barang Keluar'!$C:$C,N4214))</f>
        <v>0</v>
      </c>
    </row>
    <row r="4215" spans="13:16">
      <c r="M4215" s="49">
        <f>IF($A$4+42&gt;$B$4,"",$A$4+42)</f>
        <v>46065</v>
      </c>
      <c r="N4215" t="str">
        <f>IF(M4215="","",'Master Barang'!A9)</f>
        <v>PRL-008</v>
      </c>
      <c r="O4215" t="str">
        <f>IF(N4215="","",'Master Barang'!B9)</f>
        <v>lap besar</v>
      </c>
      <c r="P4215">
        <f>IF(OR(M4215="",N4215=""),"",SUMIFS('Barang Keluar'!$E:$E,'Barang Keluar'!$A:$A,M4215,'Barang Keluar'!$C:$C,N4215))</f>
        <v>0</v>
      </c>
    </row>
    <row r="4216" spans="13:16">
      <c r="M4216" s="49">
        <f>IF($A$4+42&gt;$B$4,"",$A$4+42)</f>
        <v>46065</v>
      </c>
      <c r="N4216" t="str">
        <f>IF(M4216="","",'Master Barang'!A10)</f>
        <v>PRL-009</v>
      </c>
      <c r="O4216" t="str">
        <f>IF(N4216="","",'Master Barang'!B10)</f>
        <v>lap microfiber</v>
      </c>
      <c r="P4216">
        <f>IF(OR(M4216="",N4216=""),"",SUMIFS('Barang Keluar'!$E:$E,'Barang Keluar'!$A:$A,M4216,'Barang Keluar'!$C:$C,N4216))</f>
        <v>0</v>
      </c>
    </row>
    <row r="4217" spans="13:16">
      <c r="M4217" s="49">
        <f>IF($A$4+42&gt;$B$4,"",$A$4+42)</f>
        <v>46065</v>
      </c>
      <c r="N4217" t="str">
        <f>IF(M4217="","",'Master Barang'!A11)</f>
        <v>PRL-010</v>
      </c>
      <c r="O4217" t="str">
        <f>IF(N4217="","",'Master Barang'!B11)</f>
        <v>lap kecil</v>
      </c>
      <c r="P4217">
        <f>IF(OR(M4217="",N4217=""),"",SUMIFS('Barang Keluar'!$E:$E,'Barang Keluar'!$A:$A,M4217,'Barang Keluar'!$C:$C,N4217))</f>
        <v>0</v>
      </c>
    </row>
    <row r="4218" spans="13:16">
      <c r="M4218" s="49">
        <f>IF($A$4+42&gt;$B$4,"",$A$4+42)</f>
        <v>46065</v>
      </c>
      <c r="N4218" t="str">
        <f>IF(M4218="","",'Master Barang'!A12)</f>
        <v>PRL-011</v>
      </c>
      <c r="O4218" t="str">
        <f>IF(N4218="","",'Master Barang'!B12)</f>
        <v>kanebo kecil</v>
      </c>
      <c r="P4218">
        <f>IF(OR(M4218="",N4218=""),"",SUMIFS('Barang Keluar'!$E:$E,'Barang Keluar'!$A:$A,M4218,'Barang Keluar'!$C:$C,N4218))</f>
        <v>0</v>
      </c>
    </row>
    <row r="4219" spans="13:16">
      <c r="M4219" s="49">
        <f>IF($A$4+42&gt;$B$4,"",$A$4+42)</f>
        <v>46065</v>
      </c>
      <c r="N4219" t="str">
        <f>IF(M4219="","",'Master Barang'!A13)</f>
        <v>PRL-012</v>
      </c>
      <c r="O4219" t="str">
        <f>IF(N4219="","",'Master Barang'!B13)</f>
        <v>plastik 1/4kg joyoboyo 100 lembar</v>
      </c>
      <c r="P4219">
        <f>IF(OR(M4219="",N4219=""),"",SUMIFS('Barang Keluar'!$E:$E,'Barang Keluar'!$A:$A,M4219,'Barang Keluar'!$C:$C,N4219))</f>
        <v>0</v>
      </c>
    </row>
    <row r="4220" spans="13:16">
      <c r="M4220" s="49">
        <f>IF($A$4+42&gt;$B$4,"",$A$4+42)</f>
        <v>46065</v>
      </c>
      <c r="N4220" t="str">
        <f>IF(M4220="","",'Master Barang'!A14)</f>
        <v>PRL-013</v>
      </c>
      <c r="O4220" t="str">
        <f>IF(N4220="","",'Master Barang'!B14)</f>
        <v>sarung tangan plastik kaka 100 pcs</v>
      </c>
      <c r="P4220">
        <f>IF(OR(M4220="",N4220=""),"",SUMIFS('Barang Keluar'!$E:$E,'Barang Keluar'!$A:$A,M4220,'Barang Keluar'!$C:$C,N4220))</f>
        <v>0</v>
      </c>
    </row>
    <row r="4221" spans="13:16">
      <c r="M4221" s="49">
        <f>IF($A$4+42&gt;$B$4,"",$A$4+42)</f>
        <v>46065</v>
      </c>
      <c r="N4221" t="str">
        <f>IF(M4221="","",'Master Barang'!A15)</f>
        <v>PRL-014</v>
      </c>
      <c r="O4221" t="str">
        <f>IF(N4221="","",'Master Barang'!B15)</f>
        <v>optima trashbag 80x100</v>
      </c>
      <c r="P4221">
        <f>IF(OR(M4221="",N4221=""),"",SUMIFS('Barang Keluar'!$E:$E,'Barang Keluar'!$A:$A,M4221,'Barang Keluar'!$C:$C,N4221))</f>
        <v>0</v>
      </c>
    </row>
    <row r="4222" spans="13:16">
      <c r="M4222" s="49">
        <f>IF($A$4+42&gt;$B$4,"",$A$4+42)</f>
        <v>46065</v>
      </c>
      <c r="N4222" t="str">
        <f>IF(M4222="","",'Master Barang'!A16)</f>
        <v>PRL-015</v>
      </c>
      <c r="O4222" t="str">
        <f>IF(N4222="","",'Master Barang'!B16)</f>
        <v>optima trashbag 60x100</v>
      </c>
      <c r="P4222">
        <f>IF(OR(M4222="",N4222=""),"",SUMIFS('Barang Keluar'!$E:$E,'Barang Keluar'!$A:$A,M4222,'Barang Keluar'!$C:$C,N4222))</f>
        <v>0</v>
      </c>
    </row>
    <row r="4223" spans="13:16">
      <c r="M4223" s="49">
        <f>IF($A$4+42&gt;$B$4,"",$A$4+42)</f>
        <v>46065</v>
      </c>
      <c r="N4223" t="str">
        <f>IF(M4223="","",'Master Barang'!A17)</f>
        <v>PRL-016</v>
      </c>
      <c r="O4223" t="str">
        <f>IF(N4223="","",'Master Barang'!B17)</f>
        <v>rajawali trashbag 30x40</v>
      </c>
      <c r="P4223">
        <f>IF(OR(M4223="",N4223=""),"",SUMIFS('Barang Keluar'!$E:$E,'Barang Keluar'!$A:$A,M4223,'Barang Keluar'!$C:$C,N4223))</f>
        <v>0</v>
      </c>
    </row>
    <row r="4224" spans="13:16">
      <c r="M4224" s="49">
        <f>IF($A$4+42&gt;$B$4,"",$A$4+42)</f>
        <v>46065</v>
      </c>
      <c r="N4224" t="str">
        <f>IF(M4224="","",'Master Barang'!A18)</f>
        <v>PRL-017</v>
      </c>
      <c r="O4224" t="str">
        <f>IF(N4224="","",'Master Barang'!B18)</f>
        <v>onemed masker biru 3 play 50 pcs</v>
      </c>
      <c r="P4224">
        <f>IF(OR(M4224="",N4224=""),"",SUMIFS('Barang Keluar'!$E:$E,'Barang Keluar'!$A:$A,M4224,'Barang Keluar'!$C:$C,N4224))</f>
        <v>0</v>
      </c>
    </row>
    <row r="4225" spans="13:16">
      <c r="M4225" s="49">
        <f>IF($A$4+42&gt;$B$4,"",$A$4+42)</f>
        <v>46065</v>
      </c>
      <c r="N4225" t="str">
        <f>IF(M4225="","",'Master Barang'!A19)</f>
        <v>PRL-018</v>
      </c>
      <c r="O4225" t="str">
        <f>IF(N4225="","",'Master Barang'!B19)</f>
        <v>onemed masker biru 3 play hijab 50 pcs</v>
      </c>
      <c r="P4225">
        <f>IF(OR(M4225="",N4225=""),"",SUMIFS('Barang Keluar'!$E:$E,'Barang Keluar'!$A:$A,M4225,'Barang Keluar'!$C:$C,N4225))</f>
        <v>0</v>
      </c>
    </row>
    <row r="4226" spans="13:16">
      <c r="M4226" s="49">
        <f>IF($A$4+42&gt;$B$4,"",$A$4+42)</f>
        <v>46065</v>
      </c>
      <c r="N4226" t="str">
        <f>IF(M4226="","",'Master Barang'!A20)</f>
        <v>PRL-019</v>
      </c>
      <c r="O4226" t="str">
        <f>IF(N4226="","",'Master Barang'!B20)</f>
        <v>neo health masker biru 3 play 50 pcs</v>
      </c>
      <c r="P4226">
        <f>IF(OR(M4226="",N4226=""),"",SUMIFS('Barang Keluar'!$E:$E,'Barang Keluar'!$A:$A,M4226,'Barang Keluar'!$C:$C,N4226))</f>
        <v>0</v>
      </c>
    </row>
    <row r="4227" spans="13:16">
      <c r="M4227" s="49">
        <f>IF($A$4+42&gt;$B$4,"",$A$4+42)</f>
        <v>46065</v>
      </c>
      <c r="N4227" t="str">
        <f>IF(M4227="","",'Master Barang'!A21)</f>
        <v>PRL-020</v>
      </c>
      <c r="O4227" t="str">
        <f>IF(N4227="","",'Master Barang'!B21)</f>
        <v>baymed masker hijau 3 play hijau 50 pcs</v>
      </c>
      <c r="P4227">
        <f>IF(OR(M4227="",N4227=""),"",SUMIFS('Barang Keluar'!$E:$E,'Barang Keluar'!$A:$A,M4227,'Barang Keluar'!$C:$C,N4227))</f>
        <v>0</v>
      </c>
    </row>
    <row r="4228" spans="13:16">
      <c r="M4228" s="49">
        <f>IF($A$4+42&gt;$B$4,"",$A$4+42)</f>
        <v>46065</v>
      </c>
      <c r="N4228" t="str">
        <f>IF(M4228="","",'Master Barang'!A22)</f>
        <v>PRL-021</v>
      </c>
      <c r="O4228" t="str">
        <f>IF(N4228="","",'Master Barang'!B22)</f>
        <v>altamed nurse cap penutup kepala 100 pcs</v>
      </c>
      <c r="P4228">
        <f>IF(OR(M4228="",N4228=""),"",SUMIFS('Barang Keluar'!$E:$E,'Barang Keluar'!$A:$A,M4228,'Barang Keluar'!$C:$C,N4228))</f>
        <v>0</v>
      </c>
    </row>
    <row r="4229" spans="13:16">
      <c r="M4229" s="49">
        <f>IF($A$4+42&gt;$B$4,"",$A$4+42)</f>
        <v>46065</v>
      </c>
      <c r="N4229" t="str">
        <f>IF(M4229="","",'Master Barang'!A23)</f>
        <v>PRL-022</v>
      </c>
      <c r="O4229" t="str">
        <f>IF(N4229="","",'Master Barang'!B23)</f>
        <v>sabun cuci tangan</v>
      </c>
      <c r="P4229">
        <f>IF(OR(M4229="",N4229=""),"",SUMIFS('Barang Keluar'!$E:$E,'Barang Keluar'!$A:$A,M4229,'Barang Keluar'!$C:$C,N4229))</f>
        <v>0</v>
      </c>
    </row>
    <row r="4230" spans="13:16">
      <c r="M4230" s="49">
        <f>IF($A$4+42&gt;$B$4,"",$A$4+42)</f>
        <v>46065</v>
      </c>
      <c r="N4230" t="str">
        <f>IF(M4230="","",'Master Barang'!A24)</f>
        <v>PRL-023</v>
      </c>
      <c r="O4230" t="str">
        <f>IF(N4230="","",'Master Barang'!B24)</f>
        <v>gayung kecil</v>
      </c>
      <c r="P4230">
        <f>IF(OR(M4230="",N4230=""),"",SUMIFS('Barang Keluar'!$E:$E,'Barang Keluar'!$A:$A,M4230,'Barang Keluar'!$C:$C,N4230))</f>
        <v>0</v>
      </c>
    </row>
    <row r="4231" spans="13:16">
      <c r="M4231" s="49">
        <f>IF($A$4+42&gt;$B$4,"",$A$4+42)</f>
        <v>46065</v>
      </c>
      <c r="N4231" t="str">
        <f>IF(M4231="","",'Master Barang'!A25)</f>
        <v>PRL-024</v>
      </c>
      <c r="O4231" t="str">
        <f>IF(N4231="","",'Master Barang'!B25)</f>
        <v>cikrak kecil</v>
      </c>
      <c r="P4231">
        <f>IF(OR(M4231="",N4231=""),"",SUMIFS('Barang Keluar'!$E:$E,'Barang Keluar'!$A:$A,M4231,'Barang Keluar'!$C:$C,N4231))</f>
        <v>0</v>
      </c>
    </row>
    <row r="4232" spans="13:16">
      <c r="M4232" s="49">
        <f>IF($A$4+42&gt;$B$4,"",$A$4+42)</f>
        <v>46065</v>
      </c>
      <c r="N4232" t="str">
        <f>IF(M4232="","",'Master Barang'!A26)</f>
        <v>PRL-025</v>
      </c>
      <c r="O4232" t="str">
        <f>IF(N4232="","",'Master Barang'!B26)</f>
        <v>petromax plastik kecil 12x24 100 lembar</v>
      </c>
      <c r="P4232">
        <f>IF(OR(M4232="",N4232=""),"",SUMIFS('Barang Keluar'!$E:$E,'Barang Keluar'!$A:$A,M4232,'Barang Keluar'!$C:$C,N4232))</f>
        <v>0</v>
      </c>
    </row>
    <row r="4233" spans="13:16">
      <c r="M4233" s="49">
        <f>IF($A$4+42&gt;$B$4,"",$A$4+42)</f>
        <v>46065</v>
      </c>
      <c r="N4233" t="str">
        <f>IF(M4233="","",'Master Barang'!A27)</f>
        <v>PRL-026</v>
      </c>
      <c r="O4233" t="str">
        <f>IF(N4233="","",'Master Barang'!B27)</f>
        <v>lancar kresek kecil bening </v>
      </c>
      <c r="P4233">
        <f>IF(OR(M4233="",N4233=""),"",SUMIFS('Barang Keluar'!$E:$E,'Barang Keluar'!$A:$A,M4233,'Barang Keluar'!$C:$C,N4233))</f>
        <v>0</v>
      </c>
    </row>
    <row r="4234" spans="13:16">
      <c r="M4234" s="49">
        <f>IF($A$4+42&gt;$B$4,"",$A$4+42)</f>
        <v>46065</v>
      </c>
      <c r="N4234" t="str">
        <f>IF(M4234="","",'Master Barang'!A28)</f>
        <v>PRL-027</v>
      </c>
      <c r="O4234" t="str">
        <f>IF(N4234="","",'Master Barang'!B28)</f>
        <v>kresek klin warna warni kecil</v>
      </c>
      <c r="P4234">
        <f>IF(OR(M4234="",N4234=""),"",SUMIFS('Barang Keluar'!$E:$E,'Barang Keluar'!$A:$A,M4234,'Barang Keluar'!$C:$C,N4234))</f>
        <v>0</v>
      </c>
    </row>
    <row r="4235" spans="13:16">
      <c r="M4235" s="49">
        <f>IF($A$4+42&gt;$B$4,"",$A$4+42)</f>
        <v>46065</v>
      </c>
      <c r="N4235" t="str">
        <f>IF(M4235="","",'Master Barang'!A29)</f>
        <v>PRL-028</v>
      </c>
      <c r="O4235" t="str">
        <f>IF(N4235="","",'Master Barang'!B29)</f>
        <v>ctik plastik 7x10 100 pcs</v>
      </c>
      <c r="P4235">
        <f>IF(OR(M4235="",N4235=""),"",SUMIFS('Barang Keluar'!$E:$E,'Barang Keluar'!$A:$A,M4235,'Barang Keluar'!$C:$C,N4235))</f>
        <v>0</v>
      </c>
    </row>
    <row r="4236" spans="13:16">
      <c r="M4236" s="49">
        <f>IF($A$4+42&gt;$B$4,"",$A$4+42)</f>
        <v>46065</v>
      </c>
      <c r="N4236" t="str">
        <f>IF(M4236="","",'Master Barang'!A30)</f>
        <v>PRL-029</v>
      </c>
      <c r="O4236" t="str">
        <f>IF(N4236="","",'Master Barang'!B30)</f>
        <v>ctik plastik 6x10 100 pcs</v>
      </c>
      <c r="P4236">
        <f>IF(OR(M4236="",N4236=""),"",SUMIFS('Barang Keluar'!$E:$E,'Barang Keluar'!$A:$A,M4236,'Barang Keluar'!$C:$C,N4236))</f>
        <v>0</v>
      </c>
    </row>
    <row r="4237" spans="13:16">
      <c r="M4237" s="49">
        <f>IF($A$4+42&gt;$B$4,"",$A$4+42)</f>
        <v>46065</v>
      </c>
      <c r="N4237" t="str">
        <f>IF(M4237="","",'Master Barang'!A31)</f>
        <v>PRL-030</v>
      </c>
      <c r="O4237" t="str">
        <f>IF(N4237="","",'Master Barang'!B31)</f>
        <v>klip plastik 25x16 100 pcs</v>
      </c>
      <c r="P4237">
        <f>IF(OR(M4237="",N4237=""),"",SUMIFS('Barang Keluar'!$E:$E,'Barang Keluar'!$A:$A,M4237,'Barang Keluar'!$C:$C,N4237))</f>
        <v>0</v>
      </c>
    </row>
    <row r="4238" spans="13:16">
      <c r="M4238" s="49">
        <f>IF($A$4+42&gt;$B$4,"",$A$4+42)</f>
        <v>46065</v>
      </c>
      <c r="N4238" t="str">
        <f>IF(M4238="","",'Master Barang'!A32)</f>
        <v>PRL-031</v>
      </c>
      <c r="O4238" t="str">
        <f>IF(N4238="","",'Master Barang'!B32)</f>
        <v>tempat saus 20 ml</v>
      </c>
      <c r="P4238">
        <f>IF(OR(M4238="",N4238=""),"",SUMIFS('Barang Keluar'!$E:$E,'Barang Keluar'!$A:$A,M4238,'Barang Keluar'!$C:$C,N4238))</f>
        <v>0</v>
      </c>
    </row>
    <row r="4239" spans="13:16">
      <c r="M4239" s="49">
        <f>IF($A$4+42&gt;$B$4,"",$A$4+42)</f>
        <v>46065</v>
      </c>
      <c r="N4239" t="str">
        <f>IF(M4239="","",'Master Barang'!A33)</f>
        <v>PRL-032</v>
      </c>
      <c r="O4239" t="str">
        <f>IF(N4239="","",'Master Barang'!B33)</f>
        <v>plastik packaging ag box uk sedang</v>
      </c>
      <c r="P4239">
        <f>IF(OR(M4239="",N4239=""),"",SUMIFS('Barang Keluar'!$E:$E,'Barang Keluar'!$A:$A,M4239,'Barang Keluar'!$C:$C,N4239))</f>
        <v>0</v>
      </c>
    </row>
    <row r="4240" spans="13:16">
      <c r="M4240" s="49">
        <f>IF($A$4+42&gt;$B$4,"",$A$4+42)</f>
        <v>46065</v>
      </c>
      <c r="N4240" t="str">
        <f>IF(M4240="","",'Master Barang'!A34)</f>
        <v>PRL-033</v>
      </c>
      <c r="O4240">
        <f>IF(N4240="","",'Master Barang'!B34)</f>
        <v>0</v>
      </c>
      <c r="P4240">
        <f>IF(OR(M4240="",N4240=""),"",SUMIFS('Barang Keluar'!$E:$E,'Barang Keluar'!$A:$A,M4240,'Barang Keluar'!$C:$C,N4240))</f>
        <v>0</v>
      </c>
    </row>
    <row r="4241" spans="13:16">
      <c r="M4241" s="49">
        <f>IF($A$4+42&gt;$B$4,"",$A$4+42)</f>
        <v>46065</v>
      </c>
      <c r="N4241">
        <f>IF(M4241="","",'Master Barang'!A35)</f>
        <v>0</v>
      </c>
      <c r="O4241">
        <f>IF(N4241="","",'Master Barang'!B35)</f>
        <v>0</v>
      </c>
      <c r="P4241">
        <f>IF(OR(M4241="",N4241=""),"",SUMIFS('Barang Keluar'!$E:$E,'Barang Keluar'!$A:$A,M4241,'Barang Keluar'!$C:$C,N4241))</f>
        <v>0</v>
      </c>
    </row>
    <row r="4242" spans="13:16">
      <c r="M4242" s="49">
        <f>IF($A$4+42&gt;$B$4,"",$A$4+42)</f>
        <v>46065</v>
      </c>
      <c r="N4242">
        <f>IF(M4242="","",'Master Barang'!A36)</f>
        <v>0</v>
      </c>
      <c r="O4242">
        <f>IF(N4242="","",'Master Barang'!B36)</f>
        <v>0</v>
      </c>
      <c r="P4242">
        <f>IF(OR(M4242="",N4242=""),"",SUMIFS('Barang Keluar'!$E:$E,'Barang Keluar'!$A:$A,M4242,'Barang Keluar'!$C:$C,N4242))</f>
        <v>0</v>
      </c>
    </row>
    <row r="4243" spans="13:16">
      <c r="M4243" s="49">
        <f>IF($A$4+42&gt;$B$4,"",$A$4+42)</f>
        <v>46065</v>
      </c>
      <c r="N4243">
        <f>IF(M4243="","",'Master Barang'!A37)</f>
        <v>0</v>
      </c>
      <c r="O4243">
        <f>IF(N4243="","",'Master Barang'!B37)</f>
        <v>0</v>
      </c>
      <c r="P4243">
        <f>IF(OR(M4243="",N4243=""),"",SUMIFS('Barang Keluar'!$E:$E,'Barang Keluar'!$A:$A,M4243,'Barang Keluar'!$C:$C,N4243))</f>
        <v>0</v>
      </c>
    </row>
    <row r="4244" spans="13:16">
      <c r="M4244" s="49">
        <f>IF($A$4+42&gt;$B$4,"",$A$4+42)</f>
        <v>46065</v>
      </c>
      <c r="N4244">
        <f>IF(M4244="","",'Master Barang'!A38)</f>
        <v>0</v>
      </c>
      <c r="O4244">
        <f>IF(N4244="","",'Master Barang'!B38)</f>
        <v>0</v>
      </c>
      <c r="P4244">
        <f>IF(OR(M4244="",N4244=""),"",SUMIFS('Barang Keluar'!$E:$E,'Barang Keluar'!$A:$A,M4244,'Barang Keluar'!$C:$C,N4244))</f>
        <v>0</v>
      </c>
    </row>
    <row r="4245" spans="13:16">
      <c r="M4245" s="49">
        <f>IF($A$4+42&gt;$B$4,"",$A$4+42)</f>
        <v>46065</v>
      </c>
      <c r="N4245">
        <f>IF(M4245="","",'Master Barang'!A39)</f>
        <v>0</v>
      </c>
      <c r="O4245">
        <f>IF(N4245="","",'Master Barang'!B39)</f>
        <v>0</v>
      </c>
      <c r="P4245">
        <f>IF(OR(M4245="",N4245=""),"",SUMIFS('Barang Keluar'!$E:$E,'Barang Keluar'!$A:$A,M4245,'Barang Keluar'!$C:$C,N4245))</f>
        <v>0</v>
      </c>
    </row>
    <row r="4246" spans="13:16">
      <c r="M4246" s="49">
        <f>IF($A$4+42&gt;$B$4,"",$A$4+42)</f>
        <v>46065</v>
      </c>
      <c r="N4246">
        <f>IF(M4246="","",'Master Barang'!A40)</f>
        <v>0</v>
      </c>
      <c r="O4246">
        <f>IF(N4246="","",'Master Barang'!B40)</f>
        <v>0</v>
      </c>
      <c r="P4246">
        <f>IF(OR(M4246="",N4246=""),"",SUMIFS('Barang Keluar'!$E:$E,'Barang Keluar'!$A:$A,M4246,'Barang Keluar'!$C:$C,N4246))</f>
        <v>0</v>
      </c>
    </row>
    <row r="4247" spans="13:16">
      <c r="M4247" s="49">
        <f>IF($A$4+42&gt;$B$4,"",$A$4+42)</f>
        <v>46065</v>
      </c>
      <c r="N4247">
        <f>IF(M4247="","",'Master Barang'!A41)</f>
        <v>0</v>
      </c>
      <c r="O4247">
        <f>IF(N4247="","",'Master Barang'!B41)</f>
        <v>0</v>
      </c>
      <c r="P4247">
        <f>IF(OR(M4247="",N4247=""),"",SUMIFS('Barang Keluar'!$E:$E,'Barang Keluar'!$A:$A,M4247,'Barang Keluar'!$C:$C,N4247))</f>
        <v>0</v>
      </c>
    </row>
    <row r="4248" spans="13:16">
      <c r="M4248" s="49">
        <f>IF($A$4+42&gt;$B$4,"",$A$4+42)</f>
        <v>46065</v>
      </c>
      <c r="N4248">
        <f>IF(M4248="","",'Master Barang'!A42)</f>
        <v>0</v>
      </c>
      <c r="O4248">
        <f>IF(N4248="","",'Master Barang'!B42)</f>
        <v>0</v>
      </c>
      <c r="P4248">
        <f>IF(OR(M4248="",N4248=""),"",SUMIFS('Barang Keluar'!$E:$E,'Barang Keluar'!$A:$A,M4248,'Barang Keluar'!$C:$C,N4248))</f>
        <v>0</v>
      </c>
    </row>
    <row r="4249" spans="13:16">
      <c r="M4249" s="49">
        <f>IF($A$4+42&gt;$B$4,"",$A$4+42)</f>
        <v>46065</v>
      </c>
      <c r="N4249">
        <f>IF(M4249="","",'Master Barang'!A43)</f>
        <v>0</v>
      </c>
      <c r="O4249">
        <f>IF(N4249="","",'Master Barang'!B43)</f>
        <v>0</v>
      </c>
      <c r="P4249">
        <f>IF(OR(M4249="",N4249=""),"",SUMIFS('Barang Keluar'!$E:$E,'Barang Keluar'!$A:$A,M4249,'Barang Keluar'!$C:$C,N4249))</f>
        <v>0</v>
      </c>
    </row>
    <row r="4250" spans="13:16">
      <c r="M4250" s="49">
        <f>IF($A$4+42&gt;$B$4,"",$A$4+42)</f>
        <v>46065</v>
      </c>
      <c r="N4250">
        <f>IF(M4250="","",'Master Barang'!A44)</f>
        <v>0</v>
      </c>
      <c r="O4250">
        <f>IF(N4250="","",'Master Barang'!B44)</f>
        <v>0</v>
      </c>
      <c r="P4250">
        <f>IF(OR(M4250="",N4250=""),"",SUMIFS('Barang Keluar'!$E:$E,'Barang Keluar'!$A:$A,M4250,'Barang Keluar'!$C:$C,N4250))</f>
        <v>0</v>
      </c>
    </row>
    <row r="4251" spans="13:16">
      <c r="M4251" s="49">
        <f>IF($A$4+42&gt;$B$4,"",$A$4+42)</f>
        <v>46065</v>
      </c>
      <c r="N4251">
        <f>IF(M4251="","",'Master Barang'!A45)</f>
        <v>0</v>
      </c>
      <c r="O4251">
        <f>IF(N4251="","",'Master Barang'!B45)</f>
        <v>0</v>
      </c>
      <c r="P4251">
        <f>IF(OR(M4251="",N4251=""),"",SUMIFS('Barang Keluar'!$E:$E,'Barang Keluar'!$A:$A,M4251,'Barang Keluar'!$C:$C,N4251))</f>
        <v>0</v>
      </c>
    </row>
    <row r="4252" spans="13:16">
      <c r="M4252" s="49">
        <f>IF($A$4+42&gt;$B$4,"",$A$4+42)</f>
        <v>46065</v>
      </c>
      <c r="N4252">
        <f>IF(M4252="","",'Master Barang'!A46)</f>
        <v>0</v>
      </c>
      <c r="O4252">
        <f>IF(N4252="","",'Master Barang'!B46)</f>
        <v>0</v>
      </c>
      <c r="P4252">
        <f>IF(OR(M4252="",N4252=""),"",SUMIFS('Barang Keluar'!$E:$E,'Barang Keluar'!$A:$A,M4252,'Barang Keluar'!$C:$C,N4252))</f>
        <v>0</v>
      </c>
    </row>
    <row r="4253" spans="13:16">
      <c r="M4253" s="49">
        <f>IF($A$4+42&gt;$B$4,"",$A$4+42)</f>
        <v>46065</v>
      </c>
      <c r="N4253">
        <f>IF(M4253="","",'Master Barang'!A47)</f>
        <v>0</v>
      </c>
      <c r="O4253">
        <f>IF(N4253="","",'Master Barang'!B47)</f>
        <v>0</v>
      </c>
      <c r="P4253">
        <f>IF(OR(M4253="",N4253=""),"",SUMIFS('Barang Keluar'!$E:$E,'Barang Keluar'!$A:$A,M4253,'Barang Keluar'!$C:$C,N4253))</f>
        <v>0</v>
      </c>
    </row>
    <row r="4254" spans="13:16">
      <c r="M4254" s="49">
        <f>IF($A$4+42&gt;$B$4,"",$A$4+42)</f>
        <v>46065</v>
      </c>
      <c r="N4254">
        <f>IF(M4254="","",'Master Barang'!A48)</f>
        <v>0</v>
      </c>
      <c r="O4254">
        <f>IF(N4254="","",'Master Barang'!B48)</f>
        <v>0</v>
      </c>
      <c r="P4254">
        <f>IF(OR(M4254="",N4254=""),"",SUMIFS('Barang Keluar'!$E:$E,'Barang Keluar'!$A:$A,M4254,'Barang Keluar'!$C:$C,N4254))</f>
        <v>0</v>
      </c>
    </row>
    <row r="4255" spans="13:16">
      <c r="M4255" s="49">
        <f>IF($A$4+42&gt;$B$4,"",$A$4+42)</f>
        <v>46065</v>
      </c>
      <c r="N4255">
        <f>IF(M4255="","",'Master Barang'!A49)</f>
        <v>0</v>
      </c>
      <c r="O4255">
        <f>IF(N4255="","",'Master Barang'!B49)</f>
        <v>0</v>
      </c>
      <c r="P4255">
        <f>IF(OR(M4255="",N4255=""),"",SUMIFS('Barang Keluar'!$E:$E,'Barang Keluar'!$A:$A,M4255,'Barang Keluar'!$C:$C,N4255))</f>
        <v>0</v>
      </c>
    </row>
    <row r="4256" spans="13:16">
      <c r="M4256" s="49">
        <f>IF($A$4+42&gt;$B$4,"",$A$4+42)</f>
        <v>46065</v>
      </c>
      <c r="N4256">
        <f>IF(M4256="","",'Master Barang'!A50)</f>
        <v>0</v>
      </c>
      <c r="O4256">
        <f>IF(N4256="","",'Master Barang'!B50)</f>
        <v>0</v>
      </c>
      <c r="P4256">
        <f>IF(OR(M4256="",N4256=""),"",SUMIFS('Barang Keluar'!$E:$E,'Barang Keluar'!$A:$A,M4256,'Barang Keluar'!$C:$C,N4256))</f>
        <v>0</v>
      </c>
    </row>
    <row r="4257" spans="13:16">
      <c r="M4257" s="49">
        <f>IF($A$4+42&gt;$B$4,"",$A$4+42)</f>
        <v>46065</v>
      </c>
      <c r="N4257">
        <f>IF(M4257="","",'Master Barang'!A51)</f>
        <v>0</v>
      </c>
      <c r="O4257">
        <f>IF(N4257="","",'Master Barang'!B51)</f>
        <v>0</v>
      </c>
      <c r="P4257">
        <f>IF(OR(M4257="",N4257=""),"",SUMIFS('Barang Keluar'!$E:$E,'Barang Keluar'!$A:$A,M4257,'Barang Keluar'!$C:$C,N4257))</f>
        <v>0</v>
      </c>
    </row>
    <row r="4258" spans="13:16">
      <c r="M4258" s="49">
        <f>IF($A$4+42&gt;$B$4,"",$A$4+42)</f>
        <v>46065</v>
      </c>
      <c r="N4258">
        <f>IF(M4258="","",'Master Barang'!A52)</f>
        <v>0</v>
      </c>
      <c r="O4258">
        <f>IF(N4258="","",'Master Barang'!B52)</f>
        <v>0</v>
      </c>
      <c r="P4258">
        <f>IF(OR(M4258="",N4258=""),"",SUMIFS('Barang Keluar'!$E:$E,'Barang Keluar'!$A:$A,M4258,'Barang Keluar'!$C:$C,N4258))</f>
        <v>0</v>
      </c>
    </row>
    <row r="4259" spans="13:16">
      <c r="M4259" s="49">
        <f>IF($A$4+42&gt;$B$4,"",$A$4+42)</f>
        <v>46065</v>
      </c>
      <c r="N4259">
        <f>IF(M4259="","",'Master Barang'!A53)</f>
        <v>0</v>
      </c>
      <c r="O4259">
        <f>IF(N4259="","",'Master Barang'!B53)</f>
        <v>0</v>
      </c>
      <c r="P4259">
        <f>IF(OR(M4259="",N4259=""),"",SUMIFS('Barang Keluar'!$E:$E,'Barang Keluar'!$A:$A,M4259,'Barang Keluar'!$C:$C,N4259))</f>
        <v>0</v>
      </c>
    </row>
    <row r="4260" spans="13:16">
      <c r="M4260" s="49">
        <f>IF($A$4+42&gt;$B$4,"",$A$4+42)</f>
        <v>46065</v>
      </c>
      <c r="N4260">
        <f>IF(M4260="","",'Master Barang'!A54)</f>
        <v>0</v>
      </c>
      <c r="O4260">
        <f>IF(N4260="","",'Master Barang'!B54)</f>
        <v>0</v>
      </c>
      <c r="P4260">
        <f>IF(OR(M4260="",N4260=""),"",SUMIFS('Barang Keluar'!$E:$E,'Barang Keluar'!$A:$A,M4260,'Barang Keluar'!$C:$C,N4260))</f>
        <v>0</v>
      </c>
    </row>
    <row r="4261" spans="13:16">
      <c r="M4261" s="49">
        <f>IF($A$4+42&gt;$B$4,"",$A$4+42)</f>
        <v>46065</v>
      </c>
      <c r="N4261">
        <f>IF(M4261="","",'Master Barang'!A55)</f>
        <v>0</v>
      </c>
      <c r="O4261">
        <f>IF(N4261="","",'Master Barang'!B55)</f>
        <v>0</v>
      </c>
      <c r="P4261">
        <f>IF(OR(M4261="",N4261=""),"",SUMIFS('Barang Keluar'!$E:$E,'Barang Keluar'!$A:$A,M4261,'Barang Keluar'!$C:$C,N4261))</f>
        <v>0</v>
      </c>
    </row>
    <row r="4262" spans="13:16">
      <c r="M4262" s="49">
        <f>IF($A$4+42&gt;$B$4,"",$A$4+42)</f>
        <v>46065</v>
      </c>
      <c r="N4262">
        <f>IF(M4262="","",'Master Barang'!A56)</f>
        <v>0</v>
      </c>
      <c r="O4262">
        <f>IF(N4262="","",'Master Barang'!B56)</f>
        <v>0</v>
      </c>
      <c r="P4262">
        <f>IF(OR(M4262="",N4262=""),"",SUMIFS('Barang Keluar'!$E:$E,'Barang Keluar'!$A:$A,M4262,'Barang Keluar'!$C:$C,N4262))</f>
        <v>0</v>
      </c>
    </row>
    <row r="4263" spans="13:16">
      <c r="M4263" s="49">
        <f>IF($A$4+42&gt;$B$4,"",$A$4+42)</f>
        <v>46065</v>
      </c>
      <c r="N4263">
        <f>IF(M4263="","",'Master Barang'!A57)</f>
        <v>0</v>
      </c>
      <c r="O4263">
        <f>IF(N4263="","",'Master Barang'!B57)</f>
        <v>0</v>
      </c>
      <c r="P4263">
        <f>IF(OR(M4263="",N4263=""),"",SUMIFS('Barang Keluar'!$E:$E,'Barang Keluar'!$A:$A,M4263,'Barang Keluar'!$C:$C,N4263))</f>
        <v>0</v>
      </c>
    </row>
    <row r="4264" spans="13:16">
      <c r="M4264" s="49">
        <f>IF($A$4+42&gt;$B$4,"",$A$4+42)</f>
        <v>46065</v>
      </c>
      <c r="N4264">
        <f>IF(M4264="","",'Master Barang'!A58)</f>
        <v>0</v>
      </c>
      <c r="O4264">
        <f>IF(N4264="","",'Master Barang'!B58)</f>
        <v>0</v>
      </c>
      <c r="P4264">
        <f>IF(OR(M4264="",N4264=""),"",SUMIFS('Barang Keluar'!$E:$E,'Barang Keluar'!$A:$A,M4264,'Barang Keluar'!$C:$C,N4264))</f>
        <v>0</v>
      </c>
    </row>
    <row r="4265" spans="13:16">
      <c r="M4265" s="49">
        <f>IF($A$4+42&gt;$B$4,"",$A$4+42)</f>
        <v>46065</v>
      </c>
      <c r="N4265">
        <f>IF(M4265="","",'Master Barang'!A59)</f>
        <v>0</v>
      </c>
      <c r="O4265">
        <f>IF(N4265="","",'Master Barang'!B59)</f>
        <v>0</v>
      </c>
      <c r="P4265">
        <f>IF(OR(M4265="",N4265=""),"",SUMIFS('Barang Keluar'!$E:$E,'Barang Keluar'!$A:$A,M4265,'Barang Keluar'!$C:$C,N4265))</f>
        <v>0</v>
      </c>
    </row>
    <row r="4266" spans="13:16">
      <c r="M4266" s="49">
        <f>IF($A$4+42&gt;$B$4,"",$A$4+42)</f>
        <v>46065</v>
      </c>
      <c r="N4266">
        <f>IF(M4266="","",'Master Barang'!A60)</f>
        <v>0</v>
      </c>
      <c r="O4266">
        <f>IF(N4266="","",'Master Barang'!B60)</f>
        <v>0</v>
      </c>
      <c r="P4266">
        <f>IF(OR(M4266="",N4266=""),"",SUMIFS('Barang Keluar'!$E:$E,'Barang Keluar'!$A:$A,M4266,'Barang Keluar'!$C:$C,N4266))</f>
        <v>0</v>
      </c>
    </row>
    <row r="4267" spans="13:16">
      <c r="M4267" s="49">
        <f>IF($A$4+42&gt;$B$4,"",$A$4+42)</f>
        <v>46065</v>
      </c>
      <c r="N4267">
        <f>IF(M4267="","",'Master Barang'!A61)</f>
        <v>0</v>
      </c>
      <c r="O4267">
        <f>IF(N4267="","",'Master Barang'!B61)</f>
        <v>0</v>
      </c>
      <c r="P4267">
        <f>IF(OR(M4267="",N4267=""),"",SUMIFS('Barang Keluar'!$E:$E,'Barang Keluar'!$A:$A,M4267,'Barang Keluar'!$C:$C,N4267))</f>
        <v>0</v>
      </c>
    </row>
    <row r="4268" spans="13:16">
      <c r="M4268" s="49">
        <f>IF($A$4+42&gt;$B$4,"",$A$4+42)</f>
        <v>46065</v>
      </c>
      <c r="N4268">
        <f>IF(M4268="","",'Master Barang'!A62)</f>
        <v>0</v>
      </c>
      <c r="O4268">
        <f>IF(N4268="","",'Master Barang'!B62)</f>
        <v>0</v>
      </c>
      <c r="P4268">
        <f>IF(OR(M4268="",N4268=""),"",SUMIFS('Barang Keluar'!$E:$E,'Barang Keluar'!$A:$A,M4268,'Barang Keluar'!$C:$C,N4268))</f>
        <v>0</v>
      </c>
    </row>
    <row r="4269" spans="13:16">
      <c r="M4269" s="49">
        <f>IF($A$4+42&gt;$B$4,"",$A$4+42)</f>
        <v>46065</v>
      </c>
      <c r="N4269">
        <f>IF(M4269="","",'Master Barang'!A63)</f>
        <v>0</v>
      </c>
      <c r="O4269">
        <f>IF(N4269="","",'Master Barang'!B63)</f>
        <v>0</v>
      </c>
      <c r="P4269">
        <f>IF(OR(M4269="",N4269=""),"",SUMIFS('Barang Keluar'!$E:$E,'Barang Keluar'!$A:$A,M4269,'Barang Keluar'!$C:$C,N4269))</f>
        <v>0</v>
      </c>
    </row>
    <row r="4270" spans="13:16">
      <c r="M4270" s="49">
        <f>IF($A$4+42&gt;$B$4,"",$A$4+42)</f>
        <v>46065</v>
      </c>
      <c r="N4270">
        <f>IF(M4270="","",'Master Barang'!A64)</f>
        <v>0</v>
      </c>
      <c r="O4270">
        <f>IF(N4270="","",'Master Barang'!B64)</f>
        <v>0</v>
      </c>
      <c r="P4270">
        <f>IF(OR(M4270="",N4270=""),"",SUMIFS('Barang Keluar'!$E:$E,'Barang Keluar'!$A:$A,M4270,'Barang Keluar'!$C:$C,N4270))</f>
        <v>0</v>
      </c>
    </row>
    <row r="4271" spans="13:16">
      <c r="M4271" s="49">
        <f>IF($A$4+42&gt;$B$4,"",$A$4+42)</f>
        <v>46065</v>
      </c>
      <c r="N4271">
        <f>IF(M4271="","",'Master Barang'!A65)</f>
        <v>0</v>
      </c>
      <c r="O4271">
        <f>IF(N4271="","",'Master Barang'!B65)</f>
        <v>0</v>
      </c>
      <c r="P4271">
        <f>IF(OR(M4271="",N4271=""),"",SUMIFS('Barang Keluar'!$E:$E,'Barang Keluar'!$A:$A,M4271,'Barang Keluar'!$C:$C,N4271))</f>
        <v>0</v>
      </c>
    </row>
    <row r="4272" spans="13:16">
      <c r="M4272" s="49">
        <f>IF($A$4+42&gt;$B$4,"",$A$4+42)</f>
        <v>46065</v>
      </c>
      <c r="N4272">
        <f>IF(M4272="","",'Master Barang'!A66)</f>
        <v>0</v>
      </c>
      <c r="O4272">
        <f>IF(N4272="","",'Master Barang'!B66)</f>
        <v>0</v>
      </c>
      <c r="P4272">
        <f>IF(OR(M4272="",N4272=""),"",SUMIFS('Barang Keluar'!$E:$E,'Barang Keluar'!$A:$A,M4272,'Barang Keluar'!$C:$C,N4272))</f>
        <v>0</v>
      </c>
    </row>
    <row r="4273" spans="13:16">
      <c r="M4273" s="49">
        <f>IF($A$4+42&gt;$B$4,"",$A$4+42)</f>
        <v>46065</v>
      </c>
      <c r="N4273">
        <f>IF(M4273="","",'Master Barang'!A67)</f>
        <v>0</v>
      </c>
      <c r="O4273">
        <f>IF(N4273="","",'Master Barang'!B67)</f>
        <v>0</v>
      </c>
      <c r="P4273">
        <f>IF(OR(M4273="",N4273=""),"",SUMIFS('Barang Keluar'!$E:$E,'Barang Keluar'!$A:$A,M4273,'Barang Keluar'!$C:$C,N4273))</f>
        <v>0</v>
      </c>
    </row>
    <row r="4274" spans="13:16">
      <c r="M4274" s="49">
        <f>IF($A$4+42&gt;$B$4,"",$A$4+42)</f>
        <v>46065</v>
      </c>
      <c r="N4274">
        <f>IF(M4274="","",'Master Barang'!A68)</f>
        <v>0</v>
      </c>
      <c r="O4274">
        <f>IF(N4274="","",'Master Barang'!B68)</f>
        <v>0</v>
      </c>
      <c r="P4274">
        <f>IF(OR(M4274="",N4274=""),"",SUMIFS('Barang Keluar'!$E:$E,'Barang Keluar'!$A:$A,M4274,'Barang Keluar'!$C:$C,N4274))</f>
        <v>0</v>
      </c>
    </row>
    <row r="4275" spans="13:16">
      <c r="M4275" s="49">
        <f>IF($A$4+42&gt;$B$4,"",$A$4+42)</f>
        <v>46065</v>
      </c>
      <c r="N4275">
        <f>IF(M4275="","",'Master Barang'!A69)</f>
        <v>0</v>
      </c>
      <c r="O4275">
        <f>IF(N4275="","",'Master Barang'!B69)</f>
        <v>0</v>
      </c>
      <c r="P4275">
        <f>IF(OR(M4275="",N4275=""),"",SUMIFS('Barang Keluar'!$E:$E,'Barang Keluar'!$A:$A,M4275,'Barang Keluar'!$C:$C,N4275))</f>
        <v>0</v>
      </c>
    </row>
    <row r="4276" spans="13:16">
      <c r="M4276" s="49">
        <f>IF($A$4+42&gt;$B$4,"",$A$4+42)</f>
        <v>46065</v>
      </c>
      <c r="N4276">
        <f>IF(M4276="","",'Master Barang'!A70)</f>
        <v>0</v>
      </c>
      <c r="O4276">
        <f>IF(N4276="","",'Master Barang'!B70)</f>
        <v>0</v>
      </c>
      <c r="P4276">
        <f>IF(OR(M4276="",N4276=""),"",SUMIFS('Barang Keluar'!$E:$E,'Barang Keluar'!$A:$A,M4276,'Barang Keluar'!$C:$C,N4276))</f>
        <v>0</v>
      </c>
    </row>
    <row r="4277" spans="13:16">
      <c r="M4277" s="49">
        <f>IF($A$4+42&gt;$B$4,"",$A$4+42)</f>
        <v>46065</v>
      </c>
      <c r="N4277">
        <f>IF(M4277="","",'Master Barang'!A71)</f>
        <v>0</v>
      </c>
      <c r="O4277">
        <f>IF(N4277="","",'Master Barang'!B71)</f>
        <v>0</v>
      </c>
      <c r="P4277">
        <f>IF(OR(M4277="",N4277=""),"",SUMIFS('Barang Keluar'!$E:$E,'Barang Keluar'!$A:$A,M4277,'Barang Keluar'!$C:$C,N4277))</f>
        <v>0</v>
      </c>
    </row>
    <row r="4278" spans="13:16">
      <c r="M4278" s="49">
        <f>IF($A$4+42&gt;$B$4,"",$A$4+42)</f>
        <v>46065</v>
      </c>
      <c r="N4278">
        <f>IF(M4278="","",'Master Barang'!A72)</f>
        <v>0</v>
      </c>
      <c r="O4278">
        <f>IF(N4278="","",'Master Barang'!B72)</f>
        <v>0</v>
      </c>
      <c r="P4278">
        <f>IF(OR(M4278="",N4278=""),"",SUMIFS('Barang Keluar'!$E:$E,'Barang Keluar'!$A:$A,M4278,'Barang Keluar'!$C:$C,N4278))</f>
        <v>0</v>
      </c>
    </row>
    <row r="4279" spans="13:16">
      <c r="M4279" s="49">
        <f>IF($A$4+42&gt;$B$4,"",$A$4+42)</f>
        <v>46065</v>
      </c>
      <c r="N4279">
        <f>IF(M4279="","",'Master Barang'!A73)</f>
        <v>0</v>
      </c>
      <c r="O4279">
        <f>IF(N4279="","",'Master Barang'!B73)</f>
        <v>0</v>
      </c>
      <c r="P4279">
        <f>IF(OR(M4279="",N4279=""),"",SUMIFS('Barang Keluar'!$E:$E,'Barang Keluar'!$A:$A,M4279,'Barang Keluar'!$C:$C,N4279))</f>
        <v>0</v>
      </c>
    </row>
    <row r="4280" spans="13:16">
      <c r="M4280" s="49">
        <f>IF($A$4+42&gt;$B$4,"",$A$4+42)</f>
        <v>46065</v>
      </c>
      <c r="N4280">
        <f>IF(M4280="","",'Master Barang'!A74)</f>
        <v>0</v>
      </c>
      <c r="O4280">
        <f>IF(N4280="","",'Master Barang'!B74)</f>
        <v>0</v>
      </c>
      <c r="P4280">
        <f>IF(OR(M4280="",N4280=""),"",SUMIFS('Barang Keluar'!$E:$E,'Barang Keluar'!$A:$A,M4280,'Barang Keluar'!$C:$C,N4280))</f>
        <v>0</v>
      </c>
    </row>
    <row r="4281" spans="13:16">
      <c r="M4281" s="49">
        <f>IF($A$4+42&gt;$B$4,"",$A$4+42)</f>
        <v>46065</v>
      </c>
      <c r="N4281">
        <f>IF(M4281="","",'Master Barang'!A75)</f>
        <v>0</v>
      </c>
      <c r="O4281">
        <f>IF(N4281="","",'Master Barang'!B75)</f>
        <v>0</v>
      </c>
      <c r="P4281">
        <f>IF(OR(M4281="",N4281=""),"",SUMIFS('Barang Keluar'!$E:$E,'Barang Keluar'!$A:$A,M4281,'Barang Keluar'!$C:$C,N4281))</f>
        <v>0</v>
      </c>
    </row>
    <row r="4282" spans="13:16">
      <c r="M4282" s="49">
        <f>IF($A$4+42&gt;$B$4,"",$A$4+42)</f>
        <v>46065</v>
      </c>
      <c r="N4282">
        <f>IF(M4282="","",'Master Barang'!A76)</f>
        <v>0</v>
      </c>
      <c r="O4282">
        <f>IF(N4282="","",'Master Barang'!B76)</f>
        <v>0</v>
      </c>
      <c r="P4282">
        <f>IF(OR(M4282="",N4282=""),"",SUMIFS('Barang Keluar'!$E:$E,'Barang Keluar'!$A:$A,M4282,'Barang Keluar'!$C:$C,N4282))</f>
        <v>0</v>
      </c>
    </row>
    <row r="4283" spans="13:16">
      <c r="M4283" s="49">
        <f>IF($A$4+42&gt;$B$4,"",$A$4+42)</f>
        <v>46065</v>
      </c>
      <c r="N4283">
        <f>IF(M4283="","",'Master Barang'!A77)</f>
        <v>0</v>
      </c>
      <c r="O4283">
        <f>IF(N4283="","",'Master Barang'!B77)</f>
        <v>0</v>
      </c>
      <c r="P4283">
        <f>IF(OR(M4283="",N4283=""),"",SUMIFS('Barang Keluar'!$E:$E,'Barang Keluar'!$A:$A,M4283,'Barang Keluar'!$C:$C,N4283))</f>
        <v>0</v>
      </c>
    </row>
    <row r="4284" spans="13:16">
      <c r="M4284" s="49">
        <f>IF($A$4+42&gt;$B$4,"",$A$4+42)</f>
        <v>46065</v>
      </c>
      <c r="N4284">
        <f>IF(M4284="","",'Master Barang'!A78)</f>
        <v>0</v>
      </c>
      <c r="O4284">
        <f>IF(N4284="","",'Master Barang'!B78)</f>
        <v>0</v>
      </c>
      <c r="P4284">
        <f>IF(OR(M4284="",N4284=""),"",SUMIFS('Barang Keluar'!$E:$E,'Barang Keluar'!$A:$A,M4284,'Barang Keluar'!$C:$C,N4284))</f>
        <v>0</v>
      </c>
    </row>
    <row r="4285" spans="13:16">
      <c r="M4285" s="49">
        <f>IF($A$4+42&gt;$B$4,"",$A$4+42)</f>
        <v>46065</v>
      </c>
      <c r="N4285">
        <f>IF(M4285="","",'Master Barang'!A79)</f>
        <v>0</v>
      </c>
      <c r="O4285">
        <f>IF(N4285="","",'Master Barang'!B79)</f>
        <v>0</v>
      </c>
      <c r="P4285">
        <f>IF(OR(M4285="",N4285=""),"",SUMIFS('Barang Keluar'!$E:$E,'Barang Keluar'!$A:$A,M4285,'Barang Keluar'!$C:$C,N4285))</f>
        <v>0</v>
      </c>
    </row>
    <row r="4286" spans="13:16">
      <c r="M4286" s="49">
        <f>IF($A$4+42&gt;$B$4,"",$A$4+42)</f>
        <v>46065</v>
      </c>
      <c r="N4286">
        <f>IF(M4286="","",'Master Barang'!A80)</f>
        <v>0</v>
      </c>
      <c r="O4286">
        <f>IF(N4286="","",'Master Barang'!B80)</f>
        <v>0</v>
      </c>
      <c r="P4286">
        <f>IF(OR(M4286="",N4286=""),"",SUMIFS('Barang Keluar'!$E:$E,'Barang Keluar'!$A:$A,M4286,'Barang Keluar'!$C:$C,N4286))</f>
        <v>0</v>
      </c>
    </row>
    <row r="4287" spans="13:16">
      <c r="M4287" s="49">
        <f>IF($A$4+42&gt;$B$4,"",$A$4+42)</f>
        <v>46065</v>
      </c>
      <c r="N4287">
        <f>IF(M4287="","",'Master Barang'!A81)</f>
        <v>0</v>
      </c>
      <c r="O4287">
        <f>IF(N4287="","",'Master Barang'!B81)</f>
        <v>0</v>
      </c>
      <c r="P4287">
        <f>IF(OR(M4287="",N4287=""),"",SUMIFS('Barang Keluar'!$E:$E,'Barang Keluar'!$A:$A,M4287,'Barang Keluar'!$C:$C,N4287))</f>
        <v>0</v>
      </c>
    </row>
    <row r="4288" spans="13:16">
      <c r="M4288" s="49">
        <f>IF($A$4+42&gt;$B$4,"",$A$4+42)</f>
        <v>46065</v>
      </c>
      <c r="N4288">
        <f>IF(M4288="","",'Master Barang'!A82)</f>
        <v>0</v>
      </c>
      <c r="O4288">
        <f>IF(N4288="","",'Master Barang'!B82)</f>
        <v>0</v>
      </c>
      <c r="P4288">
        <f>IF(OR(M4288="",N4288=""),"",SUMIFS('Barang Keluar'!$E:$E,'Barang Keluar'!$A:$A,M4288,'Barang Keluar'!$C:$C,N4288))</f>
        <v>0</v>
      </c>
    </row>
    <row r="4289" spans="13:16">
      <c r="M4289" s="49">
        <f>IF($A$4+42&gt;$B$4,"",$A$4+42)</f>
        <v>46065</v>
      </c>
      <c r="N4289">
        <f>IF(M4289="","",'Master Barang'!A83)</f>
        <v>0</v>
      </c>
      <c r="O4289">
        <f>IF(N4289="","",'Master Barang'!B83)</f>
        <v>0</v>
      </c>
      <c r="P4289">
        <f>IF(OR(M4289="",N4289=""),"",SUMIFS('Barang Keluar'!$E:$E,'Barang Keluar'!$A:$A,M4289,'Barang Keluar'!$C:$C,N4289))</f>
        <v>0</v>
      </c>
    </row>
    <row r="4290" spans="13:16">
      <c r="M4290" s="49">
        <f>IF($A$4+42&gt;$B$4,"",$A$4+42)</f>
        <v>46065</v>
      </c>
      <c r="N4290">
        <f>IF(M4290="","",'Master Barang'!A84)</f>
        <v>0</v>
      </c>
      <c r="O4290">
        <f>IF(N4290="","",'Master Barang'!B84)</f>
        <v>0</v>
      </c>
      <c r="P4290">
        <f>IF(OR(M4290="",N4290=""),"",SUMIFS('Barang Keluar'!$E:$E,'Barang Keluar'!$A:$A,M4290,'Barang Keluar'!$C:$C,N4290))</f>
        <v>0</v>
      </c>
    </row>
    <row r="4291" spans="13:16">
      <c r="M4291" s="49">
        <f>IF($A$4+42&gt;$B$4,"",$A$4+42)</f>
        <v>46065</v>
      </c>
      <c r="N4291">
        <f>IF(M4291="","",'Master Barang'!A85)</f>
        <v>0</v>
      </c>
      <c r="O4291">
        <f>IF(N4291="","",'Master Barang'!B85)</f>
        <v>0</v>
      </c>
      <c r="P4291">
        <f>IF(OR(M4291="",N4291=""),"",SUMIFS('Barang Keluar'!$E:$E,'Barang Keluar'!$A:$A,M4291,'Barang Keluar'!$C:$C,N4291))</f>
        <v>0</v>
      </c>
    </row>
    <row r="4292" spans="13:16">
      <c r="M4292" s="49">
        <f>IF($A$4+42&gt;$B$4,"",$A$4+42)</f>
        <v>46065</v>
      </c>
      <c r="N4292">
        <f>IF(M4292="","",'Master Barang'!A86)</f>
        <v>0</v>
      </c>
      <c r="O4292">
        <f>IF(N4292="","",'Master Barang'!B86)</f>
        <v>0</v>
      </c>
      <c r="P4292">
        <f>IF(OR(M4292="",N4292=""),"",SUMIFS('Barang Keluar'!$E:$E,'Barang Keluar'!$A:$A,M4292,'Barang Keluar'!$C:$C,N4292))</f>
        <v>0</v>
      </c>
    </row>
    <row r="4293" spans="13:16">
      <c r="M4293" s="49">
        <f>IF($A$4+42&gt;$B$4,"",$A$4+42)</f>
        <v>46065</v>
      </c>
      <c r="N4293">
        <f>IF(M4293="","",'Master Barang'!A87)</f>
        <v>0</v>
      </c>
      <c r="O4293">
        <f>IF(N4293="","",'Master Barang'!B87)</f>
        <v>0</v>
      </c>
      <c r="P4293">
        <f>IF(OR(M4293="",N4293=""),"",SUMIFS('Barang Keluar'!$E:$E,'Barang Keluar'!$A:$A,M4293,'Barang Keluar'!$C:$C,N4293))</f>
        <v>0</v>
      </c>
    </row>
    <row r="4294" spans="13:16">
      <c r="M4294" s="49">
        <f>IF($A$4+42&gt;$B$4,"",$A$4+42)</f>
        <v>46065</v>
      </c>
      <c r="N4294">
        <f>IF(M4294="","",'Master Barang'!A88)</f>
        <v>0</v>
      </c>
      <c r="O4294">
        <f>IF(N4294="","",'Master Barang'!B88)</f>
        <v>0</v>
      </c>
      <c r="P4294">
        <f>IF(OR(M4294="",N4294=""),"",SUMIFS('Barang Keluar'!$E:$E,'Barang Keluar'!$A:$A,M4294,'Barang Keluar'!$C:$C,N4294))</f>
        <v>0</v>
      </c>
    </row>
    <row r="4295" spans="13:16">
      <c r="M4295" s="49">
        <f>IF($A$4+42&gt;$B$4,"",$A$4+42)</f>
        <v>46065</v>
      </c>
      <c r="N4295">
        <f>IF(M4295="","",'Master Barang'!A89)</f>
        <v>0</v>
      </c>
      <c r="O4295">
        <f>IF(N4295="","",'Master Barang'!B89)</f>
        <v>0</v>
      </c>
      <c r="P4295">
        <f>IF(OR(M4295="",N4295=""),"",SUMIFS('Barang Keluar'!$E:$E,'Barang Keluar'!$A:$A,M4295,'Barang Keluar'!$C:$C,N4295))</f>
        <v>0</v>
      </c>
    </row>
    <row r="4296" spans="13:16">
      <c r="M4296" s="49">
        <f>IF($A$4+42&gt;$B$4,"",$A$4+42)</f>
        <v>46065</v>
      </c>
      <c r="N4296">
        <f>IF(M4296="","",'Master Barang'!A90)</f>
        <v>0</v>
      </c>
      <c r="O4296">
        <f>IF(N4296="","",'Master Barang'!B90)</f>
        <v>0</v>
      </c>
      <c r="P4296">
        <f>IF(OR(M4296="",N4296=""),"",SUMIFS('Barang Keluar'!$E:$E,'Barang Keluar'!$A:$A,M4296,'Barang Keluar'!$C:$C,N4296))</f>
        <v>0</v>
      </c>
    </row>
    <row r="4297" spans="13:16">
      <c r="M4297" s="49">
        <f>IF($A$4+42&gt;$B$4,"",$A$4+42)</f>
        <v>46065</v>
      </c>
      <c r="N4297">
        <f>IF(M4297="","",'Master Barang'!A91)</f>
        <v>0</v>
      </c>
      <c r="O4297">
        <f>IF(N4297="","",'Master Barang'!B91)</f>
        <v>0</v>
      </c>
      <c r="P4297">
        <f>IF(OR(M4297="",N4297=""),"",SUMIFS('Barang Keluar'!$E:$E,'Barang Keluar'!$A:$A,M4297,'Barang Keluar'!$C:$C,N4297))</f>
        <v>0</v>
      </c>
    </row>
    <row r="4298" spans="13:16">
      <c r="M4298" s="49">
        <f>IF($A$4+42&gt;$B$4,"",$A$4+42)</f>
        <v>46065</v>
      </c>
      <c r="N4298">
        <f>IF(M4298="","",'Master Barang'!A92)</f>
        <v>0</v>
      </c>
      <c r="O4298">
        <f>IF(N4298="","",'Master Barang'!B92)</f>
        <v>0</v>
      </c>
      <c r="P4298">
        <f>IF(OR(M4298="",N4298=""),"",SUMIFS('Barang Keluar'!$E:$E,'Barang Keluar'!$A:$A,M4298,'Barang Keluar'!$C:$C,N4298))</f>
        <v>0</v>
      </c>
    </row>
    <row r="4299" spans="13:16">
      <c r="M4299" s="49">
        <f>IF($A$4+42&gt;$B$4,"",$A$4+42)</f>
        <v>46065</v>
      </c>
      <c r="N4299">
        <f>IF(M4299="","",'Master Barang'!A93)</f>
        <v>0</v>
      </c>
      <c r="O4299">
        <f>IF(N4299="","",'Master Barang'!B93)</f>
        <v>0</v>
      </c>
      <c r="P4299">
        <f>IF(OR(M4299="",N4299=""),"",SUMIFS('Barang Keluar'!$E:$E,'Barang Keluar'!$A:$A,M4299,'Barang Keluar'!$C:$C,N4299))</f>
        <v>0</v>
      </c>
    </row>
    <row r="4300" spans="13:16">
      <c r="M4300" s="49">
        <f>IF($A$4+42&gt;$B$4,"",$A$4+42)</f>
        <v>46065</v>
      </c>
      <c r="N4300">
        <f>IF(M4300="","",'Master Barang'!A94)</f>
        <v>0</v>
      </c>
      <c r="O4300">
        <f>IF(N4300="","",'Master Barang'!B94)</f>
        <v>0</v>
      </c>
      <c r="P4300">
        <f>IF(OR(M4300="",N4300=""),"",SUMIFS('Barang Keluar'!$E:$E,'Barang Keluar'!$A:$A,M4300,'Barang Keluar'!$C:$C,N4300))</f>
        <v>0</v>
      </c>
    </row>
    <row r="4301" spans="13:16">
      <c r="M4301" s="49">
        <f>IF($A$4+42&gt;$B$4,"",$A$4+42)</f>
        <v>46065</v>
      </c>
      <c r="N4301">
        <f>IF(M4301="","",'Master Barang'!A95)</f>
        <v>0</v>
      </c>
      <c r="O4301">
        <f>IF(N4301="","",'Master Barang'!B95)</f>
        <v>0</v>
      </c>
      <c r="P4301">
        <f>IF(OR(M4301="",N4301=""),"",SUMIFS('Barang Keluar'!$E:$E,'Barang Keluar'!$A:$A,M4301,'Barang Keluar'!$C:$C,N4301))</f>
        <v>0</v>
      </c>
    </row>
    <row r="4302" spans="13:16">
      <c r="M4302" s="49">
        <f>IF($A$4+42&gt;$B$4,"",$A$4+42)</f>
        <v>46065</v>
      </c>
      <c r="N4302">
        <f>IF(M4302="","",'Master Barang'!A96)</f>
        <v>0</v>
      </c>
      <c r="O4302">
        <f>IF(N4302="","",'Master Barang'!B96)</f>
        <v>0</v>
      </c>
      <c r="P4302">
        <f>IF(OR(M4302="",N4302=""),"",SUMIFS('Barang Keluar'!$E:$E,'Barang Keluar'!$A:$A,M4302,'Barang Keluar'!$C:$C,N4302))</f>
        <v>0</v>
      </c>
    </row>
    <row r="4303" spans="13:16">
      <c r="M4303" s="49">
        <f>IF($A$4+42&gt;$B$4,"",$A$4+42)</f>
        <v>46065</v>
      </c>
      <c r="N4303">
        <f>IF(M4303="","",'Master Barang'!A97)</f>
        <v>0</v>
      </c>
      <c r="O4303">
        <f>IF(N4303="","",'Master Barang'!B97)</f>
        <v>0</v>
      </c>
      <c r="P4303">
        <f>IF(OR(M4303="",N4303=""),"",SUMIFS('Barang Keluar'!$E:$E,'Barang Keluar'!$A:$A,M4303,'Barang Keluar'!$C:$C,N4303))</f>
        <v>0</v>
      </c>
    </row>
    <row r="4304" spans="13:16">
      <c r="M4304" s="49">
        <f>IF($A$4+42&gt;$B$4,"",$A$4+42)</f>
        <v>46065</v>
      </c>
      <c r="N4304">
        <f>IF(M4304="","",'Master Barang'!A98)</f>
        <v>0</v>
      </c>
      <c r="O4304">
        <f>IF(N4304="","",'Master Barang'!B98)</f>
        <v>0</v>
      </c>
      <c r="P4304">
        <f>IF(OR(M4304="",N4304=""),"",SUMIFS('Barang Keluar'!$E:$E,'Barang Keluar'!$A:$A,M4304,'Barang Keluar'!$C:$C,N4304))</f>
        <v>0</v>
      </c>
    </row>
    <row r="4305" spans="13:16">
      <c r="M4305" s="49">
        <f>IF($A$4+42&gt;$B$4,"",$A$4+42)</f>
        <v>46065</v>
      </c>
      <c r="N4305">
        <f>IF(M4305="","",'Master Barang'!A99)</f>
        <v>0</v>
      </c>
      <c r="O4305">
        <f>IF(N4305="","",'Master Barang'!B99)</f>
        <v>0</v>
      </c>
      <c r="P4305">
        <f>IF(OR(M4305="",N4305=""),"",SUMIFS('Barang Keluar'!$E:$E,'Barang Keluar'!$A:$A,M4305,'Barang Keluar'!$C:$C,N4305))</f>
        <v>0</v>
      </c>
    </row>
    <row r="4306" spans="13:16">
      <c r="M4306" s="49">
        <f>IF($A$4+42&gt;$B$4,"",$A$4+42)</f>
        <v>46065</v>
      </c>
      <c r="N4306">
        <f>IF(M4306="","",'Master Barang'!A100)</f>
        <v>0</v>
      </c>
      <c r="O4306">
        <f>IF(N4306="","",'Master Barang'!B100)</f>
        <v>0</v>
      </c>
      <c r="P4306">
        <f>IF(OR(M4306="",N4306=""),"",SUMIFS('Barang Keluar'!$E:$E,'Barang Keluar'!$A:$A,M4306,'Barang Keluar'!$C:$C,N4306))</f>
        <v>0</v>
      </c>
    </row>
    <row r="4307" spans="13:16">
      <c r="M4307" s="49">
        <f>IF($A$4+42&gt;$B$4,"",$A$4+42)</f>
        <v>46065</v>
      </c>
      <c r="N4307">
        <f>IF(M4307="","",'Master Barang'!A101)</f>
        <v>0</v>
      </c>
      <c r="O4307">
        <f>IF(N4307="","",'Master Barang'!B101)</f>
        <v>0</v>
      </c>
      <c r="P4307">
        <f>IF(OR(M4307="",N4307=""),"",SUMIFS('Barang Keluar'!$E:$E,'Barang Keluar'!$A:$A,M4307,'Barang Keluar'!$C:$C,N4307))</f>
        <v>0</v>
      </c>
    </row>
    <row r="4308" spans="13:16">
      <c r="M4308" s="49">
        <f>IF($A$4+43&gt;$B$4,"",$A$4+43)</f>
        <v>46066</v>
      </c>
      <c r="N4308" t="str">
        <f>IF(M4308="","",'Master Barang'!A2)</f>
        <v>PRL-001</v>
      </c>
      <c r="O4308" t="str">
        <f>IF(N4308="","",'Master Barang'!B2)</f>
        <v>natura desinfectant food grade 5l</v>
      </c>
      <c r="P4308">
        <f>IF(OR(M4308="",N4308=""),"",SUMIFS('Barang Keluar'!$E:$E,'Barang Keluar'!$A:$A,M4308,'Barang Keluar'!$C:$C,N4308))</f>
        <v>0</v>
      </c>
    </row>
    <row r="4309" spans="13:16">
      <c r="M4309" s="49">
        <f>IF($A$4+43&gt;$B$4,"",$A$4+43)</f>
        <v>46066</v>
      </c>
      <c r="N4309" t="str">
        <f>IF(M4309="","",'Master Barang'!A3)</f>
        <v>PRL-002</v>
      </c>
      <c r="O4309" t="str">
        <f>IF(N4309="","",'Master Barang'!B3)</f>
        <v>sunlight cairan pencuci piring 5l</v>
      </c>
      <c r="P4309">
        <f>IF(OR(M4309="",N4309=""),"",SUMIFS('Barang Keluar'!$E:$E,'Barang Keluar'!$A:$A,M4309,'Barang Keluar'!$C:$C,N4309))</f>
        <v>0</v>
      </c>
    </row>
    <row r="4310" spans="13:16">
      <c r="M4310" s="49">
        <f>IF($A$4+43&gt;$B$4,"",$A$4+43)</f>
        <v>46066</v>
      </c>
      <c r="N4310" t="str">
        <f>IF(M4310="","",'Master Barang'!A4)</f>
        <v>PRL-003</v>
      </c>
      <c r="O4310" t="str">
        <f>IF(N4310="","",'Master Barang'!B4)</f>
        <v>oixs cleaner 1l</v>
      </c>
      <c r="P4310">
        <f>IF(OR(M4310="",N4310=""),"",SUMIFS('Barang Keluar'!$E:$E,'Barang Keluar'!$A:$A,M4310,'Barang Keluar'!$C:$C,N4310))</f>
        <v>0</v>
      </c>
    </row>
    <row r="4311" spans="13:16">
      <c r="M4311" s="49">
        <f>IF($A$4+43&gt;$B$4,"",$A$4+43)</f>
        <v>46066</v>
      </c>
      <c r="N4311" t="str">
        <f>IF(M4311="","",'Master Barang'!A5)</f>
        <v>PRL-004</v>
      </c>
      <c r="O4311" t="str">
        <f>IF(N4311="","",'Master Barang'!B5)</f>
        <v>be clean tissue serbaguna</v>
      </c>
      <c r="P4311">
        <f>IF(OR(M4311="",N4311=""),"",SUMIFS('Barang Keluar'!$E:$E,'Barang Keluar'!$A:$A,M4311,'Barang Keluar'!$C:$C,N4311))</f>
        <v>0</v>
      </c>
    </row>
    <row r="4312" spans="13:16">
      <c r="M4312" s="49">
        <f>IF($A$4+43&gt;$B$4,"",$A$4+43)</f>
        <v>46066</v>
      </c>
      <c r="N4312" t="str">
        <f>IF(M4312="","",'Master Barang'!A6)</f>
        <v>PRL-005</v>
      </c>
      <c r="O4312" t="str">
        <f>IF(N4312="","",'Master Barang'!B6)</f>
        <v>spons cuci hijau</v>
      </c>
      <c r="P4312">
        <f>IF(OR(M4312="",N4312=""),"",SUMIFS('Barang Keluar'!$E:$E,'Barang Keluar'!$A:$A,M4312,'Barang Keluar'!$C:$C,N4312))</f>
        <v>0</v>
      </c>
    </row>
    <row r="4313" spans="13:16">
      <c r="M4313" s="49">
        <f>IF($A$4+43&gt;$B$4,"",$A$4+43)</f>
        <v>46066</v>
      </c>
      <c r="N4313" t="str">
        <f>IF(M4313="","",'Master Barang'!A7)</f>
        <v>PRL-006</v>
      </c>
      <c r="O4313" t="str">
        <f>IF(N4313="","",'Master Barang'!B7)</f>
        <v>sabut cuci stainless</v>
      </c>
      <c r="P4313">
        <f>IF(OR(M4313="",N4313=""),"",SUMIFS('Barang Keluar'!$E:$E,'Barang Keluar'!$A:$A,M4313,'Barang Keluar'!$C:$C,N4313))</f>
        <v>0</v>
      </c>
    </row>
    <row r="4314" spans="13:16">
      <c r="M4314" s="49">
        <f>IF($A$4+43&gt;$B$4,"",$A$4+43)</f>
        <v>46066</v>
      </c>
      <c r="N4314" t="str">
        <f>IF(M4314="","",'Master Barang'!A8)</f>
        <v>PRL-007</v>
      </c>
      <c r="O4314" t="str">
        <f>IF(N4314="","",'Master Barang'!B8)</f>
        <v>plastik kresek besar merah 50pc</v>
      </c>
      <c r="P4314">
        <f>IF(OR(M4314="",N4314=""),"",SUMIFS('Barang Keluar'!$E:$E,'Barang Keluar'!$A:$A,M4314,'Barang Keluar'!$C:$C,N4314))</f>
        <v>0</v>
      </c>
    </row>
    <row r="4315" spans="13:16">
      <c r="M4315" s="49">
        <f>IF($A$4+43&gt;$B$4,"",$A$4+43)</f>
        <v>46066</v>
      </c>
      <c r="N4315" t="str">
        <f>IF(M4315="","",'Master Barang'!A9)</f>
        <v>PRL-008</v>
      </c>
      <c r="O4315" t="str">
        <f>IF(N4315="","",'Master Barang'!B9)</f>
        <v>lap besar</v>
      </c>
      <c r="P4315">
        <f>IF(OR(M4315="",N4315=""),"",SUMIFS('Barang Keluar'!$E:$E,'Barang Keluar'!$A:$A,M4315,'Barang Keluar'!$C:$C,N4315))</f>
        <v>0</v>
      </c>
    </row>
    <row r="4316" spans="13:16">
      <c r="M4316" s="49">
        <f>IF($A$4+43&gt;$B$4,"",$A$4+43)</f>
        <v>46066</v>
      </c>
      <c r="N4316" t="str">
        <f>IF(M4316="","",'Master Barang'!A10)</f>
        <v>PRL-009</v>
      </c>
      <c r="O4316" t="str">
        <f>IF(N4316="","",'Master Barang'!B10)</f>
        <v>lap microfiber</v>
      </c>
      <c r="P4316">
        <f>IF(OR(M4316="",N4316=""),"",SUMIFS('Barang Keluar'!$E:$E,'Barang Keluar'!$A:$A,M4316,'Barang Keluar'!$C:$C,N4316))</f>
        <v>0</v>
      </c>
    </row>
    <row r="4317" spans="13:16">
      <c r="M4317" s="49">
        <f>IF($A$4+43&gt;$B$4,"",$A$4+43)</f>
        <v>46066</v>
      </c>
      <c r="N4317" t="str">
        <f>IF(M4317="","",'Master Barang'!A11)</f>
        <v>PRL-010</v>
      </c>
      <c r="O4317" t="str">
        <f>IF(N4317="","",'Master Barang'!B11)</f>
        <v>lap kecil</v>
      </c>
      <c r="P4317">
        <f>IF(OR(M4317="",N4317=""),"",SUMIFS('Barang Keluar'!$E:$E,'Barang Keluar'!$A:$A,M4317,'Barang Keluar'!$C:$C,N4317))</f>
        <v>0</v>
      </c>
    </row>
    <row r="4318" spans="13:16">
      <c r="M4318" s="49">
        <f>IF($A$4+43&gt;$B$4,"",$A$4+43)</f>
        <v>46066</v>
      </c>
      <c r="N4318" t="str">
        <f>IF(M4318="","",'Master Barang'!A12)</f>
        <v>PRL-011</v>
      </c>
      <c r="O4318" t="str">
        <f>IF(N4318="","",'Master Barang'!B12)</f>
        <v>kanebo kecil</v>
      </c>
      <c r="P4318">
        <f>IF(OR(M4318="",N4318=""),"",SUMIFS('Barang Keluar'!$E:$E,'Barang Keluar'!$A:$A,M4318,'Barang Keluar'!$C:$C,N4318))</f>
        <v>0</v>
      </c>
    </row>
    <row r="4319" spans="13:16">
      <c r="M4319" s="49">
        <f>IF($A$4+43&gt;$B$4,"",$A$4+43)</f>
        <v>46066</v>
      </c>
      <c r="N4319" t="str">
        <f>IF(M4319="","",'Master Barang'!A13)</f>
        <v>PRL-012</v>
      </c>
      <c r="O4319" t="str">
        <f>IF(N4319="","",'Master Barang'!B13)</f>
        <v>plastik 1/4kg joyoboyo 100 lembar</v>
      </c>
      <c r="P4319">
        <f>IF(OR(M4319="",N4319=""),"",SUMIFS('Barang Keluar'!$E:$E,'Barang Keluar'!$A:$A,M4319,'Barang Keluar'!$C:$C,N4319))</f>
        <v>0</v>
      </c>
    </row>
    <row r="4320" spans="13:16">
      <c r="M4320" s="49">
        <f>IF($A$4+43&gt;$B$4,"",$A$4+43)</f>
        <v>46066</v>
      </c>
      <c r="N4320" t="str">
        <f>IF(M4320="","",'Master Barang'!A14)</f>
        <v>PRL-013</v>
      </c>
      <c r="O4320" t="str">
        <f>IF(N4320="","",'Master Barang'!B14)</f>
        <v>sarung tangan plastik kaka 100 pcs</v>
      </c>
      <c r="P4320">
        <f>IF(OR(M4320="",N4320=""),"",SUMIFS('Barang Keluar'!$E:$E,'Barang Keluar'!$A:$A,M4320,'Barang Keluar'!$C:$C,N4320))</f>
        <v>0</v>
      </c>
    </row>
    <row r="4321" spans="13:16">
      <c r="M4321" s="49">
        <f>IF($A$4+43&gt;$B$4,"",$A$4+43)</f>
        <v>46066</v>
      </c>
      <c r="N4321" t="str">
        <f>IF(M4321="","",'Master Barang'!A15)</f>
        <v>PRL-014</v>
      </c>
      <c r="O4321" t="str">
        <f>IF(N4321="","",'Master Barang'!B15)</f>
        <v>optima trashbag 80x100</v>
      </c>
      <c r="P4321">
        <f>IF(OR(M4321="",N4321=""),"",SUMIFS('Barang Keluar'!$E:$E,'Barang Keluar'!$A:$A,M4321,'Barang Keluar'!$C:$C,N4321))</f>
        <v>0</v>
      </c>
    </row>
    <row r="4322" spans="13:16">
      <c r="M4322" s="49">
        <f>IF($A$4+43&gt;$B$4,"",$A$4+43)</f>
        <v>46066</v>
      </c>
      <c r="N4322" t="str">
        <f>IF(M4322="","",'Master Barang'!A16)</f>
        <v>PRL-015</v>
      </c>
      <c r="O4322" t="str">
        <f>IF(N4322="","",'Master Barang'!B16)</f>
        <v>optima trashbag 60x100</v>
      </c>
      <c r="P4322">
        <f>IF(OR(M4322="",N4322=""),"",SUMIFS('Barang Keluar'!$E:$E,'Barang Keluar'!$A:$A,M4322,'Barang Keluar'!$C:$C,N4322))</f>
        <v>0</v>
      </c>
    </row>
    <row r="4323" spans="13:16">
      <c r="M4323" s="49">
        <f>IF($A$4+43&gt;$B$4,"",$A$4+43)</f>
        <v>46066</v>
      </c>
      <c r="N4323" t="str">
        <f>IF(M4323="","",'Master Barang'!A17)</f>
        <v>PRL-016</v>
      </c>
      <c r="O4323" t="str">
        <f>IF(N4323="","",'Master Barang'!B17)</f>
        <v>rajawali trashbag 30x40</v>
      </c>
      <c r="P4323">
        <f>IF(OR(M4323="",N4323=""),"",SUMIFS('Barang Keluar'!$E:$E,'Barang Keluar'!$A:$A,M4323,'Barang Keluar'!$C:$C,N4323))</f>
        <v>0</v>
      </c>
    </row>
    <row r="4324" spans="13:16">
      <c r="M4324" s="49">
        <f>IF($A$4+43&gt;$B$4,"",$A$4+43)</f>
        <v>46066</v>
      </c>
      <c r="N4324" t="str">
        <f>IF(M4324="","",'Master Barang'!A18)</f>
        <v>PRL-017</v>
      </c>
      <c r="O4324" t="str">
        <f>IF(N4324="","",'Master Barang'!B18)</f>
        <v>onemed masker biru 3 play 50 pcs</v>
      </c>
      <c r="P4324">
        <f>IF(OR(M4324="",N4324=""),"",SUMIFS('Barang Keluar'!$E:$E,'Barang Keluar'!$A:$A,M4324,'Barang Keluar'!$C:$C,N4324))</f>
        <v>0</v>
      </c>
    </row>
    <row r="4325" spans="13:16">
      <c r="M4325" s="49">
        <f>IF($A$4+43&gt;$B$4,"",$A$4+43)</f>
        <v>46066</v>
      </c>
      <c r="N4325" t="str">
        <f>IF(M4325="","",'Master Barang'!A19)</f>
        <v>PRL-018</v>
      </c>
      <c r="O4325" t="str">
        <f>IF(N4325="","",'Master Barang'!B19)</f>
        <v>onemed masker biru 3 play hijab 50 pcs</v>
      </c>
      <c r="P4325">
        <f>IF(OR(M4325="",N4325=""),"",SUMIFS('Barang Keluar'!$E:$E,'Barang Keluar'!$A:$A,M4325,'Barang Keluar'!$C:$C,N4325))</f>
        <v>0</v>
      </c>
    </row>
    <row r="4326" spans="13:16">
      <c r="M4326" s="49">
        <f>IF($A$4+43&gt;$B$4,"",$A$4+43)</f>
        <v>46066</v>
      </c>
      <c r="N4326" t="str">
        <f>IF(M4326="","",'Master Barang'!A20)</f>
        <v>PRL-019</v>
      </c>
      <c r="O4326" t="str">
        <f>IF(N4326="","",'Master Barang'!B20)</f>
        <v>neo health masker biru 3 play 50 pcs</v>
      </c>
      <c r="P4326">
        <f>IF(OR(M4326="",N4326=""),"",SUMIFS('Barang Keluar'!$E:$E,'Barang Keluar'!$A:$A,M4326,'Barang Keluar'!$C:$C,N4326))</f>
        <v>0</v>
      </c>
    </row>
    <row r="4327" spans="13:16">
      <c r="M4327" s="49">
        <f>IF($A$4+43&gt;$B$4,"",$A$4+43)</f>
        <v>46066</v>
      </c>
      <c r="N4327" t="str">
        <f>IF(M4327="","",'Master Barang'!A21)</f>
        <v>PRL-020</v>
      </c>
      <c r="O4327" t="str">
        <f>IF(N4327="","",'Master Barang'!B21)</f>
        <v>baymed masker hijau 3 play hijau 50 pcs</v>
      </c>
      <c r="P4327">
        <f>IF(OR(M4327="",N4327=""),"",SUMIFS('Barang Keluar'!$E:$E,'Barang Keluar'!$A:$A,M4327,'Barang Keluar'!$C:$C,N4327))</f>
        <v>0</v>
      </c>
    </row>
    <row r="4328" spans="13:16">
      <c r="M4328" s="49">
        <f>IF($A$4+43&gt;$B$4,"",$A$4+43)</f>
        <v>46066</v>
      </c>
      <c r="N4328" t="str">
        <f>IF(M4328="","",'Master Barang'!A22)</f>
        <v>PRL-021</v>
      </c>
      <c r="O4328" t="str">
        <f>IF(N4328="","",'Master Barang'!B22)</f>
        <v>altamed nurse cap penutup kepala 100 pcs</v>
      </c>
      <c r="P4328">
        <f>IF(OR(M4328="",N4328=""),"",SUMIFS('Barang Keluar'!$E:$E,'Barang Keluar'!$A:$A,M4328,'Barang Keluar'!$C:$C,N4328))</f>
        <v>0</v>
      </c>
    </row>
    <row r="4329" spans="13:16">
      <c r="M4329" s="49">
        <f>IF($A$4+43&gt;$B$4,"",$A$4+43)</f>
        <v>46066</v>
      </c>
      <c r="N4329" t="str">
        <f>IF(M4329="","",'Master Barang'!A23)</f>
        <v>PRL-022</v>
      </c>
      <c r="O4329" t="str">
        <f>IF(N4329="","",'Master Barang'!B23)</f>
        <v>sabun cuci tangan</v>
      </c>
      <c r="P4329">
        <f>IF(OR(M4329="",N4329=""),"",SUMIFS('Barang Keluar'!$E:$E,'Barang Keluar'!$A:$A,M4329,'Barang Keluar'!$C:$C,N4329))</f>
        <v>0</v>
      </c>
    </row>
    <row r="4330" spans="13:16">
      <c r="M4330" s="49">
        <f>IF($A$4+43&gt;$B$4,"",$A$4+43)</f>
        <v>46066</v>
      </c>
      <c r="N4330" t="str">
        <f>IF(M4330="","",'Master Barang'!A24)</f>
        <v>PRL-023</v>
      </c>
      <c r="O4330" t="str">
        <f>IF(N4330="","",'Master Barang'!B24)</f>
        <v>gayung kecil</v>
      </c>
      <c r="P4330">
        <f>IF(OR(M4330="",N4330=""),"",SUMIFS('Barang Keluar'!$E:$E,'Barang Keluar'!$A:$A,M4330,'Barang Keluar'!$C:$C,N4330))</f>
        <v>0</v>
      </c>
    </row>
    <row r="4331" spans="13:16">
      <c r="M4331" s="49">
        <f>IF($A$4+43&gt;$B$4,"",$A$4+43)</f>
        <v>46066</v>
      </c>
      <c r="N4331" t="str">
        <f>IF(M4331="","",'Master Barang'!A25)</f>
        <v>PRL-024</v>
      </c>
      <c r="O4331" t="str">
        <f>IF(N4331="","",'Master Barang'!B25)</f>
        <v>cikrak kecil</v>
      </c>
      <c r="P4331">
        <f>IF(OR(M4331="",N4331=""),"",SUMIFS('Barang Keluar'!$E:$E,'Barang Keluar'!$A:$A,M4331,'Barang Keluar'!$C:$C,N4331))</f>
        <v>0</v>
      </c>
    </row>
    <row r="4332" spans="13:16">
      <c r="M4332" s="49">
        <f>IF($A$4+43&gt;$B$4,"",$A$4+43)</f>
        <v>46066</v>
      </c>
      <c r="N4332" t="str">
        <f>IF(M4332="","",'Master Barang'!A26)</f>
        <v>PRL-025</v>
      </c>
      <c r="O4332" t="str">
        <f>IF(N4332="","",'Master Barang'!B26)</f>
        <v>petromax plastik kecil 12x24 100 lembar</v>
      </c>
      <c r="P4332">
        <f>IF(OR(M4332="",N4332=""),"",SUMIFS('Barang Keluar'!$E:$E,'Barang Keluar'!$A:$A,M4332,'Barang Keluar'!$C:$C,N4332))</f>
        <v>0</v>
      </c>
    </row>
    <row r="4333" spans="13:16">
      <c r="M4333" s="49">
        <f>IF($A$4+43&gt;$B$4,"",$A$4+43)</f>
        <v>46066</v>
      </c>
      <c r="N4333" t="str">
        <f>IF(M4333="","",'Master Barang'!A27)</f>
        <v>PRL-026</v>
      </c>
      <c r="O4333" t="str">
        <f>IF(N4333="","",'Master Barang'!B27)</f>
        <v>lancar kresek kecil bening </v>
      </c>
      <c r="P4333">
        <f>IF(OR(M4333="",N4333=""),"",SUMIFS('Barang Keluar'!$E:$E,'Barang Keluar'!$A:$A,M4333,'Barang Keluar'!$C:$C,N4333))</f>
        <v>0</v>
      </c>
    </row>
    <row r="4334" spans="13:16">
      <c r="M4334" s="49">
        <f>IF($A$4+43&gt;$B$4,"",$A$4+43)</f>
        <v>46066</v>
      </c>
      <c r="N4334" t="str">
        <f>IF(M4334="","",'Master Barang'!A28)</f>
        <v>PRL-027</v>
      </c>
      <c r="O4334" t="str">
        <f>IF(N4334="","",'Master Barang'!B28)</f>
        <v>kresek klin warna warni kecil</v>
      </c>
      <c r="P4334">
        <f>IF(OR(M4334="",N4334=""),"",SUMIFS('Barang Keluar'!$E:$E,'Barang Keluar'!$A:$A,M4334,'Barang Keluar'!$C:$C,N4334))</f>
        <v>0</v>
      </c>
    </row>
    <row r="4335" spans="13:16">
      <c r="M4335" s="49">
        <f>IF($A$4+43&gt;$B$4,"",$A$4+43)</f>
        <v>46066</v>
      </c>
      <c r="N4335" t="str">
        <f>IF(M4335="","",'Master Barang'!A29)</f>
        <v>PRL-028</v>
      </c>
      <c r="O4335" t="str">
        <f>IF(N4335="","",'Master Barang'!B29)</f>
        <v>ctik plastik 7x10 100 pcs</v>
      </c>
      <c r="P4335">
        <f>IF(OR(M4335="",N4335=""),"",SUMIFS('Barang Keluar'!$E:$E,'Barang Keluar'!$A:$A,M4335,'Barang Keluar'!$C:$C,N4335))</f>
        <v>0</v>
      </c>
    </row>
    <row r="4336" spans="13:16">
      <c r="M4336" s="49">
        <f>IF($A$4+43&gt;$B$4,"",$A$4+43)</f>
        <v>46066</v>
      </c>
      <c r="N4336" t="str">
        <f>IF(M4336="","",'Master Barang'!A30)</f>
        <v>PRL-029</v>
      </c>
      <c r="O4336" t="str">
        <f>IF(N4336="","",'Master Barang'!B30)</f>
        <v>ctik plastik 6x10 100 pcs</v>
      </c>
      <c r="P4336">
        <f>IF(OR(M4336="",N4336=""),"",SUMIFS('Barang Keluar'!$E:$E,'Barang Keluar'!$A:$A,M4336,'Barang Keluar'!$C:$C,N4336))</f>
        <v>0</v>
      </c>
    </row>
    <row r="4337" spans="13:16">
      <c r="M4337" s="49">
        <f>IF($A$4+43&gt;$B$4,"",$A$4+43)</f>
        <v>46066</v>
      </c>
      <c r="N4337" t="str">
        <f>IF(M4337="","",'Master Barang'!A31)</f>
        <v>PRL-030</v>
      </c>
      <c r="O4337" t="str">
        <f>IF(N4337="","",'Master Barang'!B31)</f>
        <v>klip plastik 25x16 100 pcs</v>
      </c>
      <c r="P4337">
        <f>IF(OR(M4337="",N4337=""),"",SUMIFS('Barang Keluar'!$E:$E,'Barang Keluar'!$A:$A,M4337,'Barang Keluar'!$C:$C,N4337))</f>
        <v>0</v>
      </c>
    </row>
    <row r="4338" spans="13:16">
      <c r="M4338" s="49">
        <f>IF($A$4+43&gt;$B$4,"",$A$4+43)</f>
        <v>46066</v>
      </c>
      <c r="N4338" t="str">
        <f>IF(M4338="","",'Master Barang'!A32)</f>
        <v>PRL-031</v>
      </c>
      <c r="O4338" t="str">
        <f>IF(N4338="","",'Master Barang'!B32)</f>
        <v>tempat saus 20 ml</v>
      </c>
      <c r="P4338">
        <f>IF(OR(M4338="",N4338=""),"",SUMIFS('Barang Keluar'!$E:$E,'Barang Keluar'!$A:$A,M4338,'Barang Keluar'!$C:$C,N4338))</f>
        <v>0</v>
      </c>
    </row>
    <row r="4339" spans="13:16">
      <c r="M4339" s="49">
        <f>IF($A$4+43&gt;$B$4,"",$A$4+43)</f>
        <v>46066</v>
      </c>
      <c r="N4339" t="str">
        <f>IF(M4339="","",'Master Barang'!A33)</f>
        <v>PRL-032</v>
      </c>
      <c r="O4339" t="str">
        <f>IF(N4339="","",'Master Barang'!B33)</f>
        <v>plastik packaging ag box uk sedang</v>
      </c>
      <c r="P4339">
        <f>IF(OR(M4339="",N4339=""),"",SUMIFS('Barang Keluar'!$E:$E,'Barang Keluar'!$A:$A,M4339,'Barang Keluar'!$C:$C,N4339))</f>
        <v>0</v>
      </c>
    </row>
    <row r="4340" spans="13:16">
      <c r="M4340" s="49">
        <f>IF($A$4+43&gt;$B$4,"",$A$4+43)</f>
        <v>46066</v>
      </c>
      <c r="N4340" t="str">
        <f>IF(M4340="","",'Master Barang'!A34)</f>
        <v>PRL-033</v>
      </c>
      <c r="O4340">
        <f>IF(N4340="","",'Master Barang'!B34)</f>
        <v>0</v>
      </c>
      <c r="P4340">
        <f>IF(OR(M4340="",N4340=""),"",SUMIFS('Barang Keluar'!$E:$E,'Barang Keluar'!$A:$A,M4340,'Barang Keluar'!$C:$C,N4340))</f>
        <v>0</v>
      </c>
    </row>
    <row r="4341" spans="13:16">
      <c r="M4341" s="49">
        <f>IF($A$4+43&gt;$B$4,"",$A$4+43)</f>
        <v>46066</v>
      </c>
      <c r="N4341">
        <f>IF(M4341="","",'Master Barang'!A35)</f>
        <v>0</v>
      </c>
      <c r="O4341">
        <f>IF(N4341="","",'Master Barang'!B35)</f>
        <v>0</v>
      </c>
      <c r="P4341">
        <f>IF(OR(M4341="",N4341=""),"",SUMIFS('Barang Keluar'!$E:$E,'Barang Keluar'!$A:$A,M4341,'Barang Keluar'!$C:$C,N4341))</f>
        <v>0</v>
      </c>
    </row>
    <row r="4342" spans="13:16">
      <c r="M4342" s="49">
        <f>IF($A$4+43&gt;$B$4,"",$A$4+43)</f>
        <v>46066</v>
      </c>
      <c r="N4342">
        <f>IF(M4342="","",'Master Barang'!A36)</f>
        <v>0</v>
      </c>
      <c r="O4342">
        <f>IF(N4342="","",'Master Barang'!B36)</f>
        <v>0</v>
      </c>
      <c r="P4342">
        <f>IF(OR(M4342="",N4342=""),"",SUMIFS('Barang Keluar'!$E:$E,'Barang Keluar'!$A:$A,M4342,'Barang Keluar'!$C:$C,N4342))</f>
        <v>0</v>
      </c>
    </row>
    <row r="4343" spans="13:16">
      <c r="M4343" s="49">
        <f>IF($A$4+43&gt;$B$4,"",$A$4+43)</f>
        <v>46066</v>
      </c>
      <c r="N4343">
        <f>IF(M4343="","",'Master Barang'!A37)</f>
        <v>0</v>
      </c>
      <c r="O4343">
        <f>IF(N4343="","",'Master Barang'!B37)</f>
        <v>0</v>
      </c>
      <c r="P4343">
        <f>IF(OR(M4343="",N4343=""),"",SUMIFS('Barang Keluar'!$E:$E,'Barang Keluar'!$A:$A,M4343,'Barang Keluar'!$C:$C,N4343))</f>
        <v>0</v>
      </c>
    </row>
    <row r="4344" spans="13:16">
      <c r="M4344" s="49">
        <f>IF($A$4+43&gt;$B$4,"",$A$4+43)</f>
        <v>46066</v>
      </c>
      <c r="N4344">
        <f>IF(M4344="","",'Master Barang'!A38)</f>
        <v>0</v>
      </c>
      <c r="O4344">
        <f>IF(N4344="","",'Master Barang'!B38)</f>
        <v>0</v>
      </c>
      <c r="P4344">
        <f>IF(OR(M4344="",N4344=""),"",SUMIFS('Barang Keluar'!$E:$E,'Barang Keluar'!$A:$A,M4344,'Barang Keluar'!$C:$C,N4344))</f>
        <v>0</v>
      </c>
    </row>
    <row r="4345" spans="13:16">
      <c r="M4345" s="49">
        <f>IF($A$4+43&gt;$B$4,"",$A$4+43)</f>
        <v>46066</v>
      </c>
      <c r="N4345">
        <f>IF(M4345="","",'Master Barang'!A39)</f>
        <v>0</v>
      </c>
      <c r="O4345">
        <f>IF(N4345="","",'Master Barang'!B39)</f>
        <v>0</v>
      </c>
      <c r="P4345">
        <f>IF(OR(M4345="",N4345=""),"",SUMIFS('Barang Keluar'!$E:$E,'Barang Keluar'!$A:$A,M4345,'Barang Keluar'!$C:$C,N4345))</f>
        <v>0</v>
      </c>
    </row>
    <row r="4346" spans="13:16">
      <c r="M4346" s="49">
        <f>IF($A$4+43&gt;$B$4,"",$A$4+43)</f>
        <v>46066</v>
      </c>
      <c r="N4346">
        <f>IF(M4346="","",'Master Barang'!A40)</f>
        <v>0</v>
      </c>
      <c r="O4346">
        <f>IF(N4346="","",'Master Barang'!B40)</f>
        <v>0</v>
      </c>
      <c r="P4346">
        <f>IF(OR(M4346="",N4346=""),"",SUMIFS('Barang Keluar'!$E:$E,'Barang Keluar'!$A:$A,M4346,'Barang Keluar'!$C:$C,N4346))</f>
        <v>0</v>
      </c>
    </row>
    <row r="4347" spans="13:16">
      <c r="M4347" s="49">
        <f>IF($A$4+43&gt;$B$4,"",$A$4+43)</f>
        <v>46066</v>
      </c>
      <c r="N4347">
        <f>IF(M4347="","",'Master Barang'!A41)</f>
        <v>0</v>
      </c>
      <c r="O4347">
        <f>IF(N4347="","",'Master Barang'!B41)</f>
        <v>0</v>
      </c>
      <c r="P4347">
        <f>IF(OR(M4347="",N4347=""),"",SUMIFS('Barang Keluar'!$E:$E,'Barang Keluar'!$A:$A,M4347,'Barang Keluar'!$C:$C,N4347))</f>
        <v>0</v>
      </c>
    </row>
    <row r="4348" spans="13:16">
      <c r="M4348" s="49">
        <f>IF($A$4+43&gt;$B$4,"",$A$4+43)</f>
        <v>46066</v>
      </c>
      <c r="N4348">
        <f>IF(M4348="","",'Master Barang'!A42)</f>
        <v>0</v>
      </c>
      <c r="O4348">
        <f>IF(N4348="","",'Master Barang'!B42)</f>
        <v>0</v>
      </c>
      <c r="P4348">
        <f>IF(OR(M4348="",N4348=""),"",SUMIFS('Barang Keluar'!$E:$E,'Barang Keluar'!$A:$A,M4348,'Barang Keluar'!$C:$C,N4348))</f>
        <v>0</v>
      </c>
    </row>
    <row r="4349" spans="13:16">
      <c r="M4349" s="49">
        <f>IF($A$4+43&gt;$B$4,"",$A$4+43)</f>
        <v>46066</v>
      </c>
      <c r="N4349">
        <f>IF(M4349="","",'Master Barang'!A43)</f>
        <v>0</v>
      </c>
      <c r="O4349">
        <f>IF(N4349="","",'Master Barang'!B43)</f>
        <v>0</v>
      </c>
      <c r="P4349">
        <f>IF(OR(M4349="",N4349=""),"",SUMIFS('Barang Keluar'!$E:$E,'Barang Keluar'!$A:$A,M4349,'Barang Keluar'!$C:$C,N4349))</f>
        <v>0</v>
      </c>
    </row>
    <row r="4350" spans="13:16">
      <c r="M4350" s="49">
        <f>IF($A$4+43&gt;$B$4,"",$A$4+43)</f>
        <v>46066</v>
      </c>
      <c r="N4350">
        <f>IF(M4350="","",'Master Barang'!A44)</f>
        <v>0</v>
      </c>
      <c r="O4350">
        <f>IF(N4350="","",'Master Barang'!B44)</f>
        <v>0</v>
      </c>
      <c r="P4350">
        <f>IF(OR(M4350="",N4350=""),"",SUMIFS('Barang Keluar'!$E:$E,'Barang Keluar'!$A:$A,M4350,'Barang Keluar'!$C:$C,N4350))</f>
        <v>0</v>
      </c>
    </row>
    <row r="4351" spans="13:16">
      <c r="M4351" s="49">
        <f>IF($A$4+43&gt;$B$4,"",$A$4+43)</f>
        <v>46066</v>
      </c>
      <c r="N4351">
        <f>IF(M4351="","",'Master Barang'!A45)</f>
        <v>0</v>
      </c>
      <c r="O4351">
        <f>IF(N4351="","",'Master Barang'!B45)</f>
        <v>0</v>
      </c>
      <c r="P4351">
        <f>IF(OR(M4351="",N4351=""),"",SUMIFS('Barang Keluar'!$E:$E,'Barang Keluar'!$A:$A,M4351,'Barang Keluar'!$C:$C,N4351))</f>
        <v>0</v>
      </c>
    </row>
    <row r="4352" spans="13:16">
      <c r="M4352" s="49">
        <f>IF($A$4+43&gt;$B$4,"",$A$4+43)</f>
        <v>46066</v>
      </c>
      <c r="N4352">
        <f>IF(M4352="","",'Master Barang'!A46)</f>
        <v>0</v>
      </c>
      <c r="O4352">
        <f>IF(N4352="","",'Master Barang'!B46)</f>
        <v>0</v>
      </c>
      <c r="P4352">
        <f>IF(OR(M4352="",N4352=""),"",SUMIFS('Barang Keluar'!$E:$E,'Barang Keluar'!$A:$A,M4352,'Barang Keluar'!$C:$C,N4352))</f>
        <v>0</v>
      </c>
    </row>
    <row r="4353" spans="13:16">
      <c r="M4353" s="49">
        <f>IF($A$4+43&gt;$B$4,"",$A$4+43)</f>
        <v>46066</v>
      </c>
      <c r="N4353">
        <f>IF(M4353="","",'Master Barang'!A47)</f>
        <v>0</v>
      </c>
      <c r="O4353">
        <f>IF(N4353="","",'Master Barang'!B47)</f>
        <v>0</v>
      </c>
      <c r="P4353">
        <f>IF(OR(M4353="",N4353=""),"",SUMIFS('Barang Keluar'!$E:$E,'Barang Keluar'!$A:$A,M4353,'Barang Keluar'!$C:$C,N4353))</f>
        <v>0</v>
      </c>
    </row>
    <row r="4354" spans="13:16">
      <c r="M4354" s="49">
        <f>IF($A$4+43&gt;$B$4,"",$A$4+43)</f>
        <v>46066</v>
      </c>
      <c r="N4354">
        <f>IF(M4354="","",'Master Barang'!A48)</f>
        <v>0</v>
      </c>
      <c r="O4354">
        <f>IF(N4354="","",'Master Barang'!B48)</f>
        <v>0</v>
      </c>
      <c r="P4354">
        <f>IF(OR(M4354="",N4354=""),"",SUMIFS('Barang Keluar'!$E:$E,'Barang Keluar'!$A:$A,M4354,'Barang Keluar'!$C:$C,N4354))</f>
        <v>0</v>
      </c>
    </row>
    <row r="4355" spans="13:16">
      <c r="M4355" s="49">
        <f>IF($A$4+43&gt;$B$4,"",$A$4+43)</f>
        <v>46066</v>
      </c>
      <c r="N4355">
        <f>IF(M4355="","",'Master Barang'!A49)</f>
        <v>0</v>
      </c>
      <c r="O4355">
        <f>IF(N4355="","",'Master Barang'!B49)</f>
        <v>0</v>
      </c>
      <c r="P4355">
        <f>IF(OR(M4355="",N4355=""),"",SUMIFS('Barang Keluar'!$E:$E,'Barang Keluar'!$A:$A,M4355,'Barang Keluar'!$C:$C,N4355))</f>
        <v>0</v>
      </c>
    </row>
    <row r="4356" spans="13:16">
      <c r="M4356" s="49">
        <f>IF($A$4+43&gt;$B$4,"",$A$4+43)</f>
        <v>46066</v>
      </c>
      <c r="N4356">
        <f>IF(M4356="","",'Master Barang'!A50)</f>
        <v>0</v>
      </c>
      <c r="O4356">
        <f>IF(N4356="","",'Master Barang'!B50)</f>
        <v>0</v>
      </c>
      <c r="P4356">
        <f>IF(OR(M4356="",N4356=""),"",SUMIFS('Barang Keluar'!$E:$E,'Barang Keluar'!$A:$A,M4356,'Barang Keluar'!$C:$C,N4356))</f>
        <v>0</v>
      </c>
    </row>
    <row r="4357" spans="13:16">
      <c r="M4357" s="49">
        <f>IF($A$4+43&gt;$B$4,"",$A$4+43)</f>
        <v>46066</v>
      </c>
      <c r="N4357">
        <f>IF(M4357="","",'Master Barang'!A51)</f>
        <v>0</v>
      </c>
      <c r="O4357">
        <f>IF(N4357="","",'Master Barang'!B51)</f>
        <v>0</v>
      </c>
      <c r="P4357">
        <f>IF(OR(M4357="",N4357=""),"",SUMIFS('Barang Keluar'!$E:$E,'Barang Keluar'!$A:$A,M4357,'Barang Keluar'!$C:$C,N4357))</f>
        <v>0</v>
      </c>
    </row>
    <row r="4358" spans="13:16">
      <c r="M4358" s="49">
        <f>IF($A$4+43&gt;$B$4,"",$A$4+43)</f>
        <v>46066</v>
      </c>
      <c r="N4358">
        <f>IF(M4358="","",'Master Barang'!A52)</f>
        <v>0</v>
      </c>
      <c r="O4358">
        <f>IF(N4358="","",'Master Barang'!B52)</f>
        <v>0</v>
      </c>
      <c r="P4358">
        <f>IF(OR(M4358="",N4358=""),"",SUMIFS('Barang Keluar'!$E:$E,'Barang Keluar'!$A:$A,M4358,'Barang Keluar'!$C:$C,N4358))</f>
        <v>0</v>
      </c>
    </row>
    <row r="4359" spans="13:16">
      <c r="M4359" s="49">
        <f>IF($A$4+43&gt;$B$4,"",$A$4+43)</f>
        <v>46066</v>
      </c>
      <c r="N4359">
        <f>IF(M4359="","",'Master Barang'!A53)</f>
        <v>0</v>
      </c>
      <c r="O4359">
        <f>IF(N4359="","",'Master Barang'!B53)</f>
        <v>0</v>
      </c>
      <c r="P4359">
        <f>IF(OR(M4359="",N4359=""),"",SUMIFS('Barang Keluar'!$E:$E,'Barang Keluar'!$A:$A,M4359,'Barang Keluar'!$C:$C,N4359))</f>
        <v>0</v>
      </c>
    </row>
    <row r="4360" spans="13:16">
      <c r="M4360" s="49">
        <f>IF($A$4+43&gt;$B$4,"",$A$4+43)</f>
        <v>46066</v>
      </c>
      <c r="N4360">
        <f>IF(M4360="","",'Master Barang'!A54)</f>
        <v>0</v>
      </c>
      <c r="O4360">
        <f>IF(N4360="","",'Master Barang'!B54)</f>
        <v>0</v>
      </c>
      <c r="P4360">
        <f>IF(OR(M4360="",N4360=""),"",SUMIFS('Barang Keluar'!$E:$E,'Barang Keluar'!$A:$A,M4360,'Barang Keluar'!$C:$C,N4360))</f>
        <v>0</v>
      </c>
    </row>
    <row r="4361" spans="13:16">
      <c r="M4361" s="49">
        <f>IF($A$4+43&gt;$B$4,"",$A$4+43)</f>
        <v>46066</v>
      </c>
      <c r="N4361">
        <f>IF(M4361="","",'Master Barang'!A55)</f>
        <v>0</v>
      </c>
      <c r="O4361">
        <f>IF(N4361="","",'Master Barang'!B55)</f>
        <v>0</v>
      </c>
      <c r="P4361">
        <f>IF(OR(M4361="",N4361=""),"",SUMIFS('Barang Keluar'!$E:$E,'Barang Keluar'!$A:$A,M4361,'Barang Keluar'!$C:$C,N4361))</f>
        <v>0</v>
      </c>
    </row>
    <row r="4362" spans="13:16">
      <c r="M4362" s="49">
        <f>IF($A$4+43&gt;$B$4,"",$A$4+43)</f>
        <v>46066</v>
      </c>
      <c r="N4362">
        <f>IF(M4362="","",'Master Barang'!A56)</f>
        <v>0</v>
      </c>
      <c r="O4362">
        <f>IF(N4362="","",'Master Barang'!B56)</f>
        <v>0</v>
      </c>
      <c r="P4362">
        <f>IF(OR(M4362="",N4362=""),"",SUMIFS('Barang Keluar'!$E:$E,'Barang Keluar'!$A:$A,M4362,'Barang Keluar'!$C:$C,N4362))</f>
        <v>0</v>
      </c>
    </row>
    <row r="4363" spans="13:16">
      <c r="M4363" s="49">
        <f>IF($A$4+43&gt;$B$4,"",$A$4+43)</f>
        <v>46066</v>
      </c>
      <c r="N4363">
        <f>IF(M4363="","",'Master Barang'!A57)</f>
        <v>0</v>
      </c>
      <c r="O4363">
        <f>IF(N4363="","",'Master Barang'!B57)</f>
        <v>0</v>
      </c>
      <c r="P4363">
        <f>IF(OR(M4363="",N4363=""),"",SUMIFS('Barang Keluar'!$E:$E,'Barang Keluar'!$A:$A,M4363,'Barang Keluar'!$C:$C,N4363))</f>
        <v>0</v>
      </c>
    </row>
    <row r="4364" spans="13:16">
      <c r="M4364" s="49">
        <f>IF($A$4+43&gt;$B$4,"",$A$4+43)</f>
        <v>46066</v>
      </c>
      <c r="N4364">
        <f>IF(M4364="","",'Master Barang'!A58)</f>
        <v>0</v>
      </c>
      <c r="O4364">
        <f>IF(N4364="","",'Master Barang'!B58)</f>
        <v>0</v>
      </c>
      <c r="P4364">
        <f>IF(OR(M4364="",N4364=""),"",SUMIFS('Barang Keluar'!$E:$E,'Barang Keluar'!$A:$A,M4364,'Barang Keluar'!$C:$C,N4364))</f>
        <v>0</v>
      </c>
    </row>
    <row r="4365" spans="13:16">
      <c r="M4365" s="49">
        <f>IF($A$4+43&gt;$B$4,"",$A$4+43)</f>
        <v>46066</v>
      </c>
      <c r="N4365">
        <f>IF(M4365="","",'Master Barang'!A59)</f>
        <v>0</v>
      </c>
      <c r="O4365">
        <f>IF(N4365="","",'Master Barang'!B59)</f>
        <v>0</v>
      </c>
      <c r="P4365">
        <f>IF(OR(M4365="",N4365=""),"",SUMIFS('Barang Keluar'!$E:$E,'Barang Keluar'!$A:$A,M4365,'Barang Keluar'!$C:$C,N4365))</f>
        <v>0</v>
      </c>
    </row>
    <row r="4366" spans="13:16">
      <c r="M4366" s="49">
        <f>IF($A$4+43&gt;$B$4,"",$A$4+43)</f>
        <v>46066</v>
      </c>
      <c r="N4366">
        <f>IF(M4366="","",'Master Barang'!A60)</f>
        <v>0</v>
      </c>
      <c r="O4366">
        <f>IF(N4366="","",'Master Barang'!B60)</f>
        <v>0</v>
      </c>
      <c r="P4366">
        <f>IF(OR(M4366="",N4366=""),"",SUMIFS('Barang Keluar'!$E:$E,'Barang Keluar'!$A:$A,M4366,'Barang Keluar'!$C:$C,N4366))</f>
        <v>0</v>
      </c>
    </row>
    <row r="4367" spans="13:16">
      <c r="M4367" s="49">
        <f>IF($A$4+43&gt;$B$4,"",$A$4+43)</f>
        <v>46066</v>
      </c>
      <c r="N4367">
        <f>IF(M4367="","",'Master Barang'!A61)</f>
        <v>0</v>
      </c>
      <c r="O4367">
        <f>IF(N4367="","",'Master Barang'!B61)</f>
        <v>0</v>
      </c>
      <c r="P4367">
        <f>IF(OR(M4367="",N4367=""),"",SUMIFS('Barang Keluar'!$E:$E,'Barang Keluar'!$A:$A,M4367,'Barang Keluar'!$C:$C,N4367))</f>
        <v>0</v>
      </c>
    </row>
    <row r="4368" spans="13:16">
      <c r="M4368" s="49">
        <f>IF($A$4+43&gt;$B$4,"",$A$4+43)</f>
        <v>46066</v>
      </c>
      <c r="N4368">
        <f>IF(M4368="","",'Master Barang'!A62)</f>
        <v>0</v>
      </c>
      <c r="O4368">
        <f>IF(N4368="","",'Master Barang'!B62)</f>
        <v>0</v>
      </c>
      <c r="P4368">
        <f>IF(OR(M4368="",N4368=""),"",SUMIFS('Barang Keluar'!$E:$E,'Barang Keluar'!$A:$A,M4368,'Barang Keluar'!$C:$C,N4368))</f>
        <v>0</v>
      </c>
    </row>
    <row r="4369" spans="13:16">
      <c r="M4369" s="49">
        <f>IF($A$4+43&gt;$B$4,"",$A$4+43)</f>
        <v>46066</v>
      </c>
      <c r="N4369">
        <f>IF(M4369="","",'Master Barang'!A63)</f>
        <v>0</v>
      </c>
      <c r="O4369">
        <f>IF(N4369="","",'Master Barang'!B63)</f>
        <v>0</v>
      </c>
      <c r="P4369">
        <f>IF(OR(M4369="",N4369=""),"",SUMIFS('Barang Keluar'!$E:$E,'Barang Keluar'!$A:$A,M4369,'Barang Keluar'!$C:$C,N4369))</f>
        <v>0</v>
      </c>
    </row>
    <row r="4370" spans="13:16">
      <c r="M4370" s="49">
        <f>IF($A$4+43&gt;$B$4,"",$A$4+43)</f>
        <v>46066</v>
      </c>
      <c r="N4370">
        <f>IF(M4370="","",'Master Barang'!A64)</f>
        <v>0</v>
      </c>
      <c r="O4370">
        <f>IF(N4370="","",'Master Barang'!B64)</f>
        <v>0</v>
      </c>
      <c r="P4370">
        <f>IF(OR(M4370="",N4370=""),"",SUMIFS('Barang Keluar'!$E:$E,'Barang Keluar'!$A:$A,M4370,'Barang Keluar'!$C:$C,N4370))</f>
        <v>0</v>
      </c>
    </row>
    <row r="4371" spans="13:16">
      <c r="M4371" s="49">
        <f>IF($A$4+43&gt;$B$4,"",$A$4+43)</f>
        <v>46066</v>
      </c>
      <c r="N4371">
        <f>IF(M4371="","",'Master Barang'!A65)</f>
        <v>0</v>
      </c>
      <c r="O4371">
        <f>IF(N4371="","",'Master Barang'!B65)</f>
        <v>0</v>
      </c>
      <c r="P4371">
        <f>IF(OR(M4371="",N4371=""),"",SUMIFS('Barang Keluar'!$E:$E,'Barang Keluar'!$A:$A,M4371,'Barang Keluar'!$C:$C,N4371))</f>
        <v>0</v>
      </c>
    </row>
    <row r="4372" spans="13:16">
      <c r="M4372" s="49">
        <f>IF($A$4+43&gt;$B$4,"",$A$4+43)</f>
        <v>46066</v>
      </c>
      <c r="N4372">
        <f>IF(M4372="","",'Master Barang'!A66)</f>
        <v>0</v>
      </c>
      <c r="O4372">
        <f>IF(N4372="","",'Master Barang'!B66)</f>
        <v>0</v>
      </c>
      <c r="P4372">
        <f>IF(OR(M4372="",N4372=""),"",SUMIFS('Barang Keluar'!$E:$E,'Barang Keluar'!$A:$A,M4372,'Barang Keluar'!$C:$C,N4372))</f>
        <v>0</v>
      </c>
    </row>
    <row r="4373" spans="13:16">
      <c r="M4373" s="49">
        <f>IF($A$4+43&gt;$B$4,"",$A$4+43)</f>
        <v>46066</v>
      </c>
      <c r="N4373">
        <f>IF(M4373="","",'Master Barang'!A67)</f>
        <v>0</v>
      </c>
      <c r="O4373">
        <f>IF(N4373="","",'Master Barang'!B67)</f>
        <v>0</v>
      </c>
      <c r="P4373">
        <f>IF(OR(M4373="",N4373=""),"",SUMIFS('Barang Keluar'!$E:$E,'Barang Keluar'!$A:$A,M4373,'Barang Keluar'!$C:$C,N4373))</f>
        <v>0</v>
      </c>
    </row>
    <row r="4374" spans="13:16">
      <c r="M4374" s="49">
        <f>IF($A$4+43&gt;$B$4,"",$A$4+43)</f>
        <v>46066</v>
      </c>
      <c r="N4374">
        <f>IF(M4374="","",'Master Barang'!A68)</f>
        <v>0</v>
      </c>
      <c r="O4374">
        <f>IF(N4374="","",'Master Barang'!B68)</f>
        <v>0</v>
      </c>
      <c r="P4374">
        <f>IF(OR(M4374="",N4374=""),"",SUMIFS('Barang Keluar'!$E:$E,'Barang Keluar'!$A:$A,M4374,'Barang Keluar'!$C:$C,N4374))</f>
        <v>0</v>
      </c>
    </row>
    <row r="4375" spans="13:16">
      <c r="M4375" s="49">
        <f>IF($A$4+43&gt;$B$4,"",$A$4+43)</f>
        <v>46066</v>
      </c>
      <c r="N4375">
        <f>IF(M4375="","",'Master Barang'!A69)</f>
        <v>0</v>
      </c>
      <c r="O4375">
        <f>IF(N4375="","",'Master Barang'!B69)</f>
        <v>0</v>
      </c>
      <c r="P4375">
        <f>IF(OR(M4375="",N4375=""),"",SUMIFS('Barang Keluar'!$E:$E,'Barang Keluar'!$A:$A,M4375,'Barang Keluar'!$C:$C,N4375))</f>
        <v>0</v>
      </c>
    </row>
    <row r="4376" spans="13:16">
      <c r="M4376" s="49">
        <f>IF($A$4+43&gt;$B$4,"",$A$4+43)</f>
        <v>46066</v>
      </c>
      <c r="N4376">
        <f>IF(M4376="","",'Master Barang'!A70)</f>
        <v>0</v>
      </c>
      <c r="O4376">
        <f>IF(N4376="","",'Master Barang'!B70)</f>
        <v>0</v>
      </c>
      <c r="P4376">
        <f>IF(OR(M4376="",N4376=""),"",SUMIFS('Barang Keluar'!$E:$E,'Barang Keluar'!$A:$A,M4376,'Barang Keluar'!$C:$C,N4376))</f>
        <v>0</v>
      </c>
    </row>
    <row r="4377" spans="13:16">
      <c r="M4377" s="49">
        <f>IF($A$4+43&gt;$B$4,"",$A$4+43)</f>
        <v>46066</v>
      </c>
      <c r="N4377">
        <f>IF(M4377="","",'Master Barang'!A71)</f>
        <v>0</v>
      </c>
      <c r="O4377">
        <f>IF(N4377="","",'Master Barang'!B71)</f>
        <v>0</v>
      </c>
      <c r="P4377">
        <f>IF(OR(M4377="",N4377=""),"",SUMIFS('Barang Keluar'!$E:$E,'Barang Keluar'!$A:$A,M4377,'Barang Keluar'!$C:$C,N4377))</f>
        <v>0</v>
      </c>
    </row>
    <row r="4378" spans="13:16">
      <c r="M4378" s="49">
        <f>IF($A$4+43&gt;$B$4,"",$A$4+43)</f>
        <v>46066</v>
      </c>
      <c r="N4378">
        <f>IF(M4378="","",'Master Barang'!A72)</f>
        <v>0</v>
      </c>
      <c r="O4378">
        <f>IF(N4378="","",'Master Barang'!B72)</f>
        <v>0</v>
      </c>
      <c r="P4378">
        <f>IF(OR(M4378="",N4378=""),"",SUMIFS('Barang Keluar'!$E:$E,'Barang Keluar'!$A:$A,M4378,'Barang Keluar'!$C:$C,N4378))</f>
        <v>0</v>
      </c>
    </row>
    <row r="4379" spans="13:16">
      <c r="M4379" s="49">
        <f>IF($A$4+43&gt;$B$4,"",$A$4+43)</f>
        <v>46066</v>
      </c>
      <c r="N4379">
        <f>IF(M4379="","",'Master Barang'!A73)</f>
        <v>0</v>
      </c>
      <c r="O4379">
        <f>IF(N4379="","",'Master Barang'!B73)</f>
        <v>0</v>
      </c>
      <c r="P4379">
        <f>IF(OR(M4379="",N4379=""),"",SUMIFS('Barang Keluar'!$E:$E,'Barang Keluar'!$A:$A,M4379,'Barang Keluar'!$C:$C,N4379))</f>
        <v>0</v>
      </c>
    </row>
    <row r="4380" spans="13:16">
      <c r="M4380" s="49">
        <f>IF($A$4+43&gt;$B$4,"",$A$4+43)</f>
        <v>46066</v>
      </c>
      <c r="N4380">
        <f>IF(M4380="","",'Master Barang'!A74)</f>
        <v>0</v>
      </c>
      <c r="O4380">
        <f>IF(N4380="","",'Master Barang'!B74)</f>
        <v>0</v>
      </c>
      <c r="P4380">
        <f>IF(OR(M4380="",N4380=""),"",SUMIFS('Barang Keluar'!$E:$E,'Barang Keluar'!$A:$A,M4380,'Barang Keluar'!$C:$C,N4380))</f>
        <v>0</v>
      </c>
    </row>
    <row r="4381" spans="13:16">
      <c r="M4381" s="49">
        <f>IF($A$4+43&gt;$B$4,"",$A$4+43)</f>
        <v>46066</v>
      </c>
      <c r="N4381">
        <f>IF(M4381="","",'Master Barang'!A75)</f>
        <v>0</v>
      </c>
      <c r="O4381">
        <f>IF(N4381="","",'Master Barang'!B75)</f>
        <v>0</v>
      </c>
      <c r="P4381">
        <f>IF(OR(M4381="",N4381=""),"",SUMIFS('Barang Keluar'!$E:$E,'Barang Keluar'!$A:$A,M4381,'Barang Keluar'!$C:$C,N4381))</f>
        <v>0</v>
      </c>
    </row>
    <row r="4382" spans="13:16">
      <c r="M4382" s="49">
        <f>IF($A$4+43&gt;$B$4,"",$A$4+43)</f>
        <v>46066</v>
      </c>
      <c r="N4382">
        <f>IF(M4382="","",'Master Barang'!A76)</f>
        <v>0</v>
      </c>
      <c r="O4382">
        <f>IF(N4382="","",'Master Barang'!B76)</f>
        <v>0</v>
      </c>
      <c r="P4382">
        <f>IF(OR(M4382="",N4382=""),"",SUMIFS('Barang Keluar'!$E:$E,'Barang Keluar'!$A:$A,M4382,'Barang Keluar'!$C:$C,N4382))</f>
        <v>0</v>
      </c>
    </row>
    <row r="4383" spans="13:16">
      <c r="M4383" s="49">
        <f>IF($A$4+43&gt;$B$4,"",$A$4+43)</f>
        <v>46066</v>
      </c>
      <c r="N4383">
        <f>IF(M4383="","",'Master Barang'!A77)</f>
        <v>0</v>
      </c>
      <c r="O4383">
        <f>IF(N4383="","",'Master Barang'!B77)</f>
        <v>0</v>
      </c>
      <c r="P4383">
        <f>IF(OR(M4383="",N4383=""),"",SUMIFS('Barang Keluar'!$E:$E,'Barang Keluar'!$A:$A,M4383,'Barang Keluar'!$C:$C,N4383))</f>
        <v>0</v>
      </c>
    </row>
    <row r="4384" spans="13:16">
      <c r="M4384" s="49">
        <f>IF($A$4+43&gt;$B$4,"",$A$4+43)</f>
        <v>46066</v>
      </c>
      <c r="N4384">
        <f>IF(M4384="","",'Master Barang'!A78)</f>
        <v>0</v>
      </c>
      <c r="O4384">
        <f>IF(N4384="","",'Master Barang'!B78)</f>
        <v>0</v>
      </c>
      <c r="P4384">
        <f>IF(OR(M4384="",N4384=""),"",SUMIFS('Barang Keluar'!$E:$E,'Barang Keluar'!$A:$A,M4384,'Barang Keluar'!$C:$C,N4384))</f>
        <v>0</v>
      </c>
    </row>
    <row r="4385" spans="13:16">
      <c r="M4385" s="49">
        <f>IF($A$4+43&gt;$B$4,"",$A$4+43)</f>
        <v>46066</v>
      </c>
      <c r="N4385">
        <f>IF(M4385="","",'Master Barang'!A79)</f>
        <v>0</v>
      </c>
      <c r="O4385">
        <f>IF(N4385="","",'Master Barang'!B79)</f>
        <v>0</v>
      </c>
      <c r="P4385">
        <f>IF(OR(M4385="",N4385=""),"",SUMIFS('Barang Keluar'!$E:$E,'Barang Keluar'!$A:$A,M4385,'Barang Keluar'!$C:$C,N4385))</f>
        <v>0</v>
      </c>
    </row>
    <row r="4386" spans="13:16">
      <c r="M4386" s="49">
        <f>IF($A$4+43&gt;$B$4,"",$A$4+43)</f>
        <v>46066</v>
      </c>
      <c r="N4386">
        <f>IF(M4386="","",'Master Barang'!A80)</f>
        <v>0</v>
      </c>
      <c r="O4386">
        <f>IF(N4386="","",'Master Barang'!B80)</f>
        <v>0</v>
      </c>
      <c r="P4386">
        <f>IF(OR(M4386="",N4386=""),"",SUMIFS('Barang Keluar'!$E:$E,'Barang Keluar'!$A:$A,M4386,'Barang Keluar'!$C:$C,N4386))</f>
        <v>0</v>
      </c>
    </row>
    <row r="4387" spans="13:16">
      <c r="M4387" s="49">
        <f>IF($A$4+43&gt;$B$4,"",$A$4+43)</f>
        <v>46066</v>
      </c>
      <c r="N4387">
        <f>IF(M4387="","",'Master Barang'!A81)</f>
        <v>0</v>
      </c>
      <c r="O4387">
        <f>IF(N4387="","",'Master Barang'!B81)</f>
        <v>0</v>
      </c>
      <c r="P4387">
        <f>IF(OR(M4387="",N4387=""),"",SUMIFS('Barang Keluar'!$E:$E,'Barang Keluar'!$A:$A,M4387,'Barang Keluar'!$C:$C,N4387))</f>
        <v>0</v>
      </c>
    </row>
    <row r="4388" spans="13:16">
      <c r="M4388" s="49">
        <f>IF($A$4+43&gt;$B$4,"",$A$4+43)</f>
        <v>46066</v>
      </c>
      <c r="N4388">
        <f>IF(M4388="","",'Master Barang'!A82)</f>
        <v>0</v>
      </c>
      <c r="O4388">
        <f>IF(N4388="","",'Master Barang'!B82)</f>
        <v>0</v>
      </c>
      <c r="P4388">
        <f>IF(OR(M4388="",N4388=""),"",SUMIFS('Barang Keluar'!$E:$E,'Barang Keluar'!$A:$A,M4388,'Barang Keluar'!$C:$C,N4388))</f>
        <v>0</v>
      </c>
    </row>
    <row r="4389" spans="13:16">
      <c r="M4389" s="49">
        <f>IF($A$4+43&gt;$B$4,"",$A$4+43)</f>
        <v>46066</v>
      </c>
      <c r="N4389">
        <f>IF(M4389="","",'Master Barang'!A83)</f>
        <v>0</v>
      </c>
      <c r="O4389">
        <f>IF(N4389="","",'Master Barang'!B83)</f>
        <v>0</v>
      </c>
      <c r="P4389">
        <f>IF(OR(M4389="",N4389=""),"",SUMIFS('Barang Keluar'!$E:$E,'Barang Keluar'!$A:$A,M4389,'Barang Keluar'!$C:$C,N4389))</f>
        <v>0</v>
      </c>
    </row>
    <row r="4390" spans="13:16">
      <c r="M4390" s="49">
        <f>IF($A$4+43&gt;$B$4,"",$A$4+43)</f>
        <v>46066</v>
      </c>
      <c r="N4390">
        <f>IF(M4390="","",'Master Barang'!A84)</f>
        <v>0</v>
      </c>
      <c r="O4390">
        <f>IF(N4390="","",'Master Barang'!B84)</f>
        <v>0</v>
      </c>
      <c r="P4390">
        <f>IF(OR(M4390="",N4390=""),"",SUMIFS('Barang Keluar'!$E:$E,'Barang Keluar'!$A:$A,M4390,'Barang Keluar'!$C:$C,N4390))</f>
        <v>0</v>
      </c>
    </row>
    <row r="4391" spans="13:16">
      <c r="M4391" s="49">
        <f>IF($A$4+43&gt;$B$4,"",$A$4+43)</f>
        <v>46066</v>
      </c>
      <c r="N4391">
        <f>IF(M4391="","",'Master Barang'!A85)</f>
        <v>0</v>
      </c>
      <c r="O4391">
        <f>IF(N4391="","",'Master Barang'!B85)</f>
        <v>0</v>
      </c>
      <c r="P4391">
        <f>IF(OR(M4391="",N4391=""),"",SUMIFS('Barang Keluar'!$E:$E,'Barang Keluar'!$A:$A,M4391,'Barang Keluar'!$C:$C,N4391))</f>
        <v>0</v>
      </c>
    </row>
    <row r="4392" spans="13:16">
      <c r="M4392" s="49">
        <f>IF($A$4+43&gt;$B$4,"",$A$4+43)</f>
        <v>46066</v>
      </c>
      <c r="N4392">
        <f>IF(M4392="","",'Master Barang'!A86)</f>
        <v>0</v>
      </c>
      <c r="O4392">
        <f>IF(N4392="","",'Master Barang'!B86)</f>
        <v>0</v>
      </c>
      <c r="P4392">
        <f>IF(OR(M4392="",N4392=""),"",SUMIFS('Barang Keluar'!$E:$E,'Barang Keluar'!$A:$A,M4392,'Barang Keluar'!$C:$C,N4392))</f>
        <v>0</v>
      </c>
    </row>
    <row r="4393" spans="13:16">
      <c r="M4393" s="49">
        <f>IF($A$4+43&gt;$B$4,"",$A$4+43)</f>
        <v>46066</v>
      </c>
      <c r="N4393">
        <f>IF(M4393="","",'Master Barang'!A87)</f>
        <v>0</v>
      </c>
      <c r="O4393">
        <f>IF(N4393="","",'Master Barang'!B87)</f>
        <v>0</v>
      </c>
      <c r="P4393">
        <f>IF(OR(M4393="",N4393=""),"",SUMIFS('Barang Keluar'!$E:$E,'Barang Keluar'!$A:$A,M4393,'Barang Keluar'!$C:$C,N4393))</f>
        <v>0</v>
      </c>
    </row>
    <row r="4394" spans="13:16">
      <c r="M4394" s="49">
        <f>IF($A$4+43&gt;$B$4,"",$A$4+43)</f>
        <v>46066</v>
      </c>
      <c r="N4394">
        <f>IF(M4394="","",'Master Barang'!A88)</f>
        <v>0</v>
      </c>
      <c r="O4394">
        <f>IF(N4394="","",'Master Barang'!B88)</f>
        <v>0</v>
      </c>
      <c r="P4394">
        <f>IF(OR(M4394="",N4394=""),"",SUMIFS('Barang Keluar'!$E:$E,'Barang Keluar'!$A:$A,M4394,'Barang Keluar'!$C:$C,N4394))</f>
        <v>0</v>
      </c>
    </row>
    <row r="4395" spans="13:16">
      <c r="M4395" s="49">
        <f>IF($A$4+43&gt;$B$4,"",$A$4+43)</f>
        <v>46066</v>
      </c>
      <c r="N4395">
        <f>IF(M4395="","",'Master Barang'!A89)</f>
        <v>0</v>
      </c>
      <c r="O4395">
        <f>IF(N4395="","",'Master Barang'!B89)</f>
        <v>0</v>
      </c>
      <c r="P4395">
        <f>IF(OR(M4395="",N4395=""),"",SUMIFS('Barang Keluar'!$E:$E,'Barang Keluar'!$A:$A,M4395,'Barang Keluar'!$C:$C,N4395))</f>
        <v>0</v>
      </c>
    </row>
    <row r="4396" spans="13:16">
      <c r="M4396" s="49">
        <f>IF($A$4+43&gt;$B$4,"",$A$4+43)</f>
        <v>46066</v>
      </c>
      <c r="N4396">
        <f>IF(M4396="","",'Master Barang'!A90)</f>
        <v>0</v>
      </c>
      <c r="O4396">
        <f>IF(N4396="","",'Master Barang'!B90)</f>
        <v>0</v>
      </c>
      <c r="P4396">
        <f>IF(OR(M4396="",N4396=""),"",SUMIFS('Barang Keluar'!$E:$E,'Barang Keluar'!$A:$A,M4396,'Barang Keluar'!$C:$C,N4396))</f>
        <v>0</v>
      </c>
    </row>
    <row r="4397" spans="13:16">
      <c r="M4397" s="49">
        <f>IF($A$4+43&gt;$B$4,"",$A$4+43)</f>
        <v>46066</v>
      </c>
      <c r="N4397">
        <f>IF(M4397="","",'Master Barang'!A91)</f>
        <v>0</v>
      </c>
      <c r="O4397">
        <f>IF(N4397="","",'Master Barang'!B91)</f>
        <v>0</v>
      </c>
      <c r="P4397">
        <f>IF(OR(M4397="",N4397=""),"",SUMIFS('Barang Keluar'!$E:$E,'Barang Keluar'!$A:$A,M4397,'Barang Keluar'!$C:$C,N4397))</f>
        <v>0</v>
      </c>
    </row>
    <row r="4398" spans="13:16">
      <c r="M4398" s="49">
        <f>IF($A$4+43&gt;$B$4,"",$A$4+43)</f>
        <v>46066</v>
      </c>
      <c r="N4398">
        <f>IF(M4398="","",'Master Barang'!A92)</f>
        <v>0</v>
      </c>
      <c r="O4398">
        <f>IF(N4398="","",'Master Barang'!B92)</f>
        <v>0</v>
      </c>
      <c r="P4398">
        <f>IF(OR(M4398="",N4398=""),"",SUMIFS('Barang Keluar'!$E:$E,'Barang Keluar'!$A:$A,M4398,'Barang Keluar'!$C:$C,N4398))</f>
        <v>0</v>
      </c>
    </row>
    <row r="4399" spans="13:16">
      <c r="M4399" s="49">
        <f>IF($A$4+43&gt;$B$4,"",$A$4+43)</f>
        <v>46066</v>
      </c>
      <c r="N4399">
        <f>IF(M4399="","",'Master Barang'!A93)</f>
        <v>0</v>
      </c>
      <c r="O4399">
        <f>IF(N4399="","",'Master Barang'!B93)</f>
        <v>0</v>
      </c>
      <c r="P4399">
        <f>IF(OR(M4399="",N4399=""),"",SUMIFS('Barang Keluar'!$E:$E,'Barang Keluar'!$A:$A,M4399,'Barang Keluar'!$C:$C,N4399))</f>
        <v>0</v>
      </c>
    </row>
    <row r="4400" spans="13:16">
      <c r="M4400" s="49">
        <f>IF($A$4+43&gt;$B$4,"",$A$4+43)</f>
        <v>46066</v>
      </c>
      <c r="N4400">
        <f>IF(M4400="","",'Master Barang'!A94)</f>
        <v>0</v>
      </c>
      <c r="O4400">
        <f>IF(N4400="","",'Master Barang'!B94)</f>
        <v>0</v>
      </c>
      <c r="P4400">
        <f>IF(OR(M4400="",N4400=""),"",SUMIFS('Barang Keluar'!$E:$E,'Barang Keluar'!$A:$A,M4400,'Barang Keluar'!$C:$C,N4400))</f>
        <v>0</v>
      </c>
    </row>
    <row r="4401" spans="13:16">
      <c r="M4401" s="49">
        <f>IF($A$4+43&gt;$B$4,"",$A$4+43)</f>
        <v>46066</v>
      </c>
      <c r="N4401">
        <f>IF(M4401="","",'Master Barang'!A95)</f>
        <v>0</v>
      </c>
      <c r="O4401">
        <f>IF(N4401="","",'Master Barang'!B95)</f>
        <v>0</v>
      </c>
      <c r="P4401">
        <f>IF(OR(M4401="",N4401=""),"",SUMIFS('Barang Keluar'!$E:$E,'Barang Keluar'!$A:$A,M4401,'Barang Keluar'!$C:$C,N4401))</f>
        <v>0</v>
      </c>
    </row>
    <row r="4402" spans="13:16">
      <c r="M4402" s="49">
        <f>IF($A$4+43&gt;$B$4,"",$A$4+43)</f>
        <v>46066</v>
      </c>
      <c r="N4402">
        <f>IF(M4402="","",'Master Barang'!A96)</f>
        <v>0</v>
      </c>
      <c r="O4402">
        <f>IF(N4402="","",'Master Barang'!B96)</f>
        <v>0</v>
      </c>
      <c r="P4402">
        <f>IF(OR(M4402="",N4402=""),"",SUMIFS('Barang Keluar'!$E:$E,'Barang Keluar'!$A:$A,M4402,'Barang Keluar'!$C:$C,N4402))</f>
        <v>0</v>
      </c>
    </row>
    <row r="4403" spans="13:16">
      <c r="M4403" s="49">
        <f>IF($A$4+43&gt;$B$4,"",$A$4+43)</f>
        <v>46066</v>
      </c>
      <c r="N4403">
        <f>IF(M4403="","",'Master Barang'!A97)</f>
        <v>0</v>
      </c>
      <c r="O4403">
        <f>IF(N4403="","",'Master Barang'!B97)</f>
        <v>0</v>
      </c>
      <c r="P4403">
        <f>IF(OR(M4403="",N4403=""),"",SUMIFS('Barang Keluar'!$E:$E,'Barang Keluar'!$A:$A,M4403,'Barang Keluar'!$C:$C,N4403))</f>
        <v>0</v>
      </c>
    </row>
    <row r="4404" spans="13:16">
      <c r="M4404" s="49">
        <f>IF($A$4+43&gt;$B$4,"",$A$4+43)</f>
        <v>46066</v>
      </c>
      <c r="N4404">
        <f>IF(M4404="","",'Master Barang'!A98)</f>
        <v>0</v>
      </c>
      <c r="O4404">
        <f>IF(N4404="","",'Master Barang'!B98)</f>
        <v>0</v>
      </c>
      <c r="P4404">
        <f>IF(OR(M4404="",N4404=""),"",SUMIFS('Barang Keluar'!$E:$E,'Barang Keluar'!$A:$A,M4404,'Barang Keluar'!$C:$C,N4404))</f>
        <v>0</v>
      </c>
    </row>
    <row r="4405" spans="13:16">
      <c r="M4405" s="49">
        <f>IF($A$4+43&gt;$B$4,"",$A$4+43)</f>
        <v>46066</v>
      </c>
      <c r="N4405">
        <f>IF(M4405="","",'Master Barang'!A99)</f>
        <v>0</v>
      </c>
      <c r="O4405">
        <f>IF(N4405="","",'Master Barang'!B99)</f>
        <v>0</v>
      </c>
      <c r="P4405">
        <f>IF(OR(M4405="",N4405=""),"",SUMIFS('Barang Keluar'!$E:$E,'Barang Keluar'!$A:$A,M4405,'Barang Keluar'!$C:$C,N4405))</f>
        <v>0</v>
      </c>
    </row>
    <row r="4406" spans="13:16">
      <c r="M4406" s="49">
        <f>IF($A$4+43&gt;$B$4,"",$A$4+43)</f>
        <v>46066</v>
      </c>
      <c r="N4406">
        <f>IF(M4406="","",'Master Barang'!A100)</f>
        <v>0</v>
      </c>
      <c r="O4406">
        <f>IF(N4406="","",'Master Barang'!B100)</f>
        <v>0</v>
      </c>
      <c r="P4406">
        <f>IF(OR(M4406="",N4406=""),"",SUMIFS('Barang Keluar'!$E:$E,'Barang Keluar'!$A:$A,M4406,'Barang Keluar'!$C:$C,N4406))</f>
        <v>0</v>
      </c>
    </row>
    <row r="4407" spans="13:16">
      <c r="M4407" s="49">
        <f>IF($A$4+43&gt;$B$4,"",$A$4+43)</f>
        <v>46066</v>
      </c>
      <c r="N4407">
        <f>IF(M4407="","",'Master Barang'!A101)</f>
        <v>0</v>
      </c>
      <c r="O4407">
        <f>IF(N4407="","",'Master Barang'!B101)</f>
        <v>0</v>
      </c>
      <c r="P4407">
        <f>IF(OR(M4407="",N4407=""),"",SUMIFS('Barang Keluar'!$E:$E,'Barang Keluar'!$A:$A,M4407,'Barang Keluar'!$C:$C,N4407))</f>
        <v>0</v>
      </c>
    </row>
    <row r="4408" spans="13:16">
      <c r="M4408" s="49">
        <f>IF($A$4+44&gt;$B$4,"",$A$4+44)</f>
        <v>46067</v>
      </c>
      <c r="N4408" t="str">
        <f>IF(M4408="","",'Master Barang'!A2)</f>
        <v>PRL-001</v>
      </c>
      <c r="O4408" t="str">
        <f>IF(N4408="","",'Master Barang'!B2)</f>
        <v>natura desinfectant food grade 5l</v>
      </c>
      <c r="P4408">
        <f>IF(OR(M4408="",N4408=""),"",SUMIFS('Barang Keluar'!$E:$E,'Barang Keluar'!$A:$A,M4408,'Barang Keluar'!$C:$C,N4408))</f>
        <v>0</v>
      </c>
    </row>
    <row r="4409" spans="13:16">
      <c r="M4409" s="49">
        <f>IF($A$4+44&gt;$B$4,"",$A$4+44)</f>
        <v>46067</v>
      </c>
      <c r="N4409" t="str">
        <f>IF(M4409="","",'Master Barang'!A3)</f>
        <v>PRL-002</v>
      </c>
      <c r="O4409" t="str">
        <f>IF(N4409="","",'Master Barang'!B3)</f>
        <v>sunlight cairan pencuci piring 5l</v>
      </c>
      <c r="P4409">
        <f>IF(OR(M4409="",N4409=""),"",SUMIFS('Barang Keluar'!$E:$E,'Barang Keluar'!$A:$A,M4409,'Barang Keluar'!$C:$C,N4409))</f>
        <v>0</v>
      </c>
    </row>
    <row r="4410" spans="13:16">
      <c r="M4410" s="49">
        <f>IF($A$4+44&gt;$B$4,"",$A$4+44)</f>
        <v>46067</v>
      </c>
      <c r="N4410" t="str">
        <f>IF(M4410="","",'Master Barang'!A4)</f>
        <v>PRL-003</v>
      </c>
      <c r="O4410" t="str">
        <f>IF(N4410="","",'Master Barang'!B4)</f>
        <v>oixs cleaner 1l</v>
      </c>
      <c r="P4410">
        <f>IF(OR(M4410="",N4410=""),"",SUMIFS('Barang Keluar'!$E:$E,'Barang Keluar'!$A:$A,M4410,'Barang Keluar'!$C:$C,N4410))</f>
        <v>0</v>
      </c>
    </row>
    <row r="4411" spans="13:16">
      <c r="M4411" s="49">
        <f>IF($A$4+44&gt;$B$4,"",$A$4+44)</f>
        <v>46067</v>
      </c>
      <c r="N4411" t="str">
        <f>IF(M4411="","",'Master Barang'!A5)</f>
        <v>PRL-004</v>
      </c>
      <c r="O4411" t="str">
        <f>IF(N4411="","",'Master Barang'!B5)</f>
        <v>be clean tissue serbaguna</v>
      </c>
      <c r="P4411">
        <f>IF(OR(M4411="",N4411=""),"",SUMIFS('Barang Keluar'!$E:$E,'Barang Keluar'!$A:$A,M4411,'Barang Keluar'!$C:$C,N4411))</f>
        <v>0</v>
      </c>
    </row>
    <row r="4412" spans="13:16">
      <c r="M4412" s="49">
        <f>IF($A$4+44&gt;$B$4,"",$A$4+44)</f>
        <v>46067</v>
      </c>
      <c r="N4412" t="str">
        <f>IF(M4412="","",'Master Barang'!A6)</f>
        <v>PRL-005</v>
      </c>
      <c r="O4412" t="str">
        <f>IF(N4412="","",'Master Barang'!B6)</f>
        <v>spons cuci hijau</v>
      </c>
      <c r="P4412">
        <f>IF(OR(M4412="",N4412=""),"",SUMIFS('Barang Keluar'!$E:$E,'Barang Keluar'!$A:$A,M4412,'Barang Keluar'!$C:$C,N4412))</f>
        <v>0</v>
      </c>
    </row>
    <row r="4413" spans="13:16">
      <c r="M4413" s="49">
        <f>IF($A$4+44&gt;$B$4,"",$A$4+44)</f>
        <v>46067</v>
      </c>
      <c r="N4413" t="str">
        <f>IF(M4413="","",'Master Barang'!A7)</f>
        <v>PRL-006</v>
      </c>
      <c r="O4413" t="str">
        <f>IF(N4413="","",'Master Barang'!B7)</f>
        <v>sabut cuci stainless</v>
      </c>
      <c r="P4413">
        <f>IF(OR(M4413="",N4413=""),"",SUMIFS('Barang Keluar'!$E:$E,'Barang Keluar'!$A:$A,M4413,'Barang Keluar'!$C:$C,N4413))</f>
        <v>0</v>
      </c>
    </row>
    <row r="4414" spans="13:16">
      <c r="M4414" s="49">
        <f>IF($A$4+44&gt;$B$4,"",$A$4+44)</f>
        <v>46067</v>
      </c>
      <c r="N4414" t="str">
        <f>IF(M4414="","",'Master Barang'!A8)</f>
        <v>PRL-007</v>
      </c>
      <c r="O4414" t="str">
        <f>IF(N4414="","",'Master Barang'!B8)</f>
        <v>plastik kresek besar merah 50pc</v>
      </c>
      <c r="P4414">
        <f>IF(OR(M4414="",N4414=""),"",SUMIFS('Barang Keluar'!$E:$E,'Barang Keluar'!$A:$A,M4414,'Barang Keluar'!$C:$C,N4414))</f>
        <v>0</v>
      </c>
    </row>
    <row r="4415" spans="13:16">
      <c r="M4415" s="49">
        <f>IF($A$4+44&gt;$B$4,"",$A$4+44)</f>
        <v>46067</v>
      </c>
      <c r="N4415" t="str">
        <f>IF(M4415="","",'Master Barang'!A9)</f>
        <v>PRL-008</v>
      </c>
      <c r="O4415" t="str">
        <f>IF(N4415="","",'Master Barang'!B9)</f>
        <v>lap besar</v>
      </c>
      <c r="P4415">
        <f>IF(OR(M4415="",N4415=""),"",SUMIFS('Barang Keluar'!$E:$E,'Barang Keluar'!$A:$A,M4415,'Barang Keluar'!$C:$C,N4415))</f>
        <v>0</v>
      </c>
    </row>
    <row r="4416" spans="13:16">
      <c r="M4416" s="49">
        <f>IF($A$4+44&gt;$B$4,"",$A$4+44)</f>
        <v>46067</v>
      </c>
      <c r="N4416" t="str">
        <f>IF(M4416="","",'Master Barang'!A10)</f>
        <v>PRL-009</v>
      </c>
      <c r="O4416" t="str">
        <f>IF(N4416="","",'Master Barang'!B10)</f>
        <v>lap microfiber</v>
      </c>
      <c r="P4416">
        <f>IF(OR(M4416="",N4416=""),"",SUMIFS('Barang Keluar'!$E:$E,'Barang Keluar'!$A:$A,M4416,'Barang Keluar'!$C:$C,N4416))</f>
        <v>0</v>
      </c>
    </row>
    <row r="4417" spans="13:16">
      <c r="M4417" s="49">
        <f>IF($A$4+44&gt;$B$4,"",$A$4+44)</f>
        <v>46067</v>
      </c>
      <c r="N4417" t="str">
        <f>IF(M4417="","",'Master Barang'!A11)</f>
        <v>PRL-010</v>
      </c>
      <c r="O4417" t="str">
        <f>IF(N4417="","",'Master Barang'!B11)</f>
        <v>lap kecil</v>
      </c>
      <c r="P4417">
        <f>IF(OR(M4417="",N4417=""),"",SUMIFS('Barang Keluar'!$E:$E,'Barang Keluar'!$A:$A,M4417,'Barang Keluar'!$C:$C,N4417))</f>
        <v>0</v>
      </c>
    </row>
    <row r="4418" spans="13:16">
      <c r="M4418" s="49">
        <f>IF($A$4+44&gt;$B$4,"",$A$4+44)</f>
        <v>46067</v>
      </c>
      <c r="N4418" t="str">
        <f>IF(M4418="","",'Master Barang'!A12)</f>
        <v>PRL-011</v>
      </c>
      <c r="O4418" t="str">
        <f>IF(N4418="","",'Master Barang'!B12)</f>
        <v>kanebo kecil</v>
      </c>
      <c r="P4418">
        <f>IF(OR(M4418="",N4418=""),"",SUMIFS('Barang Keluar'!$E:$E,'Barang Keluar'!$A:$A,M4418,'Barang Keluar'!$C:$C,N4418))</f>
        <v>0</v>
      </c>
    </row>
    <row r="4419" spans="13:16">
      <c r="M4419" s="49">
        <f>IF($A$4+44&gt;$B$4,"",$A$4+44)</f>
        <v>46067</v>
      </c>
      <c r="N4419" t="str">
        <f>IF(M4419="","",'Master Barang'!A13)</f>
        <v>PRL-012</v>
      </c>
      <c r="O4419" t="str">
        <f>IF(N4419="","",'Master Barang'!B13)</f>
        <v>plastik 1/4kg joyoboyo 100 lembar</v>
      </c>
      <c r="P4419">
        <f>IF(OR(M4419="",N4419=""),"",SUMIFS('Barang Keluar'!$E:$E,'Barang Keluar'!$A:$A,M4419,'Barang Keluar'!$C:$C,N4419))</f>
        <v>0</v>
      </c>
    </row>
    <row r="4420" spans="13:16">
      <c r="M4420" s="49">
        <f>IF($A$4+44&gt;$B$4,"",$A$4+44)</f>
        <v>46067</v>
      </c>
      <c r="N4420" t="str">
        <f>IF(M4420="","",'Master Barang'!A14)</f>
        <v>PRL-013</v>
      </c>
      <c r="O4420" t="str">
        <f>IF(N4420="","",'Master Barang'!B14)</f>
        <v>sarung tangan plastik kaka 100 pcs</v>
      </c>
      <c r="P4420">
        <f>IF(OR(M4420="",N4420=""),"",SUMIFS('Barang Keluar'!$E:$E,'Barang Keluar'!$A:$A,M4420,'Barang Keluar'!$C:$C,N4420))</f>
        <v>0</v>
      </c>
    </row>
    <row r="4421" spans="13:16">
      <c r="M4421" s="49">
        <f>IF($A$4+44&gt;$B$4,"",$A$4+44)</f>
        <v>46067</v>
      </c>
      <c r="N4421" t="str">
        <f>IF(M4421="","",'Master Barang'!A15)</f>
        <v>PRL-014</v>
      </c>
      <c r="O4421" t="str">
        <f>IF(N4421="","",'Master Barang'!B15)</f>
        <v>optima trashbag 80x100</v>
      </c>
      <c r="P4421">
        <f>IF(OR(M4421="",N4421=""),"",SUMIFS('Barang Keluar'!$E:$E,'Barang Keluar'!$A:$A,M4421,'Barang Keluar'!$C:$C,N4421))</f>
        <v>0</v>
      </c>
    </row>
    <row r="4422" spans="13:16">
      <c r="M4422" s="49">
        <f>IF($A$4+44&gt;$B$4,"",$A$4+44)</f>
        <v>46067</v>
      </c>
      <c r="N4422" t="str">
        <f>IF(M4422="","",'Master Barang'!A16)</f>
        <v>PRL-015</v>
      </c>
      <c r="O4422" t="str">
        <f>IF(N4422="","",'Master Barang'!B16)</f>
        <v>optima trashbag 60x100</v>
      </c>
      <c r="P4422">
        <f>IF(OR(M4422="",N4422=""),"",SUMIFS('Barang Keluar'!$E:$E,'Barang Keluar'!$A:$A,M4422,'Barang Keluar'!$C:$C,N4422))</f>
        <v>0</v>
      </c>
    </row>
    <row r="4423" spans="13:16">
      <c r="M4423" s="49">
        <f>IF($A$4+44&gt;$B$4,"",$A$4+44)</f>
        <v>46067</v>
      </c>
      <c r="N4423" t="str">
        <f>IF(M4423="","",'Master Barang'!A17)</f>
        <v>PRL-016</v>
      </c>
      <c r="O4423" t="str">
        <f>IF(N4423="","",'Master Barang'!B17)</f>
        <v>rajawali trashbag 30x40</v>
      </c>
      <c r="P4423">
        <f>IF(OR(M4423="",N4423=""),"",SUMIFS('Barang Keluar'!$E:$E,'Barang Keluar'!$A:$A,M4423,'Barang Keluar'!$C:$C,N4423))</f>
        <v>0</v>
      </c>
    </row>
    <row r="4424" spans="13:16">
      <c r="M4424" s="49">
        <f>IF($A$4+44&gt;$B$4,"",$A$4+44)</f>
        <v>46067</v>
      </c>
      <c r="N4424" t="str">
        <f>IF(M4424="","",'Master Barang'!A18)</f>
        <v>PRL-017</v>
      </c>
      <c r="O4424" t="str">
        <f>IF(N4424="","",'Master Barang'!B18)</f>
        <v>onemed masker biru 3 play 50 pcs</v>
      </c>
      <c r="P4424">
        <f>IF(OR(M4424="",N4424=""),"",SUMIFS('Barang Keluar'!$E:$E,'Barang Keluar'!$A:$A,M4424,'Barang Keluar'!$C:$C,N4424))</f>
        <v>0</v>
      </c>
    </row>
    <row r="4425" spans="13:16">
      <c r="M4425" s="49">
        <f>IF($A$4+44&gt;$B$4,"",$A$4+44)</f>
        <v>46067</v>
      </c>
      <c r="N4425" t="str">
        <f>IF(M4425="","",'Master Barang'!A19)</f>
        <v>PRL-018</v>
      </c>
      <c r="O4425" t="str">
        <f>IF(N4425="","",'Master Barang'!B19)</f>
        <v>onemed masker biru 3 play hijab 50 pcs</v>
      </c>
      <c r="P4425">
        <f>IF(OR(M4425="",N4425=""),"",SUMIFS('Barang Keluar'!$E:$E,'Barang Keluar'!$A:$A,M4425,'Barang Keluar'!$C:$C,N4425))</f>
        <v>0</v>
      </c>
    </row>
    <row r="4426" spans="13:16">
      <c r="M4426" s="49">
        <f>IF($A$4+44&gt;$B$4,"",$A$4+44)</f>
        <v>46067</v>
      </c>
      <c r="N4426" t="str">
        <f>IF(M4426="","",'Master Barang'!A20)</f>
        <v>PRL-019</v>
      </c>
      <c r="O4426" t="str">
        <f>IF(N4426="","",'Master Barang'!B20)</f>
        <v>neo health masker biru 3 play 50 pcs</v>
      </c>
      <c r="P4426">
        <f>IF(OR(M4426="",N4426=""),"",SUMIFS('Barang Keluar'!$E:$E,'Barang Keluar'!$A:$A,M4426,'Barang Keluar'!$C:$C,N4426))</f>
        <v>0</v>
      </c>
    </row>
    <row r="4427" spans="13:16">
      <c r="M4427" s="49">
        <f>IF($A$4+44&gt;$B$4,"",$A$4+44)</f>
        <v>46067</v>
      </c>
      <c r="N4427" t="str">
        <f>IF(M4427="","",'Master Barang'!A21)</f>
        <v>PRL-020</v>
      </c>
      <c r="O4427" t="str">
        <f>IF(N4427="","",'Master Barang'!B21)</f>
        <v>baymed masker hijau 3 play hijau 50 pcs</v>
      </c>
      <c r="P4427">
        <f>IF(OR(M4427="",N4427=""),"",SUMIFS('Barang Keluar'!$E:$E,'Barang Keluar'!$A:$A,M4427,'Barang Keluar'!$C:$C,N4427))</f>
        <v>0</v>
      </c>
    </row>
    <row r="4428" spans="13:16">
      <c r="M4428" s="49">
        <f>IF($A$4+44&gt;$B$4,"",$A$4+44)</f>
        <v>46067</v>
      </c>
      <c r="N4428" t="str">
        <f>IF(M4428="","",'Master Barang'!A22)</f>
        <v>PRL-021</v>
      </c>
      <c r="O4428" t="str">
        <f>IF(N4428="","",'Master Barang'!B22)</f>
        <v>altamed nurse cap penutup kepala 100 pcs</v>
      </c>
      <c r="P4428">
        <f>IF(OR(M4428="",N4428=""),"",SUMIFS('Barang Keluar'!$E:$E,'Barang Keluar'!$A:$A,M4428,'Barang Keluar'!$C:$C,N4428))</f>
        <v>0</v>
      </c>
    </row>
    <row r="4429" spans="13:16">
      <c r="M4429" s="49">
        <f>IF($A$4+44&gt;$B$4,"",$A$4+44)</f>
        <v>46067</v>
      </c>
      <c r="N4429" t="str">
        <f>IF(M4429="","",'Master Barang'!A23)</f>
        <v>PRL-022</v>
      </c>
      <c r="O4429" t="str">
        <f>IF(N4429="","",'Master Barang'!B23)</f>
        <v>sabun cuci tangan</v>
      </c>
      <c r="P4429">
        <f>IF(OR(M4429="",N4429=""),"",SUMIFS('Barang Keluar'!$E:$E,'Barang Keluar'!$A:$A,M4429,'Barang Keluar'!$C:$C,N4429))</f>
        <v>0</v>
      </c>
    </row>
    <row r="4430" spans="13:16">
      <c r="M4430" s="49">
        <f>IF($A$4+44&gt;$B$4,"",$A$4+44)</f>
        <v>46067</v>
      </c>
      <c r="N4430" t="str">
        <f>IF(M4430="","",'Master Barang'!A24)</f>
        <v>PRL-023</v>
      </c>
      <c r="O4430" t="str">
        <f>IF(N4430="","",'Master Barang'!B24)</f>
        <v>gayung kecil</v>
      </c>
      <c r="P4430">
        <f>IF(OR(M4430="",N4430=""),"",SUMIFS('Barang Keluar'!$E:$E,'Barang Keluar'!$A:$A,M4430,'Barang Keluar'!$C:$C,N4430))</f>
        <v>0</v>
      </c>
    </row>
    <row r="4431" spans="13:16">
      <c r="M4431" s="49">
        <f>IF($A$4+44&gt;$B$4,"",$A$4+44)</f>
        <v>46067</v>
      </c>
      <c r="N4431" t="str">
        <f>IF(M4431="","",'Master Barang'!A25)</f>
        <v>PRL-024</v>
      </c>
      <c r="O4431" t="str">
        <f>IF(N4431="","",'Master Barang'!B25)</f>
        <v>cikrak kecil</v>
      </c>
      <c r="P4431">
        <f>IF(OR(M4431="",N4431=""),"",SUMIFS('Barang Keluar'!$E:$E,'Barang Keluar'!$A:$A,M4431,'Barang Keluar'!$C:$C,N4431))</f>
        <v>0</v>
      </c>
    </row>
    <row r="4432" spans="13:16">
      <c r="M4432" s="49">
        <f>IF($A$4+44&gt;$B$4,"",$A$4+44)</f>
        <v>46067</v>
      </c>
      <c r="N4432" t="str">
        <f>IF(M4432="","",'Master Barang'!A26)</f>
        <v>PRL-025</v>
      </c>
      <c r="O4432" t="str">
        <f>IF(N4432="","",'Master Barang'!B26)</f>
        <v>petromax plastik kecil 12x24 100 lembar</v>
      </c>
      <c r="P4432">
        <f>IF(OR(M4432="",N4432=""),"",SUMIFS('Barang Keluar'!$E:$E,'Barang Keluar'!$A:$A,M4432,'Barang Keluar'!$C:$C,N4432))</f>
        <v>0</v>
      </c>
    </row>
    <row r="4433" spans="13:16">
      <c r="M4433" s="49">
        <f>IF($A$4+44&gt;$B$4,"",$A$4+44)</f>
        <v>46067</v>
      </c>
      <c r="N4433" t="str">
        <f>IF(M4433="","",'Master Barang'!A27)</f>
        <v>PRL-026</v>
      </c>
      <c r="O4433" t="str">
        <f>IF(N4433="","",'Master Barang'!B27)</f>
        <v>lancar kresek kecil bening </v>
      </c>
      <c r="P4433">
        <f>IF(OR(M4433="",N4433=""),"",SUMIFS('Barang Keluar'!$E:$E,'Barang Keluar'!$A:$A,M4433,'Barang Keluar'!$C:$C,N4433))</f>
        <v>0</v>
      </c>
    </row>
    <row r="4434" spans="13:16">
      <c r="M4434" s="49">
        <f>IF($A$4+44&gt;$B$4,"",$A$4+44)</f>
        <v>46067</v>
      </c>
      <c r="N4434" t="str">
        <f>IF(M4434="","",'Master Barang'!A28)</f>
        <v>PRL-027</v>
      </c>
      <c r="O4434" t="str">
        <f>IF(N4434="","",'Master Barang'!B28)</f>
        <v>kresek klin warna warni kecil</v>
      </c>
      <c r="P4434">
        <f>IF(OR(M4434="",N4434=""),"",SUMIFS('Barang Keluar'!$E:$E,'Barang Keluar'!$A:$A,M4434,'Barang Keluar'!$C:$C,N4434))</f>
        <v>0</v>
      </c>
    </row>
    <row r="4435" spans="13:16">
      <c r="M4435" s="49">
        <f>IF($A$4+44&gt;$B$4,"",$A$4+44)</f>
        <v>46067</v>
      </c>
      <c r="N4435" t="str">
        <f>IF(M4435="","",'Master Barang'!A29)</f>
        <v>PRL-028</v>
      </c>
      <c r="O4435" t="str">
        <f>IF(N4435="","",'Master Barang'!B29)</f>
        <v>ctik plastik 7x10 100 pcs</v>
      </c>
      <c r="P4435">
        <f>IF(OR(M4435="",N4435=""),"",SUMIFS('Barang Keluar'!$E:$E,'Barang Keluar'!$A:$A,M4435,'Barang Keluar'!$C:$C,N4435))</f>
        <v>0</v>
      </c>
    </row>
    <row r="4436" spans="13:16">
      <c r="M4436" s="49">
        <f>IF($A$4+44&gt;$B$4,"",$A$4+44)</f>
        <v>46067</v>
      </c>
      <c r="N4436" t="str">
        <f>IF(M4436="","",'Master Barang'!A30)</f>
        <v>PRL-029</v>
      </c>
      <c r="O4436" t="str">
        <f>IF(N4436="","",'Master Barang'!B30)</f>
        <v>ctik plastik 6x10 100 pcs</v>
      </c>
      <c r="P4436">
        <f>IF(OR(M4436="",N4436=""),"",SUMIFS('Barang Keluar'!$E:$E,'Barang Keluar'!$A:$A,M4436,'Barang Keluar'!$C:$C,N4436))</f>
        <v>0</v>
      </c>
    </row>
    <row r="4437" spans="13:16">
      <c r="M4437" s="49">
        <f>IF($A$4+44&gt;$B$4,"",$A$4+44)</f>
        <v>46067</v>
      </c>
      <c r="N4437" t="str">
        <f>IF(M4437="","",'Master Barang'!A31)</f>
        <v>PRL-030</v>
      </c>
      <c r="O4437" t="str">
        <f>IF(N4437="","",'Master Barang'!B31)</f>
        <v>klip plastik 25x16 100 pcs</v>
      </c>
      <c r="P4437">
        <f>IF(OR(M4437="",N4437=""),"",SUMIFS('Barang Keluar'!$E:$E,'Barang Keluar'!$A:$A,M4437,'Barang Keluar'!$C:$C,N4437))</f>
        <v>0</v>
      </c>
    </row>
    <row r="4438" spans="13:16">
      <c r="M4438" s="49">
        <f>IF($A$4+44&gt;$B$4,"",$A$4+44)</f>
        <v>46067</v>
      </c>
      <c r="N4438" t="str">
        <f>IF(M4438="","",'Master Barang'!A32)</f>
        <v>PRL-031</v>
      </c>
      <c r="O4438" t="str">
        <f>IF(N4438="","",'Master Barang'!B32)</f>
        <v>tempat saus 20 ml</v>
      </c>
      <c r="P4438">
        <f>IF(OR(M4438="",N4438=""),"",SUMIFS('Barang Keluar'!$E:$E,'Barang Keluar'!$A:$A,M4438,'Barang Keluar'!$C:$C,N4438))</f>
        <v>0</v>
      </c>
    </row>
    <row r="4439" spans="13:16">
      <c r="M4439" s="49">
        <f>IF($A$4+44&gt;$B$4,"",$A$4+44)</f>
        <v>46067</v>
      </c>
      <c r="N4439" t="str">
        <f>IF(M4439="","",'Master Barang'!A33)</f>
        <v>PRL-032</v>
      </c>
      <c r="O4439" t="str">
        <f>IF(N4439="","",'Master Barang'!B33)</f>
        <v>plastik packaging ag box uk sedang</v>
      </c>
      <c r="P4439">
        <f>IF(OR(M4439="",N4439=""),"",SUMIFS('Barang Keluar'!$E:$E,'Barang Keluar'!$A:$A,M4439,'Barang Keluar'!$C:$C,N4439))</f>
        <v>0</v>
      </c>
    </row>
    <row r="4440" spans="13:16">
      <c r="M4440" s="49">
        <f>IF($A$4+44&gt;$B$4,"",$A$4+44)</f>
        <v>46067</v>
      </c>
      <c r="N4440" t="str">
        <f>IF(M4440="","",'Master Barang'!A34)</f>
        <v>PRL-033</v>
      </c>
      <c r="O4440">
        <f>IF(N4440="","",'Master Barang'!B34)</f>
        <v>0</v>
      </c>
      <c r="P4440">
        <f>IF(OR(M4440="",N4440=""),"",SUMIFS('Barang Keluar'!$E:$E,'Barang Keluar'!$A:$A,M4440,'Barang Keluar'!$C:$C,N4440))</f>
        <v>0</v>
      </c>
    </row>
    <row r="4441" spans="13:16">
      <c r="M4441" s="49">
        <f>IF($A$4+44&gt;$B$4,"",$A$4+44)</f>
        <v>46067</v>
      </c>
      <c r="N4441">
        <f>IF(M4441="","",'Master Barang'!A35)</f>
        <v>0</v>
      </c>
      <c r="O4441">
        <f>IF(N4441="","",'Master Barang'!B35)</f>
        <v>0</v>
      </c>
      <c r="P4441">
        <f>IF(OR(M4441="",N4441=""),"",SUMIFS('Barang Keluar'!$E:$E,'Barang Keluar'!$A:$A,M4441,'Barang Keluar'!$C:$C,N4441))</f>
        <v>0</v>
      </c>
    </row>
    <row r="4442" spans="13:16">
      <c r="M4442" s="49">
        <f>IF($A$4+44&gt;$B$4,"",$A$4+44)</f>
        <v>46067</v>
      </c>
      <c r="N4442">
        <f>IF(M4442="","",'Master Barang'!A36)</f>
        <v>0</v>
      </c>
      <c r="O4442">
        <f>IF(N4442="","",'Master Barang'!B36)</f>
        <v>0</v>
      </c>
      <c r="P4442">
        <f>IF(OR(M4442="",N4442=""),"",SUMIFS('Barang Keluar'!$E:$E,'Barang Keluar'!$A:$A,M4442,'Barang Keluar'!$C:$C,N4442))</f>
        <v>0</v>
      </c>
    </row>
    <row r="4443" spans="13:16">
      <c r="M4443" s="49">
        <f>IF($A$4+44&gt;$B$4,"",$A$4+44)</f>
        <v>46067</v>
      </c>
      <c r="N4443">
        <f>IF(M4443="","",'Master Barang'!A37)</f>
        <v>0</v>
      </c>
      <c r="O4443">
        <f>IF(N4443="","",'Master Barang'!B37)</f>
        <v>0</v>
      </c>
      <c r="P4443">
        <f>IF(OR(M4443="",N4443=""),"",SUMIFS('Barang Keluar'!$E:$E,'Barang Keluar'!$A:$A,M4443,'Barang Keluar'!$C:$C,N4443))</f>
        <v>0</v>
      </c>
    </row>
    <row r="4444" spans="13:16">
      <c r="M4444" s="49">
        <f>IF($A$4+44&gt;$B$4,"",$A$4+44)</f>
        <v>46067</v>
      </c>
      <c r="N4444">
        <f>IF(M4444="","",'Master Barang'!A38)</f>
        <v>0</v>
      </c>
      <c r="O4444">
        <f>IF(N4444="","",'Master Barang'!B38)</f>
        <v>0</v>
      </c>
      <c r="P4444">
        <f>IF(OR(M4444="",N4444=""),"",SUMIFS('Barang Keluar'!$E:$E,'Barang Keluar'!$A:$A,M4444,'Barang Keluar'!$C:$C,N4444))</f>
        <v>0</v>
      </c>
    </row>
    <row r="4445" spans="13:16">
      <c r="M4445" s="49">
        <f>IF($A$4+44&gt;$B$4,"",$A$4+44)</f>
        <v>46067</v>
      </c>
      <c r="N4445">
        <f>IF(M4445="","",'Master Barang'!A39)</f>
        <v>0</v>
      </c>
      <c r="O4445">
        <f>IF(N4445="","",'Master Barang'!B39)</f>
        <v>0</v>
      </c>
      <c r="P4445">
        <f>IF(OR(M4445="",N4445=""),"",SUMIFS('Barang Keluar'!$E:$E,'Barang Keluar'!$A:$A,M4445,'Barang Keluar'!$C:$C,N4445))</f>
        <v>0</v>
      </c>
    </row>
    <row r="4446" spans="13:16">
      <c r="M4446" s="49">
        <f>IF($A$4+44&gt;$B$4,"",$A$4+44)</f>
        <v>46067</v>
      </c>
      <c r="N4446">
        <f>IF(M4446="","",'Master Barang'!A40)</f>
        <v>0</v>
      </c>
      <c r="O4446">
        <f>IF(N4446="","",'Master Barang'!B40)</f>
        <v>0</v>
      </c>
      <c r="P4446">
        <f>IF(OR(M4446="",N4446=""),"",SUMIFS('Barang Keluar'!$E:$E,'Barang Keluar'!$A:$A,M4446,'Barang Keluar'!$C:$C,N4446))</f>
        <v>0</v>
      </c>
    </row>
    <row r="4447" spans="13:16">
      <c r="M4447" s="49">
        <f>IF($A$4+44&gt;$B$4,"",$A$4+44)</f>
        <v>46067</v>
      </c>
      <c r="N4447">
        <f>IF(M4447="","",'Master Barang'!A41)</f>
        <v>0</v>
      </c>
      <c r="O4447">
        <f>IF(N4447="","",'Master Barang'!B41)</f>
        <v>0</v>
      </c>
      <c r="P4447">
        <f>IF(OR(M4447="",N4447=""),"",SUMIFS('Barang Keluar'!$E:$E,'Barang Keluar'!$A:$A,M4447,'Barang Keluar'!$C:$C,N4447))</f>
        <v>0</v>
      </c>
    </row>
    <row r="4448" spans="13:16">
      <c r="M4448" s="49">
        <f>IF($A$4+44&gt;$B$4,"",$A$4+44)</f>
        <v>46067</v>
      </c>
      <c r="N4448">
        <f>IF(M4448="","",'Master Barang'!A42)</f>
        <v>0</v>
      </c>
      <c r="O4448">
        <f>IF(N4448="","",'Master Barang'!B42)</f>
        <v>0</v>
      </c>
      <c r="P4448">
        <f>IF(OR(M4448="",N4448=""),"",SUMIFS('Barang Keluar'!$E:$E,'Barang Keluar'!$A:$A,M4448,'Barang Keluar'!$C:$C,N4448))</f>
        <v>0</v>
      </c>
    </row>
    <row r="4449" spans="13:16">
      <c r="M4449" s="49">
        <f>IF($A$4+44&gt;$B$4,"",$A$4+44)</f>
        <v>46067</v>
      </c>
      <c r="N4449">
        <f>IF(M4449="","",'Master Barang'!A43)</f>
        <v>0</v>
      </c>
      <c r="O4449">
        <f>IF(N4449="","",'Master Barang'!B43)</f>
        <v>0</v>
      </c>
      <c r="P4449">
        <f>IF(OR(M4449="",N4449=""),"",SUMIFS('Barang Keluar'!$E:$E,'Barang Keluar'!$A:$A,M4449,'Barang Keluar'!$C:$C,N4449))</f>
        <v>0</v>
      </c>
    </row>
    <row r="4450" spans="13:16">
      <c r="M4450" s="49">
        <f>IF($A$4+44&gt;$B$4,"",$A$4+44)</f>
        <v>46067</v>
      </c>
      <c r="N4450">
        <f>IF(M4450="","",'Master Barang'!A44)</f>
        <v>0</v>
      </c>
      <c r="O4450">
        <f>IF(N4450="","",'Master Barang'!B44)</f>
        <v>0</v>
      </c>
      <c r="P4450">
        <f>IF(OR(M4450="",N4450=""),"",SUMIFS('Barang Keluar'!$E:$E,'Barang Keluar'!$A:$A,M4450,'Barang Keluar'!$C:$C,N4450))</f>
        <v>0</v>
      </c>
    </row>
    <row r="4451" spans="13:16">
      <c r="M4451" s="49">
        <f>IF($A$4+44&gt;$B$4,"",$A$4+44)</f>
        <v>46067</v>
      </c>
      <c r="N4451">
        <f>IF(M4451="","",'Master Barang'!A45)</f>
        <v>0</v>
      </c>
      <c r="O4451">
        <f>IF(N4451="","",'Master Barang'!B45)</f>
        <v>0</v>
      </c>
      <c r="P4451">
        <f>IF(OR(M4451="",N4451=""),"",SUMIFS('Barang Keluar'!$E:$E,'Barang Keluar'!$A:$A,M4451,'Barang Keluar'!$C:$C,N4451))</f>
        <v>0</v>
      </c>
    </row>
    <row r="4452" spans="13:16">
      <c r="M4452" s="49">
        <f>IF($A$4+44&gt;$B$4,"",$A$4+44)</f>
        <v>46067</v>
      </c>
      <c r="N4452">
        <f>IF(M4452="","",'Master Barang'!A46)</f>
        <v>0</v>
      </c>
      <c r="O4452">
        <f>IF(N4452="","",'Master Barang'!B46)</f>
        <v>0</v>
      </c>
      <c r="P4452">
        <f>IF(OR(M4452="",N4452=""),"",SUMIFS('Barang Keluar'!$E:$E,'Barang Keluar'!$A:$A,M4452,'Barang Keluar'!$C:$C,N4452))</f>
        <v>0</v>
      </c>
    </row>
    <row r="4453" spans="13:16">
      <c r="M4453" s="49">
        <f>IF($A$4+44&gt;$B$4,"",$A$4+44)</f>
        <v>46067</v>
      </c>
      <c r="N4453">
        <f>IF(M4453="","",'Master Barang'!A47)</f>
        <v>0</v>
      </c>
      <c r="O4453">
        <f>IF(N4453="","",'Master Barang'!B47)</f>
        <v>0</v>
      </c>
      <c r="P4453">
        <f>IF(OR(M4453="",N4453=""),"",SUMIFS('Barang Keluar'!$E:$E,'Barang Keluar'!$A:$A,M4453,'Barang Keluar'!$C:$C,N4453))</f>
        <v>0</v>
      </c>
    </row>
    <row r="4454" spans="13:16">
      <c r="M4454" s="49">
        <f>IF($A$4+44&gt;$B$4,"",$A$4+44)</f>
        <v>46067</v>
      </c>
      <c r="N4454">
        <f>IF(M4454="","",'Master Barang'!A48)</f>
        <v>0</v>
      </c>
      <c r="O4454">
        <f>IF(N4454="","",'Master Barang'!B48)</f>
        <v>0</v>
      </c>
      <c r="P4454">
        <f>IF(OR(M4454="",N4454=""),"",SUMIFS('Barang Keluar'!$E:$E,'Barang Keluar'!$A:$A,M4454,'Barang Keluar'!$C:$C,N4454))</f>
        <v>0</v>
      </c>
    </row>
    <row r="4455" spans="13:16">
      <c r="M4455" s="49">
        <f>IF($A$4+44&gt;$B$4,"",$A$4+44)</f>
        <v>46067</v>
      </c>
      <c r="N4455">
        <f>IF(M4455="","",'Master Barang'!A49)</f>
        <v>0</v>
      </c>
      <c r="O4455">
        <f>IF(N4455="","",'Master Barang'!B49)</f>
        <v>0</v>
      </c>
      <c r="P4455">
        <f>IF(OR(M4455="",N4455=""),"",SUMIFS('Barang Keluar'!$E:$E,'Barang Keluar'!$A:$A,M4455,'Barang Keluar'!$C:$C,N4455))</f>
        <v>0</v>
      </c>
    </row>
    <row r="4456" spans="13:16">
      <c r="M4456" s="49">
        <f>IF($A$4+44&gt;$B$4,"",$A$4+44)</f>
        <v>46067</v>
      </c>
      <c r="N4456">
        <f>IF(M4456="","",'Master Barang'!A50)</f>
        <v>0</v>
      </c>
      <c r="O4456">
        <f>IF(N4456="","",'Master Barang'!B50)</f>
        <v>0</v>
      </c>
      <c r="P4456">
        <f>IF(OR(M4456="",N4456=""),"",SUMIFS('Barang Keluar'!$E:$E,'Barang Keluar'!$A:$A,M4456,'Barang Keluar'!$C:$C,N4456))</f>
        <v>0</v>
      </c>
    </row>
    <row r="4457" spans="13:16">
      <c r="M4457" s="49">
        <f>IF($A$4+44&gt;$B$4,"",$A$4+44)</f>
        <v>46067</v>
      </c>
      <c r="N4457">
        <f>IF(M4457="","",'Master Barang'!A51)</f>
        <v>0</v>
      </c>
      <c r="O4457">
        <f>IF(N4457="","",'Master Barang'!B51)</f>
        <v>0</v>
      </c>
      <c r="P4457">
        <f>IF(OR(M4457="",N4457=""),"",SUMIFS('Barang Keluar'!$E:$E,'Barang Keluar'!$A:$A,M4457,'Barang Keluar'!$C:$C,N4457))</f>
        <v>0</v>
      </c>
    </row>
    <row r="4458" spans="13:16">
      <c r="M4458" s="49">
        <f>IF($A$4+44&gt;$B$4,"",$A$4+44)</f>
        <v>46067</v>
      </c>
      <c r="N4458">
        <f>IF(M4458="","",'Master Barang'!A52)</f>
        <v>0</v>
      </c>
      <c r="O4458">
        <f>IF(N4458="","",'Master Barang'!B52)</f>
        <v>0</v>
      </c>
      <c r="P4458">
        <f>IF(OR(M4458="",N4458=""),"",SUMIFS('Barang Keluar'!$E:$E,'Barang Keluar'!$A:$A,M4458,'Barang Keluar'!$C:$C,N4458))</f>
        <v>0</v>
      </c>
    </row>
    <row r="4459" spans="13:16">
      <c r="M4459" s="49">
        <f>IF($A$4+44&gt;$B$4,"",$A$4+44)</f>
        <v>46067</v>
      </c>
      <c r="N4459">
        <f>IF(M4459="","",'Master Barang'!A53)</f>
        <v>0</v>
      </c>
      <c r="O4459">
        <f>IF(N4459="","",'Master Barang'!B53)</f>
        <v>0</v>
      </c>
      <c r="P4459">
        <f>IF(OR(M4459="",N4459=""),"",SUMIFS('Barang Keluar'!$E:$E,'Barang Keluar'!$A:$A,M4459,'Barang Keluar'!$C:$C,N4459))</f>
        <v>0</v>
      </c>
    </row>
    <row r="4460" spans="13:16">
      <c r="M4460" s="49">
        <f>IF($A$4+44&gt;$B$4,"",$A$4+44)</f>
        <v>46067</v>
      </c>
      <c r="N4460">
        <f>IF(M4460="","",'Master Barang'!A54)</f>
        <v>0</v>
      </c>
      <c r="O4460">
        <f>IF(N4460="","",'Master Barang'!B54)</f>
        <v>0</v>
      </c>
      <c r="P4460">
        <f>IF(OR(M4460="",N4460=""),"",SUMIFS('Barang Keluar'!$E:$E,'Barang Keluar'!$A:$A,M4460,'Barang Keluar'!$C:$C,N4460))</f>
        <v>0</v>
      </c>
    </row>
    <row r="4461" spans="13:16">
      <c r="M4461" s="49">
        <f>IF($A$4+44&gt;$B$4,"",$A$4+44)</f>
        <v>46067</v>
      </c>
      <c r="N4461">
        <f>IF(M4461="","",'Master Barang'!A55)</f>
        <v>0</v>
      </c>
      <c r="O4461">
        <f>IF(N4461="","",'Master Barang'!B55)</f>
        <v>0</v>
      </c>
      <c r="P4461">
        <f>IF(OR(M4461="",N4461=""),"",SUMIFS('Barang Keluar'!$E:$E,'Barang Keluar'!$A:$A,M4461,'Barang Keluar'!$C:$C,N4461))</f>
        <v>0</v>
      </c>
    </row>
    <row r="4462" spans="13:16">
      <c r="M4462" s="49">
        <f>IF($A$4+44&gt;$B$4,"",$A$4+44)</f>
        <v>46067</v>
      </c>
      <c r="N4462">
        <f>IF(M4462="","",'Master Barang'!A56)</f>
        <v>0</v>
      </c>
      <c r="O4462">
        <f>IF(N4462="","",'Master Barang'!B56)</f>
        <v>0</v>
      </c>
      <c r="P4462">
        <f>IF(OR(M4462="",N4462=""),"",SUMIFS('Barang Keluar'!$E:$E,'Barang Keluar'!$A:$A,M4462,'Barang Keluar'!$C:$C,N4462))</f>
        <v>0</v>
      </c>
    </row>
    <row r="4463" spans="13:16">
      <c r="M4463" s="49">
        <f>IF($A$4+44&gt;$B$4,"",$A$4+44)</f>
        <v>46067</v>
      </c>
      <c r="N4463">
        <f>IF(M4463="","",'Master Barang'!A57)</f>
        <v>0</v>
      </c>
      <c r="O4463">
        <f>IF(N4463="","",'Master Barang'!B57)</f>
        <v>0</v>
      </c>
      <c r="P4463">
        <f>IF(OR(M4463="",N4463=""),"",SUMIFS('Barang Keluar'!$E:$E,'Barang Keluar'!$A:$A,M4463,'Barang Keluar'!$C:$C,N4463))</f>
        <v>0</v>
      </c>
    </row>
    <row r="4464" spans="13:16">
      <c r="M4464" s="49">
        <f>IF($A$4+44&gt;$B$4,"",$A$4+44)</f>
        <v>46067</v>
      </c>
      <c r="N4464">
        <f>IF(M4464="","",'Master Barang'!A58)</f>
        <v>0</v>
      </c>
      <c r="O4464">
        <f>IF(N4464="","",'Master Barang'!B58)</f>
        <v>0</v>
      </c>
      <c r="P4464">
        <f>IF(OR(M4464="",N4464=""),"",SUMIFS('Barang Keluar'!$E:$E,'Barang Keluar'!$A:$A,M4464,'Barang Keluar'!$C:$C,N4464))</f>
        <v>0</v>
      </c>
    </row>
    <row r="4465" spans="13:16">
      <c r="M4465" s="49">
        <f>IF($A$4+44&gt;$B$4,"",$A$4+44)</f>
        <v>46067</v>
      </c>
      <c r="N4465">
        <f>IF(M4465="","",'Master Barang'!A59)</f>
        <v>0</v>
      </c>
      <c r="O4465">
        <f>IF(N4465="","",'Master Barang'!B59)</f>
        <v>0</v>
      </c>
      <c r="P4465">
        <f>IF(OR(M4465="",N4465=""),"",SUMIFS('Barang Keluar'!$E:$E,'Barang Keluar'!$A:$A,M4465,'Barang Keluar'!$C:$C,N4465))</f>
        <v>0</v>
      </c>
    </row>
    <row r="4466" spans="13:16">
      <c r="M4466" s="49">
        <f>IF($A$4+44&gt;$B$4,"",$A$4+44)</f>
        <v>46067</v>
      </c>
      <c r="N4466">
        <f>IF(M4466="","",'Master Barang'!A60)</f>
        <v>0</v>
      </c>
      <c r="O4466">
        <f>IF(N4466="","",'Master Barang'!B60)</f>
        <v>0</v>
      </c>
      <c r="P4466">
        <f>IF(OR(M4466="",N4466=""),"",SUMIFS('Barang Keluar'!$E:$E,'Barang Keluar'!$A:$A,M4466,'Barang Keluar'!$C:$C,N4466))</f>
        <v>0</v>
      </c>
    </row>
    <row r="4467" spans="13:16">
      <c r="M4467" s="49">
        <f>IF($A$4+44&gt;$B$4,"",$A$4+44)</f>
        <v>46067</v>
      </c>
      <c r="N4467">
        <f>IF(M4467="","",'Master Barang'!A61)</f>
        <v>0</v>
      </c>
      <c r="O4467">
        <f>IF(N4467="","",'Master Barang'!B61)</f>
        <v>0</v>
      </c>
      <c r="P4467">
        <f>IF(OR(M4467="",N4467=""),"",SUMIFS('Barang Keluar'!$E:$E,'Barang Keluar'!$A:$A,M4467,'Barang Keluar'!$C:$C,N4467))</f>
        <v>0</v>
      </c>
    </row>
    <row r="4468" spans="13:16">
      <c r="M4468" s="49">
        <f>IF($A$4+44&gt;$B$4,"",$A$4+44)</f>
        <v>46067</v>
      </c>
      <c r="N4468">
        <f>IF(M4468="","",'Master Barang'!A62)</f>
        <v>0</v>
      </c>
      <c r="O4468">
        <f>IF(N4468="","",'Master Barang'!B62)</f>
        <v>0</v>
      </c>
      <c r="P4468">
        <f>IF(OR(M4468="",N4468=""),"",SUMIFS('Barang Keluar'!$E:$E,'Barang Keluar'!$A:$A,M4468,'Barang Keluar'!$C:$C,N4468))</f>
        <v>0</v>
      </c>
    </row>
    <row r="4469" spans="13:16">
      <c r="M4469" s="49">
        <f>IF($A$4+44&gt;$B$4,"",$A$4+44)</f>
        <v>46067</v>
      </c>
      <c r="N4469">
        <f>IF(M4469="","",'Master Barang'!A63)</f>
        <v>0</v>
      </c>
      <c r="O4469">
        <f>IF(N4469="","",'Master Barang'!B63)</f>
        <v>0</v>
      </c>
      <c r="P4469">
        <f>IF(OR(M4469="",N4469=""),"",SUMIFS('Barang Keluar'!$E:$E,'Barang Keluar'!$A:$A,M4469,'Barang Keluar'!$C:$C,N4469))</f>
        <v>0</v>
      </c>
    </row>
    <row r="4470" spans="13:16">
      <c r="M4470" s="49">
        <f>IF($A$4+44&gt;$B$4,"",$A$4+44)</f>
        <v>46067</v>
      </c>
      <c r="N4470">
        <f>IF(M4470="","",'Master Barang'!A64)</f>
        <v>0</v>
      </c>
      <c r="O4470">
        <f>IF(N4470="","",'Master Barang'!B64)</f>
        <v>0</v>
      </c>
      <c r="P4470">
        <f>IF(OR(M4470="",N4470=""),"",SUMIFS('Barang Keluar'!$E:$E,'Barang Keluar'!$A:$A,M4470,'Barang Keluar'!$C:$C,N4470))</f>
        <v>0</v>
      </c>
    </row>
    <row r="4471" spans="13:16">
      <c r="M4471" s="49">
        <f>IF($A$4+44&gt;$B$4,"",$A$4+44)</f>
        <v>46067</v>
      </c>
      <c r="N4471">
        <f>IF(M4471="","",'Master Barang'!A65)</f>
        <v>0</v>
      </c>
      <c r="O4471">
        <f>IF(N4471="","",'Master Barang'!B65)</f>
        <v>0</v>
      </c>
      <c r="P4471">
        <f>IF(OR(M4471="",N4471=""),"",SUMIFS('Barang Keluar'!$E:$E,'Barang Keluar'!$A:$A,M4471,'Barang Keluar'!$C:$C,N4471))</f>
        <v>0</v>
      </c>
    </row>
    <row r="4472" spans="13:16">
      <c r="M4472" s="49">
        <f>IF($A$4+44&gt;$B$4,"",$A$4+44)</f>
        <v>46067</v>
      </c>
      <c r="N4472">
        <f>IF(M4472="","",'Master Barang'!A66)</f>
        <v>0</v>
      </c>
      <c r="O4472">
        <f>IF(N4472="","",'Master Barang'!B66)</f>
        <v>0</v>
      </c>
      <c r="P4472">
        <f>IF(OR(M4472="",N4472=""),"",SUMIFS('Barang Keluar'!$E:$E,'Barang Keluar'!$A:$A,M4472,'Barang Keluar'!$C:$C,N4472))</f>
        <v>0</v>
      </c>
    </row>
    <row r="4473" spans="13:16">
      <c r="M4473" s="49">
        <f>IF($A$4+44&gt;$B$4,"",$A$4+44)</f>
        <v>46067</v>
      </c>
      <c r="N4473">
        <f>IF(M4473="","",'Master Barang'!A67)</f>
        <v>0</v>
      </c>
      <c r="O4473">
        <f>IF(N4473="","",'Master Barang'!B67)</f>
        <v>0</v>
      </c>
      <c r="P4473">
        <f>IF(OR(M4473="",N4473=""),"",SUMIFS('Barang Keluar'!$E:$E,'Barang Keluar'!$A:$A,M4473,'Barang Keluar'!$C:$C,N4473))</f>
        <v>0</v>
      </c>
    </row>
    <row r="4474" spans="13:16">
      <c r="M4474" s="49">
        <f>IF($A$4+44&gt;$B$4,"",$A$4+44)</f>
        <v>46067</v>
      </c>
      <c r="N4474">
        <f>IF(M4474="","",'Master Barang'!A68)</f>
        <v>0</v>
      </c>
      <c r="O4474">
        <f>IF(N4474="","",'Master Barang'!B68)</f>
        <v>0</v>
      </c>
      <c r="P4474">
        <f>IF(OR(M4474="",N4474=""),"",SUMIFS('Barang Keluar'!$E:$E,'Barang Keluar'!$A:$A,M4474,'Barang Keluar'!$C:$C,N4474))</f>
        <v>0</v>
      </c>
    </row>
    <row r="4475" spans="13:16">
      <c r="M4475" s="49">
        <f>IF($A$4+44&gt;$B$4,"",$A$4+44)</f>
        <v>46067</v>
      </c>
      <c r="N4475">
        <f>IF(M4475="","",'Master Barang'!A69)</f>
        <v>0</v>
      </c>
      <c r="O4475">
        <f>IF(N4475="","",'Master Barang'!B69)</f>
        <v>0</v>
      </c>
      <c r="P4475">
        <f>IF(OR(M4475="",N4475=""),"",SUMIFS('Barang Keluar'!$E:$E,'Barang Keluar'!$A:$A,M4475,'Barang Keluar'!$C:$C,N4475))</f>
        <v>0</v>
      </c>
    </row>
    <row r="4476" spans="13:16">
      <c r="M4476" s="49">
        <f>IF($A$4+44&gt;$B$4,"",$A$4+44)</f>
        <v>46067</v>
      </c>
      <c r="N4476">
        <f>IF(M4476="","",'Master Barang'!A70)</f>
        <v>0</v>
      </c>
      <c r="O4476">
        <f>IF(N4476="","",'Master Barang'!B70)</f>
        <v>0</v>
      </c>
      <c r="P4476">
        <f>IF(OR(M4476="",N4476=""),"",SUMIFS('Barang Keluar'!$E:$E,'Barang Keluar'!$A:$A,M4476,'Barang Keluar'!$C:$C,N4476))</f>
        <v>0</v>
      </c>
    </row>
    <row r="4477" spans="13:16">
      <c r="M4477" s="49">
        <f>IF($A$4+44&gt;$B$4,"",$A$4+44)</f>
        <v>46067</v>
      </c>
      <c r="N4477">
        <f>IF(M4477="","",'Master Barang'!A71)</f>
        <v>0</v>
      </c>
      <c r="O4477">
        <f>IF(N4477="","",'Master Barang'!B71)</f>
        <v>0</v>
      </c>
      <c r="P4477">
        <f>IF(OR(M4477="",N4477=""),"",SUMIFS('Barang Keluar'!$E:$E,'Barang Keluar'!$A:$A,M4477,'Barang Keluar'!$C:$C,N4477))</f>
        <v>0</v>
      </c>
    </row>
    <row r="4478" spans="13:16">
      <c r="M4478" s="49">
        <f>IF($A$4+44&gt;$B$4,"",$A$4+44)</f>
        <v>46067</v>
      </c>
      <c r="N4478">
        <f>IF(M4478="","",'Master Barang'!A72)</f>
        <v>0</v>
      </c>
      <c r="O4478">
        <f>IF(N4478="","",'Master Barang'!B72)</f>
        <v>0</v>
      </c>
      <c r="P4478">
        <f>IF(OR(M4478="",N4478=""),"",SUMIFS('Barang Keluar'!$E:$E,'Barang Keluar'!$A:$A,M4478,'Barang Keluar'!$C:$C,N4478))</f>
        <v>0</v>
      </c>
    </row>
    <row r="4479" spans="13:16">
      <c r="M4479" s="49">
        <f>IF($A$4+44&gt;$B$4,"",$A$4+44)</f>
        <v>46067</v>
      </c>
      <c r="N4479">
        <f>IF(M4479="","",'Master Barang'!A73)</f>
        <v>0</v>
      </c>
      <c r="O4479">
        <f>IF(N4479="","",'Master Barang'!B73)</f>
        <v>0</v>
      </c>
      <c r="P4479">
        <f>IF(OR(M4479="",N4479=""),"",SUMIFS('Barang Keluar'!$E:$E,'Barang Keluar'!$A:$A,M4479,'Barang Keluar'!$C:$C,N4479))</f>
        <v>0</v>
      </c>
    </row>
    <row r="4480" spans="13:16">
      <c r="M4480" s="49">
        <f>IF($A$4+44&gt;$B$4,"",$A$4+44)</f>
        <v>46067</v>
      </c>
      <c r="N4480">
        <f>IF(M4480="","",'Master Barang'!A74)</f>
        <v>0</v>
      </c>
      <c r="O4480">
        <f>IF(N4480="","",'Master Barang'!B74)</f>
        <v>0</v>
      </c>
      <c r="P4480">
        <f>IF(OR(M4480="",N4480=""),"",SUMIFS('Barang Keluar'!$E:$E,'Barang Keluar'!$A:$A,M4480,'Barang Keluar'!$C:$C,N4480))</f>
        <v>0</v>
      </c>
    </row>
    <row r="4481" spans="13:16">
      <c r="M4481" s="49">
        <f>IF($A$4+44&gt;$B$4,"",$A$4+44)</f>
        <v>46067</v>
      </c>
      <c r="N4481">
        <f>IF(M4481="","",'Master Barang'!A75)</f>
        <v>0</v>
      </c>
      <c r="O4481">
        <f>IF(N4481="","",'Master Barang'!B75)</f>
        <v>0</v>
      </c>
      <c r="P4481">
        <f>IF(OR(M4481="",N4481=""),"",SUMIFS('Barang Keluar'!$E:$E,'Barang Keluar'!$A:$A,M4481,'Barang Keluar'!$C:$C,N4481))</f>
        <v>0</v>
      </c>
    </row>
    <row r="4482" spans="13:16">
      <c r="M4482" s="49">
        <f>IF($A$4+44&gt;$B$4,"",$A$4+44)</f>
        <v>46067</v>
      </c>
      <c r="N4482">
        <f>IF(M4482="","",'Master Barang'!A76)</f>
        <v>0</v>
      </c>
      <c r="O4482">
        <f>IF(N4482="","",'Master Barang'!B76)</f>
        <v>0</v>
      </c>
      <c r="P4482">
        <f>IF(OR(M4482="",N4482=""),"",SUMIFS('Barang Keluar'!$E:$E,'Barang Keluar'!$A:$A,M4482,'Barang Keluar'!$C:$C,N4482))</f>
        <v>0</v>
      </c>
    </row>
    <row r="4483" spans="13:16">
      <c r="M4483" s="49">
        <f>IF($A$4+44&gt;$B$4,"",$A$4+44)</f>
        <v>46067</v>
      </c>
      <c r="N4483">
        <f>IF(M4483="","",'Master Barang'!A77)</f>
        <v>0</v>
      </c>
      <c r="O4483">
        <f>IF(N4483="","",'Master Barang'!B77)</f>
        <v>0</v>
      </c>
      <c r="P4483">
        <f>IF(OR(M4483="",N4483=""),"",SUMIFS('Barang Keluar'!$E:$E,'Barang Keluar'!$A:$A,M4483,'Barang Keluar'!$C:$C,N4483))</f>
        <v>0</v>
      </c>
    </row>
    <row r="4484" spans="13:16">
      <c r="M4484" s="49">
        <f>IF($A$4+44&gt;$B$4,"",$A$4+44)</f>
        <v>46067</v>
      </c>
      <c r="N4484">
        <f>IF(M4484="","",'Master Barang'!A78)</f>
        <v>0</v>
      </c>
      <c r="O4484">
        <f>IF(N4484="","",'Master Barang'!B78)</f>
        <v>0</v>
      </c>
      <c r="P4484">
        <f>IF(OR(M4484="",N4484=""),"",SUMIFS('Barang Keluar'!$E:$E,'Barang Keluar'!$A:$A,M4484,'Barang Keluar'!$C:$C,N4484))</f>
        <v>0</v>
      </c>
    </row>
    <row r="4485" spans="13:16">
      <c r="M4485" s="49">
        <f>IF($A$4+44&gt;$B$4,"",$A$4+44)</f>
        <v>46067</v>
      </c>
      <c r="N4485">
        <f>IF(M4485="","",'Master Barang'!A79)</f>
        <v>0</v>
      </c>
      <c r="O4485">
        <f>IF(N4485="","",'Master Barang'!B79)</f>
        <v>0</v>
      </c>
      <c r="P4485">
        <f>IF(OR(M4485="",N4485=""),"",SUMIFS('Barang Keluar'!$E:$E,'Barang Keluar'!$A:$A,M4485,'Barang Keluar'!$C:$C,N4485))</f>
        <v>0</v>
      </c>
    </row>
    <row r="4486" spans="13:16">
      <c r="M4486" s="49">
        <f>IF($A$4+44&gt;$B$4,"",$A$4+44)</f>
        <v>46067</v>
      </c>
      <c r="N4486">
        <f>IF(M4486="","",'Master Barang'!A80)</f>
        <v>0</v>
      </c>
      <c r="O4486">
        <f>IF(N4486="","",'Master Barang'!B80)</f>
        <v>0</v>
      </c>
      <c r="P4486">
        <f>IF(OR(M4486="",N4486=""),"",SUMIFS('Barang Keluar'!$E:$E,'Barang Keluar'!$A:$A,M4486,'Barang Keluar'!$C:$C,N4486))</f>
        <v>0</v>
      </c>
    </row>
    <row r="4487" spans="13:16">
      <c r="M4487" s="49">
        <f>IF($A$4+44&gt;$B$4,"",$A$4+44)</f>
        <v>46067</v>
      </c>
      <c r="N4487">
        <f>IF(M4487="","",'Master Barang'!A81)</f>
        <v>0</v>
      </c>
      <c r="O4487">
        <f>IF(N4487="","",'Master Barang'!B81)</f>
        <v>0</v>
      </c>
      <c r="P4487">
        <f>IF(OR(M4487="",N4487=""),"",SUMIFS('Barang Keluar'!$E:$E,'Barang Keluar'!$A:$A,M4487,'Barang Keluar'!$C:$C,N4487))</f>
        <v>0</v>
      </c>
    </row>
    <row r="4488" spans="13:16">
      <c r="M4488" s="49">
        <f>IF($A$4+44&gt;$B$4,"",$A$4+44)</f>
        <v>46067</v>
      </c>
      <c r="N4488">
        <f>IF(M4488="","",'Master Barang'!A82)</f>
        <v>0</v>
      </c>
      <c r="O4488">
        <f>IF(N4488="","",'Master Barang'!B82)</f>
        <v>0</v>
      </c>
      <c r="P4488">
        <f>IF(OR(M4488="",N4488=""),"",SUMIFS('Barang Keluar'!$E:$E,'Barang Keluar'!$A:$A,M4488,'Barang Keluar'!$C:$C,N4488))</f>
        <v>0</v>
      </c>
    </row>
    <row r="4489" spans="13:16">
      <c r="M4489" s="49">
        <f>IF($A$4+44&gt;$B$4,"",$A$4+44)</f>
        <v>46067</v>
      </c>
      <c r="N4489">
        <f>IF(M4489="","",'Master Barang'!A83)</f>
        <v>0</v>
      </c>
      <c r="O4489">
        <f>IF(N4489="","",'Master Barang'!B83)</f>
        <v>0</v>
      </c>
      <c r="P4489">
        <f>IF(OR(M4489="",N4489=""),"",SUMIFS('Barang Keluar'!$E:$E,'Barang Keluar'!$A:$A,M4489,'Barang Keluar'!$C:$C,N4489))</f>
        <v>0</v>
      </c>
    </row>
    <row r="4490" spans="13:16">
      <c r="M4490" s="49">
        <f>IF($A$4+44&gt;$B$4,"",$A$4+44)</f>
        <v>46067</v>
      </c>
      <c r="N4490">
        <f>IF(M4490="","",'Master Barang'!A84)</f>
        <v>0</v>
      </c>
      <c r="O4490">
        <f>IF(N4490="","",'Master Barang'!B84)</f>
        <v>0</v>
      </c>
      <c r="P4490">
        <f>IF(OR(M4490="",N4490=""),"",SUMIFS('Barang Keluar'!$E:$E,'Barang Keluar'!$A:$A,M4490,'Barang Keluar'!$C:$C,N4490))</f>
        <v>0</v>
      </c>
    </row>
    <row r="4491" spans="13:16">
      <c r="M4491" s="49">
        <f>IF($A$4+44&gt;$B$4,"",$A$4+44)</f>
        <v>46067</v>
      </c>
      <c r="N4491">
        <f>IF(M4491="","",'Master Barang'!A85)</f>
        <v>0</v>
      </c>
      <c r="O4491">
        <f>IF(N4491="","",'Master Barang'!B85)</f>
        <v>0</v>
      </c>
      <c r="P4491">
        <f>IF(OR(M4491="",N4491=""),"",SUMIFS('Barang Keluar'!$E:$E,'Barang Keluar'!$A:$A,M4491,'Barang Keluar'!$C:$C,N4491))</f>
        <v>0</v>
      </c>
    </row>
    <row r="4492" spans="13:16">
      <c r="M4492" s="49">
        <f>IF($A$4+44&gt;$B$4,"",$A$4+44)</f>
        <v>46067</v>
      </c>
      <c r="N4492">
        <f>IF(M4492="","",'Master Barang'!A86)</f>
        <v>0</v>
      </c>
      <c r="O4492">
        <f>IF(N4492="","",'Master Barang'!B86)</f>
        <v>0</v>
      </c>
      <c r="P4492">
        <f>IF(OR(M4492="",N4492=""),"",SUMIFS('Barang Keluar'!$E:$E,'Barang Keluar'!$A:$A,M4492,'Barang Keluar'!$C:$C,N4492))</f>
        <v>0</v>
      </c>
    </row>
    <row r="4493" spans="13:16">
      <c r="M4493" s="49">
        <f>IF($A$4+44&gt;$B$4,"",$A$4+44)</f>
        <v>46067</v>
      </c>
      <c r="N4493">
        <f>IF(M4493="","",'Master Barang'!A87)</f>
        <v>0</v>
      </c>
      <c r="O4493">
        <f>IF(N4493="","",'Master Barang'!B87)</f>
        <v>0</v>
      </c>
      <c r="P4493">
        <f>IF(OR(M4493="",N4493=""),"",SUMIFS('Barang Keluar'!$E:$E,'Barang Keluar'!$A:$A,M4493,'Barang Keluar'!$C:$C,N4493))</f>
        <v>0</v>
      </c>
    </row>
    <row r="4494" spans="13:16">
      <c r="M4494" s="49">
        <f>IF($A$4+44&gt;$B$4,"",$A$4+44)</f>
        <v>46067</v>
      </c>
      <c r="N4494">
        <f>IF(M4494="","",'Master Barang'!A88)</f>
        <v>0</v>
      </c>
      <c r="O4494">
        <f>IF(N4494="","",'Master Barang'!B88)</f>
        <v>0</v>
      </c>
      <c r="P4494">
        <f>IF(OR(M4494="",N4494=""),"",SUMIFS('Barang Keluar'!$E:$E,'Barang Keluar'!$A:$A,M4494,'Barang Keluar'!$C:$C,N4494))</f>
        <v>0</v>
      </c>
    </row>
    <row r="4495" spans="13:16">
      <c r="M4495" s="49">
        <f>IF($A$4+44&gt;$B$4,"",$A$4+44)</f>
        <v>46067</v>
      </c>
      <c r="N4495">
        <f>IF(M4495="","",'Master Barang'!A89)</f>
        <v>0</v>
      </c>
      <c r="O4495">
        <f>IF(N4495="","",'Master Barang'!B89)</f>
        <v>0</v>
      </c>
      <c r="P4495">
        <f>IF(OR(M4495="",N4495=""),"",SUMIFS('Barang Keluar'!$E:$E,'Barang Keluar'!$A:$A,M4495,'Barang Keluar'!$C:$C,N4495))</f>
        <v>0</v>
      </c>
    </row>
    <row r="4496" spans="13:16">
      <c r="M4496" s="49">
        <f>IF($A$4+44&gt;$B$4,"",$A$4+44)</f>
        <v>46067</v>
      </c>
      <c r="N4496">
        <f>IF(M4496="","",'Master Barang'!A90)</f>
        <v>0</v>
      </c>
      <c r="O4496">
        <f>IF(N4496="","",'Master Barang'!B90)</f>
        <v>0</v>
      </c>
      <c r="P4496">
        <f>IF(OR(M4496="",N4496=""),"",SUMIFS('Barang Keluar'!$E:$E,'Barang Keluar'!$A:$A,M4496,'Barang Keluar'!$C:$C,N4496))</f>
        <v>0</v>
      </c>
    </row>
    <row r="4497" spans="13:16">
      <c r="M4497" s="49">
        <f>IF($A$4+44&gt;$B$4,"",$A$4+44)</f>
        <v>46067</v>
      </c>
      <c r="N4497">
        <f>IF(M4497="","",'Master Barang'!A91)</f>
        <v>0</v>
      </c>
      <c r="O4497">
        <f>IF(N4497="","",'Master Barang'!B91)</f>
        <v>0</v>
      </c>
      <c r="P4497">
        <f>IF(OR(M4497="",N4497=""),"",SUMIFS('Barang Keluar'!$E:$E,'Barang Keluar'!$A:$A,M4497,'Barang Keluar'!$C:$C,N4497))</f>
        <v>0</v>
      </c>
    </row>
    <row r="4498" spans="13:16">
      <c r="M4498" s="49">
        <f>IF($A$4+44&gt;$B$4,"",$A$4+44)</f>
        <v>46067</v>
      </c>
      <c r="N4498">
        <f>IF(M4498="","",'Master Barang'!A92)</f>
        <v>0</v>
      </c>
      <c r="O4498">
        <f>IF(N4498="","",'Master Barang'!B92)</f>
        <v>0</v>
      </c>
      <c r="P4498">
        <f>IF(OR(M4498="",N4498=""),"",SUMIFS('Barang Keluar'!$E:$E,'Barang Keluar'!$A:$A,M4498,'Barang Keluar'!$C:$C,N4498))</f>
        <v>0</v>
      </c>
    </row>
    <row r="4499" spans="13:16">
      <c r="M4499" s="49">
        <f>IF($A$4+44&gt;$B$4,"",$A$4+44)</f>
        <v>46067</v>
      </c>
      <c r="N4499">
        <f>IF(M4499="","",'Master Barang'!A93)</f>
        <v>0</v>
      </c>
      <c r="O4499">
        <f>IF(N4499="","",'Master Barang'!B93)</f>
        <v>0</v>
      </c>
      <c r="P4499">
        <f>IF(OR(M4499="",N4499=""),"",SUMIFS('Barang Keluar'!$E:$E,'Barang Keluar'!$A:$A,M4499,'Barang Keluar'!$C:$C,N4499))</f>
        <v>0</v>
      </c>
    </row>
    <row r="4500" spans="13:16">
      <c r="M4500" s="49">
        <f>IF($A$4+44&gt;$B$4,"",$A$4+44)</f>
        <v>46067</v>
      </c>
      <c r="N4500">
        <f>IF(M4500="","",'Master Barang'!A94)</f>
        <v>0</v>
      </c>
      <c r="O4500">
        <f>IF(N4500="","",'Master Barang'!B94)</f>
        <v>0</v>
      </c>
      <c r="P4500">
        <f>IF(OR(M4500="",N4500=""),"",SUMIFS('Barang Keluar'!$E:$E,'Barang Keluar'!$A:$A,M4500,'Barang Keluar'!$C:$C,N4500))</f>
        <v>0</v>
      </c>
    </row>
    <row r="4501" spans="13:16">
      <c r="M4501" s="49">
        <f>IF($A$4+44&gt;$B$4,"",$A$4+44)</f>
        <v>46067</v>
      </c>
      <c r="N4501">
        <f>IF(M4501="","",'Master Barang'!A95)</f>
        <v>0</v>
      </c>
      <c r="O4501">
        <f>IF(N4501="","",'Master Barang'!B95)</f>
        <v>0</v>
      </c>
      <c r="P4501">
        <f>IF(OR(M4501="",N4501=""),"",SUMIFS('Barang Keluar'!$E:$E,'Barang Keluar'!$A:$A,M4501,'Barang Keluar'!$C:$C,N4501))</f>
        <v>0</v>
      </c>
    </row>
    <row r="4502" spans="13:16">
      <c r="M4502" s="49">
        <f>IF($A$4+44&gt;$B$4,"",$A$4+44)</f>
        <v>46067</v>
      </c>
      <c r="N4502">
        <f>IF(M4502="","",'Master Barang'!A96)</f>
        <v>0</v>
      </c>
      <c r="O4502">
        <f>IF(N4502="","",'Master Barang'!B96)</f>
        <v>0</v>
      </c>
      <c r="P4502">
        <f>IF(OR(M4502="",N4502=""),"",SUMIFS('Barang Keluar'!$E:$E,'Barang Keluar'!$A:$A,M4502,'Barang Keluar'!$C:$C,N4502))</f>
        <v>0</v>
      </c>
    </row>
    <row r="4503" spans="13:16">
      <c r="M4503" s="49">
        <f>IF($A$4+44&gt;$B$4,"",$A$4+44)</f>
        <v>46067</v>
      </c>
      <c r="N4503">
        <f>IF(M4503="","",'Master Barang'!A97)</f>
        <v>0</v>
      </c>
      <c r="O4503">
        <f>IF(N4503="","",'Master Barang'!B97)</f>
        <v>0</v>
      </c>
      <c r="P4503">
        <f>IF(OR(M4503="",N4503=""),"",SUMIFS('Barang Keluar'!$E:$E,'Barang Keluar'!$A:$A,M4503,'Barang Keluar'!$C:$C,N4503))</f>
        <v>0</v>
      </c>
    </row>
    <row r="4504" spans="13:16">
      <c r="M4504" s="49">
        <f>IF($A$4+44&gt;$B$4,"",$A$4+44)</f>
        <v>46067</v>
      </c>
      <c r="N4504">
        <f>IF(M4504="","",'Master Barang'!A98)</f>
        <v>0</v>
      </c>
      <c r="O4504">
        <f>IF(N4504="","",'Master Barang'!B98)</f>
        <v>0</v>
      </c>
      <c r="P4504">
        <f>IF(OR(M4504="",N4504=""),"",SUMIFS('Barang Keluar'!$E:$E,'Barang Keluar'!$A:$A,M4504,'Barang Keluar'!$C:$C,N4504))</f>
        <v>0</v>
      </c>
    </row>
    <row r="4505" spans="13:16">
      <c r="M4505" s="49">
        <f>IF($A$4+44&gt;$B$4,"",$A$4+44)</f>
        <v>46067</v>
      </c>
      <c r="N4505">
        <f>IF(M4505="","",'Master Barang'!A99)</f>
        <v>0</v>
      </c>
      <c r="O4505">
        <f>IF(N4505="","",'Master Barang'!B99)</f>
        <v>0</v>
      </c>
      <c r="P4505">
        <f>IF(OR(M4505="",N4505=""),"",SUMIFS('Barang Keluar'!$E:$E,'Barang Keluar'!$A:$A,M4505,'Barang Keluar'!$C:$C,N4505))</f>
        <v>0</v>
      </c>
    </row>
    <row r="4506" spans="13:16">
      <c r="M4506" s="49">
        <f>IF($A$4+44&gt;$B$4,"",$A$4+44)</f>
        <v>46067</v>
      </c>
      <c r="N4506">
        <f>IF(M4506="","",'Master Barang'!A100)</f>
        <v>0</v>
      </c>
      <c r="O4506">
        <f>IF(N4506="","",'Master Barang'!B100)</f>
        <v>0</v>
      </c>
      <c r="P4506">
        <f>IF(OR(M4506="",N4506=""),"",SUMIFS('Barang Keluar'!$E:$E,'Barang Keluar'!$A:$A,M4506,'Barang Keluar'!$C:$C,N4506))</f>
        <v>0</v>
      </c>
    </row>
    <row r="4507" spans="13:16">
      <c r="M4507" s="49">
        <f>IF($A$4+44&gt;$B$4,"",$A$4+44)</f>
        <v>46067</v>
      </c>
      <c r="N4507">
        <f>IF(M4507="","",'Master Barang'!A101)</f>
        <v>0</v>
      </c>
      <c r="O4507">
        <f>IF(N4507="","",'Master Barang'!B101)</f>
        <v>0</v>
      </c>
      <c r="P4507">
        <f>IF(OR(M4507="",N4507=""),"",SUMIFS('Barang Keluar'!$E:$E,'Barang Keluar'!$A:$A,M4507,'Barang Keluar'!$C:$C,N4507))</f>
        <v>0</v>
      </c>
    </row>
    <row r="4508" spans="13:16">
      <c r="M4508" s="49">
        <f>IF($A$4+45&gt;$B$4,"",$A$4+45)</f>
        <v>46068</v>
      </c>
      <c r="N4508" t="str">
        <f>IF(M4508="","",'Master Barang'!A2)</f>
        <v>PRL-001</v>
      </c>
      <c r="O4508" t="str">
        <f>IF(N4508="","",'Master Barang'!B2)</f>
        <v>natura desinfectant food grade 5l</v>
      </c>
      <c r="P4508">
        <f>IF(OR(M4508="",N4508=""),"",SUMIFS('Barang Keluar'!$E:$E,'Barang Keluar'!$A:$A,M4508,'Barang Keluar'!$C:$C,N4508))</f>
        <v>0</v>
      </c>
    </row>
    <row r="4509" spans="13:16">
      <c r="M4509" s="49">
        <f>IF($A$4+45&gt;$B$4,"",$A$4+45)</f>
        <v>46068</v>
      </c>
      <c r="N4509" t="str">
        <f>IF(M4509="","",'Master Barang'!A3)</f>
        <v>PRL-002</v>
      </c>
      <c r="O4509" t="str">
        <f>IF(N4509="","",'Master Barang'!B3)</f>
        <v>sunlight cairan pencuci piring 5l</v>
      </c>
      <c r="P4509">
        <f>IF(OR(M4509="",N4509=""),"",SUMIFS('Barang Keluar'!$E:$E,'Barang Keluar'!$A:$A,M4509,'Barang Keluar'!$C:$C,N4509))</f>
        <v>0</v>
      </c>
    </row>
    <row r="4510" spans="13:16">
      <c r="M4510" s="49">
        <f>IF($A$4+45&gt;$B$4,"",$A$4+45)</f>
        <v>46068</v>
      </c>
      <c r="N4510" t="str">
        <f>IF(M4510="","",'Master Barang'!A4)</f>
        <v>PRL-003</v>
      </c>
      <c r="O4510" t="str">
        <f>IF(N4510="","",'Master Barang'!B4)</f>
        <v>oixs cleaner 1l</v>
      </c>
      <c r="P4510">
        <f>IF(OR(M4510="",N4510=""),"",SUMIFS('Barang Keluar'!$E:$E,'Barang Keluar'!$A:$A,M4510,'Barang Keluar'!$C:$C,N4510))</f>
        <v>0</v>
      </c>
    </row>
    <row r="4511" spans="13:16">
      <c r="M4511" s="49">
        <f>IF($A$4+45&gt;$B$4,"",$A$4+45)</f>
        <v>46068</v>
      </c>
      <c r="N4511" t="str">
        <f>IF(M4511="","",'Master Barang'!A5)</f>
        <v>PRL-004</v>
      </c>
      <c r="O4511" t="str">
        <f>IF(N4511="","",'Master Barang'!B5)</f>
        <v>be clean tissue serbaguna</v>
      </c>
      <c r="P4511">
        <f>IF(OR(M4511="",N4511=""),"",SUMIFS('Barang Keluar'!$E:$E,'Barang Keluar'!$A:$A,M4511,'Barang Keluar'!$C:$C,N4511))</f>
        <v>0</v>
      </c>
    </row>
    <row r="4512" spans="13:16">
      <c r="M4512" s="49">
        <f>IF($A$4+45&gt;$B$4,"",$A$4+45)</f>
        <v>46068</v>
      </c>
      <c r="N4512" t="str">
        <f>IF(M4512="","",'Master Barang'!A6)</f>
        <v>PRL-005</v>
      </c>
      <c r="O4512" t="str">
        <f>IF(N4512="","",'Master Barang'!B6)</f>
        <v>spons cuci hijau</v>
      </c>
      <c r="P4512">
        <f>IF(OR(M4512="",N4512=""),"",SUMIFS('Barang Keluar'!$E:$E,'Barang Keluar'!$A:$A,M4512,'Barang Keluar'!$C:$C,N4512))</f>
        <v>0</v>
      </c>
    </row>
    <row r="4513" spans="13:16">
      <c r="M4513" s="49">
        <f>IF($A$4+45&gt;$B$4,"",$A$4+45)</f>
        <v>46068</v>
      </c>
      <c r="N4513" t="str">
        <f>IF(M4513="","",'Master Barang'!A7)</f>
        <v>PRL-006</v>
      </c>
      <c r="O4513" t="str">
        <f>IF(N4513="","",'Master Barang'!B7)</f>
        <v>sabut cuci stainless</v>
      </c>
      <c r="P4513">
        <f>IF(OR(M4513="",N4513=""),"",SUMIFS('Barang Keluar'!$E:$E,'Barang Keluar'!$A:$A,M4513,'Barang Keluar'!$C:$C,N4513))</f>
        <v>0</v>
      </c>
    </row>
    <row r="4514" spans="13:16">
      <c r="M4514" s="49">
        <f>IF($A$4+45&gt;$B$4,"",$A$4+45)</f>
        <v>46068</v>
      </c>
      <c r="N4514" t="str">
        <f>IF(M4514="","",'Master Barang'!A8)</f>
        <v>PRL-007</v>
      </c>
      <c r="O4514" t="str">
        <f>IF(N4514="","",'Master Barang'!B8)</f>
        <v>plastik kresek besar merah 50pc</v>
      </c>
      <c r="P4514">
        <f>IF(OR(M4514="",N4514=""),"",SUMIFS('Barang Keluar'!$E:$E,'Barang Keluar'!$A:$A,M4514,'Barang Keluar'!$C:$C,N4514))</f>
        <v>0</v>
      </c>
    </row>
    <row r="4515" spans="13:16">
      <c r="M4515" s="49">
        <f>IF($A$4+45&gt;$B$4,"",$A$4+45)</f>
        <v>46068</v>
      </c>
      <c r="N4515" t="str">
        <f>IF(M4515="","",'Master Barang'!A9)</f>
        <v>PRL-008</v>
      </c>
      <c r="O4515" t="str">
        <f>IF(N4515="","",'Master Barang'!B9)</f>
        <v>lap besar</v>
      </c>
      <c r="P4515">
        <f>IF(OR(M4515="",N4515=""),"",SUMIFS('Barang Keluar'!$E:$E,'Barang Keluar'!$A:$A,M4515,'Barang Keluar'!$C:$C,N4515))</f>
        <v>0</v>
      </c>
    </row>
    <row r="4516" spans="13:16">
      <c r="M4516" s="49">
        <f>IF($A$4+45&gt;$B$4,"",$A$4+45)</f>
        <v>46068</v>
      </c>
      <c r="N4516" t="str">
        <f>IF(M4516="","",'Master Barang'!A10)</f>
        <v>PRL-009</v>
      </c>
      <c r="O4516" t="str">
        <f>IF(N4516="","",'Master Barang'!B10)</f>
        <v>lap microfiber</v>
      </c>
      <c r="P4516">
        <f>IF(OR(M4516="",N4516=""),"",SUMIFS('Barang Keluar'!$E:$E,'Barang Keluar'!$A:$A,M4516,'Barang Keluar'!$C:$C,N4516))</f>
        <v>0</v>
      </c>
    </row>
    <row r="4517" spans="13:16">
      <c r="M4517" s="49">
        <f>IF($A$4+45&gt;$B$4,"",$A$4+45)</f>
        <v>46068</v>
      </c>
      <c r="N4517" t="str">
        <f>IF(M4517="","",'Master Barang'!A11)</f>
        <v>PRL-010</v>
      </c>
      <c r="O4517" t="str">
        <f>IF(N4517="","",'Master Barang'!B11)</f>
        <v>lap kecil</v>
      </c>
      <c r="P4517">
        <f>IF(OR(M4517="",N4517=""),"",SUMIFS('Barang Keluar'!$E:$E,'Barang Keluar'!$A:$A,M4517,'Barang Keluar'!$C:$C,N4517))</f>
        <v>0</v>
      </c>
    </row>
    <row r="4518" spans="13:16">
      <c r="M4518" s="49">
        <f>IF($A$4+45&gt;$B$4,"",$A$4+45)</f>
        <v>46068</v>
      </c>
      <c r="N4518" t="str">
        <f>IF(M4518="","",'Master Barang'!A12)</f>
        <v>PRL-011</v>
      </c>
      <c r="O4518" t="str">
        <f>IF(N4518="","",'Master Barang'!B12)</f>
        <v>kanebo kecil</v>
      </c>
      <c r="P4518">
        <f>IF(OR(M4518="",N4518=""),"",SUMIFS('Barang Keluar'!$E:$E,'Barang Keluar'!$A:$A,M4518,'Barang Keluar'!$C:$C,N4518))</f>
        <v>0</v>
      </c>
    </row>
    <row r="4519" spans="13:16">
      <c r="M4519" s="49">
        <f>IF($A$4+45&gt;$B$4,"",$A$4+45)</f>
        <v>46068</v>
      </c>
      <c r="N4519" t="str">
        <f>IF(M4519="","",'Master Barang'!A13)</f>
        <v>PRL-012</v>
      </c>
      <c r="O4519" t="str">
        <f>IF(N4519="","",'Master Barang'!B13)</f>
        <v>plastik 1/4kg joyoboyo 100 lembar</v>
      </c>
      <c r="P4519">
        <f>IF(OR(M4519="",N4519=""),"",SUMIFS('Barang Keluar'!$E:$E,'Barang Keluar'!$A:$A,M4519,'Barang Keluar'!$C:$C,N4519))</f>
        <v>0</v>
      </c>
    </row>
    <row r="4520" spans="13:16">
      <c r="M4520" s="49">
        <f>IF($A$4+45&gt;$B$4,"",$A$4+45)</f>
        <v>46068</v>
      </c>
      <c r="N4520" t="str">
        <f>IF(M4520="","",'Master Barang'!A14)</f>
        <v>PRL-013</v>
      </c>
      <c r="O4520" t="str">
        <f>IF(N4520="","",'Master Barang'!B14)</f>
        <v>sarung tangan plastik kaka 100 pcs</v>
      </c>
      <c r="P4520">
        <f>IF(OR(M4520="",N4520=""),"",SUMIFS('Barang Keluar'!$E:$E,'Barang Keluar'!$A:$A,M4520,'Barang Keluar'!$C:$C,N4520))</f>
        <v>0</v>
      </c>
    </row>
    <row r="4521" spans="13:16">
      <c r="M4521" s="49">
        <f>IF($A$4+45&gt;$B$4,"",$A$4+45)</f>
        <v>46068</v>
      </c>
      <c r="N4521" t="str">
        <f>IF(M4521="","",'Master Barang'!A15)</f>
        <v>PRL-014</v>
      </c>
      <c r="O4521" t="str">
        <f>IF(N4521="","",'Master Barang'!B15)</f>
        <v>optima trashbag 80x100</v>
      </c>
      <c r="P4521">
        <f>IF(OR(M4521="",N4521=""),"",SUMIFS('Barang Keluar'!$E:$E,'Barang Keluar'!$A:$A,M4521,'Barang Keluar'!$C:$C,N4521))</f>
        <v>0</v>
      </c>
    </row>
    <row r="4522" spans="13:16">
      <c r="M4522" s="49">
        <f>IF($A$4+45&gt;$B$4,"",$A$4+45)</f>
        <v>46068</v>
      </c>
      <c r="N4522" t="str">
        <f>IF(M4522="","",'Master Barang'!A16)</f>
        <v>PRL-015</v>
      </c>
      <c r="O4522" t="str">
        <f>IF(N4522="","",'Master Barang'!B16)</f>
        <v>optima trashbag 60x100</v>
      </c>
      <c r="P4522">
        <f>IF(OR(M4522="",N4522=""),"",SUMIFS('Barang Keluar'!$E:$E,'Barang Keluar'!$A:$A,M4522,'Barang Keluar'!$C:$C,N4522))</f>
        <v>0</v>
      </c>
    </row>
    <row r="4523" spans="13:16">
      <c r="M4523" s="49">
        <f>IF($A$4+45&gt;$B$4,"",$A$4+45)</f>
        <v>46068</v>
      </c>
      <c r="N4523" t="str">
        <f>IF(M4523="","",'Master Barang'!A17)</f>
        <v>PRL-016</v>
      </c>
      <c r="O4523" t="str">
        <f>IF(N4523="","",'Master Barang'!B17)</f>
        <v>rajawali trashbag 30x40</v>
      </c>
      <c r="P4523">
        <f>IF(OR(M4523="",N4523=""),"",SUMIFS('Barang Keluar'!$E:$E,'Barang Keluar'!$A:$A,M4523,'Barang Keluar'!$C:$C,N4523))</f>
        <v>0</v>
      </c>
    </row>
    <row r="4524" spans="13:16">
      <c r="M4524" s="49">
        <f>IF($A$4+45&gt;$B$4,"",$A$4+45)</f>
        <v>46068</v>
      </c>
      <c r="N4524" t="str">
        <f>IF(M4524="","",'Master Barang'!A18)</f>
        <v>PRL-017</v>
      </c>
      <c r="O4524" t="str">
        <f>IF(N4524="","",'Master Barang'!B18)</f>
        <v>onemed masker biru 3 play 50 pcs</v>
      </c>
      <c r="P4524">
        <f>IF(OR(M4524="",N4524=""),"",SUMIFS('Barang Keluar'!$E:$E,'Barang Keluar'!$A:$A,M4524,'Barang Keluar'!$C:$C,N4524))</f>
        <v>0</v>
      </c>
    </row>
    <row r="4525" spans="13:16">
      <c r="M4525" s="49">
        <f>IF($A$4+45&gt;$B$4,"",$A$4+45)</f>
        <v>46068</v>
      </c>
      <c r="N4525" t="str">
        <f>IF(M4525="","",'Master Barang'!A19)</f>
        <v>PRL-018</v>
      </c>
      <c r="O4525" t="str">
        <f>IF(N4525="","",'Master Barang'!B19)</f>
        <v>onemed masker biru 3 play hijab 50 pcs</v>
      </c>
      <c r="P4525">
        <f>IF(OR(M4525="",N4525=""),"",SUMIFS('Barang Keluar'!$E:$E,'Barang Keluar'!$A:$A,M4525,'Barang Keluar'!$C:$C,N4525))</f>
        <v>0</v>
      </c>
    </row>
    <row r="4526" spans="13:16">
      <c r="M4526" s="49">
        <f>IF($A$4+45&gt;$B$4,"",$A$4+45)</f>
        <v>46068</v>
      </c>
      <c r="N4526" t="str">
        <f>IF(M4526="","",'Master Barang'!A20)</f>
        <v>PRL-019</v>
      </c>
      <c r="O4526" t="str">
        <f>IF(N4526="","",'Master Barang'!B20)</f>
        <v>neo health masker biru 3 play 50 pcs</v>
      </c>
      <c r="P4526">
        <f>IF(OR(M4526="",N4526=""),"",SUMIFS('Barang Keluar'!$E:$E,'Barang Keluar'!$A:$A,M4526,'Barang Keluar'!$C:$C,N4526))</f>
        <v>0</v>
      </c>
    </row>
    <row r="4527" spans="13:16">
      <c r="M4527" s="49">
        <f>IF($A$4+45&gt;$B$4,"",$A$4+45)</f>
        <v>46068</v>
      </c>
      <c r="N4527" t="str">
        <f>IF(M4527="","",'Master Barang'!A21)</f>
        <v>PRL-020</v>
      </c>
      <c r="O4527" t="str">
        <f>IF(N4527="","",'Master Barang'!B21)</f>
        <v>baymed masker hijau 3 play hijau 50 pcs</v>
      </c>
      <c r="P4527">
        <f>IF(OR(M4527="",N4527=""),"",SUMIFS('Barang Keluar'!$E:$E,'Barang Keluar'!$A:$A,M4527,'Barang Keluar'!$C:$C,N4527))</f>
        <v>0</v>
      </c>
    </row>
    <row r="4528" spans="13:16">
      <c r="M4528" s="49">
        <f>IF($A$4+45&gt;$B$4,"",$A$4+45)</f>
        <v>46068</v>
      </c>
      <c r="N4528" t="str">
        <f>IF(M4528="","",'Master Barang'!A22)</f>
        <v>PRL-021</v>
      </c>
      <c r="O4528" t="str">
        <f>IF(N4528="","",'Master Barang'!B22)</f>
        <v>altamed nurse cap penutup kepala 100 pcs</v>
      </c>
      <c r="P4528">
        <f>IF(OR(M4528="",N4528=""),"",SUMIFS('Barang Keluar'!$E:$E,'Barang Keluar'!$A:$A,M4528,'Barang Keluar'!$C:$C,N4528))</f>
        <v>0</v>
      </c>
    </row>
    <row r="4529" spans="13:16">
      <c r="M4529" s="49">
        <f>IF($A$4+45&gt;$B$4,"",$A$4+45)</f>
        <v>46068</v>
      </c>
      <c r="N4529" t="str">
        <f>IF(M4529="","",'Master Barang'!A23)</f>
        <v>PRL-022</v>
      </c>
      <c r="O4529" t="str">
        <f>IF(N4529="","",'Master Barang'!B23)</f>
        <v>sabun cuci tangan</v>
      </c>
      <c r="P4529">
        <f>IF(OR(M4529="",N4529=""),"",SUMIFS('Barang Keluar'!$E:$E,'Barang Keluar'!$A:$A,M4529,'Barang Keluar'!$C:$C,N4529))</f>
        <v>0</v>
      </c>
    </row>
    <row r="4530" spans="13:16">
      <c r="M4530" s="49">
        <f>IF($A$4+45&gt;$B$4,"",$A$4+45)</f>
        <v>46068</v>
      </c>
      <c r="N4530" t="str">
        <f>IF(M4530="","",'Master Barang'!A24)</f>
        <v>PRL-023</v>
      </c>
      <c r="O4530" t="str">
        <f>IF(N4530="","",'Master Barang'!B24)</f>
        <v>gayung kecil</v>
      </c>
      <c r="P4530">
        <f>IF(OR(M4530="",N4530=""),"",SUMIFS('Barang Keluar'!$E:$E,'Barang Keluar'!$A:$A,M4530,'Barang Keluar'!$C:$C,N4530))</f>
        <v>0</v>
      </c>
    </row>
    <row r="4531" spans="13:16">
      <c r="M4531" s="49">
        <f>IF($A$4+45&gt;$B$4,"",$A$4+45)</f>
        <v>46068</v>
      </c>
      <c r="N4531" t="str">
        <f>IF(M4531="","",'Master Barang'!A25)</f>
        <v>PRL-024</v>
      </c>
      <c r="O4531" t="str">
        <f>IF(N4531="","",'Master Barang'!B25)</f>
        <v>cikrak kecil</v>
      </c>
      <c r="P4531">
        <f>IF(OR(M4531="",N4531=""),"",SUMIFS('Barang Keluar'!$E:$E,'Barang Keluar'!$A:$A,M4531,'Barang Keluar'!$C:$C,N4531))</f>
        <v>0</v>
      </c>
    </row>
    <row r="4532" spans="13:16">
      <c r="M4532" s="49">
        <f>IF($A$4+45&gt;$B$4,"",$A$4+45)</f>
        <v>46068</v>
      </c>
      <c r="N4532" t="str">
        <f>IF(M4532="","",'Master Barang'!A26)</f>
        <v>PRL-025</v>
      </c>
      <c r="O4532" t="str">
        <f>IF(N4532="","",'Master Barang'!B26)</f>
        <v>petromax plastik kecil 12x24 100 lembar</v>
      </c>
      <c r="P4532">
        <f>IF(OR(M4532="",N4532=""),"",SUMIFS('Barang Keluar'!$E:$E,'Barang Keluar'!$A:$A,M4532,'Barang Keluar'!$C:$C,N4532))</f>
        <v>0</v>
      </c>
    </row>
    <row r="4533" spans="13:16">
      <c r="M4533" s="49">
        <f>IF($A$4+45&gt;$B$4,"",$A$4+45)</f>
        <v>46068</v>
      </c>
      <c r="N4533" t="str">
        <f>IF(M4533="","",'Master Barang'!A27)</f>
        <v>PRL-026</v>
      </c>
      <c r="O4533" t="str">
        <f>IF(N4533="","",'Master Barang'!B27)</f>
        <v>lancar kresek kecil bening </v>
      </c>
      <c r="P4533">
        <f>IF(OR(M4533="",N4533=""),"",SUMIFS('Barang Keluar'!$E:$E,'Barang Keluar'!$A:$A,M4533,'Barang Keluar'!$C:$C,N4533))</f>
        <v>0</v>
      </c>
    </row>
    <row r="4534" spans="13:16">
      <c r="M4534" s="49">
        <f>IF($A$4+45&gt;$B$4,"",$A$4+45)</f>
        <v>46068</v>
      </c>
      <c r="N4534" t="str">
        <f>IF(M4534="","",'Master Barang'!A28)</f>
        <v>PRL-027</v>
      </c>
      <c r="O4534" t="str">
        <f>IF(N4534="","",'Master Barang'!B28)</f>
        <v>kresek klin warna warni kecil</v>
      </c>
      <c r="P4534">
        <f>IF(OR(M4534="",N4534=""),"",SUMIFS('Barang Keluar'!$E:$E,'Barang Keluar'!$A:$A,M4534,'Barang Keluar'!$C:$C,N4534))</f>
        <v>0</v>
      </c>
    </row>
    <row r="4535" spans="13:16">
      <c r="M4535" s="49">
        <f>IF($A$4+45&gt;$B$4,"",$A$4+45)</f>
        <v>46068</v>
      </c>
      <c r="N4535" t="str">
        <f>IF(M4535="","",'Master Barang'!A29)</f>
        <v>PRL-028</v>
      </c>
      <c r="O4535" t="str">
        <f>IF(N4535="","",'Master Barang'!B29)</f>
        <v>ctik plastik 7x10 100 pcs</v>
      </c>
      <c r="P4535">
        <f>IF(OR(M4535="",N4535=""),"",SUMIFS('Barang Keluar'!$E:$E,'Barang Keluar'!$A:$A,M4535,'Barang Keluar'!$C:$C,N4535))</f>
        <v>0</v>
      </c>
    </row>
    <row r="4536" spans="13:16">
      <c r="M4536" s="49">
        <f>IF($A$4+45&gt;$B$4,"",$A$4+45)</f>
        <v>46068</v>
      </c>
      <c r="N4536" t="str">
        <f>IF(M4536="","",'Master Barang'!A30)</f>
        <v>PRL-029</v>
      </c>
      <c r="O4536" t="str">
        <f>IF(N4536="","",'Master Barang'!B30)</f>
        <v>ctik plastik 6x10 100 pcs</v>
      </c>
      <c r="P4536">
        <f>IF(OR(M4536="",N4536=""),"",SUMIFS('Barang Keluar'!$E:$E,'Barang Keluar'!$A:$A,M4536,'Barang Keluar'!$C:$C,N4536))</f>
        <v>0</v>
      </c>
    </row>
    <row r="4537" spans="13:16">
      <c r="M4537" s="49">
        <f>IF($A$4+45&gt;$B$4,"",$A$4+45)</f>
        <v>46068</v>
      </c>
      <c r="N4537" t="str">
        <f>IF(M4537="","",'Master Barang'!A31)</f>
        <v>PRL-030</v>
      </c>
      <c r="O4537" t="str">
        <f>IF(N4537="","",'Master Barang'!B31)</f>
        <v>klip plastik 25x16 100 pcs</v>
      </c>
      <c r="P4537">
        <f>IF(OR(M4537="",N4537=""),"",SUMIFS('Barang Keluar'!$E:$E,'Barang Keluar'!$A:$A,M4537,'Barang Keluar'!$C:$C,N4537))</f>
        <v>0</v>
      </c>
    </row>
    <row r="4538" spans="13:16">
      <c r="M4538" s="49">
        <f>IF($A$4+45&gt;$B$4,"",$A$4+45)</f>
        <v>46068</v>
      </c>
      <c r="N4538" t="str">
        <f>IF(M4538="","",'Master Barang'!A32)</f>
        <v>PRL-031</v>
      </c>
      <c r="O4538" t="str">
        <f>IF(N4538="","",'Master Barang'!B32)</f>
        <v>tempat saus 20 ml</v>
      </c>
      <c r="P4538">
        <f>IF(OR(M4538="",N4538=""),"",SUMIFS('Barang Keluar'!$E:$E,'Barang Keluar'!$A:$A,M4538,'Barang Keluar'!$C:$C,N4538))</f>
        <v>0</v>
      </c>
    </row>
    <row r="4539" spans="13:16">
      <c r="M4539" s="49">
        <f>IF($A$4+45&gt;$B$4,"",$A$4+45)</f>
        <v>46068</v>
      </c>
      <c r="N4539" t="str">
        <f>IF(M4539="","",'Master Barang'!A33)</f>
        <v>PRL-032</v>
      </c>
      <c r="O4539" t="str">
        <f>IF(N4539="","",'Master Barang'!B33)</f>
        <v>plastik packaging ag box uk sedang</v>
      </c>
      <c r="P4539">
        <f>IF(OR(M4539="",N4539=""),"",SUMIFS('Barang Keluar'!$E:$E,'Barang Keluar'!$A:$A,M4539,'Barang Keluar'!$C:$C,N4539))</f>
        <v>0</v>
      </c>
    </row>
    <row r="4540" spans="13:16">
      <c r="M4540" s="49">
        <f>IF($A$4+45&gt;$B$4,"",$A$4+45)</f>
        <v>46068</v>
      </c>
      <c r="N4540" t="str">
        <f>IF(M4540="","",'Master Barang'!A34)</f>
        <v>PRL-033</v>
      </c>
      <c r="O4540">
        <f>IF(N4540="","",'Master Barang'!B34)</f>
        <v>0</v>
      </c>
      <c r="P4540">
        <f>IF(OR(M4540="",N4540=""),"",SUMIFS('Barang Keluar'!$E:$E,'Barang Keluar'!$A:$A,M4540,'Barang Keluar'!$C:$C,N4540))</f>
        <v>0</v>
      </c>
    </row>
    <row r="4541" spans="13:16">
      <c r="M4541" s="49">
        <f>IF($A$4+45&gt;$B$4,"",$A$4+45)</f>
        <v>46068</v>
      </c>
      <c r="N4541">
        <f>IF(M4541="","",'Master Barang'!A35)</f>
        <v>0</v>
      </c>
      <c r="O4541">
        <f>IF(N4541="","",'Master Barang'!B35)</f>
        <v>0</v>
      </c>
      <c r="P4541">
        <f>IF(OR(M4541="",N4541=""),"",SUMIFS('Barang Keluar'!$E:$E,'Barang Keluar'!$A:$A,M4541,'Barang Keluar'!$C:$C,N4541))</f>
        <v>0</v>
      </c>
    </row>
    <row r="4542" spans="13:16">
      <c r="M4542" s="49">
        <f>IF($A$4+45&gt;$B$4,"",$A$4+45)</f>
        <v>46068</v>
      </c>
      <c r="N4542">
        <f>IF(M4542="","",'Master Barang'!A36)</f>
        <v>0</v>
      </c>
      <c r="O4542">
        <f>IF(N4542="","",'Master Barang'!B36)</f>
        <v>0</v>
      </c>
      <c r="P4542">
        <f>IF(OR(M4542="",N4542=""),"",SUMIFS('Barang Keluar'!$E:$E,'Barang Keluar'!$A:$A,M4542,'Barang Keluar'!$C:$C,N4542))</f>
        <v>0</v>
      </c>
    </row>
    <row r="4543" spans="13:16">
      <c r="M4543" s="49">
        <f>IF($A$4+45&gt;$B$4,"",$A$4+45)</f>
        <v>46068</v>
      </c>
      <c r="N4543">
        <f>IF(M4543="","",'Master Barang'!A37)</f>
        <v>0</v>
      </c>
      <c r="O4543">
        <f>IF(N4543="","",'Master Barang'!B37)</f>
        <v>0</v>
      </c>
      <c r="P4543">
        <f>IF(OR(M4543="",N4543=""),"",SUMIFS('Barang Keluar'!$E:$E,'Barang Keluar'!$A:$A,M4543,'Barang Keluar'!$C:$C,N4543))</f>
        <v>0</v>
      </c>
    </row>
    <row r="4544" spans="13:16">
      <c r="M4544" s="49">
        <f>IF($A$4+45&gt;$B$4,"",$A$4+45)</f>
        <v>46068</v>
      </c>
      <c r="N4544">
        <f>IF(M4544="","",'Master Barang'!A38)</f>
        <v>0</v>
      </c>
      <c r="O4544">
        <f>IF(N4544="","",'Master Barang'!B38)</f>
        <v>0</v>
      </c>
      <c r="P4544">
        <f>IF(OR(M4544="",N4544=""),"",SUMIFS('Barang Keluar'!$E:$E,'Barang Keluar'!$A:$A,M4544,'Barang Keluar'!$C:$C,N4544))</f>
        <v>0</v>
      </c>
    </row>
    <row r="4545" spans="13:16">
      <c r="M4545" s="49">
        <f>IF($A$4+45&gt;$B$4,"",$A$4+45)</f>
        <v>46068</v>
      </c>
      <c r="N4545">
        <f>IF(M4545="","",'Master Barang'!A39)</f>
        <v>0</v>
      </c>
      <c r="O4545">
        <f>IF(N4545="","",'Master Barang'!B39)</f>
        <v>0</v>
      </c>
      <c r="P4545">
        <f>IF(OR(M4545="",N4545=""),"",SUMIFS('Barang Keluar'!$E:$E,'Barang Keluar'!$A:$A,M4545,'Barang Keluar'!$C:$C,N4545))</f>
        <v>0</v>
      </c>
    </row>
    <row r="4546" spans="13:16">
      <c r="M4546" s="49">
        <f>IF($A$4+45&gt;$B$4,"",$A$4+45)</f>
        <v>46068</v>
      </c>
      <c r="N4546">
        <f>IF(M4546="","",'Master Barang'!A40)</f>
        <v>0</v>
      </c>
      <c r="O4546">
        <f>IF(N4546="","",'Master Barang'!B40)</f>
        <v>0</v>
      </c>
      <c r="P4546">
        <f>IF(OR(M4546="",N4546=""),"",SUMIFS('Barang Keluar'!$E:$E,'Barang Keluar'!$A:$A,M4546,'Barang Keluar'!$C:$C,N4546))</f>
        <v>0</v>
      </c>
    </row>
    <row r="4547" spans="13:16">
      <c r="M4547" s="49">
        <f>IF($A$4+45&gt;$B$4,"",$A$4+45)</f>
        <v>46068</v>
      </c>
      <c r="N4547">
        <f>IF(M4547="","",'Master Barang'!A41)</f>
        <v>0</v>
      </c>
      <c r="O4547">
        <f>IF(N4547="","",'Master Barang'!B41)</f>
        <v>0</v>
      </c>
      <c r="P4547">
        <f>IF(OR(M4547="",N4547=""),"",SUMIFS('Barang Keluar'!$E:$E,'Barang Keluar'!$A:$A,M4547,'Barang Keluar'!$C:$C,N4547))</f>
        <v>0</v>
      </c>
    </row>
    <row r="4548" spans="13:16">
      <c r="M4548" s="49">
        <f>IF($A$4+45&gt;$B$4,"",$A$4+45)</f>
        <v>46068</v>
      </c>
      <c r="N4548">
        <f>IF(M4548="","",'Master Barang'!A42)</f>
        <v>0</v>
      </c>
      <c r="O4548">
        <f>IF(N4548="","",'Master Barang'!B42)</f>
        <v>0</v>
      </c>
      <c r="P4548">
        <f>IF(OR(M4548="",N4548=""),"",SUMIFS('Barang Keluar'!$E:$E,'Barang Keluar'!$A:$A,M4548,'Barang Keluar'!$C:$C,N4548))</f>
        <v>0</v>
      </c>
    </row>
    <row r="4549" spans="13:16">
      <c r="M4549" s="49">
        <f>IF($A$4+45&gt;$B$4,"",$A$4+45)</f>
        <v>46068</v>
      </c>
      <c r="N4549">
        <f>IF(M4549="","",'Master Barang'!A43)</f>
        <v>0</v>
      </c>
      <c r="O4549">
        <f>IF(N4549="","",'Master Barang'!B43)</f>
        <v>0</v>
      </c>
      <c r="P4549">
        <f>IF(OR(M4549="",N4549=""),"",SUMIFS('Barang Keluar'!$E:$E,'Barang Keluar'!$A:$A,M4549,'Barang Keluar'!$C:$C,N4549))</f>
        <v>0</v>
      </c>
    </row>
    <row r="4550" spans="13:16">
      <c r="M4550" s="49">
        <f>IF($A$4+45&gt;$B$4,"",$A$4+45)</f>
        <v>46068</v>
      </c>
      <c r="N4550">
        <f>IF(M4550="","",'Master Barang'!A44)</f>
        <v>0</v>
      </c>
      <c r="O4550">
        <f>IF(N4550="","",'Master Barang'!B44)</f>
        <v>0</v>
      </c>
      <c r="P4550">
        <f>IF(OR(M4550="",N4550=""),"",SUMIFS('Barang Keluar'!$E:$E,'Barang Keluar'!$A:$A,M4550,'Barang Keluar'!$C:$C,N4550))</f>
        <v>0</v>
      </c>
    </row>
    <row r="4551" spans="13:16">
      <c r="M4551" s="49">
        <f>IF($A$4+45&gt;$B$4,"",$A$4+45)</f>
        <v>46068</v>
      </c>
      <c r="N4551">
        <f>IF(M4551="","",'Master Barang'!A45)</f>
        <v>0</v>
      </c>
      <c r="O4551">
        <f>IF(N4551="","",'Master Barang'!B45)</f>
        <v>0</v>
      </c>
      <c r="P4551">
        <f>IF(OR(M4551="",N4551=""),"",SUMIFS('Barang Keluar'!$E:$E,'Barang Keluar'!$A:$A,M4551,'Barang Keluar'!$C:$C,N4551))</f>
        <v>0</v>
      </c>
    </row>
    <row r="4552" spans="13:16">
      <c r="M4552" s="49">
        <f>IF($A$4+45&gt;$B$4,"",$A$4+45)</f>
        <v>46068</v>
      </c>
      <c r="N4552">
        <f>IF(M4552="","",'Master Barang'!A46)</f>
        <v>0</v>
      </c>
      <c r="O4552">
        <f>IF(N4552="","",'Master Barang'!B46)</f>
        <v>0</v>
      </c>
      <c r="P4552">
        <f>IF(OR(M4552="",N4552=""),"",SUMIFS('Barang Keluar'!$E:$E,'Barang Keluar'!$A:$A,M4552,'Barang Keluar'!$C:$C,N4552))</f>
        <v>0</v>
      </c>
    </row>
    <row r="4553" spans="13:16">
      <c r="M4553" s="49">
        <f>IF($A$4+45&gt;$B$4,"",$A$4+45)</f>
        <v>46068</v>
      </c>
      <c r="N4553">
        <f>IF(M4553="","",'Master Barang'!A47)</f>
        <v>0</v>
      </c>
      <c r="O4553">
        <f>IF(N4553="","",'Master Barang'!B47)</f>
        <v>0</v>
      </c>
      <c r="P4553">
        <f>IF(OR(M4553="",N4553=""),"",SUMIFS('Barang Keluar'!$E:$E,'Barang Keluar'!$A:$A,M4553,'Barang Keluar'!$C:$C,N4553))</f>
        <v>0</v>
      </c>
    </row>
    <row r="4554" spans="13:16">
      <c r="M4554" s="49">
        <f>IF($A$4+45&gt;$B$4,"",$A$4+45)</f>
        <v>46068</v>
      </c>
      <c r="N4554">
        <f>IF(M4554="","",'Master Barang'!A48)</f>
        <v>0</v>
      </c>
      <c r="O4554">
        <f>IF(N4554="","",'Master Barang'!B48)</f>
        <v>0</v>
      </c>
      <c r="P4554">
        <f>IF(OR(M4554="",N4554=""),"",SUMIFS('Barang Keluar'!$E:$E,'Barang Keluar'!$A:$A,M4554,'Barang Keluar'!$C:$C,N4554))</f>
        <v>0</v>
      </c>
    </row>
    <row r="4555" spans="13:16">
      <c r="M4555" s="49">
        <f>IF($A$4+45&gt;$B$4,"",$A$4+45)</f>
        <v>46068</v>
      </c>
      <c r="N4555">
        <f>IF(M4555="","",'Master Barang'!A49)</f>
        <v>0</v>
      </c>
      <c r="O4555">
        <f>IF(N4555="","",'Master Barang'!B49)</f>
        <v>0</v>
      </c>
      <c r="P4555">
        <f>IF(OR(M4555="",N4555=""),"",SUMIFS('Barang Keluar'!$E:$E,'Barang Keluar'!$A:$A,M4555,'Barang Keluar'!$C:$C,N4555))</f>
        <v>0</v>
      </c>
    </row>
    <row r="4556" spans="13:16">
      <c r="M4556" s="49">
        <f>IF($A$4+45&gt;$B$4,"",$A$4+45)</f>
        <v>46068</v>
      </c>
      <c r="N4556">
        <f>IF(M4556="","",'Master Barang'!A50)</f>
        <v>0</v>
      </c>
      <c r="O4556">
        <f>IF(N4556="","",'Master Barang'!B50)</f>
        <v>0</v>
      </c>
      <c r="P4556">
        <f>IF(OR(M4556="",N4556=""),"",SUMIFS('Barang Keluar'!$E:$E,'Barang Keluar'!$A:$A,M4556,'Barang Keluar'!$C:$C,N4556))</f>
        <v>0</v>
      </c>
    </row>
    <row r="4557" spans="13:16">
      <c r="M4557" s="49">
        <f>IF($A$4+45&gt;$B$4,"",$A$4+45)</f>
        <v>46068</v>
      </c>
      <c r="N4557">
        <f>IF(M4557="","",'Master Barang'!A51)</f>
        <v>0</v>
      </c>
      <c r="O4557">
        <f>IF(N4557="","",'Master Barang'!B51)</f>
        <v>0</v>
      </c>
      <c r="P4557">
        <f>IF(OR(M4557="",N4557=""),"",SUMIFS('Barang Keluar'!$E:$E,'Barang Keluar'!$A:$A,M4557,'Barang Keluar'!$C:$C,N4557))</f>
        <v>0</v>
      </c>
    </row>
    <row r="4558" spans="13:16">
      <c r="M4558" s="49">
        <f>IF($A$4+45&gt;$B$4,"",$A$4+45)</f>
        <v>46068</v>
      </c>
      <c r="N4558">
        <f>IF(M4558="","",'Master Barang'!A52)</f>
        <v>0</v>
      </c>
      <c r="O4558">
        <f>IF(N4558="","",'Master Barang'!B52)</f>
        <v>0</v>
      </c>
      <c r="P4558">
        <f>IF(OR(M4558="",N4558=""),"",SUMIFS('Barang Keluar'!$E:$E,'Barang Keluar'!$A:$A,M4558,'Barang Keluar'!$C:$C,N4558))</f>
        <v>0</v>
      </c>
    </row>
    <row r="4559" spans="13:16">
      <c r="M4559" s="49">
        <f>IF($A$4+45&gt;$B$4,"",$A$4+45)</f>
        <v>46068</v>
      </c>
      <c r="N4559">
        <f>IF(M4559="","",'Master Barang'!A53)</f>
        <v>0</v>
      </c>
      <c r="O4559">
        <f>IF(N4559="","",'Master Barang'!B53)</f>
        <v>0</v>
      </c>
      <c r="P4559">
        <f>IF(OR(M4559="",N4559=""),"",SUMIFS('Barang Keluar'!$E:$E,'Barang Keluar'!$A:$A,M4559,'Barang Keluar'!$C:$C,N4559))</f>
        <v>0</v>
      </c>
    </row>
    <row r="4560" spans="13:16">
      <c r="M4560" s="49">
        <f>IF($A$4+45&gt;$B$4,"",$A$4+45)</f>
        <v>46068</v>
      </c>
      <c r="N4560">
        <f>IF(M4560="","",'Master Barang'!A54)</f>
        <v>0</v>
      </c>
      <c r="O4560">
        <f>IF(N4560="","",'Master Barang'!B54)</f>
        <v>0</v>
      </c>
      <c r="P4560">
        <f>IF(OR(M4560="",N4560=""),"",SUMIFS('Barang Keluar'!$E:$E,'Barang Keluar'!$A:$A,M4560,'Barang Keluar'!$C:$C,N4560))</f>
        <v>0</v>
      </c>
    </row>
    <row r="4561" spans="13:16">
      <c r="M4561" s="49">
        <f>IF($A$4+45&gt;$B$4,"",$A$4+45)</f>
        <v>46068</v>
      </c>
      <c r="N4561">
        <f>IF(M4561="","",'Master Barang'!A55)</f>
        <v>0</v>
      </c>
      <c r="O4561">
        <f>IF(N4561="","",'Master Barang'!B55)</f>
        <v>0</v>
      </c>
      <c r="P4561">
        <f>IF(OR(M4561="",N4561=""),"",SUMIFS('Barang Keluar'!$E:$E,'Barang Keluar'!$A:$A,M4561,'Barang Keluar'!$C:$C,N4561))</f>
        <v>0</v>
      </c>
    </row>
    <row r="4562" spans="13:16">
      <c r="M4562" s="49">
        <f>IF($A$4+45&gt;$B$4,"",$A$4+45)</f>
        <v>46068</v>
      </c>
      <c r="N4562">
        <f>IF(M4562="","",'Master Barang'!A56)</f>
        <v>0</v>
      </c>
      <c r="O4562">
        <f>IF(N4562="","",'Master Barang'!B56)</f>
        <v>0</v>
      </c>
      <c r="P4562">
        <f>IF(OR(M4562="",N4562=""),"",SUMIFS('Barang Keluar'!$E:$E,'Barang Keluar'!$A:$A,M4562,'Barang Keluar'!$C:$C,N4562))</f>
        <v>0</v>
      </c>
    </row>
    <row r="4563" spans="13:16">
      <c r="M4563" s="49">
        <f>IF($A$4+45&gt;$B$4,"",$A$4+45)</f>
        <v>46068</v>
      </c>
      <c r="N4563">
        <f>IF(M4563="","",'Master Barang'!A57)</f>
        <v>0</v>
      </c>
      <c r="O4563">
        <f>IF(N4563="","",'Master Barang'!B57)</f>
        <v>0</v>
      </c>
      <c r="P4563">
        <f>IF(OR(M4563="",N4563=""),"",SUMIFS('Barang Keluar'!$E:$E,'Barang Keluar'!$A:$A,M4563,'Barang Keluar'!$C:$C,N4563))</f>
        <v>0</v>
      </c>
    </row>
    <row r="4564" spans="13:16">
      <c r="M4564" s="49">
        <f>IF($A$4+45&gt;$B$4,"",$A$4+45)</f>
        <v>46068</v>
      </c>
      <c r="N4564">
        <f>IF(M4564="","",'Master Barang'!A58)</f>
        <v>0</v>
      </c>
      <c r="O4564">
        <f>IF(N4564="","",'Master Barang'!B58)</f>
        <v>0</v>
      </c>
      <c r="P4564">
        <f>IF(OR(M4564="",N4564=""),"",SUMIFS('Barang Keluar'!$E:$E,'Barang Keluar'!$A:$A,M4564,'Barang Keluar'!$C:$C,N4564))</f>
        <v>0</v>
      </c>
    </row>
    <row r="4565" spans="13:16">
      <c r="M4565" s="49">
        <f>IF($A$4+45&gt;$B$4,"",$A$4+45)</f>
        <v>46068</v>
      </c>
      <c r="N4565">
        <f>IF(M4565="","",'Master Barang'!A59)</f>
        <v>0</v>
      </c>
      <c r="O4565">
        <f>IF(N4565="","",'Master Barang'!B59)</f>
        <v>0</v>
      </c>
      <c r="P4565">
        <f>IF(OR(M4565="",N4565=""),"",SUMIFS('Barang Keluar'!$E:$E,'Barang Keluar'!$A:$A,M4565,'Barang Keluar'!$C:$C,N4565))</f>
        <v>0</v>
      </c>
    </row>
    <row r="4566" spans="13:16">
      <c r="M4566" s="49">
        <f>IF($A$4+45&gt;$B$4,"",$A$4+45)</f>
        <v>46068</v>
      </c>
      <c r="N4566">
        <f>IF(M4566="","",'Master Barang'!A60)</f>
        <v>0</v>
      </c>
      <c r="O4566">
        <f>IF(N4566="","",'Master Barang'!B60)</f>
        <v>0</v>
      </c>
      <c r="P4566">
        <f>IF(OR(M4566="",N4566=""),"",SUMIFS('Barang Keluar'!$E:$E,'Barang Keluar'!$A:$A,M4566,'Barang Keluar'!$C:$C,N4566))</f>
        <v>0</v>
      </c>
    </row>
    <row r="4567" spans="13:16">
      <c r="M4567" s="49">
        <f>IF($A$4+45&gt;$B$4,"",$A$4+45)</f>
        <v>46068</v>
      </c>
      <c r="N4567">
        <f>IF(M4567="","",'Master Barang'!A61)</f>
        <v>0</v>
      </c>
      <c r="O4567">
        <f>IF(N4567="","",'Master Barang'!B61)</f>
        <v>0</v>
      </c>
      <c r="P4567">
        <f>IF(OR(M4567="",N4567=""),"",SUMIFS('Barang Keluar'!$E:$E,'Barang Keluar'!$A:$A,M4567,'Barang Keluar'!$C:$C,N4567))</f>
        <v>0</v>
      </c>
    </row>
    <row r="4568" spans="13:16">
      <c r="M4568" s="49">
        <f>IF($A$4+45&gt;$B$4,"",$A$4+45)</f>
        <v>46068</v>
      </c>
      <c r="N4568">
        <f>IF(M4568="","",'Master Barang'!A62)</f>
        <v>0</v>
      </c>
      <c r="O4568">
        <f>IF(N4568="","",'Master Barang'!B62)</f>
        <v>0</v>
      </c>
      <c r="P4568">
        <f>IF(OR(M4568="",N4568=""),"",SUMIFS('Barang Keluar'!$E:$E,'Barang Keluar'!$A:$A,M4568,'Barang Keluar'!$C:$C,N4568))</f>
        <v>0</v>
      </c>
    </row>
    <row r="4569" spans="13:16">
      <c r="M4569" s="49">
        <f>IF($A$4+45&gt;$B$4,"",$A$4+45)</f>
        <v>46068</v>
      </c>
      <c r="N4569">
        <f>IF(M4569="","",'Master Barang'!A63)</f>
        <v>0</v>
      </c>
      <c r="O4569">
        <f>IF(N4569="","",'Master Barang'!B63)</f>
        <v>0</v>
      </c>
      <c r="P4569">
        <f>IF(OR(M4569="",N4569=""),"",SUMIFS('Barang Keluar'!$E:$E,'Barang Keluar'!$A:$A,M4569,'Barang Keluar'!$C:$C,N4569))</f>
        <v>0</v>
      </c>
    </row>
    <row r="4570" spans="13:16">
      <c r="M4570" s="49">
        <f>IF($A$4+45&gt;$B$4,"",$A$4+45)</f>
        <v>46068</v>
      </c>
      <c r="N4570">
        <f>IF(M4570="","",'Master Barang'!A64)</f>
        <v>0</v>
      </c>
      <c r="O4570">
        <f>IF(N4570="","",'Master Barang'!B64)</f>
        <v>0</v>
      </c>
      <c r="P4570">
        <f>IF(OR(M4570="",N4570=""),"",SUMIFS('Barang Keluar'!$E:$E,'Barang Keluar'!$A:$A,M4570,'Barang Keluar'!$C:$C,N4570))</f>
        <v>0</v>
      </c>
    </row>
    <row r="4571" spans="13:16">
      <c r="M4571" s="49">
        <f>IF($A$4+45&gt;$B$4,"",$A$4+45)</f>
        <v>46068</v>
      </c>
      <c r="N4571">
        <f>IF(M4571="","",'Master Barang'!A65)</f>
        <v>0</v>
      </c>
      <c r="O4571">
        <f>IF(N4571="","",'Master Barang'!B65)</f>
        <v>0</v>
      </c>
      <c r="P4571">
        <f>IF(OR(M4571="",N4571=""),"",SUMIFS('Barang Keluar'!$E:$E,'Barang Keluar'!$A:$A,M4571,'Barang Keluar'!$C:$C,N4571))</f>
        <v>0</v>
      </c>
    </row>
    <row r="4572" spans="13:16">
      <c r="M4572" s="49">
        <f>IF($A$4+45&gt;$B$4,"",$A$4+45)</f>
        <v>46068</v>
      </c>
      <c r="N4572">
        <f>IF(M4572="","",'Master Barang'!A66)</f>
        <v>0</v>
      </c>
      <c r="O4572">
        <f>IF(N4572="","",'Master Barang'!B66)</f>
        <v>0</v>
      </c>
      <c r="P4572">
        <f>IF(OR(M4572="",N4572=""),"",SUMIFS('Barang Keluar'!$E:$E,'Barang Keluar'!$A:$A,M4572,'Barang Keluar'!$C:$C,N4572))</f>
        <v>0</v>
      </c>
    </row>
    <row r="4573" spans="13:16">
      <c r="M4573" s="49">
        <f>IF($A$4+45&gt;$B$4,"",$A$4+45)</f>
        <v>46068</v>
      </c>
      <c r="N4573">
        <f>IF(M4573="","",'Master Barang'!A67)</f>
        <v>0</v>
      </c>
      <c r="O4573">
        <f>IF(N4573="","",'Master Barang'!B67)</f>
        <v>0</v>
      </c>
      <c r="P4573">
        <f>IF(OR(M4573="",N4573=""),"",SUMIFS('Barang Keluar'!$E:$E,'Barang Keluar'!$A:$A,M4573,'Barang Keluar'!$C:$C,N4573))</f>
        <v>0</v>
      </c>
    </row>
    <row r="4574" spans="13:16">
      <c r="M4574" s="49">
        <f>IF($A$4+45&gt;$B$4,"",$A$4+45)</f>
        <v>46068</v>
      </c>
      <c r="N4574">
        <f>IF(M4574="","",'Master Barang'!A68)</f>
        <v>0</v>
      </c>
      <c r="O4574">
        <f>IF(N4574="","",'Master Barang'!B68)</f>
        <v>0</v>
      </c>
      <c r="P4574">
        <f>IF(OR(M4574="",N4574=""),"",SUMIFS('Barang Keluar'!$E:$E,'Barang Keluar'!$A:$A,M4574,'Barang Keluar'!$C:$C,N4574))</f>
        <v>0</v>
      </c>
    </row>
    <row r="4575" spans="13:16">
      <c r="M4575" s="49">
        <f>IF($A$4+45&gt;$B$4,"",$A$4+45)</f>
        <v>46068</v>
      </c>
      <c r="N4575">
        <f>IF(M4575="","",'Master Barang'!A69)</f>
        <v>0</v>
      </c>
      <c r="O4575">
        <f>IF(N4575="","",'Master Barang'!B69)</f>
        <v>0</v>
      </c>
      <c r="P4575">
        <f>IF(OR(M4575="",N4575=""),"",SUMIFS('Barang Keluar'!$E:$E,'Barang Keluar'!$A:$A,M4575,'Barang Keluar'!$C:$C,N4575))</f>
        <v>0</v>
      </c>
    </row>
    <row r="4576" spans="13:16">
      <c r="M4576" s="49">
        <f>IF($A$4+45&gt;$B$4,"",$A$4+45)</f>
        <v>46068</v>
      </c>
      <c r="N4576">
        <f>IF(M4576="","",'Master Barang'!A70)</f>
        <v>0</v>
      </c>
      <c r="O4576">
        <f>IF(N4576="","",'Master Barang'!B70)</f>
        <v>0</v>
      </c>
      <c r="P4576">
        <f>IF(OR(M4576="",N4576=""),"",SUMIFS('Barang Keluar'!$E:$E,'Barang Keluar'!$A:$A,M4576,'Barang Keluar'!$C:$C,N4576))</f>
        <v>0</v>
      </c>
    </row>
    <row r="4577" spans="13:16">
      <c r="M4577" s="49">
        <f>IF($A$4+45&gt;$B$4,"",$A$4+45)</f>
        <v>46068</v>
      </c>
      <c r="N4577">
        <f>IF(M4577="","",'Master Barang'!A71)</f>
        <v>0</v>
      </c>
      <c r="O4577">
        <f>IF(N4577="","",'Master Barang'!B71)</f>
        <v>0</v>
      </c>
      <c r="P4577">
        <f>IF(OR(M4577="",N4577=""),"",SUMIFS('Barang Keluar'!$E:$E,'Barang Keluar'!$A:$A,M4577,'Barang Keluar'!$C:$C,N4577))</f>
        <v>0</v>
      </c>
    </row>
    <row r="4578" spans="13:16">
      <c r="M4578" s="49">
        <f>IF($A$4+45&gt;$B$4,"",$A$4+45)</f>
        <v>46068</v>
      </c>
      <c r="N4578">
        <f>IF(M4578="","",'Master Barang'!A72)</f>
        <v>0</v>
      </c>
      <c r="O4578">
        <f>IF(N4578="","",'Master Barang'!B72)</f>
        <v>0</v>
      </c>
      <c r="P4578">
        <f>IF(OR(M4578="",N4578=""),"",SUMIFS('Barang Keluar'!$E:$E,'Barang Keluar'!$A:$A,M4578,'Barang Keluar'!$C:$C,N4578))</f>
        <v>0</v>
      </c>
    </row>
    <row r="4579" spans="13:16">
      <c r="M4579" s="49">
        <f>IF($A$4+45&gt;$B$4,"",$A$4+45)</f>
        <v>46068</v>
      </c>
      <c r="N4579">
        <f>IF(M4579="","",'Master Barang'!A73)</f>
        <v>0</v>
      </c>
      <c r="O4579">
        <f>IF(N4579="","",'Master Barang'!B73)</f>
        <v>0</v>
      </c>
      <c r="P4579">
        <f>IF(OR(M4579="",N4579=""),"",SUMIFS('Barang Keluar'!$E:$E,'Barang Keluar'!$A:$A,M4579,'Barang Keluar'!$C:$C,N4579))</f>
        <v>0</v>
      </c>
    </row>
    <row r="4580" spans="13:16">
      <c r="M4580" s="49">
        <f>IF($A$4+45&gt;$B$4,"",$A$4+45)</f>
        <v>46068</v>
      </c>
      <c r="N4580">
        <f>IF(M4580="","",'Master Barang'!A74)</f>
        <v>0</v>
      </c>
      <c r="O4580">
        <f>IF(N4580="","",'Master Barang'!B74)</f>
        <v>0</v>
      </c>
      <c r="P4580">
        <f>IF(OR(M4580="",N4580=""),"",SUMIFS('Barang Keluar'!$E:$E,'Barang Keluar'!$A:$A,M4580,'Barang Keluar'!$C:$C,N4580))</f>
        <v>0</v>
      </c>
    </row>
    <row r="4581" spans="13:16">
      <c r="M4581" s="49">
        <f>IF($A$4+45&gt;$B$4,"",$A$4+45)</f>
        <v>46068</v>
      </c>
      <c r="N4581">
        <f>IF(M4581="","",'Master Barang'!A75)</f>
        <v>0</v>
      </c>
      <c r="O4581">
        <f>IF(N4581="","",'Master Barang'!B75)</f>
        <v>0</v>
      </c>
      <c r="P4581">
        <f>IF(OR(M4581="",N4581=""),"",SUMIFS('Barang Keluar'!$E:$E,'Barang Keluar'!$A:$A,M4581,'Barang Keluar'!$C:$C,N4581))</f>
        <v>0</v>
      </c>
    </row>
    <row r="4582" spans="13:16">
      <c r="M4582" s="49">
        <f>IF($A$4+45&gt;$B$4,"",$A$4+45)</f>
        <v>46068</v>
      </c>
      <c r="N4582">
        <f>IF(M4582="","",'Master Barang'!A76)</f>
        <v>0</v>
      </c>
      <c r="O4582">
        <f>IF(N4582="","",'Master Barang'!B76)</f>
        <v>0</v>
      </c>
      <c r="P4582">
        <f>IF(OR(M4582="",N4582=""),"",SUMIFS('Barang Keluar'!$E:$E,'Barang Keluar'!$A:$A,M4582,'Barang Keluar'!$C:$C,N4582))</f>
        <v>0</v>
      </c>
    </row>
    <row r="4583" spans="13:16">
      <c r="M4583" s="49">
        <f>IF($A$4+45&gt;$B$4,"",$A$4+45)</f>
        <v>46068</v>
      </c>
      <c r="N4583">
        <f>IF(M4583="","",'Master Barang'!A77)</f>
        <v>0</v>
      </c>
      <c r="O4583">
        <f>IF(N4583="","",'Master Barang'!B77)</f>
        <v>0</v>
      </c>
      <c r="P4583">
        <f>IF(OR(M4583="",N4583=""),"",SUMIFS('Barang Keluar'!$E:$E,'Barang Keluar'!$A:$A,M4583,'Barang Keluar'!$C:$C,N4583))</f>
        <v>0</v>
      </c>
    </row>
    <row r="4584" spans="13:16">
      <c r="M4584" s="49">
        <f>IF($A$4+45&gt;$B$4,"",$A$4+45)</f>
        <v>46068</v>
      </c>
      <c r="N4584">
        <f>IF(M4584="","",'Master Barang'!A78)</f>
        <v>0</v>
      </c>
      <c r="O4584">
        <f>IF(N4584="","",'Master Barang'!B78)</f>
        <v>0</v>
      </c>
      <c r="P4584">
        <f>IF(OR(M4584="",N4584=""),"",SUMIFS('Barang Keluar'!$E:$E,'Barang Keluar'!$A:$A,M4584,'Barang Keluar'!$C:$C,N4584))</f>
        <v>0</v>
      </c>
    </row>
    <row r="4585" spans="13:16">
      <c r="M4585" s="49">
        <f>IF($A$4+45&gt;$B$4,"",$A$4+45)</f>
        <v>46068</v>
      </c>
      <c r="N4585">
        <f>IF(M4585="","",'Master Barang'!A79)</f>
        <v>0</v>
      </c>
      <c r="O4585">
        <f>IF(N4585="","",'Master Barang'!B79)</f>
        <v>0</v>
      </c>
      <c r="P4585">
        <f>IF(OR(M4585="",N4585=""),"",SUMIFS('Barang Keluar'!$E:$E,'Barang Keluar'!$A:$A,M4585,'Barang Keluar'!$C:$C,N4585))</f>
        <v>0</v>
      </c>
    </row>
    <row r="4586" spans="13:16">
      <c r="M4586" s="49">
        <f>IF($A$4+45&gt;$B$4,"",$A$4+45)</f>
        <v>46068</v>
      </c>
      <c r="N4586">
        <f>IF(M4586="","",'Master Barang'!A80)</f>
        <v>0</v>
      </c>
      <c r="O4586">
        <f>IF(N4586="","",'Master Barang'!B80)</f>
        <v>0</v>
      </c>
      <c r="P4586">
        <f>IF(OR(M4586="",N4586=""),"",SUMIFS('Barang Keluar'!$E:$E,'Barang Keluar'!$A:$A,M4586,'Barang Keluar'!$C:$C,N4586))</f>
        <v>0</v>
      </c>
    </row>
    <row r="4587" spans="13:16">
      <c r="M4587" s="49">
        <f>IF($A$4+45&gt;$B$4,"",$A$4+45)</f>
        <v>46068</v>
      </c>
      <c r="N4587">
        <f>IF(M4587="","",'Master Barang'!A81)</f>
        <v>0</v>
      </c>
      <c r="O4587">
        <f>IF(N4587="","",'Master Barang'!B81)</f>
        <v>0</v>
      </c>
      <c r="P4587">
        <f>IF(OR(M4587="",N4587=""),"",SUMIFS('Barang Keluar'!$E:$E,'Barang Keluar'!$A:$A,M4587,'Barang Keluar'!$C:$C,N4587))</f>
        <v>0</v>
      </c>
    </row>
    <row r="4588" spans="13:16">
      <c r="M4588" s="49">
        <f>IF($A$4+45&gt;$B$4,"",$A$4+45)</f>
        <v>46068</v>
      </c>
      <c r="N4588">
        <f>IF(M4588="","",'Master Barang'!A82)</f>
        <v>0</v>
      </c>
      <c r="O4588">
        <f>IF(N4588="","",'Master Barang'!B82)</f>
        <v>0</v>
      </c>
      <c r="P4588">
        <f>IF(OR(M4588="",N4588=""),"",SUMIFS('Barang Keluar'!$E:$E,'Barang Keluar'!$A:$A,M4588,'Barang Keluar'!$C:$C,N4588))</f>
        <v>0</v>
      </c>
    </row>
    <row r="4589" spans="13:16">
      <c r="M4589" s="49">
        <f>IF($A$4+45&gt;$B$4,"",$A$4+45)</f>
        <v>46068</v>
      </c>
      <c r="N4589">
        <f>IF(M4589="","",'Master Barang'!A83)</f>
        <v>0</v>
      </c>
      <c r="O4589">
        <f>IF(N4589="","",'Master Barang'!B83)</f>
        <v>0</v>
      </c>
      <c r="P4589">
        <f>IF(OR(M4589="",N4589=""),"",SUMIFS('Barang Keluar'!$E:$E,'Barang Keluar'!$A:$A,M4589,'Barang Keluar'!$C:$C,N4589))</f>
        <v>0</v>
      </c>
    </row>
    <row r="4590" spans="13:16">
      <c r="M4590" s="49">
        <f>IF($A$4+45&gt;$B$4,"",$A$4+45)</f>
        <v>46068</v>
      </c>
      <c r="N4590">
        <f>IF(M4590="","",'Master Barang'!A84)</f>
        <v>0</v>
      </c>
      <c r="O4590">
        <f>IF(N4590="","",'Master Barang'!B84)</f>
        <v>0</v>
      </c>
      <c r="P4590">
        <f>IF(OR(M4590="",N4590=""),"",SUMIFS('Barang Keluar'!$E:$E,'Barang Keluar'!$A:$A,M4590,'Barang Keluar'!$C:$C,N4590))</f>
        <v>0</v>
      </c>
    </row>
    <row r="4591" spans="13:16">
      <c r="M4591" s="49">
        <f>IF($A$4+45&gt;$B$4,"",$A$4+45)</f>
        <v>46068</v>
      </c>
      <c r="N4591">
        <f>IF(M4591="","",'Master Barang'!A85)</f>
        <v>0</v>
      </c>
      <c r="O4591">
        <f>IF(N4591="","",'Master Barang'!B85)</f>
        <v>0</v>
      </c>
      <c r="P4591">
        <f>IF(OR(M4591="",N4591=""),"",SUMIFS('Barang Keluar'!$E:$E,'Barang Keluar'!$A:$A,M4591,'Barang Keluar'!$C:$C,N4591))</f>
        <v>0</v>
      </c>
    </row>
    <row r="4592" spans="13:16">
      <c r="M4592" s="49">
        <f>IF($A$4+45&gt;$B$4,"",$A$4+45)</f>
        <v>46068</v>
      </c>
      <c r="N4592">
        <f>IF(M4592="","",'Master Barang'!A86)</f>
        <v>0</v>
      </c>
      <c r="O4592">
        <f>IF(N4592="","",'Master Barang'!B86)</f>
        <v>0</v>
      </c>
      <c r="P4592">
        <f>IF(OR(M4592="",N4592=""),"",SUMIFS('Barang Keluar'!$E:$E,'Barang Keluar'!$A:$A,M4592,'Barang Keluar'!$C:$C,N4592))</f>
        <v>0</v>
      </c>
    </row>
    <row r="4593" spans="13:16">
      <c r="M4593" s="49">
        <f>IF($A$4+45&gt;$B$4,"",$A$4+45)</f>
        <v>46068</v>
      </c>
      <c r="N4593">
        <f>IF(M4593="","",'Master Barang'!A87)</f>
        <v>0</v>
      </c>
      <c r="O4593">
        <f>IF(N4593="","",'Master Barang'!B87)</f>
        <v>0</v>
      </c>
      <c r="P4593">
        <f>IF(OR(M4593="",N4593=""),"",SUMIFS('Barang Keluar'!$E:$E,'Barang Keluar'!$A:$A,M4593,'Barang Keluar'!$C:$C,N4593))</f>
        <v>0</v>
      </c>
    </row>
    <row r="4594" spans="13:16">
      <c r="M4594" s="49">
        <f>IF($A$4+45&gt;$B$4,"",$A$4+45)</f>
        <v>46068</v>
      </c>
      <c r="N4594">
        <f>IF(M4594="","",'Master Barang'!A88)</f>
        <v>0</v>
      </c>
      <c r="O4594">
        <f>IF(N4594="","",'Master Barang'!B88)</f>
        <v>0</v>
      </c>
      <c r="P4594">
        <f>IF(OR(M4594="",N4594=""),"",SUMIFS('Barang Keluar'!$E:$E,'Barang Keluar'!$A:$A,M4594,'Barang Keluar'!$C:$C,N4594))</f>
        <v>0</v>
      </c>
    </row>
    <row r="4595" spans="13:16">
      <c r="M4595" s="49">
        <f>IF($A$4+45&gt;$B$4,"",$A$4+45)</f>
        <v>46068</v>
      </c>
      <c r="N4595">
        <f>IF(M4595="","",'Master Barang'!A89)</f>
        <v>0</v>
      </c>
      <c r="O4595">
        <f>IF(N4595="","",'Master Barang'!B89)</f>
        <v>0</v>
      </c>
      <c r="P4595">
        <f>IF(OR(M4595="",N4595=""),"",SUMIFS('Barang Keluar'!$E:$E,'Barang Keluar'!$A:$A,M4595,'Barang Keluar'!$C:$C,N4595))</f>
        <v>0</v>
      </c>
    </row>
    <row r="4596" spans="13:16">
      <c r="M4596" s="49">
        <f>IF($A$4+45&gt;$B$4,"",$A$4+45)</f>
        <v>46068</v>
      </c>
      <c r="N4596">
        <f>IF(M4596="","",'Master Barang'!A90)</f>
        <v>0</v>
      </c>
      <c r="O4596">
        <f>IF(N4596="","",'Master Barang'!B90)</f>
        <v>0</v>
      </c>
      <c r="P4596">
        <f>IF(OR(M4596="",N4596=""),"",SUMIFS('Barang Keluar'!$E:$E,'Barang Keluar'!$A:$A,M4596,'Barang Keluar'!$C:$C,N4596))</f>
        <v>0</v>
      </c>
    </row>
    <row r="4597" spans="13:16">
      <c r="M4597" s="49">
        <f>IF($A$4+45&gt;$B$4,"",$A$4+45)</f>
        <v>46068</v>
      </c>
      <c r="N4597">
        <f>IF(M4597="","",'Master Barang'!A91)</f>
        <v>0</v>
      </c>
      <c r="O4597">
        <f>IF(N4597="","",'Master Barang'!B91)</f>
        <v>0</v>
      </c>
      <c r="P4597">
        <f>IF(OR(M4597="",N4597=""),"",SUMIFS('Barang Keluar'!$E:$E,'Barang Keluar'!$A:$A,M4597,'Barang Keluar'!$C:$C,N4597))</f>
        <v>0</v>
      </c>
    </row>
    <row r="4598" spans="13:16">
      <c r="M4598" s="49">
        <f>IF($A$4+45&gt;$B$4,"",$A$4+45)</f>
        <v>46068</v>
      </c>
      <c r="N4598">
        <f>IF(M4598="","",'Master Barang'!A92)</f>
        <v>0</v>
      </c>
      <c r="O4598">
        <f>IF(N4598="","",'Master Barang'!B92)</f>
        <v>0</v>
      </c>
      <c r="P4598">
        <f>IF(OR(M4598="",N4598=""),"",SUMIFS('Barang Keluar'!$E:$E,'Barang Keluar'!$A:$A,M4598,'Barang Keluar'!$C:$C,N4598))</f>
        <v>0</v>
      </c>
    </row>
    <row r="4599" spans="13:16">
      <c r="M4599" s="49">
        <f>IF($A$4+45&gt;$B$4,"",$A$4+45)</f>
        <v>46068</v>
      </c>
      <c r="N4599">
        <f>IF(M4599="","",'Master Barang'!A93)</f>
        <v>0</v>
      </c>
      <c r="O4599">
        <f>IF(N4599="","",'Master Barang'!B93)</f>
        <v>0</v>
      </c>
      <c r="P4599">
        <f>IF(OR(M4599="",N4599=""),"",SUMIFS('Barang Keluar'!$E:$E,'Barang Keluar'!$A:$A,M4599,'Barang Keluar'!$C:$C,N4599))</f>
        <v>0</v>
      </c>
    </row>
    <row r="4600" spans="13:16">
      <c r="M4600" s="49">
        <f>IF($A$4+45&gt;$B$4,"",$A$4+45)</f>
        <v>46068</v>
      </c>
      <c r="N4600">
        <f>IF(M4600="","",'Master Barang'!A94)</f>
        <v>0</v>
      </c>
      <c r="O4600">
        <f>IF(N4600="","",'Master Barang'!B94)</f>
        <v>0</v>
      </c>
      <c r="P4600">
        <f>IF(OR(M4600="",N4600=""),"",SUMIFS('Barang Keluar'!$E:$E,'Barang Keluar'!$A:$A,M4600,'Barang Keluar'!$C:$C,N4600))</f>
        <v>0</v>
      </c>
    </row>
    <row r="4601" spans="13:16">
      <c r="M4601" s="49">
        <f>IF($A$4+45&gt;$B$4,"",$A$4+45)</f>
        <v>46068</v>
      </c>
      <c r="N4601">
        <f>IF(M4601="","",'Master Barang'!A95)</f>
        <v>0</v>
      </c>
      <c r="O4601">
        <f>IF(N4601="","",'Master Barang'!B95)</f>
        <v>0</v>
      </c>
      <c r="P4601">
        <f>IF(OR(M4601="",N4601=""),"",SUMIFS('Barang Keluar'!$E:$E,'Barang Keluar'!$A:$A,M4601,'Barang Keluar'!$C:$C,N4601))</f>
        <v>0</v>
      </c>
    </row>
    <row r="4602" spans="13:16">
      <c r="M4602" s="49">
        <f>IF($A$4+45&gt;$B$4,"",$A$4+45)</f>
        <v>46068</v>
      </c>
      <c r="N4602">
        <f>IF(M4602="","",'Master Barang'!A96)</f>
        <v>0</v>
      </c>
      <c r="O4602">
        <f>IF(N4602="","",'Master Barang'!B96)</f>
        <v>0</v>
      </c>
      <c r="P4602">
        <f>IF(OR(M4602="",N4602=""),"",SUMIFS('Barang Keluar'!$E:$E,'Barang Keluar'!$A:$A,M4602,'Barang Keluar'!$C:$C,N4602))</f>
        <v>0</v>
      </c>
    </row>
    <row r="4603" spans="13:16">
      <c r="M4603" s="49">
        <f>IF($A$4+45&gt;$B$4,"",$A$4+45)</f>
        <v>46068</v>
      </c>
      <c r="N4603">
        <f>IF(M4603="","",'Master Barang'!A97)</f>
        <v>0</v>
      </c>
      <c r="O4603">
        <f>IF(N4603="","",'Master Barang'!B97)</f>
        <v>0</v>
      </c>
      <c r="P4603">
        <f>IF(OR(M4603="",N4603=""),"",SUMIFS('Barang Keluar'!$E:$E,'Barang Keluar'!$A:$A,M4603,'Barang Keluar'!$C:$C,N4603))</f>
        <v>0</v>
      </c>
    </row>
    <row r="4604" spans="13:16">
      <c r="M4604" s="49">
        <f>IF($A$4+45&gt;$B$4,"",$A$4+45)</f>
        <v>46068</v>
      </c>
      <c r="N4604">
        <f>IF(M4604="","",'Master Barang'!A98)</f>
        <v>0</v>
      </c>
      <c r="O4604">
        <f>IF(N4604="","",'Master Barang'!B98)</f>
        <v>0</v>
      </c>
      <c r="P4604">
        <f>IF(OR(M4604="",N4604=""),"",SUMIFS('Barang Keluar'!$E:$E,'Barang Keluar'!$A:$A,M4604,'Barang Keluar'!$C:$C,N4604))</f>
        <v>0</v>
      </c>
    </row>
    <row r="4605" spans="13:16">
      <c r="M4605" s="49">
        <f>IF($A$4+45&gt;$B$4,"",$A$4+45)</f>
        <v>46068</v>
      </c>
      <c r="N4605">
        <f>IF(M4605="","",'Master Barang'!A99)</f>
        <v>0</v>
      </c>
      <c r="O4605">
        <f>IF(N4605="","",'Master Barang'!B99)</f>
        <v>0</v>
      </c>
      <c r="P4605">
        <f>IF(OR(M4605="",N4605=""),"",SUMIFS('Barang Keluar'!$E:$E,'Barang Keluar'!$A:$A,M4605,'Barang Keluar'!$C:$C,N4605))</f>
        <v>0</v>
      </c>
    </row>
    <row r="4606" spans="13:16">
      <c r="M4606" s="49">
        <f>IF($A$4+45&gt;$B$4,"",$A$4+45)</f>
        <v>46068</v>
      </c>
      <c r="N4606">
        <f>IF(M4606="","",'Master Barang'!A100)</f>
        <v>0</v>
      </c>
      <c r="O4606">
        <f>IF(N4606="","",'Master Barang'!B100)</f>
        <v>0</v>
      </c>
      <c r="P4606">
        <f>IF(OR(M4606="",N4606=""),"",SUMIFS('Barang Keluar'!$E:$E,'Barang Keluar'!$A:$A,M4606,'Barang Keluar'!$C:$C,N4606))</f>
        <v>0</v>
      </c>
    </row>
    <row r="4607" spans="13:16">
      <c r="M4607" s="49">
        <f>IF($A$4+45&gt;$B$4,"",$A$4+45)</f>
        <v>46068</v>
      </c>
      <c r="N4607">
        <f>IF(M4607="","",'Master Barang'!A101)</f>
        <v>0</v>
      </c>
      <c r="O4607">
        <f>IF(N4607="","",'Master Barang'!B101)</f>
        <v>0</v>
      </c>
      <c r="P4607">
        <f>IF(OR(M4607="",N4607=""),"",SUMIFS('Barang Keluar'!$E:$E,'Barang Keluar'!$A:$A,M4607,'Barang Keluar'!$C:$C,N4607))</f>
        <v>0</v>
      </c>
    </row>
    <row r="4608" spans="13:16">
      <c r="M4608" s="49">
        <f>IF($A$4+46&gt;$B$4,"",$A$4+46)</f>
        <v>46069</v>
      </c>
      <c r="N4608" t="str">
        <f>IF(M4608="","",'Master Barang'!A2)</f>
        <v>PRL-001</v>
      </c>
      <c r="O4608" t="str">
        <f>IF(N4608="","",'Master Barang'!B2)</f>
        <v>natura desinfectant food grade 5l</v>
      </c>
      <c r="P4608">
        <f>IF(OR(M4608="",N4608=""),"",SUMIFS('Barang Keluar'!$E:$E,'Barang Keluar'!$A:$A,M4608,'Barang Keluar'!$C:$C,N4608))</f>
        <v>0</v>
      </c>
    </row>
    <row r="4609" spans="13:16">
      <c r="M4609" s="49">
        <f>IF($A$4+46&gt;$B$4,"",$A$4+46)</f>
        <v>46069</v>
      </c>
      <c r="N4609" t="str">
        <f>IF(M4609="","",'Master Barang'!A3)</f>
        <v>PRL-002</v>
      </c>
      <c r="O4609" t="str">
        <f>IF(N4609="","",'Master Barang'!B3)</f>
        <v>sunlight cairan pencuci piring 5l</v>
      </c>
      <c r="P4609">
        <f>IF(OR(M4609="",N4609=""),"",SUMIFS('Barang Keluar'!$E:$E,'Barang Keluar'!$A:$A,M4609,'Barang Keluar'!$C:$C,N4609))</f>
        <v>0</v>
      </c>
    </row>
    <row r="4610" spans="13:16">
      <c r="M4610" s="49">
        <f>IF($A$4+46&gt;$B$4,"",$A$4+46)</f>
        <v>46069</v>
      </c>
      <c r="N4610" t="str">
        <f>IF(M4610="","",'Master Barang'!A4)</f>
        <v>PRL-003</v>
      </c>
      <c r="O4610" t="str">
        <f>IF(N4610="","",'Master Barang'!B4)</f>
        <v>oixs cleaner 1l</v>
      </c>
      <c r="P4610">
        <f>IF(OR(M4610="",N4610=""),"",SUMIFS('Barang Keluar'!$E:$E,'Barang Keluar'!$A:$A,M4610,'Barang Keluar'!$C:$C,N4610))</f>
        <v>0</v>
      </c>
    </row>
    <row r="4611" spans="13:16">
      <c r="M4611" s="49">
        <f>IF($A$4+46&gt;$B$4,"",$A$4+46)</f>
        <v>46069</v>
      </c>
      <c r="N4611" t="str">
        <f>IF(M4611="","",'Master Barang'!A5)</f>
        <v>PRL-004</v>
      </c>
      <c r="O4611" t="str">
        <f>IF(N4611="","",'Master Barang'!B5)</f>
        <v>be clean tissue serbaguna</v>
      </c>
      <c r="P4611">
        <f>IF(OR(M4611="",N4611=""),"",SUMIFS('Barang Keluar'!$E:$E,'Barang Keluar'!$A:$A,M4611,'Barang Keluar'!$C:$C,N4611))</f>
        <v>0</v>
      </c>
    </row>
    <row r="4612" spans="13:16">
      <c r="M4612" s="49">
        <f>IF($A$4+46&gt;$B$4,"",$A$4+46)</f>
        <v>46069</v>
      </c>
      <c r="N4612" t="str">
        <f>IF(M4612="","",'Master Barang'!A6)</f>
        <v>PRL-005</v>
      </c>
      <c r="O4612" t="str">
        <f>IF(N4612="","",'Master Barang'!B6)</f>
        <v>spons cuci hijau</v>
      </c>
      <c r="P4612">
        <f>IF(OR(M4612="",N4612=""),"",SUMIFS('Barang Keluar'!$E:$E,'Barang Keluar'!$A:$A,M4612,'Barang Keluar'!$C:$C,N4612))</f>
        <v>0</v>
      </c>
    </row>
    <row r="4613" spans="13:16">
      <c r="M4613" s="49">
        <f>IF($A$4+46&gt;$B$4,"",$A$4+46)</f>
        <v>46069</v>
      </c>
      <c r="N4613" t="str">
        <f>IF(M4613="","",'Master Barang'!A7)</f>
        <v>PRL-006</v>
      </c>
      <c r="O4613" t="str">
        <f>IF(N4613="","",'Master Barang'!B7)</f>
        <v>sabut cuci stainless</v>
      </c>
      <c r="P4613">
        <f>IF(OR(M4613="",N4613=""),"",SUMIFS('Barang Keluar'!$E:$E,'Barang Keluar'!$A:$A,M4613,'Barang Keluar'!$C:$C,N4613))</f>
        <v>0</v>
      </c>
    </row>
    <row r="4614" spans="13:16">
      <c r="M4614" s="49">
        <f>IF($A$4+46&gt;$B$4,"",$A$4+46)</f>
        <v>46069</v>
      </c>
      <c r="N4614" t="str">
        <f>IF(M4614="","",'Master Barang'!A8)</f>
        <v>PRL-007</v>
      </c>
      <c r="O4614" t="str">
        <f>IF(N4614="","",'Master Barang'!B8)</f>
        <v>plastik kresek besar merah 50pc</v>
      </c>
      <c r="P4614">
        <f>IF(OR(M4614="",N4614=""),"",SUMIFS('Barang Keluar'!$E:$E,'Barang Keluar'!$A:$A,M4614,'Barang Keluar'!$C:$C,N4614))</f>
        <v>0</v>
      </c>
    </row>
    <row r="4615" spans="13:16">
      <c r="M4615" s="49">
        <f>IF($A$4+46&gt;$B$4,"",$A$4+46)</f>
        <v>46069</v>
      </c>
      <c r="N4615" t="str">
        <f>IF(M4615="","",'Master Barang'!A9)</f>
        <v>PRL-008</v>
      </c>
      <c r="O4615" t="str">
        <f>IF(N4615="","",'Master Barang'!B9)</f>
        <v>lap besar</v>
      </c>
      <c r="P4615">
        <f>IF(OR(M4615="",N4615=""),"",SUMIFS('Barang Keluar'!$E:$E,'Barang Keluar'!$A:$A,M4615,'Barang Keluar'!$C:$C,N4615))</f>
        <v>0</v>
      </c>
    </row>
    <row r="4616" spans="13:16">
      <c r="M4616" s="49">
        <f>IF($A$4+46&gt;$B$4,"",$A$4+46)</f>
        <v>46069</v>
      </c>
      <c r="N4616" t="str">
        <f>IF(M4616="","",'Master Barang'!A10)</f>
        <v>PRL-009</v>
      </c>
      <c r="O4616" t="str">
        <f>IF(N4616="","",'Master Barang'!B10)</f>
        <v>lap microfiber</v>
      </c>
      <c r="P4616">
        <f>IF(OR(M4616="",N4616=""),"",SUMIFS('Barang Keluar'!$E:$E,'Barang Keluar'!$A:$A,M4616,'Barang Keluar'!$C:$C,N4616))</f>
        <v>0</v>
      </c>
    </row>
    <row r="4617" spans="13:16">
      <c r="M4617" s="49">
        <f>IF($A$4+46&gt;$B$4,"",$A$4+46)</f>
        <v>46069</v>
      </c>
      <c r="N4617" t="str">
        <f>IF(M4617="","",'Master Barang'!A11)</f>
        <v>PRL-010</v>
      </c>
      <c r="O4617" t="str">
        <f>IF(N4617="","",'Master Barang'!B11)</f>
        <v>lap kecil</v>
      </c>
      <c r="P4617">
        <f>IF(OR(M4617="",N4617=""),"",SUMIFS('Barang Keluar'!$E:$E,'Barang Keluar'!$A:$A,M4617,'Barang Keluar'!$C:$C,N4617))</f>
        <v>0</v>
      </c>
    </row>
    <row r="4618" spans="13:16">
      <c r="M4618" s="49">
        <f>IF($A$4+46&gt;$B$4,"",$A$4+46)</f>
        <v>46069</v>
      </c>
      <c r="N4618" t="str">
        <f>IF(M4618="","",'Master Barang'!A12)</f>
        <v>PRL-011</v>
      </c>
      <c r="O4618" t="str">
        <f>IF(N4618="","",'Master Barang'!B12)</f>
        <v>kanebo kecil</v>
      </c>
      <c r="P4618">
        <f>IF(OR(M4618="",N4618=""),"",SUMIFS('Barang Keluar'!$E:$E,'Barang Keluar'!$A:$A,M4618,'Barang Keluar'!$C:$C,N4618))</f>
        <v>0</v>
      </c>
    </row>
    <row r="4619" spans="13:16">
      <c r="M4619" s="49">
        <f>IF($A$4+46&gt;$B$4,"",$A$4+46)</f>
        <v>46069</v>
      </c>
      <c r="N4619" t="str">
        <f>IF(M4619="","",'Master Barang'!A13)</f>
        <v>PRL-012</v>
      </c>
      <c r="O4619" t="str">
        <f>IF(N4619="","",'Master Barang'!B13)</f>
        <v>plastik 1/4kg joyoboyo 100 lembar</v>
      </c>
      <c r="P4619">
        <f>IF(OR(M4619="",N4619=""),"",SUMIFS('Barang Keluar'!$E:$E,'Barang Keluar'!$A:$A,M4619,'Barang Keluar'!$C:$C,N4619))</f>
        <v>0</v>
      </c>
    </row>
    <row r="4620" spans="13:16">
      <c r="M4620" s="49">
        <f>IF($A$4+46&gt;$B$4,"",$A$4+46)</f>
        <v>46069</v>
      </c>
      <c r="N4620" t="str">
        <f>IF(M4620="","",'Master Barang'!A14)</f>
        <v>PRL-013</v>
      </c>
      <c r="O4620" t="str">
        <f>IF(N4620="","",'Master Barang'!B14)</f>
        <v>sarung tangan plastik kaka 100 pcs</v>
      </c>
      <c r="P4620">
        <f>IF(OR(M4620="",N4620=""),"",SUMIFS('Barang Keluar'!$E:$E,'Barang Keluar'!$A:$A,M4620,'Barang Keluar'!$C:$C,N4620))</f>
        <v>0</v>
      </c>
    </row>
    <row r="4621" spans="13:16">
      <c r="M4621" s="49">
        <f>IF($A$4+46&gt;$B$4,"",$A$4+46)</f>
        <v>46069</v>
      </c>
      <c r="N4621" t="str">
        <f>IF(M4621="","",'Master Barang'!A15)</f>
        <v>PRL-014</v>
      </c>
      <c r="O4621" t="str">
        <f>IF(N4621="","",'Master Barang'!B15)</f>
        <v>optima trashbag 80x100</v>
      </c>
      <c r="P4621">
        <f>IF(OR(M4621="",N4621=""),"",SUMIFS('Barang Keluar'!$E:$E,'Barang Keluar'!$A:$A,M4621,'Barang Keluar'!$C:$C,N4621))</f>
        <v>0</v>
      </c>
    </row>
    <row r="4622" spans="13:16">
      <c r="M4622" s="49">
        <f>IF($A$4+46&gt;$B$4,"",$A$4+46)</f>
        <v>46069</v>
      </c>
      <c r="N4622" t="str">
        <f>IF(M4622="","",'Master Barang'!A16)</f>
        <v>PRL-015</v>
      </c>
      <c r="O4622" t="str">
        <f>IF(N4622="","",'Master Barang'!B16)</f>
        <v>optima trashbag 60x100</v>
      </c>
      <c r="P4622">
        <f>IF(OR(M4622="",N4622=""),"",SUMIFS('Barang Keluar'!$E:$E,'Barang Keluar'!$A:$A,M4622,'Barang Keluar'!$C:$C,N4622))</f>
        <v>0</v>
      </c>
    </row>
    <row r="4623" spans="13:16">
      <c r="M4623" s="49">
        <f>IF($A$4+46&gt;$B$4,"",$A$4+46)</f>
        <v>46069</v>
      </c>
      <c r="N4623" t="str">
        <f>IF(M4623="","",'Master Barang'!A17)</f>
        <v>PRL-016</v>
      </c>
      <c r="O4623" t="str">
        <f>IF(N4623="","",'Master Barang'!B17)</f>
        <v>rajawali trashbag 30x40</v>
      </c>
      <c r="P4623">
        <f>IF(OR(M4623="",N4623=""),"",SUMIFS('Barang Keluar'!$E:$E,'Barang Keluar'!$A:$A,M4623,'Barang Keluar'!$C:$C,N4623))</f>
        <v>0</v>
      </c>
    </row>
    <row r="4624" spans="13:16">
      <c r="M4624" s="49">
        <f>IF($A$4+46&gt;$B$4,"",$A$4+46)</f>
        <v>46069</v>
      </c>
      <c r="N4624" t="str">
        <f>IF(M4624="","",'Master Barang'!A18)</f>
        <v>PRL-017</v>
      </c>
      <c r="O4624" t="str">
        <f>IF(N4624="","",'Master Barang'!B18)</f>
        <v>onemed masker biru 3 play 50 pcs</v>
      </c>
      <c r="P4624">
        <f>IF(OR(M4624="",N4624=""),"",SUMIFS('Barang Keluar'!$E:$E,'Barang Keluar'!$A:$A,M4624,'Barang Keluar'!$C:$C,N4624))</f>
        <v>0</v>
      </c>
    </row>
    <row r="4625" spans="13:16">
      <c r="M4625" s="49">
        <f>IF($A$4+46&gt;$B$4,"",$A$4+46)</f>
        <v>46069</v>
      </c>
      <c r="N4625" t="str">
        <f>IF(M4625="","",'Master Barang'!A19)</f>
        <v>PRL-018</v>
      </c>
      <c r="O4625" t="str">
        <f>IF(N4625="","",'Master Barang'!B19)</f>
        <v>onemed masker biru 3 play hijab 50 pcs</v>
      </c>
      <c r="P4625">
        <f>IF(OR(M4625="",N4625=""),"",SUMIFS('Barang Keluar'!$E:$E,'Barang Keluar'!$A:$A,M4625,'Barang Keluar'!$C:$C,N4625))</f>
        <v>0</v>
      </c>
    </row>
    <row r="4626" spans="13:16">
      <c r="M4626" s="49">
        <f>IF($A$4+46&gt;$B$4,"",$A$4+46)</f>
        <v>46069</v>
      </c>
      <c r="N4626" t="str">
        <f>IF(M4626="","",'Master Barang'!A20)</f>
        <v>PRL-019</v>
      </c>
      <c r="O4626" t="str">
        <f>IF(N4626="","",'Master Barang'!B20)</f>
        <v>neo health masker biru 3 play 50 pcs</v>
      </c>
      <c r="P4626">
        <f>IF(OR(M4626="",N4626=""),"",SUMIFS('Barang Keluar'!$E:$E,'Barang Keluar'!$A:$A,M4626,'Barang Keluar'!$C:$C,N4626))</f>
        <v>0</v>
      </c>
    </row>
    <row r="4627" spans="13:16">
      <c r="M4627" s="49">
        <f>IF($A$4+46&gt;$B$4,"",$A$4+46)</f>
        <v>46069</v>
      </c>
      <c r="N4627" t="str">
        <f>IF(M4627="","",'Master Barang'!A21)</f>
        <v>PRL-020</v>
      </c>
      <c r="O4627" t="str">
        <f>IF(N4627="","",'Master Barang'!B21)</f>
        <v>baymed masker hijau 3 play hijau 50 pcs</v>
      </c>
      <c r="P4627">
        <f>IF(OR(M4627="",N4627=""),"",SUMIFS('Barang Keluar'!$E:$E,'Barang Keluar'!$A:$A,M4627,'Barang Keluar'!$C:$C,N4627))</f>
        <v>0</v>
      </c>
    </row>
    <row r="4628" spans="13:16">
      <c r="M4628" s="49">
        <f>IF($A$4+46&gt;$B$4,"",$A$4+46)</f>
        <v>46069</v>
      </c>
      <c r="N4628" t="str">
        <f>IF(M4628="","",'Master Barang'!A22)</f>
        <v>PRL-021</v>
      </c>
      <c r="O4628" t="str">
        <f>IF(N4628="","",'Master Barang'!B22)</f>
        <v>altamed nurse cap penutup kepala 100 pcs</v>
      </c>
      <c r="P4628">
        <f>IF(OR(M4628="",N4628=""),"",SUMIFS('Barang Keluar'!$E:$E,'Barang Keluar'!$A:$A,M4628,'Barang Keluar'!$C:$C,N4628))</f>
        <v>0</v>
      </c>
    </row>
    <row r="4629" spans="13:16">
      <c r="M4629" s="49">
        <f>IF($A$4+46&gt;$B$4,"",$A$4+46)</f>
        <v>46069</v>
      </c>
      <c r="N4629" t="str">
        <f>IF(M4629="","",'Master Barang'!A23)</f>
        <v>PRL-022</v>
      </c>
      <c r="O4629" t="str">
        <f>IF(N4629="","",'Master Barang'!B23)</f>
        <v>sabun cuci tangan</v>
      </c>
      <c r="P4629">
        <f>IF(OR(M4629="",N4629=""),"",SUMIFS('Barang Keluar'!$E:$E,'Barang Keluar'!$A:$A,M4629,'Barang Keluar'!$C:$C,N4629))</f>
        <v>0</v>
      </c>
    </row>
    <row r="4630" spans="13:16">
      <c r="M4630" s="49">
        <f>IF($A$4+46&gt;$B$4,"",$A$4+46)</f>
        <v>46069</v>
      </c>
      <c r="N4630" t="str">
        <f>IF(M4630="","",'Master Barang'!A24)</f>
        <v>PRL-023</v>
      </c>
      <c r="O4630" t="str">
        <f>IF(N4630="","",'Master Barang'!B24)</f>
        <v>gayung kecil</v>
      </c>
      <c r="P4630">
        <f>IF(OR(M4630="",N4630=""),"",SUMIFS('Barang Keluar'!$E:$E,'Barang Keluar'!$A:$A,M4630,'Barang Keluar'!$C:$C,N4630))</f>
        <v>0</v>
      </c>
    </row>
    <row r="4631" spans="13:16">
      <c r="M4631" s="49">
        <f>IF($A$4+46&gt;$B$4,"",$A$4+46)</f>
        <v>46069</v>
      </c>
      <c r="N4631" t="str">
        <f>IF(M4631="","",'Master Barang'!A25)</f>
        <v>PRL-024</v>
      </c>
      <c r="O4631" t="str">
        <f>IF(N4631="","",'Master Barang'!B25)</f>
        <v>cikrak kecil</v>
      </c>
      <c r="P4631">
        <f>IF(OR(M4631="",N4631=""),"",SUMIFS('Barang Keluar'!$E:$E,'Barang Keluar'!$A:$A,M4631,'Barang Keluar'!$C:$C,N4631))</f>
        <v>0</v>
      </c>
    </row>
    <row r="4632" spans="13:16">
      <c r="M4632" s="49">
        <f>IF($A$4+46&gt;$B$4,"",$A$4+46)</f>
        <v>46069</v>
      </c>
      <c r="N4632" t="str">
        <f>IF(M4632="","",'Master Barang'!A26)</f>
        <v>PRL-025</v>
      </c>
      <c r="O4632" t="str">
        <f>IF(N4632="","",'Master Barang'!B26)</f>
        <v>petromax plastik kecil 12x24 100 lembar</v>
      </c>
      <c r="P4632">
        <f>IF(OR(M4632="",N4632=""),"",SUMIFS('Barang Keluar'!$E:$E,'Barang Keluar'!$A:$A,M4632,'Barang Keluar'!$C:$C,N4632))</f>
        <v>0</v>
      </c>
    </row>
    <row r="4633" spans="13:16">
      <c r="M4633" s="49">
        <f>IF($A$4+46&gt;$B$4,"",$A$4+46)</f>
        <v>46069</v>
      </c>
      <c r="N4633" t="str">
        <f>IF(M4633="","",'Master Barang'!A27)</f>
        <v>PRL-026</v>
      </c>
      <c r="O4633" t="str">
        <f>IF(N4633="","",'Master Barang'!B27)</f>
        <v>lancar kresek kecil bening </v>
      </c>
      <c r="P4633">
        <f>IF(OR(M4633="",N4633=""),"",SUMIFS('Barang Keluar'!$E:$E,'Barang Keluar'!$A:$A,M4633,'Barang Keluar'!$C:$C,N4633))</f>
        <v>0</v>
      </c>
    </row>
    <row r="4634" spans="13:16">
      <c r="M4634" s="49">
        <f>IF($A$4+46&gt;$B$4,"",$A$4+46)</f>
        <v>46069</v>
      </c>
      <c r="N4634" t="str">
        <f>IF(M4634="","",'Master Barang'!A28)</f>
        <v>PRL-027</v>
      </c>
      <c r="O4634" t="str">
        <f>IF(N4634="","",'Master Barang'!B28)</f>
        <v>kresek klin warna warni kecil</v>
      </c>
      <c r="P4634">
        <f>IF(OR(M4634="",N4634=""),"",SUMIFS('Barang Keluar'!$E:$E,'Barang Keluar'!$A:$A,M4634,'Barang Keluar'!$C:$C,N4634))</f>
        <v>0</v>
      </c>
    </row>
    <row r="4635" spans="13:16">
      <c r="M4635" s="49">
        <f>IF($A$4+46&gt;$B$4,"",$A$4+46)</f>
        <v>46069</v>
      </c>
      <c r="N4635" t="str">
        <f>IF(M4635="","",'Master Barang'!A29)</f>
        <v>PRL-028</v>
      </c>
      <c r="O4635" t="str">
        <f>IF(N4635="","",'Master Barang'!B29)</f>
        <v>ctik plastik 7x10 100 pcs</v>
      </c>
      <c r="P4635">
        <f>IF(OR(M4635="",N4635=""),"",SUMIFS('Barang Keluar'!$E:$E,'Barang Keluar'!$A:$A,M4635,'Barang Keluar'!$C:$C,N4635))</f>
        <v>0</v>
      </c>
    </row>
    <row r="4636" spans="13:16">
      <c r="M4636" s="49">
        <f>IF($A$4+46&gt;$B$4,"",$A$4+46)</f>
        <v>46069</v>
      </c>
      <c r="N4636" t="str">
        <f>IF(M4636="","",'Master Barang'!A30)</f>
        <v>PRL-029</v>
      </c>
      <c r="O4636" t="str">
        <f>IF(N4636="","",'Master Barang'!B30)</f>
        <v>ctik plastik 6x10 100 pcs</v>
      </c>
      <c r="P4636">
        <f>IF(OR(M4636="",N4636=""),"",SUMIFS('Barang Keluar'!$E:$E,'Barang Keluar'!$A:$A,M4636,'Barang Keluar'!$C:$C,N4636))</f>
        <v>0</v>
      </c>
    </row>
    <row r="4637" spans="13:16">
      <c r="M4637" s="49">
        <f>IF($A$4+46&gt;$B$4,"",$A$4+46)</f>
        <v>46069</v>
      </c>
      <c r="N4637" t="str">
        <f>IF(M4637="","",'Master Barang'!A31)</f>
        <v>PRL-030</v>
      </c>
      <c r="O4637" t="str">
        <f>IF(N4637="","",'Master Barang'!B31)</f>
        <v>klip plastik 25x16 100 pcs</v>
      </c>
      <c r="P4637">
        <f>IF(OR(M4637="",N4637=""),"",SUMIFS('Barang Keluar'!$E:$E,'Barang Keluar'!$A:$A,M4637,'Barang Keluar'!$C:$C,N4637))</f>
        <v>0</v>
      </c>
    </row>
    <row r="4638" spans="13:16">
      <c r="M4638" s="49">
        <f>IF($A$4+46&gt;$B$4,"",$A$4+46)</f>
        <v>46069</v>
      </c>
      <c r="N4638" t="str">
        <f>IF(M4638="","",'Master Barang'!A32)</f>
        <v>PRL-031</v>
      </c>
      <c r="O4638" t="str">
        <f>IF(N4638="","",'Master Barang'!B32)</f>
        <v>tempat saus 20 ml</v>
      </c>
      <c r="P4638">
        <f>IF(OR(M4638="",N4638=""),"",SUMIFS('Barang Keluar'!$E:$E,'Barang Keluar'!$A:$A,M4638,'Barang Keluar'!$C:$C,N4638))</f>
        <v>0</v>
      </c>
    </row>
    <row r="4639" spans="13:16">
      <c r="M4639" s="49">
        <f>IF($A$4+46&gt;$B$4,"",$A$4+46)</f>
        <v>46069</v>
      </c>
      <c r="N4639" t="str">
        <f>IF(M4639="","",'Master Barang'!A33)</f>
        <v>PRL-032</v>
      </c>
      <c r="O4639" t="str">
        <f>IF(N4639="","",'Master Barang'!B33)</f>
        <v>plastik packaging ag box uk sedang</v>
      </c>
      <c r="P4639">
        <f>IF(OR(M4639="",N4639=""),"",SUMIFS('Barang Keluar'!$E:$E,'Barang Keluar'!$A:$A,M4639,'Barang Keluar'!$C:$C,N4639))</f>
        <v>0</v>
      </c>
    </row>
    <row r="4640" spans="13:16">
      <c r="M4640" s="49">
        <f>IF($A$4+46&gt;$B$4,"",$A$4+46)</f>
        <v>46069</v>
      </c>
      <c r="N4640" t="str">
        <f>IF(M4640="","",'Master Barang'!A34)</f>
        <v>PRL-033</v>
      </c>
      <c r="O4640">
        <f>IF(N4640="","",'Master Barang'!B34)</f>
        <v>0</v>
      </c>
      <c r="P4640">
        <f>IF(OR(M4640="",N4640=""),"",SUMIFS('Barang Keluar'!$E:$E,'Barang Keluar'!$A:$A,M4640,'Barang Keluar'!$C:$C,N4640))</f>
        <v>0</v>
      </c>
    </row>
    <row r="4641" spans="13:16">
      <c r="M4641" s="49">
        <f>IF($A$4+46&gt;$B$4,"",$A$4+46)</f>
        <v>46069</v>
      </c>
      <c r="N4641">
        <f>IF(M4641="","",'Master Barang'!A35)</f>
        <v>0</v>
      </c>
      <c r="O4641">
        <f>IF(N4641="","",'Master Barang'!B35)</f>
        <v>0</v>
      </c>
      <c r="P4641">
        <f>IF(OR(M4641="",N4641=""),"",SUMIFS('Barang Keluar'!$E:$E,'Barang Keluar'!$A:$A,M4641,'Barang Keluar'!$C:$C,N4641))</f>
        <v>0</v>
      </c>
    </row>
    <row r="4642" spans="13:16">
      <c r="M4642" s="49">
        <f>IF($A$4+46&gt;$B$4,"",$A$4+46)</f>
        <v>46069</v>
      </c>
      <c r="N4642">
        <f>IF(M4642="","",'Master Barang'!A36)</f>
        <v>0</v>
      </c>
      <c r="O4642">
        <f>IF(N4642="","",'Master Barang'!B36)</f>
        <v>0</v>
      </c>
      <c r="P4642">
        <f>IF(OR(M4642="",N4642=""),"",SUMIFS('Barang Keluar'!$E:$E,'Barang Keluar'!$A:$A,M4642,'Barang Keluar'!$C:$C,N4642))</f>
        <v>0</v>
      </c>
    </row>
    <row r="4643" spans="13:16">
      <c r="M4643" s="49">
        <f>IF($A$4+46&gt;$B$4,"",$A$4+46)</f>
        <v>46069</v>
      </c>
      <c r="N4643">
        <f>IF(M4643="","",'Master Barang'!A37)</f>
        <v>0</v>
      </c>
      <c r="O4643">
        <f>IF(N4643="","",'Master Barang'!B37)</f>
        <v>0</v>
      </c>
      <c r="P4643">
        <f>IF(OR(M4643="",N4643=""),"",SUMIFS('Barang Keluar'!$E:$E,'Barang Keluar'!$A:$A,M4643,'Barang Keluar'!$C:$C,N4643))</f>
        <v>0</v>
      </c>
    </row>
    <row r="4644" spans="13:16">
      <c r="M4644" s="49">
        <f>IF($A$4+46&gt;$B$4,"",$A$4+46)</f>
        <v>46069</v>
      </c>
      <c r="N4644">
        <f>IF(M4644="","",'Master Barang'!A38)</f>
        <v>0</v>
      </c>
      <c r="O4644">
        <f>IF(N4644="","",'Master Barang'!B38)</f>
        <v>0</v>
      </c>
      <c r="P4644">
        <f>IF(OR(M4644="",N4644=""),"",SUMIFS('Barang Keluar'!$E:$E,'Barang Keluar'!$A:$A,M4644,'Barang Keluar'!$C:$C,N4644))</f>
        <v>0</v>
      </c>
    </row>
    <row r="4645" spans="13:16">
      <c r="M4645" s="49">
        <f>IF($A$4+46&gt;$B$4,"",$A$4+46)</f>
        <v>46069</v>
      </c>
      <c r="N4645">
        <f>IF(M4645="","",'Master Barang'!A39)</f>
        <v>0</v>
      </c>
      <c r="O4645">
        <f>IF(N4645="","",'Master Barang'!B39)</f>
        <v>0</v>
      </c>
      <c r="P4645">
        <f>IF(OR(M4645="",N4645=""),"",SUMIFS('Barang Keluar'!$E:$E,'Barang Keluar'!$A:$A,M4645,'Barang Keluar'!$C:$C,N4645))</f>
        <v>0</v>
      </c>
    </row>
    <row r="4646" spans="13:16">
      <c r="M4646" s="49">
        <f>IF($A$4+46&gt;$B$4,"",$A$4+46)</f>
        <v>46069</v>
      </c>
      <c r="N4646">
        <f>IF(M4646="","",'Master Barang'!A40)</f>
        <v>0</v>
      </c>
      <c r="O4646">
        <f>IF(N4646="","",'Master Barang'!B40)</f>
        <v>0</v>
      </c>
      <c r="P4646">
        <f>IF(OR(M4646="",N4646=""),"",SUMIFS('Barang Keluar'!$E:$E,'Barang Keluar'!$A:$A,M4646,'Barang Keluar'!$C:$C,N4646))</f>
        <v>0</v>
      </c>
    </row>
    <row r="4647" spans="13:16">
      <c r="M4647" s="49">
        <f>IF($A$4+46&gt;$B$4,"",$A$4+46)</f>
        <v>46069</v>
      </c>
      <c r="N4647">
        <f>IF(M4647="","",'Master Barang'!A41)</f>
        <v>0</v>
      </c>
      <c r="O4647">
        <f>IF(N4647="","",'Master Barang'!B41)</f>
        <v>0</v>
      </c>
      <c r="P4647">
        <f>IF(OR(M4647="",N4647=""),"",SUMIFS('Barang Keluar'!$E:$E,'Barang Keluar'!$A:$A,M4647,'Barang Keluar'!$C:$C,N4647))</f>
        <v>0</v>
      </c>
    </row>
    <row r="4648" spans="13:16">
      <c r="M4648" s="49">
        <f>IF($A$4+46&gt;$B$4,"",$A$4+46)</f>
        <v>46069</v>
      </c>
      <c r="N4648">
        <f>IF(M4648="","",'Master Barang'!A42)</f>
        <v>0</v>
      </c>
      <c r="O4648">
        <f>IF(N4648="","",'Master Barang'!B42)</f>
        <v>0</v>
      </c>
      <c r="P4648">
        <f>IF(OR(M4648="",N4648=""),"",SUMIFS('Barang Keluar'!$E:$E,'Barang Keluar'!$A:$A,M4648,'Barang Keluar'!$C:$C,N4648))</f>
        <v>0</v>
      </c>
    </row>
    <row r="4649" spans="13:16">
      <c r="M4649" s="49">
        <f>IF($A$4+46&gt;$B$4,"",$A$4+46)</f>
        <v>46069</v>
      </c>
      <c r="N4649">
        <f>IF(M4649="","",'Master Barang'!A43)</f>
        <v>0</v>
      </c>
      <c r="O4649">
        <f>IF(N4649="","",'Master Barang'!B43)</f>
        <v>0</v>
      </c>
      <c r="P4649">
        <f>IF(OR(M4649="",N4649=""),"",SUMIFS('Barang Keluar'!$E:$E,'Barang Keluar'!$A:$A,M4649,'Barang Keluar'!$C:$C,N4649))</f>
        <v>0</v>
      </c>
    </row>
    <row r="4650" spans="13:16">
      <c r="M4650" s="49">
        <f>IF($A$4+46&gt;$B$4,"",$A$4+46)</f>
        <v>46069</v>
      </c>
      <c r="N4650">
        <f>IF(M4650="","",'Master Barang'!A44)</f>
        <v>0</v>
      </c>
      <c r="O4650">
        <f>IF(N4650="","",'Master Barang'!B44)</f>
        <v>0</v>
      </c>
      <c r="P4650">
        <f>IF(OR(M4650="",N4650=""),"",SUMIFS('Barang Keluar'!$E:$E,'Barang Keluar'!$A:$A,M4650,'Barang Keluar'!$C:$C,N4650))</f>
        <v>0</v>
      </c>
    </row>
    <row r="4651" spans="13:16">
      <c r="M4651" s="49">
        <f>IF($A$4+46&gt;$B$4,"",$A$4+46)</f>
        <v>46069</v>
      </c>
      <c r="N4651">
        <f>IF(M4651="","",'Master Barang'!A45)</f>
        <v>0</v>
      </c>
      <c r="O4651">
        <f>IF(N4651="","",'Master Barang'!B45)</f>
        <v>0</v>
      </c>
      <c r="P4651">
        <f>IF(OR(M4651="",N4651=""),"",SUMIFS('Barang Keluar'!$E:$E,'Barang Keluar'!$A:$A,M4651,'Barang Keluar'!$C:$C,N4651))</f>
        <v>0</v>
      </c>
    </row>
    <row r="4652" spans="13:16">
      <c r="M4652" s="49">
        <f>IF($A$4+46&gt;$B$4,"",$A$4+46)</f>
        <v>46069</v>
      </c>
      <c r="N4652">
        <f>IF(M4652="","",'Master Barang'!A46)</f>
        <v>0</v>
      </c>
      <c r="O4652">
        <f>IF(N4652="","",'Master Barang'!B46)</f>
        <v>0</v>
      </c>
      <c r="P4652">
        <f>IF(OR(M4652="",N4652=""),"",SUMIFS('Barang Keluar'!$E:$E,'Barang Keluar'!$A:$A,M4652,'Barang Keluar'!$C:$C,N4652))</f>
        <v>0</v>
      </c>
    </row>
    <row r="4653" spans="13:16">
      <c r="M4653" s="49">
        <f>IF($A$4+46&gt;$B$4,"",$A$4+46)</f>
        <v>46069</v>
      </c>
      <c r="N4653">
        <f>IF(M4653="","",'Master Barang'!A47)</f>
        <v>0</v>
      </c>
      <c r="O4653">
        <f>IF(N4653="","",'Master Barang'!B47)</f>
        <v>0</v>
      </c>
      <c r="P4653">
        <f>IF(OR(M4653="",N4653=""),"",SUMIFS('Barang Keluar'!$E:$E,'Barang Keluar'!$A:$A,M4653,'Barang Keluar'!$C:$C,N4653))</f>
        <v>0</v>
      </c>
    </row>
    <row r="4654" spans="13:16">
      <c r="M4654" s="49">
        <f>IF($A$4+46&gt;$B$4,"",$A$4+46)</f>
        <v>46069</v>
      </c>
      <c r="N4654">
        <f>IF(M4654="","",'Master Barang'!A48)</f>
        <v>0</v>
      </c>
      <c r="O4654">
        <f>IF(N4654="","",'Master Barang'!B48)</f>
        <v>0</v>
      </c>
      <c r="P4654">
        <f>IF(OR(M4654="",N4654=""),"",SUMIFS('Barang Keluar'!$E:$E,'Barang Keluar'!$A:$A,M4654,'Barang Keluar'!$C:$C,N4654))</f>
        <v>0</v>
      </c>
    </row>
    <row r="4655" spans="13:16">
      <c r="M4655" s="49">
        <f>IF($A$4+46&gt;$B$4,"",$A$4+46)</f>
        <v>46069</v>
      </c>
      <c r="N4655">
        <f>IF(M4655="","",'Master Barang'!A49)</f>
        <v>0</v>
      </c>
      <c r="O4655">
        <f>IF(N4655="","",'Master Barang'!B49)</f>
        <v>0</v>
      </c>
      <c r="P4655">
        <f>IF(OR(M4655="",N4655=""),"",SUMIFS('Barang Keluar'!$E:$E,'Barang Keluar'!$A:$A,M4655,'Barang Keluar'!$C:$C,N4655))</f>
        <v>0</v>
      </c>
    </row>
    <row r="4656" spans="13:16">
      <c r="M4656" s="49">
        <f>IF($A$4+46&gt;$B$4,"",$A$4+46)</f>
        <v>46069</v>
      </c>
      <c r="N4656">
        <f>IF(M4656="","",'Master Barang'!A50)</f>
        <v>0</v>
      </c>
      <c r="O4656">
        <f>IF(N4656="","",'Master Barang'!B50)</f>
        <v>0</v>
      </c>
      <c r="P4656">
        <f>IF(OR(M4656="",N4656=""),"",SUMIFS('Barang Keluar'!$E:$E,'Barang Keluar'!$A:$A,M4656,'Barang Keluar'!$C:$C,N4656))</f>
        <v>0</v>
      </c>
    </row>
    <row r="4657" spans="13:16">
      <c r="M4657" s="49">
        <f>IF($A$4+46&gt;$B$4,"",$A$4+46)</f>
        <v>46069</v>
      </c>
      <c r="N4657">
        <f>IF(M4657="","",'Master Barang'!A51)</f>
        <v>0</v>
      </c>
      <c r="O4657">
        <f>IF(N4657="","",'Master Barang'!B51)</f>
        <v>0</v>
      </c>
      <c r="P4657">
        <f>IF(OR(M4657="",N4657=""),"",SUMIFS('Barang Keluar'!$E:$E,'Barang Keluar'!$A:$A,M4657,'Barang Keluar'!$C:$C,N4657))</f>
        <v>0</v>
      </c>
    </row>
    <row r="4658" spans="13:16">
      <c r="M4658" s="49">
        <f>IF($A$4+46&gt;$B$4,"",$A$4+46)</f>
        <v>46069</v>
      </c>
      <c r="N4658">
        <f>IF(M4658="","",'Master Barang'!A52)</f>
        <v>0</v>
      </c>
      <c r="O4658">
        <f>IF(N4658="","",'Master Barang'!B52)</f>
        <v>0</v>
      </c>
      <c r="P4658">
        <f>IF(OR(M4658="",N4658=""),"",SUMIFS('Barang Keluar'!$E:$E,'Barang Keluar'!$A:$A,M4658,'Barang Keluar'!$C:$C,N4658))</f>
        <v>0</v>
      </c>
    </row>
    <row r="4659" spans="13:16">
      <c r="M4659" s="49">
        <f>IF($A$4+46&gt;$B$4,"",$A$4+46)</f>
        <v>46069</v>
      </c>
      <c r="N4659">
        <f>IF(M4659="","",'Master Barang'!A53)</f>
        <v>0</v>
      </c>
      <c r="O4659">
        <f>IF(N4659="","",'Master Barang'!B53)</f>
        <v>0</v>
      </c>
      <c r="P4659">
        <f>IF(OR(M4659="",N4659=""),"",SUMIFS('Barang Keluar'!$E:$E,'Barang Keluar'!$A:$A,M4659,'Barang Keluar'!$C:$C,N4659))</f>
        <v>0</v>
      </c>
    </row>
    <row r="4660" spans="13:16">
      <c r="M4660" s="49">
        <f>IF($A$4+46&gt;$B$4,"",$A$4+46)</f>
        <v>46069</v>
      </c>
      <c r="N4660">
        <f>IF(M4660="","",'Master Barang'!A54)</f>
        <v>0</v>
      </c>
      <c r="O4660">
        <f>IF(N4660="","",'Master Barang'!B54)</f>
        <v>0</v>
      </c>
      <c r="P4660">
        <f>IF(OR(M4660="",N4660=""),"",SUMIFS('Barang Keluar'!$E:$E,'Barang Keluar'!$A:$A,M4660,'Barang Keluar'!$C:$C,N4660))</f>
        <v>0</v>
      </c>
    </row>
    <row r="4661" spans="13:16">
      <c r="M4661" s="49">
        <f>IF($A$4+46&gt;$B$4,"",$A$4+46)</f>
        <v>46069</v>
      </c>
      <c r="N4661">
        <f>IF(M4661="","",'Master Barang'!A55)</f>
        <v>0</v>
      </c>
      <c r="O4661">
        <f>IF(N4661="","",'Master Barang'!B55)</f>
        <v>0</v>
      </c>
      <c r="P4661">
        <f>IF(OR(M4661="",N4661=""),"",SUMIFS('Barang Keluar'!$E:$E,'Barang Keluar'!$A:$A,M4661,'Barang Keluar'!$C:$C,N4661))</f>
        <v>0</v>
      </c>
    </row>
    <row r="4662" spans="13:16">
      <c r="M4662" s="49">
        <f>IF($A$4+46&gt;$B$4,"",$A$4+46)</f>
        <v>46069</v>
      </c>
      <c r="N4662">
        <f>IF(M4662="","",'Master Barang'!A56)</f>
        <v>0</v>
      </c>
      <c r="O4662">
        <f>IF(N4662="","",'Master Barang'!B56)</f>
        <v>0</v>
      </c>
      <c r="P4662">
        <f>IF(OR(M4662="",N4662=""),"",SUMIFS('Barang Keluar'!$E:$E,'Barang Keluar'!$A:$A,M4662,'Barang Keluar'!$C:$C,N4662))</f>
        <v>0</v>
      </c>
    </row>
    <row r="4663" spans="13:16">
      <c r="M4663" s="49">
        <f>IF($A$4+46&gt;$B$4,"",$A$4+46)</f>
        <v>46069</v>
      </c>
      <c r="N4663">
        <f>IF(M4663="","",'Master Barang'!A57)</f>
        <v>0</v>
      </c>
      <c r="O4663">
        <f>IF(N4663="","",'Master Barang'!B57)</f>
        <v>0</v>
      </c>
      <c r="P4663">
        <f>IF(OR(M4663="",N4663=""),"",SUMIFS('Barang Keluar'!$E:$E,'Barang Keluar'!$A:$A,M4663,'Barang Keluar'!$C:$C,N4663))</f>
        <v>0</v>
      </c>
    </row>
    <row r="4664" spans="13:16">
      <c r="M4664" s="49">
        <f>IF($A$4+46&gt;$B$4,"",$A$4+46)</f>
        <v>46069</v>
      </c>
      <c r="N4664">
        <f>IF(M4664="","",'Master Barang'!A58)</f>
        <v>0</v>
      </c>
      <c r="O4664">
        <f>IF(N4664="","",'Master Barang'!B58)</f>
        <v>0</v>
      </c>
      <c r="P4664">
        <f>IF(OR(M4664="",N4664=""),"",SUMIFS('Barang Keluar'!$E:$E,'Barang Keluar'!$A:$A,M4664,'Barang Keluar'!$C:$C,N4664))</f>
        <v>0</v>
      </c>
    </row>
    <row r="4665" spans="13:16">
      <c r="M4665" s="49">
        <f>IF($A$4+46&gt;$B$4,"",$A$4+46)</f>
        <v>46069</v>
      </c>
      <c r="N4665">
        <f>IF(M4665="","",'Master Barang'!A59)</f>
        <v>0</v>
      </c>
      <c r="O4665">
        <f>IF(N4665="","",'Master Barang'!B59)</f>
        <v>0</v>
      </c>
      <c r="P4665">
        <f>IF(OR(M4665="",N4665=""),"",SUMIFS('Barang Keluar'!$E:$E,'Barang Keluar'!$A:$A,M4665,'Barang Keluar'!$C:$C,N4665))</f>
        <v>0</v>
      </c>
    </row>
    <row r="4666" spans="13:16">
      <c r="M4666" s="49">
        <f>IF($A$4+46&gt;$B$4,"",$A$4+46)</f>
        <v>46069</v>
      </c>
      <c r="N4666">
        <f>IF(M4666="","",'Master Barang'!A60)</f>
        <v>0</v>
      </c>
      <c r="O4666">
        <f>IF(N4666="","",'Master Barang'!B60)</f>
        <v>0</v>
      </c>
      <c r="P4666">
        <f>IF(OR(M4666="",N4666=""),"",SUMIFS('Barang Keluar'!$E:$E,'Barang Keluar'!$A:$A,M4666,'Barang Keluar'!$C:$C,N4666))</f>
        <v>0</v>
      </c>
    </row>
    <row r="4667" spans="13:16">
      <c r="M4667" s="49">
        <f>IF($A$4+46&gt;$B$4,"",$A$4+46)</f>
        <v>46069</v>
      </c>
      <c r="N4667">
        <f>IF(M4667="","",'Master Barang'!A61)</f>
        <v>0</v>
      </c>
      <c r="O4667">
        <f>IF(N4667="","",'Master Barang'!B61)</f>
        <v>0</v>
      </c>
      <c r="P4667">
        <f>IF(OR(M4667="",N4667=""),"",SUMIFS('Barang Keluar'!$E:$E,'Barang Keluar'!$A:$A,M4667,'Barang Keluar'!$C:$C,N4667))</f>
        <v>0</v>
      </c>
    </row>
    <row r="4668" spans="13:16">
      <c r="M4668" s="49">
        <f>IF($A$4+46&gt;$B$4,"",$A$4+46)</f>
        <v>46069</v>
      </c>
      <c r="N4668">
        <f>IF(M4668="","",'Master Barang'!A62)</f>
        <v>0</v>
      </c>
      <c r="O4668">
        <f>IF(N4668="","",'Master Barang'!B62)</f>
        <v>0</v>
      </c>
      <c r="P4668">
        <f>IF(OR(M4668="",N4668=""),"",SUMIFS('Barang Keluar'!$E:$E,'Barang Keluar'!$A:$A,M4668,'Barang Keluar'!$C:$C,N4668))</f>
        <v>0</v>
      </c>
    </row>
    <row r="4669" spans="13:16">
      <c r="M4669" s="49">
        <f>IF($A$4+46&gt;$B$4,"",$A$4+46)</f>
        <v>46069</v>
      </c>
      <c r="N4669">
        <f>IF(M4669="","",'Master Barang'!A63)</f>
        <v>0</v>
      </c>
      <c r="O4669">
        <f>IF(N4669="","",'Master Barang'!B63)</f>
        <v>0</v>
      </c>
      <c r="P4669">
        <f>IF(OR(M4669="",N4669=""),"",SUMIFS('Barang Keluar'!$E:$E,'Barang Keluar'!$A:$A,M4669,'Barang Keluar'!$C:$C,N4669))</f>
        <v>0</v>
      </c>
    </row>
    <row r="4670" spans="13:16">
      <c r="M4670" s="49">
        <f>IF($A$4+46&gt;$B$4,"",$A$4+46)</f>
        <v>46069</v>
      </c>
      <c r="N4670">
        <f>IF(M4670="","",'Master Barang'!A64)</f>
        <v>0</v>
      </c>
      <c r="O4670">
        <f>IF(N4670="","",'Master Barang'!B64)</f>
        <v>0</v>
      </c>
      <c r="P4670">
        <f>IF(OR(M4670="",N4670=""),"",SUMIFS('Barang Keluar'!$E:$E,'Barang Keluar'!$A:$A,M4670,'Barang Keluar'!$C:$C,N4670))</f>
        <v>0</v>
      </c>
    </row>
    <row r="4671" spans="13:16">
      <c r="M4671" s="49">
        <f>IF($A$4+46&gt;$B$4,"",$A$4+46)</f>
        <v>46069</v>
      </c>
      <c r="N4671">
        <f>IF(M4671="","",'Master Barang'!A65)</f>
        <v>0</v>
      </c>
      <c r="O4671">
        <f>IF(N4671="","",'Master Barang'!B65)</f>
        <v>0</v>
      </c>
      <c r="P4671">
        <f>IF(OR(M4671="",N4671=""),"",SUMIFS('Barang Keluar'!$E:$E,'Barang Keluar'!$A:$A,M4671,'Barang Keluar'!$C:$C,N4671))</f>
        <v>0</v>
      </c>
    </row>
    <row r="4672" spans="13:16">
      <c r="M4672" s="49">
        <f>IF($A$4+46&gt;$B$4,"",$A$4+46)</f>
        <v>46069</v>
      </c>
      <c r="N4672">
        <f>IF(M4672="","",'Master Barang'!A66)</f>
        <v>0</v>
      </c>
      <c r="O4672">
        <f>IF(N4672="","",'Master Barang'!B66)</f>
        <v>0</v>
      </c>
      <c r="P4672">
        <f>IF(OR(M4672="",N4672=""),"",SUMIFS('Barang Keluar'!$E:$E,'Barang Keluar'!$A:$A,M4672,'Barang Keluar'!$C:$C,N4672))</f>
        <v>0</v>
      </c>
    </row>
    <row r="4673" spans="13:16">
      <c r="M4673" s="49">
        <f>IF($A$4+46&gt;$B$4,"",$A$4+46)</f>
        <v>46069</v>
      </c>
      <c r="N4673">
        <f>IF(M4673="","",'Master Barang'!A67)</f>
        <v>0</v>
      </c>
      <c r="O4673">
        <f>IF(N4673="","",'Master Barang'!B67)</f>
        <v>0</v>
      </c>
      <c r="P4673">
        <f>IF(OR(M4673="",N4673=""),"",SUMIFS('Barang Keluar'!$E:$E,'Barang Keluar'!$A:$A,M4673,'Barang Keluar'!$C:$C,N4673))</f>
        <v>0</v>
      </c>
    </row>
    <row r="4674" spans="13:16">
      <c r="M4674" s="49">
        <f>IF($A$4+46&gt;$B$4,"",$A$4+46)</f>
        <v>46069</v>
      </c>
      <c r="N4674">
        <f>IF(M4674="","",'Master Barang'!A68)</f>
        <v>0</v>
      </c>
      <c r="O4674">
        <f>IF(N4674="","",'Master Barang'!B68)</f>
        <v>0</v>
      </c>
      <c r="P4674">
        <f>IF(OR(M4674="",N4674=""),"",SUMIFS('Barang Keluar'!$E:$E,'Barang Keluar'!$A:$A,M4674,'Barang Keluar'!$C:$C,N4674))</f>
        <v>0</v>
      </c>
    </row>
    <row r="4675" spans="13:16">
      <c r="M4675" s="49">
        <f>IF($A$4+46&gt;$B$4,"",$A$4+46)</f>
        <v>46069</v>
      </c>
      <c r="N4675">
        <f>IF(M4675="","",'Master Barang'!A69)</f>
        <v>0</v>
      </c>
      <c r="O4675">
        <f>IF(N4675="","",'Master Barang'!B69)</f>
        <v>0</v>
      </c>
      <c r="P4675">
        <f>IF(OR(M4675="",N4675=""),"",SUMIFS('Barang Keluar'!$E:$E,'Barang Keluar'!$A:$A,M4675,'Barang Keluar'!$C:$C,N4675))</f>
        <v>0</v>
      </c>
    </row>
    <row r="4676" spans="13:16">
      <c r="M4676" s="49">
        <f>IF($A$4+46&gt;$B$4,"",$A$4+46)</f>
        <v>46069</v>
      </c>
      <c r="N4676">
        <f>IF(M4676="","",'Master Barang'!A70)</f>
        <v>0</v>
      </c>
      <c r="O4676">
        <f>IF(N4676="","",'Master Barang'!B70)</f>
        <v>0</v>
      </c>
      <c r="P4676">
        <f>IF(OR(M4676="",N4676=""),"",SUMIFS('Barang Keluar'!$E:$E,'Barang Keluar'!$A:$A,M4676,'Barang Keluar'!$C:$C,N4676))</f>
        <v>0</v>
      </c>
    </row>
    <row r="4677" spans="13:16">
      <c r="M4677" s="49">
        <f>IF($A$4+46&gt;$B$4,"",$A$4+46)</f>
        <v>46069</v>
      </c>
      <c r="N4677">
        <f>IF(M4677="","",'Master Barang'!A71)</f>
        <v>0</v>
      </c>
      <c r="O4677">
        <f>IF(N4677="","",'Master Barang'!B71)</f>
        <v>0</v>
      </c>
      <c r="P4677">
        <f>IF(OR(M4677="",N4677=""),"",SUMIFS('Barang Keluar'!$E:$E,'Barang Keluar'!$A:$A,M4677,'Barang Keluar'!$C:$C,N4677))</f>
        <v>0</v>
      </c>
    </row>
    <row r="4678" spans="13:16">
      <c r="M4678" s="49">
        <f>IF($A$4+46&gt;$B$4,"",$A$4+46)</f>
        <v>46069</v>
      </c>
      <c r="N4678">
        <f>IF(M4678="","",'Master Barang'!A72)</f>
        <v>0</v>
      </c>
      <c r="O4678">
        <f>IF(N4678="","",'Master Barang'!B72)</f>
        <v>0</v>
      </c>
      <c r="P4678">
        <f>IF(OR(M4678="",N4678=""),"",SUMIFS('Barang Keluar'!$E:$E,'Barang Keluar'!$A:$A,M4678,'Barang Keluar'!$C:$C,N4678))</f>
        <v>0</v>
      </c>
    </row>
    <row r="4679" spans="13:16">
      <c r="M4679" s="49">
        <f>IF($A$4+46&gt;$B$4,"",$A$4+46)</f>
        <v>46069</v>
      </c>
      <c r="N4679">
        <f>IF(M4679="","",'Master Barang'!A73)</f>
        <v>0</v>
      </c>
      <c r="O4679">
        <f>IF(N4679="","",'Master Barang'!B73)</f>
        <v>0</v>
      </c>
      <c r="P4679">
        <f>IF(OR(M4679="",N4679=""),"",SUMIFS('Barang Keluar'!$E:$E,'Barang Keluar'!$A:$A,M4679,'Barang Keluar'!$C:$C,N4679))</f>
        <v>0</v>
      </c>
    </row>
    <row r="4680" spans="13:16">
      <c r="M4680" s="49">
        <f>IF($A$4+46&gt;$B$4,"",$A$4+46)</f>
        <v>46069</v>
      </c>
      <c r="N4680">
        <f>IF(M4680="","",'Master Barang'!A74)</f>
        <v>0</v>
      </c>
      <c r="O4680">
        <f>IF(N4680="","",'Master Barang'!B74)</f>
        <v>0</v>
      </c>
      <c r="P4680">
        <f>IF(OR(M4680="",N4680=""),"",SUMIFS('Barang Keluar'!$E:$E,'Barang Keluar'!$A:$A,M4680,'Barang Keluar'!$C:$C,N4680))</f>
        <v>0</v>
      </c>
    </row>
    <row r="4681" spans="13:16">
      <c r="M4681" s="49">
        <f>IF($A$4+46&gt;$B$4,"",$A$4+46)</f>
        <v>46069</v>
      </c>
      <c r="N4681">
        <f>IF(M4681="","",'Master Barang'!A75)</f>
        <v>0</v>
      </c>
      <c r="O4681">
        <f>IF(N4681="","",'Master Barang'!B75)</f>
        <v>0</v>
      </c>
      <c r="P4681">
        <f>IF(OR(M4681="",N4681=""),"",SUMIFS('Barang Keluar'!$E:$E,'Barang Keluar'!$A:$A,M4681,'Barang Keluar'!$C:$C,N4681))</f>
        <v>0</v>
      </c>
    </row>
    <row r="4682" spans="13:16">
      <c r="M4682" s="49">
        <f>IF($A$4+46&gt;$B$4,"",$A$4+46)</f>
        <v>46069</v>
      </c>
      <c r="N4682">
        <f>IF(M4682="","",'Master Barang'!A76)</f>
        <v>0</v>
      </c>
      <c r="O4682">
        <f>IF(N4682="","",'Master Barang'!B76)</f>
        <v>0</v>
      </c>
      <c r="P4682">
        <f>IF(OR(M4682="",N4682=""),"",SUMIFS('Barang Keluar'!$E:$E,'Barang Keluar'!$A:$A,M4682,'Barang Keluar'!$C:$C,N4682))</f>
        <v>0</v>
      </c>
    </row>
    <row r="4683" spans="13:16">
      <c r="M4683" s="49">
        <f>IF($A$4+46&gt;$B$4,"",$A$4+46)</f>
        <v>46069</v>
      </c>
      <c r="N4683">
        <f>IF(M4683="","",'Master Barang'!A77)</f>
        <v>0</v>
      </c>
      <c r="O4683">
        <f>IF(N4683="","",'Master Barang'!B77)</f>
        <v>0</v>
      </c>
      <c r="P4683">
        <f>IF(OR(M4683="",N4683=""),"",SUMIFS('Barang Keluar'!$E:$E,'Barang Keluar'!$A:$A,M4683,'Barang Keluar'!$C:$C,N4683))</f>
        <v>0</v>
      </c>
    </row>
    <row r="4684" spans="13:16">
      <c r="M4684" s="49">
        <f>IF($A$4+46&gt;$B$4,"",$A$4+46)</f>
        <v>46069</v>
      </c>
      <c r="N4684">
        <f>IF(M4684="","",'Master Barang'!A78)</f>
        <v>0</v>
      </c>
      <c r="O4684">
        <f>IF(N4684="","",'Master Barang'!B78)</f>
        <v>0</v>
      </c>
      <c r="P4684">
        <f>IF(OR(M4684="",N4684=""),"",SUMIFS('Barang Keluar'!$E:$E,'Barang Keluar'!$A:$A,M4684,'Barang Keluar'!$C:$C,N4684))</f>
        <v>0</v>
      </c>
    </row>
    <row r="4685" spans="13:16">
      <c r="M4685" s="49">
        <f>IF($A$4+46&gt;$B$4,"",$A$4+46)</f>
        <v>46069</v>
      </c>
      <c r="N4685">
        <f>IF(M4685="","",'Master Barang'!A79)</f>
        <v>0</v>
      </c>
      <c r="O4685">
        <f>IF(N4685="","",'Master Barang'!B79)</f>
        <v>0</v>
      </c>
      <c r="P4685">
        <f>IF(OR(M4685="",N4685=""),"",SUMIFS('Barang Keluar'!$E:$E,'Barang Keluar'!$A:$A,M4685,'Barang Keluar'!$C:$C,N4685))</f>
        <v>0</v>
      </c>
    </row>
    <row r="4686" spans="13:16">
      <c r="M4686" s="49">
        <f>IF($A$4+46&gt;$B$4,"",$A$4+46)</f>
        <v>46069</v>
      </c>
      <c r="N4686">
        <f>IF(M4686="","",'Master Barang'!A80)</f>
        <v>0</v>
      </c>
      <c r="O4686">
        <f>IF(N4686="","",'Master Barang'!B80)</f>
        <v>0</v>
      </c>
      <c r="P4686">
        <f>IF(OR(M4686="",N4686=""),"",SUMIFS('Barang Keluar'!$E:$E,'Barang Keluar'!$A:$A,M4686,'Barang Keluar'!$C:$C,N4686))</f>
        <v>0</v>
      </c>
    </row>
    <row r="4687" spans="13:16">
      <c r="M4687" s="49">
        <f>IF($A$4+46&gt;$B$4,"",$A$4+46)</f>
        <v>46069</v>
      </c>
      <c r="N4687">
        <f>IF(M4687="","",'Master Barang'!A81)</f>
        <v>0</v>
      </c>
      <c r="O4687">
        <f>IF(N4687="","",'Master Barang'!B81)</f>
        <v>0</v>
      </c>
      <c r="P4687">
        <f>IF(OR(M4687="",N4687=""),"",SUMIFS('Barang Keluar'!$E:$E,'Barang Keluar'!$A:$A,M4687,'Barang Keluar'!$C:$C,N4687))</f>
        <v>0</v>
      </c>
    </row>
    <row r="4688" spans="13:16">
      <c r="M4688" s="49">
        <f>IF($A$4+46&gt;$B$4,"",$A$4+46)</f>
        <v>46069</v>
      </c>
      <c r="N4688">
        <f>IF(M4688="","",'Master Barang'!A82)</f>
        <v>0</v>
      </c>
      <c r="O4688">
        <f>IF(N4688="","",'Master Barang'!B82)</f>
        <v>0</v>
      </c>
      <c r="P4688">
        <f>IF(OR(M4688="",N4688=""),"",SUMIFS('Barang Keluar'!$E:$E,'Barang Keluar'!$A:$A,M4688,'Barang Keluar'!$C:$C,N4688))</f>
        <v>0</v>
      </c>
    </row>
    <row r="4689" spans="13:16">
      <c r="M4689" s="49">
        <f>IF($A$4+46&gt;$B$4,"",$A$4+46)</f>
        <v>46069</v>
      </c>
      <c r="N4689">
        <f>IF(M4689="","",'Master Barang'!A83)</f>
        <v>0</v>
      </c>
      <c r="O4689">
        <f>IF(N4689="","",'Master Barang'!B83)</f>
        <v>0</v>
      </c>
      <c r="P4689">
        <f>IF(OR(M4689="",N4689=""),"",SUMIFS('Barang Keluar'!$E:$E,'Barang Keluar'!$A:$A,M4689,'Barang Keluar'!$C:$C,N4689))</f>
        <v>0</v>
      </c>
    </row>
    <row r="4690" spans="13:16">
      <c r="M4690" s="49">
        <f>IF($A$4+46&gt;$B$4,"",$A$4+46)</f>
        <v>46069</v>
      </c>
      <c r="N4690">
        <f>IF(M4690="","",'Master Barang'!A84)</f>
        <v>0</v>
      </c>
      <c r="O4690">
        <f>IF(N4690="","",'Master Barang'!B84)</f>
        <v>0</v>
      </c>
      <c r="P4690">
        <f>IF(OR(M4690="",N4690=""),"",SUMIFS('Barang Keluar'!$E:$E,'Barang Keluar'!$A:$A,M4690,'Barang Keluar'!$C:$C,N4690))</f>
        <v>0</v>
      </c>
    </row>
    <row r="4691" spans="13:16">
      <c r="M4691" s="49">
        <f>IF($A$4+46&gt;$B$4,"",$A$4+46)</f>
        <v>46069</v>
      </c>
      <c r="N4691">
        <f>IF(M4691="","",'Master Barang'!A85)</f>
        <v>0</v>
      </c>
      <c r="O4691">
        <f>IF(N4691="","",'Master Barang'!B85)</f>
        <v>0</v>
      </c>
      <c r="P4691">
        <f>IF(OR(M4691="",N4691=""),"",SUMIFS('Barang Keluar'!$E:$E,'Barang Keluar'!$A:$A,M4691,'Barang Keluar'!$C:$C,N4691))</f>
        <v>0</v>
      </c>
    </row>
    <row r="4692" spans="13:16">
      <c r="M4692" s="49">
        <f>IF($A$4+46&gt;$B$4,"",$A$4+46)</f>
        <v>46069</v>
      </c>
      <c r="N4692">
        <f>IF(M4692="","",'Master Barang'!A86)</f>
        <v>0</v>
      </c>
      <c r="O4692">
        <f>IF(N4692="","",'Master Barang'!B86)</f>
        <v>0</v>
      </c>
      <c r="P4692">
        <f>IF(OR(M4692="",N4692=""),"",SUMIFS('Barang Keluar'!$E:$E,'Barang Keluar'!$A:$A,M4692,'Barang Keluar'!$C:$C,N4692))</f>
        <v>0</v>
      </c>
    </row>
    <row r="4693" spans="13:16">
      <c r="M4693" s="49">
        <f>IF($A$4+46&gt;$B$4,"",$A$4+46)</f>
        <v>46069</v>
      </c>
      <c r="N4693">
        <f>IF(M4693="","",'Master Barang'!A87)</f>
        <v>0</v>
      </c>
      <c r="O4693">
        <f>IF(N4693="","",'Master Barang'!B87)</f>
        <v>0</v>
      </c>
      <c r="P4693">
        <f>IF(OR(M4693="",N4693=""),"",SUMIFS('Barang Keluar'!$E:$E,'Barang Keluar'!$A:$A,M4693,'Barang Keluar'!$C:$C,N4693))</f>
        <v>0</v>
      </c>
    </row>
    <row r="4694" spans="13:16">
      <c r="M4694" s="49">
        <f>IF($A$4+46&gt;$B$4,"",$A$4+46)</f>
        <v>46069</v>
      </c>
      <c r="N4694">
        <f>IF(M4694="","",'Master Barang'!A88)</f>
        <v>0</v>
      </c>
      <c r="O4694">
        <f>IF(N4694="","",'Master Barang'!B88)</f>
        <v>0</v>
      </c>
      <c r="P4694">
        <f>IF(OR(M4694="",N4694=""),"",SUMIFS('Barang Keluar'!$E:$E,'Barang Keluar'!$A:$A,M4694,'Barang Keluar'!$C:$C,N4694))</f>
        <v>0</v>
      </c>
    </row>
    <row r="4695" spans="13:16">
      <c r="M4695" s="49">
        <f>IF($A$4+46&gt;$B$4,"",$A$4+46)</f>
        <v>46069</v>
      </c>
      <c r="N4695">
        <f>IF(M4695="","",'Master Barang'!A89)</f>
        <v>0</v>
      </c>
      <c r="O4695">
        <f>IF(N4695="","",'Master Barang'!B89)</f>
        <v>0</v>
      </c>
      <c r="P4695">
        <f>IF(OR(M4695="",N4695=""),"",SUMIFS('Barang Keluar'!$E:$E,'Barang Keluar'!$A:$A,M4695,'Barang Keluar'!$C:$C,N4695))</f>
        <v>0</v>
      </c>
    </row>
    <row r="4696" spans="13:16">
      <c r="M4696" s="49">
        <f>IF($A$4+46&gt;$B$4,"",$A$4+46)</f>
        <v>46069</v>
      </c>
      <c r="N4696">
        <f>IF(M4696="","",'Master Barang'!A90)</f>
        <v>0</v>
      </c>
      <c r="O4696">
        <f>IF(N4696="","",'Master Barang'!B90)</f>
        <v>0</v>
      </c>
      <c r="P4696">
        <f>IF(OR(M4696="",N4696=""),"",SUMIFS('Barang Keluar'!$E:$E,'Barang Keluar'!$A:$A,M4696,'Barang Keluar'!$C:$C,N4696))</f>
        <v>0</v>
      </c>
    </row>
    <row r="4697" spans="13:16">
      <c r="M4697" s="49">
        <f>IF($A$4+46&gt;$B$4,"",$A$4+46)</f>
        <v>46069</v>
      </c>
      <c r="N4697">
        <f>IF(M4697="","",'Master Barang'!A91)</f>
        <v>0</v>
      </c>
      <c r="O4697">
        <f>IF(N4697="","",'Master Barang'!B91)</f>
        <v>0</v>
      </c>
      <c r="P4697">
        <f>IF(OR(M4697="",N4697=""),"",SUMIFS('Barang Keluar'!$E:$E,'Barang Keluar'!$A:$A,M4697,'Barang Keluar'!$C:$C,N4697))</f>
        <v>0</v>
      </c>
    </row>
    <row r="4698" spans="13:16">
      <c r="M4698" s="49">
        <f>IF($A$4+46&gt;$B$4,"",$A$4+46)</f>
        <v>46069</v>
      </c>
      <c r="N4698">
        <f>IF(M4698="","",'Master Barang'!A92)</f>
        <v>0</v>
      </c>
      <c r="O4698">
        <f>IF(N4698="","",'Master Barang'!B92)</f>
        <v>0</v>
      </c>
      <c r="P4698">
        <f>IF(OR(M4698="",N4698=""),"",SUMIFS('Barang Keluar'!$E:$E,'Barang Keluar'!$A:$A,M4698,'Barang Keluar'!$C:$C,N4698))</f>
        <v>0</v>
      </c>
    </row>
    <row r="4699" spans="13:16">
      <c r="M4699" s="49">
        <f>IF($A$4+46&gt;$B$4,"",$A$4+46)</f>
        <v>46069</v>
      </c>
      <c r="N4699">
        <f>IF(M4699="","",'Master Barang'!A93)</f>
        <v>0</v>
      </c>
      <c r="O4699">
        <f>IF(N4699="","",'Master Barang'!B93)</f>
        <v>0</v>
      </c>
      <c r="P4699">
        <f>IF(OR(M4699="",N4699=""),"",SUMIFS('Barang Keluar'!$E:$E,'Barang Keluar'!$A:$A,M4699,'Barang Keluar'!$C:$C,N4699))</f>
        <v>0</v>
      </c>
    </row>
    <row r="4700" spans="13:16">
      <c r="M4700" s="49">
        <f>IF($A$4+46&gt;$B$4,"",$A$4+46)</f>
        <v>46069</v>
      </c>
      <c r="N4700">
        <f>IF(M4700="","",'Master Barang'!A94)</f>
        <v>0</v>
      </c>
      <c r="O4700">
        <f>IF(N4700="","",'Master Barang'!B94)</f>
        <v>0</v>
      </c>
      <c r="P4700">
        <f>IF(OR(M4700="",N4700=""),"",SUMIFS('Barang Keluar'!$E:$E,'Barang Keluar'!$A:$A,M4700,'Barang Keluar'!$C:$C,N4700))</f>
        <v>0</v>
      </c>
    </row>
    <row r="4701" spans="13:16">
      <c r="M4701" s="49">
        <f>IF($A$4+46&gt;$B$4,"",$A$4+46)</f>
        <v>46069</v>
      </c>
      <c r="N4701">
        <f>IF(M4701="","",'Master Barang'!A95)</f>
        <v>0</v>
      </c>
      <c r="O4701">
        <f>IF(N4701="","",'Master Barang'!B95)</f>
        <v>0</v>
      </c>
      <c r="P4701">
        <f>IF(OR(M4701="",N4701=""),"",SUMIFS('Barang Keluar'!$E:$E,'Barang Keluar'!$A:$A,M4701,'Barang Keluar'!$C:$C,N4701))</f>
        <v>0</v>
      </c>
    </row>
    <row r="4702" spans="13:16">
      <c r="M4702" s="49">
        <f>IF($A$4+46&gt;$B$4,"",$A$4+46)</f>
        <v>46069</v>
      </c>
      <c r="N4702">
        <f>IF(M4702="","",'Master Barang'!A96)</f>
        <v>0</v>
      </c>
      <c r="O4702">
        <f>IF(N4702="","",'Master Barang'!B96)</f>
        <v>0</v>
      </c>
      <c r="P4702">
        <f>IF(OR(M4702="",N4702=""),"",SUMIFS('Barang Keluar'!$E:$E,'Barang Keluar'!$A:$A,M4702,'Barang Keluar'!$C:$C,N4702))</f>
        <v>0</v>
      </c>
    </row>
    <row r="4703" spans="13:16">
      <c r="M4703" s="49">
        <f>IF($A$4+46&gt;$B$4,"",$A$4+46)</f>
        <v>46069</v>
      </c>
      <c r="N4703">
        <f>IF(M4703="","",'Master Barang'!A97)</f>
        <v>0</v>
      </c>
      <c r="O4703">
        <f>IF(N4703="","",'Master Barang'!B97)</f>
        <v>0</v>
      </c>
      <c r="P4703">
        <f>IF(OR(M4703="",N4703=""),"",SUMIFS('Barang Keluar'!$E:$E,'Barang Keluar'!$A:$A,M4703,'Barang Keluar'!$C:$C,N4703))</f>
        <v>0</v>
      </c>
    </row>
    <row r="4704" spans="13:16">
      <c r="M4704" s="49">
        <f>IF($A$4+46&gt;$B$4,"",$A$4+46)</f>
        <v>46069</v>
      </c>
      <c r="N4704">
        <f>IF(M4704="","",'Master Barang'!A98)</f>
        <v>0</v>
      </c>
      <c r="O4704">
        <f>IF(N4704="","",'Master Barang'!B98)</f>
        <v>0</v>
      </c>
      <c r="P4704">
        <f>IF(OR(M4704="",N4704=""),"",SUMIFS('Barang Keluar'!$E:$E,'Barang Keluar'!$A:$A,M4704,'Barang Keluar'!$C:$C,N4704))</f>
        <v>0</v>
      </c>
    </row>
    <row r="4705" spans="13:16">
      <c r="M4705" s="49">
        <f>IF($A$4+46&gt;$B$4,"",$A$4+46)</f>
        <v>46069</v>
      </c>
      <c r="N4705">
        <f>IF(M4705="","",'Master Barang'!A99)</f>
        <v>0</v>
      </c>
      <c r="O4705">
        <f>IF(N4705="","",'Master Barang'!B99)</f>
        <v>0</v>
      </c>
      <c r="P4705">
        <f>IF(OR(M4705="",N4705=""),"",SUMIFS('Barang Keluar'!$E:$E,'Barang Keluar'!$A:$A,M4705,'Barang Keluar'!$C:$C,N4705))</f>
        <v>0</v>
      </c>
    </row>
    <row r="4706" spans="13:16">
      <c r="M4706" s="49">
        <f>IF($A$4+46&gt;$B$4,"",$A$4+46)</f>
        <v>46069</v>
      </c>
      <c r="N4706">
        <f>IF(M4706="","",'Master Barang'!A100)</f>
        <v>0</v>
      </c>
      <c r="O4706">
        <f>IF(N4706="","",'Master Barang'!B100)</f>
        <v>0</v>
      </c>
      <c r="P4706">
        <f>IF(OR(M4706="",N4706=""),"",SUMIFS('Barang Keluar'!$E:$E,'Barang Keluar'!$A:$A,M4706,'Barang Keluar'!$C:$C,N4706))</f>
        <v>0</v>
      </c>
    </row>
    <row r="4707" spans="13:16">
      <c r="M4707" s="49">
        <f>IF($A$4+46&gt;$B$4,"",$A$4+46)</f>
        <v>46069</v>
      </c>
      <c r="N4707">
        <f>IF(M4707="","",'Master Barang'!A101)</f>
        <v>0</v>
      </c>
      <c r="O4707">
        <f>IF(N4707="","",'Master Barang'!B101)</f>
        <v>0</v>
      </c>
      <c r="P4707">
        <f>IF(OR(M4707="",N4707=""),"",SUMIFS('Barang Keluar'!$E:$E,'Barang Keluar'!$A:$A,M4707,'Barang Keluar'!$C:$C,N4707))</f>
        <v>0</v>
      </c>
    </row>
    <row r="4708" spans="13:16">
      <c r="M4708" s="49">
        <f>IF($A$4+47&gt;$B$4,"",$A$4+47)</f>
        <v>46070</v>
      </c>
      <c r="N4708" t="str">
        <f>IF(M4708="","",'Master Barang'!A2)</f>
        <v>PRL-001</v>
      </c>
      <c r="O4708" t="str">
        <f>IF(N4708="","",'Master Barang'!B2)</f>
        <v>natura desinfectant food grade 5l</v>
      </c>
      <c r="P4708">
        <f>IF(OR(M4708="",N4708=""),"",SUMIFS('Barang Keluar'!$E:$E,'Barang Keluar'!$A:$A,M4708,'Barang Keluar'!$C:$C,N4708))</f>
        <v>0</v>
      </c>
    </row>
    <row r="4709" spans="13:16">
      <c r="M4709" s="49">
        <f>IF($A$4+47&gt;$B$4,"",$A$4+47)</f>
        <v>46070</v>
      </c>
      <c r="N4709" t="str">
        <f>IF(M4709="","",'Master Barang'!A3)</f>
        <v>PRL-002</v>
      </c>
      <c r="O4709" t="str">
        <f>IF(N4709="","",'Master Barang'!B3)</f>
        <v>sunlight cairan pencuci piring 5l</v>
      </c>
      <c r="P4709">
        <f>IF(OR(M4709="",N4709=""),"",SUMIFS('Barang Keluar'!$E:$E,'Barang Keluar'!$A:$A,M4709,'Barang Keluar'!$C:$C,N4709))</f>
        <v>0</v>
      </c>
    </row>
    <row r="4710" spans="13:16">
      <c r="M4710" s="49">
        <f>IF($A$4+47&gt;$B$4,"",$A$4+47)</f>
        <v>46070</v>
      </c>
      <c r="N4710" t="str">
        <f>IF(M4710="","",'Master Barang'!A4)</f>
        <v>PRL-003</v>
      </c>
      <c r="O4710" t="str">
        <f>IF(N4710="","",'Master Barang'!B4)</f>
        <v>oixs cleaner 1l</v>
      </c>
      <c r="P4710">
        <f>IF(OR(M4710="",N4710=""),"",SUMIFS('Barang Keluar'!$E:$E,'Barang Keluar'!$A:$A,M4710,'Barang Keluar'!$C:$C,N4710))</f>
        <v>0</v>
      </c>
    </row>
    <row r="4711" spans="13:16">
      <c r="M4711" s="49">
        <f>IF($A$4+47&gt;$B$4,"",$A$4+47)</f>
        <v>46070</v>
      </c>
      <c r="N4711" t="str">
        <f>IF(M4711="","",'Master Barang'!A5)</f>
        <v>PRL-004</v>
      </c>
      <c r="O4711" t="str">
        <f>IF(N4711="","",'Master Barang'!B5)</f>
        <v>be clean tissue serbaguna</v>
      </c>
      <c r="P4711">
        <f>IF(OR(M4711="",N4711=""),"",SUMIFS('Barang Keluar'!$E:$E,'Barang Keluar'!$A:$A,M4711,'Barang Keluar'!$C:$C,N4711))</f>
        <v>0</v>
      </c>
    </row>
    <row r="4712" spans="13:16">
      <c r="M4712" s="49">
        <f>IF($A$4+47&gt;$B$4,"",$A$4+47)</f>
        <v>46070</v>
      </c>
      <c r="N4712" t="str">
        <f>IF(M4712="","",'Master Barang'!A6)</f>
        <v>PRL-005</v>
      </c>
      <c r="O4712" t="str">
        <f>IF(N4712="","",'Master Barang'!B6)</f>
        <v>spons cuci hijau</v>
      </c>
      <c r="P4712">
        <f>IF(OR(M4712="",N4712=""),"",SUMIFS('Barang Keluar'!$E:$E,'Barang Keluar'!$A:$A,M4712,'Barang Keluar'!$C:$C,N4712))</f>
        <v>0</v>
      </c>
    </row>
    <row r="4713" spans="13:16">
      <c r="M4713" s="49">
        <f>IF($A$4+47&gt;$B$4,"",$A$4+47)</f>
        <v>46070</v>
      </c>
      <c r="N4713" t="str">
        <f>IF(M4713="","",'Master Barang'!A7)</f>
        <v>PRL-006</v>
      </c>
      <c r="O4713" t="str">
        <f>IF(N4713="","",'Master Barang'!B7)</f>
        <v>sabut cuci stainless</v>
      </c>
      <c r="P4713">
        <f>IF(OR(M4713="",N4713=""),"",SUMIFS('Barang Keluar'!$E:$E,'Barang Keluar'!$A:$A,M4713,'Barang Keluar'!$C:$C,N4713))</f>
        <v>0</v>
      </c>
    </row>
    <row r="4714" spans="13:16">
      <c r="M4714" s="49">
        <f>IF($A$4+47&gt;$B$4,"",$A$4+47)</f>
        <v>46070</v>
      </c>
      <c r="N4714" t="str">
        <f>IF(M4714="","",'Master Barang'!A8)</f>
        <v>PRL-007</v>
      </c>
      <c r="O4714" t="str">
        <f>IF(N4714="","",'Master Barang'!B8)</f>
        <v>plastik kresek besar merah 50pc</v>
      </c>
      <c r="P4714">
        <f>IF(OR(M4714="",N4714=""),"",SUMIFS('Barang Keluar'!$E:$E,'Barang Keluar'!$A:$A,M4714,'Barang Keluar'!$C:$C,N4714))</f>
        <v>0</v>
      </c>
    </row>
    <row r="4715" spans="13:16">
      <c r="M4715" s="49">
        <f>IF($A$4+47&gt;$B$4,"",$A$4+47)</f>
        <v>46070</v>
      </c>
      <c r="N4715" t="str">
        <f>IF(M4715="","",'Master Barang'!A9)</f>
        <v>PRL-008</v>
      </c>
      <c r="O4715" t="str">
        <f>IF(N4715="","",'Master Barang'!B9)</f>
        <v>lap besar</v>
      </c>
      <c r="P4715">
        <f>IF(OR(M4715="",N4715=""),"",SUMIFS('Barang Keluar'!$E:$E,'Barang Keluar'!$A:$A,M4715,'Barang Keluar'!$C:$C,N4715))</f>
        <v>0</v>
      </c>
    </row>
    <row r="4716" spans="13:16">
      <c r="M4716" s="49">
        <f>IF($A$4+47&gt;$B$4,"",$A$4+47)</f>
        <v>46070</v>
      </c>
      <c r="N4716" t="str">
        <f>IF(M4716="","",'Master Barang'!A10)</f>
        <v>PRL-009</v>
      </c>
      <c r="O4716" t="str">
        <f>IF(N4716="","",'Master Barang'!B10)</f>
        <v>lap microfiber</v>
      </c>
      <c r="P4716">
        <f>IF(OR(M4716="",N4716=""),"",SUMIFS('Barang Keluar'!$E:$E,'Barang Keluar'!$A:$A,M4716,'Barang Keluar'!$C:$C,N4716))</f>
        <v>0</v>
      </c>
    </row>
    <row r="4717" spans="13:16">
      <c r="M4717" s="49">
        <f>IF($A$4+47&gt;$B$4,"",$A$4+47)</f>
        <v>46070</v>
      </c>
      <c r="N4717" t="str">
        <f>IF(M4717="","",'Master Barang'!A11)</f>
        <v>PRL-010</v>
      </c>
      <c r="O4717" t="str">
        <f>IF(N4717="","",'Master Barang'!B11)</f>
        <v>lap kecil</v>
      </c>
      <c r="P4717">
        <f>IF(OR(M4717="",N4717=""),"",SUMIFS('Barang Keluar'!$E:$E,'Barang Keluar'!$A:$A,M4717,'Barang Keluar'!$C:$C,N4717))</f>
        <v>0</v>
      </c>
    </row>
    <row r="4718" spans="13:16">
      <c r="M4718" s="49">
        <f>IF($A$4+47&gt;$B$4,"",$A$4+47)</f>
        <v>46070</v>
      </c>
      <c r="N4718" t="str">
        <f>IF(M4718="","",'Master Barang'!A12)</f>
        <v>PRL-011</v>
      </c>
      <c r="O4718" t="str">
        <f>IF(N4718="","",'Master Barang'!B12)</f>
        <v>kanebo kecil</v>
      </c>
      <c r="P4718">
        <f>IF(OR(M4718="",N4718=""),"",SUMIFS('Barang Keluar'!$E:$E,'Barang Keluar'!$A:$A,M4718,'Barang Keluar'!$C:$C,N4718))</f>
        <v>0</v>
      </c>
    </row>
    <row r="4719" spans="13:16">
      <c r="M4719" s="49">
        <f>IF($A$4+47&gt;$B$4,"",$A$4+47)</f>
        <v>46070</v>
      </c>
      <c r="N4719" t="str">
        <f>IF(M4719="","",'Master Barang'!A13)</f>
        <v>PRL-012</v>
      </c>
      <c r="O4719" t="str">
        <f>IF(N4719="","",'Master Barang'!B13)</f>
        <v>plastik 1/4kg joyoboyo 100 lembar</v>
      </c>
      <c r="P4719">
        <f>IF(OR(M4719="",N4719=""),"",SUMIFS('Barang Keluar'!$E:$E,'Barang Keluar'!$A:$A,M4719,'Barang Keluar'!$C:$C,N4719))</f>
        <v>0</v>
      </c>
    </row>
    <row r="4720" spans="13:16">
      <c r="M4720" s="49">
        <f>IF($A$4+47&gt;$B$4,"",$A$4+47)</f>
        <v>46070</v>
      </c>
      <c r="N4720" t="str">
        <f>IF(M4720="","",'Master Barang'!A14)</f>
        <v>PRL-013</v>
      </c>
      <c r="O4720" t="str">
        <f>IF(N4720="","",'Master Barang'!B14)</f>
        <v>sarung tangan plastik kaka 100 pcs</v>
      </c>
      <c r="P4720">
        <f>IF(OR(M4720="",N4720=""),"",SUMIFS('Barang Keluar'!$E:$E,'Barang Keluar'!$A:$A,M4720,'Barang Keluar'!$C:$C,N4720))</f>
        <v>0</v>
      </c>
    </row>
    <row r="4721" spans="13:16">
      <c r="M4721" s="49">
        <f>IF($A$4+47&gt;$B$4,"",$A$4+47)</f>
        <v>46070</v>
      </c>
      <c r="N4721" t="str">
        <f>IF(M4721="","",'Master Barang'!A15)</f>
        <v>PRL-014</v>
      </c>
      <c r="O4721" t="str">
        <f>IF(N4721="","",'Master Barang'!B15)</f>
        <v>optima trashbag 80x100</v>
      </c>
      <c r="P4721">
        <f>IF(OR(M4721="",N4721=""),"",SUMIFS('Barang Keluar'!$E:$E,'Barang Keluar'!$A:$A,M4721,'Barang Keluar'!$C:$C,N4721))</f>
        <v>0</v>
      </c>
    </row>
    <row r="4722" spans="13:16">
      <c r="M4722" s="49">
        <f>IF($A$4+47&gt;$B$4,"",$A$4+47)</f>
        <v>46070</v>
      </c>
      <c r="N4722" t="str">
        <f>IF(M4722="","",'Master Barang'!A16)</f>
        <v>PRL-015</v>
      </c>
      <c r="O4722" t="str">
        <f>IF(N4722="","",'Master Barang'!B16)</f>
        <v>optima trashbag 60x100</v>
      </c>
      <c r="P4722">
        <f>IF(OR(M4722="",N4722=""),"",SUMIFS('Barang Keluar'!$E:$E,'Barang Keluar'!$A:$A,M4722,'Barang Keluar'!$C:$C,N4722))</f>
        <v>0</v>
      </c>
    </row>
    <row r="4723" spans="13:16">
      <c r="M4723" s="49">
        <f>IF($A$4+47&gt;$B$4,"",$A$4+47)</f>
        <v>46070</v>
      </c>
      <c r="N4723" t="str">
        <f>IF(M4723="","",'Master Barang'!A17)</f>
        <v>PRL-016</v>
      </c>
      <c r="O4723" t="str">
        <f>IF(N4723="","",'Master Barang'!B17)</f>
        <v>rajawali trashbag 30x40</v>
      </c>
      <c r="P4723">
        <f>IF(OR(M4723="",N4723=""),"",SUMIFS('Barang Keluar'!$E:$E,'Barang Keluar'!$A:$A,M4723,'Barang Keluar'!$C:$C,N4723))</f>
        <v>0</v>
      </c>
    </row>
    <row r="4724" spans="13:16">
      <c r="M4724" s="49">
        <f>IF($A$4+47&gt;$B$4,"",$A$4+47)</f>
        <v>46070</v>
      </c>
      <c r="N4724" t="str">
        <f>IF(M4724="","",'Master Barang'!A18)</f>
        <v>PRL-017</v>
      </c>
      <c r="O4724" t="str">
        <f>IF(N4724="","",'Master Barang'!B18)</f>
        <v>onemed masker biru 3 play 50 pcs</v>
      </c>
      <c r="P4724">
        <f>IF(OR(M4724="",N4724=""),"",SUMIFS('Barang Keluar'!$E:$E,'Barang Keluar'!$A:$A,M4724,'Barang Keluar'!$C:$C,N4724))</f>
        <v>0</v>
      </c>
    </row>
    <row r="4725" spans="13:16">
      <c r="M4725" s="49">
        <f>IF($A$4+47&gt;$B$4,"",$A$4+47)</f>
        <v>46070</v>
      </c>
      <c r="N4725" t="str">
        <f>IF(M4725="","",'Master Barang'!A19)</f>
        <v>PRL-018</v>
      </c>
      <c r="O4725" t="str">
        <f>IF(N4725="","",'Master Barang'!B19)</f>
        <v>onemed masker biru 3 play hijab 50 pcs</v>
      </c>
      <c r="P4725">
        <f>IF(OR(M4725="",N4725=""),"",SUMIFS('Barang Keluar'!$E:$E,'Barang Keluar'!$A:$A,M4725,'Barang Keluar'!$C:$C,N4725))</f>
        <v>0</v>
      </c>
    </row>
    <row r="4726" spans="13:16">
      <c r="M4726" s="49">
        <f>IF($A$4+47&gt;$B$4,"",$A$4+47)</f>
        <v>46070</v>
      </c>
      <c r="N4726" t="str">
        <f>IF(M4726="","",'Master Barang'!A20)</f>
        <v>PRL-019</v>
      </c>
      <c r="O4726" t="str">
        <f>IF(N4726="","",'Master Barang'!B20)</f>
        <v>neo health masker biru 3 play 50 pcs</v>
      </c>
      <c r="P4726">
        <f>IF(OR(M4726="",N4726=""),"",SUMIFS('Barang Keluar'!$E:$E,'Barang Keluar'!$A:$A,M4726,'Barang Keluar'!$C:$C,N4726))</f>
        <v>0</v>
      </c>
    </row>
    <row r="4727" spans="13:16">
      <c r="M4727" s="49">
        <f>IF($A$4+47&gt;$B$4,"",$A$4+47)</f>
        <v>46070</v>
      </c>
      <c r="N4727" t="str">
        <f>IF(M4727="","",'Master Barang'!A21)</f>
        <v>PRL-020</v>
      </c>
      <c r="O4727" t="str">
        <f>IF(N4727="","",'Master Barang'!B21)</f>
        <v>baymed masker hijau 3 play hijau 50 pcs</v>
      </c>
      <c r="P4727">
        <f>IF(OR(M4727="",N4727=""),"",SUMIFS('Barang Keluar'!$E:$E,'Barang Keluar'!$A:$A,M4727,'Barang Keluar'!$C:$C,N4727))</f>
        <v>0</v>
      </c>
    </row>
    <row r="4728" spans="13:16">
      <c r="M4728" s="49">
        <f>IF($A$4+47&gt;$B$4,"",$A$4+47)</f>
        <v>46070</v>
      </c>
      <c r="N4728" t="str">
        <f>IF(M4728="","",'Master Barang'!A22)</f>
        <v>PRL-021</v>
      </c>
      <c r="O4728" t="str">
        <f>IF(N4728="","",'Master Barang'!B22)</f>
        <v>altamed nurse cap penutup kepala 100 pcs</v>
      </c>
      <c r="P4728">
        <f>IF(OR(M4728="",N4728=""),"",SUMIFS('Barang Keluar'!$E:$E,'Barang Keluar'!$A:$A,M4728,'Barang Keluar'!$C:$C,N4728))</f>
        <v>0</v>
      </c>
    </row>
    <row r="4729" spans="13:16">
      <c r="M4729" s="49">
        <f>IF($A$4+47&gt;$B$4,"",$A$4+47)</f>
        <v>46070</v>
      </c>
      <c r="N4729" t="str">
        <f>IF(M4729="","",'Master Barang'!A23)</f>
        <v>PRL-022</v>
      </c>
      <c r="O4729" t="str">
        <f>IF(N4729="","",'Master Barang'!B23)</f>
        <v>sabun cuci tangan</v>
      </c>
      <c r="P4729">
        <f>IF(OR(M4729="",N4729=""),"",SUMIFS('Barang Keluar'!$E:$E,'Barang Keluar'!$A:$A,M4729,'Barang Keluar'!$C:$C,N4729))</f>
        <v>0</v>
      </c>
    </row>
    <row r="4730" spans="13:16">
      <c r="M4730" s="49">
        <f>IF($A$4+47&gt;$B$4,"",$A$4+47)</f>
        <v>46070</v>
      </c>
      <c r="N4730" t="str">
        <f>IF(M4730="","",'Master Barang'!A24)</f>
        <v>PRL-023</v>
      </c>
      <c r="O4730" t="str">
        <f>IF(N4730="","",'Master Barang'!B24)</f>
        <v>gayung kecil</v>
      </c>
      <c r="P4730">
        <f>IF(OR(M4730="",N4730=""),"",SUMIFS('Barang Keluar'!$E:$E,'Barang Keluar'!$A:$A,M4730,'Barang Keluar'!$C:$C,N4730))</f>
        <v>0</v>
      </c>
    </row>
    <row r="4731" spans="13:16">
      <c r="M4731" s="49">
        <f>IF($A$4+47&gt;$B$4,"",$A$4+47)</f>
        <v>46070</v>
      </c>
      <c r="N4731" t="str">
        <f>IF(M4731="","",'Master Barang'!A25)</f>
        <v>PRL-024</v>
      </c>
      <c r="O4731" t="str">
        <f>IF(N4731="","",'Master Barang'!B25)</f>
        <v>cikrak kecil</v>
      </c>
      <c r="P4731">
        <f>IF(OR(M4731="",N4731=""),"",SUMIFS('Barang Keluar'!$E:$E,'Barang Keluar'!$A:$A,M4731,'Barang Keluar'!$C:$C,N4731))</f>
        <v>0</v>
      </c>
    </row>
    <row r="4732" spans="13:16">
      <c r="M4732" s="49">
        <f>IF($A$4+47&gt;$B$4,"",$A$4+47)</f>
        <v>46070</v>
      </c>
      <c r="N4732" t="str">
        <f>IF(M4732="","",'Master Barang'!A26)</f>
        <v>PRL-025</v>
      </c>
      <c r="O4732" t="str">
        <f>IF(N4732="","",'Master Barang'!B26)</f>
        <v>petromax plastik kecil 12x24 100 lembar</v>
      </c>
      <c r="P4732">
        <f>IF(OR(M4732="",N4732=""),"",SUMIFS('Barang Keluar'!$E:$E,'Barang Keluar'!$A:$A,M4732,'Barang Keluar'!$C:$C,N4732))</f>
        <v>0</v>
      </c>
    </row>
    <row r="4733" spans="13:16">
      <c r="M4733" s="49">
        <f>IF($A$4+47&gt;$B$4,"",$A$4+47)</f>
        <v>46070</v>
      </c>
      <c r="N4733" t="str">
        <f>IF(M4733="","",'Master Barang'!A27)</f>
        <v>PRL-026</v>
      </c>
      <c r="O4733" t="str">
        <f>IF(N4733="","",'Master Barang'!B27)</f>
        <v>lancar kresek kecil bening </v>
      </c>
      <c r="P4733">
        <f>IF(OR(M4733="",N4733=""),"",SUMIFS('Barang Keluar'!$E:$E,'Barang Keluar'!$A:$A,M4733,'Barang Keluar'!$C:$C,N4733))</f>
        <v>0</v>
      </c>
    </row>
    <row r="4734" spans="13:16">
      <c r="M4734" s="49">
        <f>IF($A$4+47&gt;$B$4,"",$A$4+47)</f>
        <v>46070</v>
      </c>
      <c r="N4734" t="str">
        <f>IF(M4734="","",'Master Barang'!A28)</f>
        <v>PRL-027</v>
      </c>
      <c r="O4734" t="str">
        <f>IF(N4734="","",'Master Barang'!B28)</f>
        <v>kresek klin warna warni kecil</v>
      </c>
      <c r="P4734">
        <f>IF(OR(M4734="",N4734=""),"",SUMIFS('Barang Keluar'!$E:$E,'Barang Keluar'!$A:$A,M4734,'Barang Keluar'!$C:$C,N4734))</f>
        <v>0</v>
      </c>
    </row>
    <row r="4735" spans="13:16">
      <c r="M4735" s="49">
        <f>IF($A$4+47&gt;$B$4,"",$A$4+47)</f>
        <v>46070</v>
      </c>
      <c r="N4735" t="str">
        <f>IF(M4735="","",'Master Barang'!A29)</f>
        <v>PRL-028</v>
      </c>
      <c r="O4735" t="str">
        <f>IF(N4735="","",'Master Barang'!B29)</f>
        <v>ctik plastik 7x10 100 pcs</v>
      </c>
      <c r="P4735">
        <f>IF(OR(M4735="",N4735=""),"",SUMIFS('Barang Keluar'!$E:$E,'Barang Keluar'!$A:$A,M4735,'Barang Keluar'!$C:$C,N4735))</f>
        <v>0</v>
      </c>
    </row>
    <row r="4736" spans="13:16">
      <c r="M4736" s="49">
        <f>IF($A$4+47&gt;$B$4,"",$A$4+47)</f>
        <v>46070</v>
      </c>
      <c r="N4736" t="str">
        <f>IF(M4736="","",'Master Barang'!A30)</f>
        <v>PRL-029</v>
      </c>
      <c r="O4736" t="str">
        <f>IF(N4736="","",'Master Barang'!B30)</f>
        <v>ctik plastik 6x10 100 pcs</v>
      </c>
      <c r="P4736">
        <f>IF(OR(M4736="",N4736=""),"",SUMIFS('Barang Keluar'!$E:$E,'Barang Keluar'!$A:$A,M4736,'Barang Keluar'!$C:$C,N4736))</f>
        <v>0</v>
      </c>
    </row>
    <row r="4737" spans="13:16">
      <c r="M4737" s="49">
        <f>IF($A$4+47&gt;$B$4,"",$A$4+47)</f>
        <v>46070</v>
      </c>
      <c r="N4737" t="str">
        <f>IF(M4737="","",'Master Barang'!A31)</f>
        <v>PRL-030</v>
      </c>
      <c r="O4737" t="str">
        <f>IF(N4737="","",'Master Barang'!B31)</f>
        <v>klip plastik 25x16 100 pcs</v>
      </c>
      <c r="P4737">
        <f>IF(OR(M4737="",N4737=""),"",SUMIFS('Barang Keluar'!$E:$E,'Barang Keluar'!$A:$A,M4737,'Barang Keluar'!$C:$C,N4737))</f>
        <v>0</v>
      </c>
    </row>
    <row r="4738" spans="13:16">
      <c r="M4738" s="49">
        <f>IF($A$4+47&gt;$B$4,"",$A$4+47)</f>
        <v>46070</v>
      </c>
      <c r="N4738" t="str">
        <f>IF(M4738="","",'Master Barang'!A32)</f>
        <v>PRL-031</v>
      </c>
      <c r="O4738" t="str">
        <f>IF(N4738="","",'Master Barang'!B32)</f>
        <v>tempat saus 20 ml</v>
      </c>
      <c r="P4738">
        <f>IF(OR(M4738="",N4738=""),"",SUMIFS('Barang Keluar'!$E:$E,'Barang Keluar'!$A:$A,M4738,'Barang Keluar'!$C:$C,N4738))</f>
        <v>0</v>
      </c>
    </row>
    <row r="4739" spans="13:16">
      <c r="M4739" s="49">
        <f>IF($A$4+47&gt;$B$4,"",$A$4+47)</f>
        <v>46070</v>
      </c>
      <c r="N4739" t="str">
        <f>IF(M4739="","",'Master Barang'!A33)</f>
        <v>PRL-032</v>
      </c>
      <c r="O4739" t="str">
        <f>IF(N4739="","",'Master Barang'!B33)</f>
        <v>plastik packaging ag box uk sedang</v>
      </c>
      <c r="P4739">
        <f>IF(OR(M4739="",N4739=""),"",SUMIFS('Barang Keluar'!$E:$E,'Barang Keluar'!$A:$A,M4739,'Barang Keluar'!$C:$C,N4739))</f>
        <v>0</v>
      </c>
    </row>
    <row r="4740" spans="13:16">
      <c r="M4740" s="49">
        <f>IF($A$4+47&gt;$B$4,"",$A$4+47)</f>
        <v>46070</v>
      </c>
      <c r="N4740" t="str">
        <f>IF(M4740="","",'Master Barang'!A34)</f>
        <v>PRL-033</v>
      </c>
      <c r="O4740">
        <f>IF(N4740="","",'Master Barang'!B34)</f>
        <v>0</v>
      </c>
      <c r="P4740">
        <f>IF(OR(M4740="",N4740=""),"",SUMIFS('Barang Keluar'!$E:$E,'Barang Keluar'!$A:$A,M4740,'Barang Keluar'!$C:$C,N4740))</f>
        <v>0</v>
      </c>
    </row>
    <row r="4741" spans="13:16">
      <c r="M4741" s="49">
        <f>IF($A$4+47&gt;$B$4,"",$A$4+47)</f>
        <v>46070</v>
      </c>
      <c r="N4741">
        <f>IF(M4741="","",'Master Barang'!A35)</f>
        <v>0</v>
      </c>
      <c r="O4741">
        <f>IF(N4741="","",'Master Barang'!B35)</f>
        <v>0</v>
      </c>
      <c r="P4741">
        <f>IF(OR(M4741="",N4741=""),"",SUMIFS('Barang Keluar'!$E:$E,'Barang Keluar'!$A:$A,M4741,'Barang Keluar'!$C:$C,N4741))</f>
        <v>0</v>
      </c>
    </row>
    <row r="4742" spans="13:16">
      <c r="M4742" s="49">
        <f>IF($A$4+47&gt;$B$4,"",$A$4+47)</f>
        <v>46070</v>
      </c>
      <c r="N4742">
        <f>IF(M4742="","",'Master Barang'!A36)</f>
        <v>0</v>
      </c>
      <c r="O4742">
        <f>IF(N4742="","",'Master Barang'!B36)</f>
        <v>0</v>
      </c>
      <c r="P4742">
        <f>IF(OR(M4742="",N4742=""),"",SUMIFS('Barang Keluar'!$E:$E,'Barang Keluar'!$A:$A,M4742,'Barang Keluar'!$C:$C,N4742))</f>
        <v>0</v>
      </c>
    </row>
    <row r="4743" spans="13:16">
      <c r="M4743" s="49">
        <f>IF($A$4+47&gt;$B$4,"",$A$4+47)</f>
        <v>46070</v>
      </c>
      <c r="N4743">
        <f>IF(M4743="","",'Master Barang'!A37)</f>
        <v>0</v>
      </c>
      <c r="O4743">
        <f>IF(N4743="","",'Master Barang'!B37)</f>
        <v>0</v>
      </c>
      <c r="P4743">
        <f>IF(OR(M4743="",N4743=""),"",SUMIFS('Barang Keluar'!$E:$E,'Barang Keluar'!$A:$A,M4743,'Barang Keluar'!$C:$C,N4743))</f>
        <v>0</v>
      </c>
    </row>
    <row r="4744" spans="13:16">
      <c r="M4744" s="49">
        <f>IF($A$4+47&gt;$B$4,"",$A$4+47)</f>
        <v>46070</v>
      </c>
      <c r="N4744">
        <f>IF(M4744="","",'Master Barang'!A38)</f>
        <v>0</v>
      </c>
      <c r="O4744">
        <f>IF(N4744="","",'Master Barang'!B38)</f>
        <v>0</v>
      </c>
      <c r="P4744">
        <f>IF(OR(M4744="",N4744=""),"",SUMIFS('Barang Keluar'!$E:$E,'Barang Keluar'!$A:$A,M4744,'Barang Keluar'!$C:$C,N4744))</f>
        <v>0</v>
      </c>
    </row>
    <row r="4745" spans="13:16">
      <c r="M4745" s="49">
        <f>IF($A$4+47&gt;$B$4,"",$A$4+47)</f>
        <v>46070</v>
      </c>
      <c r="N4745">
        <f>IF(M4745="","",'Master Barang'!A39)</f>
        <v>0</v>
      </c>
      <c r="O4745">
        <f>IF(N4745="","",'Master Barang'!B39)</f>
        <v>0</v>
      </c>
      <c r="P4745">
        <f>IF(OR(M4745="",N4745=""),"",SUMIFS('Barang Keluar'!$E:$E,'Barang Keluar'!$A:$A,M4745,'Barang Keluar'!$C:$C,N4745))</f>
        <v>0</v>
      </c>
    </row>
    <row r="4746" spans="13:16">
      <c r="M4746" s="49">
        <f>IF($A$4+47&gt;$B$4,"",$A$4+47)</f>
        <v>46070</v>
      </c>
      <c r="N4746">
        <f>IF(M4746="","",'Master Barang'!A40)</f>
        <v>0</v>
      </c>
      <c r="O4746">
        <f>IF(N4746="","",'Master Barang'!B40)</f>
        <v>0</v>
      </c>
      <c r="P4746">
        <f>IF(OR(M4746="",N4746=""),"",SUMIFS('Barang Keluar'!$E:$E,'Barang Keluar'!$A:$A,M4746,'Barang Keluar'!$C:$C,N4746))</f>
        <v>0</v>
      </c>
    </row>
    <row r="4747" spans="13:16">
      <c r="M4747" s="49">
        <f>IF($A$4+47&gt;$B$4,"",$A$4+47)</f>
        <v>46070</v>
      </c>
      <c r="N4747">
        <f>IF(M4747="","",'Master Barang'!A41)</f>
        <v>0</v>
      </c>
      <c r="O4747">
        <f>IF(N4747="","",'Master Barang'!B41)</f>
        <v>0</v>
      </c>
      <c r="P4747">
        <f>IF(OR(M4747="",N4747=""),"",SUMIFS('Barang Keluar'!$E:$E,'Barang Keluar'!$A:$A,M4747,'Barang Keluar'!$C:$C,N4747))</f>
        <v>0</v>
      </c>
    </row>
    <row r="4748" spans="13:16">
      <c r="M4748" s="49">
        <f>IF($A$4+47&gt;$B$4,"",$A$4+47)</f>
        <v>46070</v>
      </c>
      <c r="N4748">
        <f>IF(M4748="","",'Master Barang'!A42)</f>
        <v>0</v>
      </c>
      <c r="O4748">
        <f>IF(N4748="","",'Master Barang'!B42)</f>
        <v>0</v>
      </c>
      <c r="P4748">
        <f>IF(OR(M4748="",N4748=""),"",SUMIFS('Barang Keluar'!$E:$E,'Barang Keluar'!$A:$A,M4748,'Barang Keluar'!$C:$C,N4748))</f>
        <v>0</v>
      </c>
    </row>
    <row r="4749" spans="13:16">
      <c r="M4749" s="49">
        <f>IF($A$4+47&gt;$B$4,"",$A$4+47)</f>
        <v>46070</v>
      </c>
      <c r="N4749">
        <f>IF(M4749="","",'Master Barang'!A43)</f>
        <v>0</v>
      </c>
      <c r="O4749">
        <f>IF(N4749="","",'Master Barang'!B43)</f>
        <v>0</v>
      </c>
      <c r="P4749">
        <f>IF(OR(M4749="",N4749=""),"",SUMIFS('Barang Keluar'!$E:$E,'Barang Keluar'!$A:$A,M4749,'Barang Keluar'!$C:$C,N4749))</f>
        <v>0</v>
      </c>
    </row>
    <row r="4750" spans="13:16">
      <c r="M4750" s="49">
        <f>IF($A$4+47&gt;$B$4,"",$A$4+47)</f>
        <v>46070</v>
      </c>
      <c r="N4750">
        <f>IF(M4750="","",'Master Barang'!A44)</f>
        <v>0</v>
      </c>
      <c r="O4750">
        <f>IF(N4750="","",'Master Barang'!B44)</f>
        <v>0</v>
      </c>
      <c r="P4750">
        <f>IF(OR(M4750="",N4750=""),"",SUMIFS('Barang Keluar'!$E:$E,'Barang Keluar'!$A:$A,M4750,'Barang Keluar'!$C:$C,N4750))</f>
        <v>0</v>
      </c>
    </row>
    <row r="4751" spans="13:16">
      <c r="M4751" s="49">
        <f>IF($A$4+47&gt;$B$4,"",$A$4+47)</f>
        <v>46070</v>
      </c>
      <c r="N4751">
        <f>IF(M4751="","",'Master Barang'!A45)</f>
        <v>0</v>
      </c>
      <c r="O4751">
        <f>IF(N4751="","",'Master Barang'!B45)</f>
        <v>0</v>
      </c>
      <c r="P4751">
        <f>IF(OR(M4751="",N4751=""),"",SUMIFS('Barang Keluar'!$E:$E,'Barang Keluar'!$A:$A,M4751,'Barang Keluar'!$C:$C,N4751))</f>
        <v>0</v>
      </c>
    </row>
    <row r="4752" spans="13:16">
      <c r="M4752" s="49">
        <f>IF($A$4+47&gt;$B$4,"",$A$4+47)</f>
        <v>46070</v>
      </c>
      <c r="N4752">
        <f>IF(M4752="","",'Master Barang'!A46)</f>
        <v>0</v>
      </c>
      <c r="O4752">
        <f>IF(N4752="","",'Master Barang'!B46)</f>
        <v>0</v>
      </c>
      <c r="P4752">
        <f>IF(OR(M4752="",N4752=""),"",SUMIFS('Barang Keluar'!$E:$E,'Barang Keluar'!$A:$A,M4752,'Barang Keluar'!$C:$C,N4752))</f>
        <v>0</v>
      </c>
    </row>
    <row r="4753" spans="13:16">
      <c r="M4753" s="49">
        <f>IF($A$4+47&gt;$B$4,"",$A$4+47)</f>
        <v>46070</v>
      </c>
      <c r="N4753">
        <f>IF(M4753="","",'Master Barang'!A47)</f>
        <v>0</v>
      </c>
      <c r="O4753">
        <f>IF(N4753="","",'Master Barang'!B47)</f>
        <v>0</v>
      </c>
      <c r="P4753">
        <f>IF(OR(M4753="",N4753=""),"",SUMIFS('Barang Keluar'!$E:$E,'Barang Keluar'!$A:$A,M4753,'Barang Keluar'!$C:$C,N4753))</f>
        <v>0</v>
      </c>
    </row>
    <row r="4754" spans="13:16">
      <c r="M4754" s="49">
        <f>IF($A$4+47&gt;$B$4,"",$A$4+47)</f>
        <v>46070</v>
      </c>
      <c r="N4754">
        <f>IF(M4754="","",'Master Barang'!A48)</f>
        <v>0</v>
      </c>
      <c r="O4754">
        <f>IF(N4754="","",'Master Barang'!B48)</f>
        <v>0</v>
      </c>
      <c r="P4754">
        <f>IF(OR(M4754="",N4754=""),"",SUMIFS('Barang Keluar'!$E:$E,'Barang Keluar'!$A:$A,M4754,'Barang Keluar'!$C:$C,N4754))</f>
        <v>0</v>
      </c>
    </row>
    <row r="4755" spans="13:16">
      <c r="M4755" s="49">
        <f>IF($A$4+47&gt;$B$4,"",$A$4+47)</f>
        <v>46070</v>
      </c>
      <c r="N4755">
        <f>IF(M4755="","",'Master Barang'!A49)</f>
        <v>0</v>
      </c>
      <c r="O4755">
        <f>IF(N4755="","",'Master Barang'!B49)</f>
        <v>0</v>
      </c>
      <c r="P4755">
        <f>IF(OR(M4755="",N4755=""),"",SUMIFS('Barang Keluar'!$E:$E,'Barang Keluar'!$A:$A,M4755,'Barang Keluar'!$C:$C,N4755))</f>
        <v>0</v>
      </c>
    </row>
    <row r="4756" spans="13:16">
      <c r="M4756" s="49">
        <f>IF($A$4+47&gt;$B$4,"",$A$4+47)</f>
        <v>46070</v>
      </c>
      <c r="N4756">
        <f>IF(M4756="","",'Master Barang'!A50)</f>
        <v>0</v>
      </c>
      <c r="O4756">
        <f>IF(N4756="","",'Master Barang'!B50)</f>
        <v>0</v>
      </c>
      <c r="P4756">
        <f>IF(OR(M4756="",N4756=""),"",SUMIFS('Barang Keluar'!$E:$E,'Barang Keluar'!$A:$A,M4756,'Barang Keluar'!$C:$C,N4756))</f>
        <v>0</v>
      </c>
    </row>
    <row r="4757" spans="13:16">
      <c r="M4757" s="49">
        <f>IF($A$4+47&gt;$B$4,"",$A$4+47)</f>
        <v>46070</v>
      </c>
      <c r="N4757">
        <f>IF(M4757="","",'Master Barang'!A51)</f>
        <v>0</v>
      </c>
      <c r="O4757">
        <f>IF(N4757="","",'Master Barang'!B51)</f>
        <v>0</v>
      </c>
      <c r="P4757">
        <f>IF(OR(M4757="",N4757=""),"",SUMIFS('Barang Keluar'!$E:$E,'Barang Keluar'!$A:$A,M4757,'Barang Keluar'!$C:$C,N4757))</f>
        <v>0</v>
      </c>
    </row>
    <row r="4758" spans="13:16">
      <c r="M4758" s="49">
        <f>IF($A$4+47&gt;$B$4,"",$A$4+47)</f>
        <v>46070</v>
      </c>
      <c r="N4758">
        <f>IF(M4758="","",'Master Barang'!A52)</f>
        <v>0</v>
      </c>
      <c r="O4758">
        <f>IF(N4758="","",'Master Barang'!B52)</f>
        <v>0</v>
      </c>
      <c r="P4758">
        <f>IF(OR(M4758="",N4758=""),"",SUMIFS('Barang Keluar'!$E:$E,'Barang Keluar'!$A:$A,M4758,'Barang Keluar'!$C:$C,N4758))</f>
        <v>0</v>
      </c>
    </row>
    <row r="4759" spans="13:16">
      <c r="M4759" s="49">
        <f>IF($A$4+47&gt;$B$4,"",$A$4+47)</f>
        <v>46070</v>
      </c>
      <c r="N4759">
        <f>IF(M4759="","",'Master Barang'!A53)</f>
        <v>0</v>
      </c>
      <c r="O4759">
        <f>IF(N4759="","",'Master Barang'!B53)</f>
        <v>0</v>
      </c>
      <c r="P4759">
        <f>IF(OR(M4759="",N4759=""),"",SUMIFS('Barang Keluar'!$E:$E,'Barang Keluar'!$A:$A,M4759,'Barang Keluar'!$C:$C,N4759))</f>
        <v>0</v>
      </c>
    </row>
    <row r="4760" spans="13:16">
      <c r="M4760" s="49">
        <f>IF($A$4+47&gt;$B$4,"",$A$4+47)</f>
        <v>46070</v>
      </c>
      <c r="N4760">
        <f>IF(M4760="","",'Master Barang'!A54)</f>
        <v>0</v>
      </c>
      <c r="O4760">
        <f>IF(N4760="","",'Master Barang'!B54)</f>
        <v>0</v>
      </c>
      <c r="P4760">
        <f>IF(OR(M4760="",N4760=""),"",SUMIFS('Barang Keluar'!$E:$E,'Barang Keluar'!$A:$A,M4760,'Barang Keluar'!$C:$C,N4760))</f>
        <v>0</v>
      </c>
    </row>
    <row r="4761" spans="13:16">
      <c r="M4761" s="49">
        <f>IF($A$4+47&gt;$B$4,"",$A$4+47)</f>
        <v>46070</v>
      </c>
      <c r="N4761">
        <f>IF(M4761="","",'Master Barang'!A55)</f>
        <v>0</v>
      </c>
      <c r="O4761">
        <f>IF(N4761="","",'Master Barang'!B55)</f>
        <v>0</v>
      </c>
      <c r="P4761">
        <f>IF(OR(M4761="",N4761=""),"",SUMIFS('Barang Keluar'!$E:$E,'Barang Keluar'!$A:$A,M4761,'Barang Keluar'!$C:$C,N4761))</f>
        <v>0</v>
      </c>
    </row>
    <row r="4762" spans="13:16">
      <c r="M4762" s="49">
        <f>IF($A$4+47&gt;$B$4,"",$A$4+47)</f>
        <v>46070</v>
      </c>
      <c r="N4762">
        <f>IF(M4762="","",'Master Barang'!A56)</f>
        <v>0</v>
      </c>
      <c r="O4762">
        <f>IF(N4762="","",'Master Barang'!B56)</f>
        <v>0</v>
      </c>
      <c r="P4762">
        <f>IF(OR(M4762="",N4762=""),"",SUMIFS('Barang Keluar'!$E:$E,'Barang Keluar'!$A:$A,M4762,'Barang Keluar'!$C:$C,N4762))</f>
        <v>0</v>
      </c>
    </row>
    <row r="4763" spans="13:16">
      <c r="M4763" s="49">
        <f>IF($A$4+47&gt;$B$4,"",$A$4+47)</f>
        <v>46070</v>
      </c>
      <c r="N4763">
        <f>IF(M4763="","",'Master Barang'!A57)</f>
        <v>0</v>
      </c>
      <c r="O4763">
        <f>IF(N4763="","",'Master Barang'!B57)</f>
        <v>0</v>
      </c>
      <c r="P4763">
        <f>IF(OR(M4763="",N4763=""),"",SUMIFS('Barang Keluar'!$E:$E,'Barang Keluar'!$A:$A,M4763,'Barang Keluar'!$C:$C,N4763))</f>
        <v>0</v>
      </c>
    </row>
    <row r="4764" spans="13:16">
      <c r="M4764" s="49">
        <f>IF($A$4+47&gt;$B$4,"",$A$4+47)</f>
        <v>46070</v>
      </c>
      <c r="N4764">
        <f>IF(M4764="","",'Master Barang'!A58)</f>
        <v>0</v>
      </c>
      <c r="O4764">
        <f>IF(N4764="","",'Master Barang'!B58)</f>
        <v>0</v>
      </c>
      <c r="P4764">
        <f>IF(OR(M4764="",N4764=""),"",SUMIFS('Barang Keluar'!$E:$E,'Barang Keluar'!$A:$A,M4764,'Barang Keluar'!$C:$C,N4764))</f>
        <v>0</v>
      </c>
    </row>
    <row r="4765" spans="13:16">
      <c r="M4765" s="49">
        <f>IF($A$4+47&gt;$B$4,"",$A$4+47)</f>
        <v>46070</v>
      </c>
      <c r="N4765">
        <f>IF(M4765="","",'Master Barang'!A59)</f>
        <v>0</v>
      </c>
      <c r="O4765">
        <f>IF(N4765="","",'Master Barang'!B59)</f>
        <v>0</v>
      </c>
      <c r="P4765">
        <f>IF(OR(M4765="",N4765=""),"",SUMIFS('Barang Keluar'!$E:$E,'Barang Keluar'!$A:$A,M4765,'Barang Keluar'!$C:$C,N4765))</f>
        <v>0</v>
      </c>
    </row>
    <row r="4766" spans="13:16">
      <c r="M4766" s="49">
        <f>IF($A$4+47&gt;$B$4,"",$A$4+47)</f>
        <v>46070</v>
      </c>
      <c r="N4766">
        <f>IF(M4766="","",'Master Barang'!A60)</f>
        <v>0</v>
      </c>
      <c r="O4766">
        <f>IF(N4766="","",'Master Barang'!B60)</f>
        <v>0</v>
      </c>
      <c r="P4766">
        <f>IF(OR(M4766="",N4766=""),"",SUMIFS('Barang Keluar'!$E:$E,'Barang Keluar'!$A:$A,M4766,'Barang Keluar'!$C:$C,N4766))</f>
        <v>0</v>
      </c>
    </row>
    <row r="4767" spans="13:16">
      <c r="M4767" s="49">
        <f>IF($A$4+47&gt;$B$4,"",$A$4+47)</f>
        <v>46070</v>
      </c>
      <c r="N4767">
        <f>IF(M4767="","",'Master Barang'!A61)</f>
        <v>0</v>
      </c>
      <c r="O4767">
        <f>IF(N4767="","",'Master Barang'!B61)</f>
        <v>0</v>
      </c>
      <c r="P4767">
        <f>IF(OR(M4767="",N4767=""),"",SUMIFS('Barang Keluar'!$E:$E,'Barang Keluar'!$A:$A,M4767,'Barang Keluar'!$C:$C,N4767))</f>
        <v>0</v>
      </c>
    </row>
    <row r="4768" spans="13:16">
      <c r="M4768" s="49">
        <f>IF($A$4+47&gt;$B$4,"",$A$4+47)</f>
        <v>46070</v>
      </c>
      <c r="N4768">
        <f>IF(M4768="","",'Master Barang'!A62)</f>
        <v>0</v>
      </c>
      <c r="O4768">
        <f>IF(N4768="","",'Master Barang'!B62)</f>
        <v>0</v>
      </c>
      <c r="P4768">
        <f>IF(OR(M4768="",N4768=""),"",SUMIFS('Barang Keluar'!$E:$E,'Barang Keluar'!$A:$A,M4768,'Barang Keluar'!$C:$C,N4768))</f>
        <v>0</v>
      </c>
    </row>
    <row r="4769" spans="13:16">
      <c r="M4769" s="49">
        <f>IF($A$4+47&gt;$B$4,"",$A$4+47)</f>
        <v>46070</v>
      </c>
      <c r="N4769">
        <f>IF(M4769="","",'Master Barang'!A63)</f>
        <v>0</v>
      </c>
      <c r="O4769">
        <f>IF(N4769="","",'Master Barang'!B63)</f>
        <v>0</v>
      </c>
      <c r="P4769">
        <f>IF(OR(M4769="",N4769=""),"",SUMIFS('Barang Keluar'!$E:$E,'Barang Keluar'!$A:$A,M4769,'Barang Keluar'!$C:$C,N4769))</f>
        <v>0</v>
      </c>
    </row>
    <row r="4770" spans="13:16">
      <c r="M4770" s="49">
        <f>IF($A$4+47&gt;$B$4,"",$A$4+47)</f>
        <v>46070</v>
      </c>
      <c r="N4770">
        <f>IF(M4770="","",'Master Barang'!A64)</f>
        <v>0</v>
      </c>
      <c r="O4770">
        <f>IF(N4770="","",'Master Barang'!B64)</f>
        <v>0</v>
      </c>
      <c r="P4770">
        <f>IF(OR(M4770="",N4770=""),"",SUMIFS('Barang Keluar'!$E:$E,'Barang Keluar'!$A:$A,M4770,'Barang Keluar'!$C:$C,N4770))</f>
        <v>0</v>
      </c>
    </row>
    <row r="4771" spans="13:16">
      <c r="M4771" s="49">
        <f>IF($A$4+47&gt;$B$4,"",$A$4+47)</f>
        <v>46070</v>
      </c>
      <c r="N4771">
        <f>IF(M4771="","",'Master Barang'!A65)</f>
        <v>0</v>
      </c>
      <c r="O4771">
        <f>IF(N4771="","",'Master Barang'!B65)</f>
        <v>0</v>
      </c>
      <c r="P4771">
        <f>IF(OR(M4771="",N4771=""),"",SUMIFS('Barang Keluar'!$E:$E,'Barang Keluar'!$A:$A,M4771,'Barang Keluar'!$C:$C,N4771))</f>
        <v>0</v>
      </c>
    </row>
    <row r="4772" spans="13:16">
      <c r="M4772" s="49">
        <f>IF($A$4+47&gt;$B$4,"",$A$4+47)</f>
        <v>46070</v>
      </c>
      <c r="N4772">
        <f>IF(M4772="","",'Master Barang'!A66)</f>
        <v>0</v>
      </c>
      <c r="O4772">
        <f>IF(N4772="","",'Master Barang'!B66)</f>
        <v>0</v>
      </c>
      <c r="P4772">
        <f>IF(OR(M4772="",N4772=""),"",SUMIFS('Barang Keluar'!$E:$E,'Barang Keluar'!$A:$A,M4772,'Barang Keluar'!$C:$C,N4772))</f>
        <v>0</v>
      </c>
    </row>
    <row r="4773" spans="13:16">
      <c r="M4773" s="49">
        <f>IF($A$4+47&gt;$B$4,"",$A$4+47)</f>
        <v>46070</v>
      </c>
      <c r="N4773">
        <f>IF(M4773="","",'Master Barang'!A67)</f>
        <v>0</v>
      </c>
      <c r="O4773">
        <f>IF(N4773="","",'Master Barang'!B67)</f>
        <v>0</v>
      </c>
      <c r="P4773">
        <f>IF(OR(M4773="",N4773=""),"",SUMIFS('Barang Keluar'!$E:$E,'Barang Keluar'!$A:$A,M4773,'Barang Keluar'!$C:$C,N4773))</f>
        <v>0</v>
      </c>
    </row>
    <row r="4774" spans="13:16">
      <c r="M4774" s="49">
        <f>IF($A$4+47&gt;$B$4,"",$A$4+47)</f>
        <v>46070</v>
      </c>
      <c r="N4774">
        <f>IF(M4774="","",'Master Barang'!A68)</f>
        <v>0</v>
      </c>
      <c r="O4774">
        <f>IF(N4774="","",'Master Barang'!B68)</f>
        <v>0</v>
      </c>
      <c r="P4774">
        <f>IF(OR(M4774="",N4774=""),"",SUMIFS('Barang Keluar'!$E:$E,'Barang Keluar'!$A:$A,M4774,'Barang Keluar'!$C:$C,N4774))</f>
        <v>0</v>
      </c>
    </row>
    <row r="4775" spans="13:16">
      <c r="M4775" s="49">
        <f>IF($A$4+47&gt;$B$4,"",$A$4+47)</f>
        <v>46070</v>
      </c>
      <c r="N4775">
        <f>IF(M4775="","",'Master Barang'!A69)</f>
        <v>0</v>
      </c>
      <c r="O4775">
        <f>IF(N4775="","",'Master Barang'!B69)</f>
        <v>0</v>
      </c>
      <c r="P4775">
        <f>IF(OR(M4775="",N4775=""),"",SUMIFS('Barang Keluar'!$E:$E,'Barang Keluar'!$A:$A,M4775,'Barang Keluar'!$C:$C,N4775))</f>
        <v>0</v>
      </c>
    </row>
    <row r="4776" spans="13:16">
      <c r="M4776" s="49">
        <f>IF($A$4+47&gt;$B$4,"",$A$4+47)</f>
        <v>46070</v>
      </c>
      <c r="N4776">
        <f>IF(M4776="","",'Master Barang'!A70)</f>
        <v>0</v>
      </c>
      <c r="O4776">
        <f>IF(N4776="","",'Master Barang'!B70)</f>
        <v>0</v>
      </c>
      <c r="P4776">
        <f>IF(OR(M4776="",N4776=""),"",SUMIFS('Barang Keluar'!$E:$E,'Barang Keluar'!$A:$A,M4776,'Barang Keluar'!$C:$C,N4776))</f>
        <v>0</v>
      </c>
    </row>
    <row r="4777" spans="13:16">
      <c r="M4777" s="49">
        <f>IF($A$4+47&gt;$B$4,"",$A$4+47)</f>
        <v>46070</v>
      </c>
      <c r="N4777">
        <f>IF(M4777="","",'Master Barang'!A71)</f>
        <v>0</v>
      </c>
      <c r="O4777">
        <f>IF(N4777="","",'Master Barang'!B71)</f>
        <v>0</v>
      </c>
      <c r="P4777">
        <f>IF(OR(M4777="",N4777=""),"",SUMIFS('Barang Keluar'!$E:$E,'Barang Keluar'!$A:$A,M4777,'Barang Keluar'!$C:$C,N4777))</f>
        <v>0</v>
      </c>
    </row>
    <row r="4778" spans="13:16">
      <c r="M4778" s="49">
        <f>IF($A$4+47&gt;$B$4,"",$A$4+47)</f>
        <v>46070</v>
      </c>
      <c r="N4778">
        <f>IF(M4778="","",'Master Barang'!A72)</f>
        <v>0</v>
      </c>
      <c r="O4778">
        <f>IF(N4778="","",'Master Barang'!B72)</f>
        <v>0</v>
      </c>
      <c r="P4778">
        <f>IF(OR(M4778="",N4778=""),"",SUMIFS('Barang Keluar'!$E:$E,'Barang Keluar'!$A:$A,M4778,'Barang Keluar'!$C:$C,N4778))</f>
        <v>0</v>
      </c>
    </row>
    <row r="4779" spans="13:16">
      <c r="M4779" s="49">
        <f>IF($A$4+47&gt;$B$4,"",$A$4+47)</f>
        <v>46070</v>
      </c>
      <c r="N4779">
        <f>IF(M4779="","",'Master Barang'!A73)</f>
        <v>0</v>
      </c>
      <c r="O4779">
        <f>IF(N4779="","",'Master Barang'!B73)</f>
        <v>0</v>
      </c>
      <c r="P4779">
        <f>IF(OR(M4779="",N4779=""),"",SUMIFS('Barang Keluar'!$E:$E,'Barang Keluar'!$A:$A,M4779,'Barang Keluar'!$C:$C,N4779))</f>
        <v>0</v>
      </c>
    </row>
    <row r="4780" spans="13:16">
      <c r="M4780" s="49">
        <f>IF($A$4+47&gt;$B$4,"",$A$4+47)</f>
        <v>46070</v>
      </c>
      <c r="N4780">
        <f>IF(M4780="","",'Master Barang'!A74)</f>
        <v>0</v>
      </c>
      <c r="O4780">
        <f>IF(N4780="","",'Master Barang'!B74)</f>
        <v>0</v>
      </c>
      <c r="P4780">
        <f>IF(OR(M4780="",N4780=""),"",SUMIFS('Barang Keluar'!$E:$E,'Barang Keluar'!$A:$A,M4780,'Barang Keluar'!$C:$C,N4780))</f>
        <v>0</v>
      </c>
    </row>
    <row r="4781" spans="13:16">
      <c r="M4781" s="49">
        <f>IF($A$4+47&gt;$B$4,"",$A$4+47)</f>
        <v>46070</v>
      </c>
      <c r="N4781">
        <f>IF(M4781="","",'Master Barang'!A75)</f>
        <v>0</v>
      </c>
      <c r="O4781">
        <f>IF(N4781="","",'Master Barang'!B75)</f>
        <v>0</v>
      </c>
      <c r="P4781">
        <f>IF(OR(M4781="",N4781=""),"",SUMIFS('Barang Keluar'!$E:$E,'Barang Keluar'!$A:$A,M4781,'Barang Keluar'!$C:$C,N4781))</f>
        <v>0</v>
      </c>
    </row>
    <row r="4782" spans="13:16">
      <c r="M4782" s="49">
        <f>IF($A$4+47&gt;$B$4,"",$A$4+47)</f>
        <v>46070</v>
      </c>
      <c r="N4782">
        <f>IF(M4782="","",'Master Barang'!A76)</f>
        <v>0</v>
      </c>
      <c r="O4782">
        <f>IF(N4782="","",'Master Barang'!B76)</f>
        <v>0</v>
      </c>
      <c r="P4782">
        <f>IF(OR(M4782="",N4782=""),"",SUMIFS('Barang Keluar'!$E:$E,'Barang Keluar'!$A:$A,M4782,'Barang Keluar'!$C:$C,N4782))</f>
        <v>0</v>
      </c>
    </row>
    <row r="4783" spans="13:16">
      <c r="M4783" s="49">
        <f>IF($A$4+47&gt;$B$4,"",$A$4+47)</f>
        <v>46070</v>
      </c>
      <c r="N4783">
        <f>IF(M4783="","",'Master Barang'!A77)</f>
        <v>0</v>
      </c>
      <c r="O4783">
        <f>IF(N4783="","",'Master Barang'!B77)</f>
        <v>0</v>
      </c>
      <c r="P4783">
        <f>IF(OR(M4783="",N4783=""),"",SUMIFS('Barang Keluar'!$E:$E,'Barang Keluar'!$A:$A,M4783,'Barang Keluar'!$C:$C,N4783))</f>
        <v>0</v>
      </c>
    </row>
    <row r="4784" spans="13:16">
      <c r="M4784" s="49">
        <f>IF($A$4+47&gt;$B$4,"",$A$4+47)</f>
        <v>46070</v>
      </c>
      <c r="N4784">
        <f>IF(M4784="","",'Master Barang'!A78)</f>
        <v>0</v>
      </c>
      <c r="O4784">
        <f>IF(N4784="","",'Master Barang'!B78)</f>
        <v>0</v>
      </c>
      <c r="P4784">
        <f>IF(OR(M4784="",N4784=""),"",SUMIFS('Barang Keluar'!$E:$E,'Barang Keluar'!$A:$A,M4784,'Barang Keluar'!$C:$C,N4784))</f>
        <v>0</v>
      </c>
    </row>
    <row r="4785" spans="13:16">
      <c r="M4785" s="49">
        <f>IF($A$4+47&gt;$B$4,"",$A$4+47)</f>
        <v>46070</v>
      </c>
      <c r="N4785">
        <f>IF(M4785="","",'Master Barang'!A79)</f>
        <v>0</v>
      </c>
      <c r="O4785">
        <f>IF(N4785="","",'Master Barang'!B79)</f>
        <v>0</v>
      </c>
      <c r="P4785">
        <f>IF(OR(M4785="",N4785=""),"",SUMIFS('Barang Keluar'!$E:$E,'Barang Keluar'!$A:$A,M4785,'Barang Keluar'!$C:$C,N4785))</f>
        <v>0</v>
      </c>
    </row>
    <row r="4786" spans="13:16">
      <c r="M4786" s="49">
        <f>IF($A$4+47&gt;$B$4,"",$A$4+47)</f>
        <v>46070</v>
      </c>
      <c r="N4786">
        <f>IF(M4786="","",'Master Barang'!A80)</f>
        <v>0</v>
      </c>
      <c r="O4786">
        <f>IF(N4786="","",'Master Barang'!B80)</f>
        <v>0</v>
      </c>
      <c r="P4786">
        <f>IF(OR(M4786="",N4786=""),"",SUMIFS('Barang Keluar'!$E:$E,'Barang Keluar'!$A:$A,M4786,'Barang Keluar'!$C:$C,N4786))</f>
        <v>0</v>
      </c>
    </row>
    <row r="4787" spans="13:16">
      <c r="M4787" s="49">
        <f>IF($A$4+47&gt;$B$4,"",$A$4+47)</f>
        <v>46070</v>
      </c>
      <c r="N4787">
        <f>IF(M4787="","",'Master Barang'!A81)</f>
        <v>0</v>
      </c>
      <c r="O4787">
        <f>IF(N4787="","",'Master Barang'!B81)</f>
        <v>0</v>
      </c>
      <c r="P4787">
        <f>IF(OR(M4787="",N4787=""),"",SUMIFS('Barang Keluar'!$E:$E,'Barang Keluar'!$A:$A,M4787,'Barang Keluar'!$C:$C,N4787))</f>
        <v>0</v>
      </c>
    </row>
    <row r="4788" spans="13:16">
      <c r="M4788" s="49">
        <f>IF($A$4+47&gt;$B$4,"",$A$4+47)</f>
        <v>46070</v>
      </c>
      <c r="N4788">
        <f>IF(M4788="","",'Master Barang'!A82)</f>
        <v>0</v>
      </c>
      <c r="O4788">
        <f>IF(N4788="","",'Master Barang'!B82)</f>
        <v>0</v>
      </c>
      <c r="P4788">
        <f>IF(OR(M4788="",N4788=""),"",SUMIFS('Barang Keluar'!$E:$E,'Barang Keluar'!$A:$A,M4788,'Barang Keluar'!$C:$C,N4788))</f>
        <v>0</v>
      </c>
    </row>
    <row r="4789" spans="13:16">
      <c r="M4789" s="49">
        <f>IF($A$4+47&gt;$B$4,"",$A$4+47)</f>
        <v>46070</v>
      </c>
      <c r="N4789">
        <f>IF(M4789="","",'Master Barang'!A83)</f>
        <v>0</v>
      </c>
      <c r="O4789">
        <f>IF(N4789="","",'Master Barang'!B83)</f>
        <v>0</v>
      </c>
      <c r="P4789">
        <f>IF(OR(M4789="",N4789=""),"",SUMIFS('Barang Keluar'!$E:$E,'Barang Keluar'!$A:$A,M4789,'Barang Keluar'!$C:$C,N4789))</f>
        <v>0</v>
      </c>
    </row>
    <row r="4790" spans="13:16">
      <c r="M4790" s="49">
        <f>IF($A$4+47&gt;$B$4,"",$A$4+47)</f>
        <v>46070</v>
      </c>
      <c r="N4790">
        <f>IF(M4790="","",'Master Barang'!A84)</f>
        <v>0</v>
      </c>
      <c r="O4790">
        <f>IF(N4790="","",'Master Barang'!B84)</f>
        <v>0</v>
      </c>
      <c r="P4790">
        <f>IF(OR(M4790="",N4790=""),"",SUMIFS('Barang Keluar'!$E:$E,'Barang Keluar'!$A:$A,M4790,'Barang Keluar'!$C:$C,N4790))</f>
        <v>0</v>
      </c>
    </row>
    <row r="4791" spans="13:16">
      <c r="M4791" s="49">
        <f>IF($A$4+47&gt;$B$4,"",$A$4+47)</f>
        <v>46070</v>
      </c>
      <c r="N4791">
        <f>IF(M4791="","",'Master Barang'!A85)</f>
        <v>0</v>
      </c>
      <c r="O4791">
        <f>IF(N4791="","",'Master Barang'!B85)</f>
        <v>0</v>
      </c>
      <c r="P4791">
        <f>IF(OR(M4791="",N4791=""),"",SUMIFS('Barang Keluar'!$E:$E,'Barang Keluar'!$A:$A,M4791,'Barang Keluar'!$C:$C,N4791))</f>
        <v>0</v>
      </c>
    </row>
    <row r="4792" spans="13:16">
      <c r="M4792" s="49">
        <f>IF($A$4+47&gt;$B$4,"",$A$4+47)</f>
        <v>46070</v>
      </c>
      <c r="N4792">
        <f>IF(M4792="","",'Master Barang'!A86)</f>
        <v>0</v>
      </c>
      <c r="O4792">
        <f>IF(N4792="","",'Master Barang'!B86)</f>
        <v>0</v>
      </c>
      <c r="P4792">
        <f>IF(OR(M4792="",N4792=""),"",SUMIFS('Barang Keluar'!$E:$E,'Barang Keluar'!$A:$A,M4792,'Barang Keluar'!$C:$C,N4792))</f>
        <v>0</v>
      </c>
    </row>
    <row r="4793" spans="13:16">
      <c r="M4793" s="49">
        <f>IF($A$4+47&gt;$B$4,"",$A$4+47)</f>
        <v>46070</v>
      </c>
      <c r="N4793">
        <f>IF(M4793="","",'Master Barang'!A87)</f>
        <v>0</v>
      </c>
      <c r="O4793">
        <f>IF(N4793="","",'Master Barang'!B87)</f>
        <v>0</v>
      </c>
      <c r="P4793">
        <f>IF(OR(M4793="",N4793=""),"",SUMIFS('Barang Keluar'!$E:$E,'Barang Keluar'!$A:$A,M4793,'Barang Keluar'!$C:$C,N4793))</f>
        <v>0</v>
      </c>
    </row>
    <row r="4794" spans="13:16">
      <c r="M4794" s="49">
        <f>IF($A$4+47&gt;$B$4,"",$A$4+47)</f>
        <v>46070</v>
      </c>
      <c r="N4794">
        <f>IF(M4794="","",'Master Barang'!A88)</f>
        <v>0</v>
      </c>
      <c r="O4794">
        <f>IF(N4794="","",'Master Barang'!B88)</f>
        <v>0</v>
      </c>
      <c r="P4794">
        <f>IF(OR(M4794="",N4794=""),"",SUMIFS('Barang Keluar'!$E:$E,'Barang Keluar'!$A:$A,M4794,'Barang Keluar'!$C:$C,N4794))</f>
        <v>0</v>
      </c>
    </row>
    <row r="4795" spans="13:16">
      <c r="M4795" s="49">
        <f>IF($A$4+47&gt;$B$4,"",$A$4+47)</f>
        <v>46070</v>
      </c>
      <c r="N4795">
        <f>IF(M4795="","",'Master Barang'!A89)</f>
        <v>0</v>
      </c>
      <c r="O4795">
        <f>IF(N4795="","",'Master Barang'!B89)</f>
        <v>0</v>
      </c>
      <c r="P4795">
        <f>IF(OR(M4795="",N4795=""),"",SUMIFS('Barang Keluar'!$E:$E,'Barang Keluar'!$A:$A,M4795,'Barang Keluar'!$C:$C,N4795))</f>
        <v>0</v>
      </c>
    </row>
    <row r="4796" spans="13:16">
      <c r="M4796" s="49">
        <f>IF($A$4+47&gt;$B$4,"",$A$4+47)</f>
        <v>46070</v>
      </c>
      <c r="N4796">
        <f>IF(M4796="","",'Master Barang'!A90)</f>
        <v>0</v>
      </c>
      <c r="O4796">
        <f>IF(N4796="","",'Master Barang'!B90)</f>
        <v>0</v>
      </c>
      <c r="P4796">
        <f>IF(OR(M4796="",N4796=""),"",SUMIFS('Barang Keluar'!$E:$E,'Barang Keluar'!$A:$A,M4796,'Barang Keluar'!$C:$C,N4796))</f>
        <v>0</v>
      </c>
    </row>
    <row r="4797" spans="13:16">
      <c r="M4797" s="49">
        <f>IF($A$4+47&gt;$B$4,"",$A$4+47)</f>
        <v>46070</v>
      </c>
      <c r="N4797">
        <f>IF(M4797="","",'Master Barang'!A91)</f>
        <v>0</v>
      </c>
      <c r="O4797">
        <f>IF(N4797="","",'Master Barang'!B91)</f>
        <v>0</v>
      </c>
      <c r="P4797">
        <f>IF(OR(M4797="",N4797=""),"",SUMIFS('Barang Keluar'!$E:$E,'Barang Keluar'!$A:$A,M4797,'Barang Keluar'!$C:$C,N4797))</f>
        <v>0</v>
      </c>
    </row>
    <row r="4798" spans="13:16">
      <c r="M4798" s="49">
        <f>IF($A$4+47&gt;$B$4,"",$A$4+47)</f>
        <v>46070</v>
      </c>
      <c r="N4798">
        <f>IF(M4798="","",'Master Barang'!A92)</f>
        <v>0</v>
      </c>
      <c r="O4798">
        <f>IF(N4798="","",'Master Barang'!B92)</f>
        <v>0</v>
      </c>
      <c r="P4798">
        <f>IF(OR(M4798="",N4798=""),"",SUMIFS('Barang Keluar'!$E:$E,'Barang Keluar'!$A:$A,M4798,'Barang Keluar'!$C:$C,N4798))</f>
        <v>0</v>
      </c>
    </row>
    <row r="4799" spans="13:16">
      <c r="M4799" s="49">
        <f>IF($A$4+47&gt;$B$4,"",$A$4+47)</f>
        <v>46070</v>
      </c>
      <c r="N4799">
        <f>IF(M4799="","",'Master Barang'!A93)</f>
        <v>0</v>
      </c>
      <c r="O4799">
        <f>IF(N4799="","",'Master Barang'!B93)</f>
        <v>0</v>
      </c>
      <c r="P4799">
        <f>IF(OR(M4799="",N4799=""),"",SUMIFS('Barang Keluar'!$E:$E,'Barang Keluar'!$A:$A,M4799,'Barang Keluar'!$C:$C,N4799))</f>
        <v>0</v>
      </c>
    </row>
    <row r="4800" spans="13:16">
      <c r="M4800" s="49">
        <f>IF($A$4+47&gt;$B$4,"",$A$4+47)</f>
        <v>46070</v>
      </c>
      <c r="N4800">
        <f>IF(M4800="","",'Master Barang'!A94)</f>
        <v>0</v>
      </c>
      <c r="O4800">
        <f>IF(N4800="","",'Master Barang'!B94)</f>
        <v>0</v>
      </c>
      <c r="P4800">
        <f>IF(OR(M4800="",N4800=""),"",SUMIFS('Barang Keluar'!$E:$E,'Barang Keluar'!$A:$A,M4800,'Barang Keluar'!$C:$C,N4800))</f>
        <v>0</v>
      </c>
    </row>
    <row r="4801" spans="13:16">
      <c r="M4801" s="49">
        <f>IF($A$4+47&gt;$B$4,"",$A$4+47)</f>
        <v>46070</v>
      </c>
      <c r="N4801">
        <f>IF(M4801="","",'Master Barang'!A95)</f>
        <v>0</v>
      </c>
      <c r="O4801">
        <f>IF(N4801="","",'Master Barang'!B95)</f>
        <v>0</v>
      </c>
      <c r="P4801">
        <f>IF(OR(M4801="",N4801=""),"",SUMIFS('Barang Keluar'!$E:$E,'Barang Keluar'!$A:$A,M4801,'Barang Keluar'!$C:$C,N4801))</f>
        <v>0</v>
      </c>
    </row>
    <row r="4802" spans="13:16">
      <c r="M4802" s="49">
        <f>IF($A$4+47&gt;$B$4,"",$A$4+47)</f>
        <v>46070</v>
      </c>
      <c r="N4802">
        <f>IF(M4802="","",'Master Barang'!A96)</f>
        <v>0</v>
      </c>
      <c r="O4802">
        <f>IF(N4802="","",'Master Barang'!B96)</f>
        <v>0</v>
      </c>
      <c r="P4802">
        <f>IF(OR(M4802="",N4802=""),"",SUMIFS('Barang Keluar'!$E:$E,'Barang Keluar'!$A:$A,M4802,'Barang Keluar'!$C:$C,N4802))</f>
        <v>0</v>
      </c>
    </row>
    <row r="4803" spans="13:16">
      <c r="M4803" s="49">
        <f>IF($A$4+47&gt;$B$4,"",$A$4+47)</f>
        <v>46070</v>
      </c>
      <c r="N4803">
        <f>IF(M4803="","",'Master Barang'!A97)</f>
        <v>0</v>
      </c>
      <c r="O4803">
        <f>IF(N4803="","",'Master Barang'!B97)</f>
        <v>0</v>
      </c>
      <c r="P4803">
        <f>IF(OR(M4803="",N4803=""),"",SUMIFS('Barang Keluar'!$E:$E,'Barang Keluar'!$A:$A,M4803,'Barang Keluar'!$C:$C,N4803))</f>
        <v>0</v>
      </c>
    </row>
    <row r="4804" spans="13:16">
      <c r="M4804" s="49">
        <f>IF($A$4+47&gt;$B$4,"",$A$4+47)</f>
        <v>46070</v>
      </c>
      <c r="N4804">
        <f>IF(M4804="","",'Master Barang'!A98)</f>
        <v>0</v>
      </c>
      <c r="O4804">
        <f>IF(N4804="","",'Master Barang'!B98)</f>
        <v>0</v>
      </c>
      <c r="P4804">
        <f>IF(OR(M4804="",N4804=""),"",SUMIFS('Barang Keluar'!$E:$E,'Barang Keluar'!$A:$A,M4804,'Barang Keluar'!$C:$C,N4804))</f>
        <v>0</v>
      </c>
    </row>
    <row r="4805" spans="13:16">
      <c r="M4805" s="49">
        <f>IF($A$4+47&gt;$B$4,"",$A$4+47)</f>
        <v>46070</v>
      </c>
      <c r="N4805">
        <f>IF(M4805="","",'Master Barang'!A99)</f>
        <v>0</v>
      </c>
      <c r="O4805">
        <f>IF(N4805="","",'Master Barang'!B99)</f>
        <v>0</v>
      </c>
      <c r="P4805">
        <f>IF(OR(M4805="",N4805=""),"",SUMIFS('Barang Keluar'!$E:$E,'Barang Keluar'!$A:$A,M4805,'Barang Keluar'!$C:$C,N4805))</f>
        <v>0</v>
      </c>
    </row>
    <row r="4806" spans="13:16">
      <c r="M4806" s="49">
        <f>IF($A$4+47&gt;$B$4,"",$A$4+47)</f>
        <v>46070</v>
      </c>
      <c r="N4806">
        <f>IF(M4806="","",'Master Barang'!A100)</f>
        <v>0</v>
      </c>
      <c r="O4806">
        <f>IF(N4806="","",'Master Barang'!B100)</f>
        <v>0</v>
      </c>
      <c r="P4806">
        <f>IF(OR(M4806="",N4806=""),"",SUMIFS('Barang Keluar'!$E:$E,'Barang Keluar'!$A:$A,M4806,'Barang Keluar'!$C:$C,N4806))</f>
        <v>0</v>
      </c>
    </row>
    <row r="4807" spans="13:16">
      <c r="M4807" s="49">
        <f>IF($A$4+47&gt;$B$4,"",$A$4+47)</f>
        <v>46070</v>
      </c>
      <c r="N4807">
        <f>IF(M4807="","",'Master Barang'!A101)</f>
        <v>0</v>
      </c>
      <c r="O4807">
        <f>IF(N4807="","",'Master Barang'!B101)</f>
        <v>0</v>
      </c>
      <c r="P4807">
        <f>IF(OR(M4807="",N4807=""),"",SUMIFS('Barang Keluar'!$E:$E,'Barang Keluar'!$A:$A,M4807,'Barang Keluar'!$C:$C,N4807))</f>
        <v>0</v>
      </c>
    </row>
    <row r="4808" spans="13:16">
      <c r="M4808" s="49">
        <f>IF($A$4+48&gt;$B$4,"",$A$4+48)</f>
        <v>46071</v>
      </c>
      <c r="N4808" t="str">
        <f>IF(M4808="","",'Master Barang'!A2)</f>
        <v>PRL-001</v>
      </c>
      <c r="O4808" t="str">
        <f>IF(N4808="","",'Master Barang'!B2)</f>
        <v>natura desinfectant food grade 5l</v>
      </c>
      <c r="P4808">
        <f>IF(OR(M4808="",N4808=""),"",SUMIFS('Barang Keluar'!$E:$E,'Barang Keluar'!$A:$A,M4808,'Barang Keluar'!$C:$C,N4808))</f>
        <v>0</v>
      </c>
    </row>
    <row r="4809" spans="13:16">
      <c r="M4809" s="49">
        <f>IF($A$4+48&gt;$B$4,"",$A$4+48)</f>
        <v>46071</v>
      </c>
      <c r="N4809" t="str">
        <f>IF(M4809="","",'Master Barang'!A3)</f>
        <v>PRL-002</v>
      </c>
      <c r="O4809" t="str">
        <f>IF(N4809="","",'Master Barang'!B3)</f>
        <v>sunlight cairan pencuci piring 5l</v>
      </c>
      <c r="P4809">
        <f>IF(OR(M4809="",N4809=""),"",SUMIFS('Barang Keluar'!$E:$E,'Barang Keluar'!$A:$A,M4809,'Barang Keluar'!$C:$C,N4809))</f>
        <v>0</v>
      </c>
    </row>
    <row r="4810" spans="13:16">
      <c r="M4810" s="49">
        <f>IF($A$4+48&gt;$B$4,"",$A$4+48)</f>
        <v>46071</v>
      </c>
      <c r="N4810" t="str">
        <f>IF(M4810="","",'Master Barang'!A4)</f>
        <v>PRL-003</v>
      </c>
      <c r="O4810" t="str">
        <f>IF(N4810="","",'Master Barang'!B4)</f>
        <v>oixs cleaner 1l</v>
      </c>
      <c r="P4810">
        <f>IF(OR(M4810="",N4810=""),"",SUMIFS('Barang Keluar'!$E:$E,'Barang Keluar'!$A:$A,M4810,'Barang Keluar'!$C:$C,N4810))</f>
        <v>0</v>
      </c>
    </row>
    <row r="4811" spans="13:16">
      <c r="M4811" s="49">
        <f>IF($A$4+48&gt;$B$4,"",$A$4+48)</f>
        <v>46071</v>
      </c>
      <c r="N4811" t="str">
        <f>IF(M4811="","",'Master Barang'!A5)</f>
        <v>PRL-004</v>
      </c>
      <c r="O4811" t="str">
        <f>IF(N4811="","",'Master Barang'!B5)</f>
        <v>be clean tissue serbaguna</v>
      </c>
      <c r="P4811">
        <f>IF(OR(M4811="",N4811=""),"",SUMIFS('Barang Keluar'!$E:$E,'Barang Keluar'!$A:$A,M4811,'Barang Keluar'!$C:$C,N4811))</f>
        <v>0</v>
      </c>
    </row>
    <row r="4812" spans="13:16">
      <c r="M4812" s="49">
        <f>IF($A$4+48&gt;$B$4,"",$A$4+48)</f>
        <v>46071</v>
      </c>
      <c r="N4812" t="str">
        <f>IF(M4812="","",'Master Barang'!A6)</f>
        <v>PRL-005</v>
      </c>
      <c r="O4812" t="str">
        <f>IF(N4812="","",'Master Barang'!B6)</f>
        <v>spons cuci hijau</v>
      </c>
      <c r="P4812">
        <f>IF(OR(M4812="",N4812=""),"",SUMIFS('Barang Keluar'!$E:$E,'Barang Keluar'!$A:$A,M4812,'Barang Keluar'!$C:$C,N4812))</f>
        <v>0</v>
      </c>
    </row>
    <row r="4813" spans="13:16">
      <c r="M4813" s="49">
        <f>IF($A$4+48&gt;$B$4,"",$A$4+48)</f>
        <v>46071</v>
      </c>
      <c r="N4813" t="str">
        <f>IF(M4813="","",'Master Barang'!A7)</f>
        <v>PRL-006</v>
      </c>
      <c r="O4813" t="str">
        <f>IF(N4813="","",'Master Barang'!B7)</f>
        <v>sabut cuci stainless</v>
      </c>
      <c r="P4813">
        <f>IF(OR(M4813="",N4813=""),"",SUMIFS('Barang Keluar'!$E:$E,'Barang Keluar'!$A:$A,M4813,'Barang Keluar'!$C:$C,N4813))</f>
        <v>0</v>
      </c>
    </row>
    <row r="4814" spans="13:16">
      <c r="M4814" s="49">
        <f>IF($A$4+48&gt;$B$4,"",$A$4+48)</f>
        <v>46071</v>
      </c>
      <c r="N4814" t="str">
        <f>IF(M4814="","",'Master Barang'!A8)</f>
        <v>PRL-007</v>
      </c>
      <c r="O4814" t="str">
        <f>IF(N4814="","",'Master Barang'!B8)</f>
        <v>plastik kresek besar merah 50pc</v>
      </c>
      <c r="P4814">
        <f>IF(OR(M4814="",N4814=""),"",SUMIFS('Barang Keluar'!$E:$E,'Barang Keluar'!$A:$A,M4814,'Barang Keluar'!$C:$C,N4814))</f>
        <v>0</v>
      </c>
    </row>
    <row r="4815" spans="13:16">
      <c r="M4815" s="49">
        <f>IF($A$4+48&gt;$B$4,"",$A$4+48)</f>
        <v>46071</v>
      </c>
      <c r="N4815" t="str">
        <f>IF(M4815="","",'Master Barang'!A9)</f>
        <v>PRL-008</v>
      </c>
      <c r="O4815" t="str">
        <f>IF(N4815="","",'Master Barang'!B9)</f>
        <v>lap besar</v>
      </c>
      <c r="P4815">
        <f>IF(OR(M4815="",N4815=""),"",SUMIFS('Barang Keluar'!$E:$E,'Barang Keluar'!$A:$A,M4815,'Barang Keluar'!$C:$C,N4815))</f>
        <v>0</v>
      </c>
    </row>
    <row r="4816" spans="13:16">
      <c r="M4816" s="49">
        <f>IF($A$4+48&gt;$B$4,"",$A$4+48)</f>
        <v>46071</v>
      </c>
      <c r="N4816" t="str">
        <f>IF(M4816="","",'Master Barang'!A10)</f>
        <v>PRL-009</v>
      </c>
      <c r="O4816" t="str">
        <f>IF(N4816="","",'Master Barang'!B10)</f>
        <v>lap microfiber</v>
      </c>
      <c r="P4816">
        <f>IF(OR(M4816="",N4816=""),"",SUMIFS('Barang Keluar'!$E:$E,'Barang Keluar'!$A:$A,M4816,'Barang Keluar'!$C:$C,N4816))</f>
        <v>0</v>
      </c>
    </row>
    <row r="4817" spans="13:16">
      <c r="M4817" s="49">
        <f>IF($A$4+48&gt;$B$4,"",$A$4+48)</f>
        <v>46071</v>
      </c>
      <c r="N4817" t="str">
        <f>IF(M4817="","",'Master Barang'!A11)</f>
        <v>PRL-010</v>
      </c>
      <c r="O4817" t="str">
        <f>IF(N4817="","",'Master Barang'!B11)</f>
        <v>lap kecil</v>
      </c>
      <c r="P4817">
        <f>IF(OR(M4817="",N4817=""),"",SUMIFS('Barang Keluar'!$E:$E,'Barang Keluar'!$A:$A,M4817,'Barang Keluar'!$C:$C,N4817))</f>
        <v>0</v>
      </c>
    </row>
    <row r="4818" spans="13:16">
      <c r="M4818" s="49">
        <f>IF($A$4+48&gt;$B$4,"",$A$4+48)</f>
        <v>46071</v>
      </c>
      <c r="N4818" t="str">
        <f>IF(M4818="","",'Master Barang'!A12)</f>
        <v>PRL-011</v>
      </c>
      <c r="O4818" t="str">
        <f>IF(N4818="","",'Master Barang'!B12)</f>
        <v>kanebo kecil</v>
      </c>
      <c r="P4818">
        <f>IF(OR(M4818="",N4818=""),"",SUMIFS('Barang Keluar'!$E:$E,'Barang Keluar'!$A:$A,M4818,'Barang Keluar'!$C:$C,N4818))</f>
        <v>0</v>
      </c>
    </row>
    <row r="4819" spans="13:16">
      <c r="M4819" s="49">
        <f>IF($A$4+48&gt;$B$4,"",$A$4+48)</f>
        <v>46071</v>
      </c>
      <c r="N4819" t="str">
        <f>IF(M4819="","",'Master Barang'!A13)</f>
        <v>PRL-012</v>
      </c>
      <c r="O4819" t="str">
        <f>IF(N4819="","",'Master Barang'!B13)</f>
        <v>plastik 1/4kg joyoboyo 100 lembar</v>
      </c>
      <c r="P4819">
        <f>IF(OR(M4819="",N4819=""),"",SUMIFS('Barang Keluar'!$E:$E,'Barang Keluar'!$A:$A,M4819,'Barang Keluar'!$C:$C,N4819))</f>
        <v>0</v>
      </c>
    </row>
    <row r="4820" spans="13:16">
      <c r="M4820" s="49">
        <f>IF($A$4+48&gt;$B$4,"",$A$4+48)</f>
        <v>46071</v>
      </c>
      <c r="N4820" t="str">
        <f>IF(M4820="","",'Master Barang'!A14)</f>
        <v>PRL-013</v>
      </c>
      <c r="O4820" t="str">
        <f>IF(N4820="","",'Master Barang'!B14)</f>
        <v>sarung tangan plastik kaka 100 pcs</v>
      </c>
      <c r="P4820">
        <f>IF(OR(M4820="",N4820=""),"",SUMIFS('Barang Keluar'!$E:$E,'Barang Keluar'!$A:$A,M4820,'Barang Keluar'!$C:$C,N4820))</f>
        <v>0</v>
      </c>
    </row>
    <row r="4821" spans="13:16">
      <c r="M4821" s="49">
        <f>IF($A$4+48&gt;$B$4,"",$A$4+48)</f>
        <v>46071</v>
      </c>
      <c r="N4821" t="str">
        <f>IF(M4821="","",'Master Barang'!A15)</f>
        <v>PRL-014</v>
      </c>
      <c r="O4821" t="str">
        <f>IF(N4821="","",'Master Barang'!B15)</f>
        <v>optima trashbag 80x100</v>
      </c>
      <c r="P4821">
        <f>IF(OR(M4821="",N4821=""),"",SUMIFS('Barang Keluar'!$E:$E,'Barang Keluar'!$A:$A,M4821,'Barang Keluar'!$C:$C,N4821))</f>
        <v>0</v>
      </c>
    </row>
    <row r="4822" spans="13:16">
      <c r="M4822" s="49">
        <f>IF($A$4+48&gt;$B$4,"",$A$4+48)</f>
        <v>46071</v>
      </c>
      <c r="N4822" t="str">
        <f>IF(M4822="","",'Master Barang'!A16)</f>
        <v>PRL-015</v>
      </c>
      <c r="O4822" t="str">
        <f>IF(N4822="","",'Master Barang'!B16)</f>
        <v>optima trashbag 60x100</v>
      </c>
      <c r="P4822">
        <f>IF(OR(M4822="",N4822=""),"",SUMIFS('Barang Keluar'!$E:$E,'Barang Keluar'!$A:$A,M4822,'Barang Keluar'!$C:$C,N4822))</f>
        <v>0</v>
      </c>
    </row>
    <row r="4823" spans="13:16">
      <c r="M4823" s="49">
        <f>IF($A$4+48&gt;$B$4,"",$A$4+48)</f>
        <v>46071</v>
      </c>
      <c r="N4823" t="str">
        <f>IF(M4823="","",'Master Barang'!A17)</f>
        <v>PRL-016</v>
      </c>
      <c r="O4823" t="str">
        <f>IF(N4823="","",'Master Barang'!B17)</f>
        <v>rajawali trashbag 30x40</v>
      </c>
      <c r="P4823">
        <f>IF(OR(M4823="",N4823=""),"",SUMIFS('Barang Keluar'!$E:$E,'Barang Keluar'!$A:$A,M4823,'Barang Keluar'!$C:$C,N4823))</f>
        <v>0</v>
      </c>
    </row>
    <row r="4824" spans="13:16">
      <c r="M4824" s="49">
        <f>IF($A$4+48&gt;$B$4,"",$A$4+48)</f>
        <v>46071</v>
      </c>
      <c r="N4824" t="str">
        <f>IF(M4824="","",'Master Barang'!A18)</f>
        <v>PRL-017</v>
      </c>
      <c r="O4824" t="str">
        <f>IF(N4824="","",'Master Barang'!B18)</f>
        <v>onemed masker biru 3 play 50 pcs</v>
      </c>
      <c r="P4824">
        <f>IF(OR(M4824="",N4824=""),"",SUMIFS('Barang Keluar'!$E:$E,'Barang Keluar'!$A:$A,M4824,'Barang Keluar'!$C:$C,N4824))</f>
        <v>0</v>
      </c>
    </row>
    <row r="4825" spans="13:16">
      <c r="M4825" s="49">
        <f>IF($A$4+48&gt;$B$4,"",$A$4+48)</f>
        <v>46071</v>
      </c>
      <c r="N4825" t="str">
        <f>IF(M4825="","",'Master Barang'!A19)</f>
        <v>PRL-018</v>
      </c>
      <c r="O4825" t="str">
        <f>IF(N4825="","",'Master Barang'!B19)</f>
        <v>onemed masker biru 3 play hijab 50 pcs</v>
      </c>
      <c r="P4825">
        <f>IF(OR(M4825="",N4825=""),"",SUMIFS('Barang Keluar'!$E:$E,'Barang Keluar'!$A:$A,M4825,'Barang Keluar'!$C:$C,N4825))</f>
        <v>0</v>
      </c>
    </row>
    <row r="4826" spans="13:16">
      <c r="M4826" s="49">
        <f>IF($A$4+48&gt;$B$4,"",$A$4+48)</f>
        <v>46071</v>
      </c>
      <c r="N4826" t="str">
        <f>IF(M4826="","",'Master Barang'!A20)</f>
        <v>PRL-019</v>
      </c>
      <c r="O4826" t="str">
        <f>IF(N4826="","",'Master Barang'!B20)</f>
        <v>neo health masker biru 3 play 50 pcs</v>
      </c>
      <c r="P4826">
        <f>IF(OR(M4826="",N4826=""),"",SUMIFS('Barang Keluar'!$E:$E,'Barang Keluar'!$A:$A,M4826,'Barang Keluar'!$C:$C,N4826))</f>
        <v>0</v>
      </c>
    </row>
    <row r="4827" spans="13:16">
      <c r="M4827" s="49">
        <f>IF($A$4+48&gt;$B$4,"",$A$4+48)</f>
        <v>46071</v>
      </c>
      <c r="N4827" t="str">
        <f>IF(M4827="","",'Master Barang'!A21)</f>
        <v>PRL-020</v>
      </c>
      <c r="O4827" t="str">
        <f>IF(N4827="","",'Master Barang'!B21)</f>
        <v>baymed masker hijau 3 play hijau 50 pcs</v>
      </c>
      <c r="P4827">
        <f>IF(OR(M4827="",N4827=""),"",SUMIFS('Barang Keluar'!$E:$E,'Barang Keluar'!$A:$A,M4827,'Barang Keluar'!$C:$C,N4827))</f>
        <v>0</v>
      </c>
    </row>
    <row r="4828" spans="13:16">
      <c r="M4828" s="49">
        <f>IF($A$4+48&gt;$B$4,"",$A$4+48)</f>
        <v>46071</v>
      </c>
      <c r="N4828" t="str">
        <f>IF(M4828="","",'Master Barang'!A22)</f>
        <v>PRL-021</v>
      </c>
      <c r="O4828" t="str">
        <f>IF(N4828="","",'Master Barang'!B22)</f>
        <v>altamed nurse cap penutup kepala 100 pcs</v>
      </c>
      <c r="P4828">
        <f>IF(OR(M4828="",N4828=""),"",SUMIFS('Barang Keluar'!$E:$E,'Barang Keluar'!$A:$A,M4828,'Barang Keluar'!$C:$C,N4828))</f>
        <v>0</v>
      </c>
    </row>
    <row r="4829" spans="13:16">
      <c r="M4829" s="49">
        <f>IF($A$4+48&gt;$B$4,"",$A$4+48)</f>
        <v>46071</v>
      </c>
      <c r="N4829" t="str">
        <f>IF(M4829="","",'Master Barang'!A23)</f>
        <v>PRL-022</v>
      </c>
      <c r="O4829" t="str">
        <f>IF(N4829="","",'Master Barang'!B23)</f>
        <v>sabun cuci tangan</v>
      </c>
      <c r="P4829">
        <f>IF(OR(M4829="",N4829=""),"",SUMIFS('Barang Keluar'!$E:$E,'Barang Keluar'!$A:$A,M4829,'Barang Keluar'!$C:$C,N4829))</f>
        <v>0</v>
      </c>
    </row>
    <row r="4830" spans="13:16">
      <c r="M4830" s="49">
        <f>IF($A$4+48&gt;$B$4,"",$A$4+48)</f>
        <v>46071</v>
      </c>
      <c r="N4830" t="str">
        <f>IF(M4830="","",'Master Barang'!A24)</f>
        <v>PRL-023</v>
      </c>
      <c r="O4830" t="str">
        <f>IF(N4830="","",'Master Barang'!B24)</f>
        <v>gayung kecil</v>
      </c>
      <c r="P4830">
        <f>IF(OR(M4830="",N4830=""),"",SUMIFS('Barang Keluar'!$E:$E,'Barang Keluar'!$A:$A,M4830,'Barang Keluar'!$C:$C,N4830))</f>
        <v>0</v>
      </c>
    </row>
    <row r="4831" spans="13:16">
      <c r="M4831" s="49">
        <f>IF($A$4+48&gt;$B$4,"",$A$4+48)</f>
        <v>46071</v>
      </c>
      <c r="N4831" t="str">
        <f>IF(M4831="","",'Master Barang'!A25)</f>
        <v>PRL-024</v>
      </c>
      <c r="O4831" t="str">
        <f>IF(N4831="","",'Master Barang'!B25)</f>
        <v>cikrak kecil</v>
      </c>
      <c r="P4831">
        <f>IF(OR(M4831="",N4831=""),"",SUMIFS('Barang Keluar'!$E:$E,'Barang Keluar'!$A:$A,M4831,'Barang Keluar'!$C:$C,N4831))</f>
        <v>0</v>
      </c>
    </row>
    <row r="4832" spans="13:16">
      <c r="M4832" s="49">
        <f>IF($A$4+48&gt;$B$4,"",$A$4+48)</f>
        <v>46071</v>
      </c>
      <c r="N4832" t="str">
        <f>IF(M4832="","",'Master Barang'!A26)</f>
        <v>PRL-025</v>
      </c>
      <c r="O4832" t="str">
        <f>IF(N4832="","",'Master Barang'!B26)</f>
        <v>petromax plastik kecil 12x24 100 lembar</v>
      </c>
      <c r="P4832">
        <f>IF(OR(M4832="",N4832=""),"",SUMIFS('Barang Keluar'!$E:$E,'Barang Keluar'!$A:$A,M4832,'Barang Keluar'!$C:$C,N4832))</f>
        <v>0</v>
      </c>
    </row>
    <row r="4833" spans="13:16">
      <c r="M4833" s="49">
        <f>IF($A$4+48&gt;$B$4,"",$A$4+48)</f>
        <v>46071</v>
      </c>
      <c r="N4833" t="str">
        <f>IF(M4833="","",'Master Barang'!A27)</f>
        <v>PRL-026</v>
      </c>
      <c r="O4833" t="str">
        <f>IF(N4833="","",'Master Barang'!B27)</f>
        <v>lancar kresek kecil bening </v>
      </c>
      <c r="P4833">
        <f>IF(OR(M4833="",N4833=""),"",SUMIFS('Barang Keluar'!$E:$E,'Barang Keluar'!$A:$A,M4833,'Barang Keluar'!$C:$C,N4833))</f>
        <v>0</v>
      </c>
    </row>
    <row r="4834" spans="13:16">
      <c r="M4834" s="49">
        <f>IF($A$4+48&gt;$B$4,"",$A$4+48)</f>
        <v>46071</v>
      </c>
      <c r="N4834" t="str">
        <f>IF(M4834="","",'Master Barang'!A28)</f>
        <v>PRL-027</v>
      </c>
      <c r="O4834" t="str">
        <f>IF(N4834="","",'Master Barang'!B28)</f>
        <v>kresek klin warna warni kecil</v>
      </c>
      <c r="P4834">
        <f>IF(OR(M4834="",N4834=""),"",SUMIFS('Barang Keluar'!$E:$E,'Barang Keluar'!$A:$A,M4834,'Barang Keluar'!$C:$C,N4834))</f>
        <v>0</v>
      </c>
    </row>
    <row r="4835" spans="13:16">
      <c r="M4835" s="49">
        <f>IF($A$4+48&gt;$B$4,"",$A$4+48)</f>
        <v>46071</v>
      </c>
      <c r="N4835" t="str">
        <f>IF(M4835="","",'Master Barang'!A29)</f>
        <v>PRL-028</v>
      </c>
      <c r="O4835" t="str">
        <f>IF(N4835="","",'Master Barang'!B29)</f>
        <v>ctik plastik 7x10 100 pcs</v>
      </c>
      <c r="P4835">
        <f>IF(OR(M4835="",N4835=""),"",SUMIFS('Barang Keluar'!$E:$E,'Barang Keluar'!$A:$A,M4835,'Barang Keluar'!$C:$C,N4835))</f>
        <v>0</v>
      </c>
    </row>
    <row r="4836" spans="13:16">
      <c r="M4836" s="49">
        <f>IF($A$4+48&gt;$B$4,"",$A$4+48)</f>
        <v>46071</v>
      </c>
      <c r="N4836" t="str">
        <f>IF(M4836="","",'Master Barang'!A30)</f>
        <v>PRL-029</v>
      </c>
      <c r="O4836" t="str">
        <f>IF(N4836="","",'Master Barang'!B30)</f>
        <v>ctik plastik 6x10 100 pcs</v>
      </c>
      <c r="P4836">
        <f>IF(OR(M4836="",N4836=""),"",SUMIFS('Barang Keluar'!$E:$E,'Barang Keluar'!$A:$A,M4836,'Barang Keluar'!$C:$C,N4836))</f>
        <v>0</v>
      </c>
    </row>
    <row r="4837" spans="13:16">
      <c r="M4837" s="49">
        <f>IF($A$4+48&gt;$B$4,"",$A$4+48)</f>
        <v>46071</v>
      </c>
      <c r="N4837" t="str">
        <f>IF(M4837="","",'Master Barang'!A31)</f>
        <v>PRL-030</v>
      </c>
      <c r="O4837" t="str">
        <f>IF(N4837="","",'Master Barang'!B31)</f>
        <v>klip plastik 25x16 100 pcs</v>
      </c>
      <c r="P4837">
        <f>IF(OR(M4837="",N4837=""),"",SUMIFS('Barang Keluar'!$E:$E,'Barang Keluar'!$A:$A,M4837,'Barang Keluar'!$C:$C,N4837))</f>
        <v>0</v>
      </c>
    </row>
    <row r="4838" spans="13:16">
      <c r="M4838" s="49">
        <f>IF($A$4+48&gt;$B$4,"",$A$4+48)</f>
        <v>46071</v>
      </c>
      <c r="N4838" t="str">
        <f>IF(M4838="","",'Master Barang'!A32)</f>
        <v>PRL-031</v>
      </c>
      <c r="O4838" t="str">
        <f>IF(N4838="","",'Master Barang'!B32)</f>
        <v>tempat saus 20 ml</v>
      </c>
      <c r="P4838">
        <f>IF(OR(M4838="",N4838=""),"",SUMIFS('Barang Keluar'!$E:$E,'Barang Keluar'!$A:$A,M4838,'Barang Keluar'!$C:$C,N4838))</f>
        <v>0</v>
      </c>
    </row>
    <row r="4839" spans="13:16">
      <c r="M4839" s="49">
        <f>IF($A$4+48&gt;$B$4,"",$A$4+48)</f>
        <v>46071</v>
      </c>
      <c r="N4839" t="str">
        <f>IF(M4839="","",'Master Barang'!A33)</f>
        <v>PRL-032</v>
      </c>
      <c r="O4839" t="str">
        <f>IF(N4839="","",'Master Barang'!B33)</f>
        <v>plastik packaging ag box uk sedang</v>
      </c>
      <c r="P4839">
        <f>IF(OR(M4839="",N4839=""),"",SUMIFS('Barang Keluar'!$E:$E,'Barang Keluar'!$A:$A,M4839,'Barang Keluar'!$C:$C,N4839))</f>
        <v>0</v>
      </c>
    </row>
    <row r="4840" spans="13:16">
      <c r="M4840" s="49">
        <f>IF($A$4+48&gt;$B$4,"",$A$4+48)</f>
        <v>46071</v>
      </c>
      <c r="N4840" t="str">
        <f>IF(M4840="","",'Master Barang'!A34)</f>
        <v>PRL-033</v>
      </c>
      <c r="O4840">
        <f>IF(N4840="","",'Master Barang'!B34)</f>
        <v>0</v>
      </c>
      <c r="P4840">
        <f>IF(OR(M4840="",N4840=""),"",SUMIFS('Barang Keluar'!$E:$E,'Barang Keluar'!$A:$A,M4840,'Barang Keluar'!$C:$C,N4840))</f>
        <v>0</v>
      </c>
    </row>
    <row r="4841" spans="13:16">
      <c r="M4841" s="49">
        <f>IF($A$4+48&gt;$B$4,"",$A$4+48)</f>
        <v>46071</v>
      </c>
      <c r="N4841">
        <f>IF(M4841="","",'Master Barang'!A35)</f>
        <v>0</v>
      </c>
      <c r="O4841">
        <f>IF(N4841="","",'Master Barang'!B35)</f>
        <v>0</v>
      </c>
      <c r="P4841">
        <f>IF(OR(M4841="",N4841=""),"",SUMIFS('Barang Keluar'!$E:$E,'Barang Keluar'!$A:$A,M4841,'Barang Keluar'!$C:$C,N4841))</f>
        <v>0</v>
      </c>
    </row>
    <row r="4842" spans="13:16">
      <c r="M4842" s="49">
        <f>IF($A$4+48&gt;$B$4,"",$A$4+48)</f>
        <v>46071</v>
      </c>
      <c r="N4842">
        <f>IF(M4842="","",'Master Barang'!A36)</f>
        <v>0</v>
      </c>
      <c r="O4842">
        <f>IF(N4842="","",'Master Barang'!B36)</f>
        <v>0</v>
      </c>
      <c r="P4842">
        <f>IF(OR(M4842="",N4842=""),"",SUMIFS('Barang Keluar'!$E:$E,'Barang Keluar'!$A:$A,M4842,'Barang Keluar'!$C:$C,N4842))</f>
        <v>0</v>
      </c>
    </row>
    <row r="4843" spans="13:16">
      <c r="M4843" s="49">
        <f>IF($A$4+48&gt;$B$4,"",$A$4+48)</f>
        <v>46071</v>
      </c>
      <c r="N4843">
        <f>IF(M4843="","",'Master Barang'!A37)</f>
        <v>0</v>
      </c>
      <c r="O4843">
        <f>IF(N4843="","",'Master Barang'!B37)</f>
        <v>0</v>
      </c>
      <c r="P4843">
        <f>IF(OR(M4843="",N4843=""),"",SUMIFS('Barang Keluar'!$E:$E,'Barang Keluar'!$A:$A,M4843,'Barang Keluar'!$C:$C,N4843))</f>
        <v>0</v>
      </c>
    </row>
    <row r="4844" spans="13:16">
      <c r="M4844" s="49">
        <f>IF($A$4+48&gt;$B$4,"",$A$4+48)</f>
        <v>46071</v>
      </c>
      <c r="N4844">
        <f>IF(M4844="","",'Master Barang'!A38)</f>
        <v>0</v>
      </c>
      <c r="O4844">
        <f>IF(N4844="","",'Master Barang'!B38)</f>
        <v>0</v>
      </c>
      <c r="P4844">
        <f>IF(OR(M4844="",N4844=""),"",SUMIFS('Barang Keluar'!$E:$E,'Barang Keluar'!$A:$A,M4844,'Barang Keluar'!$C:$C,N4844))</f>
        <v>0</v>
      </c>
    </row>
    <row r="4845" spans="13:16">
      <c r="M4845" s="49">
        <f>IF($A$4+48&gt;$B$4,"",$A$4+48)</f>
        <v>46071</v>
      </c>
      <c r="N4845">
        <f>IF(M4845="","",'Master Barang'!A39)</f>
        <v>0</v>
      </c>
      <c r="O4845">
        <f>IF(N4845="","",'Master Barang'!B39)</f>
        <v>0</v>
      </c>
      <c r="P4845">
        <f>IF(OR(M4845="",N4845=""),"",SUMIFS('Barang Keluar'!$E:$E,'Barang Keluar'!$A:$A,M4845,'Barang Keluar'!$C:$C,N4845))</f>
        <v>0</v>
      </c>
    </row>
    <row r="4846" spans="13:16">
      <c r="M4846" s="49">
        <f>IF($A$4+48&gt;$B$4,"",$A$4+48)</f>
        <v>46071</v>
      </c>
      <c r="N4846">
        <f>IF(M4846="","",'Master Barang'!A40)</f>
        <v>0</v>
      </c>
      <c r="O4846">
        <f>IF(N4846="","",'Master Barang'!B40)</f>
        <v>0</v>
      </c>
      <c r="P4846">
        <f>IF(OR(M4846="",N4846=""),"",SUMIFS('Barang Keluar'!$E:$E,'Barang Keluar'!$A:$A,M4846,'Barang Keluar'!$C:$C,N4846))</f>
        <v>0</v>
      </c>
    </row>
    <row r="4847" spans="13:16">
      <c r="M4847" s="49">
        <f>IF($A$4+48&gt;$B$4,"",$A$4+48)</f>
        <v>46071</v>
      </c>
      <c r="N4847">
        <f>IF(M4847="","",'Master Barang'!A41)</f>
        <v>0</v>
      </c>
      <c r="O4847">
        <f>IF(N4847="","",'Master Barang'!B41)</f>
        <v>0</v>
      </c>
      <c r="P4847">
        <f>IF(OR(M4847="",N4847=""),"",SUMIFS('Barang Keluar'!$E:$E,'Barang Keluar'!$A:$A,M4847,'Barang Keluar'!$C:$C,N4847))</f>
        <v>0</v>
      </c>
    </row>
    <row r="4848" spans="13:16">
      <c r="M4848" s="49">
        <f>IF($A$4+48&gt;$B$4,"",$A$4+48)</f>
        <v>46071</v>
      </c>
      <c r="N4848">
        <f>IF(M4848="","",'Master Barang'!A42)</f>
        <v>0</v>
      </c>
      <c r="O4848">
        <f>IF(N4848="","",'Master Barang'!B42)</f>
        <v>0</v>
      </c>
      <c r="P4848">
        <f>IF(OR(M4848="",N4848=""),"",SUMIFS('Barang Keluar'!$E:$E,'Barang Keluar'!$A:$A,M4848,'Barang Keluar'!$C:$C,N4848))</f>
        <v>0</v>
      </c>
    </row>
    <row r="4849" spans="13:16">
      <c r="M4849" s="49">
        <f>IF($A$4+48&gt;$B$4,"",$A$4+48)</f>
        <v>46071</v>
      </c>
      <c r="N4849">
        <f>IF(M4849="","",'Master Barang'!A43)</f>
        <v>0</v>
      </c>
      <c r="O4849">
        <f>IF(N4849="","",'Master Barang'!B43)</f>
        <v>0</v>
      </c>
      <c r="P4849">
        <f>IF(OR(M4849="",N4849=""),"",SUMIFS('Barang Keluar'!$E:$E,'Barang Keluar'!$A:$A,M4849,'Barang Keluar'!$C:$C,N4849))</f>
        <v>0</v>
      </c>
    </row>
    <row r="4850" spans="13:16">
      <c r="M4850" s="49">
        <f>IF($A$4+48&gt;$B$4,"",$A$4+48)</f>
        <v>46071</v>
      </c>
      <c r="N4850">
        <f>IF(M4850="","",'Master Barang'!A44)</f>
        <v>0</v>
      </c>
      <c r="O4850">
        <f>IF(N4850="","",'Master Barang'!B44)</f>
        <v>0</v>
      </c>
      <c r="P4850">
        <f>IF(OR(M4850="",N4850=""),"",SUMIFS('Barang Keluar'!$E:$E,'Barang Keluar'!$A:$A,M4850,'Barang Keluar'!$C:$C,N4850))</f>
        <v>0</v>
      </c>
    </row>
    <row r="4851" spans="13:16">
      <c r="M4851" s="49">
        <f>IF($A$4+48&gt;$B$4,"",$A$4+48)</f>
        <v>46071</v>
      </c>
      <c r="N4851">
        <f>IF(M4851="","",'Master Barang'!A45)</f>
        <v>0</v>
      </c>
      <c r="O4851">
        <f>IF(N4851="","",'Master Barang'!B45)</f>
        <v>0</v>
      </c>
      <c r="P4851">
        <f>IF(OR(M4851="",N4851=""),"",SUMIFS('Barang Keluar'!$E:$E,'Barang Keluar'!$A:$A,M4851,'Barang Keluar'!$C:$C,N4851))</f>
        <v>0</v>
      </c>
    </row>
    <row r="4852" spans="13:16">
      <c r="M4852" s="49">
        <f>IF($A$4+48&gt;$B$4,"",$A$4+48)</f>
        <v>46071</v>
      </c>
      <c r="N4852">
        <f>IF(M4852="","",'Master Barang'!A46)</f>
        <v>0</v>
      </c>
      <c r="O4852">
        <f>IF(N4852="","",'Master Barang'!B46)</f>
        <v>0</v>
      </c>
      <c r="P4852">
        <f>IF(OR(M4852="",N4852=""),"",SUMIFS('Barang Keluar'!$E:$E,'Barang Keluar'!$A:$A,M4852,'Barang Keluar'!$C:$C,N4852))</f>
        <v>0</v>
      </c>
    </row>
    <row r="4853" spans="13:16">
      <c r="M4853" s="49">
        <f>IF($A$4+48&gt;$B$4,"",$A$4+48)</f>
        <v>46071</v>
      </c>
      <c r="N4853">
        <f>IF(M4853="","",'Master Barang'!A47)</f>
        <v>0</v>
      </c>
      <c r="O4853">
        <f>IF(N4853="","",'Master Barang'!B47)</f>
        <v>0</v>
      </c>
      <c r="P4853">
        <f>IF(OR(M4853="",N4853=""),"",SUMIFS('Barang Keluar'!$E:$E,'Barang Keluar'!$A:$A,M4853,'Barang Keluar'!$C:$C,N4853))</f>
        <v>0</v>
      </c>
    </row>
    <row r="4854" spans="13:16">
      <c r="M4854" s="49">
        <f>IF($A$4+48&gt;$B$4,"",$A$4+48)</f>
        <v>46071</v>
      </c>
      <c r="N4854">
        <f>IF(M4854="","",'Master Barang'!A48)</f>
        <v>0</v>
      </c>
      <c r="O4854">
        <f>IF(N4854="","",'Master Barang'!B48)</f>
        <v>0</v>
      </c>
      <c r="P4854">
        <f>IF(OR(M4854="",N4854=""),"",SUMIFS('Barang Keluar'!$E:$E,'Barang Keluar'!$A:$A,M4854,'Barang Keluar'!$C:$C,N4854))</f>
        <v>0</v>
      </c>
    </row>
    <row r="4855" spans="13:16">
      <c r="M4855" s="49">
        <f>IF($A$4+48&gt;$B$4,"",$A$4+48)</f>
        <v>46071</v>
      </c>
      <c r="N4855">
        <f>IF(M4855="","",'Master Barang'!A49)</f>
        <v>0</v>
      </c>
      <c r="O4855">
        <f>IF(N4855="","",'Master Barang'!B49)</f>
        <v>0</v>
      </c>
      <c r="P4855">
        <f>IF(OR(M4855="",N4855=""),"",SUMIFS('Barang Keluar'!$E:$E,'Barang Keluar'!$A:$A,M4855,'Barang Keluar'!$C:$C,N4855))</f>
        <v>0</v>
      </c>
    </row>
    <row r="4856" spans="13:16">
      <c r="M4856" s="49">
        <f>IF($A$4+48&gt;$B$4,"",$A$4+48)</f>
        <v>46071</v>
      </c>
      <c r="N4856">
        <f>IF(M4856="","",'Master Barang'!A50)</f>
        <v>0</v>
      </c>
      <c r="O4856">
        <f>IF(N4856="","",'Master Barang'!B50)</f>
        <v>0</v>
      </c>
      <c r="P4856">
        <f>IF(OR(M4856="",N4856=""),"",SUMIFS('Barang Keluar'!$E:$E,'Barang Keluar'!$A:$A,M4856,'Barang Keluar'!$C:$C,N4856))</f>
        <v>0</v>
      </c>
    </row>
    <row r="4857" spans="13:16">
      <c r="M4857" s="49">
        <f>IF($A$4+48&gt;$B$4,"",$A$4+48)</f>
        <v>46071</v>
      </c>
      <c r="N4857">
        <f>IF(M4857="","",'Master Barang'!A51)</f>
        <v>0</v>
      </c>
      <c r="O4857">
        <f>IF(N4857="","",'Master Barang'!B51)</f>
        <v>0</v>
      </c>
      <c r="P4857">
        <f>IF(OR(M4857="",N4857=""),"",SUMIFS('Barang Keluar'!$E:$E,'Barang Keluar'!$A:$A,M4857,'Barang Keluar'!$C:$C,N4857))</f>
        <v>0</v>
      </c>
    </row>
    <row r="4858" spans="13:16">
      <c r="M4858" s="49">
        <f>IF($A$4+48&gt;$B$4,"",$A$4+48)</f>
        <v>46071</v>
      </c>
      <c r="N4858">
        <f>IF(M4858="","",'Master Barang'!A52)</f>
        <v>0</v>
      </c>
      <c r="O4858">
        <f>IF(N4858="","",'Master Barang'!B52)</f>
        <v>0</v>
      </c>
      <c r="P4858">
        <f>IF(OR(M4858="",N4858=""),"",SUMIFS('Barang Keluar'!$E:$E,'Barang Keluar'!$A:$A,M4858,'Barang Keluar'!$C:$C,N4858))</f>
        <v>0</v>
      </c>
    </row>
    <row r="4859" spans="13:16">
      <c r="M4859" s="49">
        <f>IF($A$4+48&gt;$B$4,"",$A$4+48)</f>
        <v>46071</v>
      </c>
      <c r="N4859">
        <f>IF(M4859="","",'Master Barang'!A53)</f>
        <v>0</v>
      </c>
      <c r="O4859">
        <f>IF(N4859="","",'Master Barang'!B53)</f>
        <v>0</v>
      </c>
      <c r="P4859">
        <f>IF(OR(M4859="",N4859=""),"",SUMIFS('Barang Keluar'!$E:$E,'Barang Keluar'!$A:$A,M4859,'Barang Keluar'!$C:$C,N4859))</f>
        <v>0</v>
      </c>
    </row>
    <row r="4860" spans="13:16">
      <c r="M4860" s="49">
        <f>IF($A$4+48&gt;$B$4,"",$A$4+48)</f>
        <v>46071</v>
      </c>
      <c r="N4860">
        <f>IF(M4860="","",'Master Barang'!A54)</f>
        <v>0</v>
      </c>
      <c r="O4860">
        <f>IF(N4860="","",'Master Barang'!B54)</f>
        <v>0</v>
      </c>
      <c r="P4860">
        <f>IF(OR(M4860="",N4860=""),"",SUMIFS('Barang Keluar'!$E:$E,'Barang Keluar'!$A:$A,M4860,'Barang Keluar'!$C:$C,N4860))</f>
        <v>0</v>
      </c>
    </row>
    <row r="4861" spans="13:16">
      <c r="M4861" s="49">
        <f>IF($A$4+48&gt;$B$4,"",$A$4+48)</f>
        <v>46071</v>
      </c>
      <c r="N4861">
        <f>IF(M4861="","",'Master Barang'!A55)</f>
        <v>0</v>
      </c>
      <c r="O4861">
        <f>IF(N4861="","",'Master Barang'!B55)</f>
        <v>0</v>
      </c>
      <c r="P4861">
        <f>IF(OR(M4861="",N4861=""),"",SUMIFS('Barang Keluar'!$E:$E,'Barang Keluar'!$A:$A,M4861,'Barang Keluar'!$C:$C,N4861))</f>
        <v>0</v>
      </c>
    </row>
    <row r="4862" spans="13:16">
      <c r="M4862" s="49">
        <f>IF($A$4+48&gt;$B$4,"",$A$4+48)</f>
        <v>46071</v>
      </c>
      <c r="N4862">
        <f>IF(M4862="","",'Master Barang'!A56)</f>
        <v>0</v>
      </c>
      <c r="O4862">
        <f>IF(N4862="","",'Master Barang'!B56)</f>
        <v>0</v>
      </c>
      <c r="P4862">
        <f>IF(OR(M4862="",N4862=""),"",SUMIFS('Barang Keluar'!$E:$E,'Barang Keluar'!$A:$A,M4862,'Barang Keluar'!$C:$C,N4862))</f>
        <v>0</v>
      </c>
    </row>
    <row r="4863" spans="13:16">
      <c r="M4863" s="49">
        <f>IF($A$4+48&gt;$B$4,"",$A$4+48)</f>
        <v>46071</v>
      </c>
      <c r="N4863">
        <f>IF(M4863="","",'Master Barang'!A57)</f>
        <v>0</v>
      </c>
      <c r="O4863">
        <f>IF(N4863="","",'Master Barang'!B57)</f>
        <v>0</v>
      </c>
      <c r="P4863">
        <f>IF(OR(M4863="",N4863=""),"",SUMIFS('Barang Keluar'!$E:$E,'Barang Keluar'!$A:$A,M4863,'Barang Keluar'!$C:$C,N4863))</f>
        <v>0</v>
      </c>
    </row>
    <row r="4864" spans="13:16">
      <c r="M4864" s="49">
        <f>IF($A$4+48&gt;$B$4,"",$A$4+48)</f>
        <v>46071</v>
      </c>
      <c r="N4864">
        <f>IF(M4864="","",'Master Barang'!A58)</f>
        <v>0</v>
      </c>
      <c r="O4864">
        <f>IF(N4864="","",'Master Barang'!B58)</f>
        <v>0</v>
      </c>
      <c r="P4864">
        <f>IF(OR(M4864="",N4864=""),"",SUMIFS('Barang Keluar'!$E:$E,'Barang Keluar'!$A:$A,M4864,'Barang Keluar'!$C:$C,N4864))</f>
        <v>0</v>
      </c>
    </row>
    <row r="4865" spans="13:16">
      <c r="M4865" s="49">
        <f>IF($A$4+48&gt;$B$4,"",$A$4+48)</f>
        <v>46071</v>
      </c>
      <c r="N4865">
        <f>IF(M4865="","",'Master Barang'!A59)</f>
        <v>0</v>
      </c>
      <c r="O4865">
        <f>IF(N4865="","",'Master Barang'!B59)</f>
        <v>0</v>
      </c>
      <c r="P4865">
        <f>IF(OR(M4865="",N4865=""),"",SUMIFS('Barang Keluar'!$E:$E,'Barang Keluar'!$A:$A,M4865,'Barang Keluar'!$C:$C,N4865))</f>
        <v>0</v>
      </c>
    </row>
    <row r="4866" spans="13:16">
      <c r="M4866" s="49">
        <f>IF($A$4+48&gt;$B$4,"",$A$4+48)</f>
        <v>46071</v>
      </c>
      <c r="N4866">
        <f>IF(M4866="","",'Master Barang'!A60)</f>
        <v>0</v>
      </c>
      <c r="O4866">
        <f>IF(N4866="","",'Master Barang'!B60)</f>
        <v>0</v>
      </c>
      <c r="P4866">
        <f>IF(OR(M4866="",N4866=""),"",SUMIFS('Barang Keluar'!$E:$E,'Barang Keluar'!$A:$A,M4866,'Barang Keluar'!$C:$C,N4866))</f>
        <v>0</v>
      </c>
    </row>
    <row r="4867" spans="13:16">
      <c r="M4867" s="49">
        <f>IF($A$4+48&gt;$B$4,"",$A$4+48)</f>
        <v>46071</v>
      </c>
      <c r="N4867">
        <f>IF(M4867="","",'Master Barang'!A61)</f>
        <v>0</v>
      </c>
      <c r="O4867">
        <f>IF(N4867="","",'Master Barang'!B61)</f>
        <v>0</v>
      </c>
      <c r="P4867">
        <f>IF(OR(M4867="",N4867=""),"",SUMIFS('Barang Keluar'!$E:$E,'Barang Keluar'!$A:$A,M4867,'Barang Keluar'!$C:$C,N4867))</f>
        <v>0</v>
      </c>
    </row>
    <row r="4868" spans="13:16">
      <c r="M4868" s="49">
        <f>IF($A$4+48&gt;$B$4,"",$A$4+48)</f>
        <v>46071</v>
      </c>
      <c r="N4868">
        <f>IF(M4868="","",'Master Barang'!A62)</f>
        <v>0</v>
      </c>
      <c r="O4868">
        <f>IF(N4868="","",'Master Barang'!B62)</f>
        <v>0</v>
      </c>
      <c r="P4868">
        <f>IF(OR(M4868="",N4868=""),"",SUMIFS('Barang Keluar'!$E:$E,'Barang Keluar'!$A:$A,M4868,'Barang Keluar'!$C:$C,N4868))</f>
        <v>0</v>
      </c>
    </row>
    <row r="4869" spans="13:16">
      <c r="M4869" s="49">
        <f>IF($A$4+48&gt;$B$4,"",$A$4+48)</f>
        <v>46071</v>
      </c>
      <c r="N4869">
        <f>IF(M4869="","",'Master Barang'!A63)</f>
        <v>0</v>
      </c>
      <c r="O4869">
        <f>IF(N4869="","",'Master Barang'!B63)</f>
        <v>0</v>
      </c>
      <c r="P4869">
        <f>IF(OR(M4869="",N4869=""),"",SUMIFS('Barang Keluar'!$E:$E,'Barang Keluar'!$A:$A,M4869,'Barang Keluar'!$C:$C,N4869))</f>
        <v>0</v>
      </c>
    </row>
    <row r="4870" spans="13:16">
      <c r="M4870" s="49">
        <f>IF($A$4+48&gt;$B$4,"",$A$4+48)</f>
        <v>46071</v>
      </c>
      <c r="N4870">
        <f>IF(M4870="","",'Master Barang'!A64)</f>
        <v>0</v>
      </c>
      <c r="O4870">
        <f>IF(N4870="","",'Master Barang'!B64)</f>
        <v>0</v>
      </c>
      <c r="P4870">
        <f>IF(OR(M4870="",N4870=""),"",SUMIFS('Barang Keluar'!$E:$E,'Barang Keluar'!$A:$A,M4870,'Barang Keluar'!$C:$C,N4870))</f>
        <v>0</v>
      </c>
    </row>
    <row r="4871" spans="13:16">
      <c r="M4871" s="49">
        <f>IF($A$4+48&gt;$B$4,"",$A$4+48)</f>
        <v>46071</v>
      </c>
      <c r="N4871">
        <f>IF(M4871="","",'Master Barang'!A65)</f>
        <v>0</v>
      </c>
      <c r="O4871">
        <f>IF(N4871="","",'Master Barang'!B65)</f>
        <v>0</v>
      </c>
      <c r="P4871">
        <f>IF(OR(M4871="",N4871=""),"",SUMIFS('Barang Keluar'!$E:$E,'Barang Keluar'!$A:$A,M4871,'Barang Keluar'!$C:$C,N4871))</f>
        <v>0</v>
      </c>
    </row>
    <row r="4872" spans="13:16">
      <c r="M4872" s="49">
        <f>IF($A$4+48&gt;$B$4,"",$A$4+48)</f>
        <v>46071</v>
      </c>
      <c r="N4872">
        <f>IF(M4872="","",'Master Barang'!A66)</f>
        <v>0</v>
      </c>
      <c r="O4872">
        <f>IF(N4872="","",'Master Barang'!B66)</f>
        <v>0</v>
      </c>
      <c r="P4872">
        <f>IF(OR(M4872="",N4872=""),"",SUMIFS('Barang Keluar'!$E:$E,'Barang Keluar'!$A:$A,M4872,'Barang Keluar'!$C:$C,N4872))</f>
        <v>0</v>
      </c>
    </row>
    <row r="4873" spans="13:16">
      <c r="M4873" s="49">
        <f>IF($A$4+48&gt;$B$4,"",$A$4+48)</f>
        <v>46071</v>
      </c>
      <c r="N4873">
        <f>IF(M4873="","",'Master Barang'!A67)</f>
        <v>0</v>
      </c>
      <c r="O4873">
        <f>IF(N4873="","",'Master Barang'!B67)</f>
        <v>0</v>
      </c>
      <c r="P4873">
        <f>IF(OR(M4873="",N4873=""),"",SUMIFS('Barang Keluar'!$E:$E,'Barang Keluar'!$A:$A,M4873,'Barang Keluar'!$C:$C,N4873))</f>
        <v>0</v>
      </c>
    </row>
    <row r="4874" spans="13:16">
      <c r="M4874" s="49">
        <f>IF($A$4+48&gt;$B$4,"",$A$4+48)</f>
        <v>46071</v>
      </c>
      <c r="N4874">
        <f>IF(M4874="","",'Master Barang'!A68)</f>
        <v>0</v>
      </c>
      <c r="O4874">
        <f>IF(N4874="","",'Master Barang'!B68)</f>
        <v>0</v>
      </c>
      <c r="P4874">
        <f>IF(OR(M4874="",N4874=""),"",SUMIFS('Barang Keluar'!$E:$E,'Barang Keluar'!$A:$A,M4874,'Barang Keluar'!$C:$C,N4874))</f>
        <v>0</v>
      </c>
    </row>
    <row r="4875" spans="13:16">
      <c r="M4875" s="49">
        <f>IF($A$4+48&gt;$B$4,"",$A$4+48)</f>
        <v>46071</v>
      </c>
      <c r="N4875">
        <f>IF(M4875="","",'Master Barang'!A69)</f>
        <v>0</v>
      </c>
      <c r="O4875">
        <f>IF(N4875="","",'Master Barang'!B69)</f>
        <v>0</v>
      </c>
      <c r="P4875">
        <f>IF(OR(M4875="",N4875=""),"",SUMIFS('Barang Keluar'!$E:$E,'Barang Keluar'!$A:$A,M4875,'Barang Keluar'!$C:$C,N4875))</f>
        <v>0</v>
      </c>
    </row>
    <row r="4876" spans="13:16">
      <c r="M4876" s="49">
        <f>IF($A$4+48&gt;$B$4,"",$A$4+48)</f>
        <v>46071</v>
      </c>
      <c r="N4876">
        <f>IF(M4876="","",'Master Barang'!A70)</f>
        <v>0</v>
      </c>
      <c r="O4876">
        <f>IF(N4876="","",'Master Barang'!B70)</f>
        <v>0</v>
      </c>
      <c r="P4876">
        <f>IF(OR(M4876="",N4876=""),"",SUMIFS('Barang Keluar'!$E:$E,'Barang Keluar'!$A:$A,M4876,'Barang Keluar'!$C:$C,N4876))</f>
        <v>0</v>
      </c>
    </row>
    <row r="4877" spans="13:16">
      <c r="M4877" s="49">
        <f>IF($A$4+48&gt;$B$4,"",$A$4+48)</f>
        <v>46071</v>
      </c>
      <c r="N4877">
        <f>IF(M4877="","",'Master Barang'!A71)</f>
        <v>0</v>
      </c>
      <c r="O4877">
        <f>IF(N4877="","",'Master Barang'!B71)</f>
        <v>0</v>
      </c>
      <c r="P4877">
        <f>IF(OR(M4877="",N4877=""),"",SUMIFS('Barang Keluar'!$E:$E,'Barang Keluar'!$A:$A,M4877,'Barang Keluar'!$C:$C,N4877))</f>
        <v>0</v>
      </c>
    </row>
    <row r="4878" spans="13:16">
      <c r="M4878" s="49">
        <f>IF($A$4+48&gt;$B$4,"",$A$4+48)</f>
        <v>46071</v>
      </c>
      <c r="N4878">
        <f>IF(M4878="","",'Master Barang'!A72)</f>
        <v>0</v>
      </c>
      <c r="O4878">
        <f>IF(N4878="","",'Master Barang'!B72)</f>
        <v>0</v>
      </c>
      <c r="P4878">
        <f>IF(OR(M4878="",N4878=""),"",SUMIFS('Barang Keluar'!$E:$E,'Barang Keluar'!$A:$A,M4878,'Barang Keluar'!$C:$C,N4878))</f>
        <v>0</v>
      </c>
    </row>
    <row r="4879" spans="13:16">
      <c r="M4879" s="49">
        <f>IF($A$4+48&gt;$B$4,"",$A$4+48)</f>
        <v>46071</v>
      </c>
      <c r="N4879">
        <f>IF(M4879="","",'Master Barang'!A73)</f>
        <v>0</v>
      </c>
      <c r="O4879">
        <f>IF(N4879="","",'Master Barang'!B73)</f>
        <v>0</v>
      </c>
      <c r="P4879">
        <f>IF(OR(M4879="",N4879=""),"",SUMIFS('Barang Keluar'!$E:$E,'Barang Keluar'!$A:$A,M4879,'Barang Keluar'!$C:$C,N4879))</f>
        <v>0</v>
      </c>
    </row>
    <row r="4880" spans="13:16">
      <c r="M4880" s="49">
        <f>IF($A$4+48&gt;$B$4,"",$A$4+48)</f>
        <v>46071</v>
      </c>
      <c r="N4880">
        <f>IF(M4880="","",'Master Barang'!A74)</f>
        <v>0</v>
      </c>
      <c r="O4880">
        <f>IF(N4880="","",'Master Barang'!B74)</f>
        <v>0</v>
      </c>
      <c r="P4880">
        <f>IF(OR(M4880="",N4880=""),"",SUMIFS('Barang Keluar'!$E:$E,'Barang Keluar'!$A:$A,M4880,'Barang Keluar'!$C:$C,N4880))</f>
        <v>0</v>
      </c>
    </row>
    <row r="4881" spans="13:16">
      <c r="M4881" s="49">
        <f>IF($A$4+48&gt;$B$4,"",$A$4+48)</f>
        <v>46071</v>
      </c>
      <c r="N4881">
        <f>IF(M4881="","",'Master Barang'!A75)</f>
        <v>0</v>
      </c>
      <c r="O4881">
        <f>IF(N4881="","",'Master Barang'!B75)</f>
        <v>0</v>
      </c>
      <c r="P4881">
        <f>IF(OR(M4881="",N4881=""),"",SUMIFS('Barang Keluar'!$E:$E,'Barang Keluar'!$A:$A,M4881,'Barang Keluar'!$C:$C,N4881))</f>
        <v>0</v>
      </c>
    </row>
    <row r="4882" spans="13:16">
      <c r="M4882" s="49">
        <f>IF($A$4+48&gt;$B$4,"",$A$4+48)</f>
        <v>46071</v>
      </c>
      <c r="N4882">
        <f>IF(M4882="","",'Master Barang'!A76)</f>
        <v>0</v>
      </c>
      <c r="O4882">
        <f>IF(N4882="","",'Master Barang'!B76)</f>
        <v>0</v>
      </c>
      <c r="P4882">
        <f>IF(OR(M4882="",N4882=""),"",SUMIFS('Barang Keluar'!$E:$E,'Barang Keluar'!$A:$A,M4882,'Barang Keluar'!$C:$C,N4882))</f>
        <v>0</v>
      </c>
    </row>
    <row r="4883" spans="13:16">
      <c r="M4883" s="49">
        <f>IF($A$4+48&gt;$B$4,"",$A$4+48)</f>
        <v>46071</v>
      </c>
      <c r="N4883">
        <f>IF(M4883="","",'Master Barang'!A77)</f>
        <v>0</v>
      </c>
      <c r="O4883">
        <f>IF(N4883="","",'Master Barang'!B77)</f>
        <v>0</v>
      </c>
      <c r="P4883">
        <f>IF(OR(M4883="",N4883=""),"",SUMIFS('Barang Keluar'!$E:$E,'Barang Keluar'!$A:$A,M4883,'Barang Keluar'!$C:$C,N4883))</f>
        <v>0</v>
      </c>
    </row>
    <row r="4884" spans="13:16">
      <c r="M4884" s="49">
        <f>IF($A$4+48&gt;$B$4,"",$A$4+48)</f>
        <v>46071</v>
      </c>
      <c r="N4884">
        <f>IF(M4884="","",'Master Barang'!A78)</f>
        <v>0</v>
      </c>
      <c r="O4884">
        <f>IF(N4884="","",'Master Barang'!B78)</f>
        <v>0</v>
      </c>
      <c r="P4884">
        <f>IF(OR(M4884="",N4884=""),"",SUMIFS('Barang Keluar'!$E:$E,'Barang Keluar'!$A:$A,M4884,'Barang Keluar'!$C:$C,N4884))</f>
        <v>0</v>
      </c>
    </row>
    <row r="4885" spans="13:16">
      <c r="M4885" s="49">
        <f>IF($A$4+48&gt;$B$4,"",$A$4+48)</f>
        <v>46071</v>
      </c>
      <c r="N4885">
        <f>IF(M4885="","",'Master Barang'!A79)</f>
        <v>0</v>
      </c>
      <c r="O4885">
        <f>IF(N4885="","",'Master Barang'!B79)</f>
        <v>0</v>
      </c>
      <c r="P4885">
        <f>IF(OR(M4885="",N4885=""),"",SUMIFS('Barang Keluar'!$E:$E,'Barang Keluar'!$A:$A,M4885,'Barang Keluar'!$C:$C,N4885))</f>
        <v>0</v>
      </c>
    </row>
    <row r="4886" spans="13:16">
      <c r="M4886" s="49">
        <f>IF($A$4+48&gt;$B$4,"",$A$4+48)</f>
        <v>46071</v>
      </c>
      <c r="N4886">
        <f>IF(M4886="","",'Master Barang'!A80)</f>
        <v>0</v>
      </c>
      <c r="O4886">
        <f>IF(N4886="","",'Master Barang'!B80)</f>
        <v>0</v>
      </c>
      <c r="P4886">
        <f>IF(OR(M4886="",N4886=""),"",SUMIFS('Barang Keluar'!$E:$E,'Barang Keluar'!$A:$A,M4886,'Barang Keluar'!$C:$C,N4886))</f>
        <v>0</v>
      </c>
    </row>
    <row r="4887" spans="13:16">
      <c r="M4887" s="49">
        <f>IF($A$4+48&gt;$B$4,"",$A$4+48)</f>
        <v>46071</v>
      </c>
      <c r="N4887">
        <f>IF(M4887="","",'Master Barang'!A81)</f>
        <v>0</v>
      </c>
      <c r="O4887">
        <f>IF(N4887="","",'Master Barang'!B81)</f>
        <v>0</v>
      </c>
      <c r="P4887">
        <f>IF(OR(M4887="",N4887=""),"",SUMIFS('Barang Keluar'!$E:$E,'Barang Keluar'!$A:$A,M4887,'Barang Keluar'!$C:$C,N4887))</f>
        <v>0</v>
      </c>
    </row>
    <row r="4888" spans="13:16">
      <c r="M4888" s="49">
        <f>IF($A$4+48&gt;$B$4,"",$A$4+48)</f>
        <v>46071</v>
      </c>
      <c r="N4888">
        <f>IF(M4888="","",'Master Barang'!A82)</f>
        <v>0</v>
      </c>
      <c r="O4888">
        <f>IF(N4888="","",'Master Barang'!B82)</f>
        <v>0</v>
      </c>
      <c r="P4888">
        <f>IF(OR(M4888="",N4888=""),"",SUMIFS('Barang Keluar'!$E:$E,'Barang Keluar'!$A:$A,M4888,'Barang Keluar'!$C:$C,N4888))</f>
        <v>0</v>
      </c>
    </row>
    <row r="4889" spans="13:16">
      <c r="M4889" s="49">
        <f>IF($A$4+48&gt;$B$4,"",$A$4+48)</f>
        <v>46071</v>
      </c>
      <c r="N4889">
        <f>IF(M4889="","",'Master Barang'!A83)</f>
        <v>0</v>
      </c>
      <c r="O4889">
        <f>IF(N4889="","",'Master Barang'!B83)</f>
        <v>0</v>
      </c>
      <c r="P4889">
        <f>IF(OR(M4889="",N4889=""),"",SUMIFS('Barang Keluar'!$E:$E,'Barang Keluar'!$A:$A,M4889,'Barang Keluar'!$C:$C,N4889))</f>
        <v>0</v>
      </c>
    </row>
    <row r="4890" spans="13:16">
      <c r="M4890" s="49">
        <f>IF($A$4+48&gt;$B$4,"",$A$4+48)</f>
        <v>46071</v>
      </c>
      <c r="N4890">
        <f>IF(M4890="","",'Master Barang'!A84)</f>
        <v>0</v>
      </c>
      <c r="O4890">
        <f>IF(N4890="","",'Master Barang'!B84)</f>
        <v>0</v>
      </c>
      <c r="P4890">
        <f>IF(OR(M4890="",N4890=""),"",SUMIFS('Barang Keluar'!$E:$E,'Barang Keluar'!$A:$A,M4890,'Barang Keluar'!$C:$C,N4890))</f>
        <v>0</v>
      </c>
    </row>
    <row r="4891" spans="13:16">
      <c r="M4891" s="49">
        <f>IF($A$4+48&gt;$B$4,"",$A$4+48)</f>
        <v>46071</v>
      </c>
      <c r="N4891">
        <f>IF(M4891="","",'Master Barang'!A85)</f>
        <v>0</v>
      </c>
      <c r="O4891">
        <f>IF(N4891="","",'Master Barang'!B85)</f>
        <v>0</v>
      </c>
      <c r="P4891">
        <f>IF(OR(M4891="",N4891=""),"",SUMIFS('Barang Keluar'!$E:$E,'Barang Keluar'!$A:$A,M4891,'Barang Keluar'!$C:$C,N4891))</f>
        <v>0</v>
      </c>
    </row>
    <row r="4892" spans="13:16">
      <c r="M4892" s="49">
        <f>IF($A$4+48&gt;$B$4,"",$A$4+48)</f>
        <v>46071</v>
      </c>
      <c r="N4892">
        <f>IF(M4892="","",'Master Barang'!A86)</f>
        <v>0</v>
      </c>
      <c r="O4892">
        <f>IF(N4892="","",'Master Barang'!B86)</f>
        <v>0</v>
      </c>
      <c r="P4892">
        <f>IF(OR(M4892="",N4892=""),"",SUMIFS('Barang Keluar'!$E:$E,'Barang Keluar'!$A:$A,M4892,'Barang Keluar'!$C:$C,N4892))</f>
        <v>0</v>
      </c>
    </row>
    <row r="4893" spans="13:16">
      <c r="M4893" s="49">
        <f>IF($A$4+48&gt;$B$4,"",$A$4+48)</f>
        <v>46071</v>
      </c>
      <c r="N4893">
        <f>IF(M4893="","",'Master Barang'!A87)</f>
        <v>0</v>
      </c>
      <c r="O4893">
        <f>IF(N4893="","",'Master Barang'!B87)</f>
        <v>0</v>
      </c>
      <c r="P4893">
        <f>IF(OR(M4893="",N4893=""),"",SUMIFS('Barang Keluar'!$E:$E,'Barang Keluar'!$A:$A,M4893,'Barang Keluar'!$C:$C,N4893))</f>
        <v>0</v>
      </c>
    </row>
    <row r="4894" spans="13:16">
      <c r="M4894" s="49">
        <f>IF($A$4+48&gt;$B$4,"",$A$4+48)</f>
        <v>46071</v>
      </c>
      <c r="N4894">
        <f>IF(M4894="","",'Master Barang'!A88)</f>
        <v>0</v>
      </c>
      <c r="O4894">
        <f>IF(N4894="","",'Master Barang'!B88)</f>
        <v>0</v>
      </c>
      <c r="P4894">
        <f>IF(OR(M4894="",N4894=""),"",SUMIFS('Barang Keluar'!$E:$E,'Barang Keluar'!$A:$A,M4894,'Barang Keluar'!$C:$C,N4894))</f>
        <v>0</v>
      </c>
    </row>
    <row r="4895" spans="13:16">
      <c r="M4895" s="49">
        <f>IF($A$4+48&gt;$B$4,"",$A$4+48)</f>
        <v>46071</v>
      </c>
      <c r="N4895">
        <f>IF(M4895="","",'Master Barang'!A89)</f>
        <v>0</v>
      </c>
      <c r="O4895">
        <f>IF(N4895="","",'Master Barang'!B89)</f>
        <v>0</v>
      </c>
      <c r="P4895">
        <f>IF(OR(M4895="",N4895=""),"",SUMIFS('Barang Keluar'!$E:$E,'Barang Keluar'!$A:$A,M4895,'Barang Keluar'!$C:$C,N4895))</f>
        <v>0</v>
      </c>
    </row>
    <row r="4896" spans="13:16">
      <c r="M4896" s="49">
        <f>IF($A$4+48&gt;$B$4,"",$A$4+48)</f>
        <v>46071</v>
      </c>
      <c r="N4896">
        <f>IF(M4896="","",'Master Barang'!A90)</f>
        <v>0</v>
      </c>
      <c r="O4896">
        <f>IF(N4896="","",'Master Barang'!B90)</f>
        <v>0</v>
      </c>
      <c r="P4896">
        <f>IF(OR(M4896="",N4896=""),"",SUMIFS('Barang Keluar'!$E:$E,'Barang Keluar'!$A:$A,M4896,'Barang Keluar'!$C:$C,N4896))</f>
        <v>0</v>
      </c>
    </row>
    <row r="4897" spans="13:16">
      <c r="M4897" s="49">
        <f>IF($A$4+48&gt;$B$4,"",$A$4+48)</f>
        <v>46071</v>
      </c>
      <c r="N4897">
        <f>IF(M4897="","",'Master Barang'!A91)</f>
        <v>0</v>
      </c>
      <c r="O4897">
        <f>IF(N4897="","",'Master Barang'!B91)</f>
        <v>0</v>
      </c>
      <c r="P4897">
        <f>IF(OR(M4897="",N4897=""),"",SUMIFS('Barang Keluar'!$E:$E,'Barang Keluar'!$A:$A,M4897,'Barang Keluar'!$C:$C,N4897))</f>
        <v>0</v>
      </c>
    </row>
    <row r="4898" spans="13:16">
      <c r="M4898" s="49">
        <f>IF($A$4+48&gt;$B$4,"",$A$4+48)</f>
        <v>46071</v>
      </c>
      <c r="N4898">
        <f>IF(M4898="","",'Master Barang'!A92)</f>
        <v>0</v>
      </c>
      <c r="O4898">
        <f>IF(N4898="","",'Master Barang'!B92)</f>
        <v>0</v>
      </c>
      <c r="P4898">
        <f>IF(OR(M4898="",N4898=""),"",SUMIFS('Barang Keluar'!$E:$E,'Barang Keluar'!$A:$A,M4898,'Barang Keluar'!$C:$C,N4898))</f>
        <v>0</v>
      </c>
    </row>
    <row r="4899" spans="13:16">
      <c r="M4899" s="49">
        <f>IF($A$4+48&gt;$B$4,"",$A$4+48)</f>
        <v>46071</v>
      </c>
      <c r="N4899">
        <f>IF(M4899="","",'Master Barang'!A93)</f>
        <v>0</v>
      </c>
      <c r="O4899">
        <f>IF(N4899="","",'Master Barang'!B93)</f>
        <v>0</v>
      </c>
      <c r="P4899">
        <f>IF(OR(M4899="",N4899=""),"",SUMIFS('Barang Keluar'!$E:$E,'Barang Keluar'!$A:$A,M4899,'Barang Keluar'!$C:$C,N4899))</f>
        <v>0</v>
      </c>
    </row>
    <row r="4900" spans="13:16">
      <c r="M4900" s="49">
        <f>IF($A$4+48&gt;$B$4,"",$A$4+48)</f>
        <v>46071</v>
      </c>
      <c r="N4900">
        <f>IF(M4900="","",'Master Barang'!A94)</f>
        <v>0</v>
      </c>
      <c r="O4900">
        <f>IF(N4900="","",'Master Barang'!B94)</f>
        <v>0</v>
      </c>
      <c r="P4900">
        <f>IF(OR(M4900="",N4900=""),"",SUMIFS('Barang Keluar'!$E:$E,'Barang Keluar'!$A:$A,M4900,'Barang Keluar'!$C:$C,N4900))</f>
        <v>0</v>
      </c>
    </row>
    <row r="4901" spans="13:16">
      <c r="M4901" s="49">
        <f>IF($A$4+48&gt;$B$4,"",$A$4+48)</f>
        <v>46071</v>
      </c>
      <c r="N4901">
        <f>IF(M4901="","",'Master Barang'!A95)</f>
        <v>0</v>
      </c>
      <c r="O4901">
        <f>IF(N4901="","",'Master Barang'!B95)</f>
        <v>0</v>
      </c>
      <c r="P4901">
        <f>IF(OR(M4901="",N4901=""),"",SUMIFS('Barang Keluar'!$E:$E,'Barang Keluar'!$A:$A,M4901,'Barang Keluar'!$C:$C,N4901))</f>
        <v>0</v>
      </c>
    </row>
    <row r="4902" spans="13:16">
      <c r="M4902" s="49">
        <f>IF($A$4+48&gt;$B$4,"",$A$4+48)</f>
        <v>46071</v>
      </c>
      <c r="N4902">
        <f>IF(M4902="","",'Master Barang'!A96)</f>
        <v>0</v>
      </c>
      <c r="O4902">
        <f>IF(N4902="","",'Master Barang'!B96)</f>
        <v>0</v>
      </c>
      <c r="P4902">
        <f>IF(OR(M4902="",N4902=""),"",SUMIFS('Barang Keluar'!$E:$E,'Barang Keluar'!$A:$A,M4902,'Barang Keluar'!$C:$C,N4902))</f>
        <v>0</v>
      </c>
    </row>
    <row r="4903" spans="13:16">
      <c r="M4903" s="49">
        <f>IF($A$4+48&gt;$B$4,"",$A$4+48)</f>
        <v>46071</v>
      </c>
      <c r="N4903">
        <f>IF(M4903="","",'Master Barang'!A97)</f>
        <v>0</v>
      </c>
      <c r="O4903">
        <f>IF(N4903="","",'Master Barang'!B97)</f>
        <v>0</v>
      </c>
      <c r="P4903">
        <f>IF(OR(M4903="",N4903=""),"",SUMIFS('Barang Keluar'!$E:$E,'Barang Keluar'!$A:$A,M4903,'Barang Keluar'!$C:$C,N4903))</f>
        <v>0</v>
      </c>
    </row>
    <row r="4904" spans="13:16">
      <c r="M4904" s="49">
        <f>IF($A$4+48&gt;$B$4,"",$A$4+48)</f>
        <v>46071</v>
      </c>
      <c r="N4904">
        <f>IF(M4904="","",'Master Barang'!A98)</f>
        <v>0</v>
      </c>
      <c r="O4904">
        <f>IF(N4904="","",'Master Barang'!B98)</f>
        <v>0</v>
      </c>
      <c r="P4904">
        <f>IF(OR(M4904="",N4904=""),"",SUMIFS('Barang Keluar'!$E:$E,'Barang Keluar'!$A:$A,M4904,'Barang Keluar'!$C:$C,N4904))</f>
        <v>0</v>
      </c>
    </row>
    <row r="4905" spans="13:16">
      <c r="M4905" s="49">
        <f>IF($A$4+48&gt;$B$4,"",$A$4+48)</f>
        <v>46071</v>
      </c>
      <c r="N4905">
        <f>IF(M4905="","",'Master Barang'!A99)</f>
        <v>0</v>
      </c>
      <c r="O4905">
        <f>IF(N4905="","",'Master Barang'!B99)</f>
        <v>0</v>
      </c>
      <c r="P4905">
        <f>IF(OR(M4905="",N4905=""),"",SUMIFS('Barang Keluar'!$E:$E,'Barang Keluar'!$A:$A,M4905,'Barang Keluar'!$C:$C,N4905))</f>
        <v>0</v>
      </c>
    </row>
    <row r="4906" spans="13:16">
      <c r="M4906" s="49">
        <f>IF($A$4+48&gt;$B$4,"",$A$4+48)</f>
        <v>46071</v>
      </c>
      <c r="N4906">
        <f>IF(M4906="","",'Master Barang'!A100)</f>
        <v>0</v>
      </c>
      <c r="O4906">
        <f>IF(N4906="","",'Master Barang'!B100)</f>
        <v>0</v>
      </c>
      <c r="P4906">
        <f>IF(OR(M4906="",N4906=""),"",SUMIFS('Barang Keluar'!$E:$E,'Barang Keluar'!$A:$A,M4906,'Barang Keluar'!$C:$C,N4906))</f>
        <v>0</v>
      </c>
    </row>
    <row r="4907" spans="13:16">
      <c r="M4907" s="49">
        <f>IF($A$4+48&gt;$B$4,"",$A$4+48)</f>
        <v>46071</v>
      </c>
      <c r="N4907">
        <f>IF(M4907="","",'Master Barang'!A101)</f>
        <v>0</v>
      </c>
      <c r="O4907">
        <f>IF(N4907="","",'Master Barang'!B101)</f>
        <v>0</v>
      </c>
      <c r="P4907">
        <f>IF(OR(M4907="",N4907=""),"",SUMIFS('Barang Keluar'!$E:$E,'Barang Keluar'!$A:$A,M4907,'Barang Keluar'!$C:$C,N4907))</f>
        <v>0</v>
      </c>
    </row>
    <row r="4908" spans="13:16">
      <c r="M4908" s="49">
        <f>IF($A$4+49&gt;$B$4,"",$A$4+49)</f>
        <v>46072</v>
      </c>
      <c r="N4908" t="str">
        <f>IF(M4908="","",'Master Barang'!A2)</f>
        <v>PRL-001</v>
      </c>
      <c r="O4908" t="str">
        <f>IF(N4908="","",'Master Barang'!B2)</f>
        <v>natura desinfectant food grade 5l</v>
      </c>
      <c r="P4908">
        <f>IF(OR(M4908="",N4908=""),"",SUMIFS('Barang Keluar'!$E:$E,'Barang Keluar'!$A:$A,M4908,'Barang Keluar'!$C:$C,N4908))</f>
        <v>0</v>
      </c>
    </row>
    <row r="4909" spans="13:16">
      <c r="M4909" s="49">
        <f>IF($A$4+49&gt;$B$4,"",$A$4+49)</f>
        <v>46072</v>
      </c>
      <c r="N4909" t="str">
        <f>IF(M4909="","",'Master Barang'!A3)</f>
        <v>PRL-002</v>
      </c>
      <c r="O4909" t="str">
        <f>IF(N4909="","",'Master Barang'!B3)</f>
        <v>sunlight cairan pencuci piring 5l</v>
      </c>
      <c r="P4909">
        <f>IF(OR(M4909="",N4909=""),"",SUMIFS('Barang Keluar'!$E:$E,'Barang Keluar'!$A:$A,M4909,'Barang Keluar'!$C:$C,N4909))</f>
        <v>0</v>
      </c>
    </row>
    <row r="4910" spans="13:16">
      <c r="M4910" s="49">
        <f>IF($A$4+49&gt;$B$4,"",$A$4+49)</f>
        <v>46072</v>
      </c>
      <c r="N4910" t="str">
        <f>IF(M4910="","",'Master Barang'!A4)</f>
        <v>PRL-003</v>
      </c>
      <c r="O4910" t="str">
        <f>IF(N4910="","",'Master Barang'!B4)</f>
        <v>oixs cleaner 1l</v>
      </c>
      <c r="P4910">
        <f>IF(OR(M4910="",N4910=""),"",SUMIFS('Barang Keluar'!$E:$E,'Barang Keluar'!$A:$A,M4910,'Barang Keluar'!$C:$C,N4910))</f>
        <v>0</v>
      </c>
    </row>
    <row r="4911" spans="13:16">
      <c r="M4911" s="49">
        <f>IF($A$4+49&gt;$B$4,"",$A$4+49)</f>
        <v>46072</v>
      </c>
      <c r="N4911" t="str">
        <f>IF(M4911="","",'Master Barang'!A5)</f>
        <v>PRL-004</v>
      </c>
      <c r="O4911" t="str">
        <f>IF(N4911="","",'Master Barang'!B5)</f>
        <v>be clean tissue serbaguna</v>
      </c>
      <c r="P4911">
        <f>IF(OR(M4911="",N4911=""),"",SUMIFS('Barang Keluar'!$E:$E,'Barang Keluar'!$A:$A,M4911,'Barang Keluar'!$C:$C,N4911))</f>
        <v>0</v>
      </c>
    </row>
    <row r="4912" spans="13:16">
      <c r="M4912" s="49">
        <f>IF($A$4+49&gt;$B$4,"",$A$4+49)</f>
        <v>46072</v>
      </c>
      <c r="N4912" t="str">
        <f>IF(M4912="","",'Master Barang'!A6)</f>
        <v>PRL-005</v>
      </c>
      <c r="O4912" t="str">
        <f>IF(N4912="","",'Master Barang'!B6)</f>
        <v>spons cuci hijau</v>
      </c>
      <c r="P4912">
        <f>IF(OR(M4912="",N4912=""),"",SUMIFS('Barang Keluar'!$E:$E,'Barang Keluar'!$A:$A,M4912,'Barang Keluar'!$C:$C,N4912))</f>
        <v>0</v>
      </c>
    </row>
    <row r="4913" spans="13:16">
      <c r="M4913" s="49">
        <f>IF($A$4+49&gt;$B$4,"",$A$4+49)</f>
        <v>46072</v>
      </c>
      <c r="N4913" t="str">
        <f>IF(M4913="","",'Master Barang'!A7)</f>
        <v>PRL-006</v>
      </c>
      <c r="O4913" t="str">
        <f>IF(N4913="","",'Master Barang'!B7)</f>
        <v>sabut cuci stainless</v>
      </c>
      <c r="P4913">
        <f>IF(OR(M4913="",N4913=""),"",SUMIFS('Barang Keluar'!$E:$E,'Barang Keluar'!$A:$A,M4913,'Barang Keluar'!$C:$C,N4913))</f>
        <v>0</v>
      </c>
    </row>
    <row r="4914" spans="13:16">
      <c r="M4914" s="49">
        <f>IF($A$4+49&gt;$B$4,"",$A$4+49)</f>
        <v>46072</v>
      </c>
      <c r="N4914" t="str">
        <f>IF(M4914="","",'Master Barang'!A8)</f>
        <v>PRL-007</v>
      </c>
      <c r="O4914" t="str">
        <f>IF(N4914="","",'Master Barang'!B8)</f>
        <v>plastik kresek besar merah 50pc</v>
      </c>
      <c r="P4914">
        <f>IF(OR(M4914="",N4914=""),"",SUMIFS('Barang Keluar'!$E:$E,'Barang Keluar'!$A:$A,M4914,'Barang Keluar'!$C:$C,N4914))</f>
        <v>0</v>
      </c>
    </row>
    <row r="4915" spans="13:16">
      <c r="M4915" s="49">
        <f>IF($A$4+49&gt;$B$4,"",$A$4+49)</f>
        <v>46072</v>
      </c>
      <c r="N4915" t="str">
        <f>IF(M4915="","",'Master Barang'!A9)</f>
        <v>PRL-008</v>
      </c>
      <c r="O4915" t="str">
        <f>IF(N4915="","",'Master Barang'!B9)</f>
        <v>lap besar</v>
      </c>
      <c r="P4915">
        <f>IF(OR(M4915="",N4915=""),"",SUMIFS('Barang Keluar'!$E:$E,'Barang Keluar'!$A:$A,M4915,'Barang Keluar'!$C:$C,N4915))</f>
        <v>0</v>
      </c>
    </row>
    <row r="4916" spans="13:16">
      <c r="M4916" s="49">
        <f>IF($A$4+49&gt;$B$4,"",$A$4+49)</f>
        <v>46072</v>
      </c>
      <c r="N4916" t="str">
        <f>IF(M4916="","",'Master Barang'!A10)</f>
        <v>PRL-009</v>
      </c>
      <c r="O4916" t="str">
        <f>IF(N4916="","",'Master Barang'!B10)</f>
        <v>lap microfiber</v>
      </c>
      <c r="P4916">
        <f>IF(OR(M4916="",N4916=""),"",SUMIFS('Barang Keluar'!$E:$E,'Barang Keluar'!$A:$A,M4916,'Barang Keluar'!$C:$C,N4916))</f>
        <v>0</v>
      </c>
    </row>
    <row r="4917" spans="13:16">
      <c r="M4917" s="49">
        <f>IF($A$4+49&gt;$B$4,"",$A$4+49)</f>
        <v>46072</v>
      </c>
      <c r="N4917" t="str">
        <f>IF(M4917="","",'Master Barang'!A11)</f>
        <v>PRL-010</v>
      </c>
      <c r="O4917" t="str">
        <f>IF(N4917="","",'Master Barang'!B11)</f>
        <v>lap kecil</v>
      </c>
      <c r="P4917">
        <f>IF(OR(M4917="",N4917=""),"",SUMIFS('Barang Keluar'!$E:$E,'Barang Keluar'!$A:$A,M4917,'Barang Keluar'!$C:$C,N4917))</f>
        <v>0</v>
      </c>
    </row>
    <row r="4918" spans="13:16">
      <c r="M4918" s="49">
        <f>IF($A$4+49&gt;$B$4,"",$A$4+49)</f>
        <v>46072</v>
      </c>
      <c r="N4918" t="str">
        <f>IF(M4918="","",'Master Barang'!A12)</f>
        <v>PRL-011</v>
      </c>
      <c r="O4918" t="str">
        <f>IF(N4918="","",'Master Barang'!B12)</f>
        <v>kanebo kecil</v>
      </c>
      <c r="P4918">
        <f>IF(OR(M4918="",N4918=""),"",SUMIFS('Barang Keluar'!$E:$E,'Barang Keluar'!$A:$A,M4918,'Barang Keluar'!$C:$C,N4918))</f>
        <v>0</v>
      </c>
    </row>
    <row r="4919" spans="13:16">
      <c r="M4919" s="49">
        <f>IF($A$4+49&gt;$B$4,"",$A$4+49)</f>
        <v>46072</v>
      </c>
      <c r="N4919" t="str">
        <f>IF(M4919="","",'Master Barang'!A13)</f>
        <v>PRL-012</v>
      </c>
      <c r="O4919" t="str">
        <f>IF(N4919="","",'Master Barang'!B13)</f>
        <v>plastik 1/4kg joyoboyo 100 lembar</v>
      </c>
      <c r="P4919">
        <f>IF(OR(M4919="",N4919=""),"",SUMIFS('Barang Keluar'!$E:$E,'Barang Keluar'!$A:$A,M4919,'Barang Keluar'!$C:$C,N4919))</f>
        <v>0</v>
      </c>
    </row>
    <row r="4920" spans="13:16">
      <c r="M4920" s="49">
        <f>IF($A$4+49&gt;$B$4,"",$A$4+49)</f>
        <v>46072</v>
      </c>
      <c r="N4920" t="str">
        <f>IF(M4920="","",'Master Barang'!A14)</f>
        <v>PRL-013</v>
      </c>
      <c r="O4920" t="str">
        <f>IF(N4920="","",'Master Barang'!B14)</f>
        <v>sarung tangan plastik kaka 100 pcs</v>
      </c>
      <c r="P4920">
        <f>IF(OR(M4920="",N4920=""),"",SUMIFS('Barang Keluar'!$E:$E,'Barang Keluar'!$A:$A,M4920,'Barang Keluar'!$C:$C,N4920))</f>
        <v>0</v>
      </c>
    </row>
    <row r="4921" spans="13:16">
      <c r="M4921" s="49">
        <f>IF($A$4+49&gt;$B$4,"",$A$4+49)</f>
        <v>46072</v>
      </c>
      <c r="N4921" t="str">
        <f>IF(M4921="","",'Master Barang'!A15)</f>
        <v>PRL-014</v>
      </c>
      <c r="O4921" t="str">
        <f>IF(N4921="","",'Master Barang'!B15)</f>
        <v>optima trashbag 80x100</v>
      </c>
      <c r="P4921">
        <f>IF(OR(M4921="",N4921=""),"",SUMIFS('Barang Keluar'!$E:$E,'Barang Keluar'!$A:$A,M4921,'Barang Keluar'!$C:$C,N4921))</f>
        <v>0</v>
      </c>
    </row>
    <row r="4922" spans="13:16">
      <c r="M4922" s="49">
        <f>IF($A$4+49&gt;$B$4,"",$A$4+49)</f>
        <v>46072</v>
      </c>
      <c r="N4922" t="str">
        <f>IF(M4922="","",'Master Barang'!A16)</f>
        <v>PRL-015</v>
      </c>
      <c r="O4922" t="str">
        <f>IF(N4922="","",'Master Barang'!B16)</f>
        <v>optima trashbag 60x100</v>
      </c>
      <c r="P4922">
        <f>IF(OR(M4922="",N4922=""),"",SUMIFS('Barang Keluar'!$E:$E,'Barang Keluar'!$A:$A,M4922,'Barang Keluar'!$C:$C,N4922))</f>
        <v>0</v>
      </c>
    </row>
    <row r="4923" spans="13:16">
      <c r="M4923" s="49">
        <f>IF($A$4+49&gt;$B$4,"",$A$4+49)</f>
        <v>46072</v>
      </c>
      <c r="N4923" t="str">
        <f>IF(M4923="","",'Master Barang'!A17)</f>
        <v>PRL-016</v>
      </c>
      <c r="O4923" t="str">
        <f>IF(N4923="","",'Master Barang'!B17)</f>
        <v>rajawali trashbag 30x40</v>
      </c>
      <c r="P4923">
        <f>IF(OR(M4923="",N4923=""),"",SUMIFS('Barang Keluar'!$E:$E,'Barang Keluar'!$A:$A,M4923,'Barang Keluar'!$C:$C,N4923))</f>
        <v>0</v>
      </c>
    </row>
    <row r="4924" spans="13:16">
      <c r="M4924" s="49">
        <f>IF($A$4+49&gt;$B$4,"",$A$4+49)</f>
        <v>46072</v>
      </c>
      <c r="N4924" t="str">
        <f>IF(M4924="","",'Master Barang'!A18)</f>
        <v>PRL-017</v>
      </c>
      <c r="O4924" t="str">
        <f>IF(N4924="","",'Master Barang'!B18)</f>
        <v>onemed masker biru 3 play 50 pcs</v>
      </c>
      <c r="P4924">
        <f>IF(OR(M4924="",N4924=""),"",SUMIFS('Barang Keluar'!$E:$E,'Barang Keluar'!$A:$A,M4924,'Barang Keluar'!$C:$C,N4924))</f>
        <v>0</v>
      </c>
    </row>
    <row r="4925" spans="13:16">
      <c r="M4925" s="49">
        <f>IF($A$4+49&gt;$B$4,"",$A$4+49)</f>
        <v>46072</v>
      </c>
      <c r="N4925" t="str">
        <f>IF(M4925="","",'Master Barang'!A19)</f>
        <v>PRL-018</v>
      </c>
      <c r="O4925" t="str">
        <f>IF(N4925="","",'Master Barang'!B19)</f>
        <v>onemed masker biru 3 play hijab 50 pcs</v>
      </c>
      <c r="P4925">
        <f>IF(OR(M4925="",N4925=""),"",SUMIFS('Barang Keluar'!$E:$E,'Barang Keluar'!$A:$A,M4925,'Barang Keluar'!$C:$C,N4925))</f>
        <v>0</v>
      </c>
    </row>
    <row r="4926" spans="13:16">
      <c r="M4926" s="49">
        <f>IF($A$4+49&gt;$B$4,"",$A$4+49)</f>
        <v>46072</v>
      </c>
      <c r="N4926" t="str">
        <f>IF(M4926="","",'Master Barang'!A20)</f>
        <v>PRL-019</v>
      </c>
      <c r="O4926" t="str">
        <f>IF(N4926="","",'Master Barang'!B20)</f>
        <v>neo health masker biru 3 play 50 pcs</v>
      </c>
      <c r="P4926">
        <f>IF(OR(M4926="",N4926=""),"",SUMIFS('Barang Keluar'!$E:$E,'Barang Keluar'!$A:$A,M4926,'Barang Keluar'!$C:$C,N4926))</f>
        <v>0</v>
      </c>
    </row>
    <row r="4927" spans="13:16">
      <c r="M4927" s="49">
        <f>IF($A$4+49&gt;$B$4,"",$A$4+49)</f>
        <v>46072</v>
      </c>
      <c r="N4927" t="str">
        <f>IF(M4927="","",'Master Barang'!A21)</f>
        <v>PRL-020</v>
      </c>
      <c r="O4927" t="str">
        <f>IF(N4927="","",'Master Barang'!B21)</f>
        <v>baymed masker hijau 3 play hijau 50 pcs</v>
      </c>
      <c r="P4927">
        <f>IF(OR(M4927="",N4927=""),"",SUMIFS('Barang Keluar'!$E:$E,'Barang Keluar'!$A:$A,M4927,'Barang Keluar'!$C:$C,N4927))</f>
        <v>0</v>
      </c>
    </row>
    <row r="4928" spans="13:16">
      <c r="M4928" s="49">
        <f>IF($A$4+49&gt;$B$4,"",$A$4+49)</f>
        <v>46072</v>
      </c>
      <c r="N4928" t="str">
        <f>IF(M4928="","",'Master Barang'!A22)</f>
        <v>PRL-021</v>
      </c>
      <c r="O4928" t="str">
        <f>IF(N4928="","",'Master Barang'!B22)</f>
        <v>altamed nurse cap penutup kepala 100 pcs</v>
      </c>
      <c r="P4928">
        <f>IF(OR(M4928="",N4928=""),"",SUMIFS('Barang Keluar'!$E:$E,'Barang Keluar'!$A:$A,M4928,'Barang Keluar'!$C:$C,N4928))</f>
        <v>0</v>
      </c>
    </row>
    <row r="4929" spans="13:16">
      <c r="M4929" s="49">
        <f>IF($A$4+49&gt;$B$4,"",$A$4+49)</f>
        <v>46072</v>
      </c>
      <c r="N4929" t="str">
        <f>IF(M4929="","",'Master Barang'!A23)</f>
        <v>PRL-022</v>
      </c>
      <c r="O4929" t="str">
        <f>IF(N4929="","",'Master Barang'!B23)</f>
        <v>sabun cuci tangan</v>
      </c>
      <c r="P4929">
        <f>IF(OR(M4929="",N4929=""),"",SUMIFS('Barang Keluar'!$E:$E,'Barang Keluar'!$A:$A,M4929,'Barang Keluar'!$C:$C,N4929))</f>
        <v>0</v>
      </c>
    </row>
    <row r="4930" spans="13:16">
      <c r="M4930" s="49">
        <f>IF($A$4+49&gt;$B$4,"",$A$4+49)</f>
        <v>46072</v>
      </c>
      <c r="N4930" t="str">
        <f>IF(M4930="","",'Master Barang'!A24)</f>
        <v>PRL-023</v>
      </c>
      <c r="O4930" t="str">
        <f>IF(N4930="","",'Master Barang'!B24)</f>
        <v>gayung kecil</v>
      </c>
      <c r="P4930">
        <f>IF(OR(M4930="",N4930=""),"",SUMIFS('Barang Keluar'!$E:$E,'Barang Keluar'!$A:$A,M4930,'Barang Keluar'!$C:$C,N4930))</f>
        <v>0</v>
      </c>
    </row>
    <row r="4931" spans="13:16">
      <c r="M4931" s="49">
        <f>IF($A$4+49&gt;$B$4,"",$A$4+49)</f>
        <v>46072</v>
      </c>
      <c r="N4931" t="str">
        <f>IF(M4931="","",'Master Barang'!A25)</f>
        <v>PRL-024</v>
      </c>
      <c r="O4931" t="str">
        <f>IF(N4931="","",'Master Barang'!B25)</f>
        <v>cikrak kecil</v>
      </c>
      <c r="P4931">
        <f>IF(OR(M4931="",N4931=""),"",SUMIFS('Barang Keluar'!$E:$E,'Barang Keluar'!$A:$A,M4931,'Barang Keluar'!$C:$C,N4931))</f>
        <v>0</v>
      </c>
    </row>
    <row r="4932" spans="13:16">
      <c r="M4932" s="49">
        <f>IF($A$4+49&gt;$B$4,"",$A$4+49)</f>
        <v>46072</v>
      </c>
      <c r="N4932" t="str">
        <f>IF(M4932="","",'Master Barang'!A26)</f>
        <v>PRL-025</v>
      </c>
      <c r="O4932" t="str">
        <f>IF(N4932="","",'Master Barang'!B26)</f>
        <v>petromax plastik kecil 12x24 100 lembar</v>
      </c>
      <c r="P4932">
        <f>IF(OR(M4932="",N4932=""),"",SUMIFS('Barang Keluar'!$E:$E,'Barang Keluar'!$A:$A,M4932,'Barang Keluar'!$C:$C,N4932))</f>
        <v>0</v>
      </c>
    </row>
    <row r="4933" spans="13:16">
      <c r="M4933" s="49">
        <f>IF($A$4+49&gt;$B$4,"",$A$4+49)</f>
        <v>46072</v>
      </c>
      <c r="N4933" t="str">
        <f>IF(M4933="","",'Master Barang'!A27)</f>
        <v>PRL-026</v>
      </c>
      <c r="O4933" t="str">
        <f>IF(N4933="","",'Master Barang'!B27)</f>
        <v>lancar kresek kecil bening </v>
      </c>
      <c r="P4933">
        <f>IF(OR(M4933="",N4933=""),"",SUMIFS('Barang Keluar'!$E:$E,'Barang Keluar'!$A:$A,M4933,'Barang Keluar'!$C:$C,N4933))</f>
        <v>0</v>
      </c>
    </row>
    <row r="4934" spans="13:16">
      <c r="M4934" s="49">
        <f>IF($A$4+49&gt;$B$4,"",$A$4+49)</f>
        <v>46072</v>
      </c>
      <c r="N4934" t="str">
        <f>IF(M4934="","",'Master Barang'!A28)</f>
        <v>PRL-027</v>
      </c>
      <c r="O4934" t="str">
        <f>IF(N4934="","",'Master Barang'!B28)</f>
        <v>kresek klin warna warni kecil</v>
      </c>
      <c r="P4934">
        <f>IF(OR(M4934="",N4934=""),"",SUMIFS('Barang Keluar'!$E:$E,'Barang Keluar'!$A:$A,M4934,'Barang Keluar'!$C:$C,N4934))</f>
        <v>0</v>
      </c>
    </row>
    <row r="4935" spans="13:16">
      <c r="M4935" s="49">
        <f>IF($A$4+49&gt;$B$4,"",$A$4+49)</f>
        <v>46072</v>
      </c>
      <c r="N4935" t="str">
        <f>IF(M4935="","",'Master Barang'!A29)</f>
        <v>PRL-028</v>
      </c>
      <c r="O4935" t="str">
        <f>IF(N4935="","",'Master Barang'!B29)</f>
        <v>ctik plastik 7x10 100 pcs</v>
      </c>
      <c r="P4935">
        <f>IF(OR(M4935="",N4935=""),"",SUMIFS('Barang Keluar'!$E:$E,'Barang Keluar'!$A:$A,M4935,'Barang Keluar'!$C:$C,N4935))</f>
        <v>0</v>
      </c>
    </row>
    <row r="4936" spans="13:16">
      <c r="M4936" s="49">
        <f>IF($A$4+49&gt;$B$4,"",$A$4+49)</f>
        <v>46072</v>
      </c>
      <c r="N4936" t="str">
        <f>IF(M4936="","",'Master Barang'!A30)</f>
        <v>PRL-029</v>
      </c>
      <c r="O4936" t="str">
        <f>IF(N4936="","",'Master Barang'!B30)</f>
        <v>ctik plastik 6x10 100 pcs</v>
      </c>
      <c r="P4936">
        <f>IF(OR(M4936="",N4936=""),"",SUMIFS('Barang Keluar'!$E:$E,'Barang Keluar'!$A:$A,M4936,'Barang Keluar'!$C:$C,N4936))</f>
        <v>0</v>
      </c>
    </row>
    <row r="4937" spans="13:16">
      <c r="M4937" s="49">
        <f>IF($A$4+49&gt;$B$4,"",$A$4+49)</f>
        <v>46072</v>
      </c>
      <c r="N4937" t="str">
        <f>IF(M4937="","",'Master Barang'!A31)</f>
        <v>PRL-030</v>
      </c>
      <c r="O4937" t="str">
        <f>IF(N4937="","",'Master Barang'!B31)</f>
        <v>klip plastik 25x16 100 pcs</v>
      </c>
      <c r="P4937">
        <f>IF(OR(M4937="",N4937=""),"",SUMIFS('Barang Keluar'!$E:$E,'Barang Keluar'!$A:$A,M4937,'Barang Keluar'!$C:$C,N4937))</f>
        <v>0</v>
      </c>
    </row>
    <row r="4938" spans="13:16">
      <c r="M4938" s="49">
        <f>IF($A$4+49&gt;$B$4,"",$A$4+49)</f>
        <v>46072</v>
      </c>
      <c r="N4938" t="str">
        <f>IF(M4938="","",'Master Barang'!A32)</f>
        <v>PRL-031</v>
      </c>
      <c r="O4938" t="str">
        <f>IF(N4938="","",'Master Barang'!B32)</f>
        <v>tempat saus 20 ml</v>
      </c>
      <c r="P4938">
        <f>IF(OR(M4938="",N4938=""),"",SUMIFS('Barang Keluar'!$E:$E,'Barang Keluar'!$A:$A,M4938,'Barang Keluar'!$C:$C,N4938))</f>
        <v>0</v>
      </c>
    </row>
    <row r="4939" spans="13:16">
      <c r="M4939" s="49">
        <f>IF($A$4+49&gt;$B$4,"",$A$4+49)</f>
        <v>46072</v>
      </c>
      <c r="N4939" t="str">
        <f>IF(M4939="","",'Master Barang'!A33)</f>
        <v>PRL-032</v>
      </c>
      <c r="O4939" t="str">
        <f>IF(N4939="","",'Master Barang'!B33)</f>
        <v>plastik packaging ag box uk sedang</v>
      </c>
      <c r="P4939">
        <f>IF(OR(M4939="",N4939=""),"",SUMIFS('Barang Keluar'!$E:$E,'Barang Keluar'!$A:$A,M4939,'Barang Keluar'!$C:$C,N4939))</f>
        <v>0</v>
      </c>
    </row>
    <row r="4940" spans="13:16">
      <c r="M4940" s="49">
        <f>IF($A$4+49&gt;$B$4,"",$A$4+49)</f>
        <v>46072</v>
      </c>
      <c r="N4940" t="str">
        <f>IF(M4940="","",'Master Barang'!A34)</f>
        <v>PRL-033</v>
      </c>
      <c r="O4940">
        <f>IF(N4940="","",'Master Barang'!B34)</f>
        <v>0</v>
      </c>
      <c r="P4940">
        <f>IF(OR(M4940="",N4940=""),"",SUMIFS('Barang Keluar'!$E:$E,'Barang Keluar'!$A:$A,M4940,'Barang Keluar'!$C:$C,N4940))</f>
        <v>0</v>
      </c>
    </row>
    <row r="4941" spans="13:16">
      <c r="M4941" s="49">
        <f>IF($A$4+49&gt;$B$4,"",$A$4+49)</f>
        <v>46072</v>
      </c>
      <c r="N4941">
        <f>IF(M4941="","",'Master Barang'!A35)</f>
        <v>0</v>
      </c>
      <c r="O4941">
        <f>IF(N4941="","",'Master Barang'!B35)</f>
        <v>0</v>
      </c>
      <c r="P4941">
        <f>IF(OR(M4941="",N4941=""),"",SUMIFS('Barang Keluar'!$E:$E,'Barang Keluar'!$A:$A,M4941,'Barang Keluar'!$C:$C,N4941))</f>
        <v>0</v>
      </c>
    </row>
    <row r="4942" spans="13:16">
      <c r="M4942" s="49">
        <f>IF($A$4+49&gt;$B$4,"",$A$4+49)</f>
        <v>46072</v>
      </c>
      <c r="N4942">
        <f>IF(M4942="","",'Master Barang'!A36)</f>
        <v>0</v>
      </c>
      <c r="O4942">
        <f>IF(N4942="","",'Master Barang'!B36)</f>
        <v>0</v>
      </c>
      <c r="P4942">
        <f>IF(OR(M4942="",N4942=""),"",SUMIFS('Barang Keluar'!$E:$E,'Barang Keluar'!$A:$A,M4942,'Barang Keluar'!$C:$C,N4942))</f>
        <v>0</v>
      </c>
    </row>
    <row r="4943" spans="13:16">
      <c r="M4943" s="49">
        <f>IF($A$4+49&gt;$B$4,"",$A$4+49)</f>
        <v>46072</v>
      </c>
      <c r="N4943">
        <f>IF(M4943="","",'Master Barang'!A37)</f>
        <v>0</v>
      </c>
      <c r="O4943">
        <f>IF(N4943="","",'Master Barang'!B37)</f>
        <v>0</v>
      </c>
      <c r="P4943">
        <f>IF(OR(M4943="",N4943=""),"",SUMIFS('Barang Keluar'!$E:$E,'Barang Keluar'!$A:$A,M4943,'Barang Keluar'!$C:$C,N4943))</f>
        <v>0</v>
      </c>
    </row>
    <row r="4944" spans="13:16">
      <c r="M4944" s="49">
        <f>IF($A$4+49&gt;$B$4,"",$A$4+49)</f>
        <v>46072</v>
      </c>
      <c r="N4944">
        <f>IF(M4944="","",'Master Barang'!A38)</f>
        <v>0</v>
      </c>
      <c r="O4944">
        <f>IF(N4944="","",'Master Barang'!B38)</f>
        <v>0</v>
      </c>
      <c r="P4944">
        <f>IF(OR(M4944="",N4944=""),"",SUMIFS('Barang Keluar'!$E:$E,'Barang Keluar'!$A:$A,M4944,'Barang Keluar'!$C:$C,N4944))</f>
        <v>0</v>
      </c>
    </row>
    <row r="4945" spans="13:16">
      <c r="M4945" s="49">
        <f>IF($A$4+49&gt;$B$4,"",$A$4+49)</f>
        <v>46072</v>
      </c>
      <c r="N4945">
        <f>IF(M4945="","",'Master Barang'!A39)</f>
        <v>0</v>
      </c>
      <c r="O4945">
        <f>IF(N4945="","",'Master Barang'!B39)</f>
        <v>0</v>
      </c>
      <c r="P4945">
        <f>IF(OR(M4945="",N4945=""),"",SUMIFS('Barang Keluar'!$E:$E,'Barang Keluar'!$A:$A,M4945,'Barang Keluar'!$C:$C,N4945))</f>
        <v>0</v>
      </c>
    </row>
    <row r="4946" spans="13:16">
      <c r="M4946" s="49">
        <f>IF($A$4+49&gt;$B$4,"",$A$4+49)</f>
        <v>46072</v>
      </c>
      <c r="N4946">
        <f>IF(M4946="","",'Master Barang'!A40)</f>
        <v>0</v>
      </c>
      <c r="O4946">
        <f>IF(N4946="","",'Master Barang'!B40)</f>
        <v>0</v>
      </c>
      <c r="P4946">
        <f>IF(OR(M4946="",N4946=""),"",SUMIFS('Barang Keluar'!$E:$E,'Barang Keluar'!$A:$A,M4946,'Barang Keluar'!$C:$C,N4946))</f>
        <v>0</v>
      </c>
    </row>
    <row r="4947" spans="13:16">
      <c r="M4947" s="49">
        <f>IF($A$4+49&gt;$B$4,"",$A$4+49)</f>
        <v>46072</v>
      </c>
      <c r="N4947">
        <f>IF(M4947="","",'Master Barang'!A41)</f>
        <v>0</v>
      </c>
      <c r="O4947">
        <f>IF(N4947="","",'Master Barang'!B41)</f>
        <v>0</v>
      </c>
      <c r="P4947">
        <f>IF(OR(M4947="",N4947=""),"",SUMIFS('Barang Keluar'!$E:$E,'Barang Keluar'!$A:$A,M4947,'Barang Keluar'!$C:$C,N4947))</f>
        <v>0</v>
      </c>
    </row>
    <row r="4948" spans="13:16">
      <c r="M4948" s="49">
        <f>IF($A$4+49&gt;$B$4,"",$A$4+49)</f>
        <v>46072</v>
      </c>
      <c r="N4948">
        <f>IF(M4948="","",'Master Barang'!A42)</f>
        <v>0</v>
      </c>
      <c r="O4948">
        <f>IF(N4948="","",'Master Barang'!B42)</f>
        <v>0</v>
      </c>
      <c r="P4948">
        <f>IF(OR(M4948="",N4948=""),"",SUMIFS('Barang Keluar'!$E:$E,'Barang Keluar'!$A:$A,M4948,'Barang Keluar'!$C:$C,N4948))</f>
        <v>0</v>
      </c>
    </row>
    <row r="4949" spans="13:16">
      <c r="M4949" s="49">
        <f>IF($A$4+49&gt;$B$4,"",$A$4+49)</f>
        <v>46072</v>
      </c>
      <c r="N4949">
        <f>IF(M4949="","",'Master Barang'!A43)</f>
        <v>0</v>
      </c>
      <c r="O4949">
        <f>IF(N4949="","",'Master Barang'!B43)</f>
        <v>0</v>
      </c>
      <c r="P4949">
        <f>IF(OR(M4949="",N4949=""),"",SUMIFS('Barang Keluar'!$E:$E,'Barang Keluar'!$A:$A,M4949,'Barang Keluar'!$C:$C,N4949))</f>
        <v>0</v>
      </c>
    </row>
    <row r="4950" spans="13:16">
      <c r="M4950" s="49">
        <f>IF($A$4+49&gt;$B$4,"",$A$4+49)</f>
        <v>46072</v>
      </c>
      <c r="N4950">
        <f>IF(M4950="","",'Master Barang'!A44)</f>
        <v>0</v>
      </c>
      <c r="O4950">
        <f>IF(N4950="","",'Master Barang'!B44)</f>
        <v>0</v>
      </c>
      <c r="P4950">
        <f>IF(OR(M4950="",N4950=""),"",SUMIFS('Barang Keluar'!$E:$E,'Barang Keluar'!$A:$A,M4950,'Barang Keluar'!$C:$C,N4950))</f>
        <v>0</v>
      </c>
    </row>
    <row r="4951" spans="13:16">
      <c r="M4951" s="49">
        <f>IF($A$4+49&gt;$B$4,"",$A$4+49)</f>
        <v>46072</v>
      </c>
      <c r="N4951">
        <f>IF(M4951="","",'Master Barang'!A45)</f>
        <v>0</v>
      </c>
      <c r="O4951">
        <f>IF(N4951="","",'Master Barang'!B45)</f>
        <v>0</v>
      </c>
      <c r="P4951">
        <f>IF(OR(M4951="",N4951=""),"",SUMIFS('Barang Keluar'!$E:$E,'Barang Keluar'!$A:$A,M4951,'Barang Keluar'!$C:$C,N4951))</f>
        <v>0</v>
      </c>
    </row>
    <row r="4952" spans="13:16">
      <c r="M4952" s="49">
        <f>IF($A$4+49&gt;$B$4,"",$A$4+49)</f>
        <v>46072</v>
      </c>
      <c r="N4952">
        <f>IF(M4952="","",'Master Barang'!A46)</f>
        <v>0</v>
      </c>
      <c r="O4952">
        <f>IF(N4952="","",'Master Barang'!B46)</f>
        <v>0</v>
      </c>
      <c r="P4952">
        <f>IF(OR(M4952="",N4952=""),"",SUMIFS('Barang Keluar'!$E:$E,'Barang Keluar'!$A:$A,M4952,'Barang Keluar'!$C:$C,N4952))</f>
        <v>0</v>
      </c>
    </row>
    <row r="4953" spans="13:16">
      <c r="M4953" s="49">
        <f>IF($A$4+49&gt;$B$4,"",$A$4+49)</f>
        <v>46072</v>
      </c>
      <c r="N4953">
        <f>IF(M4953="","",'Master Barang'!A47)</f>
        <v>0</v>
      </c>
      <c r="O4953">
        <f>IF(N4953="","",'Master Barang'!B47)</f>
        <v>0</v>
      </c>
      <c r="P4953">
        <f>IF(OR(M4953="",N4953=""),"",SUMIFS('Barang Keluar'!$E:$E,'Barang Keluar'!$A:$A,M4953,'Barang Keluar'!$C:$C,N4953))</f>
        <v>0</v>
      </c>
    </row>
    <row r="4954" spans="13:16">
      <c r="M4954" s="49">
        <f>IF($A$4+49&gt;$B$4,"",$A$4+49)</f>
        <v>46072</v>
      </c>
      <c r="N4954">
        <f>IF(M4954="","",'Master Barang'!A48)</f>
        <v>0</v>
      </c>
      <c r="O4954">
        <f>IF(N4954="","",'Master Barang'!B48)</f>
        <v>0</v>
      </c>
      <c r="P4954">
        <f>IF(OR(M4954="",N4954=""),"",SUMIFS('Barang Keluar'!$E:$E,'Barang Keluar'!$A:$A,M4954,'Barang Keluar'!$C:$C,N4954))</f>
        <v>0</v>
      </c>
    </row>
    <row r="4955" spans="13:16">
      <c r="M4955" s="49">
        <f>IF($A$4+49&gt;$B$4,"",$A$4+49)</f>
        <v>46072</v>
      </c>
      <c r="N4955">
        <f>IF(M4955="","",'Master Barang'!A49)</f>
        <v>0</v>
      </c>
      <c r="O4955">
        <f>IF(N4955="","",'Master Barang'!B49)</f>
        <v>0</v>
      </c>
      <c r="P4955">
        <f>IF(OR(M4955="",N4955=""),"",SUMIFS('Barang Keluar'!$E:$E,'Barang Keluar'!$A:$A,M4955,'Barang Keluar'!$C:$C,N4955))</f>
        <v>0</v>
      </c>
    </row>
    <row r="4956" spans="13:16">
      <c r="M4956" s="49">
        <f>IF($A$4+49&gt;$B$4,"",$A$4+49)</f>
        <v>46072</v>
      </c>
      <c r="N4956">
        <f>IF(M4956="","",'Master Barang'!A50)</f>
        <v>0</v>
      </c>
      <c r="O4956">
        <f>IF(N4956="","",'Master Barang'!B50)</f>
        <v>0</v>
      </c>
      <c r="P4956">
        <f>IF(OR(M4956="",N4956=""),"",SUMIFS('Barang Keluar'!$E:$E,'Barang Keluar'!$A:$A,M4956,'Barang Keluar'!$C:$C,N4956))</f>
        <v>0</v>
      </c>
    </row>
    <row r="4957" spans="13:16">
      <c r="M4957" s="49">
        <f>IF($A$4+49&gt;$B$4,"",$A$4+49)</f>
        <v>46072</v>
      </c>
      <c r="N4957">
        <f>IF(M4957="","",'Master Barang'!A51)</f>
        <v>0</v>
      </c>
      <c r="O4957">
        <f>IF(N4957="","",'Master Barang'!B51)</f>
        <v>0</v>
      </c>
      <c r="P4957">
        <f>IF(OR(M4957="",N4957=""),"",SUMIFS('Barang Keluar'!$E:$E,'Barang Keluar'!$A:$A,M4957,'Barang Keluar'!$C:$C,N4957))</f>
        <v>0</v>
      </c>
    </row>
    <row r="4958" spans="13:16">
      <c r="M4958" s="49">
        <f>IF($A$4+49&gt;$B$4,"",$A$4+49)</f>
        <v>46072</v>
      </c>
      <c r="N4958">
        <f>IF(M4958="","",'Master Barang'!A52)</f>
        <v>0</v>
      </c>
      <c r="O4958">
        <f>IF(N4958="","",'Master Barang'!B52)</f>
        <v>0</v>
      </c>
      <c r="P4958">
        <f>IF(OR(M4958="",N4958=""),"",SUMIFS('Barang Keluar'!$E:$E,'Barang Keluar'!$A:$A,M4958,'Barang Keluar'!$C:$C,N4958))</f>
        <v>0</v>
      </c>
    </row>
    <row r="4959" spans="13:16">
      <c r="M4959" s="49">
        <f>IF($A$4+49&gt;$B$4,"",$A$4+49)</f>
        <v>46072</v>
      </c>
      <c r="N4959">
        <f>IF(M4959="","",'Master Barang'!A53)</f>
        <v>0</v>
      </c>
      <c r="O4959">
        <f>IF(N4959="","",'Master Barang'!B53)</f>
        <v>0</v>
      </c>
      <c r="P4959">
        <f>IF(OR(M4959="",N4959=""),"",SUMIFS('Barang Keluar'!$E:$E,'Barang Keluar'!$A:$A,M4959,'Barang Keluar'!$C:$C,N4959))</f>
        <v>0</v>
      </c>
    </row>
    <row r="4960" spans="13:16">
      <c r="M4960" s="49">
        <f>IF($A$4+49&gt;$B$4,"",$A$4+49)</f>
        <v>46072</v>
      </c>
      <c r="N4960">
        <f>IF(M4960="","",'Master Barang'!A54)</f>
        <v>0</v>
      </c>
      <c r="O4960">
        <f>IF(N4960="","",'Master Barang'!B54)</f>
        <v>0</v>
      </c>
      <c r="P4960">
        <f>IF(OR(M4960="",N4960=""),"",SUMIFS('Barang Keluar'!$E:$E,'Barang Keluar'!$A:$A,M4960,'Barang Keluar'!$C:$C,N4960))</f>
        <v>0</v>
      </c>
    </row>
    <row r="4961" spans="13:16">
      <c r="M4961" s="49">
        <f>IF($A$4+49&gt;$B$4,"",$A$4+49)</f>
        <v>46072</v>
      </c>
      <c r="N4961">
        <f>IF(M4961="","",'Master Barang'!A55)</f>
        <v>0</v>
      </c>
      <c r="O4961">
        <f>IF(N4961="","",'Master Barang'!B55)</f>
        <v>0</v>
      </c>
      <c r="P4961">
        <f>IF(OR(M4961="",N4961=""),"",SUMIFS('Barang Keluar'!$E:$E,'Barang Keluar'!$A:$A,M4961,'Barang Keluar'!$C:$C,N4961))</f>
        <v>0</v>
      </c>
    </row>
    <row r="4962" spans="13:16">
      <c r="M4962" s="49">
        <f>IF($A$4+49&gt;$B$4,"",$A$4+49)</f>
        <v>46072</v>
      </c>
      <c r="N4962">
        <f>IF(M4962="","",'Master Barang'!A56)</f>
        <v>0</v>
      </c>
      <c r="O4962">
        <f>IF(N4962="","",'Master Barang'!B56)</f>
        <v>0</v>
      </c>
      <c r="P4962">
        <f>IF(OR(M4962="",N4962=""),"",SUMIFS('Barang Keluar'!$E:$E,'Barang Keluar'!$A:$A,M4962,'Barang Keluar'!$C:$C,N4962))</f>
        <v>0</v>
      </c>
    </row>
    <row r="4963" spans="13:16">
      <c r="M4963" s="49">
        <f>IF($A$4+49&gt;$B$4,"",$A$4+49)</f>
        <v>46072</v>
      </c>
      <c r="N4963">
        <f>IF(M4963="","",'Master Barang'!A57)</f>
        <v>0</v>
      </c>
      <c r="O4963">
        <f>IF(N4963="","",'Master Barang'!B57)</f>
        <v>0</v>
      </c>
      <c r="P4963">
        <f>IF(OR(M4963="",N4963=""),"",SUMIFS('Barang Keluar'!$E:$E,'Barang Keluar'!$A:$A,M4963,'Barang Keluar'!$C:$C,N4963))</f>
        <v>0</v>
      </c>
    </row>
    <row r="4964" spans="13:16">
      <c r="M4964" s="49">
        <f>IF($A$4+49&gt;$B$4,"",$A$4+49)</f>
        <v>46072</v>
      </c>
      <c r="N4964">
        <f>IF(M4964="","",'Master Barang'!A58)</f>
        <v>0</v>
      </c>
      <c r="O4964">
        <f>IF(N4964="","",'Master Barang'!B58)</f>
        <v>0</v>
      </c>
      <c r="P4964">
        <f>IF(OR(M4964="",N4964=""),"",SUMIFS('Barang Keluar'!$E:$E,'Barang Keluar'!$A:$A,M4964,'Barang Keluar'!$C:$C,N4964))</f>
        <v>0</v>
      </c>
    </row>
    <row r="4965" spans="13:16">
      <c r="M4965" s="49">
        <f>IF($A$4+49&gt;$B$4,"",$A$4+49)</f>
        <v>46072</v>
      </c>
      <c r="N4965">
        <f>IF(M4965="","",'Master Barang'!A59)</f>
        <v>0</v>
      </c>
      <c r="O4965">
        <f>IF(N4965="","",'Master Barang'!B59)</f>
        <v>0</v>
      </c>
      <c r="P4965">
        <f>IF(OR(M4965="",N4965=""),"",SUMIFS('Barang Keluar'!$E:$E,'Barang Keluar'!$A:$A,M4965,'Barang Keluar'!$C:$C,N4965))</f>
        <v>0</v>
      </c>
    </row>
    <row r="4966" spans="13:16">
      <c r="M4966" s="49">
        <f>IF($A$4+49&gt;$B$4,"",$A$4+49)</f>
        <v>46072</v>
      </c>
      <c r="N4966">
        <f>IF(M4966="","",'Master Barang'!A60)</f>
        <v>0</v>
      </c>
      <c r="O4966">
        <f>IF(N4966="","",'Master Barang'!B60)</f>
        <v>0</v>
      </c>
      <c r="P4966">
        <f>IF(OR(M4966="",N4966=""),"",SUMIFS('Barang Keluar'!$E:$E,'Barang Keluar'!$A:$A,M4966,'Barang Keluar'!$C:$C,N4966))</f>
        <v>0</v>
      </c>
    </row>
    <row r="4967" spans="13:16">
      <c r="M4967" s="49">
        <f>IF($A$4+49&gt;$B$4,"",$A$4+49)</f>
        <v>46072</v>
      </c>
      <c r="N4967">
        <f>IF(M4967="","",'Master Barang'!A61)</f>
        <v>0</v>
      </c>
      <c r="O4967">
        <f>IF(N4967="","",'Master Barang'!B61)</f>
        <v>0</v>
      </c>
      <c r="P4967">
        <f>IF(OR(M4967="",N4967=""),"",SUMIFS('Barang Keluar'!$E:$E,'Barang Keluar'!$A:$A,M4967,'Barang Keluar'!$C:$C,N4967))</f>
        <v>0</v>
      </c>
    </row>
    <row r="4968" spans="13:16">
      <c r="M4968" s="49">
        <f>IF($A$4+49&gt;$B$4,"",$A$4+49)</f>
        <v>46072</v>
      </c>
      <c r="N4968">
        <f>IF(M4968="","",'Master Barang'!A62)</f>
        <v>0</v>
      </c>
      <c r="O4968">
        <f>IF(N4968="","",'Master Barang'!B62)</f>
        <v>0</v>
      </c>
      <c r="P4968">
        <f>IF(OR(M4968="",N4968=""),"",SUMIFS('Barang Keluar'!$E:$E,'Barang Keluar'!$A:$A,M4968,'Barang Keluar'!$C:$C,N4968))</f>
        <v>0</v>
      </c>
    </row>
    <row r="4969" spans="13:16">
      <c r="M4969" s="49">
        <f>IF($A$4+49&gt;$B$4,"",$A$4+49)</f>
        <v>46072</v>
      </c>
      <c r="N4969">
        <f>IF(M4969="","",'Master Barang'!A63)</f>
        <v>0</v>
      </c>
      <c r="O4969">
        <f>IF(N4969="","",'Master Barang'!B63)</f>
        <v>0</v>
      </c>
      <c r="P4969">
        <f>IF(OR(M4969="",N4969=""),"",SUMIFS('Barang Keluar'!$E:$E,'Barang Keluar'!$A:$A,M4969,'Barang Keluar'!$C:$C,N4969))</f>
        <v>0</v>
      </c>
    </row>
    <row r="4970" spans="13:16">
      <c r="M4970" s="49">
        <f>IF($A$4+49&gt;$B$4,"",$A$4+49)</f>
        <v>46072</v>
      </c>
      <c r="N4970">
        <f>IF(M4970="","",'Master Barang'!A64)</f>
        <v>0</v>
      </c>
      <c r="O4970">
        <f>IF(N4970="","",'Master Barang'!B64)</f>
        <v>0</v>
      </c>
      <c r="P4970">
        <f>IF(OR(M4970="",N4970=""),"",SUMIFS('Barang Keluar'!$E:$E,'Barang Keluar'!$A:$A,M4970,'Barang Keluar'!$C:$C,N4970))</f>
        <v>0</v>
      </c>
    </row>
    <row r="4971" spans="13:16">
      <c r="M4971" s="49">
        <f>IF($A$4+49&gt;$B$4,"",$A$4+49)</f>
        <v>46072</v>
      </c>
      <c r="N4971">
        <f>IF(M4971="","",'Master Barang'!A65)</f>
        <v>0</v>
      </c>
      <c r="O4971">
        <f>IF(N4971="","",'Master Barang'!B65)</f>
        <v>0</v>
      </c>
      <c r="P4971">
        <f>IF(OR(M4971="",N4971=""),"",SUMIFS('Barang Keluar'!$E:$E,'Barang Keluar'!$A:$A,M4971,'Barang Keluar'!$C:$C,N4971))</f>
        <v>0</v>
      </c>
    </row>
    <row r="4972" spans="13:16">
      <c r="M4972" s="49">
        <f>IF($A$4+49&gt;$B$4,"",$A$4+49)</f>
        <v>46072</v>
      </c>
      <c r="N4972">
        <f>IF(M4972="","",'Master Barang'!A66)</f>
        <v>0</v>
      </c>
      <c r="O4972">
        <f>IF(N4972="","",'Master Barang'!B66)</f>
        <v>0</v>
      </c>
      <c r="P4972">
        <f>IF(OR(M4972="",N4972=""),"",SUMIFS('Barang Keluar'!$E:$E,'Barang Keluar'!$A:$A,M4972,'Barang Keluar'!$C:$C,N4972))</f>
        <v>0</v>
      </c>
    </row>
    <row r="4973" spans="13:16">
      <c r="M4973" s="49">
        <f>IF($A$4+49&gt;$B$4,"",$A$4+49)</f>
        <v>46072</v>
      </c>
      <c r="N4973">
        <f>IF(M4973="","",'Master Barang'!A67)</f>
        <v>0</v>
      </c>
      <c r="O4973">
        <f>IF(N4973="","",'Master Barang'!B67)</f>
        <v>0</v>
      </c>
      <c r="P4973">
        <f>IF(OR(M4973="",N4973=""),"",SUMIFS('Barang Keluar'!$E:$E,'Barang Keluar'!$A:$A,M4973,'Barang Keluar'!$C:$C,N4973))</f>
        <v>0</v>
      </c>
    </row>
    <row r="4974" spans="13:16">
      <c r="M4974" s="49">
        <f>IF($A$4+49&gt;$B$4,"",$A$4+49)</f>
        <v>46072</v>
      </c>
      <c r="N4974">
        <f>IF(M4974="","",'Master Barang'!A68)</f>
        <v>0</v>
      </c>
      <c r="O4974">
        <f>IF(N4974="","",'Master Barang'!B68)</f>
        <v>0</v>
      </c>
      <c r="P4974">
        <f>IF(OR(M4974="",N4974=""),"",SUMIFS('Barang Keluar'!$E:$E,'Barang Keluar'!$A:$A,M4974,'Barang Keluar'!$C:$C,N4974))</f>
        <v>0</v>
      </c>
    </row>
    <row r="4975" spans="13:16">
      <c r="M4975" s="49">
        <f>IF($A$4+49&gt;$B$4,"",$A$4+49)</f>
        <v>46072</v>
      </c>
      <c r="N4975">
        <f>IF(M4975="","",'Master Barang'!A69)</f>
        <v>0</v>
      </c>
      <c r="O4975">
        <f>IF(N4975="","",'Master Barang'!B69)</f>
        <v>0</v>
      </c>
      <c r="P4975">
        <f>IF(OR(M4975="",N4975=""),"",SUMIFS('Barang Keluar'!$E:$E,'Barang Keluar'!$A:$A,M4975,'Barang Keluar'!$C:$C,N4975))</f>
        <v>0</v>
      </c>
    </row>
    <row r="4976" spans="13:16">
      <c r="M4976" s="49">
        <f>IF($A$4+49&gt;$B$4,"",$A$4+49)</f>
        <v>46072</v>
      </c>
      <c r="N4976">
        <f>IF(M4976="","",'Master Barang'!A70)</f>
        <v>0</v>
      </c>
      <c r="O4976">
        <f>IF(N4976="","",'Master Barang'!B70)</f>
        <v>0</v>
      </c>
      <c r="P4976">
        <f>IF(OR(M4976="",N4976=""),"",SUMIFS('Barang Keluar'!$E:$E,'Barang Keluar'!$A:$A,M4976,'Barang Keluar'!$C:$C,N4976))</f>
        <v>0</v>
      </c>
    </row>
    <row r="4977" spans="13:16">
      <c r="M4977" s="49">
        <f>IF($A$4+49&gt;$B$4,"",$A$4+49)</f>
        <v>46072</v>
      </c>
      <c r="N4977">
        <f>IF(M4977="","",'Master Barang'!A71)</f>
        <v>0</v>
      </c>
      <c r="O4977">
        <f>IF(N4977="","",'Master Barang'!B71)</f>
        <v>0</v>
      </c>
      <c r="P4977">
        <f>IF(OR(M4977="",N4977=""),"",SUMIFS('Barang Keluar'!$E:$E,'Barang Keluar'!$A:$A,M4977,'Barang Keluar'!$C:$C,N4977))</f>
        <v>0</v>
      </c>
    </row>
    <row r="4978" spans="13:16">
      <c r="M4978" s="49">
        <f>IF($A$4+49&gt;$B$4,"",$A$4+49)</f>
        <v>46072</v>
      </c>
      <c r="N4978">
        <f>IF(M4978="","",'Master Barang'!A72)</f>
        <v>0</v>
      </c>
      <c r="O4978">
        <f>IF(N4978="","",'Master Barang'!B72)</f>
        <v>0</v>
      </c>
      <c r="P4978">
        <f>IF(OR(M4978="",N4978=""),"",SUMIFS('Barang Keluar'!$E:$E,'Barang Keluar'!$A:$A,M4978,'Barang Keluar'!$C:$C,N4978))</f>
        <v>0</v>
      </c>
    </row>
    <row r="4979" spans="13:16">
      <c r="M4979" s="49">
        <f>IF($A$4+49&gt;$B$4,"",$A$4+49)</f>
        <v>46072</v>
      </c>
      <c r="N4979">
        <f>IF(M4979="","",'Master Barang'!A73)</f>
        <v>0</v>
      </c>
      <c r="O4979">
        <f>IF(N4979="","",'Master Barang'!B73)</f>
        <v>0</v>
      </c>
      <c r="P4979">
        <f>IF(OR(M4979="",N4979=""),"",SUMIFS('Barang Keluar'!$E:$E,'Barang Keluar'!$A:$A,M4979,'Barang Keluar'!$C:$C,N4979))</f>
        <v>0</v>
      </c>
    </row>
    <row r="4980" spans="13:16">
      <c r="M4980" s="49">
        <f>IF($A$4+49&gt;$B$4,"",$A$4+49)</f>
        <v>46072</v>
      </c>
      <c r="N4980">
        <f>IF(M4980="","",'Master Barang'!A74)</f>
        <v>0</v>
      </c>
      <c r="O4980">
        <f>IF(N4980="","",'Master Barang'!B74)</f>
        <v>0</v>
      </c>
      <c r="P4980">
        <f>IF(OR(M4980="",N4980=""),"",SUMIFS('Barang Keluar'!$E:$E,'Barang Keluar'!$A:$A,M4980,'Barang Keluar'!$C:$C,N4980))</f>
        <v>0</v>
      </c>
    </row>
    <row r="4981" spans="13:16">
      <c r="M4981" s="49">
        <f>IF($A$4+49&gt;$B$4,"",$A$4+49)</f>
        <v>46072</v>
      </c>
      <c r="N4981">
        <f>IF(M4981="","",'Master Barang'!A75)</f>
        <v>0</v>
      </c>
      <c r="O4981">
        <f>IF(N4981="","",'Master Barang'!B75)</f>
        <v>0</v>
      </c>
      <c r="P4981">
        <f>IF(OR(M4981="",N4981=""),"",SUMIFS('Barang Keluar'!$E:$E,'Barang Keluar'!$A:$A,M4981,'Barang Keluar'!$C:$C,N4981))</f>
        <v>0</v>
      </c>
    </row>
    <row r="4982" spans="13:16">
      <c r="M4982" s="49">
        <f>IF($A$4+49&gt;$B$4,"",$A$4+49)</f>
        <v>46072</v>
      </c>
      <c r="N4982">
        <f>IF(M4982="","",'Master Barang'!A76)</f>
        <v>0</v>
      </c>
      <c r="O4982">
        <f>IF(N4982="","",'Master Barang'!B76)</f>
        <v>0</v>
      </c>
      <c r="P4982">
        <f>IF(OR(M4982="",N4982=""),"",SUMIFS('Barang Keluar'!$E:$E,'Barang Keluar'!$A:$A,M4982,'Barang Keluar'!$C:$C,N4982))</f>
        <v>0</v>
      </c>
    </row>
    <row r="4983" spans="13:16">
      <c r="M4983" s="49">
        <f>IF($A$4+49&gt;$B$4,"",$A$4+49)</f>
        <v>46072</v>
      </c>
      <c r="N4983">
        <f>IF(M4983="","",'Master Barang'!A77)</f>
        <v>0</v>
      </c>
      <c r="O4983">
        <f>IF(N4983="","",'Master Barang'!B77)</f>
        <v>0</v>
      </c>
      <c r="P4983">
        <f>IF(OR(M4983="",N4983=""),"",SUMIFS('Barang Keluar'!$E:$E,'Barang Keluar'!$A:$A,M4983,'Barang Keluar'!$C:$C,N4983))</f>
        <v>0</v>
      </c>
    </row>
    <row r="4984" spans="13:16">
      <c r="M4984" s="49">
        <f>IF($A$4+49&gt;$B$4,"",$A$4+49)</f>
        <v>46072</v>
      </c>
      <c r="N4984">
        <f>IF(M4984="","",'Master Barang'!A78)</f>
        <v>0</v>
      </c>
      <c r="O4984">
        <f>IF(N4984="","",'Master Barang'!B78)</f>
        <v>0</v>
      </c>
      <c r="P4984">
        <f>IF(OR(M4984="",N4984=""),"",SUMIFS('Barang Keluar'!$E:$E,'Barang Keluar'!$A:$A,M4984,'Barang Keluar'!$C:$C,N4984))</f>
        <v>0</v>
      </c>
    </row>
    <row r="4985" spans="13:16">
      <c r="M4985" s="49">
        <f>IF($A$4+49&gt;$B$4,"",$A$4+49)</f>
        <v>46072</v>
      </c>
      <c r="N4985">
        <f>IF(M4985="","",'Master Barang'!A79)</f>
        <v>0</v>
      </c>
      <c r="O4985">
        <f>IF(N4985="","",'Master Barang'!B79)</f>
        <v>0</v>
      </c>
      <c r="P4985">
        <f>IF(OR(M4985="",N4985=""),"",SUMIFS('Barang Keluar'!$E:$E,'Barang Keluar'!$A:$A,M4985,'Barang Keluar'!$C:$C,N4985))</f>
        <v>0</v>
      </c>
    </row>
    <row r="4986" spans="13:16">
      <c r="M4986" s="49">
        <f>IF($A$4+49&gt;$B$4,"",$A$4+49)</f>
        <v>46072</v>
      </c>
      <c r="N4986">
        <f>IF(M4986="","",'Master Barang'!A80)</f>
        <v>0</v>
      </c>
      <c r="O4986">
        <f>IF(N4986="","",'Master Barang'!B80)</f>
        <v>0</v>
      </c>
      <c r="P4986">
        <f>IF(OR(M4986="",N4986=""),"",SUMIFS('Barang Keluar'!$E:$E,'Barang Keluar'!$A:$A,M4986,'Barang Keluar'!$C:$C,N4986))</f>
        <v>0</v>
      </c>
    </row>
    <row r="4987" spans="13:16">
      <c r="M4987" s="49">
        <f>IF($A$4+49&gt;$B$4,"",$A$4+49)</f>
        <v>46072</v>
      </c>
      <c r="N4987">
        <f>IF(M4987="","",'Master Barang'!A81)</f>
        <v>0</v>
      </c>
      <c r="O4987">
        <f>IF(N4987="","",'Master Barang'!B81)</f>
        <v>0</v>
      </c>
      <c r="P4987">
        <f>IF(OR(M4987="",N4987=""),"",SUMIFS('Barang Keluar'!$E:$E,'Barang Keluar'!$A:$A,M4987,'Barang Keluar'!$C:$C,N4987))</f>
        <v>0</v>
      </c>
    </row>
    <row r="4988" spans="13:16">
      <c r="M4988" s="49">
        <f>IF($A$4+49&gt;$B$4,"",$A$4+49)</f>
        <v>46072</v>
      </c>
      <c r="N4988">
        <f>IF(M4988="","",'Master Barang'!A82)</f>
        <v>0</v>
      </c>
      <c r="O4988">
        <f>IF(N4988="","",'Master Barang'!B82)</f>
        <v>0</v>
      </c>
      <c r="P4988">
        <f>IF(OR(M4988="",N4988=""),"",SUMIFS('Barang Keluar'!$E:$E,'Barang Keluar'!$A:$A,M4988,'Barang Keluar'!$C:$C,N4988))</f>
        <v>0</v>
      </c>
    </row>
    <row r="4989" spans="13:16">
      <c r="M4989" s="49">
        <f>IF($A$4+49&gt;$B$4,"",$A$4+49)</f>
        <v>46072</v>
      </c>
      <c r="N4989">
        <f>IF(M4989="","",'Master Barang'!A83)</f>
        <v>0</v>
      </c>
      <c r="O4989">
        <f>IF(N4989="","",'Master Barang'!B83)</f>
        <v>0</v>
      </c>
      <c r="P4989">
        <f>IF(OR(M4989="",N4989=""),"",SUMIFS('Barang Keluar'!$E:$E,'Barang Keluar'!$A:$A,M4989,'Barang Keluar'!$C:$C,N4989))</f>
        <v>0</v>
      </c>
    </row>
    <row r="4990" spans="13:16">
      <c r="M4990" s="49">
        <f>IF($A$4+49&gt;$B$4,"",$A$4+49)</f>
        <v>46072</v>
      </c>
      <c r="N4990">
        <f>IF(M4990="","",'Master Barang'!A84)</f>
        <v>0</v>
      </c>
      <c r="O4990">
        <f>IF(N4990="","",'Master Barang'!B84)</f>
        <v>0</v>
      </c>
      <c r="P4990">
        <f>IF(OR(M4990="",N4990=""),"",SUMIFS('Barang Keluar'!$E:$E,'Barang Keluar'!$A:$A,M4990,'Barang Keluar'!$C:$C,N4990))</f>
        <v>0</v>
      </c>
    </row>
    <row r="4991" spans="13:16">
      <c r="M4991" s="49">
        <f>IF($A$4+49&gt;$B$4,"",$A$4+49)</f>
        <v>46072</v>
      </c>
      <c r="N4991">
        <f>IF(M4991="","",'Master Barang'!A85)</f>
        <v>0</v>
      </c>
      <c r="O4991">
        <f>IF(N4991="","",'Master Barang'!B85)</f>
        <v>0</v>
      </c>
      <c r="P4991">
        <f>IF(OR(M4991="",N4991=""),"",SUMIFS('Barang Keluar'!$E:$E,'Barang Keluar'!$A:$A,M4991,'Barang Keluar'!$C:$C,N4991))</f>
        <v>0</v>
      </c>
    </row>
    <row r="4992" spans="13:16">
      <c r="M4992" s="49">
        <f>IF($A$4+49&gt;$B$4,"",$A$4+49)</f>
        <v>46072</v>
      </c>
      <c r="N4992">
        <f>IF(M4992="","",'Master Barang'!A86)</f>
        <v>0</v>
      </c>
      <c r="O4992">
        <f>IF(N4992="","",'Master Barang'!B86)</f>
        <v>0</v>
      </c>
      <c r="P4992">
        <f>IF(OR(M4992="",N4992=""),"",SUMIFS('Barang Keluar'!$E:$E,'Barang Keluar'!$A:$A,M4992,'Barang Keluar'!$C:$C,N4992))</f>
        <v>0</v>
      </c>
    </row>
    <row r="4993" spans="13:16">
      <c r="M4993" s="49">
        <f>IF($A$4+49&gt;$B$4,"",$A$4+49)</f>
        <v>46072</v>
      </c>
      <c r="N4993">
        <f>IF(M4993="","",'Master Barang'!A87)</f>
        <v>0</v>
      </c>
      <c r="O4993">
        <f>IF(N4993="","",'Master Barang'!B87)</f>
        <v>0</v>
      </c>
      <c r="P4993">
        <f>IF(OR(M4993="",N4993=""),"",SUMIFS('Barang Keluar'!$E:$E,'Barang Keluar'!$A:$A,M4993,'Barang Keluar'!$C:$C,N4993))</f>
        <v>0</v>
      </c>
    </row>
    <row r="4994" spans="13:16">
      <c r="M4994" s="49">
        <f>IF($A$4+49&gt;$B$4,"",$A$4+49)</f>
        <v>46072</v>
      </c>
      <c r="N4994">
        <f>IF(M4994="","",'Master Barang'!A88)</f>
        <v>0</v>
      </c>
      <c r="O4994">
        <f>IF(N4994="","",'Master Barang'!B88)</f>
        <v>0</v>
      </c>
      <c r="P4994">
        <f>IF(OR(M4994="",N4994=""),"",SUMIFS('Barang Keluar'!$E:$E,'Barang Keluar'!$A:$A,M4994,'Barang Keluar'!$C:$C,N4994))</f>
        <v>0</v>
      </c>
    </row>
    <row r="4995" spans="13:16">
      <c r="M4995" s="49">
        <f>IF($A$4+49&gt;$B$4,"",$A$4+49)</f>
        <v>46072</v>
      </c>
      <c r="N4995">
        <f>IF(M4995="","",'Master Barang'!A89)</f>
        <v>0</v>
      </c>
      <c r="O4995">
        <f>IF(N4995="","",'Master Barang'!B89)</f>
        <v>0</v>
      </c>
      <c r="P4995">
        <f>IF(OR(M4995="",N4995=""),"",SUMIFS('Barang Keluar'!$E:$E,'Barang Keluar'!$A:$A,M4995,'Barang Keluar'!$C:$C,N4995))</f>
        <v>0</v>
      </c>
    </row>
    <row r="4996" spans="13:16">
      <c r="M4996" s="49">
        <f>IF($A$4+49&gt;$B$4,"",$A$4+49)</f>
        <v>46072</v>
      </c>
      <c r="N4996">
        <f>IF(M4996="","",'Master Barang'!A90)</f>
        <v>0</v>
      </c>
      <c r="O4996">
        <f>IF(N4996="","",'Master Barang'!B90)</f>
        <v>0</v>
      </c>
      <c r="P4996">
        <f>IF(OR(M4996="",N4996=""),"",SUMIFS('Barang Keluar'!$E:$E,'Barang Keluar'!$A:$A,M4996,'Barang Keluar'!$C:$C,N4996))</f>
        <v>0</v>
      </c>
    </row>
    <row r="4997" spans="13:16">
      <c r="M4997" s="49">
        <f>IF($A$4+49&gt;$B$4,"",$A$4+49)</f>
        <v>46072</v>
      </c>
      <c r="N4997">
        <f>IF(M4997="","",'Master Barang'!A91)</f>
        <v>0</v>
      </c>
      <c r="O4997">
        <f>IF(N4997="","",'Master Barang'!B91)</f>
        <v>0</v>
      </c>
      <c r="P4997">
        <f>IF(OR(M4997="",N4997=""),"",SUMIFS('Barang Keluar'!$E:$E,'Barang Keluar'!$A:$A,M4997,'Barang Keluar'!$C:$C,N4997))</f>
        <v>0</v>
      </c>
    </row>
    <row r="4998" spans="13:16">
      <c r="M4998" s="49">
        <f>IF($A$4+49&gt;$B$4,"",$A$4+49)</f>
        <v>46072</v>
      </c>
      <c r="N4998">
        <f>IF(M4998="","",'Master Barang'!A92)</f>
        <v>0</v>
      </c>
      <c r="O4998">
        <f>IF(N4998="","",'Master Barang'!B92)</f>
        <v>0</v>
      </c>
      <c r="P4998">
        <f>IF(OR(M4998="",N4998=""),"",SUMIFS('Barang Keluar'!$E:$E,'Barang Keluar'!$A:$A,M4998,'Barang Keluar'!$C:$C,N4998))</f>
        <v>0</v>
      </c>
    </row>
    <row r="4999" spans="13:16">
      <c r="M4999" s="49">
        <f>IF($A$4+49&gt;$B$4,"",$A$4+49)</f>
        <v>46072</v>
      </c>
      <c r="N4999">
        <f>IF(M4999="","",'Master Barang'!A93)</f>
        <v>0</v>
      </c>
      <c r="O4999">
        <f>IF(N4999="","",'Master Barang'!B93)</f>
        <v>0</v>
      </c>
      <c r="P4999">
        <f>IF(OR(M4999="",N4999=""),"",SUMIFS('Barang Keluar'!$E:$E,'Barang Keluar'!$A:$A,M4999,'Barang Keluar'!$C:$C,N4999))</f>
        <v>0</v>
      </c>
    </row>
    <row r="5000" spans="13:16">
      <c r="M5000" s="49">
        <f>IF($A$4+49&gt;$B$4,"",$A$4+49)</f>
        <v>46072</v>
      </c>
      <c r="N5000">
        <f>IF(M5000="","",'Master Barang'!A94)</f>
        <v>0</v>
      </c>
      <c r="O5000">
        <f>IF(N5000="","",'Master Barang'!B94)</f>
        <v>0</v>
      </c>
      <c r="P5000">
        <f>IF(OR(M5000="",N5000=""),"",SUMIFS('Barang Keluar'!$E:$E,'Barang Keluar'!$A:$A,M5000,'Barang Keluar'!$C:$C,N5000))</f>
        <v>0</v>
      </c>
    </row>
    <row r="5001" spans="13:16">
      <c r="M5001" s="49">
        <f>IF($A$4+49&gt;$B$4,"",$A$4+49)</f>
        <v>46072</v>
      </c>
      <c r="N5001">
        <f>IF(M5001="","",'Master Barang'!A95)</f>
        <v>0</v>
      </c>
      <c r="O5001">
        <f>IF(N5001="","",'Master Barang'!B95)</f>
        <v>0</v>
      </c>
      <c r="P5001">
        <f>IF(OR(M5001="",N5001=""),"",SUMIFS('Barang Keluar'!$E:$E,'Barang Keluar'!$A:$A,M5001,'Barang Keluar'!$C:$C,N5001))</f>
        <v>0</v>
      </c>
    </row>
    <row r="5002" spans="13:16">
      <c r="M5002" s="49">
        <f>IF($A$4+49&gt;$B$4,"",$A$4+49)</f>
        <v>46072</v>
      </c>
      <c r="N5002">
        <f>IF(M5002="","",'Master Barang'!A96)</f>
        <v>0</v>
      </c>
      <c r="O5002">
        <f>IF(N5002="","",'Master Barang'!B96)</f>
        <v>0</v>
      </c>
      <c r="P5002">
        <f>IF(OR(M5002="",N5002=""),"",SUMIFS('Barang Keluar'!$E:$E,'Barang Keluar'!$A:$A,M5002,'Barang Keluar'!$C:$C,N5002))</f>
        <v>0</v>
      </c>
    </row>
    <row r="5003" spans="13:16">
      <c r="M5003" s="49">
        <f>IF($A$4+49&gt;$B$4,"",$A$4+49)</f>
        <v>46072</v>
      </c>
      <c r="N5003">
        <f>IF(M5003="","",'Master Barang'!A97)</f>
        <v>0</v>
      </c>
      <c r="O5003">
        <f>IF(N5003="","",'Master Barang'!B97)</f>
        <v>0</v>
      </c>
      <c r="P5003">
        <f>IF(OR(M5003="",N5003=""),"",SUMIFS('Barang Keluar'!$E:$E,'Barang Keluar'!$A:$A,M5003,'Barang Keluar'!$C:$C,N5003))</f>
        <v>0</v>
      </c>
    </row>
    <row r="5004" spans="13:16">
      <c r="M5004" s="49">
        <f>IF($A$4+49&gt;$B$4,"",$A$4+49)</f>
        <v>46072</v>
      </c>
      <c r="N5004">
        <f>IF(M5004="","",'Master Barang'!A98)</f>
        <v>0</v>
      </c>
      <c r="O5004">
        <f>IF(N5004="","",'Master Barang'!B98)</f>
        <v>0</v>
      </c>
      <c r="P5004">
        <f>IF(OR(M5004="",N5004=""),"",SUMIFS('Barang Keluar'!$E:$E,'Barang Keluar'!$A:$A,M5004,'Barang Keluar'!$C:$C,N5004))</f>
        <v>0</v>
      </c>
    </row>
    <row r="5005" spans="13:16">
      <c r="M5005" s="49">
        <f>IF($A$4+49&gt;$B$4,"",$A$4+49)</f>
        <v>46072</v>
      </c>
      <c r="N5005">
        <f>IF(M5005="","",'Master Barang'!A99)</f>
        <v>0</v>
      </c>
      <c r="O5005">
        <f>IF(N5005="","",'Master Barang'!B99)</f>
        <v>0</v>
      </c>
      <c r="P5005">
        <f>IF(OR(M5005="",N5005=""),"",SUMIFS('Barang Keluar'!$E:$E,'Barang Keluar'!$A:$A,M5005,'Barang Keluar'!$C:$C,N5005))</f>
        <v>0</v>
      </c>
    </row>
    <row r="5006" spans="13:16">
      <c r="M5006" s="49">
        <f>IF($A$4+49&gt;$B$4,"",$A$4+49)</f>
        <v>46072</v>
      </c>
      <c r="N5006">
        <f>IF(M5006="","",'Master Barang'!A100)</f>
        <v>0</v>
      </c>
      <c r="O5006">
        <f>IF(N5006="","",'Master Barang'!B100)</f>
        <v>0</v>
      </c>
      <c r="P5006">
        <f>IF(OR(M5006="",N5006=""),"",SUMIFS('Barang Keluar'!$E:$E,'Barang Keluar'!$A:$A,M5006,'Barang Keluar'!$C:$C,N5006))</f>
        <v>0</v>
      </c>
    </row>
    <row r="5007" spans="13:16">
      <c r="M5007" s="49">
        <f>IF($A$4+49&gt;$B$4,"",$A$4+49)</f>
        <v>46072</v>
      </c>
      <c r="N5007">
        <f>IF(M5007="","",'Master Barang'!A101)</f>
        <v>0</v>
      </c>
      <c r="O5007">
        <f>IF(N5007="","",'Master Barang'!B101)</f>
        <v>0</v>
      </c>
      <c r="P5007">
        <f>IF(OR(M5007="",N5007=""),"",SUMIFS('Barang Keluar'!$E:$E,'Barang Keluar'!$A:$A,M5007,'Barang Keluar'!$C:$C,N5007))</f>
        <v>0</v>
      </c>
    </row>
    <row r="5008" spans="13:16">
      <c r="M5008" s="49">
        <f>IF($A$4+50&gt;$B$4,"",$A$4+50)</f>
        <v>46073</v>
      </c>
      <c r="N5008" t="str">
        <f>IF(M5008="","",'Master Barang'!A2)</f>
        <v>PRL-001</v>
      </c>
      <c r="O5008" t="str">
        <f>IF(N5008="","",'Master Barang'!B2)</f>
        <v>natura desinfectant food grade 5l</v>
      </c>
      <c r="P5008">
        <f>IF(OR(M5008="",N5008=""),"",SUMIFS('Barang Keluar'!$E:$E,'Barang Keluar'!$A:$A,M5008,'Barang Keluar'!$C:$C,N5008))</f>
        <v>0</v>
      </c>
    </row>
    <row r="5009" spans="13:16">
      <c r="M5009" s="49">
        <f>IF($A$4+50&gt;$B$4,"",$A$4+50)</f>
        <v>46073</v>
      </c>
      <c r="N5009" t="str">
        <f>IF(M5009="","",'Master Barang'!A3)</f>
        <v>PRL-002</v>
      </c>
      <c r="O5009" t="str">
        <f>IF(N5009="","",'Master Barang'!B3)</f>
        <v>sunlight cairan pencuci piring 5l</v>
      </c>
      <c r="P5009">
        <f>IF(OR(M5009="",N5009=""),"",SUMIFS('Barang Keluar'!$E:$E,'Barang Keluar'!$A:$A,M5009,'Barang Keluar'!$C:$C,N5009))</f>
        <v>0</v>
      </c>
    </row>
    <row r="5010" spans="13:16">
      <c r="M5010" s="49">
        <f>IF($A$4+50&gt;$B$4,"",$A$4+50)</f>
        <v>46073</v>
      </c>
      <c r="N5010" t="str">
        <f>IF(M5010="","",'Master Barang'!A4)</f>
        <v>PRL-003</v>
      </c>
      <c r="O5010" t="str">
        <f>IF(N5010="","",'Master Barang'!B4)</f>
        <v>oixs cleaner 1l</v>
      </c>
      <c r="P5010">
        <f>IF(OR(M5010="",N5010=""),"",SUMIFS('Barang Keluar'!$E:$E,'Barang Keluar'!$A:$A,M5010,'Barang Keluar'!$C:$C,N5010))</f>
        <v>0</v>
      </c>
    </row>
    <row r="5011" spans="13:16">
      <c r="M5011" s="49">
        <f>IF($A$4+50&gt;$B$4,"",$A$4+50)</f>
        <v>46073</v>
      </c>
      <c r="N5011" t="str">
        <f>IF(M5011="","",'Master Barang'!A5)</f>
        <v>PRL-004</v>
      </c>
      <c r="O5011" t="str">
        <f>IF(N5011="","",'Master Barang'!B5)</f>
        <v>be clean tissue serbaguna</v>
      </c>
      <c r="P5011">
        <f>IF(OR(M5011="",N5011=""),"",SUMIFS('Barang Keluar'!$E:$E,'Barang Keluar'!$A:$A,M5011,'Barang Keluar'!$C:$C,N5011))</f>
        <v>0</v>
      </c>
    </row>
    <row r="5012" spans="13:16">
      <c r="M5012" s="49">
        <f>IF($A$4+50&gt;$B$4,"",$A$4+50)</f>
        <v>46073</v>
      </c>
      <c r="N5012" t="str">
        <f>IF(M5012="","",'Master Barang'!A6)</f>
        <v>PRL-005</v>
      </c>
      <c r="O5012" t="str">
        <f>IF(N5012="","",'Master Barang'!B6)</f>
        <v>spons cuci hijau</v>
      </c>
      <c r="P5012">
        <f>IF(OR(M5012="",N5012=""),"",SUMIFS('Barang Keluar'!$E:$E,'Barang Keluar'!$A:$A,M5012,'Barang Keluar'!$C:$C,N5012))</f>
        <v>0</v>
      </c>
    </row>
    <row r="5013" spans="13:16">
      <c r="M5013" s="49">
        <f>IF($A$4+50&gt;$B$4,"",$A$4+50)</f>
        <v>46073</v>
      </c>
      <c r="N5013" t="str">
        <f>IF(M5013="","",'Master Barang'!A7)</f>
        <v>PRL-006</v>
      </c>
      <c r="O5013" t="str">
        <f>IF(N5013="","",'Master Barang'!B7)</f>
        <v>sabut cuci stainless</v>
      </c>
      <c r="P5013">
        <f>IF(OR(M5013="",N5013=""),"",SUMIFS('Barang Keluar'!$E:$E,'Barang Keluar'!$A:$A,M5013,'Barang Keluar'!$C:$C,N5013))</f>
        <v>0</v>
      </c>
    </row>
    <row r="5014" spans="13:16">
      <c r="M5014" s="49">
        <f>IF($A$4+50&gt;$B$4,"",$A$4+50)</f>
        <v>46073</v>
      </c>
      <c r="N5014" t="str">
        <f>IF(M5014="","",'Master Barang'!A8)</f>
        <v>PRL-007</v>
      </c>
      <c r="O5014" t="str">
        <f>IF(N5014="","",'Master Barang'!B8)</f>
        <v>plastik kresek besar merah 50pc</v>
      </c>
      <c r="P5014">
        <f>IF(OR(M5014="",N5014=""),"",SUMIFS('Barang Keluar'!$E:$E,'Barang Keluar'!$A:$A,M5014,'Barang Keluar'!$C:$C,N5014))</f>
        <v>0</v>
      </c>
    </row>
    <row r="5015" spans="13:16">
      <c r="M5015" s="49">
        <f>IF($A$4+50&gt;$B$4,"",$A$4+50)</f>
        <v>46073</v>
      </c>
      <c r="N5015" t="str">
        <f>IF(M5015="","",'Master Barang'!A9)</f>
        <v>PRL-008</v>
      </c>
      <c r="O5015" t="str">
        <f>IF(N5015="","",'Master Barang'!B9)</f>
        <v>lap besar</v>
      </c>
      <c r="P5015">
        <f>IF(OR(M5015="",N5015=""),"",SUMIFS('Barang Keluar'!$E:$E,'Barang Keluar'!$A:$A,M5015,'Barang Keluar'!$C:$C,N5015))</f>
        <v>0</v>
      </c>
    </row>
    <row r="5016" spans="13:16">
      <c r="M5016" s="49">
        <f>IF($A$4+50&gt;$B$4,"",$A$4+50)</f>
        <v>46073</v>
      </c>
      <c r="N5016" t="str">
        <f>IF(M5016="","",'Master Barang'!A10)</f>
        <v>PRL-009</v>
      </c>
      <c r="O5016" t="str">
        <f>IF(N5016="","",'Master Barang'!B10)</f>
        <v>lap microfiber</v>
      </c>
      <c r="P5016">
        <f>IF(OR(M5016="",N5016=""),"",SUMIFS('Barang Keluar'!$E:$E,'Barang Keluar'!$A:$A,M5016,'Barang Keluar'!$C:$C,N5016))</f>
        <v>0</v>
      </c>
    </row>
    <row r="5017" spans="13:16">
      <c r="M5017" s="49">
        <f>IF($A$4+50&gt;$B$4,"",$A$4+50)</f>
        <v>46073</v>
      </c>
      <c r="N5017" t="str">
        <f>IF(M5017="","",'Master Barang'!A11)</f>
        <v>PRL-010</v>
      </c>
      <c r="O5017" t="str">
        <f>IF(N5017="","",'Master Barang'!B11)</f>
        <v>lap kecil</v>
      </c>
      <c r="P5017">
        <f>IF(OR(M5017="",N5017=""),"",SUMIFS('Barang Keluar'!$E:$E,'Barang Keluar'!$A:$A,M5017,'Barang Keluar'!$C:$C,N5017))</f>
        <v>0</v>
      </c>
    </row>
    <row r="5018" spans="13:16">
      <c r="M5018" s="49">
        <f>IF($A$4+50&gt;$B$4,"",$A$4+50)</f>
        <v>46073</v>
      </c>
      <c r="N5018" t="str">
        <f>IF(M5018="","",'Master Barang'!A12)</f>
        <v>PRL-011</v>
      </c>
      <c r="O5018" t="str">
        <f>IF(N5018="","",'Master Barang'!B12)</f>
        <v>kanebo kecil</v>
      </c>
      <c r="P5018">
        <f>IF(OR(M5018="",N5018=""),"",SUMIFS('Barang Keluar'!$E:$E,'Barang Keluar'!$A:$A,M5018,'Barang Keluar'!$C:$C,N5018))</f>
        <v>0</v>
      </c>
    </row>
    <row r="5019" spans="13:16">
      <c r="M5019" s="49">
        <f>IF($A$4+50&gt;$B$4,"",$A$4+50)</f>
        <v>46073</v>
      </c>
      <c r="N5019" t="str">
        <f>IF(M5019="","",'Master Barang'!A13)</f>
        <v>PRL-012</v>
      </c>
      <c r="O5019" t="str">
        <f>IF(N5019="","",'Master Barang'!B13)</f>
        <v>plastik 1/4kg joyoboyo 100 lembar</v>
      </c>
      <c r="P5019">
        <f>IF(OR(M5019="",N5019=""),"",SUMIFS('Barang Keluar'!$E:$E,'Barang Keluar'!$A:$A,M5019,'Barang Keluar'!$C:$C,N5019))</f>
        <v>0</v>
      </c>
    </row>
    <row r="5020" spans="13:16">
      <c r="M5020" s="49">
        <f>IF($A$4+50&gt;$B$4,"",$A$4+50)</f>
        <v>46073</v>
      </c>
      <c r="N5020" t="str">
        <f>IF(M5020="","",'Master Barang'!A14)</f>
        <v>PRL-013</v>
      </c>
      <c r="O5020" t="str">
        <f>IF(N5020="","",'Master Barang'!B14)</f>
        <v>sarung tangan plastik kaka 100 pcs</v>
      </c>
      <c r="P5020">
        <f>IF(OR(M5020="",N5020=""),"",SUMIFS('Barang Keluar'!$E:$E,'Barang Keluar'!$A:$A,M5020,'Barang Keluar'!$C:$C,N5020))</f>
        <v>0</v>
      </c>
    </row>
    <row r="5021" spans="13:16">
      <c r="M5021" s="49">
        <f>IF($A$4+50&gt;$B$4,"",$A$4+50)</f>
        <v>46073</v>
      </c>
      <c r="N5021" t="str">
        <f>IF(M5021="","",'Master Barang'!A15)</f>
        <v>PRL-014</v>
      </c>
      <c r="O5021" t="str">
        <f>IF(N5021="","",'Master Barang'!B15)</f>
        <v>optima trashbag 80x100</v>
      </c>
      <c r="P5021">
        <f>IF(OR(M5021="",N5021=""),"",SUMIFS('Barang Keluar'!$E:$E,'Barang Keluar'!$A:$A,M5021,'Barang Keluar'!$C:$C,N5021))</f>
        <v>0</v>
      </c>
    </row>
    <row r="5022" spans="13:16">
      <c r="M5022" s="49">
        <f>IF($A$4+50&gt;$B$4,"",$A$4+50)</f>
        <v>46073</v>
      </c>
      <c r="N5022" t="str">
        <f>IF(M5022="","",'Master Barang'!A16)</f>
        <v>PRL-015</v>
      </c>
      <c r="O5022" t="str">
        <f>IF(N5022="","",'Master Barang'!B16)</f>
        <v>optima trashbag 60x100</v>
      </c>
      <c r="P5022">
        <f>IF(OR(M5022="",N5022=""),"",SUMIFS('Barang Keluar'!$E:$E,'Barang Keluar'!$A:$A,M5022,'Barang Keluar'!$C:$C,N5022))</f>
        <v>0</v>
      </c>
    </row>
    <row r="5023" spans="13:16">
      <c r="M5023" s="49">
        <f>IF($A$4+50&gt;$B$4,"",$A$4+50)</f>
        <v>46073</v>
      </c>
      <c r="N5023" t="str">
        <f>IF(M5023="","",'Master Barang'!A17)</f>
        <v>PRL-016</v>
      </c>
      <c r="O5023" t="str">
        <f>IF(N5023="","",'Master Barang'!B17)</f>
        <v>rajawali trashbag 30x40</v>
      </c>
      <c r="P5023">
        <f>IF(OR(M5023="",N5023=""),"",SUMIFS('Barang Keluar'!$E:$E,'Barang Keluar'!$A:$A,M5023,'Barang Keluar'!$C:$C,N5023))</f>
        <v>0</v>
      </c>
    </row>
    <row r="5024" spans="13:16">
      <c r="M5024" s="49">
        <f>IF($A$4+50&gt;$B$4,"",$A$4+50)</f>
        <v>46073</v>
      </c>
      <c r="N5024" t="str">
        <f>IF(M5024="","",'Master Barang'!A18)</f>
        <v>PRL-017</v>
      </c>
      <c r="O5024" t="str">
        <f>IF(N5024="","",'Master Barang'!B18)</f>
        <v>onemed masker biru 3 play 50 pcs</v>
      </c>
      <c r="P5024">
        <f>IF(OR(M5024="",N5024=""),"",SUMIFS('Barang Keluar'!$E:$E,'Barang Keluar'!$A:$A,M5024,'Barang Keluar'!$C:$C,N5024))</f>
        <v>0</v>
      </c>
    </row>
    <row r="5025" spans="13:16">
      <c r="M5025" s="49">
        <f>IF($A$4+50&gt;$B$4,"",$A$4+50)</f>
        <v>46073</v>
      </c>
      <c r="N5025" t="str">
        <f>IF(M5025="","",'Master Barang'!A19)</f>
        <v>PRL-018</v>
      </c>
      <c r="O5025" t="str">
        <f>IF(N5025="","",'Master Barang'!B19)</f>
        <v>onemed masker biru 3 play hijab 50 pcs</v>
      </c>
      <c r="P5025">
        <f>IF(OR(M5025="",N5025=""),"",SUMIFS('Barang Keluar'!$E:$E,'Barang Keluar'!$A:$A,M5025,'Barang Keluar'!$C:$C,N5025))</f>
        <v>0</v>
      </c>
    </row>
    <row r="5026" spans="13:16">
      <c r="M5026" s="49">
        <f>IF($A$4+50&gt;$B$4,"",$A$4+50)</f>
        <v>46073</v>
      </c>
      <c r="N5026" t="str">
        <f>IF(M5026="","",'Master Barang'!A20)</f>
        <v>PRL-019</v>
      </c>
      <c r="O5026" t="str">
        <f>IF(N5026="","",'Master Barang'!B20)</f>
        <v>neo health masker biru 3 play 50 pcs</v>
      </c>
      <c r="P5026">
        <f>IF(OR(M5026="",N5026=""),"",SUMIFS('Barang Keluar'!$E:$E,'Barang Keluar'!$A:$A,M5026,'Barang Keluar'!$C:$C,N5026))</f>
        <v>0</v>
      </c>
    </row>
    <row r="5027" spans="13:16">
      <c r="M5027" s="49">
        <f>IF($A$4+50&gt;$B$4,"",$A$4+50)</f>
        <v>46073</v>
      </c>
      <c r="N5027" t="str">
        <f>IF(M5027="","",'Master Barang'!A21)</f>
        <v>PRL-020</v>
      </c>
      <c r="O5027" t="str">
        <f>IF(N5027="","",'Master Barang'!B21)</f>
        <v>baymed masker hijau 3 play hijau 50 pcs</v>
      </c>
      <c r="P5027">
        <f>IF(OR(M5027="",N5027=""),"",SUMIFS('Barang Keluar'!$E:$E,'Barang Keluar'!$A:$A,M5027,'Barang Keluar'!$C:$C,N5027))</f>
        <v>0</v>
      </c>
    </row>
    <row r="5028" spans="13:16">
      <c r="M5028" s="49">
        <f>IF($A$4+50&gt;$B$4,"",$A$4+50)</f>
        <v>46073</v>
      </c>
      <c r="N5028" t="str">
        <f>IF(M5028="","",'Master Barang'!A22)</f>
        <v>PRL-021</v>
      </c>
      <c r="O5028" t="str">
        <f>IF(N5028="","",'Master Barang'!B22)</f>
        <v>altamed nurse cap penutup kepala 100 pcs</v>
      </c>
      <c r="P5028">
        <f>IF(OR(M5028="",N5028=""),"",SUMIFS('Barang Keluar'!$E:$E,'Barang Keluar'!$A:$A,M5028,'Barang Keluar'!$C:$C,N5028))</f>
        <v>0</v>
      </c>
    </row>
    <row r="5029" spans="13:16">
      <c r="M5029" s="49">
        <f>IF($A$4+50&gt;$B$4,"",$A$4+50)</f>
        <v>46073</v>
      </c>
      <c r="N5029" t="str">
        <f>IF(M5029="","",'Master Barang'!A23)</f>
        <v>PRL-022</v>
      </c>
      <c r="O5029" t="str">
        <f>IF(N5029="","",'Master Barang'!B23)</f>
        <v>sabun cuci tangan</v>
      </c>
      <c r="P5029">
        <f>IF(OR(M5029="",N5029=""),"",SUMIFS('Barang Keluar'!$E:$E,'Barang Keluar'!$A:$A,M5029,'Barang Keluar'!$C:$C,N5029))</f>
        <v>0</v>
      </c>
    </row>
    <row r="5030" spans="13:16">
      <c r="M5030" s="49">
        <f>IF($A$4+50&gt;$B$4,"",$A$4+50)</f>
        <v>46073</v>
      </c>
      <c r="N5030" t="str">
        <f>IF(M5030="","",'Master Barang'!A24)</f>
        <v>PRL-023</v>
      </c>
      <c r="O5030" t="str">
        <f>IF(N5030="","",'Master Barang'!B24)</f>
        <v>gayung kecil</v>
      </c>
      <c r="P5030">
        <f>IF(OR(M5030="",N5030=""),"",SUMIFS('Barang Keluar'!$E:$E,'Barang Keluar'!$A:$A,M5030,'Barang Keluar'!$C:$C,N5030))</f>
        <v>0</v>
      </c>
    </row>
    <row r="5031" spans="13:16">
      <c r="M5031" s="49">
        <f>IF($A$4+50&gt;$B$4,"",$A$4+50)</f>
        <v>46073</v>
      </c>
      <c r="N5031" t="str">
        <f>IF(M5031="","",'Master Barang'!A25)</f>
        <v>PRL-024</v>
      </c>
      <c r="O5031" t="str">
        <f>IF(N5031="","",'Master Barang'!B25)</f>
        <v>cikrak kecil</v>
      </c>
      <c r="P5031">
        <f>IF(OR(M5031="",N5031=""),"",SUMIFS('Barang Keluar'!$E:$E,'Barang Keluar'!$A:$A,M5031,'Barang Keluar'!$C:$C,N5031))</f>
        <v>0</v>
      </c>
    </row>
    <row r="5032" spans="13:16">
      <c r="M5032" s="49">
        <f>IF($A$4+50&gt;$B$4,"",$A$4+50)</f>
        <v>46073</v>
      </c>
      <c r="N5032" t="str">
        <f>IF(M5032="","",'Master Barang'!A26)</f>
        <v>PRL-025</v>
      </c>
      <c r="O5032" t="str">
        <f>IF(N5032="","",'Master Barang'!B26)</f>
        <v>petromax plastik kecil 12x24 100 lembar</v>
      </c>
      <c r="P5032">
        <f>IF(OR(M5032="",N5032=""),"",SUMIFS('Barang Keluar'!$E:$E,'Barang Keluar'!$A:$A,M5032,'Barang Keluar'!$C:$C,N5032))</f>
        <v>0</v>
      </c>
    </row>
    <row r="5033" spans="13:16">
      <c r="M5033" s="49">
        <f>IF($A$4+50&gt;$B$4,"",$A$4+50)</f>
        <v>46073</v>
      </c>
      <c r="N5033" t="str">
        <f>IF(M5033="","",'Master Barang'!A27)</f>
        <v>PRL-026</v>
      </c>
      <c r="O5033" t="str">
        <f>IF(N5033="","",'Master Barang'!B27)</f>
        <v>lancar kresek kecil bening </v>
      </c>
      <c r="P5033">
        <f>IF(OR(M5033="",N5033=""),"",SUMIFS('Barang Keluar'!$E:$E,'Barang Keluar'!$A:$A,M5033,'Barang Keluar'!$C:$C,N5033))</f>
        <v>0</v>
      </c>
    </row>
    <row r="5034" spans="13:16">
      <c r="M5034" s="49">
        <f>IF($A$4+50&gt;$B$4,"",$A$4+50)</f>
        <v>46073</v>
      </c>
      <c r="N5034" t="str">
        <f>IF(M5034="","",'Master Barang'!A28)</f>
        <v>PRL-027</v>
      </c>
      <c r="O5034" t="str">
        <f>IF(N5034="","",'Master Barang'!B28)</f>
        <v>kresek klin warna warni kecil</v>
      </c>
      <c r="P5034">
        <f>IF(OR(M5034="",N5034=""),"",SUMIFS('Barang Keluar'!$E:$E,'Barang Keluar'!$A:$A,M5034,'Barang Keluar'!$C:$C,N5034))</f>
        <v>0</v>
      </c>
    </row>
    <row r="5035" spans="13:16">
      <c r="M5035" s="49">
        <f>IF($A$4+50&gt;$B$4,"",$A$4+50)</f>
        <v>46073</v>
      </c>
      <c r="N5035" t="str">
        <f>IF(M5035="","",'Master Barang'!A29)</f>
        <v>PRL-028</v>
      </c>
      <c r="O5035" t="str">
        <f>IF(N5035="","",'Master Barang'!B29)</f>
        <v>ctik plastik 7x10 100 pcs</v>
      </c>
      <c r="P5035">
        <f>IF(OR(M5035="",N5035=""),"",SUMIFS('Barang Keluar'!$E:$E,'Barang Keluar'!$A:$A,M5035,'Barang Keluar'!$C:$C,N5035))</f>
        <v>0</v>
      </c>
    </row>
    <row r="5036" spans="13:16">
      <c r="M5036" s="49">
        <f>IF($A$4+50&gt;$B$4,"",$A$4+50)</f>
        <v>46073</v>
      </c>
      <c r="N5036" t="str">
        <f>IF(M5036="","",'Master Barang'!A30)</f>
        <v>PRL-029</v>
      </c>
      <c r="O5036" t="str">
        <f>IF(N5036="","",'Master Barang'!B30)</f>
        <v>ctik plastik 6x10 100 pcs</v>
      </c>
      <c r="P5036">
        <f>IF(OR(M5036="",N5036=""),"",SUMIFS('Barang Keluar'!$E:$E,'Barang Keluar'!$A:$A,M5036,'Barang Keluar'!$C:$C,N5036))</f>
        <v>0</v>
      </c>
    </row>
    <row r="5037" spans="13:16">
      <c r="M5037" s="49">
        <f>IF($A$4+50&gt;$B$4,"",$A$4+50)</f>
        <v>46073</v>
      </c>
      <c r="N5037" t="str">
        <f>IF(M5037="","",'Master Barang'!A31)</f>
        <v>PRL-030</v>
      </c>
      <c r="O5037" t="str">
        <f>IF(N5037="","",'Master Barang'!B31)</f>
        <v>klip plastik 25x16 100 pcs</v>
      </c>
      <c r="P5037">
        <f>IF(OR(M5037="",N5037=""),"",SUMIFS('Barang Keluar'!$E:$E,'Barang Keluar'!$A:$A,M5037,'Barang Keluar'!$C:$C,N5037))</f>
        <v>0</v>
      </c>
    </row>
    <row r="5038" spans="13:16">
      <c r="M5038" s="49">
        <f>IF($A$4+50&gt;$B$4,"",$A$4+50)</f>
        <v>46073</v>
      </c>
      <c r="N5038" t="str">
        <f>IF(M5038="","",'Master Barang'!A32)</f>
        <v>PRL-031</v>
      </c>
      <c r="O5038" t="str">
        <f>IF(N5038="","",'Master Barang'!B32)</f>
        <v>tempat saus 20 ml</v>
      </c>
      <c r="P5038">
        <f>IF(OR(M5038="",N5038=""),"",SUMIFS('Barang Keluar'!$E:$E,'Barang Keluar'!$A:$A,M5038,'Barang Keluar'!$C:$C,N5038))</f>
        <v>0</v>
      </c>
    </row>
    <row r="5039" spans="13:16">
      <c r="M5039" s="49">
        <f>IF($A$4+50&gt;$B$4,"",$A$4+50)</f>
        <v>46073</v>
      </c>
      <c r="N5039" t="str">
        <f>IF(M5039="","",'Master Barang'!A33)</f>
        <v>PRL-032</v>
      </c>
      <c r="O5039" t="str">
        <f>IF(N5039="","",'Master Barang'!B33)</f>
        <v>plastik packaging ag box uk sedang</v>
      </c>
      <c r="P5039">
        <f>IF(OR(M5039="",N5039=""),"",SUMIFS('Barang Keluar'!$E:$E,'Barang Keluar'!$A:$A,M5039,'Barang Keluar'!$C:$C,N5039))</f>
        <v>0</v>
      </c>
    </row>
    <row r="5040" spans="13:16">
      <c r="M5040" s="49">
        <f>IF($A$4+50&gt;$B$4,"",$A$4+50)</f>
        <v>46073</v>
      </c>
      <c r="N5040" t="str">
        <f>IF(M5040="","",'Master Barang'!A34)</f>
        <v>PRL-033</v>
      </c>
      <c r="O5040">
        <f>IF(N5040="","",'Master Barang'!B34)</f>
        <v>0</v>
      </c>
      <c r="P5040">
        <f>IF(OR(M5040="",N5040=""),"",SUMIFS('Barang Keluar'!$E:$E,'Barang Keluar'!$A:$A,M5040,'Barang Keluar'!$C:$C,N5040))</f>
        <v>0</v>
      </c>
    </row>
    <row r="5041" spans="13:16">
      <c r="M5041" s="49">
        <f>IF($A$4+50&gt;$B$4,"",$A$4+50)</f>
        <v>46073</v>
      </c>
      <c r="N5041">
        <f>IF(M5041="","",'Master Barang'!A35)</f>
        <v>0</v>
      </c>
      <c r="O5041">
        <f>IF(N5041="","",'Master Barang'!B35)</f>
        <v>0</v>
      </c>
      <c r="P5041">
        <f>IF(OR(M5041="",N5041=""),"",SUMIFS('Barang Keluar'!$E:$E,'Barang Keluar'!$A:$A,M5041,'Barang Keluar'!$C:$C,N5041))</f>
        <v>0</v>
      </c>
    </row>
    <row r="5042" spans="13:16">
      <c r="M5042" s="49">
        <f>IF($A$4+50&gt;$B$4,"",$A$4+50)</f>
        <v>46073</v>
      </c>
      <c r="N5042">
        <f>IF(M5042="","",'Master Barang'!A36)</f>
        <v>0</v>
      </c>
      <c r="O5042">
        <f>IF(N5042="","",'Master Barang'!B36)</f>
        <v>0</v>
      </c>
      <c r="P5042">
        <f>IF(OR(M5042="",N5042=""),"",SUMIFS('Barang Keluar'!$E:$E,'Barang Keluar'!$A:$A,M5042,'Barang Keluar'!$C:$C,N5042))</f>
        <v>0</v>
      </c>
    </row>
    <row r="5043" spans="13:16">
      <c r="M5043" s="49">
        <f>IF($A$4+50&gt;$B$4,"",$A$4+50)</f>
        <v>46073</v>
      </c>
      <c r="N5043">
        <f>IF(M5043="","",'Master Barang'!A37)</f>
        <v>0</v>
      </c>
      <c r="O5043">
        <f>IF(N5043="","",'Master Barang'!B37)</f>
        <v>0</v>
      </c>
      <c r="P5043">
        <f>IF(OR(M5043="",N5043=""),"",SUMIFS('Barang Keluar'!$E:$E,'Barang Keluar'!$A:$A,M5043,'Barang Keluar'!$C:$C,N5043))</f>
        <v>0</v>
      </c>
    </row>
    <row r="5044" spans="13:16">
      <c r="M5044" s="49">
        <f>IF($A$4+50&gt;$B$4,"",$A$4+50)</f>
        <v>46073</v>
      </c>
      <c r="N5044">
        <f>IF(M5044="","",'Master Barang'!A38)</f>
        <v>0</v>
      </c>
      <c r="O5044">
        <f>IF(N5044="","",'Master Barang'!B38)</f>
        <v>0</v>
      </c>
      <c r="P5044">
        <f>IF(OR(M5044="",N5044=""),"",SUMIFS('Barang Keluar'!$E:$E,'Barang Keluar'!$A:$A,M5044,'Barang Keluar'!$C:$C,N5044))</f>
        <v>0</v>
      </c>
    </row>
    <row r="5045" spans="13:16">
      <c r="M5045" s="49">
        <f>IF($A$4+50&gt;$B$4,"",$A$4+50)</f>
        <v>46073</v>
      </c>
      <c r="N5045">
        <f>IF(M5045="","",'Master Barang'!A39)</f>
        <v>0</v>
      </c>
      <c r="O5045">
        <f>IF(N5045="","",'Master Barang'!B39)</f>
        <v>0</v>
      </c>
      <c r="P5045">
        <f>IF(OR(M5045="",N5045=""),"",SUMIFS('Barang Keluar'!$E:$E,'Barang Keluar'!$A:$A,M5045,'Barang Keluar'!$C:$C,N5045))</f>
        <v>0</v>
      </c>
    </row>
    <row r="5046" spans="13:16">
      <c r="M5046" s="49">
        <f>IF($A$4+50&gt;$B$4,"",$A$4+50)</f>
        <v>46073</v>
      </c>
      <c r="N5046">
        <f>IF(M5046="","",'Master Barang'!A40)</f>
        <v>0</v>
      </c>
      <c r="O5046">
        <f>IF(N5046="","",'Master Barang'!B40)</f>
        <v>0</v>
      </c>
      <c r="P5046">
        <f>IF(OR(M5046="",N5046=""),"",SUMIFS('Barang Keluar'!$E:$E,'Barang Keluar'!$A:$A,M5046,'Barang Keluar'!$C:$C,N5046))</f>
        <v>0</v>
      </c>
    </row>
    <row r="5047" spans="13:16">
      <c r="M5047" s="49">
        <f>IF($A$4+50&gt;$B$4,"",$A$4+50)</f>
        <v>46073</v>
      </c>
      <c r="N5047">
        <f>IF(M5047="","",'Master Barang'!A41)</f>
        <v>0</v>
      </c>
      <c r="O5047">
        <f>IF(N5047="","",'Master Barang'!B41)</f>
        <v>0</v>
      </c>
      <c r="P5047">
        <f>IF(OR(M5047="",N5047=""),"",SUMIFS('Barang Keluar'!$E:$E,'Barang Keluar'!$A:$A,M5047,'Barang Keluar'!$C:$C,N5047))</f>
        <v>0</v>
      </c>
    </row>
    <row r="5048" spans="13:16">
      <c r="M5048" s="49">
        <f>IF($A$4+50&gt;$B$4,"",$A$4+50)</f>
        <v>46073</v>
      </c>
      <c r="N5048">
        <f>IF(M5048="","",'Master Barang'!A42)</f>
        <v>0</v>
      </c>
      <c r="O5048">
        <f>IF(N5048="","",'Master Barang'!B42)</f>
        <v>0</v>
      </c>
      <c r="P5048">
        <f>IF(OR(M5048="",N5048=""),"",SUMIFS('Barang Keluar'!$E:$E,'Barang Keluar'!$A:$A,M5048,'Barang Keluar'!$C:$C,N5048))</f>
        <v>0</v>
      </c>
    </row>
    <row r="5049" spans="13:16">
      <c r="M5049" s="49">
        <f>IF($A$4+50&gt;$B$4,"",$A$4+50)</f>
        <v>46073</v>
      </c>
      <c r="N5049">
        <f>IF(M5049="","",'Master Barang'!A43)</f>
        <v>0</v>
      </c>
      <c r="O5049">
        <f>IF(N5049="","",'Master Barang'!B43)</f>
        <v>0</v>
      </c>
      <c r="P5049">
        <f>IF(OR(M5049="",N5049=""),"",SUMIFS('Barang Keluar'!$E:$E,'Barang Keluar'!$A:$A,M5049,'Barang Keluar'!$C:$C,N5049))</f>
        <v>0</v>
      </c>
    </row>
    <row r="5050" spans="13:16">
      <c r="M5050" s="49">
        <f>IF($A$4+50&gt;$B$4,"",$A$4+50)</f>
        <v>46073</v>
      </c>
      <c r="N5050">
        <f>IF(M5050="","",'Master Barang'!A44)</f>
        <v>0</v>
      </c>
      <c r="O5050">
        <f>IF(N5050="","",'Master Barang'!B44)</f>
        <v>0</v>
      </c>
      <c r="P5050">
        <f>IF(OR(M5050="",N5050=""),"",SUMIFS('Barang Keluar'!$E:$E,'Barang Keluar'!$A:$A,M5050,'Barang Keluar'!$C:$C,N5050))</f>
        <v>0</v>
      </c>
    </row>
    <row r="5051" spans="13:16">
      <c r="M5051" s="49">
        <f>IF($A$4+50&gt;$B$4,"",$A$4+50)</f>
        <v>46073</v>
      </c>
      <c r="N5051">
        <f>IF(M5051="","",'Master Barang'!A45)</f>
        <v>0</v>
      </c>
      <c r="O5051">
        <f>IF(N5051="","",'Master Barang'!B45)</f>
        <v>0</v>
      </c>
      <c r="P5051">
        <f>IF(OR(M5051="",N5051=""),"",SUMIFS('Barang Keluar'!$E:$E,'Barang Keluar'!$A:$A,M5051,'Barang Keluar'!$C:$C,N5051))</f>
        <v>0</v>
      </c>
    </row>
    <row r="5052" spans="13:16">
      <c r="M5052" s="49">
        <f>IF($A$4+50&gt;$B$4,"",$A$4+50)</f>
        <v>46073</v>
      </c>
      <c r="N5052">
        <f>IF(M5052="","",'Master Barang'!A46)</f>
        <v>0</v>
      </c>
      <c r="O5052">
        <f>IF(N5052="","",'Master Barang'!B46)</f>
        <v>0</v>
      </c>
      <c r="P5052">
        <f>IF(OR(M5052="",N5052=""),"",SUMIFS('Barang Keluar'!$E:$E,'Barang Keluar'!$A:$A,M5052,'Barang Keluar'!$C:$C,N5052))</f>
        <v>0</v>
      </c>
    </row>
    <row r="5053" spans="13:16">
      <c r="M5053" s="49">
        <f>IF($A$4+50&gt;$B$4,"",$A$4+50)</f>
        <v>46073</v>
      </c>
      <c r="N5053">
        <f>IF(M5053="","",'Master Barang'!A47)</f>
        <v>0</v>
      </c>
      <c r="O5053">
        <f>IF(N5053="","",'Master Barang'!B47)</f>
        <v>0</v>
      </c>
      <c r="P5053">
        <f>IF(OR(M5053="",N5053=""),"",SUMIFS('Barang Keluar'!$E:$E,'Barang Keluar'!$A:$A,M5053,'Barang Keluar'!$C:$C,N5053))</f>
        <v>0</v>
      </c>
    </row>
    <row r="5054" spans="13:16">
      <c r="M5054" s="49">
        <f>IF($A$4+50&gt;$B$4,"",$A$4+50)</f>
        <v>46073</v>
      </c>
      <c r="N5054">
        <f>IF(M5054="","",'Master Barang'!A48)</f>
        <v>0</v>
      </c>
      <c r="O5054">
        <f>IF(N5054="","",'Master Barang'!B48)</f>
        <v>0</v>
      </c>
      <c r="P5054">
        <f>IF(OR(M5054="",N5054=""),"",SUMIFS('Barang Keluar'!$E:$E,'Barang Keluar'!$A:$A,M5054,'Barang Keluar'!$C:$C,N5054))</f>
        <v>0</v>
      </c>
    </row>
    <row r="5055" spans="13:16">
      <c r="M5055" s="49">
        <f>IF($A$4+50&gt;$B$4,"",$A$4+50)</f>
        <v>46073</v>
      </c>
      <c r="N5055">
        <f>IF(M5055="","",'Master Barang'!A49)</f>
        <v>0</v>
      </c>
      <c r="O5055">
        <f>IF(N5055="","",'Master Barang'!B49)</f>
        <v>0</v>
      </c>
      <c r="P5055">
        <f>IF(OR(M5055="",N5055=""),"",SUMIFS('Barang Keluar'!$E:$E,'Barang Keluar'!$A:$A,M5055,'Barang Keluar'!$C:$C,N5055))</f>
        <v>0</v>
      </c>
    </row>
    <row r="5056" spans="13:16">
      <c r="M5056" s="49">
        <f>IF($A$4+50&gt;$B$4,"",$A$4+50)</f>
        <v>46073</v>
      </c>
      <c r="N5056">
        <f>IF(M5056="","",'Master Barang'!A50)</f>
        <v>0</v>
      </c>
      <c r="O5056">
        <f>IF(N5056="","",'Master Barang'!B50)</f>
        <v>0</v>
      </c>
      <c r="P5056">
        <f>IF(OR(M5056="",N5056=""),"",SUMIFS('Barang Keluar'!$E:$E,'Barang Keluar'!$A:$A,M5056,'Barang Keluar'!$C:$C,N5056))</f>
        <v>0</v>
      </c>
    </row>
    <row r="5057" spans="13:16">
      <c r="M5057" s="49">
        <f>IF($A$4+50&gt;$B$4,"",$A$4+50)</f>
        <v>46073</v>
      </c>
      <c r="N5057">
        <f>IF(M5057="","",'Master Barang'!A51)</f>
        <v>0</v>
      </c>
      <c r="O5057">
        <f>IF(N5057="","",'Master Barang'!B51)</f>
        <v>0</v>
      </c>
      <c r="P5057">
        <f>IF(OR(M5057="",N5057=""),"",SUMIFS('Barang Keluar'!$E:$E,'Barang Keluar'!$A:$A,M5057,'Barang Keluar'!$C:$C,N5057))</f>
        <v>0</v>
      </c>
    </row>
    <row r="5058" spans="13:16">
      <c r="M5058" s="49">
        <f>IF($A$4+50&gt;$B$4,"",$A$4+50)</f>
        <v>46073</v>
      </c>
      <c r="N5058">
        <f>IF(M5058="","",'Master Barang'!A52)</f>
        <v>0</v>
      </c>
      <c r="O5058">
        <f>IF(N5058="","",'Master Barang'!B52)</f>
        <v>0</v>
      </c>
      <c r="P5058">
        <f>IF(OR(M5058="",N5058=""),"",SUMIFS('Barang Keluar'!$E:$E,'Barang Keluar'!$A:$A,M5058,'Barang Keluar'!$C:$C,N5058))</f>
        <v>0</v>
      </c>
    </row>
    <row r="5059" spans="13:16">
      <c r="M5059" s="49">
        <f>IF($A$4+50&gt;$B$4,"",$A$4+50)</f>
        <v>46073</v>
      </c>
      <c r="N5059">
        <f>IF(M5059="","",'Master Barang'!A53)</f>
        <v>0</v>
      </c>
      <c r="O5059">
        <f>IF(N5059="","",'Master Barang'!B53)</f>
        <v>0</v>
      </c>
      <c r="P5059">
        <f>IF(OR(M5059="",N5059=""),"",SUMIFS('Barang Keluar'!$E:$E,'Barang Keluar'!$A:$A,M5059,'Barang Keluar'!$C:$C,N5059))</f>
        <v>0</v>
      </c>
    </row>
    <row r="5060" spans="13:16">
      <c r="M5060" s="49">
        <f>IF($A$4+50&gt;$B$4,"",$A$4+50)</f>
        <v>46073</v>
      </c>
      <c r="N5060">
        <f>IF(M5060="","",'Master Barang'!A54)</f>
        <v>0</v>
      </c>
      <c r="O5060">
        <f>IF(N5060="","",'Master Barang'!B54)</f>
        <v>0</v>
      </c>
      <c r="P5060">
        <f>IF(OR(M5060="",N5060=""),"",SUMIFS('Barang Keluar'!$E:$E,'Barang Keluar'!$A:$A,M5060,'Barang Keluar'!$C:$C,N5060))</f>
        <v>0</v>
      </c>
    </row>
    <row r="5061" spans="13:16">
      <c r="M5061" s="49">
        <f>IF($A$4+50&gt;$B$4,"",$A$4+50)</f>
        <v>46073</v>
      </c>
      <c r="N5061">
        <f>IF(M5061="","",'Master Barang'!A55)</f>
        <v>0</v>
      </c>
      <c r="O5061">
        <f>IF(N5061="","",'Master Barang'!B55)</f>
        <v>0</v>
      </c>
      <c r="P5061">
        <f>IF(OR(M5061="",N5061=""),"",SUMIFS('Barang Keluar'!$E:$E,'Barang Keluar'!$A:$A,M5061,'Barang Keluar'!$C:$C,N5061))</f>
        <v>0</v>
      </c>
    </row>
    <row r="5062" spans="13:16">
      <c r="M5062" s="49">
        <f>IF($A$4+50&gt;$B$4,"",$A$4+50)</f>
        <v>46073</v>
      </c>
      <c r="N5062">
        <f>IF(M5062="","",'Master Barang'!A56)</f>
        <v>0</v>
      </c>
      <c r="O5062">
        <f>IF(N5062="","",'Master Barang'!B56)</f>
        <v>0</v>
      </c>
      <c r="P5062">
        <f>IF(OR(M5062="",N5062=""),"",SUMIFS('Barang Keluar'!$E:$E,'Barang Keluar'!$A:$A,M5062,'Barang Keluar'!$C:$C,N5062))</f>
        <v>0</v>
      </c>
    </row>
    <row r="5063" spans="13:16">
      <c r="M5063" s="49">
        <f>IF($A$4+50&gt;$B$4,"",$A$4+50)</f>
        <v>46073</v>
      </c>
      <c r="N5063">
        <f>IF(M5063="","",'Master Barang'!A57)</f>
        <v>0</v>
      </c>
      <c r="O5063">
        <f>IF(N5063="","",'Master Barang'!B57)</f>
        <v>0</v>
      </c>
      <c r="P5063">
        <f>IF(OR(M5063="",N5063=""),"",SUMIFS('Barang Keluar'!$E:$E,'Barang Keluar'!$A:$A,M5063,'Barang Keluar'!$C:$C,N5063))</f>
        <v>0</v>
      </c>
    </row>
    <row r="5064" spans="13:16">
      <c r="M5064" s="49">
        <f>IF($A$4+50&gt;$B$4,"",$A$4+50)</f>
        <v>46073</v>
      </c>
      <c r="N5064">
        <f>IF(M5064="","",'Master Barang'!A58)</f>
        <v>0</v>
      </c>
      <c r="O5064">
        <f>IF(N5064="","",'Master Barang'!B58)</f>
        <v>0</v>
      </c>
      <c r="P5064">
        <f>IF(OR(M5064="",N5064=""),"",SUMIFS('Barang Keluar'!$E:$E,'Barang Keluar'!$A:$A,M5064,'Barang Keluar'!$C:$C,N5064))</f>
        <v>0</v>
      </c>
    </row>
    <row r="5065" spans="13:16">
      <c r="M5065" s="49">
        <f>IF($A$4+50&gt;$B$4,"",$A$4+50)</f>
        <v>46073</v>
      </c>
      <c r="N5065">
        <f>IF(M5065="","",'Master Barang'!A59)</f>
        <v>0</v>
      </c>
      <c r="O5065">
        <f>IF(N5065="","",'Master Barang'!B59)</f>
        <v>0</v>
      </c>
      <c r="P5065">
        <f>IF(OR(M5065="",N5065=""),"",SUMIFS('Barang Keluar'!$E:$E,'Barang Keluar'!$A:$A,M5065,'Barang Keluar'!$C:$C,N5065))</f>
        <v>0</v>
      </c>
    </row>
    <row r="5066" spans="13:16">
      <c r="M5066" s="49">
        <f>IF($A$4+50&gt;$B$4,"",$A$4+50)</f>
        <v>46073</v>
      </c>
      <c r="N5066">
        <f>IF(M5066="","",'Master Barang'!A60)</f>
        <v>0</v>
      </c>
      <c r="O5066">
        <f>IF(N5066="","",'Master Barang'!B60)</f>
        <v>0</v>
      </c>
      <c r="P5066">
        <f>IF(OR(M5066="",N5066=""),"",SUMIFS('Barang Keluar'!$E:$E,'Barang Keluar'!$A:$A,M5066,'Barang Keluar'!$C:$C,N5066))</f>
        <v>0</v>
      </c>
    </row>
    <row r="5067" spans="13:16">
      <c r="M5067" s="49">
        <f>IF($A$4+50&gt;$B$4,"",$A$4+50)</f>
        <v>46073</v>
      </c>
      <c r="N5067">
        <f>IF(M5067="","",'Master Barang'!A61)</f>
        <v>0</v>
      </c>
      <c r="O5067">
        <f>IF(N5067="","",'Master Barang'!B61)</f>
        <v>0</v>
      </c>
      <c r="P5067">
        <f>IF(OR(M5067="",N5067=""),"",SUMIFS('Barang Keluar'!$E:$E,'Barang Keluar'!$A:$A,M5067,'Barang Keluar'!$C:$C,N5067))</f>
        <v>0</v>
      </c>
    </row>
    <row r="5068" spans="13:16">
      <c r="M5068" s="49">
        <f>IF($A$4+50&gt;$B$4,"",$A$4+50)</f>
        <v>46073</v>
      </c>
      <c r="N5068">
        <f>IF(M5068="","",'Master Barang'!A62)</f>
        <v>0</v>
      </c>
      <c r="O5068">
        <f>IF(N5068="","",'Master Barang'!B62)</f>
        <v>0</v>
      </c>
      <c r="P5068">
        <f>IF(OR(M5068="",N5068=""),"",SUMIFS('Barang Keluar'!$E:$E,'Barang Keluar'!$A:$A,M5068,'Barang Keluar'!$C:$C,N5068))</f>
        <v>0</v>
      </c>
    </row>
    <row r="5069" spans="13:16">
      <c r="M5069" s="49">
        <f>IF($A$4+50&gt;$B$4,"",$A$4+50)</f>
        <v>46073</v>
      </c>
      <c r="N5069">
        <f>IF(M5069="","",'Master Barang'!A63)</f>
        <v>0</v>
      </c>
      <c r="O5069">
        <f>IF(N5069="","",'Master Barang'!B63)</f>
        <v>0</v>
      </c>
      <c r="P5069">
        <f>IF(OR(M5069="",N5069=""),"",SUMIFS('Barang Keluar'!$E:$E,'Barang Keluar'!$A:$A,M5069,'Barang Keluar'!$C:$C,N5069))</f>
        <v>0</v>
      </c>
    </row>
    <row r="5070" spans="13:16">
      <c r="M5070" s="49">
        <f>IF($A$4+50&gt;$B$4,"",$A$4+50)</f>
        <v>46073</v>
      </c>
      <c r="N5070">
        <f>IF(M5070="","",'Master Barang'!A64)</f>
        <v>0</v>
      </c>
      <c r="O5070">
        <f>IF(N5070="","",'Master Barang'!B64)</f>
        <v>0</v>
      </c>
      <c r="P5070">
        <f>IF(OR(M5070="",N5070=""),"",SUMIFS('Barang Keluar'!$E:$E,'Barang Keluar'!$A:$A,M5070,'Barang Keluar'!$C:$C,N5070))</f>
        <v>0</v>
      </c>
    </row>
    <row r="5071" spans="13:16">
      <c r="M5071" s="49">
        <f>IF($A$4+50&gt;$B$4,"",$A$4+50)</f>
        <v>46073</v>
      </c>
      <c r="N5071">
        <f>IF(M5071="","",'Master Barang'!A65)</f>
        <v>0</v>
      </c>
      <c r="O5071">
        <f>IF(N5071="","",'Master Barang'!B65)</f>
        <v>0</v>
      </c>
      <c r="P5071">
        <f>IF(OR(M5071="",N5071=""),"",SUMIFS('Barang Keluar'!$E:$E,'Barang Keluar'!$A:$A,M5071,'Barang Keluar'!$C:$C,N5071))</f>
        <v>0</v>
      </c>
    </row>
    <row r="5072" spans="13:16">
      <c r="M5072" s="49">
        <f>IF($A$4+50&gt;$B$4,"",$A$4+50)</f>
        <v>46073</v>
      </c>
      <c r="N5072">
        <f>IF(M5072="","",'Master Barang'!A66)</f>
        <v>0</v>
      </c>
      <c r="O5072">
        <f>IF(N5072="","",'Master Barang'!B66)</f>
        <v>0</v>
      </c>
      <c r="P5072">
        <f>IF(OR(M5072="",N5072=""),"",SUMIFS('Barang Keluar'!$E:$E,'Barang Keluar'!$A:$A,M5072,'Barang Keluar'!$C:$C,N5072))</f>
        <v>0</v>
      </c>
    </row>
    <row r="5073" spans="13:16">
      <c r="M5073" s="49">
        <f>IF($A$4+50&gt;$B$4,"",$A$4+50)</f>
        <v>46073</v>
      </c>
      <c r="N5073">
        <f>IF(M5073="","",'Master Barang'!A67)</f>
        <v>0</v>
      </c>
      <c r="O5073">
        <f>IF(N5073="","",'Master Barang'!B67)</f>
        <v>0</v>
      </c>
      <c r="P5073">
        <f>IF(OR(M5073="",N5073=""),"",SUMIFS('Barang Keluar'!$E:$E,'Barang Keluar'!$A:$A,M5073,'Barang Keluar'!$C:$C,N5073))</f>
        <v>0</v>
      </c>
    </row>
    <row r="5074" spans="13:16">
      <c r="M5074" s="49">
        <f>IF($A$4+50&gt;$B$4,"",$A$4+50)</f>
        <v>46073</v>
      </c>
      <c r="N5074">
        <f>IF(M5074="","",'Master Barang'!A68)</f>
        <v>0</v>
      </c>
      <c r="O5074">
        <f>IF(N5074="","",'Master Barang'!B68)</f>
        <v>0</v>
      </c>
      <c r="P5074">
        <f>IF(OR(M5074="",N5074=""),"",SUMIFS('Barang Keluar'!$E:$E,'Barang Keluar'!$A:$A,M5074,'Barang Keluar'!$C:$C,N5074))</f>
        <v>0</v>
      </c>
    </row>
    <row r="5075" spans="13:16">
      <c r="M5075" s="49">
        <f>IF($A$4+50&gt;$B$4,"",$A$4+50)</f>
        <v>46073</v>
      </c>
      <c r="N5075">
        <f>IF(M5075="","",'Master Barang'!A69)</f>
        <v>0</v>
      </c>
      <c r="O5075">
        <f>IF(N5075="","",'Master Barang'!B69)</f>
        <v>0</v>
      </c>
      <c r="P5075">
        <f>IF(OR(M5075="",N5075=""),"",SUMIFS('Barang Keluar'!$E:$E,'Barang Keluar'!$A:$A,M5075,'Barang Keluar'!$C:$C,N5075))</f>
        <v>0</v>
      </c>
    </row>
    <row r="5076" spans="13:16">
      <c r="M5076" s="49">
        <f>IF($A$4+50&gt;$B$4,"",$A$4+50)</f>
        <v>46073</v>
      </c>
      <c r="N5076">
        <f>IF(M5076="","",'Master Barang'!A70)</f>
        <v>0</v>
      </c>
      <c r="O5076">
        <f>IF(N5076="","",'Master Barang'!B70)</f>
        <v>0</v>
      </c>
      <c r="P5076">
        <f>IF(OR(M5076="",N5076=""),"",SUMIFS('Barang Keluar'!$E:$E,'Barang Keluar'!$A:$A,M5076,'Barang Keluar'!$C:$C,N5076))</f>
        <v>0</v>
      </c>
    </row>
    <row r="5077" spans="13:16">
      <c r="M5077" s="49">
        <f>IF($A$4+50&gt;$B$4,"",$A$4+50)</f>
        <v>46073</v>
      </c>
      <c r="N5077">
        <f>IF(M5077="","",'Master Barang'!A71)</f>
        <v>0</v>
      </c>
      <c r="O5077">
        <f>IF(N5077="","",'Master Barang'!B71)</f>
        <v>0</v>
      </c>
      <c r="P5077">
        <f>IF(OR(M5077="",N5077=""),"",SUMIFS('Barang Keluar'!$E:$E,'Barang Keluar'!$A:$A,M5077,'Barang Keluar'!$C:$C,N5077))</f>
        <v>0</v>
      </c>
    </row>
    <row r="5078" spans="13:16">
      <c r="M5078" s="49">
        <f>IF($A$4+50&gt;$B$4,"",$A$4+50)</f>
        <v>46073</v>
      </c>
      <c r="N5078">
        <f>IF(M5078="","",'Master Barang'!A72)</f>
        <v>0</v>
      </c>
      <c r="O5078">
        <f>IF(N5078="","",'Master Barang'!B72)</f>
        <v>0</v>
      </c>
      <c r="P5078">
        <f>IF(OR(M5078="",N5078=""),"",SUMIFS('Barang Keluar'!$E:$E,'Barang Keluar'!$A:$A,M5078,'Barang Keluar'!$C:$C,N5078))</f>
        <v>0</v>
      </c>
    </row>
    <row r="5079" spans="13:16">
      <c r="M5079" s="49">
        <f>IF($A$4+50&gt;$B$4,"",$A$4+50)</f>
        <v>46073</v>
      </c>
      <c r="N5079">
        <f>IF(M5079="","",'Master Barang'!A73)</f>
        <v>0</v>
      </c>
      <c r="O5079">
        <f>IF(N5079="","",'Master Barang'!B73)</f>
        <v>0</v>
      </c>
      <c r="P5079">
        <f>IF(OR(M5079="",N5079=""),"",SUMIFS('Barang Keluar'!$E:$E,'Barang Keluar'!$A:$A,M5079,'Barang Keluar'!$C:$C,N5079))</f>
        <v>0</v>
      </c>
    </row>
    <row r="5080" spans="13:16">
      <c r="M5080" s="49">
        <f>IF($A$4+50&gt;$B$4,"",$A$4+50)</f>
        <v>46073</v>
      </c>
      <c r="N5080">
        <f>IF(M5080="","",'Master Barang'!A74)</f>
        <v>0</v>
      </c>
      <c r="O5080">
        <f>IF(N5080="","",'Master Barang'!B74)</f>
        <v>0</v>
      </c>
      <c r="P5080">
        <f>IF(OR(M5080="",N5080=""),"",SUMIFS('Barang Keluar'!$E:$E,'Barang Keluar'!$A:$A,M5080,'Barang Keluar'!$C:$C,N5080))</f>
        <v>0</v>
      </c>
    </row>
    <row r="5081" spans="13:16">
      <c r="M5081" s="49">
        <f>IF($A$4+50&gt;$B$4,"",$A$4+50)</f>
        <v>46073</v>
      </c>
      <c r="N5081">
        <f>IF(M5081="","",'Master Barang'!A75)</f>
        <v>0</v>
      </c>
      <c r="O5081">
        <f>IF(N5081="","",'Master Barang'!B75)</f>
        <v>0</v>
      </c>
      <c r="P5081">
        <f>IF(OR(M5081="",N5081=""),"",SUMIFS('Barang Keluar'!$E:$E,'Barang Keluar'!$A:$A,M5081,'Barang Keluar'!$C:$C,N5081))</f>
        <v>0</v>
      </c>
    </row>
    <row r="5082" spans="13:16">
      <c r="M5082" s="49">
        <f>IF($A$4+50&gt;$B$4,"",$A$4+50)</f>
        <v>46073</v>
      </c>
      <c r="N5082">
        <f>IF(M5082="","",'Master Barang'!A76)</f>
        <v>0</v>
      </c>
      <c r="O5082">
        <f>IF(N5082="","",'Master Barang'!B76)</f>
        <v>0</v>
      </c>
      <c r="P5082">
        <f>IF(OR(M5082="",N5082=""),"",SUMIFS('Barang Keluar'!$E:$E,'Barang Keluar'!$A:$A,M5082,'Barang Keluar'!$C:$C,N5082))</f>
        <v>0</v>
      </c>
    </row>
    <row r="5083" spans="13:16">
      <c r="M5083" s="49">
        <f>IF($A$4+50&gt;$B$4,"",$A$4+50)</f>
        <v>46073</v>
      </c>
      <c r="N5083">
        <f>IF(M5083="","",'Master Barang'!A77)</f>
        <v>0</v>
      </c>
      <c r="O5083">
        <f>IF(N5083="","",'Master Barang'!B77)</f>
        <v>0</v>
      </c>
      <c r="P5083">
        <f>IF(OR(M5083="",N5083=""),"",SUMIFS('Barang Keluar'!$E:$E,'Barang Keluar'!$A:$A,M5083,'Barang Keluar'!$C:$C,N5083))</f>
        <v>0</v>
      </c>
    </row>
    <row r="5084" spans="13:16">
      <c r="M5084" s="49">
        <f>IF($A$4+50&gt;$B$4,"",$A$4+50)</f>
        <v>46073</v>
      </c>
      <c r="N5084">
        <f>IF(M5084="","",'Master Barang'!A78)</f>
        <v>0</v>
      </c>
      <c r="O5084">
        <f>IF(N5084="","",'Master Barang'!B78)</f>
        <v>0</v>
      </c>
      <c r="P5084">
        <f>IF(OR(M5084="",N5084=""),"",SUMIFS('Barang Keluar'!$E:$E,'Barang Keluar'!$A:$A,M5084,'Barang Keluar'!$C:$C,N5084))</f>
        <v>0</v>
      </c>
    </row>
    <row r="5085" spans="13:16">
      <c r="M5085" s="49">
        <f>IF($A$4+50&gt;$B$4,"",$A$4+50)</f>
        <v>46073</v>
      </c>
      <c r="N5085">
        <f>IF(M5085="","",'Master Barang'!A79)</f>
        <v>0</v>
      </c>
      <c r="O5085">
        <f>IF(N5085="","",'Master Barang'!B79)</f>
        <v>0</v>
      </c>
      <c r="P5085">
        <f>IF(OR(M5085="",N5085=""),"",SUMIFS('Barang Keluar'!$E:$E,'Barang Keluar'!$A:$A,M5085,'Barang Keluar'!$C:$C,N5085))</f>
        <v>0</v>
      </c>
    </row>
    <row r="5086" spans="13:16">
      <c r="M5086" s="49">
        <f>IF($A$4+50&gt;$B$4,"",$A$4+50)</f>
        <v>46073</v>
      </c>
      <c r="N5086">
        <f>IF(M5086="","",'Master Barang'!A80)</f>
        <v>0</v>
      </c>
      <c r="O5086">
        <f>IF(N5086="","",'Master Barang'!B80)</f>
        <v>0</v>
      </c>
      <c r="P5086">
        <f>IF(OR(M5086="",N5086=""),"",SUMIFS('Barang Keluar'!$E:$E,'Barang Keluar'!$A:$A,M5086,'Barang Keluar'!$C:$C,N5086))</f>
        <v>0</v>
      </c>
    </row>
    <row r="5087" spans="13:16">
      <c r="M5087" s="49">
        <f>IF($A$4+50&gt;$B$4,"",$A$4+50)</f>
        <v>46073</v>
      </c>
      <c r="N5087">
        <f>IF(M5087="","",'Master Barang'!A81)</f>
        <v>0</v>
      </c>
      <c r="O5087">
        <f>IF(N5087="","",'Master Barang'!B81)</f>
        <v>0</v>
      </c>
      <c r="P5087">
        <f>IF(OR(M5087="",N5087=""),"",SUMIFS('Barang Keluar'!$E:$E,'Barang Keluar'!$A:$A,M5087,'Barang Keluar'!$C:$C,N5087))</f>
        <v>0</v>
      </c>
    </row>
    <row r="5088" spans="13:16">
      <c r="M5088" s="49">
        <f>IF($A$4+50&gt;$B$4,"",$A$4+50)</f>
        <v>46073</v>
      </c>
      <c r="N5088">
        <f>IF(M5088="","",'Master Barang'!A82)</f>
        <v>0</v>
      </c>
      <c r="O5088">
        <f>IF(N5088="","",'Master Barang'!B82)</f>
        <v>0</v>
      </c>
      <c r="P5088">
        <f>IF(OR(M5088="",N5088=""),"",SUMIFS('Barang Keluar'!$E:$E,'Barang Keluar'!$A:$A,M5088,'Barang Keluar'!$C:$C,N5088))</f>
        <v>0</v>
      </c>
    </row>
    <row r="5089" spans="13:16">
      <c r="M5089" s="49">
        <f>IF($A$4+50&gt;$B$4,"",$A$4+50)</f>
        <v>46073</v>
      </c>
      <c r="N5089">
        <f>IF(M5089="","",'Master Barang'!A83)</f>
        <v>0</v>
      </c>
      <c r="O5089">
        <f>IF(N5089="","",'Master Barang'!B83)</f>
        <v>0</v>
      </c>
      <c r="P5089">
        <f>IF(OR(M5089="",N5089=""),"",SUMIFS('Barang Keluar'!$E:$E,'Barang Keluar'!$A:$A,M5089,'Barang Keluar'!$C:$C,N5089))</f>
        <v>0</v>
      </c>
    </row>
    <row r="5090" spans="13:16">
      <c r="M5090" s="49">
        <f>IF($A$4+50&gt;$B$4,"",$A$4+50)</f>
        <v>46073</v>
      </c>
      <c r="N5090">
        <f>IF(M5090="","",'Master Barang'!A84)</f>
        <v>0</v>
      </c>
      <c r="O5090">
        <f>IF(N5090="","",'Master Barang'!B84)</f>
        <v>0</v>
      </c>
      <c r="P5090">
        <f>IF(OR(M5090="",N5090=""),"",SUMIFS('Barang Keluar'!$E:$E,'Barang Keluar'!$A:$A,M5090,'Barang Keluar'!$C:$C,N5090))</f>
        <v>0</v>
      </c>
    </row>
    <row r="5091" spans="13:16">
      <c r="M5091" s="49">
        <f>IF($A$4+50&gt;$B$4,"",$A$4+50)</f>
        <v>46073</v>
      </c>
      <c r="N5091">
        <f>IF(M5091="","",'Master Barang'!A85)</f>
        <v>0</v>
      </c>
      <c r="O5091">
        <f>IF(N5091="","",'Master Barang'!B85)</f>
        <v>0</v>
      </c>
      <c r="P5091">
        <f>IF(OR(M5091="",N5091=""),"",SUMIFS('Barang Keluar'!$E:$E,'Barang Keluar'!$A:$A,M5091,'Barang Keluar'!$C:$C,N5091))</f>
        <v>0</v>
      </c>
    </row>
    <row r="5092" spans="13:16">
      <c r="M5092" s="49">
        <f>IF($A$4+50&gt;$B$4,"",$A$4+50)</f>
        <v>46073</v>
      </c>
      <c r="N5092">
        <f>IF(M5092="","",'Master Barang'!A86)</f>
        <v>0</v>
      </c>
      <c r="O5092">
        <f>IF(N5092="","",'Master Barang'!B86)</f>
        <v>0</v>
      </c>
      <c r="P5092">
        <f>IF(OR(M5092="",N5092=""),"",SUMIFS('Barang Keluar'!$E:$E,'Barang Keluar'!$A:$A,M5092,'Barang Keluar'!$C:$C,N5092))</f>
        <v>0</v>
      </c>
    </row>
    <row r="5093" spans="13:16">
      <c r="M5093" s="49">
        <f>IF($A$4+50&gt;$B$4,"",$A$4+50)</f>
        <v>46073</v>
      </c>
      <c r="N5093">
        <f>IF(M5093="","",'Master Barang'!A87)</f>
        <v>0</v>
      </c>
      <c r="O5093">
        <f>IF(N5093="","",'Master Barang'!B87)</f>
        <v>0</v>
      </c>
      <c r="P5093">
        <f>IF(OR(M5093="",N5093=""),"",SUMIFS('Barang Keluar'!$E:$E,'Barang Keluar'!$A:$A,M5093,'Barang Keluar'!$C:$C,N5093))</f>
        <v>0</v>
      </c>
    </row>
    <row r="5094" spans="13:16">
      <c r="M5094" s="49">
        <f>IF($A$4+50&gt;$B$4,"",$A$4+50)</f>
        <v>46073</v>
      </c>
      <c r="N5094">
        <f>IF(M5094="","",'Master Barang'!A88)</f>
        <v>0</v>
      </c>
      <c r="O5094">
        <f>IF(N5094="","",'Master Barang'!B88)</f>
        <v>0</v>
      </c>
      <c r="P5094">
        <f>IF(OR(M5094="",N5094=""),"",SUMIFS('Barang Keluar'!$E:$E,'Barang Keluar'!$A:$A,M5094,'Barang Keluar'!$C:$C,N5094))</f>
        <v>0</v>
      </c>
    </row>
    <row r="5095" spans="13:16">
      <c r="M5095" s="49">
        <f>IF($A$4+50&gt;$B$4,"",$A$4+50)</f>
        <v>46073</v>
      </c>
      <c r="N5095">
        <f>IF(M5095="","",'Master Barang'!A89)</f>
        <v>0</v>
      </c>
      <c r="O5095">
        <f>IF(N5095="","",'Master Barang'!B89)</f>
        <v>0</v>
      </c>
      <c r="P5095">
        <f>IF(OR(M5095="",N5095=""),"",SUMIFS('Barang Keluar'!$E:$E,'Barang Keluar'!$A:$A,M5095,'Barang Keluar'!$C:$C,N5095))</f>
        <v>0</v>
      </c>
    </row>
    <row r="5096" spans="13:16">
      <c r="M5096" s="49">
        <f>IF($A$4+50&gt;$B$4,"",$A$4+50)</f>
        <v>46073</v>
      </c>
      <c r="N5096">
        <f>IF(M5096="","",'Master Barang'!A90)</f>
        <v>0</v>
      </c>
      <c r="O5096">
        <f>IF(N5096="","",'Master Barang'!B90)</f>
        <v>0</v>
      </c>
      <c r="P5096">
        <f>IF(OR(M5096="",N5096=""),"",SUMIFS('Barang Keluar'!$E:$E,'Barang Keluar'!$A:$A,M5096,'Barang Keluar'!$C:$C,N5096))</f>
        <v>0</v>
      </c>
    </row>
    <row r="5097" spans="13:16">
      <c r="M5097" s="49">
        <f>IF($A$4+50&gt;$B$4,"",$A$4+50)</f>
        <v>46073</v>
      </c>
      <c r="N5097">
        <f>IF(M5097="","",'Master Barang'!A91)</f>
        <v>0</v>
      </c>
      <c r="O5097">
        <f>IF(N5097="","",'Master Barang'!B91)</f>
        <v>0</v>
      </c>
      <c r="P5097">
        <f>IF(OR(M5097="",N5097=""),"",SUMIFS('Barang Keluar'!$E:$E,'Barang Keluar'!$A:$A,M5097,'Barang Keluar'!$C:$C,N5097))</f>
        <v>0</v>
      </c>
    </row>
    <row r="5098" spans="13:16">
      <c r="M5098" s="49">
        <f>IF($A$4+50&gt;$B$4,"",$A$4+50)</f>
        <v>46073</v>
      </c>
      <c r="N5098">
        <f>IF(M5098="","",'Master Barang'!A92)</f>
        <v>0</v>
      </c>
      <c r="O5098">
        <f>IF(N5098="","",'Master Barang'!B92)</f>
        <v>0</v>
      </c>
      <c r="P5098">
        <f>IF(OR(M5098="",N5098=""),"",SUMIFS('Barang Keluar'!$E:$E,'Barang Keluar'!$A:$A,M5098,'Barang Keluar'!$C:$C,N5098))</f>
        <v>0</v>
      </c>
    </row>
    <row r="5099" spans="13:16">
      <c r="M5099" s="49">
        <f>IF($A$4+50&gt;$B$4,"",$A$4+50)</f>
        <v>46073</v>
      </c>
      <c r="N5099">
        <f>IF(M5099="","",'Master Barang'!A93)</f>
        <v>0</v>
      </c>
      <c r="O5099">
        <f>IF(N5099="","",'Master Barang'!B93)</f>
        <v>0</v>
      </c>
      <c r="P5099">
        <f>IF(OR(M5099="",N5099=""),"",SUMIFS('Barang Keluar'!$E:$E,'Barang Keluar'!$A:$A,M5099,'Barang Keluar'!$C:$C,N5099))</f>
        <v>0</v>
      </c>
    </row>
    <row r="5100" spans="13:16">
      <c r="M5100" s="49">
        <f>IF($A$4+50&gt;$B$4,"",$A$4+50)</f>
        <v>46073</v>
      </c>
      <c r="N5100">
        <f>IF(M5100="","",'Master Barang'!A94)</f>
        <v>0</v>
      </c>
      <c r="O5100">
        <f>IF(N5100="","",'Master Barang'!B94)</f>
        <v>0</v>
      </c>
      <c r="P5100">
        <f>IF(OR(M5100="",N5100=""),"",SUMIFS('Barang Keluar'!$E:$E,'Barang Keluar'!$A:$A,M5100,'Barang Keluar'!$C:$C,N5100))</f>
        <v>0</v>
      </c>
    </row>
    <row r="5101" spans="13:16">
      <c r="M5101" s="49">
        <f>IF($A$4+50&gt;$B$4,"",$A$4+50)</f>
        <v>46073</v>
      </c>
      <c r="N5101">
        <f>IF(M5101="","",'Master Barang'!A95)</f>
        <v>0</v>
      </c>
      <c r="O5101">
        <f>IF(N5101="","",'Master Barang'!B95)</f>
        <v>0</v>
      </c>
      <c r="P5101">
        <f>IF(OR(M5101="",N5101=""),"",SUMIFS('Barang Keluar'!$E:$E,'Barang Keluar'!$A:$A,M5101,'Barang Keluar'!$C:$C,N5101))</f>
        <v>0</v>
      </c>
    </row>
    <row r="5102" spans="13:16">
      <c r="M5102" s="49">
        <f>IF($A$4+50&gt;$B$4,"",$A$4+50)</f>
        <v>46073</v>
      </c>
      <c r="N5102">
        <f>IF(M5102="","",'Master Barang'!A96)</f>
        <v>0</v>
      </c>
      <c r="O5102">
        <f>IF(N5102="","",'Master Barang'!B96)</f>
        <v>0</v>
      </c>
      <c r="P5102">
        <f>IF(OR(M5102="",N5102=""),"",SUMIFS('Barang Keluar'!$E:$E,'Barang Keluar'!$A:$A,M5102,'Barang Keluar'!$C:$C,N5102))</f>
        <v>0</v>
      </c>
    </row>
    <row r="5103" spans="13:16">
      <c r="M5103" s="49">
        <f>IF($A$4+50&gt;$B$4,"",$A$4+50)</f>
        <v>46073</v>
      </c>
      <c r="N5103">
        <f>IF(M5103="","",'Master Barang'!A97)</f>
        <v>0</v>
      </c>
      <c r="O5103">
        <f>IF(N5103="","",'Master Barang'!B97)</f>
        <v>0</v>
      </c>
      <c r="P5103">
        <f>IF(OR(M5103="",N5103=""),"",SUMIFS('Barang Keluar'!$E:$E,'Barang Keluar'!$A:$A,M5103,'Barang Keluar'!$C:$C,N5103))</f>
        <v>0</v>
      </c>
    </row>
    <row r="5104" spans="13:16">
      <c r="M5104" s="49">
        <f>IF($A$4+50&gt;$B$4,"",$A$4+50)</f>
        <v>46073</v>
      </c>
      <c r="N5104">
        <f>IF(M5104="","",'Master Barang'!A98)</f>
        <v>0</v>
      </c>
      <c r="O5104">
        <f>IF(N5104="","",'Master Barang'!B98)</f>
        <v>0</v>
      </c>
      <c r="P5104">
        <f>IF(OR(M5104="",N5104=""),"",SUMIFS('Barang Keluar'!$E:$E,'Barang Keluar'!$A:$A,M5104,'Barang Keluar'!$C:$C,N5104))</f>
        <v>0</v>
      </c>
    </row>
    <row r="5105" spans="13:16">
      <c r="M5105" s="49">
        <f>IF($A$4+50&gt;$B$4,"",$A$4+50)</f>
        <v>46073</v>
      </c>
      <c r="N5105">
        <f>IF(M5105="","",'Master Barang'!A99)</f>
        <v>0</v>
      </c>
      <c r="O5105">
        <f>IF(N5105="","",'Master Barang'!B99)</f>
        <v>0</v>
      </c>
      <c r="P5105">
        <f>IF(OR(M5105="",N5105=""),"",SUMIFS('Barang Keluar'!$E:$E,'Barang Keluar'!$A:$A,M5105,'Barang Keluar'!$C:$C,N5105))</f>
        <v>0</v>
      </c>
    </row>
    <row r="5106" spans="13:16">
      <c r="M5106" s="49">
        <f>IF($A$4+50&gt;$B$4,"",$A$4+50)</f>
        <v>46073</v>
      </c>
      <c r="N5106">
        <f>IF(M5106="","",'Master Barang'!A100)</f>
        <v>0</v>
      </c>
      <c r="O5106">
        <f>IF(N5106="","",'Master Barang'!B100)</f>
        <v>0</v>
      </c>
      <c r="P5106">
        <f>IF(OR(M5106="",N5106=""),"",SUMIFS('Barang Keluar'!$E:$E,'Barang Keluar'!$A:$A,M5106,'Barang Keluar'!$C:$C,N5106))</f>
        <v>0</v>
      </c>
    </row>
    <row r="5107" spans="13:16">
      <c r="M5107" s="49">
        <f>IF($A$4+50&gt;$B$4,"",$A$4+50)</f>
        <v>46073</v>
      </c>
      <c r="N5107">
        <f>IF(M5107="","",'Master Barang'!A101)</f>
        <v>0</v>
      </c>
      <c r="O5107">
        <f>IF(N5107="","",'Master Barang'!B101)</f>
        <v>0</v>
      </c>
      <c r="P5107">
        <f>IF(OR(M5107="",N5107=""),"",SUMIFS('Barang Keluar'!$E:$E,'Barang Keluar'!$A:$A,M5107,'Barang Keluar'!$C:$C,N5107))</f>
        <v>0</v>
      </c>
    </row>
    <row r="5108" spans="13:16">
      <c r="M5108" s="49">
        <f>IF($A$4+51&gt;$B$4,"",$A$4+51)</f>
        <v>46074</v>
      </c>
      <c r="N5108" t="str">
        <f>IF(M5108="","",'Master Barang'!A2)</f>
        <v>PRL-001</v>
      </c>
      <c r="O5108" t="str">
        <f>IF(N5108="","",'Master Barang'!B2)</f>
        <v>natura desinfectant food grade 5l</v>
      </c>
      <c r="P5108">
        <f>IF(OR(M5108="",N5108=""),"",SUMIFS('Barang Keluar'!$E:$E,'Barang Keluar'!$A:$A,M5108,'Barang Keluar'!$C:$C,N5108))</f>
        <v>0</v>
      </c>
    </row>
    <row r="5109" spans="13:16">
      <c r="M5109" s="49">
        <f>IF($A$4+51&gt;$B$4,"",$A$4+51)</f>
        <v>46074</v>
      </c>
      <c r="N5109" t="str">
        <f>IF(M5109="","",'Master Barang'!A3)</f>
        <v>PRL-002</v>
      </c>
      <c r="O5109" t="str">
        <f>IF(N5109="","",'Master Barang'!B3)</f>
        <v>sunlight cairan pencuci piring 5l</v>
      </c>
      <c r="P5109">
        <f>IF(OR(M5109="",N5109=""),"",SUMIFS('Barang Keluar'!$E:$E,'Barang Keluar'!$A:$A,M5109,'Barang Keluar'!$C:$C,N5109))</f>
        <v>0</v>
      </c>
    </row>
    <row r="5110" spans="13:16">
      <c r="M5110" s="49">
        <f>IF($A$4+51&gt;$B$4,"",$A$4+51)</f>
        <v>46074</v>
      </c>
      <c r="N5110" t="str">
        <f>IF(M5110="","",'Master Barang'!A4)</f>
        <v>PRL-003</v>
      </c>
      <c r="O5110" t="str">
        <f>IF(N5110="","",'Master Barang'!B4)</f>
        <v>oixs cleaner 1l</v>
      </c>
      <c r="P5110">
        <f>IF(OR(M5110="",N5110=""),"",SUMIFS('Barang Keluar'!$E:$E,'Barang Keluar'!$A:$A,M5110,'Barang Keluar'!$C:$C,N5110))</f>
        <v>0</v>
      </c>
    </row>
    <row r="5111" spans="13:16">
      <c r="M5111" s="49">
        <f>IF($A$4+51&gt;$B$4,"",$A$4+51)</f>
        <v>46074</v>
      </c>
      <c r="N5111" t="str">
        <f>IF(M5111="","",'Master Barang'!A5)</f>
        <v>PRL-004</v>
      </c>
      <c r="O5111" t="str">
        <f>IF(N5111="","",'Master Barang'!B5)</f>
        <v>be clean tissue serbaguna</v>
      </c>
      <c r="P5111">
        <f>IF(OR(M5111="",N5111=""),"",SUMIFS('Barang Keluar'!$E:$E,'Barang Keluar'!$A:$A,M5111,'Barang Keluar'!$C:$C,N5111))</f>
        <v>0</v>
      </c>
    </row>
    <row r="5112" spans="13:16">
      <c r="M5112" s="49">
        <f>IF($A$4+51&gt;$B$4,"",$A$4+51)</f>
        <v>46074</v>
      </c>
      <c r="N5112" t="str">
        <f>IF(M5112="","",'Master Barang'!A6)</f>
        <v>PRL-005</v>
      </c>
      <c r="O5112" t="str">
        <f>IF(N5112="","",'Master Barang'!B6)</f>
        <v>spons cuci hijau</v>
      </c>
      <c r="P5112">
        <f>IF(OR(M5112="",N5112=""),"",SUMIFS('Barang Keluar'!$E:$E,'Barang Keluar'!$A:$A,M5112,'Barang Keluar'!$C:$C,N5112))</f>
        <v>0</v>
      </c>
    </row>
    <row r="5113" spans="13:16">
      <c r="M5113" s="49">
        <f>IF($A$4+51&gt;$B$4,"",$A$4+51)</f>
        <v>46074</v>
      </c>
      <c r="N5113" t="str">
        <f>IF(M5113="","",'Master Barang'!A7)</f>
        <v>PRL-006</v>
      </c>
      <c r="O5113" t="str">
        <f>IF(N5113="","",'Master Barang'!B7)</f>
        <v>sabut cuci stainless</v>
      </c>
      <c r="P5113">
        <f>IF(OR(M5113="",N5113=""),"",SUMIFS('Barang Keluar'!$E:$E,'Barang Keluar'!$A:$A,M5113,'Barang Keluar'!$C:$C,N5113))</f>
        <v>0</v>
      </c>
    </row>
    <row r="5114" spans="13:16">
      <c r="M5114" s="49">
        <f>IF($A$4+51&gt;$B$4,"",$A$4+51)</f>
        <v>46074</v>
      </c>
      <c r="N5114" t="str">
        <f>IF(M5114="","",'Master Barang'!A8)</f>
        <v>PRL-007</v>
      </c>
      <c r="O5114" t="str">
        <f>IF(N5114="","",'Master Barang'!B8)</f>
        <v>plastik kresek besar merah 50pc</v>
      </c>
      <c r="P5114">
        <f>IF(OR(M5114="",N5114=""),"",SUMIFS('Barang Keluar'!$E:$E,'Barang Keluar'!$A:$A,M5114,'Barang Keluar'!$C:$C,N5114))</f>
        <v>0</v>
      </c>
    </row>
    <row r="5115" spans="13:16">
      <c r="M5115" s="49">
        <f>IF($A$4+51&gt;$B$4,"",$A$4+51)</f>
        <v>46074</v>
      </c>
      <c r="N5115" t="str">
        <f>IF(M5115="","",'Master Barang'!A9)</f>
        <v>PRL-008</v>
      </c>
      <c r="O5115" t="str">
        <f>IF(N5115="","",'Master Barang'!B9)</f>
        <v>lap besar</v>
      </c>
      <c r="P5115">
        <f>IF(OR(M5115="",N5115=""),"",SUMIFS('Barang Keluar'!$E:$E,'Barang Keluar'!$A:$A,M5115,'Barang Keluar'!$C:$C,N5115))</f>
        <v>0</v>
      </c>
    </row>
    <row r="5116" spans="13:16">
      <c r="M5116" s="49">
        <f>IF($A$4+51&gt;$B$4,"",$A$4+51)</f>
        <v>46074</v>
      </c>
      <c r="N5116" t="str">
        <f>IF(M5116="","",'Master Barang'!A10)</f>
        <v>PRL-009</v>
      </c>
      <c r="O5116" t="str">
        <f>IF(N5116="","",'Master Barang'!B10)</f>
        <v>lap microfiber</v>
      </c>
      <c r="P5116">
        <f>IF(OR(M5116="",N5116=""),"",SUMIFS('Barang Keluar'!$E:$E,'Barang Keluar'!$A:$A,M5116,'Barang Keluar'!$C:$C,N5116))</f>
        <v>0</v>
      </c>
    </row>
    <row r="5117" spans="13:16">
      <c r="M5117" s="49">
        <f>IF($A$4+51&gt;$B$4,"",$A$4+51)</f>
        <v>46074</v>
      </c>
      <c r="N5117" t="str">
        <f>IF(M5117="","",'Master Barang'!A11)</f>
        <v>PRL-010</v>
      </c>
      <c r="O5117" t="str">
        <f>IF(N5117="","",'Master Barang'!B11)</f>
        <v>lap kecil</v>
      </c>
      <c r="P5117">
        <f>IF(OR(M5117="",N5117=""),"",SUMIFS('Barang Keluar'!$E:$E,'Barang Keluar'!$A:$A,M5117,'Barang Keluar'!$C:$C,N5117))</f>
        <v>0</v>
      </c>
    </row>
    <row r="5118" spans="13:16">
      <c r="M5118" s="49">
        <f>IF($A$4+51&gt;$B$4,"",$A$4+51)</f>
        <v>46074</v>
      </c>
      <c r="N5118" t="str">
        <f>IF(M5118="","",'Master Barang'!A12)</f>
        <v>PRL-011</v>
      </c>
      <c r="O5118" t="str">
        <f>IF(N5118="","",'Master Barang'!B12)</f>
        <v>kanebo kecil</v>
      </c>
      <c r="P5118">
        <f>IF(OR(M5118="",N5118=""),"",SUMIFS('Barang Keluar'!$E:$E,'Barang Keluar'!$A:$A,M5118,'Barang Keluar'!$C:$C,N5118))</f>
        <v>0</v>
      </c>
    </row>
    <row r="5119" spans="13:16">
      <c r="M5119" s="49">
        <f>IF($A$4+51&gt;$B$4,"",$A$4+51)</f>
        <v>46074</v>
      </c>
      <c r="N5119" t="str">
        <f>IF(M5119="","",'Master Barang'!A13)</f>
        <v>PRL-012</v>
      </c>
      <c r="O5119" t="str">
        <f>IF(N5119="","",'Master Barang'!B13)</f>
        <v>plastik 1/4kg joyoboyo 100 lembar</v>
      </c>
      <c r="P5119">
        <f>IF(OR(M5119="",N5119=""),"",SUMIFS('Barang Keluar'!$E:$E,'Barang Keluar'!$A:$A,M5119,'Barang Keluar'!$C:$C,N5119))</f>
        <v>0</v>
      </c>
    </row>
    <row r="5120" spans="13:16">
      <c r="M5120" s="49">
        <f>IF($A$4+51&gt;$B$4,"",$A$4+51)</f>
        <v>46074</v>
      </c>
      <c r="N5120" t="str">
        <f>IF(M5120="","",'Master Barang'!A14)</f>
        <v>PRL-013</v>
      </c>
      <c r="O5120" t="str">
        <f>IF(N5120="","",'Master Barang'!B14)</f>
        <v>sarung tangan plastik kaka 100 pcs</v>
      </c>
      <c r="P5120">
        <f>IF(OR(M5120="",N5120=""),"",SUMIFS('Barang Keluar'!$E:$E,'Barang Keluar'!$A:$A,M5120,'Barang Keluar'!$C:$C,N5120))</f>
        <v>0</v>
      </c>
    </row>
    <row r="5121" spans="13:16">
      <c r="M5121" s="49">
        <f>IF($A$4+51&gt;$B$4,"",$A$4+51)</f>
        <v>46074</v>
      </c>
      <c r="N5121" t="str">
        <f>IF(M5121="","",'Master Barang'!A15)</f>
        <v>PRL-014</v>
      </c>
      <c r="O5121" t="str">
        <f>IF(N5121="","",'Master Barang'!B15)</f>
        <v>optima trashbag 80x100</v>
      </c>
      <c r="P5121">
        <f>IF(OR(M5121="",N5121=""),"",SUMIFS('Barang Keluar'!$E:$E,'Barang Keluar'!$A:$A,M5121,'Barang Keluar'!$C:$C,N5121))</f>
        <v>0</v>
      </c>
    </row>
    <row r="5122" spans="13:16">
      <c r="M5122" s="49">
        <f>IF($A$4+51&gt;$B$4,"",$A$4+51)</f>
        <v>46074</v>
      </c>
      <c r="N5122" t="str">
        <f>IF(M5122="","",'Master Barang'!A16)</f>
        <v>PRL-015</v>
      </c>
      <c r="O5122" t="str">
        <f>IF(N5122="","",'Master Barang'!B16)</f>
        <v>optima trashbag 60x100</v>
      </c>
      <c r="P5122">
        <f>IF(OR(M5122="",N5122=""),"",SUMIFS('Barang Keluar'!$E:$E,'Barang Keluar'!$A:$A,M5122,'Barang Keluar'!$C:$C,N5122))</f>
        <v>0</v>
      </c>
    </row>
    <row r="5123" spans="13:16">
      <c r="M5123" s="49">
        <f>IF($A$4+51&gt;$B$4,"",$A$4+51)</f>
        <v>46074</v>
      </c>
      <c r="N5123" t="str">
        <f>IF(M5123="","",'Master Barang'!A17)</f>
        <v>PRL-016</v>
      </c>
      <c r="O5123" t="str">
        <f>IF(N5123="","",'Master Barang'!B17)</f>
        <v>rajawali trashbag 30x40</v>
      </c>
      <c r="P5123">
        <f>IF(OR(M5123="",N5123=""),"",SUMIFS('Barang Keluar'!$E:$E,'Barang Keluar'!$A:$A,M5123,'Barang Keluar'!$C:$C,N5123))</f>
        <v>0</v>
      </c>
    </row>
    <row r="5124" spans="13:16">
      <c r="M5124" s="49">
        <f>IF($A$4+51&gt;$B$4,"",$A$4+51)</f>
        <v>46074</v>
      </c>
      <c r="N5124" t="str">
        <f>IF(M5124="","",'Master Barang'!A18)</f>
        <v>PRL-017</v>
      </c>
      <c r="O5124" t="str">
        <f>IF(N5124="","",'Master Barang'!B18)</f>
        <v>onemed masker biru 3 play 50 pcs</v>
      </c>
      <c r="P5124">
        <f>IF(OR(M5124="",N5124=""),"",SUMIFS('Barang Keluar'!$E:$E,'Barang Keluar'!$A:$A,M5124,'Barang Keluar'!$C:$C,N5124))</f>
        <v>0</v>
      </c>
    </row>
    <row r="5125" spans="13:16">
      <c r="M5125" s="49">
        <f>IF($A$4+51&gt;$B$4,"",$A$4+51)</f>
        <v>46074</v>
      </c>
      <c r="N5125" t="str">
        <f>IF(M5125="","",'Master Barang'!A19)</f>
        <v>PRL-018</v>
      </c>
      <c r="O5125" t="str">
        <f>IF(N5125="","",'Master Barang'!B19)</f>
        <v>onemed masker biru 3 play hijab 50 pcs</v>
      </c>
      <c r="P5125">
        <f>IF(OR(M5125="",N5125=""),"",SUMIFS('Barang Keluar'!$E:$E,'Barang Keluar'!$A:$A,M5125,'Barang Keluar'!$C:$C,N5125))</f>
        <v>0</v>
      </c>
    </row>
    <row r="5126" spans="13:16">
      <c r="M5126" s="49">
        <f>IF($A$4+51&gt;$B$4,"",$A$4+51)</f>
        <v>46074</v>
      </c>
      <c r="N5126" t="str">
        <f>IF(M5126="","",'Master Barang'!A20)</f>
        <v>PRL-019</v>
      </c>
      <c r="O5126" t="str">
        <f>IF(N5126="","",'Master Barang'!B20)</f>
        <v>neo health masker biru 3 play 50 pcs</v>
      </c>
      <c r="P5126">
        <f>IF(OR(M5126="",N5126=""),"",SUMIFS('Barang Keluar'!$E:$E,'Barang Keluar'!$A:$A,M5126,'Barang Keluar'!$C:$C,N5126))</f>
        <v>0</v>
      </c>
    </row>
    <row r="5127" spans="13:16">
      <c r="M5127" s="49">
        <f>IF($A$4+51&gt;$B$4,"",$A$4+51)</f>
        <v>46074</v>
      </c>
      <c r="N5127" t="str">
        <f>IF(M5127="","",'Master Barang'!A21)</f>
        <v>PRL-020</v>
      </c>
      <c r="O5127" t="str">
        <f>IF(N5127="","",'Master Barang'!B21)</f>
        <v>baymed masker hijau 3 play hijau 50 pcs</v>
      </c>
      <c r="P5127">
        <f>IF(OR(M5127="",N5127=""),"",SUMIFS('Barang Keluar'!$E:$E,'Barang Keluar'!$A:$A,M5127,'Barang Keluar'!$C:$C,N5127))</f>
        <v>0</v>
      </c>
    </row>
    <row r="5128" spans="13:16">
      <c r="M5128" s="49">
        <f>IF($A$4+51&gt;$B$4,"",$A$4+51)</f>
        <v>46074</v>
      </c>
      <c r="N5128" t="str">
        <f>IF(M5128="","",'Master Barang'!A22)</f>
        <v>PRL-021</v>
      </c>
      <c r="O5128" t="str">
        <f>IF(N5128="","",'Master Barang'!B22)</f>
        <v>altamed nurse cap penutup kepala 100 pcs</v>
      </c>
      <c r="P5128">
        <f>IF(OR(M5128="",N5128=""),"",SUMIFS('Barang Keluar'!$E:$E,'Barang Keluar'!$A:$A,M5128,'Barang Keluar'!$C:$C,N5128))</f>
        <v>0</v>
      </c>
    </row>
    <row r="5129" spans="13:16">
      <c r="M5129" s="49">
        <f>IF($A$4+51&gt;$B$4,"",$A$4+51)</f>
        <v>46074</v>
      </c>
      <c r="N5129" t="str">
        <f>IF(M5129="","",'Master Barang'!A23)</f>
        <v>PRL-022</v>
      </c>
      <c r="O5129" t="str">
        <f>IF(N5129="","",'Master Barang'!B23)</f>
        <v>sabun cuci tangan</v>
      </c>
      <c r="P5129">
        <f>IF(OR(M5129="",N5129=""),"",SUMIFS('Barang Keluar'!$E:$E,'Barang Keluar'!$A:$A,M5129,'Barang Keluar'!$C:$C,N5129))</f>
        <v>0</v>
      </c>
    </row>
    <row r="5130" spans="13:16">
      <c r="M5130" s="49">
        <f>IF($A$4+51&gt;$B$4,"",$A$4+51)</f>
        <v>46074</v>
      </c>
      <c r="N5130" t="str">
        <f>IF(M5130="","",'Master Barang'!A24)</f>
        <v>PRL-023</v>
      </c>
      <c r="O5130" t="str">
        <f>IF(N5130="","",'Master Barang'!B24)</f>
        <v>gayung kecil</v>
      </c>
      <c r="P5130">
        <f>IF(OR(M5130="",N5130=""),"",SUMIFS('Barang Keluar'!$E:$E,'Barang Keluar'!$A:$A,M5130,'Barang Keluar'!$C:$C,N5130))</f>
        <v>0</v>
      </c>
    </row>
    <row r="5131" spans="13:16">
      <c r="M5131" s="49">
        <f>IF($A$4+51&gt;$B$4,"",$A$4+51)</f>
        <v>46074</v>
      </c>
      <c r="N5131" t="str">
        <f>IF(M5131="","",'Master Barang'!A25)</f>
        <v>PRL-024</v>
      </c>
      <c r="O5131" t="str">
        <f>IF(N5131="","",'Master Barang'!B25)</f>
        <v>cikrak kecil</v>
      </c>
      <c r="P5131">
        <f>IF(OR(M5131="",N5131=""),"",SUMIFS('Barang Keluar'!$E:$E,'Barang Keluar'!$A:$A,M5131,'Barang Keluar'!$C:$C,N5131))</f>
        <v>0</v>
      </c>
    </row>
    <row r="5132" spans="13:16">
      <c r="M5132" s="49">
        <f>IF($A$4+51&gt;$B$4,"",$A$4+51)</f>
        <v>46074</v>
      </c>
      <c r="N5132" t="str">
        <f>IF(M5132="","",'Master Barang'!A26)</f>
        <v>PRL-025</v>
      </c>
      <c r="O5132" t="str">
        <f>IF(N5132="","",'Master Barang'!B26)</f>
        <v>petromax plastik kecil 12x24 100 lembar</v>
      </c>
      <c r="P5132">
        <f>IF(OR(M5132="",N5132=""),"",SUMIFS('Barang Keluar'!$E:$E,'Barang Keluar'!$A:$A,M5132,'Barang Keluar'!$C:$C,N5132))</f>
        <v>0</v>
      </c>
    </row>
    <row r="5133" spans="13:16">
      <c r="M5133" s="49">
        <f>IF($A$4+51&gt;$B$4,"",$A$4+51)</f>
        <v>46074</v>
      </c>
      <c r="N5133" t="str">
        <f>IF(M5133="","",'Master Barang'!A27)</f>
        <v>PRL-026</v>
      </c>
      <c r="O5133" t="str">
        <f>IF(N5133="","",'Master Barang'!B27)</f>
        <v>lancar kresek kecil bening </v>
      </c>
      <c r="P5133">
        <f>IF(OR(M5133="",N5133=""),"",SUMIFS('Barang Keluar'!$E:$E,'Barang Keluar'!$A:$A,M5133,'Barang Keluar'!$C:$C,N5133))</f>
        <v>0</v>
      </c>
    </row>
    <row r="5134" spans="13:16">
      <c r="M5134" s="49">
        <f>IF($A$4+51&gt;$B$4,"",$A$4+51)</f>
        <v>46074</v>
      </c>
      <c r="N5134" t="str">
        <f>IF(M5134="","",'Master Barang'!A28)</f>
        <v>PRL-027</v>
      </c>
      <c r="O5134" t="str">
        <f>IF(N5134="","",'Master Barang'!B28)</f>
        <v>kresek klin warna warni kecil</v>
      </c>
      <c r="P5134">
        <f>IF(OR(M5134="",N5134=""),"",SUMIFS('Barang Keluar'!$E:$E,'Barang Keluar'!$A:$A,M5134,'Barang Keluar'!$C:$C,N5134))</f>
        <v>0</v>
      </c>
    </row>
    <row r="5135" spans="13:16">
      <c r="M5135" s="49">
        <f>IF($A$4+51&gt;$B$4,"",$A$4+51)</f>
        <v>46074</v>
      </c>
      <c r="N5135" t="str">
        <f>IF(M5135="","",'Master Barang'!A29)</f>
        <v>PRL-028</v>
      </c>
      <c r="O5135" t="str">
        <f>IF(N5135="","",'Master Barang'!B29)</f>
        <v>ctik plastik 7x10 100 pcs</v>
      </c>
      <c r="P5135">
        <f>IF(OR(M5135="",N5135=""),"",SUMIFS('Barang Keluar'!$E:$E,'Barang Keluar'!$A:$A,M5135,'Barang Keluar'!$C:$C,N5135))</f>
        <v>0</v>
      </c>
    </row>
    <row r="5136" spans="13:16">
      <c r="M5136" s="49">
        <f>IF($A$4+51&gt;$B$4,"",$A$4+51)</f>
        <v>46074</v>
      </c>
      <c r="N5136" t="str">
        <f>IF(M5136="","",'Master Barang'!A30)</f>
        <v>PRL-029</v>
      </c>
      <c r="O5136" t="str">
        <f>IF(N5136="","",'Master Barang'!B30)</f>
        <v>ctik plastik 6x10 100 pcs</v>
      </c>
      <c r="P5136">
        <f>IF(OR(M5136="",N5136=""),"",SUMIFS('Barang Keluar'!$E:$E,'Barang Keluar'!$A:$A,M5136,'Barang Keluar'!$C:$C,N5136))</f>
        <v>0</v>
      </c>
    </row>
    <row r="5137" spans="13:16">
      <c r="M5137" s="49">
        <f>IF($A$4+51&gt;$B$4,"",$A$4+51)</f>
        <v>46074</v>
      </c>
      <c r="N5137" t="str">
        <f>IF(M5137="","",'Master Barang'!A31)</f>
        <v>PRL-030</v>
      </c>
      <c r="O5137" t="str">
        <f>IF(N5137="","",'Master Barang'!B31)</f>
        <v>klip plastik 25x16 100 pcs</v>
      </c>
      <c r="P5137">
        <f>IF(OR(M5137="",N5137=""),"",SUMIFS('Barang Keluar'!$E:$E,'Barang Keluar'!$A:$A,M5137,'Barang Keluar'!$C:$C,N5137))</f>
        <v>0</v>
      </c>
    </row>
    <row r="5138" spans="13:16">
      <c r="M5138" s="49">
        <f>IF($A$4+51&gt;$B$4,"",$A$4+51)</f>
        <v>46074</v>
      </c>
      <c r="N5138" t="str">
        <f>IF(M5138="","",'Master Barang'!A32)</f>
        <v>PRL-031</v>
      </c>
      <c r="O5138" t="str">
        <f>IF(N5138="","",'Master Barang'!B32)</f>
        <v>tempat saus 20 ml</v>
      </c>
      <c r="P5138">
        <f>IF(OR(M5138="",N5138=""),"",SUMIFS('Barang Keluar'!$E:$E,'Barang Keluar'!$A:$A,M5138,'Barang Keluar'!$C:$C,N5138))</f>
        <v>0</v>
      </c>
    </row>
    <row r="5139" spans="13:16">
      <c r="M5139" s="49">
        <f>IF($A$4+51&gt;$B$4,"",$A$4+51)</f>
        <v>46074</v>
      </c>
      <c r="N5139" t="str">
        <f>IF(M5139="","",'Master Barang'!A33)</f>
        <v>PRL-032</v>
      </c>
      <c r="O5139" t="str">
        <f>IF(N5139="","",'Master Barang'!B33)</f>
        <v>plastik packaging ag box uk sedang</v>
      </c>
      <c r="P5139">
        <f>IF(OR(M5139="",N5139=""),"",SUMIFS('Barang Keluar'!$E:$E,'Barang Keluar'!$A:$A,M5139,'Barang Keluar'!$C:$C,N5139))</f>
        <v>0</v>
      </c>
    </row>
    <row r="5140" spans="13:16">
      <c r="M5140" s="49">
        <f>IF($A$4+51&gt;$B$4,"",$A$4+51)</f>
        <v>46074</v>
      </c>
      <c r="N5140" t="str">
        <f>IF(M5140="","",'Master Barang'!A34)</f>
        <v>PRL-033</v>
      </c>
      <c r="O5140">
        <f>IF(N5140="","",'Master Barang'!B34)</f>
        <v>0</v>
      </c>
      <c r="P5140">
        <f>IF(OR(M5140="",N5140=""),"",SUMIFS('Barang Keluar'!$E:$E,'Barang Keluar'!$A:$A,M5140,'Barang Keluar'!$C:$C,N5140))</f>
        <v>0</v>
      </c>
    </row>
    <row r="5141" spans="13:16">
      <c r="M5141" s="49">
        <f>IF($A$4+51&gt;$B$4,"",$A$4+51)</f>
        <v>46074</v>
      </c>
      <c r="N5141">
        <f>IF(M5141="","",'Master Barang'!A35)</f>
        <v>0</v>
      </c>
      <c r="O5141">
        <f>IF(N5141="","",'Master Barang'!B35)</f>
        <v>0</v>
      </c>
      <c r="P5141">
        <f>IF(OR(M5141="",N5141=""),"",SUMIFS('Barang Keluar'!$E:$E,'Barang Keluar'!$A:$A,M5141,'Barang Keluar'!$C:$C,N5141))</f>
        <v>0</v>
      </c>
    </row>
    <row r="5142" spans="13:16">
      <c r="M5142" s="49">
        <f>IF($A$4+51&gt;$B$4,"",$A$4+51)</f>
        <v>46074</v>
      </c>
      <c r="N5142">
        <f>IF(M5142="","",'Master Barang'!A36)</f>
        <v>0</v>
      </c>
      <c r="O5142">
        <f>IF(N5142="","",'Master Barang'!B36)</f>
        <v>0</v>
      </c>
      <c r="P5142">
        <f>IF(OR(M5142="",N5142=""),"",SUMIFS('Barang Keluar'!$E:$E,'Barang Keluar'!$A:$A,M5142,'Barang Keluar'!$C:$C,N5142))</f>
        <v>0</v>
      </c>
    </row>
    <row r="5143" spans="13:16">
      <c r="M5143" s="49">
        <f>IF($A$4+51&gt;$B$4,"",$A$4+51)</f>
        <v>46074</v>
      </c>
      <c r="N5143">
        <f>IF(M5143="","",'Master Barang'!A37)</f>
        <v>0</v>
      </c>
      <c r="O5143">
        <f>IF(N5143="","",'Master Barang'!B37)</f>
        <v>0</v>
      </c>
      <c r="P5143">
        <f>IF(OR(M5143="",N5143=""),"",SUMIFS('Barang Keluar'!$E:$E,'Barang Keluar'!$A:$A,M5143,'Barang Keluar'!$C:$C,N5143))</f>
        <v>0</v>
      </c>
    </row>
    <row r="5144" spans="13:16">
      <c r="M5144" s="49">
        <f>IF($A$4+51&gt;$B$4,"",$A$4+51)</f>
        <v>46074</v>
      </c>
      <c r="N5144">
        <f>IF(M5144="","",'Master Barang'!A38)</f>
        <v>0</v>
      </c>
      <c r="O5144">
        <f>IF(N5144="","",'Master Barang'!B38)</f>
        <v>0</v>
      </c>
      <c r="P5144">
        <f>IF(OR(M5144="",N5144=""),"",SUMIFS('Barang Keluar'!$E:$E,'Barang Keluar'!$A:$A,M5144,'Barang Keluar'!$C:$C,N5144))</f>
        <v>0</v>
      </c>
    </row>
    <row r="5145" spans="13:16">
      <c r="M5145" s="49">
        <f>IF($A$4+51&gt;$B$4,"",$A$4+51)</f>
        <v>46074</v>
      </c>
      <c r="N5145">
        <f>IF(M5145="","",'Master Barang'!A39)</f>
        <v>0</v>
      </c>
      <c r="O5145">
        <f>IF(N5145="","",'Master Barang'!B39)</f>
        <v>0</v>
      </c>
      <c r="P5145">
        <f>IF(OR(M5145="",N5145=""),"",SUMIFS('Barang Keluar'!$E:$E,'Barang Keluar'!$A:$A,M5145,'Barang Keluar'!$C:$C,N5145))</f>
        <v>0</v>
      </c>
    </row>
    <row r="5146" spans="13:16">
      <c r="M5146" s="49">
        <f>IF($A$4+51&gt;$B$4,"",$A$4+51)</f>
        <v>46074</v>
      </c>
      <c r="N5146">
        <f>IF(M5146="","",'Master Barang'!A40)</f>
        <v>0</v>
      </c>
      <c r="O5146">
        <f>IF(N5146="","",'Master Barang'!B40)</f>
        <v>0</v>
      </c>
      <c r="P5146">
        <f>IF(OR(M5146="",N5146=""),"",SUMIFS('Barang Keluar'!$E:$E,'Barang Keluar'!$A:$A,M5146,'Barang Keluar'!$C:$C,N5146))</f>
        <v>0</v>
      </c>
    </row>
    <row r="5147" spans="13:16">
      <c r="M5147" s="49">
        <f>IF($A$4+51&gt;$B$4,"",$A$4+51)</f>
        <v>46074</v>
      </c>
      <c r="N5147">
        <f>IF(M5147="","",'Master Barang'!A41)</f>
        <v>0</v>
      </c>
      <c r="O5147">
        <f>IF(N5147="","",'Master Barang'!B41)</f>
        <v>0</v>
      </c>
      <c r="P5147">
        <f>IF(OR(M5147="",N5147=""),"",SUMIFS('Barang Keluar'!$E:$E,'Barang Keluar'!$A:$A,M5147,'Barang Keluar'!$C:$C,N5147))</f>
        <v>0</v>
      </c>
    </row>
    <row r="5148" spans="13:16">
      <c r="M5148" s="49">
        <f>IF($A$4+51&gt;$B$4,"",$A$4+51)</f>
        <v>46074</v>
      </c>
      <c r="N5148">
        <f>IF(M5148="","",'Master Barang'!A42)</f>
        <v>0</v>
      </c>
      <c r="O5148">
        <f>IF(N5148="","",'Master Barang'!B42)</f>
        <v>0</v>
      </c>
      <c r="P5148">
        <f>IF(OR(M5148="",N5148=""),"",SUMIFS('Barang Keluar'!$E:$E,'Barang Keluar'!$A:$A,M5148,'Barang Keluar'!$C:$C,N5148))</f>
        <v>0</v>
      </c>
    </row>
    <row r="5149" spans="13:16">
      <c r="M5149" s="49">
        <f>IF($A$4+51&gt;$B$4,"",$A$4+51)</f>
        <v>46074</v>
      </c>
      <c r="N5149">
        <f>IF(M5149="","",'Master Barang'!A43)</f>
        <v>0</v>
      </c>
      <c r="O5149">
        <f>IF(N5149="","",'Master Barang'!B43)</f>
        <v>0</v>
      </c>
      <c r="P5149">
        <f>IF(OR(M5149="",N5149=""),"",SUMIFS('Barang Keluar'!$E:$E,'Barang Keluar'!$A:$A,M5149,'Barang Keluar'!$C:$C,N5149))</f>
        <v>0</v>
      </c>
    </row>
    <row r="5150" spans="13:16">
      <c r="M5150" s="49">
        <f>IF($A$4+51&gt;$B$4,"",$A$4+51)</f>
        <v>46074</v>
      </c>
      <c r="N5150">
        <f>IF(M5150="","",'Master Barang'!A44)</f>
        <v>0</v>
      </c>
      <c r="O5150">
        <f>IF(N5150="","",'Master Barang'!B44)</f>
        <v>0</v>
      </c>
      <c r="P5150">
        <f>IF(OR(M5150="",N5150=""),"",SUMIFS('Barang Keluar'!$E:$E,'Barang Keluar'!$A:$A,M5150,'Barang Keluar'!$C:$C,N5150))</f>
        <v>0</v>
      </c>
    </row>
    <row r="5151" spans="13:16">
      <c r="M5151" s="49">
        <f>IF($A$4+51&gt;$B$4,"",$A$4+51)</f>
        <v>46074</v>
      </c>
      <c r="N5151">
        <f>IF(M5151="","",'Master Barang'!A45)</f>
        <v>0</v>
      </c>
      <c r="O5151">
        <f>IF(N5151="","",'Master Barang'!B45)</f>
        <v>0</v>
      </c>
      <c r="P5151">
        <f>IF(OR(M5151="",N5151=""),"",SUMIFS('Barang Keluar'!$E:$E,'Barang Keluar'!$A:$A,M5151,'Barang Keluar'!$C:$C,N5151))</f>
        <v>0</v>
      </c>
    </row>
    <row r="5152" spans="13:16">
      <c r="M5152" s="49">
        <f>IF($A$4+51&gt;$B$4,"",$A$4+51)</f>
        <v>46074</v>
      </c>
      <c r="N5152">
        <f>IF(M5152="","",'Master Barang'!A46)</f>
        <v>0</v>
      </c>
      <c r="O5152">
        <f>IF(N5152="","",'Master Barang'!B46)</f>
        <v>0</v>
      </c>
      <c r="P5152">
        <f>IF(OR(M5152="",N5152=""),"",SUMIFS('Barang Keluar'!$E:$E,'Barang Keluar'!$A:$A,M5152,'Barang Keluar'!$C:$C,N5152))</f>
        <v>0</v>
      </c>
    </row>
    <row r="5153" spans="13:16">
      <c r="M5153" s="49">
        <f>IF($A$4+51&gt;$B$4,"",$A$4+51)</f>
        <v>46074</v>
      </c>
      <c r="N5153">
        <f>IF(M5153="","",'Master Barang'!A47)</f>
        <v>0</v>
      </c>
      <c r="O5153">
        <f>IF(N5153="","",'Master Barang'!B47)</f>
        <v>0</v>
      </c>
      <c r="P5153">
        <f>IF(OR(M5153="",N5153=""),"",SUMIFS('Barang Keluar'!$E:$E,'Barang Keluar'!$A:$A,M5153,'Barang Keluar'!$C:$C,N5153))</f>
        <v>0</v>
      </c>
    </row>
    <row r="5154" spans="13:16">
      <c r="M5154" s="49">
        <f>IF($A$4+51&gt;$B$4,"",$A$4+51)</f>
        <v>46074</v>
      </c>
      <c r="N5154">
        <f>IF(M5154="","",'Master Barang'!A48)</f>
        <v>0</v>
      </c>
      <c r="O5154">
        <f>IF(N5154="","",'Master Barang'!B48)</f>
        <v>0</v>
      </c>
      <c r="P5154">
        <f>IF(OR(M5154="",N5154=""),"",SUMIFS('Barang Keluar'!$E:$E,'Barang Keluar'!$A:$A,M5154,'Barang Keluar'!$C:$C,N5154))</f>
        <v>0</v>
      </c>
    </row>
    <row r="5155" spans="13:16">
      <c r="M5155" s="49">
        <f>IF($A$4+51&gt;$B$4,"",$A$4+51)</f>
        <v>46074</v>
      </c>
      <c r="N5155">
        <f>IF(M5155="","",'Master Barang'!A49)</f>
        <v>0</v>
      </c>
      <c r="O5155">
        <f>IF(N5155="","",'Master Barang'!B49)</f>
        <v>0</v>
      </c>
      <c r="P5155">
        <f>IF(OR(M5155="",N5155=""),"",SUMIFS('Barang Keluar'!$E:$E,'Barang Keluar'!$A:$A,M5155,'Barang Keluar'!$C:$C,N5155))</f>
        <v>0</v>
      </c>
    </row>
    <row r="5156" spans="13:16">
      <c r="M5156" s="49">
        <f>IF($A$4+51&gt;$B$4,"",$A$4+51)</f>
        <v>46074</v>
      </c>
      <c r="N5156">
        <f>IF(M5156="","",'Master Barang'!A50)</f>
        <v>0</v>
      </c>
      <c r="O5156">
        <f>IF(N5156="","",'Master Barang'!B50)</f>
        <v>0</v>
      </c>
      <c r="P5156">
        <f>IF(OR(M5156="",N5156=""),"",SUMIFS('Barang Keluar'!$E:$E,'Barang Keluar'!$A:$A,M5156,'Barang Keluar'!$C:$C,N5156))</f>
        <v>0</v>
      </c>
    </row>
    <row r="5157" spans="13:16">
      <c r="M5157" s="49">
        <f>IF($A$4+51&gt;$B$4,"",$A$4+51)</f>
        <v>46074</v>
      </c>
      <c r="N5157">
        <f>IF(M5157="","",'Master Barang'!A51)</f>
        <v>0</v>
      </c>
      <c r="O5157">
        <f>IF(N5157="","",'Master Barang'!B51)</f>
        <v>0</v>
      </c>
      <c r="P5157">
        <f>IF(OR(M5157="",N5157=""),"",SUMIFS('Barang Keluar'!$E:$E,'Barang Keluar'!$A:$A,M5157,'Barang Keluar'!$C:$C,N5157))</f>
        <v>0</v>
      </c>
    </row>
    <row r="5158" spans="13:16">
      <c r="M5158" s="49">
        <f>IF($A$4+51&gt;$B$4,"",$A$4+51)</f>
        <v>46074</v>
      </c>
      <c r="N5158">
        <f>IF(M5158="","",'Master Barang'!A52)</f>
        <v>0</v>
      </c>
      <c r="O5158">
        <f>IF(N5158="","",'Master Barang'!B52)</f>
        <v>0</v>
      </c>
      <c r="P5158">
        <f>IF(OR(M5158="",N5158=""),"",SUMIFS('Barang Keluar'!$E:$E,'Barang Keluar'!$A:$A,M5158,'Barang Keluar'!$C:$C,N5158))</f>
        <v>0</v>
      </c>
    </row>
    <row r="5159" spans="13:16">
      <c r="M5159" s="49">
        <f>IF($A$4+51&gt;$B$4,"",$A$4+51)</f>
        <v>46074</v>
      </c>
      <c r="N5159">
        <f>IF(M5159="","",'Master Barang'!A53)</f>
        <v>0</v>
      </c>
      <c r="O5159">
        <f>IF(N5159="","",'Master Barang'!B53)</f>
        <v>0</v>
      </c>
      <c r="P5159">
        <f>IF(OR(M5159="",N5159=""),"",SUMIFS('Barang Keluar'!$E:$E,'Barang Keluar'!$A:$A,M5159,'Barang Keluar'!$C:$C,N5159))</f>
        <v>0</v>
      </c>
    </row>
    <row r="5160" spans="13:16">
      <c r="M5160" s="49">
        <f>IF($A$4+51&gt;$B$4,"",$A$4+51)</f>
        <v>46074</v>
      </c>
      <c r="N5160">
        <f>IF(M5160="","",'Master Barang'!A54)</f>
        <v>0</v>
      </c>
      <c r="O5160">
        <f>IF(N5160="","",'Master Barang'!B54)</f>
        <v>0</v>
      </c>
      <c r="P5160">
        <f>IF(OR(M5160="",N5160=""),"",SUMIFS('Barang Keluar'!$E:$E,'Barang Keluar'!$A:$A,M5160,'Barang Keluar'!$C:$C,N5160))</f>
        <v>0</v>
      </c>
    </row>
    <row r="5161" spans="13:16">
      <c r="M5161" s="49">
        <f>IF($A$4+51&gt;$B$4,"",$A$4+51)</f>
        <v>46074</v>
      </c>
      <c r="N5161">
        <f>IF(M5161="","",'Master Barang'!A55)</f>
        <v>0</v>
      </c>
      <c r="O5161">
        <f>IF(N5161="","",'Master Barang'!B55)</f>
        <v>0</v>
      </c>
      <c r="P5161">
        <f>IF(OR(M5161="",N5161=""),"",SUMIFS('Barang Keluar'!$E:$E,'Barang Keluar'!$A:$A,M5161,'Barang Keluar'!$C:$C,N5161))</f>
        <v>0</v>
      </c>
    </row>
    <row r="5162" spans="13:16">
      <c r="M5162" s="49">
        <f>IF($A$4+51&gt;$B$4,"",$A$4+51)</f>
        <v>46074</v>
      </c>
      <c r="N5162">
        <f>IF(M5162="","",'Master Barang'!A56)</f>
        <v>0</v>
      </c>
      <c r="O5162">
        <f>IF(N5162="","",'Master Barang'!B56)</f>
        <v>0</v>
      </c>
      <c r="P5162">
        <f>IF(OR(M5162="",N5162=""),"",SUMIFS('Barang Keluar'!$E:$E,'Barang Keluar'!$A:$A,M5162,'Barang Keluar'!$C:$C,N5162))</f>
        <v>0</v>
      </c>
    </row>
    <row r="5163" spans="13:16">
      <c r="M5163" s="49">
        <f>IF($A$4+51&gt;$B$4,"",$A$4+51)</f>
        <v>46074</v>
      </c>
      <c r="N5163">
        <f>IF(M5163="","",'Master Barang'!A57)</f>
        <v>0</v>
      </c>
      <c r="O5163">
        <f>IF(N5163="","",'Master Barang'!B57)</f>
        <v>0</v>
      </c>
      <c r="P5163">
        <f>IF(OR(M5163="",N5163=""),"",SUMIFS('Barang Keluar'!$E:$E,'Barang Keluar'!$A:$A,M5163,'Barang Keluar'!$C:$C,N5163))</f>
        <v>0</v>
      </c>
    </row>
    <row r="5164" spans="13:16">
      <c r="M5164" s="49">
        <f>IF($A$4+51&gt;$B$4,"",$A$4+51)</f>
        <v>46074</v>
      </c>
      <c r="N5164">
        <f>IF(M5164="","",'Master Barang'!A58)</f>
        <v>0</v>
      </c>
      <c r="O5164">
        <f>IF(N5164="","",'Master Barang'!B58)</f>
        <v>0</v>
      </c>
      <c r="P5164">
        <f>IF(OR(M5164="",N5164=""),"",SUMIFS('Barang Keluar'!$E:$E,'Barang Keluar'!$A:$A,M5164,'Barang Keluar'!$C:$C,N5164))</f>
        <v>0</v>
      </c>
    </row>
    <row r="5165" spans="13:16">
      <c r="M5165" s="49">
        <f>IF($A$4+51&gt;$B$4,"",$A$4+51)</f>
        <v>46074</v>
      </c>
      <c r="N5165">
        <f>IF(M5165="","",'Master Barang'!A59)</f>
        <v>0</v>
      </c>
      <c r="O5165">
        <f>IF(N5165="","",'Master Barang'!B59)</f>
        <v>0</v>
      </c>
      <c r="P5165">
        <f>IF(OR(M5165="",N5165=""),"",SUMIFS('Barang Keluar'!$E:$E,'Barang Keluar'!$A:$A,M5165,'Barang Keluar'!$C:$C,N5165))</f>
        <v>0</v>
      </c>
    </row>
    <row r="5166" spans="13:16">
      <c r="M5166" s="49">
        <f>IF($A$4+51&gt;$B$4,"",$A$4+51)</f>
        <v>46074</v>
      </c>
      <c r="N5166">
        <f>IF(M5166="","",'Master Barang'!A60)</f>
        <v>0</v>
      </c>
      <c r="O5166">
        <f>IF(N5166="","",'Master Barang'!B60)</f>
        <v>0</v>
      </c>
      <c r="P5166">
        <f>IF(OR(M5166="",N5166=""),"",SUMIFS('Barang Keluar'!$E:$E,'Barang Keluar'!$A:$A,M5166,'Barang Keluar'!$C:$C,N5166))</f>
        <v>0</v>
      </c>
    </row>
    <row r="5167" spans="13:16">
      <c r="M5167" s="49">
        <f>IF($A$4+51&gt;$B$4,"",$A$4+51)</f>
        <v>46074</v>
      </c>
      <c r="N5167">
        <f>IF(M5167="","",'Master Barang'!A61)</f>
        <v>0</v>
      </c>
      <c r="O5167">
        <f>IF(N5167="","",'Master Barang'!B61)</f>
        <v>0</v>
      </c>
      <c r="P5167">
        <f>IF(OR(M5167="",N5167=""),"",SUMIFS('Barang Keluar'!$E:$E,'Barang Keluar'!$A:$A,M5167,'Barang Keluar'!$C:$C,N5167))</f>
        <v>0</v>
      </c>
    </row>
    <row r="5168" spans="13:16">
      <c r="M5168" s="49">
        <f>IF($A$4+51&gt;$B$4,"",$A$4+51)</f>
        <v>46074</v>
      </c>
      <c r="N5168">
        <f>IF(M5168="","",'Master Barang'!A62)</f>
        <v>0</v>
      </c>
      <c r="O5168">
        <f>IF(N5168="","",'Master Barang'!B62)</f>
        <v>0</v>
      </c>
      <c r="P5168">
        <f>IF(OR(M5168="",N5168=""),"",SUMIFS('Barang Keluar'!$E:$E,'Barang Keluar'!$A:$A,M5168,'Barang Keluar'!$C:$C,N5168))</f>
        <v>0</v>
      </c>
    </row>
    <row r="5169" spans="13:16">
      <c r="M5169" s="49">
        <f>IF($A$4+51&gt;$B$4,"",$A$4+51)</f>
        <v>46074</v>
      </c>
      <c r="N5169">
        <f>IF(M5169="","",'Master Barang'!A63)</f>
        <v>0</v>
      </c>
      <c r="O5169">
        <f>IF(N5169="","",'Master Barang'!B63)</f>
        <v>0</v>
      </c>
      <c r="P5169">
        <f>IF(OR(M5169="",N5169=""),"",SUMIFS('Barang Keluar'!$E:$E,'Barang Keluar'!$A:$A,M5169,'Barang Keluar'!$C:$C,N5169))</f>
        <v>0</v>
      </c>
    </row>
    <row r="5170" spans="13:16">
      <c r="M5170" s="49">
        <f>IF($A$4+51&gt;$B$4,"",$A$4+51)</f>
        <v>46074</v>
      </c>
      <c r="N5170">
        <f>IF(M5170="","",'Master Barang'!A64)</f>
        <v>0</v>
      </c>
      <c r="O5170">
        <f>IF(N5170="","",'Master Barang'!B64)</f>
        <v>0</v>
      </c>
      <c r="P5170">
        <f>IF(OR(M5170="",N5170=""),"",SUMIFS('Barang Keluar'!$E:$E,'Barang Keluar'!$A:$A,M5170,'Barang Keluar'!$C:$C,N5170))</f>
        <v>0</v>
      </c>
    </row>
    <row r="5171" spans="13:16">
      <c r="M5171" s="49">
        <f>IF($A$4+51&gt;$B$4,"",$A$4+51)</f>
        <v>46074</v>
      </c>
      <c r="N5171">
        <f>IF(M5171="","",'Master Barang'!A65)</f>
        <v>0</v>
      </c>
      <c r="O5171">
        <f>IF(N5171="","",'Master Barang'!B65)</f>
        <v>0</v>
      </c>
      <c r="P5171">
        <f>IF(OR(M5171="",N5171=""),"",SUMIFS('Barang Keluar'!$E:$E,'Barang Keluar'!$A:$A,M5171,'Barang Keluar'!$C:$C,N5171))</f>
        <v>0</v>
      </c>
    </row>
    <row r="5172" spans="13:16">
      <c r="M5172" s="49">
        <f>IF($A$4+51&gt;$B$4,"",$A$4+51)</f>
        <v>46074</v>
      </c>
      <c r="N5172">
        <f>IF(M5172="","",'Master Barang'!A66)</f>
        <v>0</v>
      </c>
      <c r="O5172">
        <f>IF(N5172="","",'Master Barang'!B66)</f>
        <v>0</v>
      </c>
      <c r="P5172">
        <f>IF(OR(M5172="",N5172=""),"",SUMIFS('Barang Keluar'!$E:$E,'Barang Keluar'!$A:$A,M5172,'Barang Keluar'!$C:$C,N5172))</f>
        <v>0</v>
      </c>
    </row>
    <row r="5173" spans="13:16">
      <c r="M5173" s="49">
        <f>IF($A$4+51&gt;$B$4,"",$A$4+51)</f>
        <v>46074</v>
      </c>
      <c r="N5173">
        <f>IF(M5173="","",'Master Barang'!A67)</f>
        <v>0</v>
      </c>
      <c r="O5173">
        <f>IF(N5173="","",'Master Barang'!B67)</f>
        <v>0</v>
      </c>
      <c r="P5173">
        <f>IF(OR(M5173="",N5173=""),"",SUMIFS('Barang Keluar'!$E:$E,'Barang Keluar'!$A:$A,M5173,'Barang Keluar'!$C:$C,N5173))</f>
        <v>0</v>
      </c>
    </row>
    <row r="5174" spans="13:16">
      <c r="M5174" s="49">
        <f>IF($A$4+51&gt;$B$4,"",$A$4+51)</f>
        <v>46074</v>
      </c>
      <c r="N5174">
        <f>IF(M5174="","",'Master Barang'!A68)</f>
        <v>0</v>
      </c>
      <c r="O5174">
        <f>IF(N5174="","",'Master Barang'!B68)</f>
        <v>0</v>
      </c>
      <c r="P5174">
        <f>IF(OR(M5174="",N5174=""),"",SUMIFS('Barang Keluar'!$E:$E,'Barang Keluar'!$A:$A,M5174,'Barang Keluar'!$C:$C,N5174))</f>
        <v>0</v>
      </c>
    </row>
    <row r="5175" spans="13:16">
      <c r="M5175" s="49">
        <f>IF($A$4+51&gt;$B$4,"",$A$4+51)</f>
        <v>46074</v>
      </c>
      <c r="N5175">
        <f>IF(M5175="","",'Master Barang'!A69)</f>
        <v>0</v>
      </c>
      <c r="O5175">
        <f>IF(N5175="","",'Master Barang'!B69)</f>
        <v>0</v>
      </c>
      <c r="P5175">
        <f>IF(OR(M5175="",N5175=""),"",SUMIFS('Barang Keluar'!$E:$E,'Barang Keluar'!$A:$A,M5175,'Barang Keluar'!$C:$C,N5175))</f>
        <v>0</v>
      </c>
    </row>
    <row r="5176" spans="13:16">
      <c r="M5176" s="49">
        <f>IF($A$4+51&gt;$B$4,"",$A$4+51)</f>
        <v>46074</v>
      </c>
      <c r="N5176">
        <f>IF(M5176="","",'Master Barang'!A70)</f>
        <v>0</v>
      </c>
      <c r="O5176">
        <f>IF(N5176="","",'Master Barang'!B70)</f>
        <v>0</v>
      </c>
      <c r="P5176">
        <f>IF(OR(M5176="",N5176=""),"",SUMIFS('Barang Keluar'!$E:$E,'Barang Keluar'!$A:$A,M5176,'Barang Keluar'!$C:$C,N5176))</f>
        <v>0</v>
      </c>
    </row>
    <row r="5177" spans="13:16">
      <c r="M5177" s="49">
        <f>IF($A$4+51&gt;$B$4,"",$A$4+51)</f>
        <v>46074</v>
      </c>
      <c r="N5177">
        <f>IF(M5177="","",'Master Barang'!A71)</f>
        <v>0</v>
      </c>
      <c r="O5177">
        <f>IF(N5177="","",'Master Barang'!B71)</f>
        <v>0</v>
      </c>
      <c r="P5177">
        <f>IF(OR(M5177="",N5177=""),"",SUMIFS('Barang Keluar'!$E:$E,'Barang Keluar'!$A:$A,M5177,'Barang Keluar'!$C:$C,N5177))</f>
        <v>0</v>
      </c>
    </row>
    <row r="5178" spans="13:16">
      <c r="M5178" s="49">
        <f>IF($A$4+51&gt;$B$4,"",$A$4+51)</f>
        <v>46074</v>
      </c>
      <c r="N5178">
        <f>IF(M5178="","",'Master Barang'!A72)</f>
        <v>0</v>
      </c>
      <c r="O5178">
        <f>IF(N5178="","",'Master Barang'!B72)</f>
        <v>0</v>
      </c>
      <c r="P5178">
        <f>IF(OR(M5178="",N5178=""),"",SUMIFS('Barang Keluar'!$E:$E,'Barang Keluar'!$A:$A,M5178,'Barang Keluar'!$C:$C,N5178))</f>
        <v>0</v>
      </c>
    </row>
    <row r="5179" spans="13:16">
      <c r="M5179" s="49">
        <f>IF($A$4+51&gt;$B$4,"",$A$4+51)</f>
        <v>46074</v>
      </c>
      <c r="N5179">
        <f>IF(M5179="","",'Master Barang'!A73)</f>
        <v>0</v>
      </c>
      <c r="O5179">
        <f>IF(N5179="","",'Master Barang'!B73)</f>
        <v>0</v>
      </c>
      <c r="P5179">
        <f>IF(OR(M5179="",N5179=""),"",SUMIFS('Barang Keluar'!$E:$E,'Barang Keluar'!$A:$A,M5179,'Barang Keluar'!$C:$C,N5179))</f>
        <v>0</v>
      </c>
    </row>
    <row r="5180" spans="13:16">
      <c r="M5180" s="49">
        <f>IF($A$4+51&gt;$B$4,"",$A$4+51)</f>
        <v>46074</v>
      </c>
      <c r="N5180">
        <f>IF(M5180="","",'Master Barang'!A74)</f>
        <v>0</v>
      </c>
      <c r="O5180">
        <f>IF(N5180="","",'Master Barang'!B74)</f>
        <v>0</v>
      </c>
      <c r="P5180">
        <f>IF(OR(M5180="",N5180=""),"",SUMIFS('Barang Keluar'!$E:$E,'Barang Keluar'!$A:$A,M5180,'Barang Keluar'!$C:$C,N5180))</f>
        <v>0</v>
      </c>
    </row>
    <row r="5181" spans="13:16">
      <c r="M5181" s="49">
        <f>IF($A$4+51&gt;$B$4,"",$A$4+51)</f>
        <v>46074</v>
      </c>
      <c r="N5181">
        <f>IF(M5181="","",'Master Barang'!A75)</f>
        <v>0</v>
      </c>
      <c r="O5181">
        <f>IF(N5181="","",'Master Barang'!B75)</f>
        <v>0</v>
      </c>
      <c r="P5181">
        <f>IF(OR(M5181="",N5181=""),"",SUMIFS('Barang Keluar'!$E:$E,'Barang Keluar'!$A:$A,M5181,'Barang Keluar'!$C:$C,N5181))</f>
        <v>0</v>
      </c>
    </row>
    <row r="5182" spans="13:16">
      <c r="M5182" s="49">
        <f>IF($A$4+51&gt;$B$4,"",$A$4+51)</f>
        <v>46074</v>
      </c>
      <c r="N5182">
        <f>IF(M5182="","",'Master Barang'!A76)</f>
        <v>0</v>
      </c>
      <c r="O5182">
        <f>IF(N5182="","",'Master Barang'!B76)</f>
        <v>0</v>
      </c>
      <c r="P5182">
        <f>IF(OR(M5182="",N5182=""),"",SUMIFS('Barang Keluar'!$E:$E,'Barang Keluar'!$A:$A,M5182,'Barang Keluar'!$C:$C,N5182))</f>
        <v>0</v>
      </c>
    </row>
    <row r="5183" spans="13:16">
      <c r="M5183" s="49">
        <f>IF($A$4+51&gt;$B$4,"",$A$4+51)</f>
        <v>46074</v>
      </c>
      <c r="N5183">
        <f>IF(M5183="","",'Master Barang'!A77)</f>
        <v>0</v>
      </c>
      <c r="O5183">
        <f>IF(N5183="","",'Master Barang'!B77)</f>
        <v>0</v>
      </c>
      <c r="P5183">
        <f>IF(OR(M5183="",N5183=""),"",SUMIFS('Barang Keluar'!$E:$E,'Barang Keluar'!$A:$A,M5183,'Barang Keluar'!$C:$C,N5183))</f>
        <v>0</v>
      </c>
    </row>
    <row r="5184" spans="13:16">
      <c r="M5184" s="49">
        <f>IF($A$4+51&gt;$B$4,"",$A$4+51)</f>
        <v>46074</v>
      </c>
      <c r="N5184">
        <f>IF(M5184="","",'Master Barang'!A78)</f>
        <v>0</v>
      </c>
      <c r="O5184">
        <f>IF(N5184="","",'Master Barang'!B78)</f>
        <v>0</v>
      </c>
      <c r="P5184">
        <f>IF(OR(M5184="",N5184=""),"",SUMIFS('Barang Keluar'!$E:$E,'Barang Keluar'!$A:$A,M5184,'Barang Keluar'!$C:$C,N5184))</f>
        <v>0</v>
      </c>
    </row>
    <row r="5185" spans="13:16">
      <c r="M5185" s="49">
        <f>IF($A$4+51&gt;$B$4,"",$A$4+51)</f>
        <v>46074</v>
      </c>
      <c r="N5185">
        <f>IF(M5185="","",'Master Barang'!A79)</f>
        <v>0</v>
      </c>
      <c r="O5185">
        <f>IF(N5185="","",'Master Barang'!B79)</f>
        <v>0</v>
      </c>
      <c r="P5185">
        <f>IF(OR(M5185="",N5185=""),"",SUMIFS('Barang Keluar'!$E:$E,'Barang Keluar'!$A:$A,M5185,'Barang Keluar'!$C:$C,N5185))</f>
        <v>0</v>
      </c>
    </row>
    <row r="5186" spans="13:16">
      <c r="M5186" s="49">
        <f>IF($A$4+51&gt;$B$4,"",$A$4+51)</f>
        <v>46074</v>
      </c>
      <c r="N5186">
        <f>IF(M5186="","",'Master Barang'!A80)</f>
        <v>0</v>
      </c>
      <c r="O5186">
        <f>IF(N5186="","",'Master Barang'!B80)</f>
        <v>0</v>
      </c>
      <c r="P5186">
        <f>IF(OR(M5186="",N5186=""),"",SUMIFS('Barang Keluar'!$E:$E,'Barang Keluar'!$A:$A,M5186,'Barang Keluar'!$C:$C,N5186))</f>
        <v>0</v>
      </c>
    </row>
    <row r="5187" spans="13:16">
      <c r="M5187" s="49">
        <f>IF($A$4+51&gt;$B$4,"",$A$4+51)</f>
        <v>46074</v>
      </c>
      <c r="N5187">
        <f>IF(M5187="","",'Master Barang'!A81)</f>
        <v>0</v>
      </c>
      <c r="O5187">
        <f>IF(N5187="","",'Master Barang'!B81)</f>
        <v>0</v>
      </c>
      <c r="P5187">
        <f>IF(OR(M5187="",N5187=""),"",SUMIFS('Barang Keluar'!$E:$E,'Barang Keluar'!$A:$A,M5187,'Barang Keluar'!$C:$C,N5187))</f>
        <v>0</v>
      </c>
    </row>
    <row r="5188" spans="13:16">
      <c r="M5188" s="49">
        <f>IF($A$4+51&gt;$B$4,"",$A$4+51)</f>
        <v>46074</v>
      </c>
      <c r="N5188">
        <f>IF(M5188="","",'Master Barang'!A82)</f>
        <v>0</v>
      </c>
      <c r="O5188">
        <f>IF(N5188="","",'Master Barang'!B82)</f>
        <v>0</v>
      </c>
      <c r="P5188">
        <f>IF(OR(M5188="",N5188=""),"",SUMIFS('Barang Keluar'!$E:$E,'Barang Keluar'!$A:$A,M5188,'Barang Keluar'!$C:$C,N5188))</f>
        <v>0</v>
      </c>
    </row>
    <row r="5189" spans="13:16">
      <c r="M5189" s="49">
        <f>IF($A$4+51&gt;$B$4,"",$A$4+51)</f>
        <v>46074</v>
      </c>
      <c r="N5189">
        <f>IF(M5189="","",'Master Barang'!A83)</f>
        <v>0</v>
      </c>
      <c r="O5189">
        <f>IF(N5189="","",'Master Barang'!B83)</f>
        <v>0</v>
      </c>
      <c r="P5189">
        <f>IF(OR(M5189="",N5189=""),"",SUMIFS('Barang Keluar'!$E:$E,'Barang Keluar'!$A:$A,M5189,'Barang Keluar'!$C:$C,N5189))</f>
        <v>0</v>
      </c>
    </row>
    <row r="5190" spans="13:16">
      <c r="M5190" s="49">
        <f>IF($A$4+51&gt;$B$4,"",$A$4+51)</f>
        <v>46074</v>
      </c>
      <c r="N5190">
        <f>IF(M5190="","",'Master Barang'!A84)</f>
        <v>0</v>
      </c>
      <c r="O5190">
        <f>IF(N5190="","",'Master Barang'!B84)</f>
        <v>0</v>
      </c>
      <c r="P5190">
        <f>IF(OR(M5190="",N5190=""),"",SUMIFS('Barang Keluar'!$E:$E,'Barang Keluar'!$A:$A,M5190,'Barang Keluar'!$C:$C,N5190))</f>
        <v>0</v>
      </c>
    </row>
    <row r="5191" spans="13:16">
      <c r="M5191" s="49">
        <f>IF($A$4+51&gt;$B$4,"",$A$4+51)</f>
        <v>46074</v>
      </c>
      <c r="N5191">
        <f>IF(M5191="","",'Master Barang'!A85)</f>
        <v>0</v>
      </c>
      <c r="O5191">
        <f>IF(N5191="","",'Master Barang'!B85)</f>
        <v>0</v>
      </c>
      <c r="P5191">
        <f>IF(OR(M5191="",N5191=""),"",SUMIFS('Barang Keluar'!$E:$E,'Barang Keluar'!$A:$A,M5191,'Barang Keluar'!$C:$C,N5191))</f>
        <v>0</v>
      </c>
    </row>
    <row r="5192" spans="13:16">
      <c r="M5192" s="49">
        <f>IF($A$4+51&gt;$B$4,"",$A$4+51)</f>
        <v>46074</v>
      </c>
      <c r="N5192">
        <f>IF(M5192="","",'Master Barang'!A86)</f>
        <v>0</v>
      </c>
      <c r="O5192">
        <f>IF(N5192="","",'Master Barang'!B86)</f>
        <v>0</v>
      </c>
      <c r="P5192">
        <f>IF(OR(M5192="",N5192=""),"",SUMIFS('Barang Keluar'!$E:$E,'Barang Keluar'!$A:$A,M5192,'Barang Keluar'!$C:$C,N5192))</f>
        <v>0</v>
      </c>
    </row>
    <row r="5193" spans="13:16">
      <c r="M5193" s="49">
        <f>IF($A$4+51&gt;$B$4,"",$A$4+51)</f>
        <v>46074</v>
      </c>
      <c r="N5193">
        <f>IF(M5193="","",'Master Barang'!A87)</f>
        <v>0</v>
      </c>
      <c r="O5193">
        <f>IF(N5193="","",'Master Barang'!B87)</f>
        <v>0</v>
      </c>
      <c r="P5193">
        <f>IF(OR(M5193="",N5193=""),"",SUMIFS('Barang Keluar'!$E:$E,'Barang Keluar'!$A:$A,M5193,'Barang Keluar'!$C:$C,N5193))</f>
        <v>0</v>
      </c>
    </row>
    <row r="5194" spans="13:16">
      <c r="M5194" s="49">
        <f>IF($A$4+51&gt;$B$4,"",$A$4+51)</f>
        <v>46074</v>
      </c>
      <c r="N5194">
        <f>IF(M5194="","",'Master Barang'!A88)</f>
        <v>0</v>
      </c>
      <c r="O5194">
        <f>IF(N5194="","",'Master Barang'!B88)</f>
        <v>0</v>
      </c>
      <c r="P5194">
        <f>IF(OR(M5194="",N5194=""),"",SUMIFS('Barang Keluar'!$E:$E,'Barang Keluar'!$A:$A,M5194,'Barang Keluar'!$C:$C,N5194))</f>
        <v>0</v>
      </c>
    </row>
    <row r="5195" spans="13:16">
      <c r="M5195" s="49">
        <f>IF($A$4+51&gt;$B$4,"",$A$4+51)</f>
        <v>46074</v>
      </c>
      <c r="N5195">
        <f>IF(M5195="","",'Master Barang'!A89)</f>
        <v>0</v>
      </c>
      <c r="O5195">
        <f>IF(N5195="","",'Master Barang'!B89)</f>
        <v>0</v>
      </c>
      <c r="P5195">
        <f>IF(OR(M5195="",N5195=""),"",SUMIFS('Barang Keluar'!$E:$E,'Barang Keluar'!$A:$A,M5195,'Barang Keluar'!$C:$C,N5195))</f>
        <v>0</v>
      </c>
    </row>
    <row r="5196" spans="13:16">
      <c r="M5196" s="49">
        <f>IF($A$4+51&gt;$B$4,"",$A$4+51)</f>
        <v>46074</v>
      </c>
      <c r="N5196">
        <f>IF(M5196="","",'Master Barang'!A90)</f>
        <v>0</v>
      </c>
      <c r="O5196">
        <f>IF(N5196="","",'Master Barang'!B90)</f>
        <v>0</v>
      </c>
      <c r="P5196">
        <f>IF(OR(M5196="",N5196=""),"",SUMIFS('Barang Keluar'!$E:$E,'Barang Keluar'!$A:$A,M5196,'Barang Keluar'!$C:$C,N5196))</f>
        <v>0</v>
      </c>
    </row>
    <row r="5197" spans="13:16">
      <c r="M5197" s="49">
        <f>IF($A$4+51&gt;$B$4,"",$A$4+51)</f>
        <v>46074</v>
      </c>
      <c r="N5197">
        <f>IF(M5197="","",'Master Barang'!A91)</f>
        <v>0</v>
      </c>
      <c r="O5197">
        <f>IF(N5197="","",'Master Barang'!B91)</f>
        <v>0</v>
      </c>
      <c r="P5197">
        <f>IF(OR(M5197="",N5197=""),"",SUMIFS('Barang Keluar'!$E:$E,'Barang Keluar'!$A:$A,M5197,'Barang Keluar'!$C:$C,N5197))</f>
        <v>0</v>
      </c>
    </row>
    <row r="5198" spans="13:16">
      <c r="M5198" s="49">
        <f>IF($A$4+51&gt;$B$4,"",$A$4+51)</f>
        <v>46074</v>
      </c>
      <c r="N5198">
        <f>IF(M5198="","",'Master Barang'!A92)</f>
        <v>0</v>
      </c>
      <c r="O5198">
        <f>IF(N5198="","",'Master Barang'!B92)</f>
        <v>0</v>
      </c>
      <c r="P5198">
        <f>IF(OR(M5198="",N5198=""),"",SUMIFS('Barang Keluar'!$E:$E,'Barang Keluar'!$A:$A,M5198,'Barang Keluar'!$C:$C,N5198))</f>
        <v>0</v>
      </c>
    </row>
    <row r="5199" spans="13:16">
      <c r="M5199" s="49">
        <f>IF($A$4+51&gt;$B$4,"",$A$4+51)</f>
        <v>46074</v>
      </c>
      <c r="N5199">
        <f>IF(M5199="","",'Master Barang'!A93)</f>
        <v>0</v>
      </c>
      <c r="O5199">
        <f>IF(N5199="","",'Master Barang'!B93)</f>
        <v>0</v>
      </c>
      <c r="P5199">
        <f>IF(OR(M5199="",N5199=""),"",SUMIFS('Barang Keluar'!$E:$E,'Barang Keluar'!$A:$A,M5199,'Barang Keluar'!$C:$C,N5199))</f>
        <v>0</v>
      </c>
    </row>
    <row r="5200" spans="13:16">
      <c r="M5200" s="49">
        <f>IF($A$4+51&gt;$B$4,"",$A$4+51)</f>
        <v>46074</v>
      </c>
      <c r="N5200">
        <f>IF(M5200="","",'Master Barang'!A94)</f>
        <v>0</v>
      </c>
      <c r="O5200">
        <f>IF(N5200="","",'Master Barang'!B94)</f>
        <v>0</v>
      </c>
      <c r="P5200">
        <f>IF(OR(M5200="",N5200=""),"",SUMIFS('Barang Keluar'!$E:$E,'Barang Keluar'!$A:$A,M5200,'Barang Keluar'!$C:$C,N5200))</f>
        <v>0</v>
      </c>
    </row>
    <row r="5201" spans="13:16">
      <c r="M5201" s="49">
        <f>IF($A$4+51&gt;$B$4,"",$A$4+51)</f>
        <v>46074</v>
      </c>
      <c r="N5201">
        <f>IF(M5201="","",'Master Barang'!A95)</f>
        <v>0</v>
      </c>
      <c r="O5201">
        <f>IF(N5201="","",'Master Barang'!B95)</f>
        <v>0</v>
      </c>
      <c r="P5201">
        <f>IF(OR(M5201="",N5201=""),"",SUMIFS('Barang Keluar'!$E:$E,'Barang Keluar'!$A:$A,M5201,'Barang Keluar'!$C:$C,N5201))</f>
        <v>0</v>
      </c>
    </row>
    <row r="5202" spans="13:16">
      <c r="M5202" s="49">
        <f>IF($A$4+51&gt;$B$4,"",$A$4+51)</f>
        <v>46074</v>
      </c>
      <c r="N5202">
        <f>IF(M5202="","",'Master Barang'!A96)</f>
        <v>0</v>
      </c>
      <c r="O5202">
        <f>IF(N5202="","",'Master Barang'!B96)</f>
        <v>0</v>
      </c>
      <c r="P5202">
        <f>IF(OR(M5202="",N5202=""),"",SUMIFS('Barang Keluar'!$E:$E,'Barang Keluar'!$A:$A,M5202,'Barang Keluar'!$C:$C,N5202))</f>
        <v>0</v>
      </c>
    </row>
    <row r="5203" spans="13:16">
      <c r="M5203" s="49">
        <f>IF($A$4+51&gt;$B$4,"",$A$4+51)</f>
        <v>46074</v>
      </c>
      <c r="N5203">
        <f>IF(M5203="","",'Master Barang'!A97)</f>
        <v>0</v>
      </c>
      <c r="O5203">
        <f>IF(N5203="","",'Master Barang'!B97)</f>
        <v>0</v>
      </c>
      <c r="P5203">
        <f>IF(OR(M5203="",N5203=""),"",SUMIFS('Barang Keluar'!$E:$E,'Barang Keluar'!$A:$A,M5203,'Barang Keluar'!$C:$C,N5203))</f>
        <v>0</v>
      </c>
    </row>
    <row r="5204" spans="13:16">
      <c r="M5204" s="49">
        <f>IF($A$4+51&gt;$B$4,"",$A$4+51)</f>
        <v>46074</v>
      </c>
      <c r="N5204">
        <f>IF(M5204="","",'Master Barang'!A98)</f>
        <v>0</v>
      </c>
      <c r="O5204">
        <f>IF(N5204="","",'Master Barang'!B98)</f>
        <v>0</v>
      </c>
      <c r="P5204">
        <f>IF(OR(M5204="",N5204=""),"",SUMIFS('Barang Keluar'!$E:$E,'Barang Keluar'!$A:$A,M5204,'Barang Keluar'!$C:$C,N5204))</f>
        <v>0</v>
      </c>
    </row>
    <row r="5205" spans="13:16">
      <c r="M5205" s="49">
        <f>IF($A$4+51&gt;$B$4,"",$A$4+51)</f>
        <v>46074</v>
      </c>
      <c r="N5205">
        <f>IF(M5205="","",'Master Barang'!A99)</f>
        <v>0</v>
      </c>
      <c r="O5205">
        <f>IF(N5205="","",'Master Barang'!B99)</f>
        <v>0</v>
      </c>
      <c r="P5205">
        <f>IF(OR(M5205="",N5205=""),"",SUMIFS('Barang Keluar'!$E:$E,'Barang Keluar'!$A:$A,M5205,'Barang Keluar'!$C:$C,N5205))</f>
        <v>0</v>
      </c>
    </row>
    <row r="5206" spans="13:16">
      <c r="M5206" s="49">
        <f>IF($A$4+51&gt;$B$4,"",$A$4+51)</f>
        <v>46074</v>
      </c>
      <c r="N5206">
        <f>IF(M5206="","",'Master Barang'!A100)</f>
        <v>0</v>
      </c>
      <c r="O5206">
        <f>IF(N5206="","",'Master Barang'!B100)</f>
        <v>0</v>
      </c>
      <c r="P5206">
        <f>IF(OR(M5206="",N5206=""),"",SUMIFS('Barang Keluar'!$E:$E,'Barang Keluar'!$A:$A,M5206,'Barang Keluar'!$C:$C,N5206))</f>
        <v>0</v>
      </c>
    </row>
    <row r="5207" spans="13:16">
      <c r="M5207" s="49">
        <f>IF($A$4+51&gt;$B$4,"",$A$4+51)</f>
        <v>46074</v>
      </c>
      <c r="N5207">
        <f>IF(M5207="","",'Master Barang'!A101)</f>
        <v>0</v>
      </c>
      <c r="O5207">
        <f>IF(N5207="","",'Master Barang'!B101)</f>
        <v>0</v>
      </c>
      <c r="P5207">
        <f>IF(OR(M5207="",N5207=""),"",SUMIFS('Barang Keluar'!$E:$E,'Barang Keluar'!$A:$A,M5207,'Barang Keluar'!$C:$C,N5207))</f>
        <v>0</v>
      </c>
    </row>
    <row r="5208" spans="13:16">
      <c r="M5208" s="49">
        <f>IF($A$4+52&gt;$B$4,"",$A$4+52)</f>
        <v>46075</v>
      </c>
      <c r="N5208" t="str">
        <f>IF(M5208="","",'Master Barang'!A2)</f>
        <v>PRL-001</v>
      </c>
      <c r="O5208" t="str">
        <f>IF(N5208="","",'Master Barang'!B2)</f>
        <v>natura desinfectant food grade 5l</v>
      </c>
      <c r="P5208">
        <f>IF(OR(M5208="",N5208=""),"",SUMIFS('Barang Keluar'!$E:$E,'Barang Keluar'!$A:$A,M5208,'Barang Keluar'!$C:$C,N5208))</f>
        <v>0</v>
      </c>
    </row>
    <row r="5209" spans="13:16">
      <c r="M5209" s="49">
        <f>IF($A$4+52&gt;$B$4,"",$A$4+52)</f>
        <v>46075</v>
      </c>
      <c r="N5209" t="str">
        <f>IF(M5209="","",'Master Barang'!A3)</f>
        <v>PRL-002</v>
      </c>
      <c r="O5209" t="str">
        <f>IF(N5209="","",'Master Barang'!B3)</f>
        <v>sunlight cairan pencuci piring 5l</v>
      </c>
      <c r="P5209">
        <f>IF(OR(M5209="",N5209=""),"",SUMIFS('Barang Keluar'!$E:$E,'Barang Keluar'!$A:$A,M5209,'Barang Keluar'!$C:$C,N5209))</f>
        <v>0</v>
      </c>
    </row>
    <row r="5210" spans="13:16">
      <c r="M5210" s="49">
        <f>IF($A$4+52&gt;$B$4,"",$A$4+52)</f>
        <v>46075</v>
      </c>
      <c r="N5210" t="str">
        <f>IF(M5210="","",'Master Barang'!A4)</f>
        <v>PRL-003</v>
      </c>
      <c r="O5210" t="str">
        <f>IF(N5210="","",'Master Barang'!B4)</f>
        <v>oixs cleaner 1l</v>
      </c>
      <c r="P5210">
        <f>IF(OR(M5210="",N5210=""),"",SUMIFS('Barang Keluar'!$E:$E,'Barang Keluar'!$A:$A,M5210,'Barang Keluar'!$C:$C,N5210))</f>
        <v>0</v>
      </c>
    </row>
    <row r="5211" spans="13:16">
      <c r="M5211" s="49">
        <f>IF($A$4+52&gt;$B$4,"",$A$4+52)</f>
        <v>46075</v>
      </c>
      <c r="N5211" t="str">
        <f>IF(M5211="","",'Master Barang'!A5)</f>
        <v>PRL-004</v>
      </c>
      <c r="O5211" t="str">
        <f>IF(N5211="","",'Master Barang'!B5)</f>
        <v>be clean tissue serbaguna</v>
      </c>
      <c r="P5211">
        <f>IF(OR(M5211="",N5211=""),"",SUMIFS('Barang Keluar'!$E:$E,'Barang Keluar'!$A:$A,M5211,'Barang Keluar'!$C:$C,N5211))</f>
        <v>0</v>
      </c>
    </row>
    <row r="5212" spans="13:16">
      <c r="M5212" s="49">
        <f>IF($A$4+52&gt;$B$4,"",$A$4+52)</f>
        <v>46075</v>
      </c>
      <c r="N5212" t="str">
        <f>IF(M5212="","",'Master Barang'!A6)</f>
        <v>PRL-005</v>
      </c>
      <c r="O5212" t="str">
        <f>IF(N5212="","",'Master Barang'!B6)</f>
        <v>spons cuci hijau</v>
      </c>
      <c r="P5212">
        <f>IF(OR(M5212="",N5212=""),"",SUMIFS('Barang Keluar'!$E:$E,'Barang Keluar'!$A:$A,M5212,'Barang Keluar'!$C:$C,N5212))</f>
        <v>0</v>
      </c>
    </row>
    <row r="5213" spans="13:16">
      <c r="M5213" s="49">
        <f>IF($A$4+52&gt;$B$4,"",$A$4+52)</f>
        <v>46075</v>
      </c>
      <c r="N5213" t="str">
        <f>IF(M5213="","",'Master Barang'!A7)</f>
        <v>PRL-006</v>
      </c>
      <c r="O5213" t="str">
        <f>IF(N5213="","",'Master Barang'!B7)</f>
        <v>sabut cuci stainless</v>
      </c>
      <c r="P5213">
        <f>IF(OR(M5213="",N5213=""),"",SUMIFS('Barang Keluar'!$E:$E,'Barang Keluar'!$A:$A,M5213,'Barang Keluar'!$C:$C,N5213))</f>
        <v>0</v>
      </c>
    </row>
    <row r="5214" spans="13:16">
      <c r="M5214" s="49">
        <f>IF($A$4+52&gt;$B$4,"",$A$4+52)</f>
        <v>46075</v>
      </c>
      <c r="N5214" t="str">
        <f>IF(M5214="","",'Master Barang'!A8)</f>
        <v>PRL-007</v>
      </c>
      <c r="O5214" t="str">
        <f>IF(N5214="","",'Master Barang'!B8)</f>
        <v>plastik kresek besar merah 50pc</v>
      </c>
      <c r="P5214">
        <f>IF(OR(M5214="",N5214=""),"",SUMIFS('Barang Keluar'!$E:$E,'Barang Keluar'!$A:$A,M5214,'Barang Keluar'!$C:$C,N5214))</f>
        <v>0</v>
      </c>
    </row>
    <row r="5215" spans="13:16">
      <c r="M5215" s="49">
        <f>IF($A$4+52&gt;$B$4,"",$A$4+52)</f>
        <v>46075</v>
      </c>
      <c r="N5215" t="str">
        <f>IF(M5215="","",'Master Barang'!A9)</f>
        <v>PRL-008</v>
      </c>
      <c r="O5215" t="str">
        <f>IF(N5215="","",'Master Barang'!B9)</f>
        <v>lap besar</v>
      </c>
      <c r="P5215">
        <f>IF(OR(M5215="",N5215=""),"",SUMIFS('Barang Keluar'!$E:$E,'Barang Keluar'!$A:$A,M5215,'Barang Keluar'!$C:$C,N5215))</f>
        <v>0</v>
      </c>
    </row>
    <row r="5216" spans="13:16">
      <c r="M5216" s="49">
        <f>IF($A$4+52&gt;$B$4,"",$A$4+52)</f>
        <v>46075</v>
      </c>
      <c r="N5216" t="str">
        <f>IF(M5216="","",'Master Barang'!A10)</f>
        <v>PRL-009</v>
      </c>
      <c r="O5216" t="str">
        <f>IF(N5216="","",'Master Barang'!B10)</f>
        <v>lap microfiber</v>
      </c>
      <c r="P5216">
        <f>IF(OR(M5216="",N5216=""),"",SUMIFS('Barang Keluar'!$E:$E,'Barang Keluar'!$A:$A,M5216,'Barang Keluar'!$C:$C,N5216))</f>
        <v>0</v>
      </c>
    </row>
    <row r="5217" spans="13:16">
      <c r="M5217" s="49">
        <f>IF($A$4+52&gt;$B$4,"",$A$4+52)</f>
        <v>46075</v>
      </c>
      <c r="N5217" t="str">
        <f>IF(M5217="","",'Master Barang'!A11)</f>
        <v>PRL-010</v>
      </c>
      <c r="O5217" t="str">
        <f>IF(N5217="","",'Master Barang'!B11)</f>
        <v>lap kecil</v>
      </c>
      <c r="P5217">
        <f>IF(OR(M5217="",N5217=""),"",SUMIFS('Barang Keluar'!$E:$E,'Barang Keluar'!$A:$A,M5217,'Barang Keluar'!$C:$C,N5217))</f>
        <v>0</v>
      </c>
    </row>
    <row r="5218" spans="13:16">
      <c r="M5218" s="49">
        <f>IF($A$4+52&gt;$B$4,"",$A$4+52)</f>
        <v>46075</v>
      </c>
      <c r="N5218" t="str">
        <f>IF(M5218="","",'Master Barang'!A12)</f>
        <v>PRL-011</v>
      </c>
      <c r="O5218" t="str">
        <f>IF(N5218="","",'Master Barang'!B12)</f>
        <v>kanebo kecil</v>
      </c>
      <c r="P5218">
        <f>IF(OR(M5218="",N5218=""),"",SUMIFS('Barang Keluar'!$E:$E,'Barang Keluar'!$A:$A,M5218,'Barang Keluar'!$C:$C,N5218))</f>
        <v>0</v>
      </c>
    </row>
    <row r="5219" spans="13:16">
      <c r="M5219" s="49">
        <f>IF($A$4+52&gt;$B$4,"",$A$4+52)</f>
        <v>46075</v>
      </c>
      <c r="N5219" t="str">
        <f>IF(M5219="","",'Master Barang'!A13)</f>
        <v>PRL-012</v>
      </c>
      <c r="O5219" t="str">
        <f>IF(N5219="","",'Master Barang'!B13)</f>
        <v>plastik 1/4kg joyoboyo 100 lembar</v>
      </c>
      <c r="P5219">
        <f>IF(OR(M5219="",N5219=""),"",SUMIFS('Barang Keluar'!$E:$E,'Barang Keluar'!$A:$A,M5219,'Barang Keluar'!$C:$C,N5219))</f>
        <v>0</v>
      </c>
    </row>
    <row r="5220" spans="13:16">
      <c r="M5220" s="49">
        <f>IF($A$4+52&gt;$B$4,"",$A$4+52)</f>
        <v>46075</v>
      </c>
      <c r="N5220" t="str">
        <f>IF(M5220="","",'Master Barang'!A14)</f>
        <v>PRL-013</v>
      </c>
      <c r="O5220" t="str">
        <f>IF(N5220="","",'Master Barang'!B14)</f>
        <v>sarung tangan plastik kaka 100 pcs</v>
      </c>
      <c r="P5220">
        <f>IF(OR(M5220="",N5220=""),"",SUMIFS('Barang Keluar'!$E:$E,'Barang Keluar'!$A:$A,M5220,'Barang Keluar'!$C:$C,N5220))</f>
        <v>0</v>
      </c>
    </row>
    <row r="5221" spans="13:16">
      <c r="M5221" s="49">
        <f>IF($A$4+52&gt;$B$4,"",$A$4+52)</f>
        <v>46075</v>
      </c>
      <c r="N5221" t="str">
        <f>IF(M5221="","",'Master Barang'!A15)</f>
        <v>PRL-014</v>
      </c>
      <c r="O5221" t="str">
        <f>IF(N5221="","",'Master Barang'!B15)</f>
        <v>optima trashbag 80x100</v>
      </c>
      <c r="P5221">
        <f>IF(OR(M5221="",N5221=""),"",SUMIFS('Barang Keluar'!$E:$E,'Barang Keluar'!$A:$A,M5221,'Barang Keluar'!$C:$C,N5221))</f>
        <v>0</v>
      </c>
    </row>
    <row r="5222" spans="13:16">
      <c r="M5222" s="49">
        <f>IF($A$4+52&gt;$B$4,"",$A$4+52)</f>
        <v>46075</v>
      </c>
      <c r="N5222" t="str">
        <f>IF(M5222="","",'Master Barang'!A16)</f>
        <v>PRL-015</v>
      </c>
      <c r="O5222" t="str">
        <f>IF(N5222="","",'Master Barang'!B16)</f>
        <v>optima trashbag 60x100</v>
      </c>
      <c r="P5222">
        <f>IF(OR(M5222="",N5222=""),"",SUMIFS('Barang Keluar'!$E:$E,'Barang Keluar'!$A:$A,M5222,'Barang Keluar'!$C:$C,N5222))</f>
        <v>0</v>
      </c>
    </row>
    <row r="5223" spans="13:16">
      <c r="M5223" s="49">
        <f>IF($A$4+52&gt;$B$4,"",$A$4+52)</f>
        <v>46075</v>
      </c>
      <c r="N5223" t="str">
        <f>IF(M5223="","",'Master Barang'!A17)</f>
        <v>PRL-016</v>
      </c>
      <c r="O5223" t="str">
        <f>IF(N5223="","",'Master Barang'!B17)</f>
        <v>rajawali trashbag 30x40</v>
      </c>
      <c r="P5223">
        <f>IF(OR(M5223="",N5223=""),"",SUMIFS('Barang Keluar'!$E:$E,'Barang Keluar'!$A:$A,M5223,'Barang Keluar'!$C:$C,N5223))</f>
        <v>0</v>
      </c>
    </row>
    <row r="5224" spans="13:16">
      <c r="M5224" s="49">
        <f>IF($A$4+52&gt;$B$4,"",$A$4+52)</f>
        <v>46075</v>
      </c>
      <c r="N5224" t="str">
        <f>IF(M5224="","",'Master Barang'!A18)</f>
        <v>PRL-017</v>
      </c>
      <c r="O5224" t="str">
        <f>IF(N5224="","",'Master Barang'!B18)</f>
        <v>onemed masker biru 3 play 50 pcs</v>
      </c>
      <c r="P5224">
        <f>IF(OR(M5224="",N5224=""),"",SUMIFS('Barang Keluar'!$E:$E,'Barang Keluar'!$A:$A,M5224,'Barang Keluar'!$C:$C,N5224))</f>
        <v>0</v>
      </c>
    </row>
    <row r="5225" spans="13:16">
      <c r="M5225" s="49">
        <f>IF($A$4+52&gt;$B$4,"",$A$4+52)</f>
        <v>46075</v>
      </c>
      <c r="N5225" t="str">
        <f>IF(M5225="","",'Master Barang'!A19)</f>
        <v>PRL-018</v>
      </c>
      <c r="O5225" t="str">
        <f>IF(N5225="","",'Master Barang'!B19)</f>
        <v>onemed masker biru 3 play hijab 50 pcs</v>
      </c>
      <c r="P5225">
        <f>IF(OR(M5225="",N5225=""),"",SUMIFS('Barang Keluar'!$E:$E,'Barang Keluar'!$A:$A,M5225,'Barang Keluar'!$C:$C,N5225))</f>
        <v>0</v>
      </c>
    </row>
    <row r="5226" spans="13:16">
      <c r="M5226" s="49">
        <f>IF($A$4+52&gt;$B$4,"",$A$4+52)</f>
        <v>46075</v>
      </c>
      <c r="N5226" t="str">
        <f>IF(M5226="","",'Master Barang'!A20)</f>
        <v>PRL-019</v>
      </c>
      <c r="O5226" t="str">
        <f>IF(N5226="","",'Master Barang'!B20)</f>
        <v>neo health masker biru 3 play 50 pcs</v>
      </c>
      <c r="P5226">
        <f>IF(OR(M5226="",N5226=""),"",SUMIFS('Barang Keluar'!$E:$E,'Barang Keluar'!$A:$A,M5226,'Barang Keluar'!$C:$C,N5226))</f>
        <v>0</v>
      </c>
    </row>
    <row r="5227" spans="13:16">
      <c r="M5227" s="49">
        <f>IF($A$4+52&gt;$B$4,"",$A$4+52)</f>
        <v>46075</v>
      </c>
      <c r="N5227" t="str">
        <f>IF(M5227="","",'Master Barang'!A21)</f>
        <v>PRL-020</v>
      </c>
      <c r="O5227" t="str">
        <f>IF(N5227="","",'Master Barang'!B21)</f>
        <v>baymed masker hijau 3 play hijau 50 pcs</v>
      </c>
      <c r="P5227">
        <f>IF(OR(M5227="",N5227=""),"",SUMIFS('Barang Keluar'!$E:$E,'Barang Keluar'!$A:$A,M5227,'Barang Keluar'!$C:$C,N5227))</f>
        <v>0</v>
      </c>
    </row>
    <row r="5228" spans="13:16">
      <c r="M5228" s="49">
        <f>IF($A$4+52&gt;$B$4,"",$A$4+52)</f>
        <v>46075</v>
      </c>
      <c r="N5228" t="str">
        <f>IF(M5228="","",'Master Barang'!A22)</f>
        <v>PRL-021</v>
      </c>
      <c r="O5228" t="str">
        <f>IF(N5228="","",'Master Barang'!B22)</f>
        <v>altamed nurse cap penutup kepala 100 pcs</v>
      </c>
      <c r="P5228">
        <f>IF(OR(M5228="",N5228=""),"",SUMIFS('Barang Keluar'!$E:$E,'Barang Keluar'!$A:$A,M5228,'Barang Keluar'!$C:$C,N5228))</f>
        <v>0</v>
      </c>
    </row>
    <row r="5229" spans="13:16">
      <c r="M5229" s="49">
        <f>IF($A$4+52&gt;$B$4,"",$A$4+52)</f>
        <v>46075</v>
      </c>
      <c r="N5229" t="str">
        <f>IF(M5229="","",'Master Barang'!A23)</f>
        <v>PRL-022</v>
      </c>
      <c r="O5229" t="str">
        <f>IF(N5229="","",'Master Barang'!B23)</f>
        <v>sabun cuci tangan</v>
      </c>
      <c r="P5229">
        <f>IF(OR(M5229="",N5229=""),"",SUMIFS('Barang Keluar'!$E:$E,'Barang Keluar'!$A:$A,M5229,'Barang Keluar'!$C:$C,N5229))</f>
        <v>0</v>
      </c>
    </row>
    <row r="5230" spans="13:16">
      <c r="M5230" s="49">
        <f>IF($A$4+52&gt;$B$4,"",$A$4+52)</f>
        <v>46075</v>
      </c>
      <c r="N5230" t="str">
        <f>IF(M5230="","",'Master Barang'!A24)</f>
        <v>PRL-023</v>
      </c>
      <c r="O5230" t="str">
        <f>IF(N5230="","",'Master Barang'!B24)</f>
        <v>gayung kecil</v>
      </c>
      <c r="P5230">
        <f>IF(OR(M5230="",N5230=""),"",SUMIFS('Barang Keluar'!$E:$E,'Barang Keluar'!$A:$A,M5230,'Barang Keluar'!$C:$C,N5230))</f>
        <v>0</v>
      </c>
    </row>
    <row r="5231" spans="13:16">
      <c r="M5231" s="49">
        <f>IF($A$4+52&gt;$B$4,"",$A$4+52)</f>
        <v>46075</v>
      </c>
      <c r="N5231" t="str">
        <f>IF(M5231="","",'Master Barang'!A25)</f>
        <v>PRL-024</v>
      </c>
      <c r="O5231" t="str">
        <f>IF(N5231="","",'Master Barang'!B25)</f>
        <v>cikrak kecil</v>
      </c>
      <c r="P5231">
        <f>IF(OR(M5231="",N5231=""),"",SUMIFS('Barang Keluar'!$E:$E,'Barang Keluar'!$A:$A,M5231,'Barang Keluar'!$C:$C,N5231))</f>
        <v>0</v>
      </c>
    </row>
    <row r="5232" spans="13:16">
      <c r="M5232" s="49">
        <f>IF($A$4+52&gt;$B$4,"",$A$4+52)</f>
        <v>46075</v>
      </c>
      <c r="N5232" t="str">
        <f>IF(M5232="","",'Master Barang'!A26)</f>
        <v>PRL-025</v>
      </c>
      <c r="O5232" t="str">
        <f>IF(N5232="","",'Master Barang'!B26)</f>
        <v>petromax plastik kecil 12x24 100 lembar</v>
      </c>
      <c r="P5232">
        <f>IF(OR(M5232="",N5232=""),"",SUMIFS('Barang Keluar'!$E:$E,'Barang Keluar'!$A:$A,M5232,'Barang Keluar'!$C:$C,N5232))</f>
        <v>0</v>
      </c>
    </row>
    <row r="5233" spans="13:16">
      <c r="M5233" s="49">
        <f>IF($A$4+52&gt;$B$4,"",$A$4+52)</f>
        <v>46075</v>
      </c>
      <c r="N5233" t="str">
        <f>IF(M5233="","",'Master Barang'!A27)</f>
        <v>PRL-026</v>
      </c>
      <c r="O5233" t="str">
        <f>IF(N5233="","",'Master Barang'!B27)</f>
        <v>lancar kresek kecil bening </v>
      </c>
      <c r="P5233">
        <f>IF(OR(M5233="",N5233=""),"",SUMIFS('Barang Keluar'!$E:$E,'Barang Keluar'!$A:$A,M5233,'Barang Keluar'!$C:$C,N5233))</f>
        <v>0</v>
      </c>
    </row>
    <row r="5234" spans="13:16">
      <c r="M5234" s="49">
        <f>IF($A$4+52&gt;$B$4,"",$A$4+52)</f>
        <v>46075</v>
      </c>
      <c r="N5234" t="str">
        <f>IF(M5234="","",'Master Barang'!A28)</f>
        <v>PRL-027</v>
      </c>
      <c r="O5234" t="str">
        <f>IF(N5234="","",'Master Barang'!B28)</f>
        <v>kresek klin warna warni kecil</v>
      </c>
      <c r="P5234">
        <f>IF(OR(M5234="",N5234=""),"",SUMIFS('Barang Keluar'!$E:$E,'Barang Keluar'!$A:$A,M5234,'Barang Keluar'!$C:$C,N5234))</f>
        <v>0</v>
      </c>
    </row>
    <row r="5235" spans="13:16">
      <c r="M5235" s="49">
        <f>IF($A$4+52&gt;$B$4,"",$A$4+52)</f>
        <v>46075</v>
      </c>
      <c r="N5235" t="str">
        <f>IF(M5235="","",'Master Barang'!A29)</f>
        <v>PRL-028</v>
      </c>
      <c r="O5235" t="str">
        <f>IF(N5235="","",'Master Barang'!B29)</f>
        <v>ctik plastik 7x10 100 pcs</v>
      </c>
      <c r="P5235">
        <f>IF(OR(M5235="",N5235=""),"",SUMIFS('Barang Keluar'!$E:$E,'Barang Keluar'!$A:$A,M5235,'Barang Keluar'!$C:$C,N5235))</f>
        <v>0</v>
      </c>
    </row>
    <row r="5236" spans="13:16">
      <c r="M5236" s="49">
        <f>IF($A$4+52&gt;$B$4,"",$A$4+52)</f>
        <v>46075</v>
      </c>
      <c r="N5236" t="str">
        <f>IF(M5236="","",'Master Barang'!A30)</f>
        <v>PRL-029</v>
      </c>
      <c r="O5236" t="str">
        <f>IF(N5236="","",'Master Barang'!B30)</f>
        <v>ctik plastik 6x10 100 pcs</v>
      </c>
      <c r="P5236">
        <f>IF(OR(M5236="",N5236=""),"",SUMIFS('Barang Keluar'!$E:$E,'Barang Keluar'!$A:$A,M5236,'Barang Keluar'!$C:$C,N5236))</f>
        <v>0</v>
      </c>
    </row>
    <row r="5237" spans="13:16">
      <c r="M5237" s="49">
        <f>IF($A$4+52&gt;$B$4,"",$A$4+52)</f>
        <v>46075</v>
      </c>
      <c r="N5237" t="str">
        <f>IF(M5237="","",'Master Barang'!A31)</f>
        <v>PRL-030</v>
      </c>
      <c r="O5237" t="str">
        <f>IF(N5237="","",'Master Barang'!B31)</f>
        <v>klip plastik 25x16 100 pcs</v>
      </c>
      <c r="P5237">
        <f>IF(OR(M5237="",N5237=""),"",SUMIFS('Barang Keluar'!$E:$E,'Barang Keluar'!$A:$A,M5237,'Barang Keluar'!$C:$C,N5237))</f>
        <v>0</v>
      </c>
    </row>
    <row r="5238" spans="13:16">
      <c r="M5238" s="49">
        <f>IF($A$4+52&gt;$B$4,"",$A$4+52)</f>
        <v>46075</v>
      </c>
      <c r="N5238" t="str">
        <f>IF(M5238="","",'Master Barang'!A32)</f>
        <v>PRL-031</v>
      </c>
      <c r="O5238" t="str">
        <f>IF(N5238="","",'Master Barang'!B32)</f>
        <v>tempat saus 20 ml</v>
      </c>
      <c r="P5238">
        <f>IF(OR(M5238="",N5238=""),"",SUMIFS('Barang Keluar'!$E:$E,'Barang Keluar'!$A:$A,M5238,'Barang Keluar'!$C:$C,N5238))</f>
        <v>0</v>
      </c>
    </row>
    <row r="5239" spans="13:16">
      <c r="M5239" s="49">
        <f>IF($A$4+52&gt;$B$4,"",$A$4+52)</f>
        <v>46075</v>
      </c>
      <c r="N5239" t="str">
        <f>IF(M5239="","",'Master Barang'!A33)</f>
        <v>PRL-032</v>
      </c>
      <c r="O5239" t="str">
        <f>IF(N5239="","",'Master Barang'!B33)</f>
        <v>plastik packaging ag box uk sedang</v>
      </c>
      <c r="P5239">
        <f>IF(OR(M5239="",N5239=""),"",SUMIFS('Barang Keluar'!$E:$E,'Barang Keluar'!$A:$A,M5239,'Barang Keluar'!$C:$C,N5239))</f>
        <v>0</v>
      </c>
    </row>
    <row r="5240" spans="13:16">
      <c r="M5240" s="49">
        <f>IF($A$4+52&gt;$B$4,"",$A$4+52)</f>
        <v>46075</v>
      </c>
      <c r="N5240" t="str">
        <f>IF(M5240="","",'Master Barang'!A34)</f>
        <v>PRL-033</v>
      </c>
      <c r="O5240">
        <f>IF(N5240="","",'Master Barang'!B34)</f>
        <v>0</v>
      </c>
      <c r="P5240">
        <f>IF(OR(M5240="",N5240=""),"",SUMIFS('Barang Keluar'!$E:$E,'Barang Keluar'!$A:$A,M5240,'Barang Keluar'!$C:$C,N5240))</f>
        <v>0</v>
      </c>
    </row>
    <row r="5241" spans="13:16">
      <c r="M5241" s="49">
        <f>IF($A$4+52&gt;$B$4,"",$A$4+52)</f>
        <v>46075</v>
      </c>
      <c r="N5241">
        <f>IF(M5241="","",'Master Barang'!A35)</f>
        <v>0</v>
      </c>
      <c r="O5241">
        <f>IF(N5241="","",'Master Barang'!B35)</f>
        <v>0</v>
      </c>
      <c r="P5241">
        <f>IF(OR(M5241="",N5241=""),"",SUMIFS('Barang Keluar'!$E:$E,'Barang Keluar'!$A:$A,M5241,'Barang Keluar'!$C:$C,N5241))</f>
        <v>0</v>
      </c>
    </row>
    <row r="5242" spans="13:16">
      <c r="M5242" s="49">
        <f>IF($A$4+52&gt;$B$4,"",$A$4+52)</f>
        <v>46075</v>
      </c>
      <c r="N5242">
        <f>IF(M5242="","",'Master Barang'!A36)</f>
        <v>0</v>
      </c>
      <c r="O5242">
        <f>IF(N5242="","",'Master Barang'!B36)</f>
        <v>0</v>
      </c>
      <c r="P5242">
        <f>IF(OR(M5242="",N5242=""),"",SUMIFS('Barang Keluar'!$E:$E,'Barang Keluar'!$A:$A,M5242,'Barang Keluar'!$C:$C,N5242))</f>
        <v>0</v>
      </c>
    </row>
    <row r="5243" spans="13:16">
      <c r="M5243" s="49">
        <f>IF($A$4+52&gt;$B$4,"",$A$4+52)</f>
        <v>46075</v>
      </c>
      <c r="N5243">
        <f>IF(M5243="","",'Master Barang'!A37)</f>
        <v>0</v>
      </c>
      <c r="O5243">
        <f>IF(N5243="","",'Master Barang'!B37)</f>
        <v>0</v>
      </c>
      <c r="P5243">
        <f>IF(OR(M5243="",N5243=""),"",SUMIFS('Barang Keluar'!$E:$E,'Barang Keluar'!$A:$A,M5243,'Barang Keluar'!$C:$C,N5243))</f>
        <v>0</v>
      </c>
    </row>
    <row r="5244" spans="13:16">
      <c r="M5244" s="49">
        <f>IF($A$4+52&gt;$B$4,"",$A$4+52)</f>
        <v>46075</v>
      </c>
      <c r="N5244">
        <f>IF(M5244="","",'Master Barang'!A38)</f>
        <v>0</v>
      </c>
      <c r="O5244">
        <f>IF(N5244="","",'Master Barang'!B38)</f>
        <v>0</v>
      </c>
      <c r="P5244">
        <f>IF(OR(M5244="",N5244=""),"",SUMIFS('Barang Keluar'!$E:$E,'Barang Keluar'!$A:$A,M5244,'Barang Keluar'!$C:$C,N5244))</f>
        <v>0</v>
      </c>
    </row>
    <row r="5245" spans="13:16">
      <c r="M5245" s="49">
        <f>IF($A$4+52&gt;$B$4,"",$A$4+52)</f>
        <v>46075</v>
      </c>
      <c r="N5245">
        <f>IF(M5245="","",'Master Barang'!A39)</f>
        <v>0</v>
      </c>
      <c r="O5245">
        <f>IF(N5245="","",'Master Barang'!B39)</f>
        <v>0</v>
      </c>
      <c r="P5245">
        <f>IF(OR(M5245="",N5245=""),"",SUMIFS('Barang Keluar'!$E:$E,'Barang Keluar'!$A:$A,M5245,'Barang Keluar'!$C:$C,N5245))</f>
        <v>0</v>
      </c>
    </row>
    <row r="5246" spans="13:16">
      <c r="M5246" s="49">
        <f>IF($A$4+52&gt;$B$4,"",$A$4+52)</f>
        <v>46075</v>
      </c>
      <c r="N5246">
        <f>IF(M5246="","",'Master Barang'!A40)</f>
        <v>0</v>
      </c>
      <c r="O5246">
        <f>IF(N5246="","",'Master Barang'!B40)</f>
        <v>0</v>
      </c>
      <c r="P5246">
        <f>IF(OR(M5246="",N5246=""),"",SUMIFS('Barang Keluar'!$E:$E,'Barang Keluar'!$A:$A,M5246,'Barang Keluar'!$C:$C,N5246))</f>
        <v>0</v>
      </c>
    </row>
    <row r="5247" spans="13:16">
      <c r="M5247" s="49">
        <f>IF($A$4+52&gt;$B$4,"",$A$4+52)</f>
        <v>46075</v>
      </c>
      <c r="N5247">
        <f>IF(M5247="","",'Master Barang'!A41)</f>
        <v>0</v>
      </c>
      <c r="O5247">
        <f>IF(N5247="","",'Master Barang'!B41)</f>
        <v>0</v>
      </c>
      <c r="P5247">
        <f>IF(OR(M5247="",N5247=""),"",SUMIFS('Barang Keluar'!$E:$E,'Barang Keluar'!$A:$A,M5247,'Barang Keluar'!$C:$C,N5247))</f>
        <v>0</v>
      </c>
    </row>
    <row r="5248" spans="13:16">
      <c r="M5248" s="49">
        <f>IF($A$4+52&gt;$B$4,"",$A$4+52)</f>
        <v>46075</v>
      </c>
      <c r="N5248">
        <f>IF(M5248="","",'Master Barang'!A42)</f>
        <v>0</v>
      </c>
      <c r="O5248">
        <f>IF(N5248="","",'Master Barang'!B42)</f>
        <v>0</v>
      </c>
      <c r="P5248">
        <f>IF(OR(M5248="",N5248=""),"",SUMIFS('Barang Keluar'!$E:$E,'Barang Keluar'!$A:$A,M5248,'Barang Keluar'!$C:$C,N5248))</f>
        <v>0</v>
      </c>
    </row>
    <row r="5249" spans="13:16">
      <c r="M5249" s="49">
        <f>IF($A$4+52&gt;$B$4,"",$A$4+52)</f>
        <v>46075</v>
      </c>
      <c r="N5249">
        <f>IF(M5249="","",'Master Barang'!A43)</f>
        <v>0</v>
      </c>
      <c r="O5249">
        <f>IF(N5249="","",'Master Barang'!B43)</f>
        <v>0</v>
      </c>
      <c r="P5249">
        <f>IF(OR(M5249="",N5249=""),"",SUMIFS('Barang Keluar'!$E:$E,'Barang Keluar'!$A:$A,M5249,'Barang Keluar'!$C:$C,N5249))</f>
        <v>0</v>
      </c>
    </row>
    <row r="5250" spans="13:16">
      <c r="M5250" s="49">
        <f>IF($A$4+52&gt;$B$4,"",$A$4+52)</f>
        <v>46075</v>
      </c>
      <c r="N5250">
        <f>IF(M5250="","",'Master Barang'!A44)</f>
        <v>0</v>
      </c>
      <c r="O5250">
        <f>IF(N5250="","",'Master Barang'!B44)</f>
        <v>0</v>
      </c>
      <c r="P5250">
        <f>IF(OR(M5250="",N5250=""),"",SUMIFS('Barang Keluar'!$E:$E,'Barang Keluar'!$A:$A,M5250,'Barang Keluar'!$C:$C,N5250))</f>
        <v>0</v>
      </c>
    </row>
    <row r="5251" spans="13:16">
      <c r="M5251" s="49">
        <f>IF($A$4+52&gt;$B$4,"",$A$4+52)</f>
        <v>46075</v>
      </c>
      <c r="N5251">
        <f>IF(M5251="","",'Master Barang'!A45)</f>
        <v>0</v>
      </c>
      <c r="O5251">
        <f>IF(N5251="","",'Master Barang'!B45)</f>
        <v>0</v>
      </c>
      <c r="P5251">
        <f>IF(OR(M5251="",N5251=""),"",SUMIFS('Barang Keluar'!$E:$E,'Barang Keluar'!$A:$A,M5251,'Barang Keluar'!$C:$C,N5251))</f>
        <v>0</v>
      </c>
    </row>
    <row r="5252" spans="13:16">
      <c r="M5252" s="49">
        <f>IF($A$4+52&gt;$B$4,"",$A$4+52)</f>
        <v>46075</v>
      </c>
      <c r="N5252">
        <f>IF(M5252="","",'Master Barang'!A46)</f>
        <v>0</v>
      </c>
      <c r="O5252">
        <f>IF(N5252="","",'Master Barang'!B46)</f>
        <v>0</v>
      </c>
      <c r="P5252">
        <f>IF(OR(M5252="",N5252=""),"",SUMIFS('Barang Keluar'!$E:$E,'Barang Keluar'!$A:$A,M5252,'Barang Keluar'!$C:$C,N5252))</f>
        <v>0</v>
      </c>
    </row>
    <row r="5253" spans="13:16">
      <c r="M5253" s="49">
        <f>IF($A$4+52&gt;$B$4,"",$A$4+52)</f>
        <v>46075</v>
      </c>
      <c r="N5253">
        <f>IF(M5253="","",'Master Barang'!A47)</f>
        <v>0</v>
      </c>
      <c r="O5253">
        <f>IF(N5253="","",'Master Barang'!B47)</f>
        <v>0</v>
      </c>
      <c r="P5253">
        <f>IF(OR(M5253="",N5253=""),"",SUMIFS('Barang Keluar'!$E:$E,'Barang Keluar'!$A:$A,M5253,'Barang Keluar'!$C:$C,N5253))</f>
        <v>0</v>
      </c>
    </row>
    <row r="5254" spans="13:16">
      <c r="M5254" s="49">
        <f>IF($A$4+52&gt;$B$4,"",$A$4+52)</f>
        <v>46075</v>
      </c>
      <c r="N5254">
        <f>IF(M5254="","",'Master Barang'!A48)</f>
        <v>0</v>
      </c>
      <c r="O5254">
        <f>IF(N5254="","",'Master Barang'!B48)</f>
        <v>0</v>
      </c>
      <c r="P5254">
        <f>IF(OR(M5254="",N5254=""),"",SUMIFS('Barang Keluar'!$E:$E,'Barang Keluar'!$A:$A,M5254,'Barang Keluar'!$C:$C,N5254))</f>
        <v>0</v>
      </c>
    </row>
    <row r="5255" spans="13:16">
      <c r="M5255" s="49">
        <f>IF($A$4+52&gt;$B$4,"",$A$4+52)</f>
        <v>46075</v>
      </c>
      <c r="N5255">
        <f>IF(M5255="","",'Master Barang'!A49)</f>
        <v>0</v>
      </c>
      <c r="O5255">
        <f>IF(N5255="","",'Master Barang'!B49)</f>
        <v>0</v>
      </c>
      <c r="P5255">
        <f>IF(OR(M5255="",N5255=""),"",SUMIFS('Barang Keluar'!$E:$E,'Barang Keluar'!$A:$A,M5255,'Barang Keluar'!$C:$C,N5255))</f>
        <v>0</v>
      </c>
    </row>
    <row r="5256" spans="13:16">
      <c r="M5256" s="49">
        <f>IF($A$4+52&gt;$B$4,"",$A$4+52)</f>
        <v>46075</v>
      </c>
      <c r="N5256">
        <f>IF(M5256="","",'Master Barang'!A50)</f>
        <v>0</v>
      </c>
      <c r="O5256">
        <f>IF(N5256="","",'Master Barang'!B50)</f>
        <v>0</v>
      </c>
      <c r="P5256">
        <f>IF(OR(M5256="",N5256=""),"",SUMIFS('Barang Keluar'!$E:$E,'Barang Keluar'!$A:$A,M5256,'Barang Keluar'!$C:$C,N5256))</f>
        <v>0</v>
      </c>
    </row>
    <row r="5257" spans="13:16">
      <c r="M5257" s="49">
        <f>IF($A$4+52&gt;$B$4,"",$A$4+52)</f>
        <v>46075</v>
      </c>
      <c r="N5257">
        <f>IF(M5257="","",'Master Barang'!A51)</f>
        <v>0</v>
      </c>
      <c r="O5257">
        <f>IF(N5257="","",'Master Barang'!B51)</f>
        <v>0</v>
      </c>
      <c r="P5257">
        <f>IF(OR(M5257="",N5257=""),"",SUMIFS('Barang Keluar'!$E:$E,'Barang Keluar'!$A:$A,M5257,'Barang Keluar'!$C:$C,N5257))</f>
        <v>0</v>
      </c>
    </row>
    <row r="5258" spans="13:16">
      <c r="M5258" s="49">
        <f>IF($A$4+52&gt;$B$4,"",$A$4+52)</f>
        <v>46075</v>
      </c>
      <c r="N5258">
        <f>IF(M5258="","",'Master Barang'!A52)</f>
        <v>0</v>
      </c>
      <c r="O5258">
        <f>IF(N5258="","",'Master Barang'!B52)</f>
        <v>0</v>
      </c>
      <c r="P5258">
        <f>IF(OR(M5258="",N5258=""),"",SUMIFS('Barang Keluar'!$E:$E,'Barang Keluar'!$A:$A,M5258,'Barang Keluar'!$C:$C,N5258))</f>
        <v>0</v>
      </c>
    </row>
    <row r="5259" spans="13:16">
      <c r="M5259" s="49">
        <f>IF($A$4+52&gt;$B$4,"",$A$4+52)</f>
        <v>46075</v>
      </c>
      <c r="N5259">
        <f>IF(M5259="","",'Master Barang'!A53)</f>
        <v>0</v>
      </c>
      <c r="O5259">
        <f>IF(N5259="","",'Master Barang'!B53)</f>
        <v>0</v>
      </c>
      <c r="P5259">
        <f>IF(OR(M5259="",N5259=""),"",SUMIFS('Barang Keluar'!$E:$E,'Barang Keluar'!$A:$A,M5259,'Barang Keluar'!$C:$C,N5259))</f>
        <v>0</v>
      </c>
    </row>
    <row r="5260" spans="13:16">
      <c r="M5260" s="49">
        <f>IF($A$4+52&gt;$B$4,"",$A$4+52)</f>
        <v>46075</v>
      </c>
      <c r="N5260">
        <f>IF(M5260="","",'Master Barang'!A54)</f>
        <v>0</v>
      </c>
      <c r="O5260">
        <f>IF(N5260="","",'Master Barang'!B54)</f>
        <v>0</v>
      </c>
      <c r="P5260">
        <f>IF(OR(M5260="",N5260=""),"",SUMIFS('Barang Keluar'!$E:$E,'Barang Keluar'!$A:$A,M5260,'Barang Keluar'!$C:$C,N5260))</f>
        <v>0</v>
      </c>
    </row>
    <row r="5261" spans="13:16">
      <c r="M5261" s="49">
        <f>IF($A$4+52&gt;$B$4,"",$A$4+52)</f>
        <v>46075</v>
      </c>
      <c r="N5261">
        <f>IF(M5261="","",'Master Barang'!A55)</f>
        <v>0</v>
      </c>
      <c r="O5261">
        <f>IF(N5261="","",'Master Barang'!B55)</f>
        <v>0</v>
      </c>
      <c r="P5261">
        <f>IF(OR(M5261="",N5261=""),"",SUMIFS('Barang Keluar'!$E:$E,'Barang Keluar'!$A:$A,M5261,'Barang Keluar'!$C:$C,N5261))</f>
        <v>0</v>
      </c>
    </row>
    <row r="5262" spans="13:16">
      <c r="M5262" s="49">
        <f>IF($A$4+52&gt;$B$4,"",$A$4+52)</f>
        <v>46075</v>
      </c>
      <c r="N5262">
        <f>IF(M5262="","",'Master Barang'!A56)</f>
        <v>0</v>
      </c>
      <c r="O5262">
        <f>IF(N5262="","",'Master Barang'!B56)</f>
        <v>0</v>
      </c>
      <c r="P5262">
        <f>IF(OR(M5262="",N5262=""),"",SUMIFS('Barang Keluar'!$E:$E,'Barang Keluar'!$A:$A,M5262,'Barang Keluar'!$C:$C,N5262))</f>
        <v>0</v>
      </c>
    </row>
    <row r="5263" spans="13:16">
      <c r="M5263" s="49">
        <f>IF($A$4+52&gt;$B$4,"",$A$4+52)</f>
        <v>46075</v>
      </c>
      <c r="N5263">
        <f>IF(M5263="","",'Master Barang'!A57)</f>
        <v>0</v>
      </c>
      <c r="O5263">
        <f>IF(N5263="","",'Master Barang'!B57)</f>
        <v>0</v>
      </c>
      <c r="P5263">
        <f>IF(OR(M5263="",N5263=""),"",SUMIFS('Barang Keluar'!$E:$E,'Barang Keluar'!$A:$A,M5263,'Barang Keluar'!$C:$C,N5263))</f>
        <v>0</v>
      </c>
    </row>
    <row r="5264" spans="13:16">
      <c r="M5264" s="49">
        <f>IF($A$4+52&gt;$B$4,"",$A$4+52)</f>
        <v>46075</v>
      </c>
      <c r="N5264">
        <f>IF(M5264="","",'Master Barang'!A58)</f>
        <v>0</v>
      </c>
      <c r="O5264">
        <f>IF(N5264="","",'Master Barang'!B58)</f>
        <v>0</v>
      </c>
      <c r="P5264">
        <f>IF(OR(M5264="",N5264=""),"",SUMIFS('Barang Keluar'!$E:$E,'Barang Keluar'!$A:$A,M5264,'Barang Keluar'!$C:$C,N5264))</f>
        <v>0</v>
      </c>
    </row>
    <row r="5265" spans="13:16">
      <c r="M5265" s="49">
        <f>IF($A$4+52&gt;$B$4,"",$A$4+52)</f>
        <v>46075</v>
      </c>
      <c r="N5265">
        <f>IF(M5265="","",'Master Barang'!A59)</f>
        <v>0</v>
      </c>
      <c r="O5265">
        <f>IF(N5265="","",'Master Barang'!B59)</f>
        <v>0</v>
      </c>
      <c r="P5265">
        <f>IF(OR(M5265="",N5265=""),"",SUMIFS('Barang Keluar'!$E:$E,'Barang Keluar'!$A:$A,M5265,'Barang Keluar'!$C:$C,N5265))</f>
        <v>0</v>
      </c>
    </row>
    <row r="5266" spans="13:16">
      <c r="M5266" s="49">
        <f>IF($A$4+52&gt;$B$4,"",$A$4+52)</f>
        <v>46075</v>
      </c>
      <c r="N5266">
        <f>IF(M5266="","",'Master Barang'!A60)</f>
        <v>0</v>
      </c>
      <c r="O5266">
        <f>IF(N5266="","",'Master Barang'!B60)</f>
        <v>0</v>
      </c>
      <c r="P5266">
        <f>IF(OR(M5266="",N5266=""),"",SUMIFS('Barang Keluar'!$E:$E,'Barang Keluar'!$A:$A,M5266,'Barang Keluar'!$C:$C,N5266))</f>
        <v>0</v>
      </c>
    </row>
    <row r="5267" spans="13:16">
      <c r="M5267" s="49">
        <f>IF($A$4+52&gt;$B$4,"",$A$4+52)</f>
        <v>46075</v>
      </c>
      <c r="N5267">
        <f>IF(M5267="","",'Master Barang'!A61)</f>
        <v>0</v>
      </c>
      <c r="O5267">
        <f>IF(N5267="","",'Master Barang'!B61)</f>
        <v>0</v>
      </c>
      <c r="P5267">
        <f>IF(OR(M5267="",N5267=""),"",SUMIFS('Barang Keluar'!$E:$E,'Barang Keluar'!$A:$A,M5267,'Barang Keluar'!$C:$C,N5267))</f>
        <v>0</v>
      </c>
    </row>
    <row r="5268" spans="13:16">
      <c r="M5268" s="49">
        <f>IF($A$4+52&gt;$B$4,"",$A$4+52)</f>
        <v>46075</v>
      </c>
      <c r="N5268">
        <f>IF(M5268="","",'Master Barang'!A62)</f>
        <v>0</v>
      </c>
      <c r="O5268">
        <f>IF(N5268="","",'Master Barang'!B62)</f>
        <v>0</v>
      </c>
      <c r="P5268">
        <f>IF(OR(M5268="",N5268=""),"",SUMIFS('Barang Keluar'!$E:$E,'Barang Keluar'!$A:$A,M5268,'Barang Keluar'!$C:$C,N5268))</f>
        <v>0</v>
      </c>
    </row>
    <row r="5269" spans="13:16">
      <c r="M5269" s="49">
        <f>IF($A$4+52&gt;$B$4,"",$A$4+52)</f>
        <v>46075</v>
      </c>
      <c r="N5269">
        <f>IF(M5269="","",'Master Barang'!A63)</f>
        <v>0</v>
      </c>
      <c r="O5269">
        <f>IF(N5269="","",'Master Barang'!B63)</f>
        <v>0</v>
      </c>
      <c r="P5269">
        <f>IF(OR(M5269="",N5269=""),"",SUMIFS('Barang Keluar'!$E:$E,'Barang Keluar'!$A:$A,M5269,'Barang Keluar'!$C:$C,N5269))</f>
        <v>0</v>
      </c>
    </row>
    <row r="5270" spans="13:16">
      <c r="M5270" s="49">
        <f>IF($A$4+52&gt;$B$4,"",$A$4+52)</f>
        <v>46075</v>
      </c>
      <c r="N5270">
        <f>IF(M5270="","",'Master Barang'!A64)</f>
        <v>0</v>
      </c>
      <c r="O5270">
        <f>IF(N5270="","",'Master Barang'!B64)</f>
        <v>0</v>
      </c>
      <c r="P5270">
        <f>IF(OR(M5270="",N5270=""),"",SUMIFS('Barang Keluar'!$E:$E,'Barang Keluar'!$A:$A,M5270,'Barang Keluar'!$C:$C,N5270))</f>
        <v>0</v>
      </c>
    </row>
    <row r="5271" spans="13:16">
      <c r="M5271" s="49">
        <f>IF($A$4+52&gt;$B$4,"",$A$4+52)</f>
        <v>46075</v>
      </c>
      <c r="N5271">
        <f>IF(M5271="","",'Master Barang'!A65)</f>
        <v>0</v>
      </c>
      <c r="O5271">
        <f>IF(N5271="","",'Master Barang'!B65)</f>
        <v>0</v>
      </c>
      <c r="P5271">
        <f>IF(OR(M5271="",N5271=""),"",SUMIFS('Barang Keluar'!$E:$E,'Barang Keluar'!$A:$A,M5271,'Barang Keluar'!$C:$C,N5271))</f>
        <v>0</v>
      </c>
    </row>
    <row r="5272" spans="13:16">
      <c r="M5272" s="49">
        <f>IF($A$4+52&gt;$B$4,"",$A$4+52)</f>
        <v>46075</v>
      </c>
      <c r="N5272">
        <f>IF(M5272="","",'Master Barang'!A66)</f>
        <v>0</v>
      </c>
      <c r="O5272">
        <f>IF(N5272="","",'Master Barang'!B66)</f>
        <v>0</v>
      </c>
      <c r="P5272">
        <f>IF(OR(M5272="",N5272=""),"",SUMIFS('Barang Keluar'!$E:$E,'Barang Keluar'!$A:$A,M5272,'Barang Keluar'!$C:$C,N5272))</f>
        <v>0</v>
      </c>
    </row>
    <row r="5273" spans="13:16">
      <c r="M5273" s="49">
        <f>IF($A$4+52&gt;$B$4,"",$A$4+52)</f>
        <v>46075</v>
      </c>
      <c r="N5273">
        <f>IF(M5273="","",'Master Barang'!A67)</f>
        <v>0</v>
      </c>
      <c r="O5273">
        <f>IF(N5273="","",'Master Barang'!B67)</f>
        <v>0</v>
      </c>
      <c r="P5273">
        <f>IF(OR(M5273="",N5273=""),"",SUMIFS('Barang Keluar'!$E:$E,'Barang Keluar'!$A:$A,M5273,'Barang Keluar'!$C:$C,N5273))</f>
        <v>0</v>
      </c>
    </row>
    <row r="5274" spans="13:16">
      <c r="M5274" s="49">
        <f>IF($A$4+52&gt;$B$4,"",$A$4+52)</f>
        <v>46075</v>
      </c>
      <c r="N5274">
        <f>IF(M5274="","",'Master Barang'!A68)</f>
        <v>0</v>
      </c>
      <c r="O5274">
        <f>IF(N5274="","",'Master Barang'!B68)</f>
        <v>0</v>
      </c>
      <c r="P5274">
        <f>IF(OR(M5274="",N5274=""),"",SUMIFS('Barang Keluar'!$E:$E,'Barang Keluar'!$A:$A,M5274,'Barang Keluar'!$C:$C,N5274))</f>
        <v>0</v>
      </c>
    </row>
    <row r="5275" spans="13:16">
      <c r="M5275" s="49">
        <f>IF($A$4+52&gt;$B$4,"",$A$4+52)</f>
        <v>46075</v>
      </c>
      <c r="N5275">
        <f>IF(M5275="","",'Master Barang'!A69)</f>
        <v>0</v>
      </c>
      <c r="O5275">
        <f>IF(N5275="","",'Master Barang'!B69)</f>
        <v>0</v>
      </c>
      <c r="P5275">
        <f>IF(OR(M5275="",N5275=""),"",SUMIFS('Barang Keluar'!$E:$E,'Barang Keluar'!$A:$A,M5275,'Barang Keluar'!$C:$C,N5275))</f>
        <v>0</v>
      </c>
    </row>
    <row r="5276" spans="13:16">
      <c r="M5276" s="49">
        <f>IF($A$4+52&gt;$B$4,"",$A$4+52)</f>
        <v>46075</v>
      </c>
      <c r="N5276">
        <f>IF(M5276="","",'Master Barang'!A70)</f>
        <v>0</v>
      </c>
      <c r="O5276">
        <f>IF(N5276="","",'Master Barang'!B70)</f>
        <v>0</v>
      </c>
      <c r="P5276">
        <f>IF(OR(M5276="",N5276=""),"",SUMIFS('Barang Keluar'!$E:$E,'Barang Keluar'!$A:$A,M5276,'Barang Keluar'!$C:$C,N5276))</f>
        <v>0</v>
      </c>
    </row>
    <row r="5277" spans="13:16">
      <c r="M5277" s="49">
        <f>IF($A$4+52&gt;$B$4,"",$A$4+52)</f>
        <v>46075</v>
      </c>
      <c r="N5277">
        <f>IF(M5277="","",'Master Barang'!A71)</f>
        <v>0</v>
      </c>
      <c r="O5277">
        <f>IF(N5277="","",'Master Barang'!B71)</f>
        <v>0</v>
      </c>
      <c r="P5277">
        <f>IF(OR(M5277="",N5277=""),"",SUMIFS('Barang Keluar'!$E:$E,'Barang Keluar'!$A:$A,M5277,'Barang Keluar'!$C:$C,N5277))</f>
        <v>0</v>
      </c>
    </row>
    <row r="5278" spans="13:16">
      <c r="M5278" s="49">
        <f>IF($A$4+52&gt;$B$4,"",$A$4+52)</f>
        <v>46075</v>
      </c>
      <c r="N5278">
        <f>IF(M5278="","",'Master Barang'!A72)</f>
        <v>0</v>
      </c>
      <c r="O5278">
        <f>IF(N5278="","",'Master Barang'!B72)</f>
        <v>0</v>
      </c>
      <c r="P5278">
        <f>IF(OR(M5278="",N5278=""),"",SUMIFS('Barang Keluar'!$E:$E,'Barang Keluar'!$A:$A,M5278,'Barang Keluar'!$C:$C,N5278))</f>
        <v>0</v>
      </c>
    </row>
    <row r="5279" spans="13:16">
      <c r="M5279" s="49">
        <f>IF($A$4+52&gt;$B$4,"",$A$4+52)</f>
        <v>46075</v>
      </c>
      <c r="N5279">
        <f>IF(M5279="","",'Master Barang'!A73)</f>
        <v>0</v>
      </c>
      <c r="O5279">
        <f>IF(N5279="","",'Master Barang'!B73)</f>
        <v>0</v>
      </c>
      <c r="P5279">
        <f>IF(OR(M5279="",N5279=""),"",SUMIFS('Barang Keluar'!$E:$E,'Barang Keluar'!$A:$A,M5279,'Barang Keluar'!$C:$C,N5279))</f>
        <v>0</v>
      </c>
    </row>
    <row r="5280" spans="13:16">
      <c r="M5280" s="49">
        <f>IF($A$4+52&gt;$B$4,"",$A$4+52)</f>
        <v>46075</v>
      </c>
      <c r="N5280">
        <f>IF(M5280="","",'Master Barang'!A74)</f>
        <v>0</v>
      </c>
      <c r="O5280">
        <f>IF(N5280="","",'Master Barang'!B74)</f>
        <v>0</v>
      </c>
      <c r="P5280">
        <f>IF(OR(M5280="",N5280=""),"",SUMIFS('Barang Keluar'!$E:$E,'Barang Keluar'!$A:$A,M5280,'Barang Keluar'!$C:$C,N5280))</f>
        <v>0</v>
      </c>
    </row>
    <row r="5281" spans="13:16">
      <c r="M5281" s="49">
        <f>IF($A$4+52&gt;$B$4,"",$A$4+52)</f>
        <v>46075</v>
      </c>
      <c r="N5281">
        <f>IF(M5281="","",'Master Barang'!A75)</f>
        <v>0</v>
      </c>
      <c r="O5281">
        <f>IF(N5281="","",'Master Barang'!B75)</f>
        <v>0</v>
      </c>
      <c r="P5281">
        <f>IF(OR(M5281="",N5281=""),"",SUMIFS('Barang Keluar'!$E:$E,'Barang Keluar'!$A:$A,M5281,'Barang Keluar'!$C:$C,N5281))</f>
        <v>0</v>
      </c>
    </row>
    <row r="5282" spans="13:16">
      <c r="M5282" s="49">
        <f>IF($A$4+52&gt;$B$4,"",$A$4+52)</f>
        <v>46075</v>
      </c>
      <c r="N5282">
        <f>IF(M5282="","",'Master Barang'!A76)</f>
        <v>0</v>
      </c>
      <c r="O5282">
        <f>IF(N5282="","",'Master Barang'!B76)</f>
        <v>0</v>
      </c>
      <c r="P5282">
        <f>IF(OR(M5282="",N5282=""),"",SUMIFS('Barang Keluar'!$E:$E,'Barang Keluar'!$A:$A,M5282,'Barang Keluar'!$C:$C,N5282))</f>
        <v>0</v>
      </c>
    </row>
    <row r="5283" spans="13:16">
      <c r="M5283" s="49">
        <f>IF($A$4+52&gt;$B$4,"",$A$4+52)</f>
        <v>46075</v>
      </c>
      <c r="N5283">
        <f>IF(M5283="","",'Master Barang'!A77)</f>
        <v>0</v>
      </c>
      <c r="O5283">
        <f>IF(N5283="","",'Master Barang'!B77)</f>
        <v>0</v>
      </c>
      <c r="P5283">
        <f>IF(OR(M5283="",N5283=""),"",SUMIFS('Barang Keluar'!$E:$E,'Barang Keluar'!$A:$A,M5283,'Barang Keluar'!$C:$C,N5283))</f>
        <v>0</v>
      </c>
    </row>
    <row r="5284" spans="13:16">
      <c r="M5284" s="49">
        <f>IF($A$4+52&gt;$B$4,"",$A$4+52)</f>
        <v>46075</v>
      </c>
      <c r="N5284">
        <f>IF(M5284="","",'Master Barang'!A78)</f>
        <v>0</v>
      </c>
      <c r="O5284">
        <f>IF(N5284="","",'Master Barang'!B78)</f>
        <v>0</v>
      </c>
      <c r="P5284">
        <f>IF(OR(M5284="",N5284=""),"",SUMIFS('Barang Keluar'!$E:$E,'Barang Keluar'!$A:$A,M5284,'Barang Keluar'!$C:$C,N5284))</f>
        <v>0</v>
      </c>
    </row>
    <row r="5285" spans="13:16">
      <c r="M5285" s="49">
        <f>IF($A$4+52&gt;$B$4,"",$A$4+52)</f>
        <v>46075</v>
      </c>
      <c r="N5285">
        <f>IF(M5285="","",'Master Barang'!A79)</f>
        <v>0</v>
      </c>
      <c r="O5285">
        <f>IF(N5285="","",'Master Barang'!B79)</f>
        <v>0</v>
      </c>
      <c r="P5285">
        <f>IF(OR(M5285="",N5285=""),"",SUMIFS('Barang Keluar'!$E:$E,'Barang Keluar'!$A:$A,M5285,'Barang Keluar'!$C:$C,N5285))</f>
        <v>0</v>
      </c>
    </row>
    <row r="5286" spans="13:16">
      <c r="M5286" s="49">
        <f>IF($A$4+52&gt;$B$4,"",$A$4+52)</f>
        <v>46075</v>
      </c>
      <c r="N5286">
        <f>IF(M5286="","",'Master Barang'!A80)</f>
        <v>0</v>
      </c>
      <c r="O5286">
        <f>IF(N5286="","",'Master Barang'!B80)</f>
        <v>0</v>
      </c>
      <c r="P5286">
        <f>IF(OR(M5286="",N5286=""),"",SUMIFS('Barang Keluar'!$E:$E,'Barang Keluar'!$A:$A,M5286,'Barang Keluar'!$C:$C,N5286))</f>
        <v>0</v>
      </c>
    </row>
    <row r="5287" spans="13:16">
      <c r="M5287" s="49">
        <f>IF($A$4+52&gt;$B$4,"",$A$4+52)</f>
        <v>46075</v>
      </c>
      <c r="N5287">
        <f>IF(M5287="","",'Master Barang'!A81)</f>
        <v>0</v>
      </c>
      <c r="O5287">
        <f>IF(N5287="","",'Master Barang'!B81)</f>
        <v>0</v>
      </c>
      <c r="P5287">
        <f>IF(OR(M5287="",N5287=""),"",SUMIFS('Barang Keluar'!$E:$E,'Barang Keluar'!$A:$A,M5287,'Barang Keluar'!$C:$C,N5287))</f>
        <v>0</v>
      </c>
    </row>
    <row r="5288" spans="13:16">
      <c r="M5288" s="49">
        <f>IF($A$4+52&gt;$B$4,"",$A$4+52)</f>
        <v>46075</v>
      </c>
      <c r="N5288">
        <f>IF(M5288="","",'Master Barang'!A82)</f>
        <v>0</v>
      </c>
      <c r="O5288">
        <f>IF(N5288="","",'Master Barang'!B82)</f>
        <v>0</v>
      </c>
      <c r="P5288">
        <f>IF(OR(M5288="",N5288=""),"",SUMIFS('Barang Keluar'!$E:$E,'Barang Keluar'!$A:$A,M5288,'Barang Keluar'!$C:$C,N5288))</f>
        <v>0</v>
      </c>
    </row>
    <row r="5289" spans="13:16">
      <c r="M5289" s="49">
        <f>IF($A$4+52&gt;$B$4,"",$A$4+52)</f>
        <v>46075</v>
      </c>
      <c r="N5289">
        <f>IF(M5289="","",'Master Barang'!A83)</f>
        <v>0</v>
      </c>
      <c r="O5289">
        <f>IF(N5289="","",'Master Barang'!B83)</f>
        <v>0</v>
      </c>
      <c r="P5289">
        <f>IF(OR(M5289="",N5289=""),"",SUMIFS('Barang Keluar'!$E:$E,'Barang Keluar'!$A:$A,M5289,'Barang Keluar'!$C:$C,N5289))</f>
        <v>0</v>
      </c>
    </row>
    <row r="5290" spans="13:16">
      <c r="M5290" s="49">
        <f>IF($A$4+52&gt;$B$4,"",$A$4+52)</f>
        <v>46075</v>
      </c>
      <c r="N5290">
        <f>IF(M5290="","",'Master Barang'!A84)</f>
        <v>0</v>
      </c>
      <c r="O5290">
        <f>IF(N5290="","",'Master Barang'!B84)</f>
        <v>0</v>
      </c>
      <c r="P5290">
        <f>IF(OR(M5290="",N5290=""),"",SUMIFS('Barang Keluar'!$E:$E,'Barang Keluar'!$A:$A,M5290,'Barang Keluar'!$C:$C,N5290))</f>
        <v>0</v>
      </c>
    </row>
    <row r="5291" spans="13:16">
      <c r="M5291" s="49">
        <f>IF($A$4+52&gt;$B$4,"",$A$4+52)</f>
        <v>46075</v>
      </c>
      <c r="N5291">
        <f>IF(M5291="","",'Master Barang'!A85)</f>
        <v>0</v>
      </c>
      <c r="O5291">
        <f>IF(N5291="","",'Master Barang'!B85)</f>
        <v>0</v>
      </c>
      <c r="P5291">
        <f>IF(OR(M5291="",N5291=""),"",SUMIFS('Barang Keluar'!$E:$E,'Barang Keluar'!$A:$A,M5291,'Barang Keluar'!$C:$C,N5291))</f>
        <v>0</v>
      </c>
    </row>
    <row r="5292" spans="13:16">
      <c r="M5292" s="49">
        <f>IF($A$4+52&gt;$B$4,"",$A$4+52)</f>
        <v>46075</v>
      </c>
      <c r="N5292">
        <f>IF(M5292="","",'Master Barang'!A86)</f>
        <v>0</v>
      </c>
      <c r="O5292">
        <f>IF(N5292="","",'Master Barang'!B86)</f>
        <v>0</v>
      </c>
      <c r="P5292">
        <f>IF(OR(M5292="",N5292=""),"",SUMIFS('Barang Keluar'!$E:$E,'Barang Keluar'!$A:$A,M5292,'Barang Keluar'!$C:$C,N5292))</f>
        <v>0</v>
      </c>
    </row>
    <row r="5293" spans="13:16">
      <c r="M5293" s="49">
        <f>IF($A$4+52&gt;$B$4,"",$A$4+52)</f>
        <v>46075</v>
      </c>
      <c r="N5293">
        <f>IF(M5293="","",'Master Barang'!A87)</f>
        <v>0</v>
      </c>
      <c r="O5293">
        <f>IF(N5293="","",'Master Barang'!B87)</f>
        <v>0</v>
      </c>
      <c r="P5293">
        <f>IF(OR(M5293="",N5293=""),"",SUMIFS('Barang Keluar'!$E:$E,'Barang Keluar'!$A:$A,M5293,'Barang Keluar'!$C:$C,N5293))</f>
        <v>0</v>
      </c>
    </row>
    <row r="5294" spans="13:16">
      <c r="M5294" s="49">
        <f>IF($A$4+52&gt;$B$4,"",$A$4+52)</f>
        <v>46075</v>
      </c>
      <c r="N5294">
        <f>IF(M5294="","",'Master Barang'!A88)</f>
        <v>0</v>
      </c>
      <c r="O5294">
        <f>IF(N5294="","",'Master Barang'!B88)</f>
        <v>0</v>
      </c>
      <c r="P5294">
        <f>IF(OR(M5294="",N5294=""),"",SUMIFS('Barang Keluar'!$E:$E,'Barang Keluar'!$A:$A,M5294,'Barang Keluar'!$C:$C,N5294))</f>
        <v>0</v>
      </c>
    </row>
    <row r="5295" spans="13:16">
      <c r="M5295" s="49">
        <f>IF($A$4+52&gt;$B$4,"",$A$4+52)</f>
        <v>46075</v>
      </c>
      <c r="N5295">
        <f>IF(M5295="","",'Master Barang'!A89)</f>
        <v>0</v>
      </c>
      <c r="O5295">
        <f>IF(N5295="","",'Master Barang'!B89)</f>
        <v>0</v>
      </c>
      <c r="P5295">
        <f>IF(OR(M5295="",N5295=""),"",SUMIFS('Barang Keluar'!$E:$E,'Barang Keluar'!$A:$A,M5295,'Barang Keluar'!$C:$C,N5295))</f>
        <v>0</v>
      </c>
    </row>
    <row r="5296" spans="13:16">
      <c r="M5296" s="49">
        <f>IF($A$4+52&gt;$B$4,"",$A$4+52)</f>
        <v>46075</v>
      </c>
      <c r="N5296">
        <f>IF(M5296="","",'Master Barang'!A90)</f>
        <v>0</v>
      </c>
      <c r="O5296">
        <f>IF(N5296="","",'Master Barang'!B90)</f>
        <v>0</v>
      </c>
      <c r="P5296">
        <f>IF(OR(M5296="",N5296=""),"",SUMIFS('Barang Keluar'!$E:$E,'Barang Keluar'!$A:$A,M5296,'Barang Keluar'!$C:$C,N5296))</f>
        <v>0</v>
      </c>
    </row>
    <row r="5297" spans="13:16">
      <c r="M5297" s="49">
        <f>IF($A$4+52&gt;$B$4,"",$A$4+52)</f>
        <v>46075</v>
      </c>
      <c r="N5297">
        <f>IF(M5297="","",'Master Barang'!A91)</f>
        <v>0</v>
      </c>
      <c r="O5297">
        <f>IF(N5297="","",'Master Barang'!B91)</f>
        <v>0</v>
      </c>
      <c r="P5297">
        <f>IF(OR(M5297="",N5297=""),"",SUMIFS('Barang Keluar'!$E:$E,'Barang Keluar'!$A:$A,M5297,'Barang Keluar'!$C:$C,N5297))</f>
        <v>0</v>
      </c>
    </row>
    <row r="5298" spans="13:16">
      <c r="M5298" s="49">
        <f>IF($A$4+52&gt;$B$4,"",$A$4+52)</f>
        <v>46075</v>
      </c>
      <c r="N5298">
        <f>IF(M5298="","",'Master Barang'!A92)</f>
        <v>0</v>
      </c>
      <c r="O5298">
        <f>IF(N5298="","",'Master Barang'!B92)</f>
        <v>0</v>
      </c>
      <c r="P5298">
        <f>IF(OR(M5298="",N5298=""),"",SUMIFS('Barang Keluar'!$E:$E,'Barang Keluar'!$A:$A,M5298,'Barang Keluar'!$C:$C,N5298))</f>
        <v>0</v>
      </c>
    </row>
    <row r="5299" spans="13:16">
      <c r="M5299" s="49">
        <f>IF($A$4+52&gt;$B$4,"",$A$4+52)</f>
        <v>46075</v>
      </c>
      <c r="N5299">
        <f>IF(M5299="","",'Master Barang'!A93)</f>
        <v>0</v>
      </c>
      <c r="O5299">
        <f>IF(N5299="","",'Master Barang'!B93)</f>
        <v>0</v>
      </c>
      <c r="P5299">
        <f>IF(OR(M5299="",N5299=""),"",SUMIFS('Barang Keluar'!$E:$E,'Barang Keluar'!$A:$A,M5299,'Barang Keluar'!$C:$C,N5299))</f>
        <v>0</v>
      </c>
    </row>
    <row r="5300" spans="13:16">
      <c r="M5300" s="49">
        <f>IF($A$4+52&gt;$B$4,"",$A$4+52)</f>
        <v>46075</v>
      </c>
      <c r="N5300">
        <f>IF(M5300="","",'Master Barang'!A94)</f>
        <v>0</v>
      </c>
      <c r="O5300">
        <f>IF(N5300="","",'Master Barang'!B94)</f>
        <v>0</v>
      </c>
      <c r="P5300">
        <f>IF(OR(M5300="",N5300=""),"",SUMIFS('Barang Keluar'!$E:$E,'Barang Keluar'!$A:$A,M5300,'Barang Keluar'!$C:$C,N5300))</f>
        <v>0</v>
      </c>
    </row>
    <row r="5301" spans="13:16">
      <c r="M5301" s="49">
        <f>IF($A$4+52&gt;$B$4,"",$A$4+52)</f>
        <v>46075</v>
      </c>
      <c r="N5301">
        <f>IF(M5301="","",'Master Barang'!A95)</f>
        <v>0</v>
      </c>
      <c r="O5301">
        <f>IF(N5301="","",'Master Barang'!B95)</f>
        <v>0</v>
      </c>
      <c r="P5301">
        <f>IF(OR(M5301="",N5301=""),"",SUMIFS('Barang Keluar'!$E:$E,'Barang Keluar'!$A:$A,M5301,'Barang Keluar'!$C:$C,N5301))</f>
        <v>0</v>
      </c>
    </row>
    <row r="5302" spans="13:16">
      <c r="M5302" s="49">
        <f>IF($A$4+52&gt;$B$4,"",$A$4+52)</f>
        <v>46075</v>
      </c>
      <c r="N5302">
        <f>IF(M5302="","",'Master Barang'!A96)</f>
        <v>0</v>
      </c>
      <c r="O5302">
        <f>IF(N5302="","",'Master Barang'!B96)</f>
        <v>0</v>
      </c>
      <c r="P5302">
        <f>IF(OR(M5302="",N5302=""),"",SUMIFS('Barang Keluar'!$E:$E,'Barang Keluar'!$A:$A,M5302,'Barang Keluar'!$C:$C,N5302))</f>
        <v>0</v>
      </c>
    </row>
    <row r="5303" spans="13:16">
      <c r="M5303" s="49">
        <f>IF($A$4+52&gt;$B$4,"",$A$4+52)</f>
        <v>46075</v>
      </c>
      <c r="N5303">
        <f>IF(M5303="","",'Master Barang'!A97)</f>
        <v>0</v>
      </c>
      <c r="O5303">
        <f>IF(N5303="","",'Master Barang'!B97)</f>
        <v>0</v>
      </c>
      <c r="P5303">
        <f>IF(OR(M5303="",N5303=""),"",SUMIFS('Barang Keluar'!$E:$E,'Barang Keluar'!$A:$A,M5303,'Barang Keluar'!$C:$C,N5303))</f>
        <v>0</v>
      </c>
    </row>
    <row r="5304" spans="13:16">
      <c r="M5304" s="49">
        <f>IF($A$4+52&gt;$B$4,"",$A$4+52)</f>
        <v>46075</v>
      </c>
      <c r="N5304">
        <f>IF(M5304="","",'Master Barang'!A98)</f>
        <v>0</v>
      </c>
      <c r="O5304">
        <f>IF(N5304="","",'Master Barang'!B98)</f>
        <v>0</v>
      </c>
      <c r="P5304">
        <f>IF(OR(M5304="",N5304=""),"",SUMIFS('Barang Keluar'!$E:$E,'Barang Keluar'!$A:$A,M5304,'Barang Keluar'!$C:$C,N5304))</f>
        <v>0</v>
      </c>
    </row>
    <row r="5305" spans="13:16">
      <c r="M5305" s="49">
        <f>IF($A$4+52&gt;$B$4,"",$A$4+52)</f>
        <v>46075</v>
      </c>
      <c r="N5305">
        <f>IF(M5305="","",'Master Barang'!A99)</f>
        <v>0</v>
      </c>
      <c r="O5305">
        <f>IF(N5305="","",'Master Barang'!B99)</f>
        <v>0</v>
      </c>
      <c r="P5305">
        <f>IF(OR(M5305="",N5305=""),"",SUMIFS('Barang Keluar'!$E:$E,'Barang Keluar'!$A:$A,M5305,'Barang Keluar'!$C:$C,N5305))</f>
        <v>0</v>
      </c>
    </row>
    <row r="5306" spans="13:16">
      <c r="M5306" s="49">
        <f>IF($A$4+52&gt;$B$4,"",$A$4+52)</f>
        <v>46075</v>
      </c>
      <c r="N5306">
        <f>IF(M5306="","",'Master Barang'!A100)</f>
        <v>0</v>
      </c>
      <c r="O5306">
        <f>IF(N5306="","",'Master Barang'!B100)</f>
        <v>0</v>
      </c>
      <c r="P5306">
        <f>IF(OR(M5306="",N5306=""),"",SUMIFS('Barang Keluar'!$E:$E,'Barang Keluar'!$A:$A,M5306,'Barang Keluar'!$C:$C,N5306))</f>
        <v>0</v>
      </c>
    </row>
    <row r="5307" spans="13:16">
      <c r="M5307" s="49">
        <f>IF($A$4+52&gt;$B$4,"",$A$4+52)</f>
        <v>46075</v>
      </c>
      <c r="N5307">
        <f>IF(M5307="","",'Master Barang'!A101)</f>
        <v>0</v>
      </c>
      <c r="O5307">
        <f>IF(N5307="","",'Master Barang'!B101)</f>
        <v>0</v>
      </c>
      <c r="P5307">
        <f>IF(OR(M5307="",N5307=""),"",SUMIFS('Barang Keluar'!$E:$E,'Barang Keluar'!$A:$A,M5307,'Barang Keluar'!$C:$C,N5307))</f>
        <v>0</v>
      </c>
    </row>
    <row r="5308" spans="13:16">
      <c r="M5308" s="49">
        <f>IF($A$4+53&gt;$B$4,"",$A$4+53)</f>
        <v>46076</v>
      </c>
      <c r="N5308" t="str">
        <f>IF(M5308="","",'Master Barang'!A2)</f>
        <v>PRL-001</v>
      </c>
      <c r="O5308" t="str">
        <f>IF(N5308="","",'Master Barang'!B2)</f>
        <v>natura desinfectant food grade 5l</v>
      </c>
      <c r="P5308">
        <f>IF(OR(M5308="",N5308=""),"",SUMIFS('Barang Keluar'!$E:$E,'Barang Keluar'!$A:$A,M5308,'Barang Keluar'!$C:$C,N5308))</f>
        <v>0</v>
      </c>
    </row>
    <row r="5309" spans="13:16">
      <c r="M5309" s="49">
        <f>IF($A$4+53&gt;$B$4,"",$A$4+53)</f>
        <v>46076</v>
      </c>
      <c r="N5309" t="str">
        <f>IF(M5309="","",'Master Barang'!A3)</f>
        <v>PRL-002</v>
      </c>
      <c r="O5309" t="str">
        <f>IF(N5309="","",'Master Barang'!B3)</f>
        <v>sunlight cairan pencuci piring 5l</v>
      </c>
      <c r="P5309">
        <f>IF(OR(M5309="",N5309=""),"",SUMIFS('Barang Keluar'!$E:$E,'Barang Keluar'!$A:$A,M5309,'Barang Keluar'!$C:$C,N5309))</f>
        <v>0</v>
      </c>
    </row>
    <row r="5310" spans="13:16">
      <c r="M5310" s="49">
        <f>IF($A$4+53&gt;$B$4,"",$A$4+53)</f>
        <v>46076</v>
      </c>
      <c r="N5310" t="str">
        <f>IF(M5310="","",'Master Barang'!A4)</f>
        <v>PRL-003</v>
      </c>
      <c r="O5310" t="str">
        <f>IF(N5310="","",'Master Barang'!B4)</f>
        <v>oixs cleaner 1l</v>
      </c>
      <c r="P5310">
        <f>IF(OR(M5310="",N5310=""),"",SUMIFS('Barang Keluar'!$E:$E,'Barang Keluar'!$A:$A,M5310,'Barang Keluar'!$C:$C,N5310))</f>
        <v>0</v>
      </c>
    </row>
    <row r="5311" spans="13:16">
      <c r="M5311" s="49">
        <f>IF($A$4+53&gt;$B$4,"",$A$4+53)</f>
        <v>46076</v>
      </c>
      <c r="N5311" t="str">
        <f>IF(M5311="","",'Master Barang'!A5)</f>
        <v>PRL-004</v>
      </c>
      <c r="O5311" t="str">
        <f>IF(N5311="","",'Master Barang'!B5)</f>
        <v>be clean tissue serbaguna</v>
      </c>
      <c r="P5311">
        <f>IF(OR(M5311="",N5311=""),"",SUMIFS('Barang Keluar'!$E:$E,'Barang Keluar'!$A:$A,M5311,'Barang Keluar'!$C:$C,N5311))</f>
        <v>0</v>
      </c>
    </row>
    <row r="5312" spans="13:16">
      <c r="M5312" s="49">
        <f>IF($A$4+53&gt;$B$4,"",$A$4+53)</f>
        <v>46076</v>
      </c>
      <c r="N5312" t="str">
        <f>IF(M5312="","",'Master Barang'!A6)</f>
        <v>PRL-005</v>
      </c>
      <c r="O5312" t="str">
        <f>IF(N5312="","",'Master Barang'!B6)</f>
        <v>spons cuci hijau</v>
      </c>
      <c r="P5312">
        <f>IF(OR(M5312="",N5312=""),"",SUMIFS('Barang Keluar'!$E:$E,'Barang Keluar'!$A:$A,M5312,'Barang Keluar'!$C:$C,N5312))</f>
        <v>0</v>
      </c>
    </row>
    <row r="5313" spans="13:16">
      <c r="M5313" s="49">
        <f>IF($A$4+53&gt;$B$4,"",$A$4+53)</f>
        <v>46076</v>
      </c>
      <c r="N5313" t="str">
        <f>IF(M5313="","",'Master Barang'!A7)</f>
        <v>PRL-006</v>
      </c>
      <c r="O5313" t="str">
        <f>IF(N5313="","",'Master Barang'!B7)</f>
        <v>sabut cuci stainless</v>
      </c>
      <c r="P5313">
        <f>IF(OR(M5313="",N5313=""),"",SUMIFS('Barang Keluar'!$E:$E,'Barang Keluar'!$A:$A,M5313,'Barang Keluar'!$C:$C,N5313))</f>
        <v>0</v>
      </c>
    </row>
    <row r="5314" spans="13:16">
      <c r="M5314" s="49">
        <f>IF($A$4+53&gt;$B$4,"",$A$4+53)</f>
        <v>46076</v>
      </c>
      <c r="N5314" t="str">
        <f>IF(M5314="","",'Master Barang'!A8)</f>
        <v>PRL-007</v>
      </c>
      <c r="O5314" t="str">
        <f>IF(N5314="","",'Master Barang'!B8)</f>
        <v>plastik kresek besar merah 50pc</v>
      </c>
      <c r="P5314">
        <f>IF(OR(M5314="",N5314=""),"",SUMIFS('Barang Keluar'!$E:$E,'Barang Keluar'!$A:$A,M5314,'Barang Keluar'!$C:$C,N5314))</f>
        <v>0</v>
      </c>
    </row>
    <row r="5315" spans="13:16">
      <c r="M5315" s="49">
        <f>IF($A$4+53&gt;$B$4,"",$A$4+53)</f>
        <v>46076</v>
      </c>
      <c r="N5315" t="str">
        <f>IF(M5315="","",'Master Barang'!A9)</f>
        <v>PRL-008</v>
      </c>
      <c r="O5315" t="str">
        <f>IF(N5315="","",'Master Barang'!B9)</f>
        <v>lap besar</v>
      </c>
      <c r="P5315">
        <f>IF(OR(M5315="",N5315=""),"",SUMIFS('Barang Keluar'!$E:$E,'Barang Keluar'!$A:$A,M5315,'Barang Keluar'!$C:$C,N5315))</f>
        <v>0</v>
      </c>
    </row>
    <row r="5316" spans="13:16">
      <c r="M5316" s="49">
        <f>IF($A$4+53&gt;$B$4,"",$A$4+53)</f>
        <v>46076</v>
      </c>
      <c r="N5316" t="str">
        <f>IF(M5316="","",'Master Barang'!A10)</f>
        <v>PRL-009</v>
      </c>
      <c r="O5316" t="str">
        <f>IF(N5316="","",'Master Barang'!B10)</f>
        <v>lap microfiber</v>
      </c>
      <c r="P5316">
        <f>IF(OR(M5316="",N5316=""),"",SUMIFS('Barang Keluar'!$E:$E,'Barang Keluar'!$A:$A,M5316,'Barang Keluar'!$C:$C,N5316))</f>
        <v>0</v>
      </c>
    </row>
    <row r="5317" spans="13:16">
      <c r="M5317" s="49">
        <f>IF($A$4+53&gt;$B$4,"",$A$4+53)</f>
        <v>46076</v>
      </c>
      <c r="N5317" t="str">
        <f>IF(M5317="","",'Master Barang'!A11)</f>
        <v>PRL-010</v>
      </c>
      <c r="O5317" t="str">
        <f>IF(N5317="","",'Master Barang'!B11)</f>
        <v>lap kecil</v>
      </c>
      <c r="P5317">
        <f>IF(OR(M5317="",N5317=""),"",SUMIFS('Barang Keluar'!$E:$E,'Barang Keluar'!$A:$A,M5317,'Barang Keluar'!$C:$C,N5317))</f>
        <v>0</v>
      </c>
    </row>
    <row r="5318" spans="13:16">
      <c r="M5318" s="49">
        <f>IF($A$4+53&gt;$B$4,"",$A$4+53)</f>
        <v>46076</v>
      </c>
      <c r="N5318" t="str">
        <f>IF(M5318="","",'Master Barang'!A12)</f>
        <v>PRL-011</v>
      </c>
      <c r="O5318" t="str">
        <f>IF(N5318="","",'Master Barang'!B12)</f>
        <v>kanebo kecil</v>
      </c>
      <c r="P5318">
        <f>IF(OR(M5318="",N5318=""),"",SUMIFS('Barang Keluar'!$E:$E,'Barang Keluar'!$A:$A,M5318,'Barang Keluar'!$C:$C,N5318))</f>
        <v>0</v>
      </c>
    </row>
    <row r="5319" spans="13:16">
      <c r="M5319" s="49">
        <f>IF($A$4+53&gt;$B$4,"",$A$4+53)</f>
        <v>46076</v>
      </c>
      <c r="N5319" t="str">
        <f>IF(M5319="","",'Master Barang'!A13)</f>
        <v>PRL-012</v>
      </c>
      <c r="O5319" t="str">
        <f>IF(N5319="","",'Master Barang'!B13)</f>
        <v>plastik 1/4kg joyoboyo 100 lembar</v>
      </c>
      <c r="P5319">
        <f>IF(OR(M5319="",N5319=""),"",SUMIFS('Barang Keluar'!$E:$E,'Barang Keluar'!$A:$A,M5319,'Barang Keluar'!$C:$C,N5319))</f>
        <v>0</v>
      </c>
    </row>
    <row r="5320" spans="13:16">
      <c r="M5320" s="49">
        <f>IF($A$4+53&gt;$B$4,"",$A$4+53)</f>
        <v>46076</v>
      </c>
      <c r="N5320" t="str">
        <f>IF(M5320="","",'Master Barang'!A14)</f>
        <v>PRL-013</v>
      </c>
      <c r="O5320" t="str">
        <f>IF(N5320="","",'Master Barang'!B14)</f>
        <v>sarung tangan plastik kaka 100 pcs</v>
      </c>
      <c r="P5320">
        <f>IF(OR(M5320="",N5320=""),"",SUMIFS('Barang Keluar'!$E:$E,'Barang Keluar'!$A:$A,M5320,'Barang Keluar'!$C:$C,N5320))</f>
        <v>0</v>
      </c>
    </row>
    <row r="5321" spans="13:16">
      <c r="M5321" s="49">
        <f>IF($A$4+53&gt;$B$4,"",$A$4+53)</f>
        <v>46076</v>
      </c>
      <c r="N5321" t="str">
        <f>IF(M5321="","",'Master Barang'!A15)</f>
        <v>PRL-014</v>
      </c>
      <c r="O5321" t="str">
        <f>IF(N5321="","",'Master Barang'!B15)</f>
        <v>optima trashbag 80x100</v>
      </c>
      <c r="P5321">
        <f>IF(OR(M5321="",N5321=""),"",SUMIFS('Barang Keluar'!$E:$E,'Barang Keluar'!$A:$A,M5321,'Barang Keluar'!$C:$C,N5321))</f>
        <v>0</v>
      </c>
    </row>
    <row r="5322" spans="13:16">
      <c r="M5322" s="49">
        <f>IF($A$4+53&gt;$B$4,"",$A$4+53)</f>
        <v>46076</v>
      </c>
      <c r="N5322" t="str">
        <f>IF(M5322="","",'Master Barang'!A16)</f>
        <v>PRL-015</v>
      </c>
      <c r="O5322" t="str">
        <f>IF(N5322="","",'Master Barang'!B16)</f>
        <v>optima trashbag 60x100</v>
      </c>
      <c r="P5322">
        <f>IF(OR(M5322="",N5322=""),"",SUMIFS('Barang Keluar'!$E:$E,'Barang Keluar'!$A:$A,M5322,'Barang Keluar'!$C:$C,N5322))</f>
        <v>0</v>
      </c>
    </row>
    <row r="5323" spans="13:16">
      <c r="M5323" s="49">
        <f>IF($A$4+53&gt;$B$4,"",$A$4+53)</f>
        <v>46076</v>
      </c>
      <c r="N5323" t="str">
        <f>IF(M5323="","",'Master Barang'!A17)</f>
        <v>PRL-016</v>
      </c>
      <c r="O5323" t="str">
        <f>IF(N5323="","",'Master Barang'!B17)</f>
        <v>rajawali trashbag 30x40</v>
      </c>
      <c r="P5323">
        <f>IF(OR(M5323="",N5323=""),"",SUMIFS('Barang Keluar'!$E:$E,'Barang Keluar'!$A:$A,M5323,'Barang Keluar'!$C:$C,N5323))</f>
        <v>0</v>
      </c>
    </row>
    <row r="5324" spans="13:16">
      <c r="M5324" s="49">
        <f>IF($A$4+53&gt;$B$4,"",$A$4+53)</f>
        <v>46076</v>
      </c>
      <c r="N5324" t="str">
        <f>IF(M5324="","",'Master Barang'!A18)</f>
        <v>PRL-017</v>
      </c>
      <c r="O5324" t="str">
        <f>IF(N5324="","",'Master Barang'!B18)</f>
        <v>onemed masker biru 3 play 50 pcs</v>
      </c>
      <c r="P5324">
        <f>IF(OR(M5324="",N5324=""),"",SUMIFS('Barang Keluar'!$E:$E,'Barang Keluar'!$A:$A,M5324,'Barang Keluar'!$C:$C,N5324))</f>
        <v>0</v>
      </c>
    </row>
    <row r="5325" spans="13:16">
      <c r="M5325" s="49">
        <f>IF($A$4+53&gt;$B$4,"",$A$4+53)</f>
        <v>46076</v>
      </c>
      <c r="N5325" t="str">
        <f>IF(M5325="","",'Master Barang'!A19)</f>
        <v>PRL-018</v>
      </c>
      <c r="O5325" t="str">
        <f>IF(N5325="","",'Master Barang'!B19)</f>
        <v>onemed masker biru 3 play hijab 50 pcs</v>
      </c>
      <c r="P5325">
        <f>IF(OR(M5325="",N5325=""),"",SUMIFS('Barang Keluar'!$E:$E,'Barang Keluar'!$A:$A,M5325,'Barang Keluar'!$C:$C,N5325))</f>
        <v>0</v>
      </c>
    </row>
    <row r="5326" spans="13:16">
      <c r="M5326" s="49">
        <f>IF($A$4+53&gt;$B$4,"",$A$4+53)</f>
        <v>46076</v>
      </c>
      <c r="N5326" t="str">
        <f>IF(M5326="","",'Master Barang'!A20)</f>
        <v>PRL-019</v>
      </c>
      <c r="O5326" t="str">
        <f>IF(N5326="","",'Master Barang'!B20)</f>
        <v>neo health masker biru 3 play 50 pcs</v>
      </c>
      <c r="P5326">
        <f>IF(OR(M5326="",N5326=""),"",SUMIFS('Barang Keluar'!$E:$E,'Barang Keluar'!$A:$A,M5326,'Barang Keluar'!$C:$C,N5326))</f>
        <v>0</v>
      </c>
    </row>
    <row r="5327" spans="13:16">
      <c r="M5327" s="49">
        <f>IF($A$4+53&gt;$B$4,"",$A$4+53)</f>
        <v>46076</v>
      </c>
      <c r="N5327" t="str">
        <f>IF(M5327="","",'Master Barang'!A21)</f>
        <v>PRL-020</v>
      </c>
      <c r="O5327" t="str">
        <f>IF(N5327="","",'Master Barang'!B21)</f>
        <v>baymed masker hijau 3 play hijau 50 pcs</v>
      </c>
      <c r="P5327">
        <f>IF(OR(M5327="",N5327=""),"",SUMIFS('Barang Keluar'!$E:$E,'Barang Keluar'!$A:$A,M5327,'Barang Keluar'!$C:$C,N5327))</f>
        <v>0</v>
      </c>
    </row>
    <row r="5328" spans="13:16">
      <c r="M5328" s="49">
        <f>IF($A$4+53&gt;$B$4,"",$A$4+53)</f>
        <v>46076</v>
      </c>
      <c r="N5328" t="str">
        <f>IF(M5328="","",'Master Barang'!A22)</f>
        <v>PRL-021</v>
      </c>
      <c r="O5328" t="str">
        <f>IF(N5328="","",'Master Barang'!B22)</f>
        <v>altamed nurse cap penutup kepala 100 pcs</v>
      </c>
      <c r="P5328">
        <f>IF(OR(M5328="",N5328=""),"",SUMIFS('Barang Keluar'!$E:$E,'Barang Keluar'!$A:$A,M5328,'Barang Keluar'!$C:$C,N5328))</f>
        <v>0</v>
      </c>
    </row>
    <row r="5329" spans="13:16">
      <c r="M5329" s="49">
        <f>IF($A$4+53&gt;$B$4,"",$A$4+53)</f>
        <v>46076</v>
      </c>
      <c r="N5329" t="str">
        <f>IF(M5329="","",'Master Barang'!A23)</f>
        <v>PRL-022</v>
      </c>
      <c r="O5329" t="str">
        <f>IF(N5329="","",'Master Barang'!B23)</f>
        <v>sabun cuci tangan</v>
      </c>
      <c r="P5329">
        <f>IF(OR(M5329="",N5329=""),"",SUMIFS('Barang Keluar'!$E:$E,'Barang Keluar'!$A:$A,M5329,'Barang Keluar'!$C:$C,N5329))</f>
        <v>0</v>
      </c>
    </row>
    <row r="5330" spans="13:16">
      <c r="M5330" s="49">
        <f>IF($A$4+53&gt;$B$4,"",$A$4+53)</f>
        <v>46076</v>
      </c>
      <c r="N5330" t="str">
        <f>IF(M5330="","",'Master Barang'!A24)</f>
        <v>PRL-023</v>
      </c>
      <c r="O5330" t="str">
        <f>IF(N5330="","",'Master Barang'!B24)</f>
        <v>gayung kecil</v>
      </c>
      <c r="P5330">
        <f>IF(OR(M5330="",N5330=""),"",SUMIFS('Barang Keluar'!$E:$E,'Barang Keluar'!$A:$A,M5330,'Barang Keluar'!$C:$C,N5330))</f>
        <v>0</v>
      </c>
    </row>
    <row r="5331" spans="13:16">
      <c r="M5331" s="49">
        <f>IF($A$4+53&gt;$B$4,"",$A$4+53)</f>
        <v>46076</v>
      </c>
      <c r="N5331" t="str">
        <f>IF(M5331="","",'Master Barang'!A25)</f>
        <v>PRL-024</v>
      </c>
      <c r="O5331" t="str">
        <f>IF(N5331="","",'Master Barang'!B25)</f>
        <v>cikrak kecil</v>
      </c>
      <c r="P5331">
        <f>IF(OR(M5331="",N5331=""),"",SUMIFS('Barang Keluar'!$E:$E,'Barang Keluar'!$A:$A,M5331,'Barang Keluar'!$C:$C,N5331))</f>
        <v>0</v>
      </c>
    </row>
    <row r="5332" spans="13:16">
      <c r="M5332" s="49">
        <f>IF($A$4+53&gt;$B$4,"",$A$4+53)</f>
        <v>46076</v>
      </c>
      <c r="N5332" t="str">
        <f>IF(M5332="","",'Master Barang'!A26)</f>
        <v>PRL-025</v>
      </c>
      <c r="O5332" t="str">
        <f>IF(N5332="","",'Master Barang'!B26)</f>
        <v>petromax plastik kecil 12x24 100 lembar</v>
      </c>
      <c r="P5332">
        <f>IF(OR(M5332="",N5332=""),"",SUMIFS('Barang Keluar'!$E:$E,'Barang Keluar'!$A:$A,M5332,'Barang Keluar'!$C:$C,N5332))</f>
        <v>0</v>
      </c>
    </row>
    <row r="5333" spans="13:16">
      <c r="M5333" s="49">
        <f>IF($A$4+53&gt;$B$4,"",$A$4+53)</f>
        <v>46076</v>
      </c>
      <c r="N5333" t="str">
        <f>IF(M5333="","",'Master Barang'!A27)</f>
        <v>PRL-026</v>
      </c>
      <c r="O5333" t="str">
        <f>IF(N5333="","",'Master Barang'!B27)</f>
        <v>lancar kresek kecil bening </v>
      </c>
      <c r="P5333">
        <f>IF(OR(M5333="",N5333=""),"",SUMIFS('Barang Keluar'!$E:$E,'Barang Keluar'!$A:$A,M5333,'Barang Keluar'!$C:$C,N5333))</f>
        <v>0</v>
      </c>
    </row>
    <row r="5334" spans="13:16">
      <c r="M5334" s="49">
        <f>IF($A$4+53&gt;$B$4,"",$A$4+53)</f>
        <v>46076</v>
      </c>
      <c r="N5334" t="str">
        <f>IF(M5334="","",'Master Barang'!A28)</f>
        <v>PRL-027</v>
      </c>
      <c r="O5334" t="str">
        <f>IF(N5334="","",'Master Barang'!B28)</f>
        <v>kresek klin warna warni kecil</v>
      </c>
      <c r="P5334">
        <f>IF(OR(M5334="",N5334=""),"",SUMIFS('Barang Keluar'!$E:$E,'Barang Keluar'!$A:$A,M5334,'Barang Keluar'!$C:$C,N5334))</f>
        <v>0</v>
      </c>
    </row>
    <row r="5335" spans="13:16">
      <c r="M5335" s="49">
        <f>IF($A$4+53&gt;$B$4,"",$A$4+53)</f>
        <v>46076</v>
      </c>
      <c r="N5335" t="str">
        <f>IF(M5335="","",'Master Barang'!A29)</f>
        <v>PRL-028</v>
      </c>
      <c r="O5335" t="str">
        <f>IF(N5335="","",'Master Barang'!B29)</f>
        <v>ctik plastik 7x10 100 pcs</v>
      </c>
      <c r="P5335">
        <f>IF(OR(M5335="",N5335=""),"",SUMIFS('Barang Keluar'!$E:$E,'Barang Keluar'!$A:$A,M5335,'Barang Keluar'!$C:$C,N5335))</f>
        <v>0</v>
      </c>
    </row>
    <row r="5336" spans="13:16">
      <c r="M5336" s="49">
        <f>IF($A$4+53&gt;$B$4,"",$A$4+53)</f>
        <v>46076</v>
      </c>
      <c r="N5336" t="str">
        <f>IF(M5336="","",'Master Barang'!A30)</f>
        <v>PRL-029</v>
      </c>
      <c r="O5336" t="str">
        <f>IF(N5336="","",'Master Barang'!B30)</f>
        <v>ctik plastik 6x10 100 pcs</v>
      </c>
      <c r="P5336">
        <f>IF(OR(M5336="",N5336=""),"",SUMIFS('Barang Keluar'!$E:$E,'Barang Keluar'!$A:$A,M5336,'Barang Keluar'!$C:$C,N5336))</f>
        <v>0</v>
      </c>
    </row>
    <row r="5337" spans="13:16">
      <c r="M5337" s="49">
        <f>IF($A$4+53&gt;$B$4,"",$A$4+53)</f>
        <v>46076</v>
      </c>
      <c r="N5337" t="str">
        <f>IF(M5337="","",'Master Barang'!A31)</f>
        <v>PRL-030</v>
      </c>
      <c r="O5337" t="str">
        <f>IF(N5337="","",'Master Barang'!B31)</f>
        <v>klip plastik 25x16 100 pcs</v>
      </c>
      <c r="P5337">
        <f>IF(OR(M5337="",N5337=""),"",SUMIFS('Barang Keluar'!$E:$E,'Barang Keluar'!$A:$A,M5337,'Barang Keluar'!$C:$C,N5337))</f>
        <v>0</v>
      </c>
    </row>
    <row r="5338" spans="13:16">
      <c r="M5338" s="49">
        <f>IF($A$4+53&gt;$B$4,"",$A$4+53)</f>
        <v>46076</v>
      </c>
      <c r="N5338" t="str">
        <f>IF(M5338="","",'Master Barang'!A32)</f>
        <v>PRL-031</v>
      </c>
      <c r="O5338" t="str">
        <f>IF(N5338="","",'Master Barang'!B32)</f>
        <v>tempat saus 20 ml</v>
      </c>
      <c r="P5338">
        <f>IF(OR(M5338="",N5338=""),"",SUMIFS('Barang Keluar'!$E:$E,'Barang Keluar'!$A:$A,M5338,'Barang Keluar'!$C:$C,N5338))</f>
        <v>0</v>
      </c>
    </row>
    <row r="5339" spans="13:16">
      <c r="M5339" s="49">
        <f>IF($A$4+53&gt;$B$4,"",$A$4+53)</f>
        <v>46076</v>
      </c>
      <c r="N5339" t="str">
        <f>IF(M5339="","",'Master Barang'!A33)</f>
        <v>PRL-032</v>
      </c>
      <c r="O5339" t="str">
        <f>IF(N5339="","",'Master Barang'!B33)</f>
        <v>plastik packaging ag box uk sedang</v>
      </c>
      <c r="P5339">
        <f>IF(OR(M5339="",N5339=""),"",SUMIFS('Barang Keluar'!$E:$E,'Barang Keluar'!$A:$A,M5339,'Barang Keluar'!$C:$C,N5339))</f>
        <v>0</v>
      </c>
    </row>
    <row r="5340" spans="13:16">
      <c r="M5340" s="49">
        <f>IF($A$4+53&gt;$B$4,"",$A$4+53)</f>
        <v>46076</v>
      </c>
      <c r="N5340" t="str">
        <f>IF(M5340="","",'Master Barang'!A34)</f>
        <v>PRL-033</v>
      </c>
      <c r="O5340">
        <f>IF(N5340="","",'Master Barang'!B34)</f>
        <v>0</v>
      </c>
      <c r="P5340">
        <f>IF(OR(M5340="",N5340=""),"",SUMIFS('Barang Keluar'!$E:$E,'Barang Keluar'!$A:$A,M5340,'Barang Keluar'!$C:$C,N5340))</f>
        <v>0</v>
      </c>
    </row>
    <row r="5341" spans="13:16">
      <c r="M5341" s="49">
        <f>IF($A$4+53&gt;$B$4,"",$A$4+53)</f>
        <v>46076</v>
      </c>
      <c r="N5341">
        <f>IF(M5341="","",'Master Barang'!A35)</f>
        <v>0</v>
      </c>
      <c r="O5341">
        <f>IF(N5341="","",'Master Barang'!B35)</f>
        <v>0</v>
      </c>
      <c r="P5341">
        <f>IF(OR(M5341="",N5341=""),"",SUMIFS('Barang Keluar'!$E:$E,'Barang Keluar'!$A:$A,M5341,'Barang Keluar'!$C:$C,N5341))</f>
        <v>0</v>
      </c>
    </row>
    <row r="5342" spans="13:16">
      <c r="M5342" s="49">
        <f>IF($A$4+53&gt;$B$4,"",$A$4+53)</f>
        <v>46076</v>
      </c>
      <c r="N5342">
        <f>IF(M5342="","",'Master Barang'!A36)</f>
        <v>0</v>
      </c>
      <c r="O5342">
        <f>IF(N5342="","",'Master Barang'!B36)</f>
        <v>0</v>
      </c>
      <c r="P5342">
        <f>IF(OR(M5342="",N5342=""),"",SUMIFS('Barang Keluar'!$E:$E,'Barang Keluar'!$A:$A,M5342,'Barang Keluar'!$C:$C,N5342))</f>
        <v>0</v>
      </c>
    </row>
    <row r="5343" spans="13:16">
      <c r="M5343" s="49">
        <f>IF($A$4+53&gt;$B$4,"",$A$4+53)</f>
        <v>46076</v>
      </c>
      <c r="N5343">
        <f>IF(M5343="","",'Master Barang'!A37)</f>
        <v>0</v>
      </c>
      <c r="O5343">
        <f>IF(N5343="","",'Master Barang'!B37)</f>
        <v>0</v>
      </c>
      <c r="P5343">
        <f>IF(OR(M5343="",N5343=""),"",SUMIFS('Barang Keluar'!$E:$E,'Barang Keluar'!$A:$A,M5343,'Barang Keluar'!$C:$C,N5343))</f>
        <v>0</v>
      </c>
    </row>
    <row r="5344" spans="13:16">
      <c r="M5344" s="49">
        <f>IF($A$4+53&gt;$B$4,"",$A$4+53)</f>
        <v>46076</v>
      </c>
      <c r="N5344">
        <f>IF(M5344="","",'Master Barang'!A38)</f>
        <v>0</v>
      </c>
      <c r="O5344">
        <f>IF(N5344="","",'Master Barang'!B38)</f>
        <v>0</v>
      </c>
      <c r="P5344">
        <f>IF(OR(M5344="",N5344=""),"",SUMIFS('Barang Keluar'!$E:$E,'Barang Keluar'!$A:$A,M5344,'Barang Keluar'!$C:$C,N5344))</f>
        <v>0</v>
      </c>
    </row>
    <row r="5345" spans="13:16">
      <c r="M5345" s="49">
        <f>IF($A$4+53&gt;$B$4,"",$A$4+53)</f>
        <v>46076</v>
      </c>
      <c r="N5345">
        <f>IF(M5345="","",'Master Barang'!A39)</f>
        <v>0</v>
      </c>
      <c r="O5345">
        <f>IF(N5345="","",'Master Barang'!B39)</f>
        <v>0</v>
      </c>
      <c r="P5345">
        <f>IF(OR(M5345="",N5345=""),"",SUMIFS('Barang Keluar'!$E:$E,'Barang Keluar'!$A:$A,M5345,'Barang Keluar'!$C:$C,N5345))</f>
        <v>0</v>
      </c>
    </row>
    <row r="5346" spans="13:16">
      <c r="M5346" s="49">
        <f>IF($A$4+53&gt;$B$4,"",$A$4+53)</f>
        <v>46076</v>
      </c>
      <c r="N5346">
        <f>IF(M5346="","",'Master Barang'!A40)</f>
        <v>0</v>
      </c>
      <c r="O5346">
        <f>IF(N5346="","",'Master Barang'!B40)</f>
        <v>0</v>
      </c>
      <c r="P5346">
        <f>IF(OR(M5346="",N5346=""),"",SUMIFS('Barang Keluar'!$E:$E,'Barang Keluar'!$A:$A,M5346,'Barang Keluar'!$C:$C,N5346))</f>
        <v>0</v>
      </c>
    </row>
    <row r="5347" spans="13:16">
      <c r="M5347" s="49">
        <f>IF($A$4+53&gt;$B$4,"",$A$4+53)</f>
        <v>46076</v>
      </c>
      <c r="N5347">
        <f>IF(M5347="","",'Master Barang'!A41)</f>
        <v>0</v>
      </c>
      <c r="O5347">
        <f>IF(N5347="","",'Master Barang'!B41)</f>
        <v>0</v>
      </c>
      <c r="P5347">
        <f>IF(OR(M5347="",N5347=""),"",SUMIFS('Barang Keluar'!$E:$E,'Barang Keluar'!$A:$A,M5347,'Barang Keluar'!$C:$C,N5347))</f>
        <v>0</v>
      </c>
    </row>
    <row r="5348" spans="13:16">
      <c r="M5348" s="49">
        <f>IF($A$4+53&gt;$B$4,"",$A$4+53)</f>
        <v>46076</v>
      </c>
      <c r="N5348">
        <f>IF(M5348="","",'Master Barang'!A42)</f>
        <v>0</v>
      </c>
      <c r="O5348">
        <f>IF(N5348="","",'Master Barang'!B42)</f>
        <v>0</v>
      </c>
      <c r="P5348">
        <f>IF(OR(M5348="",N5348=""),"",SUMIFS('Barang Keluar'!$E:$E,'Barang Keluar'!$A:$A,M5348,'Barang Keluar'!$C:$C,N5348))</f>
        <v>0</v>
      </c>
    </row>
    <row r="5349" spans="13:16">
      <c r="M5349" s="49">
        <f>IF($A$4+53&gt;$B$4,"",$A$4+53)</f>
        <v>46076</v>
      </c>
      <c r="N5349">
        <f>IF(M5349="","",'Master Barang'!A43)</f>
        <v>0</v>
      </c>
      <c r="O5349">
        <f>IF(N5349="","",'Master Barang'!B43)</f>
        <v>0</v>
      </c>
      <c r="P5349">
        <f>IF(OR(M5349="",N5349=""),"",SUMIFS('Barang Keluar'!$E:$E,'Barang Keluar'!$A:$A,M5349,'Barang Keluar'!$C:$C,N5349))</f>
        <v>0</v>
      </c>
    </row>
    <row r="5350" spans="13:16">
      <c r="M5350" s="49">
        <f>IF($A$4+53&gt;$B$4,"",$A$4+53)</f>
        <v>46076</v>
      </c>
      <c r="N5350">
        <f>IF(M5350="","",'Master Barang'!A44)</f>
        <v>0</v>
      </c>
      <c r="O5350">
        <f>IF(N5350="","",'Master Barang'!B44)</f>
        <v>0</v>
      </c>
      <c r="P5350">
        <f>IF(OR(M5350="",N5350=""),"",SUMIFS('Barang Keluar'!$E:$E,'Barang Keluar'!$A:$A,M5350,'Barang Keluar'!$C:$C,N5350))</f>
        <v>0</v>
      </c>
    </row>
    <row r="5351" spans="13:16">
      <c r="M5351" s="49">
        <f>IF($A$4+53&gt;$B$4,"",$A$4+53)</f>
        <v>46076</v>
      </c>
      <c r="N5351">
        <f>IF(M5351="","",'Master Barang'!A45)</f>
        <v>0</v>
      </c>
      <c r="O5351">
        <f>IF(N5351="","",'Master Barang'!B45)</f>
        <v>0</v>
      </c>
      <c r="P5351">
        <f>IF(OR(M5351="",N5351=""),"",SUMIFS('Barang Keluar'!$E:$E,'Barang Keluar'!$A:$A,M5351,'Barang Keluar'!$C:$C,N5351))</f>
        <v>0</v>
      </c>
    </row>
    <row r="5352" spans="13:16">
      <c r="M5352" s="49">
        <f>IF($A$4+53&gt;$B$4,"",$A$4+53)</f>
        <v>46076</v>
      </c>
      <c r="N5352">
        <f>IF(M5352="","",'Master Barang'!A46)</f>
        <v>0</v>
      </c>
      <c r="O5352">
        <f>IF(N5352="","",'Master Barang'!B46)</f>
        <v>0</v>
      </c>
      <c r="P5352">
        <f>IF(OR(M5352="",N5352=""),"",SUMIFS('Barang Keluar'!$E:$E,'Barang Keluar'!$A:$A,M5352,'Barang Keluar'!$C:$C,N5352))</f>
        <v>0</v>
      </c>
    </row>
    <row r="5353" spans="13:16">
      <c r="M5353" s="49">
        <f>IF($A$4+53&gt;$B$4,"",$A$4+53)</f>
        <v>46076</v>
      </c>
      <c r="N5353">
        <f>IF(M5353="","",'Master Barang'!A47)</f>
        <v>0</v>
      </c>
      <c r="O5353">
        <f>IF(N5353="","",'Master Barang'!B47)</f>
        <v>0</v>
      </c>
      <c r="P5353">
        <f>IF(OR(M5353="",N5353=""),"",SUMIFS('Barang Keluar'!$E:$E,'Barang Keluar'!$A:$A,M5353,'Barang Keluar'!$C:$C,N5353))</f>
        <v>0</v>
      </c>
    </row>
    <row r="5354" spans="13:16">
      <c r="M5354" s="49">
        <f>IF($A$4+53&gt;$B$4,"",$A$4+53)</f>
        <v>46076</v>
      </c>
      <c r="N5354">
        <f>IF(M5354="","",'Master Barang'!A48)</f>
        <v>0</v>
      </c>
      <c r="O5354">
        <f>IF(N5354="","",'Master Barang'!B48)</f>
        <v>0</v>
      </c>
      <c r="P5354">
        <f>IF(OR(M5354="",N5354=""),"",SUMIFS('Barang Keluar'!$E:$E,'Barang Keluar'!$A:$A,M5354,'Barang Keluar'!$C:$C,N5354))</f>
        <v>0</v>
      </c>
    </row>
    <row r="5355" spans="13:16">
      <c r="M5355" s="49">
        <f>IF($A$4+53&gt;$B$4,"",$A$4+53)</f>
        <v>46076</v>
      </c>
      <c r="N5355">
        <f>IF(M5355="","",'Master Barang'!A49)</f>
        <v>0</v>
      </c>
      <c r="O5355">
        <f>IF(N5355="","",'Master Barang'!B49)</f>
        <v>0</v>
      </c>
      <c r="P5355">
        <f>IF(OR(M5355="",N5355=""),"",SUMIFS('Barang Keluar'!$E:$E,'Barang Keluar'!$A:$A,M5355,'Barang Keluar'!$C:$C,N5355))</f>
        <v>0</v>
      </c>
    </row>
    <row r="5356" spans="13:16">
      <c r="M5356" s="49">
        <f>IF($A$4+53&gt;$B$4,"",$A$4+53)</f>
        <v>46076</v>
      </c>
      <c r="N5356">
        <f>IF(M5356="","",'Master Barang'!A50)</f>
        <v>0</v>
      </c>
      <c r="O5356">
        <f>IF(N5356="","",'Master Barang'!B50)</f>
        <v>0</v>
      </c>
      <c r="P5356">
        <f>IF(OR(M5356="",N5356=""),"",SUMIFS('Barang Keluar'!$E:$E,'Barang Keluar'!$A:$A,M5356,'Barang Keluar'!$C:$C,N5356))</f>
        <v>0</v>
      </c>
    </row>
    <row r="5357" spans="13:16">
      <c r="M5357" s="49">
        <f>IF($A$4+53&gt;$B$4,"",$A$4+53)</f>
        <v>46076</v>
      </c>
      <c r="N5357">
        <f>IF(M5357="","",'Master Barang'!A51)</f>
        <v>0</v>
      </c>
      <c r="O5357">
        <f>IF(N5357="","",'Master Barang'!B51)</f>
        <v>0</v>
      </c>
      <c r="P5357">
        <f>IF(OR(M5357="",N5357=""),"",SUMIFS('Barang Keluar'!$E:$E,'Barang Keluar'!$A:$A,M5357,'Barang Keluar'!$C:$C,N5357))</f>
        <v>0</v>
      </c>
    </row>
    <row r="5358" spans="13:16">
      <c r="M5358" s="49">
        <f>IF($A$4+53&gt;$B$4,"",$A$4+53)</f>
        <v>46076</v>
      </c>
      <c r="N5358">
        <f>IF(M5358="","",'Master Barang'!A52)</f>
        <v>0</v>
      </c>
      <c r="O5358">
        <f>IF(N5358="","",'Master Barang'!B52)</f>
        <v>0</v>
      </c>
      <c r="P5358">
        <f>IF(OR(M5358="",N5358=""),"",SUMIFS('Barang Keluar'!$E:$E,'Barang Keluar'!$A:$A,M5358,'Barang Keluar'!$C:$C,N5358))</f>
        <v>0</v>
      </c>
    </row>
    <row r="5359" spans="13:16">
      <c r="M5359" s="49">
        <f>IF($A$4+53&gt;$B$4,"",$A$4+53)</f>
        <v>46076</v>
      </c>
      <c r="N5359">
        <f>IF(M5359="","",'Master Barang'!A53)</f>
        <v>0</v>
      </c>
      <c r="O5359">
        <f>IF(N5359="","",'Master Barang'!B53)</f>
        <v>0</v>
      </c>
      <c r="P5359">
        <f>IF(OR(M5359="",N5359=""),"",SUMIFS('Barang Keluar'!$E:$E,'Barang Keluar'!$A:$A,M5359,'Barang Keluar'!$C:$C,N5359))</f>
        <v>0</v>
      </c>
    </row>
    <row r="5360" spans="13:16">
      <c r="M5360" s="49">
        <f>IF($A$4+53&gt;$B$4,"",$A$4+53)</f>
        <v>46076</v>
      </c>
      <c r="N5360">
        <f>IF(M5360="","",'Master Barang'!A54)</f>
        <v>0</v>
      </c>
      <c r="O5360">
        <f>IF(N5360="","",'Master Barang'!B54)</f>
        <v>0</v>
      </c>
      <c r="P5360">
        <f>IF(OR(M5360="",N5360=""),"",SUMIFS('Barang Keluar'!$E:$E,'Barang Keluar'!$A:$A,M5360,'Barang Keluar'!$C:$C,N5360))</f>
        <v>0</v>
      </c>
    </row>
    <row r="5361" spans="13:16">
      <c r="M5361" s="49">
        <f>IF($A$4+53&gt;$B$4,"",$A$4+53)</f>
        <v>46076</v>
      </c>
      <c r="N5361">
        <f>IF(M5361="","",'Master Barang'!A55)</f>
        <v>0</v>
      </c>
      <c r="O5361">
        <f>IF(N5361="","",'Master Barang'!B55)</f>
        <v>0</v>
      </c>
      <c r="P5361">
        <f>IF(OR(M5361="",N5361=""),"",SUMIFS('Barang Keluar'!$E:$E,'Barang Keluar'!$A:$A,M5361,'Barang Keluar'!$C:$C,N5361))</f>
        <v>0</v>
      </c>
    </row>
    <row r="5362" spans="13:16">
      <c r="M5362" s="49">
        <f>IF($A$4+53&gt;$B$4,"",$A$4+53)</f>
        <v>46076</v>
      </c>
      <c r="N5362">
        <f>IF(M5362="","",'Master Barang'!A56)</f>
        <v>0</v>
      </c>
      <c r="O5362">
        <f>IF(N5362="","",'Master Barang'!B56)</f>
        <v>0</v>
      </c>
      <c r="P5362">
        <f>IF(OR(M5362="",N5362=""),"",SUMIFS('Barang Keluar'!$E:$E,'Barang Keluar'!$A:$A,M5362,'Barang Keluar'!$C:$C,N5362))</f>
        <v>0</v>
      </c>
    </row>
    <row r="5363" spans="13:16">
      <c r="M5363" s="49">
        <f>IF($A$4+53&gt;$B$4,"",$A$4+53)</f>
        <v>46076</v>
      </c>
      <c r="N5363">
        <f>IF(M5363="","",'Master Barang'!A57)</f>
        <v>0</v>
      </c>
      <c r="O5363">
        <f>IF(N5363="","",'Master Barang'!B57)</f>
        <v>0</v>
      </c>
      <c r="P5363">
        <f>IF(OR(M5363="",N5363=""),"",SUMIFS('Barang Keluar'!$E:$E,'Barang Keluar'!$A:$A,M5363,'Barang Keluar'!$C:$C,N5363))</f>
        <v>0</v>
      </c>
    </row>
    <row r="5364" spans="13:16">
      <c r="M5364" s="49">
        <f>IF($A$4+53&gt;$B$4,"",$A$4+53)</f>
        <v>46076</v>
      </c>
      <c r="N5364">
        <f>IF(M5364="","",'Master Barang'!A58)</f>
        <v>0</v>
      </c>
      <c r="O5364">
        <f>IF(N5364="","",'Master Barang'!B58)</f>
        <v>0</v>
      </c>
      <c r="P5364">
        <f>IF(OR(M5364="",N5364=""),"",SUMIFS('Barang Keluar'!$E:$E,'Barang Keluar'!$A:$A,M5364,'Barang Keluar'!$C:$C,N5364))</f>
        <v>0</v>
      </c>
    </row>
    <row r="5365" spans="13:16">
      <c r="M5365" s="49">
        <f>IF($A$4+53&gt;$B$4,"",$A$4+53)</f>
        <v>46076</v>
      </c>
      <c r="N5365">
        <f>IF(M5365="","",'Master Barang'!A59)</f>
        <v>0</v>
      </c>
      <c r="O5365">
        <f>IF(N5365="","",'Master Barang'!B59)</f>
        <v>0</v>
      </c>
      <c r="P5365">
        <f>IF(OR(M5365="",N5365=""),"",SUMIFS('Barang Keluar'!$E:$E,'Barang Keluar'!$A:$A,M5365,'Barang Keluar'!$C:$C,N5365))</f>
        <v>0</v>
      </c>
    </row>
    <row r="5366" spans="13:16">
      <c r="M5366" s="49">
        <f>IF($A$4+53&gt;$B$4,"",$A$4+53)</f>
        <v>46076</v>
      </c>
      <c r="N5366">
        <f>IF(M5366="","",'Master Barang'!A60)</f>
        <v>0</v>
      </c>
      <c r="O5366">
        <f>IF(N5366="","",'Master Barang'!B60)</f>
        <v>0</v>
      </c>
      <c r="P5366">
        <f>IF(OR(M5366="",N5366=""),"",SUMIFS('Barang Keluar'!$E:$E,'Barang Keluar'!$A:$A,M5366,'Barang Keluar'!$C:$C,N5366))</f>
        <v>0</v>
      </c>
    </row>
    <row r="5367" spans="13:16">
      <c r="M5367" s="49">
        <f>IF($A$4+53&gt;$B$4,"",$A$4+53)</f>
        <v>46076</v>
      </c>
      <c r="N5367">
        <f>IF(M5367="","",'Master Barang'!A61)</f>
        <v>0</v>
      </c>
      <c r="O5367">
        <f>IF(N5367="","",'Master Barang'!B61)</f>
        <v>0</v>
      </c>
      <c r="P5367">
        <f>IF(OR(M5367="",N5367=""),"",SUMIFS('Barang Keluar'!$E:$E,'Barang Keluar'!$A:$A,M5367,'Barang Keluar'!$C:$C,N5367))</f>
        <v>0</v>
      </c>
    </row>
    <row r="5368" spans="13:16">
      <c r="M5368" s="49">
        <f>IF($A$4+53&gt;$B$4,"",$A$4+53)</f>
        <v>46076</v>
      </c>
      <c r="N5368">
        <f>IF(M5368="","",'Master Barang'!A62)</f>
        <v>0</v>
      </c>
      <c r="O5368">
        <f>IF(N5368="","",'Master Barang'!B62)</f>
        <v>0</v>
      </c>
      <c r="P5368">
        <f>IF(OR(M5368="",N5368=""),"",SUMIFS('Barang Keluar'!$E:$E,'Barang Keluar'!$A:$A,M5368,'Barang Keluar'!$C:$C,N5368))</f>
        <v>0</v>
      </c>
    </row>
    <row r="5369" spans="13:16">
      <c r="M5369" s="49">
        <f>IF($A$4+53&gt;$B$4,"",$A$4+53)</f>
        <v>46076</v>
      </c>
      <c r="N5369">
        <f>IF(M5369="","",'Master Barang'!A63)</f>
        <v>0</v>
      </c>
      <c r="O5369">
        <f>IF(N5369="","",'Master Barang'!B63)</f>
        <v>0</v>
      </c>
      <c r="P5369">
        <f>IF(OR(M5369="",N5369=""),"",SUMIFS('Barang Keluar'!$E:$E,'Barang Keluar'!$A:$A,M5369,'Barang Keluar'!$C:$C,N5369))</f>
        <v>0</v>
      </c>
    </row>
    <row r="5370" spans="13:16">
      <c r="M5370" s="49">
        <f>IF($A$4+53&gt;$B$4,"",$A$4+53)</f>
        <v>46076</v>
      </c>
      <c r="N5370">
        <f>IF(M5370="","",'Master Barang'!A64)</f>
        <v>0</v>
      </c>
      <c r="O5370">
        <f>IF(N5370="","",'Master Barang'!B64)</f>
        <v>0</v>
      </c>
      <c r="P5370">
        <f>IF(OR(M5370="",N5370=""),"",SUMIFS('Barang Keluar'!$E:$E,'Barang Keluar'!$A:$A,M5370,'Barang Keluar'!$C:$C,N5370))</f>
        <v>0</v>
      </c>
    </row>
    <row r="5371" spans="13:16">
      <c r="M5371" s="49">
        <f>IF($A$4+53&gt;$B$4,"",$A$4+53)</f>
        <v>46076</v>
      </c>
      <c r="N5371">
        <f>IF(M5371="","",'Master Barang'!A65)</f>
        <v>0</v>
      </c>
      <c r="O5371">
        <f>IF(N5371="","",'Master Barang'!B65)</f>
        <v>0</v>
      </c>
      <c r="P5371">
        <f>IF(OR(M5371="",N5371=""),"",SUMIFS('Barang Keluar'!$E:$E,'Barang Keluar'!$A:$A,M5371,'Barang Keluar'!$C:$C,N5371))</f>
        <v>0</v>
      </c>
    </row>
    <row r="5372" spans="13:16">
      <c r="M5372" s="49">
        <f>IF($A$4+53&gt;$B$4,"",$A$4+53)</f>
        <v>46076</v>
      </c>
      <c r="N5372">
        <f>IF(M5372="","",'Master Barang'!A66)</f>
        <v>0</v>
      </c>
      <c r="O5372">
        <f>IF(N5372="","",'Master Barang'!B66)</f>
        <v>0</v>
      </c>
      <c r="P5372">
        <f>IF(OR(M5372="",N5372=""),"",SUMIFS('Barang Keluar'!$E:$E,'Barang Keluar'!$A:$A,M5372,'Barang Keluar'!$C:$C,N5372))</f>
        <v>0</v>
      </c>
    </row>
    <row r="5373" spans="13:16">
      <c r="M5373" s="49">
        <f>IF($A$4+53&gt;$B$4,"",$A$4+53)</f>
        <v>46076</v>
      </c>
      <c r="N5373">
        <f>IF(M5373="","",'Master Barang'!A67)</f>
        <v>0</v>
      </c>
      <c r="O5373">
        <f>IF(N5373="","",'Master Barang'!B67)</f>
        <v>0</v>
      </c>
      <c r="P5373">
        <f>IF(OR(M5373="",N5373=""),"",SUMIFS('Barang Keluar'!$E:$E,'Barang Keluar'!$A:$A,M5373,'Barang Keluar'!$C:$C,N5373))</f>
        <v>0</v>
      </c>
    </row>
    <row r="5374" spans="13:16">
      <c r="M5374" s="49">
        <f>IF($A$4+53&gt;$B$4,"",$A$4+53)</f>
        <v>46076</v>
      </c>
      <c r="N5374">
        <f>IF(M5374="","",'Master Barang'!A68)</f>
        <v>0</v>
      </c>
      <c r="O5374">
        <f>IF(N5374="","",'Master Barang'!B68)</f>
        <v>0</v>
      </c>
      <c r="P5374">
        <f>IF(OR(M5374="",N5374=""),"",SUMIFS('Barang Keluar'!$E:$E,'Barang Keluar'!$A:$A,M5374,'Barang Keluar'!$C:$C,N5374))</f>
        <v>0</v>
      </c>
    </row>
    <row r="5375" spans="13:16">
      <c r="M5375" s="49">
        <f>IF($A$4+53&gt;$B$4,"",$A$4+53)</f>
        <v>46076</v>
      </c>
      <c r="N5375">
        <f>IF(M5375="","",'Master Barang'!A69)</f>
        <v>0</v>
      </c>
      <c r="O5375">
        <f>IF(N5375="","",'Master Barang'!B69)</f>
        <v>0</v>
      </c>
      <c r="P5375">
        <f>IF(OR(M5375="",N5375=""),"",SUMIFS('Barang Keluar'!$E:$E,'Barang Keluar'!$A:$A,M5375,'Barang Keluar'!$C:$C,N5375))</f>
        <v>0</v>
      </c>
    </row>
    <row r="5376" spans="13:16">
      <c r="M5376" s="49">
        <f>IF($A$4+53&gt;$B$4,"",$A$4+53)</f>
        <v>46076</v>
      </c>
      <c r="N5376">
        <f>IF(M5376="","",'Master Barang'!A70)</f>
        <v>0</v>
      </c>
      <c r="O5376">
        <f>IF(N5376="","",'Master Barang'!B70)</f>
        <v>0</v>
      </c>
      <c r="P5376">
        <f>IF(OR(M5376="",N5376=""),"",SUMIFS('Barang Keluar'!$E:$E,'Barang Keluar'!$A:$A,M5376,'Barang Keluar'!$C:$C,N5376))</f>
        <v>0</v>
      </c>
    </row>
    <row r="5377" spans="13:16">
      <c r="M5377" s="49">
        <f>IF($A$4+53&gt;$B$4,"",$A$4+53)</f>
        <v>46076</v>
      </c>
      <c r="N5377">
        <f>IF(M5377="","",'Master Barang'!A71)</f>
        <v>0</v>
      </c>
      <c r="O5377">
        <f>IF(N5377="","",'Master Barang'!B71)</f>
        <v>0</v>
      </c>
      <c r="P5377">
        <f>IF(OR(M5377="",N5377=""),"",SUMIFS('Barang Keluar'!$E:$E,'Barang Keluar'!$A:$A,M5377,'Barang Keluar'!$C:$C,N5377))</f>
        <v>0</v>
      </c>
    </row>
    <row r="5378" spans="13:16">
      <c r="M5378" s="49">
        <f>IF($A$4+53&gt;$B$4,"",$A$4+53)</f>
        <v>46076</v>
      </c>
      <c r="N5378">
        <f>IF(M5378="","",'Master Barang'!A72)</f>
        <v>0</v>
      </c>
      <c r="O5378">
        <f>IF(N5378="","",'Master Barang'!B72)</f>
        <v>0</v>
      </c>
      <c r="P5378">
        <f>IF(OR(M5378="",N5378=""),"",SUMIFS('Barang Keluar'!$E:$E,'Barang Keluar'!$A:$A,M5378,'Barang Keluar'!$C:$C,N5378))</f>
        <v>0</v>
      </c>
    </row>
    <row r="5379" spans="13:16">
      <c r="M5379" s="49">
        <f>IF($A$4+53&gt;$B$4,"",$A$4+53)</f>
        <v>46076</v>
      </c>
      <c r="N5379">
        <f>IF(M5379="","",'Master Barang'!A73)</f>
        <v>0</v>
      </c>
      <c r="O5379">
        <f>IF(N5379="","",'Master Barang'!B73)</f>
        <v>0</v>
      </c>
      <c r="P5379">
        <f>IF(OR(M5379="",N5379=""),"",SUMIFS('Barang Keluar'!$E:$E,'Barang Keluar'!$A:$A,M5379,'Barang Keluar'!$C:$C,N5379))</f>
        <v>0</v>
      </c>
    </row>
    <row r="5380" spans="13:16">
      <c r="M5380" s="49">
        <f>IF($A$4+53&gt;$B$4,"",$A$4+53)</f>
        <v>46076</v>
      </c>
      <c r="N5380">
        <f>IF(M5380="","",'Master Barang'!A74)</f>
        <v>0</v>
      </c>
      <c r="O5380">
        <f>IF(N5380="","",'Master Barang'!B74)</f>
        <v>0</v>
      </c>
      <c r="P5380">
        <f>IF(OR(M5380="",N5380=""),"",SUMIFS('Barang Keluar'!$E:$E,'Barang Keluar'!$A:$A,M5380,'Barang Keluar'!$C:$C,N5380))</f>
        <v>0</v>
      </c>
    </row>
    <row r="5381" spans="13:16">
      <c r="M5381" s="49">
        <f>IF($A$4+53&gt;$B$4,"",$A$4+53)</f>
        <v>46076</v>
      </c>
      <c r="N5381">
        <f>IF(M5381="","",'Master Barang'!A75)</f>
        <v>0</v>
      </c>
      <c r="O5381">
        <f>IF(N5381="","",'Master Barang'!B75)</f>
        <v>0</v>
      </c>
      <c r="P5381">
        <f>IF(OR(M5381="",N5381=""),"",SUMIFS('Barang Keluar'!$E:$E,'Barang Keluar'!$A:$A,M5381,'Barang Keluar'!$C:$C,N5381))</f>
        <v>0</v>
      </c>
    </row>
    <row r="5382" spans="13:16">
      <c r="M5382" s="49">
        <f>IF($A$4+53&gt;$B$4,"",$A$4+53)</f>
        <v>46076</v>
      </c>
      <c r="N5382">
        <f>IF(M5382="","",'Master Barang'!A76)</f>
        <v>0</v>
      </c>
      <c r="O5382">
        <f>IF(N5382="","",'Master Barang'!B76)</f>
        <v>0</v>
      </c>
      <c r="P5382">
        <f>IF(OR(M5382="",N5382=""),"",SUMIFS('Barang Keluar'!$E:$E,'Barang Keluar'!$A:$A,M5382,'Barang Keluar'!$C:$C,N5382))</f>
        <v>0</v>
      </c>
    </row>
    <row r="5383" spans="13:16">
      <c r="M5383" s="49">
        <f>IF($A$4+53&gt;$B$4,"",$A$4+53)</f>
        <v>46076</v>
      </c>
      <c r="N5383">
        <f>IF(M5383="","",'Master Barang'!A77)</f>
        <v>0</v>
      </c>
      <c r="O5383">
        <f>IF(N5383="","",'Master Barang'!B77)</f>
        <v>0</v>
      </c>
      <c r="P5383">
        <f>IF(OR(M5383="",N5383=""),"",SUMIFS('Barang Keluar'!$E:$E,'Barang Keluar'!$A:$A,M5383,'Barang Keluar'!$C:$C,N5383))</f>
        <v>0</v>
      </c>
    </row>
    <row r="5384" spans="13:16">
      <c r="M5384" s="49">
        <f>IF($A$4+53&gt;$B$4,"",$A$4+53)</f>
        <v>46076</v>
      </c>
      <c r="N5384">
        <f>IF(M5384="","",'Master Barang'!A78)</f>
        <v>0</v>
      </c>
      <c r="O5384">
        <f>IF(N5384="","",'Master Barang'!B78)</f>
        <v>0</v>
      </c>
      <c r="P5384">
        <f>IF(OR(M5384="",N5384=""),"",SUMIFS('Barang Keluar'!$E:$E,'Barang Keluar'!$A:$A,M5384,'Barang Keluar'!$C:$C,N5384))</f>
        <v>0</v>
      </c>
    </row>
    <row r="5385" spans="13:16">
      <c r="M5385" s="49">
        <f>IF($A$4+53&gt;$B$4,"",$A$4+53)</f>
        <v>46076</v>
      </c>
      <c r="N5385">
        <f>IF(M5385="","",'Master Barang'!A79)</f>
        <v>0</v>
      </c>
      <c r="O5385">
        <f>IF(N5385="","",'Master Barang'!B79)</f>
        <v>0</v>
      </c>
      <c r="P5385">
        <f>IF(OR(M5385="",N5385=""),"",SUMIFS('Barang Keluar'!$E:$E,'Barang Keluar'!$A:$A,M5385,'Barang Keluar'!$C:$C,N5385))</f>
        <v>0</v>
      </c>
    </row>
    <row r="5386" spans="13:16">
      <c r="M5386" s="49">
        <f>IF($A$4+53&gt;$B$4,"",$A$4+53)</f>
        <v>46076</v>
      </c>
      <c r="N5386">
        <f>IF(M5386="","",'Master Barang'!A80)</f>
        <v>0</v>
      </c>
      <c r="O5386">
        <f>IF(N5386="","",'Master Barang'!B80)</f>
        <v>0</v>
      </c>
      <c r="P5386">
        <f>IF(OR(M5386="",N5386=""),"",SUMIFS('Barang Keluar'!$E:$E,'Barang Keluar'!$A:$A,M5386,'Barang Keluar'!$C:$C,N5386))</f>
        <v>0</v>
      </c>
    </row>
    <row r="5387" spans="13:16">
      <c r="M5387" s="49">
        <f>IF($A$4+53&gt;$B$4,"",$A$4+53)</f>
        <v>46076</v>
      </c>
      <c r="N5387">
        <f>IF(M5387="","",'Master Barang'!A81)</f>
        <v>0</v>
      </c>
      <c r="O5387">
        <f>IF(N5387="","",'Master Barang'!B81)</f>
        <v>0</v>
      </c>
      <c r="P5387">
        <f>IF(OR(M5387="",N5387=""),"",SUMIFS('Barang Keluar'!$E:$E,'Barang Keluar'!$A:$A,M5387,'Barang Keluar'!$C:$C,N5387))</f>
        <v>0</v>
      </c>
    </row>
    <row r="5388" spans="13:16">
      <c r="M5388" s="49">
        <f>IF($A$4+53&gt;$B$4,"",$A$4+53)</f>
        <v>46076</v>
      </c>
      <c r="N5388">
        <f>IF(M5388="","",'Master Barang'!A82)</f>
        <v>0</v>
      </c>
      <c r="O5388">
        <f>IF(N5388="","",'Master Barang'!B82)</f>
        <v>0</v>
      </c>
      <c r="P5388">
        <f>IF(OR(M5388="",N5388=""),"",SUMIFS('Barang Keluar'!$E:$E,'Barang Keluar'!$A:$A,M5388,'Barang Keluar'!$C:$C,N5388))</f>
        <v>0</v>
      </c>
    </row>
    <row r="5389" spans="13:16">
      <c r="M5389" s="49">
        <f>IF($A$4+53&gt;$B$4,"",$A$4+53)</f>
        <v>46076</v>
      </c>
      <c r="N5389">
        <f>IF(M5389="","",'Master Barang'!A83)</f>
        <v>0</v>
      </c>
      <c r="O5389">
        <f>IF(N5389="","",'Master Barang'!B83)</f>
        <v>0</v>
      </c>
      <c r="P5389">
        <f>IF(OR(M5389="",N5389=""),"",SUMIFS('Barang Keluar'!$E:$E,'Barang Keluar'!$A:$A,M5389,'Barang Keluar'!$C:$C,N5389))</f>
        <v>0</v>
      </c>
    </row>
    <row r="5390" spans="13:16">
      <c r="M5390" s="49">
        <f>IF($A$4+53&gt;$B$4,"",$A$4+53)</f>
        <v>46076</v>
      </c>
      <c r="N5390">
        <f>IF(M5390="","",'Master Barang'!A84)</f>
        <v>0</v>
      </c>
      <c r="O5390">
        <f>IF(N5390="","",'Master Barang'!B84)</f>
        <v>0</v>
      </c>
      <c r="P5390">
        <f>IF(OR(M5390="",N5390=""),"",SUMIFS('Barang Keluar'!$E:$E,'Barang Keluar'!$A:$A,M5390,'Barang Keluar'!$C:$C,N5390))</f>
        <v>0</v>
      </c>
    </row>
    <row r="5391" spans="13:16">
      <c r="M5391" s="49">
        <f>IF($A$4+53&gt;$B$4,"",$A$4+53)</f>
        <v>46076</v>
      </c>
      <c r="N5391">
        <f>IF(M5391="","",'Master Barang'!A85)</f>
        <v>0</v>
      </c>
      <c r="O5391">
        <f>IF(N5391="","",'Master Barang'!B85)</f>
        <v>0</v>
      </c>
      <c r="P5391">
        <f>IF(OR(M5391="",N5391=""),"",SUMIFS('Barang Keluar'!$E:$E,'Barang Keluar'!$A:$A,M5391,'Barang Keluar'!$C:$C,N5391))</f>
        <v>0</v>
      </c>
    </row>
    <row r="5392" spans="13:16">
      <c r="M5392" s="49">
        <f>IF($A$4+53&gt;$B$4,"",$A$4+53)</f>
        <v>46076</v>
      </c>
      <c r="N5392">
        <f>IF(M5392="","",'Master Barang'!A86)</f>
        <v>0</v>
      </c>
      <c r="O5392">
        <f>IF(N5392="","",'Master Barang'!B86)</f>
        <v>0</v>
      </c>
      <c r="P5392">
        <f>IF(OR(M5392="",N5392=""),"",SUMIFS('Barang Keluar'!$E:$E,'Barang Keluar'!$A:$A,M5392,'Barang Keluar'!$C:$C,N5392))</f>
        <v>0</v>
      </c>
    </row>
    <row r="5393" spans="13:16">
      <c r="M5393" s="49">
        <f>IF($A$4+53&gt;$B$4,"",$A$4+53)</f>
        <v>46076</v>
      </c>
      <c r="N5393">
        <f>IF(M5393="","",'Master Barang'!A87)</f>
        <v>0</v>
      </c>
      <c r="O5393">
        <f>IF(N5393="","",'Master Barang'!B87)</f>
        <v>0</v>
      </c>
      <c r="P5393">
        <f>IF(OR(M5393="",N5393=""),"",SUMIFS('Barang Keluar'!$E:$E,'Barang Keluar'!$A:$A,M5393,'Barang Keluar'!$C:$C,N5393))</f>
        <v>0</v>
      </c>
    </row>
    <row r="5394" spans="13:16">
      <c r="M5394" s="49">
        <f>IF($A$4+53&gt;$B$4,"",$A$4+53)</f>
        <v>46076</v>
      </c>
      <c r="N5394">
        <f>IF(M5394="","",'Master Barang'!A88)</f>
        <v>0</v>
      </c>
      <c r="O5394">
        <f>IF(N5394="","",'Master Barang'!B88)</f>
        <v>0</v>
      </c>
      <c r="P5394">
        <f>IF(OR(M5394="",N5394=""),"",SUMIFS('Barang Keluar'!$E:$E,'Barang Keluar'!$A:$A,M5394,'Barang Keluar'!$C:$C,N5394))</f>
        <v>0</v>
      </c>
    </row>
    <row r="5395" spans="13:16">
      <c r="M5395" s="49">
        <f>IF($A$4+53&gt;$B$4,"",$A$4+53)</f>
        <v>46076</v>
      </c>
      <c r="N5395">
        <f>IF(M5395="","",'Master Barang'!A89)</f>
        <v>0</v>
      </c>
      <c r="O5395">
        <f>IF(N5395="","",'Master Barang'!B89)</f>
        <v>0</v>
      </c>
      <c r="P5395">
        <f>IF(OR(M5395="",N5395=""),"",SUMIFS('Barang Keluar'!$E:$E,'Barang Keluar'!$A:$A,M5395,'Barang Keluar'!$C:$C,N5395))</f>
        <v>0</v>
      </c>
    </row>
    <row r="5396" spans="13:16">
      <c r="M5396" s="49">
        <f>IF($A$4+53&gt;$B$4,"",$A$4+53)</f>
        <v>46076</v>
      </c>
      <c r="N5396">
        <f>IF(M5396="","",'Master Barang'!A90)</f>
        <v>0</v>
      </c>
      <c r="O5396">
        <f>IF(N5396="","",'Master Barang'!B90)</f>
        <v>0</v>
      </c>
      <c r="P5396">
        <f>IF(OR(M5396="",N5396=""),"",SUMIFS('Barang Keluar'!$E:$E,'Barang Keluar'!$A:$A,M5396,'Barang Keluar'!$C:$C,N5396))</f>
        <v>0</v>
      </c>
    </row>
    <row r="5397" spans="13:16">
      <c r="M5397" s="49">
        <f>IF($A$4+53&gt;$B$4,"",$A$4+53)</f>
        <v>46076</v>
      </c>
      <c r="N5397">
        <f>IF(M5397="","",'Master Barang'!A91)</f>
        <v>0</v>
      </c>
      <c r="O5397">
        <f>IF(N5397="","",'Master Barang'!B91)</f>
        <v>0</v>
      </c>
      <c r="P5397">
        <f>IF(OR(M5397="",N5397=""),"",SUMIFS('Barang Keluar'!$E:$E,'Barang Keluar'!$A:$A,M5397,'Barang Keluar'!$C:$C,N5397))</f>
        <v>0</v>
      </c>
    </row>
    <row r="5398" spans="13:16">
      <c r="M5398" s="49">
        <f>IF($A$4+53&gt;$B$4,"",$A$4+53)</f>
        <v>46076</v>
      </c>
      <c r="N5398">
        <f>IF(M5398="","",'Master Barang'!A92)</f>
        <v>0</v>
      </c>
      <c r="O5398">
        <f>IF(N5398="","",'Master Barang'!B92)</f>
        <v>0</v>
      </c>
      <c r="P5398">
        <f>IF(OR(M5398="",N5398=""),"",SUMIFS('Barang Keluar'!$E:$E,'Barang Keluar'!$A:$A,M5398,'Barang Keluar'!$C:$C,N5398))</f>
        <v>0</v>
      </c>
    </row>
    <row r="5399" spans="13:16">
      <c r="M5399" s="49">
        <f>IF($A$4+53&gt;$B$4,"",$A$4+53)</f>
        <v>46076</v>
      </c>
      <c r="N5399">
        <f>IF(M5399="","",'Master Barang'!A93)</f>
        <v>0</v>
      </c>
      <c r="O5399">
        <f>IF(N5399="","",'Master Barang'!B93)</f>
        <v>0</v>
      </c>
      <c r="P5399">
        <f>IF(OR(M5399="",N5399=""),"",SUMIFS('Barang Keluar'!$E:$E,'Barang Keluar'!$A:$A,M5399,'Barang Keluar'!$C:$C,N5399))</f>
        <v>0</v>
      </c>
    </row>
    <row r="5400" spans="13:16">
      <c r="M5400" s="49">
        <f>IF($A$4+53&gt;$B$4,"",$A$4+53)</f>
        <v>46076</v>
      </c>
      <c r="N5400">
        <f>IF(M5400="","",'Master Barang'!A94)</f>
        <v>0</v>
      </c>
      <c r="O5400">
        <f>IF(N5400="","",'Master Barang'!B94)</f>
        <v>0</v>
      </c>
      <c r="P5400">
        <f>IF(OR(M5400="",N5400=""),"",SUMIFS('Barang Keluar'!$E:$E,'Barang Keluar'!$A:$A,M5400,'Barang Keluar'!$C:$C,N5400))</f>
        <v>0</v>
      </c>
    </row>
    <row r="5401" spans="13:16">
      <c r="M5401" s="49">
        <f>IF($A$4+53&gt;$B$4,"",$A$4+53)</f>
        <v>46076</v>
      </c>
      <c r="N5401">
        <f>IF(M5401="","",'Master Barang'!A95)</f>
        <v>0</v>
      </c>
      <c r="O5401">
        <f>IF(N5401="","",'Master Barang'!B95)</f>
        <v>0</v>
      </c>
      <c r="P5401">
        <f>IF(OR(M5401="",N5401=""),"",SUMIFS('Barang Keluar'!$E:$E,'Barang Keluar'!$A:$A,M5401,'Barang Keluar'!$C:$C,N5401))</f>
        <v>0</v>
      </c>
    </row>
    <row r="5402" spans="13:16">
      <c r="M5402" s="49">
        <f>IF($A$4+53&gt;$B$4,"",$A$4+53)</f>
        <v>46076</v>
      </c>
      <c r="N5402">
        <f>IF(M5402="","",'Master Barang'!A96)</f>
        <v>0</v>
      </c>
      <c r="O5402">
        <f>IF(N5402="","",'Master Barang'!B96)</f>
        <v>0</v>
      </c>
      <c r="P5402">
        <f>IF(OR(M5402="",N5402=""),"",SUMIFS('Barang Keluar'!$E:$E,'Barang Keluar'!$A:$A,M5402,'Barang Keluar'!$C:$C,N5402))</f>
        <v>0</v>
      </c>
    </row>
    <row r="5403" spans="13:16">
      <c r="M5403" s="49">
        <f>IF($A$4+53&gt;$B$4,"",$A$4+53)</f>
        <v>46076</v>
      </c>
      <c r="N5403">
        <f>IF(M5403="","",'Master Barang'!A97)</f>
        <v>0</v>
      </c>
      <c r="O5403">
        <f>IF(N5403="","",'Master Barang'!B97)</f>
        <v>0</v>
      </c>
      <c r="P5403">
        <f>IF(OR(M5403="",N5403=""),"",SUMIFS('Barang Keluar'!$E:$E,'Barang Keluar'!$A:$A,M5403,'Barang Keluar'!$C:$C,N5403))</f>
        <v>0</v>
      </c>
    </row>
    <row r="5404" spans="13:16">
      <c r="M5404" s="49">
        <f>IF($A$4+53&gt;$B$4,"",$A$4+53)</f>
        <v>46076</v>
      </c>
      <c r="N5404">
        <f>IF(M5404="","",'Master Barang'!A98)</f>
        <v>0</v>
      </c>
      <c r="O5404">
        <f>IF(N5404="","",'Master Barang'!B98)</f>
        <v>0</v>
      </c>
      <c r="P5404">
        <f>IF(OR(M5404="",N5404=""),"",SUMIFS('Barang Keluar'!$E:$E,'Barang Keluar'!$A:$A,M5404,'Barang Keluar'!$C:$C,N5404))</f>
        <v>0</v>
      </c>
    </row>
    <row r="5405" spans="13:16">
      <c r="M5405" s="49">
        <f>IF($A$4+53&gt;$B$4,"",$A$4+53)</f>
        <v>46076</v>
      </c>
      <c r="N5405">
        <f>IF(M5405="","",'Master Barang'!A99)</f>
        <v>0</v>
      </c>
      <c r="O5405">
        <f>IF(N5405="","",'Master Barang'!B99)</f>
        <v>0</v>
      </c>
      <c r="P5405">
        <f>IF(OR(M5405="",N5405=""),"",SUMIFS('Barang Keluar'!$E:$E,'Barang Keluar'!$A:$A,M5405,'Barang Keluar'!$C:$C,N5405))</f>
        <v>0</v>
      </c>
    </row>
    <row r="5406" spans="13:16">
      <c r="M5406" s="49">
        <f>IF($A$4+53&gt;$B$4,"",$A$4+53)</f>
        <v>46076</v>
      </c>
      <c r="N5406">
        <f>IF(M5406="","",'Master Barang'!A100)</f>
        <v>0</v>
      </c>
      <c r="O5406">
        <f>IF(N5406="","",'Master Barang'!B100)</f>
        <v>0</v>
      </c>
      <c r="P5406">
        <f>IF(OR(M5406="",N5406=""),"",SUMIFS('Barang Keluar'!$E:$E,'Barang Keluar'!$A:$A,M5406,'Barang Keluar'!$C:$C,N5406))</f>
        <v>0</v>
      </c>
    </row>
    <row r="5407" spans="13:16">
      <c r="M5407" s="49">
        <f>IF($A$4+53&gt;$B$4,"",$A$4+53)</f>
        <v>46076</v>
      </c>
      <c r="N5407">
        <f>IF(M5407="","",'Master Barang'!A101)</f>
        <v>0</v>
      </c>
      <c r="O5407">
        <f>IF(N5407="","",'Master Barang'!B101)</f>
        <v>0</v>
      </c>
      <c r="P5407">
        <f>IF(OR(M5407="",N5407=""),"",SUMIFS('Barang Keluar'!$E:$E,'Barang Keluar'!$A:$A,M5407,'Barang Keluar'!$C:$C,N5407))</f>
        <v>0</v>
      </c>
    </row>
    <row r="5408" spans="13:16">
      <c r="M5408" s="49">
        <f>IF($A$4+54&gt;$B$4,"",$A$4+54)</f>
        <v>46077</v>
      </c>
      <c r="N5408" t="str">
        <f>IF(M5408="","",'Master Barang'!A2)</f>
        <v>PRL-001</v>
      </c>
      <c r="O5408" t="str">
        <f>IF(N5408="","",'Master Barang'!B2)</f>
        <v>natura desinfectant food grade 5l</v>
      </c>
      <c r="P5408">
        <f>IF(OR(M5408="",N5408=""),"",SUMIFS('Barang Keluar'!$E:$E,'Barang Keluar'!$A:$A,M5408,'Barang Keluar'!$C:$C,N5408))</f>
        <v>0</v>
      </c>
    </row>
    <row r="5409" spans="13:16">
      <c r="M5409" s="49">
        <f>IF($A$4+54&gt;$B$4,"",$A$4+54)</f>
        <v>46077</v>
      </c>
      <c r="N5409" t="str">
        <f>IF(M5409="","",'Master Barang'!A3)</f>
        <v>PRL-002</v>
      </c>
      <c r="O5409" t="str">
        <f>IF(N5409="","",'Master Barang'!B3)</f>
        <v>sunlight cairan pencuci piring 5l</v>
      </c>
      <c r="P5409">
        <f>IF(OR(M5409="",N5409=""),"",SUMIFS('Barang Keluar'!$E:$E,'Barang Keluar'!$A:$A,M5409,'Barang Keluar'!$C:$C,N5409))</f>
        <v>0</v>
      </c>
    </row>
    <row r="5410" spans="13:16">
      <c r="M5410" s="49">
        <f>IF($A$4+54&gt;$B$4,"",$A$4+54)</f>
        <v>46077</v>
      </c>
      <c r="N5410" t="str">
        <f>IF(M5410="","",'Master Barang'!A4)</f>
        <v>PRL-003</v>
      </c>
      <c r="O5410" t="str">
        <f>IF(N5410="","",'Master Barang'!B4)</f>
        <v>oixs cleaner 1l</v>
      </c>
      <c r="P5410">
        <f>IF(OR(M5410="",N5410=""),"",SUMIFS('Barang Keluar'!$E:$E,'Barang Keluar'!$A:$A,M5410,'Barang Keluar'!$C:$C,N5410))</f>
        <v>0</v>
      </c>
    </row>
    <row r="5411" spans="13:16">
      <c r="M5411" s="49">
        <f>IF($A$4+54&gt;$B$4,"",$A$4+54)</f>
        <v>46077</v>
      </c>
      <c r="N5411" t="str">
        <f>IF(M5411="","",'Master Barang'!A5)</f>
        <v>PRL-004</v>
      </c>
      <c r="O5411" t="str">
        <f>IF(N5411="","",'Master Barang'!B5)</f>
        <v>be clean tissue serbaguna</v>
      </c>
      <c r="P5411">
        <f>IF(OR(M5411="",N5411=""),"",SUMIFS('Barang Keluar'!$E:$E,'Barang Keluar'!$A:$A,M5411,'Barang Keluar'!$C:$C,N5411))</f>
        <v>0</v>
      </c>
    </row>
    <row r="5412" spans="13:16">
      <c r="M5412" s="49">
        <f>IF($A$4+54&gt;$B$4,"",$A$4+54)</f>
        <v>46077</v>
      </c>
      <c r="N5412" t="str">
        <f>IF(M5412="","",'Master Barang'!A6)</f>
        <v>PRL-005</v>
      </c>
      <c r="O5412" t="str">
        <f>IF(N5412="","",'Master Barang'!B6)</f>
        <v>spons cuci hijau</v>
      </c>
      <c r="P5412">
        <f>IF(OR(M5412="",N5412=""),"",SUMIFS('Barang Keluar'!$E:$E,'Barang Keluar'!$A:$A,M5412,'Barang Keluar'!$C:$C,N5412))</f>
        <v>0</v>
      </c>
    </row>
    <row r="5413" spans="13:16">
      <c r="M5413" s="49">
        <f>IF($A$4+54&gt;$B$4,"",$A$4+54)</f>
        <v>46077</v>
      </c>
      <c r="N5413" t="str">
        <f>IF(M5413="","",'Master Barang'!A7)</f>
        <v>PRL-006</v>
      </c>
      <c r="O5413" t="str">
        <f>IF(N5413="","",'Master Barang'!B7)</f>
        <v>sabut cuci stainless</v>
      </c>
      <c r="P5413">
        <f>IF(OR(M5413="",N5413=""),"",SUMIFS('Barang Keluar'!$E:$E,'Barang Keluar'!$A:$A,M5413,'Barang Keluar'!$C:$C,N5413))</f>
        <v>0</v>
      </c>
    </row>
    <row r="5414" spans="13:16">
      <c r="M5414" s="49">
        <f>IF($A$4+54&gt;$B$4,"",$A$4+54)</f>
        <v>46077</v>
      </c>
      <c r="N5414" t="str">
        <f>IF(M5414="","",'Master Barang'!A8)</f>
        <v>PRL-007</v>
      </c>
      <c r="O5414" t="str">
        <f>IF(N5414="","",'Master Barang'!B8)</f>
        <v>plastik kresek besar merah 50pc</v>
      </c>
      <c r="P5414">
        <f>IF(OR(M5414="",N5414=""),"",SUMIFS('Barang Keluar'!$E:$E,'Barang Keluar'!$A:$A,M5414,'Barang Keluar'!$C:$C,N5414))</f>
        <v>0</v>
      </c>
    </row>
    <row r="5415" spans="13:16">
      <c r="M5415" s="49">
        <f>IF($A$4+54&gt;$B$4,"",$A$4+54)</f>
        <v>46077</v>
      </c>
      <c r="N5415" t="str">
        <f>IF(M5415="","",'Master Barang'!A9)</f>
        <v>PRL-008</v>
      </c>
      <c r="O5415" t="str">
        <f>IF(N5415="","",'Master Barang'!B9)</f>
        <v>lap besar</v>
      </c>
      <c r="P5415">
        <f>IF(OR(M5415="",N5415=""),"",SUMIFS('Barang Keluar'!$E:$E,'Barang Keluar'!$A:$A,M5415,'Barang Keluar'!$C:$C,N5415))</f>
        <v>0</v>
      </c>
    </row>
    <row r="5416" spans="13:16">
      <c r="M5416" s="49">
        <f>IF($A$4+54&gt;$B$4,"",$A$4+54)</f>
        <v>46077</v>
      </c>
      <c r="N5416" t="str">
        <f>IF(M5416="","",'Master Barang'!A10)</f>
        <v>PRL-009</v>
      </c>
      <c r="O5416" t="str">
        <f>IF(N5416="","",'Master Barang'!B10)</f>
        <v>lap microfiber</v>
      </c>
      <c r="P5416">
        <f>IF(OR(M5416="",N5416=""),"",SUMIFS('Barang Keluar'!$E:$E,'Barang Keluar'!$A:$A,M5416,'Barang Keluar'!$C:$C,N5416))</f>
        <v>0</v>
      </c>
    </row>
    <row r="5417" spans="13:16">
      <c r="M5417" s="49">
        <f>IF($A$4+54&gt;$B$4,"",$A$4+54)</f>
        <v>46077</v>
      </c>
      <c r="N5417" t="str">
        <f>IF(M5417="","",'Master Barang'!A11)</f>
        <v>PRL-010</v>
      </c>
      <c r="O5417" t="str">
        <f>IF(N5417="","",'Master Barang'!B11)</f>
        <v>lap kecil</v>
      </c>
      <c r="P5417">
        <f>IF(OR(M5417="",N5417=""),"",SUMIFS('Barang Keluar'!$E:$E,'Barang Keluar'!$A:$A,M5417,'Barang Keluar'!$C:$C,N5417))</f>
        <v>0</v>
      </c>
    </row>
    <row r="5418" spans="13:16">
      <c r="M5418" s="49">
        <f>IF($A$4+54&gt;$B$4,"",$A$4+54)</f>
        <v>46077</v>
      </c>
      <c r="N5418" t="str">
        <f>IF(M5418="","",'Master Barang'!A12)</f>
        <v>PRL-011</v>
      </c>
      <c r="O5418" t="str">
        <f>IF(N5418="","",'Master Barang'!B12)</f>
        <v>kanebo kecil</v>
      </c>
      <c r="P5418">
        <f>IF(OR(M5418="",N5418=""),"",SUMIFS('Barang Keluar'!$E:$E,'Barang Keluar'!$A:$A,M5418,'Barang Keluar'!$C:$C,N5418))</f>
        <v>0</v>
      </c>
    </row>
    <row r="5419" spans="13:16">
      <c r="M5419" s="49">
        <f>IF($A$4+54&gt;$B$4,"",$A$4+54)</f>
        <v>46077</v>
      </c>
      <c r="N5419" t="str">
        <f>IF(M5419="","",'Master Barang'!A13)</f>
        <v>PRL-012</v>
      </c>
      <c r="O5419" t="str">
        <f>IF(N5419="","",'Master Barang'!B13)</f>
        <v>plastik 1/4kg joyoboyo 100 lembar</v>
      </c>
      <c r="P5419">
        <f>IF(OR(M5419="",N5419=""),"",SUMIFS('Barang Keluar'!$E:$E,'Barang Keluar'!$A:$A,M5419,'Barang Keluar'!$C:$C,N5419))</f>
        <v>0</v>
      </c>
    </row>
    <row r="5420" spans="13:16">
      <c r="M5420" s="49">
        <f>IF($A$4+54&gt;$B$4,"",$A$4+54)</f>
        <v>46077</v>
      </c>
      <c r="N5420" t="str">
        <f>IF(M5420="","",'Master Barang'!A14)</f>
        <v>PRL-013</v>
      </c>
      <c r="O5420" t="str">
        <f>IF(N5420="","",'Master Barang'!B14)</f>
        <v>sarung tangan plastik kaka 100 pcs</v>
      </c>
      <c r="P5420">
        <f>IF(OR(M5420="",N5420=""),"",SUMIFS('Barang Keluar'!$E:$E,'Barang Keluar'!$A:$A,M5420,'Barang Keluar'!$C:$C,N5420))</f>
        <v>0</v>
      </c>
    </row>
    <row r="5421" spans="13:16">
      <c r="M5421" s="49">
        <f>IF($A$4+54&gt;$B$4,"",$A$4+54)</f>
        <v>46077</v>
      </c>
      <c r="N5421" t="str">
        <f>IF(M5421="","",'Master Barang'!A15)</f>
        <v>PRL-014</v>
      </c>
      <c r="O5421" t="str">
        <f>IF(N5421="","",'Master Barang'!B15)</f>
        <v>optima trashbag 80x100</v>
      </c>
      <c r="P5421">
        <f>IF(OR(M5421="",N5421=""),"",SUMIFS('Barang Keluar'!$E:$E,'Barang Keluar'!$A:$A,M5421,'Barang Keluar'!$C:$C,N5421))</f>
        <v>0</v>
      </c>
    </row>
    <row r="5422" spans="13:16">
      <c r="M5422" s="49">
        <f>IF($A$4+54&gt;$B$4,"",$A$4+54)</f>
        <v>46077</v>
      </c>
      <c r="N5422" t="str">
        <f>IF(M5422="","",'Master Barang'!A16)</f>
        <v>PRL-015</v>
      </c>
      <c r="O5422" t="str">
        <f>IF(N5422="","",'Master Barang'!B16)</f>
        <v>optima trashbag 60x100</v>
      </c>
      <c r="P5422">
        <f>IF(OR(M5422="",N5422=""),"",SUMIFS('Barang Keluar'!$E:$E,'Barang Keluar'!$A:$A,M5422,'Barang Keluar'!$C:$C,N5422))</f>
        <v>0</v>
      </c>
    </row>
    <row r="5423" spans="13:16">
      <c r="M5423" s="49">
        <f>IF($A$4+54&gt;$B$4,"",$A$4+54)</f>
        <v>46077</v>
      </c>
      <c r="N5423" t="str">
        <f>IF(M5423="","",'Master Barang'!A17)</f>
        <v>PRL-016</v>
      </c>
      <c r="O5423" t="str">
        <f>IF(N5423="","",'Master Barang'!B17)</f>
        <v>rajawali trashbag 30x40</v>
      </c>
      <c r="P5423">
        <f>IF(OR(M5423="",N5423=""),"",SUMIFS('Barang Keluar'!$E:$E,'Barang Keluar'!$A:$A,M5423,'Barang Keluar'!$C:$C,N5423))</f>
        <v>0</v>
      </c>
    </row>
    <row r="5424" spans="13:16">
      <c r="M5424" s="49">
        <f>IF($A$4+54&gt;$B$4,"",$A$4+54)</f>
        <v>46077</v>
      </c>
      <c r="N5424" t="str">
        <f>IF(M5424="","",'Master Barang'!A18)</f>
        <v>PRL-017</v>
      </c>
      <c r="O5424" t="str">
        <f>IF(N5424="","",'Master Barang'!B18)</f>
        <v>onemed masker biru 3 play 50 pcs</v>
      </c>
      <c r="P5424">
        <f>IF(OR(M5424="",N5424=""),"",SUMIFS('Barang Keluar'!$E:$E,'Barang Keluar'!$A:$A,M5424,'Barang Keluar'!$C:$C,N5424))</f>
        <v>0</v>
      </c>
    </row>
    <row r="5425" spans="13:16">
      <c r="M5425" s="49">
        <f>IF($A$4+54&gt;$B$4,"",$A$4+54)</f>
        <v>46077</v>
      </c>
      <c r="N5425" t="str">
        <f>IF(M5425="","",'Master Barang'!A19)</f>
        <v>PRL-018</v>
      </c>
      <c r="O5425" t="str">
        <f>IF(N5425="","",'Master Barang'!B19)</f>
        <v>onemed masker biru 3 play hijab 50 pcs</v>
      </c>
      <c r="P5425">
        <f>IF(OR(M5425="",N5425=""),"",SUMIFS('Barang Keluar'!$E:$E,'Barang Keluar'!$A:$A,M5425,'Barang Keluar'!$C:$C,N5425))</f>
        <v>0</v>
      </c>
    </row>
    <row r="5426" spans="13:16">
      <c r="M5426" s="49">
        <f>IF($A$4+54&gt;$B$4,"",$A$4+54)</f>
        <v>46077</v>
      </c>
      <c r="N5426" t="str">
        <f>IF(M5426="","",'Master Barang'!A20)</f>
        <v>PRL-019</v>
      </c>
      <c r="O5426" t="str">
        <f>IF(N5426="","",'Master Barang'!B20)</f>
        <v>neo health masker biru 3 play 50 pcs</v>
      </c>
      <c r="P5426">
        <f>IF(OR(M5426="",N5426=""),"",SUMIFS('Barang Keluar'!$E:$E,'Barang Keluar'!$A:$A,M5426,'Barang Keluar'!$C:$C,N5426))</f>
        <v>0</v>
      </c>
    </row>
    <row r="5427" spans="13:16">
      <c r="M5427" s="49">
        <f>IF($A$4+54&gt;$B$4,"",$A$4+54)</f>
        <v>46077</v>
      </c>
      <c r="N5427" t="str">
        <f>IF(M5427="","",'Master Barang'!A21)</f>
        <v>PRL-020</v>
      </c>
      <c r="O5427" t="str">
        <f>IF(N5427="","",'Master Barang'!B21)</f>
        <v>baymed masker hijau 3 play hijau 50 pcs</v>
      </c>
      <c r="P5427">
        <f>IF(OR(M5427="",N5427=""),"",SUMIFS('Barang Keluar'!$E:$E,'Barang Keluar'!$A:$A,M5427,'Barang Keluar'!$C:$C,N5427))</f>
        <v>0</v>
      </c>
    </row>
    <row r="5428" spans="13:16">
      <c r="M5428" s="49">
        <f>IF($A$4+54&gt;$B$4,"",$A$4+54)</f>
        <v>46077</v>
      </c>
      <c r="N5428" t="str">
        <f>IF(M5428="","",'Master Barang'!A22)</f>
        <v>PRL-021</v>
      </c>
      <c r="O5428" t="str">
        <f>IF(N5428="","",'Master Barang'!B22)</f>
        <v>altamed nurse cap penutup kepala 100 pcs</v>
      </c>
      <c r="P5428">
        <f>IF(OR(M5428="",N5428=""),"",SUMIFS('Barang Keluar'!$E:$E,'Barang Keluar'!$A:$A,M5428,'Barang Keluar'!$C:$C,N5428))</f>
        <v>0</v>
      </c>
    </row>
    <row r="5429" spans="13:16">
      <c r="M5429" s="49">
        <f>IF($A$4+54&gt;$B$4,"",$A$4+54)</f>
        <v>46077</v>
      </c>
      <c r="N5429" t="str">
        <f>IF(M5429="","",'Master Barang'!A23)</f>
        <v>PRL-022</v>
      </c>
      <c r="O5429" t="str">
        <f>IF(N5429="","",'Master Barang'!B23)</f>
        <v>sabun cuci tangan</v>
      </c>
      <c r="P5429">
        <f>IF(OR(M5429="",N5429=""),"",SUMIFS('Barang Keluar'!$E:$E,'Barang Keluar'!$A:$A,M5429,'Barang Keluar'!$C:$C,N5429))</f>
        <v>0</v>
      </c>
    </row>
    <row r="5430" spans="13:16">
      <c r="M5430" s="49">
        <f>IF($A$4+54&gt;$B$4,"",$A$4+54)</f>
        <v>46077</v>
      </c>
      <c r="N5430" t="str">
        <f>IF(M5430="","",'Master Barang'!A24)</f>
        <v>PRL-023</v>
      </c>
      <c r="O5430" t="str">
        <f>IF(N5430="","",'Master Barang'!B24)</f>
        <v>gayung kecil</v>
      </c>
      <c r="P5430">
        <f>IF(OR(M5430="",N5430=""),"",SUMIFS('Barang Keluar'!$E:$E,'Barang Keluar'!$A:$A,M5430,'Barang Keluar'!$C:$C,N5430))</f>
        <v>0</v>
      </c>
    </row>
    <row r="5431" spans="13:16">
      <c r="M5431" s="49">
        <f>IF($A$4+54&gt;$B$4,"",$A$4+54)</f>
        <v>46077</v>
      </c>
      <c r="N5431" t="str">
        <f>IF(M5431="","",'Master Barang'!A25)</f>
        <v>PRL-024</v>
      </c>
      <c r="O5431" t="str">
        <f>IF(N5431="","",'Master Barang'!B25)</f>
        <v>cikrak kecil</v>
      </c>
      <c r="P5431">
        <f>IF(OR(M5431="",N5431=""),"",SUMIFS('Barang Keluar'!$E:$E,'Barang Keluar'!$A:$A,M5431,'Barang Keluar'!$C:$C,N5431))</f>
        <v>0</v>
      </c>
    </row>
    <row r="5432" spans="13:16">
      <c r="M5432" s="49">
        <f>IF($A$4+54&gt;$B$4,"",$A$4+54)</f>
        <v>46077</v>
      </c>
      <c r="N5432" t="str">
        <f>IF(M5432="","",'Master Barang'!A26)</f>
        <v>PRL-025</v>
      </c>
      <c r="O5432" t="str">
        <f>IF(N5432="","",'Master Barang'!B26)</f>
        <v>petromax plastik kecil 12x24 100 lembar</v>
      </c>
      <c r="P5432">
        <f>IF(OR(M5432="",N5432=""),"",SUMIFS('Barang Keluar'!$E:$E,'Barang Keluar'!$A:$A,M5432,'Barang Keluar'!$C:$C,N5432))</f>
        <v>0</v>
      </c>
    </row>
    <row r="5433" spans="13:16">
      <c r="M5433" s="49">
        <f>IF($A$4+54&gt;$B$4,"",$A$4+54)</f>
        <v>46077</v>
      </c>
      <c r="N5433" t="str">
        <f>IF(M5433="","",'Master Barang'!A27)</f>
        <v>PRL-026</v>
      </c>
      <c r="O5433" t="str">
        <f>IF(N5433="","",'Master Barang'!B27)</f>
        <v>lancar kresek kecil bening </v>
      </c>
      <c r="P5433">
        <f>IF(OR(M5433="",N5433=""),"",SUMIFS('Barang Keluar'!$E:$E,'Barang Keluar'!$A:$A,M5433,'Barang Keluar'!$C:$C,N5433))</f>
        <v>0</v>
      </c>
    </row>
    <row r="5434" spans="13:16">
      <c r="M5434" s="49">
        <f>IF($A$4+54&gt;$B$4,"",$A$4+54)</f>
        <v>46077</v>
      </c>
      <c r="N5434" t="str">
        <f>IF(M5434="","",'Master Barang'!A28)</f>
        <v>PRL-027</v>
      </c>
      <c r="O5434" t="str">
        <f>IF(N5434="","",'Master Barang'!B28)</f>
        <v>kresek klin warna warni kecil</v>
      </c>
      <c r="P5434">
        <f>IF(OR(M5434="",N5434=""),"",SUMIFS('Barang Keluar'!$E:$E,'Barang Keluar'!$A:$A,M5434,'Barang Keluar'!$C:$C,N5434))</f>
        <v>0</v>
      </c>
    </row>
    <row r="5435" spans="13:16">
      <c r="M5435" s="49">
        <f>IF($A$4+54&gt;$B$4,"",$A$4+54)</f>
        <v>46077</v>
      </c>
      <c r="N5435" t="str">
        <f>IF(M5435="","",'Master Barang'!A29)</f>
        <v>PRL-028</v>
      </c>
      <c r="O5435" t="str">
        <f>IF(N5435="","",'Master Barang'!B29)</f>
        <v>ctik plastik 7x10 100 pcs</v>
      </c>
      <c r="P5435">
        <f>IF(OR(M5435="",N5435=""),"",SUMIFS('Barang Keluar'!$E:$E,'Barang Keluar'!$A:$A,M5435,'Barang Keluar'!$C:$C,N5435))</f>
        <v>0</v>
      </c>
    </row>
    <row r="5436" spans="13:16">
      <c r="M5436" s="49">
        <f>IF($A$4+54&gt;$B$4,"",$A$4+54)</f>
        <v>46077</v>
      </c>
      <c r="N5436" t="str">
        <f>IF(M5436="","",'Master Barang'!A30)</f>
        <v>PRL-029</v>
      </c>
      <c r="O5436" t="str">
        <f>IF(N5436="","",'Master Barang'!B30)</f>
        <v>ctik plastik 6x10 100 pcs</v>
      </c>
      <c r="P5436">
        <f>IF(OR(M5436="",N5436=""),"",SUMIFS('Barang Keluar'!$E:$E,'Barang Keluar'!$A:$A,M5436,'Barang Keluar'!$C:$C,N5436))</f>
        <v>0</v>
      </c>
    </row>
    <row r="5437" spans="13:16">
      <c r="M5437" s="49">
        <f>IF($A$4+54&gt;$B$4,"",$A$4+54)</f>
        <v>46077</v>
      </c>
      <c r="N5437" t="str">
        <f>IF(M5437="","",'Master Barang'!A31)</f>
        <v>PRL-030</v>
      </c>
      <c r="O5437" t="str">
        <f>IF(N5437="","",'Master Barang'!B31)</f>
        <v>klip plastik 25x16 100 pcs</v>
      </c>
      <c r="P5437">
        <f>IF(OR(M5437="",N5437=""),"",SUMIFS('Barang Keluar'!$E:$E,'Barang Keluar'!$A:$A,M5437,'Barang Keluar'!$C:$C,N5437))</f>
        <v>0</v>
      </c>
    </row>
    <row r="5438" spans="13:16">
      <c r="M5438" s="49">
        <f>IF($A$4+54&gt;$B$4,"",$A$4+54)</f>
        <v>46077</v>
      </c>
      <c r="N5438" t="str">
        <f>IF(M5438="","",'Master Barang'!A32)</f>
        <v>PRL-031</v>
      </c>
      <c r="O5438" t="str">
        <f>IF(N5438="","",'Master Barang'!B32)</f>
        <v>tempat saus 20 ml</v>
      </c>
      <c r="P5438">
        <f>IF(OR(M5438="",N5438=""),"",SUMIFS('Barang Keluar'!$E:$E,'Barang Keluar'!$A:$A,M5438,'Barang Keluar'!$C:$C,N5438))</f>
        <v>0</v>
      </c>
    </row>
    <row r="5439" spans="13:16">
      <c r="M5439" s="49">
        <f>IF($A$4+54&gt;$B$4,"",$A$4+54)</f>
        <v>46077</v>
      </c>
      <c r="N5439" t="str">
        <f>IF(M5439="","",'Master Barang'!A33)</f>
        <v>PRL-032</v>
      </c>
      <c r="O5439" t="str">
        <f>IF(N5439="","",'Master Barang'!B33)</f>
        <v>plastik packaging ag box uk sedang</v>
      </c>
      <c r="P5439">
        <f>IF(OR(M5439="",N5439=""),"",SUMIFS('Barang Keluar'!$E:$E,'Barang Keluar'!$A:$A,M5439,'Barang Keluar'!$C:$C,N5439))</f>
        <v>0</v>
      </c>
    </row>
    <row r="5440" spans="13:16">
      <c r="M5440" s="49">
        <f>IF($A$4+54&gt;$B$4,"",$A$4+54)</f>
        <v>46077</v>
      </c>
      <c r="N5440" t="str">
        <f>IF(M5440="","",'Master Barang'!A34)</f>
        <v>PRL-033</v>
      </c>
      <c r="O5440">
        <f>IF(N5440="","",'Master Barang'!B34)</f>
        <v>0</v>
      </c>
      <c r="P5440">
        <f>IF(OR(M5440="",N5440=""),"",SUMIFS('Barang Keluar'!$E:$E,'Barang Keluar'!$A:$A,M5440,'Barang Keluar'!$C:$C,N5440))</f>
        <v>0</v>
      </c>
    </row>
    <row r="5441" spans="13:16">
      <c r="M5441" s="49">
        <f>IF($A$4+54&gt;$B$4,"",$A$4+54)</f>
        <v>46077</v>
      </c>
      <c r="N5441">
        <f>IF(M5441="","",'Master Barang'!A35)</f>
        <v>0</v>
      </c>
      <c r="O5441">
        <f>IF(N5441="","",'Master Barang'!B35)</f>
        <v>0</v>
      </c>
      <c r="P5441">
        <f>IF(OR(M5441="",N5441=""),"",SUMIFS('Barang Keluar'!$E:$E,'Barang Keluar'!$A:$A,M5441,'Barang Keluar'!$C:$C,N5441))</f>
        <v>0</v>
      </c>
    </row>
    <row r="5442" spans="13:16">
      <c r="M5442" s="49">
        <f>IF($A$4+54&gt;$B$4,"",$A$4+54)</f>
        <v>46077</v>
      </c>
      <c r="N5442">
        <f>IF(M5442="","",'Master Barang'!A36)</f>
        <v>0</v>
      </c>
      <c r="O5442">
        <f>IF(N5442="","",'Master Barang'!B36)</f>
        <v>0</v>
      </c>
      <c r="P5442">
        <f>IF(OR(M5442="",N5442=""),"",SUMIFS('Barang Keluar'!$E:$E,'Barang Keluar'!$A:$A,M5442,'Barang Keluar'!$C:$C,N5442))</f>
        <v>0</v>
      </c>
    </row>
    <row r="5443" spans="13:16">
      <c r="M5443" s="49">
        <f>IF($A$4+54&gt;$B$4,"",$A$4+54)</f>
        <v>46077</v>
      </c>
      <c r="N5443">
        <f>IF(M5443="","",'Master Barang'!A37)</f>
        <v>0</v>
      </c>
      <c r="O5443">
        <f>IF(N5443="","",'Master Barang'!B37)</f>
        <v>0</v>
      </c>
      <c r="P5443">
        <f>IF(OR(M5443="",N5443=""),"",SUMIFS('Barang Keluar'!$E:$E,'Barang Keluar'!$A:$A,M5443,'Barang Keluar'!$C:$C,N5443))</f>
        <v>0</v>
      </c>
    </row>
    <row r="5444" spans="13:16">
      <c r="M5444" s="49">
        <f>IF($A$4+54&gt;$B$4,"",$A$4+54)</f>
        <v>46077</v>
      </c>
      <c r="N5444">
        <f>IF(M5444="","",'Master Barang'!A38)</f>
        <v>0</v>
      </c>
      <c r="O5444">
        <f>IF(N5444="","",'Master Barang'!B38)</f>
        <v>0</v>
      </c>
      <c r="P5444">
        <f>IF(OR(M5444="",N5444=""),"",SUMIFS('Barang Keluar'!$E:$E,'Barang Keluar'!$A:$A,M5444,'Barang Keluar'!$C:$C,N5444))</f>
        <v>0</v>
      </c>
    </row>
    <row r="5445" spans="13:16">
      <c r="M5445" s="49">
        <f>IF($A$4+54&gt;$B$4,"",$A$4+54)</f>
        <v>46077</v>
      </c>
      <c r="N5445">
        <f>IF(M5445="","",'Master Barang'!A39)</f>
        <v>0</v>
      </c>
      <c r="O5445">
        <f>IF(N5445="","",'Master Barang'!B39)</f>
        <v>0</v>
      </c>
      <c r="P5445">
        <f>IF(OR(M5445="",N5445=""),"",SUMIFS('Barang Keluar'!$E:$E,'Barang Keluar'!$A:$A,M5445,'Barang Keluar'!$C:$C,N5445))</f>
        <v>0</v>
      </c>
    </row>
    <row r="5446" spans="13:16">
      <c r="M5446" s="49">
        <f>IF($A$4+54&gt;$B$4,"",$A$4+54)</f>
        <v>46077</v>
      </c>
      <c r="N5446">
        <f>IF(M5446="","",'Master Barang'!A40)</f>
        <v>0</v>
      </c>
      <c r="O5446">
        <f>IF(N5446="","",'Master Barang'!B40)</f>
        <v>0</v>
      </c>
      <c r="P5446">
        <f>IF(OR(M5446="",N5446=""),"",SUMIFS('Barang Keluar'!$E:$E,'Barang Keluar'!$A:$A,M5446,'Barang Keluar'!$C:$C,N5446))</f>
        <v>0</v>
      </c>
    </row>
    <row r="5447" spans="13:16">
      <c r="M5447" s="49">
        <f>IF($A$4+54&gt;$B$4,"",$A$4+54)</f>
        <v>46077</v>
      </c>
      <c r="N5447">
        <f>IF(M5447="","",'Master Barang'!A41)</f>
        <v>0</v>
      </c>
      <c r="O5447">
        <f>IF(N5447="","",'Master Barang'!B41)</f>
        <v>0</v>
      </c>
      <c r="P5447">
        <f>IF(OR(M5447="",N5447=""),"",SUMIFS('Barang Keluar'!$E:$E,'Barang Keluar'!$A:$A,M5447,'Barang Keluar'!$C:$C,N5447))</f>
        <v>0</v>
      </c>
    </row>
    <row r="5448" spans="13:16">
      <c r="M5448" s="49">
        <f>IF($A$4+54&gt;$B$4,"",$A$4+54)</f>
        <v>46077</v>
      </c>
      <c r="N5448">
        <f>IF(M5448="","",'Master Barang'!A42)</f>
        <v>0</v>
      </c>
      <c r="O5448">
        <f>IF(N5448="","",'Master Barang'!B42)</f>
        <v>0</v>
      </c>
      <c r="P5448">
        <f>IF(OR(M5448="",N5448=""),"",SUMIFS('Barang Keluar'!$E:$E,'Barang Keluar'!$A:$A,M5448,'Barang Keluar'!$C:$C,N5448))</f>
        <v>0</v>
      </c>
    </row>
    <row r="5449" spans="13:16">
      <c r="M5449" s="49">
        <f>IF($A$4+54&gt;$B$4,"",$A$4+54)</f>
        <v>46077</v>
      </c>
      <c r="N5449">
        <f>IF(M5449="","",'Master Barang'!A43)</f>
        <v>0</v>
      </c>
      <c r="O5449">
        <f>IF(N5449="","",'Master Barang'!B43)</f>
        <v>0</v>
      </c>
      <c r="P5449">
        <f>IF(OR(M5449="",N5449=""),"",SUMIFS('Barang Keluar'!$E:$E,'Barang Keluar'!$A:$A,M5449,'Barang Keluar'!$C:$C,N5449))</f>
        <v>0</v>
      </c>
    </row>
    <row r="5450" spans="13:16">
      <c r="M5450" s="49">
        <f>IF($A$4+54&gt;$B$4,"",$A$4+54)</f>
        <v>46077</v>
      </c>
      <c r="N5450">
        <f>IF(M5450="","",'Master Barang'!A44)</f>
        <v>0</v>
      </c>
      <c r="O5450">
        <f>IF(N5450="","",'Master Barang'!B44)</f>
        <v>0</v>
      </c>
      <c r="P5450">
        <f>IF(OR(M5450="",N5450=""),"",SUMIFS('Barang Keluar'!$E:$E,'Barang Keluar'!$A:$A,M5450,'Barang Keluar'!$C:$C,N5450))</f>
        <v>0</v>
      </c>
    </row>
    <row r="5451" spans="13:16">
      <c r="M5451" s="49">
        <f>IF($A$4+54&gt;$B$4,"",$A$4+54)</f>
        <v>46077</v>
      </c>
      <c r="N5451">
        <f>IF(M5451="","",'Master Barang'!A45)</f>
        <v>0</v>
      </c>
      <c r="O5451">
        <f>IF(N5451="","",'Master Barang'!B45)</f>
        <v>0</v>
      </c>
      <c r="P5451">
        <f>IF(OR(M5451="",N5451=""),"",SUMIFS('Barang Keluar'!$E:$E,'Barang Keluar'!$A:$A,M5451,'Barang Keluar'!$C:$C,N5451))</f>
        <v>0</v>
      </c>
    </row>
    <row r="5452" spans="13:16">
      <c r="M5452" s="49">
        <f>IF($A$4+54&gt;$B$4,"",$A$4+54)</f>
        <v>46077</v>
      </c>
      <c r="N5452">
        <f>IF(M5452="","",'Master Barang'!A46)</f>
        <v>0</v>
      </c>
      <c r="O5452">
        <f>IF(N5452="","",'Master Barang'!B46)</f>
        <v>0</v>
      </c>
      <c r="P5452">
        <f>IF(OR(M5452="",N5452=""),"",SUMIFS('Barang Keluar'!$E:$E,'Barang Keluar'!$A:$A,M5452,'Barang Keluar'!$C:$C,N5452))</f>
        <v>0</v>
      </c>
    </row>
    <row r="5453" spans="13:16">
      <c r="M5453" s="49">
        <f>IF($A$4+54&gt;$B$4,"",$A$4+54)</f>
        <v>46077</v>
      </c>
      <c r="N5453">
        <f>IF(M5453="","",'Master Barang'!A47)</f>
        <v>0</v>
      </c>
      <c r="O5453">
        <f>IF(N5453="","",'Master Barang'!B47)</f>
        <v>0</v>
      </c>
      <c r="P5453">
        <f>IF(OR(M5453="",N5453=""),"",SUMIFS('Barang Keluar'!$E:$E,'Barang Keluar'!$A:$A,M5453,'Barang Keluar'!$C:$C,N5453))</f>
        <v>0</v>
      </c>
    </row>
    <row r="5454" spans="13:16">
      <c r="M5454" s="49">
        <f>IF($A$4+54&gt;$B$4,"",$A$4+54)</f>
        <v>46077</v>
      </c>
      <c r="N5454">
        <f>IF(M5454="","",'Master Barang'!A48)</f>
        <v>0</v>
      </c>
      <c r="O5454">
        <f>IF(N5454="","",'Master Barang'!B48)</f>
        <v>0</v>
      </c>
      <c r="P5454">
        <f>IF(OR(M5454="",N5454=""),"",SUMIFS('Barang Keluar'!$E:$E,'Barang Keluar'!$A:$A,M5454,'Barang Keluar'!$C:$C,N5454))</f>
        <v>0</v>
      </c>
    </row>
    <row r="5455" spans="13:16">
      <c r="M5455" s="49">
        <f>IF($A$4+54&gt;$B$4,"",$A$4+54)</f>
        <v>46077</v>
      </c>
      <c r="N5455">
        <f>IF(M5455="","",'Master Barang'!A49)</f>
        <v>0</v>
      </c>
      <c r="O5455">
        <f>IF(N5455="","",'Master Barang'!B49)</f>
        <v>0</v>
      </c>
      <c r="P5455">
        <f>IF(OR(M5455="",N5455=""),"",SUMIFS('Barang Keluar'!$E:$E,'Barang Keluar'!$A:$A,M5455,'Barang Keluar'!$C:$C,N5455))</f>
        <v>0</v>
      </c>
    </row>
    <row r="5456" spans="13:16">
      <c r="M5456" s="49">
        <f>IF($A$4+54&gt;$B$4,"",$A$4+54)</f>
        <v>46077</v>
      </c>
      <c r="N5456">
        <f>IF(M5456="","",'Master Barang'!A50)</f>
        <v>0</v>
      </c>
      <c r="O5456">
        <f>IF(N5456="","",'Master Barang'!B50)</f>
        <v>0</v>
      </c>
      <c r="P5456">
        <f>IF(OR(M5456="",N5456=""),"",SUMIFS('Barang Keluar'!$E:$E,'Barang Keluar'!$A:$A,M5456,'Barang Keluar'!$C:$C,N5456))</f>
        <v>0</v>
      </c>
    </row>
    <row r="5457" spans="13:16">
      <c r="M5457" s="49">
        <f>IF($A$4+54&gt;$B$4,"",$A$4+54)</f>
        <v>46077</v>
      </c>
      <c r="N5457">
        <f>IF(M5457="","",'Master Barang'!A51)</f>
        <v>0</v>
      </c>
      <c r="O5457">
        <f>IF(N5457="","",'Master Barang'!B51)</f>
        <v>0</v>
      </c>
      <c r="P5457">
        <f>IF(OR(M5457="",N5457=""),"",SUMIFS('Barang Keluar'!$E:$E,'Barang Keluar'!$A:$A,M5457,'Barang Keluar'!$C:$C,N5457))</f>
        <v>0</v>
      </c>
    </row>
    <row r="5458" spans="13:16">
      <c r="M5458" s="49">
        <f>IF($A$4+54&gt;$B$4,"",$A$4+54)</f>
        <v>46077</v>
      </c>
      <c r="N5458">
        <f>IF(M5458="","",'Master Barang'!A52)</f>
        <v>0</v>
      </c>
      <c r="O5458">
        <f>IF(N5458="","",'Master Barang'!B52)</f>
        <v>0</v>
      </c>
      <c r="P5458">
        <f>IF(OR(M5458="",N5458=""),"",SUMIFS('Barang Keluar'!$E:$E,'Barang Keluar'!$A:$A,M5458,'Barang Keluar'!$C:$C,N5458))</f>
        <v>0</v>
      </c>
    </row>
    <row r="5459" spans="13:16">
      <c r="M5459" s="49">
        <f>IF($A$4+54&gt;$B$4,"",$A$4+54)</f>
        <v>46077</v>
      </c>
      <c r="N5459">
        <f>IF(M5459="","",'Master Barang'!A53)</f>
        <v>0</v>
      </c>
      <c r="O5459">
        <f>IF(N5459="","",'Master Barang'!B53)</f>
        <v>0</v>
      </c>
      <c r="P5459">
        <f>IF(OR(M5459="",N5459=""),"",SUMIFS('Barang Keluar'!$E:$E,'Barang Keluar'!$A:$A,M5459,'Barang Keluar'!$C:$C,N5459))</f>
        <v>0</v>
      </c>
    </row>
    <row r="5460" spans="13:16">
      <c r="M5460" s="49">
        <f>IF($A$4+54&gt;$B$4,"",$A$4+54)</f>
        <v>46077</v>
      </c>
      <c r="N5460">
        <f>IF(M5460="","",'Master Barang'!A54)</f>
        <v>0</v>
      </c>
      <c r="O5460">
        <f>IF(N5460="","",'Master Barang'!B54)</f>
        <v>0</v>
      </c>
      <c r="P5460">
        <f>IF(OR(M5460="",N5460=""),"",SUMIFS('Barang Keluar'!$E:$E,'Barang Keluar'!$A:$A,M5460,'Barang Keluar'!$C:$C,N5460))</f>
        <v>0</v>
      </c>
    </row>
    <row r="5461" spans="13:16">
      <c r="M5461" s="49">
        <f>IF($A$4+54&gt;$B$4,"",$A$4+54)</f>
        <v>46077</v>
      </c>
      <c r="N5461">
        <f>IF(M5461="","",'Master Barang'!A55)</f>
        <v>0</v>
      </c>
      <c r="O5461">
        <f>IF(N5461="","",'Master Barang'!B55)</f>
        <v>0</v>
      </c>
      <c r="P5461">
        <f>IF(OR(M5461="",N5461=""),"",SUMIFS('Barang Keluar'!$E:$E,'Barang Keluar'!$A:$A,M5461,'Barang Keluar'!$C:$C,N5461))</f>
        <v>0</v>
      </c>
    </row>
    <row r="5462" spans="13:16">
      <c r="M5462" s="49">
        <f>IF($A$4+54&gt;$B$4,"",$A$4+54)</f>
        <v>46077</v>
      </c>
      <c r="N5462">
        <f>IF(M5462="","",'Master Barang'!A56)</f>
        <v>0</v>
      </c>
      <c r="O5462">
        <f>IF(N5462="","",'Master Barang'!B56)</f>
        <v>0</v>
      </c>
      <c r="P5462">
        <f>IF(OR(M5462="",N5462=""),"",SUMIFS('Barang Keluar'!$E:$E,'Barang Keluar'!$A:$A,M5462,'Barang Keluar'!$C:$C,N5462))</f>
        <v>0</v>
      </c>
    </row>
    <row r="5463" spans="13:16">
      <c r="M5463" s="49">
        <f>IF($A$4+54&gt;$B$4,"",$A$4+54)</f>
        <v>46077</v>
      </c>
      <c r="N5463">
        <f>IF(M5463="","",'Master Barang'!A57)</f>
        <v>0</v>
      </c>
      <c r="O5463">
        <f>IF(N5463="","",'Master Barang'!B57)</f>
        <v>0</v>
      </c>
      <c r="P5463">
        <f>IF(OR(M5463="",N5463=""),"",SUMIFS('Barang Keluar'!$E:$E,'Barang Keluar'!$A:$A,M5463,'Barang Keluar'!$C:$C,N5463))</f>
        <v>0</v>
      </c>
    </row>
    <row r="5464" spans="13:16">
      <c r="M5464" s="49">
        <f>IF($A$4+54&gt;$B$4,"",$A$4+54)</f>
        <v>46077</v>
      </c>
      <c r="N5464">
        <f>IF(M5464="","",'Master Barang'!A58)</f>
        <v>0</v>
      </c>
      <c r="O5464">
        <f>IF(N5464="","",'Master Barang'!B58)</f>
        <v>0</v>
      </c>
      <c r="P5464">
        <f>IF(OR(M5464="",N5464=""),"",SUMIFS('Barang Keluar'!$E:$E,'Barang Keluar'!$A:$A,M5464,'Barang Keluar'!$C:$C,N5464))</f>
        <v>0</v>
      </c>
    </row>
    <row r="5465" spans="13:16">
      <c r="M5465" s="49">
        <f>IF($A$4+54&gt;$B$4,"",$A$4+54)</f>
        <v>46077</v>
      </c>
      <c r="N5465">
        <f>IF(M5465="","",'Master Barang'!A59)</f>
        <v>0</v>
      </c>
      <c r="O5465">
        <f>IF(N5465="","",'Master Barang'!B59)</f>
        <v>0</v>
      </c>
      <c r="P5465">
        <f>IF(OR(M5465="",N5465=""),"",SUMIFS('Barang Keluar'!$E:$E,'Barang Keluar'!$A:$A,M5465,'Barang Keluar'!$C:$C,N5465))</f>
        <v>0</v>
      </c>
    </row>
    <row r="5466" spans="13:16">
      <c r="M5466" s="49">
        <f>IF($A$4+54&gt;$B$4,"",$A$4+54)</f>
        <v>46077</v>
      </c>
      <c r="N5466">
        <f>IF(M5466="","",'Master Barang'!A60)</f>
        <v>0</v>
      </c>
      <c r="O5466">
        <f>IF(N5466="","",'Master Barang'!B60)</f>
        <v>0</v>
      </c>
      <c r="P5466">
        <f>IF(OR(M5466="",N5466=""),"",SUMIFS('Barang Keluar'!$E:$E,'Barang Keluar'!$A:$A,M5466,'Barang Keluar'!$C:$C,N5466))</f>
        <v>0</v>
      </c>
    </row>
    <row r="5467" spans="13:16">
      <c r="M5467" s="49">
        <f>IF($A$4+54&gt;$B$4,"",$A$4+54)</f>
        <v>46077</v>
      </c>
      <c r="N5467">
        <f>IF(M5467="","",'Master Barang'!A61)</f>
        <v>0</v>
      </c>
      <c r="O5467">
        <f>IF(N5467="","",'Master Barang'!B61)</f>
        <v>0</v>
      </c>
      <c r="P5467">
        <f>IF(OR(M5467="",N5467=""),"",SUMIFS('Barang Keluar'!$E:$E,'Barang Keluar'!$A:$A,M5467,'Barang Keluar'!$C:$C,N5467))</f>
        <v>0</v>
      </c>
    </row>
    <row r="5468" spans="13:16">
      <c r="M5468" s="49">
        <f>IF($A$4+54&gt;$B$4,"",$A$4+54)</f>
        <v>46077</v>
      </c>
      <c r="N5468">
        <f>IF(M5468="","",'Master Barang'!A62)</f>
        <v>0</v>
      </c>
      <c r="O5468">
        <f>IF(N5468="","",'Master Barang'!B62)</f>
        <v>0</v>
      </c>
      <c r="P5468">
        <f>IF(OR(M5468="",N5468=""),"",SUMIFS('Barang Keluar'!$E:$E,'Barang Keluar'!$A:$A,M5468,'Barang Keluar'!$C:$C,N5468))</f>
        <v>0</v>
      </c>
    </row>
    <row r="5469" spans="13:16">
      <c r="M5469" s="49">
        <f>IF($A$4+54&gt;$B$4,"",$A$4+54)</f>
        <v>46077</v>
      </c>
      <c r="N5469">
        <f>IF(M5469="","",'Master Barang'!A63)</f>
        <v>0</v>
      </c>
      <c r="O5469">
        <f>IF(N5469="","",'Master Barang'!B63)</f>
        <v>0</v>
      </c>
      <c r="P5469">
        <f>IF(OR(M5469="",N5469=""),"",SUMIFS('Barang Keluar'!$E:$E,'Barang Keluar'!$A:$A,M5469,'Barang Keluar'!$C:$C,N5469))</f>
        <v>0</v>
      </c>
    </row>
    <row r="5470" spans="13:16">
      <c r="M5470" s="49">
        <f>IF($A$4+54&gt;$B$4,"",$A$4+54)</f>
        <v>46077</v>
      </c>
      <c r="N5470">
        <f>IF(M5470="","",'Master Barang'!A64)</f>
        <v>0</v>
      </c>
      <c r="O5470">
        <f>IF(N5470="","",'Master Barang'!B64)</f>
        <v>0</v>
      </c>
      <c r="P5470">
        <f>IF(OR(M5470="",N5470=""),"",SUMIFS('Barang Keluar'!$E:$E,'Barang Keluar'!$A:$A,M5470,'Barang Keluar'!$C:$C,N5470))</f>
        <v>0</v>
      </c>
    </row>
    <row r="5471" spans="13:16">
      <c r="M5471" s="49">
        <f>IF($A$4+54&gt;$B$4,"",$A$4+54)</f>
        <v>46077</v>
      </c>
      <c r="N5471">
        <f>IF(M5471="","",'Master Barang'!A65)</f>
        <v>0</v>
      </c>
      <c r="O5471">
        <f>IF(N5471="","",'Master Barang'!B65)</f>
        <v>0</v>
      </c>
      <c r="P5471">
        <f>IF(OR(M5471="",N5471=""),"",SUMIFS('Barang Keluar'!$E:$E,'Barang Keluar'!$A:$A,M5471,'Barang Keluar'!$C:$C,N5471))</f>
        <v>0</v>
      </c>
    </row>
    <row r="5472" spans="13:16">
      <c r="M5472" s="49">
        <f>IF($A$4+54&gt;$B$4,"",$A$4+54)</f>
        <v>46077</v>
      </c>
      <c r="N5472">
        <f>IF(M5472="","",'Master Barang'!A66)</f>
        <v>0</v>
      </c>
      <c r="O5472">
        <f>IF(N5472="","",'Master Barang'!B66)</f>
        <v>0</v>
      </c>
      <c r="P5472">
        <f>IF(OR(M5472="",N5472=""),"",SUMIFS('Barang Keluar'!$E:$E,'Barang Keluar'!$A:$A,M5472,'Barang Keluar'!$C:$C,N5472))</f>
        <v>0</v>
      </c>
    </row>
    <row r="5473" spans="13:16">
      <c r="M5473" s="49">
        <f>IF($A$4+54&gt;$B$4,"",$A$4+54)</f>
        <v>46077</v>
      </c>
      <c r="N5473">
        <f>IF(M5473="","",'Master Barang'!A67)</f>
        <v>0</v>
      </c>
      <c r="O5473">
        <f>IF(N5473="","",'Master Barang'!B67)</f>
        <v>0</v>
      </c>
      <c r="P5473">
        <f>IF(OR(M5473="",N5473=""),"",SUMIFS('Barang Keluar'!$E:$E,'Barang Keluar'!$A:$A,M5473,'Barang Keluar'!$C:$C,N5473))</f>
        <v>0</v>
      </c>
    </row>
    <row r="5474" spans="13:16">
      <c r="M5474" s="49">
        <f>IF($A$4+54&gt;$B$4,"",$A$4+54)</f>
        <v>46077</v>
      </c>
      <c r="N5474">
        <f>IF(M5474="","",'Master Barang'!A68)</f>
        <v>0</v>
      </c>
      <c r="O5474">
        <f>IF(N5474="","",'Master Barang'!B68)</f>
        <v>0</v>
      </c>
      <c r="P5474">
        <f>IF(OR(M5474="",N5474=""),"",SUMIFS('Barang Keluar'!$E:$E,'Barang Keluar'!$A:$A,M5474,'Barang Keluar'!$C:$C,N5474))</f>
        <v>0</v>
      </c>
    </row>
    <row r="5475" spans="13:16">
      <c r="M5475" s="49">
        <f>IF($A$4+54&gt;$B$4,"",$A$4+54)</f>
        <v>46077</v>
      </c>
      <c r="N5475">
        <f>IF(M5475="","",'Master Barang'!A69)</f>
        <v>0</v>
      </c>
      <c r="O5475">
        <f>IF(N5475="","",'Master Barang'!B69)</f>
        <v>0</v>
      </c>
      <c r="P5475">
        <f>IF(OR(M5475="",N5475=""),"",SUMIFS('Barang Keluar'!$E:$E,'Barang Keluar'!$A:$A,M5475,'Barang Keluar'!$C:$C,N5475))</f>
        <v>0</v>
      </c>
    </row>
    <row r="5476" spans="13:16">
      <c r="M5476" s="49">
        <f>IF($A$4+54&gt;$B$4,"",$A$4+54)</f>
        <v>46077</v>
      </c>
      <c r="N5476">
        <f>IF(M5476="","",'Master Barang'!A70)</f>
        <v>0</v>
      </c>
      <c r="O5476">
        <f>IF(N5476="","",'Master Barang'!B70)</f>
        <v>0</v>
      </c>
      <c r="P5476">
        <f>IF(OR(M5476="",N5476=""),"",SUMIFS('Barang Keluar'!$E:$E,'Barang Keluar'!$A:$A,M5476,'Barang Keluar'!$C:$C,N5476))</f>
        <v>0</v>
      </c>
    </row>
    <row r="5477" spans="13:16">
      <c r="M5477" s="49">
        <f>IF($A$4+54&gt;$B$4,"",$A$4+54)</f>
        <v>46077</v>
      </c>
      <c r="N5477">
        <f>IF(M5477="","",'Master Barang'!A71)</f>
        <v>0</v>
      </c>
      <c r="O5477">
        <f>IF(N5477="","",'Master Barang'!B71)</f>
        <v>0</v>
      </c>
      <c r="P5477">
        <f>IF(OR(M5477="",N5477=""),"",SUMIFS('Barang Keluar'!$E:$E,'Barang Keluar'!$A:$A,M5477,'Barang Keluar'!$C:$C,N5477))</f>
        <v>0</v>
      </c>
    </row>
    <row r="5478" spans="13:16">
      <c r="M5478" s="49">
        <f>IF($A$4+54&gt;$B$4,"",$A$4+54)</f>
        <v>46077</v>
      </c>
      <c r="N5478">
        <f>IF(M5478="","",'Master Barang'!A72)</f>
        <v>0</v>
      </c>
      <c r="O5478">
        <f>IF(N5478="","",'Master Barang'!B72)</f>
        <v>0</v>
      </c>
      <c r="P5478">
        <f>IF(OR(M5478="",N5478=""),"",SUMIFS('Barang Keluar'!$E:$E,'Barang Keluar'!$A:$A,M5478,'Barang Keluar'!$C:$C,N5478))</f>
        <v>0</v>
      </c>
    </row>
    <row r="5479" spans="13:16">
      <c r="M5479" s="49">
        <f>IF($A$4+54&gt;$B$4,"",$A$4+54)</f>
        <v>46077</v>
      </c>
      <c r="N5479">
        <f>IF(M5479="","",'Master Barang'!A73)</f>
        <v>0</v>
      </c>
      <c r="O5479">
        <f>IF(N5479="","",'Master Barang'!B73)</f>
        <v>0</v>
      </c>
      <c r="P5479">
        <f>IF(OR(M5479="",N5479=""),"",SUMIFS('Barang Keluar'!$E:$E,'Barang Keluar'!$A:$A,M5479,'Barang Keluar'!$C:$C,N5479))</f>
        <v>0</v>
      </c>
    </row>
    <row r="5480" spans="13:16">
      <c r="M5480" s="49">
        <f>IF($A$4+54&gt;$B$4,"",$A$4+54)</f>
        <v>46077</v>
      </c>
      <c r="N5480">
        <f>IF(M5480="","",'Master Barang'!A74)</f>
        <v>0</v>
      </c>
      <c r="O5480">
        <f>IF(N5480="","",'Master Barang'!B74)</f>
        <v>0</v>
      </c>
      <c r="P5480">
        <f>IF(OR(M5480="",N5480=""),"",SUMIFS('Barang Keluar'!$E:$E,'Barang Keluar'!$A:$A,M5480,'Barang Keluar'!$C:$C,N5480))</f>
        <v>0</v>
      </c>
    </row>
    <row r="5481" spans="13:16">
      <c r="M5481" s="49">
        <f>IF($A$4+54&gt;$B$4,"",$A$4+54)</f>
        <v>46077</v>
      </c>
      <c r="N5481">
        <f>IF(M5481="","",'Master Barang'!A75)</f>
        <v>0</v>
      </c>
      <c r="O5481">
        <f>IF(N5481="","",'Master Barang'!B75)</f>
        <v>0</v>
      </c>
      <c r="P5481">
        <f>IF(OR(M5481="",N5481=""),"",SUMIFS('Barang Keluar'!$E:$E,'Barang Keluar'!$A:$A,M5481,'Barang Keluar'!$C:$C,N5481))</f>
        <v>0</v>
      </c>
    </row>
    <row r="5482" spans="13:16">
      <c r="M5482" s="49">
        <f>IF($A$4+54&gt;$B$4,"",$A$4+54)</f>
        <v>46077</v>
      </c>
      <c r="N5482">
        <f>IF(M5482="","",'Master Barang'!A76)</f>
        <v>0</v>
      </c>
      <c r="O5482">
        <f>IF(N5482="","",'Master Barang'!B76)</f>
        <v>0</v>
      </c>
      <c r="P5482">
        <f>IF(OR(M5482="",N5482=""),"",SUMIFS('Barang Keluar'!$E:$E,'Barang Keluar'!$A:$A,M5482,'Barang Keluar'!$C:$C,N5482))</f>
        <v>0</v>
      </c>
    </row>
    <row r="5483" spans="13:16">
      <c r="M5483" s="49">
        <f>IF($A$4+54&gt;$B$4,"",$A$4+54)</f>
        <v>46077</v>
      </c>
      <c r="N5483">
        <f>IF(M5483="","",'Master Barang'!A77)</f>
        <v>0</v>
      </c>
      <c r="O5483">
        <f>IF(N5483="","",'Master Barang'!B77)</f>
        <v>0</v>
      </c>
      <c r="P5483">
        <f>IF(OR(M5483="",N5483=""),"",SUMIFS('Barang Keluar'!$E:$E,'Barang Keluar'!$A:$A,M5483,'Barang Keluar'!$C:$C,N5483))</f>
        <v>0</v>
      </c>
    </row>
    <row r="5484" spans="13:16">
      <c r="M5484" s="49">
        <f>IF($A$4+54&gt;$B$4,"",$A$4+54)</f>
        <v>46077</v>
      </c>
      <c r="N5484">
        <f>IF(M5484="","",'Master Barang'!A78)</f>
        <v>0</v>
      </c>
      <c r="O5484">
        <f>IF(N5484="","",'Master Barang'!B78)</f>
        <v>0</v>
      </c>
      <c r="P5484">
        <f>IF(OR(M5484="",N5484=""),"",SUMIFS('Barang Keluar'!$E:$E,'Barang Keluar'!$A:$A,M5484,'Barang Keluar'!$C:$C,N5484))</f>
        <v>0</v>
      </c>
    </row>
    <row r="5485" spans="13:16">
      <c r="M5485" s="49">
        <f>IF($A$4+54&gt;$B$4,"",$A$4+54)</f>
        <v>46077</v>
      </c>
      <c r="N5485">
        <f>IF(M5485="","",'Master Barang'!A79)</f>
        <v>0</v>
      </c>
      <c r="O5485">
        <f>IF(N5485="","",'Master Barang'!B79)</f>
        <v>0</v>
      </c>
      <c r="P5485">
        <f>IF(OR(M5485="",N5485=""),"",SUMIFS('Barang Keluar'!$E:$E,'Barang Keluar'!$A:$A,M5485,'Barang Keluar'!$C:$C,N5485))</f>
        <v>0</v>
      </c>
    </row>
    <row r="5486" spans="13:16">
      <c r="M5486" s="49">
        <f>IF($A$4+54&gt;$B$4,"",$A$4+54)</f>
        <v>46077</v>
      </c>
      <c r="N5486">
        <f>IF(M5486="","",'Master Barang'!A80)</f>
        <v>0</v>
      </c>
      <c r="O5486">
        <f>IF(N5486="","",'Master Barang'!B80)</f>
        <v>0</v>
      </c>
      <c r="P5486">
        <f>IF(OR(M5486="",N5486=""),"",SUMIFS('Barang Keluar'!$E:$E,'Barang Keluar'!$A:$A,M5486,'Barang Keluar'!$C:$C,N5486))</f>
        <v>0</v>
      </c>
    </row>
    <row r="5487" spans="13:16">
      <c r="M5487" s="49">
        <f>IF($A$4+54&gt;$B$4,"",$A$4+54)</f>
        <v>46077</v>
      </c>
      <c r="N5487">
        <f>IF(M5487="","",'Master Barang'!A81)</f>
        <v>0</v>
      </c>
      <c r="O5487">
        <f>IF(N5487="","",'Master Barang'!B81)</f>
        <v>0</v>
      </c>
      <c r="P5487">
        <f>IF(OR(M5487="",N5487=""),"",SUMIFS('Barang Keluar'!$E:$E,'Barang Keluar'!$A:$A,M5487,'Barang Keluar'!$C:$C,N5487))</f>
        <v>0</v>
      </c>
    </row>
    <row r="5488" spans="13:16">
      <c r="M5488" s="49">
        <f>IF($A$4+54&gt;$B$4,"",$A$4+54)</f>
        <v>46077</v>
      </c>
      <c r="N5488">
        <f>IF(M5488="","",'Master Barang'!A82)</f>
        <v>0</v>
      </c>
      <c r="O5488">
        <f>IF(N5488="","",'Master Barang'!B82)</f>
        <v>0</v>
      </c>
      <c r="P5488">
        <f>IF(OR(M5488="",N5488=""),"",SUMIFS('Barang Keluar'!$E:$E,'Barang Keluar'!$A:$A,M5488,'Barang Keluar'!$C:$C,N5488))</f>
        <v>0</v>
      </c>
    </row>
    <row r="5489" spans="13:16">
      <c r="M5489" s="49">
        <f>IF($A$4+54&gt;$B$4,"",$A$4+54)</f>
        <v>46077</v>
      </c>
      <c r="N5489">
        <f>IF(M5489="","",'Master Barang'!A83)</f>
        <v>0</v>
      </c>
      <c r="O5489">
        <f>IF(N5489="","",'Master Barang'!B83)</f>
        <v>0</v>
      </c>
      <c r="P5489">
        <f>IF(OR(M5489="",N5489=""),"",SUMIFS('Barang Keluar'!$E:$E,'Barang Keluar'!$A:$A,M5489,'Barang Keluar'!$C:$C,N5489))</f>
        <v>0</v>
      </c>
    </row>
    <row r="5490" spans="13:16">
      <c r="M5490" s="49">
        <f>IF($A$4+54&gt;$B$4,"",$A$4+54)</f>
        <v>46077</v>
      </c>
      <c r="N5490">
        <f>IF(M5490="","",'Master Barang'!A84)</f>
        <v>0</v>
      </c>
      <c r="O5490">
        <f>IF(N5490="","",'Master Barang'!B84)</f>
        <v>0</v>
      </c>
      <c r="P5490">
        <f>IF(OR(M5490="",N5490=""),"",SUMIFS('Barang Keluar'!$E:$E,'Barang Keluar'!$A:$A,M5490,'Barang Keluar'!$C:$C,N5490))</f>
        <v>0</v>
      </c>
    </row>
    <row r="5491" spans="13:16">
      <c r="M5491" s="49">
        <f>IF($A$4+54&gt;$B$4,"",$A$4+54)</f>
        <v>46077</v>
      </c>
      <c r="N5491">
        <f>IF(M5491="","",'Master Barang'!A85)</f>
        <v>0</v>
      </c>
      <c r="O5491">
        <f>IF(N5491="","",'Master Barang'!B85)</f>
        <v>0</v>
      </c>
      <c r="P5491">
        <f>IF(OR(M5491="",N5491=""),"",SUMIFS('Barang Keluar'!$E:$E,'Barang Keluar'!$A:$A,M5491,'Barang Keluar'!$C:$C,N5491))</f>
        <v>0</v>
      </c>
    </row>
    <row r="5492" spans="13:16">
      <c r="M5492" s="49">
        <f>IF($A$4+54&gt;$B$4,"",$A$4+54)</f>
        <v>46077</v>
      </c>
      <c r="N5492">
        <f>IF(M5492="","",'Master Barang'!A86)</f>
        <v>0</v>
      </c>
      <c r="O5492">
        <f>IF(N5492="","",'Master Barang'!B86)</f>
        <v>0</v>
      </c>
      <c r="P5492">
        <f>IF(OR(M5492="",N5492=""),"",SUMIFS('Barang Keluar'!$E:$E,'Barang Keluar'!$A:$A,M5492,'Barang Keluar'!$C:$C,N5492))</f>
        <v>0</v>
      </c>
    </row>
    <row r="5493" spans="13:16">
      <c r="M5493" s="49">
        <f>IF($A$4+54&gt;$B$4,"",$A$4+54)</f>
        <v>46077</v>
      </c>
      <c r="N5493">
        <f>IF(M5493="","",'Master Barang'!A87)</f>
        <v>0</v>
      </c>
      <c r="O5493">
        <f>IF(N5493="","",'Master Barang'!B87)</f>
        <v>0</v>
      </c>
      <c r="P5493">
        <f>IF(OR(M5493="",N5493=""),"",SUMIFS('Barang Keluar'!$E:$E,'Barang Keluar'!$A:$A,M5493,'Barang Keluar'!$C:$C,N5493))</f>
        <v>0</v>
      </c>
    </row>
    <row r="5494" spans="13:16">
      <c r="M5494" s="49">
        <f>IF($A$4+54&gt;$B$4,"",$A$4+54)</f>
        <v>46077</v>
      </c>
      <c r="N5494">
        <f>IF(M5494="","",'Master Barang'!A88)</f>
        <v>0</v>
      </c>
      <c r="O5494">
        <f>IF(N5494="","",'Master Barang'!B88)</f>
        <v>0</v>
      </c>
      <c r="P5494">
        <f>IF(OR(M5494="",N5494=""),"",SUMIFS('Barang Keluar'!$E:$E,'Barang Keluar'!$A:$A,M5494,'Barang Keluar'!$C:$C,N5494))</f>
        <v>0</v>
      </c>
    </row>
    <row r="5495" spans="13:16">
      <c r="M5495" s="49">
        <f>IF($A$4+54&gt;$B$4,"",$A$4+54)</f>
        <v>46077</v>
      </c>
      <c r="N5495">
        <f>IF(M5495="","",'Master Barang'!A89)</f>
        <v>0</v>
      </c>
      <c r="O5495">
        <f>IF(N5495="","",'Master Barang'!B89)</f>
        <v>0</v>
      </c>
      <c r="P5495">
        <f>IF(OR(M5495="",N5495=""),"",SUMIFS('Barang Keluar'!$E:$E,'Barang Keluar'!$A:$A,M5495,'Barang Keluar'!$C:$C,N5495))</f>
        <v>0</v>
      </c>
    </row>
    <row r="5496" spans="13:16">
      <c r="M5496" s="49">
        <f>IF($A$4+54&gt;$B$4,"",$A$4+54)</f>
        <v>46077</v>
      </c>
      <c r="N5496">
        <f>IF(M5496="","",'Master Barang'!A90)</f>
        <v>0</v>
      </c>
      <c r="O5496">
        <f>IF(N5496="","",'Master Barang'!B90)</f>
        <v>0</v>
      </c>
      <c r="P5496">
        <f>IF(OR(M5496="",N5496=""),"",SUMIFS('Barang Keluar'!$E:$E,'Barang Keluar'!$A:$A,M5496,'Barang Keluar'!$C:$C,N5496))</f>
        <v>0</v>
      </c>
    </row>
    <row r="5497" spans="13:16">
      <c r="M5497" s="49">
        <f>IF($A$4+54&gt;$B$4,"",$A$4+54)</f>
        <v>46077</v>
      </c>
      <c r="N5497">
        <f>IF(M5497="","",'Master Barang'!A91)</f>
        <v>0</v>
      </c>
      <c r="O5497">
        <f>IF(N5497="","",'Master Barang'!B91)</f>
        <v>0</v>
      </c>
      <c r="P5497">
        <f>IF(OR(M5497="",N5497=""),"",SUMIFS('Barang Keluar'!$E:$E,'Barang Keluar'!$A:$A,M5497,'Barang Keluar'!$C:$C,N5497))</f>
        <v>0</v>
      </c>
    </row>
    <row r="5498" spans="13:16">
      <c r="M5498" s="49">
        <f>IF($A$4+54&gt;$B$4,"",$A$4+54)</f>
        <v>46077</v>
      </c>
      <c r="N5498">
        <f>IF(M5498="","",'Master Barang'!A92)</f>
        <v>0</v>
      </c>
      <c r="O5498">
        <f>IF(N5498="","",'Master Barang'!B92)</f>
        <v>0</v>
      </c>
      <c r="P5498">
        <f>IF(OR(M5498="",N5498=""),"",SUMIFS('Barang Keluar'!$E:$E,'Barang Keluar'!$A:$A,M5498,'Barang Keluar'!$C:$C,N5498))</f>
        <v>0</v>
      </c>
    </row>
    <row r="5499" spans="13:16">
      <c r="M5499" s="49">
        <f>IF($A$4+54&gt;$B$4,"",$A$4+54)</f>
        <v>46077</v>
      </c>
      <c r="N5499">
        <f>IF(M5499="","",'Master Barang'!A93)</f>
        <v>0</v>
      </c>
      <c r="O5499">
        <f>IF(N5499="","",'Master Barang'!B93)</f>
        <v>0</v>
      </c>
      <c r="P5499">
        <f>IF(OR(M5499="",N5499=""),"",SUMIFS('Barang Keluar'!$E:$E,'Barang Keluar'!$A:$A,M5499,'Barang Keluar'!$C:$C,N5499))</f>
        <v>0</v>
      </c>
    </row>
    <row r="5500" spans="13:16">
      <c r="M5500" s="49">
        <f>IF($A$4+54&gt;$B$4,"",$A$4+54)</f>
        <v>46077</v>
      </c>
      <c r="N5500">
        <f>IF(M5500="","",'Master Barang'!A94)</f>
        <v>0</v>
      </c>
      <c r="O5500">
        <f>IF(N5500="","",'Master Barang'!B94)</f>
        <v>0</v>
      </c>
      <c r="P5500">
        <f>IF(OR(M5500="",N5500=""),"",SUMIFS('Barang Keluar'!$E:$E,'Barang Keluar'!$A:$A,M5500,'Barang Keluar'!$C:$C,N5500))</f>
        <v>0</v>
      </c>
    </row>
    <row r="5501" spans="13:16">
      <c r="M5501" s="49">
        <f>IF($A$4+54&gt;$B$4,"",$A$4+54)</f>
        <v>46077</v>
      </c>
      <c r="N5501">
        <f>IF(M5501="","",'Master Barang'!A95)</f>
        <v>0</v>
      </c>
      <c r="O5501">
        <f>IF(N5501="","",'Master Barang'!B95)</f>
        <v>0</v>
      </c>
      <c r="P5501">
        <f>IF(OR(M5501="",N5501=""),"",SUMIFS('Barang Keluar'!$E:$E,'Barang Keluar'!$A:$A,M5501,'Barang Keluar'!$C:$C,N5501))</f>
        <v>0</v>
      </c>
    </row>
    <row r="5502" spans="13:16">
      <c r="M5502" s="49">
        <f>IF($A$4+54&gt;$B$4,"",$A$4+54)</f>
        <v>46077</v>
      </c>
      <c r="N5502">
        <f>IF(M5502="","",'Master Barang'!A96)</f>
        <v>0</v>
      </c>
      <c r="O5502">
        <f>IF(N5502="","",'Master Barang'!B96)</f>
        <v>0</v>
      </c>
      <c r="P5502">
        <f>IF(OR(M5502="",N5502=""),"",SUMIFS('Barang Keluar'!$E:$E,'Barang Keluar'!$A:$A,M5502,'Barang Keluar'!$C:$C,N5502))</f>
        <v>0</v>
      </c>
    </row>
    <row r="5503" spans="13:16">
      <c r="M5503" s="49">
        <f>IF($A$4+54&gt;$B$4,"",$A$4+54)</f>
        <v>46077</v>
      </c>
      <c r="N5503">
        <f>IF(M5503="","",'Master Barang'!A97)</f>
        <v>0</v>
      </c>
      <c r="O5503">
        <f>IF(N5503="","",'Master Barang'!B97)</f>
        <v>0</v>
      </c>
      <c r="P5503">
        <f>IF(OR(M5503="",N5503=""),"",SUMIFS('Barang Keluar'!$E:$E,'Barang Keluar'!$A:$A,M5503,'Barang Keluar'!$C:$C,N5503))</f>
        <v>0</v>
      </c>
    </row>
    <row r="5504" spans="13:16">
      <c r="M5504" s="49">
        <f>IF($A$4+54&gt;$B$4,"",$A$4+54)</f>
        <v>46077</v>
      </c>
      <c r="N5504">
        <f>IF(M5504="","",'Master Barang'!A98)</f>
        <v>0</v>
      </c>
      <c r="O5504">
        <f>IF(N5504="","",'Master Barang'!B98)</f>
        <v>0</v>
      </c>
      <c r="P5504">
        <f>IF(OR(M5504="",N5504=""),"",SUMIFS('Barang Keluar'!$E:$E,'Barang Keluar'!$A:$A,M5504,'Barang Keluar'!$C:$C,N5504))</f>
        <v>0</v>
      </c>
    </row>
    <row r="5505" spans="13:16">
      <c r="M5505" s="49">
        <f>IF($A$4+54&gt;$B$4,"",$A$4+54)</f>
        <v>46077</v>
      </c>
      <c r="N5505">
        <f>IF(M5505="","",'Master Barang'!A99)</f>
        <v>0</v>
      </c>
      <c r="O5505">
        <f>IF(N5505="","",'Master Barang'!B99)</f>
        <v>0</v>
      </c>
      <c r="P5505">
        <f>IF(OR(M5505="",N5505=""),"",SUMIFS('Barang Keluar'!$E:$E,'Barang Keluar'!$A:$A,M5505,'Barang Keluar'!$C:$C,N5505))</f>
        <v>0</v>
      </c>
    </row>
    <row r="5506" spans="13:16">
      <c r="M5506" s="49">
        <f>IF($A$4+54&gt;$B$4,"",$A$4+54)</f>
        <v>46077</v>
      </c>
      <c r="N5506">
        <f>IF(M5506="","",'Master Barang'!A100)</f>
        <v>0</v>
      </c>
      <c r="O5506">
        <f>IF(N5506="","",'Master Barang'!B100)</f>
        <v>0</v>
      </c>
      <c r="P5506">
        <f>IF(OR(M5506="",N5506=""),"",SUMIFS('Barang Keluar'!$E:$E,'Barang Keluar'!$A:$A,M5506,'Barang Keluar'!$C:$C,N5506))</f>
        <v>0</v>
      </c>
    </row>
    <row r="5507" spans="13:16">
      <c r="M5507" s="49">
        <f>IF($A$4+54&gt;$B$4,"",$A$4+54)</f>
        <v>46077</v>
      </c>
      <c r="N5507">
        <f>IF(M5507="","",'Master Barang'!A101)</f>
        <v>0</v>
      </c>
      <c r="O5507">
        <f>IF(N5507="","",'Master Barang'!B101)</f>
        <v>0</v>
      </c>
      <c r="P5507">
        <f>IF(OR(M5507="",N5507=""),"",SUMIFS('Barang Keluar'!$E:$E,'Barang Keluar'!$A:$A,M5507,'Barang Keluar'!$C:$C,N5507))</f>
        <v>0</v>
      </c>
    </row>
    <row r="5508" spans="13:16">
      <c r="M5508" s="49">
        <f>IF($A$4+55&gt;$B$4,"",$A$4+55)</f>
        <v>46078</v>
      </c>
      <c r="N5508" t="str">
        <f>IF(M5508="","",'Master Barang'!A2)</f>
        <v>PRL-001</v>
      </c>
      <c r="O5508" t="str">
        <f>IF(N5508="","",'Master Barang'!B2)</f>
        <v>natura desinfectant food grade 5l</v>
      </c>
      <c r="P5508">
        <f>IF(OR(M5508="",N5508=""),"",SUMIFS('Barang Keluar'!$E:$E,'Barang Keluar'!$A:$A,M5508,'Barang Keluar'!$C:$C,N5508))</f>
        <v>0</v>
      </c>
    </row>
    <row r="5509" spans="13:16">
      <c r="M5509" s="49">
        <f>IF($A$4+55&gt;$B$4,"",$A$4+55)</f>
        <v>46078</v>
      </c>
      <c r="N5509" t="str">
        <f>IF(M5509="","",'Master Barang'!A3)</f>
        <v>PRL-002</v>
      </c>
      <c r="O5509" t="str">
        <f>IF(N5509="","",'Master Barang'!B3)</f>
        <v>sunlight cairan pencuci piring 5l</v>
      </c>
      <c r="P5509">
        <f>IF(OR(M5509="",N5509=""),"",SUMIFS('Barang Keluar'!$E:$E,'Barang Keluar'!$A:$A,M5509,'Barang Keluar'!$C:$C,N5509))</f>
        <v>0</v>
      </c>
    </row>
    <row r="5510" spans="13:16">
      <c r="M5510" s="49">
        <f>IF($A$4+55&gt;$B$4,"",$A$4+55)</f>
        <v>46078</v>
      </c>
      <c r="N5510" t="str">
        <f>IF(M5510="","",'Master Barang'!A4)</f>
        <v>PRL-003</v>
      </c>
      <c r="O5510" t="str">
        <f>IF(N5510="","",'Master Barang'!B4)</f>
        <v>oixs cleaner 1l</v>
      </c>
      <c r="P5510">
        <f>IF(OR(M5510="",N5510=""),"",SUMIFS('Barang Keluar'!$E:$E,'Barang Keluar'!$A:$A,M5510,'Barang Keluar'!$C:$C,N5510))</f>
        <v>0</v>
      </c>
    </row>
    <row r="5511" spans="13:16">
      <c r="M5511" s="49">
        <f>IF($A$4+55&gt;$B$4,"",$A$4+55)</f>
        <v>46078</v>
      </c>
      <c r="N5511" t="str">
        <f>IF(M5511="","",'Master Barang'!A5)</f>
        <v>PRL-004</v>
      </c>
      <c r="O5511" t="str">
        <f>IF(N5511="","",'Master Barang'!B5)</f>
        <v>be clean tissue serbaguna</v>
      </c>
      <c r="P5511">
        <f>IF(OR(M5511="",N5511=""),"",SUMIFS('Barang Keluar'!$E:$E,'Barang Keluar'!$A:$A,M5511,'Barang Keluar'!$C:$C,N5511))</f>
        <v>0</v>
      </c>
    </row>
    <row r="5512" spans="13:16">
      <c r="M5512" s="49">
        <f>IF($A$4+55&gt;$B$4,"",$A$4+55)</f>
        <v>46078</v>
      </c>
      <c r="N5512" t="str">
        <f>IF(M5512="","",'Master Barang'!A6)</f>
        <v>PRL-005</v>
      </c>
      <c r="O5512" t="str">
        <f>IF(N5512="","",'Master Barang'!B6)</f>
        <v>spons cuci hijau</v>
      </c>
      <c r="P5512">
        <f>IF(OR(M5512="",N5512=""),"",SUMIFS('Barang Keluar'!$E:$E,'Barang Keluar'!$A:$A,M5512,'Barang Keluar'!$C:$C,N5512))</f>
        <v>0</v>
      </c>
    </row>
    <row r="5513" spans="13:16">
      <c r="M5513" s="49">
        <f>IF($A$4+55&gt;$B$4,"",$A$4+55)</f>
        <v>46078</v>
      </c>
      <c r="N5513" t="str">
        <f>IF(M5513="","",'Master Barang'!A7)</f>
        <v>PRL-006</v>
      </c>
      <c r="O5513" t="str">
        <f>IF(N5513="","",'Master Barang'!B7)</f>
        <v>sabut cuci stainless</v>
      </c>
      <c r="P5513">
        <f>IF(OR(M5513="",N5513=""),"",SUMIFS('Barang Keluar'!$E:$E,'Barang Keluar'!$A:$A,M5513,'Barang Keluar'!$C:$C,N5513))</f>
        <v>0</v>
      </c>
    </row>
    <row r="5514" spans="13:16">
      <c r="M5514" s="49">
        <f>IF($A$4+55&gt;$B$4,"",$A$4+55)</f>
        <v>46078</v>
      </c>
      <c r="N5514" t="str">
        <f>IF(M5514="","",'Master Barang'!A8)</f>
        <v>PRL-007</v>
      </c>
      <c r="O5514" t="str">
        <f>IF(N5514="","",'Master Barang'!B8)</f>
        <v>plastik kresek besar merah 50pc</v>
      </c>
      <c r="P5514">
        <f>IF(OR(M5514="",N5514=""),"",SUMIFS('Barang Keluar'!$E:$E,'Barang Keluar'!$A:$A,M5514,'Barang Keluar'!$C:$C,N5514))</f>
        <v>0</v>
      </c>
    </row>
    <row r="5515" spans="13:16">
      <c r="M5515" s="49">
        <f>IF($A$4+55&gt;$B$4,"",$A$4+55)</f>
        <v>46078</v>
      </c>
      <c r="N5515" t="str">
        <f>IF(M5515="","",'Master Barang'!A9)</f>
        <v>PRL-008</v>
      </c>
      <c r="O5515" t="str">
        <f>IF(N5515="","",'Master Barang'!B9)</f>
        <v>lap besar</v>
      </c>
      <c r="P5515">
        <f>IF(OR(M5515="",N5515=""),"",SUMIFS('Barang Keluar'!$E:$E,'Barang Keluar'!$A:$A,M5515,'Barang Keluar'!$C:$C,N5515))</f>
        <v>0</v>
      </c>
    </row>
    <row r="5516" spans="13:16">
      <c r="M5516" s="49">
        <f>IF($A$4+55&gt;$B$4,"",$A$4+55)</f>
        <v>46078</v>
      </c>
      <c r="N5516" t="str">
        <f>IF(M5516="","",'Master Barang'!A10)</f>
        <v>PRL-009</v>
      </c>
      <c r="O5516" t="str">
        <f>IF(N5516="","",'Master Barang'!B10)</f>
        <v>lap microfiber</v>
      </c>
      <c r="P5516">
        <f>IF(OR(M5516="",N5516=""),"",SUMIFS('Barang Keluar'!$E:$E,'Barang Keluar'!$A:$A,M5516,'Barang Keluar'!$C:$C,N5516))</f>
        <v>0</v>
      </c>
    </row>
    <row r="5517" spans="13:16">
      <c r="M5517" s="49">
        <f>IF($A$4+55&gt;$B$4,"",$A$4+55)</f>
        <v>46078</v>
      </c>
      <c r="N5517" t="str">
        <f>IF(M5517="","",'Master Barang'!A11)</f>
        <v>PRL-010</v>
      </c>
      <c r="O5517" t="str">
        <f>IF(N5517="","",'Master Barang'!B11)</f>
        <v>lap kecil</v>
      </c>
      <c r="P5517">
        <f>IF(OR(M5517="",N5517=""),"",SUMIFS('Barang Keluar'!$E:$E,'Barang Keluar'!$A:$A,M5517,'Barang Keluar'!$C:$C,N5517))</f>
        <v>0</v>
      </c>
    </row>
    <row r="5518" spans="13:16">
      <c r="M5518" s="49">
        <f>IF($A$4+55&gt;$B$4,"",$A$4+55)</f>
        <v>46078</v>
      </c>
      <c r="N5518" t="str">
        <f>IF(M5518="","",'Master Barang'!A12)</f>
        <v>PRL-011</v>
      </c>
      <c r="O5518" t="str">
        <f>IF(N5518="","",'Master Barang'!B12)</f>
        <v>kanebo kecil</v>
      </c>
      <c r="P5518">
        <f>IF(OR(M5518="",N5518=""),"",SUMIFS('Barang Keluar'!$E:$E,'Barang Keluar'!$A:$A,M5518,'Barang Keluar'!$C:$C,N5518))</f>
        <v>0</v>
      </c>
    </row>
    <row r="5519" spans="13:16">
      <c r="M5519" s="49">
        <f>IF($A$4+55&gt;$B$4,"",$A$4+55)</f>
        <v>46078</v>
      </c>
      <c r="N5519" t="str">
        <f>IF(M5519="","",'Master Barang'!A13)</f>
        <v>PRL-012</v>
      </c>
      <c r="O5519" t="str">
        <f>IF(N5519="","",'Master Barang'!B13)</f>
        <v>plastik 1/4kg joyoboyo 100 lembar</v>
      </c>
      <c r="P5519">
        <f>IF(OR(M5519="",N5519=""),"",SUMIFS('Barang Keluar'!$E:$E,'Barang Keluar'!$A:$A,M5519,'Barang Keluar'!$C:$C,N5519))</f>
        <v>0</v>
      </c>
    </row>
    <row r="5520" spans="13:16">
      <c r="M5520" s="49">
        <f>IF($A$4+55&gt;$B$4,"",$A$4+55)</f>
        <v>46078</v>
      </c>
      <c r="N5520" t="str">
        <f>IF(M5520="","",'Master Barang'!A14)</f>
        <v>PRL-013</v>
      </c>
      <c r="O5520" t="str">
        <f>IF(N5520="","",'Master Barang'!B14)</f>
        <v>sarung tangan plastik kaka 100 pcs</v>
      </c>
      <c r="P5520">
        <f>IF(OR(M5520="",N5520=""),"",SUMIFS('Barang Keluar'!$E:$E,'Barang Keluar'!$A:$A,M5520,'Barang Keluar'!$C:$C,N5520))</f>
        <v>0</v>
      </c>
    </row>
    <row r="5521" spans="13:16">
      <c r="M5521" s="49">
        <f>IF($A$4+55&gt;$B$4,"",$A$4+55)</f>
        <v>46078</v>
      </c>
      <c r="N5521" t="str">
        <f>IF(M5521="","",'Master Barang'!A15)</f>
        <v>PRL-014</v>
      </c>
      <c r="O5521" t="str">
        <f>IF(N5521="","",'Master Barang'!B15)</f>
        <v>optima trashbag 80x100</v>
      </c>
      <c r="P5521">
        <f>IF(OR(M5521="",N5521=""),"",SUMIFS('Barang Keluar'!$E:$E,'Barang Keluar'!$A:$A,M5521,'Barang Keluar'!$C:$C,N5521))</f>
        <v>0</v>
      </c>
    </row>
    <row r="5522" spans="13:16">
      <c r="M5522" s="49">
        <f>IF($A$4+55&gt;$B$4,"",$A$4+55)</f>
        <v>46078</v>
      </c>
      <c r="N5522" t="str">
        <f>IF(M5522="","",'Master Barang'!A16)</f>
        <v>PRL-015</v>
      </c>
      <c r="O5522" t="str">
        <f>IF(N5522="","",'Master Barang'!B16)</f>
        <v>optima trashbag 60x100</v>
      </c>
      <c r="P5522">
        <f>IF(OR(M5522="",N5522=""),"",SUMIFS('Barang Keluar'!$E:$E,'Barang Keluar'!$A:$A,M5522,'Barang Keluar'!$C:$C,N5522))</f>
        <v>0</v>
      </c>
    </row>
    <row r="5523" spans="13:16">
      <c r="M5523" s="49">
        <f>IF($A$4+55&gt;$B$4,"",$A$4+55)</f>
        <v>46078</v>
      </c>
      <c r="N5523" t="str">
        <f>IF(M5523="","",'Master Barang'!A17)</f>
        <v>PRL-016</v>
      </c>
      <c r="O5523" t="str">
        <f>IF(N5523="","",'Master Barang'!B17)</f>
        <v>rajawali trashbag 30x40</v>
      </c>
      <c r="P5523">
        <f>IF(OR(M5523="",N5523=""),"",SUMIFS('Barang Keluar'!$E:$E,'Barang Keluar'!$A:$A,M5523,'Barang Keluar'!$C:$C,N5523))</f>
        <v>0</v>
      </c>
    </row>
    <row r="5524" spans="13:16">
      <c r="M5524" s="49">
        <f>IF($A$4+55&gt;$B$4,"",$A$4+55)</f>
        <v>46078</v>
      </c>
      <c r="N5524" t="str">
        <f>IF(M5524="","",'Master Barang'!A18)</f>
        <v>PRL-017</v>
      </c>
      <c r="O5524" t="str">
        <f>IF(N5524="","",'Master Barang'!B18)</f>
        <v>onemed masker biru 3 play 50 pcs</v>
      </c>
      <c r="P5524">
        <f>IF(OR(M5524="",N5524=""),"",SUMIFS('Barang Keluar'!$E:$E,'Barang Keluar'!$A:$A,M5524,'Barang Keluar'!$C:$C,N5524))</f>
        <v>0</v>
      </c>
    </row>
    <row r="5525" spans="13:16">
      <c r="M5525" s="49">
        <f>IF($A$4+55&gt;$B$4,"",$A$4+55)</f>
        <v>46078</v>
      </c>
      <c r="N5525" t="str">
        <f>IF(M5525="","",'Master Barang'!A19)</f>
        <v>PRL-018</v>
      </c>
      <c r="O5525" t="str">
        <f>IF(N5525="","",'Master Barang'!B19)</f>
        <v>onemed masker biru 3 play hijab 50 pcs</v>
      </c>
      <c r="P5525">
        <f>IF(OR(M5525="",N5525=""),"",SUMIFS('Barang Keluar'!$E:$E,'Barang Keluar'!$A:$A,M5525,'Barang Keluar'!$C:$C,N5525))</f>
        <v>0</v>
      </c>
    </row>
    <row r="5526" spans="13:16">
      <c r="M5526" s="49">
        <f>IF($A$4+55&gt;$B$4,"",$A$4+55)</f>
        <v>46078</v>
      </c>
      <c r="N5526" t="str">
        <f>IF(M5526="","",'Master Barang'!A20)</f>
        <v>PRL-019</v>
      </c>
      <c r="O5526" t="str">
        <f>IF(N5526="","",'Master Barang'!B20)</f>
        <v>neo health masker biru 3 play 50 pcs</v>
      </c>
      <c r="P5526">
        <f>IF(OR(M5526="",N5526=""),"",SUMIFS('Barang Keluar'!$E:$E,'Barang Keluar'!$A:$A,M5526,'Barang Keluar'!$C:$C,N5526))</f>
        <v>0</v>
      </c>
    </row>
    <row r="5527" spans="13:16">
      <c r="M5527" s="49">
        <f>IF($A$4+55&gt;$B$4,"",$A$4+55)</f>
        <v>46078</v>
      </c>
      <c r="N5527" t="str">
        <f>IF(M5527="","",'Master Barang'!A21)</f>
        <v>PRL-020</v>
      </c>
      <c r="O5527" t="str">
        <f>IF(N5527="","",'Master Barang'!B21)</f>
        <v>baymed masker hijau 3 play hijau 50 pcs</v>
      </c>
      <c r="P5527">
        <f>IF(OR(M5527="",N5527=""),"",SUMIFS('Barang Keluar'!$E:$E,'Barang Keluar'!$A:$A,M5527,'Barang Keluar'!$C:$C,N5527))</f>
        <v>0</v>
      </c>
    </row>
    <row r="5528" spans="13:16">
      <c r="M5528" s="49">
        <f>IF($A$4+55&gt;$B$4,"",$A$4+55)</f>
        <v>46078</v>
      </c>
      <c r="N5528" t="str">
        <f>IF(M5528="","",'Master Barang'!A22)</f>
        <v>PRL-021</v>
      </c>
      <c r="O5528" t="str">
        <f>IF(N5528="","",'Master Barang'!B22)</f>
        <v>altamed nurse cap penutup kepala 100 pcs</v>
      </c>
      <c r="P5528">
        <f>IF(OR(M5528="",N5528=""),"",SUMIFS('Barang Keluar'!$E:$E,'Barang Keluar'!$A:$A,M5528,'Barang Keluar'!$C:$C,N5528))</f>
        <v>0</v>
      </c>
    </row>
    <row r="5529" spans="13:16">
      <c r="M5529" s="49">
        <f>IF($A$4+55&gt;$B$4,"",$A$4+55)</f>
        <v>46078</v>
      </c>
      <c r="N5529" t="str">
        <f>IF(M5529="","",'Master Barang'!A23)</f>
        <v>PRL-022</v>
      </c>
      <c r="O5529" t="str">
        <f>IF(N5529="","",'Master Barang'!B23)</f>
        <v>sabun cuci tangan</v>
      </c>
      <c r="P5529">
        <f>IF(OR(M5529="",N5529=""),"",SUMIFS('Barang Keluar'!$E:$E,'Barang Keluar'!$A:$A,M5529,'Barang Keluar'!$C:$C,N5529))</f>
        <v>0</v>
      </c>
    </row>
    <row r="5530" spans="13:16">
      <c r="M5530" s="49">
        <f>IF($A$4+55&gt;$B$4,"",$A$4+55)</f>
        <v>46078</v>
      </c>
      <c r="N5530" t="str">
        <f>IF(M5530="","",'Master Barang'!A24)</f>
        <v>PRL-023</v>
      </c>
      <c r="O5530" t="str">
        <f>IF(N5530="","",'Master Barang'!B24)</f>
        <v>gayung kecil</v>
      </c>
      <c r="P5530">
        <f>IF(OR(M5530="",N5530=""),"",SUMIFS('Barang Keluar'!$E:$E,'Barang Keluar'!$A:$A,M5530,'Barang Keluar'!$C:$C,N5530))</f>
        <v>0</v>
      </c>
    </row>
    <row r="5531" spans="13:16">
      <c r="M5531" s="49">
        <f>IF($A$4+55&gt;$B$4,"",$A$4+55)</f>
        <v>46078</v>
      </c>
      <c r="N5531" t="str">
        <f>IF(M5531="","",'Master Barang'!A25)</f>
        <v>PRL-024</v>
      </c>
      <c r="O5531" t="str">
        <f>IF(N5531="","",'Master Barang'!B25)</f>
        <v>cikrak kecil</v>
      </c>
      <c r="P5531">
        <f>IF(OR(M5531="",N5531=""),"",SUMIFS('Barang Keluar'!$E:$E,'Barang Keluar'!$A:$A,M5531,'Barang Keluar'!$C:$C,N5531))</f>
        <v>0</v>
      </c>
    </row>
    <row r="5532" spans="13:16">
      <c r="M5532" s="49">
        <f>IF($A$4+55&gt;$B$4,"",$A$4+55)</f>
        <v>46078</v>
      </c>
      <c r="N5532" t="str">
        <f>IF(M5532="","",'Master Barang'!A26)</f>
        <v>PRL-025</v>
      </c>
      <c r="O5532" t="str">
        <f>IF(N5532="","",'Master Barang'!B26)</f>
        <v>petromax plastik kecil 12x24 100 lembar</v>
      </c>
      <c r="P5532">
        <f>IF(OR(M5532="",N5532=""),"",SUMIFS('Barang Keluar'!$E:$E,'Barang Keluar'!$A:$A,M5532,'Barang Keluar'!$C:$C,N5532))</f>
        <v>0</v>
      </c>
    </row>
    <row r="5533" spans="13:16">
      <c r="M5533" s="49">
        <f>IF($A$4+55&gt;$B$4,"",$A$4+55)</f>
        <v>46078</v>
      </c>
      <c r="N5533" t="str">
        <f>IF(M5533="","",'Master Barang'!A27)</f>
        <v>PRL-026</v>
      </c>
      <c r="O5533" t="str">
        <f>IF(N5533="","",'Master Barang'!B27)</f>
        <v>lancar kresek kecil bening </v>
      </c>
      <c r="P5533">
        <f>IF(OR(M5533="",N5533=""),"",SUMIFS('Barang Keluar'!$E:$E,'Barang Keluar'!$A:$A,M5533,'Barang Keluar'!$C:$C,N5533))</f>
        <v>0</v>
      </c>
    </row>
    <row r="5534" spans="13:16">
      <c r="M5534" s="49">
        <f>IF($A$4+55&gt;$B$4,"",$A$4+55)</f>
        <v>46078</v>
      </c>
      <c r="N5534" t="str">
        <f>IF(M5534="","",'Master Barang'!A28)</f>
        <v>PRL-027</v>
      </c>
      <c r="O5534" t="str">
        <f>IF(N5534="","",'Master Barang'!B28)</f>
        <v>kresek klin warna warni kecil</v>
      </c>
      <c r="P5534">
        <f>IF(OR(M5534="",N5534=""),"",SUMIFS('Barang Keluar'!$E:$E,'Barang Keluar'!$A:$A,M5534,'Barang Keluar'!$C:$C,N5534))</f>
        <v>0</v>
      </c>
    </row>
    <row r="5535" spans="13:16">
      <c r="M5535" s="49">
        <f>IF($A$4+55&gt;$B$4,"",$A$4+55)</f>
        <v>46078</v>
      </c>
      <c r="N5535" t="str">
        <f>IF(M5535="","",'Master Barang'!A29)</f>
        <v>PRL-028</v>
      </c>
      <c r="O5535" t="str">
        <f>IF(N5535="","",'Master Barang'!B29)</f>
        <v>ctik plastik 7x10 100 pcs</v>
      </c>
      <c r="P5535">
        <f>IF(OR(M5535="",N5535=""),"",SUMIFS('Barang Keluar'!$E:$E,'Barang Keluar'!$A:$A,M5535,'Barang Keluar'!$C:$C,N5535))</f>
        <v>0</v>
      </c>
    </row>
    <row r="5536" spans="13:16">
      <c r="M5536" s="49">
        <f>IF($A$4+55&gt;$B$4,"",$A$4+55)</f>
        <v>46078</v>
      </c>
      <c r="N5536" t="str">
        <f>IF(M5536="","",'Master Barang'!A30)</f>
        <v>PRL-029</v>
      </c>
      <c r="O5536" t="str">
        <f>IF(N5536="","",'Master Barang'!B30)</f>
        <v>ctik plastik 6x10 100 pcs</v>
      </c>
      <c r="P5536">
        <f>IF(OR(M5536="",N5536=""),"",SUMIFS('Barang Keluar'!$E:$E,'Barang Keluar'!$A:$A,M5536,'Barang Keluar'!$C:$C,N5536))</f>
        <v>0</v>
      </c>
    </row>
    <row r="5537" spans="13:16">
      <c r="M5537" s="49">
        <f>IF($A$4+55&gt;$B$4,"",$A$4+55)</f>
        <v>46078</v>
      </c>
      <c r="N5537" t="str">
        <f>IF(M5537="","",'Master Barang'!A31)</f>
        <v>PRL-030</v>
      </c>
      <c r="O5537" t="str">
        <f>IF(N5537="","",'Master Barang'!B31)</f>
        <v>klip plastik 25x16 100 pcs</v>
      </c>
      <c r="P5537">
        <f>IF(OR(M5537="",N5537=""),"",SUMIFS('Barang Keluar'!$E:$E,'Barang Keluar'!$A:$A,M5537,'Barang Keluar'!$C:$C,N5537))</f>
        <v>0</v>
      </c>
    </row>
    <row r="5538" spans="13:16">
      <c r="M5538" s="49">
        <f>IF($A$4+55&gt;$B$4,"",$A$4+55)</f>
        <v>46078</v>
      </c>
      <c r="N5538" t="str">
        <f>IF(M5538="","",'Master Barang'!A32)</f>
        <v>PRL-031</v>
      </c>
      <c r="O5538" t="str">
        <f>IF(N5538="","",'Master Barang'!B32)</f>
        <v>tempat saus 20 ml</v>
      </c>
      <c r="P5538">
        <f>IF(OR(M5538="",N5538=""),"",SUMIFS('Barang Keluar'!$E:$E,'Barang Keluar'!$A:$A,M5538,'Barang Keluar'!$C:$C,N5538))</f>
        <v>0</v>
      </c>
    </row>
    <row r="5539" spans="13:16">
      <c r="M5539" s="49">
        <f>IF($A$4+55&gt;$B$4,"",$A$4+55)</f>
        <v>46078</v>
      </c>
      <c r="N5539" t="str">
        <f>IF(M5539="","",'Master Barang'!A33)</f>
        <v>PRL-032</v>
      </c>
      <c r="O5539" t="str">
        <f>IF(N5539="","",'Master Barang'!B33)</f>
        <v>plastik packaging ag box uk sedang</v>
      </c>
      <c r="P5539">
        <f>IF(OR(M5539="",N5539=""),"",SUMIFS('Barang Keluar'!$E:$E,'Barang Keluar'!$A:$A,M5539,'Barang Keluar'!$C:$C,N5539))</f>
        <v>0</v>
      </c>
    </row>
    <row r="5540" spans="13:16">
      <c r="M5540" s="49">
        <f>IF($A$4+55&gt;$B$4,"",$A$4+55)</f>
        <v>46078</v>
      </c>
      <c r="N5540" t="str">
        <f>IF(M5540="","",'Master Barang'!A34)</f>
        <v>PRL-033</v>
      </c>
      <c r="O5540">
        <f>IF(N5540="","",'Master Barang'!B34)</f>
        <v>0</v>
      </c>
      <c r="P5540">
        <f>IF(OR(M5540="",N5540=""),"",SUMIFS('Barang Keluar'!$E:$E,'Barang Keluar'!$A:$A,M5540,'Barang Keluar'!$C:$C,N5540))</f>
        <v>0</v>
      </c>
    </row>
    <row r="5541" spans="13:16">
      <c r="M5541" s="49">
        <f>IF($A$4+55&gt;$B$4,"",$A$4+55)</f>
        <v>46078</v>
      </c>
      <c r="N5541">
        <f>IF(M5541="","",'Master Barang'!A35)</f>
        <v>0</v>
      </c>
      <c r="O5541">
        <f>IF(N5541="","",'Master Barang'!B35)</f>
        <v>0</v>
      </c>
      <c r="P5541">
        <f>IF(OR(M5541="",N5541=""),"",SUMIFS('Barang Keluar'!$E:$E,'Barang Keluar'!$A:$A,M5541,'Barang Keluar'!$C:$C,N5541))</f>
        <v>0</v>
      </c>
    </row>
    <row r="5542" spans="13:16">
      <c r="M5542" s="49">
        <f>IF($A$4+55&gt;$B$4,"",$A$4+55)</f>
        <v>46078</v>
      </c>
      <c r="N5542">
        <f>IF(M5542="","",'Master Barang'!A36)</f>
        <v>0</v>
      </c>
      <c r="O5542">
        <f>IF(N5542="","",'Master Barang'!B36)</f>
        <v>0</v>
      </c>
      <c r="P5542">
        <f>IF(OR(M5542="",N5542=""),"",SUMIFS('Barang Keluar'!$E:$E,'Barang Keluar'!$A:$A,M5542,'Barang Keluar'!$C:$C,N5542))</f>
        <v>0</v>
      </c>
    </row>
    <row r="5543" spans="13:16">
      <c r="M5543" s="49">
        <f>IF($A$4+55&gt;$B$4,"",$A$4+55)</f>
        <v>46078</v>
      </c>
      <c r="N5543">
        <f>IF(M5543="","",'Master Barang'!A37)</f>
        <v>0</v>
      </c>
      <c r="O5543">
        <f>IF(N5543="","",'Master Barang'!B37)</f>
        <v>0</v>
      </c>
      <c r="P5543">
        <f>IF(OR(M5543="",N5543=""),"",SUMIFS('Barang Keluar'!$E:$E,'Barang Keluar'!$A:$A,M5543,'Barang Keluar'!$C:$C,N5543))</f>
        <v>0</v>
      </c>
    </row>
    <row r="5544" spans="13:16">
      <c r="M5544" s="49">
        <f>IF($A$4+55&gt;$B$4,"",$A$4+55)</f>
        <v>46078</v>
      </c>
      <c r="N5544">
        <f>IF(M5544="","",'Master Barang'!A38)</f>
        <v>0</v>
      </c>
      <c r="O5544">
        <f>IF(N5544="","",'Master Barang'!B38)</f>
        <v>0</v>
      </c>
      <c r="P5544">
        <f>IF(OR(M5544="",N5544=""),"",SUMIFS('Barang Keluar'!$E:$E,'Barang Keluar'!$A:$A,M5544,'Barang Keluar'!$C:$C,N5544))</f>
        <v>0</v>
      </c>
    </row>
    <row r="5545" spans="13:16">
      <c r="M5545" s="49">
        <f>IF($A$4+55&gt;$B$4,"",$A$4+55)</f>
        <v>46078</v>
      </c>
      <c r="N5545">
        <f>IF(M5545="","",'Master Barang'!A39)</f>
        <v>0</v>
      </c>
      <c r="O5545">
        <f>IF(N5545="","",'Master Barang'!B39)</f>
        <v>0</v>
      </c>
      <c r="P5545">
        <f>IF(OR(M5545="",N5545=""),"",SUMIFS('Barang Keluar'!$E:$E,'Barang Keluar'!$A:$A,M5545,'Barang Keluar'!$C:$C,N5545))</f>
        <v>0</v>
      </c>
    </row>
    <row r="5546" spans="13:16">
      <c r="M5546" s="49">
        <f>IF($A$4+55&gt;$B$4,"",$A$4+55)</f>
        <v>46078</v>
      </c>
      <c r="N5546">
        <f>IF(M5546="","",'Master Barang'!A40)</f>
        <v>0</v>
      </c>
      <c r="O5546">
        <f>IF(N5546="","",'Master Barang'!B40)</f>
        <v>0</v>
      </c>
      <c r="P5546">
        <f>IF(OR(M5546="",N5546=""),"",SUMIFS('Barang Keluar'!$E:$E,'Barang Keluar'!$A:$A,M5546,'Barang Keluar'!$C:$C,N5546))</f>
        <v>0</v>
      </c>
    </row>
    <row r="5547" spans="13:16">
      <c r="M5547" s="49">
        <f>IF($A$4+55&gt;$B$4,"",$A$4+55)</f>
        <v>46078</v>
      </c>
      <c r="N5547">
        <f>IF(M5547="","",'Master Barang'!A41)</f>
        <v>0</v>
      </c>
      <c r="O5547">
        <f>IF(N5547="","",'Master Barang'!B41)</f>
        <v>0</v>
      </c>
      <c r="P5547">
        <f>IF(OR(M5547="",N5547=""),"",SUMIFS('Barang Keluar'!$E:$E,'Barang Keluar'!$A:$A,M5547,'Barang Keluar'!$C:$C,N5547))</f>
        <v>0</v>
      </c>
    </row>
    <row r="5548" spans="13:16">
      <c r="M5548" s="49">
        <f>IF($A$4+55&gt;$B$4,"",$A$4+55)</f>
        <v>46078</v>
      </c>
      <c r="N5548">
        <f>IF(M5548="","",'Master Barang'!A42)</f>
        <v>0</v>
      </c>
      <c r="O5548">
        <f>IF(N5548="","",'Master Barang'!B42)</f>
        <v>0</v>
      </c>
      <c r="P5548">
        <f>IF(OR(M5548="",N5548=""),"",SUMIFS('Barang Keluar'!$E:$E,'Barang Keluar'!$A:$A,M5548,'Barang Keluar'!$C:$C,N5548))</f>
        <v>0</v>
      </c>
    </row>
    <row r="5549" spans="13:16">
      <c r="M5549" s="49">
        <f>IF($A$4+55&gt;$B$4,"",$A$4+55)</f>
        <v>46078</v>
      </c>
      <c r="N5549">
        <f>IF(M5549="","",'Master Barang'!A43)</f>
        <v>0</v>
      </c>
      <c r="O5549">
        <f>IF(N5549="","",'Master Barang'!B43)</f>
        <v>0</v>
      </c>
      <c r="P5549">
        <f>IF(OR(M5549="",N5549=""),"",SUMIFS('Barang Keluar'!$E:$E,'Barang Keluar'!$A:$A,M5549,'Barang Keluar'!$C:$C,N5549))</f>
        <v>0</v>
      </c>
    </row>
    <row r="5550" spans="13:16">
      <c r="M5550" s="49">
        <f>IF($A$4+55&gt;$B$4,"",$A$4+55)</f>
        <v>46078</v>
      </c>
      <c r="N5550">
        <f>IF(M5550="","",'Master Barang'!A44)</f>
        <v>0</v>
      </c>
      <c r="O5550">
        <f>IF(N5550="","",'Master Barang'!B44)</f>
        <v>0</v>
      </c>
      <c r="P5550">
        <f>IF(OR(M5550="",N5550=""),"",SUMIFS('Barang Keluar'!$E:$E,'Barang Keluar'!$A:$A,M5550,'Barang Keluar'!$C:$C,N5550))</f>
        <v>0</v>
      </c>
    </row>
    <row r="5551" spans="13:16">
      <c r="M5551" s="49">
        <f>IF($A$4+55&gt;$B$4,"",$A$4+55)</f>
        <v>46078</v>
      </c>
      <c r="N5551">
        <f>IF(M5551="","",'Master Barang'!A45)</f>
        <v>0</v>
      </c>
      <c r="O5551">
        <f>IF(N5551="","",'Master Barang'!B45)</f>
        <v>0</v>
      </c>
      <c r="P5551">
        <f>IF(OR(M5551="",N5551=""),"",SUMIFS('Barang Keluar'!$E:$E,'Barang Keluar'!$A:$A,M5551,'Barang Keluar'!$C:$C,N5551))</f>
        <v>0</v>
      </c>
    </row>
    <row r="5552" spans="13:16">
      <c r="M5552" s="49">
        <f>IF($A$4+55&gt;$B$4,"",$A$4+55)</f>
        <v>46078</v>
      </c>
      <c r="N5552">
        <f>IF(M5552="","",'Master Barang'!A46)</f>
        <v>0</v>
      </c>
      <c r="O5552">
        <f>IF(N5552="","",'Master Barang'!B46)</f>
        <v>0</v>
      </c>
      <c r="P5552">
        <f>IF(OR(M5552="",N5552=""),"",SUMIFS('Barang Keluar'!$E:$E,'Barang Keluar'!$A:$A,M5552,'Barang Keluar'!$C:$C,N5552))</f>
        <v>0</v>
      </c>
    </row>
    <row r="5553" spans="13:16">
      <c r="M5553" s="49">
        <f>IF($A$4+55&gt;$B$4,"",$A$4+55)</f>
        <v>46078</v>
      </c>
      <c r="N5553">
        <f>IF(M5553="","",'Master Barang'!A47)</f>
        <v>0</v>
      </c>
      <c r="O5553">
        <f>IF(N5553="","",'Master Barang'!B47)</f>
        <v>0</v>
      </c>
      <c r="P5553">
        <f>IF(OR(M5553="",N5553=""),"",SUMIFS('Barang Keluar'!$E:$E,'Barang Keluar'!$A:$A,M5553,'Barang Keluar'!$C:$C,N5553))</f>
        <v>0</v>
      </c>
    </row>
    <row r="5554" spans="13:16">
      <c r="M5554" s="49">
        <f>IF($A$4+55&gt;$B$4,"",$A$4+55)</f>
        <v>46078</v>
      </c>
      <c r="N5554">
        <f>IF(M5554="","",'Master Barang'!A48)</f>
        <v>0</v>
      </c>
      <c r="O5554">
        <f>IF(N5554="","",'Master Barang'!B48)</f>
        <v>0</v>
      </c>
      <c r="P5554">
        <f>IF(OR(M5554="",N5554=""),"",SUMIFS('Barang Keluar'!$E:$E,'Barang Keluar'!$A:$A,M5554,'Barang Keluar'!$C:$C,N5554))</f>
        <v>0</v>
      </c>
    </row>
    <row r="5555" spans="13:16">
      <c r="M5555" s="49">
        <f>IF($A$4+55&gt;$B$4,"",$A$4+55)</f>
        <v>46078</v>
      </c>
      <c r="N5555">
        <f>IF(M5555="","",'Master Barang'!A49)</f>
        <v>0</v>
      </c>
      <c r="O5555">
        <f>IF(N5555="","",'Master Barang'!B49)</f>
        <v>0</v>
      </c>
      <c r="P5555">
        <f>IF(OR(M5555="",N5555=""),"",SUMIFS('Barang Keluar'!$E:$E,'Barang Keluar'!$A:$A,M5555,'Barang Keluar'!$C:$C,N5555))</f>
        <v>0</v>
      </c>
    </row>
    <row r="5556" spans="13:16">
      <c r="M5556" s="49">
        <f>IF($A$4+55&gt;$B$4,"",$A$4+55)</f>
        <v>46078</v>
      </c>
      <c r="N5556">
        <f>IF(M5556="","",'Master Barang'!A50)</f>
        <v>0</v>
      </c>
      <c r="O5556">
        <f>IF(N5556="","",'Master Barang'!B50)</f>
        <v>0</v>
      </c>
      <c r="P5556">
        <f>IF(OR(M5556="",N5556=""),"",SUMIFS('Barang Keluar'!$E:$E,'Barang Keluar'!$A:$A,M5556,'Barang Keluar'!$C:$C,N5556))</f>
        <v>0</v>
      </c>
    </row>
    <row r="5557" spans="13:16">
      <c r="M5557" s="49">
        <f>IF($A$4+55&gt;$B$4,"",$A$4+55)</f>
        <v>46078</v>
      </c>
      <c r="N5557">
        <f>IF(M5557="","",'Master Barang'!A51)</f>
        <v>0</v>
      </c>
      <c r="O5557">
        <f>IF(N5557="","",'Master Barang'!B51)</f>
        <v>0</v>
      </c>
      <c r="P5557">
        <f>IF(OR(M5557="",N5557=""),"",SUMIFS('Barang Keluar'!$E:$E,'Barang Keluar'!$A:$A,M5557,'Barang Keluar'!$C:$C,N5557))</f>
        <v>0</v>
      </c>
    </row>
    <row r="5558" spans="13:16">
      <c r="M5558" s="49">
        <f>IF($A$4+55&gt;$B$4,"",$A$4+55)</f>
        <v>46078</v>
      </c>
      <c r="N5558">
        <f>IF(M5558="","",'Master Barang'!A52)</f>
        <v>0</v>
      </c>
      <c r="O5558">
        <f>IF(N5558="","",'Master Barang'!B52)</f>
        <v>0</v>
      </c>
      <c r="P5558">
        <f>IF(OR(M5558="",N5558=""),"",SUMIFS('Barang Keluar'!$E:$E,'Barang Keluar'!$A:$A,M5558,'Barang Keluar'!$C:$C,N5558))</f>
        <v>0</v>
      </c>
    </row>
    <row r="5559" spans="13:16">
      <c r="M5559" s="49">
        <f>IF($A$4+55&gt;$B$4,"",$A$4+55)</f>
        <v>46078</v>
      </c>
      <c r="N5559">
        <f>IF(M5559="","",'Master Barang'!A53)</f>
        <v>0</v>
      </c>
      <c r="O5559">
        <f>IF(N5559="","",'Master Barang'!B53)</f>
        <v>0</v>
      </c>
      <c r="P5559">
        <f>IF(OR(M5559="",N5559=""),"",SUMIFS('Barang Keluar'!$E:$E,'Barang Keluar'!$A:$A,M5559,'Barang Keluar'!$C:$C,N5559))</f>
        <v>0</v>
      </c>
    </row>
    <row r="5560" spans="13:16">
      <c r="M5560" s="49">
        <f>IF($A$4+55&gt;$B$4,"",$A$4+55)</f>
        <v>46078</v>
      </c>
      <c r="N5560">
        <f>IF(M5560="","",'Master Barang'!A54)</f>
        <v>0</v>
      </c>
      <c r="O5560">
        <f>IF(N5560="","",'Master Barang'!B54)</f>
        <v>0</v>
      </c>
      <c r="P5560">
        <f>IF(OR(M5560="",N5560=""),"",SUMIFS('Barang Keluar'!$E:$E,'Barang Keluar'!$A:$A,M5560,'Barang Keluar'!$C:$C,N5560))</f>
        <v>0</v>
      </c>
    </row>
    <row r="5561" spans="13:16">
      <c r="M5561" s="49">
        <f>IF($A$4+55&gt;$B$4,"",$A$4+55)</f>
        <v>46078</v>
      </c>
      <c r="N5561">
        <f>IF(M5561="","",'Master Barang'!A55)</f>
        <v>0</v>
      </c>
      <c r="O5561">
        <f>IF(N5561="","",'Master Barang'!B55)</f>
        <v>0</v>
      </c>
      <c r="P5561">
        <f>IF(OR(M5561="",N5561=""),"",SUMIFS('Barang Keluar'!$E:$E,'Barang Keluar'!$A:$A,M5561,'Barang Keluar'!$C:$C,N5561))</f>
        <v>0</v>
      </c>
    </row>
    <row r="5562" spans="13:16">
      <c r="M5562" s="49">
        <f>IF($A$4+55&gt;$B$4,"",$A$4+55)</f>
        <v>46078</v>
      </c>
      <c r="N5562">
        <f>IF(M5562="","",'Master Barang'!A56)</f>
        <v>0</v>
      </c>
      <c r="O5562">
        <f>IF(N5562="","",'Master Barang'!B56)</f>
        <v>0</v>
      </c>
      <c r="P5562">
        <f>IF(OR(M5562="",N5562=""),"",SUMIFS('Barang Keluar'!$E:$E,'Barang Keluar'!$A:$A,M5562,'Barang Keluar'!$C:$C,N5562))</f>
        <v>0</v>
      </c>
    </row>
    <row r="5563" spans="13:16">
      <c r="M5563" s="49">
        <f>IF($A$4+55&gt;$B$4,"",$A$4+55)</f>
        <v>46078</v>
      </c>
      <c r="N5563">
        <f>IF(M5563="","",'Master Barang'!A57)</f>
        <v>0</v>
      </c>
      <c r="O5563">
        <f>IF(N5563="","",'Master Barang'!B57)</f>
        <v>0</v>
      </c>
      <c r="P5563">
        <f>IF(OR(M5563="",N5563=""),"",SUMIFS('Barang Keluar'!$E:$E,'Barang Keluar'!$A:$A,M5563,'Barang Keluar'!$C:$C,N5563))</f>
        <v>0</v>
      </c>
    </row>
    <row r="5564" spans="13:16">
      <c r="M5564" s="49">
        <f>IF($A$4+55&gt;$B$4,"",$A$4+55)</f>
        <v>46078</v>
      </c>
      <c r="N5564">
        <f>IF(M5564="","",'Master Barang'!A58)</f>
        <v>0</v>
      </c>
      <c r="O5564">
        <f>IF(N5564="","",'Master Barang'!B58)</f>
        <v>0</v>
      </c>
      <c r="P5564">
        <f>IF(OR(M5564="",N5564=""),"",SUMIFS('Barang Keluar'!$E:$E,'Barang Keluar'!$A:$A,M5564,'Barang Keluar'!$C:$C,N5564))</f>
        <v>0</v>
      </c>
    </row>
    <row r="5565" spans="13:16">
      <c r="M5565" s="49">
        <f>IF($A$4+55&gt;$B$4,"",$A$4+55)</f>
        <v>46078</v>
      </c>
      <c r="N5565">
        <f>IF(M5565="","",'Master Barang'!A59)</f>
        <v>0</v>
      </c>
      <c r="O5565">
        <f>IF(N5565="","",'Master Barang'!B59)</f>
        <v>0</v>
      </c>
      <c r="P5565">
        <f>IF(OR(M5565="",N5565=""),"",SUMIFS('Barang Keluar'!$E:$E,'Barang Keluar'!$A:$A,M5565,'Barang Keluar'!$C:$C,N5565))</f>
        <v>0</v>
      </c>
    </row>
    <row r="5566" spans="13:16">
      <c r="M5566" s="49">
        <f>IF($A$4+55&gt;$B$4,"",$A$4+55)</f>
        <v>46078</v>
      </c>
      <c r="N5566">
        <f>IF(M5566="","",'Master Barang'!A60)</f>
        <v>0</v>
      </c>
      <c r="O5566">
        <f>IF(N5566="","",'Master Barang'!B60)</f>
        <v>0</v>
      </c>
      <c r="P5566">
        <f>IF(OR(M5566="",N5566=""),"",SUMIFS('Barang Keluar'!$E:$E,'Barang Keluar'!$A:$A,M5566,'Barang Keluar'!$C:$C,N5566))</f>
        <v>0</v>
      </c>
    </row>
    <row r="5567" spans="13:16">
      <c r="M5567" s="49">
        <f>IF($A$4+55&gt;$B$4,"",$A$4+55)</f>
        <v>46078</v>
      </c>
      <c r="N5567">
        <f>IF(M5567="","",'Master Barang'!A61)</f>
        <v>0</v>
      </c>
      <c r="O5567">
        <f>IF(N5567="","",'Master Barang'!B61)</f>
        <v>0</v>
      </c>
      <c r="P5567">
        <f>IF(OR(M5567="",N5567=""),"",SUMIFS('Barang Keluar'!$E:$E,'Barang Keluar'!$A:$A,M5567,'Barang Keluar'!$C:$C,N5567))</f>
        <v>0</v>
      </c>
    </row>
    <row r="5568" spans="13:16">
      <c r="M5568" s="49">
        <f>IF($A$4+55&gt;$B$4,"",$A$4+55)</f>
        <v>46078</v>
      </c>
      <c r="N5568">
        <f>IF(M5568="","",'Master Barang'!A62)</f>
        <v>0</v>
      </c>
      <c r="O5568">
        <f>IF(N5568="","",'Master Barang'!B62)</f>
        <v>0</v>
      </c>
      <c r="P5568">
        <f>IF(OR(M5568="",N5568=""),"",SUMIFS('Barang Keluar'!$E:$E,'Barang Keluar'!$A:$A,M5568,'Barang Keluar'!$C:$C,N5568))</f>
        <v>0</v>
      </c>
    </row>
    <row r="5569" spans="13:16">
      <c r="M5569" s="49">
        <f>IF($A$4+55&gt;$B$4,"",$A$4+55)</f>
        <v>46078</v>
      </c>
      <c r="N5569">
        <f>IF(M5569="","",'Master Barang'!A63)</f>
        <v>0</v>
      </c>
      <c r="O5569">
        <f>IF(N5569="","",'Master Barang'!B63)</f>
        <v>0</v>
      </c>
      <c r="P5569">
        <f>IF(OR(M5569="",N5569=""),"",SUMIFS('Barang Keluar'!$E:$E,'Barang Keluar'!$A:$A,M5569,'Barang Keluar'!$C:$C,N5569))</f>
        <v>0</v>
      </c>
    </row>
    <row r="5570" spans="13:16">
      <c r="M5570" s="49">
        <f>IF($A$4+55&gt;$B$4,"",$A$4+55)</f>
        <v>46078</v>
      </c>
      <c r="N5570">
        <f>IF(M5570="","",'Master Barang'!A64)</f>
        <v>0</v>
      </c>
      <c r="O5570">
        <f>IF(N5570="","",'Master Barang'!B64)</f>
        <v>0</v>
      </c>
      <c r="P5570">
        <f>IF(OR(M5570="",N5570=""),"",SUMIFS('Barang Keluar'!$E:$E,'Barang Keluar'!$A:$A,M5570,'Barang Keluar'!$C:$C,N5570))</f>
        <v>0</v>
      </c>
    </row>
    <row r="5571" spans="13:16">
      <c r="M5571" s="49">
        <f>IF($A$4+55&gt;$B$4,"",$A$4+55)</f>
        <v>46078</v>
      </c>
      <c r="N5571">
        <f>IF(M5571="","",'Master Barang'!A65)</f>
        <v>0</v>
      </c>
      <c r="O5571">
        <f>IF(N5571="","",'Master Barang'!B65)</f>
        <v>0</v>
      </c>
      <c r="P5571">
        <f>IF(OR(M5571="",N5571=""),"",SUMIFS('Barang Keluar'!$E:$E,'Barang Keluar'!$A:$A,M5571,'Barang Keluar'!$C:$C,N5571))</f>
        <v>0</v>
      </c>
    </row>
    <row r="5572" spans="13:16">
      <c r="M5572" s="49">
        <f>IF($A$4+55&gt;$B$4,"",$A$4+55)</f>
        <v>46078</v>
      </c>
      <c r="N5572">
        <f>IF(M5572="","",'Master Barang'!A66)</f>
        <v>0</v>
      </c>
      <c r="O5572">
        <f>IF(N5572="","",'Master Barang'!B66)</f>
        <v>0</v>
      </c>
      <c r="P5572">
        <f>IF(OR(M5572="",N5572=""),"",SUMIFS('Barang Keluar'!$E:$E,'Barang Keluar'!$A:$A,M5572,'Barang Keluar'!$C:$C,N5572))</f>
        <v>0</v>
      </c>
    </row>
    <row r="5573" spans="13:16">
      <c r="M5573" s="49">
        <f>IF($A$4+55&gt;$B$4,"",$A$4+55)</f>
        <v>46078</v>
      </c>
      <c r="N5573">
        <f>IF(M5573="","",'Master Barang'!A67)</f>
        <v>0</v>
      </c>
      <c r="O5573">
        <f>IF(N5573="","",'Master Barang'!B67)</f>
        <v>0</v>
      </c>
      <c r="P5573">
        <f>IF(OR(M5573="",N5573=""),"",SUMIFS('Barang Keluar'!$E:$E,'Barang Keluar'!$A:$A,M5573,'Barang Keluar'!$C:$C,N5573))</f>
        <v>0</v>
      </c>
    </row>
    <row r="5574" spans="13:16">
      <c r="M5574" s="49">
        <f>IF($A$4+55&gt;$B$4,"",$A$4+55)</f>
        <v>46078</v>
      </c>
      <c r="N5574">
        <f>IF(M5574="","",'Master Barang'!A68)</f>
        <v>0</v>
      </c>
      <c r="O5574">
        <f>IF(N5574="","",'Master Barang'!B68)</f>
        <v>0</v>
      </c>
      <c r="P5574">
        <f>IF(OR(M5574="",N5574=""),"",SUMIFS('Barang Keluar'!$E:$E,'Barang Keluar'!$A:$A,M5574,'Barang Keluar'!$C:$C,N5574))</f>
        <v>0</v>
      </c>
    </row>
    <row r="5575" spans="13:16">
      <c r="M5575" s="49">
        <f>IF($A$4+55&gt;$B$4,"",$A$4+55)</f>
        <v>46078</v>
      </c>
      <c r="N5575">
        <f>IF(M5575="","",'Master Barang'!A69)</f>
        <v>0</v>
      </c>
      <c r="O5575">
        <f>IF(N5575="","",'Master Barang'!B69)</f>
        <v>0</v>
      </c>
      <c r="P5575">
        <f>IF(OR(M5575="",N5575=""),"",SUMIFS('Barang Keluar'!$E:$E,'Barang Keluar'!$A:$A,M5575,'Barang Keluar'!$C:$C,N5575))</f>
        <v>0</v>
      </c>
    </row>
    <row r="5576" spans="13:16">
      <c r="M5576" s="49">
        <f>IF($A$4+55&gt;$B$4,"",$A$4+55)</f>
        <v>46078</v>
      </c>
      <c r="N5576">
        <f>IF(M5576="","",'Master Barang'!A70)</f>
        <v>0</v>
      </c>
      <c r="O5576">
        <f>IF(N5576="","",'Master Barang'!B70)</f>
        <v>0</v>
      </c>
      <c r="P5576">
        <f>IF(OR(M5576="",N5576=""),"",SUMIFS('Barang Keluar'!$E:$E,'Barang Keluar'!$A:$A,M5576,'Barang Keluar'!$C:$C,N5576))</f>
        <v>0</v>
      </c>
    </row>
    <row r="5577" spans="13:16">
      <c r="M5577" s="49">
        <f>IF($A$4+55&gt;$B$4,"",$A$4+55)</f>
        <v>46078</v>
      </c>
      <c r="N5577">
        <f>IF(M5577="","",'Master Barang'!A71)</f>
        <v>0</v>
      </c>
      <c r="O5577">
        <f>IF(N5577="","",'Master Barang'!B71)</f>
        <v>0</v>
      </c>
      <c r="P5577">
        <f>IF(OR(M5577="",N5577=""),"",SUMIFS('Barang Keluar'!$E:$E,'Barang Keluar'!$A:$A,M5577,'Barang Keluar'!$C:$C,N5577))</f>
        <v>0</v>
      </c>
    </row>
    <row r="5578" spans="13:16">
      <c r="M5578" s="49">
        <f>IF($A$4+55&gt;$B$4,"",$A$4+55)</f>
        <v>46078</v>
      </c>
      <c r="N5578">
        <f>IF(M5578="","",'Master Barang'!A72)</f>
        <v>0</v>
      </c>
      <c r="O5578">
        <f>IF(N5578="","",'Master Barang'!B72)</f>
        <v>0</v>
      </c>
      <c r="P5578">
        <f>IF(OR(M5578="",N5578=""),"",SUMIFS('Barang Keluar'!$E:$E,'Barang Keluar'!$A:$A,M5578,'Barang Keluar'!$C:$C,N5578))</f>
        <v>0</v>
      </c>
    </row>
    <row r="5579" spans="13:16">
      <c r="M5579" s="49">
        <f>IF($A$4+55&gt;$B$4,"",$A$4+55)</f>
        <v>46078</v>
      </c>
      <c r="N5579">
        <f>IF(M5579="","",'Master Barang'!A73)</f>
        <v>0</v>
      </c>
      <c r="O5579">
        <f>IF(N5579="","",'Master Barang'!B73)</f>
        <v>0</v>
      </c>
      <c r="P5579">
        <f>IF(OR(M5579="",N5579=""),"",SUMIFS('Barang Keluar'!$E:$E,'Barang Keluar'!$A:$A,M5579,'Barang Keluar'!$C:$C,N5579))</f>
        <v>0</v>
      </c>
    </row>
    <row r="5580" spans="13:16">
      <c r="M5580" s="49">
        <f>IF($A$4+55&gt;$B$4,"",$A$4+55)</f>
        <v>46078</v>
      </c>
      <c r="N5580">
        <f>IF(M5580="","",'Master Barang'!A74)</f>
        <v>0</v>
      </c>
      <c r="O5580">
        <f>IF(N5580="","",'Master Barang'!B74)</f>
        <v>0</v>
      </c>
      <c r="P5580">
        <f>IF(OR(M5580="",N5580=""),"",SUMIFS('Barang Keluar'!$E:$E,'Barang Keluar'!$A:$A,M5580,'Barang Keluar'!$C:$C,N5580))</f>
        <v>0</v>
      </c>
    </row>
    <row r="5581" spans="13:16">
      <c r="M5581" s="49">
        <f>IF($A$4+55&gt;$B$4,"",$A$4+55)</f>
        <v>46078</v>
      </c>
      <c r="N5581">
        <f>IF(M5581="","",'Master Barang'!A75)</f>
        <v>0</v>
      </c>
      <c r="O5581">
        <f>IF(N5581="","",'Master Barang'!B75)</f>
        <v>0</v>
      </c>
      <c r="P5581">
        <f>IF(OR(M5581="",N5581=""),"",SUMIFS('Barang Keluar'!$E:$E,'Barang Keluar'!$A:$A,M5581,'Barang Keluar'!$C:$C,N5581))</f>
        <v>0</v>
      </c>
    </row>
    <row r="5582" spans="13:16">
      <c r="M5582" s="49">
        <f>IF($A$4+55&gt;$B$4,"",$A$4+55)</f>
        <v>46078</v>
      </c>
      <c r="N5582">
        <f>IF(M5582="","",'Master Barang'!A76)</f>
        <v>0</v>
      </c>
      <c r="O5582">
        <f>IF(N5582="","",'Master Barang'!B76)</f>
        <v>0</v>
      </c>
      <c r="P5582">
        <f>IF(OR(M5582="",N5582=""),"",SUMIFS('Barang Keluar'!$E:$E,'Barang Keluar'!$A:$A,M5582,'Barang Keluar'!$C:$C,N5582))</f>
        <v>0</v>
      </c>
    </row>
    <row r="5583" spans="13:16">
      <c r="M5583" s="49">
        <f>IF($A$4+55&gt;$B$4,"",$A$4+55)</f>
        <v>46078</v>
      </c>
      <c r="N5583">
        <f>IF(M5583="","",'Master Barang'!A77)</f>
        <v>0</v>
      </c>
      <c r="O5583">
        <f>IF(N5583="","",'Master Barang'!B77)</f>
        <v>0</v>
      </c>
      <c r="P5583">
        <f>IF(OR(M5583="",N5583=""),"",SUMIFS('Barang Keluar'!$E:$E,'Barang Keluar'!$A:$A,M5583,'Barang Keluar'!$C:$C,N5583))</f>
        <v>0</v>
      </c>
    </row>
    <row r="5584" spans="13:16">
      <c r="M5584" s="49">
        <f>IF($A$4+55&gt;$B$4,"",$A$4+55)</f>
        <v>46078</v>
      </c>
      <c r="N5584">
        <f>IF(M5584="","",'Master Barang'!A78)</f>
        <v>0</v>
      </c>
      <c r="O5584">
        <f>IF(N5584="","",'Master Barang'!B78)</f>
        <v>0</v>
      </c>
      <c r="P5584">
        <f>IF(OR(M5584="",N5584=""),"",SUMIFS('Barang Keluar'!$E:$E,'Barang Keluar'!$A:$A,M5584,'Barang Keluar'!$C:$C,N5584))</f>
        <v>0</v>
      </c>
    </row>
    <row r="5585" spans="13:16">
      <c r="M5585" s="49">
        <f>IF($A$4+55&gt;$B$4,"",$A$4+55)</f>
        <v>46078</v>
      </c>
      <c r="N5585">
        <f>IF(M5585="","",'Master Barang'!A79)</f>
        <v>0</v>
      </c>
      <c r="O5585">
        <f>IF(N5585="","",'Master Barang'!B79)</f>
        <v>0</v>
      </c>
      <c r="P5585">
        <f>IF(OR(M5585="",N5585=""),"",SUMIFS('Barang Keluar'!$E:$E,'Barang Keluar'!$A:$A,M5585,'Barang Keluar'!$C:$C,N5585))</f>
        <v>0</v>
      </c>
    </row>
    <row r="5586" spans="13:16">
      <c r="M5586" s="49">
        <f>IF($A$4+55&gt;$B$4,"",$A$4+55)</f>
        <v>46078</v>
      </c>
      <c r="N5586">
        <f>IF(M5586="","",'Master Barang'!A80)</f>
        <v>0</v>
      </c>
      <c r="O5586">
        <f>IF(N5586="","",'Master Barang'!B80)</f>
        <v>0</v>
      </c>
      <c r="P5586">
        <f>IF(OR(M5586="",N5586=""),"",SUMIFS('Barang Keluar'!$E:$E,'Barang Keluar'!$A:$A,M5586,'Barang Keluar'!$C:$C,N5586))</f>
        <v>0</v>
      </c>
    </row>
    <row r="5587" spans="13:16">
      <c r="M5587" s="49">
        <f>IF($A$4+55&gt;$B$4,"",$A$4+55)</f>
        <v>46078</v>
      </c>
      <c r="N5587">
        <f>IF(M5587="","",'Master Barang'!A81)</f>
        <v>0</v>
      </c>
      <c r="O5587">
        <f>IF(N5587="","",'Master Barang'!B81)</f>
        <v>0</v>
      </c>
      <c r="P5587">
        <f>IF(OR(M5587="",N5587=""),"",SUMIFS('Barang Keluar'!$E:$E,'Barang Keluar'!$A:$A,M5587,'Barang Keluar'!$C:$C,N5587))</f>
        <v>0</v>
      </c>
    </row>
    <row r="5588" spans="13:16">
      <c r="M5588" s="49">
        <f>IF($A$4+55&gt;$B$4,"",$A$4+55)</f>
        <v>46078</v>
      </c>
      <c r="N5588">
        <f>IF(M5588="","",'Master Barang'!A82)</f>
        <v>0</v>
      </c>
      <c r="O5588">
        <f>IF(N5588="","",'Master Barang'!B82)</f>
        <v>0</v>
      </c>
      <c r="P5588">
        <f>IF(OR(M5588="",N5588=""),"",SUMIFS('Barang Keluar'!$E:$E,'Barang Keluar'!$A:$A,M5588,'Barang Keluar'!$C:$C,N5588))</f>
        <v>0</v>
      </c>
    </row>
    <row r="5589" spans="13:16">
      <c r="M5589" s="49">
        <f>IF($A$4+55&gt;$B$4,"",$A$4+55)</f>
        <v>46078</v>
      </c>
      <c r="N5589">
        <f>IF(M5589="","",'Master Barang'!A83)</f>
        <v>0</v>
      </c>
      <c r="O5589">
        <f>IF(N5589="","",'Master Barang'!B83)</f>
        <v>0</v>
      </c>
      <c r="P5589">
        <f>IF(OR(M5589="",N5589=""),"",SUMIFS('Barang Keluar'!$E:$E,'Barang Keluar'!$A:$A,M5589,'Barang Keluar'!$C:$C,N5589))</f>
        <v>0</v>
      </c>
    </row>
    <row r="5590" spans="13:16">
      <c r="M5590" s="49">
        <f>IF($A$4+55&gt;$B$4,"",$A$4+55)</f>
        <v>46078</v>
      </c>
      <c r="N5590">
        <f>IF(M5590="","",'Master Barang'!A84)</f>
        <v>0</v>
      </c>
      <c r="O5590">
        <f>IF(N5590="","",'Master Barang'!B84)</f>
        <v>0</v>
      </c>
      <c r="P5590">
        <f>IF(OR(M5590="",N5590=""),"",SUMIFS('Barang Keluar'!$E:$E,'Barang Keluar'!$A:$A,M5590,'Barang Keluar'!$C:$C,N5590))</f>
        <v>0</v>
      </c>
    </row>
    <row r="5591" spans="13:16">
      <c r="M5591" s="49">
        <f>IF($A$4+55&gt;$B$4,"",$A$4+55)</f>
        <v>46078</v>
      </c>
      <c r="N5591">
        <f>IF(M5591="","",'Master Barang'!A85)</f>
        <v>0</v>
      </c>
      <c r="O5591">
        <f>IF(N5591="","",'Master Barang'!B85)</f>
        <v>0</v>
      </c>
      <c r="P5591">
        <f>IF(OR(M5591="",N5591=""),"",SUMIFS('Barang Keluar'!$E:$E,'Barang Keluar'!$A:$A,M5591,'Barang Keluar'!$C:$C,N5591))</f>
        <v>0</v>
      </c>
    </row>
    <row r="5592" spans="13:16">
      <c r="M5592" s="49">
        <f>IF($A$4+55&gt;$B$4,"",$A$4+55)</f>
        <v>46078</v>
      </c>
      <c r="N5592">
        <f>IF(M5592="","",'Master Barang'!A86)</f>
        <v>0</v>
      </c>
      <c r="O5592">
        <f>IF(N5592="","",'Master Barang'!B86)</f>
        <v>0</v>
      </c>
      <c r="P5592">
        <f>IF(OR(M5592="",N5592=""),"",SUMIFS('Barang Keluar'!$E:$E,'Barang Keluar'!$A:$A,M5592,'Barang Keluar'!$C:$C,N5592))</f>
        <v>0</v>
      </c>
    </row>
    <row r="5593" spans="13:16">
      <c r="M5593" s="49">
        <f>IF($A$4+55&gt;$B$4,"",$A$4+55)</f>
        <v>46078</v>
      </c>
      <c r="N5593">
        <f>IF(M5593="","",'Master Barang'!A87)</f>
        <v>0</v>
      </c>
      <c r="O5593">
        <f>IF(N5593="","",'Master Barang'!B87)</f>
        <v>0</v>
      </c>
      <c r="P5593">
        <f>IF(OR(M5593="",N5593=""),"",SUMIFS('Barang Keluar'!$E:$E,'Barang Keluar'!$A:$A,M5593,'Barang Keluar'!$C:$C,N5593))</f>
        <v>0</v>
      </c>
    </row>
    <row r="5594" spans="13:16">
      <c r="M5594" s="49">
        <f>IF($A$4+55&gt;$B$4,"",$A$4+55)</f>
        <v>46078</v>
      </c>
      <c r="N5594">
        <f>IF(M5594="","",'Master Barang'!A88)</f>
        <v>0</v>
      </c>
      <c r="O5594">
        <f>IF(N5594="","",'Master Barang'!B88)</f>
        <v>0</v>
      </c>
      <c r="P5594">
        <f>IF(OR(M5594="",N5594=""),"",SUMIFS('Barang Keluar'!$E:$E,'Barang Keluar'!$A:$A,M5594,'Barang Keluar'!$C:$C,N5594))</f>
        <v>0</v>
      </c>
    </row>
    <row r="5595" spans="13:16">
      <c r="M5595" s="49">
        <f>IF($A$4+55&gt;$B$4,"",$A$4+55)</f>
        <v>46078</v>
      </c>
      <c r="N5595">
        <f>IF(M5595="","",'Master Barang'!A89)</f>
        <v>0</v>
      </c>
      <c r="O5595">
        <f>IF(N5595="","",'Master Barang'!B89)</f>
        <v>0</v>
      </c>
      <c r="P5595">
        <f>IF(OR(M5595="",N5595=""),"",SUMIFS('Barang Keluar'!$E:$E,'Barang Keluar'!$A:$A,M5595,'Barang Keluar'!$C:$C,N5595))</f>
        <v>0</v>
      </c>
    </row>
    <row r="5596" spans="13:16">
      <c r="M5596" s="49">
        <f>IF($A$4+55&gt;$B$4,"",$A$4+55)</f>
        <v>46078</v>
      </c>
      <c r="N5596">
        <f>IF(M5596="","",'Master Barang'!A90)</f>
        <v>0</v>
      </c>
      <c r="O5596">
        <f>IF(N5596="","",'Master Barang'!B90)</f>
        <v>0</v>
      </c>
      <c r="P5596">
        <f>IF(OR(M5596="",N5596=""),"",SUMIFS('Barang Keluar'!$E:$E,'Barang Keluar'!$A:$A,M5596,'Barang Keluar'!$C:$C,N5596))</f>
        <v>0</v>
      </c>
    </row>
    <row r="5597" spans="13:16">
      <c r="M5597" s="49">
        <f>IF($A$4+55&gt;$B$4,"",$A$4+55)</f>
        <v>46078</v>
      </c>
      <c r="N5597">
        <f>IF(M5597="","",'Master Barang'!A91)</f>
        <v>0</v>
      </c>
      <c r="O5597">
        <f>IF(N5597="","",'Master Barang'!B91)</f>
        <v>0</v>
      </c>
      <c r="P5597">
        <f>IF(OR(M5597="",N5597=""),"",SUMIFS('Barang Keluar'!$E:$E,'Barang Keluar'!$A:$A,M5597,'Barang Keluar'!$C:$C,N5597))</f>
        <v>0</v>
      </c>
    </row>
    <row r="5598" spans="13:16">
      <c r="M5598" s="49">
        <f>IF($A$4+55&gt;$B$4,"",$A$4+55)</f>
        <v>46078</v>
      </c>
      <c r="N5598">
        <f>IF(M5598="","",'Master Barang'!A92)</f>
        <v>0</v>
      </c>
      <c r="O5598">
        <f>IF(N5598="","",'Master Barang'!B92)</f>
        <v>0</v>
      </c>
      <c r="P5598">
        <f>IF(OR(M5598="",N5598=""),"",SUMIFS('Barang Keluar'!$E:$E,'Barang Keluar'!$A:$A,M5598,'Barang Keluar'!$C:$C,N5598))</f>
        <v>0</v>
      </c>
    </row>
    <row r="5599" spans="13:16">
      <c r="M5599" s="49">
        <f>IF($A$4+55&gt;$B$4,"",$A$4+55)</f>
        <v>46078</v>
      </c>
      <c r="N5599">
        <f>IF(M5599="","",'Master Barang'!A93)</f>
        <v>0</v>
      </c>
      <c r="O5599">
        <f>IF(N5599="","",'Master Barang'!B93)</f>
        <v>0</v>
      </c>
      <c r="P5599">
        <f>IF(OR(M5599="",N5599=""),"",SUMIFS('Barang Keluar'!$E:$E,'Barang Keluar'!$A:$A,M5599,'Barang Keluar'!$C:$C,N5599))</f>
        <v>0</v>
      </c>
    </row>
    <row r="5600" spans="13:16">
      <c r="M5600" s="49">
        <f>IF($A$4+55&gt;$B$4,"",$A$4+55)</f>
        <v>46078</v>
      </c>
      <c r="N5600">
        <f>IF(M5600="","",'Master Barang'!A94)</f>
        <v>0</v>
      </c>
      <c r="O5600">
        <f>IF(N5600="","",'Master Barang'!B94)</f>
        <v>0</v>
      </c>
      <c r="P5600">
        <f>IF(OR(M5600="",N5600=""),"",SUMIFS('Barang Keluar'!$E:$E,'Barang Keluar'!$A:$A,M5600,'Barang Keluar'!$C:$C,N5600))</f>
        <v>0</v>
      </c>
    </row>
    <row r="5601" spans="13:16">
      <c r="M5601" s="49">
        <f>IF($A$4+55&gt;$B$4,"",$A$4+55)</f>
        <v>46078</v>
      </c>
      <c r="N5601">
        <f>IF(M5601="","",'Master Barang'!A95)</f>
        <v>0</v>
      </c>
      <c r="O5601">
        <f>IF(N5601="","",'Master Barang'!B95)</f>
        <v>0</v>
      </c>
      <c r="P5601">
        <f>IF(OR(M5601="",N5601=""),"",SUMIFS('Barang Keluar'!$E:$E,'Barang Keluar'!$A:$A,M5601,'Barang Keluar'!$C:$C,N5601))</f>
        <v>0</v>
      </c>
    </row>
    <row r="5602" spans="13:16">
      <c r="M5602" s="49">
        <f>IF($A$4+55&gt;$B$4,"",$A$4+55)</f>
        <v>46078</v>
      </c>
      <c r="N5602">
        <f>IF(M5602="","",'Master Barang'!A96)</f>
        <v>0</v>
      </c>
      <c r="O5602">
        <f>IF(N5602="","",'Master Barang'!B96)</f>
        <v>0</v>
      </c>
      <c r="P5602">
        <f>IF(OR(M5602="",N5602=""),"",SUMIFS('Barang Keluar'!$E:$E,'Barang Keluar'!$A:$A,M5602,'Barang Keluar'!$C:$C,N5602))</f>
        <v>0</v>
      </c>
    </row>
    <row r="5603" spans="13:16">
      <c r="M5603" s="49">
        <f>IF($A$4+55&gt;$B$4,"",$A$4+55)</f>
        <v>46078</v>
      </c>
      <c r="N5603">
        <f>IF(M5603="","",'Master Barang'!A97)</f>
        <v>0</v>
      </c>
      <c r="O5603">
        <f>IF(N5603="","",'Master Barang'!B97)</f>
        <v>0</v>
      </c>
      <c r="P5603">
        <f>IF(OR(M5603="",N5603=""),"",SUMIFS('Barang Keluar'!$E:$E,'Barang Keluar'!$A:$A,M5603,'Barang Keluar'!$C:$C,N5603))</f>
        <v>0</v>
      </c>
    </row>
    <row r="5604" spans="13:16">
      <c r="M5604" s="49">
        <f>IF($A$4+55&gt;$B$4,"",$A$4+55)</f>
        <v>46078</v>
      </c>
      <c r="N5604">
        <f>IF(M5604="","",'Master Barang'!A98)</f>
        <v>0</v>
      </c>
      <c r="O5604">
        <f>IF(N5604="","",'Master Barang'!B98)</f>
        <v>0</v>
      </c>
      <c r="P5604">
        <f>IF(OR(M5604="",N5604=""),"",SUMIFS('Barang Keluar'!$E:$E,'Barang Keluar'!$A:$A,M5604,'Barang Keluar'!$C:$C,N5604))</f>
        <v>0</v>
      </c>
    </row>
    <row r="5605" spans="13:16">
      <c r="M5605" s="49">
        <f>IF($A$4+55&gt;$B$4,"",$A$4+55)</f>
        <v>46078</v>
      </c>
      <c r="N5605">
        <f>IF(M5605="","",'Master Barang'!A99)</f>
        <v>0</v>
      </c>
      <c r="O5605">
        <f>IF(N5605="","",'Master Barang'!B99)</f>
        <v>0</v>
      </c>
      <c r="P5605">
        <f>IF(OR(M5605="",N5605=""),"",SUMIFS('Barang Keluar'!$E:$E,'Barang Keluar'!$A:$A,M5605,'Barang Keluar'!$C:$C,N5605))</f>
        <v>0</v>
      </c>
    </row>
    <row r="5606" spans="13:16">
      <c r="M5606" s="49">
        <f>IF($A$4+55&gt;$B$4,"",$A$4+55)</f>
        <v>46078</v>
      </c>
      <c r="N5606">
        <f>IF(M5606="","",'Master Barang'!A100)</f>
        <v>0</v>
      </c>
      <c r="O5606">
        <f>IF(N5606="","",'Master Barang'!B100)</f>
        <v>0</v>
      </c>
      <c r="P5606">
        <f>IF(OR(M5606="",N5606=""),"",SUMIFS('Barang Keluar'!$E:$E,'Barang Keluar'!$A:$A,M5606,'Barang Keluar'!$C:$C,N5606))</f>
        <v>0</v>
      </c>
    </row>
    <row r="5607" spans="13:16">
      <c r="M5607" s="49">
        <f>IF($A$4+55&gt;$B$4,"",$A$4+55)</f>
        <v>46078</v>
      </c>
      <c r="N5607">
        <f>IF(M5607="","",'Master Barang'!A101)</f>
        <v>0</v>
      </c>
      <c r="O5607">
        <f>IF(N5607="","",'Master Barang'!B101)</f>
        <v>0</v>
      </c>
      <c r="P5607">
        <f>IF(OR(M5607="",N5607=""),"",SUMIFS('Barang Keluar'!$E:$E,'Barang Keluar'!$A:$A,M5607,'Barang Keluar'!$C:$C,N5607))</f>
        <v>0</v>
      </c>
    </row>
    <row r="5608" spans="13:16">
      <c r="M5608" s="49">
        <f>IF($A$4+56&gt;$B$4,"",$A$4+56)</f>
        <v>46079</v>
      </c>
      <c r="N5608" t="str">
        <f>IF(M5608="","",'Master Barang'!A2)</f>
        <v>PRL-001</v>
      </c>
      <c r="O5608" t="str">
        <f>IF(N5608="","",'Master Barang'!B2)</f>
        <v>natura desinfectant food grade 5l</v>
      </c>
      <c r="P5608">
        <f>IF(OR(M5608="",N5608=""),"",SUMIFS('Barang Keluar'!$E:$E,'Barang Keluar'!$A:$A,M5608,'Barang Keluar'!$C:$C,N5608))</f>
        <v>0</v>
      </c>
    </row>
    <row r="5609" spans="13:16">
      <c r="M5609" s="49">
        <f>IF($A$4+56&gt;$B$4,"",$A$4+56)</f>
        <v>46079</v>
      </c>
      <c r="N5609" t="str">
        <f>IF(M5609="","",'Master Barang'!A3)</f>
        <v>PRL-002</v>
      </c>
      <c r="O5609" t="str">
        <f>IF(N5609="","",'Master Barang'!B3)</f>
        <v>sunlight cairan pencuci piring 5l</v>
      </c>
      <c r="P5609">
        <f>IF(OR(M5609="",N5609=""),"",SUMIFS('Barang Keluar'!$E:$E,'Barang Keluar'!$A:$A,M5609,'Barang Keluar'!$C:$C,N5609))</f>
        <v>0</v>
      </c>
    </row>
    <row r="5610" spans="13:16">
      <c r="M5610" s="49">
        <f>IF($A$4+56&gt;$B$4,"",$A$4+56)</f>
        <v>46079</v>
      </c>
      <c r="N5610" t="str">
        <f>IF(M5610="","",'Master Barang'!A4)</f>
        <v>PRL-003</v>
      </c>
      <c r="O5610" t="str">
        <f>IF(N5610="","",'Master Barang'!B4)</f>
        <v>oixs cleaner 1l</v>
      </c>
      <c r="P5610">
        <f>IF(OR(M5610="",N5610=""),"",SUMIFS('Barang Keluar'!$E:$E,'Barang Keluar'!$A:$A,M5610,'Barang Keluar'!$C:$C,N5610))</f>
        <v>0</v>
      </c>
    </row>
    <row r="5611" spans="13:16">
      <c r="M5611" s="49">
        <f>IF($A$4+56&gt;$B$4,"",$A$4+56)</f>
        <v>46079</v>
      </c>
      <c r="N5611" t="str">
        <f>IF(M5611="","",'Master Barang'!A5)</f>
        <v>PRL-004</v>
      </c>
      <c r="O5611" t="str">
        <f>IF(N5611="","",'Master Barang'!B5)</f>
        <v>be clean tissue serbaguna</v>
      </c>
      <c r="P5611">
        <f>IF(OR(M5611="",N5611=""),"",SUMIFS('Barang Keluar'!$E:$E,'Barang Keluar'!$A:$A,M5611,'Barang Keluar'!$C:$C,N5611))</f>
        <v>0</v>
      </c>
    </row>
    <row r="5612" spans="13:16">
      <c r="M5612" s="49">
        <f>IF($A$4+56&gt;$B$4,"",$A$4+56)</f>
        <v>46079</v>
      </c>
      <c r="N5612" t="str">
        <f>IF(M5612="","",'Master Barang'!A6)</f>
        <v>PRL-005</v>
      </c>
      <c r="O5612" t="str">
        <f>IF(N5612="","",'Master Barang'!B6)</f>
        <v>spons cuci hijau</v>
      </c>
      <c r="P5612">
        <f>IF(OR(M5612="",N5612=""),"",SUMIFS('Barang Keluar'!$E:$E,'Barang Keluar'!$A:$A,M5612,'Barang Keluar'!$C:$C,N5612))</f>
        <v>0</v>
      </c>
    </row>
    <row r="5613" spans="13:16">
      <c r="M5613" s="49">
        <f>IF($A$4+56&gt;$B$4,"",$A$4+56)</f>
        <v>46079</v>
      </c>
      <c r="N5613" t="str">
        <f>IF(M5613="","",'Master Barang'!A7)</f>
        <v>PRL-006</v>
      </c>
      <c r="O5613" t="str">
        <f>IF(N5613="","",'Master Barang'!B7)</f>
        <v>sabut cuci stainless</v>
      </c>
      <c r="P5613">
        <f>IF(OR(M5613="",N5613=""),"",SUMIFS('Barang Keluar'!$E:$E,'Barang Keluar'!$A:$A,M5613,'Barang Keluar'!$C:$C,N5613))</f>
        <v>0</v>
      </c>
    </row>
    <row r="5614" spans="13:16">
      <c r="M5614" s="49">
        <f>IF($A$4+56&gt;$B$4,"",$A$4+56)</f>
        <v>46079</v>
      </c>
      <c r="N5614" t="str">
        <f>IF(M5614="","",'Master Barang'!A8)</f>
        <v>PRL-007</v>
      </c>
      <c r="O5614" t="str">
        <f>IF(N5614="","",'Master Barang'!B8)</f>
        <v>plastik kresek besar merah 50pc</v>
      </c>
      <c r="P5614">
        <f>IF(OR(M5614="",N5614=""),"",SUMIFS('Barang Keluar'!$E:$E,'Barang Keluar'!$A:$A,M5614,'Barang Keluar'!$C:$C,N5614))</f>
        <v>0</v>
      </c>
    </row>
    <row r="5615" spans="13:16">
      <c r="M5615" s="49">
        <f>IF($A$4+56&gt;$B$4,"",$A$4+56)</f>
        <v>46079</v>
      </c>
      <c r="N5615" t="str">
        <f>IF(M5615="","",'Master Barang'!A9)</f>
        <v>PRL-008</v>
      </c>
      <c r="O5615" t="str">
        <f>IF(N5615="","",'Master Barang'!B9)</f>
        <v>lap besar</v>
      </c>
      <c r="P5615">
        <f>IF(OR(M5615="",N5615=""),"",SUMIFS('Barang Keluar'!$E:$E,'Barang Keluar'!$A:$A,M5615,'Barang Keluar'!$C:$C,N5615))</f>
        <v>0</v>
      </c>
    </row>
    <row r="5616" spans="13:16">
      <c r="M5616" s="49">
        <f>IF($A$4+56&gt;$B$4,"",$A$4+56)</f>
        <v>46079</v>
      </c>
      <c r="N5616" t="str">
        <f>IF(M5616="","",'Master Barang'!A10)</f>
        <v>PRL-009</v>
      </c>
      <c r="O5616" t="str">
        <f>IF(N5616="","",'Master Barang'!B10)</f>
        <v>lap microfiber</v>
      </c>
      <c r="P5616">
        <f>IF(OR(M5616="",N5616=""),"",SUMIFS('Barang Keluar'!$E:$E,'Barang Keluar'!$A:$A,M5616,'Barang Keluar'!$C:$C,N5616))</f>
        <v>0</v>
      </c>
    </row>
    <row r="5617" spans="13:16">
      <c r="M5617" s="49">
        <f>IF($A$4+56&gt;$B$4,"",$A$4+56)</f>
        <v>46079</v>
      </c>
      <c r="N5617" t="str">
        <f>IF(M5617="","",'Master Barang'!A11)</f>
        <v>PRL-010</v>
      </c>
      <c r="O5617" t="str">
        <f>IF(N5617="","",'Master Barang'!B11)</f>
        <v>lap kecil</v>
      </c>
      <c r="P5617">
        <f>IF(OR(M5617="",N5617=""),"",SUMIFS('Barang Keluar'!$E:$E,'Barang Keluar'!$A:$A,M5617,'Barang Keluar'!$C:$C,N5617))</f>
        <v>0</v>
      </c>
    </row>
    <row r="5618" spans="13:16">
      <c r="M5618" s="49">
        <f>IF($A$4+56&gt;$B$4,"",$A$4+56)</f>
        <v>46079</v>
      </c>
      <c r="N5618" t="str">
        <f>IF(M5618="","",'Master Barang'!A12)</f>
        <v>PRL-011</v>
      </c>
      <c r="O5618" t="str">
        <f>IF(N5618="","",'Master Barang'!B12)</f>
        <v>kanebo kecil</v>
      </c>
      <c r="P5618">
        <f>IF(OR(M5618="",N5618=""),"",SUMIFS('Barang Keluar'!$E:$E,'Barang Keluar'!$A:$A,M5618,'Barang Keluar'!$C:$C,N5618))</f>
        <v>0</v>
      </c>
    </row>
    <row r="5619" spans="13:16">
      <c r="M5619" s="49">
        <f>IF($A$4+56&gt;$B$4,"",$A$4+56)</f>
        <v>46079</v>
      </c>
      <c r="N5619" t="str">
        <f>IF(M5619="","",'Master Barang'!A13)</f>
        <v>PRL-012</v>
      </c>
      <c r="O5619" t="str">
        <f>IF(N5619="","",'Master Barang'!B13)</f>
        <v>plastik 1/4kg joyoboyo 100 lembar</v>
      </c>
      <c r="P5619">
        <f>IF(OR(M5619="",N5619=""),"",SUMIFS('Barang Keluar'!$E:$E,'Barang Keluar'!$A:$A,M5619,'Barang Keluar'!$C:$C,N5619))</f>
        <v>0</v>
      </c>
    </row>
    <row r="5620" spans="13:16">
      <c r="M5620" s="49">
        <f>IF($A$4+56&gt;$B$4,"",$A$4+56)</f>
        <v>46079</v>
      </c>
      <c r="N5620" t="str">
        <f>IF(M5620="","",'Master Barang'!A14)</f>
        <v>PRL-013</v>
      </c>
      <c r="O5620" t="str">
        <f>IF(N5620="","",'Master Barang'!B14)</f>
        <v>sarung tangan plastik kaka 100 pcs</v>
      </c>
      <c r="P5620">
        <f>IF(OR(M5620="",N5620=""),"",SUMIFS('Barang Keluar'!$E:$E,'Barang Keluar'!$A:$A,M5620,'Barang Keluar'!$C:$C,N5620))</f>
        <v>0</v>
      </c>
    </row>
    <row r="5621" spans="13:16">
      <c r="M5621" s="49">
        <f>IF($A$4+56&gt;$B$4,"",$A$4+56)</f>
        <v>46079</v>
      </c>
      <c r="N5621" t="str">
        <f>IF(M5621="","",'Master Barang'!A15)</f>
        <v>PRL-014</v>
      </c>
      <c r="O5621" t="str">
        <f>IF(N5621="","",'Master Barang'!B15)</f>
        <v>optima trashbag 80x100</v>
      </c>
      <c r="P5621">
        <f>IF(OR(M5621="",N5621=""),"",SUMIFS('Barang Keluar'!$E:$E,'Barang Keluar'!$A:$A,M5621,'Barang Keluar'!$C:$C,N5621))</f>
        <v>0</v>
      </c>
    </row>
    <row r="5622" spans="13:16">
      <c r="M5622" s="49">
        <f>IF($A$4+56&gt;$B$4,"",$A$4+56)</f>
        <v>46079</v>
      </c>
      <c r="N5622" t="str">
        <f>IF(M5622="","",'Master Barang'!A16)</f>
        <v>PRL-015</v>
      </c>
      <c r="O5622" t="str">
        <f>IF(N5622="","",'Master Barang'!B16)</f>
        <v>optima trashbag 60x100</v>
      </c>
      <c r="P5622">
        <f>IF(OR(M5622="",N5622=""),"",SUMIFS('Barang Keluar'!$E:$E,'Barang Keluar'!$A:$A,M5622,'Barang Keluar'!$C:$C,N5622))</f>
        <v>0</v>
      </c>
    </row>
    <row r="5623" spans="13:16">
      <c r="M5623" s="49">
        <f>IF($A$4+56&gt;$B$4,"",$A$4+56)</f>
        <v>46079</v>
      </c>
      <c r="N5623" t="str">
        <f>IF(M5623="","",'Master Barang'!A17)</f>
        <v>PRL-016</v>
      </c>
      <c r="O5623" t="str">
        <f>IF(N5623="","",'Master Barang'!B17)</f>
        <v>rajawali trashbag 30x40</v>
      </c>
      <c r="P5623">
        <f>IF(OR(M5623="",N5623=""),"",SUMIFS('Barang Keluar'!$E:$E,'Barang Keluar'!$A:$A,M5623,'Barang Keluar'!$C:$C,N5623))</f>
        <v>0</v>
      </c>
    </row>
    <row r="5624" spans="13:16">
      <c r="M5624" s="49">
        <f>IF($A$4+56&gt;$B$4,"",$A$4+56)</f>
        <v>46079</v>
      </c>
      <c r="N5624" t="str">
        <f>IF(M5624="","",'Master Barang'!A18)</f>
        <v>PRL-017</v>
      </c>
      <c r="O5624" t="str">
        <f>IF(N5624="","",'Master Barang'!B18)</f>
        <v>onemed masker biru 3 play 50 pcs</v>
      </c>
      <c r="P5624">
        <f>IF(OR(M5624="",N5624=""),"",SUMIFS('Barang Keluar'!$E:$E,'Barang Keluar'!$A:$A,M5624,'Barang Keluar'!$C:$C,N5624))</f>
        <v>0</v>
      </c>
    </row>
    <row r="5625" spans="13:16">
      <c r="M5625" s="49">
        <f>IF($A$4+56&gt;$B$4,"",$A$4+56)</f>
        <v>46079</v>
      </c>
      <c r="N5625" t="str">
        <f>IF(M5625="","",'Master Barang'!A19)</f>
        <v>PRL-018</v>
      </c>
      <c r="O5625" t="str">
        <f>IF(N5625="","",'Master Barang'!B19)</f>
        <v>onemed masker biru 3 play hijab 50 pcs</v>
      </c>
      <c r="P5625">
        <f>IF(OR(M5625="",N5625=""),"",SUMIFS('Barang Keluar'!$E:$E,'Barang Keluar'!$A:$A,M5625,'Barang Keluar'!$C:$C,N5625))</f>
        <v>0</v>
      </c>
    </row>
    <row r="5626" spans="13:16">
      <c r="M5626" s="49">
        <f>IF($A$4+56&gt;$B$4,"",$A$4+56)</f>
        <v>46079</v>
      </c>
      <c r="N5626" t="str">
        <f>IF(M5626="","",'Master Barang'!A20)</f>
        <v>PRL-019</v>
      </c>
      <c r="O5626" t="str">
        <f>IF(N5626="","",'Master Barang'!B20)</f>
        <v>neo health masker biru 3 play 50 pcs</v>
      </c>
      <c r="P5626">
        <f>IF(OR(M5626="",N5626=""),"",SUMIFS('Barang Keluar'!$E:$E,'Barang Keluar'!$A:$A,M5626,'Barang Keluar'!$C:$C,N5626))</f>
        <v>0</v>
      </c>
    </row>
    <row r="5627" spans="13:16">
      <c r="M5627" s="49">
        <f>IF($A$4+56&gt;$B$4,"",$A$4+56)</f>
        <v>46079</v>
      </c>
      <c r="N5627" t="str">
        <f>IF(M5627="","",'Master Barang'!A21)</f>
        <v>PRL-020</v>
      </c>
      <c r="O5627" t="str">
        <f>IF(N5627="","",'Master Barang'!B21)</f>
        <v>baymed masker hijau 3 play hijau 50 pcs</v>
      </c>
      <c r="P5627">
        <f>IF(OR(M5627="",N5627=""),"",SUMIFS('Barang Keluar'!$E:$E,'Barang Keluar'!$A:$A,M5627,'Barang Keluar'!$C:$C,N5627))</f>
        <v>0</v>
      </c>
    </row>
    <row r="5628" spans="13:16">
      <c r="M5628" s="49">
        <f>IF($A$4+56&gt;$B$4,"",$A$4+56)</f>
        <v>46079</v>
      </c>
      <c r="N5628" t="str">
        <f>IF(M5628="","",'Master Barang'!A22)</f>
        <v>PRL-021</v>
      </c>
      <c r="O5628" t="str">
        <f>IF(N5628="","",'Master Barang'!B22)</f>
        <v>altamed nurse cap penutup kepala 100 pcs</v>
      </c>
      <c r="P5628">
        <f>IF(OR(M5628="",N5628=""),"",SUMIFS('Barang Keluar'!$E:$E,'Barang Keluar'!$A:$A,M5628,'Barang Keluar'!$C:$C,N5628))</f>
        <v>0</v>
      </c>
    </row>
    <row r="5629" spans="13:16">
      <c r="M5629" s="49">
        <f>IF($A$4+56&gt;$B$4,"",$A$4+56)</f>
        <v>46079</v>
      </c>
      <c r="N5629" t="str">
        <f>IF(M5629="","",'Master Barang'!A23)</f>
        <v>PRL-022</v>
      </c>
      <c r="O5629" t="str">
        <f>IF(N5629="","",'Master Barang'!B23)</f>
        <v>sabun cuci tangan</v>
      </c>
      <c r="P5629">
        <f>IF(OR(M5629="",N5629=""),"",SUMIFS('Barang Keluar'!$E:$E,'Barang Keluar'!$A:$A,M5629,'Barang Keluar'!$C:$C,N5629))</f>
        <v>0</v>
      </c>
    </row>
    <row r="5630" spans="13:16">
      <c r="M5630" s="49">
        <f>IF($A$4+56&gt;$B$4,"",$A$4+56)</f>
        <v>46079</v>
      </c>
      <c r="N5630" t="str">
        <f>IF(M5630="","",'Master Barang'!A24)</f>
        <v>PRL-023</v>
      </c>
      <c r="O5630" t="str">
        <f>IF(N5630="","",'Master Barang'!B24)</f>
        <v>gayung kecil</v>
      </c>
      <c r="P5630">
        <f>IF(OR(M5630="",N5630=""),"",SUMIFS('Barang Keluar'!$E:$E,'Barang Keluar'!$A:$A,M5630,'Barang Keluar'!$C:$C,N5630))</f>
        <v>0</v>
      </c>
    </row>
    <row r="5631" spans="13:16">
      <c r="M5631" s="49">
        <f>IF($A$4+56&gt;$B$4,"",$A$4+56)</f>
        <v>46079</v>
      </c>
      <c r="N5631" t="str">
        <f>IF(M5631="","",'Master Barang'!A25)</f>
        <v>PRL-024</v>
      </c>
      <c r="O5631" t="str">
        <f>IF(N5631="","",'Master Barang'!B25)</f>
        <v>cikrak kecil</v>
      </c>
      <c r="P5631">
        <f>IF(OR(M5631="",N5631=""),"",SUMIFS('Barang Keluar'!$E:$E,'Barang Keluar'!$A:$A,M5631,'Barang Keluar'!$C:$C,N5631))</f>
        <v>0</v>
      </c>
    </row>
    <row r="5632" spans="13:16">
      <c r="M5632" s="49">
        <f>IF($A$4+56&gt;$B$4,"",$A$4+56)</f>
        <v>46079</v>
      </c>
      <c r="N5632" t="str">
        <f>IF(M5632="","",'Master Barang'!A26)</f>
        <v>PRL-025</v>
      </c>
      <c r="O5632" t="str">
        <f>IF(N5632="","",'Master Barang'!B26)</f>
        <v>petromax plastik kecil 12x24 100 lembar</v>
      </c>
      <c r="P5632">
        <f>IF(OR(M5632="",N5632=""),"",SUMIFS('Barang Keluar'!$E:$E,'Barang Keluar'!$A:$A,M5632,'Barang Keluar'!$C:$C,N5632))</f>
        <v>0</v>
      </c>
    </row>
    <row r="5633" spans="13:16">
      <c r="M5633" s="49">
        <f>IF($A$4+56&gt;$B$4,"",$A$4+56)</f>
        <v>46079</v>
      </c>
      <c r="N5633" t="str">
        <f>IF(M5633="","",'Master Barang'!A27)</f>
        <v>PRL-026</v>
      </c>
      <c r="O5633" t="str">
        <f>IF(N5633="","",'Master Barang'!B27)</f>
        <v>lancar kresek kecil bening </v>
      </c>
      <c r="P5633">
        <f>IF(OR(M5633="",N5633=""),"",SUMIFS('Barang Keluar'!$E:$E,'Barang Keluar'!$A:$A,M5633,'Barang Keluar'!$C:$C,N5633))</f>
        <v>0</v>
      </c>
    </row>
    <row r="5634" spans="13:16">
      <c r="M5634" s="49">
        <f>IF($A$4+56&gt;$B$4,"",$A$4+56)</f>
        <v>46079</v>
      </c>
      <c r="N5634" t="str">
        <f>IF(M5634="","",'Master Barang'!A28)</f>
        <v>PRL-027</v>
      </c>
      <c r="O5634" t="str">
        <f>IF(N5634="","",'Master Barang'!B28)</f>
        <v>kresek klin warna warni kecil</v>
      </c>
      <c r="P5634">
        <f>IF(OR(M5634="",N5634=""),"",SUMIFS('Barang Keluar'!$E:$E,'Barang Keluar'!$A:$A,M5634,'Barang Keluar'!$C:$C,N5634))</f>
        <v>0</v>
      </c>
    </row>
    <row r="5635" spans="13:16">
      <c r="M5635" s="49">
        <f>IF($A$4+56&gt;$B$4,"",$A$4+56)</f>
        <v>46079</v>
      </c>
      <c r="N5635" t="str">
        <f>IF(M5635="","",'Master Barang'!A29)</f>
        <v>PRL-028</v>
      </c>
      <c r="O5635" t="str">
        <f>IF(N5635="","",'Master Barang'!B29)</f>
        <v>ctik plastik 7x10 100 pcs</v>
      </c>
      <c r="P5635">
        <f>IF(OR(M5635="",N5635=""),"",SUMIFS('Barang Keluar'!$E:$E,'Barang Keluar'!$A:$A,M5635,'Barang Keluar'!$C:$C,N5635))</f>
        <v>0</v>
      </c>
    </row>
    <row r="5636" spans="13:16">
      <c r="M5636" s="49">
        <f>IF($A$4+56&gt;$B$4,"",$A$4+56)</f>
        <v>46079</v>
      </c>
      <c r="N5636" t="str">
        <f>IF(M5636="","",'Master Barang'!A30)</f>
        <v>PRL-029</v>
      </c>
      <c r="O5636" t="str">
        <f>IF(N5636="","",'Master Barang'!B30)</f>
        <v>ctik plastik 6x10 100 pcs</v>
      </c>
      <c r="P5636">
        <f>IF(OR(M5636="",N5636=""),"",SUMIFS('Barang Keluar'!$E:$E,'Barang Keluar'!$A:$A,M5636,'Barang Keluar'!$C:$C,N5636))</f>
        <v>0</v>
      </c>
    </row>
    <row r="5637" spans="13:16">
      <c r="M5637" s="49">
        <f>IF($A$4+56&gt;$B$4,"",$A$4+56)</f>
        <v>46079</v>
      </c>
      <c r="N5637" t="str">
        <f>IF(M5637="","",'Master Barang'!A31)</f>
        <v>PRL-030</v>
      </c>
      <c r="O5637" t="str">
        <f>IF(N5637="","",'Master Barang'!B31)</f>
        <v>klip plastik 25x16 100 pcs</v>
      </c>
      <c r="P5637">
        <f>IF(OR(M5637="",N5637=""),"",SUMIFS('Barang Keluar'!$E:$E,'Barang Keluar'!$A:$A,M5637,'Barang Keluar'!$C:$C,N5637))</f>
        <v>0</v>
      </c>
    </row>
    <row r="5638" spans="13:16">
      <c r="M5638" s="49">
        <f>IF($A$4+56&gt;$B$4,"",$A$4+56)</f>
        <v>46079</v>
      </c>
      <c r="N5638" t="str">
        <f>IF(M5638="","",'Master Barang'!A32)</f>
        <v>PRL-031</v>
      </c>
      <c r="O5638" t="str">
        <f>IF(N5638="","",'Master Barang'!B32)</f>
        <v>tempat saus 20 ml</v>
      </c>
      <c r="P5638">
        <f>IF(OR(M5638="",N5638=""),"",SUMIFS('Barang Keluar'!$E:$E,'Barang Keluar'!$A:$A,M5638,'Barang Keluar'!$C:$C,N5638))</f>
        <v>0</v>
      </c>
    </row>
    <row r="5639" spans="13:16">
      <c r="M5639" s="49">
        <f>IF($A$4+56&gt;$B$4,"",$A$4+56)</f>
        <v>46079</v>
      </c>
      <c r="N5639" t="str">
        <f>IF(M5639="","",'Master Barang'!A33)</f>
        <v>PRL-032</v>
      </c>
      <c r="O5639" t="str">
        <f>IF(N5639="","",'Master Barang'!B33)</f>
        <v>plastik packaging ag box uk sedang</v>
      </c>
      <c r="P5639">
        <f>IF(OR(M5639="",N5639=""),"",SUMIFS('Barang Keluar'!$E:$E,'Barang Keluar'!$A:$A,M5639,'Barang Keluar'!$C:$C,N5639))</f>
        <v>0</v>
      </c>
    </row>
    <row r="5640" spans="13:16">
      <c r="M5640" s="49">
        <f>IF($A$4+56&gt;$B$4,"",$A$4+56)</f>
        <v>46079</v>
      </c>
      <c r="N5640" t="str">
        <f>IF(M5640="","",'Master Barang'!A34)</f>
        <v>PRL-033</v>
      </c>
      <c r="O5640">
        <f>IF(N5640="","",'Master Barang'!B34)</f>
        <v>0</v>
      </c>
      <c r="P5640">
        <f>IF(OR(M5640="",N5640=""),"",SUMIFS('Barang Keluar'!$E:$E,'Barang Keluar'!$A:$A,M5640,'Barang Keluar'!$C:$C,N5640))</f>
        <v>0</v>
      </c>
    </row>
    <row r="5641" spans="13:16">
      <c r="M5641" s="49">
        <f>IF($A$4+56&gt;$B$4,"",$A$4+56)</f>
        <v>46079</v>
      </c>
      <c r="N5641">
        <f>IF(M5641="","",'Master Barang'!A35)</f>
        <v>0</v>
      </c>
      <c r="O5641">
        <f>IF(N5641="","",'Master Barang'!B35)</f>
        <v>0</v>
      </c>
      <c r="P5641">
        <f>IF(OR(M5641="",N5641=""),"",SUMIFS('Barang Keluar'!$E:$E,'Barang Keluar'!$A:$A,M5641,'Barang Keluar'!$C:$C,N5641))</f>
        <v>0</v>
      </c>
    </row>
    <row r="5642" spans="13:16">
      <c r="M5642" s="49">
        <f>IF($A$4+56&gt;$B$4,"",$A$4+56)</f>
        <v>46079</v>
      </c>
      <c r="N5642">
        <f>IF(M5642="","",'Master Barang'!A36)</f>
        <v>0</v>
      </c>
      <c r="O5642">
        <f>IF(N5642="","",'Master Barang'!B36)</f>
        <v>0</v>
      </c>
      <c r="P5642">
        <f>IF(OR(M5642="",N5642=""),"",SUMIFS('Barang Keluar'!$E:$E,'Barang Keluar'!$A:$A,M5642,'Barang Keluar'!$C:$C,N5642))</f>
        <v>0</v>
      </c>
    </row>
    <row r="5643" spans="13:16">
      <c r="M5643" s="49">
        <f>IF($A$4+56&gt;$B$4,"",$A$4+56)</f>
        <v>46079</v>
      </c>
      <c r="N5643">
        <f>IF(M5643="","",'Master Barang'!A37)</f>
        <v>0</v>
      </c>
      <c r="O5643">
        <f>IF(N5643="","",'Master Barang'!B37)</f>
        <v>0</v>
      </c>
      <c r="P5643">
        <f>IF(OR(M5643="",N5643=""),"",SUMIFS('Barang Keluar'!$E:$E,'Barang Keluar'!$A:$A,M5643,'Barang Keluar'!$C:$C,N5643))</f>
        <v>0</v>
      </c>
    </row>
    <row r="5644" spans="13:16">
      <c r="M5644" s="49">
        <f>IF($A$4+56&gt;$B$4,"",$A$4+56)</f>
        <v>46079</v>
      </c>
      <c r="N5644">
        <f>IF(M5644="","",'Master Barang'!A38)</f>
        <v>0</v>
      </c>
      <c r="O5644">
        <f>IF(N5644="","",'Master Barang'!B38)</f>
        <v>0</v>
      </c>
      <c r="P5644">
        <f>IF(OR(M5644="",N5644=""),"",SUMIFS('Barang Keluar'!$E:$E,'Barang Keluar'!$A:$A,M5644,'Barang Keluar'!$C:$C,N5644))</f>
        <v>0</v>
      </c>
    </row>
    <row r="5645" spans="13:16">
      <c r="M5645" s="49">
        <f>IF($A$4+56&gt;$B$4,"",$A$4+56)</f>
        <v>46079</v>
      </c>
      <c r="N5645">
        <f>IF(M5645="","",'Master Barang'!A39)</f>
        <v>0</v>
      </c>
      <c r="O5645">
        <f>IF(N5645="","",'Master Barang'!B39)</f>
        <v>0</v>
      </c>
      <c r="P5645">
        <f>IF(OR(M5645="",N5645=""),"",SUMIFS('Barang Keluar'!$E:$E,'Barang Keluar'!$A:$A,M5645,'Barang Keluar'!$C:$C,N5645))</f>
        <v>0</v>
      </c>
    </row>
    <row r="5646" spans="13:16">
      <c r="M5646" s="49">
        <f>IF($A$4+56&gt;$B$4,"",$A$4+56)</f>
        <v>46079</v>
      </c>
      <c r="N5646">
        <f>IF(M5646="","",'Master Barang'!A40)</f>
        <v>0</v>
      </c>
      <c r="O5646">
        <f>IF(N5646="","",'Master Barang'!B40)</f>
        <v>0</v>
      </c>
      <c r="P5646">
        <f>IF(OR(M5646="",N5646=""),"",SUMIFS('Barang Keluar'!$E:$E,'Barang Keluar'!$A:$A,M5646,'Barang Keluar'!$C:$C,N5646))</f>
        <v>0</v>
      </c>
    </row>
    <row r="5647" spans="13:16">
      <c r="M5647" s="49">
        <f>IF($A$4+56&gt;$B$4,"",$A$4+56)</f>
        <v>46079</v>
      </c>
      <c r="N5647">
        <f>IF(M5647="","",'Master Barang'!A41)</f>
        <v>0</v>
      </c>
      <c r="O5647">
        <f>IF(N5647="","",'Master Barang'!B41)</f>
        <v>0</v>
      </c>
      <c r="P5647">
        <f>IF(OR(M5647="",N5647=""),"",SUMIFS('Barang Keluar'!$E:$E,'Barang Keluar'!$A:$A,M5647,'Barang Keluar'!$C:$C,N5647))</f>
        <v>0</v>
      </c>
    </row>
    <row r="5648" spans="13:16">
      <c r="M5648" s="49">
        <f>IF($A$4+56&gt;$B$4,"",$A$4+56)</f>
        <v>46079</v>
      </c>
      <c r="N5648">
        <f>IF(M5648="","",'Master Barang'!A42)</f>
        <v>0</v>
      </c>
      <c r="O5648">
        <f>IF(N5648="","",'Master Barang'!B42)</f>
        <v>0</v>
      </c>
      <c r="P5648">
        <f>IF(OR(M5648="",N5648=""),"",SUMIFS('Barang Keluar'!$E:$E,'Barang Keluar'!$A:$A,M5648,'Barang Keluar'!$C:$C,N5648))</f>
        <v>0</v>
      </c>
    </row>
    <row r="5649" spans="13:16">
      <c r="M5649" s="49">
        <f>IF($A$4+56&gt;$B$4,"",$A$4+56)</f>
        <v>46079</v>
      </c>
      <c r="N5649">
        <f>IF(M5649="","",'Master Barang'!A43)</f>
        <v>0</v>
      </c>
      <c r="O5649">
        <f>IF(N5649="","",'Master Barang'!B43)</f>
        <v>0</v>
      </c>
      <c r="P5649">
        <f>IF(OR(M5649="",N5649=""),"",SUMIFS('Barang Keluar'!$E:$E,'Barang Keluar'!$A:$A,M5649,'Barang Keluar'!$C:$C,N5649))</f>
        <v>0</v>
      </c>
    </row>
    <row r="5650" spans="13:16">
      <c r="M5650" s="49">
        <f>IF($A$4+56&gt;$B$4,"",$A$4+56)</f>
        <v>46079</v>
      </c>
      <c r="N5650">
        <f>IF(M5650="","",'Master Barang'!A44)</f>
        <v>0</v>
      </c>
      <c r="O5650">
        <f>IF(N5650="","",'Master Barang'!B44)</f>
        <v>0</v>
      </c>
      <c r="P5650">
        <f>IF(OR(M5650="",N5650=""),"",SUMIFS('Barang Keluar'!$E:$E,'Barang Keluar'!$A:$A,M5650,'Barang Keluar'!$C:$C,N5650))</f>
        <v>0</v>
      </c>
    </row>
    <row r="5651" spans="13:16">
      <c r="M5651" s="49">
        <f>IF($A$4+56&gt;$B$4,"",$A$4+56)</f>
        <v>46079</v>
      </c>
      <c r="N5651">
        <f>IF(M5651="","",'Master Barang'!A45)</f>
        <v>0</v>
      </c>
      <c r="O5651">
        <f>IF(N5651="","",'Master Barang'!B45)</f>
        <v>0</v>
      </c>
      <c r="P5651">
        <f>IF(OR(M5651="",N5651=""),"",SUMIFS('Barang Keluar'!$E:$E,'Barang Keluar'!$A:$A,M5651,'Barang Keluar'!$C:$C,N5651))</f>
        <v>0</v>
      </c>
    </row>
    <row r="5652" spans="13:16">
      <c r="M5652" s="49">
        <f>IF($A$4+56&gt;$B$4,"",$A$4+56)</f>
        <v>46079</v>
      </c>
      <c r="N5652">
        <f>IF(M5652="","",'Master Barang'!A46)</f>
        <v>0</v>
      </c>
      <c r="O5652">
        <f>IF(N5652="","",'Master Barang'!B46)</f>
        <v>0</v>
      </c>
      <c r="P5652">
        <f>IF(OR(M5652="",N5652=""),"",SUMIFS('Barang Keluar'!$E:$E,'Barang Keluar'!$A:$A,M5652,'Barang Keluar'!$C:$C,N5652))</f>
        <v>0</v>
      </c>
    </row>
    <row r="5653" spans="13:16">
      <c r="M5653" s="49">
        <f>IF($A$4+56&gt;$B$4,"",$A$4+56)</f>
        <v>46079</v>
      </c>
      <c r="N5653">
        <f>IF(M5653="","",'Master Barang'!A47)</f>
        <v>0</v>
      </c>
      <c r="O5653">
        <f>IF(N5653="","",'Master Barang'!B47)</f>
        <v>0</v>
      </c>
      <c r="P5653">
        <f>IF(OR(M5653="",N5653=""),"",SUMIFS('Barang Keluar'!$E:$E,'Barang Keluar'!$A:$A,M5653,'Barang Keluar'!$C:$C,N5653))</f>
        <v>0</v>
      </c>
    </row>
    <row r="5654" spans="13:16">
      <c r="M5654" s="49">
        <f>IF($A$4+56&gt;$B$4,"",$A$4+56)</f>
        <v>46079</v>
      </c>
      <c r="N5654">
        <f>IF(M5654="","",'Master Barang'!A48)</f>
        <v>0</v>
      </c>
      <c r="O5654">
        <f>IF(N5654="","",'Master Barang'!B48)</f>
        <v>0</v>
      </c>
      <c r="P5654">
        <f>IF(OR(M5654="",N5654=""),"",SUMIFS('Barang Keluar'!$E:$E,'Barang Keluar'!$A:$A,M5654,'Barang Keluar'!$C:$C,N5654))</f>
        <v>0</v>
      </c>
    </row>
    <row r="5655" spans="13:16">
      <c r="M5655" s="49">
        <f>IF($A$4+56&gt;$B$4,"",$A$4+56)</f>
        <v>46079</v>
      </c>
      <c r="N5655">
        <f>IF(M5655="","",'Master Barang'!A49)</f>
        <v>0</v>
      </c>
      <c r="O5655">
        <f>IF(N5655="","",'Master Barang'!B49)</f>
        <v>0</v>
      </c>
      <c r="P5655">
        <f>IF(OR(M5655="",N5655=""),"",SUMIFS('Barang Keluar'!$E:$E,'Barang Keluar'!$A:$A,M5655,'Barang Keluar'!$C:$C,N5655))</f>
        <v>0</v>
      </c>
    </row>
    <row r="5656" spans="13:16">
      <c r="M5656" s="49">
        <f>IF($A$4+56&gt;$B$4,"",$A$4+56)</f>
        <v>46079</v>
      </c>
      <c r="N5656">
        <f>IF(M5656="","",'Master Barang'!A50)</f>
        <v>0</v>
      </c>
      <c r="O5656">
        <f>IF(N5656="","",'Master Barang'!B50)</f>
        <v>0</v>
      </c>
      <c r="P5656">
        <f>IF(OR(M5656="",N5656=""),"",SUMIFS('Barang Keluar'!$E:$E,'Barang Keluar'!$A:$A,M5656,'Barang Keluar'!$C:$C,N5656))</f>
        <v>0</v>
      </c>
    </row>
    <row r="5657" spans="13:16">
      <c r="M5657" s="49">
        <f>IF($A$4+56&gt;$B$4,"",$A$4+56)</f>
        <v>46079</v>
      </c>
      <c r="N5657">
        <f>IF(M5657="","",'Master Barang'!A51)</f>
        <v>0</v>
      </c>
      <c r="O5657">
        <f>IF(N5657="","",'Master Barang'!B51)</f>
        <v>0</v>
      </c>
      <c r="P5657">
        <f>IF(OR(M5657="",N5657=""),"",SUMIFS('Barang Keluar'!$E:$E,'Barang Keluar'!$A:$A,M5657,'Barang Keluar'!$C:$C,N5657))</f>
        <v>0</v>
      </c>
    </row>
    <row r="5658" spans="13:16">
      <c r="M5658" s="49">
        <f>IF($A$4+56&gt;$B$4,"",$A$4+56)</f>
        <v>46079</v>
      </c>
      <c r="N5658">
        <f>IF(M5658="","",'Master Barang'!A52)</f>
        <v>0</v>
      </c>
      <c r="O5658">
        <f>IF(N5658="","",'Master Barang'!B52)</f>
        <v>0</v>
      </c>
      <c r="P5658">
        <f>IF(OR(M5658="",N5658=""),"",SUMIFS('Barang Keluar'!$E:$E,'Barang Keluar'!$A:$A,M5658,'Barang Keluar'!$C:$C,N5658))</f>
        <v>0</v>
      </c>
    </row>
    <row r="5659" spans="13:16">
      <c r="M5659" s="49">
        <f>IF($A$4+56&gt;$B$4,"",$A$4+56)</f>
        <v>46079</v>
      </c>
      <c r="N5659">
        <f>IF(M5659="","",'Master Barang'!A53)</f>
        <v>0</v>
      </c>
      <c r="O5659">
        <f>IF(N5659="","",'Master Barang'!B53)</f>
        <v>0</v>
      </c>
      <c r="P5659">
        <f>IF(OR(M5659="",N5659=""),"",SUMIFS('Barang Keluar'!$E:$E,'Barang Keluar'!$A:$A,M5659,'Barang Keluar'!$C:$C,N5659))</f>
        <v>0</v>
      </c>
    </row>
    <row r="5660" spans="13:16">
      <c r="M5660" s="49">
        <f>IF($A$4+56&gt;$B$4,"",$A$4+56)</f>
        <v>46079</v>
      </c>
      <c r="N5660">
        <f>IF(M5660="","",'Master Barang'!A54)</f>
        <v>0</v>
      </c>
      <c r="O5660">
        <f>IF(N5660="","",'Master Barang'!B54)</f>
        <v>0</v>
      </c>
      <c r="P5660">
        <f>IF(OR(M5660="",N5660=""),"",SUMIFS('Barang Keluar'!$E:$E,'Barang Keluar'!$A:$A,M5660,'Barang Keluar'!$C:$C,N5660))</f>
        <v>0</v>
      </c>
    </row>
    <row r="5661" spans="13:16">
      <c r="M5661" s="49">
        <f>IF($A$4+56&gt;$B$4,"",$A$4+56)</f>
        <v>46079</v>
      </c>
      <c r="N5661">
        <f>IF(M5661="","",'Master Barang'!A55)</f>
        <v>0</v>
      </c>
      <c r="O5661">
        <f>IF(N5661="","",'Master Barang'!B55)</f>
        <v>0</v>
      </c>
      <c r="P5661">
        <f>IF(OR(M5661="",N5661=""),"",SUMIFS('Barang Keluar'!$E:$E,'Barang Keluar'!$A:$A,M5661,'Barang Keluar'!$C:$C,N5661))</f>
        <v>0</v>
      </c>
    </row>
    <row r="5662" spans="13:16">
      <c r="M5662" s="49">
        <f>IF($A$4+56&gt;$B$4,"",$A$4+56)</f>
        <v>46079</v>
      </c>
      <c r="N5662">
        <f>IF(M5662="","",'Master Barang'!A56)</f>
        <v>0</v>
      </c>
      <c r="O5662">
        <f>IF(N5662="","",'Master Barang'!B56)</f>
        <v>0</v>
      </c>
      <c r="P5662">
        <f>IF(OR(M5662="",N5662=""),"",SUMIFS('Barang Keluar'!$E:$E,'Barang Keluar'!$A:$A,M5662,'Barang Keluar'!$C:$C,N5662))</f>
        <v>0</v>
      </c>
    </row>
    <row r="5663" spans="13:16">
      <c r="M5663" s="49">
        <f>IF($A$4+56&gt;$B$4,"",$A$4+56)</f>
        <v>46079</v>
      </c>
      <c r="N5663">
        <f>IF(M5663="","",'Master Barang'!A57)</f>
        <v>0</v>
      </c>
      <c r="O5663">
        <f>IF(N5663="","",'Master Barang'!B57)</f>
        <v>0</v>
      </c>
      <c r="P5663">
        <f>IF(OR(M5663="",N5663=""),"",SUMIFS('Barang Keluar'!$E:$E,'Barang Keluar'!$A:$A,M5663,'Barang Keluar'!$C:$C,N5663))</f>
        <v>0</v>
      </c>
    </row>
    <row r="5664" spans="13:16">
      <c r="M5664" s="49">
        <f>IF($A$4+56&gt;$B$4,"",$A$4+56)</f>
        <v>46079</v>
      </c>
      <c r="N5664">
        <f>IF(M5664="","",'Master Barang'!A58)</f>
        <v>0</v>
      </c>
      <c r="O5664">
        <f>IF(N5664="","",'Master Barang'!B58)</f>
        <v>0</v>
      </c>
      <c r="P5664">
        <f>IF(OR(M5664="",N5664=""),"",SUMIFS('Barang Keluar'!$E:$E,'Barang Keluar'!$A:$A,M5664,'Barang Keluar'!$C:$C,N5664))</f>
        <v>0</v>
      </c>
    </row>
    <row r="5665" spans="13:16">
      <c r="M5665" s="49">
        <f>IF($A$4+56&gt;$B$4,"",$A$4+56)</f>
        <v>46079</v>
      </c>
      <c r="N5665">
        <f>IF(M5665="","",'Master Barang'!A59)</f>
        <v>0</v>
      </c>
      <c r="O5665">
        <f>IF(N5665="","",'Master Barang'!B59)</f>
        <v>0</v>
      </c>
      <c r="P5665">
        <f>IF(OR(M5665="",N5665=""),"",SUMIFS('Barang Keluar'!$E:$E,'Barang Keluar'!$A:$A,M5665,'Barang Keluar'!$C:$C,N5665))</f>
        <v>0</v>
      </c>
    </row>
    <row r="5666" spans="13:16">
      <c r="M5666" s="49">
        <f>IF($A$4+56&gt;$B$4,"",$A$4+56)</f>
        <v>46079</v>
      </c>
      <c r="N5666">
        <f>IF(M5666="","",'Master Barang'!A60)</f>
        <v>0</v>
      </c>
      <c r="O5666">
        <f>IF(N5666="","",'Master Barang'!B60)</f>
        <v>0</v>
      </c>
      <c r="P5666">
        <f>IF(OR(M5666="",N5666=""),"",SUMIFS('Barang Keluar'!$E:$E,'Barang Keluar'!$A:$A,M5666,'Barang Keluar'!$C:$C,N5666))</f>
        <v>0</v>
      </c>
    </row>
    <row r="5667" spans="13:16">
      <c r="M5667" s="49">
        <f>IF($A$4+56&gt;$B$4,"",$A$4+56)</f>
        <v>46079</v>
      </c>
      <c r="N5667">
        <f>IF(M5667="","",'Master Barang'!A61)</f>
        <v>0</v>
      </c>
      <c r="O5667">
        <f>IF(N5667="","",'Master Barang'!B61)</f>
        <v>0</v>
      </c>
      <c r="P5667">
        <f>IF(OR(M5667="",N5667=""),"",SUMIFS('Barang Keluar'!$E:$E,'Barang Keluar'!$A:$A,M5667,'Barang Keluar'!$C:$C,N5667))</f>
        <v>0</v>
      </c>
    </row>
    <row r="5668" spans="13:16">
      <c r="M5668" s="49">
        <f>IF($A$4+56&gt;$B$4,"",$A$4+56)</f>
        <v>46079</v>
      </c>
      <c r="N5668">
        <f>IF(M5668="","",'Master Barang'!A62)</f>
        <v>0</v>
      </c>
      <c r="O5668">
        <f>IF(N5668="","",'Master Barang'!B62)</f>
        <v>0</v>
      </c>
      <c r="P5668">
        <f>IF(OR(M5668="",N5668=""),"",SUMIFS('Barang Keluar'!$E:$E,'Barang Keluar'!$A:$A,M5668,'Barang Keluar'!$C:$C,N5668))</f>
        <v>0</v>
      </c>
    </row>
    <row r="5669" spans="13:16">
      <c r="M5669" s="49">
        <f>IF($A$4+56&gt;$B$4,"",$A$4+56)</f>
        <v>46079</v>
      </c>
      <c r="N5669">
        <f>IF(M5669="","",'Master Barang'!A63)</f>
        <v>0</v>
      </c>
      <c r="O5669">
        <f>IF(N5669="","",'Master Barang'!B63)</f>
        <v>0</v>
      </c>
      <c r="P5669">
        <f>IF(OR(M5669="",N5669=""),"",SUMIFS('Barang Keluar'!$E:$E,'Barang Keluar'!$A:$A,M5669,'Barang Keluar'!$C:$C,N5669))</f>
        <v>0</v>
      </c>
    </row>
    <row r="5670" spans="13:16">
      <c r="M5670" s="49">
        <f>IF($A$4+56&gt;$B$4,"",$A$4+56)</f>
        <v>46079</v>
      </c>
      <c r="N5670">
        <f>IF(M5670="","",'Master Barang'!A64)</f>
        <v>0</v>
      </c>
      <c r="O5670">
        <f>IF(N5670="","",'Master Barang'!B64)</f>
        <v>0</v>
      </c>
      <c r="P5670">
        <f>IF(OR(M5670="",N5670=""),"",SUMIFS('Barang Keluar'!$E:$E,'Barang Keluar'!$A:$A,M5670,'Barang Keluar'!$C:$C,N5670))</f>
        <v>0</v>
      </c>
    </row>
    <row r="5671" spans="13:16">
      <c r="M5671" s="49">
        <f>IF($A$4+56&gt;$B$4,"",$A$4+56)</f>
        <v>46079</v>
      </c>
      <c r="N5671">
        <f>IF(M5671="","",'Master Barang'!A65)</f>
        <v>0</v>
      </c>
      <c r="O5671">
        <f>IF(N5671="","",'Master Barang'!B65)</f>
        <v>0</v>
      </c>
      <c r="P5671">
        <f>IF(OR(M5671="",N5671=""),"",SUMIFS('Barang Keluar'!$E:$E,'Barang Keluar'!$A:$A,M5671,'Barang Keluar'!$C:$C,N5671))</f>
        <v>0</v>
      </c>
    </row>
    <row r="5672" spans="13:16">
      <c r="M5672" s="49">
        <f>IF($A$4+56&gt;$B$4,"",$A$4+56)</f>
        <v>46079</v>
      </c>
      <c r="N5672">
        <f>IF(M5672="","",'Master Barang'!A66)</f>
        <v>0</v>
      </c>
      <c r="O5672">
        <f>IF(N5672="","",'Master Barang'!B66)</f>
        <v>0</v>
      </c>
      <c r="P5672">
        <f>IF(OR(M5672="",N5672=""),"",SUMIFS('Barang Keluar'!$E:$E,'Barang Keluar'!$A:$A,M5672,'Barang Keluar'!$C:$C,N5672))</f>
        <v>0</v>
      </c>
    </row>
    <row r="5673" spans="13:16">
      <c r="M5673" s="49">
        <f>IF($A$4+56&gt;$B$4,"",$A$4+56)</f>
        <v>46079</v>
      </c>
      <c r="N5673">
        <f>IF(M5673="","",'Master Barang'!A67)</f>
        <v>0</v>
      </c>
      <c r="O5673">
        <f>IF(N5673="","",'Master Barang'!B67)</f>
        <v>0</v>
      </c>
      <c r="P5673">
        <f>IF(OR(M5673="",N5673=""),"",SUMIFS('Barang Keluar'!$E:$E,'Barang Keluar'!$A:$A,M5673,'Barang Keluar'!$C:$C,N5673))</f>
        <v>0</v>
      </c>
    </row>
    <row r="5674" spans="13:16">
      <c r="M5674" s="49">
        <f>IF($A$4+56&gt;$B$4,"",$A$4+56)</f>
        <v>46079</v>
      </c>
      <c r="N5674">
        <f>IF(M5674="","",'Master Barang'!A68)</f>
        <v>0</v>
      </c>
      <c r="O5674">
        <f>IF(N5674="","",'Master Barang'!B68)</f>
        <v>0</v>
      </c>
      <c r="P5674">
        <f>IF(OR(M5674="",N5674=""),"",SUMIFS('Barang Keluar'!$E:$E,'Barang Keluar'!$A:$A,M5674,'Barang Keluar'!$C:$C,N5674))</f>
        <v>0</v>
      </c>
    </row>
    <row r="5675" spans="13:16">
      <c r="M5675" s="49">
        <f>IF($A$4+56&gt;$B$4,"",$A$4+56)</f>
        <v>46079</v>
      </c>
      <c r="N5675">
        <f>IF(M5675="","",'Master Barang'!A69)</f>
        <v>0</v>
      </c>
      <c r="O5675">
        <f>IF(N5675="","",'Master Barang'!B69)</f>
        <v>0</v>
      </c>
      <c r="P5675">
        <f>IF(OR(M5675="",N5675=""),"",SUMIFS('Barang Keluar'!$E:$E,'Barang Keluar'!$A:$A,M5675,'Barang Keluar'!$C:$C,N5675))</f>
        <v>0</v>
      </c>
    </row>
    <row r="5676" spans="13:16">
      <c r="M5676" s="49">
        <f>IF($A$4+56&gt;$B$4,"",$A$4+56)</f>
        <v>46079</v>
      </c>
      <c r="N5676">
        <f>IF(M5676="","",'Master Barang'!A70)</f>
        <v>0</v>
      </c>
      <c r="O5676">
        <f>IF(N5676="","",'Master Barang'!B70)</f>
        <v>0</v>
      </c>
      <c r="P5676">
        <f>IF(OR(M5676="",N5676=""),"",SUMIFS('Barang Keluar'!$E:$E,'Barang Keluar'!$A:$A,M5676,'Barang Keluar'!$C:$C,N5676))</f>
        <v>0</v>
      </c>
    </row>
    <row r="5677" spans="13:16">
      <c r="M5677" s="49">
        <f>IF($A$4+56&gt;$B$4,"",$A$4+56)</f>
        <v>46079</v>
      </c>
      <c r="N5677">
        <f>IF(M5677="","",'Master Barang'!A71)</f>
        <v>0</v>
      </c>
      <c r="O5677">
        <f>IF(N5677="","",'Master Barang'!B71)</f>
        <v>0</v>
      </c>
      <c r="P5677">
        <f>IF(OR(M5677="",N5677=""),"",SUMIFS('Barang Keluar'!$E:$E,'Barang Keluar'!$A:$A,M5677,'Barang Keluar'!$C:$C,N5677))</f>
        <v>0</v>
      </c>
    </row>
    <row r="5678" spans="13:16">
      <c r="M5678" s="49">
        <f>IF($A$4+56&gt;$B$4,"",$A$4+56)</f>
        <v>46079</v>
      </c>
      <c r="N5678">
        <f>IF(M5678="","",'Master Barang'!A72)</f>
        <v>0</v>
      </c>
      <c r="O5678">
        <f>IF(N5678="","",'Master Barang'!B72)</f>
        <v>0</v>
      </c>
      <c r="P5678">
        <f>IF(OR(M5678="",N5678=""),"",SUMIFS('Barang Keluar'!$E:$E,'Barang Keluar'!$A:$A,M5678,'Barang Keluar'!$C:$C,N5678))</f>
        <v>0</v>
      </c>
    </row>
    <row r="5679" spans="13:16">
      <c r="M5679" s="49">
        <f>IF($A$4+56&gt;$B$4,"",$A$4+56)</f>
        <v>46079</v>
      </c>
      <c r="N5679">
        <f>IF(M5679="","",'Master Barang'!A73)</f>
        <v>0</v>
      </c>
      <c r="O5679">
        <f>IF(N5679="","",'Master Barang'!B73)</f>
        <v>0</v>
      </c>
      <c r="P5679">
        <f>IF(OR(M5679="",N5679=""),"",SUMIFS('Barang Keluar'!$E:$E,'Barang Keluar'!$A:$A,M5679,'Barang Keluar'!$C:$C,N5679))</f>
        <v>0</v>
      </c>
    </row>
    <row r="5680" spans="13:16">
      <c r="M5680" s="49">
        <f>IF($A$4+56&gt;$B$4,"",$A$4+56)</f>
        <v>46079</v>
      </c>
      <c r="N5680">
        <f>IF(M5680="","",'Master Barang'!A74)</f>
        <v>0</v>
      </c>
      <c r="O5680">
        <f>IF(N5680="","",'Master Barang'!B74)</f>
        <v>0</v>
      </c>
      <c r="P5680">
        <f>IF(OR(M5680="",N5680=""),"",SUMIFS('Barang Keluar'!$E:$E,'Barang Keluar'!$A:$A,M5680,'Barang Keluar'!$C:$C,N5680))</f>
        <v>0</v>
      </c>
    </row>
    <row r="5681" spans="13:16">
      <c r="M5681" s="49">
        <f>IF($A$4+56&gt;$B$4,"",$A$4+56)</f>
        <v>46079</v>
      </c>
      <c r="N5681">
        <f>IF(M5681="","",'Master Barang'!A75)</f>
        <v>0</v>
      </c>
      <c r="O5681">
        <f>IF(N5681="","",'Master Barang'!B75)</f>
        <v>0</v>
      </c>
      <c r="P5681">
        <f>IF(OR(M5681="",N5681=""),"",SUMIFS('Barang Keluar'!$E:$E,'Barang Keluar'!$A:$A,M5681,'Barang Keluar'!$C:$C,N5681))</f>
        <v>0</v>
      </c>
    </row>
    <row r="5682" spans="13:16">
      <c r="M5682" s="49">
        <f>IF($A$4+56&gt;$B$4,"",$A$4+56)</f>
        <v>46079</v>
      </c>
      <c r="N5682">
        <f>IF(M5682="","",'Master Barang'!A76)</f>
        <v>0</v>
      </c>
      <c r="O5682">
        <f>IF(N5682="","",'Master Barang'!B76)</f>
        <v>0</v>
      </c>
      <c r="P5682">
        <f>IF(OR(M5682="",N5682=""),"",SUMIFS('Barang Keluar'!$E:$E,'Barang Keluar'!$A:$A,M5682,'Barang Keluar'!$C:$C,N5682))</f>
        <v>0</v>
      </c>
    </row>
    <row r="5683" spans="13:16">
      <c r="M5683" s="49">
        <f>IF($A$4+56&gt;$B$4,"",$A$4+56)</f>
        <v>46079</v>
      </c>
      <c r="N5683">
        <f>IF(M5683="","",'Master Barang'!A77)</f>
        <v>0</v>
      </c>
      <c r="O5683">
        <f>IF(N5683="","",'Master Barang'!B77)</f>
        <v>0</v>
      </c>
      <c r="P5683">
        <f>IF(OR(M5683="",N5683=""),"",SUMIFS('Barang Keluar'!$E:$E,'Barang Keluar'!$A:$A,M5683,'Barang Keluar'!$C:$C,N5683))</f>
        <v>0</v>
      </c>
    </row>
    <row r="5684" spans="13:16">
      <c r="M5684" s="49">
        <f>IF($A$4+56&gt;$B$4,"",$A$4+56)</f>
        <v>46079</v>
      </c>
      <c r="N5684">
        <f>IF(M5684="","",'Master Barang'!A78)</f>
        <v>0</v>
      </c>
      <c r="O5684">
        <f>IF(N5684="","",'Master Barang'!B78)</f>
        <v>0</v>
      </c>
      <c r="P5684">
        <f>IF(OR(M5684="",N5684=""),"",SUMIFS('Barang Keluar'!$E:$E,'Barang Keluar'!$A:$A,M5684,'Barang Keluar'!$C:$C,N5684))</f>
        <v>0</v>
      </c>
    </row>
    <row r="5685" spans="13:16">
      <c r="M5685" s="49">
        <f>IF($A$4+56&gt;$B$4,"",$A$4+56)</f>
        <v>46079</v>
      </c>
      <c r="N5685">
        <f>IF(M5685="","",'Master Barang'!A79)</f>
        <v>0</v>
      </c>
      <c r="O5685">
        <f>IF(N5685="","",'Master Barang'!B79)</f>
        <v>0</v>
      </c>
      <c r="P5685">
        <f>IF(OR(M5685="",N5685=""),"",SUMIFS('Barang Keluar'!$E:$E,'Barang Keluar'!$A:$A,M5685,'Barang Keluar'!$C:$C,N5685))</f>
        <v>0</v>
      </c>
    </row>
    <row r="5686" spans="13:16">
      <c r="M5686" s="49">
        <f>IF($A$4+56&gt;$B$4,"",$A$4+56)</f>
        <v>46079</v>
      </c>
      <c r="N5686">
        <f>IF(M5686="","",'Master Barang'!A80)</f>
        <v>0</v>
      </c>
      <c r="O5686">
        <f>IF(N5686="","",'Master Barang'!B80)</f>
        <v>0</v>
      </c>
      <c r="P5686">
        <f>IF(OR(M5686="",N5686=""),"",SUMIFS('Barang Keluar'!$E:$E,'Barang Keluar'!$A:$A,M5686,'Barang Keluar'!$C:$C,N5686))</f>
        <v>0</v>
      </c>
    </row>
    <row r="5687" spans="13:16">
      <c r="M5687" s="49">
        <f>IF($A$4+56&gt;$B$4,"",$A$4+56)</f>
        <v>46079</v>
      </c>
      <c r="N5687">
        <f>IF(M5687="","",'Master Barang'!A81)</f>
        <v>0</v>
      </c>
      <c r="O5687">
        <f>IF(N5687="","",'Master Barang'!B81)</f>
        <v>0</v>
      </c>
      <c r="P5687">
        <f>IF(OR(M5687="",N5687=""),"",SUMIFS('Barang Keluar'!$E:$E,'Barang Keluar'!$A:$A,M5687,'Barang Keluar'!$C:$C,N5687))</f>
        <v>0</v>
      </c>
    </row>
    <row r="5688" spans="13:16">
      <c r="M5688" s="49">
        <f>IF($A$4+56&gt;$B$4,"",$A$4+56)</f>
        <v>46079</v>
      </c>
      <c r="N5688">
        <f>IF(M5688="","",'Master Barang'!A82)</f>
        <v>0</v>
      </c>
      <c r="O5688">
        <f>IF(N5688="","",'Master Barang'!B82)</f>
        <v>0</v>
      </c>
      <c r="P5688">
        <f>IF(OR(M5688="",N5688=""),"",SUMIFS('Barang Keluar'!$E:$E,'Barang Keluar'!$A:$A,M5688,'Barang Keluar'!$C:$C,N5688))</f>
        <v>0</v>
      </c>
    </row>
    <row r="5689" spans="13:16">
      <c r="M5689" s="49">
        <f>IF($A$4+56&gt;$B$4,"",$A$4+56)</f>
        <v>46079</v>
      </c>
      <c r="N5689">
        <f>IF(M5689="","",'Master Barang'!A83)</f>
        <v>0</v>
      </c>
      <c r="O5689">
        <f>IF(N5689="","",'Master Barang'!B83)</f>
        <v>0</v>
      </c>
      <c r="P5689">
        <f>IF(OR(M5689="",N5689=""),"",SUMIFS('Barang Keluar'!$E:$E,'Barang Keluar'!$A:$A,M5689,'Barang Keluar'!$C:$C,N5689))</f>
        <v>0</v>
      </c>
    </row>
    <row r="5690" spans="13:16">
      <c r="M5690" s="49">
        <f>IF($A$4+56&gt;$B$4,"",$A$4+56)</f>
        <v>46079</v>
      </c>
      <c r="N5690">
        <f>IF(M5690="","",'Master Barang'!A84)</f>
        <v>0</v>
      </c>
      <c r="O5690">
        <f>IF(N5690="","",'Master Barang'!B84)</f>
        <v>0</v>
      </c>
      <c r="P5690">
        <f>IF(OR(M5690="",N5690=""),"",SUMIFS('Barang Keluar'!$E:$E,'Barang Keluar'!$A:$A,M5690,'Barang Keluar'!$C:$C,N5690))</f>
        <v>0</v>
      </c>
    </row>
    <row r="5691" spans="13:16">
      <c r="M5691" s="49">
        <f>IF($A$4+56&gt;$B$4,"",$A$4+56)</f>
        <v>46079</v>
      </c>
      <c r="N5691">
        <f>IF(M5691="","",'Master Barang'!A85)</f>
        <v>0</v>
      </c>
      <c r="O5691">
        <f>IF(N5691="","",'Master Barang'!B85)</f>
        <v>0</v>
      </c>
      <c r="P5691">
        <f>IF(OR(M5691="",N5691=""),"",SUMIFS('Barang Keluar'!$E:$E,'Barang Keluar'!$A:$A,M5691,'Barang Keluar'!$C:$C,N5691))</f>
        <v>0</v>
      </c>
    </row>
    <row r="5692" spans="13:16">
      <c r="M5692" s="49">
        <f>IF($A$4+56&gt;$B$4,"",$A$4+56)</f>
        <v>46079</v>
      </c>
      <c r="N5692">
        <f>IF(M5692="","",'Master Barang'!A86)</f>
        <v>0</v>
      </c>
      <c r="O5692">
        <f>IF(N5692="","",'Master Barang'!B86)</f>
        <v>0</v>
      </c>
      <c r="P5692">
        <f>IF(OR(M5692="",N5692=""),"",SUMIFS('Barang Keluar'!$E:$E,'Barang Keluar'!$A:$A,M5692,'Barang Keluar'!$C:$C,N5692))</f>
        <v>0</v>
      </c>
    </row>
    <row r="5693" spans="13:16">
      <c r="M5693" s="49">
        <f>IF($A$4+56&gt;$B$4,"",$A$4+56)</f>
        <v>46079</v>
      </c>
      <c r="N5693">
        <f>IF(M5693="","",'Master Barang'!A87)</f>
        <v>0</v>
      </c>
      <c r="O5693">
        <f>IF(N5693="","",'Master Barang'!B87)</f>
        <v>0</v>
      </c>
      <c r="P5693">
        <f>IF(OR(M5693="",N5693=""),"",SUMIFS('Barang Keluar'!$E:$E,'Barang Keluar'!$A:$A,M5693,'Barang Keluar'!$C:$C,N5693))</f>
        <v>0</v>
      </c>
    </row>
    <row r="5694" spans="13:16">
      <c r="M5694" s="49">
        <f>IF($A$4+56&gt;$B$4,"",$A$4+56)</f>
        <v>46079</v>
      </c>
      <c r="N5694">
        <f>IF(M5694="","",'Master Barang'!A88)</f>
        <v>0</v>
      </c>
      <c r="O5694">
        <f>IF(N5694="","",'Master Barang'!B88)</f>
        <v>0</v>
      </c>
      <c r="P5694">
        <f>IF(OR(M5694="",N5694=""),"",SUMIFS('Barang Keluar'!$E:$E,'Barang Keluar'!$A:$A,M5694,'Barang Keluar'!$C:$C,N5694))</f>
        <v>0</v>
      </c>
    </row>
    <row r="5695" spans="13:16">
      <c r="M5695" s="49">
        <f>IF($A$4+56&gt;$B$4,"",$A$4+56)</f>
        <v>46079</v>
      </c>
      <c r="N5695">
        <f>IF(M5695="","",'Master Barang'!A89)</f>
        <v>0</v>
      </c>
      <c r="O5695">
        <f>IF(N5695="","",'Master Barang'!B89)</f>
        <v>0</v>
      </c>
      <c r="P5695">
        <f>IF(OR(M5695="",N5695=""),"",SUMIFS('Barang Keluar'!$E:$E,'Barang Keluar'!$A:$A,M5695,'Barang Keluar'!$C:$C,N5695))</f>
        <v>0</v>
      </c>
    </row>
    <row r="5696" spans="13:16">
      <c r="M5696" s="49">
        <f>IF($A$4+56&gt;$B$4,"",$A$4+56)</f>
        <v>46079</v>
      </c>
      <c r="N5696">
        <f>IF(M5696="","",'Master Barang'!A90)</f>
        <v>0</v>
      </c>
      <c r="O5696">
        <f>IF(N5696="","",'Master Barang'!B90)</f>
        <v>0</v>
      </c>
      <c r="P5696">
        <f>IF(OR(M5696="",N5696=""),"",SUMIFS('Barang Keluar'!$E:$E,'Barang Keluar'!$A:$A,M5696,'Barang Keluar'!$C:$C,N5696))</f>
        <v>0</v>
      </c>
    </row>
    <row r="5697" spans="13:16">
      <c r="M5697" s="49">
        <f>IF($A$4+56&gt;$B$4,"",$A$4+56)</f>
        <v>46079</v>
      </c>
      <c r="N5697">
        <f>IF(M5697="","",'Master Barang'!A91)</f>
        <v>0</v>
      </c>
      <c r="O5697">
        <f>IF(N5697="","",'Master Barang'!B91)</f>
        <v>0</v>
      </c>
      <c r="P5697">
        <f>IF(OR(M5697="",N5697=""),"",SUMIFS('Barang Keluar'!$E:$E,'Barang Keluar'!$A:$A,M5697,'Barang Keluar'!$C:$C,N5697))</f>
        <v>0</v>
      </c>
    </row>
    <row r="5698" spans="13:16">
      <c r="M5698" s="49">
        <f>IF($A$4+56&gt;$B$4,"",$A$4+56)</f>
        <v>46079</v>
      </c>
      <c r="N5698">
        <f>IF(M5698="","",'Master Barang'!A92)</f>
        <v>0</v>
      </c>
      <c r="O5698">
        <f>IF(N5698="","",'Master Barang'!B92)</f>
        <v>0</v>
      </c>
      <c r="P5698">
        <f>IF(OR(M5698="",N5698=""),"",SUMIFS('Barang Keluar'!$E:$E,'Barang Keluar'!$A:$A,M5698,'Barang Keluar'!$C:$C,N5698))</f>
        <v>0</v>
      </c>
    </row>
    <row r="5699" spans="13:16">
      <c r="M5699" s="49">
        <f>IF($A$4+56&gt;$B$4,"",$A$4+56)</f>
        <v>46079</v>
      </c>
      <c r="N5699">
        <f>IF(M5699="","",'Master Barang'!A93)</f>
        <v>0</v>
      </c>
      <c r="O5699">
        <f>IF(N5699="","",'Master Barang'!B93)</f>
        <v>0</v>
      </c>
      <c r="P5699">
        <f>IF(OR(M5699="",N5699=""),"",SUMIFS('Barang Keluar'!$E:$E,'Barang Keluar'!$A:$A,M5699,'Barang Keluar'!$C:$C,N5699))</f>
        <v>0</v>
      </c>
    </row>
    <row r="5700" spans="13:16">
      <c r="M5700" s="49">
        <f>IF($A$4+56&gt;$B$4,"",$A$4+56)</f>
        <v>46079</v>
      </c>
      <c r="N5700">
        <f>IF(M5700="","",'Master Barang'!A94)</f>
        <v>0</v>
      </c>
      <c r="O5700">
        <f>IF(N5700="","",'Master Barang'!B94)</f>
        <v>0</v>
      </c>
      <c r="P5700">
        <f>IF(OR(M5700="",N5700=""),"",SUMIFS('Barang Keluar'!$E:$E,'Barang Keluar'!$A:$A,M5700,'Barang Keluar'!$C:$C,N5700))</f>
        <v>0</v>
      </c>
    </row>
    <row r="5701" spans="13:16">
      <c r="M5701" s="49">
        <f>IF($A$4+56&gt;$B$4,"",$A$4+56)</f>
        <v>46079</v>
      </c>
      <c r="N5701">
        <f>IF(M5701="","",'Master Barang'!A95)</f>
        <v>0</v>
      </c>
      <c r="O5701">
        <f>IF(N5701="","",'Master Barang'!B95)</f>
        <v>0</v>
      </c>
      <c r="P5701">
        <f>IF(OR(M5701="",N5701=""),"",SUMIFS('Barang Keluar'!$E:$E,'Barang Keluar'!$A:$A,M5701,'Barang Keluar'!$C:$C,N5701))</f>
        <v>0</v>
      </c>
    </row>
    <row r="5702" spans="13:16">
      <c r="M5702" s="49">
        <f>IF($A$4+56&gt;$B$4,"",$A$4+56)</f>
        <v>46079</v>
      </c>
      <c r="N5702">
        <f>IF(M5702="","",'Master Barang'!A96)</f>
        <v>0</v>
      </c>
      <c r="O5702">
        <f>IF(N5702="","",'Master Barang'!B96)</f>
        <v>0</v>
      </c>
      <c r="P5702">
        <f>IF(OR(M5702="",N5702=""),"",SUMIFS('Barang Keluar'!$E:$E,'Barang Keluar'!$A:$A,M5702,'Barang Keluar'!$C:$C,N5702))</f>
        <v>0</v>
      </c>
    </row>
    <row r="5703" spans="13:16">
      <c r="M5703" s="49">
        <f>IF($A$4+56&gt;$B$4,"",$A$4+56)</f>
        <v>46079</v>
      </c>
      <c r="N5703">
        <f>IF(M5703="","",'Master Barang'!A97)</f>
        <v>0</v>
      </c>
      <c r="O5703">
        <f>IF(N5703="","",'Master Barang'!B97)</f>
        <v>0</v>
      </c>
      <c r="P5703">
        <f>IF(OR(M5703="",N5703=""),"",SUMIFS('Barang Keluar'!$E:$E,'Barang Keluar'!$A:$A,M5703,'Barang Keluar'!$C:$C,N5703))</f>
        <v>0</v>
      </c>
    </row>
    <row r="5704" spans="13:16">
      <c r="M5704" s="49">
        <f>IF($A$4+56&gt;$B$4,"",$A$4+56)</f>
        <v>46079</v>
      </c>
      <c r="N5704">
        <f>IF(M5704="","",'Master Barang'!A98)</f>
        <v>0</v>
      </c>
      <c r="O5704">
        <f>IF(N5704="","",'Master Barang'!B98)</f>
        <v>0</v>
      </c>
      <c r="P5704">
        <f>IF(OR(M5704="",N5704=""),"",SUMIFS('Barang Keluar'!$E:$E,'Barang Keluar'!$A:$A,M5704,'Barang Keluar'!$C:$C,N5704))</f>
        <v>0</v>
      </c>
    </row>
    <row r="5705" spans="13:16">
      <c r="M5705" s="49">
        <f>IF($A$4+56&gt;$B$4,"",$A$4+56)</f>
        <v>46079</v>
      </c>
      <c r="N5705">
        <f>IF(M5705="","",'Master Barang'!A99)</f>
        <v>0</v>
      </c>
      <c r="O5705">
        <f>IF(N5705="","",'Master Barang'!B99)</f>
        <v>0</v>
      </c>
      <c r="P5705">
        <f>IF(OR(M5705="",N5705=""),"",SUMIFS('Barang Keluar'!$E:$E,'Barang Keluar'!$A:$A,M5705,'Barang Keluar'!$C:$C,N5705))</f>
        <v>0</v>
      </c>
    </row>
    <row r="5706" spans="13:16">
      <c r="M5706" s="49">
        <f>IF($A$4+56&gt;$B$4,"",$A$4+56)</f>
        <v>46079</v>
      </c>
      <c r="N5706">
        <f>IF(M5706="","",'Master Barang'!A100)</f>
        <v>0</v>
      </c>
      <c r="O5706">
        <f>IF(N5706="","",'Master Barang'!B100)</f>
        <v>0</v>
      </c>
      <c r="P5706">
        <f>IF(OR(M5706="",N5706=""),"",SUMIFS('Barang Keluar'!$E:$E,'Barang Keluar'!$A:$A,M5706,'Barang Keluar'!$C:$C,N5706))</f>
        <v>0</v>
      </c>
    </row>
    <row r="5707" spans="13:16">
      <c r="M5707" s="49">
        <f>IF($A$4+56&gt;$B$4,"",$A$4+56)</f>
        <v>46079</v>
      </c>
      <c r="N5707">
        <f>IF(M5707="","",'Master Barang'!A101)</f>
        <v>0</v>
      </c>
      <c r="O5707">
        <f>IF(N5707="","",'Master Barang'!B101)</f>
        <v>0</v>
      </c>
      <c r="P5707">
        <f>IF(OR(M5707="",N5707=""),"",SUMIFS('Barang Keluar'!$E:$E,'Barang Keluar'!$A:$A,M5707,'Barang Keluar'!$C:$C,N5707))</f>
        <v>0</v>
      </c>
    </row>
    <row r="5708" spans="13:16">
      <c r="M5708" s="49">
        <f>IF($A$4+57&gt;$B$4,"",$A$4+57)</f>
        <v>46080</v>
      </c>
      <c r="N5708" t="str">
        <f>IF(M5708="","",'Master Barang'!A2)</f>
        <v>PRL-001</v>
      </c>
      <c r="O5708" t="str">
        <f>IF(N5708="","",'Master Barang'!B2)</f>
        <v>natura desinfectant food grade 5l</v>
      </c>
      <c r="P5708">
        <f>IF(OR(M5708="",N5708=""),"",SUMIFS('Barang Keluar'!$E:$E,'Barang Keluar'!$A:$A,M5708,'Barang Keluar'!$C:$C,N5708))</f>
        <v>0</v>
      </c>
    </row>
    <row r="5709" spans="13:16">
      <c r="M5709" s="49">
        <f>IF($A$4+57&gt;$B$4,"",$A$4+57)</f>
        <v>46080</v>
      </c>
      <c r="N5709" t="str">
        <f>IF(M5709="","",'Master Barang'!A3)</f>
        <v>PRL-002</v>
      </c>
      <c r="O5709" t="str">
        <f>IF(N5709="","",'Master Barang'!B3)</f>
        <v>sunlight cairan pencuci piring 5l</v>
      </c>
      <c r="P5709">
        <f>IF(OR(M5709="",N5709=""),"",SUMIFS('Barang Keluar'!$E:$E,'Barang Keluar'!$A:$A,M5709,'Barang Keluar'!$C:$C,N5709))</f>
        <v>0</v>
      </c>
    </row>
    <row r="5710" spans="13:16">
      <c r="M5710" s="49">
        <f>IF($A$4+57&gt;$B$4,"",$A$4+57)</f>
        <v>46080</v>
      </c>
      <c r="N5710" t="str">
        <f>IF(M5710="","",'Master Barang'!A4)</f>
        <v>PRL-003</v>
      </c>
      <c r="O5710" t="str">
        <f>IF(N5710="","",'Master Barang'!B4)</f>
        <v>oixs cleaner 1l</v>
      </c>
      <c r="P5710">
        <f>IF(OR(M5710="",N5710=""),"",SUMIFS('Barang Keluar'!$E:$E,'Barang Keluar'!$A:$A,M5710,'Barang Keluar'!$C:$C,N5710))</f>
        <v>0</v>
      </c>
    </row>
    <row r="5711" spans="13:16">
      <c r="M5711" s="49">
        <f>IF($A$4+57&gt;$B$4,"",$A$4+57)</f>
        <v>46080</v>
      </c>
      <c r="N5711" t="str">
        <f>IF(M5711="","",'Master Barang'!A5)</f>
        <v>PRL-004</v>
      </c>
      <c r="O5711" t="str">
        <f>IF(N5711="","",'Master Barang'!B5)</f>
        <v>be clean tissue serbaguna</v>
      </c>
      <c r="P5711">
        <f>IF(OR(M5711="",N5711=""),"",SUMIFS('Barang Keluar'!$E:$E,'Barang Keluar'!$A:$A,M5711,'Barang Keluar'!$C:$C,N5711))</f>
        <v>0</v>
      </c>
    </row>
    <row r="5712" spans="13:16">
      <c r="M5712" s="49">
        <f>IF($A$4+57&gt;$B$4,"",$A$4+57)</f>
        <v>46080</v>
      </c>
      <c r="N5712" t="str">
        <f>IF(M5712="","",'Master Barang'!A6)</f>
        <v>PRL-005</v>
      </c>
      <c r="O5712" t="str">
        <f>IF(N5712="","",'Master Barang'!B6)</f>
        <v>spons cuci hijau</v>
      </c>
      <c r="P5712">
        <f>IF(OR(M5712="",N5712=""),"",SUMIFS('Barang Keluar'!$E:$E,'Barang Keluar'!$A:$A,M5712,'Barang Keluar'!$C:$C,N5712))</f>
        <v>0</v>
      </c>
    </row>
    <row r="5713" spans="13:16">
      <c r="M5713" s="49">
        <f>IF($A$4+57&gt;$B$4,"",$A$4+57)</f>
        <v>46080</v>
      </c>
      <c r="N5713" t="str">
        <f>IF(M5713="","",'Master Barang'!A7)</f>
        <v>PRL-006</v>
      </c>
      <c r="O5713" t="str">
        <f>IF(N5713="","",'Master Barang'!B7)</f>
        <v>sabut cuci stainless</v>
      </c>
      <c r="P5713">
        <f>IF(OR(M5713="",N5713=""),"",SUMIFS('Barang Keluar'!$E:$E,'Barang Keluar'!$A:$A,M5713,'Barang Keluar'!$C:$C,N5713))</f>
        <v>0</v>
      </c>
    </row>
    <row r="5714" spans="13:16">
      <c r="M5714" s="49">
        <f>IF($A$4+57&gt;$B$4,"",$A$4+57)</f>
        <v>46080</v>
      </c>
      <c r="N5714" t="str">
        <f>IF(M5714="","",'Master Barang'!A8)</f>
        <v>PRL-007</v>
      </c>
      <c r="O5714" t="str">
        <f>IF(N5714="","",'Master Barang'!B8)</f>
        <v>plastik kresek besar merah 50pc</v>
      </c>
      <c r="P5714">
        <f>IF(OR(M5714="",N5714=""),"",SUMIFS('Barang Keluar'!$E:$E,'Barang Keluar'!$A:$A,M5714,'Barang Keluar'!$C:$C,N5714))</f>
        <v>0</v>
      </c>
    </row>
    <row r="5715" spans="13:16">
      <c r="M5715" s="49">
        <f>IF($A$4+57&gt;$B$4,"",$A$4+57)</f>
        <v>46080</v>
      </c>
      <c r="N5715" t="str">
        <f>IF(M5715="","",'Master Barang'!A9)</f>
        <v>PRL-008</v>
      </c>
      <c r="O5715" t="str">
        <f>IF(N5715="","",'Master Barang'!B9)</f>
        <v>lap besar</v>
      </c>
      <c r="P5715">
        <f>IF(OR(M5715="",N5715=""),"",SUMIFS('Barang Keluar'!$E:$E,'Barang Keluar'!$A:$A,M5715,'Barang Keluar'!$C:$C,N5715))</f>
        <v>0</v>
      </c>
    </row>
    <row r="5716" spans="13:16">
      <c r="M5716" s="49">
        <f>IF($A$4+57&gt;$B$4,"",$A$4+57)</f>
        <v>46080</v>
      </c>
      <c r="N5716" t="str">
        <f>IF(M5716="","",'Master Barang'!A10)</f>
        <v>PRL-009</v>
      </c>
      <c r="O5716" t="str">
        <f>IF(N5716="","",'Master Barang'!B10)</f>
        <v>lap microfiber</v>
      </c>
      <c r="P5716">
        <f>IF(OR(M5716="",N5716=""),"",SUMIFS('Barang Keluar'!$E:$E,'Barang Keluar'!$A:$A,M5716,'Barang Keluar'!$C:$C,N5716))</f>
        <v>0</v>
      </c>
    </row>
    <row r="5717" spans="13:16">
      <c r="M5717" s="49">
        <f>IF($A$4+57&gt;$B$4,"",$A$4+57)</f>
        <v>46080</v>
      </c>
      <c r="N5717" t="str">
        <f>IF(M5717="","",'Master Barang'!A11)</f>
        <v>PRL-010</v>
      </c>
      <c r="O5717" t="str">
        <f>IF(N5717="","",'Master Barang'!B11)</f>
        <v>lap kecil</v>
      </c>
      <c r="P5717">
        <f>IF(OR(M5717="",N5717=""),"",SUMIFS('Barang Keluar'!$E:$E,'Barang Keluar'!$A:$A,M5717,'Barang Keluar'!$C:$C,N5717))</f>
        <v>0</v>
      </c>
    </row>
    <row r="5718" spans="13:16">
      <c r="M5718" s="49">
        <f>IF($A$4+57&gt;$B$4,"",$A$4+57)</f>
        <v>46080</v>
      </c>
      <c r="N5718" t="str">
        <f>IF(M5718="","",'Master Barang'!A12)</f>
        <v>PRL-011</v>
      </c>
      <c r="O5718" t="str">
        <f>IF(N5718="","",'Master Barang'!B12)</f>
        <v>kanebo kecil</v>
      </c>
      <c r="P5718">
        <f>IF(OR(M5718="",N5718=""),"",SUMIFS('Barang Keluar'!$E:$E,'Barang Keluar'!$A:$A,M5718,'Barang Keluar'!$C:$C,N5718))</f>
        <v>0</v>
      </c>
    </row>
    <row r="5719" spans="13:16">
      <c r="M5719" s="49">
        <f>IF($A$4+57&gt;$B$4,"",$A$4+57)</f>
        <v>46080</v>
      </c>
      <c r="N5719" t="str">
        <f>IF(M5719="","",'Master Barang'!A13)</f>
        <v>PRL-012</v>
      </c>
      <c r="O5719" t="str">
        <f>IF(N5719="","",'Master Barang'!B13)</f>
        <v>plastik 1/4kg joyoboyo 100 lembar</v>
      </c>
      <c r="P5719">
        <f>IF(OR(M5719="",N5719=""),"",SUMIFS('Barang Keluar'!$E:$E,'Barang Keluar'!$A:$A,M5719,'Barang Keluar'!$C:$C,N5719))</f>
        <v>0</v>
      </c>
    </row>
    <row r="5720" spans="13:16">
      <c r="M5720" s="49">
        <f>IF($A$4+57&gt;$B$4,"",$A$4+57)</f>
        <v>46080</v>
      </c>
      <c r="N5720" t="str">
        <f>IF(M5720="","",'Master Barang'!A14)</f>
        <v>PRL-013</v>
      </c>
      <c r="O5720" t="str">
        <f>IF(N5720="","",'Master Barang'!B14)</f>
        <v>sarung tangan plastik kaka 100 pcs</v>
      </c>
      <c r="P5720">
        <f>IF(OR(M5720="",N5720=""),"",SUMIFS('Barang Keluar'!$E:$E,'Barang Keluar'!$A:$A,M5720,'Barang Keluar'!$C:$C,N5720))</f>
        <v>0</v>
      </c>
    </row>
    <row r="5721" spans="13:16">
      <c r="M5721" s="49">
        <f>IF($A$4+57&gt;$B$4,"",$A$4+57)</f>
        <v>46080</v>
      </c>
      <c r="N5721" t="str">
        <f>IF(M5721="","",'Master Barang'!A15)</f>
        <v>PRL-014</v>
      </c>
      <c r="O5721" t="str">
        <f>IF(N5721="","",'Master Barang'!B15)</f>
        <v>optima trashbag 80x100</v>
      </c>
      <c r="P5721">
        <f>IF(OR(M5721="",N5721=""),"",SUMIFS('Barang Keluar'!$E:$E,'Barang Keluar'!$A:$A,M5721,'Barang Keluar'!$C:$C,N5721))</f>
        <v>0</v>
      </c>
    </row>
    <row r="5722" spans="13:16">
      <c r="M5722" s="49">
        <f>IF($A$4+57&gt;$B$4,"",$A$4+57)</f>
        <v>46080</v>
      </c>
      <c r="N5722" t="str">
        <f>IF(M5722="","",'Master Barang'!A16)</f>
        <v>PRL-015</v>
      </c>
      <c r="O5722" t="str">
        <f>IF(N5722="","",'Master Barang'!B16)</f>
        <v>optima trashbag 60x100</v>
      </c>
      <c r="P5722">
        <f>IF(OR(M5722="",N5722=""),"",SUMIFS('Barang Keluar'!$E:$E,'Barang Keluar'!$A:$A,M5722,'Barang Keluar'!$C:$C,N5722))</f>
        <v>0</v>
      </c>
    </row>
    <row r="5723" spans="13:16">
      <c r="M5723" s="49">
        <f>IF($A$4+57&gt;$B$4,"",$A$4+57)</f>
        <v>46080</v>
      </c>
      <c r="N5723" t="str">
        <f>IF(M5723="","",'Master Barang'!A17)</f>
        <v>PRL-016</v>
      </c>
      <c r="O5723" t="str">
        <f>IF(N5723="","",'Master Barang'!B17)</f>
        <v>rajawali trashbag 30x40</v>
      </c>
      <c r="P5723">
        <f>IF(OR(M5723="",N5723=""),"",SUMIFS('Barang Keluar'!$E:$E,'Barang Keluar'!$A:$A,M5723,'Barang Keluar'!$C:$C,N5723))</f>
        <v>0</v>
      </c>
    </row>
    <row r="5724" spans="13:16">
      <c r="M5724" s="49">
        <f>IF($A$4+57&gt;$B$4,"",$A$4+57)</f>
        <v>46080</v>
      </c>
      <c r="N5724" t="str">
        <f>IF(M5724="","",'Master Barang'!A18)</f>
        <v>PRL-017</v>
      </c>
      <c r="O5724" t="str">
        <f>IF(N5724="","",'Master Barang'!B18)</f>
        <v>onemed masker biru 3 play 50 pcs</v>
      </c>
      <c r="P5724">
        <f>IF(OR(M5724="",N5724=""),"",SUMIFS('Barang Keluar'!$E:$E,'Barang Keluar'!$A:$A,M5724,'Barang Keluar'!$C:$C,N5724))</f>
        <v>0</v>
      </c>
    </row>
    <row r="5725" spans="13:16">
      <c r="M5725" s="49">
        <f>IF($A$4+57&gt;$B$4,"",$A$4+57)</f>
        <v>46080</v>
      </c>
      <c r="N5725" t="str">
        <f>IF(M5725="","",'Master Barang'!A19)</f>
        <v>PRL-018</v>
      </c>
      <c r="O5725" t="str">
        <f>IF(N5725="","",'Master Barang'!B19)</f>
        <v>onemed masker biru 3 play hijab 50 pcs</v>
      </c>
      <c r="P5725">
        <f>IF(OR(M5725="",N5725=""),"",SUMIFS('Barang Keluar'!$E:$E,'Barang Keluar'!$A:$A,M5725,'Barang Keluar'!$C:$C,N5725))</f>
        <v>0</v>
      </c>
    </row>
    <row r="5726" spans="13:16">
      <c r="M5726" s="49">
        <f>IF($A$4+57&gt;$B$4,"",$A$4+57)</f>
        <v>46080</v>
      </c>
      <c r="N5726" t="str">
        <f>IF(M5726="","",'Master Barang'!A20)</f>
        <v>PRL-019</v>
      </c>
      <c r="O5726" t="str">
        <f>IF(N5726="","",'Master Barang'!B20)</f>
        <v>neo health masker biru 3 play 50 pcs</v>
      </c>
      <c r="P5726">
        <f>IF(OR(M5726="",N5726=""),"",SUMIFS('Barang Keluar'!$E:$E,'Barang Keluar'!$A:$A,M5726,'Barang Keluar'!$C:$C,N5726))</f>
        <v>0</v>
      </c>
    </row>
    <row r="5727" spans="13:16">
      <c r="M5727" s="49">
        <f>IF($A$4+57&gt;$B$4,"",$A$4+57)</f>
        <v>46080</v>
      </c>
      <c r="N5727" t="str">
        <f>IF(M5727="","",'Master Barang'!A21)</f>
        <v>PRL-020</v>
      </c>
      <c r="O5727" t="str">
        <f>IF(N5727="","",'Master Barang'!B21)</f>
        <v>baymed masker hijau 3 play hijau 50 pcs</v>
      </c>
      <c r="P5727">
        <f>IF(OR(M5727="",N5727=""),"",SUMIFS('Barang Keluar'!$E:$E,'Barang Keluar'!$A:$A,M5727,'Barang Keluar'!$C:$C,N5727))</f>
        <v>0</v>
      </c>
    </row>
    <row r="5728" spans="13:16">
      <c r="M5728" s="49">
        <f>IF($A$4+57&gt;$B$4,"",$A$4+57)</f>
        <v>46080</v>
      </c>
      <c r="N5728" t="str">
        <f>IF(M5728="","",'Master Barang'!A22)</f>
        <v>PRL-021</v>
      </c>
      <c r="O5728" t="str">
        <f>IF(N5728="","",'Master Barang'!B22)</f>
        <v>altamed nurse cap penutup kepala 100 pcs</v>
      </c>
      <c r="P5728">
        <f>IF(OR(M5728="",N5728=""),"",SUMIFS('Barang Keluar'!$E:$E,'Barang Keluar'!$A:$A,M5728,'Barang Keluar'!$C:$C,N5728))</f>
        <v>0</v>
      </c>
    </row>
    <row r="5729" spans="13:16">
      <c r="M5729" s="49">
        <f>IF($A$4+57&gt;$B$4,"",$A$4+57)</f>
        <v>46080</v>
      </c>
      <c r="N5729" t="str">
        <f>IF(M5729="","",'Master Barang'!A23)</f>
        <v>PRL-022</v>
      </c>
      <c r="O5729" t="str">
        <f>IF(N5729="","",'Master Barang'!B23)</f>
        <v>sabun cuci tangan</v>
      </c>
      <c r="P5729">
        <f>IF(OR(M5729="",N5729=""),"",SUMIFS('Barang Keluar'!$E:$E,'Barang Keluar'!$A:$A,M5729,'Barang Keluar'!$C:$C,N5729))</f>
        <v>0</v>
      </c>
    </row>
    <row r="5730" spans="13:16">
      <c r="M5730" s="49">
        <f>IF($A$4+57&gt;$B$4,"",$A$4+57)</f>
        <v>46080</v>
      </c>
      <c r="N5730" t="str">
        <f>IF(M5730="","",'Master Barang'!A24)</f>
        <v>PRL-023</v>
      </c>
      <c r="O5730" t="str">
        <f>IF(N5730="","",'Master Barang'!B24)</f>
        <v>gayung kecil</v>
      </c>
      <c r="P5730">
        <f>IF(OR(M5730="",N5730=""),"",SUMIFS('Barang Keluar'!$E:$E,'Barang Keluar'!$A:$A,M5730,'Barang Keluar'!$C:$C,N5730))</f>
        <v>0</v>
      </c>
    </row>
    <row r="5731" spans="13:16">
      <c r="M5731" s="49">
        <f>IF($A$4+57&gt;$B$4,"",$A$4+57)</f>
        <v>46080</v>
      </c>
      <c r="N5731" t="str">
        <f>IF(M5731="","",'Master Barang'!A25)</f>
        <v>PRL-024</v>
      </c>
      <c r="O5731" t="str">
        <f>IF(N5731="","",'Master Barang'!B25)</f>
        <v>cikrak kecil</v>
      </c>
      <c r="P5731">
        <f>IF(OR(M5731="",N5731=""),"",SUMIFS('Barang Keluar'!$E:$E,'Barang Keluar'!$A:$A,M5731,'Barang Keluar'!$C:$C,N5731))</f>
        <v>0</v>
      </c>
    </row>
    <row r="5732" spans="13:16">
      <c r="M5732" s="49">
        <f>IF($A$4+57&gt;$B$4,"",$A$4+57)</f>
        <v>46080</v>
      </c>
      <c r="N5732" t="str">
        <f>IF(M5732="","",'Master Barang'!A26)</f>
        <v>PRL-025</v>
      </c>
      <c r="O5732" t="str">
        <f>IF(N5732="","",'Master Barang'!B26)</f>
        <v>petromax plastik kecil 12x24 100 lembar</v>
      </c>
      <c r="P5732">
        <f>IF(OR(M5732="",N5732=""),"",SUMIFS('Barang Keluar'!$E:$E,'Barang Keluar'!$A:$A,M5732,'Barang Keluar'!$C:$C,N5732))</f>
        <v>0</v>
      </c>
    </row>
    <row r="5733" spans="13:16">
      <c r="M5733" s="49">
        <f>IF($A$4+57&gt;$B$4,"",$A$4+57)</f>
        <v>46080</v>
      </c>
      <c r="N5733" t="str">
        <f>IF(M5733="","",'Master Barang'!A27)</f>
        <v>PRL-026</v>
      </c>
      <c r="O5733" t="str">
        <f>IF(N5733="","",'Master Barang'!B27)</f>
        <v>lancar kresek kecil bening </v>
      </c>
      <c r="P5733">
        <f>IF(OR(M5733="",N5733=""),"",SUMIFS('Barang Keluar'!$E:$E,'Barang Keluar'!$A:$A,M5733,'Barang Keluar'!$C:$C,N5733))</f>
        <v>0</v>
      </c>
    </row>
    <row r="5734" spans="13:16">
      <c r="M5734" s="49">
        <f>IF($A$4+57&gt;$B$4,"",$A$4+57)</f>
        <v>46080</v>
      </c>
      <c r="N5734" t="str">
        <f>IF(M5734="","",'Master Barang'!A28)</f>
        <v>PRL-027</v>
      </c>
      <c r="O5734" t="str">
        <f>IF(N5734="","",'Master Barang'!B28)</f>
        <v>kresek klin warna warni kecil</v>
      </c>
      <c r="P5734">
        <f>IF(OR(M5734="",N5734=""),"",SUMIFS('Barang Keluar'!$E:$E,'Barang Keluar'!$A:$A,M5734,'Barang Keluar'!$C:$C,N5734))</f>
        <v>0</v>
      </c>
    </row>
    <row r="5735" spans="13:16">
      <c r="M5735" s="49">
        <f>IF($A$4+57&gt;$B$4,"",$A$4+57)</f>
        <v>46080</v>
      </c>
      <c r="N5735" t="str">
        <f>IF(M5735="","",'Master Barang'!A29)</f>
        <v>PRL-028</v>
      </c>
      <c r="O5735" t="str">
        <f>IF(N5735="","",'Master Barang'!B29)</f>
        <v>ctik plastik 7x10 100 pcs</v>
      </c>
      <c r="P5735">
        <f>IF(OR(M5735="",N5735=""),"",SUMIFS('Barang Keluar'!$E:$E,'Barang Keluar'!$A:$A,M5735,'Barang Keluar'!$C:$C,N5735))</f>
        <v>0</v>
      </c>
    </row>
    <row r="5736" spans="13:16">
      <c r="M5736" s="49">
        <f>IF($A$4+57&gt;$B$4,"",$A$4+57)</f>
        <v>46080</v>
      </c>
      <c r="N5736" t="str">
        <f>IF(M5736="","",'Master Barang'!A30)</f>
        <v>PRL-029</v>
      </c>
      <c r="O5736" t="str">
        <f>IF(N5736="","",'Master Barang'!B30)</f>
        <v>ctik plastik 6x10 100 pcs</v>
      </c>
      <c r="P5736">
        <f>IF(OR(M5736="",N5736=""),"",SUMIFS('Barang Keluar'!$E:$E,'Barang Keluar'!$A:$A,M5736,'Barang Keluar'!$C:$C,N5736))</f>
        <v>0</v>
      </c>
    </row>
    <row r="5737" spans="13:16">
      <c r="M5737" s="49">
        <f>IF($A$4+57&gt;$B$4,"",$A$4+57)</f>
        <v>46080</v>
      </c>
      <c r="N5737" t="str">
        <f>IF(M5737="","",'Master Barang'!A31)</f>
        <v>PRL-030</v>
      </c>
      <c r="O5737" t="str">
        <f>IF(N5737="","",'Master Barang'!B31)</f>
        <v>klip plastik 25x16 100 pcs</v>
      </c>
      <c r="P5737">
        <f>IF(OR(M5737="",N5737=""),"",SUMIFS('Barang Keluar'!$E:$E,'Barang Keluar'!$A:$A,M5737,'Barang Keluar'!$C:$C,N5737))</f>
        <v>0</v>
      </c>
    </row>
    <row r="5738" spans="13:16">
      <c r="M5738" s="49">
        <f>IF($A$4+57&gt;$B$4,"",$A$4+57)</f>
        <v>46080</v>
      </c>
      <c r="N5738" t="str">
        <f>IF(M5738="","",'Master Barang'!A32)</f>
        <v>PRL-031</v>
      </c>
      <c r="O5738" t="str">
        <f>IF(N5738="","",'Master Barang'!B32)</f>
        <v>tempat saus 20 ml</v>
      </c>
      <c r="P5738">
        <f>IF(OR(M5738="",N5738=""),"",SUMIFS('Barang Keluar'!$E:$E,'Barang Keluar'!$A:$A,M5738,'Barang Keluar'!$C:$C,N5738))</f>
        <v>0</v>
      </c>
    </row>
    <row r="5739" spans="13:16">
      <c r="M5739" s="49">
        <f>IF($A$4+57&gt;$B$4,"",$A$4+57)</f>
        <v>46080</v>
      </c>
      <c r="N5739" t="str">
        <f>IF(M5739="","",'Master Barang'!A33)</f>
        <v>PRL-032</v>
      </c>
      <c r="O5739" t="str">
        <f>IF(N5739="","",'Master Barang'!B33)</f>
        <v>plastik packaging ag box uk sedang</v>
      </c>
      <c r="P5739">
        <f>IF(OR(M5739="",N5739=""),"",SUMIFS('Barang Keluar'!$E:$E,'Barang Keluar'!$A:$A,M5739,'Barang Keluar'!$C:$C,N5739))</f>
        <v>0</v>
      </c>
    </row>
    <row r="5740" spans="13:16">
      <c r="M5740" s="49">
        <f>IF($A$4+57&gt;$B$4,"",$A$4+57)</f>
        <v>46080</v>
      </c>
      <c r="N5740" t="str">
        <f>IF(M5740="","",'Master Barang'!A34)</f>
        <v>PRL-033</v>
      </c>
      <c r="O5740">
        <f>IF(N5740="","",'Master Barang'!B34)</f>
        <v>0</v>
      </c>
      <c r="P5740">
        <f>IF(OR(M5740="",N5740=""),"",SUMIFS('Barang Keluar'!$E:$E,'Barang Keluar'!$A:$A,M5740,'Barang Keluar'!$C:$C,N5740))</f>
        <v>0</v>
      </c>
    </row>
    <row r="5741" spans="13:16">
      <c r="M5741" s="49">
        <f>IF($A$4+57&gt;$B$4,"",$A$4+57)</f>
        <v>46080</v>
      </c>
      <c r="N5741">
        <f>IF(M5741="","",'Master Barang'!A35)</f>
        <v>0</v>
      </c>
      <c r="O5741">
        <f>IF(N5741="","",'Master Barang'!B35)</f>
        <v>0</v>
      </c>
      <c r="P5741">
        <f>IF(OR(M5741="",N5741=""),"",SUMIFS('Barang Keluar'!$E:$E,'Barang Keluar'!$A:$A,M5741,'Barang Keluar'!$C:$C,N5741))</f>
        <v>0</v>
      </c>
    </row>
    <row r="5742" spans="13:16">
      <c r="M5742" s="49">
        <f>IF($A$4+57&gt;$B$4,"",$A$4+57)</f>
        <v>46080</v>
      </c>
      <c r="N5742">
        <f>IF(M5742="","",'Master Barang'!A36)</f>
        <v>0</v>
      </c>
      <c r="O5742">
        <f>IF(N5742="","",'Master Barang'!B36)</f>
        <v>0</v>
      </c>
      <c r="P5742">
        <f>IF(OR(M5742="",N5742=""),"",SUMIFS('Barang Keluar'!$E:$E,'Barang Keluar'!$A:$A,M5742,'Barang Keluar'!$C:$C,N5742))</f>
        <v>0</v>
      </c>
    </row>
    <row r="5743" spans="13:16">
      <c r="M5743" s="49">
        <f>IF($A$4+57&gt;$B$4,"",$A$4+57)</f>
        <v>46080</v>
      </c>
      <c r="N5743">
        <f>IF(M5743="","",'Master Barang'!A37)</f>
        <v>0</v>
      </c>
      <c r="O5743">
        <f>IF(N5743="","",'Master Barang'!B37)</f>
        <v>0</v>
      </c>
      <c r="P5743">
        <f>IF(OR(M5743="",N5743=""),"",SUMIFS('Barang Keluar'!$E:$E,'Barang Keluar'!$A:$A,M5743,'Barang Keluar'!$C:$C,N5743))</f>
        <v>0</v>
      </c>
    </row>
    <row r="5744" spans="13:16">
      <c r="M5744" s="49">
        <f>IF($A$4+57&gt;$B$4,"",$A$4+57)</f>
        <v>46080</v>
      </c>
      <c r="N5744">
        <f>IF(M5744="","",'Master Barang'!A38)</f>
        <v>0</v>
      </c>
      <c r="O5744">
        <f>IF(N5744="","",'Master Barang'!B38)</f>
        <v>0</v>
      </c>
      <c r="P5744">
        <f>IF(OR(M5744="",N5744=""),"",SUMIFS('Barang Keluar'!$E:$E,'Barang Keluar'!$A:$A,M5744,'Barang Keluar'!$C:$C,N5744))</f>
        <v>0</v>
      </c>
    </row>
    <row r="5745" spans="13:16">
      <c r="M5745" s="49">
        <f>IF($A$4+57&gt;$B$4,"",$A$4+57)</f>
        <v>46080</v>
      </c>
      <c r="N5745">
        <f>IF(M5745="","",'Master Barang'!A39)</f>
        <v>0</v>
      </c>
      <c r="O5745">
        <f>IF(N5745="","",'Master Barang'!B39)</f>
        <v>0</v>
      </c>
      <c r="P5745">
        <f>IF(OR(M5745="",N5745=""),"",SUMIFS('Barang Keluar'!$E:$E,'Barang Keluar'!$A:$A,M5745,'Barang Keluar'!$C:$C,N5745))</f>
        <v>0</v>
      </c>
    </row>
    <row r="5746" spans="13:16">
      <c r="M5746" s="49">
        <f>IF($A$4+57&gt;$B$4,"",$A$4+57)</f>
        <v>46080</v>
      </c>
      <c r="N5746">
        <f>IF(M5746="","",'Master Barang'!A40)</f>
        <v>0</v>
      </c>
      <c r="O5746">
        <f>IF(N5746="","",'Master Barang'!B40)</f>
        <v>0</v>
      </c>
      <c r="P5746">
        <f>IF(OR(M5746="",N5746=""),"",SUMIFS('Barang Keluar'!$E:$E,'Barang Keluar'!$A:$A,M5746,'Barang Keluar'!$C:$C,N5746))</f>
        <v>0</v>
      </c>
    </row>
    <row r="5747" spans="13:16">
      <c r="M5747" s="49">
        <f>IF($A$4+57&gt;$B$4,"",$A$4+57)</f>
        <v>46080</v>
      </c>
      <c r="N5747">
        <f>IF(M5747="","",'Master Barang'!A41)</f>
        <v>0</v>
      </c>
      <c r="O5747">
        <f>IF(N5747="","",'Master Barang'!B41)</f>
        <v>0</v>
      </c>
      <c r="P5747">
        <f>IF(OR(M5747="",N5747=""),"",SUMIFS('Barang Keluar'!$E:$E,'Barang Keluar'!$A:$A,M5747,'Barang Keluar'!$C:$C,N5747))</f>
        <v>0</v>
      </c>
    </row>
    <row r="5748" spans="13:16">
      <c r="M5748" s="49">
        <f>IF($A$4+57&gt;$B$4,"",$A$4+57)</f>
        <v>46080</v>
      </c>
      <c r="N5748">
        <f>IF(M5748="","",'Master Barang'!A42)</f>
        <v>0</v>
      </c>
      <c r="O5748">
        <f>IF(N5748="","",'Master Barang'!B42)</f>
        <v>0</v>
      </c>
      <c r="P5748">
        <f>IF(OR(M5748="",N5748=""),"",SUMIFS('Barang Keluar'!$E:$E,'Barang Keluar'!$A:$A,M5748,'Barang Keluar'!$C:$C,N5748))</f>
        <v>0</v>
      </c>
    </row>
    <row r="5749" spans="13:16">
      <c r="M5749" s="49">
        <f>IF($A$4+57&gt;$B$4,"",$A$4+57)</f>
        <v>46080</v>
      </c>
      <c r="N5749">
        <f>IF(M5749="","",'Master Barang'!A43)</f>
        <v>0</v>
      </c>
      <c r="O5749">
        <f>IF(N5749="","",'Master Barang'!B43)</f>
        <v>0</v>
      </c>
      <c r="P5749">
        <f>IF(OR(M5749="",N5749=""),"",SUMIFS('Barang Keluar'!$E:$E,'Barang Keluar'!$A:$A,M5749,'Barang Keluar'!$C:$C,N5749))</f>
        <v>0</v>
      </c>
    </row>
    <row r="5750" spans="13:16">
      <c r="M5750" s="49">
        <f>IF($A$4+57&gt;$B$4,"",$A$4+57)</f>
        <v>46080</v>
      </c>
      <c r="N5750">
        <f>IF(M5750="","",'Master Barang'!A44)</f>
        <v>0</v>
      </c>
      <c r="O5750">
        <f>IF(N5750="","",'Master Barang'!B44)</f>
        <v>0</v>
      </c>
      <c r="P5750">
        <f>IF(OR(M5750="",N5750=""),"",SUMIFS('Barang Keluar'!$E:$E,'Barang Keluar'!$A:$A,M5750,'Barang Keluar'!$C:$C,N5750))</f>
        <v>0</v>
      </c>
    </row>
    <row r="5751" spans="13:16">
      <c r="M5751" s="49">
        <f>IF($A$4+57&gt;$B$4,"",$A$4+57)</f>
        <v>46080</v>
      </c>
      <c r="N5751">
        <f>IF(M5751="","",'Master Barang'!A45)</f>
        <v>0</v>
      </c>
      <c r="O5751">
        <f>IF(N5751="","",'Master Barang'!B45)</f>
        <v>0</v>
      </c>
      <c r="P5751">
        <f>IF(OR(M5751="",N5751=""),"",SUMIFS('Barang Keluar'!$E:$E,'Barang Keluar'!$A:$A,M5751,'Barang Keluar'!$C:$C,N5751))</f>
        <v>0</v>
      </c>
    </row>
    <row r="5752" spans="13:16">
      <c r="M5752" s="49">
        <f>IF($A$4+57&gt;$B$4,"",$A$4+57)</f>
        <v>46080</v>
      </c>
      <c r="N5752">
        <f>IF(M5752="","",'Master Barang'!A46)</f>
        <v>0</v>
      </c>
      <c r="O5752">
        <f>IF(N5752="","",'Master Barang'!B46)</f>
        <v>0</v>
      </c>
      <c r="P5752">
        <f>IF(OR(M5752="",N5752=""),"",SUMIFS('Barang Keluar'!$E:$E,'Barang Keluar'!$A:$A,M5752,'Barang Keluar'!$C:$C,N5752))</f>
        <v>0</v>
      </c>
    </row>
    <row r="5753" spans="13:16">
      <c r="M5753" s="49">
        <f>IF($A$4+57&gt;$B$4,"",$A$4+57)</f>
        <v>46080</v>
      </c>
      <c r="N5753">
        <f>IF(M5753="","",'Master Barang'!A47)</f>
        <v>0</v>
      </c>
      <c r="O5753">
        <f>IF(N5753="","",'Master Barang'!B47)</f>
        <v>0</v>
      </c>
      <c r="P5753">
        <f>IF(OR(M5753="",N5753=""),"",SUMIFS('Barang Keluar'!$E:$E,'Barang Keluar'!$A:$A,M5753,'Barang Keluar'!$C:$C,N5753))</f>
        <v>0</v>
      </c>
    </row>
    <row r="5754" spans="13:16">
      <c r="M5754" s="49">
        <f>IF($A$4+57&gt;$B$4,"",$A$4+57)</f>
        <v>46080</v>
      </c>
      <c r="N5754">
        <f>IF(M5754="","",'Master Barang'!A48)</f>
        <v>0</v>
      </c>
      <c r="O5754">
        <f>IF(N5754="","",'Master Barang'!B48)</f>
        <v>0</v>
      </c>
      <c r="P5754">
        <f>IF(OR(M5754="",N5754=""),"",SUMIFS('Barang Keluar'!$E:$E,'Barang Keluar'!$A:$A,M5754,'Barang Keluar'!$C:$C,N5754))</f>
        <v>0</v>
      </c>
    </row>
    <row r="5755" spans="13:16">
      <c r="M5755" s="49">
        <f>IF($A$4+57&gt;$B$4,"",$A$4+57)</f>
        <v>46080</v>
      </c>
      <c r="N5755">
        <f>IF(M5755="","",'Master Barang'!A49)</f>
        <v>0</v>
      </c>
      <c r="O5755">
        <f>IF(N5755="","",'Master Barang'!B49)</f>
        <v>0</v>
      </c>
      <c r="P5755">
        <f>IF(OR(M5755="",N5755=""),"",SUMIFS('Barang Keluar'!$E:$E,'Barang Keluar'!$A:$A,M5755,'Barang Keluar'!$C:$C,N5755))</f>
        <v>0</v>
      </c>
    </row>
    <row r="5756" spans="13:16">
      <c r="M5756" s="49">
        <f>IF($A$4+57&gt;$B$4,"",$A$4+57)</f>
        <v>46080</v>
      </c>
      <c r="N5756">
        <f>IF(M5756="","",'Master Barang'!A50)</f>
        <v>0</v>
      </c>
      <c r="O5756">
        <f>IF(N5756="","",'Master Barang'!B50)</f>
        <v>0</v>
      </c>
      <c r="P5756">
        <f>IF(OR(M5756="",N5756=""),"",SUMIFS('Barang Keluar'!$E:$E,'Barang Keluar'!$A:$A,M5756,'Barang Keluar'!$C:$C,N5756))</f>
        <v>0</v>
      </c>
    </row>
    <row r="5757" spans="13:16">
      <c r="M5757" s="49">
        <f>IF($A$4+57&gt;$B$4,"",$A$4+57)</f>
        <v>46080</v>
      </c>
      <c r="N5757">
        <f>IF(M5757="","",'Master Barang'!A51)</f>
        <v>0</v>
      </c>
      <c r="O5757">
        <f>IF(N5757="","",'Master Barang'!B51)</f>
        <v>0</v>
      </c>
      <c r="P5757">
        <f>IF(OR(M5757="",N5757=""),"",SUMIFS('Barang Keluar'!$E:$E,'Barang Keluar'!$A:$A,M5757,'Barang Keluar'!$C:$C,N5757))</f>
        <v>0</v>
      </c>
    </row>
    <row r="5758" spans="13:16">
      <c r="M5758" s="49">
        <f>IF($A$4+57&gt;$B$4,"",$A$4+57)</f>
        <v>46080</v>
      </c>
      <c r="N5758">
        <f>IF(M5758="","",'Master Barang'!A52)</f>
        <v>0</v>
      </c>
      <c r="O5758">
        <f>IF(N5758="","",'Master Barang'!B52)</f>
        <v>0</v>
      </c>
      <c r="P5758">
        <f>IF(OR(M5758="",N5758=""),"",SUMIFS('Barang Keluar'!$E:$E,'Barang Keluar'!$A:$A,M5758,'Barang Keluar'!$C:$C,N5758))</f>
        <v>0</v>
      </c>
    </row>
    <row r="5759" spans="13:16">
      <c r="M5759" s="49">
        <f>IF($A$4+57&gt;$B$4,"",$A$4+57)</f>
        <v>46080</v>
      </c>
      <c r="N5759">
        <f>IF(M5759="","",'Master Barang'!A53)</f>
        <v>0</v>
      </c>
      <c r="O5759">
        <f>IF(N5759="","",'Master Barang'!B53)</f>
        <v>0</v>
      </c>
      <c r="P5759">
        <f>IF(OR(M5759="",N5759=""),"",SUMIFS('Barang Keluar'!$E:$E,'Barang Keluar'!$A:$A,M5759,'Barang Keluar'!$C:$C,N5759))</f>
        <v>0</v>
      </c>
    </row>
    <row r="5760" spans="13:16">
      <c r="M5760" s="49">
        <f>IF($A$4+57&gt;$B$4,"",$A$4+57)</f>
        <v>46080</v>
      </c>
      <c r="N5760">
        <f>IF(M5760="","",'Master Barang'!A54)</f>
        <v>0</v>
      </c>
      <c r="O5760">
        <f>IF(N5760="","",'Master Barang'!B54)</f>
        <v>0</v>
      </c>
      <c r="P5760">
        <f>IF(OR(M5760="",N5760=""),"",SUMIFS('Barang Keluar'!$E:$E,'Barang Keluar'!$A:$A,M5760,'Barang Keluar'!$C:$C,N5760))</f>
        <v>0</v>
      </c>
    </row>
    <row r="5761" spans="13:16">
      <c r="M5761" s="49">
        <f>IF($A$4+57&gt;$B$4,"",$A$4+57)</f>
        <v>46080</v>
      </c>
      <c r="N5761">
        <f>IF(M5761="","",'Master Barang'!A55)</f>
        <v>0</v>
      </c>
      <c r="O5761">
        <f>IF(N5761="","",'Master Barang'!B55)</f>
        <v>0</v>
      </c>
      <c r="P5761">
        <f>IF(OR(M5761="",N5761=""),"",SUMIFS('Barang Keluar'!$E:$E,'Barang Keluar'!$A:$A,M5761,'Barang Keluar'!$C:$C,N5761))</f>
        <v>0</v>
      </c>
    </row>
    <row r="5762" spans="13:16">
      <c r="M5762" s="49">
        <f>IF($A$4+57&gt;$B$4,"",$A$4+57)</f>
        <v>46080</v>
      </c>
      <c r="N5762">
        <f>IF(M5762="","",'Master Barang'!A56)</f>
        <v>0</v>
      </c>
      <c r="O5762">
        <f>IF(N5762="","",'Master Barang'!B56)</f>
        <v>0</v>
      </c>
      <c r="P5762">
        <f>IF(OR(M5762="",N5762=""),"",SUMIFS('Barang Keluar'!$E:$E,'Barang Keluar'!$A:$A,M5762,'Barang Keluar'!$C:$C,N5762))</f>
        <v>0</v>
      </c>
    </row>
    <row r="5763" spans="13:16">
      <c r="M5763" s="49">
        <f>IF($A$4+57&gt;$B$4,"",$A$4+57)</f>
        <v>46080</v>
      </c>
      <c r="N5763">
        <f>IF(M5763="","",'Master Barang'!A57)</f>
        <v>0</v>
      </c>
      <c r="O5763">
        <f>IF(N5763="","",'Master Barang'!B57)</f>
        <v>0</v>
      </c>
      <c r="P5763">
        <f>IF(OR(M5763="",N5763=""),"",SUMIFS('Barang Keluar'!$E:$E,'Barang Keluar'!$A:$A,M5763,'Barang Keluar'!$C:$C,N5763))</f>
        <v>0</v>
      </c>
    </row>
    <row r="5764" spans="13:16">
      <c r="M5764" s="49">
        <f>IF($A$4+57&gt;$B$4,"",$A$4+57)</f>
        <v>46080</v>
      </c>
      <c r="N5764">
        <f>IF(M5764="","",'Master Barang'!A58)</f>
        <v>0</v>
      </c>
      <c r="O5764">
        <f>IF(N5764="","",'Master Barang'!B58)</f>
        <v>0</v>
      </c>
      <c r="P5764">
        <f>IF(OR(M5764="",N5764=""),"",SUMIFS('Barang Keluar'!$E:$E,'Barang Keluar'!$A:$A,M5764,'Barang Keluar'!$C:$C,N5764))</f>
        <v>0</v>
      </c>
    </row>
    <row r="5765" spans="13:16">
      <c r="M5765" s="49">
        <f>IF($A$4+57&gt;$B$4,"",$A$4+57)</f>
        <v>46080</v>
      </c>
      <c r="N5765">
        <f>IF(M5765="","",'Master Barang'!A59)</f>
        <v>0</v>
      </c>
      <c r="O5765">
        <f>IF(N5765="","",'Master Barang'!B59)</f>
        <v>0</v>
      </c>
      <c r="P5765">
        <f>IF(OR(M5765="",N5765=""),"",SUMIFS('Barang Keluar'!$E:$E,'Barang Keluar'!$A:$A,M5765,'Barang Keluar'!$C:$C,N5765))</f>
        <v>0</v>
      </c>
    </row>
    <row r="5766" spans="13:16">
      <c r="M5766" s="49">
        <f>IF($A$4+57&gt;$B$4,"",$A$4+57)</f>
        <v>46080</v>
      </c>
      <c r="N5766">
        <f>IF(M5766="","",'Master Barang'!A60)</f>
        <v>0</v>
      </c>
      <c r="O5766">
        <f>IF(N5766="","",'Master Barang'!B60)</f>
        <v>0</v>
      </c>
      <c r="P5766">
        <f>IF(OR(M5766="",N5766=""),"",SUMIFS('Barang Keluar'!$E:$E,'Barang Keluar'!$A:$A,M5766,'Barang Keluar'!$C:$C,N5766))</f>
        <v>0</v>
      </c>
    </row>
    <row r="5767" spans="13:16">
      <c r="M5767" s="49">
        <f>IF($A$4+57&gt;$B$4,"",$A$4+57)</f>
        <v>46080</v>
      </c>
      <c r="N5767">
        <f>IF(M5767="","",'Master Barang'!A61)</f>
        <v>0</v>
      </c>
      <c r="O5767">
        <f>IF(N5767="","",'Master Barang'!B61)</f>
        <v>0</v>
      </c>
      <c r="P5767">
        <f>IF(OR(M5767="",N5767=""),"",SUMIFS('Barang Keluar'!$E:$E,'Barang Keluar'!$A:$A,M5767,'Barang Keluar'!$C:$C,N5767))</f>
        <v>0</v>
      </c>
    </row>
    <row r="5768" spans="13:16">
      <c r="M5768" s="49">
        <f>IF($A$4+57&gt;$B$4,"",$A$4+57)</f>
        <v>46080</v>
      </c>
      <c r="N5768">
        <f>IF(M5768="","",'Master Barang'!A62)</f>
        <v>0</v>
      </c>
      <c r="O5768">
        <f>IF(N5768="","",'Master Barang'!B62)</f>
        <v>0</v>
      </c>
      <c r="P5768">
        <f>IF(OR(M5768="",N5768=""),"",SUMIFS('Barang Keluar'!$E:$E,'Barang Keluar'!$A:$A,M5768,'Barang Keluar'!$C:$C,N5768))</f>
        <v>0</v>
      </c>
    </row>
    <row r="5769" spans="13:16">
      <c r="M5769" s="49">
        <f>IF($A$4+57&gt;$B$4,"",$A$4+57)</f>
        <v>46080</v>
      </c>
      <c r="N5769">
        <f>IF(M5769="","",'Master Barang'!A63)</f>
        <v>0</v>
      </c>
      <c r="O5769">
        <f>IF(N5769="","",'Master Barang'!B63)</f>
        <v>0</v>
      </c>
      <c r="P5769">
        <f>IF(OR(M5769="",N5769=""),"",SUMIFS('Barang Keluar'!$E:$E,'Barang Keluar'!$A:$A,M5769,'Barang Keluar'!$C:$C,N5769))</f>
        <v>0</v>
      </c>
    </row>
    <row r="5770" spans="13:16">
      <c r="M5770" s="49">
        <f>IF($A$4+57&gt;$B$4,"",$A$4+57)</f>
        <v>46080</v>
      </c>
      <c r="N5770">
        <f>IF(M5770="","",'Master Barang'!A64)</f>
        <v>0</v>
      </c>
      <c r="O5770">
        <f>IF(N5770="","",'Master Barang'!B64)</f>
        <v>0</v>
      </c>
      <c r="P5770">
        <f>IF(OR(M5770="",N5770=""),"",SUMIFS('Barang Keluar'!$E:$E,'Barang Keluar'!$A:$A,M5770,'Barang Keluar'!$C:$C,N5770))</f>
        <v>0</v>
      </c>
    </row>
    <row r="5771" spans="13:16">
      <c r="M5771" s="49">
        <f>IF($A$4+57&gt;$B$4,"",$A$4+57)</f>
        <v>46080</v>
      </c>
      <c r="N5771">
        <f>IF(M5771="","",'Master Barang'!A65)</f>
        <v>0</v>
      </c>
      <c r="O5771">
        <f>IF(N5771="","",'Master Barang'!B65)</f>
        <v>0</v>
      </c>
      <c r="P5771">
        <f>IF(OR(M5771="",N5771=""),"",SUMIFS('Barang Keluar'!$E:$E,'Barang Keluar'!$A:$A,M5771,'Barang Keluar'!$C:$C,N5771))</f>
        <v>0</v>
      </c>
    </row>
    <row r="5772" spans="13:16">
      <c r="M5772" s="49">
        <f>IF($A$4+57&gt;$B$4,"",$A$4+57)</f>
        <v>46080</v>
      </c>
      <c r="N5772">
        <f>IF(M5772="","",'Master Barang'!A66)</f>
        <v>0</v>
      </c>
      <c r="O5772">
        <f>IF(N5772="","",'Master Barang'!B66)</f>
        <v>0</v>
      </c>
      <c r="P5772">
        <f>IF(OR(M5772="",N5772=""),"",SUMIFS('Barang Keluar'!$E:$E,'Barang Keluar'!$A:$A,M5772,'Barang Keluar'!$C:$C,N5772))</f>
        <v>0</v>
      </c>
    </row>
    <row r="5773" spans="13:16">
      <c r="M5773" s="49">
        <f>IF($A$4+57&gt;$B$4,"",$A$4+57)</f>
        <v>46080</v>
      </c>
      <c r="N5773">
        <f>IF(M5773="","",'Master Barang'!A67)</f>
        <v>0</v>
      </c>
      <c r="O5773">
        <f>IF(N5773="","",'Master Barang'!B67)</f>
        <v>0</v>
      </c>
      <c r="P5773">
        <f>IF(OR(M5773="",N5773=""),"",SUMIFS('Barang Keluar'!$E:$E,'Barang Keluar'!$A:$A,M5773,'Barang Keluar'!$C:$C,N5773))</f>
        <v>0</v>
      </c>
    </row>
    <row r="5774" spans="13:16">
      <c r="M5774" s="49">
        <f>IF($A$4+57&gt;$B$4,"",$A$4+57)</f>
        <v>46080</v>
      </c>
      <c r="N5774">
        <f>IF(M5774="","",'Master Barang'!A68)</f>
        <v>0</v>
      </c>
      <c r="O5774">
        <f>IF(N5774="","",'Master Barang'!B68)</f>
        <v>0</v>
      </c>
      <c r="P5774">
        <f>IF(OR(M5774="",N5774=""),"",SUMIFS('Barang Keluar'!$E:$E,'Barang Keluar'!$A:$A,M5774,'Barang Keluar'!$C:$C,N5774))</f>
        <v>0</v>
      </c>
    </row>
    <row r="5775" spans="13:16">
      <c r="M5775" s="49">
        <f>IF($A$4+57&gt;$B$4,"",$A$4+57)</f>
        <v>46080</v>
      </c>
      <c r="N5775">
        <f>IF(M5775="","",'Master Barang'!A69)</f>
        <v>0</v>
      </c>
      <c r="O5775">
        <f>IF(N5775="","",'Master Barang'!B69)</f>
        <v>0</v>
      </c>
      <c r="P5775">
        <f>IF(OR(M5775="",N5775=""),"",SUMIFS('Barang Keluar'!$E:$E,'Barang Keluar'!$A:$A,M5775,'Barang Keluar'!$C:$C,N5775))</f>
        <v>0</v>
      </c>
    </row>
    <row r="5776" spans="13:16">
      <c r="M5776" s="49">
        <f>IF($A$4+57&gt;$B$4,"",$A$4+57)</f>
        <v>46080</v>
      </c>
      <c r="N5776">
        <f>IF(M5776="","",'Master Barang'!A70)</f>
        <v>0</v>
      </c>
      <c r="O5776">
        <f>IF(N5776="","",'Master Barang'!B70)</f>
        <v>0</v>
      </c>
      <c r="P5776">
        <f>IF(OR(M5776="",N5776=""),"",SUMIFS('Barang Keluar'!$E:$E,'Barang Keluar'!$A:$A,M5776,'Barang Keluar'!$C:$C,N5776))</f>
        <v>0</v>
      </c>
    </row>
    <row r="5777" spans="13:16">
      <c r="M5777" s="49">
        <f>IF($A$4+57&gt;$B$4,"",$A$4+57)</f>
        <v>46080</v>
      </c>
      <c r="N5777">
        <f>IF(M5777="","",'Master Barang'!A71)</f>
        <v>0</v>
      </c>
      <c r="O5777">
        <f>IF(N5777="","",'Master Barang'!B71)</f>
        <v>0</v>
      </c>
      <c r="P5777">
        <f>IF(OR(M5777="",N5777=""),"",SUMIFS('Barang Keluar'!$E:$E,'Barang Keluar'!$A:$A,M5777,'Barang Keluar'!$C:$C,N5777))</f>
        <v>0</v>
      </c>
    </row>
    <row r="5778" spans="13:16">
      <c r="M5778" s="49">
        <f>IF($A$4+57&gt;$B$4,"",$A$4+57)</f>
        <v>46080</v>
      </c>
      <c r="N5778">
        <f>IF(M5778="","",'Master Barang'!A72)</f>
        <v>0</v>
      </c>
      <c r="O5778">
        <f>IF(N5778="","",'Master Barang'!B72)</f>
        <v>0</v>
      </c>
      <c r="P5778">
        <f>IF(OR(M5778="",N5778=""),"",SUMIFS('Barang Keluar'!$E:$E,'Barang Keluar'!$A:$A,M5778,'Barang Keluar'!$C:$C,N5778))</f>
        <v>0</v>
      </c>
    </row>
    <row r="5779" spans="13:16">
      <c r="M5779" s="49">
        <f>IF($A$4+57&gt;$B$4,"",$A$4+57)</f>
        <v>46080</v>
      </c>
      <c r="N5779">
        <f>IF(M5779="","",'Master Barang'!A73)</f>
        <v>0</v>
      </c>
      <c r="O5779">
        <f>IF(N5779="","",'Master Barang'!B73)</f>
        <v>0</v>
      </c>
      <c r="P5779">
        <f>IF(OR(M5779="",N5779=""),"",SUMIFS('Barang Keluar'!$E:$E,'Barang Keluar'!$A:$A,M5779,'Barang Keluar'!$C:$C,N5779))</f>
        <v>0</v>
      </c>
    </row>
    <row r="5780" spans="13:16">
      <c r="M5780" s="49">
        <f>IF($A$4+57&gt;$B$4,"",$A$4+57)</f>
        <v>46080</v>
      </c>
      <c r="N5780">
        <f>IF(M5780="","",'Master Barang'!A74)</f>
        <v>0</v>
      </c>
      <c r="O5780">
        <f>IF(N5780="","",'Master Barang'!B74)</f>
        <v>0</v>
      </c>
      <c r="P5780">
        <f>IF(OR(M5780="",N5780=""),"",SUMIFS('Barang Keluar'!$E:$E,'Barang Keluar'!$A:$A,M5780,'Barang Keluar'!$C:$C,N5780))</f>
        <v>0</v>
      </c>
    </row>
    <row r="5781" spans="13:16">
      <c r="M5781" s="49">
        <f>IF($A$4+57&gt;$B$4,"",$A$4+57)</f>
        <v>46080</v>
      </c>
      <c r="N5781">
        <f>IF(M5781="","",'Master Barang'!A75)</f>
        <v>0</v>
      </c>
      <c r="O5781">
        <f>IF(N5781="","",'Master Barang'!B75)</f>
        <v>0</v>
      </c>
      <c r="P5781">
        <f>IF(OR(M5781="",N5781=""),"",SUMIFS('Barang Keluar'!$E:$E,'Barang Keluar'!$A:$A,M5781,'Barang Keluar'!$C:$C,N5781))</f>
        <v>0</v>
      </c>
    </row>
    <row r="5782" spans="13:16">
      <c r="M5782" s="49">
        <f>IF($A$4+57&gt;$B$4,"",$A$4+57)</f>
        <v>46080</v>
      </c>
      <c r="N5782">
        <f>IF(M5782="","",'Master Barang'!A76)</f>
        <v>0</v>
      </c>
      <c r="O5782">
        <f>IF(N5782="","",'Master Barang'!B76)</f>
        <v>0</v>
      </c>
      <c r="P5782">
        <f>IF(OR(M5782="",N5782=""),"",SUMIFS('Barang Keluar'!$E:$E,'Barang Keluar'!$A:$A,M5782,'Barang Keluar'!$C:$C,N5782))</f>
        <v>0</v>
      </c>
    </row>
    <row r="5783" spans="13:16">
      <c r="M5783" s="49">
        <f>IF($A$4+57&gt;$B$4,"",$A$4+57)</f>
        <v>46080</v>
      </c>
      <c r="N5783">
        <f>IF(M5783="","",'Master Barang'!A77)</f>
        <v>0</v>
      </c>
      <c r="O5783">
        <f>IF(N5783="","",'Master Barang'!B77)</f>
        <v>0</v>
      </c>
      <c r="P5783">
        <f>IF(OR(M5783="",N5783=""),"",SUMIFS('Barang Keluar'!$E:$E,'Barang Keluar'!$A:$A,M5783,'Barang Keluar'!$C:$C,N5783))</f>
        <v>0</v>
      </c>
    </row>
    <row r="5784" spans="13:16">
      <c r="M5784" s="49">
        <f>IF($A$4+57&gt;$B$4,"",$A$4+57)</f>
        <v>46080</v>
      </c>
      <c r="N5784">
        <f>IF(M5784="","",'Master Barang'!A78)</f>
        <v>0</v>
      </c>
      <c r="O5784">
        <f>IF(N5784="","",'Master Barang'!B78)</f>
        <v>0</v>
      </c>
      <c r="P5784">
        <f>IF(OR(M5784="",N5784=""),"",SUMIFS('Barang Keluar'!$E:$E,'Barang Keluar'!$A:$A,M5784,'Barang Keluar'!$C:$C,N5784))</f>
        <v>0</v>
      </c>
    </row>
    <row r="5785" spans="13:16">
      <c r="M5785" s="49">
        <f>IF($A$4+57&gt;$B$4,"",$A$4+57)</f>
        <v>46080</v>
      </c>
      <c r="N5785">
        <f>IF(M5785="","",'Master Barang'!A79)</f>
        <v>0</v>
      </c>
      <c r="O5785">
        <f>IF(N5785="","",'Master Barang'!B79)</f>
        <v>0</v>
      </c>
      <c r="P5785">
        <f>IF(OR(M5785="",N5785=""),"",SUMIFS('Barang Keluar'!$E:$E,'Barang Keluar'!$A:$A,M5785,'Barang Keluar'!$C:$C,N5785))</f>
        <v>0</v>
      </c>
    </row>
    <row r="5786" spans="13:16">
      <c r="M5786" s="49">
        <f>IF($A$4+57&gt;$B$4,"",$A$4+57)</f>
        <v>46080</v>
      </c>
      <c r="N5786">
        <f>IF(M5786="","",'Master Barang'!A80)</f>
        <v>0</v>
      </c>
      <c r="O5786">
        <f>IF(N5786="","",'Master Barang'!B80)</f>
        <v>0</v>
      </c>
      <c r="P5786">
        <f>IF(OR(M5786="",N5786=""),"",SUMIFS('Barang Keluar'!$E:$E,'Barang Keluar'!$A:$A,M5786,'Barang Keluar'!$C:$C,N5786))</f>
        <v>0</v>
      </c>
    </row>
    <row r="5787" spans="13:16">
      <c r="M5787" s="49">
        <f>IF($A$4+57&gt;$B$4,"",$A$4+57)</f>
        <v>46080</v>
      </c>
      <c r="N5787">
        <f>IF(M5787="","",'Master Barang'!A81)</f>
        <v>0</v>
      </c>
      <c r="O5787">
        <f>IF(N5787="","",'Master Barang'!B81)</f>
        <v>0</v>
      </c>
      <c r="P5787">
        <f>IF(OR(M5787="",N5787=""),"",SUMIFS('Barang Keluar'!$E:$E,'Barang Keluar'!$A:$A,M5787,'Barang Keluar'!$C:$C,N5787))</f>
        <v>0</v>
      </c>
    </row>
    <row r="5788" spans="13:16">
      <c r="M5788" s="49">
        <f>IF($A$4+57&gt;$B$4,"",$A$4+57)</f>
        <v>46080</v>
      </c>
      <c r="N5788">
        <f>IF(M5788="","",'Master Barang'!A82)</f>
        <v>0</v>
      </c>
      <c r="O5788">
        <f>IF(N5788="","",'Master Barang'!B82)</f>
        <v>0</v>
      </c>
      <c r="P5788">
        <f>IF(OR(M5788="",N5788=""),"",SUMIFS('Barang Keluar'!$E:$E,'Barang Keluar'!$A:$A,M5788,'Barang Keluar'!$C:$C,N5788))</f>
        <v>0</v>
      </c>
    </row>
    <row r="5789" spans="13:16">
      <c r="M5789" s="49">
        <f>IF($A$4+57&gt;$B$4,"",$A$4+57)</f>
        <v>46080</v>
      </c>
      <c r="N5789">
        <f>IF(M5789="","",'Master Barang'!A83)</f>
        <v>0</v>
      </c>
      <c r="O5789">
        <f>IF(N5789="","",'Master Barang'!B83)</f>
        <v>0</v>
      </c>
      <c r="P5789">
        <f>IF(OR(M5789="",N5789=""),"",SUMIFS('Barang Keluar'!$E:$E,'Barang Keluar'!$A:$A,M5789,'Barang Keluar'!$C:$C,N5789))</f>
        <v>0</v>
      </c>
    </row>
    <row r="5790" spans="13:16">
      <c r="M5790" s="49">
        <f>IF($A$4+57&gt;$B$4,"",$A$4+57)</f>
        <v>46080</v>
      </c>
      <c r="N5790">
        <f>IF(M5790="","",'Master Barang'!A84)</f>
        <v>0</v>
      </c>
      <c r="O5790">
        <f>IF(N5790="","",'Master Barang'!B84)</f>
        <v>0</v>
      </c>
      <c r="P5790">
        <f>IF(OR(M5790="",N5790=""),"",SUMIFS('Barang Keluar'!$E:$E,'Barang Keluar'!$A:$A,M5790,'Barang Keluar'!$C:$C,N5790))</f>
        <v>0</v>
      </c>
    </row>
    <row r="5791" spans="13:16">
      <c r="M5791" s="49">
        <f>IF($A$4+57&gt;$B$4,"",$A$4+57)</f>
        <v>46080</v>
      </c>
      <c r="N5791">
        <f>IF(M5791="","",'Master Barang'!A85)</f>
        <v>0</v>
      </c>
      <c r="O5791">
        <f>IF(N5791="","",'Master Barang'!B85)</f>
        <v>0</v>
      </c>
      <c r="P5791">
        <f>IF(OR(M5791="",N5791=""),"",SUMIFS('Barang Keluar'!$E:$E,'Barang Keluar'!$A:$A,M5791,'Barang Keluar'!$C:$C,N5791))</f>
        <v>0</v>
      </c>
    </row>
    <row r="5792" spans="13:16">
      <c r="M5792" s="49">
        <f>IF($A$4+57&gt;$B$4,"",$A$4+57)</f>
        <v>46080</v>
      </c>
      <c r="N5792">
        <f>IF(M5792="","",'Master Barang'!A86)</f>
        <v>0</v>
      </c>
      <c r="O5792">
        <f>IF(N5792="","",'Master Barang'!B86)</f>
        <v>0</v>
      </c>
      <c r="P5792">
        <f>IF(OR(M5792="",N5792=""),"",SUMIFS('Barang Keluar'!$E:$E,'Barang Keluar'!$A:$A,M5792,'Barang Keluar'!$C:$C,N5792))</f>
        <v>0</v>
      </c>
    </row>
    <row r="5793" spans="13:16">
      <c r="M5793" s="49">
        <f>IF($A$4+57&gt;$B$4,"",$A$4+57)</f>
        <v>46080</v>
      </c>
      <c r="N5793">
        <f>IF(M5793="","",'Master Barang'!A87)</f>
        <v>0</v>
      </c>
      <c r="O5793">
        <f>IF(N5793="","",'Master Barang'!B87)</f>
        <v>0</v>
      </c>
      <c r="P5793">
        <f>IF(OR(M5793="",N5793=""),"",SUMIFS('Barang Keluar'!$E:$E,'Barang Keluar'!$A:$A,M5793,'Barang Keluar'!$C:$C,N5793))</f>
        <v>0</v>
      </c>
    </row>
    <row r="5794" spans="13:16">
      <c r="M5794" s="49">
        <f>IF($A$4+57&gt;$B$4,"",$A$4+57)</f>
        <v>46080</v>
      </c>
      <c r="N5794">
        <f>IF(M5794="","",'Master Barang'!A88)</f>
        <v>0</v>
      </c>
      <c r="O5794">
        <f>IF(N5794="","",'Master Barang'!B88)</f>
        <v>0</v>
      </c>
      <c r="P5794">
        <f>IF(OR(M5794="",N5794=""),"",SUMIFS('Barang Keluar'!$E:$E,'Barang Keluar'!$A:$A,M5794,'Barang Keluar'!$C:$C,N5794))</f>
        <v>0</v>
      </c>
    </row>
    <row r="5795" spans="13:16">
      <c r="M5795" s="49">
        <f>IF($A$4+57&gt;$B$4,"",$A$4+57)</f>
        <v>46080</v>
      </c>
      <c r="N5795">
        <f>IF(M5795="","",'Master Barang'!A89)</f>
        <v>0</v>
      </c>
      <c r="O5795">
        <f>IF(N5795="","",'Master Barang'!B89)</f>
        <v>0</v>
      </c>
      <c r="P5795">
        <f>IF(OR(M5795="",N5795=""),"",SUMIFS('Barang Keluar'!$E:$E,'Barang Keluar'!$A:$A,M5795,'Barang Keluar'!$C:$C,N5795))</f>
        <v>0</v>
      </c>
    </row>
    <row r="5796" spans="13:16">
      <c r="M5796" s="49">
        <f>IF($A$4+57&gt;$B$4,"",$A$4+57)</f>
        <v>46080</v>
      </c>
      <c r="N5796">
        <f>IF(M5796="","",'Master Barang'!A90)</f>
        <v>0</v>
      </c>
      <c r="O5796">
        <f>IF(N5796="","",'Master Barang'!B90)</f>
        <v>0</v>
      </c>
      <c r="P5796">
        <f>IF(OR(M5796="",N5796=""),"",SUMIFS('Barang Keluar'!$E:$E,'Barang Keluar'!$A:$A,M5796,'Barang Keluar'!$C:$C,N5796))</f>
        <v>0</v>
      </c>
    </row>
    <row r="5797" spans="13:16">
      <c r="M5797" s="49">
        <f>IF($A$4+57&gt;$B$4,"",$A$4+57)</f>
        <v>46080</v>
      </c>
      <c r="N5797">
        <f>IF(M5797="","",'Master Barang'!A91)</f>
        <v>0</v>
      </c>
      <c r="O5797">
        <f>IF(N5797="","",'Master Barang'!B91)</f>
        <v>0</v>
      </c>
      <c r="P5797">
        <f>IF(OR(M5797="",N5797=""),"",SUMIFS('Barang Keluar'!$E:$E,'Barang Keluar'!$A:$A,M5797,'Barang Keluar'!$C:$C,N5797))</f>
        <v>0</v>
      </c>
    </row>
    <row r="5798" spans="13:16">
      <c r="M5798" s="49">
        <f>IF($A$4+57&gt;$B$4,"",$A$4+57)</f>
        <v>46080</v>
      </c>
      <c r="N5798">
        <f>IF(M5798="","",'Master Barang'!A92)</f>
        <v>0</v>
      </c>
      <c r="O5798">
        <f>IF(N5798="","",'Master Barang'!B92)</f>
        <v>0</v>
      </c>
      <c r="P5798">
        <f>IF(OR(M5798="",N5798=""),"",SUMIFS('Barang Keluar'!$E:$E,'Barang Keluar'!$A:$A,M5798,'Barang Keluar'!$C:$C,N5798))</f>
        <v>0</v>
      </c>
    </row>
    <row r="5799" spans="13:16">
      <c r="M5799" s="49">
        <f>IF($A$4+57&gt;$B$4,"",$A$4+57)</f>
        <v>46080</v>
      </c>
      <c r="N5799">
        <f>IF(M5799="","",'Master Barang'!A93)</f>
        <v>0</v>
      </c>
      <c r="O5799">
        <f>IF(N5799="","",'Master Barang'!B93)</f>
        <v>0</v>
      </c>
      <c r="P5799">
        <f>IF(OR(M5799="",N5799=""),"",SUMIFS('Barang Keluar'!$E:$E,'Barang Keluar'!$A:$A,M5799,'Barang Keluar'!$C:$C,N5799))</f>
        <v>0</v>
      </c>
    </row>
    <row r="5800" spans="13:16">
      <c r="M5800" s="49">
        <f>IF($A$4+57&gt;$B$4,"",$A$4+57)</f>
        <v>46080</v>
      </c>
      <c r="N5800">
        <f>IF(M5800="","",'Master Barang'!A94)</f>
        <v>0</v>
      </c>
      <c r="O5800">
        <f>IF(N5800="","",'Master Barang'!B94)</f>
        <v>0</v>
      </c>
      <c r="P5800">
        <f>IF(OR(M5800="",N5800=""),"",SUMIFS('Barang Keluar'!$E:$E,'Barang Keluar'!$A:$A,M5800,'Barang Keluar'!$C:$C,N5800))</f>
        <v>0</v>
      </c>
    </row>
    <row r="5801" spans="13:16">
      <c r="M5801" s="49">
        <f>IF($A$4+57&gt;$B$4,"",$A$4+57)</f>
        <v>46080</v>
      </c>
      <c r="N5801">
        <f>IF(M5801="","",'Master Barang'!A95)</f>
        <v>0</v>
      </c>
      <c r="O5801">
        <f>IF(N5801="","",'Master Barang'!B95)</f>
        <v>0</v>
      </c>
      <c r="P5801">
        <f>IF(OR(M5801="",N5801=""),"",SUMIFS('Barang Keluar'!$E:$E,'Barang Keluar'!$A:$A,M5801,'Barang Keluar'!$C:$C,N5801))</f>
        <v>0</v>
      </c>
    </row>
    <row r="5802" spans="13:16">
      <c r="M5802" s="49">
        <f>IF($A$4+57&gt;$B$4,"",$A$4+57)</f>
        <v>46080</v>
      </c>
      <c r="N5802">
        <f>IF(M5802="","",'Master Barang'!A96)</f>
        <v>0</v>
      </c>
      <c r="O5802">
        <f>IF(N5802="","",'Master Barang'!B96)</f>
        <v>0</v>
      </c>
      <c r="P5802">
        <f>IF(OR(M5802="",N5802=""),"",SUMIFS('Barang Keluar'!$E:$E,'Barang Keluar'!$A:$A,M5802,'Barang Keluar'!$C:$C,N5802))</f>
        <v>0</v>
      </c>
    </row>
    <row r="5803" spans="13:16">
      <c r="M5803" s="49">
        <f>IF($A$4+57&gt;$B$4,"",$A$4+57)</f>
        <v>46080</v>
      </c>
      <c r="N5803">
        <f>IF(M5803="","",'Master Barang'!A97)</f>
        <v>0</v>
      </c>
      <c r="O5803">
        <f>IF(N5803="","",'Master Barang'!B97)</f>
        <v>0</v>
      </c>
      <c r="P5803">
        <f>IF(OR(M5803="",N5803=""),"",SUMIFS('Barang Keluar'!$E:$E,'Barang Keluar'!$A:$A,M5803,'Barang Keluar'!$C:$C,N5803))</f>
        <v>0</v>
      </c>
    </row>
    <row r="5804" spans="13:16">
      <c r="M5804" s="49">
        <f>IF($A$4+57&gt;$B$4,"",$A$4+57)</f>
        <v>46080</v>
      </c>
      <c r="N5804">
        <f>IF(M5804="","",'Master Barang'!A98)</f>
        <v>0</v>
      </c>
      <c r="O5804">
        <f>IF(N5804="","",'Master Barang'!B98)</f>
        <v>0</v>
      </c>
      <c r="P5804">
        <f>IF(OR(M5804="",N5804=""),"",SUMIFS('Barang Keluar'!$E:$E,'Barang Keluar'!$A:$A,M5804,'Barang Keluar'!$C:$C,N5804))</f>
        <v>0</v>
      </c>
    </row>
    <row r="5805" spans="13:16">
      <c r="M5805" s="49">
        <f>IF($A$4+57&gt;$B$4,"",$A$4+57)</f>
        <v>46080</v>
      </c>
      <c r="N5805">
        <f>IF(M5805="","",'Master Barang'!A99)</f>
        <v>0</v>
      </c>
      <c r="O5805">
        <f>IF(N5805="","",'Master Barang'!B99)</f>
        <v>0</v>
      </c>
      <c r="P5805">
        <f>IF(OR(M5805="",N5805=""),"",SUMIFS('Barang Keluar'!$E:$E,'Barang Keluar'!$A:$A,M5805,'Barang Keluar'!$C:$C,N5805))</f>
        <v>0</v>
      </c>
    </row>
    <row r="5806" spans="13:16">
      <c r="M5806" s="49">
        <f>IF($A$4+57&gt;$B$4,"",$A$4+57)</f>
        <v>46080</v>
      </c>
      <c r="N5806">
        <f>IF(M5806="","",'Master Barang'!A100)</f>
        <v>0</v>
      </c>
      <c r="O5806">
        <f>IF(N5806="","",'Master Barang'!B100)</f>
        <v>0</v>
      </c>
      <c r="P5806">
        <f>IF(OR(M5806="",N5806=""),"",SUMIFS('Barang Keluar'!$E:$E,'Barang Keluar'!$A:$A,M5806,'Barang Keluar'!$C:$C,N5806))</f>
        <v>0</v>
      </c>
    </row>
    <row r="5807" spans="13:16">
      <c r="M5807" s="49">
        <f>IF($A$4+57&gt;$B$4,"",$A$4+57)</f>
        <v>46080</v>
      </c>
      <c r="N5807">
        <f>IF(M5807="","",'Master Barang'!A101)</f>
        <v>0</v>
      </c>
      <c r="O5807">
        <f>IF(N5807="","",'Master Barang'!B101)</f>
        <v>0</v>
      </c>
      <c r="P5807">
        <f>IF(OR(M5807="",N5807=""),"",SUMIFS('Barang Keluar'!$E:$E,'Barang Keluar'!$A:$A,M5807,'Barang Keluar'!$C:$C,N5807))</f>
        <v>0</v>
      </c>
    </row>
    <row r="5808" spans="13:16">
      <c r="M5808" s="49">
        <f>IF($A$4+58&gt;$B$4,"",$A$4+58)</f>
        <v>46081</v>
      </c>
      <c r="N5808" t="str">
        <f>IF(M5808="","",'Master Barang'!A2)</f>
        <v>PRL-001</v>
      </c>
      <c r="O5808" t="str">
        <f>IF(N5808="","",'Master Barang'!B2)</f>
        <v>natura desinfectant food grade 5l</v>
      </c>
      <c r="P5808">
        <f>IF(OR(M5808="",N5808=""),"",SUMIFS('Barang Keluar'!$E:$E,'Barang Keluar'!$A:$A,M5808,'Barang Keluar'!$C:$C,N5808))</f>
        <v>0</v>
      </c>
    </row>
    <row r="5809" spans="13:16">
      <c r="M5809" s="49">
        <f>IF($A$4+58&gt;$B$4,"",$A$4+58)</f>
        <v>46081</v>
      </c>
      <c r="N5809" t="str">
        <f>IF(M5809="","",'Master Barang'!A3)</f>
        <v>PRL-002</v>
      </c>
      <c r="O5809" t="str">
        <f>IF(N5809="","",'Master Barang'!B3)</f>
        <v>sunlight cairan pencuci piring 5l</v>
      </c>
      <c r="P5809">
        <f>IF(OR(M5809="",N5809=""),"",SUMIFS('Barang Keluar'!$E:$E,'Barang Keluar'!$A:$A,M5809,'Barang Keluar'!$C:$C,N5809))</f>
        <v>0</v>
      </c>
    </row>
    <row r="5810" spans="13:16">
      <c r="M5810" s="49">
        <f>IF($A$4+58&gt;$B$4,"",$A$4+58)</f>
        <v>46081</v>
      </c>
      <c r="N5810" t="str">
        <f>IF(M5810="","",'Master Barang'!A4)</f>
        <v>PRL-003</v>
      </c>
      <c r="O5810" t="str">
        <f>IF(N5810="","",'Master Barang'!B4)</f>
        <v>oixs cleaner 1l</v>
      </c>
      <c r="P5810">
        <f>IF(OR(M5810="",N5810=""),"",SUMIFS('Barang Keluar'!$E:$E,'Barang Keluar'!$A:$A,M5810,'Barang Keluar'!$C:$C,N5810))</f>
        <v>0</v>
      </c>
    </row>
    <row r="5811" spans="13:16">
      <c r="M5811" s="49">
        <f>IF($A$4+58&gt;$B$4,"",$A$4+58)</f>
        <v>46081</v>
      </c>
      <c r="N5811" t="str">
        <f>IF(M5811="","",'Master Barang'!A5)</f>
        <v>PRL-004</v>
      </c>
      <c r="O5811" t="str">
        <f>IF(N5811="","",'Master Barang'!B5)</f>
        <v>be clean tissue serbaguna</v>
      </c>
      <c r="P5811">
        <f>IF(OR(M5811="",N5811=""),"",SUMIFS('Barang Keluar'!$E:$E,'Barang Keluar'!$A:$A,M5811,'Barang Keluar'!$C:$C,N5811))</f>
        <v>0</v>
      </c>
    </row>
    <row r="5812" spans="13:16">
      <c r="M5812" s="49">
        <f>IF($A$4+58&gt;$B$4,"",$A$4+58)</f>
        <v>46081</v>
      </c>
      <c r="N5812" t="str">
        <f>IF(M5812="","",'Master Barang'!A6)</f>
        <v>PRL-005</v>
      </c>
      <c r="O5812" t="str">
        <f>IF(N5812="","",'Master Barang'!B6)</f>
        <v>spons cuci hijau</v>
      </c>
      <c r="P5812">
        <f>IF(OR(M5812="",N5812=""),"",SUMIFS('Barang Keluar'!$E:$E,'Barang Keluar'!$A:$A,M5812,'Barang Keluar'!$C:$C,N5812))</f>
        <v>0</v>
      </c>
    </row>
    <row r="5813" spans="13:16">
      <c r="M5813" s="49">
        <f>IF($A$4+58&gt;$B$4,"",$A$4+58)</f>
        <v>46081</v>
      </c>
      <c r="N5813" t="str">
        <f>IF(M5813="","",'Master Barang'!A7)</f>
        <v>PRL-006</v>
      </c>
      <c r="O5813" t="str">
        <f>IF(N5813="","",'Master Barang'!B7)</f>
        <v>sabut cuci stainless</v>
      </c>
      <c r="P5813">
        <f>IF(OR(M5813="",N5813=""),"",SUMIFS('Barang Keluar'!$E:$E,'Barang Keluar'!$A:$A,M5813,'Barang Keluar'!$C:$C,N5813))</f>
        <v>0</v>
      </c>
    </row>
    <row r="5814" spans="13:16">
      <c r="M5814" s="49">
        <f>IF($A$4+58&gt;$B$4,"",$A$4+58)</f>
        <v>46081</v>
      </c>
      <c r="N5814" t="str">
        <f>IF(M5814="","",'Master Barang'!A8)</f>
        <v>PRL-007</v>
      </c>
      <c r="O5814" t="str">
        <f>IF(N5814="","",'Master Barang'!B8)</f>
        <v>plastik kresek besar merah 50pc</v>
      </c>
      <c r="P5814">
        <f>IF(OR(M5814="",N5814=""),"",SUMIFS('Barang Keluar'!$E:$E,'Barang Keluar'!$A:$A,M5814,'Barang Keluar'!$C:$C,N5814))</f>
        <v>0</v>
      </c>
    </row>
    <row r="5815" spans="13:16">
      <c r="M5815" s="49">
        <f>IF($A$4+58&gt;$B$4,"",$A$4+58)</f>
        <v>46081</v>
      </c>
      <c r="N5815" t="str">
        <f>IF(M5815="","",'Master Barang'!A9)</f>
        <v>PRL-008</v>
      </c>
      <c r="O5815" t="str">
        <f>IF(N5815="","",'Master Barang'!B9)</f>
        <v>lap besar</v>
      </c>
      <c r="P5815">
        <f>IF(OR(M5815="",N5815=""),"",SUMIFS('Barang Keluar'!$E:$E,'Barang Keluar'!$A:$A,M5815,'Barang Keluar'!$C:$C,N5815))</f>
        <v>0</v>
      </c>
    </row>
    <row r="5816" spans="13:16">
      <c r="M5816" s="49">
        <f>IF($A$4+58&gt;$B$4,"",$A$4+58)</f>
        <v>46081</v>
      </c>
      <c r="N5816" t="str">
        <f>IF(M5816="","",'Master Barang'!A10)</f>
        <v>PRL-009</v>
      </c>
      <c r="O5816" t="str">
        <f>IF(N5816="","",'Master Barang'!B10)</f>
        <v>lap microfiber</v>
      </c>
      <c r="P5816">
        <f>IF(OR(M5816="",N5816=""),"",SUMIFS('Barang Keluar'!$E:$E,'Barang Keluar'!$A:$A,M5816,'Barang Keluar'!$C:$C,N5816))</f>
        <v>0</v>
      </c>
    </row>
    <row r="5817" spans="13:16">
      <c r="M5817" s="49">
        <f>IF($A$4+58&gt;$B$4,"",$A$4+58)</f>
        <v>46081</v>
      </c>
      <c r="N5817" t="str">
        <f>IF(M5817="","",'Master Barang'!A11)</f>
        <v>PRL-010</v>
      </c>
      <c r="O5817" t="str">
        <f>IF(N5817="","",'Master Barang'!B11)</f>
        <v>lap kecil</v>
      </c>
      <c r="P5817">
        <f>IF(OR(M5817="",N5817=""),"",SUMIFS('Barang Keluar'!$E:$E,'Barang Keluar'!$A:$A,M5817,'Barang Keluar'!$C:$C,N5817))</f>
        <v>0</v>
      </c>
    </row>
    <row r="5818" spans="13:16">
      <c r="M5818" s="49">
        <f>IF($A$4+58&gt;$B$4,"",$A$4+58)</f>
        <v>46081</v>
      </c>
      <c r="N5818" t="str">
        <f>IF(M5818="","",'Master Barang'!A12)</f>
        <v>PRL-011</v>
      </c>
      <c r="O5818" t="str">
        <f>IF(N5818="","",'Master Barang'!B12)</f>
        <v>kanebo kecil</v>
      </c>
      <c r="P5818">
        <f>IF(OR(M5818="",N5818=""),"",SUMIFS('Barang Keluar'!$E:$E,'Barang Keluar'!$A:$A,M5818,'Barang Keluar'!$C:$C,N5818))</f>
        <v>0</v>
      </c>
    </row>
    <row r="5819" spans="13:16">
      <c r="M5819" s="49">
        <f>IF($A$4+58&gt;$B$4,"",$A$4+58)</f>
        <v>46081</v>
      </c>
      <c r="N5819" t="str">
        <f>IF(M5819="","",'Master Barang'!A13)</f>
        <v>PRL-012</v>
      </c>
      <c r="O5819" t="str">
        <f>IF(N5819="","",'Master Barang'!B13)</f>
        <v>plastik 1/4kg joyoboyo 100 lembar</v>
      </c>
      <c r="P5819">
        <f>IF(OR(M5819="",N5819=""),"",SUMIFS('Barang Keluar'!$E:$E,'Barang Keluar'!$A:$A,M5819,'Barang Keluar'!$C:$C,N5819))</f>
        <v>0</v>
      </c>
    </row>
    <row r="5820" spans="13:16">
      <c r="M5820" s="49">
        <f>IF($A$4+58&gt;$B$4,"",$A$4+58)</f>
        <v>46081</v>
      </c>
      <c r="N5820" t="str">
        <f>IF(M5820="","",'Master Barang'!A14)</f>
        <v>PRL-013</v>
      </c>
      <c r="O5820" t="str">
        <f>IF(N5820="","",'Master Barang'!B14)</f>
        <v>sarung tangan plastik kaka 100 pcs</v>
      </c>
      <c r="P5820">
        <f>IF(OR(M5820="",N5820=""),"",SUMIFS('Barang Keluar'!$E:$E,'Barang Keluar'!$A:$A,M5820,'Barang Keluar'!$C:$C,N5820))</f>
        <v>0</v>
      </c>
    </row>
    <row r="5821" spans="13:16">
      <c r="M5821" s="49">
        <f>IF($A$4+58&gt;$B$4,"",$A$4+58)</f>
        <v>46081</v>
      </c>
      <c r="N5821" t="str">
        <f>IF(M5821="","",'Master Barang'!A15)</f>
        <v>PRL-014</v>
      </c>
      <c r="O5821" t="str">
        <f>IF(N5821="","",'Master Barang'!B15)</f>
        <v>optima trashbag 80x100</v>
      </c>
      <c r="P5821">
        <f>IF(OR(M5821="",N5821=""),"",SUMIFS('Barang Keluar'!$E:$E,'Barang Keluar'!$A:$A,M5821,'Barang Keluar'!$C:$C,N5821))</f>
        <v>0</v>
      </c>
    </row>
    <row r="5822" spans="13:16">
      <c r="M5822" s="49">
        <f>IF($A$4+58&gt;$B$4,"",$A$4+58)</f>
        <v>46081</v>
      </c>
      <c r="N5822" t="str">
        <f>IF(M5822="","",'Master Barang'!A16)</f>
        <v>PRL-015</v>
      </c>
      <c r="O5822" t="str">
        <f>IF(N5822="","",'Master Barang'!B16)</f>
        <v>optima trashbag 60x100</v>
      </c>
      <c r="P5822">
        <f>IF(OR(M5822="",N5822=""),"",SUMIFS('Barang Keluar'!$E:$E,'Barang Keluar'!$A:$A,M5822,'Barang Keluar'!$C:$C,N5822))</f>
        <v>0</v>
      </c>
    </row>
    <row r="5823" spans="13:16">
      <c r="M5823" s="49">
        <f>IF($A$4+58&gt;$B$4,"",$A$4+58)</f>
        <v>46081</v>
      </c>
      <c r="N5823" t="str">
        <f>IF(M5823="","",'Master Barang'!A17)</f>
        <v>PRL-016</v>
      </c>
      <c r="O5823" t="str">
        <f>IF(N5823="","",'Master Barang'!B17)</f>
        <v>rajawali trashbag 30x40</v>
      </c>
      <c r="P5823">
        <f>IF(OR(M5823="",N5823=""),"",SUMIFS('Barang Keluar'!$E:$E,'Barang Keluar'!$A:$A,M5823,'Barang Keluar'!$C:$C,N5823))</f>
        <v>0</v>
      </c>
    </row>
    <row r="5824" spans="13:16">
      <c r="M5824" s="49">
        <f>IF($A$4+58&gt;$B$4,"",$A$4+58)</f>
        <v>46081</v>
      </c>
      <c r="N5824" t="str">
        <f>IF(M5824="","",'Master Barang'!A18)</f>
        <v>PRL-017</v>
      </c>
      <c r="O5824" t="str">
        <f>IF(N5824="","",'Master Barang'!B18)</f>
        <v>onemed masker biru 3 play 50 pcs</v>
      </c>
      <c r="P5824">
        <f>IF(OR(M5824="",N5824=""),"",SUMIFS('Barang Keluar'!$E:$E,'Barang Keluar'!$A:$A,M5824,'Barang Keluar'!$C:$C,N5824))</f>
        <v>0</v>
      </c>
    </row>
    <row r="5825" spans="13:16">
      <c r="M5825" s="49">
        <f>IF($A$4+58&gt;$B$4,"",$A$4+58)</f>
        <v>46081</v>
      </c>
      <c r="N5825" t="str">
        <f>IF(M5825="","",'Master Barang'!A19)</f>
        <v>PRL-018</v>
      </c>
      <c r="O5825" t="str">
        <f>IF(N5825="","",'Master Barang'!B19)</f>
        <v>onemed masker biru 3 play hijab 50 pcs</v>
      </c>
      <c r="P5825">
        <f>IF(OR(M5825="",N5825=""),"",SUMIFS('Barang Keluar'!$E:$E,'Barang Keluar'!$A:$A,M5825,'Barang Keluar'!$C:$C,N5825))</f>
        <v>0</v>
      </c>
    </row>
    <row r="5826" spans="13:16">
      <c r="M5826" s="49">
        <f>IF($A$4+58&gt;$B$4,"",$A$4+58)</f>
        <v>46081</v>
      </c>
      <c r="N5826" t="str">
        <f>IF(M5826="","",'Master Barang'!A20)</f>
        <v>PRL-019</v>
      </c>
      <c r="O5826" t="str">
        <f>IF(N5826="","",'Master Barang'!B20)</f>
        <v>neo health masker biru 3 play 50 pcs</v>
      </c>
      <c r="P5826">
        <f>IF(OR(M5826="",N5826=""),"",SUMIFS('Barang Keluar'!$E:$E,'Barang Keluar'!$A:$A,M5826,'Barang Keluar'!$C:$C,N5826))</f>
        <v>0</v>
      </c>
    </row>
    <row r="5827" spans="13:16">
      <c r="M5827" s="49">
        <f>IF($A$4+58&gt;$B$4,"",$A$4+58)</f>
        <v>46081</v>
      </c>
      <c r="N5827" t="str">
        <f>IF(M5827="","",'Master Barang'!A21)</f>
        <v>PRL-020</v>
      </c>
      <c r="O5827" t="str">
        <f>IF(N5827="","",'Master Barang'!B21)</f>
        <v>baymed masker hijau 3 play hijau 50 pcs</v>
      </c>
      <c r="P5827">
        <f>IF(OR(M5827="",N5827=""),"",SUMIFS('Barang Keluar'!$E:$E,'Barang Keluar'!$A:$A,M5827,'Barang Keluar'!$C:$C,N5827))</f>
        <v>0</v>
      </c>
    </row>
    <row r="5828" spans="13:16">
      <c r="M5828" s="49">
        <f>IF($A$4+58&gt;$B$4,"",$A$4+58)</f>
        <v>46081</v>
      </c>
      <c r="N5828" t="str">
        <f>IF(M5828="","",'Master Barang'!A22)</f>
        <v>PRL-021</v>
      </c>
      <c r="O5828" t="str">
        <f>IF(N5828="","",'Master Barang'!B22)</f>
        <v>altamed nurse cap penutup kepala 100 pcs</v>
      </c>
      <c r="P5828">
        <f>IF(OR(M5828="",N5828=""),"",SUMIFS('Barang Keluar'!$E:$E,'Barang Keluar'!$A:$A,M5828,'Barang Keluar'!$C:$C,N5828))</f>
        <v>0</v>
      </c>
    </row>
    <row r="5829" spans="13:16">
      <c r="M5829" s="49">
        <f>IF($A$4+58&gt;$B$4,"",$A$4+58)</f>
        <v>46081</v>
      </c>
      <c r="N5829" t="str">
        <f>IF(M5829="","",'Master Barang'!A23)</f>
        <v>PRL-022</v>
      </c>
      <c r="O5829" t="str">
        <f>IF(N5829="","",'Master Barang'!B23)</f>
        <v>sabun cuci tangan</v>
      </c>
      <c r="P5829">
        <f>IF(OR(M5829="",N5829=""),"",SUMIFS('Barang Keluar'!$E:$E,'Barang Keluar'!$A:$A,M5829,'Barang Keluar'!$C:$C,N5829))</f>
        <v>0</v>
      </c>
    </row>
    <row r="5830" spans="13:16">
      <c r="M5830" s="49">
        <f>IF($A$4+58&gt;$B$4,"",$A$4+58)</f>
        <v>46081</v>
      </c>
      <c r="N5830" t="str">
        <f>IF(M5830="","",'Master Barang'!A24)</f>
        <v>PRL-023</v>
      </c>
      <c r="O5830" t="str">
        <f>IF(N5830="","",'Master Barang'!B24)</f>
        <v>gayung kecil</v>
      </c>
      <c r="P5830">
        <f>IF(OR(M5830="",N5830=""),"",SUMIFS('Barang Keluar'!$E:$E,'Barang Keluar'!$A:$A,M5830,'Barang Keluar'!$C:$C,N5830))</f>
        <v>0</v>
      </c>
    </row>
    <row r="5831" spans="13:16">
      <c r="M5831" s="49">
        <f>IF($A$4+58&gt;$B$4,"",$A$4+58)</f>
        <v>46081</v>
      </c>
      <c r="N5831" t="str">
        <f>IF(M5831="","",'Master Barang'!A25)</f>
        <v>PRL-024</v>
      </c>
      <c r="O5831" t="str">
        <f>IF(N5831="","",'Master Barang'!B25)</f>
        <v>cikrak kecil</v>
      </c>
      <c r="P5831">
        <f>IF(OR(M5831="",N5831=""),"",SUMIFS('Barang Keluar'!$E:$E,'Barang Keluar'!$A:$A,M5831,'Barang Keluar'!$C:$C,N5831))</f>
        <v>0</v>
      </c>
    </row>
    <row r="5832" spans="13:16">
      <c r="M5832" s="49">
        <f>IF($A$4+58&gt;$B$4,"",$A$4+58)</f>
        <v>46081</v>
      </c>
      <c r="N5832" t="str">
        <f>IF(M5832="","",'Master Barang'!A26)</f>
        <v>PRL-025</v>
      </c>
      <c r="O5832" t="str">
        <f>IF(N5832="","",'Master Barang'!B26)</f>
        <v>petromax plastik kecil 12x24 100 lembar</v>
      </c>
      <c r="P5832">
        <f>IF(OR(M5832="",N5832=""),"",SUMIFS('Barang Keluar'!$E:$E,'Barang Keluar'!$A:$A,M5832,'Barang Keluar'!$C:$C,N5832))</f>
        <v>0</v>
      </c>
    </row>
    <row r="5833" spans="13:16">
      <c r="M5833" s="49">
        <f>IF($A$4+58&gt;$B$4,"",$A$4+58)</f>
        <v>46081</v>
      </c>
      <c r="N5833" t="str">
        <f>IF(M5833="","",'Master Barang'!A27)</f>
        <v>PRL-026</v>
      </c>
      <c r="O5833" t="str">
        <f>IF(N5833="","",'Master Barang'!B27)</f>
        <v>lancar kresek kecil bening </v>
      </c>
      <c r="P5833">
        <f>IF(OR(M5833="",N5833=""),"",SUMIFS('Barang Keluar'!$E:$E,'Barang Keluar'!$A:$A,M5833,'Barang Keluar'!$C:$C,N5833))</f>
        <v>0</v>
      </c>
    </row>
    <row r="5834" spans="13:16">
      <c r="M5834" s="49">
        <f>IF($A$4+58&gt;$B$4,"",$A$4+58)</f>
        <v>46081</v>
      </c>
      <c r="N5834" t="str">
        <f>IF(M5834="","",'Master Barang'!A28)</f>
        <v>PRL-027</v>
      </c>
      <c r="O5834" t="str">
        <f>IF(N5834="","",'Master Barang'!B28)</f>
        <v>kresek klin warna warni kecil</v>
      </c>
      <c r="P5834">
        <f>IF(OR(M5834="",N5834=""),"",SUMIFS('Barang Keluar'!$E:$E,'Barang Keluar'!$A:$A,M5834,'Barang Keluar'!$C:$C,N5834))</f>
        <v>0</v>
      </c>
    </row>
    <row r="5835" spans="13:16">
      <c r="M5835" s="49">
        <f>IF($A$4+58&gt;$B$4,"",$A$4+58)</f>
        <v>46081</v>
      </c>
      <c r="N5835" t="str">
        <f>IF(M5835="","",'Master Barang'!A29)</f>
        <v>PRL-028</v>
      </c>
      <c r="O5835" t="str">
        <f>IF(N5835="","",'Master Barang'!B29)</f>
        <v>ctik plastik 7x10 100 pcs</v>
      </c>
      <c r="P5835">
        <f>IF(OR(M5835="",N5835=""),"",SUMIFS('Barang Keluar'!$E:$E,'Barang Keluar'!$A:$A,M5835,'Barang Keluar'!$C:$C,N5835))</f>
        <v>0</v>
      </c>
    </row>
    <row r="5836" spans="13:16">
      <c r="M5836" s="49">
        <f>IF($A$4+58&gt;$B$4,"",$A$4+58)</f>
        <v>46081</v>
      </c>
      <c r="N5836" t="str">
        <f>IF(M5836="","",'Master Barang'!A30)</f>
        <v>PRL-029</v>
      </c>
      <c r="O5836" t="str">
        <f>IF(N5836="","",'Master Barang'!B30)</f>
        <v>ctik plastik 6x10 100 pcs</v>
      </c>
      <c r="P5836">
        <f>IF(OR(M5836="",N5836=""),"",SUMIFS('Barang Keluar'!$E:$E,'Barang Keluar'!$A:$A,M5836,'Barang Keluar'!$C:$C,N5836))</f>
        <v>0</v>
      </c>
    </row>
    <row r="5837" spans="13:16">
      <c r="M5837" s="49">
        <f>IF($A$4+58&gt;$B$4,"",$A$4+58)</f>
        <v>46081</v>
      </c>
      <c r="N5837" t="str">
        <f>IF(M5837="","",'Master Barang'!A31)</f>
        <v>PRL-030</v>
      </c>
      <c r="O5837" t="str">
        <f>IF(N5837="","",'Master Barang'!B31)</f>
        <v>klip plastik 25x16 100 pcs</v>
      </c>
      <c r="P5837">
        <f>IF(OR(M5837="",N5837=""),"",SUMIFS('Barang Keluar'!$E:$E,'Barang Keluar'!$A:$A,M5837,'Barang Keluar'!$C:$C,N5837))</f>
        <v>0</v>
      </c>
    </row>
    <row r="5838" spans="13:16">
      <c r="M5838" s="49">
        <f>IF($A$4+58&gt;$B$4,"",$A$4+58)</f>
        <v>46081</v>
      </c>
      <c r="N5838" t="str">
        <f>IF(M5838="","",'Master Barang'!A32)</f>
        <v>PRL-031</v>
      </c>
      <c r="O5838" t="str">
        <f>IF(N5838="","",'Master Barang'!B32)</f>
        <v>tempat saus 20 ml</v>
      </c>
      <c r="P5838">
        <f>IF(OR(M5838="",N5838=""),"",SUMIFS('Barang Keluar'!$E:$E,'Barang Keluar'!$A:$A,M5838,'Barang Keluar'!$C:$C,N5838))</f>
        <v>0</v>
      </c>
    </row>
    <row r="5839" spans="13:16">
      <c r="M5839" s="49">
        <f>IF($A$4+58&gt;$B$4,"",$A$4+58)</f>
        <v>46081</v>
      </c>
      <c r="N5839" t="str">
        <f>IF(M5839="","",'Master Barang'!A33)</f>
        <v>PRL-032</v>
      </c>
      <c r="O5839" t="str">
        <f>IF(N5839="","",'Master Barang'!B33)</f>
        <v>plastik packaging ag box uk sedang</v>
      </c>
      <c r="P5839">
        <f>IF(OR(M5839="",N5839=""),"",SUMIFS('Barang Keluar'!$E:$E,'Barang Keluar'!$A:$A,M5839,'Barang Keluar'!$C:$C,N5839))</f>
        <v>0</v>
      </c>
    </row>
    <row r="5840" spans="13:16">
      <c r="M5840" s="49">
        <f>IF($A$4+58&gt;$B$4,"",$A$4+58)</f>
        <v>46081</v>
      </c>
      <c r="N5840" t="str">
        <f>IF(M5840="","",'Master Barang'!A34)</f>
        <v>PRL-033</v>
      </c>
      <c r="O5840">
        <f>IF(N5840="","",'Master Barang'!B34)</f>
        <v>0</v>
      </c>
      <c r="P5840">
        <f>IF(OR(M5840="",N5840=""),"",SUMIFS('Barang Keluar'!$E:$E,'Barang Keluar'!$A:$A,M5840,'Barang Keluar'!$C:$C,N5840))</f>
        <v>0</v>
      </c>
    </row>
    <row r="5841" spans="13:16">
      <c r="M5841" s="49">
        <f>IF($A$4+58&gt;$B$4,"",$A$4+58)</f>
        <v>46081</v>
      </c>
      <c r="N5841">
        <f>IF(M5841="","",'Master Barang'!A35)</f>
        <v>0</v>
      </c>
      <c r="O5841">
        <f>IF(N5841="","",'Master Barang'!B35)</f>
        <v>0</v>
      </c>
      <c r="P5841">
        <f>IF(OR(M5841="",N5841=""),"",SUMIFS('Barang Keluar'!$E:$E,'Barang Keluar'!$A:$A,M5841,'Barang Keluar'!$C:$C,N5841))</f>
        <v>0</v>
      </c>
    </row>
    <row r="5842" spans="13:16">
      <c r="M5842" s="49">
        <f>IF($A$4+58&gt;$B$4,"",$A$4+58)</f>
        <v>46081</v>
      </c>
      <c r="N5842">
        <f>IF(M5842="","",'Master Barang'!A36)</f>
        <v>0</v>
      </c>
      <c r="O5842">
        <f>IF(N5842="","",'Master Barang'!B36)</f>
        <v>0</v>
      </c>
      <c r="P5842">
        <f>IF(OR(M5842="",N5842=""),"",SUMIFS('Barang Keluar'!$E:$E,'Barang Keluar'!$A:$A,M5842,'Barang Keluar'!$C:$C,N5842))</f>
        <v>0</v>
      </c>
    </row>
    <row r="5843" spans="13:16">
      <c r="M5843" s="49">
        <f>IF($A$4+58&gt;$B$4,"",$A$4+58)</f>
        <v>46081</v>
      </c>
      <c r="N5843">
        <f>IF(M5843="","",'Master Barang'!A37)</f>
        <v>0</v>
      </c>
      <c r="O5843">
        <f>IF(N5843="","",'Master Barang'!B37)</f>
        <v>0</v>
      </c>
      <c r="P5843">
        <f>IF(OR(M5843="",N5843=""),"",SUMIFS('Barang Keluar'!$E:$E,'Barang Keluar'!$A:$A,M5843,'Barang Keluar'!$C:$C,N5843))</f>
        <v>0</v>
      </c>
    </row>
    <row r="5844" spans="13:16">
      <c r="M5844" s="49">
        <f>IF($A$4+58&gt;$B$4,"",$A$4+58)</f>
        <v>46081</v>
      </c>
      <c r="N5844">
        <f>IF(M5844="","",'Master Barang'!A38)</f>
        <v>0</v>
      </c>
      <c r="O5844">
        <f>IF(N5844="","",'Master Barang'!B38)</f>
        <v>0</v>
      </c>
      <c r="P5844">
        <f>IF(OR(M5844="",N5844=""),"",SUMIFS('Barang Keluar'!$E:$E,'Barang Keluar'!$A:$A,M5844,'Barang Keluar'!$C:$C,N5844))</f>
        <v>0</v>
      </c>
    </row>
    <row r="5845" spans="13:16">
      <c r="M5845" s="49">
        <f>IF($A$4+58&gt;$B$4,"",$A$4+58)</f>
        <v>46081</v>
      </c>
      <c r="N5845">
        <f>IF(M5845="","",'Master Barang'!A39)</f>
        <v>0</v>
      </c>
      <c r="O5845">
        <f>IF(N5845="","",'Master Barang'!B39)</f>
        <v>0</v>
      </c>
      <c r="P5845">
        <f>IF(OR(M5845="",N5845=""),"",SUMIFS('Barang Keluar'!$E:$E,'Barang Keluar'!$A:$A,M5845,'Barang Keluar'!$C:$C,N5845))</f>
        <v>0</v>
      </c>
    </row>
    <row r="5846" spans="13:16">
      <c r="M5846" s="49">
        <f>IF($A$4+58&gt;$B$4,"",$A$4+58)</f>
        <v>46081</v>
      </c>
      <c r="N5846">
        <f>IF(M5846="","",'Master Barang'!A40)</f>
        <v>0</v>
      </c>
      <c r="O5846">
        <f>IF(N5846="","",'Master Barang'!B40)</f>
        <v>0</v>
      </c>
      <c r="P5846">
        <f>IF(OR(M5846="",N5846=""),"",SUMIFS('Barang Keluar'!$E:$E,'Barang Keluar'!$A:$A,M5846,'Barang Keluar'!$C:$C,N5846))</f>
        <v>0</v>
      </c>
    </row>
    <row r="5847" spans="13:16">
      <c r="M5847" s="49">
        <f>IF($A$4+58&gt;$B$4,"",$A$4+58)</f>
        <v>46081</v>
      </c>
      <c r="N5847">
        <f>IF(M5847="","",'Master Barang'!A41)</f>
        <v>0</v>
      </c>
      <c r="O5847">
        <f>IF(N5847="","",'Master Barang'!B41)</f>
        <v>0</v>
      </c>
      <c r="P5847">
        <f>IF(OR(M5847="",N5847=""),"",SUMIFS('Barang Keluar'!$E:$E,'Barang Keluar'!$A:$A,M5847,'Barang Keluar'!$C:$C,N5847))</f>
        <v>0</v>
      </c>
    </row>
    <row r="5848" spans="13:16">
      <c r="M5848" s="49">
        <f>IF($A$4+58&gt;$B$4,"",$A$4+58)</f>
        <v>46081</v>
      </c>
      <c r="N5848">
        <f>IF(M5848="","",'Master Barang'!A42)</f>
        <v>0</v>
      </c>
      <c r="O5848">
        <f>IF(N5848="","",'Master Barang'!B42)</f>
        <v>0</v>
      </c>
      <c r="P5848">
        <f>IF(OR(M5848="",N5848=""),"",SUMIFS('Barang Keluar'!$E:$E,'Barang Keluar'!$A:$A,M5848,'Barang Keluar'!$C:$C,N5848))</f>
        <v>0</v>
      </c>
    </row>
    <row r="5849" spans="13:16">
      <c r="M5849" s="49">
        <f>IF($A$4+58&gt;$B$4,"",$A$4+58)</f>
        <v>46081</v>
      </c>
      <c r="N5849">
        <f>IF(M5849="","",'Master Barang'!A43)</f>
        <v>0</v>
      </c>
      <c r="O5849">
        <f>IF(N5849="","",'Master Barang'!B43)</f>
        <v>0</v>
      </c>
      <c r="P5849">
        <f>IF(OR(M5849="",N5849=""),"",SUMIFS('Barang Keluar'!$E:$E,'Barang Keluar'!$A:$A,M5849,'Barang Keluar'!$C:$C,N5849))</f>
        <v>0</v>
      </c>
    </row>
    <row r="5850" spans="13:16">
      <c r="M5850" s="49">
        <f>IF($A$4+58&gt;$B$4,"",$A$4+58)</f>
        <v>46081</v>
      </c>
      <c r="N5850">
        <f>IF(M5850="","",'Master Barang'!A44)</f>
        <v>0</v>
      </c>
      <c r="O5850">
        <f>IF(N5850="","",'Master Barang'!B44)</f>
        <v>0</v>
      </c>
      <c r="P5850">
        <f>IF(OR(M5850="",N5850=""),"",SUMIFS('Barang Keluar'!$E:$E,'Barang Keluar'!$A:$A,M5850,'Barang Keluar'!$C:$C,N5850))</f>
        <v>0</v>
      </c>
    </row>
    <row r="5851" spans="13:16">
      <c r="M5851" s="49">
        <f>IF($A$4+58&gt;$B$4,"",$A$4+58)</f>
        <v>46081</v>
      </c>
      <c r="N5851">
        <f>IF(M5851="","",'Master Barang'!A45)</f>
        <v>0</v>
      </c>
      <c r="O5851">
        <f>IF(N5851="","",'Master Barang'!B45)</f>
        <v>0</v>
      </c>
      <c r="P5851">
        <f>IF(OR(M5851="",N5851=""),"",SUMIFS('Barang Keluar'!$E:$E,'Barang Keluar'!$A:$A,M5851,'Barang Keluar'!$C:$C,N5851))</f>
        <v>0</v>
      </c>
    </row>
    <row r="5852" spans="13:16">
      <c r="M5852" s="49">
        <f>IF($A$4+58&gt;$B$4,"",$A$4+58)</f>
        <v>46081</v>
      </c>
      <c r="N5852">
        <f>IF(M5852="","",'Master Barang'!A46)</f>
        <v>0</v>
      </c>
      <c r="O5852">
        <f>IF(N5852="","",'Master Barang'!B46)</f>
        <v>0</v>
      </c>
      <c r="P5852">
        <f>IF(OR(M5852="",N5852=""),"",SUMIFS('Barang Keluar'!$E:$E,'Barang Keluar'!$A:$A,M5852,'Barang Keluar'!$C:$C,N5852))</f>
        <v>0</v>
      </c>
    </row>
    <row r="5853" spans="13:16">
      <c r="M5853" s="49">
        <f>IF($A$4+58&gt;$B$4,"",$A$4+58)</f>
        <v>46081</v>
      </c>
      <c r="N5853">
        <f>IF(M5853="","",'Master Barang'!A47)</f>
        <v>0</v>
      </c>
      <c r="O5853">
        <f>IF(N5853="","",'Master Barang'!B47)</f>
        <v>0</v>
      </c>
      <c r="P5853">
        <f>IF(OR(M5853="",N5853=""),"",SUMIFS('Barang Keluar'!$E:$E,'Barang Keluar'!$A:$A,M5853,'Barang Keluar'!$C:$C,N5853))</f>
        <v>0</v>
      </c>
    </row>
    <row r="5854" spans="13:16">
      <c r="M5854" s="49">
        <f>IF($A$4+58&gt;$B$4,"",$A$4+58)</f>
        <v>46081</v>
      </c>
      <c r="N5854">
        <f>IF(M5854="","",'Master Barang'!A48)</f>
        <v>0</v>
      </c>
      <c r="O5854">
        <f>IF(N5854="","",'Master Barang'!B48)</f>
        <v>0</v>
      </c>
      <c r="P5854">
        <f>IF(OR(M5854="",N5854=""),"",SUMIFS('Barang Keluar'!$E:$E,'Barang Keluar'!$A:$A,M5854,'Barang Keluar'!$C:$C,N5854))</f>
        <v>0</v>
      </c>
    </row>
    <row r="5855" spans="13:16">
      <c r="M5855" s="49">
        <f>IF($A$4+58&gt;$B$4,"",$A$4+58)</f>
        <v>46081</v>
      </c>
      <c r="N5855">
        <f>IF(M5855="","",'Master Barang'!A49)</f>
        <v>0</v>
      </c>
      <c r="O5855">
        <f>IF(N5855="","",'Master Barang'!B49)</f>
        <v>0</v>
      </c>
      <c r="P5855">
        <f>IF(OR(M5855="",N5855=""),"",SUMIFS('Barang Keluar'!$E:$E,'Barang Keluar'!$A:$A,M5855,'Barang Keluar'!$C:$C,N5855))</f>
        <v>0</v>
      </c>
    </row>
    <row r="5856" spans="13:16">
      <c r="M5856" s="49">
        <f>IF($A$4+58&gt;$B$4,"",$A$4+58)</f>
        <v>46081</v>
      </c>
      <c r="N5856">
        <f>IF(M5856="","",'Master Barang'!A50)</f>
        <v>0</v>
      </c>
      <c r="O5856">
        <f>IF(N5856="","",'Master Barang'!B50)</f>
        <v>0</v>
      </c>
      <c r="P5856">
        <f>IF(OR(M5856="",N5856=""),"",SUMIFS('Barang Keluar'!$E:$E,'Barang Keluar'!$A:$A,M5856,'Barang Keluar'!$C:$C,N5856))</f>
        <v>0</v>
      </c>
    </row>
    <row r="5857" spans="13:16">
      <c r="M5857" s="49">
        <f>IF($A$4+58&gt;$B$4,"",$A$4+58)</f>
        <v>46081</v>
      </c>
      <c r="N5857">
        <f>IF(M5857="","",'Master Barang'!A51)</f>
        <v>0</v>
      </c>
      <c r="O5857">
        <f>IF(N5857="","",'Master Barang'!B51)</f>
        <v>0</v>
      </c>
      <c r="P5857">
        <f>IF(OR(M5857="",N5857=""),"",SUMIFS('Barang Keluar'!$E:$E,'Barang Keluar'!$A:$A,M5857,'Barang Keluar'!$C:$C,N5857))</f>
        <v>0</v>
      </c>
    </row>
    <row r="5858" spans="13:16">
      <c r="M5858" s="49">
        <f>IF($A$4+58&gt;$B$4,"",$A$4+58)</f>
        <v>46081</v>
      </c>
      <c r="N5858">
        <f>IF(M5858="","",'Master Barang'!A52)</f>
        <v>0</v>
      </c>
      <c r="O5858">
        <f>IF(N5858="","",'Master Barang'!B52)</f>
        <v>0</v>
      </c>
      <c r="P5858">
        <f>IF(OR(M5858="",N5858=""),"",SUMIFS('Barang Keluar'!$E:$E,'Barang Keluar'!$A:$A,M5858,'Barang Keluar'!$C:$C,N5858))</f>
        <v>0</v>
      </c>
    </row>
    <row r="5859" spans="13:16">
      <c r="M5859" s="49">
        <f>IF($A$4+58&gt;$B$4,"",$A$4+58)</f>
        <v>46081</v>
      </c>
      <c r="N5859">
        <f>IF(M5859="","",'Master Barang'!A53)</f>
        <v>0</v>
      </c>
      <c r="O5859">
        <f>IF(N5859="","",'Master Barang'!B53)</f>
        <v>0</v>
      </c>
      <c r="P5859">
        <f>IF(OR(M5859="",N5859=""),"",SUMIFS('Barang Keluar'!$E:$E,'Barang Keluar'!$A:$A,M5859,'Barang Keluar'!$C:$C,N5859))</f>
        <v>0</v>
      </c>
    </row>
    <row r="5860" spans="13:16">
      <c r="M5860" s="49">
        <f>IF($A$4+58&gt;$B$4,"",$A$4+58)</f>
        <v>46081</v>
      </c>
      <c r="N5860">
        <f>IF(M5860="","",'Master Barang'!A54)</f>
        <v>0</v>
      </c>
      <c r="O5860">
        <f>IF(N5860="","",'Master Barang'!B54)</f>
        <v>0</v>
      </c>
      <c r="P5860">
        <f>IF(OR(M5860="",N5860=""),"",SUMIFS('Barang Keluar'!$E:$E,'Barang Keluar'!$A:$A,M5860,'Barang Keluar'!$C:$C,N5860))</f>
        <v>0</v>
      </c>
    </row>
    <row r="5861" spans="13:16">
      <c r="M5861" s="49">
        <f>IF($A$4+58&gt;$B$4,"",$A$4+58)</f>
        <v>46081</v>
      </c>
      <c r="N5861">
        <f>IF(M5861="","",'Master Barang'!A55)</f>
        <v>0</v>
      </c>
      <c r="O5861">
        <f>IF(N5861="","",'Master Barang'!B55)</f>
        <v>0</v>
      </c>
      <c r="P5861">
        <f>IF(OR(M5861="",N5861=""),"",SUMIFS('Barang Keluar'!$E:$E,'Barang Keluar'!$A:$A,M5861,'Barang Keluar'!$C:$C,N5861))</f>
        <v>0</v>
      </c>
    </row>
    <row r="5862" spans="13:16">
      <c r="M5862" s="49">
        <f>IF($A$4+58&gt;$B$4,"",$A$4+58)</f>
        <v>46081</v>
      </c>
      <c r="N5862">
        <f>IF(M5862="","",'Master Barang'!A56)</f>
        <v>0</v>
      </c>
      <c r="O5862">
        <f>IF(N5862="","",'Master Barang'!B56)</f>
        <v>0</v>
      </c>
      <c r="P5862">
        <f>IF(OR(M5862="",N5862=""),"",SUMIFS('Barang Keluar'!$E:$E,'Barang Keluar'!$A:$A,M5862,'Barang Keluar'!$C:$C,N5862))</f>
        <v>0</v>
      </c>
    </row>
    <row r="5863" spans="13:16">
      <c r="M5863" s="49">
        <f>IF($A$4+58&gt;$B$4,"",$A$4+58)</f>
        <v>46081</v>
      </c>
      <c r="N5863">
        <f>IF(M5863="","",'Master Barang'!A57)</f>
        <v>0</v>
      </c>
      <c r="O5863">
        <f>IF(N5863="","",'Master Barang'!B57)</f>
        <v>0</v>
      </c>
      <c r="P5863">
        <f>IF(OR(M5863="",N5863=""),"",SUMIFS('Barang Keluar'!$E:$E,'Barang Keluar'!$A:$A,M5863,'Barang Keluar'!$C:$C,N5863))</f>
        <v>0</v>
      </c>
    </row>
    <row r="5864" spans="13:16">
      <c r="M5864" s="49">
        <f>IF($A$4+58&gt;$B$4,"",$A$4+58)</f>
        <v>46081</v>
      </c>
      <c r="N5864">
        <f>IF(M5864="","",'Master Barang'!A58)</f>
        <v>0</v>
      </c>
      <c r="O5864">
        <f>IF(N5864="","",'Master Barang'!B58)</f>
        <v>0</v>
      </c>
      <c r="P5864">
        <f>IF(OR(M5864="",N5864=""),"",SUMIFS('Barang Keluar'!$E:$E,'Barang Keluar'!$A:$A,M5864,'Barang Keluar'!$C:$C,N5864))</f>
        <v>0</v>
      </c>
    </row>
    <row r="5865" spans="13:16">
      <c r="M5865" s="49">
        <f>IF($A$4+58&gt;$B$4,"",$A$4+58)</f>
        <v>46081</v>
      </c>
      <c r="N5865">
        <f>IF(M5865="","",'Master Barang'!A59)</f>
        <v>0</v>
      </c>
      <c r="O5865">
        <f>IF(N5865="","",'Master Barang'!B59)</f>
        <v>0</v>
      </c>
      <c r="P5865">
        <f>IF(OR(M5865="",N5865=""),"",SUMIFS('Barang Keluar'!$E:$E,'Barang Keluar'!$A:$A,M5865,'Barang Keluar'!$C:$C,N5865))</f>
        <v>0</v>
      </c>
    </row>
    <row r="5866" spans="13:16">
      <c r="M5866" s="49">
        <f>IF($A$4+58&gt;$B$4,"",$A$4+58)</f>
        <v>46081</v>
      </c>
      <c r="N5866">
        <f>IF(M5866="","",'Master Barang'!A60)</f>
        <v>0</v>
      </c>
      <c r="O5866">
        <f>IF(N5866="","",'Master Barang'!B60)</f>
        <v>0</v>
      </c>
      <c r="P5866">
        <f>IF(OR(M5866="",N5866=""),"",SUMIFS('Barang Keluar'!$E:$E,'Barang Keluar'!$A:$A,M5866,'Barang Keluar'!$C:$C,N5866))</f>
        <v>0</v>
      </c>
    </row>
    <row r="5867" spans="13:16">
      <c r="M5867" s="49">
        <f>IF($A$4+58&gt;$B$4,"",$A$4+58)</f>
        <v>46081</v>
      </c>
      <c r="N5867">
        <f>IF(M5867="","",'Master Barang'!A61)</f>
        <v>0</v>
      </c>
      <c r="O5867">
        <f>IF(N5867="","",'Master Barang'!B61)</f>
        <v>0</v>
      </c>
      <c r="P5867">
        <f>IF(OR(M5867="",N5867=""),"",SUMIFS('Barang Keluar'!$E:$E,'Barang Keluar'!$A:$A,M5867,'Barang Keluar'!$C:$C,N5867))</f>
        <v>0</v>
      </c>
    </row>
    <row r="5868" spans="13:16">
      <c r="M5868" s="49">
        <f>IF($A$4+58&gt;$B$4,"",$A$4+58)</f>
        <v>46081</v>
      </c>
      <c r="N5868">
        <f>IF(M5868="","",'Master Barang'!A62)</f>
        <v>0</v>
      </c>
      <c r="O5868">
        <f>IF(N5868="","",'Master Barang'!B62)</f>
        <v>0</v>
      </c>
      <c r="P5868">
        <f>IF(OR(M5868="",N5868=""),"",SUMIFS('Barang Keluar'!$E:$E,'Barang Keluar'!$A:$A,M5868,'Barang Keluar'!$C:$C,N5868))</f>
        <v>0</v>
      </c>
    </row>
    <row r="5869" spans="13:16">
      <c r="M5869" s="49">
        <f>IF($A$4+58&gt;$B$4,"",$A$4+58)</f>
        <v>46081</v>
      </c>
      <c r="N5869">
        <f>IF(M5869="","",'Master Barang'!A63)</f>
        <v>0</v>
      </c>
      <c r="O5869">
        <f>IF(N5869="","",'Master Barang'!B63)</f>
        <v>0</v>
      </c>
      <c r="P5869">
        <f>IF(OR(M5869="",N5869=""),"",SUMIFS('Barang Keluar'!$E:$E,'Barang Keluar'!$A:$A,M5869,'Barang Keluar'!$C:$C,N5869))</f>
        <v>0</v>
      </c>
    </row>
    <row r="5870" spans="13:16">
      <c r="M5870" s="49">
        <f>IF($A$4+58&gt;$B$4,"",$A$4+58)</f>
        <v>46081</v>
      </c>
      <c r="N5870">
        <f>IF(M5870="","",'Master Barang'!A64)</f>
        <v>0</v>
      </c>
      <c r="O5870">
        <f>IF(N5870="","",'Master Barang'!B64)</f>
        <v>0</v>
      </c>
      <c r="P5870">
        <f>IF(OR(M5870="",N5870=""),"",SUMIFS('Barang Keluar'!$E:$E,'Barang Keluar'!$A:$A,M5870,'Barang Keluar'!$C:$C,N5870))</f>
        <v>0</v>
      </c>
    </row>
    <row r="5871" spans="13:16">
      <c r="M5871" s="49">
        <f>IF($A$4+58&gt;$B$4,"",$A$4+58)</f>
        <v>46081</v>
      </c>
      <c r="N5871">
        <f>IF(M5871="","",'Master Barang'!A65)</f>
        <v>0</v>
      </c>
      <c r="O5871">
        <f>IF(N5871="","",'Master Barang'!B65)</f>
        <v>0</v>
      </c>
      <c r="P5871">
        <f>IF(OR(M5871="",N5871=""),"",SUMIFS('Barang Keluar'!$E:$E,'Barang Keluar'!$A:$A,M5871,'Barang Keluar'!$C:$C,N5871))</f>
        <v>0</v>
      </c>
    </row>
    <row r="5872" spans="13:16">
      <c r="M5872" s="49">
        <f>IF($A$4+58&gt;$B$4,"",$A$4+58)</f>
        <v>46081</v>
      </c>
      <c r="N5872">
        <f>IF(M5872="","",'Master Barang'!A66)</f>
        <v>0</v>
      </c>
      <c r="O5872">
        <f>IF(N5872="","",'Master Barang'!B66)</f>
        <v>0</v>
      </c>
      <c r="P5872">
        <f>IF(OR(M5872="",N5872=""),"",SUMIFS('Barang Keluar'!$E:$E,'Barang Keluar'!$A:$A,M5872,'Barang Keluar'!$C:$C,N5872))</f>
        <v>0</v>
      </c>
    </row>
    <row r="5873" spans="13:16">
      <c r="M5873" s="49">
        <f>IF($A$4+58&gt;$B$4,"",$A$4+58)</f>
        <v>46081</v>
      </c>
      <c r="N5873">
        <f>IF(M5873="","",'Master Barang'!A67)</f>
        <v>0</v>
      </c>
      <c r="O5873">
        <f>IF(N5873="","",'Master Barang'!B67)</f>
        <v>0</v>
      </c>
      <c r="P5873">
        <f>IF(OR(M5873="",N5873=""),"",SUMIFS('Barang Keluar'!$E:$E,'Barang Keluar'!$A:$A,M5873,'Barang Keluar'!$C:$C,N5873))</f>
        <v>0</v>
      </c>
    </row>
    <row r="5874" spans="13:16">
      <c r="M5874" s="49">
        <f>IF($A$4+58&gt;$B$4,"",$A$4+58)</f>
        <v>46081</v>
      </c>
      <c r="N5874">
        <f>IF(M5874="","",'Master Barang'!A68)</f>
        <v>0</v>
      </c>
      <c r="O5874">
        <f>IF(N5874="","",'Master Barang'!B68)</f>
        <v>0</v>
      </c>
      <c r="P5874">
        <f>IF(OR(M5874="",N5874=""),"",SUMIFS('Barang Keluar'!$E:$E,'Barang Keluar'!$A:$A,M5874,'Barang Keluar'!$C:$C,N5874))</f>
        <v>0</v>
      </c>
    </row>
    <row r="5875" spans="13:16">
      <c r="M5875" s="49">
        <f>IF($A$4+58&gt;$B$4,"",$A$4+58)</f>
        <v>46081</v>
      </c>
      <c r="N5875">
        <f>IF(M5875="","",'Master Barang'!A69)</f>
        <v>0</v>
      </c>
      <c r="O5875">
        <f>IF(N5875="","",'Master Barang'!B69)</f>
        <v>0</v>
      </c>
      <c r="P5875">
        <f>IF(OR(M5875="",N5875=""),"",SUMIFS('Barang Keluar'!$E:$E,'Barang Keluar'!$A:$A,M5875,'Barang Keluar'!$C:$C,N5875))</f>
        <v>0</v>
      </c>
    </row>
    <row r="5876" spans="13:16">
      <c r="M5876" s="49">
        <f>IF($A$4+58&gt;$B$4,"",$A$4+58)</f>
        <v>46081</v>
      </c>
      <c r="N5876">
        <f>IF(M5876="","",'Master Barang'!A70)</f>
        <v>0</v>
      </c>
      <c r="O5876">
        <f>IF(N5876="","",'Master Barang'!B70)</f>
        <v>0</v>
      </c>
      <c r="P5876">
        <f>IF(OR(M5876="",N5876=""),"",SUMIFS('Barang Keluar'!$E:$E,'Barang Keluar'!$A:$A,M5876,'Barang Keluar'!$C:$C,N5876))</f>
        <v>0</v>
      </c>
    </row>
    <row r="5877" spans="13:16">
      <c r="M5877" s="49">
        <f>IF($A$4+58&gt;$B$4,"",$A$4+58)</f>
        <v>46081</v>
      </c>
      <c r="N5877">
        <f>IF(M5877="","",'Master Barang'!A71)</f>
        <v>0</v>
      </c>
      <c r="O5877">
        <f>IF(N5877="","",'Master Barang'!B71)</f>
        <v>0</v>
      </c>
      <c r="P5877">
        <f>IF(OR(M5877="",N5877=""),"",SUMIFS('Barang Keluar'!$E:$E,'Barang Keluar'!$A:$A,M5877,'Barang Keluar'!$C:$C,N5877))</f>
        <v>0</v>
      </c>
    </row>
    <row r="5878" spans="13:16">
      <c r="M5878" s="49">
        <f>IF($A$4+58&gt;$B$4,"",$A$4+58)</f>
        <v>46081</v>
      </c>
      <c r="N5878">
        <f>IF(M5878="","",'Master Barang'!A72)</f>
        <v>0</v>
      </c>
      <c r="O5878">
        <f>IF(N5878="","",'Master Barang'!B72)</f>
        <v>0</v>
      </c>
      <c r="P5878">
        <f>IF(OR(M5878="",N5878=""),"",SUMIFS('Barang Keluar'!$E:$E,'Barang Keluar'!$A:$A,M5878,'Barang Keluar'!$C:$C,N5878))</f>
        <v>0</v>
      </c>
    </row>
    <row r="5879" spans="13:16">
      <c r="M5879" s="49">
        <f>IF($A$4+58&gt;$B$4,"",$A$4+58)</f>
        <v>46081</v>
      </c>
      <c r="N5879">
        <f>IF(M5879="","",'Master Barang'!A73)</f>
        <v>0</v>
      </c>
      <c r="O5879">
        <f>IF(N5879="","",'Master Barang'!B73)</f>
        <v>0</v>
      </c>
      <c r="P5879">
        <f>IF(OR(M5879="",N5879=""),"",SUMIFS('Barang Keluar'!$E:$E,'Barang Keluar'!$A:$A,M5879,'Barang Keluar'!$C:$C,N5879))</f>
        <v>0</v>
      </c>
    </row>
    <row r="5880" spans="13:16">
      <c r="M5880" s="49">
        <f>IF($A$4+58&gt;$B$4,"",$A$4+58)</f>
        <v>46081</v>
      </c>
      <c r="N5880">
        <f>IF(M5880="","",'Master Barang'!A74)</f>
        <v>0</v>
      </c>
      <c r="O5880">
        <f>IF(N5880="","",'Master Barang'!B74)</f>
        <v>0</v>
      </c>
      <c r="P5880">
        <f>IF(OR(M5880="",N5880=""),"",SUMIFS('Barang Keluar'!$E:$E,'Barang Keluar'!$A:$A,M5880,'Barang Keluar'!$C:$C,N5880))</f>
        <v>0</v>
      </c>
    </row>
    <row r="5881" spans="13:16">
      <c r="M5881" s="49">
        <f>IF($A$4+58&gt;$B$4,"",$A$4+58)</f>
        <v>46081</v>
      </c>
      <c r="N5881">
        <f>IF(M5881="","",'Master Barang'!A75)</f>
        <v>0</v>
      </c>
      <c r="O5881">
        <f>IF(N5881="","",'Master Barang'!B75)</f>
        <v>0</v>
      </c>
      <c r="P5881">
        <f>IF(OR(M5881="",N5881=""),"",SUMIFS('Barang Keluar'!$E:$E,'Barang Keluar'!$A:$A,M5881,'Barang Keluar'!$C:$C,N5881))</f>
        <v>0</v>
      </c>
    </row>
    <row r="5882" spans="13:16">
      <c r="M5882" s="49">
        <f>IF($A$4+58&gt;$B$4,"",$A$4+58)</f>
        <v>46081</v>
      </c>
      <c r="N5882">
        <f>IF(M5882="","",'Master Barang'!A76)</f>
        <v>0</v>
      </c>
      <c r="O5882">
        <f>IF(N5882="","",'Master Barang'!B76)</f>
        <v>0</v>
      </c>
      <c r="P5882">
        <f>IF(OR(M5882="",N5882=""),"",SUMIFS('Barang Keluar'!$E:$E,'Barang Keluar'!$A:$A,M5882,'Barang Keluar'!$C:$C,N5882))</f>
        <v>0</v>
      </c>
    </row>
    <row r="5883" spans="13:16">
      <c r="M5883" s="49">
        <f>IF($A$4+58&gt;$B$4,"",$A$4+58)</f>
        <v>46081</v>
      </c>
      <c r="N5883">
        <f>IF(M5883="","",'Master Barang'!A77)</f>
        <v>0</v>
      </c>
      <c r="O5883">
        <f>IF(N5883="","",'Master Barang'!B77)</f>
        <v>0</v>
      </c>
      <c r="P5883">
        <f>IF(OR(M5883="",N5883=""),"",SUMIFS('Barang Keluar'!$E:$E,'Barang Keluar'!$A:$A,M5883,'Barang Keluar'!$C:$C,N5883))</f>
        <v>0</v>
      </c>
    </row>
    <row r="5884" spans="13:16">
      <c r="M5884" s="49">
        <f>IF($A$4+58&gt;$B$4,"",$A$4+58)</f>
        <v>46081</v>
      </c>
      <c r="N5884">
        <f>IF(M5884="","",'Master Barang'!A78)</f>
        <v>0</v>
      </c>
      <c r="O5884">
        <f>IF(N5884="","",'Master Barang'!B78)</f>
        <v>0</v>
      </c>
      <c r="P5884">
        <f>IF(OR(M5884="",N5884=""),"",SUMIFS('Barang Keluar'!$E:$E,'Barang Keluar'!$A:$A,M5884,'Barang Keluar'!$C:$C,N5884))</f>
        <v>0</v>
      </c>
    </row>
    <row r="5885" spans="13:16">
      <c r="M5885" s="49">
        <f>IF($A$4+58&gt;$B$4,"",$A$4+58)</f>
        <v>46081</v>
      </c>
      <c r="N5885">
        <f>IF(M5885="","",'Master Barang'!A79)</f>
        <v>0</v>
      </c>
      <c r="O5885">
        <f>IF(N5885="","",'Master Barang'!B79)</f>
        <v>0</v>
      </c>
      <c r="P5885">
        <f>IF(OR(M5885="",N5885=""),"",SUMIFS('Barang Keluar'!$E:$E,'Barang Keluar'!$A:$A,M5885,'Barang Keluar'!$C:$C,N5885))</f>
        <v>0</v>
      </c>
    </row>
    <row r="5886" spans="13:16">
      <c r="M5886" s="49">
        <f>IF($A$4+58&gt;$B$4,"",$A$4+58)</f>
        <v>46081</v>
      </c>
      <c r="N5886">
        <f>IF(M5886="","",'Master Barang'!A80)</f>
        <v>0</v>
      </c>
      <c r="O5886">
        <f>IF(N5886="","",'Master Barang'!B80)</f>
        <v>0</v>
      </c>
      <c r="P5886">
        <f>IF(OR(M5886="",N5886=""),"",SUMIFS('Barang Keluar'!$E:$E,'Barang Keluar'!$A:$A,M5886,'Barang Keluar'!$C:$C,N5886))</f>
        <v>0</v>
      </c>
    </row>
    <row r="5887" spans="13:16">
      <c r="M5887" s="49">
        <f>IF($A$4+58&gt;$B$4,"",$A$4+58)</f>
        <v>46081</v>
      </c>
      <c r="N5887">
        <f>IF(M5887="","",'Master Barang'!A81)</f>
        <v>0</v>
      </c>
      <c r="O5887">
        <f>IF(N5887="","",'Master Barang'!B81)</f>
        <v>0</v>
      </c>
      <c r="P5887">
        <f>IF(OR(M5887="",N5887=""),"",SUMIFS('Barang Keluar'!$E:$E,'Barang Keluar'!$A:$A,M5887,'Barang Keluar'!$C:$C,N5887))</f>
        <v>0</v>
      </c>
    </row>
    <row r="5888" spans="13:16">
      <c r="M5888" s="49">
        <f>IF($A$4+58&gt;$B$4,"",$A$4+58)</f>
        <v>46081</v>
      </c>
      <c r="N5888">
        <f>IF(M5888="","",'Master Barang'!A82)</f>
        <v>0</v>
      </c>
      <c r="O5888">
        <f>IF(N5888="","",'Master Barang'!B82)</f>
        <v>0</v>
      </c>
      <c r="P5888">
        <f>IF(OR(M5888="",N5888=""),"",SUMIFS('Barang Keluar'!$E:$E,'Barang Keluar'!$A:$A,M5888,'Barang Keluar'!$C:$C,N5888))</f>
        <v>0</v>
      </c>
    </row>
    <row r="5889" spans="13:16">
      <c r="M5889" s="49">
        <f>IF($A$4+58&gt;$B$4,"",$A$4+58)</f>
        <v>46081</v>
      </c>
      <c r="N5889">
        <f>IF(M5889="","",'Master Barang'!A83)</f>
        <v>0</v>
      </c>
      <c r="O5889">
        <f>IF(N5889="","",'Master Barang'!B83)</f>
        <v>0</v>
      </c>
      <c r="P5889">
        <f>IF(OR(M5889="",N5889=""),"",SUMIFS('Barang Keluar'!$E:$E,'Barang Keluar'!$A:$A,M5889,'Barang Keluar'!$C:$C,N5889))</f>
        <v>0</v>
      </c>
    </row>
    <row r="5890" spans="13:16">
      <c r="M5890" s="49">
        <f>IF($A$4+58&gt;$B$4,"",$A$4+58)</f>
        <v>46081</v>
      </c>
      <c r="N5890">
        <f>IF(M5890="","",'Master Barang'!A84)</f>
        <v>0</v>
      </c>
      <c r="O5890">
        <f>IF(N5890="","",'Master Barang'!B84)</f>
        <v>0</v>
      </c>
      <c r="P5890">
        <f>IF(OR(M5890="",N5890=""),"",SUMIFS('Barang Keluar'!$E:$E,'Barang Keluar'!$A:$A,M5890,'Barang Keluar'!$C:$C,N5890))</f>
        <v>0</v>
      </c>
    </row>
    <row r="5891" spans="13:16">
      <c r="M5891" s="49">
        <f>IF($A$4+58&gt;$B$4,"",$A$4+58)</f>
        <v>46081</v>
      </c>
      <c r="N5891">
        <f>IF(M5891="","",'Master Barang'!A85)</f>
        <v>0</v>
      </c>
      <c r="O5891">
        <f>IF(N5891="","",'Master Barang'!B85)</f>
        <v>0</v>
      </c>
      <c r="P5891">
        <f>IF(OR(M5891="",N5891=""),"",SUMIFS('Barang Keluar'!$E:$E,'Barang Keluar'!$A:$A,M5891,'Barang Keluar'!$C:$C,N5891))</f>
        <v>0</v>
      </c>
    </row>
    <row r="5892" spans="13:16">
      <c r="M5892" s="49">
        <f>IF($A$4+58&gt;$B$4,"",$A$4+58)</f>
        <v>46081</v>
      </c>
      <c r="N5892">
        <f>IF(M5892="","",'Master Barang'!A86)</f>
        <v>0</v>
      </c>
      <c r="O5892">
        <f>IF(N5892="","",'Master Barang'!B86)</f>
        <v>0</v>
      </c>
      <c r="P5892">
        <f>IF(OR(M5892="",N5892=""),"",SUMIFS('Barang Keluar'!$E:$E,'Barang Keluar'!$A:$A,M5892,'Barang Keluar'!$C:$C,N5892))</f>
        <v>0</v>
      </c>
    </row>
    <row r="5893" spans="13:16">
      <c r="M5893" s="49">
        <f>IF($A$4+58&gt;$B$4,"",$A$4+58)</f>
        <v>46081</v>
      </c>
      <c r="N5893">
        <f>IF(M5893="","",'Master Barang'!A87)</f>
        <v>0</v>
      </c>
      <c r="O5893">
        <f>IF(N5893="","",'Master Barang'!B87)</f>
        <v>0</v>
      </c>
      <c r="P5893">
        <f>IF(OR(M5893="",N5893=""),"",SUMIFS('Barang Keluar'!$E:$E,'Barang Keluar'!$A:$A,M5893,'Barang Keluar'!$C:$C,N5893))</f>
        <v>0</v>
      </c>
    </row>
    <row r="5894" spans="13:16">
      <c r="M5894" s="49">
        <f>IF($A$4+58&gt;$B$4,"",$A$4+58)</f>
        <v>46081</v>
      </c>
      <c r="N5894">
        <f>IF(M5894="","",'Master Barang'!A88)</f>
        <v>0</v>
      </c>
      <c r="O5894">
        <f>IF(N5894="","",'Master Barang'!B88)</f>
        <v>0</v>
      </c>
      <c r="P5894">
        <f>IF(OR(M5894="",N5894=""),"",SUMIFS('Barang Keluar'!$E:$E,'Barang Keluar'!$A:$A,M5894,'Barang Keluar'!$C:$C,N5894))</f>
        <v>0</v>
      </c>
    </row>
    <row r="5895" spans="13:16">
      <c r="M5895" s="49">
        <f>IF($A$4+58&gt;$B$4,"",$A$4+58)</f>
        <v>46081</v>
      </c>
      <c r="N5895">
        <f>IF(M5895="","",'Master Barang'!A89)</f>
        <v>0</v>
      </c>
      <c r="O5895">
        <f>IF(N5895="","",'Master Barang'!B89)</f>
        <v>0</v>
      </c>
      <c r="P5895">
        <f>IF(OR(M5895="",N5895=""),"",SUMIFS('Barang Keluar'!$E:$E,'Barang Keluar'!$A:$A,M5895,'Barang Keluar'!$C:$C,N5895))</f>
        <v>0</v>
      </c>
    </row>
    <row r="5896" spans="13:16">
      <c r="M5896" s="49">
        <f>IF($A$4+58&gt;$B$4,"",$A$4+58)</f>
        <v>46081</v>
      </c>
      <c r="N5896">
        <f>IF(M5896="","",'Master Barang'!A90)</f>
        <v>0</v>
      </c>
      <c r="O5896">
        <f>IF(N5896="","",'Master Barang'!B90)</f>
        <v>0</v>
      </c>
      <c r="P5896">
        <f>IF(OR(M5896="",N5896=""),"",SUMIFS('Barang Keluar'!$E:$E,'Barang Keluar'!$A:$A,M5896,'Barang Keluar'!$C:$C,N5896))</f>
        <v>0</v>
      </c>
    </row>
    <row r="5897" spans="13:16">
      <c r="M5897" s="49">
        <f>IF($A$4+58&gt;$B$4,"",$A$4+58)</f>
        <v>46081</v>
      </c>
      <c r="N5897">
        <f>IF(M5897="","",'Master Barang'!A91)</f>
        <v>0</v>
      </c>
      <c r="O5897">
        <f>IF(N5897="","",'Master Barang'!B91)</f>
        <v>0</v>
      </c>
      <c r="P5897">
        <f>IF(OR(M5897="",N5897=""),"",SUMIFS('Barang Keluar'!$E:$E,'Barang Keluar'!$A:$A,M5897,'Barang Keluar'!$C:$C,N5897))</f>
        <v>0</v>
      </c>
    </row>
    <row r="5898" spans="13:16">
      <c r="M5898" s="49">
        <f>IF($A$4+58&gt;$B$4,"",$A$4+58)</f>
        <v>46081</v>
      </c>
      <c r="N5898">
        <f>IF(M5898="","",'Master Barang'!A92)</f>
        <v>0</v>
      </c>
      <c r="O5898">
        <f>IF(N5898="","",'Master Barang'!B92)</f>
        <v>0</v>
      </c>
      <c r="P5898">
        <f>IF(OR(M5898="",N5898=""),"",SUMIFS('Barang Keluar'!$E:$E,'Barang Keluar'!$A:$A,M5898,'Barang Keluar'!$C:$C,N5898))</f>
        <v>0</v>
      </c>
    </row>
    <row r="5899" spans="13:16">
      <c r="M5899" s="49">
        <f>IF($A$4+58&gt;$B$4,"",$A$4+58)</f>
        <v>46081</v>
      </c>
      <c r="N5899">
        <f>IF(M5899="","",'Master Barang'!A93)</f>
        <v>0</v>
      </c>
      <c r="O5899">
        <f>IF(N5899="","",'Master Barang'!B93)</f>
        <v>0</v>
      </c>
      <c r="P5899">
        <f>IF(OR(M5899="",N5899=""),"",SUMIFS('Barang Keluar'!$E:$E,'Barang Keluar'!$A:$A,M5899,'Barang Keluar'!$C:$C,N5899))</f>
        <v>0</v>
      </c>
    </row>
    <row r="5900" spans="13:16">
      <c r="M5900" s="49">
        <f>IF($A$4+58&gt;$B$4,"",$A$4+58)</f>
        <v>46081</v>
      </c>
      <c r="N5900">
        <f>IF(M5900="","",'Master Barang'!A94)</f>
        <v>0</v>
      </c>
      <c r="O5900">
        <f>IF(N5900="","",'Master Barang'!B94)</f>
        <v>0</v>
      </c>
      <c r="P5900">
        <f>IF(OR(M5900="",N5900=""),"",SUMIFS('Barang Keluar'!$E:$E,'Barang Keluar'!$A:$A,M5900,'Barang Keluar'!$C:$C,N5900))</f>
        <v>0</v>
      </c>
    </row>
    <row r="5901" spans="13:16">
      <c r="M5901" s="49">
        <f>IF($A$4+58&gt;$B$4,"",$A$4+58)</f>
        <v>46081</v>
      </c>
      <c r="N5901">
        <f>IF(M5901="","",'Master Barang'!A95)</f>
        <v>0</v>
      </c>
      <c r="O5901">
        <f>IF(N5901="","",'Master Barang'!B95)</f>
        <v>0</v>
      </c>
      <c r="P5901">
        <f>IF(OR(M5901="",N5901=""),"",SUMIFS('Barang Keluar'!$E:$E,'Barang Keluar'!$A:$A,M5901,'Barang Keluar'!$C:$C,N5901))</f>
        <v>0</v>
      </c>
    </row>
    <row r="5902" spans="13:16">
      <c r="M5902" s="49">
        <f>IF($A$4+58&gt;$B$4,"",$A$4+58)</f>
        <v>46081</v>
      </c>
      <c r="N5902">
        <f>IF(M5902="","",'Master Barang'!A96)</f>
        <v>0</v>
      </c>
      <c r="O5902">
        <f>IF(N5902="","",'Master Barang'!B96)</f>
        <v>0</v>
      </c>
      <c r="P5902">
        <f>IF(OR(M5902="",N5902=""),"",SUMIFS('Barang Keluar'!$E:$E,'Barang Keluar'!$A:$A,M5902,'Barang Keluar'!$C:$C,N5902))</f>
        <v>0</v>
      </c>
    </row>
    <row r="5903" spans="13:16">
      <c r="M5903" s="49">
        <f>IF($A$4+58&gt;$B$4,"",$A$4+58)</f>
        <v>46081</v>
      </c>
      <c r="N5903">
        <f>IF(M5903="","",'Master Barang'!A97)</f>
        <v>0</v>
      </c>
      <c r="O5903">
        <f>IF(N5903="","",'Master Barang'!B97)</f>
        <v>0</v>
      </c>
      <c r="P5903">
        <f>IF(OR(M5903="",N5903=""),"",SUMIFS('Barang Keluar'!$E:$E,'Barang Keluar'!$A:$A,M5903,'Barang Keluar'!$C:$C,N5903))</f>
        <v>0</v>
      </c>
    </row>
    <row r="5904" spans="13:16">
      <c r="M5904" s="49">
        <f>IF($A$4+58&gt;$B$4,"",$A$4+58)</f>
        <v>46081</v>
      </c>
      <c r="N5904">
        <f>IF(M5904="","",'Master Barang'!A98)</f>
        <v>0</v>
      </c>
      <c r="O5904">
        <f>IF(N5904="","",'Master Barang'!B98)</f>
        <v>0</v>
      </c>
      <c r="P5904">
        <f>IF(OR(M5904="",N5904=""),"",SUMIFS('Barang Keluar'!$E:$E,'Barang Keluar'!$A:$A,M5904,'Barang Keluar'!$C:$C,N5904))</f>
        <v>0</v>
      </c>
    </row>
    <row r="5905" spans="13:16">
      <c r="M5905" s="49">
        <f>IF($A$4+58&gt;$B$4,"",$A$4+58)</f>
        <v>46081</v>
      </c>
      <c r="N5905">
        <f>IF(M5905="","",'Master Barang'!A99)</f>
        <v>0</v>
      </c>
      <c r="O5905">
        <f>IF(N5905="","",'Master Barang'!B99)</f>
        <v>0</v>
      </c>
      <c r="P5905">
        <f>IF(OR(M5905="",N5905=""),"",SUMIFS('Barang Keluar'!$E:$E,'Barang Keluar'!$A:$A,M5905,'Barang Keluar'!$C:$C,N5905))</f>
        <v>0</v>
      </c>
    </row>
    <row r="5906" spans="13:16">
      <c r="M5906" s="49">
        <f>IF($A$4+58&gt;$B$4,"",$A$4+58)</f>
        <v>46081</v>
      </c>
      <c r="N5906">
        <f>IF(M5906="","",'Master Barang'!A100)</f>
        <v>0</v>
      </c>
      <c r="O5906">
        <f>IF(N5906="","",'Master Barang'!B100)</f>
        <v>0</v>
      </c>
      <c r="P5906">
        <f>IF(OR(M5906="",N5906=""),"",SUMIFS('Barang Keluar'!$E:$E,'Barang Keluar'!$A:$A,M5906,'Barang Keluar'!$C:$C,N5906))</f>
        <v>0</v>
      </c>
    </row>
    <row r="5907" spans="13:16">
      <c r="M5907" s="49">
        <f>IF($A$4+58&gt;$B$4,"",$A$4+58)</f>
        <v>46081</v>
      </c>
      <c r="N5907">
        <f>IF(M5907="","",'Master Barang'!A101)</f>
        <v>0</v>
      </c>
      <c r="O5907">
        <f>IF(N5907="","",'Master Barang'!B101)</f>
        <v>0</v>
      </c>
      <c r="P5907">
        <f>IF(OR(M5907="",N5907=""),"",SUMIFS('Barang Keluar'!$E:$E,'Barang Keluar'!$A:$A,M5907,'Barang Keluar'!$C:$C,N5907))</f>
        <v>0</v>
      </c>
    </row>
    <row r="5908" spans="13:16">
      <c r="M5908" s="49">
        <f>IF($A$4+59&gt;$B$4,"",$A$4+59)</f>
        <v>46082</v>
      </c>
      <c r="N5908" t="str">
        <f>IF(M5908="","",'Master Barang'!A2)</f>
        <v>PRL-001</v>
      </c>
      <c r="O5908" t="str">
        <f>IF(N5908="","",'Master Barang'!B2)</f>
        <v>natura desinfectant food grade 5l</v>
      </c>
      <c r="P5908">
        <f>IF(OR(M5908="",N5908=""),"",SUMIFS('Barang Keluar'!$E:$E,'Barang Keluar'!$A:$A,M5908,'Barang Keluar'!$C:$C,N5908))</f>
        <v>0</v>
      </c>
    </row>
    <row r="5909" spans="13:16">
      <c r="M5909" s="49">
        <f>IF($A$4+59&gt;$B$4,"",$A$4+59)</f>
        <v>46082</v>
      </c>
      <c r="N5909" t="str">
        <f>IF(M5909="","",'Master Barang'!A3)</f>
        <v>PRL-002</v>
      </c>
      <c r="O5909" t="str">
        <f>IF(N5909="","",'Master Barang'!B3)</f>
        <v>sunlight cairan pencuci piring 5l</v>
      </c>
      <c r="P5909">
        <f>IF(OR(M5909="",N5909=""),"",SUMIFS('Barang Keluar'!$E:$E,'Barang Keluar'!$A:$A,M5909,'Barang Keluar'!$C:$C,N5909))</f>
        <v>0</v>
      </c>
    </row>
    <row r="5910" spans="13:16">
      <c r="M5910" s="49">
        <f>IF($A$4+59&gt;$B$4,"",$A$4+59)</f>
        <v>46082</v>
      </c>
      <c r="N5910" t="str">
        <f>IF(M5910="","",'Master Barang'!A4)</f>
        <v>PRL-003</v>
      </c>
      <c r="O5910" t="str">
        <f>IF(N5910="","",'Master Barang'!B4)</f>
        <v>oixs cleaner 1l</v>
      </c>
      <c r="P5910">
        <f>IF(OR(M5910="",N5910=""),"",SUMIFS('Barang Keluar'!$E:$E,'Barang Keluar'!$A:$A,M5910,'Barang Keluar'!$C:$C,N5910))</f>
        <v>0</v>
      </c>
    </row>
    <row r="5911" spans="13:16">
      <c r="M5911" s="49">
        <f>IF($A$4+59&gt;$B$4,"",$A$4+59)</f>
        <v>46082</v>
      </c>
      <c r="N5911" t="str">
        <f>IF(M5911="","",'Master Barang'!A5)</f>
        <v>PRL-004</v>
      </c>
      <c r="O5911" t="str">
        <f>IF(N5911="","",'Master Barang'!B5)</f>
        <v>be clean tissue serbaguna</v>
      </c>
      <c r="P5911">
        <f>IF(OR(M5911="",N5911=""),"",SUMIFS('Barang Keluar'!$E:$E,'Barang Keluar'!$A:$A,M5911,'Barang Keluar'!$C:$C,N5911))</f>
        <v>0</v>
      </c>
    </row>
    <row r="5912" spans="13:16">
      <c r="M5912" s="49">
        <f>IF($A$4+59&gt;$B$4,"",$A$4+59)</f>
        <v>46082</v>
      </c>
      <c r="N5912" t="str">
        <f>IF(M5912="","",'Master Barang'!A6)</f>
        <v>PRL-005</v>
      </c>
      <c r="O5912" t="str">
        <f>IF(N5912="","",'Master Barang'!B6)</f>
        <v>spons cuci hijau</v>
      </c>
      <c r="P5912">
        <f>IF(OR(M5912="",N5912=""),"",SUMIFS('Barang Keluar'!$E:$E,'Barang Keluar'!$A:$A,M5912,'Barang Keluar'!$C:$C,N5912))</f>
        <v>0</v>
      </c>
    </row>
    <row r="5913" spans="13:16">
      <c r="M5913" s="49">
        <f>IF($A$4+59&gt;$B$4,"",$A$4+59)</f>
        <v>46082</v>
      </c>
      <c r="N5913" t="str">
        <f>IF(M5913="","",'Master Barang'!A7)</f>
        <v>PRL-006</v>
      </c>
      <c r="O5913" t="str">
        <f>IF(N5913="","",'Master Barang'!B7)</f>
        <v>sabut cuci stainless</v>
      </c>
      <c r="P5913">
        <f>IF(OR(M5913="",N5913=""),"",SUMIFS('Barang Keluar'!$E:$E,'Barang Keluar'!$A:$A,M5913,'Barang Keluar'!$C:$C,N5913))</f>
        <v>0</v>
      </c>
    </row>
    <row r="5914" spans="13:16">
      <c r="M5914" s="49">
        <f>IF($A$4+59&gt;$B$4,"",$A$4+59)</f>
        <v>46082</v>
      </c>
      <c r="N5914" t="str">
        <f>IF(M5914="","",'Master Barang'!A8)</f>
        <v>PRL-007</v>
      </c>
      <c r="O5914" t="str">
        <f>IF(N5914="","",'Master Barang'!B8)</f>
        <v>plastik kresek besar merah 50pc</v>
      </c>
      <c r="P5914">
        <f>IF(OR(M5914="",N5914=""),"",SUMIFS('Barang Keluar'!$E:$E,'Barang Keluar'!$A:$A,M5914,'Barang Keluar'!$C:$C,N5914))</f>
        <v>0</v>
      </c>
    </row>
    <row r="5915" spans="13:16">
      <c r="M5915" s="49">
        <f>IF($A$4+59&gt;$B$4,"",$A$4+59)</f>
        <v>46082</v>
      </c>
      <c r="N5915" t="str">
        <f>IF(M5915="","",'Master Barang'!A9)</f>
        <v>PRL-008</v>
      </c>
      <c r="O5915" t="str">
        <f>IF(N5915="","",'Master Barang'!B9)</f>
        <v>lap besar</v>
      </c>
      <c r="P5915">
        <f>IF(OR(M5915="",N5915=""),"",SUMIFS('Barang Keluar'!$E:$E,'Barang Keluar'!$A:$A,M5915,'Barang Keluar'!$C:$C,N5915))</f>
        <v>0</v>
      </c>
    </row>
    <row r="5916" spans="13:16">
      <c r="M5916" s="49">
        <f>IF($A$4+59&gt;$B$4,"",$A$4+59)</f>
        <v>46082</v>
      </c>
      <c r="N5916" t="str">
        <f>IF(M5916="","",'Master Barang'!A10)</f>
        <v>PRL-009</v>
      </c>
      <c r="O5916" t="str">
        <f>IF(N5916="","",'Master Barang'!B10)</f>
        <v>lap microfiber</v>
      </c>
      <c r="P5916">
        <f>IF(OR(M5916="",N5916=""),"",SUMIFS('Barang Keluar'!$E:$E,'Barang Keluar'!$A:$A,M5916,'Barang Keluar'!$C:$C,N5916))</f>
        <v>0</v>
      </c>
    </row>
    <row r="5917" spans="13:16">
      <c r="M5917" s="49">
        <f>IF($A$4+59&gt;$B$4,"",$A$4+59)</f>
        <v>46082</v>
      </c>
      <c r="N5917" t="str">
        <f>IF(M5917="","",'Master Barang'!A11)</f>
        <v>PRL-010</v>
      </c>
      <c r="O5917" t="str">
        <f>IF(N5917="","",'Master Barang'!B11)</f>
        <v>lap kecil</v>
      </c>
      <c r="P5917">
        <f>IF(OR(M5917="",N5917=""),"",SUMIFS('Barang Keluar'!$E:$E,'Barang Keluar'!$A:$A,M5917,'Barang Keluar'!$C:$C,N5917))</f>
        <v>0</v>
      </c>
    </row>
    <row r="5918" spans="13:16">
      <c r="M5918" s="49">
        <f>IF($A$4+59&gt;$B$4,"",$A$4+59)</f>
        <v>46082</v>
      </c>
      <c r="N5918" t="str">
        <f>IF(M5918="","",'Master Barang'!A12)</f>
        <v>PRL-011</v>
      </c>
      <c r="O5918" t="str">
        <f>IF(N5918="","",'Master Barang'!B12)</f>
        <v>kanebo kecil</v>
      </c>
      <c r="P5918">
        <f>IF(OR(M5918="",N5918=""),"",SUMIFS('Barang Keluar'!$E:$E,'Barang Keluar'!$A:$A,M5918,'Barang Keluar'!$C:$C,N5918))</f>
        <v>0</v>
      </c>
    </row>
    <row r="5919" spans="13:16">
      <c r="M5919" s="49">
        <f>IF($A$4+59&gt;$B$4,"",$A$4+59)</f>
        <v>46082</v>
      </c>
      <c r="N5919" t="str">
        <f>IF(M5919="","",'Master Barang'!A13)</f>
        <v>PRL-012</v>
      </c>
      <c r="O5919" t="str">
        <f>IF(N5919="","",'Master Barang'!B13)</f>
        <v>plastik 1/4kg joyoboyo 100 lembar</v>
      </c>
      <c r="P5919">
        <f>IF(OR(M5919="",N5919=""),"",SUMIFS('Barang Keluar'!$E:$E,'Barang Keluar'!$A:$A,M5919,'Barang Keluar'!$C:$C,N5919))</f>
        <v>0</v>
      </c>
    </row>
    <row r="5920" spans="13:16">
      <c r="M5920" s="49">
        <f>IF($A$4+59&gt;$B$4,"",$A$4+59)</f>
        <v>46082</v>
      </c>
      <c r="N5920" t="str">
        <f>IF(M5920="","",'Master Barang'!A14)</f>
        <v>PRL-013</v>
      </c>
      <c r="O5920" t="str">
        <f>IF(N5920="","",'Master Barang'!B14)</f>
        <v>sarung tangan plastik kaka 100 pcs</v>
      </c>
      <c r="P5920">
        <f>IF(OR(M5920="",N5920=""),"",SUMIFS('Barang Keluar'!$E:$E,'Barang Keluar'!$A:$A,M5920,'Barang Keluar'!$C:$C,N5920))</f>
        <v>0</v>
      </c>
    </row>
    <row r="5921" spans="13:16">
      <c r="M5921" s="49">
        <f>IF($A$4+59&gt;$B$4,"",$A$4+59)</f>
        <v>46082</v>
      </c>
      <c r="N5921" t="str">
        <f>IF(M5921="","",'Master Barang'!A15)</f>
        <v>PRL-014</v>
      </c>
      <c r="O5921" t="str">
        <f>IF(N5921="","",'Master Barang'!B15)</f>
        <v>optima trashbag 80x100</v>
      </c>
      <c r="P5921">
        <f>IF(OR(M5921="",N5921=""),"",SUMIFS('Barang Keluar'!$E:$E,'Barang Keluar'!$A:$A,M5921,'Barang Keluar'!$C:$C,N5921))</f>
        <v>0</v>
      </c>
    </row>
    <row r="5922" spans="13:16">
      <c r="M5922" s="49">
        <f>IF($A$4+59&gt;$B$4,"",$A$4+59)</f>
        <v>46082</v>
      </c>
      <c r="N5922" t="str">
        <f>IF(M5922="","",'Master Barang'!A16)</f>
        <v>PRL-015</v>
      </c>
      <c r="O5922" t="str">
        <f>IF(N5922="","",'Master Barang'!B16)</f>
        <v>optima trashbag 60x100</v>
      </c>
      <c r="P5922">
        <f>IF(OR(M5922="",N5922=""),"",SUMIFS('Barang Keluar'!$E:$E,'Barang Keluar'!$A:$A,M5922,'Barang Keluar'!$C:$C,N5922))</f>
        <v>0</v>
      </c>
    </row>
    <row r="5923" spans="13:16">
      <c r="M5923" s="49">
        <f>IF($A$4+59&gt;$B$4,"",$A$4+59)</f>
        <v>46082</v>
      </c>
      <c r="N5923" t="str">
        <f>IF(M5923="","",'Master Barang'!A17)</f>
        <v>PRL-016</v>
      </c>
      <c r="O5923" t="str">
        <f>IF(N5923="","",'Master Barang'!B17)</f>
        <v>rajawali trashbag 30x40</v>
      </c>
      <c r="P5923">
        <f>IF(OR(M5923="",N5923=""),"",SUMIFS('Barang Keluar'!$E:$E,'Barang Keluar'!$A:$A,M5923,'Barang Keluar'!$C:$C,N5923))</f>
        <v>0</v>
      </c>
    </row>
    <row r="5924" spans="13:16">
      <c r="M5924" s="49">
        <f>IF($A$4+59&gt;$B$4,"",$A$4+59)</f>
        <v>46082</v>
      </c>
      <c r="N5924" t="str">
        <f>IF(M5924="","",'Master Barang'!A18)</f>
        <v>PRL-017</v>
      </c>
      <c r="O5924" t="str">
        <f>IF(N5924="","",'Master Barang'!B18)</f>
        <v>onemed masker biru 3 play 50 pcs</v>
      </c>
      <c r="P5924">
        <f>IF(OR(M5924="",N5924=""),"",SUMIFS('Barang Keluar'!$E:$E,'Barang Keluar'!$A:$A,M5924,'Barang Keluar'!$C:$C,N5924))</f>
        <v>0</v>
      </c>
    </row>
    <row r="5925" spans="13:16">
      <c r="M5925" s="49">
        <f>IF($A$4+59&gt;$B$4,"",$A$4+59)</f>
        <v>46082</v>
      </c>
      <c r="N5925" t="str">
        <f>IF(M5925="","",'Master Barang'!A19)</f>
        <v>PRL-018</v>
      </c>
      <c r="O5925" t="str">
        <f>IF(N5925="","",'Master Barang'!B19)</f>
        <v>onemed masker biru 3 play hijab 50 pcs</v>
      </c>
      <c r="P5925">
        <f>IF(OR(M5925="",N5925=""),"",SUMIFS('Barang Keluar'!$E:$E,'Barang Keluar'!$A:$A,M5925,'Barang Keluar'!$C:$C,N5925))</f>
        <v>0</v>
      </c>
    </row>
    <row r="5926" spans="13:16">
      <c r="M5926" s="49">
        <f>IF($A$4+59&gt;$B$4,"",$A$4+59)</f>
        <v>46082</v>
      </c>
      <c r="N5926" t="str">
        <f>IF(M5926="","",'Master Barang'!A20)</f>
        <v>PRL-019</v>
      </c>
      <c r="O5926" t="str">
        <f>IF(N5926="","",'Master Barang'!B20)</f>
        <v>neo health masker biru 3 play 50 pcs</v>
      </c>
      <c r="P5926">
        <f>IF(OR(M5926="",N5926=""),"",SUMIFS('Barang Keluar'!$E:$E,'Barang Keluar'!$A:$A,M5926,'Barang Keluar'!$C:$C,N5926))</f>
        <v>0</v>
      </c>
    </row>
    <row r="5927" spans="13:16">
      <c r="M5927" s="49">
        <f>IF($A$4+59&gt;$B$4,"",$A$4+59)</f>
        <v>46082</v>
      </c>
      <c r="N5927" t="str">
        <f>IF(M5927="","",'Master Barang'!A21)</f>
        <v>PRL-020</v>
      </c>
      <c r="O5927" t="str">
        <f>IF(N5927="","",'Master Barang'!B21)</f>
        <v>baymed masker hijau 3 play hijau 50 pcs</v>
      </c>
      <c r="P5927">
        <f>IF(OR(M5927="",N5927=""),"",SUMIFS('Barang Keluar'!$E:$E,'Barang Keluar'!$A:$A,M5927,'Barang Keluar'!$C:$C,N5927))</f>
        <v>0</v>
      </c>
    </row>
    <row r="5928" spans="13:16">
      <c r="M5928" s="49">
        <f>IF($A$4+59&gt;$B$4,"",$A$4+59)</f>
        <v>46082</v>
      </c>
      <c r="N5928" t="str">
        <f>IF(M5928="","",'Master Barang'!A22)</f>
        <v>PRL-021</v>
      </c>
      <c r="O5928" t="str">
        <f>IF(N5928="","",'Master Barang'!B22)</f>
        <v>altamed nurse cap penutup kepala 100 pcs</v>
      </c>
      <c r="P5928">
        <f>IF(OR(M5928="",N5928=""),"",SUMIFS('Barang Keluar'!$E:$E,'Barang Keluar'!$A:$A,M5928,'Barang Keluar'!$C:$C,N5928))</f>
        <v>0</v>
      </c>
    </row>
    <row r="5929" spans="13:16">
      <c r="M5929" s="49">
        <f>IF($A$4+59&gt;$B$4,"",$A$4+59)</f>
        <v>46082</v>
      </c>
      <c r="N5929" t="str">
        <f>IF(M5929="","",'Master Barang'!A23)</f>
        <v>PRL-022</v>
      </c>
      <c r="O5929" t="str">
        <f>IF(N5929="","",'Master Barang'!B23)</f>
        <v>sabun cuci tangan</v>
      </c>
      <c r="P5929">
        <f>IF(OR(M5929="",N5929=""),"",SUMIFS('Barang Keluar'!$E:$E,'Barang Keluar'!$A:$A,M5929,'Barang Keluar'!$C:$C,N5929))</f>
        <v>0</v>
      </c>
    </row>
    <row r="5930" spans="13:16">
      <c r="M5930" s="49">
        <f>IF($A$4+59&gt;$B$4,"",$A$4+59)</f>
        <v>46082</v>
      </c>
      <c r="N5930" t="str">
        <f>IF(M5930="","",'Master Barang'!A24)</f>
        <v>PRL-023</v>
      </c>
      <c r="O5930" t="str">
        <f>IF(N5930="","",'Master Barang'!B24)</f>
        <v>gayung kecil</v>
      </c>
      <c r="P5930">
        <f>IF(OR(M5930="",N5930=""),"",SUMIFS('Barang Keluar'!$E:$E,'Barang Keluar'!$A:$A,M5930,'Barang Keluar'!$C:$C,N5930))</f>
        <v>0</v>
      </c>
    </row>
    <row r="5931" spans="13:16">
      <c r="M5931" s="49">
        <f>IF($A$4+59&gt;$B$4,"",$A$4+59)</f>
        <v>46082</v>
      </c>
      <c r="N5931" t="str">
        <f>IF(M5931="","",'Master Barang'!A25)</f>
        <v>PRL-024</v>
      </c>
      <c r="O5931" t="str">
        <f>IF(N5931="","",'Master Barang'!B25)</f>
        <v>cikrak kecil</v>
      </c>
      <c r="P5931">
        <f>IF(OR(M5931="",N5931=""),"",SUMIFS('Barang Keluar'!$E:$E,'Barang Keluar'!$A:$A,M5931,'Barang Keluar'!$C:$C,N5931))</f>
        <v>0</v>
      </c>
    </row>
    <row r="5932" spans="13:16">
      <c r="M5932" s="49">
        <f>IF($A$4+59&gt;$B$4,"",$A$4+59)</f>
        <v>46082</v>
      </c>
      <c r="N5932" t="str">
        <f>IF(M5932="","",'Master Barang'!A26)</f>
        <v>PRL-025</v>
      </c>
      <c r="O5932" t="str">
        <f>IF(N5932="","",'Master Barang'!B26)</f>
        <v>petromax plastik kecil 12x24 100 lembar</v>
      </c>
      <c r="P5932">
        <f>IF(OR(M5932="",N5932=""),"",SUMIFS('Barang Keluar'!$E:$E,'Barang Keluar'!$A:$A,M5932,'Barang Keluar'!$C:$C,N5932))</f>
        <v>0</v>
      </c>
    </row>
    <row r="5933" spans="13:16">
      <c r="M5933" s="49">
        <f>IF($A$4+59&gt;$B$4,"",$A$4+59)</f>
        <v>46082</v>
      </c>
      <c r="N5933" t="str">
        <f>IF(M5933="","",'Master Barang'!A27)</f>
        <v>PRL-026</v>
      </c>
      <c r="O5933" t="str">
        <f>IF(N5933="","",'Master Barang'!B27)</f>
        <v>lancar kresek kecil bening </v>
      </c>
      <c r="P5933">
        <f>IF(OR(M5933="",N5933=""),"",SUMIFS('Barang Keluar'!$E:$E,'Barang Keluar'!$A:$A,M5933,'Barang Keluar'!$C:$C,N5933))</f>
        <v>0</v>
      </c>
    </row>
    <row r="5934" spans="13:16">
      <c r="M5934" s="49">
        <f>IF($A$4+59&gt;$B$4,"",$A$4+59)</f>
        <v>46082</v>
      </c>
      <c r="N5934" t="str">
        <f>IF(M5934="","",'Master Barang'!A28)</f>
        <v>PRL-027</v>
      </c>
      <c r="O5934" t="str">
        <f>IF(N5934="","",'Master Barang'!B28)</f>
        <v>kresek klin warna warni kecil</v>
      </c>
      <c r="P5934">
        <f>IF(OR(M5934="",N5934=""),"",SUMIFS('Barang Keluar'!$E:$E,'Barang Keluar'!$A:$A,M5934,'Barang Keluar'!$C:$C,N5934))</f>
        <v>0</v>
      </c>
    </row>
    <row r="5935" spans="13:16">
      <c r="M5935" s="49">
        <f>IF($A$4+59&gt;$B$4,"",$A$4+59)</f>
        <v>46082</v>
      </c>
      <c r="N5935" t="str">
        <f>IF(M5935="","",'Master Barang'!A29)</f>
        <v>PRL-028</v>
      </c>
      <c r="O5935" t="str">
        <f>IF(N5935="","",'Master Barang'!B29)</f>
        <v>ctik plastik 7x10 100 pcs</v>
      </c>
      <c r="P5935">
        <f>IF(OR(M5935="",N5935=""),"",SUMIFS('Barang Keluar'!$E:$E,'Barang Keluar'!$A:$A,M5935,'Barang Keluar'!$C:$C,N5935))</f>
        <v>0</v>
      </c>
    </row>
    <row r="5936" spans="13:16">
      <c r="M5936" s="49">
        <f>IF($A$4+59&gt;$B$4,"",$A$4+59)</f>
        <v>46082</v>
      </c>
      <c r="N5936" t="str">
        <f>IF(M5936="","",'Master Barang'!A30)</f>
        <v>PRL-029</v>
      </c>
      <c r="O5936" t="str">
        <f>IF(N5936="","",'Master Barang'!B30)</f>
        <v>ctik plastik 6x10 100 pcs</v>
      </c>
      <c r="P5936">
        <f>IF(OR(M5936="",N5936=""),"",SUMIFS('Barang Keluar'!$E:$E,'Barang Keluar'!$A:$A,M5936,'Barang Keluar'!$C:$C,N5936))</f>
        <v>0</v>
      </c>
    </row>
    <row r="5937" spans="13:16">
      <c r="M5937" s="49">
        <f>IF($A$4+59&gt;$B$4,"",$A$4+59)</f>
        <v>46082</v>
      </c>
      <c r="N5937" t="str">
        <f>IF(M5937="","",'Master Barang'!A31)</f>
        <v>PRL-030</v>
      </c>
      <c r="O5937" t="str">
        <f>IF(N5937="","",'Master Barang'!B31)</f>
        <v>klip plastik 25x16 100 pcs</v>
      </c>
      <c r="P5937">
        <f>IF(OR(M5937="",N5937=""),"",SUMIFS('Barang Keluar'!$E:$E,'Barang Keluar'!$A:$A,M5937,'Barang Keluar'!$C:$C,N5937))</f>
        <v>0</v>
      </c>
    </row>
    <row r="5938" spans="13:16">
      <c r="M5938" s="49">
        <f>IF($A$4+59&gt;$B$4,"",$A$4+59)</f>
        <v>46082</v>
      </c>
      <c r="N5938" t="str">
        <f>IF(M5938="","",'Master Barang'!A32)</f>
        <v>PRL-031</v>
      </c>
      <c r="O5938" t="str">
        <f>IF(N5938="","",'Master Barang'!B32)</f>
        <v>tempat saus 20 ml</v>
      </c>
      <c r="P5938">
        <f>IF(OR(M5938="",N5938=""),"",SUMIFS('Barang Keluar'!$E:$E,'Barang Keluar'!$A:$A,M5938,'Barang Keluar'!$C:$C,N5938))</f>
        <v>0</v>
      </c>
    </row>
    <row r="5939" spans="13:16">
      <c r="M5939" s="49">
        <f>IF($A$4+59&gt;$B$4,"",$A$4+59)</f>
        <v>46082</v>
      </c>
      <c r="N5939" t="str">
        <f>IF(M5939="","",'Master Barang'!A33)</f>
        <v>PRL-032</v>
      </c>
      <c r="O5939" t="str">
        <f>IF(N5939="","",'Master Barang'!B33)</f>
        <v>plastik packaging ag box uk sedang</v>
      </c>
      <c r="P5939">
        <f>IF(OR(M5939="",N5939=""),"",SUMIFS('Barang Keluar'!$E:$E,'Barang Keluar'!$A:$A,M5939,'Barang Keluar'!$C:$C,N5939))</f>
        <v>0</v>
      </c>
    </row>
    <row r="5940" spans="13:16">
      <c r="M5940" s="49">
        <f>IF($A$4+59&gt;$B$4,"",$A$4+59)</f>
        <v>46082</v>
      </c>
      <c r="N5940" t="str">
        <f>IF(M5940="","",'Master Barang'!A34)</f>
        <v>PRL-033</v>
      </c>
      <c r="O5940">
        <f>IF(N5940="","",'Master Barang'!B34)</f>
        <v>0</v>
      </c>
      <c r="P5940">
        <f>IF(OR(M5940="",N5940=""),"",SUMIFS('Barang Keluar'!$E:$E,'Barang Keluar'!$A:$A,M5940,'Barang Keluar'!$C:$C,N5940))</f>
        <v>0</v>
      </c>
    </row>
    <row r="5941" spans="13:16">
      <c r="M5941" s="49">
        <f>IF($A$4+59&gt;$B$4,"",$A$4+59)</f>
        <v>46082</v>
      </c>
      <c r="N5941">
        <f>IF(M5941="","",'Master Barang'!A35)</f>
        <v>0</v>
      </c>
      <c r="O5941">
        <f>IF(N5941="","",'Master Barang'!B35)</f>
        <v>0</v>
      </c>
      <c r="P5941">
        <f>IF(OR(M5941="",N5941=""),"",SUMIFS('Barang Keluar'!$E:$E,'Barang Keluar'!$A:$A,M5941,'Barang Keluar'!$C:$C,N5941))</f>
        <v>0</v>
      </c>
    </row>
    <row r="5942" spans="13:16">
      <c r="M5942" s="49">
        <f>IF($A$4+59&gt;$B$4,"",$A$4+59)</f>
        <v>46082</v>
      </c>
      <c r="N5942">
        <f>IF(M5942="","",'Master Barang'!A36)</f>
        <v>0</v>
      </c>
      <c r="O5942">
        <f>IF(N5942="","",'Master Barang'!B36)</f>
        <v>0</v>
      </c>
      <c r="P5942">
        <f>IF(OR(M5942="",N5942=""),"",SUMIFS('Barang Keluar'!$E:$E,'Barang Keluar'!$A:$A,M5942,'Barang Keluar'!$C:$C,N5942))</f>
        <v>0</v>
      </c>
    </row>
    <row r="5943" spans="13:16">
      <c r="M5943" s="49">
        <f>IF($A$4+59&gt;$B$4,"",$A$4+59)</f>
        <v>46082</v>
      </c>
      <c r="N5943">
        <f>IF(M5943="","",'Master Barang'!A37)</f>
        <v>0</v>
      </c>
      <c r="O5943">
        <f>IF(N5943="","",'Master Barang'!B37)</f>
        <v>0</v>
      </c>
      <c r="P5943">
        <f>IF(OR(M5943="",N5943=""),"",SUMIFS('Barang Keluar'!$E:$E,'Barang Keluar'!$A:$A,M5943,'Barang Keluar'!$C:$C,N5943))</f>
        <v>0</v>
      </c>
    </row>
    <row r="5944" spans="13:16">
      <c r="M5944" s="49">
        <f>IF($A$4+59&gt;$B$4,"",$A$4+59)</f>
        <v>46082</v>
      </c>
      <c r="N5944">
        <f>IF(M5944="","",'Master Barang'!A38)</f>
        <v>0</v>
      </c>
      <c r="O5944">
        <f>IF(N5944="","",'Master Barang'!B38)</f>
        <v>0</v>
      </c>
      <c r="P5944">
        <f>IF(OR(M5944="",N5944=""),"",SUMIFS('Barang Keluar'!$E:$E,'Barang Keluar'!$A:$A,M5944,'Barang Keluar'!$C:$C,N5944))</f>
        <v>0</v>
      </c>
    </row>
    <row r="5945" spans="13:16">
      <c r="M5945" s="49">
        <f>IF($A$4+59&gt;$B$4,"",$A$4+59)</f>
        <v>46082</v>
      </c>
      <c r="N5945">
        <f>IF(M5945="","",'Master Barang'!A39)</f>
        <v>0</v>
      </c>
      <c r="O5945">
        <f>IF(N5945="","",'Master Barang'!B39)</f>
        <v>0</v>
      </c>
      <c r="P5945">
        <f>IF(OR(M5945="",N5945=""),"",SUMIFS('Barang Keluar'!$E:$E,'Barang Keluar'!$A:$A,M5945,'Barang Keluar'!$C:$C,N5945))</f>
        <v>0</v>
      </c>
    </row>
    <row r="5946" spans="13:16">
      <c r="M5946" s="49">
        <f>IF($A$4+59&gt;$B$4,"",$A$4+59)</f>
        <v>46082</v>
      </c>
      <c r="N5946">
        <f>IF(M5946="","",'Master Barang'!A40)</f>
        <v>0</v>
      </c>
      <c r="O5946">
        <f>IF(N5946="","",'Master Barang'!B40)</f>
        <v>0</v>
      </c>
      <c r="P5946">
        <f>IF(OR(M5946="",N5946=""),"",SUMIFS('Barang Keluar'!$E:$E,'Barang Keluar'!$A:$A,M5946,'Barang Keluar'!$C:$C,N5946))</f>
        <v>0</v>
      </c>
    </row>
    <row r="5947" spans="13:16">
      <c r="M5947" s="49">
        <f>IF($A$4+59&gt;$B$4,"",$A$4+59)</f>
        <v>46082</v>
      </c>
      <c r="N5947">
        <f>IF(M5947="","",'Master Barang'!A41)</f>
        <v>0</v>
      </c>
      <c r="O5947">
        <f>IF(N5947="","",'Master Barang'!B41)</f>
        <v>0</v>
      </c>
      <c r="P5947">
        <f>IF(OR(M5947="",N5947=""),"",SUMIFS('Barang Keluar'!$E:$E,'Barang Keluar'!$A:$A,M5947,'Barang Keluar'!$C:$C,N5947))</f>
        <v>0</v>
      </c>
    </row>
    <row r="5948" spans="13:16">
      <c r="M5948" s="49">
        <f>IF($A$4+59&gt;$B$4,"",$A$4+59)</f>
        <v>46082</v>
      </c>
      <c r="N5948">
        <f>IF(M5948="","",'Master Barang'!A42)</f>
        <v>0</v>
      </c>
      <c r="O5948">
        <f>IF(N5948="","",'Master Barang'!B42)</f>
        <v>0</v>
      </c>
      <c r="P5948">
        <f>IF(OR(M5948="",N5948=""),"",SUMIFS('Barang Keluar'!$E:$E,'Barang Keluar'!$A:$A,M5948,'Barang Keluar'!$C:$C,N5948))</f>
        <v>0</v>
      </c>
    </row>
    <row r="5949" spans="13:16">
      <c r="M5949" s="49">
        <f>IF($A$4+59&gt;$B$4,"",$A$4+59)</f>
        <v>46082</v>
      </c>
      <c r="N5949">
        <f>IF(M5949="","",'Master Barang'!A43)</f>
        <v>0</v>
      </c>
      <c r="O5949">
        <f>IF(N5949="","",'Master Barang'!B43)</f>
        <v>0</v>
      </c>
      <c r="P5949">
        <f>IF(OR(M5949="",N5949=""),"",SUMIFS('Barang Keluar'!$E:$E,'Barang Keluar'!$A:$A,M5949,'Barang Keluar'!$C:$C,N5949))</f>
        <v>0</v>
      </c>
    </row>
    <row r="5950" spans="13:16">
      <c r="M5950" s="49">
        <f>IF($A$4+59&gt;$B$4,"",$A$4+59)</f>
        <v>46082</v>
      </c>
      <c r="N5950">
        <f>IF(M5950="","",'Master Barang'!A44)</f>
        <v>0</v>
      </c>
      <c r="O5950">
        <f>IF(N5950="","",'Master Barang'!B44)</f>
        <v>0</v>
      </c>
      <c r="P5950">
        <f>IF(OR(M5950="",N5950=""),"",SUMIFS('Barang Keluar'!$E:$E,'Barang Keluar'!$A:$A,M5950,'Barang Keluar'!$C:$C,N5950))</f>
        <v>0</v>
      </c>
    </row>
    <row r="5951" spans="13:16">
      <c r="M5951" s="49">
        <f>IF($A$4+59&gt;$B$4,"",$A$4+59)</f>
        <v>46082</v>
      </c>
      <c r="N5951">
        <f>IF(M5951="","",'Master Barang'!A45)</f>
        <v>0</v>
      </c>
      <c r="O5951">
        <f>IF(N5951="","",'Master Barang'!B45)</f>
        <v>0</v>
      </c>
      <c r="P5951">
        <f>IF(OR(M5951="",N5951=""),"",SUMIFS('Barang Keluar'!$E:$E,'Barang Keluar'!$A:$A,M5951,'Barang Keluar'!$C:$C,N5951))</f>
        <v>0</v>
      </c>
    </row>
    <row r="5952" spans="13:16">
      <c r="M5952" s="49">
        <f>IF($A$4+59&gt;$B$4,"",$A$4+59)</f>
        <v>46082</v>
      </c>
      <c r="N5952">
        <f>IF(M5952="","",'Master Barang'!A46)</f>
        <v>0</v>
      </c>
      <c r="O5952">
        <f>IF(N5952="","",'Master Barang'!B46)</f>
        <v>0</v>
      </c>
      <c r="P5952">
        <f>IF(OR(M5952="",N5952=""),"",SUMIFS('Barang Keluar'!$E:$E,'Barang Keluar'!$A:$A,M5952,'Barang Keluar'!$C:$C,N5952))</f>
        <v>0</v>
      </c>
    </row>
    <row r="5953" spans="13:16">
      <c r="M5953" s="49">
        <f>IF($A$4+59&gt;$B$4,"",$A$4+59)</f>
        <v>46082</v>
      </c>
      <c r="N5953">
        <f>IF(M5953="","",'Master Barang'!A47)</f>
        <v>0</v>
      </c>
      <c r="O5953">
        <f>IF(N5953="","",'Master Barang'!B47)</f>
        <v>0</v>
      </c>
      <c r="P5953">
        <f>IF(OR(M5953="",N5953=""),"",SUMIFS('Barang Keluar'!$E:$E,'Barang Keluar'!$A:$A,M5953,'Barang Keluar'!$C:$C,N5953))</f>
        <v>0</v>
      </c>
    </row>
    <row r="5954" spans="13:16">
      <c r="M5954" s="49">
        <f>IF($A$4+59&gt;$B$4,"",$A$4+59)</f>
        <v>46082</v>
      </c>
      <c r="N5954">
        <f>IF(M5954="","",'Master Barang'!A48)</f>
        <v>0</v>
      </c>
      <c r="O5954">
        <f>IF(N5954="","",'Master Barang'!B48)</f>
        <v>0</v>
      </c>
      <c r="P5954">
        <f>IF(OR(M5954="",N5954=""),"",SUMIFS('Barang Keluar'!$E:$E,'Barang Keluar'!$A:$A,M5954,'Barang Keluar'!$C:$C,N5954))</f>
        <v>0</v>
      </c>
    </row>
    <row r="5955" spans="13:16">
      <c r="M5955" s="49">
        <f>IF($A$4+59&gt;$B$4,"",$A$4+59)</f>
        <v>46082</v>
      </c>
      <c r="N5955">
        <f>IF(M5955="","",'Master Barang'!A49)</f>
        <v>0</v>
      </c>
      <c r="O5955">
        <f>IF(N5955="","",'Master Barang'!B49)</f>
        <v>0</v>
      </c>
      <c r="P5955">
        <f>IF(OR(M5955="",N5955=""),"",SUMIFS('Barang Keluar'!$E:$E,'Barang Keluar'!$A:$A,M5955,'Barang Keluar'!$C:$C,N5955))</f>
        <v>0</v>
      </c>
    </row>
    <row r="5956" spans="13:16">
      <c r="M5956" s="49">
        <f>IF($A$4+59&gt;$B$4,"",$A$4+59)</f>
        <v>46082</v>
      </c>
      <c r="N5956">
        <f>IF(M5956="","",'Master Barang'!A50)</f>
        <v>0</v>
      </c>
      <c r="O5956">
        <f>IF(N5956="","",'Master Barang'!B50)</f>
        <v>0</v>
      </c>
      <c r="P5956">
        <f>IF(OR(M5956="",N5956=""),"",SUMIFS('Barang Keluar'!$E:$E,'Barang Keluar'!$A:$A,M5956,'Barang Keluar'!$C:$C,N5956))</f>
        <v>0</v>
      </c>
    </row>
    <row r="5957" spans="13:16">
      <c r="M5957" s="49">
        <f>IF($A$4+59&gt;$B$4,"",$A$4+59)</f>
        <v>46082</v>
      </c>
      <c r="N5957">
        <f>IF(M5957="","",'Master Barang'!A51)</f>
        <v>0</v>
      </c>
      <c r="O5957">
        <f>IF(N5957="","",'Master Barang'!B51)</f>
        <v>0</v>
      </c>
      <c r="P5957">
        <f>IF(OR(M5957="",N5957=""),"",SUMIFS('Barang Keluar'!$E:$E,'Barang Keluar'!$A:$A,M5957,'Barang Keluar'!$C:$C,N5957))</f>
        <v>0</v>
      </c>
    </row>
    <row r="5958" spans="13:16">
      <c r="M5958" s="49">
        <f>IF($A$4+59&gt;$B$4,"",$A$4+59)</f>
        <v>46082</v>
      </c>
      <c r="N5958">
        <f>IF(M5958="","",'Master Barang'!A52)</f>
        <v>0</v>
      </c>
      <c r="O5958">
        <f>IF(N5958="","",'Master Barang'!B52)</f>
        <v>0</v>
      </c>
      <c r="P5958">
        <f>IF(OR(M5958="",N5958=""),"",SUMIFS('Barang Keluar'!$E:$E,'Barang Keluar'!$A:$A,M5958,'Barang Keluar'!$C:$C,N5958))</f>
        <v>0</v>
      </c>
    </row>
    <row r="5959" spans="13:16">
      <c r="M5959" s="49">
        <f>IF($A$4+59&gt;$B$4,"",$A$4+59)</f>
        <v>46082</v>
      </c>
      <c r="N5959">
        <f>IF(M5959="","",'Master Barang'!A53)</f>
        <v>0</v>
      </c>
      <c r="O5959">
        <f>IF(N5959="","",'Master Barang'!B53)</f>
        <v>0</v>
      </c>
      <c r="P5959">
        <f>IF(OR(M5959="",N5959=""),"",SUMIFS('Barang Keluar'!$E:$E,'Barang Keluar'!$A:$A,M5959,'Barang Keluar'!$C:$C,N5959))</f>
        <v>0</v>
      </c>
    </row>
    <row r="5960" spans="13:16">
      <c r="M5960" s="49">
        <f>IF($A$4+59&gt;$B$4,"",$A$4+59)</f>
        <v>46082</v>
      </c>
      <c r="N5960">
        <f>IF(M5960="","",'Master Barang'!A54)</f>
        <v>0</v>
      </c>
      <c r="O5960">
        <f>IF(N5960="","",'Master Barang'!B54)</f>
        <v>0</v>
      </c>
      <c r="P5960">
        <f>IF(OR(M5960="",N5960=""),"",SUMIFS('Barang Keluar'!$E:$E,'Barang Keluar'!$A:$A,M5960,'Barang Keluar'!$C:$C,N5960))</f>
        <v>0</v>
      </c>
    </row>
    <row r="5961" spans="13:16">
      <c r="M5961" s="49">
        <f>IF($A$4+59&gt;$B$4,"",$A$4+59)</f>
        <v>46082</v>
      </c>
      <c r="N5961">
        <f>IF(M5961="","",'Master Barang'!A55)</f>
        <v>0</v>
      </c>
      <c r="O5961">
        <f>IF(N5961="","",'Master Barang'!B55)</f>
        <v>0</v>
      </c>
      <c r="P5961">
        <f>IF(OR(M5961="",N5961=""),"",SUMIFS('Barang Keluar'!$E:$E,'Barang Keluar'!$A:$A,M5961,'Barang Keluar'!$C:$C,N5961))</f>
        <v>0</v>
      </c>
    </row>
    <row r="5962" spans="13:16">
      <c r="M5962" s="49">
        <f>IF($A$4+59&gt;$B$4,"",$A$4+59)</f>
        <v>46082</v>
      </c>
      <c r="N5962">
        <f>IF(M5962="","",'Master Barang'!A56)</f>
        <v>0</v>
      </c>
      <c r="O5962">
        <f>IF(N5962="","",'Master Barang'!B56)</f>
        <v>0</v>
      </c>
      <c r="P5962">
        <f>IF(OR(M5962="",N5962=""),"",SUMIFS('Barang Keluar'!$E:$E,'Barang Keluar'!$A:$A,M5962,'Barang Keluar'!$C:$C,N5962))</f>
        <v>0</v>
      </c>
    </row>
    <row r="5963" spans="13:16">
      <c r="M5963" s="49">
        <f>IF($A$4+59&gt;$B$4,"",$A$4+59)</f>
        <v>46082</v>
      </c>
      <c r="N5963">
        <f>IF(M5963="","",'Master Barang'!A57)</f>
        <v>0</v>
      </c>
      <c r="O5963">
        <f>IF(N5963="","",'Master Barang'!B57)</f>
        <v>0</v>
      </c>
      <c r="P5963">
        <f>IF(OR(M5963="",N5963=""),"",SUMIFS('Barang Keluar'!$E:$E,'Barang Keluar'!$A:$A,M5963,'Barang Keluar'!$C:$C,N5963))</f>
        <v>0</v>
      </c>
    </row>
    <row r="5964" spans="13:16">
      <c r="M5964" s="49">
        <f>IF($A$4+59&gt;$B$4,"",$A$4+59)</f>
        <v>46082</v>
      </c>
      <c r="N5964">
        <f>IF(M5964="","",'Master Barang'!A58)</f>
        <v>0</v>
      </c>
      <c r="O5964">
        <f>IF(N5964="","",'Master Barang'!B58)</f>
        <v>0</v>
      </c>
      <c r="P5964">
        <f>IF(OR(M5964="",N5964=""),"",SUMIFS('Barang Keluar'!$E:$E,'Barang Keluar'!$A:$A,M5964,'Barang Keluar'!$C:$C,N5964))</f>
        <v>0</v>
      </c>
    </row>
    <row r="5965" spans="13:16">
      <c r="M5965" s="49">
        <f>IF($A$4+59&gt;$B$4,"",$A$4+59)</f>
        <v>46082</v>
      </c>
      <c r="N5965">
        <f>IF(M5965="","",'Master Barang'!A59)</f>
        <v>0</v>
      </c>
      <c r="O5965">
        <f>IF(N5965="","",'Master Barang'!B59)</f>
        <v>0</v>
      </c>
      <c r="P5965">
        <f>IF(OR(M5965="",N5965=""),"",SUMIFS('Barang Keluar'!$E:$E,'Barang Keluar'!$A:$A,M5965,'Barang Keluar'!$C:$C,N5965))</f>
        <v>0</v>
      </c>
    </row>
    <row r="5966" spans="13:16">
      <c r="M5966" s="49">
        <f>IF($A$4+59&gt;$B$4,"",$A$4+59)</f>
        <v>46082</v>
      </c>
      <c r="N5966">
        <f>IF(M5966="","",'Master Barang'!A60)</f>
        <v>0</v>
      </c>
      <c r="O5966">
        <f>IF(N5966="","",'Master Barang'!B60)</f>
        <v>0</v>
      </c>
      <c r="P5966">
        <f>IF(OR(M5966="",N5966=""),"",SUMIFS('Barang Keluar'!$E:$E,'Barang Keluar'!$A:$A,M5966,'Barang Keluar'!$C:$C,N5966))</f>
        <v>0</v>
      </c>
    </row>
    <row r="5967" spans="13:16">
      <c r="M5967" s="49">
        <f>IF($A$4+59&gt;$B$4,"",$A$4+59)</f>
        <v>46082</v>
      </c>
      <c r="N5967">
        <f>IF(M5967="","",'Master Barang'!A61)</f>
        <v>0</v>
      </c>
      <c r="O5967">
        <f>IF(N5967="","",'Master Barang'!B61)</f>
        <v>0</v>
      </c>
      <c r="P5967">
        <f>IF(OR(M5967="",N5967=""),"",SUMIFS('Barang Keluar'!$E:$E,'Barang Keluar'!$A:$A,M5967,'Barang Keluar'!$C:$C,N5967))</f>
        <v>0</v>
      </c>
    </row>
    <row r="5968" spans="13:16">
      <c r="M5968" s="49">
        <f>IF($A$4+59&gt;$B$4,"",$A$4+59)</f>
        <v>46082</v>
      </c>
      <c r="N5968">
        <f>IF(M5968="","",'Master Barang'!A62)</f>
        <v>0</v>
      </c>
      <c r="O5968">
        <f>IF(N5968="","",'Master Barang'!B62)</f>
        <v>0</v>
      </c>
      <c r="P5968">
        <f>IF(OR(M5968="",N5968=""),"",SUMIFS('Barang Keluar'!$E:$E,'Barang Keluar'!$A:$A,M5968,'Barang Keluar'!$C:$C,N5968))</f>
        <v>0</v>
      </c>
    </row>
    <row r="5969" spans="13:16">
      <c r="M5969" s="49">
        <f>IF($A$4+59&gt;$B$4,"",$A$4+59)</f>
        <v>46082</v>
      </c>
      <c r="N5969">
        <f>IF(M5969="","",'Master Barang'!A63)</f>
        <v>0</v>
      </c>
      <c r="O5969">
        <f>IF(N5969="","",'Master Barang'!B63)</f>
        <v>0</v>
      </c>
      <c r="P5969">
        <f>IF(OR(M5969="",N5969=""),"",SUMIFS('Barang Keluar'!$E:$E,'Barang Keluar'!$A:$A,M5969,'Barang Keluar'!$C:$C,N5969))</f>
        <v>0</v>
      </c>
    </row>
    <row r="5970" spans="13:16">
      <c r="M5970" s="49">
        <f>IF($A$4+59&gt;$B$4,"",$A$4+59)</f>
        <v>46082</v>
      </c>
      <c r="N5970">
        <f>IF(M5970="","",'Master Barang'!A64)</f>
        <v>0</v>
      </c>
      <c r="O5970">
        <f>IF(N5970="","",'Master Barang'!B64)</f>
        <v>0</v>
      </c>
      <c r="P5970">
        <f>IF(OR(M5970="",N5970=""),"",SUMIFS('Barang Keluar'!$E:$E,'Barang Keluar'!$A:$A,M5970,'Barang Keluar'!$C:$C,N5970))</f>
        <v>0</v>
      </c>
    </row>
    <row r="5971" spans="13:16">
      <c r="M5971" s="49">
        <f>IF($A$4+59&gt;$B$4,"",$A$4+59)</f>
        <v>46082</v>
      </c>
      <c r="N5971">
        <f>IF(M5971="","",'Master Barang'!A65)</f>
        <v>0</v>
      </c>
      <c r="O5971">
        <f>IF(N5971="","",'Master Barang'!B65)</f>
        <v>0</v>
      </c>
      <c r="P5971">
        <f>IF(OR(M5971="",N5971=""),"",SUMIFS('Barang Keluar'!$E:$E,'Barang Keluar'!$A:$A,M5971,'Barang Keluar'!$C:$C,N5971))</f>
        <v>0</v>
      </c>
    </row>
    <row r="5972" spans="13:16">
      <c r="M5972" s="49">
        <f>IF($A$4+59&gt;$B$4,"",$A$4+59)</f>
        <v>46082</v>
      </c>
      <c r="N5972">
        <f>IF(M5972="","",'Master Barang'!A66)</f>
        <v>0</v>
      </c>
      <c r="O5972">
        <f>IF(N5972="","",'Master Barang'!B66)</f>
        <v>0</v>
      </c>
      <c r="P5972">
        <f>IF(OR(M5972="",N5972=""),"",SUMIFS('Barang Keluar'!$E:$E,'Barang Keluar'!$A:$A,M5972,'Barang Keluar'!$C:$C,N5972))</f>
        <v>0</v>
      </c>
    </row>
    <row r="5973" spans="13:16">
      <c r="M5973" s="49">
        <f>IF($A$4+59&gt;$B$4,"",$A$4+59)</f>
        <v>46082</v>
      </c>
      <c r="N5973">
        <f>IF(M5973="","",'Master Barang'!A67)</f>
        <v>0</v>
      </c>
      <c r="O5973">
        <f>IF(N5973="","",'Master Barang'!B67)</f>
        <v>0</v>
      </c>
      <c r="P5973">
        <f>IF(OR(M5973="",N5973=""),"",SUMIFS('Barang Keluar'!$E:$E,'Barang Keluar'!$A:$A,M5973,'Barang Keluar'!$C:$C,N5973))</f>
        <v>0</v>
      </c>
    </row>
    <row r="5974" spans="13:16">
      <c r="M5974" s="49">
        <f>IF($A$4+59&gt;$B$4,"",$A$4+59)</f>
        <v>46082</v>
      </c>
      <c r="N5974">
        <f>IF(M5974="","",'Master Barang'!A68)</f>
        <v>0</v>
      </c>
      <c r="O5974">
        <f>IF(N5974="","",'Master Barang'!B68)</f>
        <v>0</v>
      </c>
      <c r="P5974">
        <f>IF(OR(M5974="",N5974=""),"",SUMIFS('Barang Keluar'!$E:$E,'Barang Keluar'!$A:$A,M5974,'Barang Keluar'!$C:$C,N5974))</f>
        <v>0</v>
      </c>
    </row>
    <row r="5975" spans="13:16">
      <c r="M5975" s="49">
        <f>IF($A$4+59&gt;$B$4,"",$A$4+59)</f>
        <v>46082</v>
      </c>
      <c r="N5975">
        <f>IF(M5975="","",'Master Barang'!A69)</f>
        <v>0</v>
      </c>
      <c r="O5975">
        <f>IF(N5975="","",'Master Barang'!B69)</f>
        <v>0</v>
      </c>
      <c r="P5975">
        <f>IF(OR(M5975="",N5975=""),"",SUMIFS('Barang Keluar'!$E:$E,'Barang Keluar'!$A:$A,M5975,'Barang Keluar'!$C:$C,N5975))</f>
        <v>0</v>
      </c>
    </row>
    <row r="5976" spans="13:16">
      <c r="M5976" s="49">
        <f>IF($A$4+59&gt;$B$4,"",$A$4+59)</f>
        <v>46082</v>
      </c>
      <c r="N5976">
        <f>IF(M5976="","",'Master Barang'!A70)</f>
        <v>0</v>
      </c>
      <c r="O5976">
        <f>IF(N5976="","",'Master Barang'!B70)</f>
        <v>0</v>
      </c>
      <c r="P5976">
        <f>IF(OR(M5976="",N5976=""),"",SUMIFS('Barang Keluar'!$E:$E,'Barang Keluar'!$A:$A,M5976,'Barang Keluar'!$C:$C,N5976))</f>
        <v>0</v>
      </c>
    </row>
    <row r="5977" spans="13:16">
      <c r="M5977" s="49">
        <f>IF($A$4+59&gt;$B$4,"",$A$4+59)</f>
        <v>46082</v>
      </c>
      <c r="N5977">
        <f>IF(M5977="","",'Master Barang'!A71)</f>
        <v>0</v>
      </c>
      <c r="O5977">
        <f>IF(N5977="","",'Master Barang'!B71)</f>
        <v>0</v>
      </c>
      <c r="P5977">
        <f>IF(OR(M5977="",N5977=""),"",SUMIFS('Barang Keluar'!$E:$E,'Barang Keluar'!$A:$A,M5977,'Barang Keluar'!$C:$C,N5977))</f>
        <v>0</v>
      </c>
    </row>
    <row r="5978" spans="13:16">
      <c r="M5978" s="49">
        <f>IF($A$4+59&gt;$B$4,"",$A$4+59)</f>
        <v>46082</v>
      </c>
      <c r="N5978">
        <f>IF(M5978="","",'Master Barang'!A72)</f>
        <v>0</v>
      </c>
      <c r="O5978">
        <f>IF(N5978="","",'Master Barang'!B72)</f>
        <v>0</v>
      </c>
      <c r="P5978">
        <f>IF(OR(M5978="",N5978=""),"",SUMIFS('Barang Keluar'!$E:$E,'Barang Keluar'!$A:$A,M5978,'Barang Keluar'!$C:$C,N5978))</f>
        <v>0</v>
      </c>
    </row>
    <row r="5979" spans="13:16">
      <c r="M5979" s="49">
        <f>IF($A$4+59&gt;$B$4,"",$A$4+59)</f>
        <v>46082</v>
      </c>
      <c r="N5979">
        <f>IF(M5979="","",'Master Barang'!A73)</f>
        <v>0</v>
      </c>
      <c r="O5979">
        <f>IF(N5979="","",'Master Barang'!B73)</f>
        <v>0</v>
      </c>
      <c r="P5979">
        <f>IF(OR(M5979="",N5979=""),"",SUMIFS('Barang Keluar'!$E:$E,'Barang Keluar'!$A:$A,M5979,'Barang Keluar'!$C:$C,N5979))</f>
        <v>0</v>
      </c>
    </row>
    <row r="5980" spans="13:16">
      <c r="M5980" s="49">
        <f>IF($A$4+59&gt;$B$4,"",$A$4+59)</f>
        <v>46082</v>
      </c>
      <c r="N5980">
        <f>IF(M5980="","",'Master Barang'!A74)</f>
        <v>0</v>
      </c>
      <c r="O5980">
        <f>IF(N5980="","",'Master Barang'!B74)</f>
        <v>0</v>
      </c>
      <c r="P5980">
        <f>IF(OR(M5980="",N5980=""),"",SUMIFS('Barang Keluar'!$E:$E,'Barang Keluar'!$A:$A,M5980,'Barang Keluar'!$C:$C,N5980))</f>
        <v>0</v>
      </c>
    </row>
    <row r="5981" spans="13:16">
      <c r="M5981" s="49">
        <f>IF($A$4+59&gt;$B$4,"",$A$4+59)</f>
        <v>46082</v>
      </c>
      <c r="N5981">
        <f>IF(M5981="","",'Master Barang'!A75)</f>
        <v>0</v>
      </c>
      <c r="O5981">
        <f>IF(N5981="","",'Master Barang'!B75)</f>
        <v>0</v>
      </c>
      <c r="P5981">
        <f>IF(OR(M5981="",N5981=""),"",SUMIFS('Barang Keluar'!$E:$E,'Barang Keluar'!$A:$A,M5981,'Barang Keluar'!$C:$C,N5981))</f>
        <v>0</v>
      </c>
    </row>
    <row r="5982" spans="13:16">
      <c r="M5982" s="49">
        <f>IF($A$4+59&gt;$B$4,"",$A$4+59)</f>
        <v>46082</v>
      </c>
      <c r="N5982">
        <f>IF(M5982="","",'Master Barang'!A76)</f>
        <v>0</v>
      </c>
      <c r="O5982">
        <f>IF(N5982="","",'Master Barang'!B76)</f>
        <v>0</v>
      </c>
      <c r="P5982">
        <f>IF(OR(M5982="",N5982=""),"",SUMIFS('Barang Keluar'!$E:$E,'Barang Keluar'!$A:$A,M5982,'Barang Keluar'!$C:$C,N5982))</f>
        <v>0</v>
      </c>
    </row>
    <row r="5983" spans="13:16">
      <c r="M5983" s="49">
        <f>IF($A$4+59&gt;$B$4,"",$A$4+59)</f>
        <v>46082</v>
      </c>
      <c r="N5983">
        <f>IF(M5983="","",'Master Barang'!A77)</f>
        <v>0</v>
      </c>
      <c r="O5983">
        <f>IF(N5983="","",'Master Barang'!B77)</f>
        <v>0</v>
      </c>
      <c r="P5983">
        <f>IF(OR(M5983="",N5983=""),"",SUMIFS('Barang Keluar'!$E:$E,'Barang Keluar'!$A:$A,M5983,'Barang Keluar'!$C:$C,N5983))</f>
        <v>0</v>
      </c>
    </row>
    <row r="5984" spans="13:16">
      <c r="M5984" s="49">
        <f>IF($A$4+59&gt;$B$4,"",$A$4+59)</f>
        <v>46082</v>
      </c>
      <c r="N5984">
        <f>IF(M5984="","",'Master Barang'!A78)</f>
        <v>0</v>
      </c>
      <c r="O5984">
        <f>IF(N5984="","",'Master Barang'!B78)</f>
        <v>0</v>
      </c>
      <c r="P5984">
        <f>IF(OR(M5984="",N5984=""),"",SUMIFS('Barang Keluar'!$E:$E,'Barang Keluar'!$A:$A,M5984,'Barang Keluar'!$C:$C,N5984))</f>
        <v>0</v>
      </c>
    </row>
    <row r="5985" spans="13:16">
      <c r="M5985" s="49">
        <f>IF($A$4+59&gt;$B$4,"",$A$4+59)</f>
        <v>46082</v>
      </c>
      <c r="N5985">
        <f>IF(M5985="","",'Master Barang'!A79)</f>
        <v>0</v>
      </c>
      <c r="O5985">
        <f>IF(N5985="","",'Master Barang'!B79)</f>
        <v>0</v>
      </c>
      <c r="P5985">
        <f>IF(OR(M5985="",N5985=""),"",SUMIFS('Barang Keluar'!$E:$E,'Barang Keluar'!$A:$A,M5985,'Barang Keluar'!$C:$C,N5985))</f>
        <v>0</v>
      </c>
    </row>
    <row r="5986" spans="13:16">
      <c r="M5986" s="49">
        <f>IF($A$4+59&gt;$B$4,"",$A$4+59)</f>
        <v>46082</v>
      </c>
      <c r="N5986">
        <f>IF(M5986="","",'Master Barang'!A80)</f>
        <v>0</v>
      </c>
      <c r="O5986">
        <f>IF(N5986="","",'Master Barang'!B80)</f>
        <v>0</v>
      </c>
      <c r="P5986">
        <f>IF(OR(M5986="",N5986=""),"",SUMIFS('Barang Keluar'!$E:$E,'Barang Keluar'!$A:$A,M5986,'Barang Keluar'!$C:$C,N5986))</f>
        <v>0</v>
      </c>
    </row>
    <row r="5987" spans="13:16">
      <c r="M5987" s="49">
        <f>IF($A$4+59&gt;$B$4,"",$A$4+59)</f>
        <v>46082</v>
      </c>
      <c r="N5987">
        <f>IF(M5987="","",'Master Barang'!A81)</f>
        <v>0</v>
      </c>
      <c r="O5987">
        <f>IF(N5987="","",'Master Barang'!B81)</f>
        <v>0</v>
      </c>
      <c r="P5987">
        <f>IF(OR(M5987="",N5987=""),"",SUMIFS('Barang Keluar'!$E:$E,'Barang Keluar'!$A:$A,M5987,'Barang Keluar'!$C:$C,N5987))</f>
        <v>0</v>
      </c>
    </row>
    <row r="5988" spans="13:16">
      <c r="M5988" s="49">
        <f>IF($A$4+59&gt;$B$4,"",$A$4+59)</f>
        <v>46082</v>
      </c>
      <c r="N5988">
        <f>IF(M5988="","",'Master Barang'!A82)</f>
        <v>0</v>
      </c>
      <c r="O5988">
        <f>IF(N5988="","",'Master Barang'!B82)</f>
        <v>0</v>
      </c>
      <c r="P5988">
        <f>IF(OR(M5988="",N5988=""),"",SUMIFS('Barang Keluar'!$E:$E,'Barang Keluar'!$A:$A,M5988,'Barang Keluar'!$C:$C,N5988))</f>
        <v>0</v>
      </c>
    </row>
    <row r="5989" spans="13:16">
      <c r="M5989" s="49">
        <f>IF($A$4+59&gt;$B$4,"",$A$4+59)</f>
        <v>46082</v>
      </c>
      <c r="N5989">
        <f>IF(M5989="","",'Master Barang'!A83)</f>
        <v>0</v>
      </c>
      <c r="O5989">
        <f>IF(N5989="","",'Master Barang'!B83)</f>
        <v>0</v>
      </c>
      <c r="P5989">
        <f>IF(OR(M5989="",N5989=""),"",SUMIFS('Barang Keluar'!$E:$E,'Barang Keluar'!$A:$A,M5989,'Barang Keluar'!$C:$C,N5989))</f>
        <v>0</v>
      </c>
    </row>
    <row r="5990" spans="13:16">
      <c r="M5990" s="49">
        <f>IF($A$4+59&gt;$B$4,"",$A$4+59)</f>
        <v>46082</v>
      </c>
      <c r="N5990">
        <f>IF(M5990="","",'Master Barang'!A84)</f>
        <v>0</v>
      </c>
      <c r="O5990">
        <f>IF(N5990="","",'Master Barang'!B84)</f>
        <v>0</v>
      </c>
      <c r="P5990">
        <f>IF(OR(M5990="",N5990=""),"",SUMIFS('Barang Keluar'!$E:$E,'Barang Keluar'!$A:$A,M5990,'Barang Keluar'!$C:$C,N5990))</f>
        <v>0</v>
      </c>
    </row>
    <row r="5991" spans="13:16">
      <c r="M5991" s="49">
        <f>IF($A$4+59&gt;$B$4,"",$A$4+59)</f>
        <v>46082</v>
      </c>
      <c r="N5991">
        <f>IF(M5991="","",'Master Barang'!A85)</f>
        <v>0</v>
      </c>
      <c r="O5991">
        <f>IF(N5991="","",'Master Barang'!B85)</f>
        <v>0</v>
      </c>
      <c r="P5991">
        <f>IF(OR(M5991="",N5991=""),"",SUMIFS('Barang Keluar'!$E:$E,'Barang Keluar'!$A:$A,M5991,'Barang Keluar'!$C:$C,N5991))</f>
        <v>0</v>
      </c>
    </row>
    <row r="5992" spans="13:16">
      <c r="M5992" s="49">
        <f>IF($A$4+59&gt;$B$4,"",$A$4+59)</f>
        <v>46082</v>
      </c>
      <c r="N5992">
        <f>IF(M5992="","",'Master Barang'!A86)</f>
        <v>0</v>
      </c>
      <c r="O5992">
        <f>IF(N5992="","",'Master Barang'!B86)</f>
        <v>0</v>
      </c>
      <c r="P5992">
        <f>IF(OR(M5992="",N5992=""),"",SUMIFS('Barang Keluar'!$E:$E,'Barang Keluar'!$A:$A,M5992,'Barang Keluar'!$C:$C,N5992))</f>
        <v>0</v>
      </c>
    </row>
    <row r="5993" spans="13:16">
      <c r="M5993" s="49">
        <f>IF($A$4+59&gt;$B$4,"",$A$4+59)</f>
        <v>46082</v>
      </c>
      <c r="N5993">
        <f>IF(M5993="","",'Master Barang'!A87)</f>
        <v>0</v>
      </c>
      <c r="O5993">
        <f>IF(N5993="","",'Master Barang'!B87)</f>
        <v>0</v>
      </c>
      <c r="P5993">
        <f>IF(OR(M5993="",N5993=""),"",SUMIFS('Barang Keluar'!$E:$E,'Barang Keluar'!$A:$A,M5993,'Barang Keluar'!$C:$C,N5993))</f>
        <v>0</v>
      </c>
    </row>
    <row r="5994" spans="13:16">
      <c r="M5994" s="49">
        <f>IF($A$4+59&gt;$B$4,"",$A$4+59)</f>
        <v>46082</v>
      </c>
      <c r="N5994">
        <f>IF(M5994="","",'Master Barang'!A88)</f>
        <v>0</v>
      </c>
      <c r="O5994">
        <f>IF(N5994="","",'Master Barang'!B88)</f>
        <v>0</v>
      </c>
      <c r="P5994">
        <f>IF(OR(M5994="",N5994=""),"",SUMIFS('Barang Keluar'!$E:$E,'Barang Keluar'!$A:$A,M5994,'Barang Keluar'!$C:$C,N5994))</f>
        <v>0</v>
      </c>
    </row>
    <row r="5995" spans="13:16">
      <c r="M5995" s="49">
        <f>IF($A$4+59&gt;$B$4,"",$A$4+59)</f>
        <v>46082</v>
      </c>
      <c r="N5995">
        <f>IF(M5995="","",'Master Barang'!A89)</f>
        <v>0</v>
      </c>
      <c r="O5995">
        <f>IF(N5995="","",'Master Barang'!B89)</f>
        <v>0</v>
      </c>
      <c r="P5995">
        <f>IF(OR(M5995="",N5995=""),"",SUMIFS('Barang Keluar'!$E:$E,'Barang Keluar'!$A:$A,M5995,'Barang Keluar'!$C:$C,N5995))</f>
        <v>0</v>
      </c>
    </row>
    <row r="5996" spans="13:16">
      <c r="M5996" s="49">
        <f>IF($A$4+59&gt;$B$4,"",$A$4+59)</f>
        <v>46082</v>
      </c>
      <c r="N5996">
        <f>IF(M5996="","",'Master Barang'!A90)</f>
        <v>0</v>
      </c>
      <c r="O5996">
        <f>IF(N5996="","",'Master Barang'!B90)</f>
        <v>0</v>
      </c>
      <c r="P5996">
        <f>IF(OR(M5996="",N5996=""),"",SUMIFS('Barang Keluar'!$E:$E,'Barang Keluar'!$A:$A,M5996,'Barang Keluar'!$C:$C,N5996))</f>
        <v>0</v>
      </c>
    </row>
    <row r="5997" spans="13:16">
      <c r="M5997" s="49">
        <f>IF($A$4+59&gt;$B$4,"",$A$4+59)</f>
        <v>46082</v>
      </c>
      <c r="N5997">
        <f>IF(M5997="","",'Master Barang'!A91)</f>
        <v>0</v>
      </c>
      <c r="O5997">
        <f>IF(N5997="","",'Master Barang'!B91)</f>
        <v>0</v>
      </c>
      <c r="P5997">
        <f>IF(OR(M5997="",N5997=""),"",SUMIFS('Barang Keluar'!$E:$E,'Barang Keluar'!$A:$A,M5997,'Barang Keluar'!$C:$C,N5997))</f>
        <v>0</v>
      </c>
    </row>
    <row r="5998" spans="13:16">
      <c r="M5998" s="49">
        <f>IF($A$4+59&gt;$B$4,"",$A$4+59)</f>
        <v>46082</v>
      </c>
      <c r="N5998">
        <f>IF(M5998="","",'Master Barang'!A92)</f>
        <v>0</v>
      </c>
      <c r="O5998">
        <f>IF(N5998="","",'Master Barang'!B92)</f>
        <v>0</v>
      </c>
      <c r="P5998">
        <f>IF(OR(M5998="",N5998=""),"",SUMIFS('Barang Keluar'!$E:$E,'Barang Keluar'!$A:$A,M5998,'Barang Keluar'!$C:$C,N5998))</f>
        <v>0</v>
      </c>
    </row>
    <row r="5999" spans="13:16">
      <c r="M5999" s="49">
        <f>IF($A$4+59&gt;$B$4,"",$A$4+59)</f>
        <v>46082</v>
      </c>
      <c r="N5999">
        <f>IF(M5999="","",'Master Barang'!A93)</f>
        <v>0</v>
      </c>
      <c r="O5999">
        <f>IF(N5999="","",'Master Barang'!B93)</f>
        <v>0</v>
      </c>
      <c r="P5999">
        <f>IF(OR(M5999="",N5999=""),"",SUMIFS('Barang Keluar'!$E:$E,'Barang Keluar'!$A:$A,M5999,'Barang Keluar'!$C:$C,N5999))</f>
        <v>0</v>
      </c>
    </row>
    <row r="6000" spans="13:16">
      <c r="M6000" s="49">
        <f>IF($A$4+59&gt;$B$4,"",$A$4+59)</f>
        <v>46082</v>
      </c>
      <c r="N6000">
        <f>IF(M6000="","",'Master Barang'!A94)</f>
        <v>0</v>
      </c>
      <c r="O6000">
        <f>IF(N6000="","",'Master Barang'!B94)</f>
        <v>0</v>
      </c>
      <c r="P6000">
        <f>IF(OR(M6000="",N6000=""),"",SUMIFS('Barang Keluar'!$E:$E,'Barang Keluar'!$A:$A,M6000,'Barang Keluar'!$C:$C,N6000))</f>
        <v>0</v>
      </c>
    </row>
    <row r="6001" spans="13:16">
      <c r="M6001" s="49">
        <f>IF($A$4+59&gt;$B$4,"",$A$4+59)</f>
        <v>46082</v>
      </c>
      <c r="N6001">
        <f>IF(M6001="","",'Master Barang'!A95)</f>
        <v>0</v>
      </c>
      <c r="O6001">
        <f>IF(N6001="","",'Master Barang'!B95)</f>
        <v>0</v>
      </c>
      <c r="P6001">
        <f>IF(OR(M6001="",N6001=""),"",SUMIFS('Barang Keluar'!$E:$E,'Barang Keluar'!$A:$A,M6001,'Barang Keluar'!$C:$C,N6001))</f>
        <v>0</v>
      </c>
    </row>
    <row r="6002" spans="13:16">
      <c r="M6002" s="49">
        <f>IF($A$4+59&gt;$B$4,"",$A$4+59)</f>
        <v>46082</v>
      </c>
      <c r="N6002">
        <f>IF(M6002="","",'Master Barang'!A96)</f>
        <v>0</v>
      </c>
      <c r="O6002">
        <f>IF(N6002="","",'Master Barang'!B96)</f>
        <v>0</v>
      </c>
      <c r="P6002">
        <f>IF(OR(M6002="",N6002=""),"",SUMIFS('Barang Keluar'!$E:$E,'Barang Keluar'!$A:$A,M6002,'Barang Keluar'!$C:$C,N6002))</f>
        <v>0</v>
      </c>
    </row>
    <row r="6003" spans="13:16">
      <c r="M6003" s="49">
        <f>IF($A$4+59&gt;$B$4,"",$A$4+59)</f>
        <v>46082</v>
      </c>
      <c r="N6003">
        <f>IF(M6003="","",'Master Barang'!A97)</f>
        <v>0</v>
      </c>
      <c r="O6003">
        <f>IF(N6003="","",'Master Barang'!B97)</f>
        <v>0</v>
      </c>
      <c r="P6003">
        <f>IF(OR(M6003="",N6003=""),"",SUMIFS('Barang Keluar'!$E:$E,'Barang Keluar'!$A:$A,M6003,'Barang Keluar'!$C:$C,N6003))</f>
        <v>0</v>
      </c>
    </row>
    <row r="6004" spans="13:16">
      <c r="M6004" s="49">
        <f>IF($A$4+59&gt;$B$4,"",$A$4+59)</f>
        <v>46082</v>
      </c>
      <c r="N6004">
        <f>IF(M6004="","",'Master Barang'!A98)</f>
        <v>0</v>
      </c>
      <c r="O6004">
        <f>IF(N6004="","",'Master Barang'!B98)</f>
        <v>0</v>
      </c>
      <c r="P6004">
        <f>IF(OR(M6004="",N6004=""),"",SUMIFS('Barang Keluar'!$E:$E,'Barang Keluar'!$A:$A,M6004,'Barang Keluar'!$C:$C,N6004))</f>
        <v>0</v>
      </c>
    </row>
    <row r="6005" spans="13:16">
      <c r="M6005" s="49">
        <f>IF($A$4+59&gt;$B$4,"",$A$4+59)</f>
        <v>46082</v>
      </c>
      <c r="N6005">
        <f>IF(M6005="","",'Master Barang'!A99)</f>
        <v>0</v>
      </c>
      <c r="O6005">
        <f>IF(N6005="","",'Master Barang'!B99)</f>
        <v>0</v>
      </c>
      <c r="P6005">
        <f>IF(OR(M6005="",N6005=""),"",SUMIFS('Barang Keluar'!$E:$E,'Barang Keluar'!$A:$A,M6005,'Barang Keluar'!$C:$C,N6005))</f>
        <v>0</v>
      </c>
    </row>
    <row r="6006" spans="13:16">
      <c r="M6006" s="49">
        <f>IF($A$4+59&gt;$B$4,"",$A$4+59)</f>
        <v>46082</v>
      </c>
      <c r="N6006">
        <f>IF(M6006="","",'Master Barang'!A100)</f>
        <v>0</v>
      </c>
      <c r="O6006">
        <f>IF(N6006="","",'Master Barang'!B100)</f>
        <v>0</v>
      </c>
      <c r="P6006">
        <f>IF(OR(M6006="",N6006=""),"",SUMIFS('Barang Keluar'!$E:$E,'Barang Keluar'!$A:$A,M6006,'Barang Keluar'!$C:$C,N6006))</f>
        <v>0</v>
      </c>
    </row>
    <row r="6007" spans="13:16">
      <c r="M6007" s="49">
        <f>IF($A$4+59&gt;$B$4,"",$A$4+59)</f>
        <v>46082</v>
      </c>
      <c r="N6007">
        <f>IF(M6007="","",'Master Barang'!A101)</f>
        <v>0</v>
      </c>
      <c r="O6007">
        <f>IF(N6007="","",'Master Barang'!B101)</f>
        <v>0</v>
      </c>
      <c r="P6007">
        <f>IF(OR(M6007="",N6007=""),"",SUMIFS('Barang Keluar'!$E:$E,'Barang Keluar'!$A:$A,M6007,'Barang Keluar'!$C:$C,N6007))</f>
        <v>0</v>
      </c>
    </row>
    <row r="6008" spans="13:16">
      <c r="M6008" s="49">
        <f>IF($A$4+60&gt;$B$4,"",$A$4+60)</f>
        <v>46083</v>
      </c>
      <c r="N6008" t="str">
        <f>IF(M6008="","",'Master Barang'!A2)</f>
        <v>PRL-001</v>
      </c>
      <c r="O6008" t="str">
        <f>IF(N6008="","",'Master Barang'!B2)</f>
        <v>natura desinfectant food grade 5l</v>
      </c>
      <c r="P6008">
        <f>IF(OR(M6008="",N6008=""),"",SUMIFS('Barang Keluar'!$E:$E,'Barang Keluar'!$A:$A,M6008,'Barang Keluar'!$C:$C,N6008))</f>
        <v>0</v>
      </c>
    </row>
    <row r="6009" spans="13:16">
      <c r="M6009" s="49">
        <f>IF($A$4+60&gt;$B$4,"",$A$4+60)</f>
        <v>46083</v>
      </c>
      <c r="N6009" t="str">
        <f>IF(M6009="","",'Master Barang'!A3)</f>
        <v>PRL-002</v>
      </c>
      <c r="O6009" t="str">
        <f>IF(N6009="","",'Master Barang'!B3)</f>
        <v>sunlight cairan pencuci piring 5l</v>
      </c>
      <c r="P6009">
        <f>IF(OR(M6009="",N6009=""),"",SUMIFS('Barang Keluar'!$E:$E,'Barang Keluar'!$A:$A,M6009,'Barang Keluar'!$C:$C,N6009))</f>
        <v>0</v>
      </c>
    </row>
    <row r="6010" spans="13:16">
      <c r="M6010" s="49">
        <f>IF($A$4+60&gt;$B$4,"",$A$4+60)</f>
        <v>46083</v>
      </c>
      <c r="N6010" t="str">
        <f>IF(M6010="","",'Master Barang'!A4)</f>
        <v>PRL-003</v>
      </c>
      <c r="O6010" t="str">
        <f>IF(N6010="","",'Master Barang'!B4)</f>
        <v>oixs cleaner 1l</v>
      </c>
      <c r="P6010">
        <f>IF(OR(M6010="",N6010=""),"",SUMIFS('Barang Keluar'!$E:$E,'Barang Keluar'!$A:$A,M6010,'Barang Keluar'!$C:$C,N6010))</f>
        <v>0</v>
      </c>
    </row>
    <row r="6011" spans="13:16">
      <c r="M6011" s="49">
        <f>IF($A$4+60&gt;$B$4,"",$A$4+60)</f>
        <v>46083</v>
      </c>
      <c r="N6011" t="str">
        <f>IF(M6011="","",'Master Barang'!A5)</f>
        <v>PRL-004</v>
      </c>
      <c r="O6011" t="str">
        <f>IF(N6011="","",'Master Barang'!B5)</f>
        <v>be clean tissue serbaguna</v>
      </c>
      <c r="P6011">
        <f>IF(OR(M6011="",N6011=""),"",SUMIFS('Barang Keluar'!$E:$E,'Barang Keluar'!$A:$A,M6011,'Barang Keluar'!$C:$C,N6011))</f>
        <v>0</v>
      </c>
    </row>
    <row r="6012" spans="13:16">
      <c r="M6012" s="49">
        <f>IF($A$4+60&gt;$B$4,"",$A$4+60)</f>
        <v>46083</v>
      </c>
      <c r="N6012" t="str">
        <f>IF(M6012="","",'Master Barang'!A6)</f>
        <v>PRL-005</v>
      </c>
      <c r="O6012" t="str">
        <f>IF(N6012="","",'Master Barang'!B6)</f>
        <v>spons cuci hijau</v>
      </c>
      <c r="P6012">
        <f>IF(OR(M6012="",N6012=""),"",SUMIFS('Barang Keluar'!$E:$E,'Barang Keluar'!$A:$A,M6012,'Barang Keluar'!$C:$C,N6012))</f>
        <v>0</v>
      </c>
    </row>
    <row r="6013" spans="13:16">
      <c r="M6013" s="49">
        <f>IF($A$4+60&gt;$B$4,"",$A$4+60)</f>
        <v>46083</v>
      </c>
      <c r="N6013" t="str">
        <f>IF(M6013="","",'Master Barang'!A7)</f>
        <v>PRL-006</v>
      </c>
      <c r="O6013" t="str">
        <f>IF(N6013="","",'Master Barang'!B7)</f>
        <v>sabut cuci stainless</v>
      </c>
      <c r="P6013">
        <f>IF(OR(M6013="",N6013=""),"",SUMIFS('Barang Keluar'!$E:$E,'Barang Keluar'!$A:$A,M6013,'Barang Keluar'!$C:$C,N6013))</f>
        <v>0</v>
      </c>
    </row>
    <row r="6014" spans="13:16">
      <c r="M6014" s="49">
        <f>IF($A$4+60&gt;$B$4,"",$A$4+60)</f>
        <v>46083</v>
      </c>
      <c r="N6014" t="str">
        <f>IF(M6014="","",'Master Barang'!A8)</f>
        <v>PRL-007</v>
      </c>
      <c r="O6014" t="str">
        <f>IF(N6014="","",'Master Barang'!B8)</f>
        <v>plastik kresek besar merah 50pc</v>
      </c>
      <c r="P6014">
        <f>IF(OR(M6014="",N6014=""),"",SUMIFS('Barang Keluar'!$E:$E,'Barang Keluar'!$A:$A,M6014,'Barang Keluar'!$C:$C,N6014))</f>
        <v>0</v>
      </c>
    </row>
    <row r="6015" spans="13:16">
      <c r="M6015" s="49">
        <f>IF($A$4+60&gt;$B$4,"",$A$4+60)</f>
        <v>46083</v>
      </c>
      <c r="N6015" t="str">
        <f>IF(M6015="","",'Master Barang'!A9)</f>
        <v>PRL-008</v>
      </c>
      <c r="O6015" t="str">
        <f>IF(N6015="","",'Master Barang'!B9)</f>
        <v>lap besar</v>
      </c>
      <c r="P6015">
        <f>IF(OR(M6015="",N6015=""),"",SUMIFS('Barang Keluar'!$E:$E,'Barang Keluar'!$A:$A,M6015,'Barang Keluar'!$C:$C,N6015))</f>
        <v>0</v>
      </c>
    </row>
    <row r="6016" spans="13:16">
      <c r="M6016" s="49">
        <f>IF($A$4+60&gt;$B$4,"",$A$4+60)</f>
        <v>46083</v>
      </c>
      <c r="N6016" t="str">
        <f>IF(M6016="","",'Master Barang'!A10)</f>
        <v>PRL-009</v>
      </c>
      <c r="O6016" t="str">
        <f>IF(N6016="","",'Master Barang'!B10)</f>
        <v>lap microfiber</v>
      </c>
      <c r="P6016">
        <f>IF(OR(M6016="",N6016=""),"",SUMIFS('Barang Keluar'!$E:$E,'Barang Keluar'!$A:$A,M6016,'Barang Keluar'!$C:$C,N6016))</f>
        <v>0</v>
      </c>
    </row>
    <row r="6017" spans="13:16">
      <c r="M6017" s="49">
        <f>IF($A$4+60&gt;$B$4,"",$A$4+60)</f>
        <v>46083</v>
      </c>
      <c r="N6017" t="str">
        <f>IF(M6017="","",'Master Barang'!A11)</f>
        <v>PRL-010</v>
      </c>
      <c r="O6017" t="str">
        <f>IF(N6017="","",'Master Barang'!B11)</f>
        <v>lap kecil</v>
      </c>
      <c r="P6017">
        <f>IF(OR(M6017="",N6017=""),"",SUMIFS('Barang Keluar'!$E:$E,'Barang Keluar'!$A:$A,M6017,'Barang Keluar'!$C:$C,N6017))</f>
        <v>0</v>
      </c>
    </row>
    <row r="6018" spans="13:16">
      <c r="M6018" s="49">
        <f>IF($A$4+60&gt;$B$4,"",$A$4+60)</f>
        <v>46083</v>
      </c>
      <c r="N6018" t="str">
        <f>IF(M6018="","",'Master Barang'!A12)</f>
        <v>PRL-011</v>
      </c>
      <c r="O6018" t="str">
        <f>IF(N6018="","",'Master Barang'!B12)</f>
        <v>kanebo kecil</v>
      </c>
      <c r="P6018">
        <f>IF(OR(M6018="",N6018=""),"",SUMIFS('Barang Keluar'!$E:$E,'Barang Keluar'!$A:$A,M6018,'Barang Keluar'!$C:$C,N6018))</f>
        <v>0</v>
      </c>
    </row>
    <row r="6019" spans="13:16">
      <c r="M6019" s="49">
        <f>IF($A$4+60&gt;$B$4,"",$A$4+60)</f>
        <v>46083</v>
      </c>
      <c r="N6019" t="str">
        <f>IF(M6019="","",'Master Barang'!A13)</f>
        <v>PRL-012</v>
      </c>
      <c r="O6019" t="str">
        <f>IF(N6019="","",'Master Barang'!B13)</f>
        <v>plastik 1/4kg joyoboyo 100 lembar</v>
      </c>
      <c r="P6019">
        <f>IF(OR(M6019="",N6019=""),"",SUMIFS('Barang Keluar'!$E:$E,'Barang Keluar'!$A:$A,M6019,'Barang Keluar'!$C:$C,N6019))</f>
        <v>0</v>
      </c>
    </row>
    <row r="6020" spans="13:16">
      <c r="M6020" s="49">
        <f>IF($A$4+60&gt;$B$4,"",$A$4+60)</f>
        <v>46083</v>
      </c>
      <c r="N6020" t="str">
        <f>IF(M6020="","",'Master Barang'!A14)</f>
        <v>PRL-013</v>
      </c>
      <c r="O6020" t="str">
        <f>IF(N6020="","",'Master Barang'!B14)</f>
        <v>sarung tangan plastik kaka 100 pcs</v>
      </c>
      <c r="P6020">
        <f>IF(OR(M6020="",N6020=""),"",SUMIFS('Barang Keluar'!$E:$E,'Barang Keluar'!$A:$A,M6020,'Barang Keluar'!$C:$C,N6020))</f>
        <v>0</v>
      </c>
    </row>
    <row r="6021" spans="13:16">
      <c r="M6021" s="49">
        <f>IF($A$4+60&gt;$B$4,"",$A$4+60)</f>
        <v>46083</v>
      </c>
      <c r="N6021" t="str">
        <f>IF(M6021="","",'Master Barang'!A15)</f>
        <v>PRL-014</v>
      </c>
      <c r="O6021" t="str">
        <f>IF(N6021="","",'Master Barang'!B15)</f>
        <v>optima trashbag 80x100</v>
      </c>
      <c r="P6021">
        <f>IF(OR(M6021="",N6021=""),"",SUMIFS('Barang Keluar'!$E:$E,'Barang Keluar'!$A:$A,M6021,'Barang Keluar'!$C:$C,N6021))</f>
        <v>0</v>
      </c>
    </row>
    <row r="6022" spans="13:16">
      <c r="M6022" s="49">
        <f>IF($A$4+60&gt;$B$4,"",$A$4+60)</f>
        <v>46083</v>
      </c>
      <c r="N6022" t="str">
        <f>IF(M6022="","",'Master Barang'!A16)</f>
        <v>PRL-015</v>
      </c>
      <c r="O6022" t="str">
        <f>IF(N6022="","",'Master Barang'!B16)</f>
        <v>optima trashbag 60x100</v>
      </c>
      <c r="P6022">
        <f>IF(OR(M6022="",N6022=""),"",SUMIFS('Barang Keluar'!$E:$E,'Barang Keluar'!$A:$A,M6022,'Barang Keluar'!$C:$C,N6022))</f>
        <v>0</v>
      </c>
    </row>
    <row r="6023" spans="13:16">
      <c r="M6023" s="49">
        <f>IF($A$4+60&gt;$B$4,"",$A$4+60)</f>
        <v>46083</v>
      </c>
      <c r="N6023" t="str">
        <f>IF(M6023="","",'Master Barang'!A17)</f>
        <v>PRL-016</v>
      </c>
      <c r="O6023" t="str">
        <f>IF(N6023="","",'Master Barang'!B17)</f>
        <v>rajawali trashbag 30x40</v>
      </c>
      <c r="P6023">
        <f>IF(OR(M6023="",N6023=""),"",SUMIFS('Barang Keluar'!$E:$E,'Barang Keluar'!$A:$A,M6023,'Barang Keluar'!$C:$C,N6023))</f>
        <v>0</v>
      </c>
    </row>
    <row r="6024" spans="13:16">
      <c r="M6024" s="49">
        <f>IF($A$4+60&gt;$B$4,"",$A$4+60)</f>
        <v>46083</v>
      </c>
      <c r="N6024" t="str">
        <f>IF(M6024="","",'Master Barang'!A18)</f>
        <v>PRL-017</v>
      </c>
      <c r="O6024" t="str">
        <f>IF(N6024="","",'Master Barang'!B18)</f>
        <v>onemed masker biru 3 play 50 pcs</v>
      </c>
      <c r="P6024">
        <f>IF(OR(M6024="",N6024=""),"",SUMIFS('Barang Keluar'!$E:$E,'Barang Keluar'!$A:$A,M6024,'Barang Keluar'!$C:$C,N6024))</f>
        <v>0</v>
      </c>
    </row>
    <row r="6025" spans="13:16">
      <c r="M6025" s="49">
        <f>IF($A$4+60&gt;$B$4,"",$A$4+60)</f>
        <v>46083</v>
      </c>
      <c r="N6025" t="str">
        <f>IF(M6025="","",'Master Barang'!A19)</f>
        <v>PRL-018</v>
      </c>
      <c r="O6025" t="str">
        <f>IF(N6025="","",'Master Barang'!B19)</f>
        <v>onemed masker biru 3 play hijab 50 pcs</v>
      </c>
      <c r="P6025">
        <f>IF(OR(M6025="",N6025=""),"",SUMIFS('Barang Keluar'!$E:$E,'Barang Keluar'!$A:$A,M6025,'Barang Keluar'!$C:$C,N6025))</f>
        <v>0</v>
      </c>
    </row>
    <row r="6026" spans="13:16">
      <c r="M6026" s="49">
        <f>IF($A$4+60&gt;$B$4,"",$A$4+60)</f>
        <v>46083</v>
      </c>
      <c r="N6026" t="str">
        <f>IF(M6026="","",'Master Barang'!A20)</f>
        <v>PRL-019</v>
      </c>
      <c r="O6026" t="str">
        <f>IF(N6026="","",'Master Barang'!B20)</f>
        <v>neo health masker biru 3 play 50 pcs</v>
      </c>
      <c r="P6026">
        <f>IF(OR(M6026="",N6026=""),"",SUMIFS('Barang Keluar'!$E:$E,'Barang Keluar'!$A:$A,M6026,'Barang Keluar'!$C:$C,N6026))</f>
        <v>0</v>
      </c>
    </row>
    <row r="6027" spans="13:16">
      <c r="M6027" s="49">
        <f>IF($A$4+60&gt;$B$4,"",$A$4+60)</f>
        <v>46083</v>
      </c>
      <c r="N6027" t="str">
        <f>IF(M6027="","",'Master Barang'!A21)</f>
        <v>PRL-020</v>
      </c>
      <c r="O6027" t="str">
        <f>IF(N6027="","",'Master Barang'!B21)</f>
        <v>baymed masker hijau 3 play hijau 50 pcs</v>
      </c>
      <c r="P6027">
        <f>IF(OR(M6027="",N6027=""),"",SUMIFS('Barang Keluar'!$E:$E,'Barang Keluar'!$A:$A,M6027,'Barang Keluar'!$C:$C,N6027))</f>
        <v>0</v>
      </c>
    </row>
    <row r="6028" spans="13:16">
      <c r="M6028" s="49">
        <f>IF($A$4+60&gt;$B$4,"",$A$4+60)</f>
        <v>46083</v>
      </c>
      <c r="N6028" t="str">
        <f>IF(M6028="","",'Master Barang'!A22)</f>
        <v>PRL-021</v>
      </c>
      <c r="O6028" t="str">
        <f>IF(N6028="","",'Master Barang'!B22)</f>
        <v>altamed nurse cap penutup kepala 100 pcs</v>
      </c>
      <c r="P6028">
        <f>IF(OR(M6028="",N6028=""),"",SUMIFS('Barang Keluar'!$E:$E,'Barang Keluar'!$A:$A,M6028,'Barang Keluar'!$C:$C,N6028))</f>
        <v>0</v>
      </c>
    </row>
    <row r="6029" spans="13:16">
      <c r="M6029" s="49">
        <f>IF($A$4+60&gt;$B$4,"",$A$4+60)</f>
        <v>46083</v>
      </c>
      <c r="N6029" t="str">
        <f>IF(M6029="","",'Master Barang'!A23)</f>
        <v>PRL-022</v>
      </c>
      <c r="O6029" t="str">
        <f>IF(N6029="","",'Master Barang'!B23)</f>
        <v>sabun cuci tangan</v>
      </c>
      <c r="P6029">
        <f>IF(OR(M6029="",N6029=""),"",SUMIFS('Barang Keluar'!$E:$E,'Barang Keluar'!$A:$A,M6029,'Barang Keluar'!$C:$C,N6029))</f>
        <v>0</v>
      </c>
    </row>
    <row r="6030" spans="13:16">
      <c r="M6030" s="49">
        <f>IF($A$4+60&gt;$B$4,"",$A$4+60)</f>
        <v>46083</v>
      </c>
      <c r="N6030" t="str">
        <f>IF(M6030="","",'Master Barang'!A24)</f>
        <v>PRL-023</v>
      </c>
      <c r="O6030" t="str">
        <f>IF(N6030="","",'Master Barang'!B24)</f>
        <v>gayung kecil</v>
      </c>
      <c r="P6030">
        <f>IF(OR(M6030="",N6030=""),"",SUMIFS('Barang Keluar'!$E:$E,'Barang Keluar'!$A:$A,M6030,'Barang Keluar'!$C:$C,N6030))</f>
        <v>0</v>
      </c>
    </row>
    <row r="6031" spans="13:16">
      <c r="M6031" s="49">
        <f>IF($A$4+60&gt;$B$4,"",$A$4+60)</f>
        <v>46083</v>
      </c>
      <c r="N6031" t="str">
        <f>IF(M6031="","",'Master Barang'!A25)</f>
        <v>PRL-024</v>
      </c>
      <c r="O6031" t="str">
        <f>IF(N6031="","",'Master Barang'!B25)</f>
        <v>cikrak kecil</v>
      </c>
      <c r="P6031">
        <f>IF(OR(M6031="",N6031=""),"",SUMIFS('Barang Keluar'!$E:$E,'Barang Keluar'!$A:$A,M6031,'Barang Keluar'!$C:$C,N6031))</f>
        <v>0</v>
      </c>
    </row>
    <row r="6032" spans="13:16">
      <c r="M6032" s="49">
        <f>IF($A$4+60&gt;$B$4,"",$A$4+60)</f>
        <v>46083</v>
      </c>
      <c r="N6032" t="str">
        <f>IF(M6032="","",'Master Barang'!A26)</f>
        <v>PRL-025</v>
      </c>
      <c r="O6032" t="str">
        <f>IF(N6032="","",'Master Barang'!B26)</f>
        <v>petromax plastik kecil 12x24 100 lembar</v>
      </c>
      <c r="P6032">
        <f>IF(OR(M6032="",N6032=""),"",SUMIFS('Barang Keluar'!$E:$E,'Barang Keluar'!$A:$A,M6032,'Barang Keluar'!$C:$C,N6032))</f>
        <v>0</v>
      </c>
    </row>
    <row r="6033" spans="13:16">
      <c r="M6033" s="49">
        <f>IF($A$4+60&gt;$B$4,"",$A$4+60)</f>
        <v>46083</v>
      </c>
      <c r="N6033" t="str">
        <f>IF(M6033="","",'Master Barang'!A27)</f>
        <v>PRL-026</v>
      </c>
      <c r="O6033" t="str">
        <f>IF(N6033="","",'Master Barang'!B27)</f>
        <v>lancar kresek kecil bening </v>
      </c>
      <c r="P6033">
        <f>IF(OR(M6033="",N6033=""),"",SUMIFS('Barang Keluar'!$E:$E,'Barang Keluar'!$A:$A,M6033,'Barang Keluar'!$C:$C,N6033))</f>
        <v>0</v>
      </c>
    </row>
    <row r="6034" spans="13:16">
      <c r="M6034" s="49">
        <f>IF($A$4+60&gt;$B$4,"",$A$4+60)</f>
        <v>46083</v>
      </c>
      <c r="N6034" t="str">
        <f>IF(M6034="","",'Master Barang'!A28)</f>
        <v>PRL-027</v>
      </c>
      <c r="O6034" t="str">
        <f>IF(N6034="","",'Master Barang'!B28)</f>
        <v>kresek klin warna warni kecil</v>
      </c>
      <c r="P6034">
        <f>IF(OR(M6034="",N6034=""),"",SUMIFS('Barang Keluar'!$E:$E,'Barang Keluar'!$A:$A,M6034,'Barang Keluar'!$C:$C,N6034))</f>
        <v>0</v>
      </c>
    </row>
    <row r="6035" spans="13:16">
      <c r="M6035" s="49">
        <f>IF($A$4+60&gt;$B$4,"",$A$4+60)</f>
        <v>46083</v>
      </c>
      <c r="N6035" t="str">
        <f>IF(M6035="","",'Master Barang'!A29)</f>
        <v>PRL-028</v>
      </c>
      <c r="O6035" t="str">
        <f>IF(N6035="","",'Master Barang'!B29)</f>
        <v>ctik plastik 7x10 100 pcs</v>
      </c>
      <c r="P6035">
        <f>IF(OR(M6035="",N6035=""),"",SUMIFS('Barang Keluar'!$E:$E,'Barang Keluar'!$A:$A,M6035,'Barang Keluar'!$C:$C,N6035))</f>
        <v>0</v>
      </c>
    </row>
    <row r="6036" spans="13:16">
      <c r="M6036" s="49">
        <f>IF($A$4+60&gt;$B$4,"",$A$4+60)</f>
        <v>46083</v>
      </c>
      <c r="N6036" t="str">
        <f>IF(M6036="","",'Master Barang'!A30)</f>
        <v>PRL-029</v>
      </c>
      <c r="O6036" t="str">
        <f>IF(N6036="","",'Master Barang'!B30)</f>
        <v>ctik plastik 6x10 100 pcs</v>
      </c>
      <c r="P6036">
        <f>IF(OR(M6036="",N6036=""),"",SUMIFS('Barang Keluar'!$E:$E,'Barang Keluar'!$A:$A,M6036,'Barang Keluar'!$C:$C,N6036))</f>
        <v>0</v>
      </c>
    </row>
    <row r="6037" spans="13:16">
      <c r="M6037" s="49">
        <f>IF($A$4+60&gt;$B$4,"",$A$4+60)</f>
        <v>46083</v>
      </c>
      <c r="N6037" t="str">
        <f>IF(M6037="","",'Master Barang'!A31)</f>
        <v>PRL-030</v>
      </c>
      <c r="O6037" t="str">
        <f>IF(N6037="","",'Master Barang'!B31)</f>
        <v>klip plastik 25x16 100 pcs</v>
      </c>
      <c r="P6037">
        <f>IF(OR(M6037="",N6037=""),"",SUMIFS('Barang Keluar'!$E:$E,'Barang Keluar'!$A:$A,M6037,'Barang Keluar'!$C:$C,N6037))</f>
        <v>0</v>
      </c>
    </row>
    <row r="6038" spans="13:16">
      <c r="M6038" s="49">
        <f>IF($A$4+60&gt;$B$4,"",$A$4+60)</f>
        <v>46083</v>
      </c>
      <c r="N6038" t="str">
        <f>IF(M6038="","",'Master Barang'!A32)</f>
        <v>PRL-031</v>
      </c>
      <c r="O6038" t="str">
        <f>IF(N6038="","",'Master Barang'!B32)</f>
        <v>tempat saus 20 ml</v>
      </c>
      <c r="P6038">
        <f>IF(OR(M6038="",N6038=""),"",SUMIFS('Barang Keluar'!$E:$E,'Barang Keluar'!$A:$A,M6038,'Barang Keluar'!$C:$C,N6038))</f>
        <v>0</v>
      </c>
    </row>
    <row r="6039" spans="13:16">
      <c r="M6039" s="49">
        <f>IF($A$4+60&gt;$B$4,"",$A$4+60)</f>
        <v>46083</v>
      </c>
      <c r="N6039" t="str">
        <f>IF(M6039="","",'Master Barang'!A33)</f>
        <v>PRL-032</v>
      </c>
      <c r="O6039" t="str">
        <f>IF(N6039="","",'Master Barang'!B33)</f>
        <v>plastik packaging ag box uk sedang</v>
      </c>
      <c r="P6039">
        <f>IF(OR(M6039="",N6039=""),"",SUMIFS('Barang Keluar'!$E:$E,'Barang Keluar'!$A:$A,M6039,'Barang Keluar'!$C:$C,N6039))</f>
        <v>0</v>
      </c>
    </row>
    <row r="6040" spans="13:16">
      <c r="M6040" s="49">
        <f>IF($A$4+60&gt;$B$4,"",$A$4+60)</f>
        <v>46083</v>
      </c>
      <c r="N6040" t="str">
        <f>IF(M6040="","",'Master Barang'!A34)</f>
        <v>PRL-033</v>
      </c>
      <c r="O6040">
        <f>IF(N6040="","",'Master Barang'!B34)</f>
        <v>0</v>
      </c>
      <c r="P6040">
        <f>IF(OR(M6040="",N6040=""),"",SUMIFS('Barang Keluar'!$E:$E,'Barang Keluar'!$A:$A,M6040,'Barang Keluar'!$C:$C,N6040))</f>
        <v>0</v>
      </c>
    </row>
    <row r="6041" spans="13:16">
      <c r="M6041" s="49">
        <f>IF($A$4+60&gt;$B$4,"",$A$4+60)</f>
        <v>46083</v>
      </c>
      <c r="N6041">
        <f>IF(M6041="","",'Master Barang'!A35)</f>
        <v>0</v>
      </c>
      <c r="O6041">
        <f>IF(N6041="","",'Master Barang'!B35)</f>
        <v>0</v>
      </c>
      <c r="P6041">
        <f>IF(OR(M6041="",N6041=""),"",SUMIFS('Barang Keluar'!$E:$E,'Barang Keluar'!$A:$A,M6041,'Barang Keluar'!$C:$C,N6041))</f>
        <v>0</v>
      </c>
    </row>
    <row r="6042" spans="13:16">
      <c r="M6042" s="49">
        <f>IF($A$4+60&gt;$B$4,"",$A$4+60)</f>
        <v>46083</v>
      </c>
      <c r="N6042">
        <f>IF(M6042="","",'Master Barang'!A36)</f>
        <v>0</v>
      </c>
      <c r="O6042">
        <f>IF(N6042="","",'Master Barang'!B36)</f>
        <v>0</v>
      </c>
      <c r="P6042">
        <f>IF(OR(M6042="",N6042=""),"",SUMIFS('Barang Keluar'!$E:$E,'Barang Keluar'!$A:$A,M6042,'Barang Keluar'!$C:$C,N6042))</f>
        <v>0</v>
      </c>
    </row>
    <row r="6043" spans="13:16">
      <c r="M6043" s="49">
        <f>IF($A$4+60&gt;$B$4,"",$A$4+60)</f>
        <v>46083</v>
      </c>
      <c r="N6043">
        <f>IF(M6043="","",'Master Barang'!A37)</f>
        <v>0</v>
      </c>
      <c r="O6043">
        <f>IF(N6043="","",'Master Barang'!B37)</f>
        <v>0</v>
      </c>
      <c r="P6043">
        <f>IF(OR(M6043="",N6043=""),"",SUMIFS('Barang Keluar'!$E:$E,'Barang Keluar'!$A:$A,M6043,'Barang Keluar'!$C:$C,N6043))</f>
        <v>0</v>
      </c>
    </row>
    <row r="6044" spans="13:16">
      <c r="M6044" s="49">
        <f>IF($A$4+60&gt;$B$4,"",$A$4+60)</f>
        <v>46083</v>
      </c>
      <c r="N6044">
        <f>IF(M6044="","",'Master Barang'!A38)</f>
        <v>0</v>
      </c>
      <c r="O6044">
        <f>IF(N6044="","",'Master Barang'!B38)</f>
        <v>0</v>
      </c>
      <c r="P6044">
        <f>IF(OR(M6044="",N6044=""),"",SUMIFS('Barang Keluar'!$E:$E,'Barang Keluar'!$A:$A,M6044,'Barang Keluar'!$C:$C,N6044))</f>
        <v>0</v>
      </c>
    </row>
    <row r="6045" spans="13:16">
      <c r="M6045" s="49">
        <f>IF($A$4+60&gt;$B$4,"",$A$4+60)</f>
        <v>46083</v>
      </c>
      <c r="N6045">
        <f>IF(M6045="","",'Master Barang'!A39)</f>
        <v>0</v>
      </c>
      <c r="O6045">
        <f>IF(N6045="","",'Master Barang'!B39)</f>
        <v>0</v>
      </c>
      <c r="P6045">
        <f>IF(OR(M6045="",N6045=""),"",SUMIFS('Barang Keluar'!$E:$E,'Barang Keluar'!$A:$A,M6045,'Barang Keluar'!$C:$C,N6045))</f>
        <v>0</v>
      </c>
    </row>
    <row r="6046" spans="13:16">
      <c r="M6046" s="49">
        <f>IF($A$4+60&gt;$B$4,"",$A$4+60)</f>
        <v>46083</v>
      </c>
      <c r="N6046">
        <f>IF(M6046="","",'Master Barang'!A40)</f>
        <v>0</v>
      </c>
      <c r="O6046">
        <f>IF(N6046="","",'Master Barang'!B40)</f>
        <v>0</v>
      </c>
      <c r="P6046">
        <f>IF(OR(M6046="",N6046=""),"",SUMIFS('Barang Keluar'!$E:$E,'Barang Keluar'!$A:$A,M6046,'Barang Keluar'!$C:$C,N6046))</f>
        <v>0</v>
      </c>
    </row>
    <row r="6047" spans="13:16">
      <c r="M6047" s="49">
        <f>IF($A$4+60&gt;$B$4,"",$A$4+60)</f>
        <v>46083</v>
      </c>
      <c r="N6047">
        <f>IF(M6047="","",'Master Barang'!A41)</f>
        <v>0</v>
      </c>
      <c r="O6047">
        <f>IF(N6047="","",'Master Barang'!B41)</f>
        <v>0</v>
      </c>
      <c r="P6047">
        <f>IF(OR(M6047="",N6047=""),"",SUMIFS('Barang Keluar'!$E:$E,'Barang Keluar'!$A:$A,M6047,'Barang Keluar'!$C:$C,N6047))</f>
        <v>0</v>
      </c>
    </row>
    <row r="6048" spans="13:16">
      <c r="M6048" s="49">
        <f>IF($A$4+60&gt;$B$4,"",$A$4+60)</f>
        <v>46083</v>
      </c>
      <c r="N6048">
        <f>IF(M6048="","",'Master Barang'!A42)</f>
        <v>0</v>
      </c>
      <c r="O6048">
        <f>IF(N6048="","",'Master Barang'!B42)</f>
        <v>0</v>
      </c>
      <c r="P6048">
        <f>IF(OR(M6048="",N6048=""),"",SUMIFS('Barang Keluar'!$E:$E,'Barang Keluar'!$A:$A,M6048,'Barang Keluar'!$C:$C,N6048))</f>
        <v>0</v>
      </c>
    </row>
    <row r="6049" spans="13:16">
      <c r="M6049" s="49">
        <f>IF($A$4+60&gt;$B$4,"",$A$4+60)</f>
        <v>46083</v>
      </c>
      <c r="N6049">
        <f>IF(M6049="","",'Master Barang'!A43)</f>
        <v>0</v>
      </c>
      <c r="O6049">
        <f>IF(N6049="","",'Master Barang'!B43)</f>
        <v>0</v>
      </c>
      <c r="P6049">
        <f>IF(OR(M6049="",N6049=""),"",SUMIFS('Barang Keluar'!$E:$E,'Barang Keluar'!$A:$A,M6049,'Barang Keluar'!$C:$C,N6049))</f>
        <v>0</v>
      </c>
    </row>
    <row r="6050" spans="13:16">
      <c r="M6050" s="49">
        <f>IF($A$4+60&gt;$B$4,"",$A$4+60)</f>
        <v>46083</v>
      </c>
      <c r="N6050">
        <f>IF(M6050="","",'Master Barang'!A44)</f>
        <v>0</v>
      </c>
      <c r="O6050">
        <f>IF(N6050="","",'Master Barang'!B44)</f>
        <v>0</v>
      </c>
      <c r="P6050">
        <f>IF(OR(M6050="",N6050=""),"",SUMIFS('Barang Keluar'!$E:$E,'Barang Keluar'!$A:$A,M6050,'Barang Keluar'!$C:$C,N6050))</f>
        <v>0</v>
      </c>
    </row>
    <row r="6051" spans="13:16">
      <c r="M6051" s="49">
        <f>IF($A$4+60&gt;$B$4,"",$A$4+60)</f>
        <v>46083</v>
      </c>
      <c r="N6051">
        <f>IF(M6051="","",'Master Barang'!A45)</f>
        <v>0</v>
      </c>
      <c r="O6051">
        <f>IF(N6051="","",'Master Barang'!B45)</f>
        <v>0</v>
      </c>
      <c r="P6051">
        <f>IF(OR(M6051="",N6051=""),"",SUMIFS('Barang Keluar'!$E:$E,'Barang Keluar'!$A:$A,M6051,'Barang Keluar'!$C:$C,N6051))</f>
        <v>0</v>
      </c>
    </row>
    <row r="6052" spans="13:16">
      <c r="M6052" s="49">
        <f>IF($A$4+60&gt;$B$4,"",$A$4+60)</f>
        <v>46083</v>
      </c>
      <c r="N6052">
        <f>IF(M6052="","",'Master Barang'!A46)</f>
        <v>0</v>
      </c>
      <c r="O6052">
        <f>IF(N6052="","",'Master Barang'!B46)</f>
        <v>0</v>
      </c>
      <c r="P6052">
        <f>IF(OR(M6052="",N6052=""),"",SUMIFS('Barang Keluar'!$E:$E,'Barang Keluar'!$A:$A,M6052,'Barang Keluar'!$C:$C,N6052))</f>
        <v>0</v>
      </c>
    </row>
    <row r="6053" spans="13:16">
      <c r="M6053" s="49">
        <f>IF($A$4+60&gt;$B$4,"",$A$4+60)</f>
        <v>46083</v>
      </c>
      <c r="N6053">
        <f>IF(M6053="","",'Master Barang'!A47)</f>
        <v>0</v>
      </c>
      <c r="O6053">
        <f>IF(N6053="","",'Master Barang'!B47)</f>
        <v>0</v>
      </c>
      <c r="P6053">
        <f>IF(OR(M6053="",N6053=""),"",SUMIFS('Barang Keluar'!$E:$E,'Barang Keluar'!$A:$A,M6053,'Barang Keluar'!$C:$C,N6053))</f>
        <v>0</v>
      </c>
    </row>
    <row r="6054" spans="13:16">
      <c r="M6054" s="49">
        <f>IF($A$4+60&gt;$B$4,"",$A$4+60)</f>
        <v>46083</v>
      </c>
      <c r="N6054">
        <f>IF(M6054="","",'Master Barang'!A48)</f>
        <v>0</v>
      </c>
      <c r="O6054">
        <f>IF(N6054="","",'Master Barang'!B48)</f>
        <v>0</v>
      </c>
      <c r="P6054">
        <f>IF(OR(M6054="",N6054=""),"",SUMIFS('Barang Keluar'!$E:$E,'Barang Keluar'!$A:$A,M6054,'Barang Keluar'!$C:$C,N6054))</f>
        <v>0</v>
      </c>
    </row>
    <row r="6055" spans="13:16">
      <c r="M6055" s="49">
        <f>IF($A$4+60&gt;$B$4,"",$A$4+60)</f>
        <v>46083</v>
      </c>
      <c r="N6055">
        <f>IF(M6055="","",'Master Barang'!A49)</f>
        <v>0</v>
      </c>
      <c r="O6055">
        <f>IF(N6055="","",'Master Barang'!B49)</f>
        <v>0</v>
      </c>
      <c r="P6055">
        <f>IF(OR(M6055="",N6055=""),"",SUMIFS('Barang Keluar'!$E:$E,'Barang Keluar'!$A:$A,M6055,'Barang Keluar'!$C:$C,N6055))</f>
        <v>0</v>
      </c>
    </row>
    <row r="6056" spans="13:16">
      <c r="M6056" s="49">
        <f>IF($A$4+60&gt;$B$4,"",$A$4+60)</f>
        <v>46083</v>
      </c>
      <c r="N6056">
        <f>IF(M6056="","",'Master Barang'!A50)</f>
        <v>0</v>
      </c>
      <c r="O6056">
        <f>IF(N6056="","",'Master Barang'!B50)</f>
        <v>0</v>
      </c>
      <c r="P6056">
        <f>IF(OR(M6056="",N6056=""),"",SUMIFS('Barang Keluar'!$E:$E,'Barang Keluar'!$A:$A,M6056,'Barang Keluar'!$C:$C,N6056))</f>
        <v>0</v>
      </c>
    </row>
    <row r="6057" spans="13:16">
      <c r="M6057" s="49">
        <f>IF($A$4+60&gt;$B$4,"",$A$4+60)</f>
        <v>46083</v>
      </c>
      <c r="N6057">
        <f>IF(M6057="","",'Master Barang'!A51)</f>
        <v>0</v>
      </c>
      <c r="O6057">
        <f>IF(N6057="","",'Master Barang'!B51)</f>
        <v>0</v>
      </c>
      <c r="P6057">
        <f>IF(OR(M6057="",N6057=""),"",SUMIFS('Barang Keluar'!$E:$E,'Barang Keluar'!$A:$A,M6057,'Barang Keluar'!$C:$C,N6057))</f>
        <v>0</v>
      </c>
    </row>
    <row r="6058" spans="13:16">
      <c r="M6058" s="49">
        <f>IF($A$4+60&gt;$B$4,"",$A$4+60)</f>
        <v>46083</v>
      </c>
      <c r="N6058">
        <f>IF(M6058="","",'Master Barang'!A52)</f>
        <v>0</v>
      </c>
      <c r="O6058">
        <f>IF(N6058="","",'Master Barang'!B52)</f>
        <v>0</v>
      </c>
      <c r="P6058">
        <f>IF(OR(M6058="",N6058=""),"",SUMIFS('Barang Keluar'!$E:$E,'Barang Keluar'!$A:$A,M6058,'Barang Keluar'!$C:$C,N6058))</f>
        <v>0</v>
      </c>
    </row>
    <row r="6059" spans="13:16">
      <c r="M6059" s="49">
        <f>IF($A$4+60&gt;$B$4,"",$A$4+60)</f>
        <v>46083</v>
      </c>
      <c r="N6059">
        <f>IF(M6059="","",'Master Barang'!A53)</f>
        <v>0</v>
      </c>
      <c r="O6059">
        <f>IF(N6059="","",'Master Barang'!B53)</f>
        <v>0</v>
      </c>
      <c r="P6059">
        <f>IF(OR(M6059="",N6059=""),"",SUMIFS('Barang Keluar'!$E:$E,'Barang Keluar'!$A:$A,M6059,'Barang Keluar'!$C:$C,N6059))</f>
        <v>0</v>
      </c>
    </row>
    <row r="6060" spans="13:16">
      <c r="M6060" s="49">
        <f>IF($A$4+60&gt;$B$4,"",$A$4+60)</f>
        <v>46083</v>
      </c>
      <c r="N6060">
        <f>IF(M6060="","",'Master Barang'!A54)</f>
        <v>0</v>
      </c>
      <c r="O6060">
        <f>IF(N6060="","",'Master Barang'!B54)</f>
        <v>0</v>
      </c>
      <c r="P6060">
        <f>IF(OR(M6060="",N6060=""),"",SUMIFS('Barang Keluar'!$E:$E,'Barang Keluar'!$A:$A,M6060,'Barang Keluar'!$C:$C,N6060))</f>
        <v>0</v>
      </c>
    </row>
    <row r="6061" spans="13:16">
      <c r="M6061" s="49">
        <f>IF($A$4+60&gt;$B$4,"",$A$4+60)</f>
        <v>46083</v>
      </c>
      <c r="N6061">
        <f>IF(M6061="","",'Master Barang'!A55)</f>
        <v>0</v>
      </c>
      <c r="O6061">
        <f>IF(N6061="","",'Master Barang'!B55)</f>
        <v>0</v>
      </c>
      <c r="P6061">
        <f>IF(OR(M6061="",N6061=""),"",SUMIFS('Barang Keluar'!$E:$E,'Barang Keluar'!$A:$A,M6061,'Barang Keluar'!$C:$C,N6061))</f>
        <v>0</v>
      </c>
    </row>
    <row r="6062" spans="13:16">
      <c r="M6062" s="49">
        <f>IF($A$4+60&gt;$B$4,"",$A$4+60)</f>
        <v>46083</v>
      </c>
      <c r="N6062">
        <f>IF(M6062="","",'Master Barang'!A56)</f>
        <v>0</v>
      </c>
      <c r="O6062">
        <f>IF(N6062="","",'Master Barang'!B56)</f>
        <v>0</v>
      </c>
      <c r="P6062">
        <f>IF(OR(M6062="",N6062=""),"",SUMIFS('Barang Keluar'!$E:$E,'Barang Keluar'!$A:$A,M6062,'Barang Keluar'!$C:$C,N6062))</f>
        <v>0</v>
      </c>
    </row>
    <row r="6063" spans="13:16">
      <c r="M6063" s="49">
        <f>IF($A$4+60&gt;$B$4,"",$A$4+60)</f>
        <v>46083</v>
      </c>
      <c r="N6063">
        <f>IF(M6063="","",'Master Barang'!A57)</f>
        <v>0</v>
      </c>
      <c r="O6063">
        <f>IF(N6063="","",'Master Barang'!B57)</f>
        <v>0</v>
      </c>
      <c r="P6063">
        <f>IF(OR(M6063="",N6063=""),"",SUMIFS('Barang Keluar'!$E:$E,'Barang Keluar'!$A:$A,M6063,'Barang Keluar'!$C:$C,N6063))</f>
        <v>0</v>
      </c>
    </row>
    <row r="6064" spans="13:16">
      <c r="M6064" s="49">
        <f>IF($A$4+60&gt;$B$4,"",$A$4+60)</f>
        <v>46083</v>
      </c>
      <c r="N6064">
        <f>IF(M6064="","",'Master Barang'!A58)</f>
        <v>0</v>
      </c>
      <c r="O6064">
        <f>IF(N6064="","",'Master Barang'!B58)</f>
        <v>0</v>
      </c>
      <c r="P6064">
        <f>IF(OR(M6064="",N6064=""),"",SUMIFS('Barang Keluar'!$E:$E,'Barang Keluar'!$A:$A,M6064,'Barang Keluar'!$C:$C,N6064))</f>
        <v>0</v>
      </c>
    </row>
    <row r="6065" spans="13:16">
      <c r="M6065" s="49">
        <f>IF($A$4+60&gt;$B$4,"",$A$4+60)</f>
        <v>46083</v>
      </c>
      <c r="N6065">
        <f>IF(M6065="","",'Master Barang'!A59)</f>
        <v>0</v>
      </c>
      <c r="O6065">
        <f>IF(N6065="","",'Master Barang'!B59)</f>
        <v>0</v>
      </c>
      <c r="P6065">
        <f>IF(OR(M6065="",N6065=""),"",SUMIFS('Barang Keluar'!$E:$E,'Barang Keluar'!$A:$A,M6065,'Barang Keluar'!$C:$C,N6065))</f>
        <v>0</v>
      </c>
    </row>
    <row r="6066" spans="13:16">
      <c r="M6066" s="49">
        <f>IF($A$4+60&gt;$B$4,"",$A$4+60)</f>
        <v>46083</v>
      </c>
      <c r="N6066">
        <f>IF(M6066="","",'Master Barang'!A60)</f>
        <v>0</v>
      </c>
      <c r="O6066">
        <f>IF(N6066="","",'Master Barang'!B60)</f>
        <v>0</v>
      </c>
      <c r="P6066">
        <f>IF(OR(M6066="",N6066=""),"",SUMIFS('Barang Keluar'!$E:$E,'Barang Keluar'!$A:$A,M6066,'Barang Keluar'!$C:$C,N6066))</f>
        <v>0</v>
      </c>
    </row>
    <row r="6067" spans="13:16">
      <c r="M6067" s="49">
        <f>IF($A$4+60&gt;$B$4,"",$A$4+60)</f>
        <v>46083</v>
      </c>
      <c r="N6067">
        <f>IF(M6067="","",'Master Barang'!A61)</f>
        <v>0</v>
      </c>
      <c r="O6067">
        <f>IF(N6067="","",'Master Barang'!B61)</f>
        <v>0</v>
      </c>
      <c r="P6067">
        <f>IF(OR(M6067="",N6067=""),"",SUMIFS('Barang Keluar'!$E:$E,'Barang Keluar'!$A:$A,M6067,'Barang Keluar'!$C:$C,N6067))</f>
        <v>0</v>
      </c>
    </row>
    <row r="6068" spans="13:16">
      <c r="M6068" s="49">
        <f>IF($A$4+60&gt;$B$4,"",$A$4+60)</f>
        <v>46083</v>
      </c>
      <c r="N6068">
        <f>IF(M6068="","",'Master Barang'!A62)</f>
        <v>0</v>
      </c>
      <c r="O6068">
        <f>IF(N6068="","",'Master Barang'!B62)</f>
        <v>0</v>
      </c>
      <c r="P6068">
        <f>IF(OR(M6068="",N6068=""),"",SUMIFS('Barang Keluar'!$E:$E,'Barang Keluar'!$A:$A,M6068,'Barang Keluar'!$C:$C,N6068))</f>
        <v>0</v>
      </c>
    </row>
    <row r="6069" spans="13:16">
      <c r="M6069" s="49">
        <f>IF($A$4+60&gt;$B$4,"",$A$4+60)</f>
        <v>46083</v>
      </c>
      <c r="N6069">
        <f>IF(M6069="","",'Master Barang'!A63)</f>
        <v>0</v>
      </c>
      <c r="O6069">
        <f>IF(N6069="","",'Master Barang'!B63)</f>
        <v>0</v>
      </c>
      <c r="P6069">
        <f>IF(OR(M6069="",N6069=""),"",SUMIFS('Barang Keluar'!$E:$E,'Barang Keluar'!$A:$A,M6069,'Barang Keluar'!$C:$C,N6069))</f>
        <v>0</v>
      </c>
    </row>
    <row r="6070" spans="13:16">
      <c r="M6070" s="49">
        <f>IF($A$4+60&gt;$B$4,"",$A$4+60)</f>
        <v>46083</v>
      </c>
      <c r="N6070">
        <f>IF(M6070="","",'Master Barang'!A64)</f>
        <v>0</v>
      </c>
      <c r="O6070">
        <f>IF(N6070="","",'Master Barang'!B64)</f>
        <v>0</v>
      </c>
      <c r="P6070">
        <f>IF(OR(M6070="",N6070=""),"",SUMIFS('Barang Keluar'!$E:$E,'Barang Keluar'!$A:$A,M6070,'Barang Keluar'!$C:$C,N6070))</f>
        <v>0</v>
      </c>
    </row>
    <row r="6071" spans="13:16">
      <c r="M6071" s="49">
        <f>IF($A$4+60&gt;$B$4,"",$A$4+60)</f>
        <v>46083</v>
      </c>
      <c r="N6071">
        <f>IF(M6071="","",'Master Barang'!A65)</f>
        <v>0</v>
      </c>
      <c r="O6071">
        <f>IF(N6071="","",'Master Barang'!B65)</f>
        <v>0</v>
      </c>
      <c r="P6071">
        <f>IF(OR(M6071="",N6071=""),"",SUMIFS('Barang Keluar'!$E:$E,'Barang Keluar'!$A:$A,M6071,'Barang Keluar'!$C:$C,N6071))</f>
        <v>0</v>
      </c>
    </row>
    <row r="6072" spans="13:16">
      <c r="M6072" s="49">
        <f>IF($A$4+60&gt;$B$4,"",$A$4+60)</f>
        <v>46083</v>
      </c>
      <c r="N6072">
        <f>IF(M6072="","",'Master Barang'!A66)</f>
        <v>0</v>
      </c>
      <c r="O6072">
        <f>IF(N6072="","",'Master Barang'!B66)</f>
        <v>0</v>
      </c>
      <c r="P6072">
        <f>IF(OR(M6072="",N6072=""),"",SUMIFS('Barang Keluar'!$E:$E,'Barang Keluar'!$A:$A,M6072,'Barang Keluar'!$C:$C,N6072))</f>
        <v>0</v>
      </c>
    </row>
    <row r="6073" spans="13:16">
      <c r="M6073" s="49">
        <f>IF($A$4+60&gt;$B$4,"",$A$4+60)</f>
        <v>46083</v>
      </c>
      <c r="N6073">
        <f>IF(M6073="","",'Master Barang'!A67)</f>
        <v>0</v>
      </c>
      <c r="O6073">
        <f>IF(N6073="","",'Master Barang'!B67)</f>
        <v>0</v>
      </c>
      <c r="P6073">
        <f>IF(OR(M6073="",N6073=""),"",SUMIFS('Barang Keluar'!$E:$E,'Barang Keluar'!$A:$A,M6073,'Barang Keluar'!$C:$C,N6073))</f>
        <v>0</v>
      </c>
    </row>
    <row r="6074" spans="13:16">
      <c r="M6074" s="49">
        <f>IF($A$4+60&gt;$B$4,"",$A$4+60)</f>
        <v>46083</v>
      </c>
      <c r="N6074">
        <f>IF(M6074="","",'Master Barang'!A68)</f>
        <v>0</v>
      </c>
      <c r="O6074">
        <f>IF(N6074="","",'Master Barang'!B68)</f>
        <v>0</v>
      </c>
      <c r="P6074">
        <f>IF(OR(M6074="",N6074=""),"",SUMIFS('Barang Keluar'!$E:$E,'Barang Keluar'!$A:$A,M6074,'Barang Keluar'!$C:$C,N6074))</f>
        <v>0</v>
      </c>
    </row>
    <row r="6075" spans="13:16">
      <c r="M6075" s="49">
        <f>IF($A$4+60&gt;$B$4,"",$A$4+60)</f>
        <v>46083</v>
      </c>
      <c r="N6075">
        <f>IF(M6075="","",'Master Barang'!A69)</f>
        <v>0</v>
      </c>
      <c r="O6075">
        <f>IF(N6075="","",'Master Barang'!B69)</f>
        <v>0</v>
      </c>
      <c r="P6075">
        <f>IF(OR(M6075="",N6075=""),"",SUMIFS('Barang Keluar'!$E:$E,'Barang Keluar'!$A:$A,M6075,'Barang Keluar'!$C:$C,N6075))</f>
        <v>0</v>
      </c>
    </row>
    <row r="6076" spans="13:16">
      <c r="M6076" s="49">
        <f>IF($A$4+60&gt;$B$4,"",$A$4+60)</f>
        <v>46083</v>
      </c>
      <c r="N6076">
        <f>IF(M6076="","",'Master Barang'!A70)</f>
        <v>0</v>
      </c>
      <c r="O6076">
        <f>IF(N6076="","",'Master Barang'!B70)</f>
        <v>0</v>
      </c>
      <c r="P6076">
        <f>IF(OR(M6076="",N6076=""),"",SUMIFS('Barang Keluar'!$E:$E,'Barang Keluar'!$A:$A,M6076,'Barang Keluar'!$C:$C,N6076))</f>
        <v>0</v>
      </c>
    </row>
    <row r="6077" spans="13:16">
      <c r="M6077" s="49">
        <f>IF($A$4+60&gt;$B$4,"",$A$4+60)</f>
        <v>46083</v>
      </c>
      <c r="N6077">
        <f>IF(M6077="","",'Master Barang'!A71)</f>
        <v>0</v>
      </c>
      <c r="O6077">
        <f>IF(N6077="","",'Master Barang'!B71)</f>
        <v>0</v>
      </c>
      <c r="P6077">
        <f>IF(OR(M6077="",N6077=""),"",SUMIFS('Barang Keluar'!$E:$E,'Barang Keluar'!$A:$A,M6077,'Barang Keluar'!$C:$C,N6077))</f>
        <v>0</v>
      </c>
    </row>
    <row r="6078" spans="13:16">
      <c r="M6078" s="49">
        <f>IF($A$4+60&gt;$B$4,"",$A$4+60)</f>
        <v>46083</v>
      </c>
      <c r="N6078">
        <f>IF(M6078="","",'Master Barang'!A72)</f>
        <v>0</v>
      </c>
      <c r="O6078">
        <f>IF(N6078="","",'Master Barang'!B72)</f>
        <v>0</v>
      </c>
      <c r="P6078">
        <f>IF(OR(M6078="",N6078=""),"",SUMIFS('Barang Keluar'!$E:$E,'Barang Keluar'!$A:$A,M6078,'Barang Keluar'!$C:$C,N6078))</f>
        <v>0</v>
      </c>
    </row>
    <row r="6079" spans="13:16">
      <c r="M6079" s="49">
        <f>IF($A$4+60&gt;$B$4,"",$A$4+60)</f>
        <v>46083</v>
      </c>
      <c r="N6079">
        <f>IF(M6079="","",'Master Barang'!A73)</f>
        <v>0</v>
      </c>
      <c r="O6079">
        <f>IF(N6079="","",'Master Barang'!B73)</f>
        <v>0</v>
      </c>
      <c r="P6079">
        <f>IF(OR(M6079="",N6079=""),"",SUMIFS('Barang Keluar'!$E:$E,'Barang Keluar'!$A:$A,M6079,'Barang Keluar'!$C:$C,N6079))</f>
        <v>0</v>
      </c>
    </row>
    <row r="6080" spans="13:16">
      <c r="M6080" s="49">
        <f>IF($A$4+60&gt;$B$4,"",$A$4+60)</f>
        <v>46083</v>
      </c>
      <c r="N6080">
        <f>IF(M6080="","",'Master Barang'!A74)</f>
        <v>0</v>
      </c>
      <c r="O6080">
        <f>IF(N6080="","",'Master Barang'!B74)</f>
        <v>0</v>
      </c>
      <c r="P6080">
        <f>IF(OR(M6080="",N6080=""),"",SUMIFS('Barang Keluar'!$E:$E,'Barang Keluar'!$A:$A,M6080,'Barang Keluar'!$C:$C,N6080))</f>
        <v>0</v>
      </c>
    </row>
    <row r="6081" spans="13:16">
      <c r="M6081" s="49">
        <f>IF($A$4+60&gt;$B$4,"",$A$4+60)</f>
        <v>46083</v>
      </c>
      <c r="N6081">
        <f>IF(M6081="","",'Master Barang'!A75)</f>
        <v>0</v>
      </c>
      <c r="O6081">
        <f>IF(N6081="","",'Master Barang'!B75)</f>
        <v>0</v>
      </c>
      <c r="P6081">
        <f>IF(OR(M6081="",N6081=""),"",SUMIFS('Barang Keluar'!$E:$E,'Barang Keluar'!$A:$A,M6081,'Barang Keluar'!$C:$C,N6081))</f>
        <v>0</v>
      </c>
    </row>
    <row r="6082" spans="13:16">
      <c r="M6082" s="49">
        <f>IF($A$4+60&gt;$B$4,"",$A$4+60)</f>
        <v>46083</v>
      </c>
      <c r="N6082">
        <f>IF(M6082="","",'Master Barang'!A76)</f>
        <v>0</v>
      </c>
      <c r="O6082">
        <f>IF(N6082="","",'Master Barang'!B76)</f>
        <v>0</v>
      </c>
      <c r="P6082">
        <f>IF(OR(M6082="",N6082=""),"",SUMIFS('Barang Keluar'!$E:$E,'Barang Keluar'!$A:$A,M6082,'Barang Keluar'!$C:$C,N6082))</f>
        <v>0</v>
      </c>
    </row>
    <row r="6083" spans="13:16">
      <c r="M6083" s="49">
        <f>IF($A$4+60&gt;$B$4,"",$A$4+60)</f>
        <v>46083</v>
      </c>
      <c r="N6083">
        <f>IF(M6083="","",'Master Barang'!A77)</f>
        <v>0</v>
      </c>
      <c r="O6083">
        <f>IF(N6083="","",'Master Barang'!B77)</f>
        <v>0</v>
      </c>
      <c r="P6083">
        <f>IF(OR(M6083="",N6083=""),"",SUMIFS('Barang Keluar'!$E:$E,'Barang Keluar'!$A:$A,M6083,'Barang Keluar'!$C:$C,N6083))</f>
        <v>0</v>
      </c>
    </row>
    <row r="6084" spans="13:16">
      <c r="M6084" s="49">
        <f>IF($A$4+60&gt;$B$4,"",$A$4+60)</f>
        <v>46083</v>
      </c>
      <c r="N6084">
        <f>IF(M6084="","",'Master Barang'!A78)</f>
        <v>0</v>
      </c>
      <c r="O6084">
        <f>IF(N6084="","",'Master Barang'!B78)</f>
        <v>0</v>
      </c>
      <c r="P6084">
        <f>IF(OR(M6084="",N6084=""),"",SUMIFS('Barang Keluar'!$E:$E,'Barang Keluar'!$A:$A,M6084,'Barang Keluar'!$C:$C,N6084))</f>
        <v>0</v>
      </c>
    </row>
    <row r="6085" spans="13:16">
      <c r="M6085" s="49">
        <f>IF($A$4+60&gt;$B$4,"",$A$4+60)</f>
        <v>46083</v>
      </c>
      <c r="N6085">
        <f>IF(M6085="","",'Master Barang'!A79)</f>
        <v>0</v>
      </c>
      <c r="O6085">
        <f>IF(N6085="","",'Master Barang'!B79)</f>
        <v>0</v>
      </c>
      <c r="P6085">
        <f>IF(OR(M6085="",N6085=""),"",SUMIFS('Barang Keluar'!$E:$E,'Barang Keluar'!$A:$A,M6085,'Barang Keluar'!$C:$C,N6085))</f>
        <v>0</v>
      </c>
    </row>
    <row r="6086" spans="13:16">
      <c r="M6086" s="49">
        <f>IF($A$4+60&gt;$B$4,"",$A$4+60)</f>
        <v>46083</v>
      </c>
      <c r="N6086">
        <f>IF(M6086="","",'Master Barang'!A80)</f>
        <v>0</v>
      </c>
      <c r="O6086">
        <f>IF(N6086="","",'Master Barang'!B80)</f>
        <v>0</v>
      </c>
      <c r="P6086">
        <f>IF(OR(M6086="",N6086=""),"",SUMIFS('Barang Keluar'!$E:$E,'Barang Keluar'!$A:$A,M6086,'Barang Keluar'!$C:$C,N6086))</f>
        <v>0</v>
      </c>
    </row>
    <row r="6087" spans="13:16">
      <c r="M6087" s="49">
        <f>IF($A$4+60&gt;$B$4,"",$A$4+60)</f>
        <v>46083</v>
      </c>
      <c r="N6087">
        <f>IF(M6087="","",'Master Barang'!A81)</f>
        <v>0</v>
      </c>
      <c r="O6087">
        <f>IF(N6087="","",'Master Barang'!B81)</f>
        <v>0</v>
      </c>
      <c r="P6087">
        <f>IF(OR(M6087="",N6087=""),"",SUMIFS('Barang Keluar'!$E:$E,'Barang Keluar'!$A:$A,M6087,'Barang Keluar'!$C:$C,N6087))</f>
        <v>0</v>
      </c>
    </row>
    <row r="6088" spans="13:16">
      <c r="M6088" s="49">
        <f>IF($A$4+60&gt;$B$4,"",$A$4+60)</f>
        <v>46083</v>
      </c>
      <c r="N6088">
        <f>IF(M6088="","",'Master Barang'!A82)</f>
        <v>0</v>
      </c>
      <c r="O6088">
        <f>IF(N6088="","",'Master Barang'!B82)</f>
        <v>0</v>
      </c>
      <c r="P6088">
        <f>IF(OR(M6088="",N6088=""),"",SUMIFS('Barang Keluar'!$E:$E,'Barang Keluar'!$A:$A,M6088,'Barang Keluar'!$C:$C,N6088))</f>
        <v>0</v>
      </c>
    </row>
    <row r="6089" spans="13:16">
      <c r="M6089" s="49">
        <f>IF($A$4+60&gt;$B$4,"",$A$4+60)</f>
        <v>46083</v>
      </c>
      <c r="N6089">
        <f>IF(M6089="","",'Master Barang'!A83)</f>
        <v>0</v>
      </c>
      <c r="O6089">
        <f>IF(N6089="","",'Master Barang'!B83)</f>
        <v>0</v>
      </c>
      <c r="P6089">
        <f>IF(OR(M6089="",N6089=""),"",SUMIFS('Barang Keluar'!$E:$E,'Barang Keluar'!$A:$A,M6089,'Barang Keluar'!$C:$C,N6089))</f>
        <v>0</v>
      </c>
    </row>
    <row r="6090" spans="13:16">
      <c r="M6090" s="49">
        <f>IF($A$4+60&gt;$B$4,"",$A$4+60)</f>
        <v>46083</v>
      </c>
      <c r="N6090">
        <f>IF(M6090="","",'Master Barang'!A84)</f>
        <v>0</v>
      </c>
      <c r="O6090">
        <f>IF(N6090="","",'Master Barang'!B84)</f>
        <v>0</v>
      </c>
      <c r="P6090">
        <f>IF(OR(M6090="",N6090=""),"",SUMIFS('Barang Keluar'!$E:$E,'Barang Keluar'!$A:$A,M6090,'Barang Keluar'!$C:$C,N6090))</f>
        <v>0</v>
      </c>
    </row>
    <row r="6091" spans="13:16">
      <c r="M6091" s="49">
        <f>IF($A$4+60&gt;$B$4,"",$A$4+60)</f>
        <v>46083</v>
      </c>
      <c r="N6091">
        <f>IF(M6091="","",'Master Barang'!A85)</f>
        <v>0</v>
      </c>
      <c r="O6091">
        <f>IF(N6091="","",'Master Barang'!B85)</f>
        <v>0</v>
      </c>
      <c r="P6091">
        <f>IF(OR(M6091="",N6091=""),"",SUMIFS('Barang Keluar'!$E:$E,'Barang Keluar'!$A:$A,M6091,'Barang Keluar'!$C:$C,N6091))</f>
        <v>0</v>
      </c>
    </row>
    <row r="6092" spans="13:16">
      <c r="M6092" s="49">
        <f>IF($A$4+60&gt;$B$4,"",$A$4+60)</f>
        <v>46083</v>
      </c>
      <c r="N6092">
        <f>IF(M6092="","",'Master Barang'!A86)</f>
        <v>0</v>
      </c>
      <c r="O6092">
        <f>IF(N6092="","",'Master Barang'!B86)</f>
        <v>0</v>
      </c>
      <c r="P6092">
        <f>IF(OR(M6092="",N6092=""),"",SUMIFS('Barang Keluar'!$E:$E,'Barang Keluar'!$A:$A,M6092,'Barang Keluar'!$C:$C,N6092))</f>
        <v>0</v>
      </c>
    </row>
    <row r="6093" spans="13:16">
      <c r="M6093" s="49">
        <f>IF($A$4+60&gt;$B$4,"",$A$4+60)</f>
        <v>46083</v>
      </c>
      <c r="N6093">
        <f>IF(M6093="","",'Master Barang'!A87)</f>
        <v>0</v>
      </c>
      <c r="O6093">
        <f>IF(N6093="","",'Master Barang'!B87)</f>
        <v>0</v>
      </c>
      <c r="P6093">
        <f>IF(OR(M6093="",N6093=""),"",SUMIFS('Barang Keluar'!$E:$E,'Barang Keluar'!$A:$A,M6093,'Barang Keluar'!$C:$C,N6093))</f>
        <v>0</v>
      </c>
    </row>
    <row r="6094" spans="13:16">
      <c r="M6094" s="49">
        <f>IF($A$4+60&gt;$B$4,"",$A$4+60)</f>
        <v>46083</v>
      </c>
      <c r="N6094">
        <f>IF(M6094="","",'Master Barang'!A88)</f>
        <v>0</v>
      </c>
      <c r="O6094">
        <f>IF(N6094="","",'Master Barang'!B88)</f>
        <v>0</v>
      </c>
      <c r="P6094">
        <f>IF(OR(M6094="",N6094=""),"",SUMIFS('Barang Keluar'!$E:$E,'Barang Keluar'!$A:$A,M6094,'Barang Keluar'!$C:$C,N6094))</f>
        <v>0</v>
      </c>
    </row>
    <row r="6095" spans="13:16">
      <c r="M6095" s="49">
        <f>IF($A$4+60&gt;$B$4,"",$A$4+60)</f>
        <v>46083</v>
      </c>
      <c r="N6095">
        <f>IF(M6095="","",'Master Barang'!A89)</f>
        <v>0</v>
      </c>
      <c r="O6095">
        <f>IF(N6095="","",'Master Barang'!B89)</f>
        <v>0</v>
      </c>
      <c r="P6095">
        <f>IF(OR(M6095="",N6095=""),"",SUMIFS('Barang Keluar'!$E:$E,'Barang Keluar'!$A:$A,M6095,'Barang Keluar'!$C:$C,N6095))</f>
        <v>0</v>
      </c>
    </row>
    <row r="6096" spans="13:16">
      <c r="M6096" s="49">
        <f>IF($A$4+60&gt;$B$4,"",$A$4+60)</f>
        <v>46083</v>
      </c>
      <c r="N6096">
        <f>IF(M6096="","",'Master Barang'!A90)</f>
        <v>0</v>
      </c>
      <c r="O6096">
        <f>IF(N6096="","",'Master Barang'!B90)</f>
        <v>0</v>
      </c>
      <c r="P6096">
        <f>IF(OR(M6096="",N6096=""),"",SUMIFS('Barang Keluar'!$E:$E,'Barang Keluar'!$A:$A,M6096,'Barang Keluar'!$C:$C,N6096))</f>
        <v>0</v>
      </c>
    </row>
    <row r="6097" spans="13:16">
      <c r="M6097" s="49">
        <f>IF($A$4+60&gt;$B$4,"",$A$4+60)</f>
        <v>46083</v>
      </c>
      <c r="N6097">
        <f>IF(M6097="","",'Master Barang'!A91)</f>
        <v>0</v>
      </c>
      <c r="O6097">
        <f>IF(N6097="","",'Master Barang'!B91)</f>
        <v>0</v>
      </c>
      <c r="P6097">
        <f>IF(OR(M6097="",N6097=""),"",SUMIFS('Barang Keluar'!$E:$E,'Barang Keluar'!$A:$A,M6097,'Barang Keluar'!$C:$C,N6097))</f>
        <v>0</v>
      </c>
    </row>
    <row r="6098" spans="13:16">
      <c r="M6098" s="49">
        <f>IF($A$4+60&gt;$B$4,"",$A$4+60)</f>
        <v>46083</v>
      </c>
      <c r="N6098">
        <f>IF(M6098="","",'Master Barang'!A92)</f>
        <v>0</v>
      </c>
      <c r="O6098">
        <f>IF(N6098="","",'Master Barang'!B92)</f>
        <v>0</v>
      </c>
      <c r="P6098">
        <f>IF(OR(M6098="",N6098=""),"",SUMIFS('Barang Keluar'!$E:$E,'Barang Keluar'!$A:$A,M6098,'Barang Keluar'!$C:$C,N6098))</f>
        <v>0</v>
      </c>
    </row>
    <row r="6099" spans="13:16">
      <c r="M6099" s="49">
        <f>IF($A$4+60&gt;$B$4,"",$A$4+60)</f>
        <v>46083</v>
      </c>
      <c r="N6099">
        <f>IF(M6099="","",'Master Barang'!A93)</f>
        <v>0</v>
      </c>
      <c r="O6099">
        <f>IF(N6099="","",'Master Barang'!B93)</f>
        <v>0</v>
      </c>
      <c r="P6099">
        <f>IF(OR(M6099="",N6099=""),"",SUMIFS('Barang Keluar'!$E:$E,'Barang Keluar'!$A:$A,M6099,'Barang Keluar'!$C:$C,N6099))</f>
        <v>0</v>
      </c>
    </row>
    <row r="6100" spans="13:16">
      <c r="M6100" s="49">
        <f>IF($A$4+60&gt;$B$4,"",$A$4+60)</f>
        <v>46083</v>
      </c>
      <c r="N6100">
        <f>IF(M6100="","",'Master Barang'!A94)</f>
        <v>0</v>
      </c>
      <c r="O6100">
        <f>IF(N6100="","",'Master Barang'!B94)</f>
        <v>0</v>
      </c>
      <c r="P6100">
        <f>IF(OR(M6100="",N6100=""),"",SUMIFS('Barang Keluar'!$E:$E,'Barang Keluar'!$A:$A,M6100,'Barang Keluar'!$C:$C,N6100))</f>
        <v>0</v>
      </c>
    </row>
    <row r="6101" spans="13:16">
      <c r="M6101" s="49">
        <f>IF($A$4+60&gt;$B$4,"",$A$4+60)</f>
        <v>46083</v>
      </c>
      <c r="N6101">
        <f>IF(M6101="","",'Master Barang'!A95)</f>
        <v>0</v>
      </c>
      <c r="O6101">
        <f>IF(N6101="","",'Master Barang'!B95)</f>
        <v>0</v>
      </c>
      <c r="P6101">
        <f>IF(OR(M6101="",N6101=""),"",SUMIFS('Barang Keluar'!$E:$E,'Barang Keluar'!$A:$A,M6101,'Barang Keluar'!$C:$C,N6101))</f>
        <v>0</v>
      </c>
    </row>
    <row r="6102" spans="13:16">
      <c r="M6102" s="49">
        <f>IF($A$4+60&gt;$B$4,"",$A$4+60)</f>
        <v>46083</v>
      </c>
      <c r="N6102">
        <f>IF(M6102="","",'Master Barang'!A96)</f>
        <v>0</v>
      </c>
      <c r="O6102">
        <f>IF(N6102="","",'Master Barang'!B96)</f>
        <v>0</v>
      </c>
      <c r="P6102">
        <f>IF(OR(M6102="",N6102=""),"",SUMIFS('Barang Keluar'!$E:$E,'Barang Keluar'!$A:$A,M6102,'Barang Keluar'!$C:$C,N6102))</f>
        <v>0</v>
      </c>
    </row>
    <row r="6103" spans="13:16">
      <c r="M6103" s="49">
        <f>IF($A$4+60&gt;$B$4,"",$A$4+60)</f>
        <v>46083</v>
      </c>
      <c r="N6103">
        <f>IF(M6103="","",'Master Barang'!A97)</f>
        <v>0</v>
      </c>
      <c r="O6103">
        <f>IF(N6103="","",'Master Barang'!B97)</f>
        <v>0</v>
      </c>
      <c r="P6103">
        <f>IF(OR(M6103="",N6103=""),"",SUMIFS('Barang Keluar'!$E:$E,'Barang Keluar'!$A:$A,M6103,'Barang Keluar'!$C:$C,N6103))</f>
        <v>0</v>
      </c>
    </row>
    <row r="6104" spans="13:16">
      <c r="M6104" s="49">
        <f>IF($A$4+60&gt;$B$4,"",$A$4+60)</f>
        <v>46083</v>
      </c>
      <c r="N6104">
        <f>IF(M6104="","",'Master Barang'!A98)</f>
        <v>0</v>
      </c>
      <c r="O6104">
        <f>IF(N6104="","",'Master Barang'!B98)</f>
        <v>0</v>
      </c>
      <c r="P6104">
        <f>IF(OR(M6104="",N6104=""),"",SUMIFS('Barang Keluar'!$E:$E,'Barang Keluar'!$A:$A,M6104,'Barang Keluar'!$C:$C,N6104))</f>
        <v>0</v>
      </c>
    </row>
    <row r="6105" spans="13:16">
      <c r="M6105" s="49">
        <f>IF($A$4+60&gt;$B$4,"",$A$4+60)</f>
        <v>46083</v>
      </c>
      <c r="N6105">
        <f>IF(M6105="","",'Master Barang'!A99)</f>
        <v>0</v>
      </c>
      <c r="O6105">
        <f>IF(N6105="","",'Master Barang'!B99)</f>
        <v>0</v>
      </c>
      <c r="P6105">
        <f>IF(OR(M6105="",N6105=""),"",SUMIFS('Barang Keluar'!$E:$E,'Barang Keluar'!$A:$A,M6105,'Barang Keluar'!$C:$C,N6105))</f>
        <v>0</v>
      </c>
    </row>
    <row r="6106" spans="13:16">
      <c r="M6106" s="49">
        <f>IF($A$4+60&gt;$B$4,"",$A$4+60)</f>
        <v>46083</v>
      </c>
      <c r="N6106">
        <f>IF(M6106="","",'Master Barang'!A100)</f>
        <v>0</v>
      </c>
      <c r="O6106">
        <f>IF(N6106="","",'Master Barang'!B100)</f>
        <v>0</v>
      </c>
      <c r="P6106">
        <f>IF(OR(M6106="",N6106=""),"",SUMIFS('Barang Keluar'!$E:$E,'Barang Keluar'!$A:$A,M6106,'Barang Keluar'!$C:$C,N6106))</f>
        <v>0</v>
      </c>
    </row>
    <row r="6107" spans="13:16">
      <c r="M6107" s="49">
        <f>IF($A$4+60&gt;$B$4,"",$A$4+60)</f>
        <v>46083</v>
      </c>
      <c r="N6107">
        <f>IF(M6107="","",'Master Barang'!A101)</f>
        <v>0</v>
      </c>
      <c r="O6107">
        <f>IF(N6107="","",'Master Barang'!B101)</f>
        <v>0</v>
      </c>
      <c r="P6107">
        <f>IF(OR(M6107="",N6107=""),"",SUMIFS('Barang Keluar'!$E:$E,'Barang Keluar'!$A:$A,M6107,'Barang Keluar'!$C:$C,N6107))</f>
        <v>0</v>
      </c>
    </row>
    <row r="6108" spans="13:16">
      <c r="M6108" s="49">
        <f>IF($A$4+61&gt;$B$4,"",$A$4+61)</f>
        <v>46084</v>
      </c>
      <c r="N6108" t="str">
        <f>IF(M6108="","",'Master Barang'!A2)</f>
        <v>PRL-001</v>
      </c>
      <c r="O6108" t="str">
        <f>IF(N6108="","",'Master Barang'!B2)</f>
        <v>natura desinfectant food grade 5l</v>
      </c>
      <c r="P6108">
        <f>IF(OR(M6108="",N6108=""),"",SUMIFS('Barang Keluar'!$E:$E,'Barang Keluar'!$A:$A,M6108,'Barang Keluar'!$C:$C,N6108))</f>
        <v>0</v>
      </c>
    </row>
    <row r="6109" spans="13:16">
      <c r="M6109" s="49">
        <f>IF($A$4+61&gt;$B$4,"",$A$4+61)</f>
        <v>46084</v>
      </c>
      <c r="N6109" t="str">
        <f>IF(M6109="","",'Master Barang'!A3)</f>
        <v>PRL-002</v>
      </c>
      <c r="O6109" t="str">
        <f>IF(N6109="","",'Master Barang'!B3)</f>
        <v>sunlight cairan pencuci piring 5l</v>
      </c>
      <c r="P6109">
        <f>IF(OR(M6109="",N6109=""),"",SUMIFS('Barang Keluar'!$E:$E,'Barang Keluar'!$A:$A,M6109,'Barang Keluar'!$C:$C,N6109))</f>
        <v>0</v>
      </c>
    </row>
    <row r="6110" spans="13:16">
      <c r="M6110" s="49">
        <f>IF($A$4+61&gt;$B$4,"",$A$4+61)</f>
        <v>46084</v>
      </c>
      <c r="N6110" t="str">
        <f>IF(M6110="","",'Master Barang'!A4)</f>
        <v>PRL-003</v>
      </c>
      <c r="O6110" t="str">
        <f>IF(N6110="","",'Master Barang'!B4)</f>
        <v>oixs cleaner 1l</v>
      </c>
      <c r="P6110">
        <f>IF(OR(M6110="",N6110=""),"",SUMIFS('Barang Keluar'!$E:$E,'Barang Keluar'!$A:$A,M6110,'Barang Keluar'!$C:$C,N6110))</f>
        <v>0</v>
      </c>
    </row>
    <row r="6111" spans="13:16">
      <c r="M6111" s="49">
        <f>IF($A$4+61&gt;$B$4,"",$A$4+61)</f>
        <v>46084</v>
      </c>
      <c r="N6111" t="str">
        <f>IF(M6111="","",'Master Barang'!A5)</f>
        <v>PRL-004</v>
      </c>
      <c r="O6111" t="str">
        <f>IF(N6111="","",'Master Barang'!B5)</f>
        <v>be clean tissue serbaguna</v>
      </c>
      <c r="P6111">
        <f>IF(OR(M6111="",N6111=""),"",SUMIFS('Barang Keluar'!$E:$E,'Barang Keluar'!$A:$A,M6111,'Barang Keluar'!$C:$C,N6111))</f>
        <v>0</v>
      </c>
    </row>
    <row r="6112" spans="13:16">
      <c r="M6112" s="49">
        <f>IF($A$4+61&gt;$B$4,"",$A$4+61)</f>
        <v>46084</v>
      </c>
      <c r="N6112" t="str">
        <f>IF(M6112="","",'Master Barang'!A6)</f>
        <v>PRL-005</v>
      </c>
      <c r="O6112" t="str">
        <f>IF(N6112="","",'Master Barang'!B6)</f>
        <v>spons cuci hijau</v>
      </c>
      <c r="P6112">
        <f>IF(OR(M6112="",N6112=""),"",SUMIFS('Barang Keluar'!$E:$E,'Barang Keluar'!$A:$A,M6112,'Barang Keluar'!$C:$C,N6112))</f>
        <v>0</v>
      </c>
    </row>
    <row r="6113" spans="13:16">
      <c r="M6113" s="49">
        <f>IF($A$4+61&gt;$B$4,"",$A$4+61)</f>
        <v>46084</v>
      </c>
      <c r="N6113" t="str">
        <f>IF(M6113="","",'Master Barang'!A7)</f>
        <v>PRL-006</v>
      </c>
      <c r="O6113" t="str">
        <f>IF(N6113="","",'Master Barang'!B7)</f>
        <v>sabut cuci stainless</v>
      </c>
      <c r="P6113">
        <f>IF(OR(M6113="",N6113=""),"",SUMIFS('Barang Keluar'!$E:$E,'Barang Keluar'!$A:$A,M6113,'Barang Keluar'!$C:$C,N6113))</f>
        <v>0</v>
      </c>
    </row>
    <row r="6114" spans="13:16">
      <c r="M6114" s="49">
        <f>IF($A$4+61&gt;$B$4,"",$A$4+61)</f>
        <v>46084</v>
      </c>
      <c r="N6114" t="str">
        <f>IF(M6114="","",'Master Barang'!A8)</f>
        <v>PRL-007</v>
      </c>
      <c r="O6114" t="str">
        <f>IF(N6114="","",'Master Barang'!B8)</f>
        <v>plastik kresek besar merah 50pc</v>
      </c>
      <c r="P6114">
        <f>IF(OR(M6114="",N6114=""),"",SUMIFS('Barang Keluar'!$E:$E,'Barang Keluar'!$A:$A,M6114,'Barang Keluar'!$C:$C,N6114))</f>
        <v>0</v>
      </c>
    </row>
    <row r="6115" spans="13:16">
      <c r="M6115" s="49">
        <f>IF($A$4+61&gt;$B$4,"",$A$4+61)</f>
        <v>46084</v>
      </c>
      <c r="N6115" t="str">
        <f>IF(M6115="","",'Master Barang'!A9)</f>
        <v>PRL-008</v>
      </c>
      <c r="O6115" t="str">
        <f>IF(N6115="","",'Master Barang'!B9)</f>
        <v>lap besar</v>
      </c>
      <c r="P6115">
        <f>IF(OR(M6115="",N6115=""),"",SUMIFS('Barang Keluar'!$E:$E,'Barang Keluar'!$A:$A,M6115,'Barang Keluar'!$C:$C,N6115))</f>
        <v>0</v>
      </c>
    </row>
    <row r="6116" spans="13:16">
      <c r="M6116" s="49">
        <f>IF($A$4+61&gt;$B$4,"",$A$4+61)</f>
        <v>46084</v>
      </c>
      <c r="N6116" t="str">
        <f>IF(M6116="","",'Master Barang'!A10)</f>
        <v>PRL-009</v>
      </c>
      <c r="O6116" t="str">
        <f>IF(N6116="","",'Master Barang'!B10)</f>
        <v>lap microfiber</v>
      </c>
      <c r="P6116">
        <f>IF(OR(M6116="",N6116=""),"",SUMIFS('Barang Keluar'!$E:$E,'Barang Keluar'!$A:$A,M6116,'Barang Keluar'!$C:$C,N6116))</f>
        <v>0</v>
      </c>
    </row>
    <row r="6117" spans="13:16">
      <c r="M6117" s="49">
        <f>IF($A$4+61&gt;$B$4,"",$A$4+61)</f>
        <v>46084</v>
      </c>
      <c r="N6117" t="str">
        <f>IF(M6117="","",'Master Barang'!A11)</f>
        <v>PRL-010</v>
      </c>
      <c r="O6117" t="str">
        <f>IF(N6117="","",'Master Barang'!B11)</f>
        <v>lap kecil</v>
      </c>
      <c r="P6117">
        <f>IF(OR(M6117="",N6117=""),"",SUMIFS('Barang Keluar'!$E:$E,'Barang Keluar'!$A:$A,M6117,'Barang Keluar'!$C:$C,N6117))</f>
        <v>0</v>
      </c>
    </row>
    <row r="6118" spans="13:16">
      <c r="M6118" s="49">
        <f>IF($A$4+61&gt;$B$4,"",$A$4+61)</f>
        <v>46084</v>
      </c>
      <c r="N6118" t="str">
        <f>IF(M6118="","",'Master Barang'!A12)</f>
        <v>PRL-011</v>
      </c>
      <c r="O6118" t="str">
        <f>IF(N6118="","",'Master Barang'!B12)</f>
        <v>kanebo kecil</v>
      </c>
      <c r="P6118">
        <f>IF(OR(M6118="",N6118=""),"",SUMIFS('Barang Keluar'!$E:$E,'Barang Keluar'!$A:$A,M6118,'Barang Keluar'!$C:$C,N6118))</f>
        <v>0</v>
      </c>
    </row>
    <row r="6119" spans="13:16">
      <c r="M6119" s="49">
        <f>IF($A$4+61&gt;$B$4,"",$A$4+61)</f>
        <v>46084</v>
      </c>
      <c r="N6119" t="str">
        <f>IF(M6119="","",'Master Barang'!A13)</f>
        <v>PRL-012</v>
      </c>
      <c r="O6119" t="str">
        <f>IF(N6119="","",'Master Barang'!B13)</f>
        <v>plastik 1/4kg joyoboyo 100 lembar</v>
      </c>
      <c r="P6119">
        <f>IF(OR(M6119="",N6119=""),"",SUMIFS('Barang Keluar'!$E:$E,'Barang Keluar'!$A:$A,M6119,'Barang Keluar'!$C:$C,N6119))</f>
        <v>0</v>
      </c>
    </row>
    <row r="6120" spans="13:16">
      <c r="M6120" s="49">
        <f>IF($A$4+61&gt;$B$4,"",$A$4+61)</f>
        <v>46084</v>
      </c>
      <c r="N6120" t="str">
        <f>IF(M6120="","",'Master Barang'!A14)</f>
        <v>PRL-013</v>
      </c>
      <c r="O6120" t="str">
        <f>IF(N6120="","",'Master Barang'!B14)</f>
        <v>sarung tangan plastik kaka 100 pcs</v>
      </c>
      <c r="P6120">
        <f>IF(OR(M6120="",N6120=""),"",SUMIFS('Barang Keluar'!$E:$E,'Barang Keluar'!$A:$A,M6120,'Barang Keluar'!$C:$C,N6120))</f>
        <v>0</v>
      </c>
    </row>
    <row r="6121" spans="13:16">
      <c r="M6121" s="49">
        <f>IF($A$4+61&gt;$B$4,"",$A$4+61)</f>
        <v>46084</v>
      </c>
      <c r="N6121" t="str">
        <f>IF(M6121="","",'Master Barang'!A15)</f>
        <v>PRL-014</v>
      </c>
      <c r="O6121" t="str">
        <f>IF(N6121="","",'Master Barang'!B15)</f>
        <v>optima trashbag 80x100</v>
      </c>
      <c r="P6121">
        <f>IF(OR(M6121="",N6121=""),"",SUMIFS('Barang Keluar'!$E:$E,'Barang Keluar'!$A:$A,M6121,'Barang Keluar'!$C:$C,N6121))</f>
        <v>0</v>
      </c>
    </row>
    <row r="6122" spans="13:16">
      <c r="M6122" s="49">
        <f>IF($A$4+61&gt;$B$4,"",$A$4+61)</f>
        <v>46084</v>
      </c>
      <c r="N6122" t="str">
        <f>IF(M6122="","",'Master Barang'!A16)</f>
        <v>PRL-015</v>
      </c>
      <c r="O6122" t="str">
        <f>IF(N6122="","",'Master Barang'!B16)</f>
        <v>optima trashbag 60x100</v>
      </c>
      <c r="P6122">
        <f>IF(OR(M6122="",N6122=""),"",SUMIFS('Barang Keluar'!$E:$E,'Barang Keluar'!$A:$A,M6122,'Barang Keluar'!$C:$C,N6122))</f>
        <v>0</v>
      </c>
    </row>
    <row r="6123" spans="13:16">
      <c r="M6123" s="49">
        <f>IF($A$4+61&gt;$B$4,"",$A$4+61)</f>
        <v>46084</v>
      </c>
      <c r="N6123" t="str">
        <f>IF(M6123="","",'Master Barang'!A17)</f>
        <v>PRL-016</v>
      </c>
      <c r="O6123" t="str">
        <f>IF(N6123="","",'Master Barang'!B17)</f>
        <v>rajawali trashbag 30x40</v>
      </c>
      <c r="P6123">
        <f>IF(OR(M6123="",N6123=""),"",SUMIFS('Barang Keluar'!$E:$E,'Barang Keluar'!$A:$A,M6123,'Barang Keluar'!$C:$C,N6123))</f>
        <v>0</v>
      </c>
    </row>
    <row r="6124" spans="13:16">
      <c r="M6124" s="49">
        <f>IF($A$4+61&gt;$B$4,"",$A$4+61)</f>
        <v>46084</v>
      </c>
      <c r="N6124" t="str">
        <f>IF(M6124="","",'Master Barang'!A18)</f>
        <v>PRL-017</v>
      </c>
      <c r="O6124" t="str">
        <f>IF(N6124="","",'Master Barang'!B18)</f>
        <v>onemed masker biru 3 play 50 pcs</v>
      </c>
      <c r="P6124">
        <f>IF(OR(M6124="",N6124=""),"",SUMIFS('Barang Keluar'!$E:$E,'Barang Keluar'!$A:$A,M6124,'Barang Keluar'!$C:$C,N6124))</f>
        <v>0</v>
      </c>
    </row>
    <row r="6125" spans="13:16">
      <c r="M6125" s="49">
        <f>IF($A$4+61&gt;$B$4,"",$A$4+61)</f>
        <v>46084</v>
      </c>
      <c r="N6125" t="str">
        <f>IF(M6125="","",'Master Barang'!A19)</f>
        <v>PRL-018</v>
      </c>
      <c r="O6125" t="str">
        <f>IF(N6125="","",'Master Barang'!B19)</f>
        <v>onemed masker biru 3 play hijab 50 pcs</v>
      </c>
      <c r="P6125">
        <f>IF(OR(M6125="",N6125=""),"",SUMIFS('Barang Keluar'!$E:$E,'Barang Keluar'!$A:$A,M6125,'Barang Keluar'!$C:$C,N6125))</f>
        <v>0</v>
      </c>
    </row>
    <row r="6126" spans="13:16">
      <c r="M6126" s="49">
        <f>IF($A$4+61&gt;$B$4,"",$A$4+61)</f>
        <v>46084</v>
      </c>
      <c r="N6126" t="str">
        <f>IF(M6126="","",'Master Barang'!A20)</f>
        <v>PRL-019</v>
      </c>
      <c r="O6126" t="str">
        <f>IF(N6126="","",'Master Barang'!B20)</f>
        <v>neo health masker biru 3 play 50 pcs</v>
      </c>
      <c r="P6126">
        <f>IF(OR(M6126="",N6126=""),"",SUMIFS('Barang Keluar'!$E:$E,'Barang Keluar'!$A:$A,M6126,'Barang Keluar'!$C:$C,N6126))</f>
        <v>0</v>
      </c>
    </row>
    <row r="6127" spans="13:16">
      <c r="M6127" s="49">
        <f>IF($A$4+61&gt;$B$4,"",$A$4+61)</f>
        <v>46084</v>
      </c>
      <c r="N6127" t="str">
        <f>IF(M6127="","",'Master Barang'!A21)</f>
        <v>PRL-020</v>
      </c>
      <c r="O6127" t="str">
        <f>IF(N6127="","",'Master Barang'!B21)</f>
        <v>baymed masker hijau 3 play hijau 50 pcs</v>
      </c>
      <c r="P6127">
        <f>IF(OR(M6127="",N6127=""),"",SUMIFS('Barang Keluar'!$E:$E,'Barang Keluar'!$A:$A,M6127,'Barang Keluar'!$C:$C,N6127))</f>
        <v>0</v>
      </c>
    </row>
    <row r="6128" spans="13:16">
      <c r="M6128" s="49">
        <f>IF($A$4+61&gt;$B$4,"",$A$4+61)</f>
        <v>46084</v>
      </c>
      <c r="N6128" t="str">
        <f>IF(M6128="","",'Master Barang'!A22)</f>
        <v>PRL-021</v>
      </c>
      <c r="O6128" t="str">
        <f>IF(N6128="","",'Master Barang'!B22)</f>
        <v>altamed nurse cap penutup kepala 100 pcs</v>
      </c>
      <c r="P6128">
        <f>IF(OR(M6128="",N6128=""),"",SUMIFS('Barang Keluar'!$E:$E,'Barang Keluar'!$A:$A,M6128,'Barang Keluar'!$C:$C,N6128))</f>
        <v>0</v>
      </c>
    </row>
    <row r="6129" spans="13:16">
      <c r="M6129" s="49">
        <f>IF($A$4+61&gt;$B$4,"",$A$4+61)</f>
        <v>46084</v>
      </c>
      <c r="N6129" t="str">
        <f>IF(M6129="","",'Master Barang'!A23)</f>
        <v>PRL-022</v>
      </c>
      <c r="O6129" t="str">
        <f>IF(N6129="","",'Master Barang'!B23)</f>
        <v>sabun cuci tangan</v>
      </c>
      <c r="P6129">
        <f>IF(OR(M6129="",N6129=""),"",SUMIFS('Barang Keluar'!$E:$E,'Barang Keluar'!$A:$A,M6129,'Barang Keluar'!$C:$C,N6129))</f>
        <v>0</v>
      </c>
    </row>
    <row r="6130" spans="13:16">
      <c r="M6130" s="49">
        <f>IF($A$4+61&gt;$B$4,"",$A$4+61)</f>
        <v>46084</v>
      </c>
      <c r="N6130" t="str">
        <f>IF(M6130="","",'Master Barang'!A24)</f>
        <v>PRL-023</v>
      </c>
      <c r="O6130" t="str">
        <f>IF(N6130="","",'Master Barang'!B24)</f>
        <v>gayung kecil</v>
      </c>
      <c r="P6130">
        <f>IF(OR(M6130="",N6130=""),"",SUMIFS('Barang Keluar'!$E:$E,'Barang Keluar'!$A:$A,M6130,'Barang Keluar'!$C:$C,N6130))</f>
        <v>0</v>
      </c>
    </row>
    <row r="6131" spans="13:16">
      <c r="M6131" s="49">
        <f>IF($A$4+61&gt;$B$4,"",$A$4+61)</f>
        <v>46084</v>
      </c>
      <c r="N6131" t="str">
        <f>IF(M6131="","",'Master Barang'!A25)</f>
        <v>PRL-024</v>
      </c>
      <c r="O6131" t="str">
        <f>IF(N6131="","",'Master Barang'!B25)</f>
        <v>cikrak kecil</v>
      </c>
      <c r="P6131">
        <f>IF(OR(M6131="",N6131=""),"",SUMIFS('Barang Keluar'!$E:$E,'Barang Keluar'!$A:$A,M6131,'Barang Keluar'!$C:$C,N6131))</f>
        <v>0</v>
      </c>
    </row>
    <row r="6132" spans="13:16">
      <c r="M6132" s="49">
        <f>IF($A$4+61&gt;$B$4,"",$A$4+61)</f>
        <v>46084</v>
      </c>
      <c r="N6132" t="str">
        <f>IF(M6132="","",'Master Barang'!A26)</f>
        <v>PRL-025</v>
      </c>
      <c r="O6132" t="str">
        <f>IF(N6132="","",'Master Barang'!B26)</f>
        <v>petromax plastik kecil 12x24 100 lembar</v>
      </c>
      <c r="P6132">
        <f>IF(OR(M6132="",N6132=""),"",SUMIFS('Barang Keluar'!$E:$E,'Barang Keluar'!$A:$A,M6132,'Barang Keluar'!$C:$C,N6132))</f>
        <v>0</v>
      </c>
    </row>
    <row r="6133" spans="13:16">
      <c r="M6133" s="49">
        <f>IF($A$4+61&gt;$B$4,"",$A$4+61)</f>
        <v>46084</v>
      </c>
      <c r="N6133" t="str">
        <f>IF(M6133="","",'Master Barang'!A27)</f>
        <v>PRL-026</v>
      </c>
      <c r="O6133" t="str">
        <f>IF(N6133="","",'Master Barang'!B27)</f>
        <v>lancar kresek kecil bening </v>
      </c>
      <c r="P6133">
        <f>IF(OR(M6133="",N6133=""),"",SUMIFS('Barang Keluar'!$E:$E,'Barang Keluar'!$A:$A,M6133,'Barang Keluar'!$C:$C,N6133))</f>
        <v>0</v>
      </c>
    </row>
    <row r="6134" spans="13:16">
      <c r="M6134" s="49">
        <f>IF($A$4+61&gt;$B$4,"",$A$4+61)</f>
        <v>46084</v>
      </c>
      <c r="N6134" t="str">
        <f>IF(M6134="","",'Master Barang'!A28)</f>
        <v>PRL-027</v>
      </c>
      <c r="O6134" t="str">
        <f>IF(N6134="","",'Master Barang'!B28)</f>
        <v>kresek klin warna warni kecil</v>
      </c>
      <c r="P6134">
        <f>IF(OR(M6134="",N6134=""),"",SUMIFS('Barang Keluar'!$E:$E,'Barang Keluar'!$A:$A,M6134,'Barang Keluar'!$C:$C,N6134))</f>
        <v>0</v>
      </c>
    </row>
    <row r="6135" spans="13:16">
      <c r="M6135" s="49">
        <f>IF($A$4+61&gt;$B$4,"",$A$4+61)</f>
        <v>46084</v>
      </c>
      <c r="N6135" t="str">
        <f>IF(M6135="","",'Master Barang'!A29)</f>
        <v>PRL-028</v>
      </c>
      <c r="O6135" t="str">
        <f>IF(N6135="","",'Master Barang'!B29)</f>
        <v>ctik plastik 7x10 100 pcs</v>
      </c>
      <c r="P6135">
        <f>IF(OR(M6135="",N6135=""),"",SUMIFS('Barang Keluar'!$E:$E,'Barang Keluar'!$A:$A,M6135,'Barang Keluar'!$C:$C,N6135))</f>
        <v>0</v>
      </c>
    </row>
    <row r="6136" spans="13:16">
      <c r="M6136" s="49">
        <f>IF($A$4+61&gt;$B$4,"",$A$4+61)</f>
        <v>46084</v>
      </c>
      <c r="N6136" t="str">
        <f>IF(M6136="","",'Master Barang'!A30)</f>
        <v>PRL-029</v>
      </c>
      <c r="O6136" t="str">
        <f>IF(N6136="","",'Master Barang'!B30)</f>
        <v>ctik plastik 6x10 100 pcs</v>
      </c>
      <c r="P6136">
        <f>IF(OR(M6136="",N6136=""),"",SUMIFS('Barang Keluar'!$E:$E,'Barang Keluar'!$A:$A,M6136,'Barang Keluar'!$C:$C,N6136))</f>
        <v>0</v>
      </c>
    </row>
    <row r="6137" spans="13:16">
      <c r="M6137" s="49">
        <f>IF($A$4+61&gt;$B$4,"",$A$4+61)</f>
        <v>46084</v>
      </c>
      <c r="N6137" t="str">
        <f>IF(M6137="","",'Master Barang'!A31)</f>
        <v>PRL-030</v>
      </c>
      <c r="O6137" t="str">
        <f>IF(N6137="","",'Master Barang'!B31)</f>
        <v>klip plastik 25x16 100 pcs</v>
      </c>
      <c r="P6137">
        <f>IF(OR(M6137="",N6137=""),"",SUMIFS('Barang Keluar'!$E:$E,'Barang Keluar'!$A:$A,M6137,'Barang Keluar'!$C:$C,N6137))</f>
        <v>0</v>
      </c>
    </row>
    <row r="6138" spans="13:16">
      <c r="M6138" s="49">
        <f>IF($A$4+61&gt;$B$4,"",$A$4+61)</f>
        <v>46084</v>
      </c>
      <c r="N6138" t="str">
        <f>IF(M6138="","",'Master Barang'!A32)</f>
        <v>PRL-031</v>
      </c>
      <c r="O6138" t="str">
        <f>IF(N6138="","",'Master Barang'!B32)</f>
        <v>tempat saus 20 ml</v>
      </c>
      <c r="P6138">
        <f>IF(OR(M6138="",N6138=""),"",SUMIFS('Barang Keluar'!$E:$E,'Barang Keluar'!$A:$A,M6138,'Barang Keluar'!$C:$C,N6138))</f>
        <v>0</v>
      </c>
    </row>
    <row r="6139" spans="13:16">
      <c r="M6139" s="49">
        <f>IF($A$4+61&gt;$B$4,"",$A$4+61)</f>
        <v>46084</v>
      </c>
      <c r="N6139" t="str">
        <f>IF(M6139="","",'Master Barang'!A33)</f>
        <v>PRL-032</v>
      </c>
      <c r="O6139" t="str">
        <f>IF(N6139="","",'Master Barang'!B33)</f>
        <v>plastik packaging ag box uk sedang</v>
      </c>
      <c r="P6139">
        <f>IF(OR(M6139="",N6139=""),"",SUMIFS('Barang Keluar'!$E:$E,'Barang Keluar'!$A:$A,M6139,'Barang Keluar'!$C:$C,N6139))</f>
        <v>0</v>
      </c>
    </row>
    <row r="6140" spans="13:16">
      <c r="M6140" s="49">
        <f>IF($A$4+61&gt;$B$4,"",$A$4+61)</f>
        <v>46084</v>
      </c>
      <c r="N6140" t="str">
        <f>IF(M6140="","",'Master Barang'!A34)</f>
        <v>PRL-033</v>
      </c>
      <c r="O6140">
        <f>IF(N6140="","",'Master Barang'!B34)</f>
        <v>0</v>
      </c>
      <c r="P6140">
        <f>IF(OR(M6140="",N6140=""),"",SUMIFS('Barang Keluar'!$E:$E,'Barang Keluar'!$A:$A,M6140,'Barang Keluar'!$C:$C,N6140))</f>
        <v>0</v>
      </c>
    </row>
    <row r="6141" spans="13:16">
      <c r="M6141" s="49">
        <f>IF($A$4+61&gt;$B$4,"",$A$4+61)</f>
        <v>46084</v>
      </c>
      <c r="N6141">
        <f>IF(M6141="","",'Master Barang'!A35)</f>
        <v>0</v>
      </c>
      <c r="O6141">
        <f>IF(N6141="","",'Master Barang'!B35)</f>
        <v>0</v>
      </c>
      <c r="P6141">
        <f>IF(OR(M6141="",N6141=""),"",SUMIFS('Barang Keluar'!$E:$E,'Barang Keluar'!$A:$A,M6141,'Barang Keluar'!$C:$C,N6141))</f>
        <v>0</v>
      </c>
    </row>
    <row r="6142" spans="13:16">
      <c r="M6142" s="49">
        <f>IF($A$4+61&gt;$B$4,"",$A$4+61)</f>
        <v>46084</v>
      </c>
      <c r="N6142">
        <f>IF(M6142="","",'Master Barang'!A36)</f>
        <v>0</v>
      </c>
      <c r="O6142">
        <f>IF(N6142="","",'Master Barang'!B36)</f>
        <v>0</v>
      </c>
      <c r="P6142">
        <f>IF(OR(M6142="",N6142=""),"",SUMIFS('Barang Keluar'!$E:$E,'Barang Keluar'!$A:$A,M6142,'Barang Keluar'!$C:$C,N6142))</f>
        <v>0</v>
      </c>
    </row>
    <row r="6143" spans="13:16">
      <c r="M6143" s="49">
        <f>IF($A$4+61&gt;$B$4,"",$A$4+61)</f>
        <v>46084</v>
      </c>
      <c r="N6143">
        <f>IF(M6143="","",'Master Barang'!A37)</f>
        <v>0</v>
      </c>
      <c r="O6143">
        <f>IF(N6143="","",'Master Barang'!B37)</f>
        <v>0</v>
      </c>
      <c r="P6143">
        <f>IF(OR(M6143="",N6143=""),"",SUMIFS('Barang Keluar'!$E:$E,'Barang Keluar'!$A:$A,M6143,'Barang Keluar'!$C:$C,N6143))</f>
        <v>0</v>
      </c>
    </row>
    <row r="6144" spans="13:16">
      <c r="M6144" s="49">
        <f>IF($A$4+61&gt;$B$4,"",$A$4+61)</f>
        <v>46084</v>
      </c>
      <c r="N6144">
        <f>IF(M6144="","",'Master Barang'!A38)</f>
        <v>0</v>
      </c>
      <c r="O6144">
        <f>IF(N6144="","",'Master Barang'!B38)</f>
        <v>0</v>
      </c>
      <c r="P6144">
        <f>IF(OR(M6144="",N6144=""),"",SUMIFS('Barang Keluar'!$E:$E,'Barang Keluar'!$A:$A,M6144,'Barang Keluar'!$C:$C,N6144))</f>
        <v>0</v>
      </c>
    </row>
    <row r="6145" spans="13:16">
      <c r="M6145" s="49">
        <f>IF($A$4+61&gt;$B$4,"",$A$4+61)</f>
        <v>46084</v>
      </c>
      <c r="N6145">
        <f>IF(M6145="","",'Master Barang'!A39)</f>
        <v>0</v>
      </c>
      <c r="O6145">
        <f>IF(N6145="","",'Master Barang'!B39)</f>
        <v>0</v>
      </c>
      <c r="P6145">
        <f>IF(OR(M6145="",N6145=""),"",SUMIFS('Barang Keluar'!$E:$E,'Barang Keluar'!$A:$A,M6145,'Barang Keluar'!$C:$C,N6145))</f>
        <v>0</v>
      </c>
    </row>
    <row r="6146" spans="13:16">
      <c r="M6146" s="49">
        <f>IF($A$4+61&gt;$B$4,"",$A$4+61)</f>
        <v>46084</v>
      </c>
      <c r="N6146">
        <f>IF(M6146="","",'Master Barang'!A40)</f>
        <v>0</v>
      </c>
      <c r="O6146">
        <f>IF(N6146="","",'Master Barang'!B40)</f>
        <v>0</v>
      </c>
      <c r="P6146">
        <f>IF(OR(M6146="",N6146=""),"",SUMIFS('Barang Keluar'!$E:$E,'Barang Keluar'!$A:$A,M6146,'Barang Keluar'!$C:$C,N6146))</f>
        <v>0</v>
      </c>
    </row>
    <row r="6147" spans="13:16">
      <c r="M6147" s="49">
        <f>IF($A$4+61&gt;$B$4,"",$A$4+61)</f>
        <v>46084</v>
      </c>
      <c r="N6147">
        <f>IF(M6147="","",'Master Barang'!A41)</f>
        <v>0</v>
      </c>
      <c r="O6147">
        <f>IF(N6147="","",'Master Barang'!B41)</f>
        <v>0</v>
      </c>
      <c r="P6147">
        <f>IF(OR(M6147="",N6147=""),"",SUMIFS('Barang Keluar'!$E:$E,'Barang Keluar'!$A:$A,M6147,'Barang Keluar'!$C:$C,N6147))</f>
        <v>0</v>
      </c>
    </row>
    <row r="6148" spans="13:16">
      <c r="M6148" s="49">
        <f>IF($A$4+61&gt;$B$4,"",$A$4+61)</f>
        <v>46084</v>
      </c>
      <c r="N6148">
        <f>IF(M6148="","",'Master Barang'!A42)</f>
        <v>0</v>
      </c>
      <c r="O6148">
        <f>IF(N6148="","",'Master Barang'!B42)</f>
        <v>0</v>
      </c>
      <c r="P6148">
        <f>IF(OR(M6148="",N6148=""),"",SUMIFS('Barang Keluar'!$E:$E,'Barang Keluar'!$A:$A,M6148,'Barang Keluar'!$C:$C,N6148))</f>
        <v>0</v>
      </c>
    </row>
    <row r="6149" spans="13:16">
      <c r="M6149" s="49">
        <f>IF($A$4+61&gt;$B$4,"",$A$4+61)</f>
        <v>46084</v>
      </c>
      <c r="N6149">
        <f>IF(M6149="","",'Master Barang'!A43)</f>
        <v>0</v>
      </c>
      <c r="O6149">
        <f>IF(N6149="","",'Master Barang'!B43)</f>
        <v>0</v>
      </c>
      <c r="P6149">
        <f>IF(OR(M6149="",N6149=""),"",SUMIFS('Barang Keluar'!$E:$E,'Barang Keluar'!$A:$A,M6149,'Barang Keluar'!$C:$C,N6149))</f>
        <v>0</v>
      </c>
    </row>
    <row r="6150" spans="13:16">
      <c r="M6150" s="49">
        <f>IF($A$4+61&gt;$B$4,"",$A$4+61)</f>
        <v>46084</v>
      </c>
      <c r="N6150">
        <f>IF(M6150="","",'Master Barang'!A44)</f>
        <v>0</v>
      </c>
      <c r="O6150">
        <f>IF(N6150="","",'Master Barang'!B44)</f>
        <v>0</v>
      </c>
      <c r="P6150">
        <f>IF(OR(M6150="",N6150=""),"",SUMIFS('Barang Keluar'!$E:$E,'Barang Keluar'!$A:$A,M6150,'Barang Keluar'!$C:$C,N6150))</f>
        <v>0</v>
      </c>
    </row>
    <row r="6151" spans="13:16">
      <c r="M6151" s="49">
        <f>IF($A$4+61&gt;$B$4,"",$A$4+61)</f>
        <v>46084</v>
      </c>
      <c r="N6151">
        <f>IF(M6151="","",'Master Barang'!A45)</f>
        <v>0</v>
      </c>
      <c r="O6151">
        <f>IF(N6151="","",'Master Barang'!B45)</f>
        <v>0</v>
      </c>
      <c r="P6151">
        <f>IF(OR(M6151="",N6151=""),"",SUMIFS('Barang Keluar'!$E:$E,'Barang Keluar'!$A:$A,M6151,'Barang Keluar'!$C:$C,N6151))</f>
        <v>0</v>
      </c>
    </row>
    <row r="6152" spans="13:16">
      <c r="M6152" s="49">
        <f>IF($A$4+61&gt;$B$4,"",$A$4+61)</f>
        <v>46084</v>
      </c>
      <c r="N6152">
        <f>IF(M6152="","",'Master Barang'!A46)</f>
        <v>0</v>
      </c>
      <c r="O6152">
        <f>IF(N6152="","",'Master Barang'!B46)</f>
        <v>0</v>
      </c>
      <c r="P6152">
        <f>IF(OR(M6152="",N6152=""),"",SUMIFS('Barang Keluar'!$E:$E,'Barang Keluar'!$A:$A,M6152,'Barang Keluar'!$C:$C,N6152))</f>
        <v>0</v>
      </c>
    </row>
    <row r="6153" spans="13:16">
      <c r="M6153" s="49">
        <f>IF($A$4+61&gt;$B$4,"",$A$4+61)</f>
        <v>46084</v>
      </c>
      <c r="N6153">
        <f>IF(M6153="","",'Master Barang'!A47)</f>
        <v>0</v>
      </c>
      <c r="O6153">
        <f>IF(N6153="","",'Master Barang'!B47)</f>
        <v>0</v>
      </c>
      <c r="P6153">
        <f>IF(OR(M6153="",N6153=""),"",SUMIFS('Barang Keluar'!$E:$E,'Barang Keluar'!$A:$A,M6153,'Barang Keluar'!$C:$C,N6153))</f>
        <v>0</v>
      </c>
    </row>
    <row r="6154" spans="13:16">
      <c r="M6154" s="49">
        <f>IF($A$4+61&gt;$B$4,"",$A$4+61)</f>
        <v>46084</v>
      </c>
      <c r="N6154">
        <f>IF(M6154="","",'Master Barang'!A48)</f>
        <v>0</v>
      </c>
      <c r="O6154">
        <f>IF(N6154="","",'Master Barang'!B48)</f>
        <v>0</v>
      </c>
      <c r="P6154">
        <f>IF(OR(M6154="",N6154=""),"",SUMIFS('Barang Keluar'!$E:$E,'Barang Keluar'!$A:$A,M6154,'Barang Keluar'!$C:$C,N6154))</f>
        <v>0</v>
      </c>
    </row>
    <row r="6155" spans="13:16">
      <c r="M6155" s="49">
        <f>IF($A$4+61&gt;$B$4,"",$A$4+61)</f>
        <v>46084</v>
      </c>
      <c r="N6155">
        <f>IF(M6155="","",'Master Barang'!A49)</f>
        <v>0</v>
      </c>
      <c r="O6155">
        <f>IF(N6155="","",'Master Barang'!B49)</f>
        <v>0</v>
      </c>
      <c r="P6155">
        <f>IF(OR(M6155="",N6155=""),"",SUMIFS('Barang Keluar'!$E:$E,'Barang Keluar'!$A:$A,M6155,'Barang Keluar'!$C:$C,N6155))</f>
        <v>0</v>
      </c>
    </row>
    <row r="6156" spans="13:16">
      <c r="M6156" s="49">
        <f>IF($A$4+61&gt;$B$4,"",$A$4+61)</f>
        <v>46084</v>
      </c>
      <c r="N6156">
        <f>IF(M6156="","",'Master Barang'!A50)</f>
        <v>0</v>
      </c>
      <c r="O6156">
        <f>IF(N6156="","",'Master Barang'!B50)</f>
        <v>0</v>
      </c>
      <c r="P6156">
        <f>IF(OR(M6156="",N6156=""),"",SUMIFS('Barang Keluar'!$E:$E,'Barang Keluar'!$A:$A,M6156,'Barang Keluar'!$C:$C,N6156))</f>
        <v>0</v>
      </c>
    </row>
    <row r="6157" spans="13:16">
      <c r="M6157" s="49">
        <f>IF($A$4+61&gt;$B$4,"",$A$4+61)</f>
        <v>46084</v>
      </c>
      <c r="N6157">
        <f>IF(M6157="","",'Master Barang'!A51)</f>
        <v>0</v>
      </c>
      <c r="O6157">
        <f>IF(N6157="","",'Master Barang'!B51)</f>
        <v>0</v>
      </c>
      <c r="P6157">
        <f>IF(OR(M6157="",N6157=""),"",SUMIFS('Barang Keluar'!$E:$E,'Barang Keluar'!$A:$A,M6157,'Barang Keluar'!$C:$C,N6157))</f>
        <v>0</v>
      </c>
    </row>
    <row r="6158" spans="13:16">
      <c r="M6158" s="49">
        <f>IF($A$4+61&gt;$B$4,"",$A$4+61)</f>
        <v>46084</v>
      </c>
      <c r="N6158">
        <f>IF(M6158="","",'Master Barang'!A52)</f>
        <v>0</v>
      </c>
      <c r="O6158">
        <f>IF(N6158="","",'Master Barang'!B52)</f>
        <v>0</v>
      </c>
      <c r="P6158">
        <f>IF(OR(M6158="",N6158=""),"",SUMIFS('Barang Keluar'!$E:$E,'Barang Keluar'!$A:$A,M6158,'Barang Keluar'!$C:$C,N6158))</f>
        <v>0</v>
      </c>
    </row>
    <row r="6159" spans="13:16">
      <c r="M6159" s="49">
        <f>IF($A$4+61&gt;$B$4,"",$A$4+61)</f>
        <v>46084</v>
      </c>
      <c r="N6159">
        <f>IF(M6159="","",'Master Barang'!A53)</f>
        <v>0</v>
      </c>
      <c r="O6159">
        <f>IF(N6159="","",'Master Barang'!B53)</f>
        <v>0</v>
      </c>
      <c r="P6159">
        <f>IF(OR(M6159="",N6159=""),"",SUMIFS('Barang Keluar'!$E:$E,'Barang Keluar'!$A:$A,M6159,'Barang Keluar'!$C:$C,N6159))</f>
        <v>0</v>
      </c>
    </row>
    <row r="6160" spans="13:16">
      <c r="M6160" s="49">
        <f>IF($A$4+61&gt;$B$4,"",$A$4+61)</f>
        <v>46084</v>
      </c>
      <c r="N6160">
        <f>IF(M6160="","",'Master Barang'!A54)</f>
        <v>0</v>
      </c>
      <c r="O6160">
        <f>IF(N6160="","",'Master Barang'!B54)</f>
        <v>0</v>
      </c>
      <c r="P6160">
        <f>IF(OR(M6160="",N6160=""),"",SUMIFS('Barang Keluar'!$E:$E,'Barang Keluar'!$A:$A,M6160,'Barang Keluar'!$C:$C,N6160))</f>
        <v>0</v>
      </c>
    </row>
    <row r="6161" spans="13:16">
      <c r="M6161" s="49">
        <f>IF($A$4+61&gt;$B$4,"",$A$4+61)</f>
        <v>46084</v>
      </c>
      <c r="N6161">
        <f>IF(M6161="","",'Master Barang'!A55)</f>
        <v>0</v>
      </c>
      <c r="O6161">
        <f>IF(N6161="","",'Master Barang'!B55)</f>
        <v>0</v>
      </c>
      <c r="P6161">
        <f>IF(OR(M6161="",N6161=""),"",SUMIFS('Barang Keluar'!$E:$E,'Barang Keluar'!$A:$A,M6161,'Barang Keluar'!$C:$C,N6161))</f>
        <v>0</v>
      </c>
    </row>
    <row r="6162" spans="13:16">
      <c r="M6162" s="49">
        <f>IF($A$4+61&gt;$B$4,"",$A$4+61)</f>
        <v>46084</v>
      </c>
      <c r="N6162">
        <f>IF(M6162="","",'Master Barang'!A56)</f>
        <v>0</v>
      </c>
      <c r="O6162">
        <f>IF(N6162="","",'Master Barang'!B56)</f>
        <v>0</v>
      </c>
      <c r="P6162">
        <f>IF(OR(M6162="",N6162=""),"",SUMIFS('Barang Keluar'!$E:$E,'Barang Keluar'!$A:$A,M6162,'Barang Keluar'!$C:$C,N6162))</f>
        <v>0</v>
      </c>
    </row>
    <row r="6163" spans="13:16">
      <c r="M6163" s="49">
        <f>IF($A$4+61&gt;$B$4,"",$A$4+61)</f>
        <v>46084</v>
      </c>
      <c r="N6163">
        <f>IF(M6163="","",'Master Barang'!A57)</f>
        <v>0</v>
      </c>
      <c r="O6163">
        <f>IF(N6163="","",'Master Barang'!B57)</f>
        <v>0</v>
      </c>
      <c r="P6163">
        <f>IF(OR(M6163="",N6163=""),"",SUMIFS('Barang Keluar'!$E:$E,'Barang Keluar'!$A:$A,M6163,'Barang Keluar'!$C:$C,N6163))</f>
        <v>0</v>
      </c>
    </row>
    <row r="6164" spans="13:16">
      <c r="M6164" s="49">
        <f>IF($A$4+61&gt;$B$4,"",$A$4+61)</f>
        <v>46084</v>
      </c>
      <c r="N6164">
        <f>IF(M6164="","",'Master Barang'!A58)</f>
        <v>0</v>
      </c>
      <c r="O6164">
        <f>IF(N6164="","",'Master Barang'!B58)</f>
        <v>0</v>
      </c>
      <c r="P6164">
        <f>IF(OR(M6164="",N6164=""),"",SUMIFS('Barang Keluar'!$E:$E,'Barang Keluar'!$A:$A,M6164,'Barang Keluar'!$C:$C,N6164))</f>
        <v>0</v>
      </c>
    </row>
    <row r="6165" spans="13:16">
      <c r="M6165" s="49">
        <f>IF($A$4+61&gt;$B$4,"",$A$4+61)</f>
        <v>46084</v>
      </c>
      <c r="N6165">
        <f>IF(M6165="","",'Master Barang'!A59)</f>
        <v>0</v>
      </c>
      <c r="O6165">
        <f>IF(N6165="","",'Master Barang'!B59)</f>
        <v>0</v>
      </c>
      <c r="P6165">
        <f>IF(OR(M6165="",N6165=""),"",SUMIFS('Barang Keluar'!$E:$E,'Barang Keluar'!$A:$A,M6165,'Barang Keluar'!$C:$C,N6165))</f>
        <v>0</v>
      </c>
    </row>
    <row r="6166" spans="13:16">
      <c r="M6166" s="49">
        <f>IF($A$4+61&gt;$B$4,"",$A$4+61)</f>
        <v>46084</v>
      </c>
      <c r="N6166">
        <f>IF(M6166="","",'Master Barang'!A60)</f>
        <v>0</v>
      </c>
      <c r="O6166">
        <f>IF(N6166="","",'Master Barang'!B60)</f>
        <v>0</v>
      </c>
      <c r="P6166">
        <f>IF(OR(M6166="",N6166=""),"",SUMIFS('Barang Keluar'!$E:$E,'Barang Keluar'!$A:$A,M6166,'Barang Keluar'!$C:$C,N6166))</f>
        <v>0</v>
      </c>
    </row>
    <row r="6167" spans="13:16">
      <c r="M6167" s="49">
        <f>IF($A$4+61&gt;$B$4,"",$A$4+61)</f>
        <v>46084</v>
      </c>
      <c r="N6167">
        <f>IF(M6167="","",'Master Barang'!A61)</f>
        <v>0</v>
      </c>
      <c r="O6167">
        <f>IF(N6167="","",'Master Barang'!B61)</f>
        <v>0</v>
      </c>
      <c r="P6167">
        <f>IF(OR(M6167="",N6167=""),"",SUMIFS('Barang Keluar'!$E:$E,'Barang Keluar'!$A:$A,M6167,'Barang Keluar'!$C:$C,N6167))</f>
        <v>0</v>
      </c>
    </row>
    <row r="6168" spans="13:16">
      <c r="M6168" s="49">
        <f>IF($A$4+61&gt;$B$4,"",$A$4+61)</f>
        <v>46084</v>
      </c>
      <c r="N6168">
        <f>IF(M6168="","",'Master Barang'!A62)</f>
        <v>0</v>
      </c>
      <c r="O6168">
        <f>IF(N6168="","",'Master Barang'!B62)</f>
        <v>0</v>
      </c>
      <c r="P6168">
        <f>IF(OR(M6168="",N6168=""),"",SUMIFS('Barang Keluar'!$E:$E,'Barang Keluar'!$A:$A,M6168,'Barang Keluar'!$C:$C,N6168))</f>
        <v>0</v>
      </c>
    </row>
    <row r="6169" spans="13:16">
      <c r="M6169" s="49">
        <f>IF($A$4+61&gt;$B$4,"",$A$4+61)</f>
        <v>46084</v>
      </c>
      <c r="N6169">
        <f>IF(M6169="","",'Master Barang'!A63)</f>
        <v>0</v>
      </c>
      <c r="O6169">
        <f>IF(N6169="","",'Master Barang'!B63)</f>
        <v>0</v>
      </c>
      <c r="P6169">
        <f>IF(OR(M6169="",N6169=""),"",SUMIFS('Barang Keluar'!$E:$E,'Barang Keluar'!$A:$A,M6169,'Barang Keluar'!$C:$C,N6169))</f>
        <v>0</v>
      </c>
    </row>
    <row r="6170" spans="13:16">
      <c r="M6170" s="49">
        <f>IF($A$4+61&gt;$B$4,"",$A$4+61)</f>
        <v>46084</v>
      </c>
      <c r="N6170">
        <f>IF(M6170="","",'Master Barang'!A64)</f>
        <v>0</v>
      </c>
      <c r="O6170">
        <f>IF(N6170="","",'Master Barang'!B64)</f>
        <v>0</v>
      </c>
      <c r="P6170">
        <f>IF(OR(M6170="",N6170=""),"",SUMIFS('Barang Keluar'!$E:$E,'Barang Keluar'!$A:$A,M6170,'Barang Keluar'!$C:$C,N6170))</f>
        <v>0</v>
      </c>
    </row>
    <row r="6171" spans="13:16">
      <c r="M6171" s="49">
        <f>IF($A$4+61&gt;$B$4,"",$A$4+61)</f>
        <v>46084</v>
      </c>
      <c r="N6171">
        <f>IF(M6171="","",'Master Barang'!A65)</f>
        <v>0</v>
      </c>
      <c r="O6171">
        <f>IF(N6171="","",'Master Barang'!B65)</f>
        <v>0</v>
      </c>
      <c r="P6171">
        <f>IF(OR(M6171="",N6171=""),"",SUMIFS('Barang Keluar'!$E:$E,'Barang Keluar'!$A:$A,M6171,'Barang Keluar'!$C:$C,N6171))</f>
        <v>0</v>
      </c>
    </row>
    <row r="6172" spans="13:16">
      <c r="M6172" s="49">
        <f>IF($A$4+61&gt;$B$4,"",$A$4+61)</f>
        <v>46084</v>
      </c>
      <c r="N6172">
        <f>IF(M6172="","",'Master Barang'!A66)</f>
        <v>0</v>
      </c>
      <c r="O6172">
        <f>IF(N6172="","",'Master Barang'!B66)</f>
        <v>0</v>
      </c>
      <c r="P6172">
        <f>IF(OR(M6172="",N6172=""),"",SUMIFS('Barang Keluar'!$E:$E,'Barang Keluar'!$A:$A,M6172,'Barang Keluar'!$C:$C,N6172))</f>
        <v>0</v>
      </c>
    </row>
    <row r="6173" spans="13:16">
      <c r="M6173" s="49">
        <f>IF($A$4+61&gt;$B$4,"",$A$4+61)</f>
        <v>46084</v>
      </c>
      <c r="N6173">
        <f>IF(M6173="","",'Master Barang'!A67)</f>
        <v>0</v>
      </c>
      <c r="O6173">
        <f>IF(N6173="","",'Master Barang'!B67)</f>
        <v>0</v>
      </c>
      <c r="P6173">
        <f>IF(OR(M6173="",N6173=""),"",SUMIFS('Barang Keluar'!$E:$E,'Barang Keluar'!$A:$A,M6173,'Barang Keluar'!$C:$C,N6173))</f>
        <v>0</v>
      </c>
    </row>
    <row r="6174" spans="13:16">
      <c r="M6174" s="49">
        <f>IF($A$4+61&gt;$B$4,"",$A$4+61)</f>
        <v>46084</v>
      </c>
      <c r="N6174">
        <f>IF(M6174="","",'Master Barang'!A68)</f>
        <v>0</v>
      </c>
      <c r="O6174">
        <f>IF(N6174="","",'Master Barang'!B68)</f>
        <v>0</v>
      </c>
      <c r="P6174">
        <f>IF(OR(M6174="",N6174=""),"",SUMIFS('Barang Keluar'!$E:$E,'Barang Keluar'!$A:$A,M6174,'Barang Keluar'!$C:$C,N6174))</f>
        <v>0</v>
      </c>
    </row>
    <row r="6175" spans="13:16">
      <c r="M6175" s="49">
        <f>IF($A$4+61&gt;$B$4,"",$A$4+61)</f>
        <v>46084</v>
      </c>
      <c r="N6175">
        <f>IF(M6175="","",'Master Barang'!A69)</f>
        <v>0</v>
      </c>
      <c r="O6175">
        <f>IF(N6175="","",'Master Barang'!B69)</f>
        <v>0</v>
      </c>
      <c r="P6175">
        <f>IF(OR(M6175="",N6175=""),"",SUMIFS('Barang Keluar'!$E:$E,'Barang Keluar'!$A:$A,M6175,'Barang Keluar'!$C:$C,N6175))</f>
        <v>0</v>
      </c>
    </row>
    <row r="6176" spans="13:16">
      <c r="M6176" s="49">
        <f>IF($A$4+61&gt;$B$4,"",$A$4+61)</f>
        <v>46084</v>
      </c>
      <c r="N6176">
        <f>IF(M6176="","",'Master Barang'!A70)</f>
        <v>0</v>
      </c>
      <c r="O6176">
        <f>IF(N6176="","",'Master Barang'!B70)</f>
        <v>0</v>
      </c>
      <c r="P6176">
        <f>IF(OR(M6176="",N6176=""),"",SUMIFS('Barang Keluar'!$E:$E,'Barang Keluar'!$A:$A,M6176,'Barang Keluar'!$C:$C,N6176))</f>
        <v>0</v>
      </c>
    </row>
    <row r="6177" spans="13:16">
      <c r="M6177" s="49">
        <f>IF($A$4+61&gt;$B$4,"",$A$4+61)</f>
        <v>46084</v>
      </c>
      <c r="N6177">
        <f>IF(M6177="","",'Master Barang'!A71)</f>
        <v>0</v>
      </c>
      <c r="O6177">
        <f>IF(N6177="","",'Master Barang'!B71)</f>
        <v>0</v>
      </c>
      <c r="P6177">
        <f>IF(OR(M6177="",N6177=""),"",SUMIFS('Barang Keluar'!$E:$E,'Barang Keluar'!$A:$A,M6177,'Barang Keluar'!$C:$C,N6177))</f>
        <v>0</v>
      </c>
    </row>
    <row r="6178" spans="13:16">
      <c r="M6178" s="49">
        <f>IF($A$4+61&gt;$B$4,"",$A$4+61)</f>
        <v>46084</v>
      </c>
      <c r="N6178">
        <f>IF(M6178="","",'Master Barang'!A72)</f>
        <v>0</v>
      </c>
      <c r="O6178">
        <f>IF(N6178="","",'Master Barang'!B72)</f>
        <v>0</v>
      </c>
      <c r="P6178">
        <f>IF(OR(M6178="",N6178=""),"",SUMIFS('Barang Keluar'!$E:$E,'Barang Keluar'!$A:$A,M6178,'Barang Keluar'!$C:$C,N6178))</f>
        <v>0</v>
      </c>
    </row>
    <row r="6179" spans="13:16">
      <c r="M6179" s="49">
        <f>IF($A$4+61&gt;$B$4,"",$A$4+61)</f>
        <v>46084</v>
      </c>
      <c r="N6179">
        <f>IF(M6179="","",'Master Barang'!A73)</f>
        <v>0</v>
      </c>
      <c r="O6179">
        <f>IF(N6179="","",'Master Barang'!B73)</f>
        <v>0</v>
      </c>
      <c r="P6179">
        <f>IF(OR(M6179="",N6179=""),"",SUMIFS('Barang Keluar'!$E:$E,'Barang Keluar'!$A:$A,M6179,'Barang Keluar'!$C:$C,N6179))</f>
        <v>0</v>
      </c>
    </row>
    <row r="6180" spans="13:16">
      <c r="M6180" s="49">
        <f>IF($A$4+61&gt;$B$4,"",$A$4+61)</f>
        <v>46084</v>
      </c>
      <c r="N6180">
        <f>IF(M6180="","",'Master Barang'!A74)</f>
        <v>0</v>
      </c>
      <c r="O6180">
        <f>IF(N6180="","",'Master Barang'!B74)</f>
        <v>0</v>
      </c>
      <c r="P6180">
        <f>IF(OR(M6180="",N6180=""),"",SUMIFS('Barang Keluar'!$E:$E,'Barang Keluar'!$A:$A,M6180,'Barang Keluar'!$C:$C,N6180))</f>
        <v>0</v>
      </c>
    </row>
    <row r="6181" spans="13:16">
      <c r="M6181" s="49">
        <f>IF($A$4+61&gt;$B$4,"",$A$4+61)</f>
        <v>46084</v>
      </c>
      <c r="N6181">
        <f>IF(M6181="","",'Master Barang'!A75)</f>
        <v>0</v>
      </c>
      <c r="O6181">
        <f>IF(N6181="","",'Master Barang'!B75)</f>
        <v>0</v>
      </c>
      <c r="P6181">
        <f>IF(OR(M6181="",N6181=""),"",SUMIFS('Barang Keluar'!$E:$E,'Barang Keluar'!$A:$A,M6181,'Barang Keluar'!$C:$C,N6181))</f>
        <v>0</v>
      </c>
    </row>
    <row r="6182" spans="13:16">
      <c r="M6182" s="49">
        <f>IF($A$4+61&gt;$B$4,"",$A$4+61)</f>
        <v>46084</v>
      </c>
      <c r="N6182">
        <f>IF(M6182="","",'Master Barang'!A76)</f>
        <v>0</v>
      </c>
      <c r="O6182">
        <f>IF(N6182="","",'Master Barang'!B76)</f>
        <v>0</v>
      </c>
      <c r="P6182">
        <f>IF(OR(M6182="",N6182=""),"",SUMIFS('Barang Keluar'!$E:$E,'Barang Keluar'!$A:$A,M6182,'Barang Keluar'!$C:$C,N6182))</f>
        <v>0</v>
      </c>
    </row>
    <row r="6183" spans="13:16">
      <c r="M6183" s="49">
        <f>IF($A$4+61&gt;$B$4,"",$A$4+61)</f>
        <v>46084</v>
      </c>
      <c r="N6183">
        <f>IF(M6183="","",'Master Barang'!A77)</f>
        <v>0</v>
      </c>
      <c r="O6183">
        <f>IF(N6183="","",'Master Barang'!B77)</f>
        <v>0</v>
      </c>
      <c r="P6183">
        <f>IF(OR(M6183="",N6183=""),"",SUMIFS('Barang Keluar'!$E:$E,'Barang Keluar'!$A:$A,M6183,'Barang Keluar'!$C:$C,N6183))</f>
        <v>0</v>
      </c>
    </row>
    <row r="6184" spans="13:16">
      <c r="M6184" s="49">
        <f>IF($A$4+61&gt;$B$4,"",$A$4+61)</f>
        <v>46084</v>
      </c>
      <c r="N6184">
        <f>IF(M6184="","",'Master Barang'!A78)</f>
        <v>0</v>
      </c>
      <c r="O6184">
        <f>IF(N6184="","",'Master Barang'!B78)</f>
        <v>0</v>
      </c>
      <c r="P6184">
        <f>IF(OR(M6184="",N6184=""),"",SUMIFS('Barang Keluar'!$E:$E,'Barang Keluar'!$A:$A,M6184,'Barang Keluar'!$C:$C,N6184))</f>
        <v>0</v>
      </c>
    </row>
    <row r="6185" spans="13:16">
      <c r="M6185" s="49">
        <f>IF($A$4+61&gt;$B$4,"",$A$4+61)</f>
        <v>46084</v>
      </c>
      <c r="N6185">
        <f>IF(M6185="","",'Master Barang'!A79)</f>
        <v>0</v>
      </c>
      <c r="O6185">
        <f>IF(N6185="","",'Master Barang'!B79)</f>
        <v>0</v>
      </c>
      <c r="P6185">
        <f>IF(OR(M6185="",N6185=""),"",SUMIFS('Barang Keluar'!$E:$E,'Barang Keluar'!$A:$A,M6185,'Barang Keluar'!$C:$C,N6185))</f>
        <v>0</v>
      </c>
    </row>
    <row r="6186" spans="13:16">
      <c r="M6186" s="49">
        <f>IF($A$4+61&gt;$B$4,"",$A$4+61)</f>
        <v>46084</v>
      </c>
      <c r="N6186">
        <f>IF(M6186="","",'Master Barang'!A80)</f>
        <v>0</v>
      </c>
      <c r="O6186">
        <f>IF(N6186="","",'Master Barang'!B80)</f>
        <v>0</v>
      </c>
      <c r="P6186">
        <f>IF(OR(M6186="",N6186=""),"",SUMIFS('Barang Keluar'!$E:$E,'Barang Keluar'!$A:$A,M6186,'Barang Keluar'!$C:$C,N6186))</f>
        <v>0</v>
      </c>
    </row>
    <row r="6187" spans="13:16">
      <c r="M6187" s="49">
        <f>IF($A$4+61&gt;$B$4,"",$A$4+61)</f>
        <v>46084</v>
      </c>
      <c r="N6187">
        <f>IF(M6187="","",'Master Barang'!A81)</f>
        <v>0</v>
      </c>
      <c r="O6187">
        <f>IF(N6187="","",'Master Barang'!B81)</f>
        <v>0</v>
      </c>
      <c r="P6187">
        <f>IF(OR(M6187="",N6187=""),"",SUMIFS('Barang Keluar'!$E:$E,'Barang Keluar'!$A:$A,M6187,'Barang Keluar'!$C:$C,N6187))</f>
        <v>0</v>
      </c>
    </row>
    <row r="6188" spans="13:16">
      <c r="M6188" s="49">
        <f>IF($A$4+61&gt;$B$4,"",$A$4+61)</f>
        <v>46084</v>
      </c>
      <c r="N6188">
        <f>IF(M6188="","",'Master Barang'!A82)</f>
        <v>0</v>
      </c>
      <c r="O6188">
        <f>IF(N6188="","",'Master Barang'!B82)</f>
        <v>0</v>
      </c>
      <c r="P6188">
        <f>IF(OR(M6188="",N6188=""),"",SUMIFS('Barang Keluar'!$E:$E,'Barang Keluar'!$A:$A,M6188,'Barang Keluar'!$C:$C,N6188))</f>
        <v>0</v>
      </c>
    </row>
    <row r="6189" spans="13:16">
      <c r="M6189" s="49">
        <f>IF($A$4+61&gt;$B$4,"",$A$4+61)</f>
        <v>46084</v>
      </c>
      <c r="N6189">
        <f>IF(M6189="","",'Master Barang'!A83)</f>
        <v>0</v>
      </c>
      <c r="O6189">
        <f>IF(N6189="","",'Master Barang'!B83)</f>
        <v>0</v>
      </c>
      <c r="P6189">
        <f>IF(OR(M6189="",N6189=""),"",SUMIFS('Barang Keluar'!$E:$E,'Barang Keluar'!$A:$A,M6189,'Barang Keluar'!$C:$C,N6189))</f>
        <v>0</v>
      </c>
    </row>
    <row r="6190" spans="13:16">
      <c r="M6190" s="49">
        <f>IF($A$4+61&gt;$B$4,"",$A$4+61)</f>
        <v>46084</v>
      </c>
      <c r="N6190">
        <f>IF(M6190="","",'Master Barang'!A84)</f>
        <v>0</v>
      </c>
      <c r="O6190">
        <f>IF(N6190="","",'Master Barang'!B84)</f>
        <v>0</v>
      </c>
      <c r="P6190">
        <f>IF(OR(M6190="",N6190=""),"",SUMIFS('Barang Keluar'!$E:$E,'Barang Keluar'!$A:$A,M6190,'Barang Keluar'!$C:$C,N6190))</f>
        <v>0</v>
      </c>
    </row>
    <row r="6191" spans="13:16">
      <c r="M6191" s="49">
        <f>IF($A$4+61&gt;$B$4,"",$A$4+61)</f>
        <v>46084</v>
      </c>
      <c r="N6191">
        <f>IF(M6191="","",'Master Barang'!A85)</f>
        <v>0</v>
      </c>
      <c r="O6191">
        <f>IF(N6191="","",'Master Barang'!B85)</f>
        <v>0</v>
      </c>
      <c r="P6191">
        <f>IF(OR(M6191="",N6191=""),"",SUMIFS('Barang Keluar'!$E:$E,'Barang Keluar'!$A:$A,M6191,'Barang Keluar'!$C:$C,N6191))</f>
        <v>0</v>
      </c>
    </row>
    <row r="6192" spans="13:16">
      <c r="M6192" s="49">
        <f>IF($A$4+61&gt;$B$4,"",$A$4+61)</f>
        <v>46084</v>
      </c>
      <c r="N6192">
        <f>IF(M6192="","",'Master Barang'!A86)</f>
        <v>0</v>
      </c>
      <c r="O6192">
        <f>IF(N6192="","",'Master Barang'!B86)</f>
        <v>0</v>
      </c>
      <c r="P6192">
        <f>IF(OR(M6192="",N6192=""),"",SUMIFS('Barang Keluar'!$E:$E,'Barang Keluar'!$A:$A,M6192,'Barang Keluar'!$C:$C,N6192))</f>
        <v>0</v>
      </c>
    </row>
    <row r="6193" spans="13:16">
      <c r="M6193" s="49">
        <f>IF($A$4+61&gt;$B$4,"",$A$4+61)</f>
        <v>46084</v>
      </c>
      <c r="N6193">
        <f>IF(M6193="","",'Master Barang'!A87)</f>
        <v>0</v>
      </c>
      <c r="O6193">
        <f>IF(N6193="","",'Master Barang'!B87)</f>
        <v>0</v>
      </c>
      <c r="P6193">
        <f>IF(OR(M6193="",N6193=""),"",SUMIFS('Barang Keluar'!$E:$E,'Barang Keluar'!$A:$A,M6193,'Barang Keluar'!$C:$C,N6193))</f>
        <v>0</v>
      </c>
    </row>
    <row r="6194" spans="13:16">
      <c r="M6194" s="49">
        <f>IF($A$4+61&gt;$B$4,"",$A$4+61)</f>
        <v>46084</v>
      </c>
      <c r="N6194">
        <f>IF(M6194="","",'Master Barang'!A88)</f>
        <v>0</v>
      </c>
      <c r="O6194">
        <f>IF(N6194="","",'Master Barang'!B88)</f>
        <v>0</v>
      </c>
      <c r="P6194">
        <f>IF(OR(M6194="",N6194=""),"",SUMIFS('Barang Keluar'!$E:$E,'Barang Keluar'!$A:$A,M6194,'Barang Keluar'!$C:$C,N6194))</f>
        <v>0</v>
      </c>
    </row>
    <row r="6195" spans="13:16">
      <c r="M6195" s="49">
        <f>IF($A$4+61&gt;$B$4,"",$A$4+61)</f>
        <v>46084</v>
      </c>
      <c r="N6195">
        <f>IF(M6195="","",'Master Barang'!A89)</f>
        <v>0</v>
      </c>
      <c r="O6195">
        <f>IF(N6195="","",'Master Barang'!B89)</f>
        <v>0</v>
      </c>
      <c r="P6195">
        <f>IF(OR(M6195="",N6195=""),"",SUMIFS('Barang Keluar'!$E:$E,'Barang Keluar'!$A:$A,M6195,'Barang Keluar'!$C:$C,N6195))</f>
        <v>0</v>
      </c>
    </row>
    <row r="6196" spans="13:16">
      <c r="M6196" s="49">
        <f>IF($A$4+61&gt;$B$4,"",$A$4+61)</f>
        <v>46084</v>
      </c>
      <c r="N6196">
        <f>IF(M6196="","",'Master Barang'!A90)</f>
        <v>0</v>
      </c>
      <c r="O6196">
        <f>IF(N6196="","",'Master Barang'!B90)</f>
        <v>0</v>
      </c>
      <c r="P6196">
        <f>IF(OR(M6196="",N6196=""),"",SUMIFS('Barang Keluar'!$E:$E,'Barang Keluar'!$A:$A,M6196,'Barang Keluar'!$C:$C,N6196))</f>
        <v>0</v>
      </c>
    </row>
    <row r="6197" spans="13:16">
      <c r="M6197" s="49">
        <f>IF($A$4+61&gt;$B$4,"",$A$4+61)</f>
        <v>46084</v>
      </c>
      <c r="N6197">
        <f>IF(M6197="","",'Master Barang'!A91)</f>
        <v>0</v>
      </c>
      <c r="O6197">
        <f>IF(N6197="","",'Master Barang'!B91)</f>
        <v>0</v>
      </c>
      <c r="P6197">
        <f>IF(OR(M6197="",N6197=""),"",SUMIFS('Barang Keluar'!$E:$E,'Barang Keluar'!$A:$A,M6197,'Barang Keluar'!$C:$C,N6197))</f>
        <v>0</v>
      </c>
    </row>
    <row r="6198" spans="13:16">
      <c r="M6198" s="49">
        <f>IF($A$4+61&gt;$B$4,"",$A$4+61)</f>
        <v>46084</v>
      </c>
      <c r="N6198">
        <f>IF(M6198="","",'Master Barang'!A92)</f>
        <v>0</v>
      </c>
      <c r="O6198">
        <f>IF(N6198="","",'Master Barang'!B92)</f>
        <v>0</v>
      </c>
      <c r="P6198">
        <f>IF(OR(M6198="",N6198=""),"",SUMIFS('Barang Keluar'!$E:$E,'Barang Keluar'!$A:$A,M6198,'Barang Keluar'!$C:$C,N6198))</f>
        <v>0</v>
      </c>
    </row>
    <row r="6199" spans="13:16">
      <c r="M6199" s="49">
        <f>IF($A$4+61&gt;$B$4,"",$A$4+61)</f>
        <v>46084</v>
      </c>
      <c r="N6199">
        <f>IF(M6199="","",'Master Barang'!A93)</f>
        <v>0</v>
      </c>
      <c r="O6199">
        <f>IF(N6199="","",'Master Barang'!B93)</f>
        <v>0</v>
      </c>
      <c r="P6199">
        <f>IF(OR(M6199="",N6199=""),"",SUMIFS('Barang Keluar'!$E:$E,'Barang Keluar'!$A:$A,M6199,'Barang Keluar'!$C:$C,N6199))</f>
        <v>0</v>
      </c>
    </row>
    <row r="6200" spans="13:16">
      <c r="M6200" s="49">
        <f>IF($A$4+61&gt;$B$4,"",$A$4+61)</f>
        <v>46084</v>
      </c>
      <c r="N6200">
        <f>IF(M6200="","",'Master Barang'!A94)</f>
        <v>0</v>
      </c>
      <c r="O6200">
        <f>IF(N6200="","",'Master Barang'!B94)</f>
        <v>0</v>
      </c>
      <c r="P6200">
        <f>IF(OR(M6200="",N6200=""),"",SUMIFS('Barang Keluar'!$E:$E,'Barang Keluar'!$A:$A,M6200,'Barang Keluar'!$C:$C,N6200))</f>
        <v>0</v>
      </c>
    </row>
    <row r="6201" spans="13:16">
      <c r="M6201" s="49">
        <f>IF($A$4+61&gt;$B$4,"",$A$4+61)</f>
        <v>46084</v>
      </c>
      <c r="N6201">
        <f>IF(M6201="","",'Master Barang'!A95)</f>
        <v>0</v>
      </c>
      <c r="O6201">
        <f>IF(N6201="","",'Master Barang'!B95)</f>
        <v>0</v>
      </c>
      <c r="P6201">
        <f>IF(OR(M6201="",N6201=""),"",SUMIFS('Barang Keluar'!$E:$E,'Barang Keluar'!$A:$A,M6201,'Barang Keluar'!$C:$C,N6201))</f>
        <v>0</v>
      </c>
    </row>
    <row r="6202" spans="13:16">
      <c r="M6202" s="49">
        <f>IF($A$4+61&gt;$B$4,"",$A$4+61)</f>
        <v>46084</v>
      </c>
      <c r="N6202">
        <f>IF(M6202="","",'Master Barang'!A96)</f>
        <v>0</v>
      </c>
      <c r="O6202">
        <f>IF(N6202="","",'Master Barang'!B96)</f>
        <v>0</v>
      </c>
      <c r="P6202">
        <f>IF(OR(M6202="",N6202=""),"",SUMIFS('Barang Keluar'!$E:$E,'Barang Keluar'!$A:$A,M6202,'Barang Keluar'!$C:$C,N6202))</f>
        <v>0</v>
      </c>
    </row>
    <row r="6203" spans="13:16">
      <c r="M6203" s="49">
        <f>IF($A$4+61&gt;$B$4,"",$A$4+61)</f>
        <v>46084</v>
      </c>
      <c r="N6203">
        <f>IF(M6203="","",'Master Barang'!A97)</f>
        <v>0</v>
      </c>
      <c r="O6203">
        <f>IF(N6203="","",'Master Barang'!B97)</f>
        <v>0</v>
      </c>
      <c r="P6203">
        <f>IF(OR(M6203="",N6203=""),"",SUMIFS('Barang Keluar'!$E:$E,'Barang Keluar'!$A:$A,M6203,'Barang Keluar'!$C:$C,N6203))</f>
        <v>0</v>
      </c>
    </row>
    <row r="6204" spans="13:16">
      <c r="M6204" s="49">
        <f>IF($A$4+61&gt;$B$4,"",$A$4+61)</f>
        <v>46084</v>
      </c>
      <c r="N6204">
        <f>IF(M6204="","",'Master Barang'!A98)</f>
        <v>0</v>
      </c>
      <c r="O6204">
        <f>IF(N6204="","",'Master Barang'!B98)</f>
        <v>0</v>
      </c>
      <c r="P6204">
        <f>IF(OR(M6204="",N6204=""),"",SUMIFS('Barang Keluar'!$E:$E,'Barang Keluar'!$A:$A,M6204,'Barang Keluar'!$C:$C,N6204))</f>
        <v>0</v>
      </c>
    </row>
    <row r="6205" spans="13:16">
      <c r="M6205" s="49">
        <f>IF($A$4+61&gt;$B$4,"",$A$4+61)</f>
        <v>46084</v>
      </c>
      <c r="N6205">
        <f>IF(M6205="","",'Master Barang'!A99)</f>
        <v>0</v>
      </c>
      <c r="O6205">
        <f>IF(N6205="","",'Master Barang'!B99)</f>
        <v>0</v>
      </c>
      <c r="P6205">
        <f>IF(OR(M6205="",N6205=""),"",SUMIFS('Barang Keluar'!$E:$E,'Barang Keluar'!$A:$A,M6205,'Barang Keluar'!$C:$C,N6205))</f>
        <v>0</v>
      </c>
    </row>
    <row r="6206" spans="13:16">
      <c r="M6206" s="49">
        <f>IF($A$4+61&gt;$B$4,"",$A$4+61)</f>
        <v>46084</v>
      </c>
      <c r="N6206">
        <f>IF(M6206="","",'Master Barang'!A100)</f>
        <v>0</v>
      </c>
      <c r="O6206">
        <f>IF(N6206="","",'Master Barang'!B100)</f>
        <v>0</v>
      </c>
      <c r="P6206">
        <f>IF(OR(M6206="",N6206=""),"",SUMIFS('Barang Keluar'!$E:$E,'Barang Keluar'!$A:$A,M6206,'Barang Keluar'!$C:$C,N6206))</f>
        <v>0</v>
      </c>
    </row>
    <row r="6207" spans="13:16">
      <c r="M6207" s="49">
        <f>IF($A$4+61&gt;$B$4,"",$A$4+61)</f>
        <v>46084</v>
      </c>
      <c r="N6207">
        <f>IF(M6207="","",'Master Barang'!A101)</f>
        <v>0</v>
      </c>
      <c r="O6207">
        <f>IF(N6207="","",'Master Barang'!B101)</f>
        <v>0</v>
      </c>
      <c r="P6207">
        <f>IF(OR(M6207="",N6207=""),"",SUMIFS('Barang Keluar'!$E:$E,'Barang Keluar'!$A:$A,M6207,'Barang Keluar'!$C:$C,N6207))</f>
        <v>0</v>
      </c>
    </row>
    <row r="6208" spans="13:16">
      <c r="M6208" s="49">
        <f>IF($A$4+62&gt;$B$4,"",$A$4+62)</f>
        <v>46085</v>
      </c>
      <c r="N6208" t="str">
        <f>IF(M6208="","",'Master Barang'!A2)</f>
        <v>PRL-001</v>
      </c>
      <c r="O6208" t="str">
        <f>IF(N6208="","",'Master Barang'!B2)</f>
        <v>natura desinfectant food grade 5l</v>
      </c>
      <c r="P6208">
        <f>IF(OR(M6208="",N6208=""),"",SUMIFS('Barang Keluar'!$E:$E,'Barang Keluar'!$A:$A,M6208,'Barang Keluar'!$C:$C,N6208))</f>
        <v>0</v>
      </c>
    </row>
    <row r="6209" spans="13:16">
      <c r="M6209" s="49">
        <f>IF($A$4+62&gt;$B$4,"",$A$4+62)</f>
        <v>46085</v>
      </c>
      <c r="N6209" t="str">
        <f>IF(M6209="","",'Master Barang'!A3)</f>
        <v>PRL-002</v>
      </c>
      <c r="O6209" t="str">
        <f>IF(N6209="","",'Master Barang'!B3)</f>
        <v>sunlight cairan pencuci piring 5l</v>
      </c>
      <c r="P6209">
        <f>IF(OR(M6209="",N6209=""),"",SUMIFS('Barang Keluar'!$E:$E,'Barang Keluar'!$A:$A,M6209,'Barang Keluar'!$C:$C,N6209))</f>
        <v>0</v>
      </c>
    </row>
    <row r="6210" spans="13:16">
      <c r="M6210" s="49">
        <f>IF($A$4+62&gt;$B$4,"",$A$4+62)</f>
        <v>46085</v>
      </c>
      <c r="N6210" t="str">
        <f>IF(M6210="","",'Master Barang'!A4)</f>
        <v>PRL-003</v>
      </c>
      <c r="O6210" t="str">
        <f>IF(N6210="","",'Master Barang'!B4)</f>
        <v>oixs cleaner 1l</v>
      </c>
      <c r="P6210">
        <f>IF(OR(M6210="",N6210=""),"",SUMIFS('Barang Keluar'!$E:$E,'Barang Keluar'!$A:$A,M6210,'Barang Keluar'!$C:$C,N6210))</f>
        <v>0</v>
      </c>
    </row>
    <row r="6211" spans="13:16">
      <c r="M6211" s="49">
        <f>IF($A$4+62&gt;$B$4,"",$A$4+62)</f>
        <v>46085</v>
      </c>
      <c r="N6211" t="str">
        <f>IF(M6211="","",'Master Barang'!A5)</f>
        <v>PRL-004</v>
      </c>
      <c r="O6211" t="str">
        <f>IF(N6211="","",'Master Barang'!B5)</f>
        <v>be clean tissue serbaguna</v>
      </c>
      <c r="P6211">
        <f>IF(OR(M6211="",N6211=""),"",SUMIFS('Barang Keluar'!$E:$E,'Barang Keluar'!$A:$A,M6211,'Barang Keluar'!$C:$C,N6211))</f>
        <v>0</v>
      </c>
    </row>
    <row r="6212" spans="13:16">
      <c r="M6212" s="49">
        <f>IF($A$4+62&gt;$B$4,"",$A$4+62)</f>
        <v>46085</v>
      </c>
      <c r="N6212" t="str">
        <f>IF(M6212="","",'Master Barang'!A6)</f>
        <v>PRL-005</v>
      </c>
      <c r="O6212" t="str">
        <f>IF(N6212="","",'Master Barang'!B6)</f>
        <v>spons cuci hijau</v>
      </c>
      <c r="P6212">
        <f>IF(OR(M6212="",N6212=""),"",SUMIFS('Barang Keluar'!$E:$E,'Barang Keluar'!$A:$A,M6212,'Barang Keluar'!$C:$C,N6212))</f>
        <v>0</v>
      </c>
    </row>
    <row r="6213" spans="13:16">
      <c r="M6213" s="49">
        <f>IF($A$4+62&gt;$B$4,"",$A$4+62)</f>
        <v>46085</v>
      </c>
      <c r="N6213" t="str">
        <f>IF(M6213="","",'Master Barang'!A7)</f>
        <v>PRL-006</v>
      </c>
      <c r="O6213" t="str">
        <f>IF(N6213="","",'Master Barang'!B7)</f>
        <v>sabut cuci stainless</v>
      </c>
      <c r="P6213">
        <f>IF(OR(M6213="",N6213=""),"",SUMIFS('Barang Keluar'!$E:$E,'Barang Keluar'!$A:$A,M6213,'Barang Keluar'!$C:$C,N6213))</f>
        <v>0</v>
      </c>
    </row>
    <row r="6214" spans="13:16">
      <c r="M6214" s="49">
        <f>IF($A$4+62&gt;$B$4,"",$A$4+62)</f>
        <v>46085</v>
      </c>
      <c r="N6214" t="str">
        <f>IF(M6214="","",'Master Barang'!A8)</f>
        <v>PRL-007</v>
      </c>
      <c r="O6214" t="str">
        <f>IF(N6214="","",'Master Barang'!B8)</f>
        <v>plastik kresek besar merah 50pc</v>
      </c>
      <c r="P6214">
        <f>IF(OR(M6214="",N6214=""),"",SUMIFS('Barang Keluar'!$E:$E,'Barang Keluar'!$A:$A,M6214,'Barang Keluar'!$C:$C,N6214))</f>
        <v>0</v>
      </c>
    </row>
    <row r="6215" spans="13:16">
      <c r="M6215" s="49">
        <f>IF($A$4+62&gt;$B$4,"",$A$4+62)</f>
        <v>46085</v>
      </c>
      <c r="N6215" t="str">
        <f>IF(M6215="","",'Master Barang'!A9)</f>
        <v>PRL-008</v>
      </c>
      <c r="O6215" t="str">
        <f>IF(N6215="","",'Master Barang'!B9)</f>
        <v>lap besar</v>
      </c>
      <c r="P6215">
        <f>IF(OR(M6215="",N6215=""),"",SUMIFS('Barang Keluar'!$E:$E,'Barang Keluar'!$A:$A,M6215,'Barang Keluar'!$C:$C,N6215))</f>
        <v>0</v>
      </c>
    </row>
    <row r="6216" spans="13:16">
      <c r="M6216" s="49">
        <f>IF($A$4+62&gt;$B$4,"",$A$4+62)</f>
        <v>46085</v>
      </c>
      <c r="N6216" t="str">
        <f>IF(M6216="","",'Master Barang'!A10)</f>
        <v>PRL-009</v>
      </c>
      <c r="O6216" t="str">
        <f>IF(N6216="","",'Master Barang'!B10)</f>
        <v>lap microfiber</v>
      </c>
      <c r="P6216">
        <f>IF(OR(M6216="",N6216=""),"",SUMIFS('Barang Keluar'!$E:$E,'Barang Keluar'!$A:$A,M6216,'Barang Keluar'!$C:$C,N6216))</f>
        <v>0</v>
      </c>
    </row>
    <row r="6217" spans="13:16">
      <c r="M6217" s="49">
        <f>IF($A$4+62&gt;$B$4,"",$A$4+62)</f>
        <v>46085</v>
      </c>
      <c r="N6217" t="str">
        <f>IF(M6217="","",'Master Barang'!A11)</f>
        <v>PRL-010</v>
      </c>
      <c r="O6217" t="str">
        <f>IF(N6217="","",'Master Barang'!B11)</f>
        <v>lap kecil</v>
      </c>
      <c r="P6217">
        <f>IF(OR(M6217="",N6217=""),"",SUMIFS('Barang Keluar'!$E:$E,'Barang Keluar'!$A:$A,M6217,'Barang Keluar'!$C:$C,N6217))</f>
        <v>0</v>
      </c>
    </row>
    <row r="6218" spans="13:16">
      <c r="M6218" s="49">
        <f>IF($A$4+62&gt;$B$4,"",$A$4+62)</f>
        <v>46085</v>
      </c>
      <c r="N6218" t="str">
        <f>IF(M6218="","",'Master Barang'!A12)</f>
        <v>PRL-011</v>
      </c>
      <c r="O6218" t="str">
        <f>IF(N6218="","",'Master Barang'!B12)</f>
        <v>kanebo kecil</v>
      </c>
      <c r="P6218">
        <f>IF(OR(M6218="",N6218=""),"",SUMIFS('Barang Keluar'!$E:$E,'Barang Keluar'!$A:$A,M6218,'Barang Keluar'!$C:$C,N6218))</f>
        <v>0</v>
      </c>
    </row>
    <row r="6219" spans="13:16">
      <c r="M6219" s="49">
        <f>IF($A$4+62&gt;$B$4,"",$A$4+62)</f>
        <v>46085</v>
      </c>
      <c r="N6219" t="str">
        <f>IF(M6219="","",'Master Barang'!A13)</f>
        <v>PRL-012</v>
      </c>
      <c r="O6219" t="str">
        <f>IF(N6219="","",'Master Barang'!B13)</f>
        <v>plastik 1/4kg joyoboyo 100 lembar</v>
      </c>
      <c r="P6219">
        <f>IF(OR(M6219="",N6219=""),"",SUMIFS('Barang Keluar'!$E:$E,'Barang Keluar'!$A:$A,M6219,'Barang Keluar'!$C:$C,N6219))</f>
        <v>0</v>
      </c>
    </row>
    <row r="6220" spans="13:16">
      <c r="M6220" s="49">
        <f>IF($A$4+62&gt;$B$4,"",$A$4+62)</f>
        <v>46085</v>
      </c>
      <c r="N6220" t="str">
        <f>IF(M6220="","",'Master Barang'!A14)</f>
        <v>PRL-013</v>
      </c>
      <c r="O6220" t="str">
        <f>IF(N6220="","",'Master Barang'!B14)</f>
        <v>sarung tangan plastik kaka 100 pcs</v>
      </c>
      <c r="P6220">
        <f>IF(OR(M6220="",N6220=""),"",SUMIFS('Barang Keluar'!$E:$E,'Barang Keluar'!$A:$A,M6220,'Barang Keluar'!$C:$C,N6220))</f>
        <v>0</v>
      </c>
    </row>
    <row r="6221" spans="13:16">
      <c r="M6221" s="49">
        <f>IF($A$4+62&gt;$B$4,"",$A$4+62)</f>
        <v>46085</v>
      </c>
      <c r="N6221" t="str">
        <f>IF(M6221="","",'Master Barang'!A15)</f>
        <v>PRL-014</v>
      </c>
      <c r="O6221" t="str">
        <f>IF(N6221="","",'Master Barang'!B15)</f>
        <v>optima trashbag 80x100</v>
      </c>
      <c r="P6221">
        <f>IF(OR(M6221="",N6221=""),"",SUMIFS('Barang Keluar'!$E:$E,'Barang Keluar'!$A:$A,M6221,'Barang Keluar'!$C:$C,N6221))</f>
        <v>0</v>
      </c>
    </row>
    <row r="6222" spans="13:16">
      <c r="M6222" s="49">
        <f>IF($A$4+62&gt;$B$4,"",$A$4+62)</f>
        <v>46085</v>
      </c>
      <c r="N6222" t="str">
        <f>IF(M6222="","",'Master Barang'!A16)</f>
        <v>PRL-015</v>
      </c>
      <c r="O6222" t="str">
        <f>IF(N6222="","",'Master Barang'!B16)</f>
        <v>optima trashbag 60x100</v>
      </c>
      <c r="P6222">
        <f>IF(OR(M6222="",N6222=""),"",SUMIFS('Barang Keluar'!$E:$E,'Barang Keluar'!$A:$A,M6222,'Barang Keluar'!$C:$C,N6222))</f>
        <v>0</v>
      </c>
    </row>
    <row r="6223" spans="13:16">
      <c r="M6223" s="49">
        <f>IF($A$4+62&gt;$B$4,"",$A$4+62)</f>
        <v>46085</v>
      </c>
      <c r="N6223" t="str">
        <f>IF(M6223="","",'Master Barang'!A17)</f>
        <v>PRL-016</v>
      </c>
      <c r="O6223" t="str">
        <f>IF(N6223="","",'Master Barang'!B17)</f>
        <v>rajawali trashbag 30x40</v>
      </c>
      <c r="P6223">
        <f>IF(OR(M6223="",N6223=""),"",SUMIFS('Barang Keluar'!$E:$E,'Barang Keluar'!$A:$A,M6223,'Barang Keluar'!$C:$C,N6223))</f>
        <v>0</v>
      </c>
    </row>
    <row r="6224" spans="13:16">
      <c r="M6224" s="49">
        <f>IF($A$4+62&gt;$B$4,"",$A$4+62)</f>
        <v>46085</v>
      </c>
      <c r="N6224" t="str">
        <f>IF(M6224="","",'Master Barang'!A18)</f>
        <v>PRL-017</v>
      </c>
      <c r="O6224" t="str">
        <f>IF(N6224="","",'Master Barang'!B18)</f>
        <v>onemed masker biru 3 play 50 pcs</v>
      </c>
      <c r="P6224">
        <f>IF(OR(M6224="",N6224=""),"",SUMIFS('Barang Keluar'!$E:$E,'Barang Keluar'!$A:$A,M6224,'Barang Keluar'!$C:$C,N6224))</f>
        <v>0</v>
      </c>
    </row>
    <row r="6225" spans="13:16">
      <c r="M6225" s="49">
        <f>IF($A$4+62&gt;$B$4,"",$A$4+62)</f>
        <v>46085</v>
      </c>
      <c r="N6225" t="str">
        <f>IF(M6225="","",'Master Barang'!A19)</f>
        <v>PRL-018</v>
      </c>
      <c r="O6225" t="str">
        <f>IF(N6225="","",'Master Barang'!B19)</f>
        <v>onemed masker biru 3 play hijab 50 pcs</v>
      </c>
      <c r="P6225">
        <f>IF(OR(M6225="",N6225=""),"",SUMIFS('Barang Keluar'!$E:$E,'Barang Keluar'!$A:$A,M6225,'Barang Keluar'!$C:$C,N6225))</f>
        <v>0</v>
      </c>
    </row>
    <row r="6226" spans="13:16">
      <c r="M6226" s="49">
        <f>IF($A$4+62&gt;$B$4,"",$A$4+62)</f>
        <v>46085</v>
      </c>
      <c r="N6226" t="str">
        <f>IF(M6226="","",'Master Barang'!A20)</f>
        <v>PRL-019</v>
      </c>
      <c r="O6226" t="str">
        <f>IF(N6226="","",'Master Barang'!B20)</f>
        <v>neo health masker biru 3 play 50 pcs</v>
      </c>
      <c r="P6226">
        <f>IF(OR(M6226="",N6226=""),"",SUMIFS('Barang Keluar'!$E:$E,'Barang Keluar'!$A:$A,M6226,'Barang Keluar'!$C:$C,N6226))</f>
        <v>0</v>
      </c>
    </row>
    <row r="6227" spans="13:16">
      <c r="M6227" s="49">
        <f>IF($A$4+62&gt;$B$4,"",$A$4+62)</f>
        <v>46085</v>
      </c>
      <c r="N6227" t="str">
        <f>IF(M6227="","",'Master Barang'!A21)</f>
        <v>PRL-020</v>
      </c>
      <c r="O6227" t="str">
        <f>IF(N6227="","",'Master Barang'!B21)</f>
        <v>baymed masker hijau 3 play hijau 50 pcs</v>
      </c>
      <c r="P6227">
        <f>IF(OR(M6227="",N6227=""),"",SUMIFS('Barang Keluar'!$E:$E,'Barang Keluar'!$A:$A,M6227,'Barang Keluar'!$C:$C,N6227))</f>
        <v>0</v>
      </c>
    </row>
    <row r="6228" spans="13:16">
      <c r="M6228" s="49">
        <f>IF($A$4+62&gt;$B$4,"",$A$4+62)</f>
        <v>46085</v>
      </c>
      <c r="N6228" t="str">
        <f>IF(M6228="","",'Master Barang'!A22)</f>
        <v>PRL-021</v>
      </c>
      <c r="O6228" t="str">
        <f>IF(N6228="","",'Master Barang'!B22)</f>
        <v>altamed nurse cap penutup kepala 100 pcs</v>
      </c>
      <c r="P6228">
        <f>IF(OR(M6228="",N6228=""),"",SUMIFS('Barang Keluar'!$E:$E,'Barang Keluar'!$A:$A,M6228,'Barang Keluar'!$C:$C,N6228))</f>
        <v>0</v>
      </c>
    </row>
    <row r="6229" spans="13:16">
      <c r="M6229" s="49">
        <f>IF($A$4+62&gt;$B$4,"",$A$4+62)</f>
        <v>46085</v>
      </c>
      <c r="N6229" t="str">
        <f>IF(M6229="","",'Master Barang'!A23)</f>
        <v>PRL-022</v>
      </c>
      <c r="O6229" t="str">
        <f>IF(N6229="","",'Master Barang'!B23)</f>
        <v>sabun cuci tangan</v>
      </c>
      <c r="P6229">
        <f>IF(OR(M6229="",N6229=""),"",SUMIFS('Barang Keluar'!$E:$E,'Barang Keluar'!$A:$A,M6229,'Barang Keluar'!$C:$C,N6229))</f>
        <v>0</v>
      </c>
    </row>
    <row r="6230" spans="13:16">
      <c r="M6230" s="49">
        <f>IF($A$4+62&gt;$B$4,"",$A$4+62)</f>
        <v>46085</v>
      </c>
      <c r="N6230" t="str">
        <f>IF(M6230="","",'Master Barang'!A24)</f>
        <v>PRL-023</v>
      </c>
      <c r="O6230" t="str">
        <f>IF(N6230="","",'Master Barang'!B24)</f>
        <v>gayung kecil</v>
      </c>
      <c r="P6230">
        <f>IF(OR(M6230="",N6230=""),"",SUMIFS('Barang Keluar'!$E:$E,'Barang Keluar'!$A:$A,M6230,'Barang Keluar'!$C:$C,N6230))</f>
        <v>0</v>
      </c>
    </row>
    <row r="6231" spans="13:16">
      <c r="M6231" s="49">
        <f>IF($A$4+62&gt;$B$4,"",$A$4+62)</f>
        <v>46085</v>
      </c>
      <c r="N6231" t="str">
        <f>IF(M6231="","",'Master Barang'!A25)</f>
        <v>PRL-024</v>
      </c>
      <c r="O6231" t="str">
        <f>IF(N6231="","",'Master Barang'!B25)</f>
        <v>cikrak kecil</v>
      </c>
      <c r="P6231">
        <f>IF(OR(M6231="",N6231=""),"",SUMIFS('Barang Keluar'!$E:$E,'Barang Keluar'!$A:$A,M6231,'Barang Keluar'!$C:$C,N6231))</f>
        <v>0</v>
      </c>
    </row>
    <row r="6232" spans="13:16">
      <c r="M6232" s="49">
        <f>IF($A$4+62&gt;$B$4,"",$A$4+62)</f>
        <v>46085</v>
      </c>
      <c r="N6232" t="str">
        <f>IF(M6232="","",'Master Barang'!A26)</f>
        <v>PRL-025</v>
      </c>
      <c r="O6232" t="str">
        <f>IF(N6232="","",'Master Barang'!B26)</f>
        <v>petromax plastik kecil 12x24 100 lembar</v>
      </c>
      <c r="P6232">
        <f>IF(OR(M6232="",N6232=""),"",SUMIFS('Barang Keluar'!$E:$E,'Barang Keluar'!$A:$A,M6232,'Barang Keluar'!$C:$C,N6232))</f>
        <v>0</v>
      </c>
    </row>
    <row r="6233" spans="13:16">
      <c r="M6233" s="49">
        <f>IF($A$4+62&gt;$B$4,"",$A$4+62)</f>
        <v>46085</v>
      </c>
      <c r="N6233" t="str">
        <f>IF(M6233="","",'Master Barang'!A27)</f>
        <v>PRL-026</v>
      </c>
      <c r="O6233" t="str">
        <f>IF(N6233="","",'Master Barang'!B27)</f>
        <v>lancar kresek kecil bening </v>
      </c>
      <c r="P6233">
        <f>IF(OR(M6233="",N6233=""),"",SUMIFS('Barang Keluar'!$E:$E,'Barang Keluar'!$A:$A,M6233,'Barang Keluar'!$C:$C,N6233))</f>
        <v>0</v>
      </c>
    </row>
    <row r="6234" spans="13:16">
      <c r="M6234" s="49">
        <f>IF($A$4+62&gt;$B$4,"",$A$4+62)</f>
        <v>46085</v>
      </c>
      <c r="N6234" t="str">
        <f>IF(M6234="","",'Master Barang'!A28)</f>
        <v>PRL-027</v>
      </c>
      <c r="O6234" t="str">
        <f>IF(N6234="","",'Master Barang'!B28)</f>
        <v>kresek klin warna warni kecil</v>
      </c>
      <c r="P6234">
        <f>IF(OR(M6234="",N6234=""),"",SUMIFS('Barang Keluar'!$E:$E,'Barang Keluar'!$A:$A,M6234,'Barang Keluar'!$C:$C,N6234))</f>
        <v>0</v>
      </c>
    </row>
    <row r="6235" spans="13:16">
      <c r="M6235" s="49">
        <f>IF($A$4+62&gt;$B$4,"",$A$4+62)</f>
        <v>46085</v>
      </c>
      <c r="N6235" t="str">
        <f>IF(M6235="","",'Master Barang'!A29)</f>
        <v>PRL-028</v>
      </c>
      <c r="O6235" t="str">
        <f>IF(N6235="","",'Master Barang'!B29)</f>
        <v>ctik plastik 7x10 100 pcs</v>
      </c>
      <c r="P6235">
        <f>IF(OR(M6235="",N6235=""),"",SUMIFS('Barang Keluar'!$E:$E,'Barang Keluar'!$A:$A,M6235,'Barang Keluar'!$C:$C,N6235))</f>
        <v>0</v>
      </c>
    </row>
    <row r="6236" spans="13:16">
      <c r="M6236" s="49">
        <f>IF($A$4+62&gt;$B$4,"",$A$4+62)</f>
        <v>46085</v>
      </c>
      <c r="N6236" t="str">
        <f>IF(M6236="","",'Master Barang'!A30)</f>
        <v>PRL-029</v>
      </c>
      <c r="O6236" t="str">
        <f>IF(N6236="","",'Master Barang'!B30)</f>
        <v>ctik plastik 6x10 100 pcs</v>
      </c>
      <c r="P6236">
        <f>IF(OR(M6236="",N6236=""),"",SUMIFS('Barang Keluar'!$E:$E,'Barang Keluar'!$A:$A,M6236,'Barang Keluar'!$C:$C,N6236))</f>
        <v>0</v>
      </c>
    </row>
    <row r="6237" spans="13:16">
      <c r="M6237" s="49">
        <f>IF($A$4+62&gt;$B$4,"",$A$4+62)</f>
        <v>46085</v>
      </c>
      <c r="N6237" t="str">
        <f>IF(M6237="","",'Master Barang'!A31)</f>
        <v>PRL-030</v>
      </c>
      <c r="O6237" t="str">
        <f>IF(N6237="","",'Master Barang'!B31)</f>
        <v>klip plastik 25x16 100 pcs</v>
      </c>
      <c r="P6237">
        <f>IF(OR(M6237="",N6237=""),"",SUMIFS('Barang Keluar'!$E:$E,'Barang Keluar'!$A:$A,M6237,'Barang Keluar'!$C:$C,N6237))</f>
        <v>0</v>
      </c>
    </row>
    <row r="6238" spans="13:16">
      <c r="M6238" s="49">
        <f>IF($A$4+62&gt;$B$4,"",$A$4+62)</f>
        <v>46085</v>
      </c>
      <c r="N6238" t="str">
        <f>IF(M6238="","",'Master Barang'!A32)</f>
        <v>PRL-031</v>
      </c>
      <c r="O6238" t="str">
        <f>IF(N6238="","",'Master Barang'!B32)</f>
        <v>tempat saus 20 ml</v>
      </c>
      <c r="P6238">
        <f>IF(OR(M6238="",N6238=""),"",SUMIFS('Barang Keluar'!$E:$E,'Barang Keluar'!$A:$A,M6238,'Barang Keluar'!$C:$C,N6238))</f>
        <v>0</v>
      </c>
    </row>
    <row r="6239" spans="13:16">
      <c r="M6239" s="49">
        <f>IF($A$4+62&gt;$B$4,"",$A$4+62)</f>
        <v>46085</v>
      </c>
      <c r="N6239" t="str">
        <f>IF(M6239="","",'Master Barang'!A33)</f>
        <v>PRL-032</v>
      </c>
      <c r="O6239" t="str">
        <f>IF(N6239="","",'Master Barang'!B33)</f>
        <v>plastik packaging ag box uk sedang</v>
      </c>
      <c r="P6239">
        <f>IF(OR(M6239="",N6239=""),"",SUMIFS('Barang Keluar'!$E:$E,'Barang Keluar'!$A:$A,M6239,'Barang Keluar'!$C:$C,N6239))</f>
        <v>0</v>
      </c>
    </row>
    <row r="6240" spans="13:16">
      <c r="M6240" s="49">
        <f>IF($A$4+62&gt;$B$4,"",$A$4+62)</f>
        <v>46085</v>
      </c>
      <c r="N6240" t="str">
        <f>IF(M6240="","",'Master Barang'!A34)</f>
        <v>PRL-033</v>
      </c>
      <c r="O6240">
        <f>IF(N6240="","",'Master Barang'!B34)</f>
        <v>0</v>
      </c>
      <c r="P6240">
        <f>IF(OR(M6240="",N6240=""),"",SUMIFS('Barang Keluar'!$E:$E,'Barang Keluar'!$A:$A,M6240,'Barang Keluar'!$C:$C,N6240))</f>
        <v>0</v>
      </c>
    </row>
    <row r="6241" spans="13:16">
      <c r="M6241" s="49">
        <f>IF($A$4+62&gt;$B$4,"",$A$4+62)</f>
        <v>46085</v>
      </c>
      <c r="N6241">
        <f>IF(M6241="","",'Master Barang'!A35)</f>
        <v>0</v>
      </c>
      <c r="O6241">
        <f>IF(N6241="","",'Master Barang'!B35)</f>
        <v>0</v>
      </c>
      <c r="P6241">
        <f>IF(OR(M6241="",N6241=""),"",SUMIFS('Barang Keluar'!$E:$E,'Barang Keluar'!$A:$A,M6241,'Barang Keluar'!$C:$C,N6241))</f>
        <v>0</v>
      </c>
    </row>
    <row r="6242" spans="13:16">
      <c r="M6242" s="49">
        <f>IF($A$4+62&gt;$B$4,"",$A$4+62)</f>
        <v>46085</v>
      </c>
      <c r="N6242">
        <f>IF(M6242="","",'Master Barang'!A36)</f>
        <v>0</v>
      </c>
      <c r="O6242">
        <f>IF(N6242="","",'Master Barang'!B36)</f>
        <v>0</v>
      </c>
      <c r="P6242">
        <f>IF(OR(M6242="",N6242=""),"",SUMIFS('Barang Keluar'!$E:$E,'Barang Keluar'!$A:$A,M6242,'Barang Keluar'!$C:$C,N6242))</f>
        <v>0</v>
      </c>
    </row>
    <row r="6243" spans="13:16">
      <c r="M6243" s="49">
        <f>IF($A$4+62&gt;$B$4,"",$A$4+62)</f>
        <v>46085</v>
      </c>
      <c r="N6243">
        <f>IF(M6243="","",'Master Barang'!A37)</f>
        <v>0</v>
      </c>
      <c r="O6243">
        <f>IF(N6243="","",'Master Barang'!B37)</f>
        <v>0</v>
      </c>
      <c r="P6243">
        <f>IF(OR(M6243="",N6243=""),"",SUMIFS('Barang Keluar'!$E:$E,'Barang Keluar'!$A:$A,M6243,'Barang Keluar'!$C:$C,N6243))</f>
        <v>0</v>
      </c>
    </row>
    <row r="6244" spans="13:16">
      <c r="M6244" s="49">
        <f>IF($A$4+62&gt;$B$4,"",$A$4+62)</f>
        <v>46085</v>
      </c>
      <c r="N6244">
        <f>IF(M6244="","",'Master Barang'!A38)</f>
        <v>0</v>
      </c>
      <c r="O6244">
        <f>IF(N6244="","",'Master Barang'!B38)</f>
        <v>0</v>
      </c>
      <c r="P6244">
        <f>IF(OR(M6244="",N6244=""),"",SUMIFS('Barang Keluar'!$E:$E,'Barang Keluar'!$A:$A,M6244,'Barang Keluar'!$C:$C,N6244))</f>
        <v>0</v>
      </c>
    </row>
    <row r="6245" spans="13:16">
      <c r="M6245" s="49">
        <f>IF($A$4+62&gt;$B$4,"",$A$4+62)</f>
        <v>46085</v>
      </c>
      <c r="N6245">
        <f>IF(M6245="","",'Master Barang'!A39)</f>
        <v>0</v>
      </c>
      <c r="O6245">
        <f>IF(N6245="","",'Master Barang'!B39)</f>
        <v>0</v>
      </c>
      <c r="P6245">
        <f>IF(OR(M6245="",N6245=""),"",SUMIFS('Barang Keluar'!$E:$E,'Barang Keluar'!$A:$A,M6245,'Barang Keluar'!$C:$C,N6245))</f>
        <v>0</v>
      </c>
    </row>
    <row r="6246" spans="13:16">
      <c r="M6246" s="49">
        <f>IF($A$4+62&gt;$B$4,"",$A$4+62)</f>
        <v>46085</v>
      </c>
      <c r="N6246">
        <f>IF(M6246="","",'Master Barang'!A40)</f>
        <v>0</v>
      </c>
      <c r="O6246">
        <f>IF(N6246="","",'Master Barang'!B40)</f>
        <v>0</v>
      </c>
      <c r="P6246">
        <f>IF(OR(M6246="",N6246=""),"",SUMIFS('Barang Keluar'!$E:$E,'Barang Keluar'!$A:$A,M6246,'Barang Keluar'!$C:$C,N6246))</f>
        <v>0</v>
      </c>
    </row>
    <row r="6247" spans="13:16">
      <c r="M6247" s="49">
        <f>IF($A$4+62&gt;$B$4,"",$A$4+62)</f>
        <v>46085</v>
      </c>
      <c r="N6247">
        <f>IF(M6247="","",'Master Barang'!A41)</f>
        <v>0</v>
      </c>
      <c r="O6247">
        <f>IF(N6247="","",'Master Barang'!B41)</f>
        <v>0</v>
      </c>
      <c r="P6247">
        <f>IF(OR(M6247="",N6247=""),"",SUMIFS('Barang Keluar'!$E:$E,'Barang Keluar'!$A:$A,M6247,'Barang Keluar'!$C:$C,N6247))</f>
        <v>0</v>
      </c>
    </row>
    <row r="6248" spans="13:16">
      <c r="M6248" s="49">
        <f>IF($A$4+62&gt;$B$4,"",$A$4+62)</f>
        <v>46085</v>
      </c>
      <c r="N6248">
        <f>IF(M6248="","",'Master Barang'!A42)</f>
        <v>0</v>
      </c>
      <c r="O6248">
        <f>IF(N6248="","",'Master Barang'!B42)</f>
        <v>0</v>
      </c>
      <c r="P6248">
        <f>IF(OR(M6248="",N6248=""),"",SUMIFS('Barang Keluar'!$E:$E,'Barang Keluar'!$A:$A,M6248,'Barang Keluar'!$C:$C,N6248))</f>
        <v>0</v>
      </c>
    </row>
    <row r="6249" spans="13:16">
      <c r="M6249" s="49">
        <f>IF($A$4+62&gt;$B$4,"",$A$4+62)</f>
        <v>46085</v>
      </c>
      <c r="N6249">
        <f>IF(M6249="","",'Master Barang'!A43)</f>
        <v>0</v>
      </c>
      <c r="O6249">
        <f>IF(N6249="","",'Master Barang'!B43)</f>
        <v>0</v>
      </c>
      <c r="P6249">
        <f>IF(OR(M6249="",N6249=""),"",SUMIFS('Barang Keluar'!$E:$E,'Barang Keluar'!$A:$A,M6249,'Barang Keluar'!$C:$C,N6249))</f>
        <v>0</v>
      </c>
    </row>
    <row r="6250" spans="13:16">
      <c r="M6250" s="49">
        <f>IF($A$4+62&gt;$B$4,"",$A$4+62)</f>
        <v>46085</v>
      </c>
      <c r="N6250">
        <f>IF(M6250="","",'Master Barang'!A44)</f>
        <v>0</v>
      </c>
      <c r="O6250">
        <f>IF(N6250="","",'Master Barang'!B44)</f>
        <v>0</v>
      </c>
      <c r="P6250">
        <f>IF(OR(M6250="",N6250=""),"",SUMIFS('Barang Keluar'!$E:$E,'Barang Keluar'!$A:$A,M6250,'Barang Keluar'!$C:$C,N6250))</f>
        <v>0</v>
      </c>
    </row>
    <row r="6251" spans="13:16">
      <c r="M6251" s="49">
        <f>IF($A$4+62&gt;$B$4,"",$A$4+62)</f>
        <v>46085</v>
      </c>
      <c r="N6251">
        <f>IF(M6251="","",'Master Barang'!A45)</f>
        <v>0</v>
      </c>
      <c r="O6251">
        <f>IF(N6251="","",'Master Barang'!B45)</f>
        <v>0</v>
      </c>
      <c r="P6251">
        <f>IF(OR(M6251="",N6251=""),"",SUMIFS('Barang Keluar'!$E:$E,'Barang Keluar'!$A:$A,M6251,'Barang Keluar'!$C:$C,N6251))</f>
        <v>0</v>
      </c>
    </row>
    <row r="6252" spans="13:16">
      <c r="M6252" s="49">
        <f>IF($A$4+62&gt;$B$4,"",$A$4+62)</f>
        <v>46085</v>
      </c>
      <c r="N6252">
        <f>IF(M6252="","",'Master Barang'!A46)</f>
        <v>0</v>
      </c>
      <c r="O6252">
        <f>IF(N6252="","",'Master Barang'!B46)</f>
        <v>0</v>
      </c>
      <c r="P6252">
        <f>IF(OR(M6252="",N6252=""),"",SUMIFS('Barang Keluar'!$E:$E,'Barang Keluar'!$A:$A,M6252,'Barang Keluar'!$C:$C,N6252))</f>
        <v>0</v>
      </c>
    </row>
    <row r="6253" spans="13:16">
      <c r="M6253" s="49">
        <f>IF($A$4+62&gt;$B$4,"",$A$4+62)</f>
        <v>46085</v>
      </c>
      <c r="N6253">
        <f>IF(M6253="","",'Master Barang'!A47)</f>
        <v>0</v>
      </c>
      <c r="O6253">
        <f>IF(N6253="","",'Master Barang'!B47)</f>
        <v>0</v>
      </c>
      <c r="P6253">
        <f>IF(OR(M6253="",N6253=""),"",SUMIFS('Barang Keluar'!$E:$E,'Barang Keluar'!$A:$A,M6253,'Barang Keluar'!$C:$C,N6253))</f>
        <v>0</v>
      </c>
    </row>
    <row r="6254" spans="13:16">
      <c r="M6254" s="49">
        <f>IF($A$4+62&gt;$B$4,"",$A$4+62)</f>
        <v>46085</v>
      </c>
      <c r="N6254">
        <f>IF(M6254="","",'Master Barang'!A48)</f>
        <v>0</v>
      </c>
      <c r="O6254">
        <f>IF(N6254="","",'Master Barang'!B48)</f>
        <v>0</v>
      </c>
      <c r="P6254">
        <f>IF(OR(M6254="",N6254=""),"",SUMIFS('Barang Keluar'!$E:$E,'Barang Keluar'!$A:$A,M6254,'Barang Keluar'!$C:$C,N6254))</f>
        <v>0</v>
      </c>
    </row>
    <row r="6255" spans="13:16">
      <c r="M6255" s="49">
        <f>IF($A$4+62&gt;$B$4,"",$A$4+62)</f>
        <v>46085</v>
      </c>
      <c r="N6255">
        <f>IF(M6255="","",'Master Barang'!A49)</f>
        <v>0</v>
      </c>
      <c r="O6255">
        <f>IF(N6255="","",'Master Barang'!B49)</f>
        <v>0</v>
      </c>
      <c r="P6255">
        <f>IF(OR(M6255="",N6255=""),"",SUMIFS('Barang Keluar'!$E:$E,'Barang Keluar'!$A:$A,M6255,'Barang Keluar'!$C:$C,N6255))</f>
        <v>0</v>
      </c>
    </row>
    <row r="6256" spans="13:16">
      <c r="M6256" s="49">
        <f>IF($A$4+62&gt;$B$4,"",$A$4+62)</f>
        <v>46085</v>
      </c>
      <c r="N6256">
        <f>IF(M6256="","",'Master Barang'!A50)</f>
        <v>0</v>
      </c>
      <c r="O6256">
        <f>IF(N6256="","",'Master Barang'!B50)</f>
        <v>0</v>
      </c>
      <c r="P6256">
        <f>IF(OR(M6256="",N6256=""),"",SUMIFS('Barang Keluar'!$E:$E,'Barang Keluar'!$A:$A,M6256,'Barang Keluar'!$C:$C,N6256))</f>
        <v>0</v>
      </c>
    </row>
    <row r="6257" spans="13:16">
      <c r="M6257" s="49">
        <f>IF($A$4+62&gt;$B$4,"",$A$4+62)</f>
        <v>46085</v>
      </c>
      <c r="N6257">
        <f>IF(M6257="","",'Master Barang'!A51)</f>
        <v>0</v>
      </c>
      <c r="O6257">
        <f>IF(N6257="","",'Master Barang'!B51)</f>
        <v>0</v>
      </c>
      <c r="P6257">
        <f>IF(OR(M6257="",N6257=""),"",SUMIFS('Barang Keluar'!$E:$E,'Barang Keluar'!$A:$A,M6257,'Barang Keluar'!$C:$C,N6257))</f>
        <v>0</v>
      </c>
    </row>
    <row r="6258" spans="13:16">
      <c r="M6258" s="49">
        <f>IF($A$4+62&gt;$B$4,"",$A$4+62)</f>
        <v>46085</v>
      </c>
      <c r="N6258">
        <f>IF(M6258="","",'Master Barang'!A52)</f>
        <v>0</v>
      </c>
      <c r="O6258">
        <f>IF(N6258="","",'Master Barang'!B52)</f>
        <v>0</v>
      </c>
      <c r="P6258">
        <f>IF(OR(M6258="",N6258=""),"",SUMIFS('Barang Keluar'!$E:$E,'Barang Keluar'!$A:$A,M6258,'Barang Keluar'!$C:$C,N6258))</f>
        <v>0</v>
      </c>
    </row>
    <row r="6259" spans="13:16">
      <c r="M6259" s="49">
        <f>IF($A$4+62&gt;$B$4,"",$A$4+62)</f>
        <v>46085</v>
      </c>
      <c r="N6259">
        <f>IF(M6259="","",'Master Barang'!A53)</f>
        <v>0</v>
      </c>
      <c r="O6259">
        <f>IF(N6259="","",'Master Barang'!B53)</f>
        <v>0</v>
      </c>
      <c r="P6259">
        <f>IF(OR(M6259="",N6259=""),"",SUMIFS('Barang Keluar'!$E:$E,'Barang Keluar'!$A:$A,M6259,'Barang Keluar'!$C:$C,N6259))</f>
        <v>0</v>
      </c>
    </row>
    <row r="6260" spans="13:16">
      <c r="M6260" s="49">
        <f>IF($A$4+62&gt;$B$4,"",$A$4+62)</f>
        <v>46085</v>
      </c>
      <c r="N6260">
        <f>IF(M6260="","",'Master Barang'!A54)</f>
        <v>0</v>
      </c>
      <c r="O6260">
        <f>IF(N6260="","",'Master Barang'!B54)</f>
        <v>0</v>
      </c>
      <c r="P6260">
        <f>IF(OR(M6260="",N6260=""),"",SUMIFS('Barang Keluar'!$E:$E,'Barang Keluar'!$A:$A,M6260,'Barang Keluar'!$C:$C,N6260))</f>
        <v>0</v>
      </c>
    </row>
    <row r="6261" spans="13:16">
      <c r="M6261" s="49">
        <f>IF($A$4+62&gt;$B$4,"",$A$4+62)</f>
        <v>46085</v>
      </c>
      <c r="N6261">
        <f>IF(M6261="","",'Master Barang'!A55)</f>
        <v>0</v>
      </c>
      <c r="O6261">
        <f>IF(N6261="","",'Master Barang'!B55)</f>
        <v>0</v>
      </c>
      <c r="P6261">
        <f>IF(OR(M6261="",N6261=""),"",SUMIFS('Barang Keluar'!$E:$E,'Barang Keluar'!$A:$A,M6261,'Barang Keluar'!$C:$C,N6261))</f>
        <v>0</v>
      </c>
    </row>
    <row r="6262" spans="13:16">
      <c r="M6262" s="49">
        <f>IF($A$4+62&gt;$B$4,"",$A$4+62)</f>
        <v>46085</v>
      </c>
      <c r="N6262">
        <f>IF(M6262="","",'Master Barang'!A56)</f>
        <v>0</v>
      </c>
      <c r="O6262">
        <f>IF(N6262="","",'Master Barang'!B56)</f>
        <v>0</v>
      </c>
      <c r="P6262">
        <f>IF(OR(M6262="",N6262=""),"",SUMIFS('Barang Keluar'!$E:$E,'Barang Keluar'!$A:$A,M6262,'Barang Keluar'!$C:$C,N6262))</f>
        <v>0</v>
      </c>
    </row>
    <row r="6263" spans="13:16">
      <c r="M6263" s="49">
        <f>IF($A$4+62&gt;$B$4,"",$A$4+62)</f>
        <v>46085</v>
      </c>
      <c r="N6263">
        <f>IF(M6263="","",'Master Barang'!A57)</f>
        <v>0</v>
      </c>
      <c r="O6263">
        <f>IF(N6263="","",'Master Barang'!B57)</f>
        <v>0</v>
      </c>
      <c r="P6263">
        <f>IF(OR(M6263="",N6263=""),"",SUMIFS('Barang Keluar'!$E:$E,'Barang Keluar'!$A:$A,M6263,'Barang Keluar'!$C:$C,N6263))</f>
        <v>0</v>
      </c>
    </row>
    <row r="6264" spans="13:16">
      <c r="M6264" s="49">
        <f>IF($A$4+62&gt;$B$4,"",$A$4+62)</f>
        <v>46085</v>
      </c>
      <c r="N6264">
        <f>IF(M6264="","",'Master Barang'!A58)</f>
        <v>0</v>
      </c>
      <c r="O6264">
        <f>IF(N6264="","",'Master Barang'!B58)</f>
        <v>0</v>
      </c>
      <c r="P6264">
        <f>IF(OR(M6264="",N6264=""),"",SUMIFS('Barang Keluar'!$E:$E,'Barang Keluar'!$A:$A,M6264,'Barang Keluar'!$C:$C,N6264))</f>
        <v>0</v>
      </c>
    </row>
    <row r="6265" spans="13:16">
      <c r="M6265" s="49">
        <f>IF($A$4+62&gt;$B$4,"",$A$4+62)</f>
        <v>46085</v>
      </c>
      <c r="N6265">
        <f>IF(M6265="","",'Master Barang'!A59)</f>
        <v>0</v>
      </c>
      <c r="O6265">
        <f>IF(N6265="","",'Master Barang'!B59)</f>
        <v>0</v>
      </c>
      <c r="P6265">
        <f>IF(OR(M6265="",N6265=""),"",SUMIFS('Barang Keluar'!$E:$E,'Barang Keluar'!$A:$A,M6265,'Barang Keluar'!$C:$C,N6265))</f>
        <v>0</v>
      </c>
    </row>
    <row r="6266" spans="13:16">
      <c r="M6266" s="49">
        <f>IF($A$4+62&gt;$B$4,"",$A$4+62)</f>
        <v>46085</v>
      </c>
      <c r="N6266">
        <f>IF(M6266="","",'Master Barang'!A60)</f>
        <v>0</v>
      </c>
      <c r="O6266">
        <f>IF(N6266="","",'Master Barang'!B60)</f>
        <v>0</v>
      </c>
      <c r="P6266">
        <f>IF(OR(M6266="",N6266=""),"",SUMIFS('Barang Keluar'!$E:$E,'Barang Keluar'!$A:$A,M6266,'Barang Keluar'!$C:$C,N6266))</f>
        <v>0</v>
      </c>
    </row>
    <row r="6267" spans="13:16">
      <c r="M6267" s="49">
        <f>IF($A$4+62&gt;$B$4,"",$A$4+62)</f>
        <v>46085</v>
      </c>
      <c r="N6267">
        <f>IF(M6267="","",'Master Barang'!A61)</f>
        <v>0</v>
      </c>
      <c r="O6267">
        <f>IF(N6267="","",'Master Barang'!B61)</f>
        <v>0</v>
      </c>
      <c r="P6267">
        <f>IF(OR(M6267="",N6267=""),"",SUMIFS('Barang Keluar'!$E:$E,'Barang Keluar'!$A:$A,M6267,'Barang Keluar'!$C:$C,N6267))</f>
        <v>0</v>
      </c>
    </row>
    <row r="6268" spans="13:16">
      <c r="M6268" s="49">
        <f>IF($A$4+62&gt;$B$4,"",$A$4+62)</f>
        <v>46085</v>
      </c>
      <c r="N6268">
        <f>IF(M6268="","",'Master Barang'!A62)</f>
        <v>0</v>
      </c>
      <c r="O6268">
        <f>IF(N6268="","",'Master Barang'!B62)</f>
        <v>0</v>
      </c>
      <c r="P6268">
        <f>IF(OR(M6268="",N6268=""),"",SUMIFS('Barang Keluar'!$E:$E,'Barang Keluar'!$A:$A,M6268,'Barang Keluar'!$C:$C,N6268))</f>
        <v>0</v>
      </c>
    </row>
    <row r="6269" spans="13:16">
      <c r="M6269" s="49">
        <f>IF($A$4+62&gt;$B$4,"",$A$4+62)</f>
        <v>46085</v>
      </c>
      <c r="N6269">
        <f>IF(M6269="","",'Master Barang'!A63)</f>
        <v>0</v>
      </c>
      <c r="O6269">
        <f>IF(N6269="","",'Master Barang'!B63)</f>
        <v>0</v>
      </c>
      <c r="P6269">
        <f>IF(OR(M6269="",N6269=""),"",SUMIFS('Barang Keluar'!$E:$E,'Barang Keluar'!$A:$A,M6269,'Barang Keluar'!$C:$C,N6269))</f>
        <v>0</v>
      </c>
    </row>
    <row r="6270" spans="13:16">
      <c r="M6270" s="49">
        <f>IF($A$4+62&gt;$B$4,"",$A$4+62)</f>
        <v>46085</v>
      </c>
      <c r="N6270">
        <f>IF(M6270="","",'Master Barang'!A64)</f>
        <v>0</v>
      </c>
      <c r="O6270">
        <f>IF(N6270="","",'Master Barang'!B64)</f>
        <v>0</v>
      </c>
      <c r="P6270">
        <f>IF(OR(M6270="",N6270=""),"",SUMIFS('Barang Keluar'!$E:$E,'Barang Keluar'!$A:$A,M6270,'Barang Keluar'!$C:$C,N6270))</f>
        <v>0</v>
      </c>
    </row>
    <row r="6271" spans="13:16">
      <c r="M6271" s="49">
        <f>IF($A$4+62&gt;$B$4,"",$A$4+62)</f>
        <v>46085</v>
      </c>
      <c r="N6271">
        <f>IF(M6271="","",'Master Barang'!A65)</f>
        <v>0</v>
      </c>
      <c r="O6271">
        <f>IF(N6271="","",'Master Barang'!B65)</f>
        <v>0</v>
      </c>
      <c r="P6271">
        <f>IF(OR(M6271="",N6271=""),"",SUMIFS('Barang Keluar'!$E:$E,'Barang Keluar'!$A:$A,M6271,'Barang Keluar'!$C:$C,N6271))</f>
        <v>0</v>
      </c>
    </row>
    <row r="6272" spans="13:16">
      <c r="M6272" s="49">
        <f>IF($A$4+62&gt;$B$4,"",$A$4+62)</f>
        <v>46085</v>
      </c>
      <c r="N6272">
        <f>IF(M6272="","",'Master Barang'!A66)</f>
        <v>0</v>
      </c>
      <c r="O6272">
        <f>IF(N6272="","",'Master Barang'!B66)</f>
        <v>0</v>
      </c>
      <c r="P6272">
        <f>IF(OR(M6272="",N6272=""),"",SUMIFS('Barang Keluar'!$E:$E,'Barang Keluar'!$A:$A,M6272,'Barang Keluar'!$C:$C,N6272))</f>
        <v>0</v>
      </c>
    </row>
    <row r="6273" spans="13:16">
      <c r="M6273" s="49">
        <f>IF($A$4+62&gt;$B$4,"",$A$4+62)</f>
        <v>46085</v>
      </c>
      <c r="N6273">
        <f>IF(M6273="","",'Master Barang'!A67)</f>
        <v>0</v>
      </c>
      <c r="O6273">
        <f>IF(N6273="","",'Master Barang'!B67)</f>
        <v>0</v>
      </c>
      <c r="P6273">
        <f>IF(OR(M6273="",N6273=""),"",SUMIFS('Barang Keluar'!$E:$E,'Barang Keluar'!$A:$A,M6273,'Barang Keluar'!$C:$C,N6273))</f>
        <v>0</v>
      </c>
    </row>
    <row r="6274" spans="13:16">
      <c r="M6274" s="49">
        <f>IF($A$4+62&gt;$B$4,"",$A$4+62)</f>
        <v>46085</v>
      </c>
      <c r="N6274">
        <f>IF(M6274="","",'Master Barang'!A68)</f>
        <v>0</v>
      </c>
      <c r="O6274">
        <f>IF(N6274="","",'Master Barang'!B68)</f>
        <v>0</v>
      </c>
      <c r="P6274">
        <f>IF(OR(M6274="",N6274=""),"",SUMIFS('Barang Keluar'!$E:$E,'Barang Keluar'!$A:$A,M6274,'Barang Keluar'!$C:$C,N6274))</f>
        <v>0</v>
      </c>
    </row>
    <row r="6275" spans="13:16">
      <c r="M6275" s="49">
        <f>IF($A$4+62&gt;$B$4,"",$A$4+62)</f>
        <v>46085</v>
      </c>
      <c r="N6275">
        <f>IF(M6275="","",'Master Barang'!A69)</f>
        <v>0</v>
      </c>
      <c r="O6275">
        <f>IF(N6275="","",'Master Barang'!B69)</f>
        <v>0</v>
      </c>
      <c r="P6275">
        <f>IF(OR(M6275="",N6275=""),"",SUMIFS('Barang Keluar'!$E:$E,'Barang Keluar'!$A:$A,M6275,'Barang Keluar'!$C:$C,N6275))</f>
        <v>0</v>
      </c>
    </row>
    <row r="6276" spans="13:16">
      <c r="M6276" s="49">
        <f>IF($A$4+62&gt;$B$4,"",$A$4+62)</f>
        <v>46085</v>
      </c>
      <c r="N6276">
        <f>IF(M6276="","",'Master Barang'!A70)</f>
        <v>0</v>
      </c>
      <c r="O6276">
        <f>IF(N6276="","",'Master Barang'!B70)</f>
        <v>0</v>
      </c>
      <c r="P6276">
        <f>IF(OR(M6276="",N6276=""),"",SUMIFS('Barang Keluar'!$E:$E,'Barang Keluar'!$A:$A,M6276,'Barang Keluar'!$C:$C,N6276))</f>
        <v>0</v>
      </c>
    </row>
    <row r="6277" spans="13:16">
      <c r="M6277" s="49">
        <f>IF($A$4+62&gt;$B$4,"",$A$4+62)</f>
        <v>46085</v>
      </c>
      <c r="N6277">
        <f>IF(M6277="","",'Master Barang'!A71)</f>
        <v>0</v>
      </c>
      <c r="O6277">
        <f>IF(N6277="","",'Master Barang'!B71)</f>
        <v>0</v>
      </c>
      <c r="P6277">
        <f>IF(OR(M6277="",N6277=""),"",SUMIFS('Barang Keluar'!$E:$E,'Barang Keluar'!$A:$A,M6277,'Barang Keluar'!$C:$C,N6277))</f>
        <v>0</v>
      </c>
    </row>
    <row r="6278" spans="13:16">
      <c r="M6278" s="49">
        <f>IF($A$4+62&gt;$B$4,"",$A$4+62)</f>
        <v>46085</v>
      </c>
      <c r="N6278">
        <f>IF(M6278="","",'Master Barang'!A72)</f>
        <v>0</v>
      </c>
      <c r="O6278">
        <f>IF(N6278="","",'Master Barang'!B72)</f>
        <v>0</v>
      </c>
      <c r="P6278">
        <f>IF(OR(M6278="",N6278=""),"",SUMIFS('Barang Keluar'!$E:$E,'Barang Keluar'!$A:$A,M6278,'Barang Keluar'!$C:$C,N6278))</f>
        <v>0</v>
      </c>
    </row>
    <row r="6279" spans="13:16">
      <c r="M6279" s="49">
        <f>IF($A$4+62&gt;$B$4,"",$A$4+62)</f>
        <v>46085</v>
      </c>
      <c r="N6279">
        <f>IF(M6279="","",'Master Barang'!A73)</f>
        <v>0</v>
      </c>
      <c r="O6279">
        <f>IF(N6279="","",'Master Barang'!B73)</f>
        <v>0</v>
      </c>
      <c r="P6279">
        <f>IF(OR(M6279="",N6279=""),"",SUMIFS('Barang Keluar'!$E:$E,'Barang Keluar'!$A:$A,M6279,'Barang Keluar'!$C:$C,N6279))</f>
        <v>0</v>
      </c>
    </row>
    <row r="6280" spans="13:16">
      <c r="M6280" s="49">
        <f>IF($A$4+62&gt;$B$4,"",$A$4+62)</f>
        <v>46085</v>
      </c>
      <c r="N6280">
        <f>IF(M6280="","",'Master Barang'!A74)</f>
        <v>0</v>
      </c>
      <c r="O6280">
        <f>IF(N6280="","",'Master Barang'!B74)</f>
        <v>0</v>
      </c>
      <c r="P6280">
        <f>IF(OR(M6280="",N6280=""),"",SUMIFS('Barang Keluar'!$E:$E,'Barang Keluar'!$A:$A,M6280,'Barang Keluar'!$C:$C,N6280))</f>
        <v>0</v>
      </c>
    </row>
    <row r="6281" spans="13:16">
      <c r="M6281" s="49">
        <f>IF($A$4+62&gt;$B$4,"",$A$4+62)</f>
        <v>46085</v>
      </c>
      <c r="N6281">
        <f>IF(M6281="","",'Master Barang'!A75)</f>
        <v>0</v>
      </c>
      <c r="O6281">
        <f>IF(N6281="","",'Master Barang'!B75)</f>
        <v>0</v>
      </c>
      <c r="P6281">
        <f>IF(OR(M6281="",N6281=""),"",SUMIFS('Barang Keluar'!$E:$E,'Barang Keluar'!$A:$A,M6281,'Barang Keluar'!$C:$C,N6281))</f>
        <v>0</v>
      </c>
    </row>
    <row r="6282" spans="13:16">
      <c r="M6282" s="49">
        <f>IF($A$4+62&gt;$B$4,"",$A$4+62)</f>
        <v>46085</v>
      </c>
      <c r="N6282">
        <f>IF(M6282="","",'Master Barang'!A76)</f>
        <v>0</v>
      </c>
      <c r="O6282">
        <f>IF(N6282="","",'Master Barang'!B76)</f>
        <v>0</v>
      </c>
      <c r="P6282">
        <f>IF(OR(M6282="",N6282=""),"",SUMIFS('Barang Keluar'!$E:$E,'Barang Keluar'!$A:$A,M6282,'Barang Keluar'!$C:$C,N6282))</f>
        <v>0</v>
      </c>
    </row>
    <row r="6283" spans="13:16">
      <c r="M6283" s="49">
        <f>IF($A$4+62&gt;$B$4,"",$A$4+62)</f>
        <v>46085</v>
      </c>
      <c r="N6283">
        <f>IF(M6283="","",'Master Barang'!A77)</f>
        <v>0</v>
      </c>
      <c r="O6283">
        <f>IF(N6283="","",'Master Barang'!B77)</f>
        <v>0</v>
      </c>
      <c r="P6283">
        <f>IF(OR(M6283="",N6283=""),"",SUMIFS('Barang Keluar'!$E:$E,'Barang Keluar'!$A:$A,M6283,'Barang Keluar'!$C:$C,N6283))</f>
        <v>0</v>
      </c>
    </row>
    <row r="6284" spans="13:16">
      <c r="M6284" s="49">
        <f>IF($A$4+62&gt;$B$4,"",$A$4+62)</f>
        <v>46085</v>
      </c>
      <c r="N6284">
        <f>IF(M6284="","",'Master Barang'!A78)</f>
        <v>0</v>
      </c>
      <c r="O6284">
        <f>IF(N6284="","",'Master Barang'!B78)</f>
        <v>0</v>
      </c>
      <c r="P6284">
        <f>IF(OR(M6284="",N6284=""),"",SUMIFS('Barang Keluar'!$E:$E,'Barang Keluar'!$A:$A,M6284,'Barang Keluar'!$C:$C,N6284))</f>
        <v>0</v>
      </c>
    </row>
    <row r="6285" spans="13:16">
      <c r="M6285" s="49">
        <f>IF($A$4+62&gt;$B$4,"",$A$4+62)</f>
        <v>46085</v>
      </c>
      <c r="N6285">
        <f>IF(M6285="","",'Master Barang'!A79)</f>
        <v>0</v>
      </c>
      <c r="O6285">
        <f>IF(N6285="","",'Master Barang'!B79)</f>
        <v>0</v>
      </c>
      <c r="P6285">
        <f>IF(OR(M6285="",N6285=""),"",SUMIFS('Barang Keluar'!$E:$E,'Barang Keluar'!$A:$A,M6285,'Barang Keluar'!$C:$C,N6285))</f>
        <v>0</v>
      </c>
    </row>
    <row r="6286" spans="13:16">
      <c r="M6286" s="49">
        <f>IF($A$4+62&gt;$B$4,"",$A$4+62)</f>
        <v>46085</v>
      </c>
      <c r="N6286">
        <f>IF(M6286="","",'Master Barang'!A80)</f>
        <v>0</v>
      </c>
      <c r="O6286">
        <f>IF(N6286="","",'Master Barang'!B80)</f>
        <v>0</v>
      </c>
      <c r="P6286">
        <f>IF(OR(M6286="",N6286=""),"",SUMIFS('Barang Keluar'!$E:$E,'Barang Keluar'!$A:$A,M6286,'Barang Keluar'!$C:$C,N6286))</f>
        <v>0</v>
      </c>
    </row>
    <row r="6287" spans="13:16">
      <c r="M6287" s="49">
        <f>IF($A$4+62&gt;$B$4,"",$A$4+62)</f>
        <v>46085</v>
      </c>
      <c r="N6287">
        <f>IF(M6287="","",'Master Barang'!A81)</f>
        <v>0</v>
      </c>
      <c r="O6287">
        <f>IF(N6287="","",'Master Barang'!B81)</f>
        <v>0</v>
      </c>
      <c r="P6287">
        <f>IF(OR(M6287="",N6287=""),"",SUMIFS('Barang Keluar'!$E:$E,'Barang Keluar'!$A:$A,M6287,'Barang Keluar'!$C:$C,N6287))</f>
        <v>0</v>
      </c>
    </row>
    <row r="6288" spans="13:16">
      <c r="M6288" s="49">
        <f>IF($A$4+62&gt;$B$4,"",$A$4+62)</f>
        <v>46085</v>
      </c>
      <c r="N6288">
        <f>IF(M6288="","",'Master Barang'!A82)</f>
        <v>0</v>
      </c>
      <c r="O6288">
        <f>IF(N6288="","",'Master Barang'!B82)</f>
        <v>0</v>
      </c>
      <c r="P6288">
        <f>IF(OR(M6288="",N6288=""),"",SUMIFS('Barang Keluar'!$E:$E,'Barang Keluar'!$A:$A,M6288,'Barang Keluar'!$C:$C,N6288))</f>
        <v>0</v>
      </c>
    </row>
    <row r="6289" spans="13:16">
      <c r="M6289" s="49">
        <f>IF($A$4+62&gt;$B$4,"",$A$4+62)</f>
        <v>46085</v>
      </c>
      <c r="N6289">
        <f>IF(M6289="","",'Master Barang'!A83)</f>
        <v>0</v>
      </c>
      <c r="O6289">
        <f>IF(N6289="","",'Master Barang'!B83)</f>
        <v>0</v>
      </c>
      <c r="P6289">
        <f>IF(OR(M6289="",N6289=""),"",SUMIFS('Barang Keluar'!$E:$E,'Barang Keluar'!$A:$A,M6289,'Barang Keluar'!$C:$C,N6289))</f>
        <v>0</v>
      </c>
    </row>
    <row r="6290" spans="13:16">
      <c r="M6290" s="49">
        <f>IF($A$4+62&gt;$B$4,"",$A$4+62)</f>
        <v>46085</v>
      </c>
      <c r="N6290">
        <f>IF(M6290="","",'Master Barang'!A84)</f>
        <v>0</v>
      </c>
      <c r="O6290">
        <f>IF(N6290="","",'Master Barang'!B84)</f>
        <v>0</v>
      </c>
      <c r="P6290">
        <f>IF(OR(M6290="",N6290=""),"",SUMIFS('Barang Keluar'!$E:$E,'Barang Keluar'!$A:$A,M6290,'Barang Keluar'!$C:$C,N6290))</f>
        <v>0</v>
      </c>
    </row>
    <row r="6291" spans="13:16">
      <c r="M6291" s="49">
        <f>IF($A$4+62&gt;$B$4,"",$A$4+62)</f>
        <v>46085</v>
      </c>
      <c r="N6291">
        <f>IF(M6291="","",'Master Barang'!A85)</f>
        <v>0</v>
      </c>
      <c r="O6291">
        <f>IF(N6291="","",'Master Barang'!B85)</f>
        <v>0</v>
      </c>
      <c r="P6291">
        <f>IF(OR(M6291="",N6291=""),"",SUMIFS('Barang Keluar'!$E:$E,'Barang Keluar'!$A:$A,M6291,'Barang Keluar'!$C:$C,N6291))</f>
        <v>0</v>
      </c>
    </row>
    <row r="6292" spans="13:16">
      <c r="M6292" s="49">
        <f>IF($A$4+62&gt;$B$4,"",$A$4+62)</f>
        <v>46085</v>
      </c>
      <c r="N6292">
        <f>IF(M6292="","",'Master Barang'!A86)</f>
        <v>0</v>
      </c>
      <c r="O6292">
        <f>IF(N6292="","",'Master Barang'!B86)</f>
        <v>0</v>
      </c>
      <c r="P6292">
        <f>IF(OR(M6292="",N6292=""),"",SUMIFS('Barang Keluar'!$E:$E,'Barang Keluar'!$A:$A,M6292,'Barang Keluar'!$C:$C,N6292))</f>
        <v>0</v>
      </c>
    </row>
    <row r="6293" spans="13:16">
      <c r="M6293" s="49">
        <f>IF($A$4+62&gt;$B$4,"",$A$4+62)</f>
        <v>46085</v>
      </c>
      <c r="N6293">
        <f>IF(M6293="","",'Master Barang'!A87)</f>
        <v>0</v>
      </c>
      <c r="O6293">
        <f>IF(N6293="","",'Master Barang'!B87)</f>
        <v>0</v>
      </c>
      <c r="P6293">
        <f>IF(OR(M6293="",N6293=""),"",SUMIFS('Barang Keluar'!$E:$E,'Barang Keluar'!$A:$A,M6293,'Barang Keluar'!$C:$C,N6293))</f>
        <v>0</v>
      </c>
    </row>
    <row r="6294" spans="13:16">
      <c r="M6294" s="49">
        <f>IF($A$4+62&gt;$B$4,"",$A$4+62)</f>
        <v>46085</v>
      </c>
      <c r="N6294">
        <f>IF(M6294="","",'Master Barang'!A88)</f>
        <v>0</v>
      </c>
      <c r="O6294">
        <f>IF(N6294="","",'Master Barang'!B88)</f>
        <v>0</v>
      </c>
      <c r="P6294">
        <f>IF(OR(M6294="",N6294=""),"",SUMIFS('Barang Keluar'!$E:$E,'Barang Keluar'!$A:$A,M6294,'Barang Keluar'!$C:$C,N6294))</f>
        <v>0</v>
      </c>
    </row>
    <row r="6295" spans="13:16">
      <c r="M6295" s="49">
        <f>IF($A$4+62&gt;$B$4,"",$A$4+62)</f>
        <v>46085</v>
      </c>
      <c r="N6295">
        <f>IF(M6295="","",'Master Barang'!A89)</f>
        <v>0</v>
      </c>
      <c r="O6295">
        <f>IF(N6295="","",'Master Barang'!B89)</f>
        <v>0</v>
      </c>
      <c r="P6295">
        <f>IF(OR(M6295="",N6295=""),"",SUMIFS('Barang Keluar'!$E:$E,'Barang Keluar'!$A:$A,M6295,'Barang Keluar'!$C:$C,N6295))</f>
        <v>0</v>
      </c>
    </row>
    <row r="6296" spans="13:16">
      <c r="M6296" s="49">
        <f>IF($A$4+62&gt;$B$4,"",$A$4+62)</f>
        <v>46085</v>
      </c>
      <c r="N6296">
        <f>IF(M6296="","",'Master Barang'!A90)</f>
        <v>0</v>
      </c>
      <c r="O6296">
        <f>IF(N6296="","",'Master Barang'!B90)</f>
        <v>0</v>
      </c>
      <c r="P6296">
        <f>IF(OR(M6296="",N6296=""),"",SUMIFS('Barang Keluar'!$E:$E,'Barang Keluar'!$A:$A,M6296,'Barang Keluar'!$C:$C,N6296))</f>
        <v>0</v>
      </c>
    </row>
    <row r="6297" spans="13:16">
      <c r="M6297" s="49">
        <f>IF($A$4+62&gt;$B$4,"",$A$4+62)</f>
        <v>46085</v>
      </c>
      <c r="N6297">
        <f>IF(M6297="","",'Master Barang'!A91)</f>
        <v>0</v>
      </c>
      <c r="O6297">
        <f>IF(N6297="","",'Master Barang'!B91)</f>
        <v>0</v>
      </c>
      <c r="P6297">
        <f>IF(OR(M6297="",N6297=""),"",SUMIFS('Barang Keluar'!$E:$E,'Barang Keluar'!$A:$A,M6297,'Barang Keluar'!$C:$C,N6297))</f>
        <v>0</v>
      </c>
    </row>
    <row r="6298" spans="13:16">
      <c r="M6298" s="49">
        <f>IF($A$4+62&gt;$B$4,"",$A$4+62)</f>
        <v>46085</v>
      </c>
      <c r="N6298">
        <f>IF(M6298="","",'Master Barang'!A92)</f>
        <v>0</v>
      </c>
      <c r="O6298">
        <f>IF(N6298="","",'Master Barang'!B92)</f>
        <v>0</v>
      </c>
      <c r="P6298">
        <f>IF(OR(M6298="",N6298=""),"",SUMIFS('Barang Keluar'!$E:$E,'Barang Keluar'!$A:$A,M6298,'Barang Keluar'!$C:$C,N6298))</f>
        <v>0</v>
      </c>
    </row>
    <row r="6299" spans="13:16">
      <c r="M6299" s="49">
        <f>IF($A$4+62&gt;$B$4,"",$A$4+62)</f>
        <v>46085</v>
      </c>
      <c r="N6299">
        <f>IF(M6299="","",'Master Barang'!A93)</f>
        <v>0</v>
      </c>
      <c r="O6299">
        <f>IF(N6299="","",'Master Barang'!B93)</f>
        <v>0</v>
      </c>
      <c r="P6299">
        <f>IF(OR(M6299="",N6299=""),"",SUMIFS('Barang Keluar'!$E:$E,'Barang Keluar'!$A:$A,M6299,'Barang Keluar'!$C:$C,N6299))</f>
        <v>0</v>
      </c>
    </row>
    <row r="6300" spans="13:16">
      <c r="M6300" s="49">
        <f>IF($A$4+62&gt;$B$4,"",$A$4+62)</f>
        <v>46085</v>
      </c>
      <c r="N6300">
        <f>IF(M6300="","",'Master Barang'!A94)</f>
        <v>0</v>
      </c>
      <c r="O6300">
        <f>IF(N6300="","",'Master Barang'!B94)</f>
        <v>0</v>
      </c>
      <c r="P6300">
        <f>IF(OR(M6300="",N6300=""),"",SUMIFS('Barang Keluar'!$E:$E,'Barang Keluar'!$A:$A,M6300,'Barang Keluar'!$C:$C,N6300))</f>
        <v>0</v>
      </c>
    </row>
    <row r="6301" spans="13:16">
      <c r="M6301" s="49">
        <f>IF($A$4+62&gt;$B$4,"",$A$4+62)</f>
        <v>46085</v>
      </c>
      <c r="N6301">
        <f>IF(M6301="","",'Master Barang'!A95)</f>
        <v>0</v>
      </c>
      <c r="O6301">
        <f>IF(N6301="","",'Master Barang'!B95)</f>
        <v>0</v>
      </c>
      <c r="P6301">
        <f>IF(OR(M6301="",N6301=""),"",SUMIFS('Barang Keluar'!$E:$E,'Barang Keluar'!$A:$A,M6301,'Barang Keluar'!$C:$C,N6301))</f>
        <v>0</v>
      </c>
    </row>
    <row r="6302" spans="13:16">
      <c r="M6302" s="49">
        <f>IF($A$4+62&gt;$B$4,"",$A$4+62)</f>
        <v>46085</v>
      </c>
      <c r="N6302">
        <f>IF(M6302="","",'Master Barang'!A96)</f>
        <v>0</v>
      </c>
      <c r="O6302">
        <f>IF(N6302="","",'Master Barang'!B96)</f>
        <v>0</v>
      </c>
      <c r="P6302">
        <f>IF(OR(M6302="",N6302=""),"",SUMIFS('Barang Keluar'!$E:$E,'Barang Keluar'!$A:$A,M6302,'Barang Keluar'!$C:$C,N6302))</f>
        <v>0</v>
      </c>
    </row>
    <row r="6303" spans="13:16">
      <c r="M6303" s="49">
        <f>IF($A$4+62&gt;$B$4,"",$A$4+62)</f>
        <v>46085</v>
      </c>
      <c r="N6303">
        <f>IF(M6303="","",'Master Barang'!A97)</f>
        <v>0</v>
      </c>
      <c r="O6303">
        <f>IF(N6303="","",'Master Barang'!B97)</f>
        <v>0</v>
      </c>
      <c r="P6303">
        <f>IF(OR(M6303="",N6303=""),"",SUMIFS('Barang Keluar'!$E:$E,'Barang Keluar'!$A:$A,M6303,'Barang Keluar'!$C:$C,N6303))</f>
        <v>0</v>
      </c>
    </row>
    <row r="6304" spans="13:16">
      <c r="M6304" s="49">
        <f>IF($A$4+62&gt;$B$4,"",$A$4+62)</f>
        <v>46085</v>
      </c>
      <c r="N6304">
        <f>IF(M6304="","",'Master Barang'!A98)</f>
        <v>0</v>
      </c>
      <c r="O6304">
        <f>IF(N6304="","",'Master Barang'!B98)</f>
        <v>0</v>
      </c>
      <c r="P6304">
        <f>IF(OR(M6304="",N6304=""),"",SUMIFS('Barang Keluar'!$E:$E,'Barang Keluar'!$A:$A,M6304,'Barang Keluar'!$C:$C,N6304))</f>
        <v>0</v>
      </c>
    </row>
    <row r="6305" spans="13:16">
      <c r="M6305" s="49">
        <f>IF($A$4+62&gt;$B$4,"",$A$4+62)</f>
        <v>46085</v>
      </c>
      <c r="N6305">
        <f>IF(M6305="","",'Master Barang'!A99)</f>
        <v>0</v>
      </c>
      <c r="O6305">
        <f>IF(N6305="","",'Master Barang'!B99)</f>
        <v>0</v>
      </c>
      <c r="P6305">
        <f>IF(OR(M6305="",N6305=""),"",SUMIFS('Barang Keluar'!$E:$E,'Barang Keluar'!$A:$A,M6305,'Barang Keluar'!$C:$C,N6305))</f>
        <v>0</v>
      </c>
    </row>
    <row r="6306" spans="13:16">
      <c r="M6306" s="49">
        <f>IF($A$4+62&gt;$B$4,"",$A$4+62)</f>
        <v>46085</v>
      </c>
      <c r="N6306">
        <f>IF(M6306="","",'Master Barang'!A100)</f>
        <v>0</v>
      </c>
      <c r="O6306">
        <f>IF(N6306="","",'Master Barang'!B100)</f>
        <v>0</v>
      </c>
      <c r="P6306">
        <f>IF(OR(M6306="",N6306=""),"",SUMIFS('Barang Keluar'!$E:$E,'Barang Keluar'!$A:$A,M6306,'Barang Keluar'!$C:$C,N6306))</f>
        <v>0</v>
      </c>
    </row>
    <row r="6307" spans="13:16">
      <c r="M6307" s="49">
        <f>IF($A$4+62&gt;$B$4,"",$A$4+62)</f>
        <v>46085</v>
      </c>
      <c r="N6307">
        <f>IF(M6307="","",'Master Barang'!A101)</f>
        <v>0</v>
      </c>
      <c r="O6307">
        <f>IF(N6307="","",'Master Barang'!B101)</f>
        <v>0</v>
      </c>
      <c r="P6307">
        <f>IF(OR(M6307="",N6307=""),"",SUMIFS('Barang Keluar'!$E:$E,'Barang Keluar'!$A:$A,M6307,'Barang Keluar'!$C:$C,N6307))</f>
        <v>0</v>
      </c>
    </row>
    <row r="6308" spans="13:16">
      <c r="M6308" s="49">
        <f>IF($A$4+63&gt;$B$4,"",$A$4+63)</f>
        <v>46086</v>
      </c>
      <c r="N6308" t="str">
        <f>IF(M6308="","",'Master Barang'!A2)</f>
        <v>PRL-001</v>
      </c>
      <c r="O6308" t="str">
        <f>IF(N6308="","",'Master Barang'!B2)</f>
        <v>natura desinfectant food grade 5l</v>
      </c>
      <c r="P6308">
        <f>IF(OR(M6308="",N6308=""),"",SUMIFS('Barang Keluar'!$E:$E,'Barang Keluar'!$A:$A,M6308,'Barang Keluar'!$C:$C,N6308))</f>
        <v>0</v>
      </c>
    </row>
    <row r="6309" spans="13:16">
      <c r="M6309" s="49">
        <f>IF($A$4+63&gt;$B$4,"",$A$4+63)</f>
        <v>46086</v>
      </c>
      <c r="N6309" t="str">
        <f>IF(M6309="","",'Master Barang'!A3)</f>
        <v>PRL-002</v>
      </c>
      <c r="O6309" t="str">
        <f>IF(N6309="","",'Master Barang'!B3)</f>
        <v>sunlight cairan pencuci piring 5l</v>
      </c>
      <c r="P6309">
        <f>IF(OR(M6309="",N6309=""),"",SUMIFS('Barang Keluar'!$E:$E,'Barang Keluar'!$A:$A,M6309,'Barang Keluar'!$C:$C,N6309))</f>
        <v>0</v>
      </c>
    </row>
    <row r="6310" spans="13:16">
      <c r="M6310" s="49">
        <f>IF($A$4+63&gt;$B$4,"",$A$4+63)</f>
        <v>46086</v>
      </c>
      <c r="N6310" t="str">
        <f>IF(M6310="","",'Master Barang'!A4)</f>
        <v>PRL-003</v>
      </c>
      <c r="O6310" t="str">
        <f>IF(N6310="","",'Master Barang'!B4)</f>
        <v>oixs cleaner 1l</v>
      </c>
      <c r="P6310">
        <f>IF(OR(M6310="",N6310=""),"",SUMIFS('Barang Keluar'!$E:$E,'Barang Keluar'!$A:$A,M6310,'Barang Keluar'!$C:$C,N6310))</f>
        <v>0</v>
      </c>
    </row>
    <row r="6311" spans="13:16">
      <c r="M6311" s="49">
        <f>IF($A$4+63&gt;$B$4,"",$A$4+63)</f>
        <v>46086</v>
      </c>
      <c r="N6311" t="str">
        <f>IF(M6311="","",'Master Barang'!A5)</f>
        <v>PRL-004</v>
      </c>
      <c r="O6311" t="str">
        <f>IF(N6311="","",'Master Barang'!B5)</f>
        <v>be clean tissue serbaguna</v>
      </c>
      <c r="P6311">
        <f>IF(OR(M6311="",N6311=""),"",SUMIFS('Barang Keluar'!$E:$E,'Barang Keluar'!$A:$A,M6311,'Barang Keluar'!$C:$C,N6311))</f>
        <v>0</v>
      </c>
    </row>
    <row r="6312" spans="13:16">
      <c r="M6312" s="49">
        <f>IF($A$4+63&gt;$B$4,"",$A$4+63)</f>
        <v>46086</v>
      </c>
      <c r="N6312" t="str">
        <f>IF(M6312="","",'Master Barang'!A6)</f>
        <v>PRL-005</v>
      </c>
      <c r="O6312" t="str">
        <f>IF(N6312="","",'Master Barang'!B6)</f>
        <v>spons cuci hijau</v>
      </c>
      <c r="P6312">
        <f>IF(OR(M6312="",N6312=""),"",SUMIFS('Barang Keluar'!$E:$E,'Barang Keluar'!$A:$A,M6312,'Barang Keluar'!$C:$C,N6312))</f>
        <v>0</v>
      </c>
    </row>
    <row r="6313" spans="13:16">
      <c r="M6313" s="49">
        <f>IF($A$4+63&gt;$B$4,"",$A$4+63)</f>
        <v>46086</v>
      </c>
      <c r="N6313" t="str">
        <f>IF(M6313="","",'Master Barang'!A7)</f>
        <v>PRL-006</v>
      </c>
      <c r="O6313" t="str">
        <f>IF(N6313="","",'Master Barang'!B7)</f>
        <v>sabut cuci stainless</v>
      </c>
      <c r="P6313">
        <f>IF(OR(M6313="",N6313=""),"",SUMIFS('Barang Keluar'!$E:$E,'Barang Keluar'!$A:$A,M6313,'Barang Keluar'!$C:$C,N6313))</f>
        <v>0</v>
      </c>
    </row>
    <row r="6314" spans="13:16">
      <c r="M6314" s="49">
        <f>IF($A$4+63&gt;$B$4,"",$A$4+63)</f>
        <v>46086</v>
      </c>
      <c r="N6314" t="str">
        <f>IF(M6314="","",'Master Barang'!A8)</f>
        <v>PRL-007</v>
      </c>
      <c r="O6314" t="str">
        <f>IF(N6314="","",'Master Barang'!B8)</f>
        <v>plastik kresek besar merah 50pc</v>
      </c>
      <c r="P6314">
        <f>IF(OR(M6314="",N6314=""),"",SUMIFS('Barang Keluar'!$E:$E,'Barang Keluar'!$A:$A,M6314,'Barang Keluar'!$C:$C,N6314))</f>
        <v>0</v>
      </c>
    </row>
    <row r="6315" spans="13:16">
      <c r="M6315" s="49">
        <f>IF($A$4+63&gt;$B$4,"",$A$4+63)</f>
        <v>46086</v>
      </c>
      <c r="N6315" t="str">
        <f>IF(M6315="","",'Master Barang'!A9)</f>
        <v>PRL-008</v>
      </c>
      <c r="O6315" t="str">
        <f>IF(N6315="","",'Master Barang'!B9)</f>
        <v>lap besar</v>
      </c>
      <c r="P6315">
        <f>IF(OR(M6315="",N6315=""),"",SUMIFS('Barang Keluar'!$E:$E,'Barang Keluar'!$A:$A,M6315,'Barang Keluar'!$C:$C,N6315))</f>
        <v>0</v>
      </c>
    </row>
    <row r="6316" spans="13:16">
      <c r="M6316" s="49">
        <f>IF($A$4+63&gt;$B$4,"",$A$4+63)</f>
        <v>46086</v>
      </c>
      <c r="N6316" t="str">
        <f>IF(M6316="","",'Master Barang'!A10)</f>
        <v>PRL-009</v>
      </c>
      <c r="O6316" t="str">
        <f>IF(N6316="","",'Master Barang'!B10)</f>
        <v>lap microfiber</v>
      </c>
      <c r="P6316">
        <f>IF(OR(M6316="",N6316=""),"",SUMIFS('Barang Keluar'!$E:$E,'Barang Keluar'!$A:$A,M6316,'Barang Keluar'!$C:$C,N6316))</f>
        <v>0</v>
      </c>
    </row>
    <row r="6317" spans="13:16">
      <c r="M6317" s="49">
        <f>IF($A$4+63&gt;$B$4,"",$A$4+63)</f>
        <v>46086</v>
      </c>
      <c r="N6317" t="str">
        <f>IF(M6317="","",'Master Barang'!A11)</f>
        <v>PRL-010</v>
      </c>
      <c r="O6317" t="str">
        <f>IF(N6317="","",'Master Barang'!B11)</f>
        <v>lap kecil</v>
      </c>
      <c r="P6317">
        <f>IF(OR(M6317="",N6317=""),"",SUMIFS('Barang Keluar'!$E:$E,'Barang Keluar'!$A:$A,M6317,'Barang Keluar'!$C:$C,N6317))</f>
        <v>0</v>
      </c>
    </row>
    <row r="6318" spans="13:16">
      <c r="M6318" s="49">
        <f>IF($A$4+63&gt;$B$4,"",$A$4+63)</f>
        <v>46086</v>
      </c>
      <c r="N6318" t="str">
        <f>IF(M6318="","",'Master Barang'!A12)</f>
        <v>PRL-011</v>
      </c>
      <c r="O6318" t="str">
        <f>IF(N6318="","",'Master Barang'!B12)</f>
        <v>kanebo kecil</v>
      </c>
      <c r="P6318">
        <f>IF(OR(M6318="",N6318=""),"",SUMIFS('Barang Keluar'!$E:$E,'Barang Keluar'!$A:$A,M6318,'Barang Keluar'!$C:$C,N6318))</f>
        <v>0</v>
      </c>
    </row>
    <row r="6319" spans="13:16">
      <c r="M6319" s="49">
        <f>IF($A$4+63&gt;$B$4,"",$A$4+63)</f>
        <v>46086</v>
      </c>
      <c r="N6319" t="str">
        <f>IF(M6319="","",'Master Barang'!A13)</f>
        <v>PRL-012</v>
      </c>
      <c r="O6319" t="str">
        <f>IF(N6319="","",'Master Barang'!B13)</f>
        <v>plastik 1/4kg joyoboyo 100 lembar</v>
      </c>
      <c r="P6319">
        <f>IF(OR(M6319="",N6319=""),"",SUMIFS('Barang Keluar'!$E:$E,'Barang Keluar'!$A:$A,M6319,'Barang Keluar'!$C:$C,N6319))</f>
        <v>0</v>
      </c>
    </row>
    <row r="6320" spans="13:16">
      <c r="M6320" s="49">
        <f>IF($A$4+63&gt;$B$4,"",$A$4+63)</f>
        <v>46086</v>
      </c>
      <c r="N6320" t="str">
        <f>IF(M6320="","",'Master Barang'!A14)</f>
        <v>PRL-013</v>
      </c>
      <c r="O6320" t="str">
        <f>IF(N6320="","",'Master Barang'!B14)</f>
        <v>sarung tangan plastik kaka 100 pcs</v>
      </c>
      <c r="P6320">
        <f>IF(OR(M6320="",N6320=""),"",SUMIFS('Barang Keluar'!$E:$E,'Barang Keluar'!$A:$A,M6320,'Barang Keluar'!$C:$C,N6320))</f>
        <v>0</v>
      </c>
    </row>
    <row r="6321" spans="13:16">
      <c r="M6321" s="49">
        <f>IF($A$4+63&gt;$B$4,"",$A$4+63)</f>
        <v>46086</v>
      </c>
      <c r="N6321" t="str">
        <f>IF(M6321="","",'Master Barang'!A15)</f>
        <v>PRL-014</v>
      </c>
      <c r="O6321" t="str">
        <f>IF(N6321="","",'Master Barang'!B15)</f>
        <v>optima trashbag 80x100</v>
      </c>
      <c r="P6321">
        <f>IF(OR(M6321="",N6321=""),"",SUMIFS('Barang Keluar'!$E:$E,'Barang Keluar'!$A:$A,M6321,'Barang Keluar'!$C:$C,N6321))</f>
        <v>0</v>
      </c>
    </row>
    <row r="6322" spans="13:16">
      <c r="M6322" s="49">
        <f>IF($A$4+63&gt;$B$4,"",$A$4+63)</f>
        <v>46086</v>
      </c>
      <c r="N6322" t="str">
        <f>IF(M6322="","",'Master Barang'!A16)</f>
        <v>PRL-015</v>
      </c>
      <c r="O6322" t="str">
        <f>IF(N6322="","",'Master Barang'!B16)</f>
        <v>optima trashbag 60x100</v>
      </c>
      <c r="P6322">
        <f>IF(OR(M6322="",N6322=""),"",SUMIFS('Barang Keluar'!$E:$E,'Barang Keluar'!$A:$A,M6322,'Barang Keluar'!$C:$C,N6322))</f>
        <v>0</v>
      </c>
    </row>
    <row r="6323" spans="13:16">
      <c r="M6323" s="49">
        <f>IF($A$4+63&gt;$B$4,"",$A$4+63)</f>
        <v>46086</v>
      </c>
      <c r="N6323" t="str">
        <f>IF(M6323="","",'Master Barang'!A17)</f>
        <v>PRL-016</v>
      </c>
      <c r="O6323" t="str">
        <f>IF(N6323="","",'Master Barang'!B17)</f>
        <v>rajawali trashbag 30x40</v>
      </c>
      <c r="P6323">
        <f>IF(OR(M6323="",N6323=""),"",SUMIFS('Barang Keluar'!$E:$E,'Barang Keluar'!$A:$A,M6323,'Barang Keluar'!$C:$C,N6323))</f>
        <v>0</v>
      </c>
    </row>
    <row r="6324" spans="13:16">
      <c r="M6324" s="49">
        <f>IF($A$4+63&gt;$B$4,"",$A$4+63)</f>
        <v>46086</v>
      </c>
      <c r="N6324" t="str">
        <f>IF(M6324="","",'Master Barang'!A18)</f>
        <v>PRL-017</v>
      </c>
      <c r="O6324" t="str">
        <f>IF(N6324="","",'Master Barang'!B18)</f>
        <v>onemed masker biru 3 play 50 pcs</v>
      </c>
      <c r="P6324">
        <f>IF(OR(M6324="",N6324=""),"",SUMIFS('Barang Keluar'!$E:$E,'Barang Keluar'!$A:$A,M6324,'Barang Keluar'!$C:$C,N6324))</f>
        <v>0</v>
      </c>
    </row>
    <row r="6325" spans="13:16">
      <c r="M6325" s="49">
        <f>IF($A$4+63&gt;$B$4,"",$A$4+63)</f>
        <v>46086</v>
      </c>
      <c r="N6325" t="str">
        <f>IF(M6325="","",'Master Barang'!A19)</f>
        <v>PRL-018</v>
      </c>
      <c r="O6325" t="str">
        <f>IF(N6325="","",'Master Barang'!B19)</f>
        <v>onemed masker biru 3 play hijab 50 pcs</v>
      </c>
      <c r="P6325">
        <f>IF(OR(M6325="",N6325=""),"",SUMIFS('Barang Keluar'!$E:$E,'Barang Keluar'!$A:$A,M6325,'Barang Keluar'!$C:$C,N6325))</f>
        <v>0</v>
      </c>
    </row>
    <row r="6326" spans="13:16">
      <c r="M6326" s="49">
        <f>IF($A$4+63&gt;$B$4,"",$A$4+63)</f>
        <v>46086</v>
      </c>
      <c r="N6326" t="str">
        <f>IF(M6326="","",'Master Barang'!A20)</f>
        <v>PRL-019</v>
      </c>
      <c r="O6326" t="str">
        <f>IF(N6326="","",'Master Barang'!B20)</f>
        <v>neo health masker biru 3 play 50 pcs</v>
      </c>
      <c r="P6326">
        <f>IF(OR(M6326="",N6326=""),"",SUMIFS('Barang Keluar'!$E:$E,'Barang Keluar'!$A:$A,M6326,'Barang Keluar'!$C:$C,N6326))</f>
        <v>0</v>
      </c>
    </row>
    <row r="6327" spans="13:16">
      <c r="M6327" s="49">
        <f>IF($A$4+63&gt;$B$4,"",$A$4+63)</f>
        <v>46086</v>
      </c>
      <c r="N6327" t="str">
        <f>IF(M6327="","",'Master Barang'!A21)</f>
        <v>PRL-020</v>
      </c>
      <c r="O6327" t="str">
        <f>IF(N6327="","",'Master Barang'!B21)</f>
        <v>baymed masker hijau 3 play hijau 50 pcs</v>
      </c>
      <c r="P6327">
        <f>IF(OR(M6327="",N6327=""),"",SUMIFS('Barang Keluar'!$E:$E,'Barang Keluar'!$A:$A,M6327,'Barang Keluar'!$C:$C,N6327))</f>
        <v>0</v>
      </c>
    </row>
    <row r="6328" spans="13:16">
      <c r="M6328" s="49">
        <f>IF($A$4+63&gt;$B$4,"",$A$4+63)</f>
        <v>46086</v>
      </c>
      <c r="N6328" t="str">
        <f>IF(M6328="","",'Master Barang'!A22)</f>
        <v>PRL-021</v>
      </c>
      <c r="O6328" t="str">
        <f>IF(N6328="","",'Master Barang'!B22)</f>
        <v>altamed nurse cap penutup kepala 100 pcs</v>
      </c>
      <c r="P6328">
        <f>IF(OR(M6328="",N6328=""),"",SUMIFS('Barang Keluar'!$E:$E,'Barang Keluar'!$A:$A,M6328,'Barang Keluar'!$C:$C,N6328))</f>
        <v>0</v>
      </c>
    </row>
    <row r="6329" spans="13:16">
      <c r="M6329" s="49">
        <f>IF($A$4+63&gt;$B$4,"",$A$4+63)</f>
        <v>46086</v>
      </c>
      <c r="N6329" t="str">
        <f>IF(M6329="","",'Master Barang'!A23)</f>
        <v>PRL-022</v>
      </c>
      <c r="O6329" t="str">
        <f>IF(N6329="","",'Master Barang'!B23)</f>
        <v>sabun cuci tangan</v>
      </c>
      <c r="P6329">
        <f>IF(OR(M6329="",N6329=""),"",SUMIFS('Barang Keluar'!$E:$E,'Barang Keluar'!$A:$A,M6329,'Barang Keluar'!$C:$C,N6329))</f>
        <v>0</v>
      </c>
    </row>
    <row r="6330" spans="13:16">
      <c r="M6330" s="49">
        <f>IF($A$4+63&gt;$B$4,"",$A$4+63)</f>
        <v>46086</v>
      </c>
      <c r="N6330" t="str">
        <f>IF(M6330="","",'Master Barang'!A24)</f>
        <v>PRL-023</v>
      </c>
      <c r="O6330" t="str">
        <f>IF(N6330="","",'Master Barang'!B24)</f>
        <v>gayung kecil</v>
      </c>
      <c r="P6330">
        <f>IF(OR(M6330="",N6330=""),"",SUMIFS('Barang Keluar'!$E:$E,'Barang Keluar'!$A:$A,M6330,'Barang Keluar'!$C:$C,N6330))</f>
        <v>0</v>
      </c>
    </row>
    <row r="6331" spans="13:16">
      <c r="M6331" s="49">
        <f>IF($A$4+63&gt;$B$4,"",$A$4+63)</f>
        <v>46086</v>
      </c>
      <c r="N6331" t="str">
        <f>IF(M6331="","",'Master Barang'!A25)</f>
        <v>PRL-024</v>
      </c>
      <c r="O6331" t="str">
        <f>IF(N6331="","",'Master Barang'!B25)</f>
        <v>cikrak kecil</v>
      </c>
      <c r="P6331">
        <f>IF(OR(M6331="",N6331=""),"",SUMIFS('Barang Keluar'!$E:$E,'Barang Keluar'!$A:$A,M6331,'Barang Keluar'!$C:$C,N6331))</f>
        <v>0</v>
      </c>
    </row>
    <row r="6332" spans="13:16">
      <c r="M6332" s="49">
        <f>IF($A$4+63&gt;$B$4,"",$A$4+63)</f>
        <v>46086</v>
      </c>
      <c r="N6332" t="str">
        <f>IF(M6332="","",'Master Barang'!A26)</f>
        <v>PRL-025</v>
      </c>
      <c r="O6332" t="str">
        <f>IF(N6332="","",'Master Barang'!B26)</f>
        <v>petromax plastik kecil 12x24 100 lembar</v>
      </c>
      <c r="P6332">
        <f>IF(OR(M6332="",N6332=""),"",SUMIFS('Barang Keluar'!$E:$E,'Barang Keluar'!$A:$A,M6332,'Barang Keluar'!$C:$C,N6332))</f>
        <v>0</v>
      </c>
    </row>
    <row r="6333" spans="13:16">
      <c r="M6333" s="49">
        <f>IF($A$4+63&gt;$B$4,"",$A$4+63)</f>
        <v>46086</v>
      </c>
      <c r="N6333" t="str">
        <f>IF(M6333="","",'Master Barang'!A27)</f>
        <v>PRL-026</v>
      </c>
      <c r="O6333" t="str">
        <f>IF(N6333="","",'Master Barang'!B27)</f>
        <v>lancar kresek kecil bening </v>
      </c>
      <c r="P6333">
        <f>IF(OR(M6333="",N6333=""),"",SUMIFS('Barang Keluar'!$E:$E,'Barang Keluar'!$A:$A,M6333,'Barang Keluar'!$C:$C,N6333))</f>
        <v>0</v>
      </c>
    </row>
    <row r="6334" spans="13:16">
      <c r="M6334" s="49">
        <f>IF($A$4+63&gt;$B$4,"",$A$4+63)</f>
        <v>46086</v>
      </c>
      <c r="N6334" t="str">
        <f>IF(M6334="","",'Master Barang'!A28)</f>
        <v>PRL-027</v>
      </c>
      <c r="O6334" t="str">
        <f>IF(N6334="","",'Master Barang'!B28)</f>
        <v>kresek klin warna warni kecil</v>
      </c>
      <c r="P6334">
        <f>IF(OR(M6334="",N6334=""),"",SUMIFS('Barang Keluar'!$E:$E,'Barang Keluar'!$A:$A,M6334,'Barang Keluar'!$C:$C,N6334))</f>
        <v>0</v>
      </c>
    </row>
    <row r="6335" spans="13:16">
      <c r="M6335" s="49">
        <f>IF($A$4+63&gt;$B$4,"",$A$4+63)</f>
        <v>46086</v>
      </c>
      <c r="N6335" t="str">
        <f>IF(M6335="","",'Master Barang'!A29)</f>
        <v>PRL-028</v>
      </c>
      <c r="O6335" t="str">
        <f>IF(N6335="","",'Master Barang'!B29)</f>
        <v>ctik plastik 7x10 100 pcs</v>
      </c>
      <c r="P6335">
        <f>IF(OR(M6335="",N6335=""),"",SUMIFS('Barang Keluar'!$E:$E,'Barang Keluar'!$A:$A,M6335,'Barang Keluar'!$C:$C,N6335))</f>
        <v>0</v>
      </c>
    </row>
    <row r="6336" spans="13:16">
      <c r="M6336" s="49">
        <f>IF($A$4+63&gt;$B$4,"",$A$4+63)</f>
        <v>46086</v>
      </c>
      <c r="N6336" t="str">
        <f>IF(M6336="","",'Master Barang'!A30)</f>
        <v>PRL-029</v>
      </c>
      <c r="O6336" t="str">
        <f>IF(N6336="","",'Master Barang'!B30)</f>
        <v>ctik plastik 6x10 100 pcs</v>
      </c>
      <c r="P6336">
        <f>IF(OR(M6336="",N6336=""),"",SUMIFS('Barang Keluar'!$E:$E,'Barang Keluar'!$A:$A,M6336,'Barang Keluar'!$C:$C,N6336))</f>
        <v>0</v>
      </c>
    </row>
    <row r="6337" spans="13:16">
      <c r="M6337" s="49">
        <f>IF($A$4+63&gt;$B$4,"",$A$4+63)</f>
        <v>46086</v>
      </c>
      <c r="N6337" t="str">
        <f>IF(M6337="","",'Master Barang'!A31)</f>
        <v>PRL-030</v>
      </c>
      <c r="O6337" t="str">
        <f>IF(N6337="","",'Master Barang'!B31)</f>
        <v>klip plastik 25x16 100 pcs</v>
      </c>
      <c r="P6337">
        <f>IF(OR(M6337="",N6337=""),"",SUMIFS('Barang Keluar'!$E:$E,'Barang Keluar'!$A:$A,M6337,'Barang Keluar'!$C:$C,N6337))</f>
        <v>0</v>
      </c>
    </row>
    <row r="6338" spans="13:16">
      <c r="M6338" s="49">
        <f>IF($A$4+63&gt;$B$4,"",$A$4+63)</f>
        <v>46086</v>
      </c>
      <c r="N6338" t="str">
        <f>IF(M6338="","",'Master Barang'!A32)</f>
        <v>PRL-031</v>
      </c>
      <c r="O6338" t="str">
        <f>IF(N6338="","",'Master Barang'!B32)</f>
        <v>tempat saus 20 ml</v>
      </c>
      <c r="P6338">
        <f>IF(OR(M6338="",N6338=""),"",SUMIFS('Barang Keluar'!$E:$E,'Barang Keluar'!$A:$A,M6338,'Barang Keluar'!$C:$C,N6338))</f>
        <v>0</v>
      </c>
    </row>
    <row r="6339" spans="13:16">
      <c r="M6339" s="49">
        <f>IF($A$4+63&gt;$B$4,"",$A$4+63)</f>
        <v>46086</v>
      </c>
      <c r="N6339" t="str">
        <f>IF(M6339="","",'Master Barang'!A33)</f>
        <v>PRL-032</v>
      </c>
      <c r="O6339" t="str">
        <f>IF(N6339="","",'Master Barang'!B33)</f>
        <v>plastik packaging ag box uk sedang</v>
      </c>
      <c r="P6339">
        <f>IF(OR(M6339="",N6339=""),"",SUMIFS('Barang Keluar'!$E:$E,'Barang Keluar'!$A:$A,M6339,'Barang Keluar'!$C:$C,N6339))</f>
        <v>0</v>
      </c>
    </row>
    <row r="6340" spans="13:16">
      <c r="M6340" s="49">
        <f>IF($A$4+63&gt;$B$4,"",$A$4+63)</f>
        <v>46086</v>
      </c>
      <c r="N6340" t="str">
        <f>IF(M6340="","",'Master Barang'!A34)</f>
        <v>PRL-033</v>
      </c>
      <c r="O6340">
        <f>IF(N6340="","",'Master Barang'!B34)</f>
        <v>0</v>
      </c>
      <c r="P6340">
        <f>IF(OR(M6340="",N6340=""),"",SUMIFS('Barang Keluar'!$E:$E,'Barang Keluar'!$A:$A,M6340,'Barang Keluar'!$C:$C,N6340))</f>
        <v>0</v>
      </c>
    </row>
    <row r="6341" spans="13:16">
      <c r="M6341" s="49">
        <f>IF($A$4+63&gt;$B$4,"",$A$4+63)</f>
        <v>46086</v>
      </c>
      <c r="N6341">
        <f>IF(M6341="","",'Master Barang'!A35)</f>
        <v>0</v>
      </c>
      <c r="O6341">
        <f>IF(N6341="","",'Master Barang'!B35)</f>
        <v>0</v>
      </c>
      <c r="P6341">
        <f>IF(OR(M6341="",N6341=""),"",SUMIFS('Barang Keluar'!$E:$E,'Barang Keluar'!$A:$A,M6341,'Barang Keluar'!$C:$C,N6341))</f>
        <v>0</v>
      </c>
    </row>
    <row r="6342" spans="13:16">
      <c r="M6342" s="49">
        <f>IF($A$4+63&gt;$B$4,"",$A$4+63)</f>
        <v>46086</v>
      </c>
      <c r="N6342">
        <f>IF(M6342="","",'Master Barang'!A36)</f>
        <v>0</v>
      </c>
      <c r="O6342">
        <f>IF(N6342="","",'Master Barang'!B36)</f>
        <v>0</v>
      </c>
      <c r="P6342">
        <f>IF(OR(M6342="",N6342=""),"",SUMIFS('Barang Keluar'!$E:$E,'Barang Keluar'!$A:$A,M6342,'Barang Keluar'!$C:$C,N6342))</f>
        <v>0</v>
      </c>
    </row>
    <row r="6343" spans="13:16">
      <c r="M6343" s="49">
        <f>IF($A$4+63&gt;$B$4,"",$A$4+63)</f>
        <v>46086</v>
      </c>
      <c r="N6343">
        <f>IF(M6343="","",'Master Barang'!A37)</f>
        <v>0</v>
      </c>
      <c r="O6343">
        <f>IF(N6343="","",'Master Barang'!B37)</f>
        <v>0</v>
      </c>
      <c r="P6343">
        <f>IF(OR(M6343="",N6343=""),"",SUMIFS('Barang Keluar'!$E:$E,'Barang Keluar'!$A:$A,M6343,'Barang Keluar'!$C:$C,N6343))</f>
        <v>0</v>
      </c>
    </row>
    <row r="6344" spans="13:16">
      <c r="M6344" s="49">
        <f>IF($A$4+63&gt;$B$4,"",$A$4+63)</f>
        <v>46086</v>
      </c>
      <c r="N6344">
        <f>IF(M6344="","",'Master Barang'!A38)</f>
        <v>0</v>
      </c>
      <c r="O6344">
        <f>IF(N6344="","",'Master Barang'!B38)</f>
        <v>0</v>
      </c>
      <c r="P6344">
        <f>IF(OR(M6344="",N6344=""),"",SUMIFS('Barang Keluar'!$E:$E,'Barang Keluar'!$A:$A,M6344,'Barang Keluar'!$C:$C,N6344))</f>
        <v>0</v>
      </c>
    </row>
    <row r="6345" spans="13:16">
      <c r="M6345" s="49">
        <f>IF($A$4+63&gt;$B$4,"",$A$4+63)</f>
        <v>46086</v>
      </c>
      <c r="N6345">
        <f>IF(M6345="","",'Master Barang'!A39)</f>
        <v>0</v>
      </c>
      <c r="O6345">
        <f>IF(N6345="","",'Master Barang'!B39)</f>
        <v>0</v>
      </c>
      <c r="P6345">
        <f>IF(OR(M6345="",N6345=""),"",SUMIFS('Barang Keluar'!$E:$E,'Barang Keluar'!$A:$A,M6345,'Barang Keluar'!$C:$C,N6345))</f>
        <v>0</v>
      </c>
    </row>
    <row r="6346" spans="13:16">
      <c r="M6346" s="49">
        <f>IF($A$4+63&gt;$B$4,"",$A$4+63)</f>
        <v>46086</v>
      </c>
      <c r="N6346">
        <f>IF(M6346="","",'Master Barang'!A40)</f>
        <v>0</v>
      </c>
      <c r="O6346">
        <f>IF(N6346="","",'Master Barang'!B40)</f>
        <v>0</v>
      </c>
      <c r="P6346">
        <f>IF(OR(M6346="",N6346=""),"",SUMIFS('Barang Keluar'!$E:$E,'Barang Keluar'!$A:$A,M6346,'Barang Keluar'!$C:$C,N6346))</f>
        <v>0</v>
      </c>
    </row>
    <row r="6347" spans="13:16">
      <c r="M6347" s="49">
        <f>IF($A$4+63&gt;$B$4,"",$A$4+63)</f>
        <v>46086</v>
      </c>
      <c r="N6347">
        <f>IF(M6347="","",'Master Barang'!A41)</f>
        <v>0</v>
      </c>
      <c r="O6347">
        <f>IF(N6347="","",'Master Barang'!B41)</f>
        <v>0</v>
      </c>
      <c r="P6347">
        <f>IF(OR(M6347="",N6347=""),"",SUMIFS('Barang Keluar'!$E:$E,'Barang Keluar'!$A:$A,M6347,'Barang Keluar'!$C:$C,N6347))</f>
        <v>0</v>
      </c>
    </row>
    <row r="6348" spans="13:16">
      <c r="M6348" s="49">
        <f>IF($A$4+63&gt;$B$4,"",$A$4+63)</f>
        <v>46086</v>
      </c>
      <c r="N6348">
        <f>IF(M6348="","",'Master Barang'!A42)</f>
        <v>0</v>
      </c>
      <c r="O6348">
        <f>IF(N6348="","",'Master Barang'!B42)</f>
        <v>0</v>
      </c>
      <c r="P6348">
        <f>IF(OR(M6348="",N6348=""),"",SUMIFS('Barang Keluar'!$E:$E,'Barang Keluar'!$A:$A,M6348,'Barang Keluar'!$C:$C,N6348))</f>
        <v>0</v>
      </c>
    </row>
    <row r="6349" spans="13:16">
      <c r="M6349" s="49">
        <f>IF($A$4+63&gt;$B$4,"",$A$4+63)</f>
        <v>46086</v>
      </c>
      <c r="N6349">
        <f>IF(M6349="","",'Master Barang'!A43)</f>
        <v>0</v>
      </c>
      <c r="O6349">
        <f>IF(N6349="","",'Master Barang'!B43)</f>
        <v>0</v>
      </c>
      <c r="P6349">
        <f>IF(OR(M6349="",N6349=""),"",SUMIFS('Barang Keluar'!$E:$E,'Barang Keluar'!$A:$A,M6349,'Barang Keluar'!$C:$C,N6349))</f>
        <v>0</v>
      </c>
    </row>
    <row r="6350" spans="13:16">
      <c r="M6350" s="49">
        <f>IF($A$4+63&gt;$B$4,"",$A$4+63)</f>
        <v>46086</v>
      </c>
      <c r="N6350">
        <f>IF(M6350="","",'Master Barang'!A44)</f>
        <v>0</v>
      </c>
      <c r="O6350">
        <f>IF(N6350="","",'Master Barang'!B44)</f>
        <v>0</v>
      </c>
      <c r="P6350">
        <f>IF(OR(M6350="",N6350=""),"",SUMIFS('Barang Keluar'!$E:$E,'Barang Keluar'!$A:$A,M6350,'Barang Keluar'!$C:$C,N6350))</f>
        <v>0</v>
      </c>
    </row>
    <row r="6351" spans="13:16">
      <c r="M6351" s="49">
        <f>IF($A$4+63&gt;$B$4,"",$A$4+63)</f>
        <v>46086</v>
      </c>
      <c r="N6351">
        <f>IF(M6351="","",'Master Barang'!A45)</f>
        <v>0</v>
      </c>
      <c r="O6351">
        <f>IF(N6351="","",'Master Barang'!B45)</f>
        <v>0</v>
      </c>
      <c r="P6351">
        <f>IF(OR(M6351="",N6351=""),"",SUMIFS('Barang Keluar'!$E:$E,'Barang Keluar'!$A:$A,M6351,'Barang Keluar'!$C:$C,N6351))</f>
        <v>0</v>
      </c>
    </row>
    <row r="6352" spans="13:16">
      <c r="M6352" s="49">
        <f>IF($A$4+63&gt;$B$4,"",$A$4+63)</f>
        <v>46086</v>
      </c>
      <c r="N6352">
        <f>IF(M6352="","",'Master Barang'!A46)</f>
        <v>0</v>
      </c>
      <c r="O6352">
        <f>IF(N6352="","",'Master Barang'!B46)</f>
        <v>0</v>
      </c>
      <c r="P6352">
        <f>IF(OR(M6352="",N6352=""),"",SUMIFS('Barang Keluar'!$E:$E,'Barang Keluar'!$A:$A,M6352,'Barang Keluar'!$C:$C,N6352))</f>
        <v>0</v>
      </c>
    </row>
    <row r="6353" spans="13:16">
      <c r="M6353" s="49">
        <f>IF($A$4+63&gt;$B$4,"",$A$4+63)</f>
        <v>46086</v>
      </c>
      <c r="N6353">
        <f>IF(M6353="","",'Master Barang'!A47)</f>
        <v>0</v>
      </c>
      <c r="O6353">
        <f>IF(N6353="","",'Master Barang'!B47)</f>
        <v>0</v>
      </c>
      <c r="P6353">
        <f>IF(OR(M6353="",N6353=""),"",SUMIFS('Barang Keluar'!$E:$E,'Barang Keluar'!$A:$A,M6353,'Barang Keluar'!$C:$C,N6353))</f>
        <v>0</v>
      </c>
    </row>
    <row r="6354" spans="13:16">
      <c r="M6354" s="49">
        <f>IF($A$4+63&gt;$B$4,"",$A$4+63)</f>
        <v>46086</v>
      </c>
      <c r="N6354">
        <f>IF(M6354="","",'Master Barang'!A48)</f>
        <v>0</v>
      </c>
      <c r="O6354">
        <f>IF(N6354="","",'Master Barang'!B48)</f>
        <v>0</v>
      </c>
      <c r="P6354">
        <f>IF(OR(M6354="",N6354=""),"",SUMIFS('Barang Keluar'!$E:$E,'Barang Keluar'!$A:$A,M6354,'Barang Keluar'!$C:$C,N6354))</f>
        <v>0</v>
      </c>
    </row>
    <row r="6355" spans="13:16">
      <c r="M6355" s="49">
        <f>IF($A$4+63&gt;$B$4,"",$A$4+63)</f>
        <v>46086</v>
      </c>
      <c r="N6355">
        <f>IF(M6355="","",'Master Barang'!A49)</f>
        <v>0</v>
      </c>
      <c r="O6355">
        <f>IF(N6355="","",'Master Barang'!B49)</f>
        <v>0</v>
      </c>
      <c r="P6355">
        <f>IF(OR(M6355="",N6355=""),"",SUMIFS('Barang Keluar'!$E:$E,'Barang Keluar'!$A:$A,M6355,'Barang Keluar'!$C:$C,N6355))</f>
        <v>0</v>
      </c>
    </row>
    <row r="6356" spans="13:16">
      <c r="M6356" s="49">
        <f>IF($A$4+63&gt;$B$4,"",$A$4+63)</f>
        <v>46086</v>
      </c>
      <c r="N6356">
        <f>IF(M6356="","",'Master Barang'!A50)</f>
        <v>0</v>
      </c>
      <c r="O6356">
        <f>IF(N6356="","",'Master Barang'!B50)</f>
        <v>0</v>
      </c>
      <c r="P6356">
        <f>IF(OR(M6356="",N6356=""),"",SUMIFS('Barang Keluar'!$E:$E,'Barang Keluar'!$A:$A,M6356,'Barang Keluar'!$C:$C,N6356))</f>
        <v>0</v>
      </c>
    </row>
    <row r="6357" spans="13:16">
      <c r="M6357" s="49">
        <f>IF($A$4+63&gt;$B$4,"",$A$4+63)</f>
        <v>46086</v>
      </c>
      <c r="N6357">
        <f>IF(M6357="","",'Master Barang'!A51)</f>
        <v>0</v>
      </c>
      <c r="O6357">
        <f>IF(N6357="","",'Master Barang'!B51)</f>
        <v>0</v>
      </c>
      <c r="P6357">
        <f>IF(OR(M6357="",N6357=""),"",SUMIFS('Barang Keluar'!$E:$E,'Barang Keluar'!$A:$A,M6357,'Barang Keluar'!$C:$C,N6357))</f>
        <v>0</v>
      </c>
    </row>
    <row r="6358" spans="13:16">
      <c r="M6358" s="49">
        <f>IF($A$4+63&gt;$B$4,"",$A$4+63)</f>
        <v>46086</v>
      </c>
      <c r="N6358">
        <f>IF(M6358="","",'Master Barang'!A52)</f>
        <v>0</v>
      </c>
      <c r="O6358">
        <f>IF(N6358="","",'Master Barang'!B52)</f>
        <v>0</v>
      </c>
      <c r="P6358">
        <f>IF(OR(M6358="",N6358=""),"",SUMIFS('Barang Keluar'!$E:$E,'Barang Keluar'!$A:$A,M6358,'Barang Keluar'!$C:$C,N6358))</f>
        <v>0</v>
      </c>
    </row>
    <row r="6359" spans="13:16">
      <c r="M6359" s="49">
        <f>IF($A$4+63&gt;$B$4,"",$A$4+63)</f>
        <v>46086</v>
      </c>
      <c r="N6359">
        <f>IF(M6359="","",'Master Barang'!A53)</f>
        <v>0</v>
      </c>
      <c r="O6359">
        <f>IF(N6359="","",'Master Barang'!B53)</f>
        <v>0</v>
      </c>
      <c r="P6359">
        <f>IF(OR(M6359="",N6359=""),"",SUMIFS('Barang Keluar'!$E:$E,'Barang Keluar'!$A:$A,M6359,'Barang Keluar'!$C:$C,N6359))</f>
        <v>0</v>
      </c>
    </row>
    <row r="6360" spans="13:16">
      <c r="M6360" s="49">
        <f>IF($A$4+63&gt;$B$4,"",$A$4+63)</f>
        <v>46086</v>
      </c>
      <c r="N6360">
        <f>IF(M6360="","",'Master Barang'!A54)</f>
        <v>0</v>
      </c>
      <c r="O6360">
        <f>IF(N6360="","",'Master Barang'!B54)</f>
        <v>0</v>
      </c>
      <c r="P6360">
        <f>IF(OR(M6360="",N6360=""),"",SUMIFS('Barang Keluar'!$E:$E,'Barang Keluar'!$A:$A,M6360,'Barang Keluar'!$C:$C,N6360))</f>
        <v>0</v>
      </c>
    </row>
    <row r="6361" spans="13:16">
      <c r="M6361" s="49">
        <f>IF($A$4+63&gt;$B$4,"",$A$4+63)</f>
        <v>46086</v>
      </c>
      <c r="N6361">
        <f>IF(M6361="","",'Master Barang'!A55)</f>
        <v>0</v>
      </c>
      <c r="O6361">
        <f>IF(N6361="","",'Master Barang'!B55)</f>
        <v>0</v>
      </c>
      <c r="P6361">
        <f>IF(OR(M6361="",N6361=""),"",SUMIFS('Barang Keluar'!$E:$E,'Barang Keluar'!$A:$A,M6361,'Barang Keluar'!$C:$C,N6361))</f>
        <v>0</v>
      </c>
    </row>
    <row r="6362" spans="13:16">
      <c r="M6362" s="49">
        <f>IF($A$4+63&gt;$B$4,"",$A$4+63)</f>
        <v>46086</v>
      </c>
      <c r="N6362">
        <f>IF(M6362="","",'Master Barang'!A56)</f>
        <v>0</v>
      </c>
      <c r="O6362">
        <f>IF(N6362="","",'Master Barang'!B56)</f>
        <v>0</v>
      </c>
      <c r="P6362">
        <f>IF(OR(M6362="",N6362=""),"",SUMIFS('Barang Keluar'!$E:$E,'Barang Keluar'!$A:$A,M6362,'Barang Keluar'!$C:$C,N6362))</f>
        <v>0</v>
      </c>
    </row>
    <row r="6363" spans="13:16">
      <c r="M6363" s="49">
        <f>IF($A$4+63&gt;$B$4,"",$A$4+63)</f>
        <v>46086</v>
      </c>
      <c r="N6363">
        <f>IF(M6363="","",'Master Barang'!A57)</f>
        <v>0</v>
      </c>
      <c r="O6363">
        <f>IF(N6363="","",'Master Barang'!B57)</f>
        <v>0</v>
      </c>
      <c r="P6363">
        <f>IF(OR(M6363="",N6363=""),"",SUMIFS('Barang Keluar'!$E:$E,'Barang Keluar'!$A:$A,M6363,'Barang Keluar'!$C:$C,N6363))</f>
        <v>0</v>
      </c>
    </row>
    <row r="6364" spans="13:16">
      <c r="M6364" s="49">
        <f>IF($A$4+63&gt;$B$4,"",$A$4+63)</f>
        <v>46086</v>
      </c>
      <c r="N6364">
        <f>IF(M6364="","",'Master Barang'!A58)</f>
        <v>0</v>
      </c>
      <c r="O6364">
        <f>IF(N6364="","",'Master Barang'!B58)</f>
        <v>0</v>
      </c>
      <c r="P6364">
        <f>IF(OR(M6364="",N6364=""),"",SUMIFS('Barang Keluar'!$E:$E,'Barang Keluar'!$A:$A,M6364,'Barang Keluar'!$C:$C,N6364))</f>
        <v>0</v>
      </c>
    </row>
    <row r="6365" spans="13:16">
      <c r="M6365" s="49">
        <f>IF($A$4+63&gt;$B$4,"",$A$4+63)</f>
        <v>46086</v>
      </c>
      <c r="N6365">
        <f>IF(M6365="","",'Master Barang'!A59)</f>
        <v>0</v>
      </c>
      <c r="O6365">
        <f>IF(N6365="","",'Master Barang'!B59)</f>
        <v>0</v>
      </c>
      <c r="P6365">
        <f>IF(OR(M6365="",N6365=""),"",SUMIFS('Barang Keluar'!$E:$E,'Barang Keluar'!$A:$A,M6365,'Barang Keluar'!$C:$C,N6365))</f>
        <v>0</v>
      </c>
    </row>
    <row r="6366" spans="13:16">
      <c r="M6366" s="49">
        <f>IF($A$4+63&gt;$B$4,"",$A$4+63)</f>
        <v>46086</v>
      </c>
      <c r="N6366">
        <f>IF(M6366="","",'Master Barang'!A60)</f>
        <v>0</v>
      </c>
      <c r="O6366">
        <f>IF(N6366="","",'Master Barang'!B60)</f>
        <v>0</v>
      </c>
      <c r="P6366">
        <f>IF(OR(M6366="",N6366=""),"",SUMIFS('Barang Keluar'!$E:$E,'Barang Keluar'!$A:$A,M6366,'Barang Keluar'!$C:$C,N6366))</f>
        <v>0</v>
      </c>
    </row>
    <row r="6367" spans="13:16">
      <c r="M6367" s="49">
        <f>IF($A$4+63&gt;$B$4,"",$A$4+63)</f>
        <v>46086</v>
      </c>
      <c r="N6367">
        <f>IF(M6367="","",'Master Barang'!A61)</f>
        <v>0</v>
      </c>
      <c r="O6367">
        <f>IF(N6367="","",'Master Barang'!B61)</f>
        <v>0</v>
      </c>
      <c r="P6367">
        <f>IF(OR(M6367="",N6367=""),"",SUMIFS('Barang Keluar'!$E:$E,'Barang Keluar'!$A:$A,M6367,'Barang Keluar'!$C:$C,N6367))</f>
        <v>0</v>
      </c>
    </row>
    <row r="6368" spans="13:16">
      <c r="M6368" s="49">
        <f>IF($A$4+63&gt;$B$4,"",$A$4+63)</f>
        <v>46086</v>
      </c>
      <c r="N6368">
        <f>IF(M6368="","",'Master Barang'!A62)</f>
        <v>0</v>
      </c>
      <c r="O6368">
        <f>IF(N6368="","",'Master Barang'!B62)</f>
        <v>0</v>
      </c>
      <c r="P6368">
        <f>IF(OR(M6368="",N6368=""),"",SUMIFS('Barang Keluar'!$E:$E,'Barang Keluar'!$A:$A,M6368,'Barang Keluar'!$C:$C,N6368))</f>
        <v>0</v>
      </c>
    </row>
    <row r="6369" spans="13:16">
      <c r="M6369" s="49">
        <f>IF($A$4+63&gt;$B$4,"",$A$4+63)</f>
        <v>46086</v>
      </c>
      <c r="N6369">
        <f>IF(M6369="","",'Master Barang'!A63)</f>
        <v>0</v>
      </c>
      <c r="O6369">
        <f>IF(N6369="","",'Master Barang'!B63)</f>
        <v>0</v>
      </c>
      <c r="P6369">
        <f>IF(OR(M6369="",N6369=""),"",SUMIFS('Barang Keluar'!$E:$E,'Barang Keluar'!$A:$A,M6369,'Barang Keluar'!$C:$C,N6369))</f>
        <v>0</v>
      </c>
    </row>
    <row r="6370" spans="13:16">
      <c r="M6370" s="49">
        <f>IF($A$4+63&gt;$B$4,"",$A$4+63)</f>
        <v>46086</v>
      </c>
      <c r="N6370">
        <f>IF(M6370="","",'Master Barang'!A64)</f>
        <v>0</v>
      </c>
      <c r="O6370">
        <f>IF(N6370="","",'Master Barang'!B64)</f>
        <v>0</v>
      </c>
      <c r="P6370">
        <f>IF(OR(M6370="",N6370=""),"",SUMIFS('Barang Keluar'!$E:$E,'Barang Keluar'!$A:$A,M6370,'Barang Keluar'!$C:$C,N6370))</f>
        <v>0</v>
      </c>
    </row>
    <row r="6371" spans="13:16">
      <c r="M6371" s="49">
        <f>IF($A$4+63&gt;$B$4,"",$A$4+63)</f>
        <v>46086</v>
      </c>
      <c r="N6371">
        <f>IF(M6371="","",'Master Barang'!A65)</f>
        <v>0</v>
      </c>
      <c r="O6371">
        <f>IF(N6371="","",'Master Barang'!B65)</f>
        <v>0</v>
      </c>
      <c r="P6371">
        <f>IF(OR(M6371="",N6371=""),"",SUMIFS('Barang Keluar'!$E:$E,'Barang Keluar'!$A:$A,M6371,'Barang Keluar'!$C:$C,N6371))</f>
        <v>0</v>
      </c>
    </row>
    <row r="6372" spans="13:16">
      <c r="M6372" s="49">
        <f>IF($A$4+63&gt;$B$4,"",$A$4+63)</f>
        <v>46086</v>
      </c>
      <c r="N6372">
        <f>IF(M6372="","",'Master Barang'!A66)</f>
        <v>0</v>
      </c>
      <c r="O6372">
        <f>IF(N6372="","",'Master Barang'!B66)</f>
        <v>0</v>
      </c>
      <c r="P6372">
        <f>IF(OR(M6372="",N6372=""),"",SUMIFS('Barang Keluar'!$E:$E,'Barang Keluar'!$A:$A,M6372,'Barang Keluar'!$C:$C,N6372))</f>
        <v>0</v>
      </c>
    </row>
    <row r="6373" spans="13:16">
      <c r="M6373" s="49">
        <f>IF($A$4+63&gt;$B$4,"",$A$4+63)</f>
        <v>46086</v>
      </c>
      <c r="N6373">
        <f>IF(M6373="","",'Master Barang'!A67)</f>
        <v>0</v>
      </c>
      <c r="O6373">
        <f>IF(N6373="","",'Master Barang'!B67)</f>
        <v>0</v>
      </c>
      <c r="P6373">
        <f>IF(OR(M6373="",N6373=""),"",SUMIFS('Barang Keluar'!$E:$E,'Barang Keluar'!$A:$A,M6373,'Barang Keluar'!$C:$C,N6373))</f>
        <v>0</v>
      </c>
    </row>
    <row r="6374" spans="13:16">
      <c r="M6374" s="49">
        <f>IF($A$4+63&gt;$B$4,"",$A$4+63)</f>
        <v>46086</v>
      </c>
      <c r="N6374">
        <f>IF(M6374="","",'Master Barang'!A68)</f>
        <v>0</v>
      </c>
      <c r="O6374">
        <f>IF(N6374="","",'Master Barang'!B68)</f>
        <v>0</v>
      </c>
      <c r="P6374">
        <f>IF(OR(M6374="",N6374=""),"",SUMIFS('Barang Keluar'!$E:$E,'Barang Keluar'!$A:$A,M6374,'Barang Keluar'!$C:$C,N6374))</f>
        <v>0</v>
      </c>
    </row>
    <row r="6375" spans="13:16">
      <c r="M6375" s="49">
        <f>IF($A$4+63&gt;$B$4,"",$A$4+63)</f>
        <v>46086</v>
      </c>
      <c r="N6375">
        <f>IF(M6375="","",'Master Barang'!A69)</f>
        <v>0</v>
      </c>
      <c r="O6375">
        <f>IF(N6375="","",'Master Barang'!B69)</f>
        <v>0</v>
      </c>
      <c r="P6375">
        <f>IF(OR(M6375="",N6375=""),"",SUMIFS('Barang Keluar'!$E:$E,'Barang Keluar'!$A:$A,M6375,'Barang Keluar'!$C:$C,N6375))</f>
        <v>0</v>
      </c>
    </row>
    <row r="6376" spans="13:16">
      <c r="M6376" s="49">
        <f>IF($A$4+63&gt;$B$4,"",$A$4+63)</f>
        <v>46086</v>
      </c>
      <c r="N6376">
        <f>IF(M6376="","",'Master Barang'!A70)</f>
        <v>0</v>
      </c>
      <c r="O6376">
        <f>IF(N6376="","",'Master Barang'!B70)</f>
        <v>0</v>
      </c>
      <c r="P6376">
        <f>IF(OR(M6376="",N6376=""),"",SUMIFS('Barang Keluar'!$E:$E,'Barang Keluar'!$A:$A,M6376,'Barang Keluar'!$C:$C,N6376))</f>
        <v>0</v>
      </c>
    </row>
    <row r="6377" spans="13:16">
      <c r="M6377" s="49">
        <f>IF($A$4+63&gt;$B$4,"",$A$4+63)</f>
        <v>46086</v>
      </c>
      <c r="N6377">
        <f>IF(M6377="","",'Master Barang'!A71)</f>
        <v>0</v>
      </c>
      <c r="O6377">
        <f>IF(N6377="","",'Master Barang'!B71)</f>
        <v>0</v>
      </c>
      <c r="P6377">
        <f>IF(OR(M6377="",N6377=""),"",SUMIFS('Barang Keluar'!$E:$E,'Barang Keluar'!$A:$A,M6377,'Barang Keluar'!$C:$C,N6377))</f>
        <v>0</v>
      </c>
    </row>
    <row r="6378" spans="13:16">
      <c r="M6378" s="49">
        <f>IF($A$4+63&gt;$B$4,"",$A$4+63)</f>
        <v>46086</v>
      </c>
      <c r="N6378">
        <f>IF(M6378="","",'Master Barang'!A72)</f>
        <v>0</v>
      </c>
      <c r="O6378">
        <f>IF(N6378="","",'Master Barang'!B72)</f>
        <v>0</v>
      </c>
      <c r="P6378">
        <f>IF(OR(M6378="",N6378=""),"",SUMIFS('Barang Keluar'!$E:$E,'Barang Keluar'!$A:$A,M6378,'Barang Keluar'!$C:$C,N6378))</f>
        <v>0</v>
      </c>
    </row>
    <row r="6379" spans="13:16">
      <c r="M6379" s="49">
        <f>IF($A$4+63&gt;$B$4,"",$A$4+63)</f>
        <v>46086</v>
      </c>
      <c r="N6379">
        <f>IF(M6379="","",'Master Barang'!A73)</f>
        <v>0</v>
      </c>
      <c r="O6379">
        <f>IF(N6379="","",'Master Barang'!B73)</f>
        <v>0</v>
      </c>
      <c r="P6379">
        <f>IF(OR(M6379="",N6379=""),"",SUMIFS('Barang Keluar'!$E:$E,'Barang Keluar'!$A:$A,M6379,'Barang Keluar'!$C:$C,N6379))</f>
        <v>0</v>
      </c>
    </row>
    <row r="6380" spans="13:16">
      <c r="M6380" s="49">
        <f>IF($A$4+63&gt;$B$4,"",$A$4+63)</f>
        <v>46086</v>
      </c>
      <c r="N6380">
        <f>IF(M6380="","",'Master Barang'!A74)</f>
        <v>0</v>
      </c>
      <c r="O6380">
        <f>IF(N6380="","",'Master Barang'!B74)</f>
        <v>0</v>
      </c>
      <c r="P6380">
        <f>IF(OR(M6380="",N6380=""),"",SUMIFS('Barang Keluar'!$E:$E,'Barang Keluar'!$A:$A,M6380,'Barang Keluar'!$C:$C,N6380))</f>
        <v>0</v>
      </c>
    </row>
    <row r="6381" spans="13:16">
      <c r="M6381" s="49">
        <f>IF($A$4+63&gt;$B$4,"",$A$4+63)</f>
        <v>46086</v>
      </c>
      <c r="N6381">
        <f>IF(M6381="","",'Master Barang'!A75)</f>
        <v>0</v>
      </c>
      <c r="O6381">
        <f>IF(N6381="","",'Master Barang'!B75)</f>
        <v>0</v>
      </c>
      <c r="P6381">
        <f>IF(OR(M6381="",N6381=""),"",SUMIFS('Barang Keluar'!$E:$E,'Barang Keluar'!$A:$A,M6381,'Barang Keluar'!$C:$C,N6381))</f>
        <v>0</v>
      </c>
    </row>
    <row r="6382" spans="13:16">
      <c r="M6382" s="49">
        <f>IF($A$4+63&gt;$B$4,"",$A$4+63)</f>
        <v>46086</v>
      </c>
      <c r="N6382">
        <f>IF(M6382="","",'Master Barang'!A76)</f>
        <v>0</v>
      </c>
      <c r="O6382">
        <f>IF(N6382="","",'Master Barang'!B76)</f>
        <v>0</v>
      </c>
      <c r="P6382">
        <f>IF(OR(M6382="",N6382=""),"",SUMIFS('Barang Keluar'!$E:$E,'Barang Keluar'!$A:$A,M6382,'Barang Keluar'!$C:$C,N6382))</f>
        <v>0</v>
      </c>
    </row>
    <row r="6383" spans="13:16">
      <c r="M6383" s="49">
        <f>IF($A$4+63&gt;$B$4,"",$A$4+63)</f>
        <v>46086</v>
      </c>
      <c r="N6383">
        <f>IF(M6383="","",'Master Barang'!A77)</f>
        <v>0</v>
      </c>
      <c r="O6383">
        <f>IF(N6383="","",'Master Barang'!B77)</f>
        <v>0</v>
      </c>
      <c r="P6383">
        <f>IF(OR(M6383="",N6383=""),"",SUMIFS('Barang Keluar'!$E:$E,'Barang Keluar'!$A:$A,M6383,'Barang Keluar'!$C:$C,N6383))</f>
        <v>0</v>
      </c>
    </row>
    <row r="6384" spans="13:16">
      <c r="M6384" s="49">
        <f>IF($A$4+63&gt;$B$4,"",$A$4+63)</f>
        <v>46086</v>
      </c>
      <c r="N6384">
        <f>IF(M6384="","",'Master Barang'!A78)</f>
        <v>0</v>
      </c>
      <c r="O6384">
        <f>IF(N6384="","",'Master Barang'!B78)</f>
        <v>0</v>
      </c>
      <c r="P6384">
        <f>IF(OR(M6384="",N6384=""),"",SUMIFS('Barang Keluar'!$E:$E,'Barang Keluar'!$A:$A,M6384,'Barang Keluar'!$C:$C,N6384))</f>
        <v>0</v>
      </c>
    </row>
    <row r="6385" spans="13:16">
      <c r="M6385" s="49">
        <f>IF($A$4+63&gt;$B$4,"",$A$4+63)</f>
        <v>46086</v>
      </c>
      <c r="N6385">
        <f>IF(M6385="","",'Master Barang'!A79)</f>
        <v>0</v>
      </c>
      <c r="O6385">
        <f>IF(N6385="","",'Master Barang'!B79)</f>
        <v>0</v>
      </c>
      <c r="P6385">
        <f>IF(OR(M6385="",N6385=""),"",SUMIFS('Barang Keluar'!$E:$E,'Barang Keluar'!$A:$A,M6385,'Barang Keluar'!$C:$C,N6385))</f>
        <v>0</v>
      </c>
    </row>
    <row r="6386" spans="13:16">
      <c r="M6386" s="49">
        <f>IF($A$4+63&gt;$B$4,"",$A$4+63)</f>
        <v>46086</v>
      </c>
      <c r="N6386">
        <f>IF(M6386="","",'Master Barang'!A80)</f>
        <v>0</v>
      </c>
      <c r="O6386">
        <f>IF(N6386="","",'Master Barang'!B80)</f>
        <v>0</v>
      </c>
      <c r="P6386">
        <f>IF(OR(M6386="",N6386=""),"",SUMIFS('Barang Keluar'!$E:$E,'Barang Keluar'!$A:$A,M6386,'Barang Keluar'!$C:$C,N6386))</f>
        <v>0</v>
      </c>
    </row>
    <row r="6387" spans="13:16">
      <c r="M6387" s="49">
        <f>IF($A$4+63&gt;$B$4,"",$A$4+63)</f>
        <v>46086</v>
      </c>
      <c r="N6387">
        <f>IF(M6387="","",'Master Barang'!A81)</f>
        <v>0</v>
      </c>
      <c r="O6387">
        <f>IF(N6387="","",'Master Barang'!B81)</f>
        <v>0</v>
      </c>
      <c r="P6387">
        <f>IF(OR(M6387="",N6387=""),"",SUMIFS('Barang Keluar'!$E:$E,'Barang Keluar'!$A:$A,M6387,'Barang Keluar'!$C:$C,N6387))</f>
        <v>0</v>
      </c>
    </row>
    <row r="6388" spans="13:16">
      <c r="M6388" s="49">
        <f>IF($A$4+63&gt;$B$4,"",$A$4+63)</f>
        <v>46086</v>
      </c>
      <c r="N6388">
        <f>IF(M6388="","",'Master Barang'!A82)</f>
        <v>0</v>
      </c>
      <c r="O6388">
        <f>IF(N6388="","",'Master Barang'!B82)</f>
        <v>0</v>
      </c>
      <c r="P6388">
        <f>IF(OR(M6388="",N6388=""),"",SUMIFS('Barang Keluar'!$E:$E,'Barang Keluar'!$A:$A,M6388,'Barang Keluar'!$C:$C,N6388))</f>
        <v>0</v>
      </c>
    </row>
    <row r="6389" spans="13:16">
      <c r="M6389" s="49">
        <f>IF($A$4+63&gt;$B$4,"",$A$4+63)</f>
        <v>46086</v>
      </c>
      <c r="N6389">
        <f>IF(M6389="","",'Master Barang'!A83)</f>
        <v>0</v>
      </c>
      <c r="O6389">
        <f>IF(N6389="","",'Master Barang'!B83)</f>
        <v>0</v>
      </c>
      <c r="P6389">
        <f>IF(OR(M6389="",N6389=""),"",SUMIFS('Barang Keluar'!$E:$E,'Barang Keluar'!$A:$A,M6389,'Barang Keluar'!$C:$C,N6389))</f>
        <v>0</v>
      </c>
    </row>
    <row r="6390" spans="13:16">
      <c r="M6390" s="49">
        <f>IF($A$4+63&gt;$B$4,"",$A$4+63)</f>
        <v>46086</v>
      </c>
      <c r="N6390">
        <f>IF(M6390="","",'Master Barang'!A84)</f>
        <v>0</v>
      </c>
      <c r="O6390">
        <f>IF(N6390="","",'Master Barang'!B84)</f>
        <v>0</v>
      </c>
      <c r="P6390">
        <f>IF(OR(M6390="",N6390=""),"",SUMIFS('Barang Keluar'!$E:$E,'Barang Keluar'!$A:$A,M6390,'Barang Keluar'!$C:$C,N6390))</f>
        <v>0</v>
      </c>
    </row>
    <row r="6391" spans="13:16">
      <c r="M6391" s="49">
        <f>IF($A$4+63&gt;$B$4,"",$A$4+63)</f>
        <v>46086</v>
      </c>
      <c r="N6391">
        <f>IF(M6391="","",'Master Barang'!A85)</f>
        <v>0</v>
      </c>
      <c r="O6391">
        <f>IF(N6391="","",'Master Barang'!B85)</f>
        <v>0</v>
      </c>
      <c r="P6391">
        <f>IF(OR(M6391="",N6391=""),"",SUMIFS('Barang Keluar'!$E:$E,'Barang Keluar'!$A:$A,M6391,'Barang Keluar'!$C:$C,N6391))</f>
        <v>0</v>
      </c>
    </row>
    <row r="6392" spans="13:16">
      <c r="M6392" s="49">
        <f>IF($A$4+63&gt;$B$4,"",$A$4+63)</f>
        <v>46086</v>
      </c>
      <c r="N6392">
        <f>IF(M6392="","",'Master Barang'!A86)</f>
        <v>0</v>
      </c>
      <c r="O6392">
        <f>IF(N6392="","",'Master Barang'!B86)</f>
        <v>0</v>
      </c>
      <c r="P6392">
        <f>IF(OR(M6392="",N6392=""),"",SUMIFS('Barang Keluar'!$E:$E,'Barang Keluar'!$A:$A,M6392,'Barang Keluar'!$C:$C,N6392))</f>
        <v>0</v>
      </c>
    </row>
    <row r="6393" spans="13:16">
      <c r="M6393" s="49">
        <f>IF($A$4+63&gt;$B$4,"",$A$4+63)</f>
        <v>46086</v>
      </c>
      <c r="N6393">
        <f>IF(M6393="","",'Master Barang'!A87)</f>
        <v>0</v>
      </c>
      <c r="O6393">
        <f>IF(N6393="","",'Master Barang'!B87)</f>
        <v>0</v>
      </c>
      <c r="P6393">
        <f>IF(OR(M6393="",N6393=""),"",SUMIFS('Barang Keluar'!$E:$E,'Barang Keluar'!$A:$A,M6393,'Barang Keluar'!$C:$C,N6393))</f>
        <v>0</v>
      </c>
    </row>
    <row r="6394" spans="13:16">
      <c r="M6394" s="49">
        <f>IF($A$4+63&gt;$B$4,"",$A$4+63)</f>
        <v>46086</v>
      </c>
      <c r="N6394">
        <f>IF(M6394="","",'Master Barang'!A88)</f>
        <v>0</v>
      </c>
      <c r="O6394">
        <f>IF(N6394="","",'Master Barang'!B88)</f>
        <v>0</v>
      </c>
      <c r="P6394">
        <f>IF(OR(M6394="",N6394=""),"",SUMIFS('Barang Keluar'!$E:$E,'Barang Keluar'!$A:$A,M6394,'Barang Keluar'!$C:$C,N6394))</f>
        <v>0</v>
      </c>
    </row>
    <row r="6395" spans="13:16">
      <c r="M6395" s="49">
        <f>IF($A$4+63&gt;$B$4,"",$A$4+63)</f>
        <v>46086</v>
      </c>
      <c r="N6395">
        <f>IF(M6395="","",'Master Barang'!A89)</f>
        <v>0</v>
      </c>
      <c r="O6395">
        <f>IF(N6395="","",'Master Barang'!B89)</f>
        <v>0</v>
      </c>
      <c r="P6395">
        <f>IF(OR(M6395="",N6395=""),"",SUMIFS('Barang Keluar'!$E:$E,'Barang Keluar'!$A:$A,M6395,'Barang Keluar'!$C:$C,N6395))</f>
        <v>0</v>
      </c>
    </row>
    <row r="6396" spans="13:16">
      <c r="M6396" s="49">
        <f>IF($A$4+63&gt;$B$4,"",$A$4+63)</f>
        <v>46086</v>
      </c>
      <c r="N6396">
        <f>IF(M6396="","",'Master Barang'!A90)</f>
        <v>0</v>
      </c>
      <c r="O6396">
        <f>IF(N6396="","",'Master Barang'!B90)</f>
        <v>0</v>
      </c>
      <c r="P6396">
        <f>IF(OR(M6396="",N6396=""),"",SUMIFS('Barang Keluar'!$E:$E,'Barang Keluar'!$A:$A,M6396,'Barang Keluar'!$C:$C,N6396))</f>
        <v>0</v>
      </c>
    </row>
    <row r="6397" spans="13:16">
      <c r="M6397" s="49">
        <f>IF($A$4+63&gt;$B$4,"",$A$4+63)</f>
        <v>46086</v>
      </c>
      <c r="N6397">
        <f>IF(M6397="","",'Master Barang'!A91)</f>
        <v>0</v>
      </c>
      <c r="O6397">
        <f>IF(N6397="","",'Master Barang'!B91)</f>
        <v>0</v>
      </c>
      <c r="P6397">
        <f>IF(OR(M6397="",N6397=""),"",SUMIFS('Barang Keluar'!$E:$E,'Barang Keluar'!$A:$A,M6397,'Barang Keluar'!$C:$C,N6397))</f>
        <v>0</v>
      </c>
    </row>
    <row r="6398" spans="13:16">
      <c r="M6398" s="49">
        <f>IF($A$4+63&gt;$B$4,"",$A$4+63)</f>
        <v>46086</v>
      </c>
      <c r="N6398">
        <f>IF(M6398="","",'Master Barang'!A92)</f>
        <v>0</v>
      </c>
      <c r="O6398">
        <f>IF(N6398="","",'Master Barang'!B92)</f>
        <v>0</v>
      </c>
      <c r="P6398">
        <f>IF(OR(M6398="",N6398=""),"",SUMIFS('Barang Keluar'!$E:$E,'Barang Keluar'!$A:$A,M6398,'Barang Keluar'!$C:$C,N6398))</f>
        <v>0</v>
      </c>
    </row>
    <row r="6399" spans="13:16">
      <c r="M6399" s="49">
        <f>IF($A$4+63&gt;$B$4,"",$A$4+63)</f>
        <v>46086</v>
      </c>
      <c r="N6399">
        <f>IF(M6399="","",'Master Barang'!A93)</f>
        <v>0</v>
      </c>
      <c r="O6399">
        <f>IF(N6399="","",'Master Barang'!B93)</f>
        <v>0</v>
      </c>
      <c r="P6399">
        <f>IF(OR(M6399="",N6399=""),"",SUMIFS('Barang Keluar'!$E:$E,'Barang Keluar'!$A:$A,M6399,'Barang Keluar'!$C:$C,N6399))</f>
        <v>0</v>
      </c>
    </row>
    <row r="6400" spans="13:16">
      <c r="M6400" s="49">
        <f>IF($A$4+63&gt;$B$4,"",$A$4+63)</f>
        <v>46086</v>
      </c>
      <c r="N6400">
        <f>IF(M6400="","",'Master Barang'!A94)</f>
        <v>0</v>
      </c>
      <c r="O6400">
        <f>IF(N6400="","",'Master Barang'!B94)</f>
        <v>0</v>
      </c>
      <c r="P6400">
        <f>IF(OR(M6400="",N6400=""),"",SUMIFS('Barang Keluar'!$E:$E,'Barang Keluar'!$A:$A,M6400,'Barang Keluar'!$C:$C,N6400))</f>
        <v>0</v>
      </c>
    </row>
    <row r="6401" spans="13:16">
      <c r="M6401" s="49">
        <f>IF($A$4+63&gt;$B$4,"",$A$4+63)</f>
        <v>46086</v>
      </c>
      <c r="N6401">
        <f>IF(M6401="","",'Master Barang'!A95)</f>
        <v>0</v>
      </c>
      <c r="O6401">
        <f>IF(N6401="","",'Master Barang'!B95)</f>
        <v>0</v>
      </c>
      <c r="P6401">
        <f>IF(OR(M6401="",N6401=""),"",SUMIFS('Barang Keluar'!$E:$E,'Barang Keluar'!$A:$A,M6401,'Barang Keluar'!$C:$C,N6401))</f>
        <v>0</v>
      </c>
    </row>
    <row r="6402" spans="13:16">
      <c r="M6402" s="49">
        <f>IF($A$4+63&gt;$B$4,"",$A$4+63)</f>
        <v>46086</v>
      </c>
      <c r="N6402">
        <f>IF(M6402="","",'Master Barang'!A96)</f>
        <v>0</v>
      </c>
      <c r="O6402">
        <f>IF(N6402="","",'Master Barang'!B96)</f>
        <v>0</v>
      </c>
      <c r="P6402">
        <f>IF(OR(M6402="",N6402=""),"",SUMIFS('Barang Keluar'!$E:$E,'Barang Keluar'!$A:$A,M6402,'Barang Keluar'!$C:$C,N6402))</f>
        <v>0</v>
      </c>
    </row>
    <row r="6403" spans="13:16">
      <c r="M6403" s="49">
        <f>IF($A$4+63&gt;$B$4,"",$A$4+63)</f>
        <v>46086</v>
      </c>
      <c r="N6403">
        <f>IF(M6403="","",'Master Barang'!A97)</f>
        <v>0</v>
      </c>
      <c r="O6403">
        <f>IF(N6403="","",'Master Barang'!B97)</f>
        <v>0</v>
      </c>
      <c r="P6403">
        <f>IF(OR(M6403="",N6403=""),"",SUMIFS('Barang Keluar'!$E:$E,'Barang Keluar'!$A:$A,M6403,'Barang Keluar'!$C:$C,N6403))</f>
        <v>0</v>
      </c>
    </row>
    <row r="6404" spans="13:16">
      <c r="M6404" s="49">
        <f>IF($A$4+63&gt;$B$4,"",$A$4+63)</f>
        <v>46086</v>
      </c>
      <c r="N6404">
        <f>IF(M6404="","",'Master Barang'!A98)</f>
        <v>0</v>
      </c>
      <c r="O6404">
        <f>IF(N6404="","",'Master Barang'!B98)</f>
        <v>0</v>
      </c>
      <c r="P6404">
        <f>IF(OR(M6404="",N6404=""),"",SUMIFS('Barang Keluar'!$E:$E,'Barang Keluar'!$A:$A,M6404,'Barang Keluar'!$C:$C,N6404))</f>
        <v>0</v>
      </c>
    </row>
    <row r="6405" spans="13:16">
      <c r="M6405" s="49">
        <f>IF($A$4+63&gt;$B$4,"",$A$4+63)</f>
        <v>46086</v>
      </c>
      <c r="N6405">
        <f>IF(M6405="","",'Master Barang'!A99)</f>
        <v>0</v>
      </c>
      <c r="O6405">
        <f>IF(N6405="","",'Master Barang'!B99)</f>
        <v>0</v>
      </c>
      <c r="P6405">
        <f>IF(OR(M6405="",N6405=""),"",SUMIFS('Barang Keluar'!$E:$E,'Barang Keluar'!$A:$A,M6405,'Barang Keluar'!$C:$C,N6405))</f>
        <v>0</v>
      </c>
    </row>
    <row r="6406" spans="13:16">
      <c r="M6406" s="49">
        <f>IF($A$4+63&gt;$B$4,"",$A$4+63)</f>
        <v>46086</v>
      </c>
      <c r="N6406">
        <f>IF(M6406="","",'Master Barang'!A100)</f>
        <v>0</v>
      </c>
      <c r="O6406">
        <f>IF(N6406="","",'Master Barang'!B100)</f>
        <v>0</v>
      </c>
      <c r="P6406">
        <f>IF(OR(M6406="",N6406=""),"",SUMIFS('Barang Keluar'!$E:$E,'Barang Keluar'!$A:$A,M6406,'Barang Keluar'!$C:$C,N6406))</f>
        <v>0</v>
      </c>
    </row>
    <row r="6407" spans="13:16">
      <c r="M6407" s="49">
        <f>IF($A$4+63&gt;$B$4,"",$A$4+63)</f>
        <v>46086</v>
      </c>
      <c r="N6407">
        <f>IF(M6407="","",'Master Barang'!A101)</f>
        <v>0</v>
      </c>
      <c r="O6407">
        <f>IF(N6407="","",'Master Barang'!B101)</f>
        <v>0</v>
      </c>
      <c r="P6407">
        <f>IF(OR(M6407="",N6407=""),"",SUMIFS('Barang Keluar'!$E:$E,'Barang Keluar'!$A:$A,M6407,'Barang Keluar'!$C:$C,N6407))</f>
        <v>0</v>
      </c>
    </row>
    <row r="6408" spans="13:16">
      <c r="M6408" s="49">
        <f>IF($A$4+64&gt;$B$4,"",$A$4+64)</f>
        <v>46087</v>
      </c>
      <c r="N6408" t="str">
        <f>IF(M6408="","",'Master Barang'!A2)</f>
        <v>PRL-001</v>
      </c>
      <c r="O6408" t="str">
        <f>IF(N6408="","",'Master Barang'!B2)</f>
        <v>natura desinfectant food grade 5l</v>
      </c>
      <c r="P6408">
        <f>IF(OR(M6408="",N6408=""),"",SUMIFS('Barang Keluar'!$E:$E,'Barang Keluar'!$A:$A,M6408,'Barang Keluar'!$C:$C,N6408))</f>
        <v>0</v>
      </c>
    </row>
    <row r="6409" spans="13:16">
      <c r="M6409" s="49">
        <f>IF($A$4+64&gt;$B$4,"",$A$4+64)</f>
        <v>46087</v>
      </c>
      <c r="N6409" t="str">
        <f>IF(M6409="","",'Master Barang'!A3)</f>
        <v>PRL-002</v>
      </c>
      <c r="O6409" t="str">
        <f>IF(N6409="","",'Master Barang'!B3)</f>
        <v>sunlight cairan pencuci piring 5l</v>
      </c>
      <c r="P6409">
        <f>IF(OR(M6409="",N6409=""),"",SUMIFS('Barang Keluar'!$E:$E,'Barang Keluar'!$A:$A,M6409,'Barang Keluar'!$C:$C,N6409))</f>
        <v>0</v>
      </c>
    </row>
    <row r="6410" spans="13:16">
      <c r="M6410" s="49">
        <f>IF($A$4+64&gt;$B$4,"",$A$4+64)</f>
        <v>46087</v>
      </c>
      <c r="N6410" t="str">
        <f>IF(M6410="","",'Master Barang'!A4)</f>
        <v>PRL-003</v>
      </c>
      <c r="O6410" t="str">
        <f>IF(N6410="","",'Master Barang'!B4)</f>
        <v>oixs cleaner 1l</v>
      </c>
      <c r="P6410">
        <f>IF(OR(M6410="",N6410=""),"",SUMIFS('Barang Keluar'!$E:$E,'Barang Keluar'!$A:$A,M6410,'Barang Keluar'!$C:$C,N6410))</f>
        <v>0</v>
      </c>
    </row>
    <row r="6411" spans="13:16">
      <c r="M6411" s="49">
        <f>IF($A$4+64&gt;$B$4,"",$A$4+64)</f>
        <v>46087</v>
      </c>
      <c r="N6411" t="str">
        <f>IF(M6411="","",'Master Barang'!A5)</f>
        <v>PRL-004</v>
      </c>
      <c r="O6411" t="str">
        <f>IF(N6411="","",'Master Barang'!B5)</f>
        <v>be clean tissue serbaguna</v>
      </c>
      <c r="P6411">
        <f>IF(OR(M6411="",N6411=""),"",SUMIFS('Barang Keluar'!$E:$E,'Barang Keluar'!$A:$A,M6411,'Barang Keluar'!$C:$C,N6411))</f>
        <v>0</v>
      </c>
    </row>
    <row r="6412" spans="13:16">
      <c r="M6412" s="49">
        <f>IF($A$4+64&gt;$B$4,"",$A$4+64)</f>
        <v>46087</v>
      </c>
      <c r="N6412" t="str">
        <f>IF(M6412="","",'Master Barang'!A6)</f>
        <v>PRL-005</v>
      </c>
      <c r="O6412" t="str">
        <f>IF(N6412="","",'Master Barang'!B6)</f>
        <v>spons cuci hijau</v>
      </c>
      <c r="P6412">
        <f>IF(OR(M6412="",N6412=""),"",SUMIFS('Barang Keluar'!$E:$E,'Barang Keluar'!$A:$A,M6412,'Barang Keluar'!$C:$C,N6412))</f>
        <v>0</v>
      </c>
    </row>
    <row r="6413" spans="13:16">
      <c r="M6413" s="49">
        <f>IF($A$4+64&gt;$B$4,"",$A$4+64)</f>
        <v>46087</v>
      </c>
      <c r="N6413" t="str">
        <f>IF(M6413="","",'Master Barang'!A7)</f>
        <v>PRL-006</v>
      </c>
      <c r="O6413" t="str">
        <f>IF(N6413="","",'Master Barang'!B7)</f>
        <v>sabut cuci stainless</v>
      </c>
      <c r="P6413">
        <f>IF(OR(M6413="",N6413=""),"",SUMIFS('Barang Keluar'!$E:$E,'Barang Keluar'!$A:$A,M6413,'Barang Keluar'!$C:$C,N6413))</f>
        <v>0</v>
      </c>
    </row>
    <row r="6414" spans="13:16">
      <c r="M6414" s="49">
        <f>IF($A$4+64&gt;$B$4,"",$A$4+64)</f>
        <v>46087</v>
      </c>
      <c r="N6414" t="str">
        <f>IF(M6414="","",'Master Barang'!A8)</f>
        <v>PRL-007</v>
      </c>
      <c r="O6414" t="str">
        <f>IF(N6414="","",'Master Barang'!B8)</f>
        <v>plastik kresek besar merah 50pc</v>
      </c>
      <c r="P6414">
        <f>IF(OR(M6414="",N6414=""),"",SUMIFS('Barang Keluar'!$E:$E,'Barang Keluar'!$A:$A,M6414,'Barang Keluar'!$C:$C,N6414))</f>
        <v>0</v>
      </c>
    </row>
    <row r="6415" spans="13:16">
      <c r="M6415" s="49">
        <f>IF($A$4+64&gt;$B$4,"",$A$4+64)</f>
        <v>46087</v>
      </c>
      <c r="N6415" t="str">
        <f>IF(M6415="","",'Master Barang'!A9)</f>
        <v>PRL-008</v>
      </c>
      <c r="O6415" t="str">
        <f>IF(N6415="","",'Master Barang'!B9)</f>
        <v>lap besar</v>
      </c>
      <c r="P6415">
        <f>IF(OR(M6415="",N6415=""),"",SUMIFS('Barang Keluar'!$E:$E,'Barang Keluar'!$A:$A,M6415,'Barang Keluar'!$C:$C,N6415))</f>
        <v>0</v>
      </c>
    </row>
    <row r="6416" spans="13:16">
      <c r="M6416" s="49">
        <f>IF($A$4+64&gt;$B$4,"",$A$4+64)</f>
        <v>46087</v>
      </c>
      <c r="N6416" t="str">
        <f>IF(M6416="","",'Master Barang'!A10)</f>
        <v>PRL-009</v>
      </c>
      <c r="O6416" t="str">
        <f>IF(N6416="","",'Master Barang'!B10)</f>
        <v>lap microfiber</v>
      </c>
      <c r="P6416">
        <f>IF(OR(M6416="",N6416=""),"",SUMIFS('Barang Keluar'!$E:$E,'Barang Keluar'!$A:$A,M6416,'Barang Keluar'!$C:$C,N6416))</f>
        <v>0</v>
      </c>
    </row>
    <row r="6417" spans="13:16">
      <c r="M6417" s="49">
        <f>IF($A$4+64&gt;$B$4,"",$A$4+64)</f>
        <v>46087</v>
      </c>
      <c r="N6417" t="str">
        <f>IF(M6417="","",'Master Barang'!A11)</f>
        <v>PRL-010</v>
      </c>
      <c r="O6417" t="str">
        <f>IF(N6417="","",'Master Barang'!B11)</f>
        <v>lap kecil</v>
      </c>
      <c r="P6417">
        <f>IF(OR(M6417="",N6417=""),"",SUMIFS('Barang Keluar'!$E:$E,'Barang Keluar'!$A:$A,M6417,'Barang Keluar'!$C:$C,N6417))</f>
        <v>0</v>
      </c>
    </row>
    <row r="6418" spans="13:16">
      <c r="M6418" s="49">
        <f>IF($A$4+64&gt;$B$4,"",$A$4+64)</f>
        <v>46087</v>
      </c>
      <c r="N6418" t="str">
        <f>IF(M6418="","",'Master Barang'!A12)</f>
        <v>PRL-011</v>
      </c>
      <c r="O6418" t="str">
        <f>IF(N6418="","",'Master Barang'!B12)</f>
        <v>kanebo kecil</v>
      </c>
      <c r="P6418">
        <f>IF(OR(M6418="",N6418=""),"",SUMIFS('Barang Keluar'!$E:$E,'Barang Keluar'!$A:$A,M6418,'Barang Keluar'!$C:$C,N6418))</f>
        <v>0</v>
      </c>
    </row>
    <row r="6419" spans="13:16">
      <c r="M6419" s="49">
        <f>IF($A$4+64&gt;$B$4,"",$A$4+64)</f>
        <v>46087</v>
      </c>
      <c r="N6419" t="str">
        <f>IF(M6419="","",'Master Barang'!A13)</f>
        <v>PRL-012</v>
      </c>
      <c r="O6419" t="str">
        <f>IF(N6419="","",'Master Barang'!B13)</f>
        <v>plastik 1/4kg joyoboyo 100 lembar</v>
      </c>
      <c r="P6419">
        <f>IF(OR(M6419="",N6419=""),"",SUMIFS('Barang Keluar'!$E:$E,'Barang Keluar'!$A:$A,M6419,'Barang Keluar'!$C:$C,N6419))</f>
        <v>0</v>
      </c>
    </row>
    <row r="6420" spans="13:16">
      <c r="M6420" s="49">
        <f>IF($A$4+64&gt;$B$4,"",$A$4+64)</f>
        <v>46087</v>
      </c>
      <c r="N6420" t="str">
        <f>IF(M6420="","",'Master Barang'!A14)</f>
        <v>PRL-013</v>
      </c>
      <c r="O6420" t="str">
        <f>IF(N6420="","",'Master Barang'!B14)</f>
        <v>sarung tangan plastik kaka 100 pcs</v>
      </c>
      <c r="P6420">
        <f>IF(OR(M6420="",N6420=""),"",SUMIFS('Barang Keluar'!$E:$E,'Barang Keluar'!$A:$A,M6420,'Barang Keluar'!$C:$C,N6420))</f>
        <v>0</v>
      </c>
    </row>
    <row r="6421" spans="13:16">
      <c r="M6421" s="49">
        <f>IF($A$4+64&gt;$B$4,"",$A$4+64)</f>
        <v>46087</v>
      </c>
      <c r="N6421" t="str">
        <f>IF(M6421="","",'Master Barang'!A15)</f>
        <v>PRL-014</v>
      </c>
      <c r="O6421" t="str">
        <f>IF(N6421="","",'Master Barang'!B15)</f>
        <v>optima trashbag 80x100</v>
      </c>
      <c r="P6421">
        <f>IF(OR(M6421="",N6421=""),"",SUMIFS('Barang Keluar'!$E:$E,'Barang Keluar'!$A:$A,M6421,'Barang Keluar'!$C:$C,N6421))</f>
        <v>0</v>
      </c>
    </row>
    <row r="6422" spans="13:16">
      <c r="M6422" s="49">
        <f>IF($A$4+64&gt;$B$4,"",$A$4+64)</f>
        <v>46087</v>
      </c>
      <c r="N6422" t="str">
        <f>IF(M6422="","",'Master Barang'!A16)</f>
        <v>PRL-015</v>
      </c>
      <c r="O6422" t="str">
        <f>IF(N6422="","",'Master Barang'!B16)</f>
        <v>optima trashbag 60x100</v>
      </c>
      <c r="P6422">
        <f>IF(OR(M6422="",N6422=""),"",SUMIFS('Barang Keluar'!$E:$E,'Barang Keluar'!$A:$A,M6422,'Barang Keluar'!$C:$C,N6422))</f>
        <v>0</v>
      </c>
    </row>
    <row r="6423" spans="13:16">
      <c r="M6423" s="49">
        <f>IF($A$4+64&gt;$B$4,"",$A$4+64)</f>
        <v>46087</v>
      </c>
      <c r="N6423" t="str">
        <f>IF(M6423="","",'Master Barang'!A17)</f>
        <v>PRL-016</v>
      </c>
      <c r="O6423" t="str">
        <f>IF(N6423="","",'Master Barang'!B17)</f>
        <v>rajawali trashbag 30x40</v>
      </c>
      <c r="P6423">
        <f>IF(OR(M6423="",N6423=""),"",SUMIFS('Barang Keluar'!$E:$E,'Barang Keluar'!$A:$A,M6423,'Barang Keluar'!$C:$C,N6423))</f>
        <v>0</v>
      </c>
    </row>
    <row r="6424" spans="13:16">
      <c r="M6424" s="49">
        <f>IF($A$4+64&gt;$B$4,"",$A$4+64)</f>
        <v>46087</v>
      </c>
      <c r="N6424" t="str">
        <f>IF(M6424="","",'Master Barang'!A18)</f>
        <v>PRL-017</v>
      </c>
      <c r="O6424" t="str">
        <f>IF(N6424="","",'Master Barang'!B18)</f>
        <v>onemed masker biru 3 play 50 pcs</v>
      </c>
      <c r="P6424">
        <f>IF(OR(M6424="",N6424=""),"",SUMIFS('Barang Keluar'!$E:$E,'Barang Keluar'!$A:$A,M6424,'Barang Keluar'!$C:$C,N6424))</f>
        <v>0</v>
      </c>
    </row>
    <row r="6425" spans="13:16">
      <c r="M6425" s="49">
        <f>IF($A$4+64&gt;$B$4,"",$A$4+64)</f>
        <v>46087</v>
      </c>
      <c r="N6425" t="str">
        <f>IF(M6425="","",'Master Barang'!A19)</f>
        <v>PRL-018</v>
      </c>
      <c r="O6425" t="str">
        <f>IF(N6425="","",'Master Barang'!B19)</f>
        <v>onemed masker biru 3 play hijab 50 pcs</v>
      </c>
      <c r="P6425">
        <f>IF(OR(M6425="",N6425=""),"",SUMIFS('Barang Keluar'!$E:$E,'Barang Keluar'!$A:$A,M6425,'Barang Keluar'!$C:$C,N6425))</f>
        <v>0</v>
      </c>
    </row>
    <row r="6426" spans="13:16">
      <c r="M6426" s="49">
        <f>IF($A$4+64&gt;$B$4,"",$A$4+64)</f>
        <v>46087</v>
      </c>
      <c r="N6426" t="str">
        <f>IF(M6426="","",'Master Barang'!A20)</f>
        <v>PRL-019</v>
      </c>
      <c r="O6426" t="str">
        <f>IF(N6426="","",'Master Barang'!B20)</f>
        <v>neo health masker biru 3 play 50 pcs</v>
      </c>
      <c r="P6426">
        <f>IF(OR(M6426="",N6426=""),"",SUMIFS('Barang Keluar'!$E:$E,'Barang Keluar'!$A:$A,M6426,'Barang Keluar'!$C:$C,N6426))</f>
        <v>0</v>
      </c>
    </row>
    <row r="6427" spans="13:16">
      <c r="M6427" s="49">
        <f>IF($A$4+64&gt;$B$4,"",$A$4+64)</f>
        <v>46087</v>
      </c>
      <c r="N6427" t="str">
        <f>IF(M6427="","",'Master Barang'!A21)</f>
        <v>PRL-020</v>
      </c>
      <c r="O6427" t="str">
        <f>IF(N6427="","",'Master Barang'!B21)</f>
        <v>baymed masker hijau 3 play hijau 50 pcs</v>
      </c>
      <c r="P6427">
        <f>IF(OR(M6427="",N6427=""),"",SUMIFS('Barang Keluar'!$E:$E,'Barang Keluar'!$A:$A,M6427,'Barang Keluar'!$C:$C,N6427))</f>
        <v>0</v>
      </c>
    </row>
    <row r="6428" spans="13:16">
      <c r="M6428" s="49">
        <f>IF($A$4+64&gt;$B$4,"",$A$4+64)</f>
        <v>46087</v>
      </c>
      <c r="N6428" t="str">
        <f>IF(M6428="","",'Master Barang'!A22)</f>
        <v>PRL-021</v>
      </c>
      <c r="O6428" t="str">
        <f>IF(N6428="","",'Master Barang'!B22)</f>
        <v>altamed nurse cap penutup kepala 100 pcs</v>
      </c>
      <c r="P6428">
        <f>IF(OR(M6428="",N6428=""),"",SUMIFS('Barang Keluar'!$E:$E,'Barang Keluar'!$A:$A,M6428,'Barang Keluar'!$C:$C,N6428))</f>
        <v>0</v>
      </c>
    </row>
    <row r="6429" spans="13:16">
      <c r="M6429" s="49">
        <f>IF($A$4+64&gt;$B$4,"",$A$4+64)</f>
        <v>46087</v>
      </c>
      <c r="N6429" t="str">
        <f>IF(M6429="","",'Master Barang'!A23)</f>
        <v>PRL-022</v>
      </c>
      <c r="O6429" t="str">
        <f>IF(N6429="","",'Master Barang'!B23)</f>
        <v>sabun cuci tangan</v>
      </c>
      <c r="P6429">
        <f>IF(OR(M6429="",N6429=""),"",SUMIFS('Barang Keluar'!$E:$E,'Barang Keluar'!$A:$A,M6429,'Barang Keluar'!$C:$C,N6429))</f>
        <v>0</v>
      </c>
    </row>
    <row r="6430" spans="13:16">
      <c r="M6430" s="49">
        <f>IF($A$4+64&gt;$B$4,"",$A$4+64)</f>
        <v>46087</v>
      </c>
      <c r="N6430" t="str">
        <f>IF(M6430="","",'Master Barang'!A24)</f>
        <v>PRL-023</v>
      </c>
      <c r="O6430" t="str">
        <f>IF(N6430="","",'Master Barang'!B24)</f>
        <v>gayung kecil</v>
      </c>
      <c r="P6430">
        <f>IF(OR(M6430="",N6430=""),"",SUMIFS('Barang Keluar'!$E:$E,'Barang Keluar'!$A:$A,M6430,'Barang Keluar'!$C:$C,N6430))</f>
        <v>0</v>
      </c>
    </row>
    <row r="6431" spans="13:16">
      <c r="M6431" s="49">
        <f>IF($A$4+64&gt;$B$4,"",$A$4+64)</f>
        <v>46087</v>
      </c>
      <c r="N6431" t="str">
        <f>IF(M6431="","",'Master Barang'!A25)</f>
        <v>PRL-024</v>
      </c>
      <c r="O6431" t="str">
        <f>IF(N6431="","",'Master Barang'!B25)</f>
        <v>cikrak kecil</v>
      </c>
      <c r="P6431">
        <f>IF(OR(M6431="",N6431=""),"",SUMIFS('Barang Keluar'!$E:$E,'Barang Keluar'!$A:$A,M6431,'Barang Keluar'!$C:$C,N6431))</f>
        <v>0</v>
      </c>
    </row>
    <row r="6432" spans="13:16">
      <c r="M6432" s="49">
        <f>IF($A$4+64&gt;$B$4,"",$A$4+64)</f>
        <v>46087</v>
      </c>
      <c r="N6432" t="str">
        <f>IF(M6432="","",'Master Barang'!A26)</f>
        <v>PRL-025</v>
      </c>
      <c r="O6432" t="str">
        <f>IF(N6432="","",'Master Barang'!B26)</f>
        <v>petromax plastik kecil 12x24 100 lembar</v>
      </c>
      <c r="P6432">
        <f>IF(OR(M6432="",N6432=""),"",SUMIFS('Barang Keluar'!$E:$E,'Barang Keluar'!$A:$A,M6432,'Barang Keluar'!$C:$C,N6432))</f>
        <v>0</v>
      </c>
    </row>
    <row r="6433" spans="13:16">
      <c r="M6433" s="49">
        <f>IF($A$4+64&gt;$B$4,"",$A$4+64)</f>
        <v>46087</v>
      </c>
      <c r="N6433" t="str">
        <f>IF(M6433="","",'Master Barang'!A27)</f>
        <v>PRL-026</v>
      </c>
      <c r="O6433" t="str">
        <f>IF(N6433="","",'Master Barang'!B27)</f>
        <v>lancar kresek kecil bening </v>
      </c>
      <c r="P6433">
        <f>IF(OR(M6433="",N6433=""),"",SUMIFS('Barang Keluar'!$E:$E,'Barang Keluar'!$A:$A,M6433,'Barang Keluar'!$C:$C,N6433))</f>
        <v>0</v>
      </c>
    </row>
    <row r="6434" spans="13:16">
      <c r="M6434" s="49">
        <f>IF($A$4+64&gt;$B$4,"",$A$4+64)</f>
        <v>46087</v>
      </c>
      <c r="N6434" t="str">
        <f>IF(M6434="","",'Master Barang'!A28)</f>
        <v>PRL-027</v>
      </c>
      <c r="O6434" t="str">
        <f>IF(N6434="","",'Master Barang'!B28)</f>
        <v>kresek klin warna warni kecil</v>
      </c>
      <c r="P6434">
        <f>IF(OR(M6434="",N6434=""),"",SUMIFS('Barang Keluar'!$E:$E,'Barang Keluar'!$A:$A,M6434,'Barang Keluar'!$C:$C,N6434))</f>
        <v>0</v>
      </c>
    </row>
    <row r="6435" spans="13:16">
      <c r="M6435" s="49">
        <f>IF($A$4+64&gt;$B$4,"",$A$4+64)</f>
        <v>46087</v>
      </c>
      <c r="N6435" t="str">
        <f>IF(M6435="","",'Master Barang'!A29)</f>
        <v>PRL-028</v>
      </c>
      <c r="O6435" t="str">
        <f>IF(N6435="","",'Master Barang'!B29)</f>
        <v>ctik plastik 7x10 100 pcs</v>
      </c>
      <c r="P6435">
        <f>IF(OR(M6435="",N6435=""),"",SUMIFS('Barang Keluar'!$E:$E,'Barang Keluar'!$A:$A,M6435,'Barang Keluar'!$C:$C,N6435))</f>
        <v>0</v>
      </c>
    </row>
    <row r="6436" spans="13:16">
      <c r="M6436" s="49">
        <f>IF($A$4+64&gt;$B$4,"",$A$4+64)</f>
        <v>46087</v>
      </c>
      <c r="N6436" t="str">
        <f>IF(M6436="","",'Master Barang'!A30)</f>
        <v>PRL-029</v>
      </c>
      <c r="O6436" t="str">
        <f>IF(N6436="","",'Master Barang'!B30)</f>
        <v>ctik plastik 6x10 100 pcs</v>
      </c>
      <c r="P6436">
        <f>IF(OR(M6436="",N6436=""),"",SUMIFS('Barang Keluar'!$E:$E,'Barang Keluar'!$A:$A,M6436,'Barang Keluar'!$C:$C,N6436))</f>
        <v>0</v>
      </c>
    </row>
    <row r="6437" spans="13:16">
      <c r="M6437" s="49">
        <f>IF($A$4+64&gt;$B$4,"",$A$4+64)</f>
        <v>46087</v>
      </c>
      <c r="N6437" t="str">
        <f>IF(M6437="","",'Master Barang'!A31)</f>
        <v>PRL-030</v>
      </c>
      <c r="O6437" t="str">
        <f>IF(N6437="","",'Master Barang'!B31)</f>
        <v>klip plastik 25x16 100 pcs</v>
      </c>
      <c r="P6437">
        <f>IF(OR(M6437="",N6437=""),"",SUMIFS('Barang Keluar'!$E:$E,'Barang Keluar'!$A:$A,M6437,'Barang Keluar'!$C:$C,N6437))</f>
        <v>0</v>
      </c>
    </row>
    <row r="6438" spans="13:16">
      <c r="M6438" s="49">
        <f>IF($A$4+64&gt;$B$4,"",$A$4+64)</f>
        <v>46087</v>
      </c>
      <c r="N6438" t="str">
        <f>IF(M6438="","",'Master Barang'!A32)</f>
        <v>PRL-031</v>
      </c>
      <c r="O6438" t="str">
        <f>IF(N6438="","",'Master Barang'!B32)</f>
        <v>tempat saus 20 ml</v>
      </c>
      <c r="P6438">
        <f>IF(OR(M6438="",N6438=""),"",SUMIFS('Barang Keluar'!$E:$E,'Barang Keluar'!$A:$A,M6438,'Barang Keluar'!$C:$C,N6438))</f>
        <v>0</v>
      </c>
    </row>
    <row r="6439" spans="13:16">
      <c r="M6439" s="49">
        <f>IF($A$4+64&gt;$B$4,"",$A$4+64)</f>
        <v>46087</v>
      </c>
      <c r="N6439" t="str">
        <f>IF(M6439="","",'Master Barang'!A33)</f>
        <v>PRL-032</v>
      </c>
      <c r="O6439" t="str">
        <f>IF(N6439="","",'Master Barang'!B33)</f>
        <v>plastik packaging ag box uk sedang</v>
      </c>
      <c r="P6439">
        <f>IF(OR(M6439="",N6439=""),"",SUMIFS('Barang Keluar'!$E:$E,'Barang Keluar'!$A:$A,M6439,'Barang Keluar'!$C:$C,N6439))</f>
        <v>0</v>
      </c>
    </row>
    <row r="6440" spans="13:16">
      <c r="M6440" s="49">
        <f>IF($A$4+64&gt;$B$4,"",$A$4+64)</f>
        <v>46087</v>
      </c>
      <c r="N6440" t="str">
        <f>IF(M6440="","",'Master Barang'!A34)</f>
        <v>PRL-033</v>
      </c>
      <c r="O6440">
        <f>IF(N6440="","",'Master Barang'!B34)</f>
        <v>0</v>
      </c>
      <c r="P6440">
        <f>IF(OR(M6440="",N6440=""),"",SUMIFS('Barang Keluar'!$E:$E,'Barang Keluar'!$A:$A,M6440,'Barang Keluar'!$C:$C,N6440))</f>
        <v>0</v>
      </c>
    </row>
    <row r="6441" spans="13:16">
      <c r="M6441" s="49">
        <f>IF($A$4+64&gt;$B$4,"",$A$4+64)</f>
        <v>46087</v>
      </c>
      <c r="N6441">
        <f>IF(M6441="","",'Master Barang'!A35)</f>
        <v>0</v>
      </c>
      <c r="O6441">
        <f>IF(N6441="","",'Master Barang'!B35)</f>
        <v>0</v>
      </c>
      <c r="P6441">
        <f>IF(OR(M6441="",N6441=""),"",SUMIFS('Barang Keluar'!$E:$E,'Barang Keluar'!$A:$A,M6441,'Barang Keluar'!$C:$C,N6441))</f>
        <v>0</v>
      </c>
    </row>
    <row r="6442" spans="13:16">
      <c r="M6442" s="49">
        <f>IF($A$4+64&gt;$B$4,"",$A$4+64)</f>
        <v>46087</v>
      </c>
      <c r="N6442">
        <f>IF(M6442="","",'Master Barang'!A36)</f>
        <v>0</v>
      </c>
      <c r="O6442">
        <f>IF(N6442="","",'Master Barang'!B36)</f>
        <v>0</v>
      </c>
      <c r="P6442">
        <f>IF(OR(M6442="",N6442=""),"",SUMIFS('Barang Keluar'!$E:$E,'Barang Keluar'!$A:$A,M6442,'Barang Keluar'!$C:$C,N6442))</f>
        <v>0</v>
      </c>
    </row>
    <row r="6443" spans="13:16">
      <c r="M6443" s="49">
        <f>IF($A$4+64&gt;$B$4,"",$A$4+64)</f>
        <v>46087</v>
      </c>
      <c r="N6443">
        <f>IF(M6443="","",'Master Barang'!A37)</f>
        <v>0</v>
      </c>
      <c r="O6443">
        <f>IF(N6443="","",'Master Barang'!B37)</f>
        <v>0</v>
      </c>
      <c r="P6443">
        <f>IF(OR(M6443="",N6443=""),"",SUMIFS('Barang Keluar'!$E:$E,'Barang Keluar'!$A:$A,M6443,'Barang Keluar'!$C:$C,N6443))</f>
        <v>0</v>
      </c>
    </row>
    <row r="6444" spans="13:16">
      <c r="M6444" s="49">
        <f>IF($A$4+64&gt;$B$4,"",$A$4+64)</f>
        <v>46087</v>
      </c>
      <c r="N6444">
        <f>IF(M6444="","",'Master Barang'!A38)</f>
        <v>0</v>
      </c>
      <c r="O6444">
        <f>IF(N6444="","",'Master Barang'!B38)</f>
        <v>0</v>
      </c>
      <c r="P6444">
        <f>IF(OR(M6444="",N6444=""),"",SUMIFS('Barang Keluar'!$E:$E,'Barang Keluar'!$A:$A,M6444,'Barang Keluar'!$C:$C,N6444))</f>
        <v>0</v>
      </c>
    </row>
    <row r="6445" spans="13:16">
      <c r="M6445" s="49">
        <f>IF($A$4+64&gt;$B$4,"",$A$4+64)</f>
        <v>46087</v>
      </c>
      <c r="N6445">
        <f>IF(M6445="","",'Master Barang'!A39)</f>
        <v>0</v>
      </c>
      <c r="O6445">
        <f>IF(N6445="","",'Master Barang'!B39)</f>
        <v>0</v>
      </c>
      <c r="P6445">
        <f>IF(OR(M6445="",N6445=""),"",SUMIFS('Barang Keluar'!$E:$E,'Barang Keluar'!$A:$A,M6445,'Barang Keluar'!$C:$C,N6445))</f>
        <v>0</v>
      </c>
    </row>
    <row r="6446" spans="13:16">
      <c r="M6446" s="49">
        <f>IF($A$4+64&gt;$B$4,"",$A$4+64)</f>
        <v>46087</v>
      </c>
      <c r="N6446">
        <f>IF(M6446="","",'Master Barang'!A40)</f>
        <v>0</v>
      </c>
      <c r="O6446">
        <f>IF(N6446="","",'Master Barang'!B40)</f>
        <v>0</v>
      </c>
      <c r="P6446">
        <f>IF(OR(M6446="",N6446=""),"",SUMIFS('Barang Keluar'!$E:$E,'Barang Keluar'!$A:$A,M6446,'Barang Keluar'!$C:$C,N6446))</f>
        <v>0</v>
      </c>
    </row>
    <row r="6447" spans="13:16">
      <c r="M6447" s="49">
        <f>IF($A$4+64&gt;$B$4,"",$A$4+64)</f>
        <v>46087</v>
      </c>
      <c r="N6447">
        <f>IF(M6447="","",'Master Barang'!A41)</f>
        <v>0</v>
      </c>
      <c r="O6447">
        <f>IF(N6447="","",'Master Barang'!B41)</f>
        <v>0</v>
      </c>
      <c r="P6447">
        <f>IF(OR(M6447="",N6447=""),"",SUMIFS('Barang Keluar'!$E:$E,'Barang Keluar'!$A:$A,M6447,'Barang Keluar'!$C:$C,N6447))</f>
        <v>0</v>
      </c>
    </row>
    <row r="6448" spans="13:16">
      <c r="M6448" s="49">
        <f>IF($A$4+64&gt;$B$4,"",$A$4+64)</f>
        <v>46087</v>
      </c>
      <c r="N6448">
        <f>IF(M6448="","",'Master Barang'!A42)</f>
        <v>0</v>
      </c>
      <c r="O6448">
        <f>IF(N6448="","",'Master Barang'!B42)</f>
        <v>0</v>
      </c>
      <c r="P6448">
        <f>IF(OR(M6448="",N6448=""),"",SUMIFS('Barang Keluar'!$E:$E,'Barang Keluar'!$A:$A,M6448,'Barang Keluar'!$C:$C,N6448))</f>
        <v>0</v>
      </c>
    </row>
    <row r="6449" spans="13:16">
      <c r="M6449" s="49">
        <f>IF($A$4+64&gt;$B$4,"",$A$4+64)</f>
        <v>46087</v>
      </c>
      <c r="N6449">
        <f>IF(M6449="","",'Master Barang'!A43)</f>
        <v>0</v>
      </c>
      <c r="O6449">
        <f>IF(N6449="","",'Master Barang'!B43)</f>
        <v>0</v>
      </c>
      <c r="P6449">
        <f>IF(OR(M6449="",N6449=""),"",SUMIFS('Barang Keluar'!$E:$E,'Barang Keluar'!$A:$A,M6449,'Barang Keluar'!$C:$C,N6449))</f>
        <v>0</v>
      </c>
    </row>
    <row r="6450" spans="13:16">
      <c r="M6450" s="49">
        <f>IF($A$4+64&gt;$B$4,"",$A$4+64)</f>
        <v>46087</v>
      </c>
      <c r="N6450">
        <f>IF(M6450="","",'Master Barang'!A44)</f>
        <v>0</v>
      </c>
      <c r="O6450">
        <f>IF(N6450="","",'Master Barang'!B44)</f>
        <v>0</v>
      </c>
      <c r="P6450">
        <f>IF(OR(M6450="",N6450=""),"",SUMIFS('Barang Keluar'!$E:$E,'Barang Keluar'!$A:$A,M6450,'Barang Keluar'!$C:$C,N6450))</f>
        <v>0</v>
      </c>
    </row>
    <row r="6451" spans="13:16">
      <c r="M6451" s="49">
        <f>IF($A$4+64&gt;$B$4,"",$A$4+64)</f>
        <v>46087</v>
      </c>
      <c r="N6451">
        <f>IF(M6451="","",'Master Barang'!A45)</f>
        <v>0</v>
      </c>
      <c r="O6451">
        <f>IF(N6451="","",'Master Barang'!B45)</f>
        <v>0</v>
      </c>
      <c r="P6451">
        <f>IF(OR(M6451="",N6451=""),"",SUMIFS('Barang Keluar'!$E:$E,'Barang Keluar'!$A:$A,M6451,'Barang Keluar'!$C:$C,N6451))</f>
        <v>0</v>
      </c>
    </row>
    <row r="6452" spans="13:16">
      <c r="M6452" s="49">
        <f>IF($A$4+64&gt;$B$4,"",$A$4+64)</f>
        <v>46087</v>
      </c>
      <c r="N6452">
        <f>IF(M6452="","",'Master Barang'!A46)</f>
        <v>0</v>
      </c>
      <c r="O6452">
        <f>IF(N6452="","",'Master Barang'!B46)</f>
        <v>0</v>
      </c>
      <c r="P6452">
        <f>IF(OR(M6452="",N6452=""),"",SUMIFS('Barang Keluar'!$E:$E,'Barang Keluar'!$A:$A,M6452,'Barang Keluar'!$C:$C,N6452))</f>
        <v>0</v>
      </c>
    </row>
    <row r="6453" spans="13:16">
      <c r="M6453" s="49">
        <f>IF($A$4+64&gt;$B$4,"",$A$4+64)</f>
        <v>46087</v>
      </c>
      <c r="N6453">
        <f>IF(M6453="","",'Master Barang'!A47)</f>
        <v>0</v>
      </c>
      <c r="O6453">
        <f>IF(N6453="","",'Master Barang'!B47)</f>
        <v>0</v>
      </c>
      <c r="P6453">
        <f>IF(OR(M6453="",N6453=""),"",SUMIFS('Barang Keluar'!$E:$E,'Barang Keluar'!$A:$A,M6453,'Barang Keluar'!$C:$C,N6453))</f>
        <v>0</v>
      </c>
    </row>
    <row r="6454" spans="13:16">
      <c r="M6454" s="49">
        <f>IF($A$4+64&gt;$B$4,"",$A$4+64)</f>
        <v>46087</v>
      </c>
      <c r="N6454">
        <f>IF(M6454="","",'Master Barang'!A48)</f>
        <v>0</v>
      </c>
      <c r="O6454">
        <f>IF(N6454="","",'Master Barang'!B48)</f>
        <v>0</v>
      </c>
      <c r="P6454">
        <f>IF(OR(M6454="",N6454=""),"",SUMIFS('Barang Keluar'!$E:$E,'Barang Keluar'!$A:$A,M6454,'Barang Keluar'!$C:$C,N6454))</f>
        <v>0</v>
      </c>
    </row>
    <row r="6455" spans="13:16">
      <c r="M6455" s="49">
        <f>IF($A$4+64&gt;$B$4,"",$A$4+64)</f>
        <v>46087</v>
      </c>
      <c r="N6455">
        <f>IF(M6455="","",'Master Barang'!A49)</f>
        <v>0</v>
      </c>
      <c r="O6455">
        <f>IF(N6455="","",'Master Barang'!B49)</f>
        <v>0</v>
      </c>
      <c r="P6455">
        <f>IF(OR(M6455="",N6455=""),"",SUMIFS('Barang Keluar'!$E:$E,'Barang Keluar'!$A:$A,M6455,'Barang Keluar'!$C:$C,N6455))</f>
        <v>0</v>
      </c>
    </row>
    <row r="6456" spans="13:16">
      <c r="M6456" s="49">
        <f>IF($A$4+64&gt;$B$4,"",$A$4+64)</f>
        <v>46087</v>
      </c>
      <c r="N6456">
        <f>IF(M6456="","",'Master Barang'!A50)</f>
        <v>0</v>
      </c>
      <c r="O6456">
        <f>IF(N6456="","",'Master Barang'!B50)</f>
        <v>0</v>
      </c>
      <c r="P6456">
        <f>IF(OR(M6456="",N6456=""),"",SUMIFS('Barang Keluar'!$E:$E,'Barang Keluar'!$A:$A,M6456,'Barang Keluar'!$C:$C,N6456))</f>
        <v>0</v>
      </c>
    </row>
    <row r="6457" spans="13:16">
      <c r="M6457" s="49">
        <f>IF($A$4+64&gt;$B$4,"",$A$4+64)</f>
        <v>46087</v>
      </c>
      <c r="N6457">
        <f>IF(M6457="","",'Master Barang'!A51)</f>
        <v>0</v>
      </c>
      <c r="O6457">
        <f>IF(N6457="","",'Master Barang'!B51)</f>
        <v>0</v>
      </c>
      <c r="P6457">
        <f>IF(OR(M6457="",N6457=""),"",SUMIFS('Barang Keluar'!$E:$E,'Barang Keluar'!$A:$A,M6457,'Barang Keluar'!$C:$C,N6457))</f>
        <v>0</v>
      </c>
    </row>
    <row r="6458" spans="13:16">
      <c r="M6458" s="49">
        <f>IF($A$4+64&gt;$B$4,"",$A$4+64)</f>
        <v>46087</v>
      </c>
      <c r="N6458">
        <f>IF(M6458="","",'Master Barang'!A52)</f>
        <v>0</v>
      </c>
      <c r="O6458">
        <f>IF(N6458="","",'Master Barang'!B52)</f>
        <v>0</v>
      </c>
      <c r="P6458">
        <f>IF(OR(M6458="",N6458=""),"",SUMIFS('Barang Keluar'!$E:$E,'Barang Keluar'!$A:$A,M6458,'Barang Keluar'!$C:$C,N6458))</f>
        <v>0</v>
      </c>
    </row>
    <row r="6459" spans="13:16">
      <c r="M6459" s="49">
        <f>IF($A$4+64&gt;$B$4,"",$A$4+64)</f>
        <v>46087</v>
      </c>
      <c r="N6459">
        <f>IF(M6459="","",'Master Barang'!A53)</f>
        <v>0</v>
      </c>
      <c r="O6459">
        <f>IF(N6459="","",'Master Barang'!B53)</f>
        <v>0</v>
      </c>
      <c r="P6459">
        <f>IF(OR(M6459="",N6459=""),"",SUMIFS('Barang Keluar'!$E:$E,'Barang Keluar'!$A:$A,M6459,'Barang Keluar'!$C:$C,N6459))</f>
        <v>0</v>
      </c>
    </row>
    <row r="6460" spans="13:16">
      <c r="M6460" s="49">
        <f>IF($A$4+64&gt;$B$4,"",$A$4+64)</f>
        <v>46087</v>
      </c>
      <c r="N6460">
        <f>IF(M6460="","",'Master Barang'!A54)</f>
        <v>0</v>
      </c>
      <c r="O6460">
        <f>IF(N6460="","",'Master Barang'!B54)</f>
        <v>0</v>
      </c>
      <c r="P6460">
        <f>IF(OR(M6460="",N6460=""),"",SUMIFS('Barang Keluar'!$E:$E,'Barang Keluar'!$A:$A,M6460,'Barang Keluar'!$C:$C,N6460))</f>
        <v>0</v>
      </c>
    </row>
    <row r="6461" spans="13:16">
      <c r="M6461" s="49">
        <f>IF($A$4+64&gt;$B$4,"",$A$4+64)</f>
        <v>46087</v>
      </c>
      <c r="N6461">
        <f>IF(M6461="","",'Master Barang'!A55)</f>
        <v>0</v>
      </c>
      <c r="O6461">
        <f>IF(N6461="","",'Master Barang'!B55)</f>
        <v>0</v>
      </c>
      <c r="P6461">
        <f>IF(OR(M6461="",N6461=""),"",SUMIFS('Barang Keluar'!$E:$E,'Barang Keluar'!$A:$A,M6461,'Barang Keluar'!$C:$C,N6461))</f>
        <v>0</v>
      </c>
    </row>
    <row r="6462" spans="13:16">
      <c r="M6462" s="49">
        <f>IF($A$4+64&gt;$B$4,"",$A$4+64)</f>
        <v>46087</v>
      </c>
      <c r="N6462">
        <f>IF(M6462="","",'Master Barang'!A56)</f>
        <v>0</v>
      </c>
      <c r="O6462">
        <f>IF(N6462="","",'Master Barang'!B56)</f>
        <v>0</v>
      </c>
      <c r="P6462">
        <f>IF(OR(M6462="",N6462=""),"",SUMIFS('Barang Keluar'!$E:$E,'Barang Keluar'!$A:$A,M6462,'Barang Keluar'!$C:$C,N6462))</f>
        <v>0</v>
      </c>
    </row>
    <row r="6463" spans="13:16">
      <c r="M6463" s="49">
        <f>IF($A$4+64&gt;$B$4,"",$A$4+64)</f>
        <v>46087</v>
      </c>
      <c r="N6463">
        <f>IF(M6463="","",'Master Barang'!A57)</f>
        <v>0</v>
      </c>
      <c r="O6463">
        <f>IF(N6463="","",'Master Barang'!B57)</f>
        <v>0</v>
      </c>
      <c r="P6463">
        <f>IF(OR(M6463="",N6463=""),"",SUMIFS('Barang Keluar'!$E:$E,'Barang Keluar'!$A:$A,M6463,'Barang Keluar'!$C:$C,N6463))</f>
        <v>0</v>
      </c>
    </row>
    <row r="6464" spans="13:16">
      <c r="M6464" s="49">
        <f>IF($A$4+64&gt;$B$4,"",$A$4+64)</f>
        <v>46087</v>
      </c>
      <c r="N6464">
        <f>IF(M6464="","",'Master Barang'!A58)</f>
        <v>0</v>
      </c>
      <c r="O6464">
        <f>IF(N6464="","",'Master Barang'!B58)</f>
        <v>0</v>
      </c>
      <c r="P6464">
        <f>IF(OR(M6464="",N6464=""),"",SUMIFS('Barang Keluar'!$E:$E,'Barang Keluar'!$A:$A,M6464,'Barang Keluar'!$C:$C,N6464))</f>
        <v>0</v>
      </c>
    </row>
    <row r="6465" spans="13:16">
      <c r="M6465" s="49">
        <f>IF($A$4+64&gt;$B$4,"",$A$4+64)</f>
        <v>46087</v>
      </c>
      <c r="N6465">
        <f>IF(M6465="","",'Master Barang'!A59)</f>
        <v>0</v>
      </c>
      <c r="O6465">
        <f>IF(N6465="","",'Master Barang'!B59)</f>
        <v>0</v>
      </c>
      <c r="P6465">
        <f>IF(OR(M6465="",N6465=""),"",SUMIFS('Barang Keluar'!$E:$E,'Barang Keluar'!$A:$A,M6465,'Barang Keluar'!$C:$C,N6465))</f>
        <v>0</v>
      </c>
    </row>
    <row r="6466" spans="13:16">
      <c r="M6466" s="49">
        <f>IF($A$4+64&gt;$B$4,"",$A$4+64)</f>
        <v>46087</v>
      </c>
      <c r="N6466">
        <f>IF(M6466="","",'Master Barang'!A60)</f>
        <v>0</v>
      </c>
      <c r="O6466">
        <f>IF(N6466="","",'Master Barang'!B60)</f>
        <v>0</v>
      </c>
      <c r="P6466">
        <f>IF(OR(M6466="",N6466=""),"",SUMIFS('Barang Keluar'!$E:$E,'Barang Keluar'!$A:$A,M6466,'Barang Keluar'!$C:$C,N6466))</f>
        <v>0</v>
      </c>
    </row>
    <row r="6467" spans="13:16">
      <c r="M6467" s="49">
        <f>IF($A$4+64&gt;$B$4,"",$A$4+64)</f>
        <v>46087</v>
      </c>
      <c r="N6467">
        <f>IF(M6467="","",'Master Barang'!A61)</f>
        <v>0</v>
      </c>
      <c r="O6467">
        <f>IF(N6467="","",'Master Barang'!B61)</f>
        <v>0</v>
      </c>
      <c r="P6467">
        <f>IF(OR(M6467="",N6467=""),"",SUMIFS('Barang Keluar'!$E:$E,'Barang Keluar'!$A:$A,M6467,'Barang Keluar'!$C:$C,N6467))</f>
        <v>0</v>
      </c>
    </row>
    <row r="6468" spans="13:16">
      <c r="M6468" s="49">
        <f>IF($A$4+64&gt;$B$4,"",$A$4+64)</f>
        <v>46087</v>
      </c>
      <c r="N6468">
        <f>IF(M6468="","",'Master Barang'!A62)</f>
        <v>0</v>
      </c>
      <c r="O6468">
        <f>IF(N6468="","",'Master Barang'!B62)</f>
        <v>0</v>
      </c>
      <c r="P6468">
        <f>IF(OR(M6468="",N6468=""),"",SUMIFS('Barang Keluar'!$E:$E,'Barang Keluar'!$A:$A,M6468,'Barang Keluar'!$C:$C,N6468))</f>
        <v>0</v>
      </c>
    </row>
    <row r="6469" spans="13:16">
      <c r="M6469" s="49">
        <f>IF($A$4+64&gt;$B$4,"",$A$4+64)</f>
        <v>46087</v>
      </c>
      <c r="N6469">
        <f>IF(M6469="","",'Master Barang'!A63)</f>
        <v>0</v>
      </c>
      <c r="O6469">
        <f>IF(N6469="","",'Master Barang'!B63)</f>
        <v>0</v>
      </c>
      <c r="P6469">
        <f>IF(OR(M6469="",N6469=""),"",SUMIFS('Barang Keluar'!$E:$E,'Barang Keluar'!$A:$A,M6469,'Barang Keluar'!$C:$C,N6469))</f>
        <v>0</v>
      </c>
    </row>
    <row r="6470" spans="13:16">
      <c r="M6470" s="49">
        <f>IF($A$4+64&gt;$B$4,"",$A$4+64)</f>
        <v>46087</v>
      </c>
      <c r="N6470">
        <f>IF(M6470="","",'Master Barang'!A64)</f>
        <v>0</v>
      </c>
      <c r="O6470">
        <f>IF(N6470="","",'Master Barang'!B64)</f>
        <v>0</v>
      </c>
      <c r="P6470">
        <f>IF(OR(M6470="",N6470=""),"",SUMIFS('Barang Keluar'!$E:$E,'Barang Keluar'!$A:$A,M6470,'Barang Keluar'!$C:$C,N6470))</f>
        <v>0</v>
      </c>
    </row>
    <row r="6471" spans="13:16">
      <c r="M6471" s="49">
        <f>IF($A$4+64&gt;$B$4,"",$A$4+64)</f>
        <v>46087</v>
      </c>
      <c r="N6471">
        <f>IF(M6471="","",'Master Barang'!A65)</f>
        <v>0</v>
      </c>
      <c r="O6471">
        <f>IF(N6471="","",'Master Barang'!B65)</f>
        <v>0</v>
      </c>
      <c r="P6471">
        <f>IF(OR(M6471="",N6471=""),"",SUMIFS('Barang Keluar'!$E:$E,'Barang Keluar'!$A:$A,M6471,'Barang Keluar'!$C:$C,N6471))</f>
        <v>0</v>
      </c>
    </row>
    <row r="6472" spans="13:16">
      <c r="M6472" s="49">
        <f>IF($A$4+64&gt;$B$4,"",$A$4+64)</f>
        <v>46087</v>
      </c>
      <c r="N6472">
        <f>IF(M6472="","",'Master Barang'!A66)</f>
        <v>0</v>
      </c>
      <c r="O6472">
        <f>IF(N6472="","",'Master Barang'!B66)</f>
        <v>0</v>
      </c>
      <c r="P6472">
        <f>IF(OR(M6472="",N6472=""),"",SUMIFS('Barang Keluar'!$E:$E,'Barang Keluar'!$A:$A,M6472,'Barang Keluar'!$C:$C,N6472))</f>
        <v>0</v>
      </c>
    </row>
    <row r="6473" spans="13:16">
      <c r="M6473" s="49">
        <f>IF($A$4+64&gt;$B$4,"",$A$4+64)</f>
        <v>46087</v>
      </c>
      <c r="N6473">
        <f>IF(M6473="","",'Master Barang'!A67)</f>
        <v>0</v>
      </c>
      <c r="O6473">
        <f>IF(N6473="","",'Master Barang'!B67)</f>
        <v>0</v>
      </c>
      <c r="P6473">
        <f>IF(OR(M6473="",N6473=""),"",SUMIFS('Barang Keluar'!$E:$E,'Barang Keluar'!$A:$A,M6473,'Barang Keluar'!$C:$C,N6473))</f>
        <v>0</v>
      </c>
    </row>
    <row r="6474" spans="13:16">
      <c r="M6474" s="49">
        <f>IF($A$4+64&gt;$B$4,"",$A$4+64)</f>
        <v>46087</v>
      </c>
      <c r="N6474">
        <f>IF(M6474="","",'Master Barang'!A68)</f>
        <v>0</v>
      </c>
      <c r="O6474">
        <f>IF(N6474="","",'Master Barang'!B68)</f>
        <v>0</v>
      </c>
      <c r="P6474">
        <f>IF(OR(M6474="",N6474=""),"",SUMIFS('Barang Keluar'!$E:$E,'Barang Keluar'!$A:$A,M6474,'Barang Keluar'!$C:$C,N6474))</f>
        <v>0</v>
      </c>
    </row>
    <row r="6475" spans="13:16">
      <c r="M6475" s="49">
        <f>IF($A$4+64&gt;$B$4,"",$A$4+64)</f>
        <v>46087</v>
      </c>
      <c r="N6475">
        <f>IF(M6475="","",'Master Barang'!A69)</f>
        <v>0</v>
      </c>
      <c r="O6475">
        <f>IF(N6475="","",'Master Barang'!B69)</f>
        <v>0</v>
      </c>
      <c r="P6475">
        <f>IF(OR(M6475="",N6475=""),"",SUMIFS('Barang Keluar'!$E:$E,'Barang Keluar'!$A:$A,M6475,'Barang Keluar'!$C:$C,N6475))</f>
        <v>0</v>
      </c>
    </row>
    <row r="6476" spans="13:16">
      <c r="M6476" s="49">
        <f>IF($A$4+64&gt;$B$4,"",$A$4+64)</f>
        <v>46087</v>
      </c>
      <c r="N6476">
        <f>IF(M6476="","",'Master Barang'!A70)</f>
        <v>0</v>
      </c>
      <c r="O6476">
        <f>IF(N6476="","",'Master Barang'!B70)</f>
        <v>0</v>
      </c>
      <c r="P6476">
        <f>IF(OR(M6476="",N6476=""),"",SUMIFS('Barang Keluar'!$E:$E,'Barang Keluar'!$A:$A,M6476,'Barang Keluar'!$C:$C,N6476))</f>
        <v>0</v>
      </c>
    </row>
    <row r="6477" spans="13:16">
      <c r="M6477" s="49">
        <f>IF($A$4+64&gt;$B$4,"",$A$4+64)</f>
        <v>46087</v>
      </c>
      <c r="N6477">
        <f>IF(M6477="","",'Master Barang'!A71)</f>
        <v>0</v>
      </c>
      <c r="O6477">
        <f>IF(N6477="","",'Master Barang'!B71)</f>
        <v>0</v>
      </c>
      <c r="P6477">
        <f>IF(OR(M6477="",N6477=""),"",SUMIFS('Barang Keluar'!$E:$E,'Barang Keluar'!$A:$A,M6477,'Barang Keluar'!$C:$C,N6477))</f>
        <v>0</v>
      </c>
    </row>
    <row r="6478" spans="13:16">
      <c r="M6478" s="49">
        <f>IF($A$4+64&gt;$B$4,"",$A$4+64)</f>
        <v>46087</v>
      </c>
      <c r="N6478">
        <f>IF(M6478="","",'Master Barang'!A72)</f>
        <v>0</v>
      </c>
      <c r="O6478">
        <f>IF(N6478="","",'Master Barang'!B72)</f>
        <v>0</v>
      </c>
      <c r="P6478">
        <f>IF(OR(M6478="",N6478=""),"",SUMIFS('Barang Keluar'!$E:$E,'Barang Keluar'!$A:$A,M6478,'Barang Keluar'!$C:$C,N6478))</f>
        <v>0</v>
      </c>
    </row>
    <row r="6479" spans="13:16">
      <c r="M6479" s="49">
        <f>IF($A$4+64&gt;$B$4,"",$A$4+64)</f>
        <v>46087</v>
      </c>
      <c r="N6479">
        <f>IF(M6479="","",'Master Barang'!A73)</f>
        <v>0</v>
      </c>
      <c r="O6479">
        <f>IF(N6479="","",'Master Barang'!B73)</f>
        <v>0</v>
      </c>
      <c r="P6479">
        <f>IF(OR(M6479="",N6479=""),"",SUMIFS('Barang Keluar'!$E:$E,'Barang Keluar'!$A:$A,M6479,'Barang Keluar'!$C:$C,N6479))</f>
        <v>0</v>
      </c>
    </row>
    <row r="6480" spans="13:16">
      <c r="M6480" s="49">
        <f>IF($A$4+64&gt;$B$4,"",$A$4+64)</f>
        <v>46087</v>
      </c>
      <c r="N6480">
        <f>IF(M6480="","",'Master Barang'!A74)</f>
        <v>0</v>
      </c>
      <c r="O6480">
        <f>IF(N6480="","",'Master Barang'!B74)</f>
        <v>0</v>
      </c>
      <c r="P6480">
        <f>IF(OR(M6480="",N6480=""),"",SUMIFS('Barang Keluar'!$E:$E,'Barang Keluar'!$A:$A,M6480,'Barang Keluar'!$C:$C,N6480))</f>
        <v>0</v>
      </c>
    </row>
    <row r="6481" spans="13:16">
      <c r="M6481" s="49">
        <f>IF($A$4+64&gt;$B$4,"",$A$4+64)</f>
        <v>46087</v>
      </c>
      <c r="N6481">
        <f>IF(M6481="","",'Master Barang'!A75)</f>
        <v>0</v>
      </c>
      <c r="O6481">
        <f>IF(N6481="","",'Master Barang'!B75)</f>
        <v>0</v>
      </c>
      <c r="P6481">
        <f>IF(OR(M6481="",N6481=""),"",SUMIFS('Barang Keluar'!$E:$E,'Barang Keluar'!$A:$A,M6481,'Barang Keluar'!$C:$C,N6481))</f>
        <v>0</v>
      </c>
    </row>
    <row r="6482" spans="13:16">
      <c r="M6482" s="49">
        <f>IF($A$4+64&gt;$B$4,"",$A$4+64)</f>
        <v>46087</v>
      </c>
      <c r="N6482">
        <f>IF(M6482="","",'Master Barang'!A76)</f>
        <v>0</v>
      </c>
      <c r="O6482">
        <f>IF(N6482="","",'Master Barang'!B76)</f>
        <v>0</v>
      </c>
      <c r="P6482">
        <f>IF(OR(M6482="",N6482=""),"",SUMIFS('Barang Keluar'!$E:$E,'Barang Keluar'!$A:$A,M6482,'Barang Keluar'!$C:$C,N6482))</f>
        <v>0</v>
      </c>
    </row>
    <row r="6483" spans="13:16">
      <c r="M6483" s="49">
        <f>IF($A$4+64&gt;$B$4,"",$A$4+64)</f>
        <v>46087</v>
      </c>
      <c r="N6483">
        <f>IF(M6483="","",'Master Barang'!A77)</f>
        <v>0</v>
      </c>
      <c r="O6483">
        <f>IF(N6483="","",'Master Barang'!B77)</f>
        <v>0</v>
      </c>
      <c r="P6483">
        <f>IF(OR(M6483="",N6483=""),"",SUMIFS('Barang Keluar'!$E:$E,'Barang Keluar'!$A:$A,M6483,'Barang Keluar'!$C:$C,N6483))</f>
        <v>0</v>
      </c>
    </row>
    <row r="6484" spans="13:16">
      <c r="M6484" s="49">
        <f>IF($A$4+64&gt;$B$4,"",$A$4+64)</f>
        <v>46087</v>
      </c>
      <c r="N6484">
        <f>IF(M6484="","",'Master Barang'!A78)</f>
        <v>0</v>
      </c>
      <c r="O6484">
        <f>IF(N6484="","",'Master Barang'!B78)</f>
        <v>0</v>
      </c>
      <c r="P6484">
        <f>IF(OR(M6484="",N6484=""),"",SUMIFS('Barang Keluar'!$E:$E,'Barang Keluar'!$A:$A,M6484,'Barang Keluar'!$C:$C,N6484))</f>
        <v>0</v>
      </c>
    </row>
    <row r="6485" spans="13:16">
      <c r="M6485" s="49">
        <f>IF($A$4+64&gt;$B$4,"",$A$4+64)</f>
        <v>46087</v>
      </c>
      <c r="N6485">
        <f>IF(M6485="","",'Master Barang'!A79)</f>
        <v>0</v>
      </c>
      <c r="O6485">
        <f>IF(N6485="","",'Master Barang'!B79)</f>
        <v>0</v>
      </c>
      <c r="P6485">
        <f>IF(OR(M6485="",N6485=""),"",SUMIFS('Barang Keluar'!$E:$E,'Barang Keluar'!$A:$A,M6485,'Barang Keluar'!$C:$C,N6485))</f>
        <v>0</v>
      </c>
    </row>
    <row r="6486" spans="13:16">
      <c r="M6486" s="49">
        <f>IF($A$4+64&gt;$B$4,"",$A$4+64)</f>
        <v>46087</v>
      </c>
      <c r="N6486">
        <f>IF(M6486="","",'Master Barang'!A80)</f>
        <v>0</v>
      </c>
      <c r="O6486">
        <f>IF(N6486="","",'Master Barang'!B80)</f>
        <v>0</v>
      </c>
      <c r="P6486">
        <f>IF(OR(M6486="",N6486=""),"",SUMIFS('Barang Keluar'!$E:$E,'Barang Keluar'!$A:$A,M6486,'Barang Keluar'!$C:$C,N6486))</f>
        <v>0</v>
      </c>
    </row>
    <row r="6487" spans="13:16">
      <c r="M6487" s="49">
        <f>IF($A$4+64&gt;$B$4,"",$A$4+64)</f>
        <v>46087</v>
      </c>
      <c r="N6487">
        <f>IF(M6487="","",'Master Barang'!A81)</f>
        <v>0</v>
      </c>
      <c r="O6487">
        <f>IF(N6487="","",'Master Barang'!B81)</f>
        <v>0</v>
      </c>
      <c r="P6487">
        <f>IF(OR(M6487="",N6487=""),"",SUMIFS('Barang Keluar'!$E:$E,'Barang Keluar'!$A:$A,M6487,'Barang Keluar'!$C:$C,N6487))</f>
        <v>0</v>
      </c>
    </row>
    <row r="6488" spans="13:16">
      <c r="M6488" s="49">
        <f>IF($A$4+64&gt;$B$4,"",$A$4+64)</f>
        <v>46087</v>
      </c>
      <c r="N6488">
        <f>IF(M6488="","",'Master Barang'!A82)</f>
        <v>0</v>
      </c>
      <c r="O6488">
        <f>IF(N6488="","",'Master Barang'!B82)</f>
        <v>0</v>
      </c>
      <c r="P6488">
        <f>IF(OR(M6488="",N6488=""),"",SUMIFS('Barang Keluar'!$E:$E,'Barang Keluar'!$A:$A,M6488,'Barang Keluar'!$C:$C,N6488))</f>
        <v>0</v>
      </c>
    </row>
    <row r="6489" spans="13:16">
      <c r="M6489" s="49">
        <f>IF($A$4+64&gt;$B$4,"",$A$4+64)</f>
        <v>46087</v>
      </c>
      <c r="N6489">
        <f>IF(M6489="","",'Master Barang'!A83)</f>
        <v>0</v>
      </c>
      <c r="O6489">
        <f>IF(N6489="","",'Master Barang'!B83)</f>
        <v>0</v>
      </c>
      <c r="P6489">
        <f>IF(OR(M6489="",N6489=""),"",SUMIFS('Barang Keluar'!$E:$E,'Barang Keluar'!$A:$A,M6489,'Barang Keluar'!$C:$C,N6489))</f>
        <v>0</v>
      </c>
    </row>
    <row r="6490" spans="13:16">
      <c r="M6490" s="49">
        <f>IF($A$4+64&gt;$B$4,"",$A$4+64)</f>
        <v>46087</v>
      </c>
      <c r="N6490">
        <f>IF(M6490="","",'Master Barang'!A84)</f>
        <v>0</v>
      </c>
      <c r="O6490">
        <f>IF(N6490="","",'Master Barang'!B84)</f>
        <v>0</v>
      </c>
      <c r="P6490">
        <f>IF(OR(M6490="",N6490=""),"",SUMIFS('Barang Keluar'!$E:$E,'Barang Keluar'!$A:$A,M6490,'Barang Keluar'!$C:$C,N6490))</f>
        <v>0</v>
      </c>
    </row>
    <row r="6491" spans="13:16">
      <c r="M6491" s="49">
        <f>IF($A$4+64&gt;$B$4,"",$A$4+64)</f>
        <v>46087</v>
      </c>
      <c r="N6491">
        <f>IF(M6491="","",'Master Barang'!A85)</f>
        <v>0</v>
      </c>
      <c r="O6491">
        <f>IF(N6491="","",'Master Barang'!B85)</f>
        <v>0</v>
      </c>
      <c r="P6491">
        <f>IF(OR(M6491="",N6491=""),"",SUMIFS('Barang Keluar'!$E:$E,'Barang Keluar'!$A:$A,M6491,'Barang Keluar'!$C:$C,N6491))</f>
        <v>0</v>
      </c>
    </row>
    <row r="6492" spans="13:16">
      <c r="M6492" s="49">
        <f>IF($A$4+64&gt;$B$4,"",$A$4+64)</f>
        <v>46087</v>
      </c>
      <c r="N6492">
        <f>IF(M6492="","",'Master Barang'!A86)</f>
        <v>0</v>
      </c>
      <c r="O6492">
        <f>IF(N6492="","",'Master Barang'!B86)</f>
        <v>0</v>
      </c>
      <c r="P6492">
        <f>IF(OR(M6492="",N6492=""),"",SUMIFS('Barang Keluar'!$E:$E,'Barang Keluar'!$A:$A,M6492,'Barang Keluar'!$C:$C,N6492))</f>
        <v>0</v>
      </c>
    </row>
    <row r="6493" spans="13:16">
      <c r="M6493" s="49">
        <f>IF($A$4+64&gt;$B$4,"",$A$4+64)</f>
        <v>46087</v>
      </c>
      <c r="N6493">
        <f>IF(M6493="","",'Master Barang'!A87)</f>
        <v>0</v>
      </c>
      <c r="O6493">
        <f>IF(N6493="","",'Master Barang'!B87)</f>
        <v>0</v>
      </c>
      <c r="P6493">
        <f>IF(OR(M6493="",N6493=""),"",SUMIFS('Barang Keluar'!$E:$E,'Barang Keluar'!$A:$A,M6493,'Barang Keluar'!$C:$C,N6493))</f>
        <v>0</v>
      </c>
    </row>
    <row r="6494" spans="13:16">
      <c r="M6494" s="49">
        <f>IF($A$4+64&gt;$B$4,"",$A$4+64)</f>
        <v>46087</v>
      </c>
      <c r="N6494">
        <f>IF(M6494="","",'Master Barang'!A88)</f>
        <v>0</v>
      </c>
      <c r="O6494">
        <f>IF(N6494="","",'Master Barang'!B88)</f>
        <v>0</v>
      </c>
      <c r="P6494">
        <f>IF(OR(M6494="",N6494=""),"",SUMIFS('Barang Keluar'!$E:$E,'Barang Keluar'!$A:$A,M6494,'Barang Keluar'!$C:$C,N6494))</f>
        <v>0</v>
      </c>
    </row>
    <row r="6495" spans="13:16">
      <c r="M6495" s="49">
        <f>IF($A$4+64&gt;$B$4,"",$A$4+64)</f>
        <v>46087</v>
      </c>
      <c r="N6495">
        <f>IF(M6495="","",'Master Barang'!A89)</f>
        <v>0</v>
      </c>
      <c r="O6495">
        <f>IF(N6495="","",'Master Barang'!B89)</f>
        <v>0</v>
      </c>
      <c r="P6495">
        <f>IF(OR(M6495="",N6495=""),"",SUMIFS('Barang Keluar'!$E:$E,'Barang Keluar'!$A:$A,M6495,'Barang Keluar'!$C:$C,N6495))</f>
        <v>0</v>
      </c>
    </row>
    <row r="6496" spans="13:16">
      <c r="M6496" s="49">
        <f>IF($A$4+64&gt;$B$4,"",$A$4+64)</f>
        <v>46087</v>
      </c>
      <c r="N6496">
        <f>IF(M6496="","",'Master Barang'!A90)</f>
        <v>0</v>
      </c>
      <c r="O6496">
        <f>IF(N6496="","",'Master Barang'!B90)</f>
        <v>0</v>
      </c>
      <c r="P6496">
        <f>IF(OR(M6496="",N6496=""),"",SUMIFS('Barang Keluar'!$E:$E,'Barang Keluar'!$A:$A,M6496,'Barang Keluar'!$C:$C,N6496))</f>
        <v>0</v>
      </c>
    </row>
    <row r="6497" spans="13:16">
      <c r="M6497" s="49">
        <f>IF($A$4+64&gt;$B$4,"",$A$4+64)</f>
        <v>46087</v>
      </c>
      <c r="N6497">
        <f>IF(M6497="","",'Master Barang'!A91)</f>
        <v>0</v>
      </c>
      <c r="O6497">
        <f>IF(N6497="","",'Master Barang'!B91)</f>
        <v>0</v>
      </c>
      <c r="P6497">
        <f>IF(OR(M6497="",N6497=""),"",SUMIFS('Barang Keluar'!$E:$E,'Barang Keluar'!$A:$A,M6497,'Barang Keluar'!$C:$C,N6497))</f>
        <v>0</v>
      </c>
    </row>
    <row r="6498" spans="13:16">
      <c r="M6498" s="49">
        <f>IF($A$4+64&gt;$B$4,"",$A$4+64)</f>
        <v>46087</v>
      </c>
      <c r="N6498">
        <f>IF(M6498="","",'Master Barang'!A92)</f>
        <v>0</v>
      </c>
      <c r="O6498">
        <f>IF(N6498="","",'Master Barang'!B92)</f>
        <v>0</v>
      </c>
      <c r="P6498">
        <f>IF(OR(M6498="",N6498=""),"",SUMIFS('Barang Keluar'!$E:$E,'Barang Keluar'!$A:$A,M6498,'Barang Keluar'!$C:$C,N6498))</f>
        <v>0</v>
      </c>
    </row>
    <row r="6499" spans="13:16">
      <c r="M6499" s="49">
        <f>IF($A$4+64&gt;$B$4,"",$A$4+64)</f>
        <v>46087</v>
      </c>
      <c r="N6499">
        <f>IF(M6499="","",'Master Barang'!A93)</f>
        <v>0</v>
      </c>
      <c r="O6499">
        <f>IF(N6499="","",'Master Barang'!B93)</f>
        <v>0</v>
      </c>
      <c r="P6499">
        <f>IF(OR(M6499="",N6499=""),"",SUMIFS('Barang Keluar'!$E:$E,'Barang Keluar'!$A:$A,M6499,'Barang Keluar'!$C:$C,N6499))</f>
        <v>0</v>
      </c>
    </row>
    <row r="6500" spans="13:16">
      <c r="M6500" s="49">
        <f>IF($A$4+64&gt;$B$4,"",$A$4+64)</f>
        <v>46087</v>
      </c>
      <c r="N6500">
        <f>IF(M6500="","",'Master Barang'!A94)</f>
        <v>0</v>
      </c>
      <c r="O6500">
        <f>IF(N6500="","",'Master Barang'!B94)</f>
        <v>0</v>
      </c>
      <c r="P6500">
        <f>IF(OR(M6500="",N6500=""),"",SUMIFS('Barang Keluar'!$E:$E,'Barang Keluar'!$A:$A,M6500,'Barang Keluar'!$C:$C,N6500))</f>
        <v>0</v>
      </c>
    </row>
    <row r="6501" spans="13:16">
      <c r="M6501" s="49">
        <f>IF($A$4+64&gt;$B$4,"",$A$4+64)</f>
        <v>46087</v>
      </c>
      <c r="N6501">
        <f>IF(M6501="","",'Master Barang'!A95)</f>
        <v>0</v>
      </c>
      <c r="O6501">
        <f>IF(N6501="","",'Master Barang'!B95)</f>
        <v>0</v>
      </c>
      <c r="P6501">
        <f>IF(OR(M6501="",N6501=""),"",SUMIFS('Barang Keluar'!$E:$E,'Barang Keluar'!$A:$A,M6501,'Barang Keluar'!$C:$C,N6501))</f>
        <v>0</v>
      </c>
    </row>
    <row r="6502" spans="13:16">
      <c r="M6502" s="49">
        <f>IF($A$4+64&gt;$B$4,"",$A$4+64)</f>
        <v>46087</v>
      </c>
      <c r="N6502">
        <f>IF(M6502="","",'Master Barang'!A96)</f>
        <v>0</v>
      </c>
      <c r="O6502">
        <f>IF(N6502="","",'Master Barang'!B96)</f>
        <v>0</v>
      </c>
      <c r="P6502">
        <f>IF(OR(M6502="",N6502=""),"",SUMIFS('Barang Keluar'!$E:$E,'Barang Keluar'!$A:$A,M6502,'Barang Keluar'!$C:$C,N6502))</f>
        <v>0</v>
      </c>
    </row>
    <row r="6503" spans="13:16">
      <c r="M6503" s="49">
        <f>IF($A$4+64&gt;$B$4,"",$A$4+64)</f>
        <v>46087</v>
      </c>
      <c r="N6503">
        <f>IF(M6503="","",'Master Barang'!A97)</f>
        <v>0</v>
      </c>
      <c r="O6503">
        <f>IF(N6503="","",'Master Barang'!B97)</f>
        <v>0</v>
      </c>
      <c r="P6503">
        <f>IF(OR(M6503="",N6503=""),"",SUMIFS('Barang Keluar'!$E:$E,'Barang Keluar'!$A:$A,M6503,'Barang Keluar'!$C:$C,N6503))</f>
        <v>0</v>
      </c>
    </row>
    <row r="6504" spans="13:16">
      <c r="M6504" s="49">
        <f>IF($A$4+64&gt;$B$4,"",$A$4+64)</f>
        <v>46087</v>
      </c>
      <c r="N6504">
        <f>IF(M6504="","",'Master Barang'!A98)</f>
        <v>0</v>
      </c>
      <c r="O6504">
        <f>IF(N6504="","",'Master Barang'!B98)</f>
        <v>0</v>
      </c>
      <c r="P6504">
        <f>IF(OR(M6504="",N6504=""),"",SUMIFS('Barang Keluar'!$E:$E,'Barang Keluar'!$A:$A,M6504,'Barang Keluar'!$C:$C,N6504))</f>
        <v>0</v>
      </c>
    </row>
    <row r="6505" spans="13:16">
      <c r="M6505" s="49">
        <f>IF($A$4+64&gt;$B$4,"",$A$4+64)</f>
        <v>46087</v>
      </c>
      <c r="N6505">
        <f>IF(M6505="","",'Master Barang'!A99)</f>
        <v>0</v>
      </c>
      <c r="O6505">
        <f>IF(N6505="","",'Master Barang'!B99)</f>
        <v>0</v>
      </c>
      <c r="P6505">
        <f>IF(OR(M6505="",N6505=""),"",SUMIFS('Barang Keluar'!$E:$E,'Barang Keluar'!$A:$A,M6505,'Barang Keluar'!$C:$C,N6505))</f>
        <v>0</v>
      </c>
    </row>
    <row r="6506" spans="13:16">
      <c r="M6506" s="49">
        <f>IF($A$4+64&gt;$B$4,"",$A$4+64)</f>
        <v>46087</v>
      </c>
      <c r="N6506">
        <f>IF(M6506="","",'Master Barang'!A100)</f>
        <v>0</v>
      </c>
      <c r="O6506">
        <f>IF(N6506="","",'Master Barang'!B100)</f>
        <v>0</v>
      </c>
      <c r="P6506">
        <f>IF(OR(M6506="",N6506=""),"",SUMIFS('Barang Keluar'!$E:$E,'Barang Keluar'!$A:$A,M6506,'Barang Keluar'!$C:$C,N6506))</f>
        <v>0</v>
      </c>
    </row>
    <row r="6507" spans="13:16">
      <c r="M6507" s="49">
        <f>IF($A$4+64&gt;$B$4,"",$A$4+64)</f>
        <v>46087</v>
      </c>
      <c r="N6507">
        <f>IF(M6507="","",'Master Barang'!A101)</f>
        <v>0</v>
      </c>
      <c r="O6507">
        <f>IF(N6507="","",'Master Barang'!B101)</f>
        <v>0</v>
      </c>
      <c r="P6507">
        <f>IF(OR(M6507="",N6507=""),"",SUMIFS('Barang Keluar'!$E:$E,'Barang Keluar'!$A:$A,M6507,'Barang Keluar'!$C:$C,N6507))</f>
        <v>0</v>
      </c>
    </row>
    <row r="6508" spans="13:16">
      <c r="M6508" s="49">
        <f>IF($A$4+65&gt;$B$4,"",$A$4+65)</f>
        <v>46088</v>
      </c>
      <c r="N6508" t="str">
        <f>IF(M6508="","",'Master Barang'!A2)</f>
        <v>PRL-001</v>
      </c>
      <c r="O6508" t="str">
        <f>IF(N6508="","",'Master Barang'!B2)</f>
        <v>natura desinfectant food grade 5l</v>
      </c>
      <c r="P6508">
        <f>IF(OR(M6508="",N6508=""),"",SUMIFS('Barang Keluar'!$E:$E,'Barang Keluar'!$A:$A,M6508,'Barang Keluar'!$C:$C,N6508))</f>
        <v>0</v>
      </c>
    </row>
    <row r="6509" spans="13:16">
      <c r="M6509" s="49">
        <f>IF($A$4+65&gt;$B$4,"",$A$4+65)</f>
        <v>46088</v>
      </c>
      <c r="N6509" t="str">
        <f>IF(M6509="","",'Master Barang'!A3)</f>
        <v>PRL-002</v>
      </c>
      <c r="O6509" t="str">
        <f>IF(N6509="","",'Master Barang'!B3)</f>
        <v>sunlight cairan pencuci piring 5l</v>
      </c>
      <c r="P6509">
        <f>IF(OR(M6509="",N6509=""),"",SUMIFS('Barang Keluar'!$E:$E,'Barang Keluar'!$A:$A,M6509,'Barang Keluar'!$C:$C,N6509))</f>
        <v>0</v>
      </c>
    </row>
    <row r="6510" spans="13:16">
      <c r="M6510" s="49">
        <f>IF($A$4+65&gt;$B$4,"",$A$4+65)</f>
        <v>46088</v>
      </c>
      <c r="N6510" t="str">
        <f>IF(M6510="","",'Master Barang'!A4)</f>
        <v>PRL-003</v>
      </c>
      <c r="O6510" t="str">
        <f>IF(N6510="","",'Master Barang'!B4)</f>
        <v>oixs cleaner 1l</v>
      </c>
      <c r="P6510">
        <f>IF(OR(M6510="",N6510=""),"",SUMIFS('Barang Keluar'!$E:$E,'Barang Keluar'!$A:$A,M6510,'Barang Keluar'!$C:$C,N6510))</f>
        <v>0</v>
      </c>
    </row>
    <row r="6511" spans="13:16">
      <c r="M6511" s="49">
        <f>IF($A$4+65&gt;$B$4,"",$A$4+65)</f>
        <v>46088</v>
      </c>
      <c r="N6511" t="str">
        <f>IF(M6511="","",'Master Barang'!A5)</f>
        <v>PRL-004</v>
      </c>
      <c r="O6511" t="str">
        <f>IF(N6511="","",'Master Barang'!B5)</f>
        <v>be clean tissue serbaguna</v>
      </c>
      <c r="P6511">
        <f>IF(OR(M6511="",N6511=""),"",SUMIFS('Barang Keluar'!$E:$E,'Barang Keluar'!$A:$A,M6511,'Barang Keluar'!$C:$C,N6511))</f>
        <v>0</v>
      </c>
    </row>
    <row r="6512" spans="13:16">
      <c r="M6512" s="49">
        <f>IF($A$4+65&gt;$B$4,"",$A$4+65)</f>
        <v>46088</v>
      </c>
      <c r="N6512" t="str">
        <f>IF(M6512="","",'Master Barang'!A6)</f>
        <v>PRL-005</v>
      </c>
      <c r="O6512" t="str">
        <f>IF(N6512="","",'Master Barang'!B6)</f>
        <v>spons cuci hijau</v>
      </c>
      <c r="P6512">
        <f>IF(OR(M6512="",N6512=""),"",SUMIFS('Barang Keluar'!$E:$E,'Barang Keluar'!$A:$A,M6512,'Barang Keluar'!$C:$C,N6512))</f>
        <v>0</v>
      </c>
    </row>
    <row r="6513" spans="13:16">
      <c r="M6513" s="49">
        <f>IF($A$4+65&gt;$B$4,"",$A$4+65)</f>
        <v>46088</v>
      </c>
      <c r="N6513" t="str">
        <f>IF(M6513="","",'Master Barang'!A7)</f>
        <v>PRL-006</v>
      </c>
      <c r="O6513" t="str">
        <f>IF(N6513="","",'Master Barang'!B7)</f>
        <v>sabut cuci stainless</v>
      </c>
      <c r="P6513">
        <f>IF(OR(M6513="",N6513=""),"",SUMIFS('Barang Keluar'!$E:$E,'Barang Keluar'!$A:$A,M6513,'Barang Keluar'!$C:$C,N6513))</f>
        <v>0</v>
      </c>
    </row>
    <row r="6514" spans="13:16">
      <c r="M6514" s="49">
        <f>IF($A$4+65&gt;$B$4,"",$A$4+65)</f>
        <v>46088</v>
      </c>
      <c r="N6514" t="str">
        <f>IF(M6514="","",'Master Barang'!A8)</f>
        <v>PRL-007</v>
      </c>
      <c r="O6514" t="str">
        <f>IF(N6514="","",'Master Barang'!B8)</f>
        <v>plastik kresek besar merah 50pc</v>
      </c>
      <c r="P6514">
        <f>IF(OR(M6514="",N6514=""),"",SUMIFS('Barang Keluar'!$E:$E,'Barang Keluar'!$A:$A,M6514,'Barang Keluar'!$C:$C,N6514))</f>
        <v>0</v>
      </c>
    </row>
    <row r="6515" spans="13:16">
      <c r="M6515" s="49">
        <f>IF($A$4+65&gt;$B$4,"",$A$4+65)</f>
        <v>46088</v>
      </c>
      <c r="N6515" t="str">
        <f>IF(M6515="","",'Master Barang'!A9)</f>
        <v>PRL-008</v>
      </c>
      <c r="O6515" t="str">
        <f>IF(N6515="","",'Master Barang'!B9)</f>
        <v>lap besar</v>
      </c>
      <c r="P6515">
        <f>IF(OR(M6515="",N6515=""),"",SUMIFS('Barang Keluar'!$E:$E,'Barang Keluar'!$A:$A,M6515,'Barang Keluar'!$C:$C,N6515))</f>
        <v>0</v>
      </c>
    </row>
    <row r="6516" spans="13:16">
      <c r="M6516" s="49">
        <f>IF($A$4+65&gt;$B$4,"",$A$4+65)</f>
        <v>46088</v>
      </c>
      <c r="N6516" t="str">
        <f>IF(M6516="","",'Master Barang'!A10)</f>
        <v>PRL-009</v>
      </c>
      <c r="O6516" t="str">
        <f>IF(N6516="","",'Master Barang'!B10)</f>
        <v>lap microfiber</v>
      </c>
      <c r="P6516">
        <f>IF(OR(M6516="",N6516=""),"",SUMIFS('Barang Keluar'!$E:$E,'Barang Keluar'!$A:$A,M6516,'Barang Keluar'!$C:$C,N6516))</f>
        <v>0</v>
      </c>
    </row>
    <row r="6517" spans="13:16">
      <c r="M6517" s="49">
        <f>IF($A$4+65&gt;$B$4,"",$A$4+65)</f>
        <v>46088</v>
      </c>
      <c r="N6517" t="str">
        <f>IF(M6517="","",'Master Barang'!A11)</f>
        <v>PRL-010</v>
      </c>
      <c r="O6517" t="str">
        <f>IF(N6517="","",'Master Barang'!B11)</f>
        <v>lap kecil</v>
      </c>
      <c r="P6517">
        <f>IF(OR(M6517="",N6517=""),"",SUMIFS('Barang Keluar'!$E:$E,'Barang Keluar'!$A:$A,M6517,'Barang Keluar'!$C:$C,N6517))</f>
        <v>0</v>
      </c>
    </row>
    <row r="6518" spans="13:16">
      <c r="M6518" s="49">
        <f>IF($A$4+65&gt;$B$4,"",$A$4+65)</f>
        <v>46088</v>
      </c>
      <c r="N6518" t="str">
        <f>IF(M6518="","",'Master Barang'!A12)</f>
        <v>PRL-011</v>
      </c>
      <c r="O6518" t="str">
        <f>IF(N6518="","",'Master Barang'!B12)</f>
        <v>kanebo kecil</v>
      </c>
      <c r="P6518">
        <f>IF(OR(M6518="",N6518=""),"",SUMIFS('Barang Keluar'!$E:$E,'Barang Keluar'!$A:$A,M6518,'Barang Keluar'!$C:$C,N6518))</f>
        <v>0</v>
      </c>
    </row>
    <row r="6519" spans="13:16">
      <c r="M6519" s="49">
        <f>IF($A$4+65&gt;$B$4,"",$A$4+65)</f>
        <v>46088</v>
      </c>
      <c r="N6519" t="str">
        <f>IF(M6519="","",'Master Barang'!A13)</f>
        <v>PRL-012</v>
      </c>
      <c r="O6519" t="str">
        <f>IF(N6519="","",'Master Barang'!B13)</f>
        <v>plastik 1/4kg joyoboyo 100 lembar</v>
      </c>
      <c r="P6519">
        <f>IF(OR(M6519="",N6519=""),"",SUMIFS('Barang Keluar'!$E:$E,'Barang Keluar'!$A:$A,M6519,'Barang Keluar'!$C:$C,N6519))</f>
        <v>0</v>
      </c>
    </row>
    <row r="6520" spans="13:16">
      <c r="M6520" s="49">
        <f>IF($A$4+65&gt;$B$4,"",$A$4+65)</f>
        <v>46088</v>
      </c>
      <c r="N6520" t="str">
        <f>IF(M6520="","",'Master Barang'!A14)</f>
        <v>PRL-013</v>
      </c>
      <c r="O6520" t="str">
        <f>IF(N6520="","",'Master Barang'!B14)</f>
        <v>sarung tangan plastik kaka 100 pcs</v>
      </c>
      <c r="P6520">
        <f>IF(OR(M6520="",N6520=""),"",SUMIFS('Barang Keluar'!$E:$E,'Barang Keluar'!$A:$A,M6520,'Barang Keluar'!$C:$C,N6520))</f>
        <v>0</v>
      </c>
    </row>
    <row r="6521" spans="13:16">
      <c r="M6521" s="49">
        <f>IF($A$4+65&gt;$B$4,"",$A$4+65)</f>
        <v>46088</v>
      </c>
      <c r="N6521" t="str">
        <f>IF(M6521="","",'Master Barang'!A15)</f>
        <v>PRL-014</v>
      </c>
      <c r="O6521" t="str">
        <f>IF(N6521="","",'Master Barang'!B15)</f>
        <v>optima trashbag 80x100</v>
      </c>
      <c r="P6521">
        <f>IF(OR(M6521="",N6521=""),"",SUMIFS('Barang Keluar'!$E:$E,'Barang Keluar'!$A:$A,M6521,'Barang Keluar'!$C:$C,N6521))</f>
        <v>0</v>
      </c>
    </row>
    <row r="6522" spans="13:16">
      <c r="M6522" s="49">
        <f>IF($A$4+65&gt;$B$4,"",$A$4+65)</f>
        <v>46088</v>
      </c>
      <c r="N6522" t="str">
        <f>IF(M6522="","",'Master Barang'!A16)</f>
        <v>PRL-015</v>
      </c>
      <c r="O6522" t="str">
        <f>IF(N6522="","",'Master Barang'!B16)</f>
        <v>optima trashbag 60x100</v>
      </c>
      <c r="P6522">
        <f>IF(OR(M6522="",N6522=""),"",SUMIFS('Barang Keluar'!$E:$E,'Barang Keluar'!$A:$A,M6522,'Barang Keluar'!$C:$C,N6522))</f>
        <v>0</v>
      </c>
    </row>
    <row r="6523" spans="13:16">
      <c r="M6523" s="49">
        <f>IF($A$4+65&gt;$B$4,"",$A$4+65)</f>
        <v>46088</v>
      </c>
      <c r="N6523" t="str">
        <f>IF(M6523="","",'Master Barang'!A17)</f>
        <v>PRL-016</v>
      </c>
      <c r="O6523" t="str">
        <f>IF(N6523="","",'Master Barang'!B17)</f>
        <v>rajawali trashbag 30x40</v>
      </c>
      <c r="P6523">
        <f>IF(OR(M6523="",N6523=""),"",SUMIFS('Barang Keluar'!$E:$E,'Barang Keluar'!$A:$A,M6523,'Barang Keluar'!$C:$C,N6523))</f>
        <v>0</v>
      </c>
    </row>
    <row r="6524" spans="13:16">
      <c r="M6524" s="49">
        <f>IF($A$4+65&gt;$B$4,"",$A$4+65)</f>
        <v>46088</v>
      </c>
      <c r="N6524" t="str">
        <f>IF(M6524="","",'Master Barang'!A18)</f>
        <v>PRL-017</v>
      </c>
      <c r="O6524" t="str">
        <f>IF(N6524="","",'Master Barang'!B18)</f>
        <v>onemed masker biru 3 play 50 pcs</v>
      </c>
      <c r="P6524">
        <f>IF(OR(M6524="",N6524=""),"",SUMIFS('Barang Keluar'!$E:$E,'Barang Keluar'!$A:$A,M6524,'Barang Keluar'!$C:$C,N6524))</f>
        <v>0</v>
      </c>
    </row>
    <row r="6525" spans="13:16">
      <c r="M6525" s="49">
        <f>IF($A$4+65&gt;$B$4,"",$A$4+65)</f>
        <v>46088</v>
      </c>
      <c r="N6525" t="str">
        <f>IF(M6525="","",'Master Barang'!A19)</f>
        <v>PRL-018</v>
      </c>
      <c r="O6525" t="str">
        <f>IF(N6525="","",'Master Barang'!B19)</f>
        <v>onemed masker biru 3 play hijab 50 pcs</v>
      </c>
      <c r="P6525">
        <f>IF(OR(M6525="",N6525=""),"",SUMIFS('Barang Keluar'!$E:$E,'Barang Keluar'!$A:$A,M6525,'Barang Keluar'!$C:$C,N6525))</f>
        <v>0</v>
      </c>
    </row>
    <row r="6526" spans="13:16">
      <c r="M6526" s="49">
        <f>IF($A$4+65&gt;$B$4,"",$A$4+65)</f>
        <v>46088</v>
      </c>
      <c r="N6526" t="str">
        <f>IF(M6526="","",'Master Barang'!A20)</f>
        <v>PRL-019</v>
      </c>
      <c r="O6526" t="str">
        <f>IF(N6526="","",'Master Barang'!B20)</f>
        <v>neo health masker biru 3 play 50 pcs</v>
      </c>
      <c r="P6526">
        <f>IF(OR(M6526="",N6526=""),"",SUMIFS('Barang Keluar'!$E:$E,'Barang Keluar'!$A:$A,M6526,'Barang Keluar'!$C:$C,N6526))</f>
        <v>0</v>
      </c>
    </row>
    <row r="6527" spans="13:16">
      <c r="M6527" s="49">
        <f>IF($A$4+65&gt;$B$4,"",$A$4+65)</f>
        <v>46088</v>
      </c>
      <c r="N6527" t="str">
        <f>IF(M6527="","",'Master Barang'!A21)</f>
        <v>PRL-020</v>
      </c>
      <c r="O6527" t="str">
        <f>IF(N6527="","",'Master Barang'!B21)</f>
        <v>baymed masker hijau 3 play hijau 50 pcs</v>
      </c>
      <c r="P6527">
        <f>IF(OR(M6527="",N6527=""),"",SUMIFS('Barang Keluar'!$E:$E,'Barang Keluar'!$A:$A,M6527,'Barang Keluar'!$C:$C,N6527))</f>
        <v>0</v>
      </c>
    </row>
    <row r="6528" spans="13:16">
      <c r="M6528" s="49">
        <f>IF($A$4+65&gt;$B$4,"",$A$4+65)</f>
        <v>46088</v>
      </c>
      <c r="N6528" t="str">
        <f>IF(M6528="","",'Master Barang'!A22)</f>
        <v>PRL-021</v>
      </c>
      <c r="O6528" t="str">
        <f>IF(N6528="","",'Master Barang'!B22)</f>
        <v>altamed nurse cap penutup kepala 100 pcs</v>
      </c>
      <c r="P6528">
        <f>IF(OR(M6528="",N6528=""),"",SUMIFS('Barang Keluar'!$E:$E,'Barang Keluar'!$A:$A,M6528,'Barang Keluar'!$C:$C,N6528))</f>
        <v>0</v>
      </c>
    </row>
    <row r="6529" spans="13:16">
      <c r="M6529" s="49">
        <f>IF($A$4+65&gt;$B$4,"",$A$4+65)</f>
        <v>46088</v>
      </c>
      <c r="N6529" t="str">
        <f>IF(M6529="","",'Master Barang'!A23)</f>
        <v>PRL-022</v>
      </c>
      <c r="O6529" t="str">
        <f>IF(N6529="","",'Master Barang'!B23)</f>
        <v>sabun cuci tangan</v>
      </c>
      <c r="P6529">
        <f>IF(OR(M6529="",N6529=""),"",SUMIFS('Barang Keluar'!$E:$E,'Barang Keluar'!$A:$A,M6529,'Barang Keluar'!$C:$C,N6529))</f>
        <v>0</v>
      </c>
    </row>
    <row r="6530" spans="13:16">
      <c r="M6530" s="49">
        <f>IF($A$4+65&gt;$B$4,"",$A$4+65)</f>
        <v>46088</v>
      </c>
      <c r="N6530" t="str">
        <f>IF(M6530="","",'Master Barang'!A24)</f>
        <v>PRL-023</v>
      </c>
      <c r="O6530" t="str">
        <f>IF(N6530="","",'Master Barang'!B24)</f>
        <v>gayung kecil</v>
      </c>
      <c r="P6530">
        <f>IF(OR(M6530="",N6530=""),"",SUMIFS('Barang Keluar'!$E:$E,'Barang Keluar'!$A:$A,M6530,'Barang Keluar'!$C:$C,N6530))</f>
        <v>0</v>
      </c>
    </row>
    <row r="6531" spans="13:16">
      <c r="M6531" s="49">
        <f>IF($A$4+65&gt;$B$4,"",$A$4+65)</f>
        <v>46088</v>
      </c>
      <c r="N6531" t="str">
        <f>IF(M6531="","",'Master Barang'!A25)</f>
        <v>PRL-024</v>
      </c>
      <c r="O6531" t="str">
        <f>IF(N6531="","",'Master Barang'!B25)</f>
        <v>cikrak kecil</v>
      </c>
      <c r="P6531">
        <f>IF(OR(M6531="",N6531=""),"",SUMIFS('Barang Keluar'!$E:$E,'Barang Keluar'!$A:$A,M6531,'Barang Keluar'!$C:$C,N6531))</f>
        <v>0</v>
      </c>
    </row>
    <row r="6532" spans="13:16">
      <c r="M6532" s="49">
        <f>IF($A$4+65&gt;$B$4,"",$A$4+65)</f>
        <v>46088</v>
      </c>
      <c r="N6532" t="str">
        <f>IF(M6532="","",'Master Barang'!A26)</f>
        <v>PRL-025</v>
      </c>
      <c r="O6532" t="str">
        <f>IF(N6532="","",'Master Barang'!B26)</f>
        <v>petromax plastik kecil 12x24 100 lembar</v>
      </c>
      <c r="P6532">
        <f>IF(OR(M6532="",N6532=""),"",SUMIFS('Barang Keluar'!$E:$E,'Barang Keluar'!$A:$A,M6532,'Barang Keluar'!$C:$C,N6532))</f>
        <v>0</v>
      </c>
    </row>
    <row r="6533" spans="13:16">
      <c r="M6533" s="49">
        <f>IF($A$4+65&gt;$B$4,"",$A$4+65)</f>
        <v>46088</v>
      </c>
      <c r="N6533" t="str">
        <f>IF(M6533="","",'Master Barang'!A27)</f>
        <v>PRL-026</v>
      </c>
      <c r="O6533" t="str">
        <f>IF(N6533="","",'Master Barang'!B27)</f>
        <v>lancar kresek kecil bening </v>
      </c>
      <c r="P6533">
        <f>IF(OR(M6533="",N6533=""),"",SUMIFS('Barang Keluar'!$E:$E,'Barang Keluar'!$A:$A,M6533,'Barang Keluar'!$C:$C,N6533))</f>
        <v>0</v>
      </c>
    </row>
    <row r="6534" spans="13:16">
      <c r="M6534" s="49">
        <f>IF($A$4+65&gt;$B$4,"",$A$4+65)</f>
        <v>46088</v>
      </c>
      <c r="N6534" t="str">
        <f>IF(M6534="","",'Master Barang'!A28)</f>
        <v>PRL-027</v>
      </c>
      <c r="O6534" t="str">
        <f>IF(N6534="","",'Master Barang'!B28)</f>
        <v>kresek klin warna warni kecil</v>
      </c>
      <c r="P6534">
        <f>IF(OR(M6534="",N6534=""),"",SUMIFS('Barang Keluar'!$E:$E,'Barang Keluar'!$A:$A,M6534,'Barang Keluar'!$C:$C,N6534))</f>
        <v>0</v>
      </c>
    </row>
    <row r="6535" spans="13:16">
      <c r="M6535" s="49">
        <f>IF($A$4+65&gt;$B$4,"",$A$4+65)</f>
        <v>46088</v>
      </c>
      <c r="N6535" t="str">
        <f>IF(M6535="","",'Master Barang'!A29)</f>
        <v>PRL-028</v>
      </c>
      <c r="O6535" t="str">
        <f>IF(N6535="","",'Master Barang'!B29)</f>
        <v>ctik plastik 7x10 100 pcs</v>
      </c>
      <c r="P6535">
        <f>IF(OR(M6535="",N6535=""),"",SUMIFS('Barang Keluar'!$E:$E,'Barang Keluar'!$A:$A,M6535,'Barang Keluar'!$C:$C,N6535))</f>
        <v>0</v>
      </c>
    </row>
    <row r="6536" spans="13:16">
      <c r="M6536" s="49">
        <f>IF($A$4+65&gt;$B$4,"",$A$4+65)</f>
        <v>46088</v>
      </c>
      <c r="N6536" t="str">
        <f>IF(M6536="","",'Master Barang'!A30)</f>
        <v>PRL-029</v>
      </c>
      <c r="O6536" t="str">
        <f>IF(N6536="","",'Master Barang'!B30)</f>
        <v>ctik plastik 6x10 100 pcs</v>
      </c>
      <c r="P6536">
        <f>IF(OR(M6536="",N6536=""),"",SUMIFS('Barang Keluar'!$E:$E,'Barang Keluar'!$A:$A,M6536,'Barang Keluar'!$C:$C,N6536))</f>
        <v>0</v>
      </c>
    </row>
    <row r="6537" spans="13:16">
      <c r="M6537" s="49">
        <f>IF($A$4+65&gt;$B$4,"",$A$4+65)</f>
        <v>46088</v>
      </c>
      <c r="N6537" t="str">
        <f>IF(M6537="","",'Master Barang'!A31)</f>
        <v>PRL-030</v>
      </c>
      <c r="O6537" t="str">
        <f>IF(N6537="","",'Master Barang'!B31)</f>
        <v>klip plastik 25x16 100 pcs</v>
      </c>
      <c r="P6537">
        <f>IF(OR(M6537="",N6537=""),"",SUMIFS('Barang Keluar'!$E:$E,'Barang Keluar'!$A:$A,M6537,'Barang Keluar'!$C:$C,N6537))</f>
        <v>0</v>
      </c>
    </row>
    <row r="6538" spans="13:16">
      <c r="M6538" s="49">
        <f>IF($A$4+65&gt;$B$4,"",$A$4+65)</f>
        <v>46088</v>
      </c>
      <c r="N6538" t="str">
        <f>IF(M6538="","",'Master Barang'!A32)</f>
        <v>PRL-031</v>
      </c>
      <c r="O6538" t="str">
        <f>IF(N6538="","",'Master Barang'!B32)</f>
        <v>tempat saus 20 ml</v>
      </c>
      <c r="P6538">
        <f>IF(OR(M6538="",N6538=""),"",SUMIFS('Barang Keluar'!$E:$E,'Barang Keluar'!$A:$A,M6538,'Barang Keluar'!$C:$C,N6538))</f>
        <v>0</v>
      </c>
    </row>
    <row r="6539" spans="13:16">
      <c r="M6539" s="49">
        <f>IF($A$4+65&gt;$B$4,"",$A$4+65)</f>
        <v>46088</v>
      </c>
      <c r="N6539" t="str">
        <f>IF(M6539="","",'Master Barang'!A33)</f>
        <v>PRL-032</v>
      </c>
      <c r="O6539" t="str">
        <f>IF(N6539="","",'Master Barang'!B33)</f>
        <v>plastik packaging ag box uk sedang</v>
      </c>
      <c r="P6539">
        <f>IF(OR(M6539="",N6539=""),"",SUMIFS('Barang Keluar'!$E:$E,'Barang Keluar'!$A:$A,M6539,'Barang Keluar'!$C:$C,N6539))</f>
        <v>0</v>
      </c>
    </row>
    <row r="6540" spans="13:16">
      <c r="M6540" s="49">
        <f>IF($A$4+65&gt;$B$4,"",$A$4+65)</f>
        <v>46088</v>
      </c>
      <c r="N6540" t="str">
        <f>IF(M6540="","",'Master Barang'!A34)</f>
        <v>PRL-033</v>
      </c>
      <c r="O6540">
        <f>IF(N6540="","",'Master Barang'!B34)</f>
        <v>0</v>
      </c>
      <c r="P6540">
        <f>IF(OR(M6540="",N6540=""),"",SUMIFS('Barang Keluar'!$E:$E,'Barang Keluar'!$A:$A,M6540,'Barang Keluar'!$C:$C,N6540))</f>
        <v>0</v>
      </c>
    </row>
    <row r="6541" spans="13:16">
      <c r="M6541" s="49">
        <f>IF($A$4+65&gt;$B$4,"",$A$4+65)</f>
        <v>46088</v>
      </c>
      <c r="N6541">
        <f>IF(M6541="","",'Master Barang'!A35)</f>
        <v>0</v>
      </c>
      <c r="O6541">
        <f>IF(N6541="","",'Master Barang'!B35)</f>
        <v>0</v>
      </c>
      <c r="P6541">
        <f>IF(OR(M6541="",N6541=""),"",SUMIFS('Barang Keluar'!$E:$E,'Barang Keluar'!$A:$A,M6541,'Barang Keluar'!$C:$C,N6541))</f>
        <v>0</v>
      </c>
    </row>
    <row r="6542" spans="13:16">
      <c r="M6542" s="49">
        <f>IF($A$4+65&gt;$B$4,"",$A$4+65)</f>
        <v>46088</v>
      </c>
      <c r="N6542">
        <f>IF(M6542="","",'Master Barang'!A36)</f>
        <v>0</v>
      </c>
      <c r="O6542">
        <f>IF(N6542="","",'Master Barang'!B36)</f>
        <v>0</v>
      </c>
      <c r="P6542">
        <f>IF(OR(M6542="",N6542=""),"",SUMIFS('Barang Keluar'!$E:$E,'Barang Keluar'!$A:$A,M6542,'Barang Keluar'!$C:$C,N6542))</f>
        <v>0</v>
      </c>
    </row>
    <row r="6543" spans="13:16">
      <c r="M6543" s="49">
        <f>IF($A$4+65&gt;$B$4,"",$A$4+65)</f>
        <v>46088</v>
      </c>
      <c r="N6543">
        <f>IF(M6543="","",'Master Barang'!A37)</f>
        <v>0</v>
      </c>
      <c r="O6543">
        <f>IF(N6543="","",'Master Barang'!B37)</f>
        <v>0</v>
      </c>
      <c r="P6543">
        <f>IF(OR(M6543="",N6543=""),"",SUMIFS('Barang Keluar'!$E:$E,'Barang Keluar'!$A:$A,M6543,'Barang Keluar'!$C:$C,N6543))</f>
        <v>0</v>
      </c>
    </row>
    <row r="6544" spans="13:16">
      <c r="M6544" s="49">
        <f>IF($A$4+65&gt;$B$4,"",$A$4+65)</f>
        <v>46088</v>
      </c>
      <c r="N6544">
        <f>IF(M6544="","",'Master Barang'!A38)</f>
        <v>0</v>
      </c>
      <c r="O6544">
        <f>IF(N6544="","",'Master Barang'!B38)</f>
        <v>0</v>
      </c>
      <c r="P6544">
        <f>IF(OR(M6544="",N6544=""),"",SUMIFS('Barang Keluar'!$E:$E,'Barang Keluar'!$A:$A,M6544,'Barang Keluar'!$C:$C,N6544))</f>
        <v>0</v>
      </c>
    </row>
    <row r="6545" spans="13:16">
      <c r="M6545" s="49">
        <f>IF($A$4+65&gt;$B$4,"",$A$4+65)</f>
        <v>46088</v>
      </c>
      <c r="N6545">
        <f>IF(M6545="","",'Master Barang'!A39)</f>
        <v>0</v>
      </c>
      <c r="O6545">
        <f>IF(N6545="","",'Master Barang'!B39)</f>
        <v>0</v>
      </c>
      <c r="P6545">
        <f>IF(OR(M6545="",N6545=""),"",SUMIFS('Barang Keluar'!$E:$E,'Barang Keluar'!$A:$A,M6545,'Barang Keluar'!$C:$C,N6545))</f>
        <v>0</v>
      </c>
    </row>
    <row r="6546" spans="13:16">
      <c r="M6546" s="49">
        <f>IF($A$4+65&gt;$B$4,"",$A$4+65)</f>
        <v>46088</v>
      </c>
      <c r="N6546">
        <f>IF(M6546="","",'Master Barang'!A40)</f>
        <v>0</v>
      </c>
      <c r="O6546">
        <f>IF(N6546="","",'Master Barang'!B40)</f>
        <v>0</v>
      </c>
      <c r="P6546">
        <f>IF(OR(M6546="",N6546=""),"",SUMIFS('Barang Keluar'!$E:$E,'Barang Keluar'!$A:$A,M6546,'Barang Keluar'!$C:$C,N6546))</f>
        <v>0</v>
      </c>
    </row>
    <row r="6547" spans="13:16">
      <c r="M6547" s="49">
        <f>IF($A$4+65&gt;$B$4,"",$A$4+65)</f>
        <v>46088</v>
      </c>
      <c r="N6547">
        <f>IF(M6547="","",'Master Barang'!A41)</f>
        <v>0</v>
      </c>
      <c r="O6547">
        <f>IF(N6547="","",'Master Barang'!B41)</f>
        <v>0</v>
      </c>
      <c r="P6547">
        <f>IF(OR(M6547="",N6547=""),"",SUMIFS('Barang Keluar'!$E:$E,'Barang Keluar'!$A:$A,M6547,'Barang Keluar'!$C:$C,N6547))</f>
        <v>0</v>
      </c>
    </row>
    <row r="6548" spans="13:16">
      <c r="M6548" s="49">
        <f>IF($A$4+65&gt;$B$4,"",$A$4+65)</f>
        <v>46088</v>
      </c>
      <c r="N6548">
        <f>IF(M6548="","",'Master Barang'!A42)</f>
        <v>0</v>
      </c>
      <c r="O6548">
        <f>IF(N6548="","",'Master Barang'!B42)</f>
        <v>0</v>
      </c>
      <c r="P6548">
        <f>IF(OR(M6548="",N6548=""),"",SUMIFS('Barang Keluar'!$E:$E,'Barang Keluar'!$A:$A,M6548,'Barang Keluar'!$C:$C,N6548))</f>
        <v>0</v>
      </c>
    </row>
    <row r="6549" spans="13:16">
      <c r="M6549" s="49">
        <f>IF($A$4+65&gt;$B$4,"",$A$4+65)</f>
        <v>46088</v>
      </c>
      <c r="N6549">
        <f>IF(M6549="","",'Master Barang'!A43)</f>
        <v>0</v>
      </c>
      <c r="O6549">
        <f>IF(N6549="","",'Master Barang'!B43)</f>
        <v>0</v>
      </c>
      <c r="P6549">
        <f>IF(OR(M6549="",N6549=""),"",SUMIFS('Barang Keluar'!$E:$E,'Barang Keluar'!$A:$A,M6549,'Barang Keluar'!$C:$C,N6549))</f>
        <v>0</v>
      </c>
    </row>
    <row r="6550" spans="13:16">
      <c r="M6550" s="49">
        <f>IF($A$4+65&gt;$B$4,"",$A$4+65)</f>
        <v>46088</v>
      </c>
      <c r="N6550">
        <f>IF(M6550="","",'Master Barang'!A44)</f>
        <v>0</v>
      </c>
      <c r="O6550">
        <f>IF(N6550="","",'Master Barang'!B44)</f>
        <v>0</v>
      </c>
      <c r="P6550">
        <f>IF(OR(M6550="",N6550=""),"",SUMIFS('Barang Keluar'!$E:$E,'Barang Keluar'!$A:$A,M6550,'Barang Keluar'!$C:$C,N6550))</f>
        <v>0</v>
      </c>
    </row>
    <row r="6551" spans="13:16">
      <c r="M6551" s="49">
        <f>IF($A$4+65&gt;$B$4,"",$A$4+65)</f>
        <v>46088</v>
      </c>
      <c r="N6551">
        <f>IF(M6551="","",'Master Barang'!A45)</f>
        <v>0</v>
      </c>
      <c r="O6551">
        <f>IF(N6551="","",'Master Barang'!B45)</f>
        <v>0</v>
      </c>
      <c r="P6551">
        <f>IF(OR(M6551="",N6551=""),"",SUMIFS('Barang Keluar'!$E:$E,'Barang Keluar'!$A:$A,M6551,'Barang Keluar'!$C:$C,N6551))</f>
        <v>0</v>
      </c>
    </row>
    <row r="6552" spans="13:16">
      <c r="M6552" s="49">
        <f>IF($A$4+65&gt;$B$4,"",$A$4+65)</f>
        <v>46088</v>
      </c>
      <c r="N6552">
        <f>IF(M6552="","",'Master Barang'!A46)</f>
        <v>0</v>
      </c>
      <c r="O6552">
        <f>IF(N6552="","",'Master Barang'!B46)</f>
        <v>0</v>
      </c>
      <c r="P6552">
        <f>IF(OR(M6552="",N6552=""),"",SUMIFS('Barang Keluar'!$E:$E,'Barang Keluar'!$A:$A,M6552,'Barang Keluar'!$C:$C,N6552))</f>
        <v>0</v>
      </c>
    </row>
    <row r="6553" spans="13:16">
      <c r="M6553" s="49">
        <f>IF($A$4+65&gt;$B$4,"",$A$4+65)</f>
        <v>46088</v>
      </c>
      <c r="N6553">
        <f>IF(M6553="","",'Master Barang'!A47)</f>
        <v>0</v>
      </c>
      <c r="O6553">
        <f>IF(N6553="","",'Master Barang'!B47)</f>
        <v>0</v>
      </c>
      <c r="P6553">
        <f>IF(OR(M6553="",N6553=""),"",SUMIFS('Barang Keluar'!$E:$E,'Barang Keluar'!$A:$A,M6553,'Barang Keluar'!$C:$C,N6553))</f>
        <v>0</v>
      </c>
    </row>
    <row r="6554" spans="13:16">
      <c r="M6554" s="49">
        <f>IF($A$4+65&gt;$B$4,"",$A$4+65)</f>
        <v>46088</v>
      </c>
      <c r="N6554">
        <f>IF(M6554="","",'Master Barang'!A48)</f>
        <v>0</v>
      </c>
      <c r="O6554">
        <f>IF(N6554="","",'Master Barang'!B48)</f>
        <v>0</v>
      </c>
      <c r="P6554">
        <f>IF(OR(M6554="",N6554=""),"",SUMIFS('Barang Keluar'!$E:$E,'Barang Keluar'!$A:$A,M6554,'Barang Keluar'!$C:$C,N6554))</f>
        <v>0</v>
      </c>
    </row>
    <row r="6555" spans="13:16">
      <c r="M6555" s="49">
        <f>IF($A$4+65&gt;$B$4,"",$A$4+65)</f>
        <v>46088</v>
      </c>
      <c r="N6555">
        <f>IF(M6555="","",'Master Barang'!A49)</f>
        <v>0</v>
      </c>
      <c r="O6555">
        <f>IF(N6555="","",'Master Barang'!B49)</f>
        <v>0</v>
      </c>
      <c r="P6555">
        <f>IF(OR(M6555="",N6555=""),"",SUMIFS('Barang Keluar'!$E:$E,'Barang Keluar'!$A:$A,M6555,'Barang Keluar'!$C:$C,N6555))</f>
        <v>0</v>
      </c>
    </row>
    <row r="6556" spans="13:16">
      <c r="M6556" s="49">
        <f>IF($A$4+65&gt;$B$4,"",$A$4+65)</f>
        <v>46088</v>
      </c>
      <c r="N6556">
        <f>IF(M6556="","",'Master Barang'!A50)</f>
        <v>0</v>
      </c>
      <c r="O6556">
        <f>IF(N6556="","",'Master Barang'!B50)</f>
        <v>0</v>
      </c>
      <c r="P6556">
        <f>IF(OR(M6556="",N6556=""),"",SUMIFS('Barang Keluar'!$E:$E,'Barang Keluar'!$A:$A,M6556,'Barang Keluar'!$C:$C,N6556))</f>
        <v>0</v>
      </c>
    </row>
    <row r="6557" spans="13:16">
      <c r="M6557" s="49">
        <f>IF($A$4+65&gt;$B$4,"",$A$4+65)</f>
        <v>46088</v>
      </c>
      <c r="N6557">
        <f>IF(M6557="","",'Master Barang'!A51)</f>
        <v>0</v>
      </c>
      <c r="O6557">
        <f>IF(N6557="","",'Master Barang'!B51)</f>
        <v>0</v>
      </c>
      <c r="P6557">
        <f>IF(OR(M6557="",N6557=""),"",SUMIFS('Barang Keluar'!$E:$E,'Barang Keluar'!$A:$A,M6557,'Barang Keluar'!$C:$C,N6557))</f>
        <v>0</v>
      </c>
    </row>
    <row r="6558" spans="13:16">
      <c r="M6558" s="49">
        <f>IF($A$4+65&gt;$B$4,"",$A$4+65)</f>
        <v>46088</v>
      </c>
      <c r="N6558">
        <f>IF(M6558="","",'Master Barang'!A52)</f>
        <v>0</v>
      </c>
      <c r="O6558">
        <f>IF(N6558="","",'Master Barang'!B52)</f>
        <v>0</v>
      </c>
      <c r="P6558">
        <f>IF(OR(M6558="",N6558=""),"",SUMIFS('Barang Keluar'!$E:$E,'Barang Keluar'!$A:$A,M6558,'Barang Keluar'!$C:$C,N6558))</f>
        <v>0</v>
      </c>
    </row>
    <row r="6559" spans="13:16">
      <c r="M6559" s="49">
        <f>IF($A$4+65&gt;$B$4,"",$A$4+65)</f>
        <v>46088</v>
      </c>
      <c r="N6559">
        <f>IF(M6559="","",'Master Barang'!A53)</f>
        <v>0</v>
      </c>
      <c r="O6559">
        <f>IF(N6559="","",'Master Barang'!B53)</f>
        <v>0</v>
      </c>
      <c r="P6559">
        <f>IF(OR(M6559="",N6559=""),"",SUMIFS('Barang Keluar'!$E:$E,'Barang Keluar'!$A:$A,M6559,'Barang Keluar'!$C:$C,N6559))</f>
        <v>0</v>
      </c>
    </row>
    <row r="6560" spans="13:16">
      <c r="M6560" s="49">
        <f>IF($A$4+65&gt;$B$4,"",$A$4+65)</f>
        <v>46088</v>
      </c>
      <c r="N6560">
        <f>IF(M6560="","",'Master Barang'!A54)</f>
        <v>0</v>
      </c>
      <c r="O6560">
        <f>IF(N6560="","",'Master Barang'!B54)</f>
        <v>0</v>
      </c>
      <c r="P6560">
        <f>IF(OR(M6560="",N6560=""),"",SUMIFS('Barang Keluar'!$E:$E,'Barang Keluar'!$A:$A,M6560,'Barang Keluar'!$C:$C,N6560))</f>
        <v>0</v>
      </c>
    </row>
    <row r="6561" spans="13:16">
      <c r="M6561" s="49">
        <f>IF($A$4+65&gt;$B$4,"",$A$4+65)</f>
        <v>46088</v>
      </c>
      <c r="N6561">
        <f>IF(M6561="","",'Master Barang'!A55)</f>
        <v>0</v>
      </c>
      <c r="O6561">
        <f>IF(N6561="","",'Master Barang'!B55)</f>
        <v>0</v>
      </c>
      <c r="P6561">
        <f>IF(OR(M6561="",N6561=""),"",SUMIFS('Barang Keluar'!$E:$E,'Barang Keluar'!$A:$A,M6561,'Barang Keluar'!$C:$C,N6561))</f>
        <v>0</v>
      </c>
    </row>
    <row r="6562" spans="13:16">
      <c r="M6562" s="49">
        <f>IF($A$4+65&gt;$B$4,"",$A$4+65)</f>
        <v>46088</v>
      </c>
      <c r="N6562">
        <f>IF(M6562="","",'Master Barang'!A56)</f>
        <v>0</v>
      </c>
      <c r="O6562">
        <f>IF(N6562="","",'Master Barang'!B56)</f>
        <v>0</v>
      </c>
      <c r="P6562">
        <f>IF(OR(M6562="",N6562=""),"",SUMIFS('Barang Keluar'!$E:$E,'Barang Keluar'!$A:$A,M6562,'Barang Keluar'!$C:$C,N6562))</f>
        <v>0</v>
      </c>
    </row>
    <row r="6563" spans="13:16">
      <c r="M6563" s="49">
        <f>IF($A$4+65&gt;$B$4,"",$A$4+65)</f>
        <v>46088</v>
      </c>
      <c r="N6563">
        <f>IF(M6563="","",'Master Barang'!A57)</f>
        <v>0</v>
      </c>
      <c r="O6563">
        <f>IF(N6563="","",'Master Barang'!B57)</f>
        <v>0</v>
      </c>
      <c r="P6563">
        <f>IF(OR(M6563="",N6563=""),"",SUMIFS('Barang Keluar'!$E:$E,'Barang Keluar'!$A:$A,M6563,'Barang Keluar'!$C:$C,N6563))</f>
        <v>0</v>
      </c>
    </row>
    <row r="6564" spans="13:16">
      <c r="M6564" s="49">
        <f>IF($A$4+65&gt;$B$4,"",$A$4+65)</f>
        <v>46088</v>
      </c>
      <c r="N6564">
        <f>IF(M6564="","",'Master Barang'!A58)</f>
        <v>0</v>
      </c>
      <c r="O6564">
        <f>IF(N6564="","",'Master Barang'!B58)</f>
        <v>0</v>
      </c>
      <c r="P6564">
        <f>IF(OR(M6564="",N6564=""),"",SUMIFS('Barang Keluar'!$E:$E,'Barang Keluar'!$A:$A,M6564,'Barang Keluar'!$C:$C,N6564))</f>
        <v>0</v>
      </c>
    </row>
    <row r="6565" spans="13:16">
      <c r="M6565" s="49">
        <f>IF($A$4+65&gt;$B$4,"",$A$4+65)</f>
        <v>46088</v>
      </c>
      <c r="N6565">
        <f>IF(M6565="","",'Master Barang'!A59)</f>
        <v>0</v>
      </c>
      <c r="O6565">
        <f>IF(N6565="","",'Master Barang'!B59)</f>
        <v>0</v>
      </c>
      <c r="P6565">
        <f>IF(OR(M6565="",N6565=""),"",SUMIFS('Barang Keluar'!$E:$E,'Barang Keluar'!$A:$A,M6565,'Barang Keluar'!$C:$C,N6565))</f>
        <v>0</v>
      </c>
    </row>
    <row r="6566" spans="13:16">
      <c r="M6566" s="49">
        <f>IF($A$4+65&gt;$B$4,"",$A$4+65)</f>
        <v>46088</v>
      </c>
      <c r="N6566">
        <f>IF(M6566="","",'Master Barang'!A60)</f>
        <v>0</v>
      </c>
      <c r="O6566">
        <f>IF(N6566="","",'Master Barang'!B60)</f>
        <v>0</v>
      </c>
      <c r="P6566">
        <f>IF(OR(M6566="",N6566=""),"",SUMIFS('Barang Keluar'!$E:$E,'Barang Keluar'!$A:$A,M6566,'Barang Keluar'!$C:$C,N6566))</f>
        <v>0</v>
      </c>
    </row>
    <row r="6567" spans="13:16">
      <c r="M6567" s="49">
        <f>IF($A$4+65&gt;$B$4,"",$A$4+65)</f>
        <v>46088</v>
      </c>
      <c r="N6567">
        <f>IF(M6567="","",'Master Barang'!A61)</f>
        <v>0</v>
      </c>
      <c r="O6567">
        <f>IF(N6567="","",'Master Barang'!B61)</f>
        <v>0</v>
      </c>
      <c r="P6567">
        <f>IF(OR(M6567="",N6567=""),"",SUMIFS('Barang Keluar'!$E:$E,'Barang Keluar'!$A:$A,M6567,'Barang Keluar'!$C:$C,N6567))</f>
        <v>0</v>
      </c>
    </row>
    <row r="6568" spans="13:16">
      <c r="M6568" s="49">
        <f>IF($A$4+65&gt;$B$4,"",$A$4+65)</f>
        <v>46088</v>
      </c>
      <c r="N6568">
        <f>IF(M6568="","",'Master Barang'!A62)</f>
        <v>0</v>
      </c>
      <c r="O6568">
        <f>IF(N6568="","",'Master Barang'!B62)</f>
        <v>0</v>
      </c>
      <c r="P6568">
        <f>IF(OR(M6568="",N6568=""),"",SUMIFS('Barang Keluar'!$E:$E,'Barang Keluar'!$A:$A,M6568,'Barang Keluar'!$C:$C,N6568))</f>
        <v>0</v>
      </c>
    </row>
    <row r="6569" spans="13:16">
      <c r="M6569" s="49">
        <f>IF($A$4+65&gt;$B$4,"",$A$4+65)</f>
        <v>46088</v>
      </c>
      <c r="N6569">
        <f>IF(M6569="","",'Master Barang'!A63)</f>
        <v>0</v>
      </c>
      <c r="O6569">
        <f>IF(N6569="","",'Master Barang'!B63)</f>
        <v>0</v>
      </c>
      <c r="P6569">
        <f>IF(OR(M6569="",N6569=""),"",SUMIFS('Barang Keluar'!$E:$E,'Barang Keluar'!$A:$A,M6569,'Barang Keluar'!$C:$C,N6569))</f>
        <v>0</v>
      </c>
    </row>
    <row r="6570" spans="13:16">
      <c r="M6570" s="49">
        <f>IF($A$4+65&gt;$B$4,"",$A$4+65)</f>
        <v>46088</v>
      </c>
      <c r="N6570">
        <f>IF(M6570="","",'Master Barang'!A64)</f>
        <v>0</v>
      </c>
      <c r="O6570">
        <f>IF(N6570="","",'Master Barang'!B64)</f>
        <v>0</v>
      </c>
      <c r="P6570">
        <f>IF(OR(M6570="",N6570=""),"",SUMIFS('Barang Keluar'!$E:$E,'Barang Keluar'!$A:$A,M6570,'Barang Keluar'!$C:$C,N6570))</f>
        <v>0</v>
      </c>
    </row>
    <row r="6571" spans="13:16">
      <c r="M6571" s="49">
        <f>IF($A$4+65&gt;$B$4,"",$A$4+65)</f>
        <v>46088</v>
      </c>
      <c r="N6571">
        <f>IF(M6571="","",'Master Barang'!A65)</f>
        <v>0</v>
      </c>
      <c r="O6571">
        <f>IF(N6571="","",'Master Barang'!B65)</f>
        <v>0</v>
      </c>
      <c r="P6571">
        <f>IF(OR(M6571="",N6571=""),"",SUMIFS('Barang Keluar'!$E:$E,'Barang Keluar'!$A:$A,M6571,'Barang Keluar'!$C:$C,N6571))</f>
        <v>0</v>
      </c>
    </row>
    <row r="6572" spans="13:16">
      <c r="M6572" s="49">
        <f>IF($A$4+65&gt;$B$4,"",$A$4+65)</f>
        <v>46088</v>
      </c>
      <c r="N6572">
        <f>IF(M6572="","",'Master Barang'!A66)</f>
        <v>0</v>
      </c>
      <c r="O6572">
        <f>IF(N6572="","",'Master Barang'!B66)</f>
        <v>0</v>
      </c>
      <c r="P6572">
        <f>IF(OR(M6572="",N6572=""),"",SUMIFS('Barang Keluar'!$E:$E,'Barang Keluar'!$A:$A,M6572,'Barang Keluar'!$C:$C,N6572))</f>
        <v>0</v>
      </c>
    </row>
    <row r="6573" spans="13:16">
      <c r="M6573" s="49">
        <f>IF($A$4+65&gt;$B$4,"",$A$4+65)</f>
        <v>46088</v>
      </c>
      <c r="N6573">
        <f>IF(M6573="","",'Master Barang'!A67)</f>
        <v>0</v>
      </c>
      <c r="O6573">
        <f>IF(N6573="","",'Master Barang'!B67)</f>
        <v>0</v>
      </c>
      <c r="P6573">
        <f>IF(OR(M6573="",N6573=""),"",SUMIFS('Barang Keluar'!$E:$E,'Barang Keluar'!$A:$A,M6573,'Barang Keluar'!$C:$C,N6573))</f>
        <v>0</v>
      </c>
    </row>
    <row r="6574" spans="13:16">
      <c r="M6574" s="49">
        <f>IF($A$4+65&gt;$B$4,"",$A$4+65)</f>
        <v>46088</v>
      </c>
      <c r="N6574">
        <f>IF(M6574="","",'Master Barang'!A68)</f>
        <v>0</v>
      </c>
      <c r="O6574">
        <f>IF(N6574="","",'Master Barang'!B68)</f>
        <v>0</v>
      </c>
      <c r="P6574">
        <f>IF(OR(M6574="",N6574=""),"",SUMIFS('Barang Keluar'!$E:$E,'Barang Keluar'!$A:$A,M6574,'Barang Keluar'!$C:$C,N6574))</f>
        <v>0</v>
      </c>
    </row>
    <row r="6575" spans="13:16">
      <c r="M6575" s="49">
        <f>IF($A$4+65&gt;$B$4,"",$A$4+65)</f>
        <v>46088</v>
      </c>
      <c r="N6575">
        <f>IF(M6575="","",'Master Barang'!A69)</f>
        <v>0</v>
      </c>
      <c r="O6575">
        <f>IF(N6575="","",'Master Barang'!B69)</f>
        <v>0</v>
      </c>
      <c r="P6575">
        <f>IF(OR(M6575="",N6575=""),"",SUMIFS('Barang Keluar'!$E:$E,'Barang Keluar'!$A:$A,M6575,'Barang Keluar'!$C:$C,N6575))</f>
        <v>0</v>
      </c>
    </row>
    <row r="6576" spans="13:16">
      <c r="M6576" s="49">
        <f>IF($A$4+65&gt;$B$4,"",$A$4+65)</f>
        <v>46088</v>
      </c>
      <c r="N6576">
        <f>IF(M6576="","",'Master Barang'!A70)</f>
        <v>0</v>
      </c>
      <c r="O6576">
        <f>IF(N6576="","",'Master Barang'!B70)</f>
        <v>0</v>
      </c>
      <c r="P6576">
        <f>IF(OR(M6576="",N6576=""),"",SUMIFS('Barang Keluar'!$E:$E,'Barang Keluar'!$A:$A,M6576,'Barang Keluar'!$C:$C,N6576))</f>
        <v>0</v>
      </c>
    </row>
    <row r="6577" spans="13:16">
      <c r="M6577" s="49">
        <f>IF($A$4+65&gt;$B$4,"",$A$4+65)</f>
        <v>46088</v>
      </c>
      <c r="N6577">
        <f>IF(M6577="","",'Master Barang'!A71)</f>
        <v>0</v>
      </c>
      <c r="O6577">
        <f>IF(N6577="","",'Master Barang'!B71)</f>
        <v>0</v>
      </c>
      <c r="P6577">
        <f>IF(OR(M6577="",N6577=""),"",SUMIFS('Barang Keluar'!$E:$E,'Barang Keluar'!$A:$A,M6577,'Barang Keluar'!$C:$C,N6577))</f>
        <v>0</v>
      </c>
    </row>
    <row r="6578" spans="13:16">
      <c r="M6578" s="49">
        <f>IF($A$4+65&gt;$B$4,"",$A$4+65)</f>
        <v>46088</v>
      </c>
      <c r="N6578">
        <f>IF(M6578="","",'Master Barang'!A72)</f>
        <v>0</v>
      </c>
      <c r="O6578">
        <f>IF(N6578="","",'Master Barang'!B72)</f>
        <v>0</v>
      </c>
      <c r="P6578">
        <f>IF(OR(M6578="",N6578=""),"",SUMIFS('Barang Keluar'!$E:$E,'Barang Keluar'!$A:$A,M6578,'Barang Keluar'!$C:$C,N6578))</f>
        <v>0</v>
      </c>
    </row>
    <row r="6579" spans="13:16">
      <c r="M6579" s="49">
        <f>IF($A$4+65&gt;$B$4,"",$A$4+65)</f>
        <v>46088</v>
      </c>
      <c r="N6579">
        <f>IF(M6579="","",'Master Barang'!A73)</f>
        <v>0</v>
      </c>
      <c r="O6579">
        <f>IF(N6579="","",'Master Barang'!B73)</f>
        <v>0</v>
      </c>
      <c r="P6579">
        <f>IF(OR(M6579="",N6579=""),"",SUMIFS('Barang Keluar'!$E:$E,'Barang Keluar'!$A:$A,M6579,'Barang Keluar'!$C:$C,N6579))</f>
        <v>0</v>
      </c>
    </row>
    <row r="6580" spans="13:16">
      <c r="M6580" s="49">
        <f>IF($A$4+65&gt;$B$4,"",$A$4+65)</f>
        <v>46088</v>
      </c>
      <c r="N6580">
        <f>IF(M6580="","",'Master Barang'!A74)</f>
        <v>0</v>
      </c>
      <c r="O6580">
        <f>IF(N6580="","",'Master Barang'!B74)</f>
        <v>0</v>
      </c>
      <c r="P6580">
        <f>IF(OR(M6580="",N6580=""),"",SUMIFS('Barang Keluar'!$E:$E,'Barang Keluar'!$A:$A,M6580,'Barang Keluar'!$C:$C,N6580))</f>
        <v>0</v>
      </c>
    </row>
    <row r="6581" spans="13:16">
      <c r="M6581" s="49">
        <f>IF($A$4+65&gt;$B$4,"",$A$4+65)</f>
        <v>46088</v>
      </c>
      <c r="N6581">
        <f>IF(M6581="","",'Master Barang'!A75)</f>
        <v>0</v>
      </c>
      <c r="O6581">
        <f>IF(N6581="","",'Master Barang'!B75)</f>
        <v>0</v>
      </c>
      <c r="P6581">
        <f>IF(OR(M6581="",N6581=""),"",SUMIFS('Barang Keluar'!$E:$E,'Barang Keluar'!$A:$A,M6581,'Barang Keluar'!$C:$C,N6581))</f>
        <v>0</v>
      </c>
    </row>
    <row r="6582" spans="13:16">
      <c r="M6582" s="49">
        <f>IF($A$4+65&gt;$B$4,"",$A$4+65)</f>
        <v>46088</v>
      </c>
      <c r="N6582">
        <f>IF(M6582="","",'Master Barang'!A76)</f>
        <v>0</v>
      </c>
      <c r="O6582">
        <f>IF(N6582="","",'Master Barang'!B76)</f>
        <v>0</v>
      </c>
      <c r="P6582">
        <f>IF(OR(M6582="",N6582=""),"",SUMIFS('Barang Keluar'!$E:$E,'Barang Keluar'!$A:$A,M6582,'Barang Keluar'!$C:$C,N6582))</f>
        <v>0</v>
      </c>
    </row>
    <row r="6583" spans="13:16">
      <c r="M6583" s="49">
        <f>IF($A$4+65&gt;$B$4,"",$A$4+65)</f>
        <v>46088</v>
      </c>
      <c r="N6583">
        <f>IF(M6583="","",'Master Barang'!A77)</f>
        <v>0</v>
      </c>
      <c r="O6583">
        <f>IF(N6583="","",'Master Barang'!B77)</f>
        <v>0</v>
      </c>
      <c r="P6583">
        <f>IF(OR(M6583="",N6583=""),"",SUMIFS('Barang Keluar'!$E:$E,'Barang Keluar'!$A:$A,M6583,'Barang Keluar'!$C:$C,N6583))</f>
        <v>0</v>
      </c>
    </row>
    <row r="6584" spans="13:16">
      <c r="M6584" s="49">
        <f>IF($A$4+65&gt;$B$4,"",$A$4+65)</f>
        <v>46088</v>
      </c>
      <c r="N6584">
        <f>IF(M6584="","",'Master Barang'!A78)</f>
        <v>0</v>
      </c>
      <c r="O6584">
        <f>IF(N6584="","",'Master Barang'!B78)</f>
        <v>0</v>
      </c>
      <c r="P6584">
        <f>IF(OR(M6584="",N6584=""),"",SUMIFS('Barang Keluar'!$E:$E,'Barang Keluar'!$A:$A,M6584,'Barang Keluar'!$C:$C,N6584))</f>
        <v>0</v>
      </c>
    </row>
    <row r="6585" spans="13:16">
      <c r="M6585" s="49">
        <f>IF($A$4+65&gt;$B$4,"",$A$4+65)</f>
        <v>46088</v>
      </c>
      <c r="N6585">
        <f>IF(M6585="","",'Master Barang'!A79)</f>
        <v>0</v>
      </c>
      <c r="O6585">
        <f>IF(N6585="","",'Master Barang'!B79)</f>
        <v>0</v>
      </c>
      <c r="P6585">
        <f>IF(OR(M6585="",N6585=""),"",SUMIFS('Barang Keluar'!$E:$E,'Barang Keluar'!$A:$A,M6585,'Barang Keluar'!$C:$C,N6585))</f>
        <v>0</v>
      </c>
    </row>
    <row r="6586" spans="13:16">
      <c r="M6586" s="49">
        <f>IF($A$4+65&gt;$B$4,"",$A$4+65)</f>
        <v>46088</v>
      </c>
      <c r="N6586">
        <f>IF(M6586="","",'Master Barang'!A80)</f>
        <v>0</v>
      </c>
      <c r="O6586">
        <f>IF(N6586="","",'Master Barang'!B80)</f>
        <v>0</v>
      </c>
      <c r="P6586">
        <f>IF(OR(M6586="",N6586=""),"",SUMIFS('Barang Keluar'!$E:$E,'Barang Keluar'!$A:$A,M6586,'Barang Keluar'!$C:$C,N6586))</f>
        <v>0</v>
      </c>
    </row>
    <row r="6587" spans="13:16">
      <c r="M6587" s="49">
        <f>IF($A$4+65&gt;$B$4,"",$A$4+65)</f>
        <v>46088</v>
      </c>
      <c r="N6587">
        <f>IF(M6587="","",'Master Barang'!A81)</f>
        <v>0</v>
      </c>
      <c r="O6587">
        <f>IF(N6587="","",'Master Barang'!B81)</f>
        <v>0</v>
      </c>
      <c r="P6587">
        <f>IF(OR(M6587="",N6587=""),"",SUMIFS('Barang Keluar'!$E:$E,'Barang Keluar'!$A:$A,M6587,'Barang Keluar'!$C:$C,N6587))</f>
        <v>0</v>
      </c>
    </row>
    <row r="6588" spans="13:16">
      <c r="M6588" s="49">
        <f>IF($A$4+65&gt;$B$4,"",$A$4+65)</f>
        <v>46088</v>
      </c>
      <c r="N6588">
        <f>IF(M6588="","",'Master Barang'!A82)</f>
        <v>0</v>
      </c>
      <c r="O6588">
        <f>IF(N6588="","",'Master Barang'!B82)</f>
        <v>0</v>
      </c>
      <c r="P6588">
        <f>IF(OR(M6588="",N6588=""),"",SUMIFS('Barang Keluar'!$E:$E,'Barang Keluar'!$A:$A,M6588,'Barang Keluar'!$C:$C,N6588))</f>
        <v>0</v>
      </c>
    </row>
    <row r="6589" spans="13:16">
      <c r="M6589" s="49">
        <f>IF($A$4+65&gt;$B$4,"",$A$4+65)</f>
        <v>46088</v>
      </c>
      <c r="N6589">
        <f>IF(M6589="","",'Master Barang'!A83)</f>
        <v>0</v>
      </c>
      <c r="O6589">
        <f>IF(N6589="","",'Master Barang'!B83)</f>
        <v>0</v>
      </c>
      <c r="P6589">
        <f>IF(OR(M6589="",N6589=""),"",SUMIFS('Barang Keluar'!$E:$E,'Barang Keluar'!$A:$A,M6589,'Barang Keluar'!$C:$C,N6589))</f>
        <v>0</v>
      </c>
    </row>
    <row r="6590" spans="13:16">
      <c r="M6590" s="49">
        <f>IF($A$4+65&gt;$B$4,"",$A$4+65)</f>
        <v>46088</v>
      </c>
      <c r="N6590">
        <f>IF(M6590="","",'Master Barang'!A84)</f>
        <v>0</v>
      </c>
      <c r="O6590">
        <f>IF(N6590="","",'Master Barang'!B84)</f>
        <v>0</v>
      </c>
      <c r="P6590">
        <f>IF(OR(M6590="",N6590=""),"",SUMIFS('Barang Keluar'!$E:$E,'Barang Keluar'!$A:$A,M6590,'Barang Keluar'!$C:$C,N6590))</f>
        <v>0</v>
      </c>
    </row>
    <row r="6591" spans="13:16">
      <c r="M6591" s="49">
        <f>IF($A$4+65&gt;$B$4,"",$A$4+65)</f>
        <v>46088</v>
      </c>
      <c r="N6591">
        <f>IF(M6591="","",'Master Barang'!A85)</f>
        <v>0</v>
      </c>
      <c r="O6591">
        <f>IF(N6591="","",'Master Barang'!B85)</f>
        <v>0</v>
      </c>
      <c r="P6591">
        <f>IF(OR(M6591="",N6591=""),"",SUMIFS('Barang Keluar'!$E:$E,'Barang Keluar'!$A:$A,M6591,'Barang Keluar'!$C:$C,N6591))</f>
        <v>0</v>
      </c>
    </row>
    <row r="6592" spans="13:16">
      <c r="M6592" s="49">
        <f>IF($A$4+65&gt;$B$4,"",$A$4+65)</f>
        <v>46088</v>
      </c>
      <c r="N6592">
        <f>IF(M6592="","",'Master Barang'!A86)</f>
        <v>0</v>
      </c>
      <c r="O6592">
        <f>IF(N6592="","",'Master Barang'!B86)</f>
        <v>0</v>
      </c>
      <c r="P6592">
        <f>IF(OR(M6592="",N6592=""),"",SUMIFS('Barang Keluar'!$E:$E,'Barang Keluar'!$A:$A,M6592,'Barang Keluar'!$C:$C,N6592))</f>
        <v>0</v>
      </c>
    </row>
    <row r="6593" spans="13:16">
      <c r="M6593" s="49">
        <f>IF($A$4+65&gt;$B$4,"",$A$4+65)</f>
        <v>46088</v>
      </c>
      <c r="N6593">
        <f>IF(M6593="","",'Master Barang'!A87)</f>
        <v>0</v>
      </c>
      <c r="O6593">
        <f>IF(N6593="","",'Master Barang'!B87)</f>
        <v>0</v>
      </c>
      <c r="P6593">
        <f>IF(OR(M6593="",N6593=""),"",SUMIFS('Barang Keluar'!$E:$E,'Barang Keluar'!$A:$A,M6593,'Barang Keluar'!$C:$C,N6593))</f>
        <v>0</v>
      </c>
    </row>
    <row r="6594" spans="13:16">
      <c r="M6594" s="49">
        <f>IF($A$4+65&gt;$B$4,"",$A$4+65)</f>
        <v>46088</v>
      </c>
      <c r="N6594">
        <f>IF(M6594="","",'Master Barang'!A88)</f>
        <v>0</v>
      </c>
      <c r="O6594">
        <f>IF(N6594="","",'Master Barang'!B88)</f>
        <v>0</v>
      </c>
      <c r="P6594">
        <f>IF(OR(M6594="",N6594=""),"",SUMIFS('Barang Keluar'!$E:$E,'Barang Keluar'!$A:$A,M6594,'Barang Keluar'!$C:$C,N6594))</f>
        <v>0</v>
      </c>
    </row>
    <row r="6595" spans="13:16">
      <c r="M6595" s="49">
        <f>IF($A$4+65&gt;$B$4,"",$A$4+65)</f>
        <v>46088</v>
      </c>
      <c r="N6595">
        <f>IF(M6595="","",'Master Barang'!A89)</f>
        <v>0</v>
      </c>
      <c r="O6595">
        <f>IF(N6595="","",'Master Barang'!B89)</f>
        <v>0</v>
      </c>
      <c r="P6595">
        <f>IF(OR(M6595="",N6595=""),"",SUMIFS('Barang Keluar'!$E:$E,'Barang Keluar'!$A:$A,M6595,'Barang Keluar'!$C:$C,N6595))</f>
        <v>0</v>
      </c>
    </row>
    <row r="6596" spans="13:16">
      <c r="M6596" s="49">
        <f>IF($A$4+65&gt;$B$4,"",$A$4+65)</f>
        <v>46088</v>
      </c>
      <c r="N6596">
        <f>IF(M6596="","",'Master Barang'!A90)</f>
        <v>0</v>
      </c>
      <c r="O6596">
        <f>IF(N6596="","",'Master Barang'!B90)</f>
        <v>0</v>
      </c>
      <c r="P6596">
        <f>IF(OR(M6596="",N6596=""),"",SUMIFS('Barang Keluar'!$E:$E,'Barang Keluar'!$A:$A,M6596,'Barang Keluar'!$C:$C,N6596))</f>
        <v>0</v>
      </c>
    </row>
    <row r="6597" spans="13:16">
      <c r="M6597" s="49">
        <f>IF($A$4+65&gt;$B$4,"",$A$4+65)</f>
        <v>46088</v>
      </c>
      <c r="N6597">
        <f>IF(M6597="","",'Master Barang'!A91)</f>
        <v>0</v>
      </c>
      <c r="O6597">
        <f>IF(N6597="","",'Master Barang'!B91)</f>
        <v>0</v>
      </c>
      <c r="P6597">
        <f>IF(OR(M6597="",N6597=""),"",SUMIFS('Barang Keluar'!$E:$E,'Barang Keluar'!$A:$A,M6597,'Barang Keluar'!$C:$C,N6597))</f>
        <v>0</v>
      </c>
    </row>
    <row r="6598" spans="13:16">
      <c r="M6598" s="49">
        <f>IF($A$4+65&gt;$B$4,"",$A$4+65)</f>
        <v>46088</v>
      </c>
      <c r="N6598">
        <f>IF(M6598="","",'Master Barang'!A92)</f>
        <v>0</v>
      </c>
      <c r="O6598">
        <f>IF(N6598="","",'Master Barang'!B92)</f>
        <v>0</v>
      </c>
      <c r="P6598">
        <f>IF(OR(M6598="",N6598=""),"",SUMIFS('Barang Keluar'!$E:$E,'Barang Keluar'!$A:$A,M6598,'Barang Keluar'!$C:$C,N6598))</f>
        <v>0</v>
      </c>
    </row>
    <row r="6599" spans="13:16">
      <c r="M6599" s="49">
        <f>IF($A$4+65&gt;$B$4,"",$A$4+65)</f>
        <v>46088</v>
      </c>
      <c r="N6599">
        <f>IF(M6599="","",'Master Barang'!A93)</f>
        <v>0</v>
      </c>
      <c r="O6599">
        <f>IF(N6599="","",'Master Barang'!B93)</f>
        <v>0</v>
      </c>
      <c r="P6599">
        <f>IF(OR(M6599="",N6599=""),"",SUMIFS('Barang Keluar'!$E:$E,'Barang Keluar'!$A:$A,M6599,'Barang Keluar'!$C:$C,N6599))</f>
        <v>0</v>
      </c>
    </row>
    <row r="6600" spans="13:16">
      <c r="M6600" s="49">
        <f>IF($A$4+65&gt;$B$4,"",$A$4+65)</f>
        <v>46088</v>
      </c>
      <c r="N6600">
        <f>IF(M6600="","",'Master Barang'!A94)</f>
        <v>0</v>
      </c>
      <c r="O6600">
        <f>IF(N6600="","",'Master Barang'!B94)</f>
        <v>0</v>
      </c>
      <c r="P6600">
        <f>IF(OR(M6600="",N6600=""),"",SUMIFS('Barang Keluar'!$E:$E,'Barang Keluar'!$A:$A,M6600,'Barang Keluar'!$C:$C,N6600))</f>
        <v>0</v>
      </c>
    </row>
    <row r="6601" spans="13:16">
      <c r="M6601" s="49">
        <f>IF($A$4+65&gt;$B$4,"",$A$4+65)</f>
        <v>46088</v>
      </c>
      <c r="N6601">
        <f>IF(M6601="","",'Master Barang'!A95)</f>
        <v>0</v>
      </c>
      <c r="O6601">
        <f>IF(N6601="","",'Master Barang'!B95)</f>
        <v>0</v>
      </c>
      <c r="P6601">
        <f>IF(OR(M6601="",N6601=""),"",SUMIFS('Barang Keluar'!$E:$E,'Barang Keluar'!$A:$A,M6601,'Barang Keluar'!$C:$C,N6601))</f>
        <v>0</v>
      </c>
    </row>
    <row r="6602" spans="13:16">
      <c r="M6602" s="49">
        <f>IF($A$4+65&gt;$B$4,"",$A$4+65)</f>
        <v>46088</v>
      </c>
      <c r="N6602">
        <f>IF(M6602="","",'Master Barang'!A96)</f>
        <v>0</v>
      </c>
      <c r="O6602">
        <f>IF(N6602="","",'Master Barang'!B96)</f>
        <v>0</v>
      </c>
      <c r="P6602">
        <f>IF(OR(M6602="",N6602=""),"",SUMIFS('Barang Keluar'!$E:$E,'Barang Keluar'!$A:$A,M6602,'Barang Keluar'!$C:$C,N6602))</f>
        <v>0</v>
      </c>
    </row>
    <row r="6603" spans="13:16">
      <c r="M6603" s="49">
        <f>IF($A$4+65&gt;$B$4,"",$A$4+65)</f>
        <v>46088</v>
      </c>
      <c r="N6603">
        <f>IF(M6603="","",'Master Barang'!A97)</f>
        <v>0</v>
      </c>
      <c r="O6603">
        <f>IF(N6603="","",'Master Barang'!B97)</f>
        <v>0</v>
      </c>
      <c r="P6603">
        <f>IF(OR(M6603="",N6603=""),"",SUMIFS('Barang Keluar'!$E:$E,'Barang Keluar'!$A:$A,M6603,'Barang Keluar'!$C:$C,N6603))</f>
        <v>0</v>
      </c>
    </row>
    <row r="6604" spans="13:16">
      <c r="M6604" s="49">
        <f>IF($A$4+65&gt;$B$4,"",$A$4+65)</f>
        <v>46088</v>
      </c>
      <c r="N6604">
        <f>IF(M6604="","",'Master Barang'!A98)</f>
        <v>0</v>
      </c>
      <c r="O6604">
        <f>IF(N6604="","",'Master Barang'!B98)</f>
        <v>0</v>
      </c>
      <c r="P6604">
        <f>IF(OR(M6604="",N6604=""),"",SUMIFS('Barang Keluar'!$E:$E,'Barang Keluar'!$A:$A,M6604,'Barang Keluar'!$C:$C,N6604))</f>
        <v>0</v>
      </c>
    </row>
    <row r="6605" spans="13:16">
      <c r="M6605" s="49">
        <f>IF($A$4+65&gt;$B$4,"",$A$4+65)</f>
        <v>46088</v>
      </c>
      <c r="N6605">
        <f>IF(M6605="","",'Master Barang'!A99)</f>
        <v>0</v>
      </c>
      <c r="O6605">
        <f>IF(N6605="","",'Master Barang'!B99)</f>
        <v>0</v>
      </c>
      <c r="P6605">
        <f>IF(OR(M6605="",N6605=""),"",SUMIFS('Barang Keluar'!$E:$E,'Barang Keluar'!$A:$A,M6605,'Barang Keluar'!$C:$C,N6605))</f>
        <v>0</v>
      </c>
    </row>
    <row r="6606" spans="13:16">
      <c r="M6606" s="49">
        <f>IF($A$4+65&gt;$B$4,"",$A$4+65)</f>
        <v>46088</v>
      </c>
      <c r="N6606">
        <f>IF(M6606="","",'Master Barang'!A100)</f>
        <v>0</v>
      </c>
      <c r="O6606">
        <f>IF(N6606="","",'Master Barang'!B100)</f>
        <v>0</v>
      </c>
      <c r="P6606">
        <f>IF(OR(M6606="",N6606=""),"",SUMIFS('Barang Keluar'!$E:$E,'Barang Keluar'!$A:$A,M6606,'Barang Keluar'!$C:$C,N6606))</f>
        <v>0</v>
      </c>
    </row>
    <row r="6607" spans="13:16">
      <c r="M6607" s="49">
        <f>IF($A$4+65&gt;$B$4,"",$A$4+65)</f>
        <v>46088</v>
      </c>
      <c r="N6607">
        <f>IF(M6607="","",'Master Barang'!A101)</f>
        <v>0</v>
      </c>
      <c r="O6607">
        <f>IF(N6607="","",'Master Barang'!B101)</f>
        <v>0</v>
      </c>
      <c r="P6607">
        <f>IF(OR(M6607="",N6607=""),"",SUMIFS('Barang Keluar'!$E:$E,'Barang Keluar'!$A:$A,M6607,'Barang Keluar'!$C:$C,N6607))</f>
        <v>0</v>
      </c>
    </row>
    <row r="6608" spans="13:16">
      <c r="M6608" s="49">
        <f>IF($A$4+66&gt;$B$4,"",$A$4+66)</f>
        <v>46089</v>
      </c>
      <c r="N6608" t="str">
        <f>IF(M6608="","",'Master Barang'!A2)</f>
        <v>PRL-001</v>
      </c>
      <c r="O6608" t="str">
        <f>IF(N6608="","",'Master Barang'!B2)</f>
        <v>natura desinfectant food grade 5l</v>
      </c>
      <c r="P6608">
        <f>IF(OR(M6608="",N6608=""),"",SUMIFS('Barang Keluar'!$E:$E,'Barang Keluar'!$A:$A,M6608,'Barang Keluar'!$C:$C,N6608))</f>
        <v>0</v>
      </c>
    </row>
    <row r="6609" spans="13:16">
      <c r="M6609" s="49">
        <f>IF($A$4+66&gt;$B$4,"",$A$4+66)</f>
        <v>46089</v>
      </c>
      <c r="N6609" t="str">
        <f>IF(M6609="","",'Master Barang'!A3)</f>
        <v>PRL-002</v>
      </c>
      <c r="O6609" t="str">
        <f>IF(N6609="","",'Master Barang'!B3)</f>
        <v>sunlight cairan pencuci piring 5l</v>
      </c>
      <c r="P6609">
        <f>IF(OR(M6609="",N6609=""),"",SUMIFS('Barang Keluar'!$E:$E,'Barang Keluar'!$A:$A,M6609,'Barang Keluar'!$C:$C,N6609))</f>
        <v>0</v>
      </c>
    </row>
    <row r="6610" spans="13:16">
      <c r="M6610" s="49">
        <f>IF($A$4+66&gt;$B$4,"",$A$4+66)</f>
        <v>46089</v>
      </c>
      <c r="N6610" t="str">
        <f>IF(M6610="","",'Master Barang'!A4)</f>
        <v>PRL-003</v>
      </c>
      <c r="O6610" t="str">
        <f>IF(N6610="","",'Master Barang'!B4)</f>
        <v>oixs cleaner 1l</v>
      </c>
      <c r="P6610">
        <f>IF(OR(M6610="",N6610=""),"",SUMIFS('Barang Keluar'!$E:$E,'Barang Keluar'!$A:$A,M6610,'Barang Keluar'!$C:$C,N6610))</f>
        <v>0</v>
      </c>
    </row>
    <row r="6611" spans="13:16">
      <c r="M6611" s="49">
        <f>IF($A$4+66&gt;$B$4,"",$A$4+66)</f>
        <v>46089</v>
      </c>
      <c r="N6611" t="str">
        <f>IF(M6611="","",'Master Barang'!A5)</f>
        <v>PRL-004</v>
      </c>
      <c r="O6611" t="str">
        <f>IF(N6611="","",'Master Barang'!B5)</f>
        <v>be clean tissue serbaguna</v>
      </c>
      <c r="P6611">
        <f>IF(OR(M6611="",N6611=""),"",SUMIFS('Barang Keluar'!$E:$E,'Barang Keluar'!$A:$A,M6611,'Barang Keluar'!$C:$C,N6611))</f>
        <v>0</v>
      </c>
    </row>
    <row r="6612" spans="13:16">
      <c r="M6612" s="49">
        <f>IF($A$4+66&gt;$B$4,"",$A$4+66)</f>
        <v>46089</v>
      </c>
      <c r="N6612" t="str">
        <f>IF(M6612="","",'Master Barang'!A6)</f>
        <v>PRL-005</v>
      </c>
      <c r="O6612" t="str">
        <f>IF(N6612="","",'Master Barang'!B6)</f>
        <v>spons cuci hijau</v>
      </c>
      <c r="P6612">
        <f>IF(OR(M6612="",N6612=""),"",SUMIFS('Barang Keluar'!$E:$E,'Barang Keluar'!$A:$A,M6612,'Barang Keluar'!$C:$C,N6612))</f>
        <v>0</v>
      </c>
    </row>
    <row r="6613" spans="13:16">
      <c r="M6613" s="49">
        <f>IF($A$4+66&gt;$B$4,"",$A$4+66)</f>
        <v>46089</v>
      </c>
      <c r="N6613" t="str">
        <f>IF(M6613="","",'Master Barang'!A7)</f>
        <v>PRL-006</v>
      </c>
      <c r="O6613" t="str">
        <f>IF(N6613="","",'Master Barang'!B7)</f>
        <v>sabut cuci stainless</v>
      </c>
      <c r="P6613">
        <f>IF(OR(M6613="",N6613=""),"",SUMIFS('Barang Keluar'!$E:$E,'Barang Keluar'!$A:$A,M6613,'Barang Keluar'!$C:$C,N6613))</f>
        <v>0</v>
      </c>
    </row>
    <row r="6614" spans="13:16">
      <c r="M6614" s="49">
        <f>IF($A$4+66&gt;$B$4,"",$A$4+66)</f>
        <v>46089</v>
      </c>
      <c r="N6614" t="str">
        <f>IF(M6614="","",'Master Barang'!A8)</f>
        <v>PRL-007</v>
      </c>
      <c r="O6614" t="str">
        <f>IF(N6614="","",'Master Barang'!B8)</f>
        <v>plastik kresek besar merah 50pc</v>
      </c>
      <c r="P6614">
        <f>IF(OR(M6614="",N6614=""),"",SUMIFS('Barang Keluar'!$E:$E,'Barang Keluar'!$A:$A,M6614,'Barang Keluar'!$C:$C,N6614))</f>
        <v>0</v>
      </c>
    </row>
    <row r="6615" spans="13:16">
      <c r="M6615" s="49">
        <f>IF($A$4+66&gt;$B$4,"",$A$4+66)</f>
        <v>46089</v>
      </c>
      <c r="N6615" t="str">
        <f>IF(M6615="","",'Master Barang'!A9)</f>
        <v>PRL-008</v>
      </c>
      <c r="O6615" t="str">
        <f>IF(N6615="","",'Master Barang'!B9)</f>
        <v>lap besar</v>
      </c>
      <c r="P6615">
        <f>IF(OR(M6615="",N6615=""),"",SUMIFS('Barang Keluar'!$E:$E,'Barang Keluar'!$A:$A,M6615,'Barang Keluar'!$C:$C,N6615))</f>
        <v>0</v>
      </c>
    </row>
    <row r="6616" spans="13:16">
      <c r="M6616" s="49">
        <f>IF($A$4+66&gt;$B$4,"",$A$4+66)</f>
        <v>46089</v>
      </c>
      <c r="N6616" t="str">
        <f>IF(M6616="","",'Master Barang'!A10)</f>
        <v>PRL-009</v>
      </c>
      <c r="O6616" t="str">
        <f>IF(N6616="","",'Master Barang'!B10)</f>
        <v>lap microfiber</v>
      </c>
      <c r="P6616">
        <f>IF(OR(M6616="",N6616=""),"",SUMIFS('Barang Keluar'!$E:$E,'Barang Keluar'!$A:$A,M6616,'Barang Keluar'!$C:$C,N6616))</f>
        <v>0</v>
      </c>
    </row>
    <row r="6617" spans="13:16">
      <c r="M6617" s="49">
        <f>IF($A$4+66&gt;$B$4,"",$A$4+66)</f>
        <v>46089</v>
      </c>
      <c r="N6617" t="str">
        <f>IF(M6617="","",'Master Barang'!A11)</f>
        <v>PRL-010</v>
      </c>
      <c r="O6617" t="str">
        <f>IF(N6617="","",'Master Barang'!B11)</f>
        <v>lap kecil</v>
      </c>
      <c r="P6617">
        <f>IF(OR(M6617="",N6617=""),"",SUMIFS('Barang Keluar'!$E:$E,'Barang Keluar'!$A:$A,M6617,'Barang Keluar'!$C:$C,N6617))</f>
        <v>0</v>
      </c>
    </row>
    <row r="6618" spans="13:16">
      <c r="M6618" s="49">
        <f>IF($A$4+66&gt;$B$4,"",$A$4+66)</f>
        <v>46089</v>
      </c>
      <c r="N6618" t="str">
        <f>IF(M6618="","",'Master Barang'!A12)</f>
        <v>PRL-011</v>
      </c>
      <c r="O6618" t="str">
        <f>IF(N6618="","",'Master Barang'!B12)</f>
        <v>kanebo kecil</v>
      </c>
      <c r="P6618">
        <f>IF(OR(M6618="",N6618=""),"",SUMIFS('Barang Keluar'!$E:$E,'Barang Keluar'!$A:$A,M6618,'Barang Keluar'!$C:$C,N6618))</f>
        <v>0</v>
      </c>
    </row>
    <row r="6619" spans="13:16">
      <c r="M6619" s="49">
        <f>IF($A$4+66&gt;$B$4,"",$A$4+66)</f>
        <v>46089</v>
      </c>
      <c r="N6619" t="str">
        <f>IF(M6619="","",'Master Barang'!A13)</f>
        <v>PRL-012</v>
      </c>
      <c r="O6619" t="str">
        <f>IF(N6619="","",'Master Barang'!B13)</f>
        <v>plastik 1/4kg joyoboyo 100 lembar</v>
      </c>
      <c r="P6619">
        <f>IF(OR(M6619="",N6619=""),"",SUMIFS('Barang Keluar'!$E:$E,'Barang Keluar'!$A:$A,M6619,'Barang Keluar'!$C:$C,N6619))</f>
        <v>0</v>
      </c>
    </row>
    <row r="6620" spans="13:16">
      <c r="M6620" s="49">
        <f>IF($A$4+66&gt;$B$4,"",$A$4+66)</f>
        <v>46089</v>
      </c>
      <c r="N6620" t="str">
        <f>IF(M6620="","",'Master Barang'!A14)</f>
        <v>PRL-013</v>
      </c>
      <c r="O6620" t="str">
        <f>IF(N6620="","",'Master Barang'!B14)</f>
        <v>sarung tangan plastik kaka 100 pcs</v>
      </c>
      <c r="P6620">
        <f>IF(OR(M6620="",N6620=""),"",SUMIFS('Barang Keluar'!$E:$E,'Barang Keluar'!$A:$A,M6620,'Barang Keluar'!$C:$C,N6620))</f>
        <v>0</v>
      </c>
    </row>
    <row r="6621" spans="13:16">
      <c r="M6621" s="49">
        <f>IF($A$4+66&gt;$B$4,"",$A$4+66)</f>
        <v>46089</v>
      </c>
      <c r="N6621" t="str">
        <f>IF(M6621="","",'Master Barang'!A15)</f>
        <v>PRL-014</v>
      </c>
      <c r="O6621" t="str">
        <f>IF(N6621="","",'Master Barang'!B15)</f>
        <v>optima trashbag 80x100</v>
      </c>
      <c r="P6621">
        <f>IF(OR(M6621="",N6621=""),"",SUMIFS('Barang Keluar'!$E:$E,'Barang Keluar'!$A:$A,M6621,'Barang Keluar'!$C:$C,N6621))</f>
        <v>0</v>
      </c>
    </row>
    <row r="6622" spans="13:16">
      <c r="M6622" s="49">
        <f>IF($A$4+66&gt;$B$4,"",$A$4+66)</f>
        <v>46089</v>
      </c>
      <c r="N6622" t="str">
        <f>IF(M6622="","",'Master Barang'!A16)</f>
        <v>PRL-015</v>
      </c>
      <c r="O6622" t="str">
        <f>IF(N6622="","",'Master Barang'!B16)</f>
        <v>optima trashbag 60x100</v>
      </c>
      <c r="P6622">
        <f>IF(OR(M6622="",N6622=""),"",SUMIFS('Barang Keluar'!$E:$E,'Barang Keluar'!$A:$A,M6622,'Barang Keluar'!$C:$C,N6622))</f>
        <v>0</v>
      </c>
    </row>
    <row r="6623" spans="13:16">
      <c r="M6623" s="49">
        <f>IF($A$4+66&gt;$B$4,"",$A$4+66)</f>
        <v>46089</v>
      </c>
      <c r="N6623" t="str">
        <f>IF(M6623="","",'Master Barang'!A17)</f>
        <v>PRL-016</v>
      </c>
      <c r="O6623" t="str">
        <f>IF(N6623="","",'Master Barang'!B17)</f>
        <v>rajawali trashbag 30x40</v>
      </c>
      <c r="P6623">
        <f>IF(OR(M6623="",N6623=""),"",SUMIFS('Barang Keluar'!$E:$E,'Barang Keluar'!$A:$A,M6623,'Barang Keluar'!$C:$C,N6623))</f>
        <v>0</v>
      </c>
    </row>
    <row r="6624" spans="13:16">
      <c r="M6624" s="49">
        <f>IF($A$4+66&gt;$B$4,"",$A$4+66)</f>
        <v>46089</v>
      </c>
      <c r="N6624" t="str">
        <f>IF(M6624="","",'Master Barang'!A18)</f>
        <v>PRL-017</v>
      </c>
      <c r="O6624" t="str">
        <f>IF(N6624="","",'Master Barang'!B18)</f>
        <v>onemed masker biru 3 play 50 pcs</v>
      </c>
      <c r="P6624">
        <f>IF(OR(M6624="",N6624=""),"",SUMIFS('Barang Keluar'!$E:$E,'Barang Keluar'!$A:$A,M6624,'Barang Keluar'!$C:$C,N6624))</f>
        <v>0</v>
      </c>
    </row>
    <row r="6625" spans="13:16">
      <c r="M6625" s="49">
        <f>IF($A$4+66&gt;$B$4,"",$A$4+66)</f>
        <v>46089</v>
      </c>
      <c r="N6625" t="str">
        <f>IF(M6625="","",'Master Barang'!A19)</f>
        <v>PRL-018</v>
      </c>
      <c r="O6625" t="str">
        <f>IF(N6625="","",'Master Barang'!B19)</f>
        <v>onemed masker biru 3 play hijab 50 pcs</v>
      </c>
      <c r="P6625">
        <f>IF(OR(M6625="",N6625=""),"",SUMIFS('Barang Keluar'!$E:$E,'Barang Keluar'!$A:$A,M6625,'Barang Keluar'!$C:$C,N6625))</f>
        <v>0</v>
      </c>
    </row>
    <row r="6626" spans="13:16">
      <c r="M6626" s="49">
        <f>IF($A$4+66&gt;$B$4,"",$A$4+66)</f>
        <v>46089</v>
      </c>
      <c r="N6626" t="str">
        <f>IF(M6626="","",'Master Barang'!A20)</f>
        <v>PRL-019</v>
      </c>
      <c r="O6626" t="str">
        <f>IF(N6626="","",'Master Barang'!B20)</f>
        <v>neo health masker biru 3 play 50 pcs</v>
      </c>
      <c r="P6626">
        <f>IF(OR(M6626="",N6626=""),"",SUMIFS('Barang Keluar'!$E:$E,'Barang Keluar'!$A:$A,M6626,'Barang Keluar'!$C:$C,N6626))</f>
        <v>0</v>
      </c>
    </row>
    <row r="6627" spans="13:16">
      <c r="M6627" s="49">
        <f>IF($A$4+66&gt;$B$4,"",$A$4+66)</f>
        <v>46089</v>
      </c>
      <c r="N6627" t="str">
        <f>IF(M6627="","",'Master Barang'!A21)</f>
        <v>PRL-020</v>
      </c>
      <c r="O6627" t="str">
        <f>IF(N6627="","",'Master Barang'!B21)</f>
        <v>baymed masker hijau 3 play hijau 50 pcs</v>
      </c>
      <c r="P6627">
        <f>IF(OR(M6627="",N6627=""),"",SUMIFS('Barang Keluar'!$E:$E,'Barang Keluar'!$A:$A,M6627,'Barang Keluar'!$C:$C,N6627))</f>
        <v>0</v>
      </c>
    </row>
    <row r="6628" spans="13:16">
      <c r="M6628" s="49">
        <f>IF($A$4+66&gt;$B$4,"",$A$4+66)</f>
        <v>46089</v>
      </c>
      <c r="N6628" t="str">
        <f>IF(M6628="","",'Master Barang'!A22)</f>
        <v>PRL-021</v>
      </c>
      <c r="O6628" t="str">
        <f>IF(N6628="","",'Master Barang'!B22)</f>
        <v>altamed nurse cap penutup kepala 100 pcs</v>
      </c>
      <c r="P6628">
        <f>IF(OR(M6628="",N6628=""),"",SUMIFS('Barang Keluar'!$E:$E,'Barang Keluar'!$A:$A,M6628,'Barang Keluar'!$C:$C,N6628))</f>
        <v>0</v>
      </c>
    </row>
    <row r="6629" spans="13:16">
      <c r="M6629" s="49">
        <f>IF($A$4+66&gt;$B$4,"",$A$4+66)</f>
        <v>46089</v>
      </c>
      <c r="N6629" t="str">
        <f>IF(M6629="","",'Master Barang'!A23)</f>
        <v>PRL-022</v>
      </c>
      <c r="O6629" t="str">
        <f>IF(N6629="","",'Master Barang'!B23)</f>
        <v>sabun cuci tangan</v>
      </c>
      <c r="P6629">
        <f>IF(OR(M6629="",N6629=""),"",SUMIFS('Barang Keluar'!$E:$E,'Barang Keluar'!$A:$A,M6629,'Barang Keluar'!$C:$C,N6629))</f>
        <v>0</v>
      </c>
    </row>
    <row r="6630" spans="13:16">
      <c r="M6630" s="49">
        <f>IF($A$4+66&gt;$B$4,"",$A$4+66)</f>
        <v>46089</v>
      </c>
      <c r="N6630" t="str">
        <f>IF(M6630="","",'Master Barang'!A24)</f>
        <v>PRL-023</v>
      </c>
      <c r="O6630" t="str">
        <f>IF(N6630="","",'Master Barang'!B24)</f>
        <v>gayung kecil</v>
      </c>
      <c r="P6630">
        <f>IF(OR(M6630="",N6630=""),"",SUMIFS('Barang Keluar'!$E:$E,'Barang Keluar'!$A:$A,M6630,'Barang Keluar'!$C:$C,N6630))</f>
        <v>0</v>
      </c>
    </row>
    <row r="6631" spans="13:16">
      <c r="M6631" s="49">
        <f>IF($A$4+66&gt;$B$4,"",$A$4+66)</f>
        <v>46089</v>
      </c>
      <c r="N6631" t="str">
        <f>IF(M6631="","",'Master Barang'!A25)</f>
        <v>PRL-024</v>
      </c>
      <c r="O6631" t="str">
        <f>IF(N6631="","",'Master Barang'!B25)</f>
        <v>cikrak kecil</v>
      </c>
      <c r="P6631">
        <f>IF(OR(M6631="",N6631=""),"",SUMIFS('Barang Keluar'!$E:$E,'Barang Keluar'!$A:$A,M6631,'Barang Keluar'!$C:$C,N6631))</f>
        <v>0</v>
      </c>
    </row>
    <row r="6632" spans="13:16">
      <c r="M6632" s="49">
        <f>IF($A$4+66&gt;$B$4,"",$A$4+66)</f>
        <v>46089</v>
      </c>
      <c r="N6632" t="str">
        <f>IF(M6632="","",'Master Barang'!A26)</f>
        <v>PRL-025</v>
      </c>
      <c r="O6632" t="str">
        <f>IF(N6632="","",'Master Barang'!B26)</f>
        <v>petromax plastik kecil 12x24 100 lembar</v>
      </c>
      <c r="P6632">
        <f>IF(OR(M6632="",N6632=""),"",SUMIFS('Barang Keluar'!$E:$E,'Barang Keluar'!$A:$A,M6632,'Barang Keluar'!$C:$C,N6632))</f>
        <v>0</v>
      </c>
    </row>
    <row r="6633" spans="13:16">
      <c r="M6633" s="49">
        <f>IF($A$4+66&gt;$B$4,"",$A$4+66)</f>
        <v>46089</v>
      </c>
      <c r="N6633" t="str">
        <f>IF(M6633="","",'Master Barang'!A27)</f>
        <v>PRL-026</v>
      </c>
      <c r="O6633" t="str">
        <f>IF(N6633="","",'Master Barang'!B27)</f>
        <v>lancar kresek kecil bening </v>
      </c>
      <c r="P6633">
        <f>IF(OR(M6633="",N6633=""),"",SUMIFS('Barang Keluar'!$E:$E,'Barang Keluar'!$A:$A,M6633,'Barang Keluar'!$C:$C,N6633))</f>
        <v>0</v>
      </c>
    </row>
    <row r="6634" spans="13:16">
      <c r="M6634" s="49">
        <f>IF($A$4+66&gt;$B$4,"",$A$4+66)</f>
        <v>46089</v>
      </c>
      <c r="N6634" t="str">
        <f>IF(M6634="","",'Master Barang'!A28)</f>
        <v>PRL-027</v>
      </c>
      <c r="O6634" t="str">
        <f>IF(N6634="","",'Master Barang'!B28)</f>
        <v>kresek klin warna warni kecil</v>
      </c>
      <c r="P6634">
        <f>IF(OR(M6634="",N6634=""),"",SUMIFS('Barang Keluar'!$E:$E,'Barang Keluar'!$A:$A,M6634,'Barang Keluar'!$C:$C,N6634))</f>
        <v>0</v>
      </c>
    </row>
    <row r="6635" spans="13:16">
      <c r="M6635" s="49">
        <f>IF($A$4+66&gt;$B$4,"",$A$4+66)</f>
        <v>46089</v>
      </c>
      <c r="N6635" t="str">
        <f>IF(M6635="","",'Master Barang'!A29)</f>
        <v>PRL-028</v>
      </c>
      <c r="O6635" t="str">
        <f>IF(N6635="","",'Master Barang'!B29)</f>
        <v>ctik plastik 7x10 100 pcs</v>
      </c>
      <c r="P6635">
        <f>IF(OR(M6635="",N6635=""),"",SUMIFS('Barang Keluar'!$E:$E,'Barang Keluar'!$A:$A,M6635,'Barang Keluar'!$C:$C,N6635))</f>
        <v>0</v>
      </c>
    </row>
    <row r="6636" spans="13:16">
      <c r="M6636" s="49">
        <f>IF($A$4+66&gt;$B$4,"",$A$4+66)</f>
        <v>46089</v>
      </c>
      <c r="N6636" t="str">
        <f>IF(M6636="","",'Master Barang'!A30)</f>
        <v>PRL-029</v>
      </c>
      <c r="O6636" t="str">
        <f>IF(N6636="","",'Master Barang'!B30)</f>
        <v>ctik plastik 6x10 100 pcs</v>
      </c>
      <c r="P6636">
        <f>IF(OR(M6636="",N6636=""),"",SUMIFS('Barang Keluar'!$E:$E,'Barang Keluar'!$A:$A,M6636,'Barang Keluar'!$C:$C,N6636))</f>
        <v>0</v>
      </c>
    </row>
    <row r="6637" spans="13:16">
      <c r="M6637" s="49">
        <f>IF($A$4+66&gt;$B$4,"",$A$4+66)</f>
        <v>46089</v>
      </c>
      <c r="N6637" t="str">
        <f>IF(M6637="","",'Master Barang'!A31)</f>
        <v>PRL-030</v>
      </c>
      <c r="O6637" t="str">
        <f>IF(N6637="","",'Master Barang'!B31)</f>
        <v>klip plastik 25x16 100 pcs</v>
      </c>
      <c r="P6637">
        <f>IF(OR(M6637="",N6637=""),"",SUMIFS('Barang Keluar'!$E:$E,'Barang Keluar'!$A:$A,M6637,'Barang Keluar'!$C:$C,N6637))</f>
        <v>0</v>
      </c>
    </row>
    <row r="6638" spans="13:16">
      <c r="M6638" s="49">
        <f>IF($A$4+66&gt;$B$4,"",$A$4+66)</f>
        <v>46089</v>
      </c>
      <c r="N6638" t="str">
        <f>IF(M6638="","",'Master Barang'!A32)</f>
        <v>PRL-031</v>
      </c>
      <c r="O6638" t="str">
        <f>IF(N6638="","",'Master Barang'!B32)</f>
        <v>tempat saus 20 ml</v>
      </c>
      <c r="P6638">
        <f>IF(OR(M6638="",N6638=""),"",SUMIFS('Barang Keluar'!$E:$E,'Barang Keluar'!$A:$A,M6638,'Barang Keluar'!$C:$C,N6638))</f>
        <v>0</v>
      </c>
    </row>
    <row r="6639" spans="13:16">
      <c r="M6639" s="49">
        <f>IF($A$4+66&gt;$B$4,"",$A$4+66)</f>
        <v>46089</v>
      </c>
      <c r="N6639" t="str">
        <f>IF(M6639="","",'Master Barang'!A33)</f>
        <v>PRL-032</v>
      </c>
      <c r="O6639" t="str">
        <f>IF(N6639="","",'Master Barang'!B33)</f>
        <v>plastik packaging ag box uk sedang</v>
      </c>
      <c r="P6639">
        <f>IF(OR(M6639="",N6639=""),"",SUMIFS('Barang Keluar'!$E:$E,'Barang Keluar'!$A:$A,M6639,'Barang Keluar'!$C:$C,N6639))</f>
        <v>0</v>
      </c>
    </row>
    <row r="6640" spans="13:16">
      <c r="M6640" s="49">
        <f>IF($A$4+66&gt;$B$4,"",$A$4+66)</f>
        <v>46089</v>
      </c>
      <c r="N6640" t="str">
        <f>IF(M6640="","",'Master Barang'!A34)</f>
        <v>PRL-033</v>
      </c>
      <c r="O6640">
        <f>IF(N6640="","",'Master Barang'!B34)</f>
        <v>0</v>
      </c>
      <c r="P6640">
        <f>IF(OR(M6640="",N6640=""),"",SUMIFS('Barang Keluar'!$E:$E,'Barang Keluar'!$A:$A,M6640,'Barang Keluar'!$C:$C,N6640))</f>
        <v>0</v>
      </c>
    </row>
    <row r="6641" spans="13:16">
      <c r="M6641" s="49">
        <f>IF($A$4+66&gt;$B$4,"",$A$4+66)</f>
        <v>46089</v>
      </c>
      <c r="N6641">
        <f>IF(M6641="","",'Master Barang'!A35)</f>
        <v>0</v>
      </c>
      <c r="O6641">
        <f>IF(N6641="","",'Master Barang'!B35)</f>
        <v>0</v>
      </c>
      <c r="P6641">
        <f>IF(OR(M6641="",N6641=""),"",SUMIFS('Barang Keluar'!$E:$E,'Barang Keluar'!$A:$A,M6641,'Barang Keluar'!$C:$C,N6641))</f>
        <v>0</v>
      </c>
    </row>
    <row r="6642" spans="13:16">
      <c r="M6642" s="49">
        <f>IF($A$4+66&gt;$B$4,"",$A$4+66)</f>
        <v>46089</v>
      </c>
      <c r="N6642">
        <f>IF(M6642="","",'Master Barang'!A36)</f>
        <v>0</v>
      </c>
      <c r="O6642">
        <f>IF(N6642="","",'Master Barang'!B36)</f>
        <v>0</v>
      </c>
      <c r="P6642">
        <f>IF(OR(M6642="",N6642=""),"",SUMIFS('Barang Keluar'!$E:$E,'Barang Keluar'!$A:$A,M6642,'Barang Keluar'!$C:$C,N6642))</f>
        <v>0</v>
      </c>
    </row>
    <row r="6643" spans="13:16">
      <c r="M6643" s="49">
        <f>IF($A$4+66&gt;$B$4,"",$A$4+66)</f>
        <v>46089</v>
      </c>
      <c r="N6643">
        <f>IF(M6643="","",'Master Barang'!A37)</f>
        <v>0</v>
      </c>
      <c r="O6643">
        <f>IF(N6643="","",'Master Barang'!B37)</f>
        <v>0</v>
      </c>
      <c r="P6643">
        <f>IF(OR(M6643="",N6643=""),"",SUMIFS('Barang Keluar'!$E:$E,'Barang Keluar'!$A:$A,M6643,'Barang Keluar'!$C:$C,N6643))</f>
        <v>0</v>
      </c>
    </row>
    <row r="6644" spans="13:16">
      <c r="M6644" s="49">
        <f>IF($A$4+66&gt;$B$4,"",$A$4+66)</f>
        <v>46089</v>
      </c>
      <c r="N6644">
        <f>IF(M6644="","",'Master Barang'!A38)</f>
        <v>0</v>
      </c>
      <c r="O6644">
        <f>IF(N6644="","",'Master Barang'!B38)</f>
        <v>0</v>
      </c>
      <c r="P6644">
        <f>IF(OR(M6644="",N6644=""),"",SUMIFS('Barang Keluar'!$E:$E,'Barang Keluar'!$A:$A,M6644,'Barang Keluar'!$C:$C,N6644))</f>
        <v>0</v>
      </c>
    </row>
    <row r="6645" spans="13:16">
      <c r="M6645" s="49">
        <f>IF($A$4+66&gt;$B$4,"",$A$4+66)</f>
        <v>46089</v>
      </c>
      <c r="N6645">
        <f>IF(M6645="","",'Master Barang'!A39)</f>
        <v>0</v>
      </c>
      <c r="O6645">
        <f>IF(N6645="","",'Master Barang'!B39)</f>
        <v>0</v>
      </c>
      <c r="P6645">
        <f>IF(OR(M6645="",N6645=""),"",SUMIFS('Barang Keluar'!$E:$E,'Barang Keluar'!$A:$A,M6645,'Barang Keluar'!$C:$C,N6645))</f>
        <v>0</v>
      </c>
    </row>
    <row r="6646" spans="13:16">
      <c r="M6646" s="49">
        <f>IF($A$4+66&gt;$B$4,"",$A$4+66)</f>
        <v>46089</v>
      </c>
      <c r="N6646">
        <f>IF(M6646="","",'Master Barang'!A40)</f>
        <v>0</v>
      </c>
      <c r="O6646">
        <f>IF(N6646="","",'Master Barang'!B40)</f>
        <v>0</v>
      </c>
      <c r="P6646">
        <f>IF(OR(M6646="",N6646=""),"",SUMIFS('Barang Keluar'!$E:$E,'Barang Keluar'!$A:$A,M6646,'Barang Keluar'!$C:$C,N6646))</f>
        <v>0</v>
      </c>
    </row>
    <row r="6647" spans="13:16">
      <c r="M6647" s="49">
        <f>IF($A$4+66&gt;$B$4,"",$A$4+66)</f>
        <v>46089</v>
      </c>
      <c r="N6647">
        <f>IF(M6647="","",'Master Barang'!A41)</f>
        <v>0</v>
      </c>
      <c r="O6647">
        <f>IF(N6647="","",'Master Barang'!B41)</f>
        <v>0</v>
      </c>
      <c r="P6647">
        <f>IF(OR(M6647="",N6647=""),"",SUMIFS('Barang Keluar'!$E:$E,'Barang Keluar'!$A:$A,M6647,'Barang Keluar'!$C:$C,N6647))</f>
        <v>0</v>
      </c>
    </row>
    <row r="6648" spans="13:16">
      <c r="M6648" s="49">
        <f>IF($A$4+66&gt;$B$4,"",$A$4+66)</f>
        <v>46089</v>
      </c>
      <c r="N6648">
        <f>IF(M6648="","",'Master Barang'!A42)</f>
        <v>0</v>
      </c>
      <c r="O6648">
        <f>IF(N6648="","",'Master Barang'!B42)</f>
        <v>0</v>
      </c>
      <c r="P6648">
        <f>IF(OR(M6648="",N6648=""),"",SUMIFS('Barang Keluar'!$E:$E,'Barang Keluar'!$A:$A,M6648,'Barang Keluar'!$C:$C,N6648))</f>
        <v>0</v>
      </c>
    </row>
    <row r="6649" spans="13:16">
      <c r="M6649" s="49">
        <f>IF($A$4+66&gt;$B$4,"",$A$4+66)</f>
        <v>46089</v>
      </c>
      <c r="N6649">
        <f>IF(M6649="","",'Master Barang'!A43)</f>
        <v>0</v>
      </c>
      <c r="O6649">
        <f>IF(N6649="","",'Master Barang'!B43)</f>
        <v>0</v>
      </c>
      <c r="P6649">
        <f>IF(OR(M6649="",N6649=""),"",SUMIFS('Barang Keluar'!$E:$E,'Barang Keluar'!$A:$A,M6649,'Barang Keluar'!$C:$C,N6649))</f>
        <v>0</v>
      </c>
    </row>
    <row r="6650" spans="13:16">
      <c r="M6650" s="49">
        <f>IF($A$4+66&gt;$B$4,"",$A$4+66)</f>
        <v>46089</v>
      </c>
      <c r="N6650">
        <f>IF(M6650="","",'Master Barang'!A44)</f>
        <v>0</v>
      </c>
      <c r="O6650">
        <f>IF(N6650="","",'Master Barang'!B44)</f>
        <v>0</v>
      </c>
      <c r="P6650">
        <f>IF(OR(M6650="",N6650=""),"",SUMIFS('Barang Keluar'!$E:$E,'Barang Keluar'!$A:$A,M6650,'Barang Keluar'!$C:$C,N6650))</f>
        <v>0</v>
      </c>
    </row>
    <row r="6651" spans="13:16">
      <c r="M6651" s="49">
        <f>IF($A$4+66&gt;$B$4,"",$A$4+66)</f>
        <v>46089</v>
      </c>
      <c r="N6651">
        <f>IF(M6651="","",'Master Barang'!A45)</f>
        <v>0</v>
      </c>
      <c r="O6651">
        <f>IF(N6651="","",'Master Barang'!B45)</f>
        <v>0</v>
      </c>
      <c r="P6651">
        <f>IF(OR(M6651="",N6651=""),"",SUMIFS('Barang Keluar'!$E:$E,'Barang Keluar'!$A:$A,M6651,'Barang Keluar'!$C:$C,N6651))</f>
        <v>0</v>
      </c>
    </row>
    <row r="6652" spans="13:16">
      <c r="M6652" s="49">
        <f>IF($A$4+66&gt;$B$4,"",$A$4+66)</f>
        <v>46089</v>
      </c>
      <c r="N6652">
        <f>IF(M6652="","",'Master Barang'!A46)</f>
        <v>0</v>
      </c>
      <c r="O6652">
        <f>IF(N6652="","",'Master Barang'!B46)</f>
        <v>0</v>
      </c>
      <c r="P6652">
        <f>IF(OR(M6652="",N6652=""),"",SUMIFS('Barang Keluar'!$E:$E,'Barang Keluar'!$A:$A,M6652,'Barang Keluar'!$C:$C,N6652))</f>
        <v>0</v>
      </c>
    </row>
    <row r="6653" spans="13:16">
      <c r="M6653" s="49">
        <f>IF($A$4+66&gt;$B$4,"",$A$4+66)</f>
        <v>46089</v>
      </c>
      <c r="N6653">
        <f>IF(M6653="","",'Master Barang'!A47)</f>
        <v>0</v>
      </c>
      <c r="O6653">
        <f>IF(N6653="","",'Master Barang'!B47)</f>
        <v>0</v>
      </c>
      <c r="P6653">
        <f>IF(OR(M6653="",N6653=""),"",SUMIFS('Barang Keluar'!$E:$E,'Barang Keluar'!$A:$A,M6653,'Barang Keluar'!$C:$C,N6653))</f>
        <v>0</v>
      </c>
    </row>
    <row r="6654" spans="13:16">
      <c r="M6654" s="49">
        <f>IF($A$4+66&gt;$B$4,"",$A$4+66)</f>
        <v>46089</v>
      </c>
      <c r="N6654">
        <f>IF(M6654="","",'Master Barang'!A48)</f>
        <v>0</v>
      </c>
      <c r="O6654">
        <f>IF(N6654="","",'Master Barang'!B48)</f>
        <v>0</v>
      </c>
      <c r="P6654">
        <f>IF(OR(M6654="",N6654=""),"",SUMIFS('Barang Keluar'!$E:$E,'Barang Keluar'!$A:$A,M6654,'Barang Keluar'!$C:$C,N6654))</f>
        <v>0</v>
      </c>
    </row>
    <row r="6655" spans="13:16">
      <c r="M6655" s="49">
        <f>IF($A$4+66&gt;$B$4,"",$A$4+66)</f>
        <v>46089</v>
      </c>
      <c r="N6655">
        <f>IF(M6655="","",'Master Barang'!A49)</f>
        <v>0</v>
      </c>
      <c r="O6655">
        <f>IF(N6655="","",'Master Barang'!B49)</f>
        <v>0</v>
      </c>
      <c r="P6655">
        <f>IF(OR(M6655="",N6655=""),"",SUMIFS('Barang Keluar'!$E:$E,'Barang Keluar'!$A:$A,M6655,'Barang Keluar'!$C:$C,N6655))</f>
        <v>0</v>
      </c>
    </row>
    <row r="6656" spans="13:16">
      <c r="M6656" s="49">
        <f>IF($A$4+66&gt;$B$4,"",$A$4+66)</f>
        <v>46089</v>
      </c>
      <c r="N6656">
        <f>IF(M6656="","",'Master Barang'!A50)</f>
        <v>0</v>
      </c>
      <c r="O6656">
        <f>IF(N6656="","",'Master Barang'!B50)</f>
        <v>0</v>
      </c>
      <c r="P6656">
        <f>IF(OR(M6656="",N6656=""),"",SUMIFS('Barang Keluar'!$E:$E,'Barang Keluar'!$A:$A,M6656,'Barang Keluar'!$C:$C,N6656))</f>
        <v>0</v>
      </c>
    </row>
    <row r="6657" spans="13:16">
      <c r="M6657" s="49">
        <f>IF($A$4+66&gt;$B$4,"",$A$4+66)</f>
        <v>46089</v>
      </c>
      <c r="N6657">
        <f>IF(M6657="","",'Master Barang'!A51)</f>
        <v>0</v>
      </c>
      <c r="O6657">
        <f>IF(N6657="","",'Master Barang'!B51)</f>
        <v>0</v>
      </c>
      <c r="P6657">
        <f>IF(OR(M6657="",N6657=""),"",SUMIFS('Barang Keluar'!$E:$E,'Barang Keluar'!$A:$A,M6657,'Barang Keluar'!$C:$C,N6657))</f>
        <v>0</v>
      </c>
    </row>
    <row r="6658" spans="13:16">
      <c r="M6658" s="49">
        <f>IF($A$4+66&gt;$B$4,"",$A$4+66)</f>
        <v>46089</v>
      </c>
      <c r="N6658">
        <f>IF(M6658="","",'Master Barang'!A52)</f>
        <v>0</v>
      </c>
      <c r="O6658">
        <f>IF(N6658="","",'Master Barang'!B52)</f>
        <v>0</v>
      </c>
      <c r="P6658">
        <f>IF(OR(M6658="",N6658=""),"",SUMIFS('Barang Keluar'!$E:$E,'Barang Keluar'!$A:$A,M6658,'Barang Keluar'!$C:$C,N6658))</f>
        <v>0</v>
      </c>
    </row>
    <row r="6659" spans="13:16">
      <c r="M6659" s="49">
        <f>IF($A$4+66&gt;$B$4,"",$A$4+66)</f>
        <v>46089</v>
      </c>
      <c r="N6659">
        <f>IF(M6659="","",'Master Barang'!A53)</f>
        <v>0</v>
      </c>
      <c r="O6659">
        <f>IF(N6659="","",'Master Barang'!B53)</f>
        <v>0</v>
      </c>
      <c r="P6659">
        <f>IF(OR(M6659="",N6659=""),"",SUMIFS('Barang Keluar'!$E:$E,'Barang Keluar'!$A:$A,M6659,'Barang Keluar'!$C:$C,N6659))</f>
        <v>0</v>
      </c>
    </row>
    <row r="6660" spans="13:16">
      <c r="M6660" s="49">
        <f>IF($A$4+66&gt;$B$4,"",$A$4+66)</f>
        <v>46089</v>
      </c>
      <c r="N6660">
        <f>IF(M6660="","",'Master Barang'!A54)</f>
        <v>0</v>
      </c>
      <c r="O6660">
        <f>IF(N6660="","",'Master Barang'!B54)</f>
        <v>0</v>
      </c>
      <c r="P6660">
        <f>IF(OR(M6660="",N6660=""),"",SUMIFS('Barang Keluar'!$E:$E,'Barang Keluar'!$A:$A,M6660,'Barang Keluar'!$C:$C,N6660))</f>
        <v>0</v>
      </c>
    </row>
    <row r="6661" spans="13:16">
      <c r="M6661" s="49">
        <f>IF($A$4+66&gt;$B$4,"",$A$4+66)</f>
        <v>46089</v>
      </c>
      <c r="N6661">
        <f>IF(M6661="","",'Master Barang'!A55)</f>
        <v>0</v>
      </c>
      <c r="O6661">
        <f>IF(N6661="","",'Master Barang'!B55)</f>
        <v>0</v>
      </c>
      <c r="P6661">
        <f>IF(OR(M6661="",N6661=""),"",SUMIFS('Barang Keluar'!$E:$E,'Barang Keluar'!$A:$A,M6661,'Barang Keluar'!$C:$C,N6661))</f>
        <v>0</v>
      </c>
    </row>
    <row r="6662" spans="13:16">
      <c r="M6662" s="49">
        <f>IF($A$4+66&gt;$B$4,"",$A$4+66)</f>
        <v>46089</v>
      </c>
      <c r="N6662">
        <f>IF(M6662="","",'Master Barang'!A56)</f>
        <v>0</v>
      </c>
      <c r="O6662">
        <f>IF(N6662="","",'Master Barang'!B56)</f>
        <v>0</v>
      </c>
      <c r="P6662">
        <f>IF(OR(M6662="",N6662=""),"",SUMIFS('Barang Keluar'!$E:$E,'Barang Keluar'!$A:$A,M6662,'Barang Keluar'!$C:$C,N6662))</f>
        <v>0</v>
      </c>
    </row>
    <row r="6663" spans="13:16">
      <c r="M6663" s="49">
        <f>IF($A$4+66&gt;$B$4,"",$A$4+66)</f>
        <v>46089</v>
      </c>
      <c r="N6663">
        <f>IF(M6663="","",'Master Barang'!A57)</f>
        <v>0</v>
      </c>
      <c r="O6663">
        <f>IF(N6663="","",'Master Barang'!B57)</f>
        <v>0</v>
      </c>
      <c r="P6663">
        <f>IF(OR(M6663="",N6663=""),"",SUMIFS('Barang Keluar'!$E:$E,'Barang Keluar'!$A:$A,M6663,'Barang Keluar'!$C:$C,N6663))</f>
        <v>0</v>
      </c>
    </row>
    <row r="6664" spans="13:16">
      <c r="M6664" s="49">
        <f>IF($A$4+66&gt;$B$4,"",$A$4+66)</f>
        <v>46089</v>
      </c>
      <c r="N6664">
        <f>IF(M6664="","",'Master Barang'!A58)</f>
        <v>0</v>
      </c>
      <c r="O6664">
        <f>IF(N6664="","",'Master Barang'!B58)</f>
        <v>0</v>
      </c>
      <c r="P6664">
        <f>IF(OR(M6664="",N6664=""),"",SUMIFS('Barang Keluar'!$E:$E,'Barang Keluar'!$A:$A,M6664,'Barang Keluar'!$C:$C,N6664))</f>
        <v>0</v>
      </c>
    </row>
    <row r="6665" spans="13:16">
      <c r="M6665" s="49">
        <f>IF($A$4+66&gt;$B$4,"",$A$4+66)</f>
        <v>46089</v>
      </c>
      <c r="N6665">
        <f>IF(M6665="","",'Master Barang'!A59)</f>
        <v>0</v>
      </c>
      <c r="O6665">
        <f>IF(N6665="","",'Master Barang'!B59)</f>
        <v>0</v>
      </c>
      <c r="P6665">
        <f>IF(OR(M6665="",N6665=""),"",SUMIFS('Barang Keluar'!$E:$E,'Barang Keluar'!$A:$A,M6665,'Barang Keluar'!$C:$C,N6665))</f>
        <v>0</v>
      </c>
    </row>
    <row r="6666" spans="13:16">
      <c r="M6666" s="49">
        <f>IF($A$4+66&gt;$B$4,"",$A$4+66)</f>
        <v>46089</v>
      </c>
      <c r="N6666">
        <f>IF(M6666="","",'Master Barang'!A60)</f>
        <v>0</v>
      </c>
      <c r="O6666">
        <f>IF(N6666="","",'Master Barang'!B60)</f>
        <v>0</v>
      </c>
      <c r="P6666">
        <f>IF(OR(M6666="",N6666=""),"",SUMIFS('Barang Keluar'!$E:$E,'Barang Keluar'!$A:$A,M6666,'Barang Keluar'!$C:$C,N6666))</f>
        <v>0</v>
      </c>
    </row>
    <row r="6667" spans="13:16">
      <c r="M6667" s="49">
        <f>IF($A$4+66&gt;$B$4,"",$A$4+66)</f>
        <v>46089</v>
      </c>
      <c r="N6667">
        <f>IF(M6667="","",'Master Barang'!A61)</f>
        <v>0</v>
      </c>
      <c r="O6667">
        <f>IF(N6667="","",'Master Barang'!B61)</f>
        <v>0</v>
      </c>
      <c r="P6667">
        <f>IF(OR(M6667="",N6667=""),"",SUMIFS('Barang Keluar'!$E:$E,'Barang Keluar'!$A:$A,M6667,'Barang Keluar'!$C:$C,N6667))</f>
        <v>0</v>
      </c>
    </row>
    <row r="6668" spans="13:16">
      <c r="M6668" s="49">
        <f>IF($A$4+66&gt;$B$4,"",$A$4+66)</f>
        <v>46089</v>
      </c>
      <c r="N6668">
        <f>IF(M6668="","",'Master Barang'!A62)</f>
        <v>0</v>
      </c>
      <c r="O6668">
        <f>IF(N6668="","",'Master Barang'!B62)</f>
        <v>0</v>
      </c>
      <c r="P6668">
        <f>IF(OR(M6668="",N6668=""),"",SUMIFS('Barang Keluar'!$E:$E,'Barang Keluar'!$A:$A,M6668,'Barang Keluar'!$C:$C,N6668))</f>
        <v>0</v>
      </c>
    </row>
    <row r="6669" spans="13:16">
      <c r="M6669" s="49">
        <f>IF($A$4+66&gt;$B$4,"",$A$4+66)</f>
        <v>46089</v>
      </c>
      <c r="N6669">
        <f>IF(M6669="","",'Master Barang'!A63)</f>
        <v>0</v>
      </c>
      <c r="O6669">
        <f>IF(N6669="","",'Master Barang'!B63)</f>
        <v>0</v>
      </c>
      <c r="P6669">
        <f>IF(OR(M6669="",N6669=""),"",SUMIFS('Barang Keluar'!$E:$E,'Barang Keluar'!$A:$A,M6669,'Barang Keluar'!$C:$C,N6669))</f>
        <v>0</v>
      </c>
    </row>
    <row r="6670" spans="13:16">
      <c r="M6670" s="49">
        <f>IF($A$4+66&gt;$B$4,"",$A$4+66)</f>
        <v>46089</v>
      </c>
      <c r="N6670">
        <f>IF(M6670="","",'Master Barang'!A64)</f>
        <v>0</v>
      </c>
      <c r="O6670">
        <f>IF(N6670="","",'Master Barang'!B64)</f>
        <v>0</v>
      </c>
      <c r="P6670">
        <f>IF(OR(M6670="",N6670=""),"",SUMIFS('Barang Keluar'!$E:$E,'Barang Keluar'!$A:$A,M6670,'Barang Keluar'!$C:$C,N6670))</f>
        <v>0</v>
      </c>
    </row>
    <row r="6671" spans="13:16">
      <c r="M6671" s="49">
        <f>IF($A$4+66&gt;$B$4,"",$A$4+66)</f>
        <v>46089</v>
      </c>
      <c r="N6671">
        <f>IF(M6671="","",'Master Barang'!A65)</f>
        <v>0</v>
      </c>
      <c r="O6671">
        <f>IF(N6671="","",'Master Barang'!B65)</f>
        <v>0</v>
      </c>
      <c r="P6671">
        <f>IF(OR(M6671="",N6671=""),"",SUMIFS('Barang Keluar'!$E:$E,'Barang Keluar'!$A:$A,M6671,'Barang Keluar'!$C:$C,N6671))</f>
        <v>0</v>
      </c>
    </row>
    <row r="6672" spans="13:16">
      <c r="M6672" s="49">
        <f>IF($A$4+66&gt;$B$4,"",$A$4+66)</f>
        <v>46089</v>
      </c>
      <c r="N6672">
        <f>IF(M6672="","",'Master Barang'!A66)</f>
        <v>0</v>
      </c>
      <c r="O6672">
        <f>IF(N6672="","",'Master Barang'!B66)</f>
        <v>0</v>
      </c>
      <c r="P6672">
        <f>IF(OR(M6672="",N6672=""),"",SUMIFS('Barang Keluar'!$E:$E,'Barang Keluar'!$A:$A,M6672,'Barang Keluar'!$C:$C,N6672))</f>
        <v>0</v>
      </c>
    </row>
    <row r="6673" spans="13:16">
      <c r="M6673" s="49">
        <f>IF($A$4+66&gt;$B$4,"",$A$4+66)</f>
        <v>46089</v>
      </c>
      <c r="N6673">
        <f>IF(M6673="","",'Master Barang'!A67)</f>
        <v>0</v>
      </c>
      <c r="O6673">
        <f>IF(N6673="","",'Master Barang'!B67)</f>
        <v>0</v>
      </c>
      <c r="P6673">
        <f>IF(OR(M6673="",N6673=""),"",SUMIFS('Barang Keluar'!$E:$E,'Barang Keluar'!$A:$A,M6673,'Barang Keluar'!$C:$C,N6673))</f>
        <v>0</v>
      </c>
    </row>
    <row r="6674" spans="13:16">
      <c r="M6674" s="49">
        <f>IF($A$4+66&gt;$B$4,"",$A$4+66)</f>
        <v>46089</v>
      </c>
      <c r="N6674">
        <f>IF(M6674="","",'Master Barang'!A68)</f>
        <v>0</v>
      </c>
      <c r="O6674">
        <f>IF(N6674="","",'Master Barang'!B68)</f>
        <v>0</v>
      </c>
      <c r="P6674">
        <f>IF(OR(M6674="",N6674=""),"",SUMIFS('Barang Keluar'!$E:$E,'Barang Keluar'!$A:$A,M6674,'Barang Keluar'!$C:$C,N6674))</f>
        <v>0</v>
      </c>
    </row>
    <row r="6675" spans="13:16">
      <c r="M6675" s="49">
        <f>IF($A$4+66&gt;$B$4,"",$A$4+66)</f>
        <v>46089</v>
      </c>
      <c r="N6675">
        <f>IF(M6675="","",'Master Barang'!A69)</f>
        <v>0</v>
      </c>
      <c r="O6675">
        <f>IF(N6675="","",'Master Barang'!B69)</f>
        <v>0</v>
      </c>
      <c r="P6675">
        <f>IF(OR(M6675="",N6675=""),"",SUMIFS('Barang Keluar'!$E:$E,'Barang Keluar'!$A:$A,M6675,'Barang Keluar'!$C:$C,N6675))</f>
        <v>0</v>
      </c>
    </row>
    <row r="6676" spans="13:16">
      <c r="M6676" s="49">
        <f>IF($A$4+66&gt;$B$4,"",$A$4+66)</f>
        <v>46089</v>
      </c>
      <c r="N6676">
        <f>IF(M6676="","",'Master Barang'!A70)</f>
        <v>0</v>
      </c>
      <c r="O6676">
        <f>IF(N6676="","",'Master Barang'!B70)</f>
        <v>0</v>
      </c>
      <c r="P6676">
        <f>IF(OR(M6676="",N6676=""),"",SUMIFS('Barang Keluar'!$E:$E,'Barang Keluar'!$A:$A,M6676,'Barang Keluar'!$C:$C,N6676))</f>
        <v>0</v>
      </c>
    </row>
    <row r="6677" spans="13:16">
      <c r="M6677" s="49">
        <f>IF($A$4+66&gt;$B$4,"",$A$4+66)</f>
        <v>46089</v>
      </c>
      <c r="N6677">
        <f>IF(M6677="","",'Master Barang'!A71)</f>
        <v>0</v>
      </c>
      <c r="O6677">
        <f>IF(N6677="","",'Master Barang'!B71)</f>
        <v>0</v>
      </c>
      <c r="P6677">
        <f>IF(OR(M6677="",N6677=""),"",SUMIFS('Barang Keluar'!$E:$E,'Barang Keluar'!$A:$A,M6677,'Barang Keluar'!$C:$C,N6677))</f>
        <v>0</v>
      </c>
    </row>
    <row r="6678" spans="13:16">
      <c r="M6678" s="49">
        <f>IF($A$4+66&gt;$B$4,"",$A$4+66)</f>
        <v>46089</v>
      </c>
      <c r="N6678">
        <f>IF(M6678="","",'Master Barang'!A72)</f>
        <v>0</v>
      </c>
      <c r="O6678">
        <f>IF(N6678="","",'Master Barang'!B72)</f>
        <v>0</v>
      </c>
      <c r="P6678">
        <f>IF(OR(M6678="",N6678=""),"",SUMIFS('Barang Keluar'!$E:$E,'Barang Keluar'!$A:$A,M6678,'Barang Keluar'!$C:$C,N6678))</f>
        <v>0</v>
      </c>
    </row>
    <row r="6679" spans="13:16">
      <c r="M6679" s="49">
        <f>IF($A$4+66&gt;$B$4,"",$A$4+66)</f>
        <v>46089</v>
      </c>
      <c r="N6679">
        <f>IF(M6679="","",'Master Barang'!A73)</f>
        <v>0</v>
      </c>
      <c r="O6679">
        <f>IF(N6679="","",'Master Barang'!B73)</f>
        <v>0</v>
      </c>
      <c r="P6679">
        <f>IF(OR(M6679="",N6679=""),"",SUMIFS('Barang Keluar'!$E:$E,'Barang Keluar'!$A:$A,M6679,'Barang Keluar'!$C:$C,N6679))</f>
        <v>0</v>
      </c>
    </row>
    <row r="6680" spans="13:16">
      <c r="M6680" s="49">
        <f>IF($A$4+66&gt;$B$4,"",$A$4+66)</f>
        <v>46089</v>
      </c>
      <c r="N6680">
        <f>IF(M6680="","",'Master Barang'!A74)</f>
        <v>0</v>
      </c>
      <c r="O6680">
        <f>IF(N6680="","",'Master Barang'!B74)</f>
        <v>0</v>
      </c>
      <c r="P6680">
        <f>IF(OR(M6680="",N6680=""),"",SUMIFS('Barang Keluar'!$E:$E,'Barang Keluar'!$A:$A,M6680,'Barang Keluar'!$C:$C,N6680))</f>
        <v>0</v>
      </c>
    </row>
    <row r="6681" spans="13:16">
      <c r="M6681" s="49">
        <f>IF($A$4+66&gt;$B$4,"",$A$4+66)</f>
        <v>46089</v>
      </c>
      <c r="N6681">
        <f>IF(M6681="","",'Master Barang'!A75)</f>
        <v>0</v>
      </c>
      <c r="O6681">
        <f>IF(N6681="","",'Master Barang'!B75)</f>
        <v>0</v>
      </c>
      <c r="P6681">
        <f>IF(OR(M6681="",N6681=""),"",SUMIFS('Barang Keluar'!$E:$E,'Barang Keluar'!$A:$A,M6681,'Barang Keluar'!$C:$C,N6681))</f>
        <v>0</v>
      </c>
    </row>
    <row r="6682" spans="13:16">
      <c r="M6682" s="49">
        <f>IF($A$4+66&gt;$B$4,"",$A$4+66)</f>
        <v>46089</v>
      </c>
      <c r="N6682">
        <f>IF(M6682="","",'Master Barang'!A76)</f>
        <v>0</v>
      </c>
      <c r="O6682">
        <f>IF(N6682="","",'Master Barang'!B76)</f>
        <v>0</v>
      </c>
      <c r="P6682">
        <f>IF(OR(M6682="",N6682=""),"",SUMIFS('Barang Keluar'!$E:$E,'Barang Keluar'!$A:$A,M6682,'Barang Keluar'!$C:$C,N6682))</f>
        <v>0</v>
      </c>
    </row>
    <row r="6683" spans="13:16">
      <c r="M6683" s="49">
        <f>IF($A$4+66&gt;$B$4,"",$A$4+66)</f>
        <v>46089</v>
      </c>
      <c r="N6683">
        <f>IF(M6683="","",'Master Barang'!A77)</f>
        <v>0</v>
      </c>
      <c r="O6683">
        <f>IF(N6683="","",'Master Barang'!B77)</f>
        <v>0</v>
      </c>
      <c r="P6683">
        <f>IF(OR(M6683="",N6683=""),"",SUMIFS('Barang Keluar'!$E:$E,'Barang Keluar'!$A:$A,M6683,'Barang Keluar'!$C:$C,N6683))</f>
        <v>0</v>
      </c>
    </row>
    <row r="6684" spans="13:16">
      <c r="M6684" s="49">
        <f>IF($A$4+66&gt;$B$4,"",$A$4+66)</f>
        <v>46089</v>
      </c>
      <c r="N6684">
        <f>IF(M6684="","",'Master Barang'!A78)</f>
        <v>0</v>
      </c>
      <c r="O6684">
        <f>IF(N6684="","",'Master Barang'!B78)</f>
        <v>0</v>
      </c>
      <c r="P6684">
        <f>IF(OR(M6684="",N6684=""),"",SUMIFS('Barang Keluar'!$E:$E,'Barang Keluar'!$A:$A,M6684,'Barang Keluar'!$C:$C,N6684))</f>
        <v>0</v>
      </c>
    </row>
    <row r="6685" spans="13:16">
      <c r="M6685" s="49">
        <f>IF($A$4+66&gt;$B$4,"",$A$4+66)</f>
        <v>46089</v>
      </c>
      <c r="N6685">
        <f>IF(M6685="","",'Master Barang'!A79)</f>
        <v>0</v>
      </c>
      <c r="O6685">
        <f>IF(N6685="","",'Master Barang'!B79)</f>
        <v>0</v>
      </c>
      <c r="P6685">
        <f>IF(OR(M6685="",N6685=""),"",SUMIFS('Barang Keluar'!$E:$E,'Barang Keluar'!$A:$A,M6685,'Barang Keluar'!$C:$C,N6685))</f>
        <v>0</v>
      </c>
    </row>
    <row r="6686" spans="13:16">
      <c r="M6686" s="49">
        <f>IF($A$4+66&gt;$B$4,"",$A$4+66)</f>
        <v>46089</v>
      </c>
      <c r="N6686">
        <f>IF(M6686="","",'Master Barang'!A80)</f>
        <v>0</v>
      </c>
      <c r="O6686">
        <f>IF(N6686="","",'Master Barang'!B80)</f>
        <v>0</v>
      </c>
      <c r="P6686">
        <f>IF(OR(M6686="",N6686=""),"",SUMIFS('Barang Keluar'!$E:$E,'Barang Keluar'!$A:$A,M6686,'Barang Keluar'!$C:$C,N6686))</f>
        <v>0</v>
      </c>
    </row>
    <row r="6687" spans="13:16">
      <c r="M6687" s="49">
        <f>IF($A$4+66&gt;$B$4,"",$A$4+66)</f>
        <v>46089</v>
      </c>
      <c r="N6687">
        <f>IF(M6687="","",'Master Barang'!A81)</f>
        <v>0</v>
      </c>
      <c r="O6687">
        <f>IF(N6687="","",'Master Barang'!B81)</f>
        <v>0</v>
      </c>
      <c r="P6687">
        <f>IF(OR(M6687="",N6687=""),"",SUMIFS('Barang Keluar'!$E:$E,'Barang Keluar'!$A:$A,M6687,'Barang Keluar'!$C:$C,N6687))</f>
        <v>0</v>
      </c>
    </row>
    <row r="6688" spans="13:16">
      <c r="M6688" s="49">
        <f>IF($A$4+66&gt;$B$4,"",$A$4+66)</f>
        <v>46089</v>
      </c>
      <c r="N6688">
        <f>IF(M6688="","",'Master Barang'!A82)</f>
        <v>0</v>
      </c>
      <c r="O6688">
        <f>IF(N6688="","",'Master Barang'!B82)</f>
        <v>0</v>
      </c>
      <c r="P6688">
        <f>IF(OR(M6688="",N6688=""),"",SUMIFS('Barang Keluar'!$E:$E,'Barang Keluar'!$A:$A,M6688,'Barang Keluar'!$C:$C,N6688))</f>
        <v>0</v>
      </c>
    </row>
    <row r="6689" spans="13:16">
      <c r="M6689" s="49">
        <f>IF($A$4+66&gt;$B$4,"",$A$4+66)</f>
        <v>46089</v>
      </c>
      <c r="N6689">
        <f>IF(M6689="","",'Master Barang'!A83)</f>
        <v>0</v>
      </c>
      <c r="O6689">
        <f>IF(N6689="","",'Master Barang'!B83)</f>
        <v>0</v>
      </c>
      <c r="P6689">
        <f>IF(OR(M6689="",N6689=""),"",SUMIFS('Barang Keluar'!$E:$E,'Barang Keluar'!$A:$A,M6689,'Barang Keluar'!$C:$C,N6689))</f>
        <v>0</v>
      </c>
    </row>
    <row r="6690" spans="13:16">
      <c r="M6690" s="49">
        <f>IF($A$4+66&gt;$B$4,"",$A$4+66)</f>
        <v>46089</v>
      </c>
      <c r="N6690">
        <f>IF(M6690="","",'Master Barang'!A84)</f>
        <v>0</v>
      </c>
      <c r="O6690">
        <f>IF(N6690="","",'Master Barang'!B84)</f>
        <v>0</v>
      </c>
      <c r="P6690">
        <f>IF(OR(M6690="",N6690=""),"",SUMIFS('Barang Keluar'!$E:$E,'Barang Keluar'!$A:$A,M6690,'Barang Keluar'!$C:$C,N6690))</f>
        <v>0</v>
      </c>
    </row>
    <row r="6691" spans="13:16">
      <c r="M6691" s="49">
        <f>IF($A$4+66&gt;$B$4,"",$A$4+66)</f>
        <v>46089</v>
      </c>
      <c r="N6691">
        <f>IF(M6691="","",'Master Barang'!A85)</f>
        <v>0</v>
      </c>
      <c r="O6691">
        <f>IF(N6691="","",'Master Barang'!B85)</f>
        <v>0</v>
      </c>
      <c r="P6691">
        <f>IF(OR(M6691="",N6691=""),"",SUMIFS('Barang Keluar'!$E:$E,'Barang Keluar'!$A:$A,M6691,'Barang Keluar'!$C:$C,N6691))</f>
        <v>0</v>
      </c>
    </row>
    <row r="6692" spans="13:16">
      <c r="M6692" s="49">
        <f>IF($A$4+66&gt;$B$4,"",$A$4+66)</f>
        <v>46089</v>
      </c>
      <c r="N6692">
        <f>IF(M6692="","",'Master Barang'!A86)</f>
        <v>0</v>
      </c>
      <c r="O6692">
        <f>IF(N6692="","",'Master Barang'!B86)</f>
        <v>0</v>
      </c>
      <c r="P6692">
        <f>IF(OR(M6692="",N6692=""),"",SUMIFS('Barang Keluar'!$E:$E,'Barang Keluar'!$A:$A,M6692,'Barang Keluar'!$C:$C,N6692))</f>
        <v>0</v>
      </c>
    </row>
    <row r="6693" spans="13:16">
      <c r="M6693" s="49">
        <f>IF($A$4+66&gt;$B$4,"",$A$4+66)</f>
        <v>46089</v>
      </c>
      <c r="N6693">
        <f>IF(M6693="","",'Master Barang'!A87)</f>
        <v>0</v>
      </c>
      <c r="O6693">
        <f>IF(N6693="","",'Master Barang'!B87)</f>
        <v>0</v>
      </c>
      <c r="P6693">
        <f>IF(OR(M6693="",N6693=""),"",SUMIFS('Barang Keluar'!$E:$E,'Barang Keluar'!$A:$A,M6693,'Barang Keluar'!$C:$C,N6693))</f>
        <v>0</v>
      </c>
    </row>
    <row r="6694" spans="13:16">
      <c r="M6694" s="49">
        <f>IF($A$4+66&gt;$B$4,"",$A$4+66)</f>
        <v>46089</v>
      </c>
      <c r="N6694">
        <f>IF(M6694="","",'Master Barang'!A88)</f>
        <v>0</v>
      </c>
      <c r="O6694">
        <f>IF(N6694="","",'Master Barang'!B88)</f>
        <v>0</v>
      </c>
      <c r="P6694">
        <f>IF(OR(M6694="",N6694=""),"",SUMIFS('Barang Keluar'!$E:$E,'Barang Keluar'!$A:$A,M6694,'Barang Keluar'!$C:$C,N6694))</f>
        <v>0</v>
      </c>
    </row>
    <row r="6695" spans="13:16">
      <c r="M6695" s="49">
        <f>IF($A$4+66&gt;$B$4,"",$A$4+66)</f>
        <v>46089</v>
      </c>
      <c r="N6695">
        <f>IF(M6695="","",'Master Barang'!A89)</f>
        <v>0</v>
      </c>
      <c r="O6695">
        <f>IF(N6695="","",'Master Barang'!B89)</f>
        <v>0</v>
      </c>
      <c r="P6695">
        <f>IF(OR(M6695="",N6695=""),"",SUMIFS('Barang Keluar'!$E:$E,'Barang Keluar'!$A:$A,M6695,'Barang Keluar'!$C:$C,N6695))</f>
        <v>0</v>
      </c>
    </row>
    <row r="6696" spans="13:16">
      <c r="M6696" s="49">
        <f>IF($A$4+66&gt;$B$4,"",$A$4+66)</f>
        <v>46089</v>
      </c>
      <c r="N6696">
        <f>IF(M6696="","",'Master Barang'!A90)</f>
        <v>0</v>
      </c>
      <c r="O6696">
        <f>IF(N6696="","",'Master Barang'!B90)</f>
        <v>0</v>
      </c>
      <c r="P6696">
        <f>IF(OR(M6696="",N6696=""),"",SUMIFS('Barang Keluar'!$E:$E,'Barang Keluar'!$A:$A,M6696,'Barang Keluar'!$C:$C,N6696))</f>
        <v>0</v>
      </c>
    </row>
    <row r="6697" spans="13:16">
      <c r="M6697" s="49">
        <f>IF($A$4+66&gt;$B$4,"",$A$4+66)</f>
        <v>46089</v>
      </c>
      <c r="N6697">
        <f>IF(M6697="","",'Master Barang'!A91)</f>
        <v>0</v>
      </c>
      <c r="O6697">
        <f>IF(N6697="","",'Master Barang'!B91)</f>
        <v>0</v>
      </c>
      <c r="P6697">
        <f>IF(OR(M6697="",N6697=""),"",SUMIFS('Barang Keluar'!$E:$E,'Barang Keluar'!$A:$A,M6697,'Barang Keluar'!$C:$C,N6697))</f>
        <v>0</v>
      </c>
    </row>
    <row r="6698" spans="13:16">
      <c r="M6698" s="49">
        <f>IF($A$4+66&gt;$B$4,"",$A$4+66)</f>
        <v>46089</v>
      </c>
      <c r="N6698">
        <f>IF(M6698="","",'Master Barang'!A92)</f>
        <v>0</v>
      </c>
      <c r="O6698">
        <f>IF(N6698="","",'Master Barang'!B92)</f>
        <v>0</v>
      </c>
      <c r="P6698">
        <f>IF(OR(M6698="",N6698=""),"",SUMIFS('Barang Keluar'!$E:$E,'Barang Keluar'!$A:$A,M6698,'Barang Keluar'!$C:$C,N6698))</f>
        <v>0</v>
      </c>
    </row>
    <row r="6699" spans="13:16">
      <c r="M6699" s="49">
        <f>IF($A$4+66&gt;$B$4,"",$A$4+66)</f>
        <v>46089</v>
      </c>
      <c r="N6699">
        <f>IF(M6699="","",'Master Barang'!A93)</f>
        <v>0</v>
      </c>
      <c r="O6699">
        <f>IF(N6699="","",'Master Barang'!B93)</f>
        <v>0</v>
      </c>
      <c r="P6699">
        <f>IF(OR(M6699="",N6699=""),"",SUMIFS('Barang Keluar'!$E:$E,'Barang Keluar'!$A:$A,M6699,'Barang Keluar'!$C:$C,N6699))</f>
        <v>0</v>
      </c>
    </row>
    <row r="6700" spans="13:16">
      <c r="M6700" s="49">
        <f>IF($A$4+66&gt;$B$4,"",$A$4+66)</f>
        <v>46089</v>
      </c>
      <c r="N6700">
        <f>IF(M6700="","",'Master Barang'!A94)</f>
        <v>0</v>
      </c>
      <c r="O6700">
        <f>IF(N6700="","",'Master Barang'!B94)</f>
        <v>0</v>
      </c>
      <c r="P6700">
        <f>IF(OR(M6700="",N6700=""),"",SUMIFS('Barang Keluar'!$E:$E,'Barang Keluar'!$A:$A,M6700,'Barang Keluar'!$C:$C,N6700))</f>
        <v>0</v>
      </c>
    </row>
    <row r="6701" spans="13:16">
      <c r="M6701" s="49">
        <f>IF($A$4+66&gt;$B$4,"",$A$4+66)</f>
        <v>46089</v>
      </c>
      <c r="N6701">
        <f>IF(M6701="","",'Master Barang'!A95)</f>
        <v>0</v>
      </c>
      <c r="O6701">
        <f>IF(N6701="","",'Master Barang'!B95)</f>
        <v>0</v>
      </c>
      <c r="P6701">
        <f>IF(OR(M6701="",N6701=""),"",SUMIFS('Barang Keluar'!$E:$E,'Barang Keluar'!$A:$A,M6701,'Barang Keluar'!$C:$C,N6701))</f>
        <v>0</v>
      </c>
    </row>
    <row r="6702" spans="13:16">
      <c r="M6702" s="49">
        <f>IF($A$4+66&gt;$B$4,"",$A$4+66)</f>
        <v>46089</v>
      </c>
      <c r="N6702">
        <f>IF(M6702="","",'Master Barang'!A96)</f>
        <v>0</v>
      </c>
      <c r="O6702">
        <f>IF(N6702="","",'Master Barang'!B96)</f>
        <v>0</v>
      </c>
      <c r="P6702">
        <f>IF(OR(M6702="",N6702=""),"",SUMIFS('Barang Keluar'!$E:$E,'Barang Keluar'!$A:$A,M6702,'Barang Keluar'!$C:$C,N6702))</f>
        <v>0</v>
      </c>
    </row>
    <row r="6703" spans="13:16">
      <c r="M6703" s="49">
        <f>IF($A$4+66&gt;$B$4,"",$A$4+66)</f>
        <v>46089</v>
      </c>
      <c r="N6703">
        <f>IF(M6703="","",'Master Barang'!A97)</f>
        <v>0</v>
      </c>
      <c r="O6703">
        <f>IF(N6703="","",'Master Barang'!B97)</f>
        <v>0</v>
      </c>
      <c r="P6703">
        <f>IF(OR(M6703="",N6703=""),"",SUMIFS('Barang Keluar'!$E:$E,'Barang Keluar'!$A:$A,M6703,'Barang Keluar'!$C:$C,N6703))</f>
        <v>0</v>
      </c>
    </row>
    <row r="6704" spans="13:16">
      <c r="M6704" s="49">
        <f>IF($A$4+66&gt;$B$4,"",$A$4+66)</f>
        <v>46089</v>
      </c>
      <c r="N6704">
        <f>IF(M6704="","",'Master Barang'!A98)</f>
        <v>0</v>
      </c>
      <c r="O6704">
        <f>IF(N6704="","",'Master Barang'!B98)</f>
        <v>0</v>
      </c>
      <c r="P6704">
        <f>IF(OR(M6704="",N6704=""),"",SUMIFS('Barang Keluar'!$E:$E,'Barang Keluar'!$A:$A,M6704,'Barang Keluar'!$C:$C,N6704))</f>
        <v>0</v>
      </c>
    </row>
    <row r="6705" spans="13:16">
      <c r="M6705" s="49">
        <f>IF($A$4+66&gt;$B$4,"",$A$4+66)</f>
        <v>46089</v>
      </c>
      <c r="N6705">
        <f>IF(M6705="","",'Master Barang'!A99)</f>
        <v>0</v>
      </c>
      <c r="O6705">
        <f>IF(N6705="","",'Master Barang'!B99)</f>
        <v>0</v>
      </c>
      <c r="P6705">
        <f>IF(OR(M6705="",N6705=""),"",SUMIFS('Barang Keluar'!$E:$E,'Barang Keluar'!$A:$A,M6705,'Barang Keluar'!$C:$C,N6705))</f>
        <v>0</v>
      </c>
    </row>
    <row r="6706" spans="13:16">
      <c r="M6706" s="49">
        <f>IF($A$4+66&gt;$B$4,"",$A$4+66)</f>
        <v>46089</v>
      </c>
      <c r="N6706">
        <f>IF(M6706="","",'Master Barang'!A100)</f>
        <v>0</v>
      </c>
      <c r="O6706">
        <f>IF(N6706="","",'Master Barang'!B100)</f>
        <v>0</v>
      </c>
      <c r="P6706">
        <f>IF(OR(M6706="",N6706=""),"",SUMIFS('Barang Keluar'!$E:$E,'Barang Keluar'!$A:$A,M6706,'Barang Keluar'!$C:$C,N6706))</f>
        <v>0</v>
      </c>
    </row>
    <row r="6707" spans="13:16">
      <c r="M6707" s="49">
        <f>IF($A$4+66&gt;$B$4,"",$A$4+66)</f>
        <v>46089</v>
      </c>
      <c r="N6707">
        <f>IF(M6707="","",'Master Barang'!A101)</f>
        <v>0</v>
      </c>
      <c r="O6707">
        <f>IF(N6707="","",'Master Barang'!B101)</f>
        <v>0</v>
      </c>
      <c r="P6707">
        <f>IF(OR(M6707="",N6707=""),"",SUMIFS('Barang Keluar'!$E:$E,'Barang Keluar'!$A:$A,M6707,'Barang Keluar'!$C:$C,N6707))</f>
        <v>0</v>
      </c>
    </row>
    <row r="6708" spans="13:16">
      <c r="M6708" s="49">
        <f>IF($A$4+67&gt;$B$4,"",$A$4+67)</f>
        <v>46090</v>
      </c>
      <c r="N6708" t="str">
        <f>IF(M6708="","",'Master Barang'!A2)</f>
        <v>PRL-001</v>
      </c>
      <c r="O6708" t="str">
        <f>IF(N6708="","",'Master Barang'!B2)</f>
        <v>natura desinfectant food grade 5l</v>
      </c>
      <c r="P6708">
        <f>IF(OR(M6708="",N6708=""),"",SUMIFS('Barang Keluar'!$E:$E,'Barang Keluar'!$A:$A,M6708,'Barang Keluar'!$C:$C,N6708))</f>
        <v>0</v>
      </c>
    </row>
    <row r="6709" spans="13:16">
      <c r="M6709" s="49">
        <f>IF($A$4+67&gt;$B$4,"",$A$4+67)</f>
        <v>46090</v>
      </c>
      <c r="N6709" t="str">
        <f>IF(M6709="","",'Master Barang'!A3)</f>
        <v>PRL-002</v>
      </c>
      <c r="O6709" t="str">
        <f>IF(N6709="","",'Master Barang'!B3)</f>
        <v>sunlight cairan pencuci piring 5l</v>
      </c>
      <c r="P6709">
        <f>IF(OR(M6709="",N6709=""),"",SUMIFS('Barang Keluar'!$E:$E,'Barang Keluar'!$A:$A,M6709,'Barang Keluar'!$C:$C,N6709))</f>
        <v>0</v>
      </c>
    </row>
    <row r="6710" spans="13:16">
      <c r="M6710" s="49">
        <f>IF($A$4+67&gt;$B$4,"",$A$4+67)</f>
        <v>46090</v>
      </c>
      <c r="N6710" t="str">
        <f>IF(M6710="","",'Master Barang'!A4)</f>
        <v>PRL-003</v>
      </c>
      <c r="O6710" t="str">
        <f>IF(N6710="","",'Master Barang'!B4)</f>
        <v>oixs cleaner 1l</v>
      </c>
      <c r="P6710">
        <f>IF(OR(M6710="",N6710=""),"",SUMIFS('Barang Keluar'!$E:$E,'Barang Keluar'!$A:$A,M6710,'Barang Keluar'!$C:$C,N6710))</f>
        <v>0</v>
      </c>
    </row>
    <row r="6711" spans="13:16">
      <c r="M6711" s="49">
        <f>IF($A$4+67&gt;$B$4,"",$A$4+67)</f>
        <v>46090</v>
      </c>
      <c r="N6711" t="str">
        <f>IF(M6711="","",'Master Barang'!A5)</f>
        <v>PRL-004</v>
      </c>
      <c r="O6711" t="str">
        <f>IF(N6711="","",'Master Barang'!B5)</f>
        <v>be clean tissue serbaguna</v>
      </c>
      <c r="P6711">
        <f>IF(OR(M6711="",N6711=""),"",SUMIFS('Barang Keluar'!$E:$E,'Barang Keluar'!$A:$A,M6711,'Barang Keluar'!$C:$C,N6711))</f>
        <v>0</v>
      </c>
    </row>
    <row r="6712" spans="13:16">
      <c r="M6712" s="49">
        <f>IF($A$4+67&gt;$B$4,"",$A$4+67)</f>
        <v>46090</v>
      </c>
      <c r="N6712" t="str">
        <f>IF(M6712="","",'Master Barang'!A6)</f>
        <v>PRL-005</v>
      </c>
      <c r="O6712" t="str">
        <f>IF(N6712="","",'Master Barang'!B6)</f>
        <v>spons cuci hijau</v>
      </c>
      <c r="P6712">
        <f>IF(OR(M6712="",N6712=""),"",SUMIFS('Barang Keluar'!$E:$E,'Barang Keluar'!$A:$A,M6712,'Barang Keluar'!$C:$C,N6712))</f>
        <v>0</v>
      </c>
    </row>
    <row r="6713" spans="13:16">
      <c r="M6713" s="49">
        <f>IF($A$4+67&gt;$B$4,"",$A$4+67)</f>
        <v>46090</v>
      </c>
      <c r="N6713" t="str">
        <f>IF(M6713="","",'Master Barang'!A7)</f>
        <v>PRL-006</v>
      </c>
      <c r="O6713" t="str">
        <f>IF(N6713="","",'Master Barang'!B7)</f>
        <v>sabut cuci stainless</v>
      </c>
      <c r="P6713">
        <f>IF(OR(M6713="",N6713=""),"",SUMIFS('Barang Keluar'!$E:$E,'Barang Keluar'!$A:$A,M6713,'Barang Keluar'!$C:$C,N6713))</f>
        <v>0</v>
      </c>
    </row>
    <row r="6714" spans="13:16">
      <c r="M6714" s="49">
        <f>IF($A$4+67&gt;$B$4,"",$A$4+67)</f>
        <v>46090</v>
      </c>
      <c r="N6714" t="str">
        <f>IF(M6714="","",'Master Barang'!A8)</f>
        <v>PRL-007</v>
      </c>
      <c r="O6714" t="str">
        <f>IF(N6714="","",'Master Barang'!B8)</f>
        <v>plastik kresek besar merah 50pc</v>
      </c>
      <c r="P6714">
        <f>IF(OR(M6714="",N6714=""),"",SUMIFS('Barang Keluar'!$E:$E,'Barang Keluar'!$A:$A,M6714,'Barang Keluar'!$C:$C,N6714))</f>
        <v>0</v>
      </c>
    </row>
    <row r="6715" spans="13:16">
      <c r="M6715" s="49">
        <f>IF($A$4+67&gt;$B$4,"",$A$4+67)</f>
        <v>46090</v>
      </c>
      <c r="N6715" t="str">
        <f>IF(M6715="","",'Master Barang'!A9)</f>
        <v>PRL-008</v>
      </c>
      <c r="O6715" t="str">
        <f>IF(N6715="","",'Master Barang'!B9)</f>
        <v>lap besar</v>
      </c>
      <c r="P6715">
        <f>IF(OR(M6715="",N6715=""),"",SUMIFS('Barang Keluar'!$E:$E,'Barang Keluar'!$A:$A,M6715,'Barang Keluar'!$C:$C,N6715))</f>
        <v>0</v>
      </c>
    </row>
    <row r="6716" spans="13:16">
      <c r="M6716" s="49">
        <f>IF($A$4+67&gt;$B$4,"",$A$4+67)</f>
        <v>46090</v>
      </c>
      <c r="N6716" t="str">
        <f>IF(M6716="","",'Master Barang'!A10)</f>
        <v>PRL-009</v>
      </c>
      <c r="O6716" t="str">
        <f>IF(N6716="","",'Master Barang'!B10)</f>
        <v>lap microfiber</v>
      </c>
      <c r="P6716">
        <f>IF(OR(M6716="",N6716=""),"",SUMIFS('Barang Keluar'!$E:$E,'Barang Keluar'!$A:$A,M6716,'Barang Keluar'!$C:$C,N6716))</f>
        <v>0</v>
      </c>
    </row>
    <row r="6717" spans="13:16">
      <c r="M6717" s="49">
        <f>IF($A$4+67&gt;$B$4,"",$A$4+67)</f>
        <v>46090</v>
      </c>
      <c r="N6717" t="str">
        <f>IF(M6717="","",'Master Barang'!A11)</f>
        <v>PRL-010</v>
      </c>
      <c r="O6717" t="str">
        <f>IF(N6717="","",'Master Barang'!B11)</f>
        <v>lap kecil</v>
      </c>
      <c r="P6717">
        <f>IF(OR(M6717="",N6717=""),"",SUMIFS('Barang Keluar'!$E:$E,'Barang Keluar'!$A:$A,M6717,'Barang Keluar'!$C:$C,N6717))</f>
        <v>0</v>
      </c>
    </row>
    <row r="6718" spans="13:16">
      <c r="M6718" s="49">
        <f>IF($A$4+67&gt;$B$4,"",$A$4+67)</f>
        <v>46090</v>
      </c>
      <c r="N6718" t="str">
        <f>IF(M6718="","",'Master Barang'!A12)</f>
        <v>PRL-011</v>
      </c>
      <c r="O6718" t="str">
        <f>IF(N6718="","",'Master Barang'!B12)</f>
        <v>kanebo kecil</v>
      </c>
      <c r="P6718">
        <f>IF(OR(M6718="",N6718=""),"",SUMIFS('Barang Keluar'!$E:$E,'Barang Keluar'!$A:$A,M6718,'Barang Keluar'!$C:$C,N6718))</f>
        <v>0</v>
      </c>
    </row>
    <row r="6719" spans="13:16">
      <c r="M6719" s="49">
        <f>IF($A$4+67&gt;$B$4,"",$A$4+67)</f>
        <v>46090</v>
      </c>
      <c r="N6719" t="str">
        <f>IF(M6719="","",'Master Barang'!A13)</f>
        <v>PRL-012</v>
      </c>
      <c r="O6719" t="str">
        <f>IF(N6719="","",'Master Barang'!B13)</f>
        <v>plastik 1/4kg joyoboyo 100 lembar</v>
      </c>
      <c r="P6719">
        <f>IF(OR(M6719="",N6719=""),"",SUMIFS('Barang Keluar'!$E:$E,'Barang Keluar'!$A:$A,M6719,'Barang Keluar'!$C:$C,N6719))</f>
        <v>0</v>
      </c>
    </row>
    <row r="6720" spans="13:16">
      <c r="M6720" s="49">
        <f>IF($A$4+67&gt;$B$4,"",$A$4+67)</f>
        <v>46090</v>
      </c>
      <c r="N6720" t="str">
        <f>IF(M6720="","",'Master Barang'!A14)</f>
        <v>PRL-013</v>
      </c>
      <c r="O6720" t="str">
        <f>IF(N6720="","",'Master Barang'!B14)</f>
        <v>sarung tangan plastik kaka 100 pcs</v>
      </c>
      <c r="P6720">
        <f>IF(OR(M6720="",N6720=""),"",SUMIFS('Barang Keluar'!$E:$E,'Barang Keluar'!$A:$A,M6720,'Barang Keluar'!$C:$C,N6720))</f>
        <v>0</v>
      </c>
    </row>
    <row r="6721" spans="13:16">
      <c r="M6721" s="49">
        <f>IF($A$4+67&gt;$B$4,"",$A$4+67)</f>
        <v>46090</v>
      </c>
      <c r="N6721" t="str">
        <f>IF(M6721="","",'Master Barang'!A15)</f>
        <v>PRL-014</v>
      </c>
      <c r="O6721" t="str">
        <f>IF(N6721="","",'Master Barang'!B15)</f>
        <v>optima trashbag 80x100</v>
      </c>
      <c r="P6721">
        <f>IF(OR(M6721="",N6721=""),"",SUMIFS('Barang Keluar'!$E:$E,'Barang Keluar'!$A:$A,M6721,'Barang Keluar'!$C:$C,N6721))</f>
        <v>0</v>
      </c>
    </row>
    <row r="6722" spans="13:16">
      <c r="M6722" s="49">
        <f>IF($A$4+67&gt;$B$4,"",$A$4+67)</f>
        <v>46090</v>
      </c>
      <c r="N6722" t="str">
        <f>IF(M6722="","",'Master Barang'!A16)</f>
        <v>PRL-015</v>
      </c>
      <c r="O6722" t="str">
        <f>IF(N6722="","",'Master Barang'!B16)</f>
        <v>optima trashbag 60x100</v>
      </c>
      <c r="P6722">
        <f>IF(OR(M6722="",N6722=""),"",SUMIFS('Barang Keluar'!$E:$E,'Barang Keluar'!$A:$A,M6722,'Barang Keluar'!$C:$C,N6722))</f>
        <v>0</v>
      </c>
    </row>
    <row r="6723" spans="13:16">
      <c r="M6723" s="49">
        <f>IF($A$4+67&gt;$B$4,"",$A$4+67)</f>
        <v>46090</v>
      </c>
      <c r="N6723" t="str">
        <f>IF(M6723="","",'Master Barang'!A17)</f>
        <v>PRL-016</v>
      </c>
      <c r="O6723" t="str">
        <f>IF(N6723="","",'Master Barang'!B17)</f>
        <v>rajawali trashbag 30x40</v>
      </c>
      <c r="P6723">
        <f>IF(OR(M6723="",N6723=""),"",SUMIFS('Barang Keluar'!$E:$E,'Barang Keluar'!$A:$A,M6723,'Barang Keluar'!$C:$C,N6723))</f>
        <v>0</v>
      </c>
    </row>
    <row r="6724" spans="13:16">
      <c r="M6724" s="49">
        <f>IF($A$4+67&gt;$B$4,"",$A$4+67)</f>
        <v>46090</v>
      </c>
      <c r="N6724" t="str">
        <f>IF(M6724="","",'Master Barang'!A18)</f>
        <v>PRL-017</v>
      </c>
      <c r="O6724" t="str">
        <f>IF(N6724="","",'Master Barang'!B18)</f>
        <v>onemed masker biru 3 play 50 pcs</v>
      </c>
      <c r="P6724">
        <f>IF(OR(M6724="",N6724=""),"",SUMIFS('Barang Keluar'!$E:$E,'Barang Keluar'!$A:$A,M6724,'Barang Keluar'!$C:$C,N6724))</f>
        <v>0</v>
      </c>
    </row>
    <row r="6725" spans="13:16">
      <c r="M6725" s="49">
        <f>IF($A$4+67&gt;$B$4,"",$A$4+67)</f>
        <v>46090</v>
      </c>
      <c r="N6725" t="str">
        <f>IF(M6725="","",'Master Barang'!A19)</f>
        <v>PRL-018</v>
      </c>
      <c r="O6725" t="str">
        <f>IF(N6725="","",'Master Barang'!B19)</f>
        <v>onemed masker biru 3 play hijab 50 pcs</v>
      </c>
      <c r="P6725">
        <f>IF(OR(M6725="",N6725=""),"",SUMIFS('Barang Keluar'!$E:$E,'Barang Keluar'!$A:$A,M6725,'Barang Keluar'!$C:$C,N6725))</f>
        <v>0</v>
      </c>
    </row>
    <row r="6726" spans="13:16">
      <c r="M6726" s="49">
        <f>IF($A$4+67&gt;$B$4,"",$A$4+67)</f>
        <v>46090</v>
      </c>
      <c r="N6726" t="str">
        <f>IF(M6726="","",'Master Barang'!A20)</f>
        <v>PRL-019</v>
      </c>
      <c r="O6726" t="str">
        <f>IF(N6726="","",'Master Barang'!B20)</f>
        <v>neo health masker biru 3 play 50 pcs</v>
      </c>
      <c r="P6726">
        <f>IF(OR(M6726="",N6726=""),"",SUMIFS('Barang Keluar'!$E:$E,'Barang Keluar'!$A:$A,M6726,'Barang Keluar'!$C:$C,N6726))</f>
        <v>0</v>
      </c>
    </row>
    <row r="6727" spans="13:16">
      <c r="M6727" s="49">
        <f>IF($A$4+67&gt;$B$4,"",$A$4+67)</f>
        <v>46090</v>
      </c>
      <c r="N6727" t="str">
        <f>IF(M6727="","",'Master Barang'!A21)</f>
        <v>PRL-020</v>
      </c>
      <c r="O6727" t="str">
        <f>IF(N6727="","",'Master Barang'!B21)</f>
        <v>baymed masker hijau 3 play hijau 50 pcs</v>
      </c>
      <c r="P6727">
        <f>IF(OR(M6727="",N6727=""),"",SUMIFS('Barang Keluar'!$E:$E,'Barang Keluar'!$A:$A,M6727,'Barang Keluar'!$C:$C,N6727))</f>
        <v>0</v>
      </c>
    </row>
    <row r="6728" spans="13:16">
      <c r="M6728" s="49">
        <f>IF($A$4+67&gt;$B$4,"",$A$4+67)</f>
        <v>46090</v>
      </c>
      <c r="N6728" t="str">
        <f>IF(M6728="","",'Master Barang'!A22)</f>
        <v>PRL-021</v>
      </c>
      <c r="O6728" t="str">
        <f>IF(N6728="","",'Master Barang'!B22)</f>
        <v>altamed nurse cap penutup kepala 100 pcs</v>
      </c>
      <c r="P6728">
        <f>IF(OR(M6728="",N6728=""),"",SUMIFS('Barang Keluar'!$E:$E,'Barang Keluar'!$A:$A,M6728,'Barang Keluar'!$C:$C,N6728))</f>
        <v>0</v>
      </c>
    </row>
    <row r="6729" spans="13:16">
      <c r="M6729" s="49">
        <f>IF($A$4+67&gt;$B$4,"",$A$4+67)</f>
        <v>46090</v>
      </c>
      <c r="N6729" t="str">
        <f>IF(M6729="","",'Master Barang'!A23)</f>
        <v>PRL-022</v>
      </c>
      <c r="O6729" t="str">
        <f>IF(N6729="","",'Master Barang'!B23)</f>
        <v>sabun cuci tangan</v>
      </c>
      <c r="P6729">
        <f>IF(OR(M6729="",N6729=""),"",SUMIFS('Barang Keluar'!$E:$E,'Barang Keluar'!$A:$A,M6729,'Barang Keluar'!$C:$C,N6729))</f>
        <v>0</v>
      </c>
    </row>
    <row r="6730" spans="13:16">
      <c r="M6730" s="49">
        <f>IF($A$4+67&gt;$B$4,"",$A$4+67)</f>
        <v>46090</v>
      </c>
      <c r="N6730" t="str">
        <f>IF(M6730="","",'Master Barang'!A24)</f>
        <v>PRL-023</v>
      </c>
      <c r="O6730" t="str">
        <f>IF(N6730="","",'Master Barang'!B24)</f>
        <v>gayung kecil</v>
      </c>
      <c r="P6730">
        <f>IF(OR(M6730="",N6730=""),"",SUMIFS('Barang Keluar'!$E:$E,'Barang Keluar'!$A:$A,M6730,'Barang Keluar'!$C:$C,N6730))</f>
        <v>0</v>
      </c>
    </row>
    <row r="6731" spans="13:16">
      <c r="M6731" s="49">
        <f>IF($A$4+67&gt;$B$4,"",$A$4+67)</f>
        <v>46090</v>
      </c>
      <c r="N6731" t="str">
        <f>IF(M6731="","",'Master Barang'!A25)</f>
        <v>PRL-024</v>
      </c>
      <c r="O6731" t="str">
        <f>IF(N6731="","",'Master Barang'!B25)</f>
        <v>cikrak kecil</v>
      </c>
      <c r="P6731">
        <f>IF(OR(M6731="",N6731=""),"",SUMIFS('Barang Keluar'!$E:$E,'Barang Keluar'!$A:$A,M6731,'Barang Keluar'!$C:$C,N6731))</f>
        <v>0</v>
      </c>
    </row>
    <row r="6732" spans="13:16">
      <c r="M6732" s="49">
        <f>IF($A$4+67&gt;$B$4,"",$A$4+67)</f>
        <v>46090</v>
      </c>
      <c r="N6732" t="str">
        <f>IF(M6732="","",'Master Barang'!A26)</f>
        <v>PRL-025</v>
      </c>
      <c r="O6732" t="str">
        <f>IF(N6732="","",'Master Barang'!B26)</f>
        <v>petromax plastik kecil 12x24 100 lembar</v>
      </c>
      <c r="P6732">
        <f>IF(OR(M6732="",N6732=""),"",SUMIFS('Barang Keluar'!$E:$E,'Barang Keluar'!$A:$A,M6732,'Barang Keluar'!$C:$C,N6732))</f>
        <v>0</v>
      </c>
    </row>
    <row r="6733" spans="13:16">
      <c r="M6733" s="49">
        <f>IF($A$4+67&gt;$B$4,"",$A$4+67)</f>
        <v>46090</v>
      </c>
      <c r="N6733" t="str">
        <f>IF(M6733="","",'Master Barang'!A27)</f>
        <v>PRL-026</v>
      </c>
      <c r="O6733" t="str">
        <f>IF(N6733="","",'Master Barang'!B27)</f>
        <v>lancar kresek kecil bening </v>
      </c>
      <c r="P6733">
        <f>IF(OR(M6733="",N6733=""),"",SUMIFS('Barang Keluar'!$E:$E,'Barang Keluar'!$A:$A,M6733,'Barang Keluar'!$C:$C,N6733))</f>
        <v>0</v>
      </c>
    </row>
    <row r="6734" spans="13:16">
      <c r="M6734" s="49">
        <f>IF($A$4+67&gt;$B$4,"",$A$4+67)</f>
        <v>46090</v>
      </c>
      <c r="N6734" t="str">
        <f>IF(M6734="","",'Master Barang'!A28)</f>
        <v>PRL-027</v>
      </c>
      <c r="O6734" t="str">
        <f>IF(N6734="","",'Master Barang'!B28)</f>
        <v>kresek klin warna warni kecil</v>
      </c>
      <c r="P6734">
        <f>IF(OR(M6734="",N6734=""),"",SUMIFS('Barang Keluar'!$E:$E,'Barang Keluar'!$A:$A,M6734,'Barang Keluar'!$C:$C,N6734))</f>
        <v>0</v>
      </c>
    </row>
    <row r="6735" spans="13:16">
      <c r="M6735" s="49">
        <f>IF($A$4+67&gt;$B$4,"",$A$4+67)</f>
        <v>46090</v>
      </c>
      <c r="N6735" t="str">
        <f>IF(M6735="","",'Master Barang'!A29)</f>
        <v>PRL-028</v>
      </c>
      <c r="O6735" t="str">
        <f>IF(N6735="","",'Master Barang'!B29)</f>
        <v>ctik plastik 7x10 100 pcs</v>
      </c>
      <c r="P6735">
        <f>IF(OR(M6735="",N6735=""),"",SUMIFS('Barang Keluar'!$E:$E,'Barang Keluar'!$A:$A,M6735,'Barang Keluar'!$C:$C,N6735))</f>
        <v>0</v>
      </c>
    </row>
    <row r="6736" spans="13:16">
      <c r="M6736" s="49">
        <f>IF($A$4+67&gt;$B$4,"",$A$4+67)</f>
        <v>46090</v>
      </c>
      <c r="N6736" t="str">
        <f>IF(M6736="","",'Master Barang'!A30)</f>
        <v>PRL-029</v>
      </c>
      <c r="O6736" t="str">
        <f>IF(N6736="","",'Master Barang'!B30)</f>
        <v>ctik plastik 6x10 100 pcs</v>
      </c>
      <c r="P6736">
        <f>IF(OR(M6736="",N6736=""),"",SUMIFS('Barang Keluar'!$E:$E,'Barang Keluar'!$A:$A,M6736,'Barang Keluar'!$C:$C,N6736))</f>
        <v>0</v>
      </c>
    </row>
    <row r="6737" spans="13:16">
      <c r="M6737" s="49">
        <f>IF($A$4+67&gt;$B$4,"",$A$4+67)</f>
        <v>46090</v>
      </c>
      <c r="N6737" t="str">
        <f>IF(M6737="","",'Master Barang'!A31)</f>
        <v>PRL-030</v>
      </c>
      <c r="O6737" t="str">
        <f>IF(N6737="","",'Master Barang'!B31)</f>
        <v>klip plastik 25x16 100 pcs</v>
      </c>
      <c r="P6737">
        <f>IF(OR(M6737="",N6737=""),"",SUMIFS('Barang Keluar'!$E:$E,'Barang Keluar'!$A:$A,M6737,'Barang Keluar'!$C:$C,N6737))</f>
        <v>0</v>
      </c>
    </row>
    <row r="6738" spans="13:16">
      <c r="M6738" s="49">
        <f>IF($A$4+67&gt;$B$4,"",$A$4+67)</f>
        <v>46090</v>
      </c>
      <c r="N6738" t="str">
        <f>IF(M6738="","",'Master Barang'!A32)</f>
        <v>PRL-031</v>
      </c>
      <c r="O6738" t="str">
        <f>IF(N6738="","",'Master Barang'!B32)</f>
        <v>tempat saus 20 ml</v>
      </c>
      <c r="P6738">
        <f>IF(OR(M6738="",N6738=""),"",SUMIFS('Barang Keluar'!$E:$E,'Barang Keluar'!$A:$A,M6738,'Barang Keluar'!$C:$C,N6738))</f>
        <v>0</v>
      </c>
    </row>
    <row r="6739" spans="13:16">
      <c r="M6739" s="49">
        <f>IF($A$4+67&gt;$B$4,"",$A$4+67)</f>
        <v>46090</v>
      </c>
      <c r="N6739" t="str">
        <f>IF(M6739="","",'Master Barang'!A33)</f>
        <v>PRL-032</v>
      </c>
      <c r="O6739" t="str">
        <f>IF(N6739="","",'Master Barang'!B33)</f>
        <v>plastik packaging ag box uk sedang</v>
      </c>
      <c r="P6739">
        <f>IF(OR(M6739="",N6739=""),"",SUMIFS('Barang Keluar'!$E:$E,'Barang Keluar'!$A:$A,M6739,'Barang Keluar'!$C:$C,N6739))</f>
        <v>0</v>
      </c>
    </row>
    <row r="6740" spans="13:16">
      <c r="M6740" s="49">
        <f>IF($A$4+67&gt;$B$4,"",$A$4+67)</f>
        <v>46090</v>
      </c>
      <c r="N6740" t="str">
        <f>IF(M6740="","",'Master Barang'!A34)</f>
        <v>PRL-033</v>
      </c>
      <c r="O6740">
        <f>IF(N6740="","",'Master Barang'!B34)</f>
        <v>0</v>
      </c>
      <c r="P6740">
        <f>IF(OR(M6740="",N6740=""),"",SUMIFS('Barang Keluar'!$E:$E,'Barang Keluar'!$A:$A,M6740,'Barang Keluar'!$C:$C,N6740))</f>
        <v>0</v>
      </c>
    </row>
    <row r="6741" spans="13:16">
      <c r="M6741" s="49">
        <f>IF($A$4+67&gt;$B$4,"",$A$4+67)</f>
        <v>46090</v>
      </c>
      <c r="N6741">
        <f>IF(M6741="","",'Master Barang'!A35)</f>
        <v>0</v>
      </c>
      <c r="O6741">
        <f>IF(N6741="","",'Master Barang'!B35)</f>
        <v>0</v>
      </c>
      <c r="P6741">
        <f>IF(OR(M6741="",N6741=""),"",SUMIFS('Barang Keluar'!$E:$E,'Barang Keluar'!$A:$A,M6741,'Barang Keluar'!$C:$C,N6741))</f>
        <v>0</v>
      </c>
    </row>
    <row r="6742" spans="13:16">
      <c r="M6742" s="49">
        <f>IF($A$4+67&gt;$B$4,"",$A$4+67)</f>
        <v>46090</v>
      </c>
      <c r="N6742">
        <f>IF(M6742="","",'Master Barang'!A36)</f>
        <v>0</v>
      </c>
      <c r="O6742">
        <f>IF(N6742="","",'Master Barang'!B36)</f>
        <v>0</v>
      </c>
      <c r="P6742">
        <f>IF(OR(M6742="",N6742=""),"",SUMIFS('Barang Keluar'!$E:$E,'Barang Keluar'!$A:$A,M6742,'Barang Keluar'!$C:$C,N6742))</f>
        <v>0</v>
      </c>
    </row>
    <row r="6743" spans="13:16">
      <c r="M6743" s="49">
        <f>IF($A$4+67&gt;$B$4,"",$A$4+67)</f>
        <v>46090</v>
      </c>
      <c r="N6743">
        <f>IF(M6743="","",'Master Barang'!A37)</f>
        <v>0</v>
      </c>
      <c r="O6743">
        <f>IF(N6743="","",'Master Barang'!B37)</f>
        <v>0</v>
      </c>
      <c r="P6743">
        <f>IF(OR(M6743="",N6743=""),"",SUMIFS('Barang Keluar'!$E:$E,'Barang Keluar'!$A:$A,M6743,'Barang Keluar'!$C:$C,N6743))</f>
        <v>0</v>
      </c>
    </row>
    <row r="6744" spans="13:16">
      <c r="M6744" s="49">
        <f>IF($A$4+67&gt;$B$4,"",$A$4+67)</f>
        <v>46090</v>
      </c>
      <c r="N6744">
        <f>IF(M6744="","",'Master Barang'!A38)</f>
        <v>0</v>
      </c>
      <c r="O6744">
        <f>IF(N6744="","",'Master Barang'!B38)</f>
        <v>0</v>
      </c>
      <c r="P6744">
        <f>IF(OR(M6744="",N6744=""),"",SUMIFS('Barang Keluar'!$E:$E,'Barang Keluar'!$A:$A,M6744,'Barang Keluar'!$C:$C,N6744))</f>
        <v>0</v>
      </c>
    </row>
    <row r="6745" spans="13:16">
      <c r="M6745" s="49">
        <f>IF($A$4+67&gt;$B$4,"",$A$4+67)</f>
        <v>46090</v>
      </c>
      <c r="N6745">
        <f>IF(M6745="","",'Master Barang'!A39)</f>
        <v>0</v>
      </c>
      <c r="O6745">
        <f>IF(N6745="","",'Master Barang'!B39)</f>
        <v>0</v>
      </c>
      <c r="P6745">
        <f>IF(OR(M6745="",N6745=""),"",SUMIFS('Barang Keluar'!$E:$E,'Barang Keluar'!$A:$A,M6745,'Barang Keluar'!$C:$C,N6745))</f>
        <v>0</v>
      </c>
    </row>
    <row r="6746" spans="13:16">
      <c r="M6746" s="49">
        <f>IF($A$4+67&gt;$B$4,"",$A$4+67)</f>
        <v>46090</v>
      </c>
      <c r="N6746">
        <f>IF(M6746="","",'Master Barang'!A40)</f>
        <v>0</v>
      </c>
      <c r="O6746">
        <f>IF(N6746="","",'Master Barang'!B40)</f>
        <v>0</v>
      </c>
      <c r="P6746">
        <f>IF(OR(M6746="",N6746=""),"",SUMIFS('Barang Keluar'!$E:$E,'Barang Keluar'!$A:$A,M6746,'Barang Keluar'!$C:$C,N6746))</f>
        <v>0</v>
      </c>
    </row>
    <row r="6747" spans="13:16">
      <c r="M6747" s="49">
        <f>IF($A$4+67&gt;$B$4,"",$A$4+67)</f>
        <v>46090</v>
      </c>
      <c r="N6747">
        <f>IF(M6747="","",'Master Barang'!A41)</f>
        <v>0</v>
      </c>
      <c r="O6747">
        <f>IF(N6747="","",'Master Barang'!B41)</f>
        <v>0</v>
      </c>
      <c r="P6747">
        <f>IF(OR(M6747="",N6747=""),"",SUMIFS('Barang Keluar'!$E:$E,'Barang Keluar'!$A:$A,M6747,'Barang Keluar'!$C:$C,N6747))</f>
        <v>0</v>
      </c>
    </row>
    <row r="6748" spans="13:16">
      <c r="M6748" s="49">
        <f>IF($A$4+67&gt;$B$4,"",$A$4+67)</f>
        <v>46090</v>
      </c>
      <c r="N6748">
        <f>IF(M6748="","",'Master Barang'!A42)</f>
        <v>0</v>
      </c>
      <c r="O6748">
        <f>IF(N6748="","",'Master Barang'!B42)</f>
        <v>0</v>
      </c>
      <c r="P6748">
        <f>IF(OR(M6748="",N6748=""),"",SUMIFS('Barang Keluar'!$E:$E,'Barang Keluar'!$A:$A,M6748,'Barang Keluar'!$C:$C,N6748))</f>
        <v>0</v>
      </c>
    </row>
    <row r="6749" spans="13:16">
      <c r="M6749" s="49">
        <f>IF($A$4+67&gt;$B$4,"",$A$4+67)</f>
        <v>46090</v>
      </c>
      <c r="N6749">
        <f>IF(M6749="","",'Master Barang'!A43)</f>
        <v>0</v>
      </c>
      <c r="O6749">
        <f>IF(N6749="","",'Master Barang'!B43)</f>
        <v>0</v>
      </c>
      <c r="P6749">
        <f>IF(OR(M6749="",N6749=""),"",SUMIFS('Barang Keluar'!$E:$E,'Barang Keluar'!$A:$A,M6749,'Barang Keluar'!$C:$C,N6749))</f>
        <v>0</v>
      </c>
    </row>
    <row r="6750" spans="13:16">
      <c r="M6750" s="49">
        <f>IF($A$4+67&gt;$B$4,"",$A$4+67)</f>
        <v>46090</v>
      </c>
      <c r="N6750">
        <f>IF(M6750="","",'Master Barang'!A44)</f>
        <v>0</v>
      </c>
      <c r="O6750">
        <f>IF(N6750="","",'Master Barang'!B44)</f>
        <v>0</v>
      </c>
      <c r="P6750">
        <f>IF(OR(M6750="",N6750=""),"",SUMIFS('Barang Keluar'!$E:$E,'Barang Keluar'!$A:$A,M6750,'Barang Keluar'!$C:$C,N6750))</f>
        <v>0</v>
      </c>
    </row>
    <row r="6751" spans="13:16">
      <c r="M6751" s="49">
        <f>IF($A$4+67&gt;$B$4,"",$A$4+67)</f>
        <v>46090</v>
      </c>
      <c r="N6751">
        <f>IF(M6751="","",'Master Barang'!A45)</f>
        <v>0</v>
      </c>
      <c r="O6751">
        <f>IF(N6751="","",'Master Barang'!B45)</f>
        <v>0</v>
      </c>
      <c r="P6751">
        <f>IF(OR(M6751="",N6751=""),"",SUMIFS('Barang Keluar'!$E:$E,'Barang Keluar'!$A:$A,M6751,'Barang Keluar'!$C:$C,N6751))</f>
        <v>0</v>
      </c>
    </row>
    <row r="6752" spans="13:16">
      <c r="M6752" s="49">
        <f>IF($A$4+67&gt;$B$4,"",$A$4+67)</f>
        <v>46090</v>
      </c>
      <c r="N6752">
        <f>IF(M6752="","",'Master Barang'!A46)</f>
        <v>0</v>
      </c>
      <c r="O6752">
        <f>IF(N6752="","",'Master Barang'!B46)</f>
        <v>0</v>
      </c>
      <c r="P6752">
        <f>IF(OR(M6752="",N6752=""),"",SUMIFS('Barang Keluar'!$E:$E,'Barang Keluar'!$A:$A,M6752,'Barang Keluar'!$C:$C,N6752))</f>
        <v>0</v>
      </c>
    </row>
    <row r="6753" spans="13:16">
      <c r="M6753" s="49">
        <f>IF($A$4+67&gt;$B$4,"",$A$4+67)</f>
        <v>46090</v>
      </c>
      <c r="N6753">
        <f>IF(M6753="","",'Master Barang'!A47)</f>
        <v>0</v>
      </c>
      <c r="O6753">
        <f>IF(N6753="","",'Master Barang'!B47)</f>
        <v>0</v>
      </c>
      <c r="P6753">
        <f>IF(OR(M6753="",N6753=""),"",SUMIFS('Barang Keluar'!$E:$E,'Barang Keluar'!$A:$A,M6753,'Barang Keluar'!$C:$C,N6753))</f>
        <v>0</v>
      </c>
    </row>
    <row r="6754" spans="13:16">
      <c r="M6754" s="49">
        <f>IF($A$4+67&gt;$B$4,"",$A$4+67)</f>
        <v>46090</v>
      </c>
      <c r="N6754">
        <f>IF(M6754="","",'Master Barang'!A48)</f>
        <v>0</v>
      </c>
      <c r="O6754">
        <f>IF(N6754="","",'Master Barang'!B48)</f>
        <v>0</v>
      </c>
      <c r="P6754">
        <f>IF(OR(M6754="",N6754=""),"",SUMIFS('Barang Keluar'!$E:$E,'Barang Keluar'!$A:$A,M6754,'Barang Keluar'!$C:$C,N6754))</f>
        <v>0</v>
      </c>
    </row>
    <row r="6755" spans="13:16">
      <c r="M6755" s="49">
        <f>IF($A$4+67&gt;$B$4,"",$A$4+67)</f>
        <v>46090</v>
      </c>
      <c r="N6755">
        <f>IF(M6755="","",'Master Barang'!A49)</f>
        <v>0</v>
      </c>
      <c r="O6755">
        <f>IF(N6755="","",'Master Barang'!B49)</f>
        <v>0</v>
      </c>
      <c r="P6755">
        <f>IF(OR(M6755="",N6755=""),"",SUMIFS('Barang Keluar'!$E:$E,'Barang Keluar'!$A:$A,M6755,'Barang Keluar'!$C:$C,N6755))</f>
        <v>0</v>
      </c>
    </row>
    <row r="6756" spans="13:16">
      <c r="M6756" s="49">
        <f>IF($A$4+67&gt;$B$4,"",$A$4+67)</f>
        <v>46090</v>
      </c>
      <c r="N6756">
        <f>IF(M6756="","",'Master Barang'!A50)</f>
        <v>0</v>
      </c>
      <c r="O6756">
        <f>IF(N6756="","",'Master Barang'!B50)</f>
        <v>0</v>
      </c>
      <c r="P6756">
        <f>IF(OR(M6756="",N6756=""),"",SUMIFS('Barang Keluar'!$E:$E,'Barang Keluar'!$A:$A,M6756,'Barang Keluar'!$C:$C,N6756))</f>
        <v>0</v>
      </c>
    </row>
    <row r="6757" spans="13:16">
      <c r="M6757" s="49">
        <f>IF($A$4+67&gt;$B$4,"",$A$4+67)</f>
        <v>46090</v>
      </c>
      <c r="N6757">
        <f>IF(M6757="","",'Master Barang'!A51)</f>
        <v>0</v>
      </c>
      <c r="O6757">
        <f>IF(N6757="","",'Master Barang'!B51)</f>
        <v>0</v>
      </c>
      <c r="P6757">
        <f>IF(OR(M6757="",N6757=""),"",SUMIFS('Barang Keluar'!$E:$E,'Barang Keluar'!$A:$A,M6757,'Barang Keluar'!$C:$C,N6757))</f>
        <v>0</v>
      </c>
    </row>
    <row r="6758" spans="13:16">
      <c r="M6758" s="49">
        <f>IF($A$4+67&gt;$B$4,"",$A$4+67)</f>
        <v>46090</v>
      </c>
      <c r="N6758">
        <f>IF(M6758="","",'Master Barang'!A52)</f>
        <v>0</v>
      </c>
      <c r="O6758">
        <f>IF(N6758="","",'Master Barang'!B52)</f>
        <v>0</v>
      </c>
      <c r="P6758">
        <f>IF(OR(M6758="",N6758=""),"",SUMIFS('Barang Keluar'!$E:$E,'Barang Keluar'!$A:$A,M6758,'Barang Keluar'!$C:$C,N6758))</f>
        <v>0</v>
      </c>
    </row>
    <row r="6759" spans="13:16">
      <c r="M6759" s="49">
        <f>IF($A$4+67&gt;$B$4,"",$A$4+67)</f>
        <v>46090</v>
      </c>
      <c r="N6759">
        <f>IF(M6759="","",'Master Barang'!A53)</f>
        <v>0</v>
      </c>
      <c r="O6759">
        <f>IF(N6759="","",'Master Barang'!B53)</f>
        <v>0</v>
      </c>
      <c r="P6759">
        <f>IF(OR(M6759="",N6759=""),"",SUMIFS('Barang Keluar'!$E:$E,'Barang Keluar'!$A:$A,M6759,'Barang Keluar'!$C:$C,N6759))</f>
        <v>0</v>
      </c>
    </row>
    <row r="6760" spans="13:16">
      <c r="M6760" s="49">
        <f>IF($A$4+67&gt;$B$4,"",$A$4+67)</f>
        <v>46090</v>
      </c>
      <c r="N6760">
        <f>IF(M6760="","",'Master Barang'!A54)</f>
        <v>0</v>
      </c>
      <c r="O6760">
        <f>IF(N6760="","",'Master Barang'!B54)</f>
        <v>0</v>
      </c>
      <c r="P6760">
        <f>IF(OR(M6760="",N6760=""),"",SUMIFS('Barang Keluar'!$E:$E,'Barang Keluar'!$A:$A,M6760,'Barang Keluar'!$C:$C,N6760))</f>
        <v>0</v>
      </c>
    </row>
    <row r="6761" spans="13:16">
      <c r="M6761" s="49">
        <f>IF($A$4+67&gt;$B$4,"",$A$4+67)</f>
        <v>46090</v>
      </c>
      <c r="N6761">
        <f>IF(M6761="","",'Master Barang'!A55)</f>
        <v>0</v>
      </c>
      <c r="O6761">
        <f>IF(N6761="","",'Master Barang'!B55)</f>
        <v>0</v>
      </c>
      <c r="P6761">
        <f>IF(OR(M6761="",N6761=""),"",SUMIFS('Barang Keluar'!$E:$E,'Barang Keluar'!$A:$A,M6761,'Barang Keluar'!$C:$C,N6761))</f>
        <v>0</v>
      </c>
    </row>
    <row r="6762" spans="13:16">
      <c r="M6762" s="49">
        <f>IF($A$4+67&gt;$B$4,"",$A$4+67)</f>
        <v>46090</v>
      </c>
      <c r="N6762">
        <f>IF(M6762="","",'Master Barang'!A56)</f>
        <v>0</v>
      </c>
      <c r="O6762">
        <f>IF(N6762="","",'Master Barang'!B56)</f>
        <v>0</v>
      </c>
      <c r="P6762">
        <f>IF(OR(M6762="",N6762=""),"",SUMIFS('Barang Keluar'!$E:$E,'Barang Keluar'!$A:$A,M6762,'Barang Keluar'!$C:$C,N6762))</f>
        <v>0</v>
      </c>
    </row>
    <row r="6763" spans="13:16">
      <c r="M6763" s="49">
        <f>IF($A$4+67&gt;$B$4,"",$A$4+67)</f>
        <v>46090</v>
      </c>
      <c r="N6763">
        <f>IF(M6763="","",'Master Barang'!A57)</f>
        <v>0</v>
      </c>
      <c r="O6763">
        <f>IF(N6763="","",'Master Barang'!B57)</f>
        <v>0</v>
      </c>
      <c r="P6763">
        <f>IF(OR(M6763="",N6763=""),"",SUMIFS('Barang Keluar'!$E:$E,'Barang Keluar'!$A:$A,M6763,'Barang Keluar'!$C:$C,N6763))</f>
        <v>0</v>
      </c>
    </row>
    <row r="6764" spans="13:16">
      <c r="M6764" s="49">
        <f>IF($A$4+67&gt;$B$4,"",$A$4+67)</f>
        <v>46090</v>
      </c>
      <c r="N6764">
        <f>IF(M6764="","",'Master Barang'!A58)</f>
        <v>0</v>
      </c>
      <c r="O6764">
        <f>IF(N6764="","",'Master Barang'!B58)</f>
        <v>0</v>
      </c>
      <c r="P6764">
        <f>IF(OR(M6764="",N6764=""),"",SUMIFS('Barang Keluar'!$E:$E,'Barang Keluar'!$A:$A,M6764,'Barang Keluar'!$C:$C,N6764))</f>
        <v>0</v>
      </c>
    </row>
    <row r="6765" spans="13:16">
      <c r="M6765" s="49">
        <f>IF($A$4+67&gt;$B$4,"",$A$4+67)</f>
        <v>46090</v>
      </c>
      <c r="N6765">
        <f>IF(M6765="","",'Master Barang'!A59)</f>
        <v>0</v>
      </c>
      <c r="O6765">
        <f>IF(N6765="","",'Master Barang'!B59)</f>
        <v>0</v>
      </c>
      <c r="P6765">
        <f>IF(OR(M6765="",N6765=""),"",SUMIFS('Barang Keluar'!$E:$E,'Barang Keluar'!$A:$A,M6765,'Barang Keluar'!$C:$C,N6765))</f>
        <v>0</v>
      </c>
    </row>
    <row r="6766" spans="13:16">
      <c r="M6766" s="49">
        <f>IF($A$4+67&gt;$B$4,"",$A$4+67)</f>
        <v>46090</v>
      </c>
      <c r="N6766">
        <f>IF(M6766="","",'Master Barang'!A60)</f>
        <v>0</v>
      </c>
      <c r="O6766">
        <f>IF(N6766="","",'Master Barang'!B60)</f>
        <v>0</v>
      </c>
      <c r="P6766">
        <f>IF(OR(M6766="",N6766=""),"",SUMIFS('Barang Keluar'!$E:$E,'Barang Keluar'!$A:$A,M6766,'Barang Keluar'!$C:$C,N6766))</f>
        <v>0</v>
      </c>
    </row>
    <row r="6767" spans="13:16">
      <c r="M6767" s="49">
        <f>IF($A$4+67&gt;$B$4,"",$A$4+67)</f>
        <v>46090</v>
      </c>
      <c r="N6767">
        <f>IF(M6767="","",'Master Barang'!A61)</f>
        <v>0</v>
      </c>
      <c r="O6767">
        <f>IF(N6767="","",'Master Barang'!B61)</f>
        <v>0</v>
      </c>
      <c r="P6767">
        <f>IF(OR(M6767="",N6767=""),"",SUMIFS('Barang Keluar'!$E:$E,'Barang Keluar'!$A:$A,M6767,'Barang Keluar'!$C:$C,N6767))</f>
        <v>0</v>
      </c>
    </row>
    <row r="6768" spans="13:16">
      <c r="M6768" s="49">
        <f>IF($A$4+67&gt;$B$4,"",$A$4+67)</f>
        <v>46090</v>
      </c>
      <c r="N6768">
        <f>IF(M6768="","",'Master Barang'!A62)</f>
        <v>0</v>
      </c>
      <c r="O6768">
        <f>IF(N6768="","",'Master Barang'!B62)</f>
        <v>0</v>
      </c>
      <c r="P6768">
        <f>IF(OR(M6768="",N6768=""),"",SUMIFS('Barang Keluar'!$E:$E,'Barang Keluar'!$A:$A,M6768,'Barang Keluar'!$C:$C,N6768))</f>
        <v>0</v>
      </c>
    </row>
    <row r="6769" spans="13:16">
      <c r="M6769" s="49">
        <f>IF($A$4+67&gt;$B$4,"",$A$4+67)</f>
        <v>46090</v>
      </c>
      <c r="N6769">
        <f>IF(M6769="","",'Master Barang'!A63)</f>
        <v>0</v>
      </c>
      <c r="O6769">
        <f>IF(N6769="","",'Master Barang'!B63)</f>
        <v>0</v>
      </c>
      <c r="P6769">
        <f>IF(OR(M6769="",N6769=""),"",SUMIFS('Barang Keluar'!$E:$E,'Barang Keluar'!$A:$A,M6769,'Barang Keluar'!$C:$C,N6769))</f>
        <v>0</v>
      </c>
    </row>
    <row r="6770" spans="13:16">
      <c r="M6770" s="49">
        <f>IF($A$4+67&gt;$B$4,"",$A$4+67)</f>
        <v>46090</v>
      </c>
      <c r="N6770">
        <f>IF(M6770="","",'Master Barang'!A64)</f>
        <v>0</v>
      </c>
      <c r="O6770">
        <f>IF(N6770="","",'Master Barang'!B64)</f>
        <v>0</v>
      </c>
      <c r="P6770">
        <f>IF(OR(M6770="",N6770=""),"",SUMIFS('Barang Keluar'!$E:$E,'Barang Keluar'!$A:$A,M6770,'Barang Keluar'!$C:$C,N6770))</f>
        <v>0</v>
      </c>
    </row>
    <row r="6771" spans="13:16">
      <c r="M6771" s="49">
        <f>IF($A$4+67&gt;$B$4,"",$A$4+67)</f>
        <v>46090</v>
      </c>
      <c r="N6771">
        <f>IF(M6771="","",'Master Barang'!A65)</f>
        <v>0</v>
      </c>
      <c r="O6771">
        <f>IF(N6771="","",'Master Barang'!B65)</f>
        <v>0</v>
      </c>
      <c r="P6771">
        <f>IF(OR(M6771="",N6771=""),"",SUMIFS('Barang Keluar'!$E:$E,'Barang Keluar'!$A:$A,M6771,'Barang Keluar'!$C:$C,N6771))</f>
        <v>0</v>
      </c>
    </row>
    <row r="6772" spans="13:16">
      <c r="M6772" s="49">
        <f>IF($A$4+67&gt;$B$4,"",$A$4+67)</f>
        <v>46090</v>
      </c>
      <c r="N6772">
        <f>IF(M6772="","",'Master Barang'!A66)</f>
        <v>0</v>
      </c>
      <c r="O6772">
        <f>IF(N6772="","",'Master Barang'!B66)</f>
        <v>0</v>
      </c>
      <c r="P6772">
        <f>IF(OR(M6772="",N6772=""),"",SUMIFS('Barang Keluar'!$E:$E,'Barang Keluar'!$A:$A,M6772,'Barang Keluar'!$C:$C,N6772))</f>
        <v>0</v>
      </c>
    </row>
    <row r="6773" spans="13:16">
      <c r="M6773" s="49">
        <f>IF($A$4+67&gt;$B$4,"",$A$4+67)</f>
        <v>46090</v>
      </c>
      <c r="N6773">
        <f>IF(M6773="","",'Master Barang'!A67)</f>
        <v>0</v>
      </c>
      <c r="O6773">
        <f>IF(N6773="","",'Master Barang'!B67)</f>
        <v>0</v>
      </c>
      <c r="P6773">
        <f>IF(OR(M6773="",N6773=""),"",SUMIFS('Barang Keluar'!$E:$E,'Barang Keluar'!$A:$A,M6773,'Barang Keluar'!$C:$C,N6773))</f>
        <v>0</v>
      </c>
    </row>
    <row r="6774" spans="13:16">
      <c r="M6774" s="49">
        <f>IF($A$4+67&gt;$B$4,"",$A$4+67)</f>
        <v>46090</v>
      </c>
      <c r="N6774">
        <f>IF(M6774="","",'Master Barang'!A68)</f>
        <v>0</v>
      </c>
      <c r="O6774">
        <f>IF(N6774="","",'Master Barang'!B68)</f>
        <v>0</v>
      </c>
      <c r="P6774">
        <f>IF(OR(M6774="",N6774=""),"",SUMIFS('Barang Keluar'!$E:$E,'Barang Keluar'!$A:$A,M6774,'Barang Keluar'!$C:$C,N6774))</f>
        <v>0</v>
      </c>
    </row>
    <row r="6775" spans="13:16">
      <c r="M6775" s="49">
        <f>IF($A$4+67&gt;$B$4,"",$A$4+67)</f>
        <v>46090</v>
      </c>
      <c r="N6775">
        <f>IF(M6775="","",'Master Barang'!A69)</f>
        <v>0</v>
      </c>
      <c r="O6775">
        <f>IF(N6775="","",'Master Barang'!B69)</f>
        <v>0</v>
      </c>
      <c r="P6775">
        <f>IF(OR(M6775="",N6775=""),"",SUMIFS('Barang Keluar'!$E:$E,'Barang Keluar'!$A:$A,M6775,'Barang Keluar'!$C:$C,N6775))</f>
        <v>0</v>
      </c>
    </row>
    <row r="6776" spans="13:16">
      <c r="M6776" s="49">
        <f>IF($A$4+67&gt;$B$4,"",$A$4+67)</f>
        <v>46090</v>
      </c>
      <c r="N6776">
        <f>IF(M6776="","",'Master Barang'!A70)</f>
        <v>0</v>
      </c>
      <c r="O6776">
        <f>IF(N6776="","",'Master Barang'!B70)</f>
        <v>0</v>
      </c>
      <c r="P6776">
        <f>IF(OR(M6776="",N6776=""),"",SUMIFS('Barang Keluar'!$E:$E,'Barang Keluar'!$A:$A,M6776,'Barang Keluar'!$C:$C,N6776))</f>
        <v>0</v>
      </c>
    </row>
    <row r="6777" spans="13:16">
      <c r="M6777" s="49">
        <f>IF($A$4+67&gt;$B$4,"",$A$4+67)</f>
        <v>46090</v>
      </c>
      <c r="N6777">
        <f>IF(M6777="","",'Master Barang'!A71)</f>
        <v>0</v>
      </c>
      <c r="O6777">
        <f>IF(N6777="","",'Master Barang'!B71)</f>
        <v>0</v>
      </c>
      <c r="P6777">
        <f>IF(OR(M6777="",N6777=""),"",SUMIFS('Barang Keluar'!$E:$E,'Barang Keluar'!$A:$A,M6777,'Barang Keluar'!$C:$C,N6777))</f>
        <v>0</v>
      </c>
    </row>
    <row r="6778" spans="13:16">
      <c r="M6778" s="49">
        <f>IF($A$4+67&gt;$B$4,"",$A$4+67)</f>
        <v>46090</v>
      </c>
      <c r="N6778">
        <f>IF(M6778="","",'Master Barang'!A72)</f>
        <v>0</v>
      </c>
      <c r="O6778">
        <f>IF(N6778="","",'Master Barang'!B72)</f>
        <v>0</v>
      </c>
      <c r="P6778">
        <f>IF(OR(M6778="",N6778=""),"",SUMIFS('Barang Keluar'!$E:$E,'Barang Keluar'!$A:$A,M6778,'Barang Keluar'!$C:$C,N6778))</f>
        <v>0</v>
      </c>
    </row>
    <row r="6779" spans="13:16">
      <c r="M6779" s="49">
        <f>IF($A$4+67&gt;$B$4,"",$A$4+67)</f>
        <v>46090</v>
      </c>
      <c r="N6779">
        <f>IF(M6779="","",'Master Barang'!A73)</f>
        <v>0</v>
      </c>
      <c r="O6779">
        <f>IF(N6779="","",'Master Barang'!B73)</f>
        <v>0</v>
      </c>
      <c r="P6779">
        <f>IF(OR(M6779="",N6779=""),"",SUMIFS('Barang Keluar'!$E:$E,'Barang Keluar'!$A:$A,M6779,'Barang Keluar'!$C:$C,N6779))</f>
        <v>0</v>
      </c>
    </row>
    <row r="6780" spans="13:16">
      <c r="M6780" s="49">
        <f>IF($A$4+67&gt;$B$4,"",$A$4+67)</f>
        <v>46090</v>
      </c>
      <c r="N6780">
        <f>IF(M6780="","",'Master Barang'!A74)</f>
        <v>0</v>
      </c>
      <c r="O6780">
        <f>IF(N6780="","",'Master Barang'!B74)</f>
        <v>0</v>
      </c>
      <c r="P6780">
        <f>IF(OR(M6780="",N6780=""),"",SUMIFS('Barang Keluar'!$E:$E,'Barang Keluar'!$A:$A,M6780,'Barang Keluar'!$C:$C,N6780))</f>
        <v>0</v>
      </c>
    </row>
    <row r="6781" spans="13:16">
      <c r="M6781" s="49">
        <f>IF($A$4+67&gt;$B$4,"",$A$4+67)</f>
        <v>46090</v>
      </c>
      <c r="N6781">
        <f>IF(M6781="","",'Master Barang'!A75)</f>
        <v>0</v>
      </c>
      <c r="O6781">
        <f>IF(N6781="","",'Master Barang'!B75)</f>
        <v>0</v>
      </c>
      <c r="P6781">
        <f>IF(OR(M6781="",N6781=""),"",SUMIFS('Barang Keluar'!$E:$E,'Barang Keluar'!$A:$A,M6781,'Barang Keluar'!$C:$C,N6781))</f>
        <v>0</v>
      </c>
    </row>
    <row r="6782" spans="13:16">
      <c r="M6782" s="49">
        <f>IF($A$4+67&gt;$B$4,"",$A$4+67)</f>
        <v>46090</v>
      </c>
      <c r="N6782">
        <f>IF(M6782="","",'Master Barang'!A76)</f>
        <v>0</v>
      </c>
      <c r="O6782">
        <f>IF(N6782="","",'Master Barang'!B76)</f>
        <v>0</v>
      </c>
      <c r="P6782">
        <f>IF(OR(M6782="",N6782=""),"",SUMIFS('Barang Keluar'!$E:$E,'Barang Keluar'!$A:$A,M6782,'Barang Keluar'!$C:$C,N6782))</f>
        <v>0</v>
      </c>
    </row>
    <row r="6783" spans="13:16">
      <c r="M6783" s="49">
        <f>IF($A$4+67&gt;$B$4,"",$A$4+67)</f>
        <v>46090</v>
      </c>
      <c r="N6783">
        <f>IF(M6783="","",'Master Barang'!A77)</f>
        <v>0</v>
      </c>
      <c r="O6783">
        <f>IF(N6783="","",'Master Barang'!B77)</f>
        <v>0</v>
      </c>
      <c r="P6783">
        <f>IF(OR(M6783="",N6783=""),"",SUMIFS('Barang Keluar'!$E:$E,'Barang Keluar'!$A:$A,M6783,'Barang Keluar'!$C:$C,N6783))</f>
        <v>0</v>
      </c>
    </row>
    <row r="6784" spans="13:16">
      <c r="M6784" s="49">
        <f>IF($A$4+67&gt;$B$4,"",$A$4+67)</f>
        <v>46090</v>
      </c>
      <c r="N6784">
        <f>IF(M6784="","",'Master Barang'!A78)</f>
        <v>0</v>
      </c>
      <c r="O6784">
        <f>IF(N6784="","",'Master Barang'!B78)</f>
        <v>0</v>
      </c>
      <c r="P6784">
        <f>IF(OR(M6784="",N6784=""),"",SUMIFS('Barang Keluar'!$E:$E,'Barang Keluar'!$A:$A,M6784,'Barang Keluar'!$C:$C,N6784))</f>
        <v>0</v>
      </c>
    </row>
    <row r="6785" spans="13:16">
      <c r="M6785" s="49">
        <f>IF($A$4+67&gt;$B$4,"",$A$4+67)</f>
        <v>46090</v>
      </c>
      <c r="N6785">
        <f>IF(M6785="","",'Master Barang'!A79)</f>
        <v>0</v>
      </c>
      <c r="O6785">
        <f>IF(N6785="","",'Master Barang'!B79)</f>
        <v>0</v>
      </c>
      <c r="P6785">
        <f>IF(OR(M6785="",N6785=""),"",SUMIFS('Barang Keluar'!$E:$E,'Barang Keluar'!$A:$A,M6785,'Barang Keluar'!$C:$C,N6785))</f>
        <v>0</v>
      </c>
    </row>
    <row r="6786" spans="13:16">
      <c r="M6786" s="49">
        <f>IF($A$4+67&gt;$B$4,"",$A$4+67)</f>
        <v>46090</v>
      </c>
      <c r="N6786">
        <f>IF(M6786="","",'Master Barang'!A80)</f>
        <v>0</v>
      </c>
      <c r="O6786">
        <f>IF(N6786="","",'Master Barang'!B80)</f>
        <v>0</v>
      </c>
      <c r="P6786">
        <f>IF(OR(M6786="",N6786=""),"",SUMIFS('Barang Keluar'!$E:$E,'Barang Keluar'!$A:$A,M6786,'Barang Keluar'!$C:$C,N6786))</f>
        <v>0</v>
      </c>
    </row>
    <row r="6787" spans="13:16">
      <c r="M6787" s="49">
        <f>IF($A$4+67&gt;$B$4,"",$A$4+67)</f>
        <v>46090</v>
      </c>
      <c r="N6787">
        <f>IF(M6787="","",'Master Barang'!A81)</f>
        <v>0</v>
      </c>
      <c r="O6787">
        <f>IF(N6787="","",'Master Barang'!B81)</f>
        <v>0</v>
      </c>
      <c r="P6787">
        <f>IF(OR(M6787="",N6787=""),"",SUMIFS('Barang Keluar'!$E:$E,'Barang Keluar'!$A:$A,M6787,'Barang Keluar'!$C:$C,N6787))</f>
        <v>0</v>
      </c>
    </row>
    <row r="6788" spans="13:16">
      <c r="M6788" s="49">
        <f>IF($A$4+67&gt;$B$4,"",$A$4+67)</f>
        <v>46090</v>
      </c>
      <c r="N6788">
        <f>IF(M6788="","",'Master Barang'!A82)</f>
        <v>0</v>
      </c>
      <c r="O6788">
        <f>IF(N6788="","",'Master Barang'!B82)</f>
        <v>0</v>
      </c>
      <c r="P6788">
        <f>IF(OR(M6788="",N6788=""),"",SUMIFS('Barang Keluar'!$E:$E,'Barang Keluar'!$A:$A,M6788,'Barang Keluar'!$C:$C,N6788))</f>
        <v>0</v>
      </c>
    </row>
    <row r="6789" spans="13:16">
      <c r="M6789" s="49">
        <f>IF($A$4+67&gt;$B$4,"",$A$4+67)</f>
        <v>46090</v>
      </c>
      <c r="N6789">
        <f>IF(M6789="","",'Master Barang'!A83)</f>
        <v>0</v>
      </c>
      <c r="O6789">
        <f>IF(N6789="","",'Master Barang'!B83)</f>
        <v>0</v>
      </c>
      <c r="P6789">
        <f>IF(OR(M6789="",N6789=""),"",SUMIFS('Barang Keluar'!$E:$E,'Barang Keluar'!$A:$A,M6789,'Barang Keluar'!$C:$C,N6789))</f>
        <v>0</v>
      </c>
    </row>
    <row r="6790" spans="13:16">
      <c r="M6790" s="49">
        <f>IF($A$4+67&gt;$B$4,"",$A$4+67)</f>
        <v>46090</v>
      </c>
      <c r="N6790">
        <f>IF(M6790="","",'Master Barang'!A84)</f>
        <v>0</v>
      </c>
      <c r="O6790">
        <f>IF(N6790="","",'Master Barang'!B84)</f>
        <v>0</v>
      </c>
      <c r="P6790">
        <f>IF(OR(M6790="",N6790=""),"",SUMIFS('Barang Keluar'!$E:$E,'Barang Keluar'!$A:$A,M6790,'Barang Keluar'!$C:$C,N6790))</f>
        <v>0</v>
      </c>
    </row>
    <row r="6791" spans="13:16">
      <c r="M6791" s="49">
        <f>IF($A$4+67&gt;$B$4,"",$A$4+67)</f>
        <v>46090</v>
      </c>
      <c r="N6791">
        <f>IF(M6791="","",'Master Barang'!A85)</f>
        <v>0</v>
      </c>
      <c r="O6791">
        <f>IF(N6791="","",'Master Barang'!B85)</f>
        <v>0</v>
      </c>
      <c r="P6791">
        <f>IF(OR(M6791="",N6791=""),"",SUMIFS('Barang Keluar'!$E:$E,'Barang Keluar'!$A:$A,M6791,'Barang Keluar'!$C:$C,N6791))</f>
        <v>0</v>
      </c>
    </row>
    <row r="6792" spans="13:16">
      <c r="M6792" s="49">
        <f>IF($A$4+67&gt;$B$4,"",$A$4+67)</f>
        <v>46090</v>
      </c>
      <c r="N6792">
        <f>IF(M6792="","",'Master Barang'!A86)</f>
        <v>0</v>
      </c>
      <c r="O6792">
        <f>IF(N6792="","",'Master Barang'!B86)</f>
        <v>0</v>
      </c>
      <c r="P6792">
        <f>IF(OR(M6792="",N6792=""),"",SUMIFS('Barang Keluar'!$E:$E,'Barang Keluar'!$A:$A,M6792,'Barang Keluar'!$C:$C,N6792))</f>
        <v>0</v>
      </c>
    </row>
    <row r="6793" spans="13:16">
      <c r="M6793" s="49">
        <f>IF($A$4+67&gt;$B$4,"",$A$4+67)</f>
        <v>46090</v>
      </c>
      <c r="N6793">
        <f>IF(M6793="","",'Master Barang'!A87)</f>
        <v>0</v>
      </c>
      <c r="O6793">
        <f>IF(N6793="","",'Master Barang'!B87)</f>
        <v>0</v>
      </c>
      <c r="P6793">
        <f>IF(OR(M6793="",N6793=""),"",SUMIFS('Barang Keluar'!$E:$E,'Barang Keluar'!$A:$A,M6793,'Barang Keluar'!$C:$C,N6793))</f>
        <v>0</v>
      </c>
    </row>
    <row r="6794" spans="13:16">
      <c r="M6794" s="49">
        <f>IF($A$4+67&gt;$B$4,"",$A$4+67)</f>
        <v>46090</v>
      </c>
      <c r="N6794">
        <f>IF(M6794="","",'Master Barang'!A88)</f>
        <v>0</v>
      </c>
      <c r="O6794">
        <f>IF(N6794="","",'Master Barang'!B88)</f>
        <v>0</v>
      </c>
      <c r="P6794">
        <f>IF(OR(M6794="",N6794=""),"",SUMIFS('Barang Keluar'!$E:$E,'Barang Keluar'!$A:$A,M6794,'Barang Keluar'!$C:$C,N6794))</f>
        <v>0</v>
      </c>
    </row>
    <row r="6795" spans="13:16">
      <c r="M6795" s="49">
        <f>IF($A$4+67&gt;$B$4,"",$A$4+67)</f>
        <v>46090</v>
      </c>
      <c r="N6795">
        <f>IF(M6795="","",'Master Barang'!A89)</f>
        <v>0</v>
      </c>
      <c r="O6795">
        <f>IF(N6795="","",'Master Barang'!B89)</f>
        <v>0</v>
      </c>
      <c r="P6795">
        <f>IF(OR(M6795="",N6795=""),"",SUMIFS('Barang Keluar'!$E:$E,'Barang Keluar'!$A:$A,M6795,'Barang Keluar'!$C:$C,N6795))</f>
        <v>0</v>
      </c>
    </row>
    <row r="6796" spans="13:16">
      <c r="M6796" s="49">
        <f>IF($A$4+67&gt;$B$4,"",$A$4+67)</f>
        <v>46090</v>
      </c>
      <c r="N6796">
        <f>IF(M6796="","",'Master Barang'!A90)</f>
        <v>0</v>
      </c>
      <c r="O6796">
        <f>IF(N6796="","",'Master Barang'!B90)</f>
        <v>0</v>
      </c>
      <c r="P6796">
        <f>IF(OR(M6796="",N6796=""),"",SUMIFS('Barang Keluar'!$E:$E,'Barang Keluar'!$A:$A,M6796,'Barang Keluar'!$C:$C,N6796))</f>
        <v>0</v>
      </c>
    </row>
    <row r="6797" spans="13:16">
      <c r="M6797" s="49">
        <f>IF($A$4+67&gt;$B$4,"",$A$4+67)</f>
        <v>46090</v>
      </c>
      <c r="N6797">
        <f>IF(M6797="","",'Master Barang'!A91)</f>
        <v>0</v>
      </c>
      <c r="O6797">
        <f>IF(N6797="","",'Master Barang'!B91)</f>
        <v>0</v>
      </c>
      <c r="P6797">
        <f>IF(OR(M6797="",N6797=""),"",SUMIFS('Barang Keluar'!$E:$E,'Barang Keluar'!$A:$A,M6797,'Barang Keluar'!$C:$C,N6797))</f>
        <v>0</v>
      </c>
    </row>
    <row r="6798" spans="13:16">
      <c r="M6798" s="49">
        <f>IF($A$4+67&gt;$B$4,"",$A$4+67)</f>
        <v>46090</v>
      </c>
      <c r="N6798">
        <f>IF(M6798="","",'Master Barang'!A92)</f>
        <v>0</v>
      </c>
      <c r="O6798">
        <f>IF(N6798="","",'Master Barang'!B92)</f>
        <v>0</v>
      </c>
      <c r="P6798">
        <f>IF(OR(M6798="",N6798=""),"",SUMIFS('Barang Keluar'!$E:$E,'Barang Keluar'!$A:$A,M6798,'Barang Keluar'!$C:$C,N6798))</f>
        <v>0</v>
      </c>
    </row>
    <row r="6799" spans="13:16">
      <c r="M6799" s="49">
        <f>IF($A$4+67&gt;$B$4,"",$A$4+67)</f>
        <v>46090</v>
      </c>
      <c r="N6799">
        <f>IF(M6799="","",'Master Barang'!A93)</f>
        <v>0</v>
      </c>
      <c r="O6799">
        <f>IF(N6799="","",'Master Barang'!B93)</f>
        <v>0</v>
      </c>
      <c r="P6799">
        <f>IF(OR(M6799="",N6799=""),"",SUMIFS('Barang Keluar'!$E:$E,'Barang Keluar'!$A:$A,M6799,'Barang Keluar'!$C:$C,N6799))</f>
        <v>0</v>
      </c>
    </row>
    <row r="6800" spans="13:16">
      <c r="M6800" s="49">
        <f>IF($A$4+67&gt;$B$4,"",$A$4+67)</f>
        <v>46090</v>
      </c>
      <c r="N6800">
        <f>IF(M6800="","",'Master Barang'!A94)</f>
        <v>0</v>
      </c>
      <c r="O6800">
        <f>IF(N6800="","",'Master Barang'!B94)</f>
        <v>0</v>
      </c>
      <c r="P6800">
        <f>IF(OR(M6800="",N6800=""),"",SUMIFS('Barang Keluar'!$E:$E,'Barang Keluar'!$A:$A,M6800,'Barang Keluar'!$C:$C,N6800))</f>
        <v>0</v>
      </c>
    </row>
    <row r="6801" spans="13:16">
      <c r="M6801" s="49">
        <f>IF($A$4+67&gt;$B$4,"",$A$4+67)</f>
        <v>46090</v>
      </c>
      <c r="N6801">
        <f>IF(M6801="","",'Master Barang'!A95)</f>
        <v>0</v>
      </c>
      <c r="O6801">
        <f>IF(N6801="","",'Master Barang'!B95)</f>
        <v>0</v>
      </c>
      <c r="P6801">
        <f>IF(OR(M6801="",N6801=""),"",SUMIFS('Barang Keluar'!$E:$E,'Barang Keluar'!$A:$A,M6801,'Barang Keluar'!$C:$C,N6801))</f>
        <v>0</v>
      </c>
    </row>
    <row r="6802" spans="13:16">
      <c r="M6802" s="49">
        <f>IF($A$4+67&gt;$B$4,"",$A$4+67)</f>
        <v>46090</v>
      </c>
      <c r="N6802">
        <f>IF(M6802="","",'Master Barang'!A96)</f>
        <v>0</v>
      </c>
      <c r="O6802">
        <f>IF(N6802="","",'Master Barang'!B96)</f>
        <v>0</v>
      </c>
      <c r="P6802">
        <f>IF(OR(M6802="",N6802=""),"",SUMIFS('Barang Keluar'!$E:$E,'Barang Keluar'!$A:$A,M6802,'Barang Keluar'!$C:$C,N6802))</f>
        <v>0</v>
      </c>
    </row>
    <row r="6803" spans="13:16">
      <c r="M6803" s="49">
        <f>IF($A$4+67&gt;$B$4,"",$A$4+67)</f>
        <v>46090</v>
      </c>
      <c r="N6803">
        <f>IF(M6803="","",'Master Barang'!A97)</f>
        <v>0</v>
      </c>
      <c r="O6803">
        <f>IF(N6803="","",'Master Barang'!B97)</f>
        <v>0</v>
      </c>
      <c r="P6803">
        <f>IF(OR(M6803="",N6803=""),"",SUMIFS('Barang Keluar'!$E:$E,'Barang Keluar'!$A:$A,M6803,'Barang Keluar'!$C:$C,N6803))</f>
        <v>0</v>
      </c>
    </row>
    <row r="6804" spans="13:16">
      <c r="M6804" s="49">
        <f>IF($A$4+67&gt;$B$4,"",$A$4+67)</f>
        <v>46090</v>
      </c>
      <c r="N6804">
        <f>IF(M6804="","",'Master Barang'!A98)</f>
        <v>0</v>
      </c>
      <c r="O6804">
        <f>IF(N6804="","",'Master Barang'!B98)</f>
        <v>0</v>
      </c>
      <c r="P6804">
        <f>IF(OR(M6804="",N6804=""),"",SUMIFS('Barang Keluar'!$E:$E,'Barang Keluar'!$A:$A,M6804,'Barang Keluar'!$C:$C,N6804))</f>
        <v>0</v>
      </c>
    </row>
    <row r="6805" spans="13:16">
      <c r="M6805" s="49">
        <f>IF($A$4+67&gt;$B$4,"",$A$4+67)</f>
        <v>46090</v>
      </c>
      <c r="N6805">
        <f>IF(M6805="","",'Master Barang'!A99)</f>
        <v>0</v>
      </c>
      <c r="O6805">
        <f>IF(N6805="","",'Master Barang'!B99)</f>
        <v>0</v>
      </c>
      <c r="P6805">
        <f>IF(OR(M6805="",N6805=""),"",SUMIFS('Barang Keluar'!$E:$E,'Barang Keluar'!$A:$A,M6805,'Barang Keluar'!$C:$C,N6805))</f>
        <v>0</v>
      </c>
    </row>
    <row r="6806" spans="13:16">
      <c r="M6806" s="49">
        <f>IF($A$4+67&gt;$B$4,"",$A$4+67)</f>
        <v>46090</v>
      </c>
      <c r="N6806">
        <f>IF(M6806="","",'Master Barang'!A100)</f>
        <v>0</v>
      </c>
      <c r="O6806">
        <f>IF(N6806="","",'Master Barang'!B100)</f>
        <v>0</v>
      </c>
      <c r="P6806">
        <f>IF(OR(M6806="",N6806=""),"",SUMIFS('Barang Keluar'!$E:$E,'Barang Keluar'!$A:$A,M6806,'Barang Keluar'!$C:$C,N6806))</f>
        <v>0</v>
      </c>
    </row>
    <row r="6807" spans="13:16">
      <c r="M6807" s="49">
        <f>IF($A$4+67&gt;$B$4,"",$A$4+67)</f>
        <v>46090</v>
      </c>
      <c r="N6807">
        <f>IF(M6807="","",'Master Barang'!A101)</f>
        <v>0</v>
      </c>
      <c r="O6807">
        <f>IF(N6807="","",'Master Barang'!B101)</f>
        <v>0</v>
      </c>
      <c r="P6807">
        <f>IF(OR(M6807="",N6807=""),"",SUMIFS('Barang Keluar'!$E:$E,'Barang Keluar'!$A:$A,M6807,'Barang Keluar'!$C:$C,N6807))</f>
        <v>0</v>
      </c>
    </row>
    <row r="6808" spans="13:16">
      <c r="M6808" s="49">
        <f>IF($A$4+68&gt;$B$4,"",$A$4+68)</f>
        <v>46091</v>
      </c>
      <c r="N6808" t="str">
        <f>IF(M6808="","",'Master Barang'!A2)</f>
        <v>PRL-001</v>
      </c>
      <c r="O6808" t="str">
        <f>IF(N6808="","",'Master Barang'!B2)</f>
        <v>natura desinfectant food grade 5l</v>
      </c>
      <c r="P6808">
        <f>IF(OR(M6808="",N6808=""),"",SUMIFS('Barang Keluar'!$E:$E,'Barang Keluar'!$A:$A,M6808,'Barang Keluar'!$C:$C,N6808))</f>
        <v>0</v>
      </c>
    </row>
    <row r="6809" spans="13:16">
      <c r="M6809" s="49">
        <f>IF($A$4+68&gt;$B$4,"",$A$4+68)</f>
        <v>46091</v>
      </c>
      <c r="N6809" t="str">
        <f>IF(M6809="","",'Master Barang'!A3)</f>
        <v>PRL-002</v>
      </c>
      <c r="O6809" t="str">
        <f>IF(N6809="","",'Master Barang'!B3)</f>
        <v>sunlight cairan pencuci piring 5l</v>
      </c>
      <c r="P6809">
        <f>IF(OR(M6809="",N6809=""),"",SUMIFS('Barang Keluar'!$E:$E,'Barang Keluar'!$A:$A,M6809,'Barang Keluar'!$C:$C,N6809))</f>
        <v>0</v>
      </c>
    </row>
    <row r="6810" spans="13:16">
      <c r="M6810" s="49">
        <f>IF($A$4+68&gt;$B$4,"",$A$4+68)</f>
        <v>46091</v>
      </c>
      <c r="N6810" t="str">
        <f>IF(M6810="","",'Master Barang'!A4)</f>
        <v>PRL-003</v>
      </c>
      <c r="O6810" t="str">
        <f>IF(N6810="","",'Master Barang'!B4)</f>
        <v>oixs cleaner 1l</v>
      </c>
      <c r="P6810">
        <f>IF(OR(M6810="",N6810=""),"",SUMIFS('Barang Keluar'!$E:$E,'Barang Keluar'!$A:$A,M6810,'Barang Keluar'!$C:$C,N6810))</f>
        <v>0</v>
      </c>
    </row>
    <row r="6811" spans="13:16">
      <c r="M6811" s="49">
        <f>IF($A$4+68&gt;$B$4,"",$A$4+68)</f>
        <v>46091</v>
      </c>
      <c r="N6811" t="str">
        <f>IF(M6811="","",'Master Barang'!A5)</f>
        <v>PRL-004</v>
      </c>
      <c r="O6811" t="str">
        <f>IF(N6811="","",'Master Barang'!B5)</f>
        <v>be clean tissue serbaguna</v>
      </c>
      <c r="P6811">
        <f>IF(OR(M6811="",N6811=""),"",SUMIFS('Barang Keluar'!$E:$E,'Barang Keluar'!$A:$A,M6811,'Barang Keluar'!$C:$C,N6811))</f>
        <v>0</v>
      </c>
    </row>
    <row r="6812" spans="13:16">
      <c r="M6812" s="49">
        <f>IF($A$4+68&gt;$B$4,"",$A$4+68)</f>
        <v>46091</v>
      </c>
      <c r="N6812" t="str">
        <f>IF(M6812="","",'Master Barang'!A6)</f>
        <v>PRL-005</v>
      </c>
      <c r="O6812" t="str">
        <f>IF(N6812="","",'Master Barang'!B6)</f>
        <v>spons cuci hijau</v>
      </c>
      <c r="P6812">
        <f>IF(OR(M6812="",N6812=""),"",SUMIFS('Barang Keluar'!$E:$E,'Barang Keluar'!$A:$A,M6812,'Barang Keluar'!$C:$C,N6812))</f>
        <v>0</v>
      </c>
    </row>
    <row r="6813" spans="13:16">
      <c r="M6813" s="49">
        <f>IF($A$4+68&gt;$B$4,"",$A$4+68)</f>
        <v>46091</v>
      </c>
      <c r="N6813" t="str">
        <f>IF(M6813="","",'Master Barang'!A7)</f>
        <v>PRL-006</v>
      </c>
      <c r="O6813" t="str">
        <f>IF(N6813="","",'Master Barang'!B7)</f>
        <v>sabut cuci stainless</v>
      </c>
      <c r="P6813">
        <f>IF(OR(M6813="",N6813=""),"",SUMIFS('Barang Keluar'!$E:$E,'Barang Keluar'!$A:$A,M6813,'Barang Keluar'!$C:$C,N6813))</f>
        <v>0</v>
      </c>
    </row>
    <row r="6814" spans="13:16">
      <c r="M6814" s="49">
        <f>IF($A$4+68&gt;$B$4,"",$A$4+68)</f>
        <v>46091</v>
      </c>
      <c r="N6814" t="str">
        <f>IF(M6814="","",'Master Barang'!A8)</f>
        <v>PRL-007</v>
      </c>
      <c r="O6814" t="str">
        <f>IF(N6814="","",'Master Barang'!B8)</f>
        <v>plastik kresek besar merah 50pc</v>
      </c>
      <c r="P6814">
        <f>IF(OR(M6814="",N6814=""),"",SUMIFS('Barang Keluar'!$E:$E,'Barang Keluar'!$A:$A,M6814,'Barang Keluar'!$C:$C,N6814))</f>
        <v>0</v>
      </c>
    </row>
    <row r="6815" spans="13:16">
      <c r="M6815" s="49">
        <f>IF($A$4+68&gt;$B$4,"",$A$4+68)</f>
        <v>46091</v>
      </c>
      <c r="N6815" t="str">
        <f>IF(M6815="","",'Master Barang'!A9)</f>
        <v>PRL-008</v>
      </c>
      <c r="O6815" t="str">
        <f>IF(N6815="","",'Master Barang'!B9)</f>
        <v>lap besar</v>
      </c>
      <c r="P6815">
        <f>IF(OR(M6815="",N6815=""),"",SUMIFS('Barang Keluar'!$E:$E,'Barang Keluar'!$A:$A,M6815,'Barang Keluar'!$C:$C,N6815))</f>
        <v>0</v>
      </c>
    </row>
    <row r="6816" spans="13:16">
      <c r="M6816" s="49">
        <f>IF($A$4+68&gt;$B$4,"",$A$4+68)</f>
        <v>46091</v>
      </c>
      <c r="N6816" t="str">
        <f>IF(M6816="","",'Master Barang'!A10)</f>
        <v>PRL-009</v>
      </c>
      <c r="O6816" t="str">
        <f>IF(N6816="","",'Master Barang'!B10)</f>
        <v>lap microfiber</v>
      </c>
      <c r="P6816">
        <f>IF(OR(M6816="",N6816=""),"",SUMIFS('Barang Keluar'!$E:$E,'Barang Keluar'!$A:$A,M6816,'Barang Keluar'!$C:$C,N6816))</f>
        <v>0</v>
      </c>
    </row>
    <row r="6817" spans="13:16">
      <c r="M6817" s="49">
        <f>IF($A$4+68&gt;$B$4,"",$A$4+68)</f>
        <v>46091</v>
      </c>
      <c r="N6817" t="str">
        <f>IF(M6817="","",'Master Barang'!A11)</f>
        <v>PRL-010</v>
      </c>
      <c r="O6817" t="str">
        <f>IF(N6817="","",'Master Barang'!B11)</f>
        <v>lap kecil</v>
      </c>
      <c r="P6817">
        <f>IF(OR(M6817="",N6817=""),"",SUMIFS('Barang Keluar'!$E:$E,'Barang Keluar'!$A:$A,M6817,'Barang Keluar'!$C:$C,N6817))</f>
        <v>0</v>
      </c>
    </row>
    <row r="6818" spans="13:16">
      <c r="M6818" s="49">
        <f>IF($A$4+68&gt;$B$4,"",$A$4+68)</f>
        <v>46091</v>
      </c>
      <c r="N6818" t="str">
        <f>IF(M6818="","",'Master Barang'!A12)</f>
        <v>PRL-011</v>
      </c>
      <c r="O6818" t="str">
        <f>IF(N6818="","",'Master Barang'!B12)</f>
        <v>kanebo kecil</v>
      </c>
      <c r="P6818">
        <f>IF(OR(M6818="",N6818=""),"",SUMIFS('Barang Keluar'!$E:$E,'Barang Keluar'!$A:$A,M6818,'Barang Keluar'!$C:$C,N6818))</f>
        <v>0</v>
      </c>
    </row>
    <row r="6819" spans="13:16">
      <c r="M6819" s="49">
        <f>IF($A$4+68&gt;$B$4,"",$A$4+68)</f>
        <v>46091</v>
      </c>
      <c r="N6819" t="str">
        <f>IF(M6819="","",'Master Barang'!A13)</f>
        <v>PRL-012</v>
      </c>
      <c r="O6819" t="str">
        <f>IF(N6819="","",'Master Barang'!B13)</f>
        <v>plastik 1/4kg joyoboyo 100 lembar</v>
      </c>
      <c r="P6819">
        <f>IF(OR(M6819="",N6819=""),"",SUMIFS('Barang Keluar'!$E:$E,'Barang Keluar'!$A:$A,M6819,'Barang Keluar'!$C:$C,N6819))</f>
        <v>0</v>
      </c>
    </row>
    <row r="6820" spans="13:16">
      <c r="M6820" s="49">
        <f>IF($A$4+68&gt;$B$4,"",$A$4+68)</f>
        <v>46091</v>
      </c>
      <c r="N6820" t="str">
        <f>IF(M6820="","",'Master Barang'!A14)</f>
        <v>PRL-013</v>
      </c>
      <c r="O6820" t="str">
        <f>IF(N6820="","",'Master Barang'!B14)</f>
        <v>sarung tangan plastik kaka 100 pcs</v>
      </c>
      <c r="P6820">
        <f>IF(OR(M6820="",N6820=""),"",SUMIFS('Barang Keluar'!$E:$E,'Barang Keluar'!$A:$A,M6820,'Barang Keluar'!$C:$C,N6820))</f>
        <v>0</v>
      </c>
    </row>
    <row r="6821" spans="13:16">
      <c r="M6821" s="49">
        <f>IF($A$4+68&gt;$B$4,"",$A$4+68)</f>
        <v>46091</v>
      </c>
      <c r="N6821" t="str">
        <f>IF(M6821="","",'Master Barang'!A15)</f>
        <v>PRL-014</v>
      </c>
      <c r="O6821" t="str">
        <f>IF(N6821="","",'Master Barang'!B15)</f>
        <v>optima trashbag 80x100</v>
      </c>
      <c r="P6821">
        <f>IF(OR(M6821="",N6821=""),"",SUMIFS('Barang Keluar'!$E:$E,'Barang Keluar'!$A:$A,M6821,'Barang Keluar'!$C:$C,N6821))</f>
        <v>0</v>
      </c>
    </row>
    <row r="6822" spans="13:16">
      <c r="M6822" s="49">
        <f>IF($A$4+68&gt;$B$4,"",$A$4+68)</f>
        <v>46091</v>
      </c>
      <c r="N6822" t="str">
        <f>IF(M6822="","",'Master Barang'!A16)</f>
        <v>PRL-015</v>
      </c>
      <c r="O6822" t="str">
        <f>IF(N6822="","",'Master Barang'!B16)</f>
        <v>optima trashbag 60x100</v>
      </c>
      <c r="P6822">
        <f>IF(OR(M6822="",N6822=""),"",SUMIFS('Barang Keluar'!$E:$E,'Barang Keluar'!$A:$A,M6822,'Barang Keluar'!$C:$C,N6822))</f>
        <v>0</v>
      </c>
    </row>
    <row r="6823" spans="13:16">
      <c r="M6823" s="49">
        <f>IF($A$4+68&gt;$B$4,"",$A$4+68)</f>
        <v>46091</v>
      </c>
      <c r="N6823" t="str">
        <f>IF(M6823="","",'Master Barang'!A17)</f>
        <v>PRL-016</v>
      </c>
      <c r="O6823" t="str">
        <f>IF(N6823="","",'Master Barang'!B17)</f>
        <v>rajawali trashbag 30x40</v>
      </c>
      <c r="P6823">
        <f>IF(OR(M6823="",N6823=""),"",SUMIFS('Barang Keluar'!$E:$E,'Barang Keluar'!$A:$A,M6823,'Barang Keluar'!$C:$C,N6823))</f>
        <v>0</v>
      </c>
    </row>
    <row r="6824" spans="13:16">
      <c r="M6824" s="49">
        <f>IF($A$4+68&gt;$B$4,"",$A$4+68)</f>
        <v>46091</v>
      </c>
      <c r="N6824" t="str">
        <f>IF(M6824="","",'Master Barang'!A18)</f>
        <v>PRL-017</v>
      </c>
      <c r="O6824" t="str">
        <f>IF(N6824="","",'Master Barang'!B18)</f>
        <v>onemed masker biru 3 play 50 pcs</v>
      </c>
      <c r="P6824">
        <f>IF(OR(M6824="",N6824=""),"",SUMIFS('Barang Keluar'!$E:$E,'Barang Keluar'!$A:$A,M6824,'Barang Keluar'!$C:$C,N6824))</f>
        <v>0</v>
      </c>
    </row>
    <row r="6825" spans="13:16">
      <c r="M6825" s="49">
        <f>IF($A$4+68&gt;$B$4,"",$A$4+68)</f>
        <v>46091</v>
      </c>
      <c r="N6825" t="str">
        <f>IF(M6825="","",'Master Barang'!A19)</f>
        <v>PRL-018</v>
      </c>
      <c r="O6825" t="str">
        <f>IF(N6825="","",'Master Barang'!B19)</f>
        <v>onemed masker biru 3 play hijab 50 pcs</v>
      </c>
      <c r="P6825">
        <f>IF(OR(M6825="",N6825=""),"",SUMIFS('Barang Keluar'!$E:$E,'Barang Keluar'!$A:$A,M6825,'Barang Keluar'!$C:$C,N6825))</f>
        <v>0</v>
      </c>
    </row>
    <row r="6826" spans="13:16">
      <c r="M6826" s="49">
        <f>IF($A$4+68&gt;$B$4,"",$A$4+68)</f>
        <v>46091</v>
      </c>
      <c r="N6826" t="str">
        <f>IF(M6826="","",'Master Barang'!A20)</f>
        <v>PRL-019</v>
      </c>
      <c r="O6826" t="str">
        <f>IF(N6826="","",'Master Barang'!B20)</f>
        <v>neo health masker biru 3 play 50 pcs</v>
      </c>
      <c r="P6826">
        <f>IF(OR(M6826="",N6826=""),"",SUMIFS('Barang Keluar'!$E:$E,'Barang Keluar'!$A:$A,M6826,'Barang Keluar'!$C:$C,N6826))</f>
        <v>0</v>
      </c>
    </row>
    <row r="6827" spans="13:16">
      <c r="M6827" s="49">
        <f>IF($A$4+68&gt;$B$4,"",$A$4+68)</f>
        <v>46091</v>
      </c>
      <c r="N6827" t="str">
        <f>IF(M6827="","",'Master Barang'!A21)</f>
        <v>PRL-020</v>
      </c>
      <c r="O6827" t="str">
        <f>IF(N6827="","",'Master Barang'!B21)</f>
        <v>baymed masker hijau 3 play hijau 50 pcs</v>
      </c>
      <c r="P6827">
        <f>IF(OR(M6827="",N6827=""),"",SUMIFS('Barang Keluar'!$E:$E,'Barang Keluar'!$A:$A,M6827,'Barang Keluar'!$C:$C,N6827))</f>
        <v>0</v>
      </c>
    </row>
    <row r="6828" spans="13:16">
      <c r="M6828" s="49">
        <f>IF($A$4+68&gt;$B$4,"",$A$4+68)</f>
        <v>46091</v>
      </c>
      <c r="N6828" t="str">
        <f>IF(M6828="","",'Master Barang'!A22)</f>
        <v>PRL-021</v>
      </c>
      <c r="O6828" t="str">
        <f>IF(N6828="","",'Master Barang'!B22)</f>
        <v>altamed nurse cap penutup kepala 100 pcs</v>
      </c>
      <c r="P6828">
        <f>IF(OR(M6828="",N6828=""),"",SUMIFS('Barang Keluar'!$E:$E,'Barang Keluar'!$A:$A,M6828,'Barang Keluar'!$C:$C,N6828))</f>
        <v>0</v>
      </c>
    </row>
    <row r="6829" spans="13:16">
      <c r="M6829" s="49">
        <f>IF($A$4+68&gt;$B$4,"",$A$4+68)</f>
        <v>46091</v>
      </c>
      <c r="N6829" t="str">
        <f>IF(M6829="","",'Master Barang'!A23)</f>
        <v>PRL-022</v>
      </c>
      <c r="O6829" t="str">
        <f>IF(N6829="","",'Master Barang'!B23)</f>
        <v>sabun cuci tangan</v>
      </c>
      <c r="P6829">
        <f>IF(OR(M6829="",N6829=""),"",SUMIFS('Barang Keluar'!$E:$E,'Barang Keluar'!$A:$A,M6829,'Barang Keluar'!$C:$C,N6829))</f>
        <v>0</v>
      </c>
    </row>
    <row r="6830" spans="13:16">
      <c r="M6830" s="49">
        <f>IF($A$4+68&gt;$B$4,"",$A$4+68)</f>
        <v>46091</v>
      </c>
      <c r="N6830" t="str">
        <f>IF(M6830="","",'Master Barang'!A24)</f>
        <v>PRL-023</v>
      </c>
      <c r="O6830" t="str">
        <f>IF(N6830="","",'Master Barang'!B24)</f>
        <v>gayung kecil</v>
      </c>
      <c r="P6830">
        <f>IF(OR(M6830="",N6830=""),"",SUMIFS('Barang Keluar'!$E:$E,'Barang Keluar'!$A:$A,M6830,'Barang Keluar'!$C:$C,N6830))</f>
        <v>0</v>
      </c>
    </row>
    <row r="6831" spans="13:16">
      <c r="M6831" s="49">
        <f>IF($A$4+68&gt;$B$4,"",$A$4+68)</f>
        <v>46091</v>
      </c>
      <c r="N6831" t="str">
        <f>IF(M6831="","",'Master Barang'!A25)</f>
        <v>PRL-024</v>
      </c>
      <c r="O6831" t="str">
        <f>IF(N6831="","",'Master Barang'!B25)</f>
        <v>cikrak kecil</v>
      </c>
      <c r="P6831">
        <f>IF(OR(M6831="",N6831=""),"",SUMIFS('Barang Keluar'!$E:$E,'Barang Keluar'!$A:$A,M6831,'Barang Keluar'!$C:$C,N6831))</f>
        <v>0</v>
      </c>
    </row>
    <row r="6832" spans="13:16">
      <c r="M6832" s="49">
        <f>IF($A$4+68&gt;$B$4,"",$A$4+68)</f>
        <v>46091</v>
      </c>
      <c r="N6832" t="str">
        <f>IF(M6832="","",'Master Barang'!A26)</f>
        <v>PRL-025</v>
      </c>
      <c r="O6832" t="str">
        <f>IF(N6832="","",'Master Barang'!B26)</f>
        <v>petromax plastik kecil 12x24 100 lembar</v>
      </c>
      <c r="P6832">
        <f>IF(OR(M6832="",N6832=""),"",SUMIFS('Barang Keluar'!$E:$E,'Barang Keluar'!$A:$A,M6832,'Barang Keluar'!$C:$C,N6832))</f>
        <v>0</v>
      </c>
    </row>
    <row r="6833" spans="13:16">
      <c r="M6833" s="49">
        <f>IF($A$4+68&gt;$B$4,"",$A$4+68)</f>
        <v>46091</v>
      </c>
      <c r="N6833" t="str">
        <f>IF(M6833="","",'Master Barang'!A27)</f>
        <v>PRL-026</v>
      </c>
      <c r="O6833" t="str">
        <f>IF(N6833="","",'Master Barang'!B27)</f>
        <v>lancar kresek kecil bening </v>
      </c>
      <c r="P6833">
        <f>IF(OR(M6833="",N6833=""),"",SUMIFS('Barang Keluar'!$E:$E,'Barang Keluar'!$A:$A,M6833,'Barang Keluar'!$C:$C,N6833))</f>
        <v>0</v>
      </c>
    </row>
    <row r="6834" spans="13:16">
      <c r="M6834" s="49">
        <f>IF($A$4+68&gt;$B$4,"",$A$4+68)</f>
        <v>46091</v>
      </c>
      <c r="N6834" t="str">
        <f>IF(M6834="","",'Master Barang'!A28)</f>
        <v>PRL-027</v>
      </c>
      <c r="O6834" t="str">
        <f>IF(N6834="","",'Master Barang'!B28)</f>
        <v>kresek klin warna warni kecil</v>
      </c>
      <c r="P6834">
        <f>IF(OR(M6834="",N6834=""),"",SUMIFS('Barang Keluar'!$E:$E,'Barang Keluar'!$A:$A,M6834,'Barang Keluar'!$C:$C,N6834))</f>
        <v>0</v>
      </c>
    </row>
    <row r="6835" spans="13:16">
      <c r="M6835" s="49">
        <f>IF($A$4+68&gt;$B$4,"",$A$4+68)</f>
        <v>46091</v>
      </c>
      <c r="N6835" t="str">
        <f>IF(M6835="","",'Master Barang'!A29)</f>
        <v>PRL-028</v>
      </c>
      <c r="O6835" t="str">
        <f>IF(N6835="","",'Master Barang'!B29)</f>
        <v>ctik plastik 7x10 100 pcs</v>
      </c>
      <c r="P6835">
        <f>IF(OR(M6835="",N6835=""),"",SUMIFS('Barang Keluar'!$E:$E,'Barang Keluar'!$A:$A,M6835,'Barang Keluar'!$C:$C,N6835))</f>
        <v>0</v>
      </c>
    </row>
    <row r="6836" spans="13:16">
      <c r="M6836" s="49">
        <f>IF($A$4+68&gt;$B$4,"",$A$4+68)</f>
        <v>46091</v>
      </c>
      <c r="N6836" t="str">
        <f>IF(M6836="","",'Master Barang'!A30)</f>
        <v>PRL-029</v>
      </c>
      <c r="O6836" t="str">
        <f>IF(N6836="","",'Master Barang'!B30)</f>
        <v>ctik plastik 6x10 100 pcs</v>
      </c>
      <c r="P6836">
        <f>IF(OR(M6836="",N6836=""),"",SUMIFS('Barang Keluar'!$E:$E,'Barang Keluar'!$A:$A,M6836,'Barang Keluar'!$C:$C,N6836))</f>
        <v>0</v>
      </c>
    </row>
    <row r="6837" spans="13:16">
      <c r="M6837" s="49">
        <f>IF($A$4+68&gt;$B$4,"",$A$4+68)</f>
        <v>46091</v>
      </c>
      <c r="N6837" t="str">
        <f>IF(M6837="","",'Master Barang'!A31)</f>
        <v>PRL-030</v>
      </c>
      <c r="O6837" t="str">
        <f>IF(N6837="","",'Master Barang'!B31)</f>
        <v>klip plastik 25x16 100 pcs</v>
      </c>
      <c r="P6837">
        <f>IF(OR(M6837="",N6837=""),"",SUMIFS('Barang Keluar'!$E:$E,'Barang Keluar'!$A:$A,M6837,'Barang Keluar'!$C:$C,N6837))</f>
        <v>0</v>
      </c>
    </row>
    <row r="6838" spans="13:16">
      <c r="M6838" s="49">
        <f>IF($A$4+68&gt;$B$4,"",$A$4+68)</f>
        <v>46091</v>
      </c>
      <c r="N6838" t="str">
        <f>IF(M6838="","",'Master Barang'!A32)</f>
        <v>PRL-031</v>
      </c>
      <c r="O6838" t="str">
        <f>IF(N6838="","",'Master Barang'!B32)</f>
        <v>tempat saus 20 ml</v>
      </c>
      <c r="P6838">
        <f>IF(OR(M6838="",N6838=""),"",SUMIFS('Barang Keluar'!$E:$E,'Barang Keluar'!$A:$A,M6838,'Barang Keluar'!$C:$C,N6838))</f>
        <v>0</v>
      </c>
    </row>
    <row r="6839" spans="13:16">
      <c r="M6839" s="49">
        <f>IF($A$4+68&gt;$B$4,"",$A$4+68)</f>
        <v>46091</v>
      </c>
      <c r="N6839" t="str">
        <f>IF(M6839="","",'Master Barang'!A33)</f>
        <v>PRL-032</v>
      </c>
      <c r="O6839" t="str">
        <f>IF(N6839="","",'Master Barang'!B33)</f>
        <v>plastik packaging ag box uk sedang</v>
      </c>
      <c r="P6839">
        <f>IF(OR(M6839="",N6839=""),"",SUMIFS('Barang Keluar'!$E:$E,'Barang Keluar'!$A:$A,M6839,'Barang Keluar'!$C:$C,N6839))</f>
        <v>0</v>
      </c>
    </row>
    <row r="6840" spans="13:16">
      <c r="M6840" s="49">
        <f>IF($A$4+68&gt;$B$4,"",$A$4+68)</f>
        <v>46091</v>
      </c>
      <c r="N6840" t="str">
        <f>IF(M6840="","",'Master Barang'!A34)</f>
        <v>PRL-033</v>
      </c>
      <c r="O6840">
        <f>IF(N6840="","",'Master Barang'!B34)</f>
        <v>0</v>
      </c>
      <c r="P6840">
        <f>IF(OR(M6840="",N6840=""),"",SUMIFS('Barang Keluar'!$E:$E,'Barang Keluar'!$A:$A,M6840,'Barang Keluar'!$C:$C,N6840))</f>
        <v>0</v>
      </c>
    </row>
    <row r="6841" spans="13:16">
      <c r="M6841" s="49">
        <f>IF($A$4+68&gt;$B$4,"",$A$4+68)</f>
        <v>46091</v>
      </c>
      <c r="N6841">
        <f>IF(M6841="","",'Master Barang'!A35)</f>
        <v>0</v>
      </c>
      <c r="O6841">
        <f>IF(N6841="","",'Master Barang'!B35)</f>
        <v>0</v>
      </c>
      <c r="P6841">
        <f>IF(OR(M6841="",N6841=""),"",SUMIFS('Barang Keluar'!$E:$E,'Barang Keluar'!$A:$A,M6841,'Barang Keluar'!$C:$C,N6841))</f>
        <v>0</v>
      </c>
    </row>
    <row r="6842" spans="13:16">
      <c r="M6842" s="49">
        <f>IF($A$4+68&gt;$B$4,"",$A$4+68)</f>
        <v>46091</v>
      </c>
      <c r="N6842">
        <f>IF(M6842="","",'Master Barang'!A36)</f>
        <v>0</v>
      </c>
      <c r="O6842">
        <f>IF(N6842="","",'Master Barang'!B36)</f>
        <v>0</v>
      </c>
      <c r="P6842">
        <f>IF(OR(M6842="",N6842=""),"",SUMIFS('Barang Keluar'!$E:$E,'Barang Keluar'!$A:$A,M6842,'Barang Keluar'!$C:$C,N6842))</f>
        <v>0</v>
      </c>
    </row>
    <row r="6843" spans="13:16">
      <c r="M6843" s="49">
        <f>IF($A$4+68&gt;$B$4,"",$A$4+68)</f>
        <v>46091</v>
      </c>
      <c r="N6843">
        <f>IF(M6843="","",'Master Barang'!A37)</f>
        <v>0</v>
      </c>
      <c r="O6843">
        <f>IF(N6843="","",'Master Barang'!B37)</f>
        <v>0</v>
      </c>
      <c r="P6843">
        <f>IF(OR(M6843="",N6843=""),"",SUMIFS('Barang Keluar'!$E:$E,'Barang Keluar'!$A:$A,M6843,'Barang Keluar'!$C:$C,N6843))</f>
        <v>0</v>
      </c>
    </row>
    <row r="6844" spans="13:16">
      <c r="M6844" s="49">
        <f>IF($A$4+68&gt;$B$4,"",$A$4+68)</f>
        <v>46091</v>
      </c>
      <c r="N6844">
        <f>IF(M6844="","",'Master Barang'!A38)</f>
        <v>0</v>
      </c>
      <c r="O6844">
        <f>IF(N6844="","",'Master Barang'!B38)</f>
        <v>0</v>
      </c>
      <c r="P6844">
        <f>IF(OR(M6844="",N6844=""),"",SUMIFS('Barang Keluar'!$E:$E,'Barang Keluar'!$A:$A,M6844,'Barang Keluar'!$C:$C,N6844))</f>
        <v>0</v>
      </c>
    </row>
    <row r="6845" spans="13:16">
      <c r="M6845" s="49">
        <f>IF($A$4+68&gt;$B$4,"",$A$4+68)</f>
        <v>46091</v>
      </c>
      <c r="N6845">
        <f>IF(M6845="","",'Master Barang'!A39)</f>
        <v>0</v>
      </c>
      <c r="O6845">
        <f>IF(N6845="","",'Master Barang'!B39)</f>
        <v>0</v>
      </c>
      <c r="P6845">
        <f>IF(OR(M6845="",N6845=""),"",SUMIFS('Barang Keluar'!$E:$E,'Barang Keluar'!$A:$A,M6845,'Barang Keluar'!$C:$C,N6845))</f>
        <v>0</v>
      </c>
    </row>
    <row r="6846" spans="13:16">
      <c r="M6846" s="49">
        <f>IF($A$4+68&gt;$B$4,"",$A$4+68)</f>
        <v>46091</v>
      </c>
      <c r="N6846">
        <f>IF(M6846="","",'Master Barang'!A40)</f>
        <v>0</v>
      </c>
      <c r="O6846">
        <f>IF(N6846="","",'Master Barang'!B40)</f>
        <v>0</v>
      </c>
      <c r="P6846">
        <f>IF(OR(M6846="",N6846=""),"",SUMIFS('Barang Keluar'!$E:$E,'Barang Keluar'!$A:$A,M6846,'Barang Keluar'!$C:$C,N6846))</f>
        <v>0</v>
      </c>
    </row>
    <row r="6847" spans="13:16">
      <c r="M6847" s="49">
        <f>IF($A$4+68&gt;$B$4,"",$A$4+68)</f>
        <v>46091</v>
      </c>
      <c r="N6847">
        <f>IF(M6847="","",'Master Barang'!A41)</f>
        <v>0</v>
      </c>
      <c r="O6847">
        <f>IF(N6847="","",'Master Barang'!B41)</f>
        <v>0</v>
      </c>
      <c r="P6847">
        <f>IF(OR(M6847="",N6847=""),"",SUMIFS('Barang Keluar'!$E:$E,'Barang Keluar'!$A:$A,M6847,'Barang Keluar'!$C:$C,N6847))</f>
        <v>0</v>
      </c>
    </row>
    <row r="6848" spans="13:16">
      <c r="M6848" s="49">
        <f>IF($A$4+68&gt;$B$4,"",$A$4+68)</f>
        <v>46091</v>
      </c>
      <c r="N6848">
        <f>IF(M6848="","",'Master Barang'!A42)</f>
        <v>0</v>
      </c>
      <c r="O6848">
        <f>IF(N6848="","",'Master Barang'!B42)</f>
        <v>0</v>
      </c>
      <c r="P6848">
        <f>IF(OR(M6848="",N6848=""),"",SUMIFS('Barang Keluar'!$E:$E,'Barang Keluar'!$A:$A,M6848,'Barang Keluar'!$C:$C,N6848))</f>
        <v>0</v>
      </c>
    </row>
    <row r="6849" spans="13:16">
      <c r="M6849" s="49">
        <f>IF($A$4+68&gt;$B$4,"",$A$4+68)</f>
        <v>46091</v>
      </c>
      <c r="N6849">
        <f>IF(M6849="","",'Master Barang'!A43)</f>
        <v>0</v>
      </c>
      <c r="O6849">
        <f>IF(N6849="","",'Master Barang'!B43)</f>
        <v>0</v>
      </c>
      <c r="P6849">
        <f>IF(OR(M6849="",N6849=""),"",SUMIFS('Barang Keluar'!$E:$E,'Barang Keluar'!$A:$A,M6849,'Barang Keluar'!$C:$C,N6849))</f>
        <v>0</v>
      </c>
    </row>
    <row r="6850" spans="13:16">
      <c r="M6850" s="49">
        <f>IF($A$4+68&gt;$B$4,"",$A$4+68)</f>
        <v>46091</v>
      </c>
      <c r="N6850">
        <f>IF(M6850="","",'Master Barang'!A44)</f>
        <v>0</v>
      </c>
      <c r="O6850">
        <f>IF(N6850="","",'Master Barang'!B44)</f>
        <v>0</v>
      </c>
      <c r="P6850">
        <f>IF(OR(M6850="",N6850=""),"",SUMIFS('Barang Keluar'!$E:$E,'Barang Keluar'!$A:$A,M6850,'Barang Keluar'!$C:$C,N6850))</f>
        <v>0</v>
      </c>
    </row>
    <row r="6851" spans="13:16">
      <c r="M6851" s="49">
        <f>IF($A$4+68&gt;$B$4,"",$A$4+68)</f>
        <v>46091</v>
      </c>
      <c r="N6851">
        <f>IF(M6851="","",'Master Barang'!A45)</f>
        <v>0</v>
      </c>
      <c r="O6851">
        <f>IF(N6851="","",'Master Barang'!B45)</f>
        <v>0</v>
      </c>
      <c r="P6851">
        <f>IF(OR(M6851="",N6851=""),"",SUMIFS('Barang Keluar'!$E:$E,'Barang Keluar'!$A:$A,M6851,'Barang Keluar'!$C:$C,N6851))</f>
        <v>0</v>
      </c>
    </row>
    <row r="6852" spans="13:16">
      <c r="M6852" s="49">
        <f>IF($A$4+68&gt;$B$4,"",$A$4+68)</f>
        <v>46091</v>
      </c>
      <c r="N6852">
        <f>IF(M6852="","",'Master Barang'!A46)</f>
        <v>0</v>
      </c>
      <c r="O6852">
        <f>IF(N6852="","",'Master Barang'!B46)</f>
        <v>0</v>
      </c>
      <c r="P6852">
        <f>IF(OR(M6852="",N6852=""),"",SUMIFS('Barang Keluar'!$E:$E,'Barang Keluar'!$A:$A,M6852,'Barang Keluar'!$C:$C,N6852))</f>
        <v>0</v>
      </c>
    </row>
    <row r="6853" spans="13:16">
      <c r="M6853" s="49">
        <f>IF($A$4+68&gt;$B$4,"",$A$4+68)</f>
        <v>46091</v>
      </c>
      <c r="N6853">
        <f>IF(M6853="","",'Master Barang'!A47)</f>
        <v>0</v>
      </c>
      <c r="O6853">
        <f>IF(N6853="","",'Master Barang'!B47)</f>
        <v>0</v>
      </c>
      <c r="P6853">
        <f>IF(OR(M6853="",N6853=""),"",SUMIFS('Barang Keluar'!$E:$E,'Barang Keluar'!$A:$A,M6853,'Barang Keluar'!$C:$C,N6853))</f>
        <v>0</v>
      </c>
    </row>
    <row r="6854" spans="13:16">
      <c r="M6854" s="49">
        <f>IF($A$4+68&gt;$B$4,"",$A$4+68)</f>
        <v>46091</v>
      </c>
      <c r="N6854">
        <f>IF(M6854="","",'Master Barang'!A48)</f>
        <v>0</v>
      </c>
      <c r="O6854">
        <f>IF(N6854="","",'Master Barang'!B48)</f>
        <v>0</v>
      </c>
      <c r="P6854">
        <f>IF(OR(M6854="",N6854=""),"",SUMIFS('Barang Keluar'!$E:$E,'Barang Keluar'!$A:$A,M6854,'Barang Keluar'!$C:$C,N6854))</f>
        <v>0</v>
      </c>
    </row>
    <row r="6855" spans="13:16">
      <c r="M6855" s="49">
        <f>IF($A$4+68&gt;$B$4,"",$A$4+68)</f>
        <v>46091</v>
      </c>
      <c r="N6855">
        <f>IF(M6855="","",'Master Barang'!A49)</f>
        <v>0</v>
      </c>
      <c r="O6855">
        <f>IF(N6855="","",'Master Barang'!B49)</f>
        <v>0</v>
      </c>
      <c r="P6855">
        <f>IF(OR(M6855="",N6855=""),"",SUMIFS('Barang Keluar'!$E:$E,'Barang Keluar'!$A:$A,M6855,'Barang Keluar'!$C:$C,N6855))</f>
        <v>0</v>
      </c>
    </row>
    <row r="6856" spans="13:16">
      <c r="M6856" s="49">
        <f>IF($A$4+68&gt;$B$4,"",$A$4+68)</f>
        <v>46091</v>
      </c>
      <c r="N6856">
        <f>IF(M6856="","",'Master Barang'!A50)</f>
        <v>0</v>
      </c>
      <c r="O6856">
        <f>IF(N6856="","",'Master Barang'!B50)</f>
        <v>0</v>
      </c>
      <c r="P6856">
        <f>IF(OR(M6856="",N6856=""),"",SUMIFS('Barang Keluar'!$E:$E,'Barang Keluar'!$A:$A,M6856,'Barang Keluar'!$C:$C,N6856))</f>
        <v>0</v>
      </c>
    </row>
    <row r="6857" spans="13:16">
      <c r="M6857" s="49">
        <f>IF($A$4+68&gt;$B$4,"",$A$4+68)</f>
        <v>46091</v>
      </c>
      <c r="N6857">
        <f>IF(M6857="","",'Master Barang'!A51)</f>
        <v>0</v>
      </c>
      <c r="O6857">
        <f>IF(N6857="","",'Master Barang'!B51)</f>
        <v>0</v>
      </c>
      <c r="P6857">
        <f>IF(OR(M6857="",N6857=""),"",SUMIFS('Barang Keluar'!$E:$E,'Barang Keluar'!$A:$A,M6857,'Barang Keluar'!$C:$C,N6857))</f>
        <v>0</v>
      </c>
    </row>
    <row r="6858" spans="13:16">
      <c r="M6858" s="49">
        <f>IF($A$4+68&gt;$B$4,"",$A$4+68)</f>
        <v>46091</v>
      </c>
      <c r="N6858">
        <f>IF(M6858="","",'Master Barang'!A52)</f>
        <v>0</v>
      </c>
      <c r="O6858">
        <f>IF(N6858="","",'Master Barang'!B52)</f>
        <v>0</v>
      </c>
      <c r="P6858">
        <f>IF(OR(M6858="",N6858=""),"",SUMIFS('Barang Keluar'!$E:$E,'Barang Keluar'!$A:$A,M6858,'Barang Keluar'!$C:$C,N6858))</f>
        <v>0</v>
      </c>
    </row>
    <row r="6859" spans="13:16">
      <c r="M6859" s="49">
        <f>IF($A$4+68&gt;$B$4,"",$A$4+68)</f>
        <v>46091</v>
      </c>
      <c r="N6859">
        <f>IF(M6859="","",'Master Barang'!A53)</f>
        <v>0</v>
      </c>
      <c r="O6859">
        <f>IF(N6859="","",'Master Barang'!B53)</f>
        <v>0</v>
      </c>
      <c r="P6859">
        <f>IF(OR(M6859="",N6859=""),"",SUMIFS('Barang Keluar'!$E:$E,'Barang Keluar'!$A:$A,M6859,'Barang Keluar'!$C:$C,N6859))</f>
        <v>0</v>
      </c>
    </row>
    <row r="6860" spans="13:16">
      <c r="M6860" s="49">
        <f>IF($A$4+68&gt;$B$4,"",$A$4+68)</f>
        <v>46091</v>
      </c>
      <c r="N6860">
        <f>IF(M6860="","",'Master Barang'!A54)</f>
        <v>0</v>
      </c>
      <c r="O6860">
        <f>IF(N6860="","",'Master Barang'!B54)</f>
        <v>0</v>
      </c>
      <c r="P6860">
        <f>IF(OR(M6860="",N6860=""),"",SUMIFS('Barang Keluar'!$E:$E,'Barang Keluar'!$A:$A,M6860,'Barang Keluar'!$C:$C,N6860))</f>
        <v>0</v>
      </c>
    </row>
    <row r="6861" spans="13:16">
      <c r="M6861" s="49">
        <f>IF($A$4+68&gt;$B$4,"",$A$4+68)</f>
        <v>46091</v>
      </c>
      <c r="N6861">
        <f>IF(M6861="","",'Master Barang'!A55)</f>
        <v>0</v>
      </c>
      <c r="O6861">
        <f>IF(N6861="","",'Master Barang'!B55)</f>
        <v>0</v>
      </c>
      <c r="P6861">
        <f>IF(OR(M6861="",N6861=""),"",SUMIFS('Barang Keluar'!$E:$E,'Barang Keluar'!$A:$A,M6861,'Barang Keluar'!$C:$C,N6861))</f>
        <v>0</v>
      </c>
    </row>
    <row r="6862" spans="13:16">
      <c r="M6862" s="49">
        <f>IF($A$4+68&gt;$B$4,"",$A$4+68)</f>
        <v>46091</v>
      </c>
      <c r="N6862">
        <f>IF(M6862="","",'Master Barang'!A56)</f>
        <v>0</v>
      </c>
      <c r="O6862">
        <f>IF(N6862="","",'Master Barang'!B56)</f>
        <v>0</v>
      </c>
      <c r="P6862">
        <f>IF(OR(M6862="",N6862=""),"",SUMIFS('Barang Keluar'!$E:$E,'Barang Keluar'!$A:$A,M6862,'Barang Keluar'!$C:$C,N6862))</f>
        <v>0</v>
      </c>
    </row>
    <row r="6863" spans="13:16">
      <c r="M6863" s="49">
        <f>IF($A$4+68&gt;$B$4,"",$A$4+68)</f>
        <v>46091</v>
      </c>
      <c r="N6863">
        <f>IF(M6863="","",'Master Barang'!A57)</f>
        <v>0</v>
      </c>
      <c r="O6863">
        <f>IF(N6863="","",'Master Barang'!B57)</f>
        <v>0</v>
      </c>
      <c r="P6863">
        <f>IF(OR(M6863="",N6863=""),"",SUMIFS('Barang Keluar'!$E:$E,'Barang Keluar'!$A:$A,M6863,'Barang Keluar'!$C:$C,N6863))</f>
        <v>0</v>
      </c>
    </row>
    <row r="6864" spans="13:16">
      <c r="M6864" s="49">
        <f>IF($A$4+68&gt;$B$4,"",$A$4+68)</f>
        <v>46091</v>
      </c>
      <c r="N6864">
        <f>IF(M6864="","",'Master Barang'!A58)</f>
        <v>0</v>
      </c>
      <c r="O6864">
        <f>IF(N6864="","",'Master Barang'!B58)</f>
        <v>0</v>
      </c>
      <c r="P6864">
        <f>IF(OR(M6864="",N6864=""),"",SUMIFS('Barang Keluar'!$E:$E,'Barang Keluar'!$A:$A,M6864,'Barang Keluar'!$C:$C,N6864))</f>
        <v>0</v>
      </c>
    </row>
    <row r="6865" spans="13:16">
      <c r="M6865" s="49">
        <f>IF($A$4+68&gt;$B$4,"",$A$4+68)</f>
        <v>46091</v>
      </c>
      <c r="N6865">
        <f>IF(M6865="","",'Master Barang'!A59)</f>
        <v>0</v>
      </c>
      <c r="O6865">
        <f>IF(N6865="","",'Master Barang'!B59)</f>
        <v>0</v>
      </c>
      <c r="P6865">
        <f>IF(OR(M6865="",N6865=""),"",SUMIFS('Barang Keluar'!$E:$E,'Barang Keluar'!$A:$A,M6865,'Barang Keluar'!$C:$C,N6865))</f>
        <v>0</v>
      </c>
    </row>
    <row r="6866" spans="13:16">
      <c r="M6866" s="49">
        <f>IF($A$4+68&gt;$B$4,"",$A$4+68)</f>
        <v>46091</v>
      </c>
      <c r="N6866">
        <f>IF(M6866="","",'Master Barang'!A60)</f>
        <v>0</v>
      </c>
      <c r="O6866">
        <f>IF(N6866="","",'Master Barang'!B60)</f>
        <v>0</v>
      </c>
      <c r="P6866">
        <f>IF(OR(M6866="",N6866=""),"",SUMIFS('Barang Keluar'!$E:$E,'Barang Keluar'!$A:$A,M6866,'Barang Keluar'!$C:$C,N6866))</f>
        <v>0</v>
      </c>
    </row>
    <row r="6867" spans="13:16">
      <c r="M6867" s="49">
        <f>IF($A$4+68&gt;$B$4,"",$A$4+68)</f>
        <v>46091</v>
      </c>
      <c r="N6867">
        <f>IF(M6867="","",'Master Barang'!A61)</f>
        <v>0</v>
      </c>
      <c r="O6867">
        <f>IF(N6867="","",'Master Barang'!B61)</f>
        <v>0</v>
      </c>
      <c r="P6867">
        <f>IF(OR(M6867="",N6867=""),"",SUMIFS('Barang Keluar'!$E:$E,'Barang Keluar'!$A:$A,M6867,'Barang Keluar'!$C:$C,N6867))</f>
        <v>0</v>
      </c>
    </row>
    <row r="6868" spans="13:16">
      <c r="M6868" s="49">
        <f>IF($A$4+68&gt;$B$4,"",$A$4+68)</f>
        <v>46091</v>
      </c>
      <c r="N6868">
        <f>IF(M6868="","",'Master Barang'!A62)</f>
        <v>0</v>
      </c>
      <c r="O6868">
        <f>IF(N6868="","",'Master Barang'!B62)</f>
        <v>0</v>
      </c>
      <c r="P6868">
        <f>IF(OR(M6868="",N6868=""),"",SUMIFS('Barang Keluar'!$E:$E,'Barang Keluar'!$A:$A,M6868,'Barang Keluar'!$C:$C,N6868))</f>
        <v>0</v>
      </c>
    </row>
    <row r="6869" spans="13:16">
      <c r="M6869" s="49">
        <f>IF($A$4+68&gt;$B$4,"",$A$4+68)</f>
        <v>46091</v>
      </c>
      <c r="N6869">
        <f>IF(M6869="","",'Master Barang'!A63)</f>
        <v>0</v>
      </c>
      <c r="O6869">
        <f>IF(N6869="","",'Master Barang'!B63)</f>
        <v>0</v>
      </c>
      <c r="P6869">
        <f>IF(OR(M6869="",N6869=""),"",SUMIFS('Barang Keluar'!$E:$E,'Barang Keluar'!$A:$A,M6869,'Barang Keluar'!$C:$C,N6869))</f>
        <v>0</v>
      </c>
    </row>
    <row r="6870" spans="13:16">
      <c r="M6870" s="49">
        <f>IF($A$4+68&gt;$B$4,"",$A$4+68)</f>
        <v>46091</v>
      </c>
      <c r="N6870">
        <f>IF(M6870="","",'Master Barang'!A64)</f>
        <v>0</v>
      </c>
      <c r="O6870">
        <f>IF(N6870="","",'Master Barang'!B64)</f>
        <v>0</v>
      </c>
      <c r="P6870">
        <f>IF(OR(M6870="",N6870=""),"",SUMIFS('Barang Keluar'!$E:$E,'Barang Keluar'!$A:$A,M6870,'Barang Keluar'!$C:$C,N6870))</f>
        <v>0</v>
      </c>
    </row>
    <row r="6871" spans="13:16">
      <c r="M6871" s="49">
        <f>IF($A$4+68&gt;$B$4,"",$A$4+68)</f>
        <v>46091</v>
      </c>
      <c r="N6871">
        <f>IF(M6871="","",'Master Barang'!A65)</f>
        <v>0</v>
      </c>
      <c r="O6871">
        <f>IF(N6871="","",'Master Barang'!B65)</f>
        <v>0</v>
      </c>
      <c r="P6871">
        <f>IF(OR(M6871="",N6871=""),"",SUMIFS('Barang Keluar'!$E:$E,'Barang Keluar'!$A:$A,M6871,'Barang Keluar'!$C:$C,N6871))</f>
        <v>0</v>
      </c>
    </row>
    <row r="6872" spans="13:16">
      <c r="M6872" s="49">
        <f>IF($A$4+68&gt;$B$4,"",$A$4+68)</f>
        <v>46091</v>
      </c>
      <c r="N6872">
        <f>IF(M6872="","",'Master Barang'!A66)</f>
        <v>0</v>
      </c>
      <c r="O6872">
        <f>IF(N6872="","",'Master Barang'!B66)</f>
        <v>0</v>
      </c>
      <c r="P6872">
        <f>IF(OR(M6872="",N6872=""),"",SUMIFS('Barang Keluar'!$E:$E,'Barang Keluar'!$A:$A,M6872,'Barang Keluar'!$C:$C,N6872))</f>
        <v>0</v>
      </c>
    </row>
    <row r="6873" spans="13:16">
      <c r="M6873" s="49">
        <f>IF($A$4+68&gt;$B$4,"",$A$4+68)</f>
        <v>46091</v>
      </c>
      <c r="N6873">
        <f>IF(M6873="","",'Master Barang'!A67)</f>
        <v>0</v>
      </c>
      <c r="O6873">
        <f>IF(N6873="","",'Master Barang'!B67)</f>
        <v>0</v>
      </c>
      <c r="P6873">
        <f>IF(OR(M6873="",N6873=""),"",SUMIFS('Barang Keluar'!$E:$E,'Barang Keluar'!$A:$A,M6873,'Barang Keluar'!$C:$C,N6873))</f>
        <v>0</v>
      </c>
    </row>
    <row r="6874" spans="13:16">
      <c r="M6874" s="49">
        <f>IF($A$4+68&gt;$B$4,"",$A$4+68)</f>
        <v>46091</v>
      </c>
      <c r="N6874">
        <f>IF(M6874="","",'Master Barang'!A68)</f>
        <v>0</v>
      </c>
      <c r="O6874">
        <f>IF(N6874="","",'Master Barang'!B68)</f>
        <v>0</v>
      </c>
      <c r="P6874">
        <f>IF(OR(M6874="",N6874=""),"",SUMIFS('Barang Keluar'!$E:$E,'Barang Keluar'!$A:$A,M6874,'Barang Keluar'!$C:$C,N6874))</f>
        <v>0</v>
      </c>
    </row>
    <row r="6875" spans="13:16">
      <c r="M6875" s="49">
        <f>IF($A$4+68&gt;$B$4,"",$A$4+68)</f>
        <v>46091</v>
      </c>
      <c r="N6875">
        <f>IF(M6875="","",'Master Barang'!A69)</f>
        <v>0</v>
      </c>
      <c r="O6875">
        <f>IF(N6875="","",'Master Barang'!B69)</f>
        <v>0</v>
      </c>
      <c r="P6875">
        <f>IF(OR(M6875="",N6875=""),"",SUMIFS('Barang Keluar'!$E:$E,'Barang Keluar'!$A:$A,M6875,'Barang Keluar'!$C:$C,N6875))</f>
        <v>0</v>
      </c>
    </row>
    <row r="6876" spans="13:16">
      <c r="M6876" s="49">
        <f>IF($A$4+68&gt;$B$4,"",$A$4+68)</f>
        <v>46091</v>
      </c>
      <c r="N6876">
        <f>IF(M6876="","",'Master Barang'!A70)</f>
        <v>0</v>
      </c>
      <c r="O6876">
        <f>IF(N6876="","",'Master Barang'!B70)</f>
        <v>0</v>
      </c>
      <c r="P6876">
        <f>IF(OR(M6876="",N6876=""),"",SUMIFS('Barang Keluar'!$E:$E,'Barang Keluar'!$A:$A,M6876,'Barang Keluar'!$C:$C,N6876))</f>
        <v>0</v>
      </c>
    </row>
    <row r="6877" spans="13:16">
      <c r="M6877" s="49">
        <f>IF($A$4+68&gt;$B$4,"",$A$4+68)</f>
        <v>46091</v>
      </c>
      <c r="N6877">
        <f>IF(M6877="","",'Master Barang'!A71)</f>
        <v>0</v>
      </c>
      <c r="O6877">
        <f>IF(N6877="","",'Master Barang'!B71)</f>
        <v>0</v>
      </c>
      <c r="P6877">
        <f>IF(OR(M6877="",N6877=""),"",SUMIFS('Barang Keluar'!$E:$E,'Barang Keluar'!$A:$A,M6877,'Barang Keluar'!$C:$C,N6877))</f>
        <v>0</v>
      </c>
    </row>
    <row r="6878" spans="13:16">
      <c r="M6878" s="49">
        <f>IF($A$4+68&gt;$B$4,"",$A$4+68)</f>
        <v>46091</v>
      </c>
      <c r="N6878">
        <f>IF(M6878="","",'Master Barang'!A72)</f>
        <v>0</v>
      </c>
      <c r="O6878">
        <f>IF(N6878="","",'Master Barang'!B72)</f>
        <v>0</v>
      </c>
      <c r="P6878">
        <f>IF(OR(M6878="",N6878=""),"",SUMIFS('Barang Keluar'!$E:$E,'Barang Keluar'!$A:$A,M6878,'Barang Keluar'!$C:$C,N6878))</f>
        <v>0</v>
      </c>
    </row>
    <row r="6879" spans="13:16">
      <c r="M6879" s="49">
        <f>IF($A$4+68&gt;$B$4,"",$A$4+68)</f>
        <v>46091</v>
      </c>
      <c r="N6879">
        <f>IF(M6879="","",'Master Barang'!A73)</f>
        <v>0</v>
      </c>
      <c r="O6879">
        <f>IF(N6879="","",'Master Barang'!B73)</f>
        <v>0</v>
      </c>
      <c r="P6879">
        <f>IF(OR(M6879="",N6879=""),"",SUMIFS('Barang Keluar'!$E:$E,'Barang Keluar'!$A:$A,M6879,'Barang Keluar'!$C:$C,N6879))</f>
        <v>0</v>
      </c>
    </row>
    <row r="6880" spans="13:16">
      <c r="M6880" s="49">
        <f>IF($A$4+68&gt;$B$4,"",$A$4+68)</f>
        <v>46091</v>
      </c>
      <c r="N6880">
        <f>IF(M6880="","",'Master Barang'!A74)</f>
        <v>0</v>
      </c>
      <c r="O6880">
        <f>IF(N6880="","",'Master Barang'!B74)</f>
        <v>0</v>
      </c>
      <c r="P6880">
        <f>IF(OR(M6880="",N6880=""),"",SUMIFS('Barang Keluar'!$E:$E,'Barang Keluar'!$A:$A,M6880,'Barang Keluar'!$C:$C,N6880))</f>
        <v>0</v>
      </c>
    </row>
    <row r="6881" spans="13:16">
      <c r="M6881" s="49">
        <f>IF($A$4+68&gt;$B$4,"",$A$4+68)</f>
        <v>46091</v>
      </c>
      <c r="N6881">
        <f>IF(M6881="","",'Master Barang'!A75)</f>
        <v>0</v>
      </c>
      <c r="O6881">
        <f>IF(N6881="","",'Master Barang'!B75)</f>
        <v>0</v>
      </c>
      <c r="P6881">
        <f>IF(OR(M6881="",N6881=""),"",SUMIFS('Barang Keluar'!$E:$E,'Barang Keluar'!$A:$A,M6881,'Barang Keluar'!$C:$C,N6881))</f>
        <v>0</v>
      </c>
    </row>
    <row r="6882" spans="13:16">
      <c r="M6882" s="49">
        <f>IF($A$4+68&gt;$B$4,"",$A$4+68)</f>
        <v>46091</v>
      </c>
      <c r="N6882">
        <f>IF(M6882="","",'Master Barang'!A76)</f>
        <v>0</v>
      </c>
      <c r="O6882">
        <f>IF(N6882="","",'Master Barang'!B76)</f>
        <v>0</v>
      </c>
      <c r="P6882">
        <f>IF(OR(M6882="",N6882=""),"",SUMIFS('Barang Keluar'!$E:$E,'Barang Keluar'!$A:$A,M6882,'Barang Keluar'!$C:$C,N6882))</f>
        <v>0</v>
      </c>
    </row>
    <row r="6883" spans="13:16">
      <c r="M6883" s="49">
        <f>IF($A$4+68&gt;$B$4,"",$A$4+68)</f>
        <v>46091</v>
      </c>
      <c r="N6883">
        <f>IF(M6883="","",'Master Barang'!A77)</f>
        <v>0</v>
      </c>
      <c r="O6883">
        <f>IF(N6883="","",'Master Barang'!B77)</f>
        <v>0</v>
      </c>
      <c r="P6883">
        <f>IF(OR(M6883="",N6883=""),"",SUMIFS('Barang Keluar'!$E:$E,'Barang Keluar'!$A:$A,M6883,'Barang Keluar'!$C:$C,N6883))</f>
        <v>0</v>
      </c>
    </row>
    <row r="6884" spans="13:16">
      <c r="M6884" s="49">
        <f>IF($A$4+68&gt;$B$4,"",$A$4+68)</f>
        <v>46091</v>
      </c>
      <c r="N6884">
        <f>IF(M6884="","",'Master Barang'!A78)</f>
        <v>0</v>
      </c>
      <c r="O6884">
        <f>IF(N6884="","",'Master Barang'!B78)</f>
        <v>0</v>
      </c>
      <c r="P6884">
        <f>IF(OR(M6884="",N6884=""),"",SUMIFS('Barang Keluar'!$E:$E,'Barang Keluar'!$A:$A,M6884,'Barang Keluar'!$C:$C,N6884))</f>
        <v>0</v>
      </c>
    </row>
    <row r="6885" spans="13:16">
      <c r="M6885" s="49">
        <f>IF($A$4+68&gt;$B$4,"",$A$4+68)</f>
        <v>46091</v>
      </c>
      <c r="N6885">
        <f>IF(M6885="","",'Master Barang'!A79)</f>
        <v>0</v>
      </c>
      <c r="O6885">
        <f>IF(N6885="","",'Master Barang'!B79)</f>
        <v>0</v>
      </c>
      <c r="P6885">
        <f>IF(OR(M6885="",N6885=""),"",SUMIFS('Barang Keluar'!$E:$E,'Barang Keluar'!$A:$A,M6885,'Barang Keluar'!$C:$C,N6885))</f>
        <v>0</v>
      </c>
    </row>
    <row r="6886" spans="13:16">
      <c r="M6886" s="49">
        <f>IF($A$4+68&gt;$B$4,"",$A$4+68)</f>
        <v>46091</v>
      </c>
      <c r="N6886">
        <f>IF(M6886="","",'Master Barang'!A80)</f>
        <v>0</v>
      </c>
      <c r="O6886">
        <f>IF(N6886="","",'Master Barang'!B80)</f>
        <v>0</v>
      </c>
      <c r="P6886">
        <f>IF(OR(M6886="",N6886=""),"",SUMIFS('Barang Keluar'!$E:$E,'Barang Keluar'!$A:$A,M6886,'Barang Keluar'!$C:$C,N6886))</f>
        <v>0</v>
      </c>
    </row>
    <row r="6887" spans="13:16">
      <c r="M6887" s="49">
        <f>IF($A$4+68&gt;$B$4,"",$A$4+68)</f>
        <v>46091</v>
      </c>
      <c r="N6887">
        <f>IF(M6887="","",'Master Barang'!A81)</f>
        <v>0</v>
      </c>
      <c r="O6887">
        <f>IF(N6887="","",'Master Barang'!B81)</f>
        <v>0</v>
      </c>
      <c r="P6887">
        <f>IF(OR(M6887="",N6887=""),"",SUMIFS('Barang Keluar'!$E:$E,'Barang Keluar'!$A:$A,M6887,'Barang Keluar'!$C:$C,N6887))</f>
        <v>0</v>
      </c>
    </row>
    <row r="6888" spans="13:16">
      <c r="M6888" s="49">
        <f>IF($A$4+68&gt;$B$4,"",$A$4+68)</f>
        <v>46091</v>
      </c>
      <c r="N6888">
        <f>IF(M6888="","",'Master Barang'!A82)</f>
        <v>0</v>
      </c>
      <c r="O6888">
        <f>IF(N6888="","",'Master Barang'!B82)</f>
        <v>0</v>
      </c>
      <c r="P6888">
        <f>IF(OR(M6888="",N6888=""),"",SUMIFS('Barang Keluar'!$E:$E,'Barang Keluar'!$A:$A,M6888,'Barang Keluar'!$C:$C,N6888))</f>
        <v>0</v>
      </c>
    </row>
    <row r="6889" spans="13:16">
      <c r="M6889" s="49">
        <f>IF($A$4+68&gt;$B$4,"",$A$4+68)</f>
        <v>46091</v>
      </c>
      <c r="N6889">
        <f>IF(M6889="","",'Master Barang'!A83)</f>
        <v>0</v>
      </c>
      <c r="O6889">
        <f>IF(N6889="","",'Master Barang'!B83)</f>
        <v>0</v>
      </c>
      <c r="P6889">
        <f>IF(OR(M6889="",N6889=""),"",SUMIFS('Barang Keluar'!$E:$E,'Barang Keluar'!$A:$A,M6889,'Barang Keluar'!$C:$C,N6889))</f>
        <v>0</v>
      </c>
    </row>
    <row r="6890" spans="13:16">
      <c r="M6890" s="49">
        <f>IF($A$4+68&gt;$B$4,"",$A$4+68)</f>
        <v>46091</v>
      </c>
      <c r="N6890">
        <f>IF(M6890="","",'Master Barang'!A84)</f>
        <v>0</v>
      </c>
      <c r="O6890">
        <f>IF(N6890="","",'Master Barang'!B84)</f>
        <v>0</v>
      </c>
      <c r="P6890">
        <f>IF(OR(M6890="",N6890=""),"",SUMIFS('Barang Keluar'!$E:$E,'Barang Keluar'!$A:$A,M6890,'Barang Keluar'!$C:$C,N6890))</f>
        <v>0</v>
      </c>
    </row>
    <row r="6891" spans="13:16">
      <c r="M6891" s="49">
        <f>IF($A$4+68&gt;$B$4,"",$A$4+68)</f>
        <v>46091</v>
      </c>
      <c r="N6891">
        <f>IF(M6891="","",'Master Barang'!A85)</f>
        <v>0</v>
      </c>
      <c r="O6891">
        <f>IF(N6891="","",'Master Barang'!B85)</f>
        <v>0</v>
      </c>
      <c r="P6891">
        <f>IF(OR(M6891="",N6891=""),"",SUMIFS('Barang Keluar'!$E:$E,'Barang Keluar'!$A:$A,M6891,'Barang Keluar'!$C:$C,N6891))</f>
        <v>0</v>
      </c>
    </row>
    <row r="6892" spans="13:16">
      <c r="M6892" s="49">
        <f>IF($A$4+68&gt;$B$4,"",$A$4+68)</f>
        <v>46091</v>
      </c>
      <c r="N6892">
        <f>IF(M6892="","",'Master Barang'!A86)</f>
        <v>0</v>
      </c>
      <c r="O6892">
        <f>IF(N6892="","",'Master Barang'!B86)</f>
        <v>0</v>
      </c>
      <c r="P6892">
        <f>IF(OR(M6892="",N6892=""),"",SUMIFS('Barang Keluar'!$E:$E,'Barang Keluar'!$A:$A,M6892,'Barang Keluar'!$C:$C,N6892))</f>
        <v>0</v>
      </c>
    </row>
    <row r="6893" spans="13:16">
      <c r="M6893" s="49">
        <f>IF($A$4+68&gt;$B$4,"",$A$4+68)</f>
        <v>46091</v>
      </c>
      <c r="N6893">
        <f>IF(M6893="","",'Master Barang'!A87)</f>
        <v>0</v>
      </c>
      <c r="O6893">
        <f>IF(N6893="","",'Master Barang'!B87)</f>
        <v>0</v>
      </c>
      <c r="P6893">
        <f>IF(OR(M6893="",N6893=""),"",SUMIFS('Barang Keluar'!$E:$E,'Barang Keluar'!$A:$A,M6893,'Barang Keluar'!$C:$C,N6893))</f>
        <v>0</v>
      </c>
    </row>
    <row r="6894" spans="13:16">
      <c r="M6894" s="49">
        <f>IF($A$4+68&gt;$B$4,"",$A$4+68)</f>
        <v>46091</v>
      </c>
      <c r="N6894">
        <f>IF(M6894="","",'Master Barang'!A88)</f>
        <v>0</v>
      </c>
      <c r="O6894">
        <f>IF(N6894="","",'Master Barang'!B88)</f>
        <v>0</v>
      </c>
      <c r="P6894">
        <f>IF(OR(M6894="",N6894=""),"",SUMIFS('Barang Keluar'!$E:$E,'Barang Keluar'!$A:$A,M6894,'Barang Keluar'!$C:$C,N6894))</f>
        <v>0</v>
      </c>
    </row>
    <row r="6895" spans="13:16">
      <c r="M6895" s="49">
        <f>IF($A$4+68&gt;$B$4,"",$A$4+68)</f>
        <v>46091</v>
      </c>
      <c r="N6895">
        <f>IF(M6895="","",'Master Barang'!A89)</f>
        <v>0</v>
      </c>
      <c r="O6895">
        <f>IF(N6895="","",'Master Barang'!B89)</f>
        <v>0</v>
      </c>
      <c r="P6895">
        <f>IF(OR(M6895="",N6895=""),"",SUMIFS('Barang Keluar'!$E:$E,'Barang Keluar'!$A:$A,M6895,'Barang Keluar'!$C:$C,N6895))</f>
        <v>0</v>
      </c>
    </row>
    <row r="6896" spans="13:16">
      <c r="M6896" s="49">
        <f>IF($A$4+68&gt;$B$4,"",$A$4+68)</f>
        <v>46091</v>
      </c>
      <c r="N6896">
        <f>IF(M6896="","",'Master Barang'!A90)</f>
        <v>0</v>
      </c>
      <c r="O6896">
        <f>IF(N6896="","",'Master Barang'!B90)</f>
        <v>0</v>
      </c>
      <c r="P6896">
        <f>IF(OR(M6896="",N6896=""),"",SUMIFS('Barang Keluar'!$E:$E,'Barang Keluar'!$A:$A,M6896,'Barang Keluar'!$C:$C,N6896))</f>
        <v>0</v>
      </c>
    </row>
    <row r="6897" spans="13:16">
      <c r="M6897" s="49">
        <f>IF($A$4+68&gt;$B$4,"",$A$4+68)</f>
        <v>46091</v>
      </c>
      <c r="N6897">
        <f>IF(M6897="","",'Master Barang'!A91)</f>
        <v>0</v>
      </c>
      <c r="O6897">
        <f>IF(N6897="","",'Master Barang'!B91)</f>
        <v>0</v>
      </c>
      <c r="P6897">
        <f>IF(OR(M6897="",N6897=""),"",SUMIFS('Barang Keluar'!$E:$E,'Barang Keluar'!$A:$A,M6897,'Barang Keluar'!$C:$C,N6897))</f>
        <v>0</v>
      </c>
    </row>
    <row r="6898" spans="13:16">
      <c r="M6898" s="49">
        <f>IF($A$4+68&gt;$B$4,"",$A$4+68)</f>
        <v>46091</v>
      </c>
      <c r="N6898">
        <f>IF(M6898="","",'Master Barang'!A92)</f>
        <v>0</v>
      </c>
      <c r="O6898">
        <f>IF(N6898="","",'Master Barang'!B92)</f>
        <v>0</v>
      </c>
      <c r="P6898">
        <f>IF(OR(M6898="",N6898=""),"",SUMIFS('Barang Keluar'!$E:$E,'Barang Keluar'!$A:$A,M6898,'Barang Keluar'!$C:$C,N6898))</f>
        <v>0</v>
      </c>
    </row>
    <row r="6899" spans="13:16">
      <c r="M6899" s="49">
        <f>IF($A$4+68&gt;$B$4,"",$A$4+68)</f>
        <v>46091</v>
      </c>
      <c r="N6899">
        <f>IF(M6899="","",'Master Barang'!A93)</f>
        <v>0</v>
      </c>
      <c r="O6899">
        <f>IF(N6899="","",'Master Barang'!B93)</f>
        <v>0</v>
      </c>
      <c r="P6899">
        <f>IF(OR(M6899="",N6899=""),"",SUMIFS('Barang Keluar'!$E:$E,'Barang Keluar'!$A:$A,M6899,'Barang Keluar'!$C:$C,N6899))</f>
        <v>0</v>
      </c>
    </row>
    <row r="6900" spans="13:16">
      <c r="M6900" s="49">
        <f>IF($A$4+68&gt;$B$4,"",$A$4+68)</f>
        <v>46091</v>
      </c>
      <c r="N6900">
        <f>IF(M6900="","",'Master Barang'!A94)</f>
        <v>0</v>
      </c>
      <c r="O6900">
        <f>IF(N6900="","",'Master Barang'!B94)</f>
        <v>0</v>
      </c>
      <c r="P6900">
        <f>IF(OR(M6900="",N6900=""),"",SUMIFS('Barang Keluar'!$E:$E,'Barang Keluar'!$A:$A,M6900,'Barang Keluar'!$C:$C,N6900))</f>
        <v>0</v>
      </c>
    </row>
    <row r="6901" spans="13:16">
      <c r="M6901" s="49">
        <f>IF($A$4+68&gt;$B$4,"",$A$4+68)</f>
        <v>46091</v>
      </c>
      <c r="N6901">
        <f>IF(M6901="","",'Master Barang'!A95)</f>
        <v>0</v>
      </c>
      <c r="O6901">
        <f>IF(N6901="","",'Master Barang'!B95)</f>
        <v>0</v>
      </c>
      <c r="P6901">
        <f>IF(OR(M6901="",N6901=""),"",SUMIFS('Barang Keluar'!$E:$E,'Barang Keluar'!$A:$A,M6901,'Barang Keluar'!$C:$C,N6901))</f>
        <v>0</v>
      </c>
    </row>
    <row r="6902" spans="13:16">
      <c r="M6902" s="49">
        <f>IF($A$4+68&gt;$B$4,"",$A$4+68)</f>
        <v>46091</v>
      </c>
      <c r="N6902">
        <f>IF(M6902="","",'Master Barang'!A96)</f>
        <v>0</v>
      </c>
      <c r="O6902">
        <f>IF(N6902="","",'Master Barang'!B96)</f>
        <v>0</v>
      </c>
      <c r="P6902">
        <f>IF(OR(M6902="",N6902=""),"",SUMIFS('Barang Keluar'!$E:$E,'Barang Keluar'!$A:$A,M6902,'Barang Keluar'!$C:$C,N6902))</f>
        <v>0</v>
      </c>
    </row>
    <row r="6903" spans="13:16">
      <c r="M6903" s="49">
        <f>IF($A$4+68&gt;$B$4,"",$A$4+68)</f>
        <v>46091</v>
      </c>
      <c r="N6903">
        <f>IF(M6903="","",'Master Barang'!A97)</f>
        <v>0</v>
      </c>
      <c r="O6903">
        <f>IF(N6903="","",'Master Barang'!B97)</f>
        <v>0</v>
      </c>
      <c r="P6903">
        <f>IF(OR(M6903="",N6903=""),"",SUMIFS('Barang Keluar'!$E:$E,'Barang Keluar'!$A:$A,M6903,'Barang Keluar'!$C:$C,N6903))</f>
        <v>0</v>
      </c>
    </row>
    <row r="6904" spans="13:16">
      <c r="M6904" s="49">
        <f>IF($A$4+68&gt;$B$4,"",$A$4+68)</f>
        <v>46091</v>
      </c>
      <c r="N6904">
        <f>IF(M6904="","",'Master Barang'!A98)</f>
        <v>0</v>
      </c>
      <c r="O6904">
        <f>IF(N6904="","",'Master Barang'!B98)</f>
        <v>0</v>
      </c>
      <c r="P6904">
        <f>IF(OR(M6904="",N6904=""),"",SUMIFS('Barang Keluar'!$E:$E,'Barang Keluar'!$A:$A,M6904,'Barang Keluar'!$C:$C,N6904))</f>
        <v>0</v>
      </c>
    </row>
    <row r="6905" spans="13:16">
      <c r="M6905" s="49">
        <f>IF($A$4+68&gt;$B$4,"",$A$4+68)</f>
        <v>46091</v>
      </c>
      <c r="N6905">
        <f>IF(M6905="","",'Master Barang'!A99)</f>
        <v>0</v>
      </c>
      <c r="O6905">
        <f>IF(N6905="","",'Master Barang'!B99)</f>
        <v>0</v>
      </c>
      <c r="P6905">
        <f>IF(OR(M6905="",N6905=""),"",SUMIFS('Barang Keluar'!$E:$E,'Barang Keluar'!$A:$A,M6905,'Barang Keluar'!$C:$C,N6905))</f>
        <v>0</v>
      </c>
    </row>
    <row r="6906" spans="13:16">
      <c r="M6906" s="49">
        <f>IF($A$4+68&gt;$B$4,"",$A$4+68)</f>
        <v>46091</v>
      </c>
      <c r="N6906">
        <f>IF(M6906="","",'Master Barang'!A100)</f>
        <v>0</v>
      </c>
      <c r="O6906">
        <f>IF(N6906="","",'Master Barang'!B100)</f>
        <v>0</v>
      </c>
      <c r="P6906">
        <f>IF(OR(M6906="",N6906=""),"",SUMIFS('Barang Keluar'!$E:$E,'Barang Keluar'!$A:$A,M6906,'Barang Keluar'!$C:$C,N6906))</f>
        <v>0</v>
      </c>
    </row>
    <row r="6907" spans="13:16">
      <c r="M6907" s="49">
        <f>IF($A$4+68&gt;$B$4,"",$A$4+68)</f>
        <v>46091</v>
      </c>
      <c r="N6907">
        <f>IF(M6907="","",'Master Barang'!A101)</f>
        <v>0</v>
      </c>
      <c r="O6907">
        <f>IF(N6907="","",'Master Barang'!B101)</f>
        <v>0</v>
      </c>
      <c r="P6907">
        <f>IF(OR(M6907="",N6907=""),"",SUMIFS('Barang Keluar'!$E:$E,'Barang Keluar'!$A:$A,M6907,'Barang Keluar'!$C:$C,N6907))</f>
        <v>0</v>
      </c>
    </row>
    <row r="6908" spans="13:16">
      <c r="M6908" s="49">
        <f>IF($A$4+69&gt;$B$4,"",$A$4+69)</f>
        <v>46092</v>
      </c>
      <c r="N6908" t="str">
        <f>IF(M6908="","",'Master Barang'!A2)</f>
        <v>PRL-001</v>
      </c>
      <c r="O6908" t="str">
        <f>IF(N6908="","",'Master Barang'!B2)</f>
        <v>natura desinfectant food grade 5l</v>
      </c>
      <c r="P6908">
        <f>IF(OR(M6908="",N6908=""),"",SUMIFS('Barang Keluar'!$E:$E,'Barang Keluar'!$A:$A,M6908,'Barang Keluar'!$C:$C,N6908))</f>
        <v>0</v>
      </c>
    </row>
    <row r="6909" spans="13:16">
      <c r="M6909" s="49">
        <f>IF($A$4+69&gt;$B$4,"",$A$4+69)</f>
        <v>46092</v>
      </c>
      <c r="N6909" t="str">
        <f>IF(M6909="","",'Master Barang'!A3)</f>
        <v>PRL-002</v>
      </c>
      <c r="O6909" t="str">
        <f>IF(N6909="","",'Master Barang'!B3)</f>
        <v>sunlight cairan pencuci piring 5l</v>
      </c>
      <c r="P6909">
        <f>IF(OR(M6909="",N6909=""),"",SUMIFS('Barang Keluar'!$E:$E,'Barang Keluar'!$A:$A,M6909,'Barang Keluar'!$C:$C,N6909))</f>
        <v>0</v>
      </c>
    </row>
    <row r="6910" spans="13:16">
      <c r="M6910" s="49">
        <f>IF($A$4+69&gt;$B$4,"",$A$4+69)</f>
        <v>46092</v>
      </c>
      <c r="N6910" t="str">
        <f>IF(M6910="","",'Master Barang'!A4)</f>
        <v>PRL-003</v>
      </c>
      <c r="O6910" t="str">
        <f>IF(N6910="","",'Master Barang'!B4)</f>
        <v>oixs cleaner 1l</v>
      </c>
      <c r="P6910">
        <f>IF(OR(M6910="",N6910=""),"",SUMIFS('Barang Keluar'!$E:$E,'Barang Keluar'!$A:$A,M6910,'Barang Keluar'!$C:$C,N6910))</f>
        <v>0</v>
      </c>
    </row>
    <row r="6911" spans="13:16">
      <c r="M6911" s="49">
        <f>IF($A$4+69&gt;$B$4,"",$A$4+69)</f>
        <v>46092</v>
      </c>
      <c r="N6911" t="str">
        <f>IF(M6911="","",'Master Barang'!A5)</f>
        <v>PRL-004</v>
      </c>
      <c r="O6911" t="str">
        <f>IF(N6911="","",'Master Barang'!B5)</f>
        <v>be clean tissue serbaguna</v>
      </c>
      <c r="P6911">
        <f>IF(OR(M6911="",N6911=""),"",SUMIFS('Barang Keluar'!$E:$E,'Barang Keluar'!$A:$A,M6911,'Barang Keluar'!$C:$C,N6911))</f>
        <v>0</v>
      </c>
    </row>
    <row r="6912" spans="13:16">
      <c r="M6912" s="49">
        <f>IF($A$4+69&gt;$B$4,"",$A$4+69)</f>
        <v>46092</v>
      </c>
      <c r="N6912" t="str">
        <f>IF(M6912="","",'Master Barang'!A6)</f>
        <v>PRL-005</v>
      </c>
      <c r="O6912" t="str">
        <f>IF(N6912="","",'Master Barang'!B6)</f>
        <v>spons cuci hijau</v>
      </c>
      <c r="P6912">
        <f>IF(OR(M6912="",N6912=""),"",SUMIFS('Barang Keluar'!$E:$E,'Barang Keluar'!$A:$A,M6912,'Barang Keluar'!$C:$C,N6912))</f>
        <v>0</v>
      </c>
    </row>
    <row r="6913" spans="13:16">
      <c r="M6913" s="49">
        <f>IF($A$4+69&gt;$B$4,"",$A$4+69)</f>
        <v>46092</v>
      </c>
      <c r="N6913" t="str">
        <f>IF(M6913="","",'Master Barang'!A7)</f>
        <v>PRL-006</v>
      </c>
      <c r="O6913" t="str">
        <f>IF(N6913="","",'Master Barang'!B7)</f>
        <v>sabut cuci stainless</v>
      </c>
      <c r="P6913">
        <f>IF(OR(M6913="",N6913=""),"",SUMIFS('Barang Keluar'!$E:$E,'Barang Keluar'!$A:$A,M6913,'Barang Keluar'!$C:$C,N6913))</f>
        <v>0</v>
      </c>
    </row>
    <row r="6914" spans="13:16">
      <c r="M6914" s="49">
        <f>IF($A$4+69&gt;$B$4,"",$A$4+69)</f>
        <v>46092</v>
      </c>
      <c r="N6914" t="str">
        <f>IF(M6914="","",'Master Barang'!A8)</f>
        <v>PRL-007</v>
      </c>
      <c r="O6914" t="str">
        <f>IF(N6914="","",'Master Barang'!B8)</f>
        <v>plastik kresek besar merah 50pc</v>
      </c>
      <c r="P6914">
        <f>IF(OR(M6914="",N6914=""),"",SUMIFS('Barang Keluar'!$E:$E,'Barang Keluar'!$A:$A,M6914,'Barang Keluar'!$C:$C,N6914))</f>
        <v>0</v>
      </c>
    </row>
    <row r="6915" spans="13:16">
      <c r="M6915" s="49">
        <f>IF($A$4+69&gt;$B$4,"",$A$4+69)</f>
        <v>46092</v>
      </c>
      <c r="N6915" t="str">
        <f>IF(M6915="","",'Master Barang'!A9)</f>
        <v>PRL-008</v>
      </c>
      <c r="O6915" t="str">
        <f>IF(N6915="","",'Master Barang'!B9)</f>
        <v>lap besar</v>
      </c>
      <c r="P6915">
        <f>IF(OR(M6915="",N6915=""),"",SUMIFS('Barang Keluar'!$E:$E,'Barang Keluar'!$A:$A,M6915,'Barang Keluar'!$C:$C,N6915))</f>
        <v>0</v>
      </c>
    </row>
    <row r="6916" spans="13:16">
      <c r="M6916" s="49">
        <f>IF($A$4+69&gt;$B$4,"",$A$4+69)</f>
        <v>46092</v>
      </c>
      <c r="N6916" t="str">
        <f>IF(M6916="","",'Master Barang'!A10)</f>
        <v>PRL-009</v>
      </c>
      <c r="O6916" t="str">
        <f>IF(N6916="","",'Master Barang'!B10)</f>
        <v>lap microfiber</v>
      </c>
      <c r="P6916">
        <f>IF(OR(M6916="",N6916=""),"",SUMIFS('Barang Keluar'!$E:$E,'Barang Keluar'!$A:$A,M6916,'Barang Keluar'!$C:$C,N6916))</f>
        <v>0</v>
      </c>
    </row>
    <row r="6917" spans="13:16">
      <c r="M6917" s="49">
        <f>IF($A$4+69&gt;$B$4,"",$A$4+69)</f>
        <v>46092</v>
      </c>
      <c r="N6917" t="str">
        <f>IF(M6917="","",'Master Barang'!A11)</f>
        <v>PRL-010</v>
      </c>
      <c r="O6917" t="str">
        <f>IF(N6917="","",'Master Barang'!B11)</f>
        <v>lap kecil</v>
      </c>
      <c r="P6917">
        <f>IF(OR(M6917="",N6917=""),"",SUMIFS('Barang Keluar'!$E:$E,'Barang Keluar'!$A:$A,M6917,'Barang Keluar'!$C:$C,N6917))</f>
        <v>0</v>
      </c>
    </row>
    <row r="6918" spans="13:16">
      <c r="M6918" s="49">
        <f>IF($A$4+69&gt;$B$4,"",$A$4+69)</f>
        <v>46092</v>
      </c>
      <c r="N6918" t="str">
        <f>IF(M6918="","",'Master Barang'!A12)</f>
        <v>PRL-011</v>
      </c>
      <c r="O6918" t="str">
        <f>IF(N6918="","",'Master Barang'!B12)</f>
        <v>kanebo kecil</v>
      </c>
      <c r="P6918">
        <f>IF(OR(M6918="",N6918=""),"",SUMIFS('Barang Keluar'!$E:$E,'Barang Keluar'!$A:$A,M6918,'Barang Keluar'!$C:$C,N6918))</f>
        <v>0</v>
      </c>
    </row>
    <row r="6919" spans="13:16">
      <c r="M6919" s="49">
        <f>IF($A$4+69&gt;$B$4,"",$A$4+69)</f>
        <v>46092</v>
      </c>
      <c r="N6919" t="str">
        <f>IF(M6919="","",'Master Barang'!A13)</f>
        <v>PRL-012</v>
      </c>
      <c r="O6919" t="str">
        <f>IF(N6919="","",'Master Barang'!B13)</f>
        <v>plastik 1/4kg joyoboyo 100 lembar</v>
      </c>
      <c r="P6919">
        <f>IF(OR(M6919="",N6919=""),"",SUMIFS('Barang Keluar'!$E:$E,'Barang Keluar'!$A:$A,M6919,'Barang Keluar'!$C:$C,N6919))</f>
        <v>0</v>
      </c>
    </row>
    <row r="6920" spans="13:16">
      <c r="M6920" s="49">
        <f>IF($A$4+69&gt;$B$4,"",$A$4+69)</f>
        <v>46092</v>
      </c>
      <c r="N6920" t="str">
        <f>IF(M6920="","",'Master Barang'!A14)</f>
        <v>PRL-013</v>
      </c>
      <c r="O6920" t="str">
        <f>IF(N6920="","",'Master Barang'!B14)</f>
        <v>sarung tangan plastik kaka 100 pcs</v>
      </c>
      <c r="P6920">
        <f>IF(OR(M6920="",N6920=""),"",SUMIFS('Barang Keluar'!$E:$E,'Barang Keluar'!$A:$A,M6920,'Barang Keluar'!$C:$C,N6920))</f>
        <v>0</v>
      </c>
    </row>
    <row r="6921" spans="13:16">
      <c r="M6921" s="49">
        <f>IF($A$4+69&gt;$B$4,"",$A$4+69)</f>
        <v>46092</v>
      </c>
      <c r="N6921" t="str">
        <f>IF(M6921="","",'Master Barang'!A15)</f>
        <v>PRL-014</v>
      </c>
      <c r="O6921" t="str">
        <f>IF(N6921="","",'Master Barang'!B15)</f>
        <v>optima trashbag 80x100</v>
      </c>
      <c r="P6921">
        <f>IF(OR(M6921="",N6921=""),"",SUMIFS('Barang Keluar'!$E:$E,'Barang Keluar'!$A:$A,M6921,'Barang Keluar'!$C:$C,N6921))</f>
        <v>0</v>
      </c>
    </row>
    <row r="6922" spans="13:16">
      <c r="M6922" s="49">
        <f>IF($A$4+69&gt;$B$4,"",$A$4+69)</f>
        <v>46092</v>
      </c>
      <c r="N6922" t="str">
        <f>IF(M6922="","",'Master Barang'!A16)</f>
        <v>PRL-015</v>
      </c>
      <c r="O6922" t="str">
        <f>IF(N6922="","",'Master Barang'!B16)</f>
        <v>optima trashbag 60x100</v>
      </c>
      <c r="P6922">
        <f>IF(OR(M6922="",N6922=""),"",SUMIFS('Barang Keluar'!$E:$E,'Barang Keluar'!$A:$A,M6922,'Barang Keluar'!$C:$C,N6922))</f>
        <v>0</v>
      </c>
    </row>
    <row r="6923" spans="13:16">
      <c r="M6923" s="49">
        <f>IF($A$4+69&gt;$B$4,"",$A$4+69)</f>
        <v>46092</v>
      </c>
      <c r="N6923" t="str">
        <f>IF(M6923="","",'Master Barang'!A17)</f>
        <v>PRL-016</v>
      </c>
      <c r="O6923" t="str">
        <f>IF(N6923="","",'Master Barang'!B17)</f>
        <v>rajawali trashbag 30x40</v>
      </c>
      <c r="P6923">
        <f>IF(OR(M6923="",N6923=""),"",SUMIFS('Barang Keluar'!$E:$E,'Barang Keluar'!$A:$A,M6923,'Barang Keluar'!$C:$C,N6923))</f>
        <v>0</v>
      </c>
    </row>
    <row r="6924" spans="13:16">
      <c r="M6924" s="49">
        <f>IF($A$4+69&gt;$B$4,"",$A$4+69)</f>
        <v>46092</v>
      </c>
      <c r="N6924" t="str">
        <f>IF(M6924="","",'Master Barang'!A18)</f>
        <v>PRL-017</v>
      </c>
      <c r="O6924" t="str">
        <f>IF(N6924="","",'Master Barang'!B18)</f>
        <v>onemed masker biru 3 play 50 pcs</v>
      </c>
      <c r="P6924">
        <f>IF(OR(M6924="",N6924=""),"",SUMIFS('Barang Keluar'!$E:$E,'Barang Keluar'!$A:$A,M6924,'Barang Keluar'!$C:$C,N6924))</f>
        <v>0</v>
      </c>
    </row>
    <row r="6925" spans="13:16">
      <c r="M6925" s="49">
        <f>IF($A$4+69&gt;$B$4,"",$A$4+69)</f>
        <v>46092</v>
      </c>
      <c r="N6925" t="str">
        <f>IF(M6925="","",'Master Barang'!A19)</f>
        <v>PRL-018</v>
      </c>
      <c r="O6925" t="str">
        <f>IF(N6925="","",'Master Barang'!B19)</f>
        <v>onemed masker biru 3 play hijab 50 pcs</v>
      </c>
      <c r="P6925">
        <f>IF(OR(M6925="",N6925=""),"",SUMIFS('Barang Keluar'!$E:$E,'Barang Keluar'!$A:$A,M6925,'Barang Keluar'!$C:$C,N6925))</f>
        <v>0</v>
      </c>
    </row>
    <row r="6926" spans="13:16">
      <c r="M6926" s="49">
        <f>IF($A$4+69&gt;$B$4,"",$A$4+69)</f>
        <v>46092</v>
      </c>
      <c r="N6926" t="str">
        <f>IF(M6926="","",'Master Barang'!A20)</f>
        <v>PRL-019</v>
      </c>
      <c r="O6926" t="str">
        <f>IF(N6926="","",'Master Barang'!B20)</f>
        <v>neo health masker biru 3 play 50 pcs</v>
      </c>
      <c r="P6926">
        <f>IF(OR(M6926="",N6926=""),"",SUMIFS('Barang Keluar'!$E:$E,'Barang Keluar'!$A:$A,M6926,'Barang Keluar'!$C:$C,N6926))</f>
        <v>0</v>
      </c>
    </row>
    <row r="6927" spans="13:16">
      <c r="M6927" s="49">
        <f>IF($A$4+69&gt;$B$4,"",$A$4+69)</f>
        <v>46092</v>
      </c>
      <c r="N6927" t="str">
        <f>IF(M6927="","",'Master Barang'!A21)</f>
        <v>PRL-020</v>
      </c>
      <c r="O6927" t="str">
        <f>IF(N6927="","",'Master Barang'!B21)</f>
        <v>baymed masker hijau 3 play hijau 50 pcs</v>
      </c>
      <c r="P6927">
        <f>IF(OR(M6927="",N6927=""),"",SUMIFS('Barang Keluar'!$E:$E,'Barang Keluar'!$A:$A,M6927,'Barang Keluar'!$C:$C,N6927))</f>
        <v>0</v>
      </c>
    </row>
    <row r="6928" spans="13:16">
      <c r="M6928" s="49">
        <f>IF($A$4+69&gt;$B$4,"",$A$4+69)</f>
        <v>46092</v>
      </c>
      <c r="N6928" t="str">
        <f>IF(M6928="","",'Master Barang'!A22)</f>
        <v>PRL-021</v>
      </c>
      <c r="O6928" t="str">
        <f>IF(N6928="","",'Master Barang'!B22)</f>
        <v>altamed nurse cap penutup kepala 100 pcs</v>
      </c>
      <c r="P6928">
        <f>IF(OR(M6928="",N6928=""),"",SUMIFS('Barang Keluar'!$E:$E,'Barang Keluar'!$A:$A,M6928,'Barang Keluar'!$C:$C,N6928))</f>
        <v>0</v>
      </c>
    </row>
    <row r="6929" spans="13:16">
      <c r="M6929" s="49">
        <f>IF($A$4+69&gt;$B$4,"",$A$4+69)</f>
        <v>46092</v>
      </c>
      <c r="N6929" t="str">
        <f>IF(M6929="","",'Master Barang'!A23)</f>
        <v>PRL-022</v>
      </c>
      <c r="O6929" t="str">
        <f>IF(N6929="","",'Master Barang'!B23)</f>
        <v>sabun cuci tangan</v>
      </c>
      <c r="P6929">
        <f>IF(OR(M6929="",N6929=""),"",SUMIFS('Barang Keluar'!$E:$E,'Barang Keluar'!$A:$A,M6929,'Barang Keluar'!$C:$C,N6929))</f>
        <v>0</v>
      </c>
    </row>
    <row r="6930" spans="13:16">
      <c r="M6930" s="49">
        <f>IF($A$4+69&gt;$B$4,"",$A$4+69)</f>
        <v>46092</v>
      </c>
      <c r="N6930" t="str">
        <f>IF(M6930="","",'Master Barang'!A24)</f>
        <v>PRL-023</v>
      </c>
      <c r="O6930" t="str">
        <f>IF(N6930="","",'Master Barang'!B24)</f>
        <v>gayung kecil</v>
      </c>
      <c r="P6930">
        <f>IF(OR(M6930="",N6930=""),"",SUMIFS('Barang Keluar'!$E:$E,'Barang Keluar'!$A:$A,M6930,'Barang Keluar'!$C:$C,N6930))</f>
        <v>0</v>
      </c>
    </row>
    <row r="6931" spans="13:16">
      <c r="M6931" s="49">
        <f>IF($A$4+69&gt;$B$4,"",$A$4+69)</f>
        <v>46092</v>
      </c>
      <c r="N6931" t="str">
        <f>IF(M6931="","",'Master Barang'!A25)</f>
        <v>PRL-024</v>
      </c>
      <c r="O6931" t="str">
        <f>IF(N6931="","",'Master Barang'!B25)</f>
        <v>cikrak kecil</v>
      </c>
      <c r="P6931">
        <f>IF(OR(M6931="",N6931=""),"",SUMIFS('Barang Keluar'!$E:$E,'Barang Keluar'!$A:$A,M6931,'Barang Keluar'!$C:$C,N6931))</f>
        <v>0</v>
      </c>
    </row>
    <row r="6932" spans="13:16">
      <c r="M6932" s="49">
        <f>IF($A$4+69&gt;$B$4,"",$A$4+69)</f>
        <v>46092</v>
      </c>
      <c r="N6932" t="str">
        <f>IF(M6932="","",'Master Barang'!A26)</f>
        <v>PRL-025</v>
      </c>
      <c r="O6932" t="str">
        <f>IF(N6932="","",'Master Barang'!B26)</f>
        <v>petromax plastik kecil 12x24 100 lembar</v>
      </c>
      <c r="P6932">
        <f>IF(OR(M6932="",N6932=""),"",SUMIFS('Barang Keluar'!$E:$E,'Barang Keluar'!$A:$A,M6932,'Barang Keluar'!$C:$C,N6932))</f>
        <v>0</v>
      </c>
    </row>
    <row r="6933" spans="13:16">
      <c r="M6933" s="49">
        <f>IF($A$4+69&gt;$B$4,"",$A$4+69)</f>
        <v>46092</v>
      </c>
      <c r="N6933" t="str">
        <f>IF(M6933="","",'Master Barang'!A27)</f>
        <v>PRL-026</v>
      </c>
      <c r="O6933" t="str">
        <f>IF(N6933="","",'Master Barang'!B27)</f>
        <v>lancar kresek kecil bening </v>
      </c>
      <c r="P6933">
        <f>IF(OR(M6933="",N6933=""),"",SUMIFS('Barang Keluar'!$E:$E,'Barang Keluar'!$A:$A,M6933,'Barang Keluar'!$C:$C,N6933))</f>
        <v>0</v>
      </c>
    </row>
    <row r="6934" spans="13:16">
      <c r="M6934" s="49">
        <f>IF($A$4+69&gt;$B$4,"",$A$4+69)</f>
        <v>46092</v>
      </c>
      <c r="N6934" t="str">
        <f>IF(M6934="","",'Master Barang'!A28)</f>
        <v>PRL-027</v>
      </c>
      <c r="O6934" t="str">
        <f>IF(N6934="","",'Master Barang'!B28)</f>
        <v>kresek klin warna warni kecil</v>
      </c>
      <c r="P6934">
        <f>IF(OR(M6934="",N6934=""),"",SUMIFS('Barang Keluar'!$E:$E,'Barang Keluar'!$A:$A,M6934,'Barang Keluar'!$C:$C,N6934))</f>
        <v>0</v>
      </c>
    </row>
    <row r="6935" spans="13:16">
      <c r="M6935" s="49">
        <f>IF($A$4+69&gt;$B$4,"",$A$4+69)</f>
        <v>46092</v>
      </c>
      <c r="N6935" t="str">
        <f>IF(M6935="","",'Master Barang'!A29)</f>
        <v>PRL-028</v>
      </c>
      <c r="O6935" t="str">
        <f>IF(N6935="","",'Master Barang'!B29)</f>
        <v>ctik plastik 7x10 100 pcs</v>
      </c>
      <c r="P6935">
        <f>IF(OR(M6935="",N6935=""),"",SUMIFS('Barang Keluar'!$E:$E,'Barang Keluar'!$A:$A,M6935,'Barang Keluar'!$C:$C,N6935))</f>
        <v>0</v>
      </c>
    </row>
    <row r="6936" spans="13:16">
      <c r="M6936" s="49">
        <f>IF($A$4+69&gt;$B$4,"",$A$4+69)</f>
        <v>46092</v>
      </c>
      <c r="N6936" t="str">
        <f>IF(M6936="","",'Master Barang'!A30)</f>
        <v>PRL-029</v>
      </c>
      <c r="O6936" t="str">
        <f>IF(N6936="","",'Master Barang'!B30)</f>
        <v>ctik plastik 6x10 100 pcs</v>
      </c>
      <c r="P6936">
        <f>IF(OR(M6936="",N6936=""),"",SUMIFS('Barang Keluar'!$E:$E,'Barang Keluar'!$A:$A,M6936,'Barang Keluar'!$C:$C,N6936))</f>
        <v>0</v>
      </c>
    </row>
    <row r="6937" spans="13:16">
      <c r="M6937" s="49">
        <f>IF($A$4+69&gt;$B$4,"",$A$4+69)</f>
        <v>46092</v>
      </c>
      <c r="N6937" t="str">
        <f>IF(M6937="","",'Master Barang'!A31)</f>
        <v>PRL-030</v>
      </c>
      <c r="O6937" t="str">
        <f>IF(N6937="","",'Master Barang'!B31)</f>
        <v>klip plastik 25x16 100 pcs</v>
      </c>
      <c r="P6937">
        <f>IF(OR(M6937="",N6937=""),"",SUMIFS('Barang Keluar'!$E:$E,'Barang Keluar'!$A:$A,M6937,'Barang Keluar'!$C:$C,N6937))</f>
        <v>0</v>
      </c>
    </row>
    <row r="6938" spans="13:16">
      <c r="M6938" s="49">
        <f>IF($A$4+69&gt;$B$4,"",$A$4+69)</f>
        <v>46092</v>
      </c>
      <c r="N6938" t="str">
        <f>IF(M6938="","",'Master Barang'!A32)</f>
        <v>PRL-031</v>
      </c>
      <c r="O6938" t="str">
        <f>IF(N6938="","",'Master Barang'!B32)</f>
        <v>tempat saus 20 ml</v>
      </c>
      <c r="P6938">
        <f>IF(OR(M6938="",N6938=""),"",SUMIFS('Barang Keluar'!$E:$E,'Barang Keluar'!$A:$A,M6938,'Barang Keluar'!$C:$C,N6938))</f>
        <v>0</v>
      </c>
    </row>
    <row r="6939" spans="13:16">
      <c r="M6939" s="49">
        <f>IF($A$4+69&gt;$B$4,"",$A$4+69)</f>
        <v>46092</v>
      </c>
      <c r="N6939" t="str">
        <f>IF(M6939="","",'Master Barang'!A33)</f>
        <v>PRL-032</v>
      </c>
      <c r="O6939" t="str">
        <f>IF(N6939="","",'Master Barang'!B33)</f>
        <v>plastik packaging ag box uk sedang</v>
      </c>
      <c r="P6939">
        <f>IF(OR(M6939="",N6939=""),"",SUMIFS('Barang Keluar'!$E:$E,'Barang Keluar'!$A:$A,M6939,'Barang Keluar'!$C:$C,N6939))</f>
        <v>0</v>
      </c>
    </row>
    <row r="6940" spans="13:16">
      <c r="M6940" s="49">
        <f>IF($A$4+69&gt;$B$4,"",$A$4+69)</f>
        <v>46092</v>
      </c>
      <c r="N6940" t="str">
        <f>IF(M6940="","",'Master Barang'!A34)</f>
        <v>PRL-033</v>
      </c>
      <c r="O6940">
        <f>IF(N6940="","",'Master Barang'!B34)</f>
        <v>0</v>
      </c>
      <c r="P6940">
        <f>IF(OR(M6940="",N6940=""),"",SUMIFS('Barang Keluar'!$E:$E,'Barang Keluar'!$A:$A,M6940,'Barang Keluar'!$C:$C,N6940))</f>
        <v>0</v>
      </c>
    </row>
    <row r="6941" spans="13:16">
      <c r="M6941" s="49">
        <f>IF($A$4+69&gt;$B$4,"",$A$4+69)</f>
        <v>46092</v>
      </c>
      <c r="N6941">
        <f>IF(M6941="","",'Master Barang'!A35)</f>
        <v>0</v>
      </c>
      <c r="O6941">
        <f>IF(N6941="","",'Master Barang'!B35)</f>
        <v>0</v>
      </c>
      <c r="P6941">
        <f>IF(OR(M6941="",N6941=""),"",SUMIFS('Barang Keluar'!$E:$E,'Barang Keluar'!$A:$A,M6941,'Barang Keluar'!$C:$C,N6941))</f>
        <v>0</v>
      </c>
    </row>
    <row r="6942" spans="13:16">
      <c r="M6942" s="49">
        <f>IF($A$4+69&gt;$B$4,"",$A$4+69)</f>
        <v>46092</v>
      </c>
      <c r="N6942">
        <f>IF(M6942="","",'Master Barang'!A36)</f>
        <v>0</v>
      </c>
      <c r="O6942">
        <f>IF(N6942="","",'Master Barang'!B36)</f>
        <v>0</v>
      </c>
      <c r="P6942">
        <f>IF(OR(M6942="",N6942=""),"",SUMIFS('Barang Keluar'!$E:$E,'Barang Keluar'!$A:$A,M6942,'Barang Keluar'!$C:$C,N6942))</f>
        <v>0</v>
      </c>
    </row>
    <row r="6943" spans="13:16">
      <c r="M6943" s="49">
        <f>IF($A$4+69&gt;$B$4,"",$A$4+69)</f>
        <v>46092</v>
      </c>
      <c r="N6943">
        <f>IF(M6943="","",'Master Barang'!A37)</f>
        <v>0</v>
      </c>
      <c r="O6943">
        <f>IF(N6943="","",'Master Barang'!B37)</f>
        <v>0</v>
      </c>
      <c r="P6943">
        <f>IF(OR(M6943="",N6943=""),"",SUMIFS('Barang Keluar'!$E:$E,'Barang Keluar'!$A:$A,M6943,'Barang Keluar'!$C:$C,N6943))</f>
        <v>0</v>
      </c>
    </row>
    <row r="6944" spans="13:16">
      <c r="M6944" s="49">
        <f>IF($A$4+69&gt;$B$4,"",$A$4+69)</f>
        <v>46092</v>
      </c>
      <c r="N6944">
        <f>IF(M6944="","",'Master Barang'!A38)</f>
        <v>0</v>
      </c>
      <c r="O6944">
        <f>IF(N6944="","",'Master Barang'!B38)</f>
        <v>0</v>
      </c>
      <c r="P6944">
        <f>IF(OR(M6944="",N6944=""),"",SUMIFS('Barang Keluar'!$E:$E,'Barang Keluar'!$A:$A,M6944,'Barang Keluar'!$C:$C,N6944))</f>
        <v>0</v>
      </c>
    </row>
    <row r="6945" spans="13:16">
      <c r="M6945" s="49">
        <f>IF($A$4+69&gt;$B$4,"",$A$4+69)</f>
        <v>46092</v>
      </c>
      <c r="N6945">
        <f>IF(M6945="","",'Master Barang'!A39)</f>
        <v>0</v>
      </c>
      <c r="O6945">
        <f>IF(N6945="","",'Master Barang'!B39)</f>
        <v>0</v>
      </c>
      <c r="P6945">
        <f>IF(OR(M6945="",N6945=""),"",SUMIFS('Barang Keluar'!$E:$E,'Barang Keluar'!$A:$A,M6945,'Barang Keluar'!$C:$C,N6945))</f>
        <v>0</v>
      </c>
    </row>
    <row r="6946" spans="13:16">
      <c r="M6946" s="49">
        <f>IF($A$4+69&gt;$B$4,"",$A$4+69)</f>
        <v>46092</v>
      </c>
      <c r="N6946">
        <f>IF(M6946="","",'Master Barang'!A40)</f>
        <v>0</v>
      </c>
      <c r="O6946">
        <f>IF(N6946="","",'Master Barang'!B40)</f>
        <v>0</v>
      </c>
      <c r="P6946">
        <f>IF(OR(M6946="",N6946=""),"",SUMIFS('Barang Keluar'!$E:$E,'Barang Keluar'!$A:$A,M6946,'Barang Keluar'!$C:$C,N6946))</f>
        <v>0</v>
      </c>
    </row>
    <row r="6947" spans="13:16">
      <c r="M6947" s="49">
        <f>IF($A$4+69&gt;$B$4,"",$A$4+69)</f>
        <v>46092</v>
      </c>
      <c r="N6947">
        <f>IF(M6947="","",'Master Barang'!A41)</f>
        <v>0</v>
      </c>
      <c r="O6947">
        <f>IF(N6947="","",'Master Barang'!B41)</f>
        <v>0</v>
      </c>
      <c r="P6947">
        <f>IF(OR(M6947="",N6947=""),"",SUMIFS('Barang Keluar'!$E:$E,'Barang Keluar'!$A:$A,M6947,'Barang Keluar'!$C:$C,N6947))</f>
        <v>0</v>
      </c>
    </row>
    <row r="6948" spans="13:16">
      <c r="M6948" s="49">
        <f>IF($A$4+69&gt;$B$4,"",$A$4+69)</f>
        <v>46092</v>
      </c>
      <c r="N6948">
        <f>IF(M6948="","",'Master Barang'!A42)</f>
        <v>0</v>
      </c>
      <c r="O6948">
        <f>IF(N6948="","",'Master Barang'!B42)</f>
        <v>0</v>
      </c>
      <c r="P6948">
        <f>IF(OR(M6948="",N6948=""),"",SUMIFS('Barang Keluar'!$E:$E,'Barang Keluar'!$A:$A,M6948,'Barang Keluar'!$C:$C,N6948))</f>
        <v>0</v>
      </c>
    </row>
    <row r="6949" spans="13:16">
      <c r="M6949" s="49">
        <f>IF($A$4+69&gt;$B$4,"",$A$4+69)</f>
        <v>46092</v>
      </c>
      <c r="N6949">
        <f>IF(M6949="","",'Master Barang'!A43)</f>
        <v>0</v>
      </c>
      <c r="O6949">
        <f>IF(N6949="","",'Master Barang'!B43)</f>
        <v>0</v>
      </c>
      <c r="P6949">
        <f>IF(OR(M6949="",N6949=""),"",SUMIFS('Barang Keluar'!$E:$E,'Barang Keluar'!$A:$A,M6949,'Barang Keluar'!$C:$C,N6949))</f>
        <v>0</v>
      </c>
    </row>
    <row r="6950" spans="13:16">
      <c r="M6950" s="49">
        <f>IF($A$4+69&gt;$B$4,"",$A$4+69)</f>
        <v>46092</v>
      </c>
      <c r="N6950">
        <f>IF(M6950="","",'Master Barang'!A44)</f>
        <v>0</v>
      </c>
      <c r="O6950">
        <f>IF(N6950="","",'Master Barang'!B44)</f>
        <v>0</v>
      </c>
      <c r="P6950">
        <f>IF(OR(M6950="",N6950=""),"",SUMIFS('Barang Keluar'!$E:$E,'Barang Keluar'!$A:$A,M6950,'Barang Keluar'!$C:$C,N6950))</f>
        <v>0</v>
      </c>
    </row>
    <row r="6951" spans="13:16">
      <c r="M6951" s="49">
        <f>IF($A$4+69&gt;$B$4,"",$A$4+69)</f>
        <v>46092</v>
      </c>
      <c r="N6951">
        <f>IF(M6951="","",'Master Barang'!A45)</f>
        <v>0</v>
      </c>
      <c r="O6951">
        <f>IF(N6951="","",'Master Barang'!B45)</f>
        <v>0</v>
      </c>
      <c r="P6951">
        <f>IF(OR(M6951="",N6951=""),"",SUMIFS('Barang Keluar'!$E:$E,'Barang Keluar'!$A:$A,M6951,'Barang Keluar'!$C:$C,N6951))</f>
        <v>0</v>
      </c>
    </row>
    <row r="6952" spans="13:16">
      <c r="M6952" s="49">
        <f>IF($A$4+69&gt;$B$4,"",$A$4+69)</f>
        <v>46092</v>
      </c>
      <c r="N6952">
        <f>IF(M6952="","",'Master Barang'!A46)</f>
        <v>0</v>
      </c>
      <c r="O6952">
        <f>IF(N6952="","",'Master Barang'!B46)</f>
        <v>0</v>
      </c>
      <c r="P6952">
        <f>IF(OR(M6952="",N6952=""),"",SUMIFS('Barang Keluar'!$E:$E,'Barang Keluar'!$A:$A,M6952,'Barang Keluar'!$C:$C,N6952))</f>
        <v>0</v>
      </c>
    </row>
    <row r="6953" spans="13:16">
      <c r="M6953" s="49">
        <f>IF($A$4+69&gt;$B$4,"",$A$4+69)</f>
        <v>46092</v>
      </c>
      <c r="N6953">
        <f>IF(M6953="","",'Master Barang'!A47)</f>
        <v>0</v>
      </c>
      <c r="O6953">
        <f>IF(N6953="","",'Master Barang'!B47)</f>
        <v>0</v>
      </c>
      <c r="P6953">
        <f>IF(OR(M6953="",N6953=""),"",SUMIFS('Barang Keluar'!$E:$E,'Barang Keluar'!$A:$A,M6953,'Barang Keluar'!$C:$C,N6953))</f>
        <v>0</v>
      </c>
    </row>
    <row r="6954" spans="13:16">
      <c r="M6954" s="49">
        <f>IF($A$4+69&gt;$B$4,"",$A$4+69)</f>
        <v>46092</v>
      </c>
      <c r="N6954">
        <f>IF(M6954="","",'Master Barang'!A48)</f>
        <v>0</v>
      </c>
      <c r="O6954">
        <f>IF(N6954="","",'Master Barang'!B48)</f>
        <v>0</v>
      </c>
      <c r="P6954">
        <f>IF(OR(M6954="",N6954=""),"",SUMIFS('Barang Keluar'!$E:$E,'Barang Keluar'!$A:$A,M6954,'Barang Keluar'!$C:$C,N6954))</f>
        <v>0</v>
      </c>
    </row>
    <row r="6955" spans="13:16">
      <c r="M6955" s="49">
        <f>IF($A$4+69&gt;$B$4,"",$A$4+69)</f>
        <v>46092</v>
      </c>
      <c r="N6955">
        <f>IF(M6955="","",'Master Barang'!A49)</f>
        <v>0</v>
      </c>
      <c r="O6955">
        <f>IF(N6955="","",'Master Barang'!B49)</f>
        <v>0</v>
      </c>
      <c r="P6955">
        <f>IF(OR(M6955="",N6955=""),"",SUMIFS('Barang Keluar'!$E:$E,'Barang Keluar'!$A:$A,M6955,'Barang Keluar'!$C:$C,N6955))</f>
        <v>0</v>
      </c>
    </row>
    <row r="6956" spans="13:16">
      <c r="M6956" s="49">
        <f>IF($A$4+69&gt;$B$4,"",$A$4+69)</f>
        <v>46092</v>
      </c>
      <c r="N6956">
        <f>IF(M6956="","",'Master Barang'!A50)</f>
        <v>0</v>
      </c>
      <c r="O6956">
        <f>IF(N6956="","",'Master Barang'!B50)</f>
        <v>0</v>
      </c>
      <c r="P6956">
        <f>IF(OR(M6956="",N6956=""),"",SUMIFS('Barang Keluar'!$E:$E,'Barang Keluar'!$A:$A,M6956,'Barang Keluar'!$C:$C,N6956))</f>
        <v>0</v>
      </c>
    </row>
    <row r="6957" spans="13:16">
      <c r="M6957" s="49">
        <f>IF($A$4+69&gt;$B$4,"",$A$4+69)</f>
        <v>46092</v>
      </c>
      <c r="N6957">
        <f>IF(M6957="","",'Master Barang'!A51)</f>
        <v>0</v>
      </c>
      <c r="O6957">
        <f>IF(N6957="","",'Master Barang'!B51)</f>
        <v>0</v>
      </c>
      <c r="P6957">
        <f>IF(OR(M6957="",N6957=""),"",SUMIFS('Barang Keluar'!$E:$E,'Barang Keluar'!$A:$A,M6957,'Barang Keluar'!$C:$C,N6957))</f>
        <v>0</v>
      </c>
    </row>
    <row r="6958" spans="13:16">
      <c r="M6958" s="49">
        <f>IF($A$4+69&gt;$B$4,"",$A$4+69)</f>
        <v>46092</v>
      </c>
      <c r="N6958">
        <f>IF(M6958="","",'Master Barang'!A52)</f>
        <v>0</v>
      </c>
      <c r="O6958">
        <f>IF(N6958="","",'Master Barang'!B52)</f>
        <v>0</v>
      </c>
      <c r="P6958">
        <f>IF(OR(M6958="",N6958=""),"",SUMIFS('Barang Keluar'!$E:$E,'Barang Keluar'!$A:$A,M6958,'Barang Keluar'!$C:$C,N6958))</f>
        <v>0</v>
      </c>
    </row>
    <row r="6959" spans="13:16">
      <c r="M6959" s="49">
        <f>IF($A$4+69&gt;$B$4,"",$A$4+69)</f>
        <v>46092</v>
      </c>
      <c r="N6959">
        <f>IF(M6959="","",'Master Barang'!A53)</f>
        <v>0</v>
      </c>
      <c r="O6959">
        <f>IF(N6959="","",'Master Barang'!B53)</f>
        <v>0</v>
      </c>
      <c r="P6959">
        <f>IF(OR(M6959="",N6959=""),"",SUMIFS('Barang Keluar'!$E:$E,'Barang Keluar'!$A:$A,M6959,'Barang Keluar'!$C:$C,N6959))</f>
        <v>0</v>
      </c>
    </row>
    <row r="6960" spans="13:16">
      <c r="M6960" s="49">
        <f>IF($A$4+69&gt;$B$4,"",$A$4+69)</f>
        <v>46092</v>
      </c>
      <c r="N6960">
        <f>IF(M6960="","",'Master Barang'!A54)</f>
        <v>0</v>
      </c>
      <c r="O6960">
        <f>IF(N6960="","",'Master Barang'!B54)</f>
        <v>0</v>
      </c>
      <c r="P6960">
        <f>IF(OR(M6960="",N6960=""),"",SUMIFS('Barang Keluar'!$E:$E,'Barang Keluar'!$A:$A,M6960,'Barang Keluar'!$C:$C,N6960))</f>
        <v>0</v>
      </c>
    </row>
    <row r="6961" spans="13:16">
      <c r="M6961" s="49">
        <f>IF($A$4+69&gt;$B$4,"",$A$4+69)</f>
        <v>46092</v>
      </c>
      <c r="N6961">
        <f>IF(M6961="","",'Master Barang'!A55)</f>
        <v>0</v>
      </c>
      <c r="O6961">
        <f>IF(N6961="","",'Master Barang'!B55)</f>
        <v>0</v>
      </c>
      <c r="P6961">
        <f>IF(OR(M6961="",N6961=""),"",SUMIFS('Barang Keluar'!$E:$E,'Barang Keluar'!$A:$A,M6961,'Barang Keluar'!$C:$C,N6961))</f>
        <v>0</v>
      </c>
    </row>
    <row r="6962" spans="13:16">
      <c r="M6962" s="49">
        <f>IF($A$4+69&gt;$B$4,"",$A$4+69)</f>
        <v>46092</v>
      </c>
      <c r="N6962">
        <f>IF(M6962="","",'Master Barang'!A56)</f>
        <v>0</v>
      </c>
      <c r="O6962">
        <f>IF(N6962="","",'Master Barang'!B56)</f>
        <v>0</v>
      </c>
      <c r="P6962">
        <f>IF(OR(M6962="",N6962=""),"",SUMIFS('Barang Keluar'!$E:$E,'Barang Keluar'!$A:$A,M6962,'Barang Keluar'!$C:$C,N6962))</f>
        <v>0</v>
      </c>
    </row>
    <row r="6963" spans="13:16">
      <c r="M6963" s="49">
        <f>IF($A$4+69&gt;$B$4,"",$A$4+69)</f>
        <v>46092</v>
      </c>
      <c r="N6963">
        <f>IF(M6963="","",'Master Barang'!A57)</f>
        <v>0</v>
      </c>
      <c r="O6963">
        <f>IF(N6963="","",'Master Barang'!B57)</f>
        <v>0</v>
      </c>
      <c r="P6963">
        <f>IF(OR(M6963="",N6963=""),"",SUMIFS('Barang Keluar'!$E:$E,'Barang Keluar'!$A:$A,M6963,'Barang Keluar'!$C:$C,N6963))</f>
        <v>0</v>
      </c>
    </row>
    <row r="6964" spans="13:16">
      <c r="M6964" s="49">
        <f>IF($A$4+69&gt;$B$4,"",$A$4+69)</f>
        <v>46092</v>
      </c>
      <c r="N6964">
        <f>IF(M6964="","",'Master Barang'!A58)</f>
        <v>0</v>
      </c>
      <c r="O6964">
        <f>IF(N6964="","",'Master Barang'!B58)</f>
        <v>0</v>
      </c>
      <c r="P6964">
        <f>IF(OR(M6964="",N6964=""),"",SUMIFS('Barang Keluar'!$E:$E,'Barang Keluar'!$A:$A,M6964,'Barang Keluar'!$C:$C,N6964))</f>
        <v>0</v>
      </c>
    </row>
    <row r="6965" spans="13:16">
      <c r="M6965" s="49">
        <f>IF($A$4+69&gt;$B$4,"",$A$4+69)</f>
        <v>46092</v>
      </c>
      <c r="N6965">
        <f>IF(M6965="","",'Master Barang'!A59)</f>
        <v>0</v>
      </c>
      <c r="O6965">
        <f>IF(N6965="","",'Master Barang'!B59)</f>
        <v>0</v>
      </c>
      <c r="P6965">
        <f>IF(OR(M6965="",N6965=""),"",SUMIFS('Barang Keluar'!$E:$E,'Barang Keluar'!$A:$A,M6965,'Barang Keluar'!$C:$C,N6965))</f>
        <v>0</v>
      </c>
    </row>
    <row r="6966" spans="13:16">
      <c r="M6966" s="49">
        <f>IF($A$4+69&gt;$B$4,"",$A$4+69)</f>
        <v>46092</v>
      </c>
      <c r="N6966">
        <f>IF(M6966="","",'Master Barang'!A60)</f>
        <v>0</v>
      </c>
      <c r="O6966">
        <f>IF(N6966="","",'Master Barang'!B60)</f>
        <v>0</v>
      </c>
      <c r="P6966">
        <f>IF(OR(M6966="",N6966=""),"",SUMIFS('Barang Keluar'!$E:$E,'Barang Keluar'!$A:$A,M6966,'Barang Keluar'!$C:$C,N6966))</f>
        <v>0</v>
      </c>
    </row>
    <row r="6967" spans="13:16">
      <c r="M6967" s="49">
        <f>IF($A$4+69&gt;$B$4,"",$A$4+69)</f>
        <v>46092</v>
      </c>
      <c r="N6967">
        <f>IF(M6967="","",'Master Barang'!A61)</f>
        <v>0</v>
      </c>
      <c r="O6967">
        <f>IF(N6967="","",'Master Barang'!B61)</f>
        <v>0</v>
      </c>
      <c r="P6967">
        <f>IF(OR(M6967="",N6967=""),"",SUMIFS('Barang Keluar'!$E:$E,'Barang Keluar'!$A:$A,M6967,'Barang Keluar'!$C:$C,N6967))</f>
        <v>0</v>
      </c>
    </row>
    <row r="6968" spans="13:16">
      <c r="M6968" s="49">
        <f>IF($A$4+69&gt;$B$4,"",$A$4+69)</f>
        <v>46092</v>
      </c>
      <c r="N6968">
        <f>IF(M6968="","",'Master Barang'!A62)</f>
        <v>0</v>
      </c>
      <c r="O6968">
        <f>IF(N6968="","",'Master Barang'!B62)</f>
        <v>0</v>
      </c>
      <c r="P6968">
        <f>IF(OR(M6968="",N6968=""),"",SUMIFS('Barang Keluar'!$E:$E,'Barang Keluar'!$A:$A,M6968,'Barang Keluar'!$C:$C,N6968))</f>
        <v>0</v>
      </c>
    </row>
    <row r="6969" spans="13:16">
      <c r="M6969" s="49">
        <f>IF($A$4+69&gt;$B$4,"",$A$4+69)</f>
        <v>46092</v>
      </c>
      <c r="N6969">
        <f>IF(M6969="","",'Master Barang'!A63)</f>
        <v>0</v>
      </c>
      <c r="O6969">
        <f>IF(N6969="","",'Master Barang'!B63)</f>
        <v>0</v>
      </c>
      <c r="P6969">
        <f>IF(OR(M6969="",N6969=""),"",SUMIFS('Barang Keluar'!$E:$E,'Barang Keluar'!$A:$A,M6969,'Barang Keluar'!$C:$C,N6969))</f>
        <v>0</v>
      </c>
    </row>
    <row r="6970" spans="13:16">
      <c r="M6970" s="49">
        <f>IF($A$4+69&gt;$B$4,"",$A$4+69)</f>
        <v>46092</v>
      </c>
      <c r="N6970">
        <f>IF(M6970="","",'Master Barang'!A64)</f>
        <v>0</v>
      </c>
      <c r="O6970">
        <f>IF(N6970="","",'Master Barang'!B64)</f>
        <v>0</v>
      </c>
      <c r="P6970">
        <f>IF(OR(M6970="",N6970=""),"",SUMIFS('Barang Keluar'!$E:$E,'Barang Keluar'!$A:$A,M6970,'Barang Keluar'!$C:$C,N6970))</f>
        <v>0</v>
      </c>
    </row>
    <row r="6971" spans="13:16">
      <c r="M6971" s="49">
        <f>IF($A$4+69&gt;$B$4,"",$A$4+69)</f>
        <v>46092</v>
      </c>
      <c r="N6971">
        <f>IF(M6971="","",'Master Barang'!A65)</f>
        <v>0</v>
      </c>
      <c r="O6971">
        <f>IF(N6971="","",'Master Barang'!B65)</f>
        <v>0</v>
      </c>
      <c r="P6971">
        <f>IF(OR(M6971="",N6971=""),"",SUMIFS('Barang Keluar'!$E:$E,'Barang Keluar'!$A:$A,M6971,'Barang Keluar'!$C:$C,N6971))</f>
        <v>0</v>
      </c>
    </row>
    <row r="6972" spans="13:16">
      <c r="M6972" s="49">
        <f>IF($A$4+69&gt;$B$4,"",$A$4+69)</f>
        <v>46092</v>
      </c>
      <c r="N6972">
        <f>IF(M6972="","",'Master Barang'!A66)</f>
        <v>0</v>
      </c>
      <c r="O6972">
        <f>IF(N6972="","",'Master Barang'!B66)</f>
        <v>0</v>
      </c>
      <c r="P6972">
        <f>IF(OR(M6972="",N6972=""),"",SUMIFS('Barang Keluar'!$E:$E,'Barang Keluar'!$A:$A,M6972,'Barang Keluar'!$C:$C,N6972))</f>
        <v>0</v>
      </c>
    </row>
    <row r="6973" spans="13:16">
      <c r="M6973" s="49">
        <f>IF($A$4+69&gt;$B$4,"",$A$4+69)</f>
        <v>46092</v>
      </c>
      <c r="N6973">
        <f>IF(M6973="","",'Master Barang'!A67)</f>
        <v>0</v>
      </c>
      <c r="O6973">
        <f>IF(N6973="","",'Master Barang'!B67)</f>
        <v>0</v>
      </c>
      <c r="P6973">
        <f>IF(OR(M6973="",N6973=""),"",SUMIFS('Barang Keluar'!$E:$E,'Barang Keluar'!$A:$A,M6973,'Barang Keluar'!$C:$C,N6973))</f>
        <v>0</v>
      </c>
    </row>
    <row r="6974" spans="13:16">
      <c r="M6974" s="49">
        <f>IF($A$4+69&gt;$B$4,"",$A$4+69)</f>
        <v>46092</v>
      </c>
      <c r="N6974">
        <f>IF(M6974="","",'Master Barang'!A68)</f>
        <v>0</v>
      </c>
      <c r="O6974">
        <f>IF(N6974="","",'Master Barang'!B68)</f>
        <v>0</v>
      </c>
      <c r="P6974">
        <f>IF(OR(M6974="",N6974=""),"",SUMIFS('Barang Keluar'!$E:$E,'Barang Keluar'!$A:$A,M6974,'Barang Keluar'!$C:$C,N6974))</f>
        <v>0</v>
      </c>
    </row>
    <row r="6975" spans="13:16">
      <c r="M6975" s="49">
        <f>IF($A$4+69&gt;$B$4,"",$A$4+69)</f>
        <v>46092</v>
      </c>
      <c r="N6975">
        <f>IF(M6975="","",'Master Barang'!A69)</f>
        <v>0</v>
      </c>
      <c r="O6975">
        <f>IF(N6975="","",'Master Barang'!B69)</f>
        <v>0</v>
      </c>
      <c r="P6975">
        <f>IF(OR(M6975="",N6975=""),"",SUMIFS('Barang Keluar'!$E:$E,'Barang Keluar'!$A:$A,M6975,'Barang Keluar'!$C:$C,N6975))</f>
        <v>0</v>
      </c>
    </row>
    <row r="6976" spans="13:16">
      <c r="M6976" s="49">
        <f>IF($A$4+69&gt;$B$4,"",$A$4+69)</f>
        <v>46092</v>
      </c>
      <c r="N6976">
        <f>IF(M6976="","",'Master Barang'!A70)</f>
        <v>0</v>
      </c>
      <c r="O6976">
        <f>IF(N6976="","",'Master Barang'!B70)</f>
        <v>0</v>
      </c>
      <c r="P6976">
        <f>IF(OR(M6976="",N6976=""),"",SUMIFS('Barang Keluar'!$E:$E,'Barang Keluar'!$A:$A,M6976,'Barang Keluar'!$C:$C,N6976))</f>
        <v>0</v>
      </c>
    </row>
    <row r="6977" spans="13:16">
      <c r="M6977" s="49">
        <f>IF($A$4+69&gt;$B$4,"",$A$4+69)</f>
        <v>46092</v>
      </c>
      <c r="N6977">
        <f>IF(M6977="","",'Master Barang'!A71)</f>
        <v>0</v>
      </c>
      <c r="O6977">
        <f>IF(N6977="","",'Master Barang'!B71)</f>
        <v>0</v>
      </c>
      <c r="P6977">
        <f>IF(OR(M6977="",N6977=""),"",SUMIFS('Barang Keluar'!$E:$E,'Barang Keluar'!$A:$A,M6977,'Barang Keluar'!$C:$C,N6977))</f>
        <v>0</v>
      </c>
    </row>
    <row r="6978" spans="13:16">
      <c r="M6978" s="49">
        <f>IF($A$4+69&gt;$B$4,"",$A$4+69)</f>
        <v>46092</v>
      </c>
      <c r="N6978">
        <f>IF(M6978="","",'Master Barang'!A72)</f>
        <v>0</v>
      </c>
      <c r="O6978">
        <f>IF(N6978="","",'Master Barang'!B72)</f>
        <v>0</v>
      </c>
      <c r="P6978">
        <f>IF(OR(M6978="",N6978=""),"",SUMIFS('Barang Keluar'!$E:$E,'Barang Keluar'!$A:$A,M6978,'Barang Keluar'!$C:$C,N6978))</f>
        <v>0</v>
      </c>
    </row>
    <row r="6979" spans="13:16">
      <c r="M6979" s="49">
        <f>IF($A$4+69&gt;$B$4,"",$A$4+69)</f>
        <v>46092</v>
      </c>
      <c r="N6979">
        <f>IF(M6979="","",'Master Barang'!A73)</f>
        <v>0</v>
      </c>
      <c r="O6979">
        <f>IF(N6979="","",'Master Barang'!B73)</f>
        <v>0</v>
      </c>
      <c r="P6979">
        <f>IF(OR(M6979="",N6979=""),"",SUMIFS('Barang Keluar'!$E:$E,'Barang Keluar'!$A:$A,M6979,'Barang Keluar'!$C:$C,N6979))</f>
        <v>0</v>
      </c>
    </row>
    <row r="6980" spans="13:16">
      <c r="M6980" s="49">
        <f>IF($A$4+69&gt;$B$4,"",$A$4+69)</f>
        <v>46092</v>
      </c>
      <c r="N6980">
        <f>IF(M6980="","",'Master Barang'!A74)</f>
        <v>0</v>
      </c>
      <c r="O6980">
        <f>IF(N6980="","",'Master Barang'!B74)</f>
        <v>0</v>
      </c>
      <c r="P6980">
        <f>IF(OR(M6980="",N6980=""),"",SUMIFS('Barang Keluar'!$E:$E,'Barang Keluar'!$A:$A,M6980,'Barang Keluar'!$C:$C,N6980))</f>
        <v>0</v>
      </c>
    </row>
    <row r="6981" spans="13:16">
      <c r="M6981" s="49">
        <f>IF($A$4+69&gt;$B$4,"",$A$4+69)</f>
        <v>46092</v>
      </c>
      <c r="N6981">
        <f>IF(M6981="","",'Master Barang'!A75)</f>
        <v>0</v>
      </c>
      <c r="O6981">
        <f>IF(N6981="","",'Master Barang'!B75)</f>
        <v>0</v>
      </c>
      <c r="P6981">
        <f>IF(OR(M6981="",N6981=""),"",SUMIFS('Barang Keluar'!$E:$E,'Barang Keluar'!$A:$A,M6981,'Barang Keluar'!$C:$C,N6981))</f>
        <v>0</v>
      </c>
    </row>
    <row r="6982" spans="13:16">
      <c r="M6982" s="49">
        <f>IF($A$4+69&gt;$B$4,"",$A$4+69)</f>
        <v>46092</v>
      </c>
      <c r="N6982">
        <f>IF(M6982="","",'Master Barang'!A76)</f>
        <v>0</v>
      </c>
      <c r="O6982">
        <f>IF(N6982="","",'Master Barang'!B76)</f>
        <v>0</v>
      </c>
      <c r="P6982">
        <f>IF(OR(M6982="",N6982=""),"",SUMIFS('Barang Keluar'!$E:$E,'Barang Keluar'!$A:$A,M6982,'Barang Keluar'!$C:$C,N6982))</f>
        <v>0</v>
      </c>
    </row>
    <row r="6983" spans="13:16">
      <c r="M6983" s="49">
        <f>IF($A$4+69&gt;$B$4,"",$A$4+69)</f>
        <v>46092</v>
      </c>
      <c r="N6983">
        <f>IF(M6983="","",'Master Barang'!A77)</f>
        <v>0</v>
      </c>
      <c r="O6983">
        <f>IF(N6983="","",'Master Barang'!B77)</f>
        <v>0</v>
      </c>
      <c r="P6983">
        <f>IF(OR(M6983="",N6983=""),"",SUMIFS('Barang Keluar'!$E:$E,'Barang Keluar'!$A:$A,M6983,'Barang Keluar'!$C:$C,N6983))</f>
        <v>0</v>
      </c>
    </row>
    <row r="6984" spans="13:16">
      <c r="M6984" s="49">
        <f>IF($A$4+69&gt;$B$4,"",$A$4+69)</f>
        <v>46092</v>
      </c>
      <c r="N6984">
        <f>IF(M6984="","",'Master Barang'!A78)</f>
        <v>0</v>
      </c>
      <c r="O6984">
        <f>IF(N6984="","",'Master Barang'!B78)</f>
        <v>0</v>
      </c>
      <c r="P6984">
        <f>IF(OR(M6984="",N6984=""),"",SUMIFS('Barang Keluar'!$E:$E,'Barang Keluar'!$A:$A,M6984,'Barang Keluar'!$C:$C,N6984))</f>
        <v>0</v>
      </c>
    </row>
    <row r="6985" spans="13:16">
      <c r="M6985" s="49">
        <f>IF($A$4+69&gt;$B$4,"",$A$4+69)</f>
        <v>46092</v>
      </c>
      <c r="N6985">
        <f>IF(M6985="","",'Master Barang'!A79)</f>
        <v>0</v>
      </c>
      <c r="O6985">
        <f>IF(N6985="","",'Master Barang'!B79)</f>
        <v>0</v>
      </c>
      <c r="P6985">
        <f>IF(OR(M6985="",N6985=""),"",SUMIFS('Barang Keluar'!$E:$E,'Barang Keluar'!$A:$A,M6985,'Barang Keluar'!$C:$C,N6985))</f>
        <v>0</v>
      </c>
    </row>
    <row r="6986" spans="13:16">
      <c r="M6986" s="49">
        <f>IF($A$4+69&gt;$B$4,"",$A$4+69)</f>
        <v>46092</v>
      </c>
      <c r="N6986">
        <f>IF(M6986="","",'Master Barang'!A80)</f>
        <v>0</v>
      </c>
      <c r="O6986">
        <f>IF(N6986="","",'Master Barang'!B80)</f>
        <v>0</v>
      </c>
      <c r="P6986">
        <f>IF(OR(M6986="",N6986=""),"",SUMIFS('Barang Keluar'!$E:$E,'Barang Keluar'!$A:$A,M6986,'Barang Keluar'!$C:$C,N6986))</f>
        <v>0</v>
      </c>
    </row>
    <row r="6987" spans="13:16">
      <c r="M6987" s="49">
        <f>IF($A$4+69&gt;$B$4,"",$A$4+69)</f>
        <v>46092</v>
      </c>
      <c r="N6987">
        <f>IF(M6987="","",'Master Barang'!A81)</f>
        <v>0</v>
      </c>
      <c r="O6987">
        <f>IF(N6987="","",'Master Barang'!B81)</f>
        <v>0</v>
      </c>
      <c r="P6987">
        <f>IF(OR(M6987="",N6987=""),"",SUMIFS('Barang Keluar'!$E:$E,'Barang Keluar'!$A:$A,M6987,'Barang Keluar'!$C:$C,N6987))</f>
        <v>0</v>
      </c>
    </row>
    <row r="6988" spans="13:16">
      <c r="M6988" s="49">
        <f>IF($A$4+69&gt;$B$4,"",$A$4+69)</f>
        <v>46092</v>
      </c>
      <c r="N6988">
        <f>IF(M6988="","",'Master Barang'!A82)</f>
        <v>0</v>
      </c>
      <c r="O6988">
        <f>IF(N6988="","",'Master Barang'!B82)</f>
        <v>0</v>
      </c>
      <c r="P6988">
        <f>IF(OR(M6988="",N6988=""),"",SUMIFS('Barang Keluar'!$E:$E,'Barang Keluar'!$A:$A,M6988,'Barang Keluar'!$C:$C,N6988))</f>
        <v>0</v>
      </c>
    </row>
    <row r="6989" spans="13:16">
      <c r="M6989" s="49">
        <f>IF($A$4+69&gt;$B$4,"",$A$4+69)</f>
        <v>46092</v>
      </c>
      <c r="N6989">
        <f>IF(M6989="","",'Master Barang'!A83)</f>
        <v>0</v>
      </c>
      <c r="O6989">
        <f>IF(N6989="","",'Master Barang'!B83)</f>
        <v>0</v>
      </c>
      <c r="P6989">
        <f>IF(OR(M6989="",N6989=""),"",SUMIFS('Barang Keluar'!$E:$E,'Barang Keluar'!$A:$A,M6989,'Barang Keluar'!$C:$C,N6989))</f>
        <v>0</v>
      </c>
    </row>
    <row r="6990" spans="13:16">
      <c r="M6990" s="49">
        <f>IF($A$4+69&gt;$B$4,"",$A$4+69)</f>
        <v>46092</v>
      </c>
      <c r="N6990">
        <f>IF(M6990="","",'Master Barang'!A84)</f>
        <v>0</v>
      </c>
      <c r="O6990">
        <f>IF(N6990="","",'Master Barang'!B84)</f>
        <v>0</v>
      </c>
      <c r="P6990">
        <f>IF(OR(M6990="",N6990=""),"",SUMIFS('Barang Keluar'!$E:$E,'Barang Keluar'!$A:$A,M6990,'Barang Keluar'!$C:$C,N6990))</f>
        <v>0</v>
      </c>
    </row>
    <row r="6991" spans="13:16">
      <c r="M6991" s="49">
        <f>IF($A$4+69&gt;$B$4,"",$A$4+69)</f>
        <v>46092</v>
      </c>
      <c r="N6991">
        <f>IF(M6991="","",'Master Barang'!A85)</f>
        <v>0</v>
      </c>
      <c r="O6991">
        <f>IF(N6991="","",'Master Barang'!B85)</f>
        <v>0</v>
      </c>
      <c r="P6991">
        <f>IF(OR(M6991="",N6991=""),"",SUMIFS('Barang Keluar'!$E:$E,'Barang Keluar'!$A:$A,M6991,'Barang Keluar'!$C:$C,N6991))</f>
        <v>0</v>
      </c>
    </row>
    <row r="6992" spans="13:16">
      <c r="M6992" s="49">
        <f>IF($A$4+69&gt;$B$4,"",$A$4+69)</f>
        <v>46092</v>
      </c>
      <c r="N6992">
        <f>IF(M6992="","",'Master Barang'!A86)</f>
        <v>0</v>
      </c>
      <c r="O6992">
        <f>IF(N6992="","",'Master Barang'!B86)</f>
        <v>0</v>
      </c>
      <c r="P6992">
        <f>IF(OR(M6992="",N6992=""),"",SUMIFS('Barang Keluar'!$E:$E,'Barang Keluar'!$A:$A,M6992,'Barang Keluar'!$C:$C,N6992))</f>
        <v>0</v>
      </c>
    </row>
    <row r="6993" spans="13:16">
      <c r="M6993" s="49">
        <f>IF($A$4+69&gt;$B$4,"",$A$4+69)</f>
        <v>46092</v>
      </c>
      <c r="N6993">
        <f>IF(M6993="","",'Master Barang'!A87)</f>
        <v>0</v>
      </c>
      <c r="O6993">
        <f>IF(N6993="","",'Master Barang'!B87)</f>
        <v>0</v>
      </c>
      <c r="P6993">
        <f>IF(OR(M6993="",N6993=""),"",SUMIFS('Barang Keluar'!$E:$E,'Barang Keluar'!$A:$A,M6993,'Barang Keluar'!$C:$C,N6993))</f>
        <v>0</v>
      </c>
    </row>
    <row r="6994" spans="13:16">
      <c r="M6994" s="49">
        <f>IF($A$4+69&gt;$B$4,"",$A$4+69)</f>
        <v>46092</v>
      </c>
      <c r="N6994">
        <f>IF(M6994="","",'Master Barang'!A88)</f>
        <v>0</v>
      </c>
      <c r="O6994">
        <f>IF(N6994="","",'Master Barang'!B88)</f>
        <v>0</v>
      </c>
      <c r="P6994">
        <f>IF(OR(M6994="",N6994=""),"",SUMIFS('Barang Keluar'!$E:$E,'Barang Keluar'!$A:$A,M6994,'Barang Keluar'!$C:$C,N6994))</f>
        <v>0</v>
      </c>
    </row>
    <row r="6995" spans="13:16">
      <c r="M6995" s="49">
        <f>IF($A$4+69&gt;$B$4,"",$A$4+69)</f>
        <v>46092</v>
      </c>
      <c r="N6995">
        <f>IF(M6995="","",'Master Barang'!A89)</f>
        <v>0</v>
      </c>
      <c r="O6995">
        <f>IF(N6995="","",'Master Barang'!B89)</f>
        <v>0</v>
      </c>
      <c r="P6995">
        <f>IF(OR(M6995="",N6995=""),"",SUMIFS('Barang Keluar'!$E:$E,'Barang Keluar'!$A:$A,M6995,'Barang Keluar'!$C:$C,N6995))</f>
        <v>0</v>
      </c>
    </row>
    <row r="6996" spans="13:16">
      <c r="M6996" s="49">
        <f>IF($A$4+69&gt;$B$4,"",$A$4+69)</f>
        <v>46092</v>
      </c>
      <c r="N6996">
        <f>IF(M6996="","",'Master Barang'!A90)</f>
        <v>0</v>
      </c>
      <c r="O6996">
        <f>IF(N6996="","",'Master Barang'!B90)</f>
        <v>0</v>
      </c>
      <c r="P6996">
        <f>IF(OR(M6996="",N6996=""),"",SUMIFS('Barang Keluar'!$E:$E,'Barang Keluar'!$A:$A,M6996,'Barang Keluar'!$C:$C,N6996))</f>
        <v>0</v>
      </c>
    </row>
    <row r="6997" spans="13:16">
      <c r="M6997" s="49">
        <f>IF($A$4+69&gt;$B$4,"",$A$4+69)</f>
        <v>46092</v>
      </c>
      <c r="N6997">
        <f>IF(M6997="","",'Master Barang'!A91)</f>
        <v>0</v>
      </c>
      <c r="O6997">
        <f>IF(N6997="","",'Master Barang'!B91)</f>
        <v>0</v>
      </c>
      <c r="P6997">
        <f>IF(OR(M6997="",N6997=""),"",SUMIFS('Barang Keluar'!$E:$E,'Barang Keluar'!$A:$A,M6997,'Barang Keluar'!$C:$C,N6997))</f>
        <v>0</v>
      </c>
    </row>
    <row r="6998" spans="13:16">
      <c r="M6998" s="49">
        <f>IF($A$4+69&gt;$B$4,"",$A$4+69)</f>
        <v>46092</v>
      </c>
      <c r="N6998">
        <f>IF(M6998="","",'Master Barang'!A92)</f>
        <v>0</v>
      </c>
      <c r="O6998">
        <f>IF(N6998="","",'Master Barang'!B92)</f>
        <v>0</v>
      </c>
      <c r="P6998">
        <f>IF(OR(M6998="",N6998=""),"",SUMIFS('Barang Keluar'!$E:$E,'Barang Keluar'!$A:$A,M6998,'Barang Keluar'!$C:$C,N6998))</f>
        <v>0</v>
      </c>
    </row>
    <row r="6999" spans="13:16">
      <c r="M6999" s="49">
        <f>IF($A$4+69&gt;$B$4,"",$A$4+69)</f>
        <v>46092</v>
      </c>
      <c r="N6999">
        <f>IF(M6999="","",'Master Barang'!A93)</f>
        <v>0</v>
      </c>
      <c r="O6999">
        <f>IF(N6999="","",'Master Barang'!B93)</f>
        <v>0</v>
      </c>
      <c r="P6999">
        <f>IF(OR(M6999="",N6999=""),"",SUMIFS('Barang Keluar'!$E:$E,'Barang Keluar'!$A:$A,M6999,'Barang Keluar'!$C:$C,N6999))</f>
        <v>0</v>
      </c>
    </row>
    <row r="7000" spans="13:16">
      <c r="M7000" s="49">
        <f>IF($A$4+69&gt;$B$4,"",$A$4+69)</f>
        <v>46092</v>
      </c>
      <c r="N7000">
        <f>IF(M7000="","",'Master Barang'!A94)</f>
        <v>0</v>
      </c>
      <c r="O7000">
        <f>IF(N7000="","",'Master Barang'!B94)</f>
        <v>0</v>
      </c>
      <c r="P7000">
        <f>IF(OR(M7000="",N7000=""),"",SUMIFS('Barang Keluar'!$E:$E,'Barang Keluar'!$A:$A,M7000,'Barang Keluar'!$C:$C,N7000))</f>
        <v>0</v>
      </c>
    </row>
    <row r="7001" spans="13:16">
      <c r="M7001" s="49">
        <f>IF($A$4+69&gt;$B$4,"",$A$4+69)</f>
        <v>46092</v>
      </c>
      <c r="N7001">
        <f>IF(M7001="","",'Master Barang'!A95)</f>
        <v>0</v>
      </c>
      <c r="O7001">
        <f>IF(N7001="","",'Master Barang'!B95)</f>
        <v>0</v>
      </c>
      <c r="P7001">
        <f>IF(OR(M7001="",N7001=""),"",SUMIFS('Barang Keluar'!$E:$E,'Barang Keluar'!$A:$A,M7001,'Barang Keluar'!$C:$C,N7001))</f>
        <v>0</v>
      </c>
    </row>
    <row r="7002" spans="13:16">
      <c r="M7002" s="49">
        <f>IF($A$4+69&gt;$B$4,"",$A$4+69)</f>
        <v>46092</v>
      </c>
      <c r="N7002">
        <f>IF(M7002="","",'Master Barang'!A96)</f>
        <v>0</v>
      </c>
      <c r="O7002">
        <f>IF(N7002="","",'Master Barang'!B96)</f>
        <v>0</v>
      </c>
      <c r="P7002">
        <f>IF(OR(M7002="",N7002=""),"",SUMIFS('Barang Keluar'!$E:$E,'Barang Keluar'!$A:$A,M7002,'Barang Keluar'!$C:$C,N7002))</f>
        <v>0</v>
      </c>
    </row>
    <row r="7003" spans="13:16">
      <c r="M7003" s="49">
        <f>IF($A$4+69&gt;$B$4,"",$A$4+69)</f>
        <v>46092</v>
      </c>
      <c r="N7003">
        <f>IF(M7003="","",'Master Barang'!A97)</f>
        <v>0</v>
      </c>
      <c r="O7003">
        <f>IF(N7003="","",'Master Barang'!B97)</f>
        <v>0</v>
      </c>
      <c r="P7003">
        <f>IF(OR(M7003="",N7003=""),"",SUMIFS('Barang Keluar'!$E:$E,'Barang Keluar'!$A:$A,M7003,'Barang Keluar'!$C:$C,N7003))</f>
        <v>0</v>
      </c>
    </row>
    <row r="7004" spans="13:16">
      <c r="M7004" s="49">
        <f>IF($A$4+69&gt;$B$4,"",$A$4+69)</f>
        <v>46092</v>
      </c>
      <c r="N7004">
        <f>IF(M7004="","",'Master Barang'!A98)</f>
        <v>0</v>
      </c>
      <c r="O7004">
        <f>IF(N7004="","",'Master Barang'!B98)</f>
        <v>0</v>
      </c>
      <c r="P7004">
        <f>IF(OR(M7004="",N7004=""),"",SUMIFS('Barang Keluar'!$E:$E,'Barang Keluar'!$A:$A,M7004,'Barang Keluar'!$C:$C,N7004))</f>
        <v>0</v>
      </c>
    </row>
    <row r="7005" spans="13:16">
      <c r="M7005" s="49">
        <f>IF($A$4+69&gt;$B$4,"",$A$4+69)</f>
        <v>46092</v>
      </c>
      <c r="N7005">
        <f>IF(M7005="","",'Master Barang'!A99)</f>
        <v>0</v>
      </c>
      <c r="O7005">
        <f>IF(N7005="","",'Master Barang'!B99)</f>
        <v>0</v>
      </c>
      <c r="P7005">
        <f>IF(OR(M7005="",N7005=""),"",SUMIFS('Barang Keluar'!$E:$E,'Barang Keluar'!$A:$A,M7005,'Barang Keluar'!$C:$C,N7005))</f>
        <v>0</v>
      </c>
    </row>
    <row r="7006" spans="13:16">
      <c r="M7006" s="49">
        <f>IF($A$4+69&gt;$B$4,"",$A$4+69)</f>
        <v>46092</v>
      </c>
      <c r="N7006">
        <f>IF(M7006="","",'Master Barang'!A100)</f>
        <v>0</v>
      </c>
      <c r="O7006">
        <f>IF(N7006="","",'Master Barang'!B100)</f>
        <v>0</v>
      </c>
      <c r="P7006">
        <f>IF(OR(M7006="",N7006=""),"",SUMIFS('Barang Keluar'!$E:$E,'Barang Keluar'!$A:$A,M7006,'Barang Keluar'!$C:$C,N7006))</f>
        <v>0</v>
      </c>
    </row>
    <row r="7007" spans="13:16">
      <c r="M7007" s="49">
        <f>IF($A$4+69&gt;$B$4,"",$A$4+69)</f>
        <v>46092</v>
      </c>
      <c r="N7007">
        <f>IF(M7007="","",'Master Barang'!A101)</f>
        <v>0</v>
      </c>
      <c r="O7007">
        <f>IF(N7007="","",'Master Barang'!B101)</f>
        <v>0</v>
      </c>
      <c r="P7007">
        <f>IF(OR(M7007="",N7007=""),"",SUMIFS('Barang Keluar'!$E:$E,'Barang Keluar'!$A:$A,M7007,'Barang Keluar'!$C:$C,N7007))</f>
        <v>0</v>
      </c>
    </row>
    <row r="7008" spans="13:16">
      <c r="M7008" s="49">
        <f>IF($A$4+70&gt;$B$4,"",$A$4+70)</f>
        <v>46093</v>
      </c>
      <c r="N7008" t="str">
        <f>IF(M7008="","",'Master Barang'!A2)</f>
        <v>PRL-001</v>
      </c>
      <c r="O7008" t="str">
        <f>IF(N7008="","",'Master Barang'!B2)</f>
        <v>natura desinfectant food grade 5l</v>
      </c>
      <c r="P7008">
        <f>IF(OR(M7008="",N7008=""),"",SUMIFS('Barang Keluar'!$E:$E,'Barang Keluar'!$A:$A,M7008,'Barang Keluar'!$C:$C,N7008))</f>
        <v>0</v>
      </c>
    </row>
    <row r="7009" spans="13:16">
      <c r="M7009" s="49">
        <f>IF($A$4+70&gt;$B$4,"",$A$4+70)</f>
        <v>46093</v>
      </c>
      <c r="N7009" t="str">
        <f>IF(M7009="","",'Master Barang'!A3)</f>
        <v>PRL-002</v>
      </c>
      <c r="O7009" t="str">
        <f>IF(N7009="","",'Master Barang'!B3)</f>
        <v>sunlight cairan pencuci piring 5l</v>
      </c>
      <c r="P7009">
        <f>IF(OR(M7009="",N7009=""),"",SUMIFS('Barang Keluar'!$E:$E,'Barang Keluar'!$A:$A,M7009,'Barang Keluar'!$C:$C,N7009))</f>
        <v>0</v>
      </c>
    </row>
    <row r="7010" spans="13:16">
      <c r="M7010" s="49">
        <f>IF($A$4+70&gt;$B$4,"",$A$4+70)</f>
        <v>46093</v>
      </c>
      <c r="N7010" t="str">
        <f>IF(M7010="","",'Master Barang'!A4)</f>
        <v>PRL-003</v>
      </c>
      <c r="O7010" t="str">
        <f>IF(N7010="","",'Master Barang'!B4)</f>
        <v>oixs cleaner 1l</v>
      </c>
      <c r="P7010">
        <f>IF(OR(M7010="",N7010=""),"",SUMIFS('Barang Keluar'!$E:$E,'Barang Keluar'!$A:$A,M7010,'Barang Keluar'!$C:$C,N7010))</f>
        <v>0</v>
      </c>
    </row>
    <row r="7011" spans="13:16">
      <c r="M7011" s="49">
        <f>IF($A$4+70&gt;$B$4,"",$A$4+70)</f>
        <v>46093</v>
      </c>
      <c r="N7011" t="str">
        <f>IF(M7011="","",'Master Barang'!A5)</f>
        <v>PRL-004</v>
      </c>
      <c r="O7011" t="str">
        <f>IF(N7011="","",'Master Barang'!B5)</f>
        <v>be clean tissue serbaguna</v>
      </c>
      <c r="P7011">
        <f>IF(OR(M7011="",N7011=""),"",SUMIFS('Barang Keluar'!$E:$E,'Barang Keluar'!$A:$A,M7011,'Barang Keluar'!$C:$C,N7011))</f>
        <v>0</v>
      </c>
    </row>
    <row r="7012" spans="13:16">
      <c r="M7012" s="49">
        <f>IF($A$4+70&gt;$B$4,"",$A$4+70)</f>
        <v>46093</v>
      </c>
      <c r="N7012" t="str">
        <f>IF(M7012="","",'Master Barang'!A6)</f>
        <v>PRL-005</v>
      </c>
      <c r="O7012" t="str">
        <f>IF(N7012="","",'Master Barang'!B6)</f>
        <v>spons cuci hijau</v>
      </c>
      <c r="P7012">
        <f>IF(OR(M7012="",N7012=""),"",SUMIFS('Barang Keluar'!$E:$E,'Barang Keluar'!$A:$A,M7012,'Barang Keluar'!$C:$C,N7012))</f>
        <v>0</v>
      </c>
    </row>
    <row r="7013" spans="13:16">
      <c r="M7013" s="49">
        <f>IF($A$4+70&gt;$B$4,"",$A$4+70)</f>
        <v>46093</v>
      </c>
      <c r="N7013" t="str">
        <f>IF(M7013="","",'Master Barang'!A7)</f>
        <v>PRL-006</v>
      </c>
      <c r="O7013" t="str">
        <f>IF(N7013="","",'Master Barang'!B7)</f>
        <v>sabut cuci stainless</v>
      </c>
      <c r="P7013">
        <f>IF(OR(M7013="",N7013=""),"",SUMIFS('Barang Keluar'!$E:$E,'Barang Keluar'!$A:$A,M7013,'Barang Keluar'!$C:$C,N7013))</f>
        <v>0</v>
      </c>
    </row>
    <row r="7014" spans="13:16">
      <c r="M7014" s="49">
        <f>IF($A$4+70&gt;$B$4,"",$A$4+70)</f>
        <v>46093</v>
      </c>
      <c r="N7014" t="str">
        <f>IF(M7014="","",'Master Barang'!A8)</f>
        <v>PRL-007</v>
      </c>
      <c r="O7014" t="str">
        <f>IF(N7014="","",'Master Barang'!B8)</f>
        <v>plastik kresek besar merah 50pc</v>
      </c>
      <c r="P7014">
        <f>IF(OR(M7014="",N7014=""),"",SUMIFS('Barang Keluar'!$E:$E,'Barang Keluar'!$A:$A,M7014,'Barang Keluar'!$C:$C,N7014))</f>
        <v>0</v>
      </c>
    </row>
    <row r="7015" spans="13:16">
      <c r="M7015" s="49">
        <f>IF($A$4+70&gt;$B$4,"",$A$4+70)</f>
        <v>46093</v>
      </c>
      <c r="N7015" t="str">
        <f>IF(M7015="","",'Master Barang'!A9)</f>
        <v>PRL-008</v>
      </c>
      <c r="O7015" t="str">
        <f>IF(N7015="","",'Master Barang'!B9)</f>
        <v>lap besar</v>
      </c>
      <c r="P7015">
        <f>IF(OR(M7015="",N7015=""),"",SUMIFS('Barang Keluar'!$E:$E,'Barang Keluar'!$A:$A,M7015,'Barang Keluar'!$C:$C,N7015))</f>
        <v>0</v>
      </c>
    </row>
    <row r="7016" spans="13:16">
      <c r="M7016" s="49">
        <f>IF($A$4+70&gt;$B$4,"",$A$4+70)</f>
        <v>46093</v>
      </c>
      <c r="N7016" t="str">
        <f>IF(M7016="","",'Master Barang'!A10)</f>
        <v>PRL-009</v>
      </c>
      <c r="O7016" t="str">
        <f>IF(N7016="","",'Master Barang'!B10)</f>
        <v>lap microfiber</v>
      </c>
      <c r="P7016">
        <f>IF(OR(M7016="",N7016=""),"",SUMIFS('Barang Keluar'!$E:$E,'Barang Keluar'!$A:$A,M7016,'Barang Keluar'!$C:$C,N7016))</f>
        <v>0</v>
      </c>
    </row>
    <row r="7017" spans="13:16">
      <c r="M7017" s="49">
        <f>IF($A$4+70&gt;$B$4,"",$A$4+70)</f>
        <v>46093</v>
      </c>
      <c r="N7017" t="str">
        <f>IF(M7017="","",'Master Barang'!A11)</f>
        <v>PRL-010</v>
      </c>
      <c r="O7017" t="str">
        <f>IF(N7017="","",'Master Barang'!B11)</f>
        <v>lap kecil</v>
      </c>
      <c r="P7017">
        <f>IF(OR(M7017="",N7017=""),"",SUMIFS('Barang Keluar'!$E:$E,'Barang Keluar'!$A:$A,M7017,'Barang Keluar'!$C:$C,N7017))</f>
        <v>0</v>
      </c>
    </row>
    <row r="7018" spans="13:16">
      <c r="M7018" s="49">
        <f>IF($A$4+70&gt;$B$4,"",$A$4+70)</f>
        <v>46093</v>
      </c>
      <c r="N7018" t="str">
        <f>IF(M7018="","",'Master Barang'!A12)</f>
        <v>PRL-011</v>
      </c>
      <c r="O7018" t="str">
        <f>IF(N7018="","",'Master Barang'!B12)</f>
        <v>kanebo kecil</v>
      </c>
      <c r="P7018">
        <f>IF(OR(M7018="",N7018=""),"",SUMIFS('Barang Keluar'!$E:$E,'Barang Keluar'!$A:$A,M7018,'Barang Keluar'!$C:$C,N7018))</f>
        <v>0</v>
      </c>
    </row>
    <row r="7019" spans="13:16">
      <c r="M7019" s="49">
        <f>IF($A$4+70&gt;$B$4,"",$A$4+70)</f>
        <v>46093</v>
      </c>
      <c r="N7019" t="str">
        <f>IF(M7019="","",'Master Barang'!A13)</f>
        <v>PRL-012</v>
      </c>
      <c r="O7019" t="str">
        <f>IF(N7019="","",'Master Barang'!B13)</f>
        <v>plastik 1/4kg joyoboyo 100 lembar</v>
      </c>
      <c r="P7019">
        <f>IF(OR(M7019="",N7019=""),"",SUMIFS('Barang Keluar'!$E:$E,'Barang Keluar'!$A:$A,M7019,'Barang Keluar'!$C:$C,N7019))</f>
        <v>0</v>
      </c>
    </row>
    <row r="7020" spans="13:16">
      <c r="M7020" s="49">
        <f>IF($A$4+70&gt;$B$4,"",$A$4+70)</f>
        <v>46093</v>
      </c>
      <c r="N7020" t="str">
        <f>IF(M7020="","",'Master Barang'!A14)</f>
        <v>PRL-013</v>
      </c>
      <c r="O7020" t="str">
        <f>IF(N7020="","",'Master Barang'!B14)</f>
        <v>sarung tangan plastik kaka 100 pcs</v>
      </c>
      <c r="P7020">
        <f>IF(OR(M7020="",N7020=""),"",SUMIFS('Barang Keluar'!$E:$E,'Barang Keluar'!$A:$A,M7020,'Barang Keluar'!$C:$C,N7020))</f>
        <v>0</v>
      </c>
    </row>
    <row r="7021" spans="13:16">
      <c r="M7021" s="49">
        <f>IF($A$4+70&gt;$B$4,"",$A$4+70)</f>
        <v>46093</v>
      </c>
      <c r="N7021" t="str">
        <f>IF(M7021="","",'Master Barang'!A15)</f>
        <v>PRL-014</v>
      </c>
      <c r="O7021" t="str">
        <f>IF(N7021="","",'Master Barang'!B15)</f>
        <v>optima trashbag 80x100</v>
      </c>
      <c r="P7021">
        <f>IF(OR(M7021="",N7021=""),"",SUMIFS('Barang Keluar'!$E:$E,'Barang Keluar'!$A:$A,M7021,'Barang Keluar'!$C:$C,N7021))</f>
        <v>0</v>
      </c>
    </row>
    <row r="7022" spans="13:16">
      <c r="M7022" s="49">
        <f>IF($A$4+70&gt;$B$4,"",$A$4+70)</f>
        <v>46093</v>
      </c>
      <c r="N7022" t="str">
        <f>IF(M7022="","",'Master Barang'!A16)</f>
        <v>PRL-015</v>
      </c>
      <c r="O7022" t="str">
        <f>IF(N7022="","",'Master Barang'!B16)</f>
        <v>optima trashbag 60x100</v>
      </c>
      <c r="P7022">
        <f>IF(OR(M7022="",N7022=""),"",SUMIFS('Barang Keluar'!$E:$E,'Barang Keluar'!$A:$A,M7022,'Barang Keluar'!$C:$C,N7022))</f>
        <v>0</v>
      </c>
    </row>
    <row r="7023" spans="13:16">
      <c r="M7023" s="49">
        <f>IF($A$4+70&gt;$B$4,"",$A$4+70)</f>
        <v>46093</v>
      </c>
      <c r="N7023" t="str">
        <f>IF(M7023="","",'Master Barang'!A17)</f>
        <v>PRL-016</v>
      </c>
      <c r="O7023" t="str">
        <f>IF(N7023="","",'Master Barang'!B17)</f>
        <v>rajawali trashbag 30x40</v>
      </c>
      <c r="P7023">
        <f>IF(OR(M7023="",N7023=""),"",SUMIFS('Barang Keluar'!$E:$E,'Barang Keluar'!$A:$A,M7023,'Barang Keluar'!$C:$C,N7023))</f>
        <v>0</v>
      </c>
    </row>
    <row r="7024" spans="13:16">
      <c r="M7024" s="49">
        <f>IF($A$4+70&gt;$B$4,"",$A$4+70)</f>
        <v>46093</v>
      </c>
      <c r="N7024" t="str">
        <f>IF(M7024="","",'Master Barang'!A18)</f>
        <v>PRL-017</v>
      </c>
      <c r="O7024" t="str">
        <f>IF(N7024="","",'Master Barang'!B18)</f>
        <v>onemed masker biru 3 play 50 pcs</v>
      </c>
      <c r="P7024">
        <f>IF(OR(M7024="",N7024=""),"",SUMIFS('Barang Keluar'!$E:$E,'Barang Keluar'!$A:$A,M7024,'Barang Keluar'!$C:$C,N7024))</f>
        <v>0</v>
      </c>
    </row>
    <row r="7025" spans="13:16">
      <c r="M7025" s="49">
        <f>IF($A$4+70&gt;$B$4,"",$A$4+70)</f>
        <v>46093</v>
      </c>
      <c r="N7025" t="str">
        <f>IF(M7025="","",'Master Barang'!A19)</f>
        <v>PRL-018</v>
      </c>
      <c r="O7025" t="str">
        <f>IF(N7025="","",'Master Barang'!B19)</f>
        <v>onemed masker biru 3 play hijab 50 pcs</v>
      </c>
      <c r="P7025">
        <f>IF(OR(M7025="",N7025=""),"",SUMIFS('Barang Keluar'!$E:$E,'Barang Keluar'!$A:$A,M7025,'Barang Keluar'!$C:$C,N7025))</f>
        <v>0</v>
      </c>
    </row>
    <row r="7026" spans="13:16">
      <c r="M7026" s="49">
        <f>IF($A$4+70&gt;$B$4,"",$A$4+70)</f>
        <v>46093</v>
      </c>
      <c r="N7026" t="str">
        <f>IF(M7026="","",'Master Barang'!A20)</f>
        <v>PRL-019</v>
      </c>
      <c r="O7026" t="str">
        <f>IF(N7026="","",'Master Barang'!B20)</f>
        <v>neo health masker biru 3 play 50 pcs</v>
      </c>
      <c r="P7026">
        <f>IF(OR(M7026="",N7026=""),"",SUMIFS('Barang Keluar'!$E:$E,'Barang Keluar'!$A:$A,M7026,'Barang Keluar'!$C:$C,N7026))</f>
        <v>0</v>
      </c>
    </row>
    <row r="7027" spans="13:16">
      <c r="M7027" s="49">
        <f>IF($A$4+70&gt;$B$4,"",$A$4+70)</f>
        <v>46093</v>
      </c>
      <c r="N7027" t="str">
        <f>IF(M7027="","",'Master Barang'!A21)</f>
        <v>PRL-020</v>
      </c>
      <c r="O7027" t="str">
        <f>IF(N7027="","",'Master Barang'!B21)</f>
        <v>baymed masker hijau 3 play hijau 50 pcs</v>
      </c>
      <c r="P7027">
        <f>IF(OR(M7027="",N7027=""),"",SUMIFS('Barang Keluar'!$E:$E,'Barang Keluar'!$A:$A,M7027,'Barang Keluar'!$C:$C,N7027))</f>
        <v>0</v>
      </c>
    </row>
    <row r="7028" spans="13:16">
      <c r="M7028" s="49">
        <f>IF($A$4+70&gt;$B$4,"",$A$4+70)</f>
        <v>46093</v>
      </c>
      <c r="N7028" t="str">
        <f>IF(M7028="","",'Master Barang'!A22)</f>
        <v>PRL-021</v>
      </c>
      <c r="O7028" t="str">
        <f>IF(N7028="","",'Master Barang'!B22)</f>
        <v>altamed nurse cap penutup kepala 100 pcs</v>
      </c>
      <c r="P7028">
        <f>IF(OR(M7028="",N7028=""),"",SUMIFS('Barang Keluar'!$E:$E,'Barang Keluar'!$A:$A,M7028,'Barang Keluar'!$C:$C,N7028))</f>
        <v>0</v>
      </c>
    </row>
    <row r="7029" spans="13:16">
      <c r="M7029" s="49">
        <f>IF($A$4+70&gt;$B$4,"",$A$4+70)</f>
        <v>46093</v>
      </c>
      <c r="N7029" t="str">
        <f>IF(M7029="","",'Master Barang'!A23)</f>
        <v>PRL-022</v>
      </c>
      <c r="O7029" t="str">
        <f>IF(N7029="","",'Master Barang'!B23)</f>
        <v>sabun cuci tangan</v>
      </c>
      <c r="P7029">
        <f>IF(OR(M7029="",N7029=""),"",SUMIFS('Barang Keluar'!$E:$E,'Barang Keluar'!$A:$A,M7029,'Barang Keluar'!$C:$C,N7029))</f>
        <v>0</v>
      </c>
    </row>
    <row r="7030" spans="13:16">
      <c r="M7030" s="49">
        <f>IF($A$4+70&gt;$B$4,"",$A$4+70)</f>
        <v>46093</v>
      </c>
      <c r="N7030" t="str">
        <f>IF(M7030="","",'Master Barang'!A24)</f>
        <v>PRL-023</v>
      </c>
      <c r="O7030" t="str">
        <f>IF(N7030="","",'Master Barang'!B24)</f>
        <v>gayung kecil</v>
      </c>
      <c r="P7030">
        <f>IF(OR(M7030="",N7030=""),"",SUMIFS('Barang Keluar'!$E:$E,'Barang Keluar'!$A:$A,M7030,'Barang Keluar'!$C:$C,N7030))</f>
        <v>0</v>
      </c>
    </row>
    <row r="7031" spans="13:16">
      <c r="M7031" s="49">
        <f>IF($A$4+70&gt;$B$4,"",$A$4+70)</f>
        <v>46093</v>
      </c>
      <c r="N7031" t="str">
        <f>IF(M7031="","",'Master Barang'!A25)</f>
        <v>PRL-024</v>
      </c>
      <c r="O7031" t="str">
        <f>IF(N7031="","",'Master Barang'!B25)</f>
        <v>cikrak kecil</v>
      </c>
      <c r="P7031">
        <f>IF(OR(M7031="",N7031=""),"",SUMIFS('Barang Keluar'!$E:$E,'Barang Keluar'!$A:$A,M7031,'Barang Keluar'!$C:$C,N7031))</f>
        <v>0</v>
      </c>
    </row>
    <row r="7032" spans="13:16">
      <c r="M7032" s="49">
        <f>IF($A$4+70&gt;$B$4,"",$A$4+70)</f>
        <v>46093</v>
      </c>
      <c r="N7032" t="str">
        <f>IF(M7032="","",'Master Barang'!A26)</f>
        <v>PRL-025</v>
      </c>
      <c r="O7032" t="str">
        <f>IF(N7032="","",'Master Barang'!B26)</f>
        <v>petromax plastik kecil 12x24 100 lembar</v>
      </c>
      <c r="P7032">
        <f>IF(OR(M7032="",N7032=""),"",SUMIFS('Barang Keluar'!$E:$E,'Barang Keluar'!$A:$A,M7032,'Barang Keluar'!$C:$C,N7032))</f>
        <v>0</v>
      </c>
    </row>
    <row r="7033" spans="13:16">
      <c r="M7033" s="49">
        <f>IF($A$4+70&gt;$B$4,"",$A$4+70)</f>
        <v>46093</v>
      </c>
      <c r="N7033" t="str">
        <f>IF(M7033="","",'Master Barang'!A27)</f>
        <v>PRL-026</v>
      </c>
      <c r="O7033" t="str">
        <f>IF(N7033="","",'Master Barang'!B27)</f>
        <v>lancar kresek kecil bening </v>
      </c>
      <c r="P7033">
        <f>IF(OR(M7033="",N7033=""),"",SUMIFS('Barang Keluar'!$E:$E,'Barang Keluar'!$A:$A,M7033,'Barang Keluar'!$C:$C,N7033))</f>
        <v>0</v>
      </c>
    </row>
    <row r="7034" spans="13:16">
      <c r="M7034" s="49">
        <f>IF($A$4+70&gt;$B$4,"",$A$4+70)</f>
        <v>46093</v>
      </c>
      <c r="N7034" t="str">
        <f>IF(M7034="","",'Master Barang'!A28)</f>
        <v>PRL-027</v>
      </c>
      <c r="O7034" t="str">
        <f>IF(N7034="","",'Master Barang'!B28)</f>
        <v>kresek klin warna warni kecil</v>
      </c>
      <c r="P7034">
        <f>IF(OR(M7034="",N7034=""),"",SUMIFS('Barang Keluar'!$E:$E,'Barang Keluar'!$A:$A,M7034,'Barang Keluar'!$C:$C,N7034))</f>
        <v>0</v>
      </c>
    </row>
    <row r="7035" spans="13:16">
      <c r="M7035" s="49">
        <f>IF($A$4+70&gt;$B$4,"",$A$4+70)</f>
        <v>46093</v>
      </c>
      <c r="N7035" t="str">
        <f>IF(M7035="","",'Master Barang'!A29)</f>
        <v>PRL-028</v>
      </c>
      <c r="O7035" t="str">
        <f>IF(N7035="","",'Master Barang'!B29)</f>
        <v>ctik plastik 7x10 100 pcs</v>
      </c>
      <c r="P7035">
        <f>IF(OR(M7035="",N7035=""),"",SUMIFS('Barang Keluar'!$E:$E,'Barang Keluar'!$A:$A,M7035,'Barang Keluar'!$C:$C,N7035))</f>
        <v>0</v>
      </c>
    </row>
    <row r="7036" spans="13:16">
      <c r="M7036" s="49">
        <f>IF($A$4+70&gt;$B$4,"",$A$4+70)</f>
        <v>46093</v>
      </c>
      <c r="N7036" t="str">
        <f>IF(M7036="","",'Master Barang'!A30)</f>
        <v>PRL-029</v>
      </c>
      <c r="O7036" t="str">
        <f>IF(N7036="","",'Master Barang'!B30)</f>
        <v>ctik plastik 6x10 100 pcs</v>
      </c>
      <c r="P7036">
        <f>IF(OR(M7036="",N7036=""),"",SUMIFS('Barang Keluar'!$E:$E,'Barang Keluar'!$A:$A,M7036,'Barang Keluar'!$C:$C,N7036))</f>
        <v>0</v>
      </c>
    </row>
    <row r="7037" spans="13:16">
      <c r="M7037" s="49">
        <f>IF($A$4+70&gt;$B$4,"",$A$4+70)</f>
        <v>46093</v>
      </c>
      <c r="N7037" t="str">
        <f>IF(M7037="","",'Master Barang'!A31)</f>
        <v>PRL-030</v>
      </c>
      <c r="O7037" t="str">
        <f>IF(N7037="","",'Master Barang'!B31)</f>
        <v>klip plastik 25x16 100 pcs</v>
      </c>
      <c r="P7037">
        <f>IF(OR(M7037="",N7037=""),"",SUMIFS('Barang Keluar'!$E:$E,'Barang Keluar'!$A:$A,M7037,'Barang Keluar'!$C:$C,N7037))</f>
        <v>0</v>
      </c>
    </row>
    <row r="7038" spans="13:16">
      <c r="M7038" s="49">
        <f>IF($A$4+70&gt;$B$4,"",$A$4+70)</f>
        <v>46093</v>
      </c>
      <c r="N7038" t="str">
        <f>IF(M7038="","",'Master Barang'!A32)</f>
        <v>PRL-031</v>
      </c>
      <c r="O7038" t="str">
        <f>IF(N7038="","",'Master Barang'!B32)</f>
        <v>tempat saus 20 ml</v>
      </c>
      <c r="P7038">
        <f>IF(OR(M7038="",N7038=""),"",SUMIFS('Barang Keluar'!$E:$E,'Barang Keluar'!$A:$A,M7038,'Barang Keluar'!$C:$C,N7038))</f>
        <v>0</v>
      </c>
    </row>
    <row r="7039" spans="13:16">
      <c r="M7039" s="49">
        <f>IF($A$4+70&gt;$B$4,"",$A$4+70)</f>
        <v>46093</v>
      </c>
      <c r="N7039" t="str">
        <f>IF(M7039="","",'Master Barang'!A33)</f>
        <v>PRL-032</v>
      </c>
      <c r="O7039" t="str">
        <f>IF(N7039="","",'Master Barang'!B33)</f>
        <v>plastik packaging ag box uk sedang</v>
      </c>
      <c r="P7039">
        <f>IF(OR(M7039="",N7039=""),"",SUMIFS('Barang Keluar'!$E:$E,'Barang Keluar'!$A:$A,M7039,'Barang Keluar'!$C:$C,N7039))</f>
        <v>0</v>
      </c>
    </row>
    <row r="7040" spans="13:16">
      <c r="M7040" s="49">
        <f>IF($A$4+70&gt;$B$4,"",$A$4+70)</f>
        <v>46093</v>
      </c>
      <c r="N7040" t="str">
        <f>IF(M7040="","",'Master Barang'!A34)</f>
        <v>PRL-033</v>
      </c>
      <c r="O7040">
        <f>IF(N7040="","",'Master Barang'!B34)</f>
        <v>0</v>
      </c>
      <c r="P7040">
        <f>IF(OR(M7040="",N7040=""),"",SUMIFS('Barang Keluar'!$E:$E,'Barang Keluar'!$A:$A,M7040,'Barang Keluar'!$C:$C,N7040))</f>
        <v>0</v>
      </c>
    </row>
    <row r="7041" spans="13:16">
      <c r="M7041" s="49">
        <f>IF($A$4+70&gt;$B$4,"",$A$4+70)</f>
        <v>46093</v>
      </c>
      <c r="N7041">
        <f>IF(M7041="","",'Master Barang'!A35)</f>
        <v>0</v>
      </c>
      <c r="O7041">
        <f>IF(N7041="","",'Master Barang'!B35)</f>
        <v>0</v>
      </c>
      <c r="P7041">
        <f>IF(OR(M7041="",N7041=""),"",SUMIFS('Barang Keluar'!$E:$E,'Barang Keluar'!$A:$A,M7041,'Barang Keluar'!$C:$C,N7041))</f>
        <v>0</v>
      </c>
    </row>
    <row r="7042" spans="13:16">
      <c r="M7042" s="49">
        <f>IF($A$4+70&gt;$B$4,"",$A$4+70)</f>
        <v>46093</v>
      </c>
      <c r="N7042">
        <f>IF(M7042="","",'Master Barang'!A36)</f>
        <v>0</v>
      </c>
      <c r="O7042">
        <f>IF(N7042="","",'Master Barang'!B36)</f>
        <v>0</v>
      </c>
      <c r="P7042">
        <f>IF(OR(M7042="",N7042=""),"",SUMIFS('Barang Keluar'!$E:$E,'Barang Keluar'!$A:$A,M7042,'Barang Keluar'!$C:$C,N7042))</f>
        <v>0</v>
      </c>
    </row>
    <row r="7043" spans="13:16">
      <c r="M7043" s="49">
        <f>IF($A$4+70&gt;$B$4,"",$A$4+70)</f>
        <v>46093</v>
      </c>
      <c r="N7043">
        <f>IF(M7043="","",'Master Barang'!A37)</f>
        <v>0</v>
      </c>
      <c r="O7043">
        <f>IF(N7043="","",'Master Barang'!B37)</f>
        <v>0</v>
      </c>
      <c r="P7043">
        <f>IF(OR(M7043="",N7043=""),"",SUMIFS('Barang Keluar'!$E:$E,'Barang Keluar'!$A:$A,M7043,'Barang Keluar'!$C:$C,N7043))</f>
        <v>0</v>
      </c>
    </row>
    <row r="7044" spans="13:16">
      <c r="M7044" s="49">
        <f>IF($A$4+70&gt;$B$4,"",$A$4+70)</f>
        <v>46093</v>
      </c>
      <c r="N7044">
        <f>IF(M7044="","",'Master Barang'!A38)</f>
        <v>0</v>
      </c>
      <c r="O7044">
        <f>IF(N7044="","",'Master Barang'!B38)</f>
        <v>0</v>
      </c>
      <c r="P7044">
        <f>IF(OR(M7044="",N7044=""),"",SUMIFS('Barang Keluar'!$E:$E,'Barang Keluar'!$A:$A,M7044,'Barang Keluar'!$C:$C,N7044))</f>
        <v>0</v>
      </c>
    </row>
    <row r="7045" spans="13:16">
      <c r="M7045" s="49">
        <f>IF($A$4+70&gt;$B$4,"",$A$4+70)</f>
        <v>46093</v>
      </c>
      <c r="N7045">
        <f>IF(M7045="","",'Master Barang'!A39)</f>
        <v>0</v>
      </c>
      <c r="O7045">
        <f>IF(N7045="","",'Master Barang'!B39)</f>
        <v>0</v>
      </c>
      <c r="P7045">
        <f>IF(OR(M7045="",N7045=""),"",SUMIFS('Barang Keluar'!$E:$E,'Barang Keluar'!$A:$A,M7045,'Barang Keluar'!$C:$C,N7045))</f>
        <v>0</v>
      </c>
    </row>
    <row r="7046" spans="13:16">
      <c r="M7046" s="49">
        <f>IF($A$4+70&gt;$B$4,"",$A$4+70)</f>
        <v>46093</v>
      </c>
      <c r="N7046">
        <f>IF(M7046="","",'Master Barang'!A40)</f>
        <v>0</v>
      </c>
      <c r="O7046">
        <f>IF(N7046="","",'Master Barang'!B40)</f>
        <v>0</v>
      </c>
      <c r="P7046">
        <f>IF(OR(M7046="",N7046=""),"",SUMIFS('Barang Keluar'!$E:$E,'Barang Keluar'!$A:$A,M7046,'Barang Keluar'!$C:$C,N7046))</f>
        <v>0</v>
      </c>
    </row>
    <row r="7047" spans="13:16">
      <c r="M7047" s="49">
        <f>IF($A$4+70&gt;$B$4,"",$A$4+70)</f>
        <v>46093</v>
      </c>
      <c r="N7047">
        <f>IF(M7047="","",'Master Barang'!A41)</f>
        <v>0</v>
      </c>
      <c r="O7047">
        <f>IF(N7047="","",'Master Barang'!B41)</f>
        <v>0</v>
      </c>
      <c r="P7047">
        <f>IF(OR(M7047="",N7047=""),"",SUMIFS('Barang Keluar'!$E:$E,'Barang Keluar'!$A:$A,M7047,'Barang Keluar'!$C:$C,N7047))</f>
        <v>0</v>
      </c>
    </row>
    <row r="7048" spans="13:16">
      <c r="M7048" s="49">
        <f>IF($A$4+70&gt;$B$4,"",$A$4+70)</f>
        <v>46093</v>
      </c>
      <c r="N7048">
        <f>IF(M7048="","",'Master Barang'!A42)</f>
        <v>0</v>
      </c>
      <c r="O7048">
        <f>IF(N7048="","",'Master Barang'!B42)</f>
        <v>0</v>
      </c>
      <c r="P7048">
        <f>IF(OR(M7048="",N7048=""),"",SUMIFS('Barang Keluar'!$E:$E,'Barang Keluar'!$A:$A,M7048,'Barang Keluar'!$C:$C,N7048))</f>
        <v>0</v>
      </c>
    </row>
    <row r="7049" spans="13:16">
      <c r="M7049" s="49">
        <f>IF($A$4+70&gt;$B$4,"",$A$4+70)</f>
        <v>46093</v>
      </c>
      <c r="N7049">
        <f>IF(M7049="","",'Master Barang'!A43)</f>
        <v>0</v>
      </c>
      <c r="O7049">
        <f>IF(N7049="","",'Master Barang'!B43)</f>
        <v>0</v>
      </c>
      <c r="P7049">
        <f>IF(OR(M7049="",N7049=""),"",SUMIFS('Barang Keluar'!$E:$E,'Barang Keluar'!$A:$A,M7049,'Barang Keluar'!$C:$C,N7049))</f>
        <v>0</v>
      </c>
    </row>
    <row r="7050" spans="13:16">
      <c r="M7050" s="49">
        <f>IF($A$4+70&gt;$B$4,"",$A$4+70)</f>
        <v>46093</v>
      </c>
      <c r="N7050">
        <f>IF(M7050="","",'Master Barang'!A44)</f>
        <v>0</v>
      </c>
      <c r="O7050">
        <f>IF(N7050="","",'Master Barang'!B44)</f>
        <v>0</v>
      </c>
      <c r="P7050">
        <f>IF(OR(M7050="",N7050=""),"",SUMIFS('Barang Keluar'!$E:$E,'Barang Keluar'!$A:$A,M7050,'Barang Keluar'!$C:$C,N7050))</f>
        <v>0</v>
      </c>
    </row>
    <row r="7051" spans="13:16">
      <c r="M7051" s="49">
        <f>IF($A$4+70&gt;$B$4,"",$A$4+70)</f>
        <v>46093</v>
      </c>
      <c r="N7051">
        <f>IF(M7051="","",'Master Barang'!A45)</f>
        <v>0</v>
      </c>
      <c r="O7051">
        <f>IF(N7051="","",'Master Barang'!B45)</f>
        <v>0</v>
      </c>
      <c r="P7051">
        <f>IF(OR(M7051="",N7051=""),"",SUMIFS('Barang Keluar'!$E:$E,'Barang Keluar'!$A:$A,M7051,'Barang Keluar'!$C:$C,N7051))</f>
        <v>0</v>
      </c>
    </row>
    <row r="7052" spans="13:16">
      <c r="M7052" s="49">
        <f>IF($A$4+70&gt;$B$4,"",$A$4+70)</f>
        <v>46093</v>
      </c>
      <c r="N7052">
        <f>IF(M7052="","",'Master Barang'!A46)</f>
        <v>0</v>
      </c>
      <c r="O7052">
        <f>IF(N7052="","",'Master Barang'!B46)</f>
        <v>0</v>
      </c>
      <c r="P7052">
        <f>IF(OR(M7052="",N7052=""),"",SUMIFS('Barang Keluar'!$E:$E,'Barang Keluar'!$A:$A,M7052,'Barang Keluar'!$C:$C,N7052))</f>
        <v>0</v>
      </c>
    </row>
    <row r="7053" spans="13:16">
      <c r="M7053" s="49">
        <f>IF($A$4+70&gt;$B$4,"",$A$4+70)</f>
        <v>46093</v>
      </c>
      <c r="N7053">
        <f>IF(M7053="","",'Master Barang'!A47)</f>
        <v>0</v>
      </c>
      <c r="O7053">
        <f>IF(N7053="","",'Master Barang'!B47)</f>
        <v>0</v>
      </c>
      <c r="P7053">
        <f>IF(OR(M7053="",N7053=""),"",SUMIFS('Barang Keluar'!$E:$E,'Barang Keluar'!$A:$A,M7053,'Barang Keluar'!$C:$C,N7053))</f>
        <v>0</v>
      </c>
    </row>
    <row r="7054" spans="13:16">
      <c r="M7054" s="49">
        <f>IF($A$4+70&gt;$B$4,"",$A$4+70)</f>
        <v>46093</v>
      </c>
      <c r="N7054">
        <f>IF(M7054="","",'Master Barang'!A48)</f>
        <v>0</v>
      </c>
      <c r="O7054">
        <f>IF(N7054="","",'Master Barang'!B48)</f>
        <v>0</v>
      </c>
      <c r="P7054">
        <f>IF(OR(M7054="",N7054=""),"",SUMIFS('Barang Keluar'!$E:$E,'Barang Keluar'!$A:$A,M7054,'Barang Keluar'!$C:$C,N7054))</f>
        <v>0</v>
      </c>
    </row>
    <row r="7055" spans="13:16">
      <c r="M7055" s="49">
        <f>IF($A$4+70&gt;$B$4,"",$A$4+70)</f>
        <v>46093</v>
      </c>
      <c r="N7055">
        <f>IF(M7055="","",'Master Barang'!A49)</f>
        <v>0</v>
      </c>
      <c r="O7055">
        <f>IF(N7055="","",'Master Barang'!B49)</f>
        <v>0</v>
      </c>
      <c r="P7055">
        <f>IF(OR(M7055="",N7055=""),"",SUMIFS('Barang Keluar'!$E:$E,'Barang Keluar'!$A:$A,M7055,'Barang Keluar'!$C:$C,N7055))</f>
        <v>0</v>
      </c>
    </row>
    <row r="7056" spans="13:16">
      <c r="M7056" s="49">
        <f>IF($A$4+70&gt;$B$4,"",$A$4+70)</f>
        <v>46093</v>
      </c>
      <c r="N7056">
        <f>IF(M7056="","",'Master Barang'!A50)</f>
        <v>0</v>
      </c>
      <c r="O7056">
        <f>IF(N7056="","",'Master Barang'!B50)</f>
        <v>0</v>
      </c>
      <c r="P7056">
        <f>IF(OR(M7056="",N7056=""),"",SUMIFS('Barang Keluar'!$E:$E,'Barang Keluar'!$A:$A,M7056,'Barang Keluar'!$C:$C,N7056))</f>
        <v>0</v>
      </c>
    </row>
    <row r="7057" spans="13:16">
      <c r="M7057" s="49">
        <f>IF($A$4+70&gt;$B$4,"",$A$4+70)</f>
        <v>46093</v>
      </c>
      <c r="N7057">
        <f>IF(M7057="","",'Master Barang'!A51)</f>
        <v>0</v>
      </c>
      <c r="O7057">
        <f>IF(N7057="","",'Master Barang'!B51)</f>
        <v>0</v>
      </c>
      <c r="P7057">
        <f>IF(OR(M7057="",N7057=""),"",SUMIFS('Barang Keluar'!$E:$E,'Barang Keluar'!$A:$A,M7057,'Barang Keluar'!$C:$C,N7057))</f>
        <v>0</v>
      </c>
    </row>
    <row r="7058" spans="13:16">
      <c r="M7058" s="49">
        <f>IF($A$4+70&gt;$B$4,"",$A$4+70)</f>
        <v>46093</v>
      </c>
      <c r="N7058">
        <f>IF(M7058="","",'Master Barang'!A52)</f>
        <v>0</v>
      </c>
      <c r="O7058">
        <f>IF(N7058="","",'Master Barang'!B52)</f>
        <v>0</v>
      </c>
      <c r="P7058">
        <f>IF(OR(M7058="",N7058=""),"",SUMIFS('Barang Keluar'!$E:$E,'Barang Keluar'!$A:$A,M7058,'Barang Keluar'!$C:$C,N7058))</f>
        <v>0</v>
      </c>
    </row>
    <row r="7059" spans="13:16">
      <c r="M7059" s="49">
        <f>IF($A$4+70&gt;$B$4,"",$A$4+70)</f>
        <v>46093</v>
      </c>
      <c r="N7059">
        <f>IF(M7059="","",'Master Barang'!A53)</f>
        <v>0</v>
      </c>
      <c r="O7059">
        <f>IF(N7059="","",'Master Barang'!B53)</f>
        <v>0</v>
      </c>
      <c r="P7059">
        <f>IF(OR(M7059="",N7059=""),"",SUMIFS('Barang Keluar'!$E:$E,'Barang Keluar'!$A:$A,M7059,'Barang Keluar'!$C:$C,N7059))</f>
        <v>0</v>
      </c>
    </row>
    <row r="7060" spans="13:16">
      <c r="M7060" s="49">
        <f>IF($A$4+70&gt;$B$4,"",$A$4+70)</f>
        <v>46093</v>
      </c>
      <c r="N7060">
        <f>IF(M7060="","",'Master Barang'!A54)</f>
        <v>0</v>
      </c>
      <c r="O7060">
        <f>IF(N7060="","",'Master Barang'!B54)</f>
        <v>0</v>
      </c>
      <c r="P7060">
        <f>IF(OR(M7060="",N7060=""),"",SUMIFS('Barang Keluar'!$E:$E,'Barang Keluar'!$A:$A,M7060,'Barang Keluar'!$C:$C,N7060))</f>
        <v>0</v>
      </c>
    </row>
    <row r="7061" spans="13:16">
      <c r="M7061" s="49">
        <f>IF($A$4+70&gt;$B$4,"",$A$4+70)</f>
        <v>46093</v>
      </c>
      <c r="N7061">
        <f>IF(M7061="","",'Master Barang'!A55)</f>
        <v>0</v>
      </c>
      <c r="O7061">
        <f>IF(N7061="","",'Master Barang'!B55)</f>
        <v>0</v>
      </c>
      <c r="P7061">
        <f>IF(OR(M7061="",N7061=""),"",SUMIFS('Barang Keluar'!$E:$E,'Barang Keluar'!$A:$A,M7061,'Barang Keluar'!$C:$C,N7061))</f>
        <v>0</v>
      </c>
    </row>
    <row r="7062" spans="13:16">
      <c r="M7062" s="49">
        <f>IF($A$4+70&gt;$B$4,"",$A$4+70)</f>
        <v>46093</v>
      </c>
      <c r="N7062">
        <f>IF(M7062="","",'Master Barang'!A56)</f>
        <v>0</v>
      </c>
      <c r="O7062">
        <f>IF(N7062="","",'Master Barang'!B56)</f>
        <v>0</v>
      </c>
      <c r="P7062">
        <f>IF(OR(M7062="",N7062=""),"",SUMIFS('Barang Keluar'!$E:$E,'Barang Keluar'!$A:$A,M7062,'Barang Keluar'!$C:$C,N7062))</f>
        <v>0</v>
      </c>
    </row>
    <row r="7063" spans="13:16">
      <c r="M7063" s="49">
        <f>IF($A$4+70&gt;$B$4,"",$A$4+70)</f>
        <v>46093</v>
      </c>
      <c r="N7063">
        <f>IF(M7063="","",'Master Barang'!A57)</f>
        <v>0</v>
      </c>
      <c r="O7063">
        <f>IF(N7063="","",'Master Barang'!B57)</f>
        <v>0</v>
      </c>
      <c r="P7063">
        <f>IF(OR(M7063="",N7063=""),"",SUMIFS('Barang Keluar'!$E:$E,'Barang Keluar'!$A:$A,M7063,'Barang Keluar'!$C:$C,N7063))</f>
        <v>0</v>
      </c>
    </row>
    <row r="7064" spans="13:16">
      <c r="M7064" s="49">
        <f>IF($A$4+70&gt;$B$4,"",$A$4+70)</f>
        <v>46093</v>
      </c>
      <c r="N7064">
        <f>IF(M7064="","",'Master Barang'!A58)</f>
        <v>0</v>
      </c>
      <c r="O7064">
        <f>IF(N7064="","",'Master Barang'!B58)</f>
        <v>0</v>
      </c>
      <c r="P7064">
        <f>IF(OR(M7064="",N7064=""),"",SUMIFS('Barang Keluar'!$E:$E,'Barang Keluar'!$A:$A,M7064,'Barang Keluar'!$C:$C,N7064))</f>
        <v>0</v>
      </c>
    </row>
    <row r="7065" spans="13:16">
      <c r="M7065" s="49">
        <f>IF($A$4+70&gt;$B$4,"",$A$4+70)</f>
        <v>46093</v>
      </c>
      <c r="N7065">
        <f>IF(M7065="","",'Master Barang'!A59)</f>
        <v>0</v>
      </c>
      <c r="O7065">
        <f>IF(N7065="","",'Master Barang'!B59)</f>
        <v>0</v>
      </c>
      <c r="P7065">
        <f>IF(OR(M7065="",N7065=""),"",SUMIFS('Barang Keluar'!$E:$E,'Barang Keluar'!$A:$A,M7065,'Barang Keluar'!$C:$C,N7065))</f>
        <v>0</v>
      </c>
    </row>
    <row r="7066" spans="13:16">
      <c r="M7066" s="49">
        <f>IF($A$4+70&gt;$B$4,"",$A$4+70)</f>
        <v>46093</v>
      </c>
      <c r="N7066">
        <f>IF(M7066="","",'Master Barang'!A60)</f>
        <v>0</v>
      </c>
      <c r="O7066">
        <f>IF(N7066="","",'Master Barang'!B60)</f>
        <v>0</v>
      </c>
      <c r="P7066">
        <f>IF(OR(M7066="",N7066=""),"",SUMIFS('Barang Keluar'!$E:$E,'Barang Keluar'!$A:$A,M7066,'Barang Keluar'!$C:$C,N7066))</f>
        <v>0</v>
      </c>
    </row>
    <row r="7067" spans="13:16">
      <c r="M7067" s="49">
        <f>IF($A$4+70&gt;$B$4,"",$A$4+70)</f>
        <v>46093</v>
      </c>
      <c r="N7067">
        <f>IF(M7067="","",'Master Barang'!A61)</f>
        <v>0</v>
      </c>
      <c r="O7067">
        <f>IF(N7067="","",'Master Barang'!B61)</f>
        <v>0</v>
      </c>
      <c r="P7067">
        <f>IF(OR(M7067="",N7067=""),"",SUMIFS('Barang Keluar'!$E:$E,'Barang Keluar'!$A:$A,M7067,'Barang Keluar'!$C:$C,N7067))</f>
        <v>0</v>
      </c>
    </row>
    <row r="7068" spans="13:16">
      <c r="M7068" s="49">
        <f>IF($A$4+70&gt;$B$4,"",$A$4+70)</f>
        <v>46093</v>
      </c>
      <c r="N7068">
        <f>IF(M7068="","",'Master Barang'!A62)</f>
        <v>0</v>
      </c>
      <c r="O7068">
        <f>IF(N7068="","",'Master Barang'!B62)</f>
        <v>0</v>
      </c>
      <c r="P7068">
        <f>IF(OR(M7068="",N7068=""),"",SUMIFS('Barang Keluar'!$E:$E,'Barang Keluar'!$A:$A,M7068,'Barang Keluar'!$C:$C,N7068))</f>
        <v>0</v>
      </c>
    </row>
    <row r="7069" spans="13:16">
      <c r="M7069" s="49">
        <f>IF($A$4+70&gt;$B$4,"",$A$4+70)</f>
        <v>46093</v>
      </c>
      <c r="N7069">
        <f>IF(M7069="","",'Master Barang'!A63)</f>
        <v>0</v>
      </c>
      <c r="O7069">
        <f>IF(N7069="","",'Master Barang'!B63)</f>
        <v>0</v>
      </c>
      <c r="P7069">
        <f>IF(OR(M7069="",N7069=""),"",SUMIFS('Barang Keluar'!$E:$E,'Barang Keluar'!$A:$A,M7069,'Barang Keluar'!$C:$C,N7069))</f>
        <v>0</v>
      </c>
    </row>
    <row r="7070" spans="13:16">
      <c r="M7070" s="49">
        <f>IF($A$4+70&gt;$B$4,"",$A$4+70)</f>
        <v>46093</v>
      </c>
      <c r="N7070">
        <f>IF(M7070="","",'Master Barang'!A64)</f>
        <v>0</v>
      </c>
      <c r="O7070">
        <f>IF(N7070="","",'Master Barang'!B64)</f>
        <v>0</v>
      </c>
      <c r="P7070">
        <f>IF(OR(M7070="",N7070=""),"",SUMIFS('Barang Keluar'!$E:$E,'Barang Keluar'!$A:$A,M7070,'Barang Keluar'!$C:$C,N7070))</f>
        <v>0</v>
      </c>
    </row>
    <row r="7071" spans="13:16">
      <c r="M7071" s="49">
        <f>IF($A$4+70&gt;$B$4,"",$A$4+70)</f>
        <v>46093</v>
      </c>
      <c r="N7071">
        <f>IF(M7071="","",'Master Barang'!A65)</f>
        <v>0</v>
      </c>
      <c r="O7071">
        <f>IF(N7071="","",'Master Barang'!B65)</f>
        <v>0</v>
      </c>
      <c r="P7071">
        <f>IF(OR(M7071="",N7071=""),"",SUMIFS('Barang Keluar'!$E:$E,'Barang Keluar'!$A:$A,M7071,'Barang Keluar'!$C:$C,N7071))</f>
        <v>0</v>
      </c>
    </row>
    <row r="7072" spans="13:16">
      <c r="M7072" s="49">
        <f>IF($A$4+70&gt;$B$4,"",$A$4+70)</f>
        <v>46093</v>
      </c>
      <c r="N7072">
        <f>IF(M7072="","",'Master Barang'!A66)</f>
        <v>0</v>
      </c>
      <c r="O7072">
        <f>IF(N7072="","",'Master Barang'!B66)</f>
        <v>0</v>
      </c>
      <c r="P7072">
        <f>IF(OR(M7072="",N7072=""),"",SUMIFS('Barang Keluar'!$E:$E,'Barang Keluar'!$A:$A,M7072,'Barang Keluar'!$C:$C,N7072))</f>
        <v>0</v>
      </c>
    </row>
    <row r="7073" spans="13:16">
      <c r="M7073" s="49">
        <f>IF($A$4+70&gt;$B$4,"",$A$4+70)</f>
        <v>46093</v>
      </c>
      <c r="N7073">
        <f>IF(M7073="","",'Master Barang'!A67)</f>
        <v>0</v>
      </c>
      <c r="O7073">
        <f>IF(N7073="","",'Master Barang'!B67)</f>
        <v>0</v>
      </c>
      <c r="P7073">
        <f>IF(OR(M7073="",N7073=""),"",SUMIFS('Barang Keluar'!$E:$E,'Barang Keluar'!$A:$A,M7073,'Barang Keluar'!$C:$C,N7073))</f>
        <v>0</v>
      </c>
    </row>
    <row r="7074" spans="13:16">
      <c r="M7074" s="49">
        <f>IF($A$4+70&gt;$B$4,"",$A$4+70)</f>
        <v>46093</v>
      </c>
      <c r="N7074">
        <f>IF(M7074="","",'Master Barang'!A68)</f>
        <v>0</v>
      </c>
      <c r="O7074">
        <f>IF(N7074="","",'Master Barang'!B68)</f>
        <v>0</v>
      </c>
      <c r="P7074">
        <f>IF(OR(M7074="",N7074=""),"",SUMIFS('Barang Keluar'!$E:$E,'Barang Keluar'!$A:$A,M7074,'Barang Keluar'!$C:$C,N7074))</f>
        <v>0</v>
      </c>
    </row>
    <row r="7075" spans="13:16">
      <c r="M7075" s="49">
        <f>IF($A$4+70&gt;$B$4,"",$A$4+70)</f>
        <v>46093</v>
      </c>
      <c r="N7075">
        <f>IF(M7075="","",'Master Barang'!A69)</f>
        <v>0</v>
      </c>
      <c r="O7075">
        <f>IF(N7075="","",'Master Barang'!B69)</f>
        <v>0</v>
      </c>
      <c r="P7075">
        <f>IF(OR(M7075="",N7075=""),"",SUMIFS('Barang Keluar'!$E:$E,'Barang Keluar'!$A:$A,M7075,'Barang Keluar'!$C:$C,N7075))</f>
        <v>0</v>
      </c>
    </row>
    <row r="7076" spans="13:16">
      <c r="M7076" s="49">
        <f>IF($A$4+70&gt;$B$4,"",$A$4+70)</f>
        <v>46093</v>
      </c>
      <c r="N7076">
        <f>IF(M7076="","",'Master Barang'!A70)</f>
        <v>0</v>
      </c>
      <c r="O7076">
        <f>IF(N7076="","",'Master Barang'!B70)</f>
        <v>0</v>
      </c>
      <c r="P7076">
        <f>IF(OR(M7076="",N7076=""),"",SUMIFS('Barang Keluar'!$E:$E,'Barang Keluar'!$A:$A,M7076,'Barang Keluar'!$C:$C,N7076))</f>
        <v>0</v>
      </c>
    </row>
    <row r="7077" spans="13:16">
      <c r="M7077" s="49">
        <f>IF($A$4+70&gt;$B$4,"",$A$4+70)</f>
        <v>46093</v>
      </c>
      <c r="N7077">
        <f>IF(M7077="","",'Master Barang'!A71)</f>
        <v>0</v>
      </c>
      <c r="O7077">
        <f>IF(N7077="","",'Master Barang'!B71)</f>
        <v>0</v>
      </c>
      <c r="P7077">
        <f>IF(OR(M7077="",N7077=""),"",SUMIFS('Barang Keluar'!$E:$E,'Barang Keluar'!$A:$A,M7077,'Barang Keluar'!$C:$C,N7077))</f>
        <v>0</v>
      </c>
    </row>
    <row r="7078" spans="13:16">
      <c r="M7078" s="49">
        <f>IF($A$4+70&gt;$B$4,"",$A$4+70)</f>
        <v>46093</v>
      </c>
      <c r="N7078">
        <f>IF(M7078="","",'Master Barang'!A72)</f>
        <v>0</v>
      </c>
      <c r="O7078">
        <f>IF(N7078="","",'Master Barang'!B72)</f>
        <v>0</v>
      </c>
      <c r="P7078">
        <f>IF(OR(M7078="",N7078=""),"",SUMIFS('Barang Keluar'!$E:$E,'Barang Keluar'!$A:$A,M7078,'Barang Keluar'!$C:$C,N7078))</f>
        <v>0</v>
      </c>
    </row>
    <row r="7079" spans="13:16">
      <c r="M7079" s="49">
        <f>IF($A$4+70&gt;$B$4,"",$A$4+70)</f>
        <v>46093</v>
      </c>
      <c r="N7079">
        <f>IF(M7079="","",'Master Barang'!A73)</f>
        <v>0</v>
      </c>
      <c r="O7079">
        <f>IF(N7079="","",'Master Barang'!B73)</f>
        <v>0</v>
      </c>
      <c r="P7079">
        <f>IF(OR(M7079="",N7079=""),"",SUMIFS('Barang Keluar'!$E:$E,'Barang Keluar'!$A:$A,M7079,'Barang Keluar'!$C:$C,N7079))</f>
        <v>0</v>
      </c>
    </row>
    <row r="7080" spans="13:16">
      <c r="M7080" s="49">
        <f>IF($A$4+70&gt;$B$4,"",$A$4+70)</f>
        <v>46093</v>
      </c>
      <c r="N7080">
        <f>IF(M7080="","",'Master Barang'!A74)</f>
        <v>0</v>
      </c>
      <c r="O7080">
        <f>IF(N7080="","",'Master Barang'!B74)</f>
        <v>0</v>
      </c>
      <c r="P7080">
        <f>IF(OR(M7080="",N7080=""),"",SUMIFS('Barang Keluar'!$E:$E,'Barang Keluar'!$A:$A,M7080,'Barang Keluar'!$C:$C,N7080))</f>
        <v>0</v>
      </c>
    </row>
    <row r="7081" spans="13:16">
      <c r="M7081" s="49">
        <f>IF($A$4+70&gt;$B$4,"",$A$4+70)</f>
        <v>46093</v>
      </c>
      <c r="N7081">
        <f>IF(M7081="","",'Master Barang'!A75)</f>
        <v>0</v>
      </c>
      <c r="O7081">
        <f>IF(N7081="","",'Master Barang'!B75)</f>
        <v>0</v>
      </c>
      <c r="P7081">
        <f>IF(OR(M7081="",N7081=""),"",SUMIFS('Barang Keluar'!$E:$E,'Barang Keluar'!$A:$A,M7081,'Barang Keluar'!$C:$C,N7081))</f>
        <v>0</v>
      </c>
    </row>
    <row r="7082" spans="13:16">
      <c r="M7082" s="49">
        <f>IF($A$4+70&gt;$B$4,"",$A$4+70)</f>
        <v>46093</v>
      </c>
      <c r="N7082">
        <f>IF(M7082="","",'Master Barang'!A76)</f>
        <v>0</v>
      </c>
      <c r="O7082">
        <f>IF(N7082="","",'Master Barang'!B76)</f>
        <v>0</v>
      </c>
      <c r="P7082">
        <f>IF(OR(M7082="",N7082=""),"",SUMIFS('Barang Keluar'!$E:$E,'Barang Keluar'!$A:$A,M7082,'Barang Keluar'!$C:$C,N7082))</f>
        <v>0</v>
      </c>
    </row>
    <row r="7083" spans="13:16">
      <c r="M7083" s="49">
        <f>IF($A$4+70&gt;$B$4,"",$A$4+70)</f>
        <v>46093</v>
      </c>
      <c r="N7083">
        <f>IF(M7083="","",'Master Barang'!A77)</f>
        <v>0</v>
      </c>
      <c r="O7083">
        <f>IF(N7083="","",'Master Barang'!B77)</f>
        <v>0</v>
      </c>
      <c r="P7083">
        <f>IF(OR(M7083="",N7083=""),"",SUMIFS('Barang Keluar'!$E:$E,'Barang Keluar'!$A:$A,M7083,'Barang Keluar'!$C:$C,N7083))</f>
        <v>0</v>
      </c>
    </row>
    <row r="7084" spans="13:16">
      <c r="M7084" s="49">
        <f>IF($A$4+70&gt;$B$4,"",$A$4+70)</f>
        <v>46093</v>
      </c>
      <c r="N7084">
        <f>IF(M7084="","",'Master Barang'!A78)</f>
        <v>0</v>
      </c>
      <c r="O7084">
        <f>IF(N7084="","",'Master Barang'!B78)</f>
        <v>0</v>
      </c>
      <c r="P7084">
        <f>IF(OR(M7084="",N7084=""),"",SUMIFS('Barang Keluar'!$E:$E,'Barang Keluar'!$A:$A,M7084,'Barang Keluar'!$C:$C,N7084))</f>
        <v>0</v>
      </c>
    </row>
    <row r="7085" spans="13:16">
      <c r="M7085" s="49">
        <f>IF($A$4+70&gt;$B$4,"",$A$4+70)</f>
        <v>46093</v>
      </c>
      <c r="N7085">
        <f>IF(M7085="","",'Master Barang'!A79)</f>
        <v>0</v>
      </c>
      <c r="O7085">
        <f>IF(N7085="","",'Master Barang'!B79)</f>
        <v>0</v>
      </c>
      <c r="P7085">
        <f>IF(OR(M7085="",N7085=""),"",SUMIFS('Barang Keluar'!$E:$E,'Barang Keluar'!$A:$A,M7085,'Barang Keluar'!$C:$C,N7085))</f>
        <v>0</v>
      </c>
    </row>
    <row r="7086" spans="13:16">
      <c r="M7086" s="49">
        <f>IF($A$4+70&gt;$B$4,"",$A$4+70)</f>
        <v>46093</v>
      </c>
      <c r="N7086">
        <f>IF(M7086="","",'Master Barang'!A80)</f>
        <v>0</v>
      </c>
      <c r="O7086">
        <f>IF(N7086="","",'Master Barang'!B80)</f>
        <v>0</v>
      </c>
      <c r="P7086">
        <f>IF(OR(M7086="",N7086=""),"",SUMIFS('Barang Keluar'!$E:$E,'Barang Keluar'!$A:$A,M7086,'Barang Keluar'!$C:$C,N7086))</f>
        <v>0</v>
      </c>
    </row>
    <row r="7087" spans="13:16">
      <c r="M7087" s="49">
        <f>IF($A$4+70&gt;$B$4,"",$A$4+70)</f>
        <v>46093</v>
      </c>
      <c r="N7087">
        <f>IF(M7087="","",'Master Barang'!A81)</f>
        <v>0</v>
      </c>
      <c r="O7087">
        <f>IF(N7087="","",'Master Barang'!B81)</f>
        <v>0</v>
      </c>
      <c r="P7087">
        <f>IF(OR(M7087="",N7087=""),"",SUMIFS('Barang Keluar'!$E:$E,'Barang Keluar'!$A:$A,M7087,'Barang Keluar'!$C:$C,N7087))</f>
        <v>0</v>
      </c>
    </row>
    <row r="7088" spans="13:16">
      <c r="M7088" s="49">
        <f>IF($A$4+70&gt;$B$4,"",$A$4+70)</f>
        <v>46093</v>
      </c>
      <c r="N7088">
        <f>IF(M7088="","",'Master Barang'!A82)</f>
        <v>0</v>
      </c>
      <c r="O7088">
        <f>IF(N7088="","",'Master Barang'!B82)</f>
        <v>0</v>
      </c>
      <c r="P7088">
        <f>IF(OR(M7088="",N7088=""),"",SUMIFS('Barang Keluar'!$E:$E,'Barang Keluar'!$A:$A,M7088,'Barang Keluar'!$C:$C,N7088))</f>
        <v>0</v>
      </c>
    </row>
    <row r="7089" spans="13:16">
      <c r="M7089" s="49">
        <f>IF($A$4+70&gt;$B$4,"",$A$4+70)</f>
        <v>46093</v>
      </c>
      <c r="N7089">
        <f>IF(M7089="","",'Master Barang'!A83)</f>
        <v>0</v>
      </c>
      <c r="O7089">
        <f>IF(N7089="","",'Master Barang'!B83)</f>
        <v>0</v>
      </c>
      <c r="P7089">
        <f>IF(OR(M7089="",N7089=""),"",SUMIFS('Barang Keluar'!$E:$E,'Barang Keluar'!$A:$A,M7089,'Barang Keluar'!$C:$C,N7089))</f>
        <v>0</v>
      </c>
    </row>
    <row r="7090" spans="13:16">
      <c r="M7090" s="49">
        <f>IF($A$4+70&gt;$B$4,"",$A$4+70)</f>
        <v>46093</v>
      </c>
      <c r="N7090">
        <f>IF(M7090="","",'Master Barang'!A84)</f>
        <v>0</v>
      </c>
      <c r="O7090">
        <f>IF(N7090="","",'Master Barang'!B84)</f>
        <v>0</v>
      </c>
      <c r="P7090">
        <f>IF(OR(M7090="",N7090=""),"",SUMIFS('Barang Keluar'!$E:$E,'Barang Keluar'!$A:$A,M7090,'Barang Keluar'!$C:$C,N7090))</f>
        <v>0</v>
      </c>
    </row>
    <row r="7091" spans="13:16">
      <c r="M7091" s="49">
        <f>IF($A$4+70&gt;$B$4,"",$A$4+70)</f>
        <v>46093</v>
      </c>
      <c r="N7091">
        <f>IF(M7091="","",'Master Barang'!A85)</f>
        <v>0</v>
      </c>
      <c r="O7091">
        <f>IF(N7091="","",'Master Barang'!B85)</f>
        <v>0</v>
      </c>
      <c r="P7091">
        <f>IF(OR(M7091="",N7091=""),"",SUMIFS('Barang Keluar'!$E:$E,'Barang Keluar'!$A:$A,M7091,'Barang Keluar'!$C:$C,N7091))</f>
        <v>0</v>
      </c>
    </row>
    <row r="7092" spans="13:16">
      <c r="M7092" s="49">
        <f>IF($A$4+70&gt;$B$4,"",$A$4+70)</f>
        <v>46093</v>
      </c>
      <c r="N7092">
        <f>IF(M7092="","",'Master Barang'!A86)</f>
        <v>0</v>
      </c>
      <c r="O7092">
        <f>IF(N7092="","",'Master Barang'!B86)</f>
        <v>0</v>
      </c>
      <c r="P7092">
        <f>IF(OR(M7092="",N7092=""),"",SUMIFS('Barang Keluar'!$E:$E,'Barang Keluar'!$A:$A,M7092,'Barang Keluar'!$C:$C,N7092))</f>
        <v>0</v>
      </c>
    </row>
    <row r="7093" spans="13:16">
      <c r="M7093" s="49">
        <f>IF($A$4+70&gt;$B$4,"",$A$4+70)</f>
        <v>46093</v>
      </c>
      <c r="N7093">
        <f>IF(M7093="","",'Master Barang'!A87)</f>
        <v>0</v>
      </c>
      <c r="O7093">
        <f>IF(N7093="","",'Master Barang'!B87)</f>
        <v>0</v>
      </c>
      <c r="P7093">
        <f>IF(OR(M7093="",N7093=""),"",SUMIFS('Barang Keluar'!$E:$E,'Barang Keluar'!$A:$A,M7093,'Barang Keluar'!$C:$C,N7093))</f>
        <v>0</v>
      </c>
    </row>
    <row r="7094" spans="13:16">
      <c r="M7094" s="49">
        <f>IF($A$4+70&gt;$B$4,"",$A$4+70)</f>
        <v>46093</v>
      </c>
      <c r="N7094">
        <f>IF(M7094="","",'Master Barang'!A88)</f>
        <v>0</v>
      </c>
      <c r="O7094">
        <f>IF(N7094="","",'Master Barang'!B88)</f>
        <v>0</v>
      </c>
      <c r="P7094">
        <f>IF(OR(M7094="",N7094=""),"",SUMIFS('Barang Keluar'!$E:$E,'Barang Keluar'!$A:$A,M7094,'Barang Keluar'!$C:$C,N7094))</f>
        <v>0</v>
      </c>
    </row>
    <row r="7095" spans="13:16">
      <c r="M7095" s="49">
        <f>IF($A$4+70&gt;$B$4,"",$A$4+70)</f>
        <v>46093</v>
      </c>
      <c r="N7095">
        <f>IF(M7095="","",'Master Barang'!A89)</f>
        <v>0</v>
      </c>
      <c r="O7095">
        <f>IF(N7095="","",'Master Barang'!B89)</f>
        <v>0</v>
      </c>
      <c r="P7095">
        <f>IF(OR(M7095="",N7095=""),"",SUMIFS('Barang Keluar'!$E:$E,'Barang Keluar'!$A:$A,M7095,'Barang Keluar'!$C:$C,N7095))</f>
        <v>0</v>
      </c>
    </row>
    <row r="7096" spans="13:16">
      <c r="M7096" s="49">
        <f>IF($A$4+70&gt;$B$4,"",$A$4+70)</f>
        <v>46093</v>
      </c>
      <c r="N7096">
        <f>IF(M7096="","",'Master Barang'!A90)</f>
        <v>0</v>
      </c>
      <c r="O7096">
        <f>IF(N7096="","",'Master Barang'!B90)</f>
        <v>0</v>
      </c>
      <c r="P7096">
        <f>IF(OR(M7096="",N7096=""),"",SUMIFS('Barang Keluar'!$E:$E,'Barang Keluar'!$A:$A,M7096,'Barang Keluar'!$C:$C,N7096))</f>
        <v>0</v>
      </c>
    </row>
    <row r="7097" spans="13:16">
      <c r="M7097" s="49">
        <f>IF($A$4+70&gt;$B$4,"",$A$4+70)</f>
        <v>46093</v>
      </c>
      <c r="N7097">
        <f>IF(M7097="","",'Master Barang'!A91)</f>
        <v>0</v>
      </c>
      <c r="O7097">
        <f>IF(N7097="","",'Master Barang'!B91)</f>
        <v>0</v>
      </c>
      <c r="P7097">
        <f>IF(OR(M7097="",N7097=""),"",SUMIFS('Barang Keluar'!$E:$E,'Barang Keluar'!$A:$A,M7097,'Barang Keluar'!$C:$C,N7097))</f>
        <v>0</v>
      </c>
    </row>
    <row r="7098" spans="13:16">
      <c r="M7098" s="49">
        <f>IF($A$4+70&gt;$B$4,"",$A$4+70)</f>
        <v>46093</v>
      </c>
      <c r="N7098">
        <f>IF(M7098="","",'Master Barang'!A92)</f>
        <v>0</v>
      </c>
      <c r="O7098">
        <f>IF(N7098="","",'Master Barang'!B92)</f>
        <v>0</v>
      </c>
      <c r="P7098">
        <f>IF(OR(M7098="",N7098=""),"",SUMIFS('Barang Keluar'!$E:$E,'Barang Keluar'!$A:$A,M7098,'Barang Keluar'!$C:$C,N7098))</f>
        <v>0</v>
      </c>
    </row>
    <row r="7099" spans="13:16">
      <c r="M7099" s="49">
        <f>IF($A$4+70&gt;$B$4,"",$A$4+70)</f>
        <v>46093</v>
      </c>
      <c r="N7099">
        <f>IF(M7099="","",'Master Barang'!A93)</f>
        <v>0</v>
      </c>
      <c r="O7099">
        <f>IF(N7099="","",'Master Barang'!B93)</f>
        <v>0</v>
      </c>
      <c r="P7099">
        <f>IF(OR(M7099="",N7099=""),"",SUMIFS('Barang Keluar'!$E:$E,'Barang Keluar'!$A:$A,M7099,'Barang Keluar'!$C:$C,N7099))</f>
        <v>0</v>
      </c>
    </row>
    <row r="7100" spans="13:16">
      <c r="M7100" s="49">
        <f>IF($A$4+70&gt;$B$4,"",$A$4+70)</f>
        <v>46093</v>
      </c>
      <c r="N7100">
        <f>IF(M7100="","",'Master Barang'!A94)</f>
        <v>0</v>
      </c>
      <c r="O7100">
        <f>IF(N7100="","",'Master Barang'!B94)</f>
        <v>0</v>
      </c>
      <c r="P7100">
        <f>IF(OR(M7100="",N7100=""),"",SUMIFS('Barang Keluar'!$E:$E,'Barang Keluar'!$A:$A,M7100,'Barang Keluar'!$C:$C,N7100))</f>
        <v>0</v>
      </c>
    </row>
    <row r="7101" spans="13:16">
      <c r="M7101" s="49">
        <f>IF($A$4+70&gt;$B$4,"",$A$4+70)</f>
        <v>46093</v>
      </c>
      <c r="N7101">
        <f>IF(M7101="","",'Master Barang'!A95)</f>
        <v>0</v>
      </c>
      <c r="O7101">
        <f>IF(N7101="","",'Master Barang'!B95)</f>
        <v>0</v>
      </c>
      <c r="P7101">
        <f>IF(OR(M7101="",N7101=""),"",SUMIFS('Barang Keluar'!$E:$E,'Barang Keluar'!$A:$A,M7101,'Barang Keluar'!$C:$C,N7101))</f>
        <v>0</v>
      </c>
    </row>
    <row r="7102" spans="13:16">
      <c r="M7102" s="49">
        <f>IF($A$4+70&gt;$B$4,"",$A$4+70)</f>
        <v>46093</v>
      </c>
      <c r="N7102">
        <f>IF(M7102="","",'Master Barang'!A96)</f>
        <v>0</v>
      </c>
      <c r="O7102">
        <f>IF(N7102="","",'Master Barang'!B96)</f>
        <v>0</v>
      </c>
      <c r="P7102">
        <f>IF(OR(M7102="",N7102=""),"",SUMIFS('Barang Keluar'!$E:$E,'Barang Keluar'!$A:$A,M7102,'Barang Keluar'!$C:$C,N7102))</f>
        <v>0</v>
      </c>
    </row>
    <row r="7103" spans="13:16">
      <c r="M7103" s="49">
        <f>IF($A$4+70&gt;$B$4,"",$A$4+70)</f>
        <v>46093</v>
      </c>
      <c r="N7103">
        <f>IF(M7103="","",'Master Barang'!A97)</f>
        <v>0</v>
      </c>
      <c r="O7103">
        <f>IF(N7103="","",'Master Barang'!B97)</f>
        <v>0</v>
      </c>
      <c r="P7103">
        <f>IF(OR(M7103="",N7103=""),"",SUMIFS('Barang Keluar'!$E:$E,'Barang Keluar'!$A:$A,M7103,'Barang Keluar'!$C:$C,N7103))</f>
        <v>0</v>
      </c>
    </row>
    <row r="7104" spans="13:16">
      <c r="M7104" s="49">
        <f>IF($A$4+70&gt;$B$4,"",$A$4+70)</f>
        <v>46093</v>
      </c>
      <c r="N7104">
        <f>IF(M7104="","",'Master Barang'!A98)</f>
        <v>0</v>
      </c>
      <c r="O7104">
        <f>IF(N7104="","",'Master Barang'!B98)</f>
        <v>0</v>
      </c>
      <c r="P7104">
        <f>IF(OR(M7104="",N7104=""),"",SUMIFS('Barang Keluar'!$E:$E,'Barang Keluar'!$A:$A,M7104,'Barang Keluar'!$C:$C,N7104))</f>
        <v>0</v>
      </c>
    </row>
    <row r="7105" spans="13:16">
      <c r="M7105" s="49">
        <f>IF($A$4+70&gt;$B$4,"",$A$4+70)</f>
        <v>46093</v>
      </c>
      <c r="N7105">
        <f>IF(M7105="","",'Master Barang'!A99)</f>
        <v>0</v>
      </c>
      <c r="O7105">
        <f>IF(N7105="","",'Master Barang'!B99)</f>
        <v>0</v>
      </c>
      <c r="P7105">
        <f>IF(OR(M7105="",N7105=""),"",SUMIFS('Barang Keluar'!$E:$E,'Barang Keluar'!$A:$A,M7105,'Barang Keluar'!$C:$C,N7105))</f>
        <v>0</v>
      </c>
    </row>
    <row r="7106" spans="13:16">
      <c r="M7106" s="49">
        <f>IF($A$4+70&gt;$B$4,"",$A$4+70)</f>
        <v>46093</v>
      </c>
      <c r="N7106">
        <f>IF(M7106="","",'Master Barang'!A100)</f>
        <v>0</v>
      </c>
      <c r="O7106">
        <f>IF(N7106="","",'Master Barang'!B100)</f>
        <v>0</v>
      </c>
      <c r="P7106">
        <f>IF(OR(M7106="",N7106=""),"",SUMIFS('Barang Keluar'!$E:$E,'Barang Keluar'!$A:$A,M7106,'Barang Keluar'!$C:$C,N7106))</f>
        <v>0</v>
      </c>
    </row>
    <row r="7107" spans="13:16">
      <c r="M7107" s="49">
        <f>IF($A$4+70&gt;$B$4,"",$A$4+70)</f>
        <v>46093</v>
      </c>
      <c r="N7107">
        <f>IF(M7107="","",'Master Barang'!A101)</f>
        <v>0</v>
      </c>
      <c r="O7107">
        <f>IF(N7107="","",'Master Barang'!B101)</f>
        <v>0</v>
      </c>
      <c r="P7107">
        <f>IF(OR(M7107="",N7107=""),"",SUMIFS('Barang Keluar'!$E:$E,'Barang Keluar'!$A:$A,M7107,'Barang Keluar'!$C:$C,N7107))</f>
        <v>0</v>
      </c>
    </row>
    <row r="7108" spans="13:16">
      <c r="M7108" s="49">
        <f>IF($A$4+71&gt;$B$4,"",$A$4+71)</f>
        <v>46094</v>
      </c>
      <c r="N7108" t="str">
        <f>IF(M7108="","",'Master Barang'!A2)</f>
        <v>PRL-001</v>
      </c>
      <c r="O7108" t="str">
        <f>IF(N7108="","",'Master Barang'!B2)</f>
        <v>natura desinfectant food grade 5l</v>
      </c>
      <c r="P7108">
        <f>IF(OR(M7108="",N7108=""),"",SUMIFS('Barang Keluar'!$E:$E,'Barang Keluar'!$A:$A,M7108,'Barang Keluar'!$C:$C,N7108))</f>
        <v>0</v>
      </c>
    </row>
    <row r="7109" spans="13:16">
      <c r="M7109" s="49">
        <f>IF($A$4+71&gt;$B$4,"",$A$4+71)</f>
        <v>46094</v>
      </c>
      <c r="N7109" t="str">
        <f>IF(M7109="","",'Master Barang'!A3)</f>
        <v>PRL-002</v>
      </c>
      <c r="O7109" t="str">
        <f>IF(N7109="","",'Master Barang'!B3)</f>
        <v>sunlight cairan pencuci piring 5l</v>
      </c>
      <c r="P7109">
        <f>IF(OR(M7109="",N7109=""),"",SUMIFS('Barang Keluar'!$E:$E,'Barang Keluar'!$A:$A,M7109,'Barang Keluar'!$C:$C,N7109))</f>
        <v>0</v>
      </c>
    </row>
    <row r="7110" spans="13:16">
      <c r="M7110" s="49">
        <f>IF($A$4+71&gt;$B$4,"",$A$4+71)</f>
        <v>46094</v>
      </c>
      <c r="N7110" t="str">
        <f>IF(M7110="","",'Master Barang'!A4)</f>
        <v>PRL-003</v>
      </c>
      <c r="O7110" t="str">
        <f>IF(N7110="","",'Master Barang'!B4)</f>
        <v>oixs cleaner 1l</v>
      </c>
      <c r="P7110">
        <f>IF(OR(M7110="",N7110=""),"",SUMIFS('Barang Keluar'!$E:$E,'Barang Keluar'!$A:$A,M7110,'Barang Keluar'!$C:$C,N7110))</f>
        <v>0</v>
      </c>
    </row>
    <row r="7111" spans="13:16">
      <c r="M7111" s="49">
        <f>IF($A$4+71&gt;$B$4,"",$A$4+71)</f>
        <v>46094</v>
      </c>
      <c r="N7111" t="str">
        <f>IF(M7111="","",'Master Barang'!A5)</f>
        <v>PRL-004</v>
      </c>
      <c r="O7111" t="str">
        <f>IF(N7111="","",'Master Barang'!B5)</f>
        <v>be clean tissue serbaguna</v>
      </c>
      <c r="P7111">
        <f>IF(OR(M7111="",N7111=""),"",SUMIFS('Barang Keluar'!$E:$E,'Barang Keluar'!$A:$A,M7111,'Barang Keluar'!$C:$C,N7111))</f>
        <v>0</v>
      </c>
    </row>
    <row r="7112" spans="13:16">
      <c r="M7112" s="49">
        <f>IF($A$4+71&gt;$B$4,"",$A$4+71)</f>
        <v>46094</v>
      </c>
      <c r="N7112" t="str">
        <f>IF(M7112="","",'Master Barang'!A6)</f>
        <v>PRL-005</v>
      </c>
      <c r="O7112" t="str">
        <f>IF(N7112="","",'Master Barang'!B6)</f>
        <v>spons cuci hijau</v>
      </c>
      <c r="P7112">
        <f>IF(OR(M7112="",N7112=""),"",SUMIFS('Barang Keluar'!$E:$E,'Barang Keluar'!$A:$A,M7112,'Barang Keluar'!$C:$C,N7112))</f>
        <v>0</v>
      </c>
    </row>
    <row r="7113" spans="13:16">
      <c r="M7113" s="49">
        <f>IF($A$4+71&gt;$B$4,"",$A$4+71)</f>
        <v>46094</v>
      </c>
      <c r="N7113" t="str">
        <f>IF(M7113="","",'Master Barang'!A7)</f>
        <v>PRL-006</v>
      </c>
      <c r="O7113" t="str">
        <f>IF(N7113="","",'Master Barang'!B7)</f>
        <v>sabut cuci stainless</v>
      </c>
      <c r="P7113">
        <f>IF(OR(M7113="",N7113=""),"",SUMIFS('Barang Keluar'!$E:$E,'Barang Keluar'!$A:$A,M7113,'Barang Keluar'!$C:$C,N7113))</f>
        <v>0</v>
      </c>
    </row>
    <row r="7114" spans="13:16">
      <c r="M7114" s="49">
        <f>IF($A$4+71&gt;$B$4,"",$A$4+71)</f>
        <v>46094</v>
      </c>
      <c r="N7114" t="str">
        <f>IF(M7114="","",'Master Barang'!A8)</f>
        <v>PRL-007</v>
      </c>
      <c r="O7114" t="str">
        <f>IF(N7114="","",'Master Barang'!B8)</f>
        <v>plastik kresek besar merah 50pc</v>
      </c>
      <c r="P7114">
        <f>IF(OR(M7114="",N7114=""),"",SUMIFS('Barang Keluar'!$E:$E,'Barang Keluar'!$A:$A,M7114,'Barang Keluar'!$C:$C,N7114))</f>
        <v>0</v>
      </c>
    </row>
    <row r="7115" spans="13:16">
      <c r="M7115" s="49">
        <f>IF($A$4+71&gt;$B$4,"",$A$4+71)</f>
        <v>46094</v>
      </c>
      <c r="N7115" t="str">
        <f>IF(M7115="","",'Master Barang'!A9)</f>
        <v>PRL-008</v>
      </c>
      <c r="O7115" t="str">
        <f>IF(N7115="","",'Master Barang'!B9)</f>
        <v>lap besar</v>
      </c>
      <c r="P7115">
        <f>IF(OR(M7115="",N7115=""),"",SUMIFS('Barang Keluar'!$E:$E,'Barang Keluar'!$A:$A,M7115,'Barang Keluar'!$C:$C,N7115))</f>
        <v>0</v>
      </c>
    </row>
    <row r="7116" spans="13:16">
      <c r="M7116" s="49">
        <f>IF($A$4+71&gt;$B$4,"",$A$4+71)</f>
        <v>46094</v>
      </c>
      <c r="N7116" t="str">
        <f>IF(M7116="","",'Master Barang'!A10)</f>
        <v>PRL-009</v>
      </c>
      <c r="O7116" t="str">
        <f>IF(N7116="","",'Master Barang'!B10)</f>
        <v>lap microfiber</v>
      </c>
      <c r="P7116">
        <f>IF(OR(M7116="",N7116=""),"",SUMIFS('Barang Keluar'!$E:$E,'Barang Keluar'!$A:$A,M7116,'Barang Keluar'!$C:$C,N7116))</f>
        <v>0</v>
      </c>
    </row>
    <row r="7117" spans="13:16">
      <c r="M7117" s="49">
        <f>IF($A$4+71&gt;$B$4,"",$A$4+71)</f>
        <v>46094</v>
      </c>
      <c r="N7117" t="str">
        <f>IF(M7117="","",'Master Barang'!A11)</f>
        <v>PRL-010</v>
      </c>
      <c r="O7117" t="str">
        <f>IF(N7117="","",'Master Barang'!B11)</f>
        <v>lap kecil</v>
      </c>
      <c r="P7117">
        <f>IF(OR(M7117="",N7117=""),"",SUMIFS('Barang Keluar'!$E:$E,'Barang Keluar'!$A:$A,M7117,'Barang Keluar'!$C:$C,N7117))</f>
        <v>0</v>
      </c>
    </row>
    <row r="7118" spans="13:16">
      <c r="M7118" s="49">
        <f>IF($A$4+71&gt;$B$4,"",$A$4+71)</f>
        <v>46094</v>
      </c>
      <c r="N7118" t="str">
        <f>IF(M7118="","",'Master Barang'!A12)</f>
        <v>PRL-011</v>
      </c>
      <c r="O7118" t="str">
        <f>IF(N7118="","",'Master Barang'!B12)</f>
        <v>kanebo kecil</v>
      </c>
      <c r="P7118">
        <f>IF(OR(M7118="",N7118=""),"",SUMIFS('Barang Keluar'!$E:$E,'Barang Keluar'!$A:$A,M7118,'Barang Keluar'!$C:$C,N7118))</f>
        <v>0</v>
      </c>
    </row>
    <row r="7119" spans="13:16">
      <c r="M7119" s="49">
        <f>IF($A$4+71&gt;$B$4,"",$A$4+71)</f>
        <v>46094</v>
      </c>
      <c r="N7119" t="str">
        <f>IF(M7119="","",'Master Barang'!A13)</f>
        <v>PRL-012</v>
      </c>
      <c r="O7119" t="str">
        <f>IF(N7119="","",'Master Barang'!B13)</f>
        <v>plastik 1/4kg joyoboyo 100 lembar</v>
      </c>
      <c r="P7119">
        <f>IF(OR(M7119="",N7119=""),"",SUMIFS('Barang Keluar'!$E:$E,'Barang Keluar'!$A:$A,M7119,'Barang Keluar'!$C:$C,N7119))</f>
        <v>0</v>
      </c>
    </row>
    <row r="7120" spans="13:16">
      <c r="M7120" s="49">
        <f>IF($A$4+71&gt;$B$4,"",$A$4+71)</f>
        <v>46094</v>
      </c>
      <c r="N7120" t="str">
        <f>IF(M7120="","",'Master Barang'!A14)</f>
        <v>PRL-013</v>
      </c>
      <c r="O7120" t="str">
        <f>IF(N7120="","",'Master Barang'!B14)</f>
        <v>sarung tangan plastik kaka 100 pcs</v>
      </c>
      <c r="P7120">
        <f>IF(OR(M7120="",N7120=""),"",SUMIFS('Barang Keluar'!$E:$E,'Barang Keluar'!$A:$A,M7120,'Barang Keluar'!$C:$C,N7120))</f>
        <v>0</v>
      </c>
    </row>
    <row r="7121" spans="13:16">
      <c r="M7121" s="49">
        <f>IF($A$4+71&gt;$B$4,"",$A$4+71)</f>
        <v>46094</v>
      </c>
      <c r="N7121" t="str">
        <f>IF(M7121="","",'Master Barang'!A15)</f>
        <v>PRL-014</v>
      </c>
      <c r="O7121" t="str">
        <f>IF(N7121="","",'Master Barang'!B15)</f>
        <v>optima trashbag 80x100</v>
      </c>
      <c r="P7121">
        <f>IF(OR(M7121="",N7121=""),"",SUMIFS('Barang Keluar'!$E:$E,'Barang Keluar'!$A:$A,M7121,'Barang Keluar'!$C:$C,N7121))</f>
        <v>0</v>
      </c>
    </row>
    <row r="7122" spans="13:16">
      <c r="M7122" s="49">
        <f>IF($A$4+71&gt;$B$4,"",$A$4+71)</f>
        <v>46094</v>
      </c>
      <c r="N7122" t="str">
        <f>IF(M7122="","",'Master Barang'!A16)</f>
        <v>PRL-015</v>
      </c>
      <c r="O7122" t="str">
        <f>IF(N7122="","",'Master Barang'!B16)</f>
        <v>optima trashbag 60x100</v>
      </c>
      <c r="P7122">
        <f>IF(OR(M7122="",N7122=""),"",SUMIFS('Barang Keluar'!$E:$E,'Barang Keluar'!$A:$A,M7122,'Barang Keluar'!$C:$C,N7122))</f>
        <v>0</v>
      </c>
    </row>
    <row r="7123" spans="13:16">
      <c r="M7123" s="49">
        <f>IF($A$4+71&gt;$B$4,"",$A$4+71)</f>
        <v>46094</v>
      </c>
      <c r="N7123" t="str">
        <f>IF(M7123="","",'Master Barang'!A17)</f>
        <v>PRL-016</v>
      </c>
      <c r="O7123" t="str">
        <f>IF(N7123="","",'Master Barang'!B17)</f>
        <v>rajawali trashbag 30x40</v>
      </c>
      <c r="P7123">
        <f>IF(OR(M7123="",N7123=""),"",SUMIFS('Barang Keluar'!$E:$E,'Barang Keluar'!$A:$A,M7123,'Barang Keluar'!$C:$C,N7123))</f>
        <v>0</v>
      </c>
    </row>
    <row r="7124" spans="13:16">
      <c r="M7124" s="49">
        <f>IF($A$4+71&gt;$B$4,"",$A$4+71)</f>
        <v>46094</v>
      </c>
      <c r="N7124" t="str">
        <f>IF(M7124="","",'Master Barang'!A18)</f>
        <v>PRL-017</v>
      </c>
      <c r="O7124" t="str">
        <f>IF(N7124="","",'Master Barang'!B18)</f>
        <v>onemed masker biru 3 play 50 pcs</v>
      </c>
      <c r="P7124">
        <f>IF(OR(M7124="",N7124=""),"",SUMIFS('Barang Keluar'!$E:$E,'Barang Keluar'!$A:$A,M7124,'Barang Keluar'!$C:$C,N7124))</f>
        <v>0</v>
      </c>
    </row>
    <row r="7125" spans="13:16">
      <c r="M7125" s="49">
        <f>IF($A$4+71&gt;$B$4,"",$A$4+71)</f>
        <v>46094</v>
      </c>
      <c r="N7125" t="str">
        <f>IF(M7125="","",'Master Barang'!A19)</f>
        <v>PRL-018</v>
      </c>
      <c r="O7125" t="str">
        <f>IF(N7125="","",'Master Barang'!B19)</f>
        <v>onemed masker biru 3 play hijab 50 pcs</v>
      </c>
      <c r="P7125">
        <f>IF(OR(M7125="",N7125=""),"",SUMIFS('Barang Keluar'!$E:$E,'Barang Keluar'!$A:$A,M7125,'Barang Keluar'!$C:$C,N7125))</f>
        <v>0</v>
      </c>
    </row>
    <row r="7126" spans="13:16">
      <c r="M7126" s="49">
        <f>IF($A$4+71&gt;$B$4,"",$A$4+71)</f>
        <v>46094</v>
      </c>
      <c r="N7126" t="str">
        <f>IF(M7126="","",'Master Barang'!A20)</f>
        <v>PRL-019</v>
      </c>
      <c r="O7126" t="str">
        <f>IF(N7126="","",'Master Barang'!B20)</f>
        <v>neo health masker biru 3 play 50 pcs</v>
      </c>
      <c r="P7126">
        <f>IF(OR(M7126="",N7126=""),"",SUMIFS('Barang Keluar'!$E:$E,'Barang Keluar'!$A:$A,M7126,'Barang Keluar'!$C:$C,N7126))</f>
        <v>0</v>
      </c>
    </row>
    <row r="7127" spans="13:16">
      <c r="M7127" s="49">
        <f>IF($A$4+71&gt;$B$4,"",$A$4+71)</f>
        <v>46094</v>
      </c>
      <c r="N7127" t="str">
        <f>IF(M7127="","",'Master Barang'!A21)</f>
        <v>PRL-020</v>
      </c>
      <c r="O7127" t="str">
        <f>IF(N7127="","",'Master Barang'!B21)</f>
        <v>baymed masker hijau 3 play hijau 50 pcs</v>
      </c>
      <c r="P7127">
        <f>IF(OR(M7127="",N7127=""),"",SUMIFS('Barang Keluar'!$E:$E,'Barang Keluar'!$A:$A,M7127,'Barang Keluar'!$C:$C,N7127))</f>
        <v>0</v>
      </c>
    </row>
    <row r="7128" spans="13:16">
      <c r="M7128" s="49">
        <f>IF($A$4+71&gt;$B$4,"",$A$4+71)</f>
        <v>46094</v>
      </c>
      <c r="N7128" t="str">
        <f>IF(M7128="","",'Master Barang'!A22)</f>
        <v>PRL-021</v>
      </c>
      <c r="O7128" t="str">
        <f>IF(N7128="","",'Master Barang'!B22)</f>
        <v>altamed nurse cap penutup kepala 100 pcs</v>
      </c>
      <c r="P7128">
        <f>IF(OR(M7128="",N7128=""),"",SUMIFS('Barang Keluar'!$E:$E,'Barang Keluar'!$A:$A,M7128,'Barang Keluar'!$C:$C,N7128))</f>
        <v>0</v>
      </c>
    </row>
    <row r="7129" spans="13:16">
      <c r="M7129" s="49">
        <f>IF($A$4+71&gt;$B$4,"",$A$4+71)</f>
        <v>46094</v>
      </c>
      <c r="N7129" t="str">
        <f>IF(M7129="","",'Master Barang'!A23)</f>
        <v>PRL-022</v>
      </c>
      <c r="O7129" t="str">
        <f>IF(N7129="","",'Master Barang'!B23)</f>
        <v>sabun cuci tangan</v>
      </c>
      <c r="P7129">
        <f>IF(OR(M7129="",N7129=""),"",SUMIFS('Barang Keluar'!$E:$E,'Barang Keluar'!$A:$A,M7129,'Barang Keluar'!$C:$C,N7129))</f>
        <v>0</v>
      </c>
    </row>
    <row r="7130" spans="13:16">
      <c r="M7130" s="49">
        <f>IF($A$4+71&gt;$B$4,"",$A$4+71)</f>
        <v>46094</v>
      </c>
      <c r="N7130" t="str">
        <f>IF(M7130="","",'Master Barang'!A24)</f>
        <v>PRL-023</v>
      </c>
      <c r="O7130" t="str">
        <f>IF(N7130="","",'Master Barang'!B24)</f>
        <v>gayung kecil</v>
      </c>
      <c r="P7130">
        <f>IF(OR(M7130="",N7130=""),"",SUMIFS('Barang Keluar'!$E:$E,'Barang Keluar'!$A:$A,M7130,'Barang Keluar'!$C:$C,N7130))</f>
        <v>0</v>
      </c>
    </row>
    <row r="7131" spans="13:16">
      <c r="M7131" s="49">
        <f>IF($A$4+71&gt;$B$4,"",$A$4+71)</f>
        <v>46094</v>
      </c>
      <c r="N7131" t="str">
        <f>IF(M7131="","",'Master Barang'!A25)</f>
        <v>PRL-024</v>
      </c>
      <c r="O7131" t="str">
        <f>IF(N7131="","",'Master Barang'!B25)</f>
        <v>cikrak kecil</v>
      </c>
      <c r="P7131">
        <f>IF(OR(M7131="",N7131=""),"",SUMIFS('Barang Keluar'!$E:$E,'Barang Keluar'!$A:$A,M7131,'Barang Keluar'!$C:$C,N7131))</f>
        <v>0</v>
      </c>
    </row>
    <row r="7132" spans="13:16">
      <c r="M7132" s="49">
        <f>IF($A$4+71&gt;$B$4,"",$A$4+71)</f>
        <v>46094</v>
      </c>
      <c r="N7132" t="str">
        <f>IF(M7132="","",'Master Barang'!A26)</f>
        <v>PRL-025</v>
      </c>
      <c r="O7132" t="str">
        <f>IF(N7132="","",'Master Barang'!B26)</f>
        <v>petromax plastik kecil 12x24 100 lembar</v>
      </c>
      <c r="P7132">
        <f>IF(OR(M7132="",N7132=""),"",SUMIFS('Barang Keluar'!$E:$E,'Barang Keluar'!$A:$A,M7132,'Barang Keluar'!$C:$C,N7132))</f>
        <v>0</v>
      </c>
    </row>
    <row r="7133" spans="13:16">
      <c r="M7133" s="49">
        <f>IF($A$4+71&gt;$B$4,"",$A$4+71)</f>
        <v>46094</v>
      </c>
      <c r="N7133" t="str">
        <f>IF(M7133="","",'Master Barang'!A27)</f>
        <v>PRL-026</v>
      </c>
      <c r="O7133" t="str">
        <f>IF(N7133="","",'Master Barang'!B27)</f>
        <v>lancar kresek kecil bening </v>
      </c>
      <c r="P7133">
        <f>IF(OR(M7133="",N7133=""),"",SUMIFS('Barang Keluar'!$E:$E,'Barang Keluar'!$A:$A,M7133,'Barang Keluar'!$C:$C,N7133))</f>
        <v>0</v>
      </c>
    </row>
    <row r="7134" spans="13:16">
      <c r="M7134" s="49">
        <f>IF($A$4+71&gt;$B$4,"",$A$4+71)</f>
        <v>46094</v>
      </c>
      <c r="N7134" t="str">
        <f>IF(M7134="","",'Master Barang'!A28)</f>
        <v>PRL-027</v>
      </c>
      <c r="O7134" t="str">
        <f>IF(N7134="","",'Master Barang'!B28)</f>
        <v>kresek klin warna warni kecil</v>
      </c>
      <c r="P7134">
        <f>IF(OR(M7134="",N7134=""),"",SUMIFS('Barang Keluar'!$E:$E,'Barang Keluar'!$A:$A,M7134,'Barang Keluar'!$C:$C,N7134))</f>
        <v>0</v>
      </c>
    </row>
    <row r="7135" spans="13:16">
      <c r="M7135" s="49">
        <f>IF($A$4+71&gt;$B$4,"",$A$4+71)</f>
        <v>46094</v>
      </c>
      <c r="N7135" t="str">
        <f>IF(M7135="","",'Master Barang'!A29)</f>
        <v>PRL-028</v>
      </c>
      <c r="O7135" t="str">
        <f>IF(N7135="","",'Master Barang'!B29)</f>
        <v>ctik plastik 7x10 100 pcs</v>
      </c>
      <c r="P7135">
        <f>IF(OR(M7135="",N7135=""),"",SUMIFS('Barang Keluar'!$E:$E,'Barang Keluar'!$A:$A,M7135,'Barang Keluar'!$C:$C,N7135))</f>
        <v>0</v>
      </c>
    </row>
    <row r="7136" spans="13:16">
      <c r="M7136" s="49">
        <f>IF($A$4+71&gt;$B$4,"",$A$4+71)</f>
        <v>46094</v>
      </c>
      <c r="N7136" t="str">
        <f>IF(M7136="","",'Master Barang'!A30)</f>
        <v>PRL-029</v>
      </c>
      <c r="O7136" t="str">
        <f>IF(N7136="","",'Master Barang'!B30)</f>
        <v>ctik plastik 6x10 100 pcs</v>
      </c>
      <c r="P7136">
        <f>IF(OR(M7136="",N7136=""),"",SUMIFS('Barang Keluar'!$E:$E,'Barang Keluar'!$A:$A,M7136,'Barang Keluar'!$C:$C,N7136))</f>
        <v>0</v>
      </c>
    </row>
    <row r="7137" spans="13:16">
      <c r="M7137" s="49">
        <f>IF($A$4+71&gt;$B$4,"",$A$4+71)</f>
        <v>46094</v>
      </c>
      <c r="N7137" t="str">
        <f>IF(M7137="","",'Master Barang'!A31)</f>
        <v>PRL-030</v>
      </c>
      <c r="O7137" t="str">
        <f>IF(N7137="","",'Master Barang'!B31)</f>
        <v>klip plastik 25x16 100 pcs</v>
      </c>
      <c r="P7137">
        <f>IF(OR(M7137="",N7137=""),"",SUMIFS('Barang Keluar'!$E:$E,'Barang Keluar'!$A:$A,M7137,'Barang Keluar'!$C:$C,N7137))</f>
        <v>0</v>
      </c>
    </row>
    <row r="7138" spans="13:16">
      <c r="M7138" s="49">
        <f>IF($A$4+71&gt;$B$4,"",$A$4+71)</f>
        <v>46094</v>
      </c>
      <c r="N7138" t="str">
        <f>IF(M7138="","",'Master Barang'!A32)</f>
        <v>PRL-031</v>
      </c>
      <c r="O7138" t="str">
        <f>IF(N7138="","",'Master Barang'!B32)</f>
        <v>tempat saus 20 ml</v>
      </c>
      <c r="P7138">
        <f>IF(OR(M7138="",N7138=""),"",SUMIFS('Barang Keluar'!$E:$E,'Barang Keluar'!$A:$A,M7138,'Barang Keluar'!$C:$C,N7138))</f>
        <v>0</v>
      </c>
    </row>
    <row r="7139" spans="13:16">
      <c r="M7139" s="49">
        <f>IF($A$4+71&gt;$B$4,"",$A$4+71)</f>
        <v>46094</v>
      </c>
      <c r="N7139" t="str">
        <f>IF(M7139="","",'Master Barang'!A33)</f>
        <v>PRL-032</v>
      </c>
      <c r="O7139" t="str">
        <f>IF(N7139="","",'Master Barang'!B33)</f>
        <v>plastik packaging ag box uk sedang</v>
      </c>
      <c r="P7139">
        <f>IF(OR(M7139="",N7139=""),"",SUMIFS('Barang Keluar'!$E:$E,'Barang Keluar'!$A:$A,M7139,'Barang Keluar'!$C:$C,N7139))</f>
        <v>0</v>
      </c>
    </row>
    <row r="7140" spans="13:16">
      <c r="M7140" s="49">
        <f>IF($A$4+71&gt;$B$4,"",$A$4+71)</f>
        <v>46094</v>
      </c>
      <c r="N7140" t="str">
        <f>IF(M7140="","",'Master Barang'!A34)</f>
        <v>PRL-033</v>
      </c>
      <c r="O7140">
        <f>IF(N7140="","",'Master Barang'!B34)</f>
        <v>0</v>
      </c>
      <c r="P7140">
        <f>IF(OR(M7140="",N7140=""),"",SUMIFS('Barang Keluar'!$E:$E,'Barang Keluar'!$A:$A,M7140,'Barang Keluar'!$C:$C,N7140))</f>
        <v>0</v>
      </c>
    </row>
    <row r="7141" spans="13:16">
      <c r="M7141" s="49">
        <f>IF($A$4+71&gt;$B$4,"",$A$4+71)</f>
        <v>46094</v>
      </c>
      <c r="N7141">
        <f>IF(M7141="","",'Master Barang'!A35)</f>
        <v>0</v>
      </c>
      <c r="O7141">
        <f>IF(N7141="","",'Master Barang'!B35)</f>
        <v>0</v>
      </c>
      <c r="P7141">
        <f>IF(OR(M7141="",N7141=""),"",SUMIFS('Barang Keluar'!$E:$E,'Barang Keluar'!$A:$A,M7141,'Barang Keluar'!$C:$C,N7141))</f>
        <v>0</v>
      </c>
    </row>
    <row r="7142" spans="13:16">
      <c r="M7142" s="49">
        <f>IF($A$4+71&gt;$B$4,"",$A$4+71)</f>
        <v>46094</v>
      </c>
      <c r="N7142">
        <f>IF(M7142="","",'Master Barang'!A36)</f>
        <v>0</v>
      </c>
      <c r="O7142">
        <f>IF(N7142="","",'Master Barang'!B36)</f>
        <v>0</v>
      </c>
      <c r="P7142">
        <f>IF(OR(M7142="",N7142=""),"",SUMIFS('Barang Keluar'!$E:$E,'Barang Keluar'!$A:$A,M7142,'Barang Keluar'!$C:$C,N7142))</f>
        <v>0</v>
      </c>
    </row>
    <row r="7143" spans="13:16">
      <c r="M7143" s="49">
        <f>IF($A$4+71&gt;$B$4,"",$A$4+71)</f>
        <v>46094</v>
      </c>
      <c r="N7143">
        <f>IF(M7143="","",'Master Barang'!A37)</f>
        <v>0</v>
      </c>
      <c r="O7143">
        <f>IF(N7143="","",'Master Barang'!B37)</f>
        <v>0</v>
      </c>
      <c r="P7143">
        <f>IF(OR(M7143="",N7143=""),"",SUMIFS('Barang Keluar'!$E:$E,'Barang Keluar'!$A:$A,M7143,'Barang Keluar'!$C:$C,N7143))</f>
        <v>0</v>
      </c>
    </row>
    <row r="7144" spans="13:16">
      <c r="M7144" s="49">
        <f>IF($A$4+71&gt;$B$4,"",$A$4+71)</f>
        <v>46094</v>
      </c>
      <c r="N7144">
        <f>IF(M7144="","",'Master Barang'!A38)</f>
        <v>0</v>
      </c>
      <c r="O7144">
        <f>IF(N7144="","",'Master Barang'!B38)</f>
        <v>0</v>
      </c>
      <c r="P7144">
        <f>IF(OR(M7144="",N7144=""),"",SUMIFS('Barang Keluar'!$E:$E,'Barang Keluar'!$A:$A,M7144,'Barang Keluar'!$C:$C,N7144))</f>
        <v>0</v>
      </c>
    </row>
    <row r="7145" spans="13:16">
      <c r="M7145" s="49">
        <f>IF($A$4+71&gt;$B$4,"",$A$4+71)</f>
        <v>46094</v>
      </c>
      <c r="N7145">
        <f>IF(M7145="","",'Master Barang'!A39)</f>
        <v>0</v>
      </c>
      <c r="O7145">
        <f>IF(N7145="","",'Master Barang'!B39)</f>
        <v>0</v>
      </c>
      <c r="P7145">
        <f>IF(OR(M7145="",N7145=""),"",SUMIFS('Barang Keluar'!$E:$E,'Barang Keluar'!$A:$A,M7145,'Barang Keluar'!$C:$C,N7145))</f>
        <v>0</v>
      </c>
    </row>
    <row r="7146" spans="13:16">
      <c r="M7146" s="49">
        <f>IF($A$4+71&gt;$B$4,"",$A$4+71)</f>
        <v>46094</v>
      </c>
      <c r="N7146">
        <f>IF(M7146="","",'Master Barang'!A40)</f>
        <v>0</v>
      </c>
      <c r="O7146">
        <f>IF(N7146="","",'Master Barang'!B40)</f>
        <v>0</v>
      </c>
      <c r="P7146">
        <f>IF(OR(M7146="",N7146=""),"",SUMIFS('Barang Keluar'!$E:$E,'Barang Keluar'!$A:$A,M7146,'Barang Keluar'!$C:$C,N7146))</f>
        <v>0</v>
      </c>
    </row>
    <row r="7147" spans="13:16">
      <c r="M7147" s="49">
        <f>IF($A$4+71&gt;$B$4,"",$A$4+71)</f>
        <v>46094</v>
      </c>
      <c r="N7147">
        <f>IF(M7147="","",'Master Barang'!A41)</f>
        <v>0</v>
      </c>
      <c r="O7147">
        <f>IF(N7147="","",'Master Barang'!B41)</f>
        <v>0</v>
      </c>
      <c r="P7147">
        <f>IF(OR(M7147="",N7147=""),"",SUMIFS('Barang Keluar'!$E:$E,'Barang Keluar'!$A:$A,M7147,'Barang Keluar'!$C:$C,N7147))</f>
        <v>0</v>
      </c>
    </row>
    <row r="7148" spans="13:16">
      <c r="M7148" s="49">
        <f>IF($A$4+71&gt;$B$4,"",$A$4+71)</f>
        <v>46094</v>
      </c>
      <c r="N7148">
        <f>IF(M7148="","",'Master Barang'!A42)</f>
        <v>0</v>
      </c>
      <c r="O7148">
        <f>IF(N7148="","",'Master Barang'!B42)</f>
        <v>0</v>
      </c>
      <c r="P7148">
        <f>IF(OR(M7148="",N7148=""),"",SUMIFS('Barang Keluar'!$E:$E,'Barang Keluar'!$A:$A,M7148,'Barang Keluar'!$C:$C,N7148))</f>
        <v>0</v>
      </c>
    </row>
    <row r="7149" spans="13:16">
      <c r="M7149" s="49">
        <f>IF($A$4+71&gt;$B$4,"",$A$4+71)</f>
        <v>46094</v>
      </c>
      <c r="N7149">
        <f>IF(M7149="","",'Master Barang'!A43)</f>
        <v>0</v>
      </c>
      <c r="O7149">
        <f>IF(N7149="","",'Master Barang'!B43)</f>
        <v>0</v>
      </c>
      <c r="P7149">
        <f>IF(OR(M7149="",N7149=""),"",SUMIFS('Barang Keluar'!$E:$E,'Barang Keluar'!$A:$A,M7149,'Barang Keluar'!$C:$C,N7149))</f>
        <v>0</v>
      </c>
    </row>
    <row r="7150" spans="13:16">
      <c r="M7150" s="49">
        <f>IF($A$4+71&gt;$B$4,"",$A$4+71)</f>
        <v>46094</v>
      </c>
      <c r="N7150">
        <f>IF(M7150="","",'Master Barang'!A44)</f>
        <v>0</v>
      </c>
      <c r="O7150">
        <f>IF(N7150="","",'Master Barang'!B44)</f>
        <v>0</v>
      </c>
      <c r="P7150">
        <f>IF(OR(M7150="",N7150=""),"",SUMIFS('Barang Keluar'!$E:$E,'Barang Keluar'!$A:$A,M7150,'Barang Keluar'!$C:$C,N7150))</f>
        <v>0</v>
      </c>
    </row>
    <row r="7151" spans="13:16">
      <c r="M7151" s="49">
        <f>IF($A$4+71&gt;$B$4,"",$A$4+71)</f>
        <v>46094</v>
      </c>
      <c r="N7151">
        <f>IF(M7151="","",'Master Barang'!A45)</f>
        <v>0</v>
      </c>
      <c r="O7151">
        <f>IF(N7151="","",'Master Barang'!B45)</f>
        <v>0</v>
      </c>
      <c r="P7151">
        <f>IF(OR(M7151="",N7151=""),"",SUMIFS('Barang Keluar'!$E:$E,'Barang Keluar'!$A:$A,M7151,'Barang Keluar'!$C:$C,N7151))</f>
        <v>0</v>
      </c>
    </row>
    <row r="7152" spans="13:16">
      <c r="M7152" s="49">
        <f>IF($A$4+71&gt;$B$4,"",$A$4+71)</f>
        <v>46094</v>
      </c>
      <c r="N7152">
        <f>IF(M7152="","",'Master Barang'!A46)</f>
        <v>0</v>
      </c>
      <c r="O7152">
        <f>IF(N7152="","",'Master Barang'!B46)</f>
        <v>0</v>
      </c>
      <c r="P7152">
        <f>IF(OR(M7152="",N7152=""),"",SUMIFS('Barang Keluar'!$E:$E,'Barang Keluar'!$A:$A,M7152,'Barang Keluar'!$C:$C,N7152))</f>
        <v>0</v>
      </c>
    </row>
    <row r="7153" spans="13:16">
      <c r="M7153" s="49">
        <f>IF($A$4+71&gt;$B$4,"",$A$4+71)</f>
        <v>46094</v>
      </c>
      <c r="N7153">
        <f>IF(M7153="","",'Master Barang'!A47)</f>
        <v>0</v>
      </c>
      <c r="O7153">
        <f>IF(N7153="","",'Master Barang'!B47)</f>
        <v>0</v>
      </c>
      <c r="P7153">
        <f>IF(OR(M7153="",N7153=""),"",SUMIFS('Barang Keluar'!$E:$E,'Barang Keluar'!$A:$A,M7153,'Barang Keluar'!$C:$C,N7153))</f>
        <v>0</v>
      </c>
    </row>
    <row r="7154" spans="13:16">
      <c r="M7154" s="49">
        <f>IF($A$4+71&gt;$B$4,"",$A$4+71)</f>
        <v>46094</v>
      </c>
      <c r="N7154">
        <f>IF(M7154="","",'Master Barang'!A48)</f>
        <v>0</v>
      </c>
      <c r="O7154">
        <f>IF(N7154="","",'Master Barang'!B48)</f>
        <v>0</v>
      </c>
      <c r="P7154">
        <f>IF(OR(M7154="",N7154=""),"",SUMIFS('Barang Keluar'!$E:$E,'Barang Keluar'!$A:$A,M7154,'Barang Keluar'!$C:$C,N7154))</f>
        <v>0</v>
      </c>
    </row>
    <row r="7155" spans="13:16">
      <c r="M7155" s="49">
        <f>IF($A$4+71&gt;$B$4,"",$A$4+71)</f>
        <v>46094</v>
      </c>
      <c r="N7155">
        <f>IF(M7155="","",'Master Barang'!A49)</f>
        <v>0</v>
      </c>
      <c r="O7155">
        <f>IF(N7155="","",'Master Barang'!B49)</f>
        <v>0</v>
      </c>
      <c r="P7155">
        <f>IF(OR(M7155="",N7155=""),"",SUMIFS('Barang Keluar'!$E:$E,'Barang Keluar'!$A:$A,M7155,'Barang Keluar'!$C:$C,N7155))</f>
        <v>0</v>
      </c>
    </row>
    <row r="7156" spans="13:16">
      <c r="M7156" s="49">
        <f>IF($A$4+71&gt;$B$4,"",$A$4+71)</f>
        <v>46094</v>
      </c>
      <c r="N7156">
        <f>IF(M7156="","",'Master Barang'!A50)</f>
        <v>0</v>
      </c>
      <c r="O7156">
        <f>IF(N7156="","",'Master Barang'!B50)</f>
        <v>0</v>
      </c>
      <c r="P7156">
        <f>IF(OR(M7156="",N7156=""),"",SUMIFS('Barang Keluar'!$E:$E,'Barang Keluar'!$A:$A,M7156,'Barang Keluar'!$C:$C,N7156))</f>
        <v>0</v>
      </c>
    </row>
    <row r="7157" spans="13:16">
      <c r="M7157" s="49">
        <f>IF($A$4+71&gt;$B$4,"",$A$4+71)</f>
        <v>46094</v>
      </c>
      <c r="N7157">
        <f>IF(M7157="","",'Master Barang'!A51)</f>
        <v>0</v>
      </c>
      <c r="O7157">
        <f>IF(N7157="","",'Master Barang'!B51)</f>
        <v>0</v>
      </c>
      <c r="P7157">
        <f>IF(OR(M7157="",N7157=""),"",SUMIFS('Barang Keluar'!$E:$E,'Barang Keluar'!$A:$A,M7157,'Barang Keluar'!$C:$C,N7157))</f>
        <v>0</v>
      </c>
    </row>
    <row r="7158" spans="13:16">
      <c r="M7158" s="49">
        <f>IF($A$4+71&gt;$B$4,"",$A$4+71)</f>
        <v>46094</v>
      </c>
      <c r="N7158">
        <f>IF(M7158="","",'Master Barang'!A52)</f>
        <v>0</v>
      </c>
      <c r="O7158">
        <f>IF(N7158="","",'Master Barang'!B52)</f>
        <v>0</v>
      </c>
      <c r="P7158">
        <f>IF(OR(M7158="",N7158=""),"",SUMIFS('Barang Keluar'!$E:$E,'Barang Keluar'!$A:$A,M7158,'Barang Keluar'!$C:$C,N7158))</f>
        <v>0</v>
      </c>
    </row>
    <row r="7159" spans="13:16">
      <c r="M7159" s="49">
        <f>IF($A$4+71&gt;$B$4,"",$A$4+71)</f>
        <v>46094</v>
      </c>
      <c r="N7159">
        <f>IF(M7159="","",'Master Barang'!A53)</f>
        <v>0</v>
      </c>
      <c r="O7159">
        <f>IF(N7159="","",'Master Barang'!B53)</f>
        <v>0</v>
      </c>
      <c r="P7159">
        <f>IF(OR(M7159="",N7159=""),"",SUMIFS('Barang Keluar'!$E:$E,'Barang Keluar'!$A:$A,M7159,'Barang Keluar'!$C:$C,N7159))</f>
        <v>0</v>
      </c>
    </row>
    <row r="7160" spans="13:16">
      <c r="M7160" s="49">
        <f>IF($A$4+71&gt;$B$4,"",$A$4+71)</f>
        <v>46094</v>
      </c>
      <c r="N7160">
        <f>IF(M7160="","",'Master Barang'!A54)</f>
        <v>0</v>
      </c>
      <c r="O7160">
        <f>IF(N7160="","",'Master Barang'!B54)</f>
        <v>0</v>
      </c>
      <c r="P7160">
        <f>IF(OR(M7160="",N7160=""),"",SUMIFS('Barang Keluar'!$E:$E,'Barang Keluar'!$A:$A,M7160,'Barang Keluar'!$C:$C,N7160))</f>
        <v>0</v>
      </c>
    </row>
    <row r="7161" spans="13:16">
      <c r="M7161" s="49">
        <f>IF($A$4+71&gt;$B$4,"",$A$4+71)</f>
        <v>46094</v>
      </c>
      <c r="N7161">
        <f>IF(M7161="","",'Master Barang'!A55)</f>
        <v>0</v>
      </c>
      <c r="O7161">
        <f>IF(N7161="","",'Master Barang'!B55)</f>
        <v>0</v>
      </c>
      <c r="P7161">
        <f>IF(OR(M7161="",N7161=""),"",SUMIFS('Barang Keluar'!$E:$E,'Barang Keluar'!$A:$A,M7161,'Barang Keluar'!$C:$C,N7161))</f>
        <v>0</v>
      </c>
    </row>
    <row r="7162" spans="13:16">
      <c r="M7162" s="49">
        <f>IF($A$4+71&gt;$B$4,"",$A$4+71)</f>
        <v>46094</v>
      </c>
      <c r="N7162">
        <f>IF(M7162="","",'Master Barang'!A56)</f>
        <v>0</v>
      </c>
      <c r="O7162">
        <f>IF(N7162="","",'Master Barang'!B56)</f>
        <v>0</v>
      </c>
      <c r="P7162">
        <f>IF(OR(M7162="",N7162=""),"",SUMIFS('Barang Keluar'!$E:$E,'Barang Keluar'!$A:$A,M7162,'Barang Keluar'!$C:$C,N7162))</f>
        <v>0</v>
      </c>
    </row>
    <row r="7163" spans="13:16">
      <c r="M7163" s="49">
        <f>IF($A$4+71&gt;$B$4,"",$A$4+71)</f>
        <v>46094</v>
      </c>
      <c r="N7163">
        <f>IF(M7163="","",'Master Barang'!A57)</f>
        <v>0</v>
      </c>
      <c r="O7163">
        <f>IF(N7163="","",'Master Barang'!B57)</f>
        <v>0</v>
      </c>
      <c r="P7163">
        <f>IF(OR(M7163="",N7163=""),"",SUMIFS('Barang Keluar'!$E:$E,'Barang Keluar'!$A:$A,M7163,'Barang Keluar'!$C:$C,N7163))</f>
        <v>0</v>
      </c>
    </row>
    <row r="7164" spans="13:16">
      <c r="M7164" s="49">
        <f>IF($A$4+71&gt;$B$4,"",$A$4+71)</f>
        <v>46094</v>
      </c>
      <c r="N7164">
        <f>IF(M7164="","",'Master Barang'!A58)</f>
        <v>0</v>
      </c>
      <c r="O7164">
        <f>IF(N7164="","",'Master Barang'!B58)</f>
        <v>0</v>
      </c>
      <c r="P7164">
        <f>IF(OR(M7164="",N7164=""),"",SUMIFS('Barang Keluar'!$E:$E,'Barang Keluar'!$A:$A,M7164,'Barang Keluar'!$C:$C,N7164))</f>
        <v>0</v>
      </c>
    </row>
    <row r="7165" spans="13:16">
      <c r="M7165" s="49">
        <f>IF($A$4+71&gt;$B$4,"",$A$4+71)</f>
        <v>46094</v>
      </c>
      <c r="N7165">
        <f>IF(M7165="","",'Master Barang'!A59)</f>
        <v>0</v>
      </c>
      <c r="O7165">
        <f>IF(N7165="","",'Master Barang'!B59)</f>
        <v>0</v>
      </c>
      <c r="P7165">
        <f>IF(OR(M7165="",N7165=""),"",SUMIFS('Barang Keluar'!$E:$E,'Barang Keluar'!$A:$A,M7165,'Barang Keluar'!$C:$C,N7165))</f>
        <v>0</v>
      </c>
    </row>
    <row r="7166" spans="13:16">
      <c r="M7166" s="49">
        <f>IF($A$4+71&gt;$B$4,"",$A$4+71)</f>
        <v>46094</v>
      </c>
      <c r="N7166">
        <f>IF(M7166="","",'Master Barang'!A60)</f>
        <v>0</v>
      </c>
      <c r="O7166">
        <f>IF(N7166="","",'Master Barang'!B60)</f>
        <v>0</v>
      </c>
      <c r="P7166">
        <f>IF(OR(M7166="",N7166=""),"",SUMIFS('Barang Keluar'!$E:$E,'Barang Keluar'!$A:$A,M7166,'Barang Keluar'!$C:$C,N7166))</f>
        <v>0</v>
      </c>
    </row>
    <row r="7167" spans="13:16">
      <c r="M7167" s="49">
        <f>IF($A$4+71&gt;$B$4,"",$A$4+71)</f>
        <v>46094</v>
      </c>
      <c r="N7167">
        <f>IF(M7167="","",'Master Barang'!A61)</f>
        <v>0</v>
      </c>
      <c r="O7167">
        <f>IF(N7167="","",'Master Barang'!B61)</f>
        <v>0</v>
      </c>
      <c r="P7167">
        <f>IF(OR(M7167="",N7167=""),"",SUMIFS('Barang Keluar'!$E:$E,'Barang Keluar'!$A:$A,M7167,'Barang Keluar'!$C:$C,N7167))</f>
        <v>0</v>
      </c>
    </row>
    <row r="7168" spans="13:16">
      <c r="M7168" s="49">
        <f>IF($A$4+71&gt;$B$4,"",$A$4+71)</f>
        <v>46094</v>
      </c>
      <c r="N7168">
        <f>IF(M7168="","",'Master Barang'!A62)</f>
        <v>0</v>
      </c>
      <c r="O7168">
        <f>IF(N7168="","",'Master Barang'!B62)</f>
        <v>0</v>
      </c>
      <c r="P7168">
        <f>IF(OR(M7168="",N7168=""),"",SUMIFS('Barang Keluar'!$E:$E,'Barang Keluar'!$A:$A,M7168,'Barang Keluar'!$C:$C,N7168))</f>
        <v>0</v>
      </c>
    </row>
    <row r="7169" spans="13:16">
      <c r="M7169" s="49">
        <f>IF($A$4+71&gt;$B$4,"",$A$4+71)</f>
        <v>46094</v>
      </c>
      <c r="N7169">
        <f>IF(M7169="","",'Master Barang'!A63)</f>
        <v>0</v>
      </c>
      <c r="O7169">
        <f>IF(N7169="","",'Master Barang'!B63)</f>
        <v>0</v>
      </c>
      <c r="P7169">
        <f>IF(OR(M7169="",N7169=""),"",SUMIFS('Barang Keluar'!$E:$E,'Barang Keluar'!$A:$A,M7169,'Barang Keluar'!$C:$C,N7169))</f>
        <v>0</v>
      </c>
    </row>
    <row r="7170" spans="13:16">
      <c r="M7170" s="49">
        <f>IF($A$4+71&gt;$B$4,"",$A$4+71)</f>
        <v>46094</v>
      </c>
      <c r="N7170">
        <f>IF(M7170="","",'Master Barang'!A64)</f>
        <v>0</v>
      </c>
      <c r="O7170">
        <f>IF(N7170="","",'Master Barang'!B64)</f>
        <v>0</v>
      </c>
      <c r="P7170">
        <f>IF(OR(M7170="",N7170=""),"",SUMIFS('Barang Keluar'!$E:$E,'Barang Keluar'!$A:$A,M7170,'Barang Keluar'!$C:$C,N7170))</f>
        <v>0</v>
      </c>
    </row>
    <row r="7171" spans="13:16">
      <c r="M7171" s="49">
        <f>IF($A$4+71&gt;$B$4,"",$A$4+71)</f>
        <v>46094</v>
      </c>
      <c r="N7171">
        <f>IF(M7171="","",'Master Barang'!A65)</f>
        <v>0</v>
      </c>
      <c r="O7171">
        <f>IF(N7171="","",'Master Barang'!B65)</f>
        <v>0</v>
      </c>
      <c r="P7171">
        <f>IF(OR(M7171="",N7171=""),"",SUMIFS('Barang Keluar'!$E:$E,'Barang Keluar'!$A:$A,M7171,'Barang Keluar'!$C:$C,N7171))</f>
        <v>0</v>
      </c>
    </row>
    <row r="7172" spans="13:16">
      <c r="M7172" s="49">
        <f>IF($A$4+71&gt;$B$4,"",$A$4+71)</f>
        <v>46094</v>
      </c>
      <c r="N7172">
        <f>IF(M7172="","",'Master Barang'!A66)</f>
        <v>0</v>
      </c>
      <c r="O7172">
        <f>IF(N7172="","",'Master Barang'!B66)</f>
        <v>0</v>
      </c>
      <c r="P7172">
        <f>IF(OR(M7172="",N7172=""),"",SUMIFS('Barang Keluar'!$E:$E,'Barang Keluar'!$A:$A,M7172,'Barang Keluar'!$C:$C,N7172))</f>
        <v>0</v>
      </c>
    </row>
    <row r="7173" spans="13:16">
      <c r="M7173" s="49">
        <f>IF($A$4+71&gt;$B$4,"",$A$4+71)</f>
        <v>46094</v>
      </c>
      <c r="N7173">
        <f>IF(M7173="","",'Master Barang'!A67)</f>
        <v>0</v>
      </c>
      <c r="O7173">
        <f>IF(N7173="","",'Master Barang'!B67)</f>
        <v>0</v>
      </c>
      <c r="P7173">
        <f>IF(OR(M7173="",N7173=""),"",SUMIFS('Barang Keluar'!$E:$E,'Barang Keluar'!$A:$A,M7173,'Barang Keluar'!$C:$C,N7173))</f>
        <v>0</v>
      </c>
    </row>
    <row r="7174" spans="13:16">
      <c r="M7174" s="49">
        <f>IF($A$4+71&gt;$B$4,"",$A$4+71)</f>
        <v>46094</v>
      </c>
      <c r="N7174">
        <f>IF(M7174="","",'Master Barang'!A68)</f>
        <v>0</v>
      </c>
      <c r="O7174">
        <f>IF(N7174="","",'Master Barang'!B68)</f>
        <v>0</v>
      </c>
      <c r="P7174">
        <f>IF(OR(M7174="",N7174=""),"",SUMIFS('Barang Keluar'!$E:$E,'Barang Keluar'!$A:$A,M7174,'Barang Keluar'!$C:$C,N7174))</f>
        <v>0</v>
      </c>
    </row>
    <row r="7175" spans="13:16">
      <c r="M7175" s="49">
        <f>IF($A$4+71&gt;$B$4,"",$A$4+71)</f>
        <v>46094</v>
      </c>
      <c r="N7175">
        <f>IF(M7175="","",'Master Barang'!A69)</f>
        <v>0</v>
      </c>
      <c r="O7175">
        <f>IF(N7175="","",'Master Barang'!B69)</f>
        <v>0</v>
      </c>
      <c r="P7175">
        <f>IF(OR(M7175="",N7175=""),"",SUMIFS('Barang Keluar'!$E:$E,'Barang Keluar'!$A:$A,M7175,'Barang Keluar'!$C:$C,N7175))</f>
        <v>0</v>
      </c>
    </row>
    <row r="7176" spans="13:16">
      <c r="M7176" s="49">
        <f>IF($A$4+71&gt;$B$4,"",$A$4+71)</f>
        <v>46094</v>
      </c>
      <c r="N7176">
        <f>IF(M7176="","",'Master Barang'!A70)</f>
        <v>0</v>
      </c>
      <c r="O7176">
        <f>IF(N7176="","",'Master Barang'!B70)</f>
        <v>0</v>
      </c>
      <c r="P7176">
        <f>IF(OR(M7176="",N7176=""),"",SUMIFS('Barang Keluar'!$E:$E,'Barang Keluar'!$A:$A,M7176,'Barang Keluar'!$C:$C,N7176))</f>
        <v>0</v>
      </c>
    </row>
    <row r="7177" spans="13:16">
      <c r="M7177" s="49">
        <f>IF($A$4+71&gt;$B$4,"",$A$4+71)</f>
        <v>46094</v>
      </c>
      <c r="N7177">
        <f>IF(M7177="","",'Master Barang'!A71)</f>
        <v>0</v>
      </c>
      <c r="O7177">
        <f>IF(N7177="","",'Master Barang'!B71)</f>
        <v>0</v>
      </c>
      <c r="P7177">
        <f>IF(OR(M7177="",N7177=""),"",SUMIFS('Barang Keluar'!$E:$E,'Barang Keluar'!$A:$A,M7177,'Barang Keluar'!$C:$C,N7177))</f>
        <v>0</v>
      </c>
    </row>
    <row r="7178" spans="13:16">
      <c r="M7178" s="49">
        <f>IF($A$4+71&gt;$B$4,"",$A$4+71)</f>
        <v>46094</v>
      </c>
      <c r="N7178">
        <f>IF(M7178="","",'Master Barang'!A72)</f>
        <v>0</v>
      </c>
      <c r="O7178">
        <f>IF(N7178="","",'Master Barang'!B72)</f>
        <v>0</v>
      </c>
      <c r="P7178">
        <f>IF(OR(M7178="",N7178=""),"",SUMIFS('Barang Keluar'!$E:$E,'Barang Keluar'!$A:$A,M7178,'Barang Keluar'!$C:$C,N7178))</f>
        <v>0</v>
      </c>
    </row>
    <row r="7179" spans="13:16">
      <c r="M7179" s="49">
        <f>IF($A$4+71&gt;$B$4,"",$A$4+71)</f>
        <v>46094</v>
      </c>
      <c r="N7179">
        <f>IF(M7179="","",'Master Barang'!A73)</f>
        <v>0</v>
      </c>
      <c r="O7179">
        <f>IF(N7179="","",'Master Barang'!B73)</f>
        <v>0</v>
      </c>
      <c r="P7179">
        <f>IF(OR(M7179="",N7179=""),"",SUMIFS('Barang Keluar'!$E:$E,'Barang Keluar'!$A:$A,M7179,'Barang Keluar'!$C:$C,N7179))</f>
        <v>0</v>
      </c>
    </row>
    <row r="7180" spans="13:16">
      <c r="M7180" s="49">
        <f>IF($A$4+71&gt;$B$4,"",$A$4+71)</f>
        <v>46094</v>
      </c>
      <c r="N7180">
        <f>IF(M7180="","",'Master Barang'!A74)</f>
        <v>0</v>
      </c>
      <c r="O7180">
        <f>IF(N7180="","",'Master Barang'!B74)</f>
        <v>0</v>
      </c>
      <c r="P7180">
        <f>IF(OR(M7180="",N7180=""),"",SUMIFS('Barang Keluar'!$E:$E,'Barang Keluar'!$A:$A,M7180,'Barang Keluar'!$C:$C,N7180))</f>
        <v>0</v>
      </c>
    </row>
    <row r="7181" spans="13:16">
      <c r="M7181" s="49">
        <f>IF($A$4+71&gt;$B$4,"",$A$4+71)</f>
        <v>46094</v>
      </c>
      <c r="N7181">
        <f>IF(M7181="","",'Master Barang'!A75)</f>
        <v>0</v>
      </c>
      <c r="O7181">
        <f>IF(N7181="","",'Master Barang'!B75)</f>
        <v>0</v>
      </c>
      <c r="P7181">
        <f>IF(OR(M7181="",N7181=""),"",SUMIFS('Barang Keluar'!$E:$E,'Barang Keluar'!$A:$A,M7181,'Barang Keluar'!$C:$C,N7181))</f>
        <v>0</v>
      </c>
    </row>
    <row r="7182" spans="13:16">
      <c r="M7182" s="49">
        <f>IF($A$4+71&gt;$B$4,"",$A$4+71)</f>
        <v>46094</v>
      </c>
      <c r="N7182">
        <f>IF(M7182="","",'Master Barang'!A76)</f>
        <v>0</v>
      </c>
      <c r="O7182">
        <f>IF(N7182="","",'Master Barang'!B76)</f>
        <v>0</v>
      </c>
      <c r="P7182">
        <f>IF(OR(M7182="",N7182=""),"",SUMIFS('Barang Keluar'!$E:$E,'Barang Keluar'!$A:$A,M7182,'Barang Keluar'!$C:$C,N7182))</f>
        <v>0</v>
      </c>
    </row>
    <row r="7183" spans="13:16">
      <c r="M7183" s="49">
        <f>IF($A$4+71&gt;$B$4,"",$A$4+71)</f>
        <v>46094</v>
      </c>
      <c r="N7183">
        <f>IF(M7183="","",'Master Barang'!A77)</f>
        <v>0</v>
      </c>
      <c r="O7183">
        <f>IF(N7183="","",'Master Barang'!B77)</f>
        <v>0</v>
      </c>
      <c r="P7183">
        <f>IF(OR(M7183="",N7183=""),"",SUMIFS('Barang Keluar'!$E:$E,'Barang Keluar'!$A:$A,M7183,'Barang Keluar'!$C:$C,N7183))</f>
        <v>0</v>
      </c>
    </row>
    <row r="7184" spans="13:16">
      <c r="M7184" s="49">
        <f>IF($A$4+71&gt;$B$4,"",$A$4+71)</f>
        <v>46094</v>
      </c>
      <c r="N7184">
        <f>IF(M7184="","",'Master Barang'!A78)</f>
        <v>0</v>
      </c>
      <c r="O7184">
        <f>IF(N7184="","",'Master Barang'!B78)</f>
        <v>0</v>
      </c>
      <c r="P7184">
        <f>IF(OR(M7184="",N7184=""),"",SUMIFS('Barang Keluar'!$E:$E,'Barang Keluar'!$A:$A,M7184,'Barang Keluar'!$C:$C,N7184))</f>
        <v>0</v>
      </c>
    </row>
    <row r="7185" spans="13:16">
      <c r="M7185" s="49">
        <f>IF($A$4+71&gt;$B$4,"",$A$4+71)</f>
        <v>46094</v>
      </c>
      <c r="N7185">
        <f>IF(M7185="","",'Master Barang'!A79)</f>
        <v>0</v>
      </c>
      <c r="O7185">
        <f>IF(N7185="","",'Master Barang'!B79)</f>
        <v>0</v>
      </c>
      <c r="P7185">
        <f>IF(OR(M7185="",N7185=""),"",SUMIFS('Barang Keluar'!$E:$E,'Barang Keluar'!$A:$A,M7185,'Barang Keluar'!$C:$C,N7185))</f>
        <v>0</v>
      </c>
    </row>
    <row r="7186" spans="13:16">
      <c r="M7186" s="49">
        <f>IF($A$4+71&gt;$B$4,"",$A$4+71)</f>
        <v>46094</v>
      </c>
      <c r="N7186">
        <f>IF(M7186="","",'Master Barang'!A80)</f>
        <v>0</v>
      </c>
      <c r="O7186">
        <f>IF(N7186="","",'Master Barang'!B80)</f>
        <v>0</v>
      </c>
      <c r="P7186">
        <f>IF(OR(M7186="",N7186=""),"",SUMIFS('Barang Keluar'!$E:$E,'Barang Keluar'!$A:$A,M7186,'Barang Keluar'!$C:$C,N7186))</f>
        <v>0</v>
      </c>
    </row>
    <row r="7187" spans="13:16">
      <c r="M7187" s="49">
        <f>IF($A$4+71&gt;$B$4,"",$A$4+71)</f>
        <v>46094</v>
      </c>
      <c r="N7187">
        <f>IF(M7187="","",'Master Barang'!A81)</f>
        <v>0</v>
      </c>
      <c r="O7187">
        <f>IF(N7187="","",'Master Barang'!B81)</f>
        <v>0</v>
      </c>
      <c r="P7187">
        <f>IF(OR(M7187="",N7187=""),"",SUMIFS('Barang Keluar'!$E:$E,'Barang Keluar'!$A:$A,M7187,'Barang Keluar'!$C:$C,N7187))</f>
        <v>0</v>
      </c>
    </row>
    <row r="7188" spans="13:16">
      <c r="M7188" s="49">
        <f>IF($A$4+71&gt;$B$4,"",$A$4+71)</f>
        <v>46094</v>
      </c>
      <c r="N7188">
        <f>IF(M7188="","",'Master Barang'!A82)</f>
        <v>0</v>
      </c>
      <c r="O7188">
        <f>IF(N7188="","",'Master Barang'!B82)</f>
        <v>0</v>
      </c>
      <c r="P7188">
        <f>IF(OR(M7188="",N7188=""),"",SUMIFS('Barang Keluar'!$E:$E,'Barang Keluar'!$A:$A,M7188,'Barang Keluar'!$C:$C,N7188))</f>
        <v>0</v>
      </c>
    </row>
    <row r="7189" spans="13:16">
      <c r="M7189" s="49">
        <f>IF($A$4+71&gt;$B$4,"",$A$4+71)</f>
        <v>46094</v>
      </c>
      <c r="N7189">
        <f>IF(M7189="","",'Master Barang'!A83)</f>
        <v>0</v>
      </c>
      <c r="O7189">
        <f>IF(N7189="","",'Master Barang'!B83)</f>
        <v>0</v>
      </c>
      <c r="P7189">
        <f>IF(OR(M7189="",N7189=""),"",SUMIFS('Barang Keluar'!$E:$E,'Barang Keluar'!$A:$A,M7189,'Barang Keluar'!$C:$C,N7189))</f>
        <v>0</v>
      </c>
    </row>
    <row r="7190" spans="13:16">
      <c r="M7190" s="49">
        <f>IF($A$4+71&gt;$B$4,"",$A$4+71)</f>
        <v>46094</v>
      </c>
      <c r="N7190">
        <f>IF(M7190="","",'Master Barang'!A84)</f>
        <v>0</v>
      </c>
      <c r="O7190">
        <f>IF(N7190="","",'Master Barang'!B84)</f>
        <v>0</v>
      </c>
      <c r="P7190">
        <f>IF(OR(M7190="",N7190=""),"",SUMIFS('Barang Keluar'!$E:$E,'Barang Keluar'!$A:$A,M7190,'Barang Keluar'!$C:$C,N7190))</f>
        <v>0</v>
      </c>
    </row>
    <row r="7191" spans="13:16">
      <c r="M7191" s="49">
        <f>IF($A$4+71&gt;$B$4,"",$A$4+71)</f>
        <v>46094</v>
      </c>
      <c r="N7191">
        <f>IF(M7191="","",'Master Barang'!A85)</f>
        <v>0</v>
      </c>
      <c r="O7191">
        <f>IF(N7191="","",'Master Barang'!B85)</f>
        <v>0</v>
      </c>
      <c r="P7191">
        <f>IF(OR(M7191="",N7191=""),"",SUMIFS('Barang Keluar'!$E:$E,'Barang Keluar'!$A:$A,M7191,'Barang Keluar'!$C:$C,N7191))</f>
        <v>0</v>
      </c>
    </row>
    <row r="7192" spans="13:16">
      <c r="M7192" s="49">
        <f>IF($A$4+71&gt;$B$4,"",$A$4+71)</f>
        <v>46094</v>
      </c>
      <c r="N7192">
        <f>IF(M7192="","",'Master Barang'!A86)</f>
        <v>0</v>
      </c>
      <c r="O7192">
        <f>IF(N7192="","",'Master Barang'!B86)</f>
        <v>0</v>
      </c>
      <c r="P7192">
        <f>IF(OR(M7192="",N7192=""),"",SUMIFS('Barang Keluar'!$E:$E,'Barang Keluar'!$A:$A,M7192,'Barang Keluar'!$C:$C,N7192))</f>
        <v>0</v>
      </c>
    </row>
    <row r="7193" spans="13:16">
      <c r="M7193" s="49">
        <f>IF($A$4+71&gt;$B$4,"",$A$4+71)</f>
        <v>46094</v>
      </c>
      <c r="N7193">
        <f>IF(M7193="","",'Master Barang'!A87)</f>
        <v>0</v>
      </c>
      <c r="O7193">
        <f>IF(N7193="","",'Master Barang'!B87)</f>
        <v>0</v>
      </c>
      <c r="P7193">
        <f>IF(OR(M7193="",N7193=""),"",SUMIFS('Barang Keluar'!$E:$E,'Barang Keluar'!$A:$A,M7193,'Barang Keluar'!$C:$C,N7193))</f>
        <v>0</v>
      </c>
    </row>
    <row r="7194" spans="13:16">
      <c r="M7194" s="49">
        <f>IF($A$4+71&gt;$B$4,"",$A$4+71)</f>
        <v>46094</v>
      </c>
      <c r="N7194">
        <f>IF(M7194="","",'Master Barang'!A88)</f>
        <v>0</v>
      </c>
      <c r="O7194">
        <f>IF(N7194="","",'Master Barang'!B88)</f>
        <v>0</v>
      </c>
      <c r="P7194">
        <f>IF(OR(M7194="",N7194=""),"",SUMIFS('Barang Keluar'!$E:$E,'Barang Keluar'!$A:$A,M7194,'Barang Keluar'!$C:$C,N7194))</f>
        <v>0</v>
      </c>
    </row>
    <row r="7195" spans="13:16">
      <c r="M7195" s="49">
        <f>IF($A$4+71&gt;$B$4,"",$A$4+71)</f>
        <v>46094</v>
      </c>
      <c r="N7195">
        <f>IF(M7195="","",'Master Barang'!A89)</f>
        <v>0</v>
      </c>
      <c r="O7195">
        <f>IF(N7195="","",'Master Barang'!B89)</f>
        <v>0</v>
      </c>
      <c r="P7195">
        <f>IF(OR(M7195="",N7195=""),"",SUMIFS('Barang Keluar'!$E:$E,'Barang Keluar'!$A:$A,M7195,'Barang Keluar'!$C:$C,N7195))</f>
        <v>0</v>
      </c>
    </row>
    <row r="7196" spans="13:16">
      <c r="M7196" s="49">
        <f>IF($A$4+71&gt;$B$4,"",$A$4+71)</f>
        <v>46094</v>
      </c>
      <c r="N7196">
        <f>IF(M7196="","",'Master Barang'!A90)</f>
        <v>0</v>
      </c>
      <c r="O7196">
        <f>IF(N7196="","",'Master Barang'!B90)</f>
        <v>0</v>
      </c>
      <c r="P7196">
        <f>IF(OR(M7196="",N7196=""),"",SUMIFS('Barang Keluar'!$E:$E,'Barang Keluar'!$A:$A,M7196,'Barang Keluar'!$C:$C,N7196))</f>
        <v>0</v>
      </c>
    </row>
    <row r="7197" spans="13:16">
      <c r="M7197" s="49">
        <f>IF($A$4+71&gt;$B$4,"",$A$4+71)</f>
        <v>46094</v>
      </c>
      <c r="N7197">
        <f>IF(M7197="","",'Master Barang'!A91)</f>
        <v>0</v>
      </c>
      <c r="O7197">
        <f>IF(N7197="","",'Master Barang'!B91)</f>
        <v>0</v>
      </c>
      <c r="P7197">
        <f>IF(OR(M7197="",N7197=""),"",SUMIFS('Barang Keluar'!$E:$E,'Barang Keluar'!$A:$A,M7197,'Barang Keluar'!$C:$C,N7197))</f>
        <v>0</v>
      </c>
    </row>
    <row r="7198" spans="13:16">
      <c r="M7198" s="49">
        <f>IF($A$4+71&gt;$B$4,"",$A$4+71)</f>
        <v>46094</v>
      </c>
      <c r="N7198">
        <f>IF(M7198="","",'Master Barang'!A92)</f>
        <v>0</v>
      </c>
      <c r="O7198">
        <f>IF(N7198="","",'Master Barang'!B92)</f>
        <v>0</v>
      </c>
      <c r="P7198">
        <f>IF(OR(M7198="",N7198=""),"",SUMIFS('Barang Keluar'!$E:$E,'Barang Keluar'!$A:$A,M7198,'Barang Keluar'!$C:$C,N7198))</f>
        <v>0</v>
      </c>
    </row>
    <row r="7199" spans="13:16">
      <c r="M7199" s="49">
        <f>IF($A$4+71&gt;$B$4,"",$A$4+71)</f>
        <v>46094</v>
      </c>
      <c r="N7199">
        <f>IF(M7199="","",'Master Barang'!A93)</f>
        <v>0</v>
      </c>
      <c r="O7199">
        <f>IF(N7199="","",'Master Barang'!B93)</f>
        <v>0</v>
      </c>
      <c r="P7199">
        <f>IF(OR(M7199="",N7199=""),"",SUMIFS('Barang Keluar'!$E:$E,'Barang Keluar'!$A:$A,M7199,'Barang Keluar'!$C:$C,N7199))</f>
        <v>0</v>
      </c>
    </row>
    <row r="7200" spans="13:16">
      <c r="M7200" s="49">
        <f>IF($A$4+71&gt;$B$4,"",$A$4+71)</f>
        <v>46094</v>
      </c>
      <c r="N7200">
        <f>IF(M7200="","",'Master Barang'!A94)</f>
        <v>0</v>
      </c>
      <c r="O7200">
        <f>IF(N7200="","",'Master Barang'!B94)</f>
        <v>0</v>
      </c>
      <c r="P7200">
        <f>IF(OR(M7200="",N7200=""),"",SUMIFS('Barang Keluar'!$E:$E,'Barang Keluar'!$A:$A,M7200,'Barang Keluar'!$C:$C,N7200))</f>
        <v>0</v>
      </c>
    </row>
    <row r="7201" spans="13:16">
      <c r="M7201" s="49">
        <f>IF($A$4+71&gt;$B$4,"",$A$4+71)</f>
        <v>46094</v>
      </c>
      <c r="N7201">
        <f>IF(M7201="","",'Master Barang'!A95)</f>
        <v>0</v>
      </c>
      <c r="O7201">
        <f>IF(N7201="","",'Master Barang'!B95)</f>
        <v>0</v>
      </c>
      <c r="P7201">
        <f>IF(OR(M7201="",N7201=""),"",SUMIFS('Barang Keluar'!$E:$E,'Barang Keluar'!$A:$A,M7201,'Barang Keluar'!$C:$C,N7201))</f>
        <v>0</v>
      </c>
    </row>
    <row r="7202" spans="13:16">
      <c r="M7202" s="49">
        <f>IF($A$4+71&gt;$B$4,"",$A$4+71)</f>
        <v>46094</v>
      </c>
      <c r="N7202">
        <f>IF(M7202="","",'Master Barang'!A96)</f>
        <v>0</v>
      </c>
      <c r="O7202">
        <f>IF(N7202="","",'Master Barang'!B96)</f>
        <v>0</v>
      </c>
      <c r="P7202">
        <f>IF(OR(M7202="",N7202=""),"",SUMIFS('Barang Keluar'!$E:$E,'Barang Keluar'!$A:$A,M7202,'Barang Keluar'!$C:$C,N7202))</f>
        <v>0</v>
      </c>
    </row>
    <row r="7203" spans="13:16">
      <c r="M7203" s="49">
        <f>IF($A$4+71&gt;$B$4,"",$A$4+71)</f>
        <v>46094</v>
      </c>
      <c r="N7203">
        <f>IF(M7203="","",'Master Barang'!A97)</f>
        <v>0</v>
      </c>
      <c r="O7203">
        <f>IF(N7203="","",'Master Barang'!B97)</f>
        <v>0</v>
      </c>
      <c r="P7203">
        <f>IF(OR(M7203="",N7203=""),"",SUMIFS('Barang Keluar'!$E:$E,'Barang Keluar'!$A:$A,M7203,'Barang Keluar'!$C:$C,N7203))</f>
        <v>0</v>
      </c>
    </row>
    <row r="7204" spans="13:16">
      <c r="M7204" s="49">
        <f>IF($A$4+71&gt;$B$4,"",$A$4+71)</f>
        <v>46094</v>
      </c>
      <c r="N7204">
        <f>IF(M7204="","",'Master Barang'!A98)</f>
        <v>0</v>
      </c>
      <c r="O7204">
        <f>IF(N7204="","",'Master Barang'!B98)</f>
        <v>0</v>
      </c>
      <c r="P7204">
        <f>IF(OR(M7204="",N7204=""),"",SUMIFS('Barang Keluar'!$E:$E,'Barang Keluar'!$A:$A,M7204,'Barang Keluar'!$C:$C,N7204))</f>
        <v>0</v>
      </c>
    </row>
    <row r="7205" spans="13:16">
      <c r="M7205" s="49">
        <f>IF($A$4+71&gt;$B$4,"",$A$4+71)</f>
        <v>46094</v>
      </c>
      <c r="N7205">
        <f>IF(M7205="","",'Master Barang'!A99)</f>
        <v>0</v>
      </c>
      <c r="O7205">
        <f>IF(N7205="","",'Master Barang'!B99)</f>
        <v>0</v>
      </c>
      <c r="P7205">
        <f>IF(OR(M7205="",N7205=""),"",SUMIFS('Barang Keluar'!$E:$E,'Barang Keluar'!$A:$A,M7205,'Barang Keluar'!$C:$C,N7205))</f>
        <v>0</v>
      </c>
    </row>
    <row r="7206" spans="13:16">
      <c r="M7206" s="49">
        <f>IF($A$4+71&gt;$B$4,"",$A$4+71)</f>
        <v>46094</v>
      </c>
      <c r="N7206">
        <f>IF(M7206="","",'Master Barang'!A100)</f>
        <v>0</v>
      </c>
      <c r="O7206">
        <f>IF(N7206="","",'Master Barang'!B100)</f>
        <v>0</v>
      </c>
      <c r="P7206">
        <f>IF(OR(M7206="",N7206=""),"",SUMIFS('Barang Keluar'!$E:$E,'Barang Keluar'!$A:$A,M7206,'Barang Keluar'!$C:$C,N7206))</f>
        <v>0</v>
      </c>
    </row>
    <row r="7207" spans="13:16">
      <c r="M7207" s="49">
        <f>IF($A$4+71&gt;$B$4,"",$A$4+71)</f>
        <v>46094</v>
      </c>
      <c r="N7207">
        <f>IF(M7207="","",'Master Barang'!A101)</f>
        <v>0</v>
      </c>
      <c r="O7207">
        <f>IF(N7207="","",'Master Barang'!B101)</f>
        <v>0</v>
      </c>
      <c r="P7207">
        <f>IF(OR(M7207="",N7207=""),"",SUMIFS('Barang Keluar'!$E:$E,'Barang Keluar'!$A:$A,M7207,'Barang Keluar'!$C:$C,N7207))</f>
        <v>0</v>
      </c>
    </row>
    <row r="7208" spans="13:16">
      <c r="M7208" s="49">
        <f>IF($A$4+72&gt;$B$4,"",$A$4+72)</f>
        <v>46095</v>
      </c>
      <c r="N7208" t="str">
        <f>IF(M7208="","",'Master Barang'!A2)</f>
        <v>PRL-001</v>
      </c>
      <c r="O7208" t="str">
        <f>IF(N7208="","",'Master Barang'!B2)</f>
        <v>natura desinfectant food grade 5l</v>
      </c>
      <c r="P7208">
        <f>IF(OR(M7208="",N7208=""),"",SUMIFS('Barang Keluar'!$E:$E,'Barang Keluar'!$A:$A,M7208,'Barang Keluar'!$C:$C,N7208))</f>
        <v>0</v>
      </c>
    </row>
    <row r="7209" spans="13:16">
      <c r="M7209" s="49">
        <f>IF($A$4+72&gt;$B$4,"",$A$4+72)</f>
        <v>46095</v>
      </c>
      <c r="N7209" t="str">
        <f>IF(M7209="","",'Master Barang'!A3)</f>
        <v>PRL-002</v>
      </c>
      <c r="O7209" t="str">
        <f>IF(N7209="","",'Master Barang'!B3)</f>
        <v>sunlight cairan pencuci piring 5l</v>
      </c>
      <c r="P7209">
        <f>IF(OR(M7209="",N7209=""),"",SUMIFS('Barang Keluar'!$E:$E,'Barang Keluar'!$A:$A,M7209,'Barang Keluar'!$C:$C,N7209))</f>
        <v>0</v>
      </c>
    </row>
    <row r="7210" spans="13:16">
      <c r="M7210" s="49">
        <f>IF($A$4+72&gt;$B$4,"",$A$4+72)</f>
        <v>46095</v>
      </c>
      <c r="N7210" t="str">
        <f>IF(M7210="","",'Master Barang'!A4)</f>
        <v>PRL-003</v>
      </c>
      <c r="O7210" t="str">
        <f>IF(N7210="","",'Master Barang'!B4)</f>
        <v>oixs cleaner 1l</v>
      </c>
      <c r="P7210">
        <f>IF(OR(M7210="",N7210=""),"",SUMIFS('Barang Keluar'!$E:$E,'Barang Keluar'!$A:$A,M7210,'Barang Keluar'!$C:$C,N7210))</f>
        <v>0</v>
      </c>
    </row>
    <row r="7211" spans="13:16">
      <c r="M7211" s="49">
        <f>IF($A$4+72&gt;$B$4,"",$A$4+72)</f>
        <v>46095</v>
      </c>
      <c r="N7211" t="str">
        <f>IF(M7211="","",'Master Barang'!A5)</f>
        <v>PRL-004</v>
      </c>
      <c r="O7211" t="str">
        <f>IF(N7211="","",'Master Barang'!B5)</f>
        <v>be clean tissue serbaguna</v>
      </c>
      <c r="P7211">
        <f>IF(OR(M7211="",N7211=""),"",SUMIFS('Barang Keluar'!$E:$E,'Barang Keluar'!$A:$A,M7211,'Barang Keluar'!$C:$C,N7211))</f>
        <v>0</v>
      </c>
    </row>
    <row r="7212" spans="13:16">
      <c r="M7212" s="49">
        <f>IF($A$4+72&gt;$B$4,"",$A$4+72)</f>
        <v>46095</v>
      </c>
      <c r="N7212" t="str">
        <f>IF(M7212="","",'Master Barang'!A6)</f>
        <v>PRL-005</v>
      </c>
      <c r="O7212" t="str">
        <f>IF(N7212="","",'Master Barang'!B6)</f>
        <v>spons cuci hijau</v>
      </c>
      <c r="P7212">
        <f>IF(OR(M7212="",N7212=""),"",SUMIFS('Barang Keluar'!$E:$E,'Barang Keluar'!$A:$A,M7212,'Barang Keluar'!$C:$C,N7212))</f>
        <v>0</v>
      </c>
    </row>
    <row r="7213" spans="13:16">
      <c r="M7213" s="49">
        <f>IF($A$4+72&gt;$B$4,"",$A$4+72)</f>
        <v>46095</v>
      </c>
      <c r="N7213" t="str">
        <f>IF(M7213="","",'Master Barang'!A7)</f>
        <v>PRL-006</v>
      </c>
      <c r="O7213" t="str">
        <f>IF(N7213="","",'Master Barang'!B7)</f>
        <v>sabut cuci stainless</v>
      </c>
      <c r="P7213">
        <f>IF(OR(M7213="",N7213=""),"",SUMIFS('Barang Keluar'!$E:$E,'Barang Keluar'!$A:$A,M7213,'Barang Keluar'!$C:$C,N7213))</f>
        <v>0</v>
      </c>
    </row>
    <row r="7214" spans="13:16">
      <c r="M7214" s="49">
        <f>IF($A$4+72&gt;$B$4,"",$A$4+72)</f>
        <v>46095</v>
      </c>
      <c r="N7214" t="str">
        <f>IF(M7214="","",'Master Barang'!A8)</f>
        <v>PRL-007</v>
      </c>
      <c r="O7214" t="str">
        <f>IF(N7214="","",'Master Barang'!B8)</f>
        <v>plastik kresek besar merah 50pc</v>
      </c>
      <c r="P7214">
        <f>IF(OR(M7214="",N7214=""),"",SUMIFS('Barang Keluar'!$E:$E,'Barang Keluar'!$A:$A,M7214,'Barang Keluar'!$C:$C,N7214))</f>
        <v>0</v>
      </c>
    </row>
    <row r="7215" spans="13:16">
      <c r="M7215" s="49">
        <f>IF($A$4+72&gt;$B$4,"",$A$4+72)</f>
        <v>46095</v>
      </c>
      <c r="N7215" t="str">
        <f>IF(M7215="","",'Master Barang'!A9)</f>
        <v>PRL-008</v>
      </c>
      <c r="O7215" t="str">
        <f>IF(N7215="","",'Master Barang'!B9)</f>
        <v>lap besar</v>
      </c>
      <c r="P7215">
        <f>IF(OR(M7215="",N7215=""),"",SUMIFS('Barang Keluar'!$E:$E,'Barang Keluar'!$A:$A,M7215,'Barang Keluar'!$C:$C,N7215))</f>
        <v>0</v>
      </c>
    </row>
    <row r="7216" spans="13:16">
      <c r="M7216" s="49">
        <f>IF($A$4+72&gt;$B$4,"",$A$4+72)</f>
        <v>46095</v>
      </c>
      <c r="N7216" t="str">
        <f>IF(M7216="","",'Master Barang'!A10)</f>
        <v>PRL-009</v>
      </c>
      <c r="O7216" t="str">
        <f>IF(N7216="","",'Master Barang'!B10)</f>
        <v>lap microfiber</v>
      </c>
      <c r="P7216">
        <f>IF(OR(M7216="",N7216=""),"",SUMIFS('Barang Keluar'!$E:$E,'Barang Keluar'!$A:$A,M7216,'Barang Keluar'!$C:$C,N7216))</f>
        <v>0</v>
      </c>
    </row>
    <row r="7217" spans="13:16">
      <c r="M7217" s="49">
        <f>IF($A$4+72&gt;$B$4,"",$A$4+72)</f>
        <v>46095</v>
      </c>
      <c r="N7217" t="str">
        <f>IF(M7217="","",'Master Barang'!A11)</f>
        <v>PRL-010</v>
      </c>
      <c r="O7217" t="str">
        <f>IF(N7217="","",'Master Barang'!B11)</f>
        <v>lap kecil</v>
      </c>
      <c r="P7217">
        <f>IF(OR(M7217="",N7217=""),"",SUMIFS('Barang Keluar'!$E:$E,'Barang Keluar'!$A:$A,M7217,'Barang Keluar'!$C:$C,N7217))</f>
        <v>0</v>
      </c>
    </row>
    <row r="7218" spans="13:16">
      <c r="M7218" s="49">
        <f>IF($A$4+72&gt;$B$4,"",$A$4+72)</f>
        <v>46095</v>
      </c>
      <c r="N7218" t="str">
        <f>IF(M7218="","",'Master Barang'!A12)</f>
        <v>PRL-011</v>
      </c>
      <c r="O7218" t="str">
        <f>IF(N7218="","",'Master Barang'!B12)</f>
        <v>kanebo kecil</v>
      </c>
      <c r="P7218">
        <f>IF(OR(M7218="",N7218=""),"",SUMIFS('Barang Keluar'!$E:$E,'Barang Keluar'!$A:$A,M7218,'Barang Keluar'!$C:$C,N7218))</f>
        <v>0</v>
      </c>
    </row>
    <row r="7219" spans="13:16">
      <c r="M7219" s="49">
        <f>IF($A$4+72&gt;$B$4,"",$A$4+72)</f>
        <v>46095</v>
      </c>
      <c r="N7219" t="str">
        <f>IF(M7219="","",'Master Barang'!A13)</f>
        <v>PRL-012</v>
      </c>
      <c r="O7219" t="str">
        <f>IF(N7219="","",'Master Barang'!B13)</f>
        <v>plastik 1/4kg joyoboyo 100 lembar</v>
      </c>
      <c r="P7219">
        <f>IF(OR(M7219="",N7219=""),"",SUMIFS('Barang Keluar'!$E:$E,'Barang Keluar'!$A:$A,M7219,'Barang Keluar'!$C:$C,N7219))</f>
        <v>0</v>
      </c>
    </row>
    <row r="7220" spans="13:16">
      <c r="M7220" s="49">
        <f>IF($A$4+72&gt;$B$4,"",$A$4+72)</f>
        <v>46095</v>
      </c>
      <c r="N7220" t="str">
        <f>IF(M7220="","",'Master Barang'!A14)</f>
        <v>PRL-013</v>
      </c>
      <c r="O7220" t="str">
        <f>IF(N7220="","",'Master Barang'!B14)</f>
        <v>sarung tangan plastik kaka 100 pcs</v>
      </c>
      <c r="P7220">
        <f>IF(OR(M7220="",N7220=""),"",SUMIFS('Barang Keluar'!$E:$E,'Barang Keluar'!$A:$A,M7220,'Barang Keluar'!$C:$C,N7220))</f>
        <v>0</v>
      </c>
    </row>
    <row r="7221" spans="13:16">
      <c r="M7221" s="49">
        <f>IF($A$4+72&gt;$B$4,"",$A$4+72)</f>
        <v>46095</v>
      </c>
      <c r="N7221" t="str">
        <f>IF(M7221="","",'Master Barang'!A15)</f>
        <v>PRL-014</v>
      </c>
      <c r="O7221" t="str">
        <f>IF(N7221="","",'Master Barang'!B15)</f>
        <v>optima trashbag 80x100</v>
      </c>
      <c r="P7221">
        <f>IF(OR(M7221="",N7221=""),"",SUMIFS('Barang Keluar'!$E:$E,'Barang Keluar'!$A:$A,M7221,'Barang Keluar'!$C:$C,N7221))</f>
        <v>0</v>
      </c>
    </row>
    <row r="7222" spans="13:16">
      <c r="M7222" s="49">
        <f>IF($A$4+72&gt;$B$4,"",$A$4+72)</f>
        <v>46095</v>
      </c>
      <c r="N7222" t="str">
        <f>IF(M7222="","",'Master Barang'!A16)</f>
        <v>PRL-015</v>
      </c>
      <c r="O7222" t="str">
        <f>IF(N7222="","",'Master Barang'!B16)</f>
        <v>optima trashbag 60x100</v>
      </c>
      <c r="P7222">
        <f>IF(OR(M7222="",N7222=""),"",SUMIFS('Barang Keluar'!$E:$E,'Barang Keluar'!$A:$A,M7222,'Barang Keluar'!$C:$C,N7222))</f>
        <v>0</v>
      </c>
    </row>
    <row r="7223" spans="13:16">
      <c r="M7223" s="49">
        <f>IF($A$4+72&gt;$B$4,"",$A$4+72)</f>
        <v>46095</v>
      </c>
      <c r="N7223" t="str">
        <f>IF(M7223="","",'Master Barang'!A17)</f>
        <v>PRL-016</v>
      </c>
      <c r="O7223" t="str">
        <f>IF(N7223="","",'Master Barang'!B17)</f>
        <v>rajawali trashbag 30x40</v>
      </c>
      <c r="P7223">
        <f>IF(OR(M7223="",N7223=""),"",SUMIFS('Barang Keluar'!$E:$E,'Barang Keluar'!$A:$A,M7223,'Barang Keluar'!$C:$C,N7223))</f>
        <v>0</v>
      </c>
    </row>
    <row r="7224" spans="13:16">
      <c r="M7224" s="49">
        <f>IF($A$4+72&gt;$B$4,"",$A$4+72)</f>
        <v>46095</v>
      </c>
      <c r="N7224" t="str">
        <f>IF(M7224="","",'Master Barang'!A18)</f>
        <v>PRL-017</v>
      </c>
      <c r="O7224" t="str">
        <f>IF(N7224="","",'Master Barang'!B18)</f>
        <v>onemed masker biru 3 play 50 pcs</v>
      </c>
      <c r="P7224">
        <f>IF(OR(M7224="",N7224=""),"",SUMIFS('Barang Keluar'!$E:$E,'Barang Keluar'!$A:$A,M7224,'Barang Keluar'!$C:$C,N7224))</f>
        <v>0</v>
      </c>
    </row>
    <row r="7225" spans="13:16">
      <c r="M7225" s="49">
        <f>IF($A$4+72&gt;$B$4,"",$A$4+72)</f>
        <v>46095</v>
      </c>
      <c r="N7225" t="str">
        <f>IF(M7225="","",'Master Barang'!A19)</f>
        <v>PRL-018</v>
      </c>
      <c r="O7225" t="str">
        <f>IF(N7225="","",'Master Barang'!B19)</f>
        <v>onemed masker biru 3 play hijab 50 pcs</v>
      </c>
      <c r="P7225">
        <f>IF(OR(M7225="",N7225=""),"",SUMIFS('Barang Keluar'!$E:$E,'Barang Keluar'!$A:$A,M7225,'Barang Keluar'!$C:$C,N7225))</f>
        <v>0</v>
      </c>
    </row>
    <row r="7226" spans="13:16">
      <c r="M7226" s="49">
        <f>IF($A$4+72&gt;$B$4,"",$A$4+72)</f>
        <v>46095</v>
      </c>
      <c r="N7226" t="str">
        <f>IF(M7226="","",'Master Barang'!A20)</f>
        <v>PRL-019</v>
      </c>
      <c r="O7226" t="str">
        <f>IF(N7226="","",'Master Barang'!B20)</f>
        <v>neo health masker biru 3 play 50 pcs</v>
      </c>
      <c r="P7226">
        <f>IF(OR(M7226="",N7226=""),"",SUMIFS('Barang Keluar'!$E:$E,'Barang Keluar'!$A:$A,M7226,'Barang Keluar'!$C:$C,N7226))</f>
        <v>0</v>
      </c>
    </row>
    <row r="7227" spans="13:16">
      <c r="M7227" s="49">
        <f>IF($A$4+72&gt;$B$4,"",$A$4+72)</f>
        <v>46095</v>
      </c>
      <c r="N7227" t="str">
        <f>IF(M7227="","",'Master Barang'!A21)</f>
        <v>PRL-020</v>
      </c>
      <c r="O7227" t="str">
        <f>IF(N7227="","",'Master Barang'!B21)</f>
        <v>baymed masker hijau 3 play hijau 50 pcs</v>
      </c>
      <c r="P7227">
        <f>IF(OR(M7227="",N7227=""),"",SUMIFS('Barang Keluar'!$E:$E,'Barang Keluar'!$A:$A,M7227,'Barang Keluar'!$C:$C,N7227))</f>
        <v>0</v>
      </c>
    </row>
    <row r="7228" spans="13:16">
      <c r="M7228" s="49">
        <f>IF($A$4+72&gt;$B$4,"",$A$4+72)</f>
        <v>46095</v>
      </c>
      <c r="N7228" t="str">
        <f>IF(M7228="","",'Master Barang'!A22)</f>
        <v>PRL-021</v>
      </c>
      <c r="O7228" t="str">
        <f>IF(N7228="","",'Master Barang'!B22)</f>
        <v>altamed nurse cap penutup kepala 100 pcs</v>
      </c>
      <c r="P7228">
        <f>IF(OR(M7228="",N7228=""),"",SUMIFS('Barang Keluar'!$E:$E,'Barang Keluar'!$A:$A,M7228,'Barang Keluar'!$C:$C,N7228))</f>
        <v>0</v>
      </c>
    </row>
    <row r="7229" spans="13:16">
      <c r="M7229" s="49">
        <f>IF($A$4+72&gt;$B$4,"",$A$4+72)</f>
        <v>46095</v>
      </c>
      <c r="N7229" t="str">
        <f>IF(M7229="","",'Master Barang'!A23)</f>
        <v>PRL-022</v>
      </c>
      <c r="O7229" t="str">
        <f>IF(N7229="","",'Master Barang'!B23)</f>
        <v>sabun cuci tangan</v>
      </c>
      <c r="P7229">
        <f>IF(OR(M7229="",N7229=""),"",SUMIFS('Barang Keluar'!$E:$E,'Barang Keluar'!$A:$A,M7229,'Barang Keluar'!$C:$C,N7229))</f>
        <v>0</v>
      </c>
    </row>
    <row r="7230" spans="13:16">
      <c r="M7230" s="49">
        <f>IF($A$4+72&gt;$B$4,"",$A$4+72)</f>
        <v>46095</v>
      </c>
      <c r="N7230" t="str">
        <f>IF(M7230="","",'Master Barang'!A24)</f>
        <v>PRL-023</v>
      </c>
      <c r="O7230" t="str">
        <f>IF(N7230="","",'Master Barang'!B24)</f>
        <v>gayung kecil</v>
      </c>
      <c r="P7230">
        <f>IF(OR(M7230="",N7230=""),"",SUMIFS('Barang Keluar'!$E:$E,'Barang Keluar'!$A:$A,M7230,'Barang Keluar'!$C:$C,N7230))</f>
        <v>0</v>
      </c>
    </row>
    <row r="7231" spans="13:16">
      <c r="M7231" s="49">
        <f>IF($A$4+72&gt;$B$4,"",$A$4+72)</f>
        <v>46095</v>
      </c>
      <c r="N7231" t="str">
        <f>IF(M7231="","",'Master Barang'!A25)</f>
        <v>PRL-024</v>
      </c>
      <c r="O7231" t="str">
        <f>IF(N7231="","",'Master Barang'!B25)</f>
        <v>cikrak kecil</v>
      </c>
      <c r="P7231">
        <f>IF(OR(M7231="",N7231=""),"",SUMIFS('Barang Keluar'!$E:$E,'Barang Keluar'!$A:$A,M7231,'Barang Keluar'!$C:$C,N7231))</f>
        <v>0</v>
      </c>
    </row>
    <row r="7232" spans="13:16">
      <c r="M7232" s="49">
        <f>IF($A$4+72&gt;$B$4,"",$A$4+72)</f>
        <v>46095</v>
      </c>
      <c r="N7232" t="str">
        <f>IF(M7232="","",'Master Barang'!A26)</f>
        <v>PRL-025</v>
      </c>
      <c r="O7232" t="str">
        <f>IF(N7232="","",'Master Barang'!B26)</f>
        <v>petromax plastik kecil 12x24 100 lembar</v>
      </c>
      <c r="P7232">
        <f>IF(OR(M7232="",N7232=""),"",SUMIFS('Barang Keluar'!$E:$E,'Barang Keluar'!$A:$A,M7232,'Barang Keluar'!$C:$C,N7232))</f>
        <v>0</v>
      </c>
    </row>
    <row r="7233" spans="13:16">
      <c r="M7233" s="49">
        <f>IF($A$4+72&gt;$B$4,"",$A$4+72)</f>
        <v>46095</v>
      </c>
      <c r="N7233" t="str">
        <f>IF(M7233="","",'Master Barang'!A27)</f>
        <v>PRL-026</v>
      </c>
      <c r="O7233" t="str">
        <f>IF(N7233="","",'Master Barang'!B27)</f>
        <v>lancar kresek kecil bening </v>
      </c>
      <c r="P7233">
        <f>IF(OR(M7233="",N7233=""),"",SUMIFS('Barang Keluar'!$E:$E,'Barang Keluar'!$A:$A,M7233,'Barang Keluar'!$C:$C,N7233))</f>
        <v>0</v>
      </c>
    </row>
    <row r="7234" spans="13:16">
      <c r="M7234" s="49">
        <f>IF($A$4+72&gt;$B$4,"",$A$4+72)</f>
        <v>46095</v>
      </c>
      <c r="N7234" t="str">
        <f>IF(M7234="","",'Master Barang'!A28)</f>
        <v>PRL-027</v>
      </c>
      <c r="O7234" t="str">
        <f>IF(N7234="","",'Master Barang'!B28)</f>
        <v>kresek klin warna warni kecil</v>
      </c>
      <c r="P7234">
        <f>IF(OR(M7234="",N7234=""),"",SUMIFS('Barang Keluar'!$E:$E,'Barang Keluar'!$A:$A,M7234,'Barang Keluar'!$C:$C,N7234))</f>
        <v>0</v>
      </c>
    </row>
    <row r="7235" spans="13:16">
      <c r="M7235" s="49">
        <f>IF($A$4+72&gt;$B$4,"",$A$4+72)</f>
        <v>46095</v>
      </c>
      <c r="N7235" t="str">
        <f>IF(M7235="","",'Master Barang'!A29)</f>
        <v>PRL-028</v>
      </c>
      <c r="O7235" t="str">
        <f>IF(N7235="","",'Master Barang'!B29)</f>
        <v>ctik plastik 7x10 100 pcs</v>
      </c>
      <c r="P7235">
        <f>IF(OR(M7235="",N7235=""),"",SUMIFS('Barang Keluar'!$E:$E,'Barang Keluar'!$A:$A,M7235,'Barang Keluar'!$C:$C,N7235))</f>
        <v>0</v>
      </c>
    </row>
    <row r="7236" spans="13:16">
      <c r="M7236" s="49">
        <f>IF($A$4+72&gt;$B$4,"",$A$4+72)</f>
        <v>46095</v>
      </c>
      <c r="N7236" t="str">
        <f>IF(M7236="","",'Master Barang'!A30)</f>
        <v>PRL-029</v>
      </c>
      <c r="O7236" t="str">
        <f>IF(N7236="","",'Master Barang'!B30)</f>
        <v>ctik plastik 6x10 100 pcs</v>
      </c>
      <c r="P7236">
        <f>IF(OR(M7236="",N7236=""),"",SUMIFS('Barang Keluar'!$E:$E,'Barang Keluar'!$A:$A,M7236,'Barang Keluar'!$C:$C,N7236))</f>
        <v>0</v>
      </c>
    </row>
    <row r="7237" spans="13:16">
      <c r="M7237" s="49">
        <f>IF($A$4+72&gt;$B$4,"",$A$4+72)</f>
        <v>46095</v>
      </c>
      <c r="N7237" t="str">
        <f>IF(M7237="","",'Master Barang'!A31)</f>
        <v>PRL-030</v>
      </c>
      <c r="O7237" t="str">
        <f>IF(N7237="","",'Master Barang'!B31)</f>
        <v>klip plastik 25x16 100 pcs</v>
      </c>
      <c r="P7237">
        <f>IF(OR(M7237="",N7237=""),"",SUMIFS('Barang Keluar'!$E:$E,'Barang Keluar'!$A:$A,M7237,'Barang Keluar'!$C:$C,N7237))</f>
        <v>0</v>
      </c>
    </row>
    <row r="7238" spans="13:16">
      <c r="M7238" s="49">
        <f>IF($A$4+72&gt;$B$4,"",$A$4+72)</f>
        <v>46095</v>
      </c>
      <c r="N7238" t="str">
        <f>IF(M7238="","",'Master Barang'!A32)</f>
        <v>PRL-031</v>
      </c>
      <c r="O7238" t="str">
        <f>IF(N7238="","",'Master Barang'!B32)</f>
        <v>tempat saus 20 ml</v>
      </c>
      <c r="P7238">
        <f>IF(OR(M7238="",N7238=""),"",SUMIFS('Barang Keluar'!$E:$E,'Barang Keluar'!$A:$A,M7238,'Barang Keluar'!$C:$C,N7238))</f>
        <v>0</v>
      </c>
    </row>
    <row r="7239" spans="13:16">
      <c r="M7239" s="49">
        <f>IF($A$4+72&gt;$B$4,"",$A$4+72)</f>
        <v>46095</v>
      </c>
      <c r="N7239" t="str">
        <f>IF(M7239="","",'Master Barang'!A33)</f>
        <v>PRL-032</v>
      </c>
      <c r="O7239" t="str">
        <f>IF(N7239="","",'Master Barang'!B33)</f>
        <v>plastik packaging ag box uk sedang</v>
      </c>
      <c r="P7239">
        <f>IF(OR(M7239="",N7239=""),"",SUMIFS('Barang Keluar'!$E:$E,'Barang Keluar'!$A:$A,M7239,'Barang Keluar'!$C:$C,N7239))</f>
        <v>0</v>
      </c>
    </row>
    <row r="7240" spans="13:16">
      <c r="M7240" s="49">
        <f>IF($A$4+72&gt;$B$4,"",$A$4+72)</f>
        <v>46095</v>
      </c>
      <c r="N7240" t="str">
        <f>IF(M7240="","",'Master Barang'!A34)</f>
        <v>PRL-033</v>
      </c>
      <c r="O7240">
        <f>IF(N7240="","",'Master Barang'!B34)</f>
        <v>0</v>
      </c>
      <c r="P7240">
        <f>IF(OR(M7240="",N7240=""),"",SUMIFS('Barang Keluar'!$E:$E,'Barang Keluar'!$A:$A,M7240,'Barang Keluar'!$C:$C,N7240))</f>
        <v>0</v>
      </c>
    </row>
    <row r="7241" spans="13:16">
      <c r="M7241" s="49">
        <f>IF($A$4+72&gt;$B$4,"",$A$4+72)</f>
        <v>46095</v>
      </c>
      <c r="N7241">
        <f>IF(M7241="","",'Master Barang'!A35)</f>
        <v>0</v>
      </c>
      <c r="O7241">
        <f>IF(N7241="","",'Master Barang'!B35)</f>
        <v>0</v>
      </c>
      <c r="P7241">
        <f>IF(OR(M7241="",N7241=""),"",SUMIFS('Barang Keluar'!$E:$E,'Barang Keluar'!$A:$A,M7241,'Barang Keluar'!$C:$C,N7241))</f>
        <v>0</v>
      </c>
    </row>
    <row r="7242" spans="13:16">
      <c r="M7242" s="49">
        <f>IF($A$4+72&gt;$B$4,"",$A$4+72)</f>
        <v>46095</v>
      </c>
      <c r="N7242">
        <f>IF(M7242="","",'Master Barang'!A36)</f>
        <v>0</v>
      </c>
      <c r="O7242">
        <f>IF(N7242="","",'Master Barang'!B36)</f>
        <v>0</v>
      </c>
      <c r="P7242">
        <f>IF(OR(M7242="",N7242=""),"",SUMIFS('Barang Keluar'!$E:$E,'Barang Keluar'!$A:$A,M7242,'Barang Keluar'!$C:$C,N7242))</f>
        <v>0</v>
      </c>
    </row>
    <row r="7243" spans="13:16">
      <c r="M7243" s="49">
        <f>IF($A$4+72&gt;$B$4,"",$A$4+72)</f>
        <v>46095</v>
      </c>
      <c r="N7243">
        <f>IF(M7243="","",'Master Barang'!A37)</f>
        <v>0</v>
      </c>
      <c r="O7243">
        <f>IF(N7243="","",'Master Barang'!B37)</f>
        <v>0</v>
      </c>
      <c r="P7243">
        <f>IF(OR(M7243="",N7243=""),"",SUMIFS('Barang Keluar'!$E:$E,'Barang Keluar'!$A:$A,M7243,'Barang Keluar'!$C:$C,N7243))</f>
        <v>0</v>
      </c>
    </row>
    <row r="7244" spans="13:16">
      <c r="M7244" s="49">
        <f>IF($A$4+72&gt;$B$4,"",$A$4+72)</f>
        <v>46095</v>
      </c>
      <c r="N7244">
        <f>IF(M7244="","",'Master Barang'!A38)</f>
        <v>0</v>
      </c>
      <c r="O7244">
        <f>IF(N7244="","",'Master Barang'!B38)</f>
        <v>0</v>
      </c>
      <c r="P7244">
        <f>IF(OR(M7244="",N7244=""),"",SUMIFS('Barang Keluar'!$E:$E,'Barang Keluar'!$A:$A,M7244,'Barang Keluar'!$C:$C,N7244))</f>
        <v>0</v>
      </c>
    </row>
    <row r="7245" spans="13:16">
      <c r="M7245" s="49">
        <f>IF($A$4+72&gt;$B$4,"",$A$4+72)</f>
        <v>46095</v>
      </c>
      <c r="N7245">
        <f>IF(M7245="","",'Master Barang'!A39)</f>
        <v>0</v>
      </c>
      <c r="O7245">
        <f>IF(N7245="","",'Master Barang'!B39)</f>
        <v>0</v>
      </c>
      <c r="P7245">
        <f>IF(OR(M7245="",N7245=""),"",SUMIFS('Barang Keluar'!$E:$E,'Barang Keluar'!$A:$A,M7245,'Barang Keluar'!$C:$C,N7245))</f>
        <v>0</v>
      </c>
    </row>
    <row r="7246" spans="13:16">
      <c r="M7246" s="49">
        <f>IF($A$4+72&gt;$B$4,"",$A$4+72)</f>
        <v>46095</v>
      </c>
      <c r="N7246">
        <f>IF(M7246="","",'Master Barang'!A40)</f>
        <v>0</v>
      </c>
      <c r="O7246">
        <f>IF(N7246="","",'Master Barang'!B40)</f>
        <v>0</v>
      </c>
      <c r="P7246">
        <f>IF(OR(M7246="",N7246=""),"",SUMIFS('Barang Keluar'!$E:$E,'Barang Keluar'!$A:$A,M7246,'Barang Keluar'!$C:$C,N7246))</f>
        <v>0</v>
      </c>
    </row>
    <row r="7247" spans="13:16">
      <c r="M7247" s="49">
        <f>IF($A$4+72&gt;$B$4,"",$A$4+72)</f>
        <v>46095</v>
      </c>
      <c r="N7247">
        <f>IF(M7247="","",'Master Barang'!A41)</f>
        <v>0</v>
      </c>
      <c r="O7247">
        <f>IF(N7247="","",'Master Barang'!B41)</f>
        <v>0</v>
      </c>
      <c r="P7247">
        <f>IF(OR(M7247="",N7247=""),"",SUMIFS('Barang Keluar'!$E:$E,'Barang Keluar'!$A:$A,M7247,'Barang Keluar'!$C:$C,N7247))</f>
        <v>0</v>
      </c>
    </row>
    <row r="7248" spans="13:16">
      <c r="M7248" s="49">
        <f>IF($A$4+72&gt;$B$4,"",$A$4+72)</f>
        <v>46095</v>
      </c>
      <c r="N7248">
        <f>IF(M7248="","",'Master Barang'!A42)</f>
        <v>0</v>
      </c>
      <c r="O7248">
        <f>IF(N7248="","",'Master Barang'!B42)</f>
        <v>0</v>
      </c>
      <c r="P7248">
        <f>IF(OR(M7248="",N7248=""),"",SUMIFS('Barang Keluar'!$E:$E,'Barang Keluar'!$A:$A,M7248,'Barang Keluar'!$C:$C,N7248))</f>
        <v>0</v>
      </c>
    </row>
    <row r="7249" spans="13:16">
      <c r="M7249" s="49">
        <f>IF($A$4+72&gt;$B$4,"",$A$4+72)</f>
        <v>46095</v>
      </c>
      <c r="N7249">
        <f>IF(M7249="","",'Master Barang'!A43)</f>
        <v>0</v>
      </c>
      <c r="O7249">
        <f>IF(N7249="","",'Master Barang'!B43)</f>
        <v>0</v>
      </c>
      <c r="P7249">
        <f>IF(OR(M7249="",N7249=""),"",SUMIFS('Barang Keluar'!$E:$E,'Barang Keluar'!$A:$A,M7249,'Barang Keluar'!$C:$C,N7249))</f>
        <v>0</v>
      </c>
    </row>
    <row r="7250" spans="13:16">
      <c r="M7250" s="49">
        <f>IF($A$4+72&gt;$B$4,"",$A$4+72)</f>
        <v>46095</v>
      </c>
      <c r="N7250">
        <f>IF(M7250="","",'Master Barang'!A44)</f>
        <v>0</v>
      </c>
      <c r="O7250">
        <f>IF(N7250="","",'Master Barang'!B44)</f>
        <v>0</v>
      </c>
      <c r="P7250">
        <f>IF(OR(M7250="",N7250=""),"",SUMIFS('Barang Keluar'!$E:$E,'Barang Keluar'!$A:$A,M7250,'Barang Keluar'!$C:$C,N7250))</f>
        <v>0</v>
      </c>
    </row>
    <row r="7251" spans="13:16">
      <c r="M7251" s="49">
        <f>IF($A$4+72&gt;$B$4,"",$A$4+72)</f>
        <v>46095</v>
      </c>
      <c r="N7251">
        <f>IF(M7251="","",'Master Barang'!A45)</f>
        <v>0</v>
      </c>
      <c r="O7251">
        <f>IF(N7251="","",'Master Barang'!B45)</f>
        <v>0</v>
      </c>
      <c r="P7251">
        <f>IF(OR(M7251="",N7251=""),"",SUMIFS('Barang Keluar'!$E:$E,'Barang Keluar'!$A:$A,M7251,'Barang Keluar'!$C:$C,N7251))</f>
        <v>0</v>
      </c>
    </row>
    <row r="7252" spans="13:16">
      <c r="M7252" s="49">
        <f>IF($A$4+72&gt;$B$4,"",$A$4+72)</f>
        <v>46095</v>
      </c>
      <c r="N7252">
        <f>IF(M7252="","",'Master Barang'!A46)</f>
        <v>0</v>
      </c>
      <c r="O7252">
        <f>IF(N7252="","",'Master Barang'!B46)</f>
        <v>0</v>
      </c>
      <c r="P7252">
        <f>IF(OR(M7252="",N7252=""),"",SUMIFS('Barang Keluar'!$E:$E,'Barang Keluar'!$A:$A,M7252,'Barang Keluar'!$C:$C,N7252))</f>
        <v>0</v>
      </c>
    </row>
    <row r="7253" spans="13:16">
      <c r="M7253" s="49">
        <f>IF($A$4+72&gt;$B$4,"",$A$4+72)</f>
        <v>46095</v>
      </c>
      <c r="N7253">
        <f>IF(M7253="","",'Master Barang'!A47)</f>
        <v>0</v>
      </c>
      <c r="O7253">
        <f>IF(N7253="","",'Master Barang'!B47)</f>
        <v>0</v>
      </c>
      <c r="P7253">
        <f>IF(OR(M7253="",N7253=""),"",SUMIFS('Barang Keluar'!$E:$E,'Barang Keluar'!$A:$A,M7253,'Barang Keluar'!$C:$C,N7253))</f>
        <v>0</v>
      </c>
    </row>
    <row r="7254" spans="13:16">
      <c r="M7254" s="49">
        <f>IF($A$4+72&gt;$B$4,"",$A$4+72)</f>
        <v>46095</v>
      </c>
      <c r="N7254">
        <f>IF(M7254="","",'Master Barang'!A48)</f>
        <v>0</v>
      </c>
      <c r="O7254">
        <f>IF(N7254="","",'Master Barang'!B48)</f>
        <v>0</v>
      </c>
      <c r="P7254">
        <f>IF(OR(M7254="",N7254=""),"",SUMIFS('Barang Keluar'!$E:$E,'Barang Keluar'!$A:$A,M7254,'Barang Keluar'!$C:$C,N7254))</f>
        <v>0</v>
      </c>
    </row>
    <row r="7255" spans="13:16">
      <c r="M7255" s="49">
        <f>IF($A$4+72&gt;$B$4,"",$A$4+72)</f>
        <v>46095</v>
      </c>
      <c r="N7255">
        <f>IF(M7255="","",'Master Barang'!A49)</f>
        <v>0</v>
      </c>
      <c r="O7255">
        <f>IF(N7255="","",'Master Barang'!B49)</f>
        <v>0</v>
      </c>
      <c r="P7255">
        <f>IF(OR(M7255="",N7255=""),"",SUMIFS('Barang Keluar'!$E:$E,'Barang Keluar'!$A:$A,M7255,'Barang Keluar'!$C:$C,N7255))</f>
        <v>0</v>
      </c>
    </row>
    <row r="7256" spans="13:16">
      <c r="M7256" s="49">
        <f>IF($A$4+72&gt;$B$4,"",$A$4+72)</f>
        <v>46095</v>
      </c>
      <c r="N7256">
        <f>IF(M7256="","",'Master Barang'!A50)</f>
        <v>0</v>
      </c>
      <c r="O7256">
        <f>IF(N7256="","",'Master Barang'!B50)</f>
        <v>0</v>
      </c>
      <c r="P7256">
        <f>IF(OR(M7256="",N7256=""),"",SUMIFS('Barang Keluar'!$E:$E,'Barang Keluar'!$A:$A,M7256,'Barang Keluar'!$C:$C,N7256))</f>
        <v>0</v>
      </c>
    </row>
    <row r="7257" spans="13:16">
      <c r="M7257" s="49">
        <f>IF($A$4+72&gt;$B$4,"",$A$4+72)</f>
        <v>46095</v>
      </c>
      <c r="N7257">
        <f>IF(M7257="","",'Master Barang'!A51)</f>
        <v>0</v>
      </c>
      <c r="O7257">
        <f>IF(N7257="","",'Master Barang'!B51)</f>
        <v>0</v>
      </c>
      <c r="P7257">
        <f>IF(OR(M7257="",N7257=""),"",SUMIFS('Barang Keluar'!$E:$E,'Barang Keluar'!$A:$A,M7257,'Barang Keluar'!$C:$C,N7257))</f>
        <v>0</v>
      </c>
    </row>
    <row r="7258" spans="13:16">
      <c r="M7258" s="49">
        <f>IF($A$4+72&gt;$B$4,"",$A$4+72)</f>
        <v>46095</v>
      </c>
      <c r="N7258">
        <f>IF(M7258="","",'Master Barang'!A52)</f>
        <v>0</v>
      </c>
      <c r="O7258">
        <f>IF(N7258="","",'Master Barang'!B52)</f>
        <v>0</v>
      </c>
      <c r="P7258">
        <f>IF(OR(M7258="",N7258=""),"",SUMIFS('Barang Keluar'!$E:$E,'Barang Keluar'!$A:$A,M7258,'Barang Keluar'!$C:$C,N7258))</f>
        <v>0</v>
      </c>
    </row>
    <row r="7259" spans="13:16">
      <c r="M7259" s="49">
        <f>IF($A$4+72&gt;$B$4,"",$A$4+72)</f>
        <v>46095</v>
      </c>
      <c r="N7259">
        <f>IF(M7259="","",'Master Barang'!A53)</f>
        <v>0</v>
      </c>
      <c r="O7259">
        <f>IF(N7259="","",'Master Barang'!B53)</f>
        <v>0</v>
      </c>
      <c r="P7259">
        <f>IF(OR(M7259="",N7259=""),"",SUMIFS('Barang Keluar'!$E:$E,'Barang Keluar'!$A:$A,M7259,'Barang Keluar'!$C:$C,N7259))</f>
        <v>0</v>
      </c>
    </row>
    <row r="7260" spans="13:16">
      <c r="M7260" s="49">
        <f>IF($A$4+72&gt;$B$4,"",$A$4+72)</f>
        <v>46095</v>
      </c>
      <c r="N7260">
        <f>IF(M7260="","",'Master Barang'!A54)</f>
        <v>0</v>
      </c>
      <c r="O7260">
        <f>IF(N7260="","",'Master Barang'!B54)</f>
        <v>0</v>
      </c>
      <c r="P7260">
        <f>IF(OR(M7260="",N7260=""),"",SUMIFS('Barang Keluar'!$E:$E,'Barang Keluar'!$A:$A,M7260,'Barang Keluar'!$C:$C,N7260))</f>
        <v>0</v>
      </c>
    </row>
    <row r="7261" spans="13:16">
      <c r="M7261" s="49">
        <f>IF($A$4+72&gt;$B$4,"",$A$4+72)</f>
        <v>46095</v>
      </c>
      <c r="N7261">
        <f>IF(M7261="","",'Master Barang'!A55)</f>
        <v>0</v>
      </c>
      <c r="O7261">
        <f>IF(N7261="","",'Master Barang'!B55)</f>
        <v>0</v>
      </c>
      <c r="P7261">
        <f>IF(OR(M7261="",N7261=""),"",SUMIFS('Barang Keluar'!$E:$E,'Barang Keluar'!$A:$A,M7261,'Barang Keluar'!$C:$C,N7261))</f>
        <v>0</v>
      </c>
    </row>
    <row r="7262" spans="13:16">
      <c r="M7262" s="49">
        <f>IF($A$4+72&gt;$B$4,"",$A$4+72)</f>
        <v>46095</v>
      </c>
      <c r="N7262">
        <f>IF(M7262="","",'Master Barang'!A56)</f>
        <v>0</v>
      </c>
      <c r="O7262">
        <f>IF(N7262="","",'Master Barang'!B56)</f>
        <v>0</v>
      </c>
      <c r="P7262">
        <f>IF(OR(M7262="",N7262=""),"",SUMIFS('Barang Keluar'!$E:$E,'Barang Keluar'!$A:$A,M7262,'Barang Keluar'!$C:$C,N7262))</f>
        <v>0</v>
      </c>
    </row>
    <row r="7263" spans="13:16">
      <c r="M7263" s="49">
        <f>IF($A$4+72&gt;$B$4,"",$A$4+72)</f>
        <v>46095</v>
      </c>
      <c r="N7263">
        <f>IF(M7263="","",'Master Barang'!A57)</f>
        <v>0</v>
      </c>
      <c r="O7263">
        <f>IF(N7263="","",'Master Barang'!B57)</f>
        <v>0</v>
      </c>
      <c r="P7263">
        <f>IF(OR(M7263="",N7263=""),"",SUMIFS('Barang Keluar'!$E:$E,'Barang Keluar'!$A:$A,M7263,'Barang Keluar'!$C:$C,N7263))</f>
        <v>0</v>
      </c>
    </row>
    <row r="7264" spans="13:16">
      <c r="M7264" s="49">
        <f>IF($A$4+72&gt;$B$4,"",$A$4+72)</f>
        <v>46095</v>
      </c>
      <c r="N7264">
        <f>IF(M7264="","",'Master Barang'!A58)</f>
        <v>0</v>
      </c>
      <c r="O7264">
        <f>IF(N7264="","",'Master Barang'!B58)</f>
        <v>0</v>
      </c>
      <c r="P7264">
        <f>IF(OR(M7264="",N7264=""),"",SUMIFS('Barang Keluar'!$E:$E,'Barang Keluar'!$A:$A,M7264,'Barang Keluar'!$C:$C,N7264))</f>
        <v>0</v>
      </c>
    </row>
    <row r="7265" spans="13:16">
      <c r="M7265" s="49">
        <f>IF($A$4+72&gt;$B$4,"",$A$4+72)</f>
        <v>46095</v>
      </c>
      <c r="N7265">
        <f>IF(M7265="","",'Master Barang'!A59)</f>
        <v>0</v>
      </c>
      <c r="O7265">
        <f>IF(N7265="","",'Master Barang'!B59)</f>
        <v>0</v>
      </c>
      <c r="P7265">
        <f>IF(OR(M7265="",N7265=""),"",SUMIFS('Barang Keluar'!$E:$E,'Barang Keluar'!$A:$A,M7265,'Barang Keluar'!$C:$C,N7265))</f>
        <v>0</v>
      </c>
    </row>
    <row r="7266" spans="13:16">
      <c r="M7266" s="49">
        <f>IF($A$4+72&gt;$B$4,"",$A$4+72)</f>
        <v>46095</v>
      </c>
      <c r="N7266">
        <f>IF(M7266="","",'Master Barang'!A60)</f>
        <v>0</v>
      </c>
      <c r="O7266">
        <f>IF(N7266="","",'Master Barang'!B60)</f>
        <v>0</v>
      </c>
      <c r="P7266">
        <f>IF(OR(M7266="",N7266=""),"",SUMIFS('Barang Keluar'!$E:$E,'Barang Keluar'!$A:$A,M7266,'Barang Keluar'!$C:$C,N7266))</f>
        <v>0</v>
      </c>
    </row>
    <row r="7267" spans="13:16">
      <c r="M7267" s="49">
        <f>IF($A$4+72&gt;$B$4,"",$A$4+72)</f>
        <v>46095</v>
      </c>
      <c r="N7267">
        <f>IF(M7267="","",'Master Barang'!A61)</f>
        <v>0</v>
      </c>
      <c r="O7267">
        <f>IF(N7267="","",'Master Barang'!B61)</f>
        <v>0</v>
      </c>
      <c r="P7267">
        <f>IF(OR(M7267="",N7267=""),"",SUMIFS('Barang Keluar'!$E:$E,'Barang Keluar'!$A:$A,M7267,'Barang Keluar'!$C:$C,N7267))</f>
        <v>0</v>
      </c>
    </row>
    <row r="7268" spans="13:16">
      <c r="M7268" s="49">
        <f>IF($A$4+72&gt;$B$4,"",$A$4+72)</f>
        <v>46095</v>
      </c>
      <c r="N7268">
        <f>IF(M7268="","",'Master Barang'!A62)</f>
        <v>0</v>
      </c>
      <c r="O7268">
        <f>IF(N7268="","",'Master Barang'!B62)</f>
        <v>0</v>
      </c>
      <c r="P7268">
        <f>IF(OR(M7268="",N7268=""),"",SUMIFS('Barang Keluar'!$E:$E,'Barang Keluar'!$A:$A,M7268,'Barang Keluar'!$C:$C,N7268))</f>
        <v>0</v>
      </c>
    </row>
    <row r="7269" spans="13:16">
      <c r="M7269" s="49">
        <f>IF($A$4+72&gt;$B$4,"",$A$4+72)</f>
        <v>46095</v>
      </c>
      <c r="N7269">
        <f>IF(M7269="","",'Master Barang'!A63)</f>
        <v>0</v>
      </c>
      <c r="O7269">
        <f>IF(N7269="","",'Master Barang'!B63)</f>
        <v>0</v>
      </c>
      <c r="P7269">
        <f>IF(OR(M7269="",N7269=""),"",SUMIFS('Barang Keluar'!$E:$E,'Barang Keluar'!$A:$A,M7269,'Barang Keluar'!$C:$C,N7269))</f>
        <v>0</v>
      </c>
    </row>
    <row r="7270" spans="13:16">
      <c r="M7270" s="49">
        <f>IF($A$4+72&gt;$B$4,"",$A$4+72)</f>
        <v>46095</v>
      </c>
      <c r="N7270">
        <f>IF(M7270="","",'Master Barang'!A64)</f>
        <v>0</v>
      </c>
      <c r="O7270">
        <f>IF(N7270="","",'Master Barang'!B64)</f>
        <v>0</v>
      </c>
      <c r="P7270">
        <f>IF(OR(M7270="",N7270=""),"",SUMIFS('Barang Keluar'!$E:$E,'Barang Keluar'!$A:$A,M7270,'Barang Keluar'!$C:$C,N7270))</f>
        <v>0</v>
      </c>
    </row>
    <row r="7271" spans="13:16">
      <c r="M7271" s="49">
        <f>IF($A$4+72&gt;$B$4,"",$A$4+72)</f>
        <v>46095</v>
      </c>
      <c r="N7271">
        <f>IF(M7271="","",'Master Barang'!A65)</f>
        <v>0</v>
      </c>
      <c r="O7271">
        <f>IF(N7271="","",'Master Barang'!B65)</f>
        <v>0</v>
      </c>
      <c r="P7271">
        <f>IF(OR(M7271="",N7271=""),"",SUMIFS('Barang Keluar'!$E:$E,'Barang Keluar'!$A:$A,M7271,'Barang Keluar'!$C:$C,N7271))</f>
        <v>0</v>
      </c>
    </row>
    <row r="7272" spans="13:16">
      <c r="M7272" s="49">
        <f>IF($A$4+72&gt;$B$4,"",$A$4+72)</f>
        <v>46095</v>
      </c>
      <c r="N7272">
        <f>IF(M7272="","",'Master Barang'!A66)</f>
        <v>0</v>
      </c>
      <c r="O7272">
        <f>IF(N7272="","",'Master Barang'!B66)</f>
        <v>0</v>
      </c>
      <c r="P7272">
        <f>IF(OR(M7272="",N7272=""),"",SUMIFS('Barang Keluar'!$E:$E,'Barang Keluar'!$A:$A,M7272,'Barang Keluar'!$C:$C,N7272))</f>
        <v>0</v>
      </c>
    </row>
    <row r="7273" spans="13:16">
      <c r="M7273" s="49">
        <f>IF($A$4+72&gt;$B$4,"",$A$4+72)</f>
        <v>46095</v>
      </c>
      <c r="N7273">
        <f>IF(M7273="","",'Master Barang'!A67)</f>
        <v>0</v>
      </c>
      <c r="O7273">
        <f>IF(N7273="","",'Master Barang'!B67)</f>
        <v>0</v>
      </c>
      <c r="P7273">
        <f>IF(OR(M7273="",N7273=""),"",SUMIFS('Barang Keluar'!$E:$E,'Barang Keluar'!$A:$A,M7273,'Barang Keluar'!$C:$C,N7273))</f>
        <v>0</v>
      </c>
    </row>
    <row r="7274" spans="13:16">
      <c r="M7274" s="49">
        <f>IF($A$4+72&gt;$B$4,"",$A$4+72)</f>
        <v>46095</v>
      </c>
      <c r="N7274">
        <f>IF(M7274="","",'Master Barang'!A68)</f>
        <v>0</v>
      </c>
      <c r="O7274">
        <f>IF(N7274="","",'Master Barang'!B68)</f>
        <v>0</v>
      </c>
      <c r="P7274">
        <f>IF(OR(M7274="",N7274=""),"",SUMIFS('Barang Keluar'!$E:$E,'Barang Keluar'!$A:$A,M7274,'Barang Keluar'!$C:$C,N7274))</f>
        <v>0</v>
      </c>
    </row>
    <row r="7275" spans="13:16">
      <c r="M7275" s="49">
        <f>IF($A$4+72&gt;$B$4,"",$A$4+72)</f>
        <v>46095</v>
      </c>
      <c r="N7275">
        <f>IF(M7275="","",'Master Barang'!A69)</f>
        <v>0</v>
      </c>
      <c r="O7275">
        <f>IF(N7275="","",'Master Barang'!B69)</f>
        <v>0</v>
      </c>
      <c r="P7275">
        <f>IF(OR(M7275="",N7275=""),"",SUMIFS('Barang Keluar'!$E:$E,'Barang Keluar'!$A:$A,M7275,'Barang Keluar'!$C:$C,N7275))</f>
        <v>0</v>
      </c>
    </row>
    <row r="7276" spans="13:16">
      <c r="M7276" s="49">
        <f>IF($A$4+72&gt;$B$4,"",$A$4+72)</f>
        <v>46095</v>
      </c>
      <c r="N7276">
        <f>IF(M7276="","",'Master Barang'!A70)</f>
        <v>0</v>
      </c>
      <c r="O7276">
        <f>IF(N7276="","",'Master Barang'!B70)</f>
        <v>0</v>
      </c>
      <c r="P7276">
        <f>IF(OR(M7276="",N7276=""),"",SUMIFS('Barang Keluar'!$E:$E,'Barang Keluar'!$A:$A,M7276,'Barang Keluar'!$C:$C,N7276))</f>
        <v>0</v>
      </c>
    </row>
    <row r="7277" spans="13:16">
      <c r="M7277" s="49">
        <f>IF($A$4+72&gt;$B$4,"",$A$4+72)</f>
        <v>46095</v>
      </c>
      <c r="N7277">
        <f>IF(M7277="","",'Master Barang'!A71)</f>
        <v>0</v>
      </c>
      <c r="O7277">
        <f>IF(N7277="","",'Master Barang'!B71)</f>
        <v>0</v>
      </c>
      <c r="P7277">
        <f>IF(OR(M7277="",N7277=""),"",SUMIFS('Barang Keluar'!$E:$E,'Barang Keluar'!$A:$A,M7277,'Barang Keluar'!$C:$C,N7277))</f>
        <v>0</v>
      </c>
    </row>
    <row r="7278" spans="13:16">
      <c r="M7278" s="49">
        <f>IF($A$4+72&gt;$B$4,"",$A$4+72)</f>
        <v>46095</v>
      </c>
      <c r="N7278">
        <f>IF(M7278="","",'Master Barang'!A72)</f>
        <v>0</v>
      </c>
      <c r="O7278">
        <f>IF(N7278="","",'Master Barang'!B72)</f>
        <v>0</v>
      </c>
      <c r="P7278">
        <f>IF(OR(M7278="",N7278=""),"",SUMIFS('Barang Keluar'!$E:$E,'Barang Keluar'!$A:$A,M7278,'Barang Keluar'!$C:$C,N7278))</f>
        <v>0</v>
      </c>
    </row>
    <row r="7279" spans="13:16">
      <c r="M7279" s="49">
        <f>IF($A$4+72&gt;$B$4,"",$A$4+72)</f>
        <v>46095</v>
      </c>
      <c r="N7279">
        <f>IF(M7279="","",'Master Barang'!A73)</f>
        <v>0</v>
      </c>
      <c r="O7279">
        <f>IF(N7279="","",'Master Barang'!B73)</f>
        <v>0</v>
      </c>
      <c r="P7279">
        <f>IF(OR(M7279="",N7279=""),"",SUMIFS('Barang Keluar'!$E:$E,'Barang Keluar'!$A:$A,M7279,'Barang Keluar'!$C:$C,N7279))</f>
        <v>0</v>
      </c>
    </row>
    <row r="7280" spans="13:16">
      <c r="M7280" s="49">
        <f>IF($A$4+72&gt;$B$4,"",$A$4+72)</f>
        <v>46095</v>
      </c>
      <c r="N7280">
        <f>IF(M7280="","",'Master Barang'!A74)</f>
        <v>0</v>
      </c>
      <c r="O7280">
        <f>IF(N7280="","",'Master Barang'!B74)</f>
        <v>0</v>
      </c>
      <c r="P7280">
        <f>IF(OR(M7280="",N7280=""),"",SUMIFS('Barang Keluar'!$E:$E,'Barang Keluar'!$A:$A,M7280,'Barang Keluar'!$C:$C,N7280))</f>
        <v>0</v>
      </c>
    </row>
    <row r="7281" spans="13:16">
      <c r="M7281" s="49">
        <f>IF($A$4+72&gt;$B$4,"",$A$4+72)</f>
        <v>46095</v>
      </c>
      <c r="N7281">
        <f>IF(M7281="","",'Master Barang'!A75)</f>
        <v>0</v>
      </c>
      <c r="O7281">
        <f>IF(N7281="","",'Master Barang'!B75)</f>
        <v>0</v>
      </c>
      <c r="P7281">
        <f>IF(OR(M7281="",N7281=""),"",SUMIFS('Barang Keluar'!$E:$E,'Barang Keluar'!$A:$A,M7281,'Barang Keluar'!$C:$C,N7281))</f>
        <v>0</v>
      </c>
    </row>
    <row r="7282" spans="13:16">
      <c r="M7282" s="49">
        <f>IF($A$4+72&gt;$B$4,"",$A$4+72)</f>
        <v>46095</v>
      </c>
      <c r="N7282">
        <f>IF(M7282="","",'Master Barang'!A76)</f>
        <v>0</v>
      </c>
      <c r="O7282">
        <f>IF(N7282="","",'Master Barang'!B76)</f>
        <v>0</v>
      </c>
      <c r="P7282">
        <f>IF(OR(M7282="",N7282=""),"",SUMIFS('Barang Keluar'!$E:$E,'Barang Keluar'!$A:$A,M7282,'Barang Keluar'!$C:$C,N7282))</f>
        <v>0</v>
      </c>
    </row>
    <row r="7283" spans="13:16">
      <c r="M7283" s="49">
        <f>IF($A$4+72&gt;$B$4,"",$A$4+72)</f>
        <v>46095</v>
      </c>
      <c r="N7283">
        <f>IF(M7283="","",'Master Barang'!A77)</f>
        <v>0</v>
      </c>
      <c r="O7283">
        <f>IF(N7283="","",'Master Barang'!B77)</f>
        <v>0</v>
      </c>
      <c r="P7283">
        <f>IF(OR(M7283="",N7283=""),"",SUMIFS('Barang Keluar'!$E:$E,'Barang Keluar'!$A:$A,M7283,'Barang Keluar'!$C:$C,N7283))</f>
        <v>0</v>
      </c>
    </row>
    <row r="7284" spans="13:16">
      <c r="M7284" s="49">
        <f>IF($A$4+72&gt;$B$4,"",$A$4+72)</f>
        <v>46095</v>
      </c>
      <c r="N7284">
        <f>IF(M7284="","",'Master Barang'!A78)</f>
        <v>0</v>
      </c>
      <c r="O7284">
        <f>IF(N7284="","",'Master Barang'!B78)</f>
        <v>0</v>
      </c>
      <c r="P7284">
        <f>IF(OR(M7284="",N7284=""),"",SUMIFS('Barang Keluar'!$E:$E,'Barang Keluar'!$A:$A,M7284,'Barang Keluar'!$C:$C,N7284))</f>
        <v>0</v>
      </c>
    </row>
    <row r="7285" spans="13:16">
      <c r="M7285" s="49">
        <f>IF($A$4+72&gt;$B$4,"",$A$4+72)</f>
        <v>46095</v>
      </c>
      <c r="N7285">
        <f>IF(M7285="","",'Master Barang'!A79)</f>
        <v>0</v>
      </c>
      <c r="O7285">
        <f>IF(N7285="","",'Master Barang'!B79)</f>
        <v>0</v>
      </c>
      <c r="P7285">
        <f>IF(OR(M7285="",N7285=""),"",SUMIFS('Barang Keluar'!$E:$E,'Barang Keluar'!$A:$A,M7285,'Barang Keluar'!$C:$C,N7285))</f>
        <v>0</v>
      </c>
    </row>
    <row r="7286" spans="13:16">
      <c r="M7286" s="49">
        <f>IF($A$4+72&gt;$B$4,"",$A$4+72)</f>
        <v>46095</v>
      </c>
      <c r="N7286">
        <f>IF(M7286="","",'Master Barang'!A80)</f>
        <v>0</v>
      </c>
      <c r="O7286">
        <f>IF(N7286="","",'Master Barang'!B80)</f>
        <v>0</v>
      </c>
      <c r="P7286">
        <f>IF(OR(M7286="",N7286=""),"",SUMIFS('Barang Keluar'!$E:$E,'Barang Keluar'!$A:$A,M7286,'Barang Keluar'!$C:$C,N7286))</f>
        <v>0</v>
      </c>
    </row>
    <row r="7287" spans="13:16">
      <c r="M7287" s="49">
        <f>IF($A$4+72&gt;$B$4,"",$A$4+72)</f>
        <v>46095</v>
      </c>
      <c r="N7287">
        <f>IF(M7287="","",'Master Barang'!A81)</f>
        <v>0</v>
      </c>
      <c r="O7287">
        <f>IF(N7287="","",'Master Barang'!B81)</f>
        <v>0</v>
      </c>
      <c r="P7287">
        <f>IF(OR(M7287="",N7287=""),"",SUMIFS('Barang Keluar'!$E:$E,'Barang Keluar'!$A:$A,M7287,'Barang Keluar'!$C:$C,N7287))</f>
        <v>0</v>
      </c>
    </row>
    <row r="7288" spans="13:16">
      <c r="M7288" s="49">
        <f>IF($A$4+72&gt;$B$4,"",$A$4+72)</f>
        <v>46095</v>
      </c>
      <c r="N7288">
        <f>IF(M7288="","",'Master Barang'!A82)</f>
        <v>0</v>
      </c>
      <c r="O7288">
        <f>IF(N7288="","",'Master Barang'!B82)</f>
        <v>0</v>
      </c>
      <c r="P7288">
        <f>IF(OR(M7288="",N7288=""),"",SUMIFS('Barang Keluar'!$E:$E,'Barang Keluar'!$A:$A,M7288,'Barang Keluar'!$C:$C,N7288))</f>
        <v>0</v>
      </c>
    </row>
    <row r="7289" spans="13:16">
      <c r="M7289" s="49">
        <f>IF($A$4+72&gt;$B$4,"",$A$4+72)</f>
        <v>46095</v>
      </c>
      <c r="N7289">
        <f>IF(M7289="","",'Master Barang'!A83)</f>
        <v>0</v>
      </c>
      <c r="O7289">
        <f>IF(N7289="","",'Master Barang'!B83)</f>
        <v>0</v>
      </c>
      <c r="P7289">
        <f>IF(OR(M7289="",N7289=""),"",SUMIFS('Barang Keluar'!$E:$E,'Barang Keluar'!$A:$A,M7289,'Barang Keluar'!$C:$C,N7289))</f>
        <v>0</v>
      </c>
    </row>
    <row r="7290" spans="13:16">
      <c r="M7290" s="49">
        <f>IF($A$4+72&gt;$B$4,"",$A$4+72)</f>
        <v>46095</v>
      </c>
      <c r="N7290">
        <f>IF(M7290="","",'Master Barang'!A84)</f>
        <v>0</v>
      </c>
      <c r="O7290">
        <f>IF(N7290="","",'Master Barang'!B84)</f>
        <v>0</v>
      </c>
      <c r="P7290">
        <f>IF(OR(M7290="",N7290=""),"",SUMIFS('Barang Keluar'!$E:$E,'Barang Keluar'!$A:$A,M7290,'Barang Keluar'!$C:$C,N7290))</f>
        <v>0</v>
      </c>
    </row>
    <row r="7291" spans="13:16">
      <c r="M7291" s="49">
        <f>IF($A$4+72&gt;$B$4,"",$A$4+72)</f>
        <v>46095</v>
      </c>
      <c r="N7291">
        <f>IF(M7291="","",'Master Barang'!A85)</f>
        <v>0</v>
      </c>
      <c r="O7291">
        <f>IF(N7291="","",'Master Barang'!B85)</f>
        <v>0</v>
      </c>
      <c r="P7291">
        <f>IF(OR(M7291="",N7291=""),"",SUMIFS('Barang Keluar'!$E:$E,'Barang Keluar'!$A:$A,M7291,'Barang Keluar'!$C:$C,N7291))</f>
        <v>0</v>
      </c>
    </row>
    <row r="7292" spans="13:16">
      <c r="M7292" s="49">
        <f>IF($A$4+72&gt;$B$4,"",$A$4+72)</f>
        <v>46095</v>
      </c>
      <c r="N7292">
        <f>IF(M7292="","",'Master Barang'!A86)</f>
        <v>0</v>
      </c>
      <c r="O7292">
        <f>IF(N7292="","",'Master Barang'!B86)</f>
        <v>0</v>
      </c>
      <c r="P7292">
        <f>IF(OR(M7292="",N7292=""),"",SUMIFS('Barang Keluar'!$E:$E,'Barang Keluar'!$A:$A,M7292,'Barang Keluar'!$C:$C,N7292))</f>
        <v>0</v>
      </c>
    </row>
    <row r="7293" spans="13:16">
      <c r="M7293" s="49">
        <f>IF($A$4+72&gt;$B$4,"",$A$4+72)</f>
        <v>46095</v>
      </c>
      <c r="N7293">
        <f>IF(M7293="","",'Master Barang'!A87)</f>
        <v>0</v>
      </c>
      <c r="O7293">
        <f>IF(N7293="","",'Master Barang'!B87)</f>
        <v>0</v>
      </c>
      <c r="P7293">
        <f>IF(OR(M7293="",N7293=""),"",SUMIFS('Barang Keluar'!$E:$E,'Barang Keluar'!$A:$A,M7293,'Barang Keluar'!$C:$C,N7293))</f>
        <v>0</v>
      </c>
    </row>
    <row r="7294" spans="13:16">
      <c r="M7294" s="49">
        <f>IF($A$4+72&gt;$B$4,"",$A$4+72)</f>
        <v>46095</v>
      </c>
      <c r="N7294">
        <f>IF(M7294="","",'Master Barang'!A88)</f>
        <v>0</v>
      </c>
      <c r="O7294">
        <f>IF(N7294="","",'Master Barang'!B88)</f>
        <v>0</v>
      </c>
      <c r="P7294">
        <f>IF(OR(M7294="",N7294=""),"",SUMIFS('Barang Keluar'!$E:$E,'Barang Keluar'!$A:$A,M7294,'Barang Keluar'!$C:$C,N7294))</f>
        <v>0</v>
      </c>
    </row>
    <row r="7295" spans="13:16">
      <c r="M7295" s="49">
        <f>IF($A$4+72&gt;$B$4,"",$A$4+72)</f>
        <v>46095</v>
      </c>
      <c r="N7295">
        <f>IF(M7295="","",'Master Barang'!A89)</f>
        <v>0</v>
      </c>
      <c r="O7295">
        <f>IF(N7295="","",'Master Barang'!B89)</f>
        <v>0</v>
      </c>
      <c r="P7295">
        <f>IF(OR(M7295="",N7295=""),"",SUMIFS('Barang Keluar'!$E:$E,'Barang Keluar'!$A:$A,M7295,'Barang Keluar'!$C:$C,N7295))</f>
        <v>0</v>
      </c>
    </row>
    <row r="7296" spans="13:16">
      <c r="M7296" s="49">
        <f>IF($A$4+72&gt;$B$4,"",$A$4+72)</f>
        <v>46095</v>
      </c>
      <c r="N7296">
        <f>IF(M7296="","",'Master Barang'!A90)</f>
        <v>0</v>
      </c>
      <c r="O7296">
        <f>IF(N7296="","",'Master Barang'!B90)</f>
        <v>0</v>
      </c>
      <c r="P7296">
        <f>IF(OR(M7296="",N7296=""),"",SUMIFS('Barang Keluar'!$E:$E,'Barang Keluar'!$A:$A,M7296,'Barang Keluar'!$C:$C,N7296))</f>
        <v>0</v>
      </c>
    </row>
    <row r="7297" spans="13:16">
      <c r="M7297" s="49">
        <f>IF($A$4+72&gt;$B$4,"",$A$4+72)</f>
        <v>46095</v>
      </c>
      <c r="N7297">
        <f>IF(M7297="","",'Master Barang'!A91)</f>
        <v>0</v>
      </c>
      <c r="O7297">
        <f>IF(N7297="","",'Master Barang'!B91)</f>
        <v>0</v>
      </c>
      <c r="P7297">
        <f>IF(OR(M7297="",N7297=""),"",SUMIFS('Barang Keluar'!$E:$E,'Barang Keluar'!$A:$A,M7297,'Barang Keluar'!$C:$C,N7297))</f>
        <v>0</v>
      </c>
    </row>
    <row r="7298" spans="13:16">
      <c r="M7298" s="49">
        <f>IF($A$4+72&gt;$B$4,"",$A$4+72)</f>
        <v>46095</v>
      </c>
      <c r="N7298">
        <f>IF(M7298="","",'Master Barang'!A92)</f>
        <v>0</v>
      </c>
      <c r="O7298">
        <f>IF(N7298="","",'Master Barang'!B92)</f>
        <v>0</v>
      </c>
      <c r="P7298">
        <f>IF(OR(M7298="",N7298=""),"",SUMIFS('Barang Keluar'!$E:$E,'Barang Keluar'!$A:$A,M7298,'Barang Keluar'!$C:$C,N7298))</f>
        <v>0</v>
      </c>
    </row>
    <row r="7299" spans="13:16">
      <c r="M7299" s="49">
        <f>IF($A$4+72&gt;$B$4,"",$A$4+72)</f>
        <v>46095</v>
      </c>
      <c r="N7299">
        <f>IF(M7299="","",'Master Barang'!A93)</f>
        <v>0</v>
      </c>
      <c r="O7299">
        <f>IF(N7299="","",'Master Barang'!B93)</f>
        <v>0</v>
      </c>
      <c r="P7299">
        <f>IF(OR(M7299="",N7299=""),"",SUMIFS('Barang Keluar'!$E:$E,'Barang Keluar'!$A:$A,M7299,'Barang Keluar'!$C:$C,N7299))</f>
        <v>0</v>
      </c>
    </row>
    <row r="7300" spans="13:16">
      <c r="M7300" s="49">
        <f>IF($A$4+72&gt;$B$4,"",$A$4+72)</f>
        <v>46095</v>
      </c>
      <c r="N7300">
        <f>IF(M7300="","",'Master Barang'!A94)</f>
        <v>0</v>
      </c>
      <c r="O7300">
        <f>IF(N7300="","",'Master Barang'!B94)</f>
        <v>0</v>
      </c>
      <c r="P7300">
        <f>IF(OR(M7300="",N7300=""),"",SUMIFS('Barang Keluar'!$E:$E,'Barang Keluar'!$A:$A,M7300,'Barang Keluar'!$C:$C,N7300))</f>
        <v>0</v>
      </c>
    </row>
    <row r="7301" spans="13:16">
      <c r="M7301" s="49">
        <f>IF($A$4+72&gt;$B$4,"",$A$4+72)</f>
        <v>46095</v>
      </c>
      <c r="N7301">
        <f>IF(M7301="","",'Master Barang'!A95)</f>
        <v>0</v>
      </c>
      <c r="O7301">
        <f>IF(N7301="","",'Master Barang'!B95)</f>
        <v>0</v>
      </c>
      <c r="P7301">
        <f>IF(OR(M7301="",N7301=""),"",SUMIFS('Barang Keluar'!$E:$E,'Barang Keluar'!$A:$A,M7301,'Barang Keluar'!$C:$C,N7301))</f>
        <v>0</v>
      </c>
    </row>
    <row r="7302" spans="13:16">
      <c r="M7302" s="49">
        <f>IF($A$4+72&gt;$B$4,"",$A$4+72)</f>
        <v>46095</v>
      </c>
      <c r="N7302">
        <f>IF(M7302="","",'Master Barang'!A96)</f>
        <v>0</v>
      </c>
      <c r="O7302">
        <f>IF(N7302="","",'Master Barang'!B96)</f>
        <v>0</v>
      </c>
      <c r="P7302">
        <f>IF(OR(M7302="",N7302=""),"",SUMIFS('Barang Keluar'!$E:$E,'Barang Keluar'!$A:$A,M7302,'Barang Keluar'!$C:$C,N7302))</f>
        <v>0</v>
      </c>
    </row>
    <row r="7303" spans="13:16">
      <c r="M7303" s="49">
        <f>IF($A$4+72&gt;$B$4,"",$A$4+72)</f>
        <v>46095</v>
      </c>
      <c r="N7303">
        <f>IF(M7303="","",'Master Barang'!A97)</f>
        <v>0</v>
      </c>
      <c r="O7303">
        <f>IF(N7303="","",'Master Barang'!B97)</f>
        <v>0</v>
      </c>
      <c r="P7303">
        <f>IF(OR(M7303="",N7303=""),"",SUMIFS('Barang Keluar'!$E:$E,'Barang Keluar'!$A:$A,M7303,'Barang Keluar'!$C:$C,N7303))</f>
        <v>0</v>
      </c>
    </row>
    <row r="7304" spans="13:16">
      <c r="M7304" s="49">
        <f>IF($A$4+72&gt;$B$4,"",$A$4+72)</f>
        <v>46095</v>
      </c>
      <c r="N7304">
        <f>IF(M7304="","",'Master Barang'!A98)</f>
        <v>0</v>
      </c>
      <c r="O7304">
        <f>IF(N7304="","",'Master Barang'!B98)</f>
        <v>0</v>
      </c>
      <c r="P7304">
        <f>IF(OR(M7304="",N7304=""),"",SUMIFS('Barang Keluar'!$E:$E,'Barang Keluar'!$A:$A,M7304,'Barang Keluar'!$C:$C,N7304))</f>
        <v>0</v>
      </c>
    </row>
    <row r="7305" spans="13:16">
      <c r="M7305" s="49">
        <f>IF($A$4+72&gt;$B$4,"",$A$4+72)</f>
        <v>46095</v>
      </c>
      <c r="N7305">
        <f>IF(M7305="","",'Master Barang'!A99)</f>
        <v>0</v>
      </c>
      <c r="O7305">
        <f>IF(N7305="","",'Master Barang'!B99)</f>
        <v>0</v>
      </c>
      <c r="P7305">
        <f>IF(OR(M7305="",N7305=""),"",SUMIFS('Barang Keluar'!$E:$E,'Barang Keluar'!$A:$A,M7305,'Barang Keluar'!$C:$C,N7305))</f>
        <v>0</v>
      </c>
    </row>
    <row r="7306" spans="13:16">
      <c r="M7306" s="49">
        <f>IF($A$4+72&gt;$B$4,"",$A$4+72)</f>
        <v>46095</v>
      </c>
      <c r="N7306">
        <f>IF(M7306="","",'Master Barang'!A100)</f>
        <v>0</v>
      </c>
      <c r="O7306">
        <f>IF(N7306="","",'Master Barang'!B100)</f>
        <v>0</v>
      </c>
      <c r="P7306">
        <f>IF(OR(M7306="",N7306=""),"",SUMIFS('Barang Keluar'!$E:$E,'Barang Keluar'!$A:$A,M7306,'Barang Keluar'!$C:$C,N7306))</f>
        <v>0</v>
      </c>
    </row>
    <row r="7307" spans="13:16">
      <c r="M7307" s="49">
        <f>IF($A$4+72&gt;$B$4,"",$A$4+72)</f>
        <v>46095</v>
      </c>
      <c r="N7307">
        <f>IF(M7307="","",'Master Barang'!A101)</f>
        <v>0</v>
      </c>
      <c r="O7307">
        <f>IF(N7307="","",'Master Barang'!B101)</f>
        <v>0</v>
      </c>
      <c r="P7307">
        <f>IF(OR(M7307="",N7307=""),"",SUMIFS('Barang Keluar'!$E:$E,'Barang Keluar'!$A:$A,M7307,'Barang Keluar'!$C:$C,N7307))</f>
        <v>0</v>
      </c>
    </row>
    <row r="7308" spans="13:16">
      <c r="M7308" s="49">
        <f>IF($A$4+73&gt;$B$4,"",$A$4+73)</f>
        <v>46096</v>
      </c>
      <c r="N7308" t="str">
        <f>IF(M7308="","",'Master Barang'!A2)</f>
        <v>PRL-001</v>
      </c>
      <c r="O7308" t="str">
        <f>IF(N7308="","",'Master Barang'!B2)</f>
        <v>natura desinfectant food grade 5l</v>
      </c>
      <c r="P7308">
        <f>IF(OR(M7308="",N7308=""),"",SUMIFS('Barang Keluar'!$E:$E,'Barang Keluar'!$A:$A,M7308,'Barang Keluar'!$C:$C,N7308))</f>
        <v>0</v>
      </c>
    </row>
    <row r="7309" spans="13:16">
      <c r="M7309" s="49">
        <f>IF($A$4+73&gt;$B$4,"",$A$4+73)</f>
        <v>46096</v>
      </c>
      <c r="N7309" t="str">
        <f>IF(M7309="","",'Master Barang'!A3)</f>
        <v>PRL-002</v>
      </c>
      <c r="O7309" t="str">
        <f>IF(N7309="","",'Master Barang'!B3)</f>
        <v>sunlight cairan pencuci piring 5l</v>
      </c>
      <c r="P7309">
        <f>IF(OR(M7309="",N7309=""),"",SUMIFS('Barang Keluar'!$E:$E,'Barang Keluar'!$A:$A,M7309,'Barang Keluar'!$C:$C,N7309))</f>
        <v>0</v>
      </c>
    </row>
    <row r="7310" spans="13:16">
      <c r="M7310" s="49">
        <f>IF($A$4+73&gt;$B$4,"",$A$4+73)</f>
        <v>46096</v>
      </c>
      <c r="N7310" t="str">
        <f>IF(M7310="","",'Master Barang'!A4)</f>
        <v>PRL-003</v>
      </c>
      <c r="O7310" t="str">
        <f>IF(N7310="","",'Master Barang'!B4)</f>
        <v>oixs cleaner 1l</v>
      </c>
      <c r="P7310">
        <f>IF(OR(M7310="",N7310=""),"",SUMIFS('Barang Keluar'!$E:$E,'Barang Keluar'!$A:$A,M7310,'Barang Keluar'!$C:$C,N7310))</f>
        <v>0</v>
      </c>
    </row>
    <row r="7311" spans="13:16">
      <c r="M7311" s="49">
        <f>IF($A$4+73&gt;$B$4,"",$A$4+73)</f>
        <v>46096</v>
      </c>
      <c r="N7311" t="str">
        <f>IF(M7311="","",'Master Barang'!A5)</f>
        <v>PRL-004</v>
      </c>
      <c r="O7311" t="str">
        <f>IF(N7311="","",'Master Barang'!B5)</f>
        <v>be clean tissue serbaguna</v>
      </c>
      <c r="P7311">
        <f>IF(OR(M7311="",N7311=""),"",SUMIFS('Barang Keluar'!$E:$E,'Barang Keluar'!$A:$A,M7311,'Barang Keluar'!$C:$C,N7311))</f>
        <v>0</v>
      </c>
    </row>
    <row r="7312" spans="13:16">
      <c r="M7312" s="49">
        <f>IF($A$4+73&gt;$B$4,"",$A$4+73)</f>
        <v>46096</v>
      </c>
      <c r="N7312" t="str">
        <f>IF(M7312="","",'Master Barang'!A6)</f>
        <v>PRL-005</v>
      </c>
      <c r="O7312" t="str">
        <f>IF(N7312="","",'Master Barang'!B6)</f>
        <v>spons cuci hijau</v>
      </c>
      <c r="P7312">
        <f>IF(OR(M7312="",N7312=""),"",SUMIFS('Barang Keluar'!$E:$E,'Barang Keluar'!$A:$A,M7312,'Barang Keluar'!$C:$C,N7312))</f>
        <v>0</v>
      </c>
    </row>
    <row r="7313" spans="13:16">
      <c r="M7313" s="49">
        <f>IF($A$4+73&gt;$B$4,"",$A$4+73)</f>
        <v>46096</v>
      </c>
      <c r="N7313" t="str">
        <f>IF(M7313="","",'Master Barang'!A7)</f>
        <v>PRL-006</v>
      </c>
      <c r="O7313" t="str">
        <f>IF(N7313="","",'Master Barang'!B7)</f>
        <v>sabut cuci stainless</v>
      </c>
      <c r="P7313">
        <f>IF(OR(M7313="",N7313=""),"",SUMIFS('Barang Keluar'!$E:$E,'Barang Keluar'!$A:$A,M7313,'Barang Keluar'!$C:$C,N7313))</f>
        <v>0</v>
      </c>
    </row>
    <row r="7314" spans="13:16">
      <c r="M7314" s="49">
        <f>IF($A$4+73&gt;$B$4,"",$A$4+73)</f>
        <v>46096</v>
      </c>
      <c r="N7314" t="str">
        <f>IF(M7314="","",'Master Barang'!A8)</f>
        <v>PRL-007</v>
      </c>
      <c r="O7314" t="str">
        <f>IF(N7314="","",'Master Barang'!B8)</f>
        <v>plastik kresek besar merah 50pc</v>
      </c>
      <c r="P7314">
        <f>IF(OR(M7314="",N7314=""),"",SUMIFS('Barang Keluar'!$E:$E,'Barang Keluar'!$A:$A,M7314,'Barang Keluar'!$C:$C,N7314))</f>
        <v>0</v>
      </c>
    </row>
    <row r="7315" spans="13:16">
      <c r="M7315" s="49">
        <f>IF($A$4+73&gt;$B$4,"",$A$4+73)</f>
        <v>46096</v>
      </c>
      <c r="N7315" t="str">
        <f>IF(M7315="","",'Master Barang'!A9)</f>
        <v>PRL-008</v>
      </c>
      <c r="O7315" t="str">
        <f>IF(N7315="","",'Master Barang'!B9)</f>
        <v>lap besar</v>
      </c>
      <c r="P7315">
        <f>IF(OR(M7315="",N7315=""),"",SUMIFS('Barang Keluar'!$E:$E,'Barang Keluar'!$A:$A,M7315,'Barang Keluar'!$C:$C,N7315))</f>
        <v>0</v>
      </c>
    </row>
    <row r="7316" spans="13:16">
      <c r="M7316" s="49">
        <f>IF($A$4+73&gt;$B$4,"",$A$4+73)</f>
        <v>46096</v>
      </c>
      <c r="N7316" t="str">
        <f>IF(M7316="","",'Master Barang'!A10)</f>
        <v>PRL-009</v>
      </c>
      <c r="O7316" t="str">
        <f>IF(N7316="","",'Master Barang'!B10)</f>
        <v>lap microfiber</v>
      </c>
      <c r="P7316">
        <f>IF(OR(M7316="",N7316=""),"",SUMIFS('Barang Keluar'!$E:$E,'Barang Keluar'!$A:$A,M7316,'Barang Keluar'!$C:$C,N7316))</f>
        <v>0</v>
      </c>
    </row>
    <row r="7317" spans="13:16">
      <c r="M7317" s="49">
        <f>IF($A$4+73&gt;$B$4,"",$A$4+73)</f>
        <v>46096</v>
      </c>
      <c r="N7317" t="str">
        <f>IF(M7317="","",'Master Barang'!A11)</f>
        <v>PRL-010</v>
      </c>
      <c r="O7317" t="str">
        <f>IF(N7317="","",'Master Barang'!B11)</f>
        <v>lap kecil</v>
      </c>
      <c r="P7317">
        <f>IF(OR(M7317="",N7317=""),"",SUMIFS('Barang Keluar'!$E:$E,'Barang Keluar'!$A:$A,M7317,'Barang Keluar'!$C:$C,N7317))</f>
        <v>0</v>
      </c>
    </row>
    <row r="7318" spans="13:16">
      <c r="M7318" s="49">
        <f>IF($A$4+73&gt;$B$4,"",$A$4+73)</f>
        <v>46096</v>
      </c>
      <c r="N7318" t="str">
        <f>IF(M7318="","",'Master Barang'!A12)</f>
        <v>PRL-011</v>
      </c>
      <c r="O7318" t="str">
        <f>IF(N7318="","",'Master Barang'!B12)</f>
        <v>kanebo kecil</v>
      </c>
      <c r="P7318">
        <f>IF(OR(M7318="",N7318=""),"",SUMIFS('Barang Keluar'!$E:$E,'Barang Keluar'!$A:$A,M7318,'Barang Keluar'!$C:$C,N7318))</f>
        <v>0</v>
      </c>
    </row>
    <row r="7319" spans="13:16">
      <c r="M7319" s="49">
        <f>IF($A$4+73&gt;$B$4,"",$A$4+73)</f>
        <v>46096</v>
      </c>
      <c r="N7319" t="str">
        <f>IF(M7319="","",'Master Barang'!A13)</f>
        <v>PRL-012</v>
      </c>
      <c r="O7319" t="str">
        <f>IF(N7319="","",'Master Barang'!B13)</f>
        <v>plastik 1/4kg joyoboyo 100 lembar</v>
      </c>
      <c r="P7319">
        <f>IF(OR(M7319="",N7319=""),"",SUMIFS('Barang Keluar'!$E:$E,'Barang Keluar'!$A:$A,M7319,'Barang Keluar'!$C:$C,N7319))</f>
        <v>0</v>
      </c>
    </row>
    <row r="7320" spans="13:16">
      <c r="M7320" s="49">
        <f>IF($A$4+73&gt;$B$4,"",$A$4+73)</f>
        <v>46096</v>
      </c>
      <c r="N7320" t="str">
        <f>IF(M7320="","",'Master Barang'!A14)</f>
        <v>PRL-013</v>
      </c>
      <c r="O7320" t="str">
        <f>IF(N7320="","",'Master Barang'!B14)</f>
        <v>sarung tangan plastik kaka 100 pcs</v>
      </c>
      <c r="P7320">
        <f>IF(OR(M7320="",N7320=""),"",SUMIFS('Barang Keluar'!$E:$E,'Barang Keluar'!$A:$A,M7320,'Barang Keluar'!$C:$C,N7320))</f>
        <v>0</v>
      </c>
    </row>
    <row r="7321" spans="13:16">
      <c r="M7321" s="49">
        <f>IF($A$4+73&gt;$B$4,"",$A$4+73)</f>
        <v>46096</v>
      </c>
      <c r="N7321" t="str">
        <f>IF(M7321="","",'Master Barang'!A15)</f>
        <v>PRL-014</v>
      </c>
      <c r="O7321" t="str">
        <f>IF(N7321="","",'Master Barang'!B15)</f>
        <v>optima trashbag 80x100</v>
      </c>
      <c r="P7321">
        <f>IF(OR(M7321="",N7321=""),"",SUMIFS('Barang Keluar'!$E:$E,'Barang Keluar'!$A:$A,M7321,'Barang Keluar'!$C:$C,N7321))</f>
        <v>0</v>
      </c>
    </row>
    <row r="7322" spans="13:16">
      <c r="M7322" s="49">
        <f>IF($A$4+73&gt;$B$4,"",$A$4+73)</f>
        <v>46096</v>
      </c>
      <c r="N7322" t="str">
        <f>IF(M7322="","",'Master Barang'!A16)</f>
        <v>PRL-015</v>
      </c>
      <c r="O7322" t="str">
        <f>IF(N7322="","",'Master Barang'!B16)</f>
        <v>optima trashbag 60x100</v>
      </c>
      <c r="P7322">
        <f>IF(OR(M7322="",N7322=""),"",SUMIFS('Barang Keluar'!$E:$E,'Barang Keluar'!$A:$A,M7322,'Barang Keluar'!$C:$C,N7322))</f>
        <v>0</v>
      </c>
    </row>
    <row r="7323" spans="13:16">
      <c r="M7323" s="49">
        <f>IF($A$4+73&gt;$B$4,"",$A$4+73)</f>
        <v>46096</v>
      </c>
      <c r="N7323" t="str">
        <f>IF(M7323="","",'Master Barang'!A17)</f>
        <v>PRL-016</v>
      </c>
      <c r="O7323" t="str">
        <f>IF(N7323="","",'Master Barang'!B17)</f>
        <v>rajawali trashbag 30x40</v>
      </c>
      <c r="P7323">
        <f>IF(OR(M7323="",N7323=""),"",SUMIFS('Barang Keluar'!$E:$E,'Barang Keluar'!$A:$A,M7323,'Barang Keluar'!$C:$C,N7323))</f>
        <v>0</v>
      </c>
    </row>
    <row r="7324" spans="13:16">
      <c r="M7324" s="49">
        <f>IF($A$4+73&gt;$B$4,"",$A$4+73)</f>
        <v>46096</v>
      </c>
      <c r="N7324" t="str">
        <f>IF(M7324="","",'Master Barang'!A18)</f>
        <v>PRL-017</v>
      </c>
      <c r="O7324" t="str">
        <f>IF(N7324="","",'Master Barang'!B18)</f>
        <v>onemed masker biru 3 play 50 pcs</v>
      </c>
      <c r="P7324">
        <f>IF(OR(M7324="",N7324=""),"",SUMIFS('Barang Keluar'!$E:$E,'Barang Keluar'!$A:$A,M7324,'Barang Keluar'!$C:$C,N7324))</f>
        <v>0</v>
      </c>
    </row>
    <row r="7325" spans="13:16">
      <c r="M7325" s="49">
        <f>IF($A$4+73&gt;$B$4,"",$A$4+73)</f>
        <v>46096</v>
      </c>
      <c r="N7325" t="str">
        <f>IF(M7325="","",'Master Barang'!A19)</f>
        <v>PRL-018</v>
      </c>
      <c r="O7325" t="str">
        <f>IF(N7325="","",'Master Barang'!B19)</f>
        <v>onemed masker biru 3 play hijab 50 pcs</v>
      </c>
      <c r="P7325">
        <f>IF(OR(M7325="",N7325=""),"",SUMIFS('Barang Keluar'!$E:$E,'Barang Keluar'!$A:$A,M7325,'Barang Keluar'!$C:$C,N7325))</f>
        <v>0</v>
      </c>
    </row>
    <row r="7326" spans="13:16">
      <c r="M7326" s="49">
        <f>IF($A$4+73&gt;$B$4,"",$A$4+73)</f>
        <v>46096</v>
      </c>
      <c r="N7326" t="str">
        <f>IF(M7326="","",'Master Barang'!A20)</f>
        <v>PRL-019</v>
      </c>
      <c r="O7326" t="str">
        <f>IF(N7326="","",'Master Barang'!B20)</f>
        <v>neo health masker biru 3 play 50 pcs</v>
      </c>
      <c r="P7326">
        <f>IF(OR(M7326="",N7326=""),"",SUMIFS('Barang Keluar'!$E:$E,'Barang Keluar'!$A:$A,M7326,'Barang Keluar'!$C:$C,N7326))</f>
        <v>0</v>
      </c>
    </row>
    <row r="7327" spans="13:16">
      <c r="M7327" s="49">
        <f>IF($A$4+73&gt;$B$4,"",$A$4+73)</f>
        <v>46096</v>
      </c>
      <c r="N7327" t="str">
        <f>IF(M7327="","",'Master Barang'!A21)</f>
        <v>PRL-020</v>
      </c>
      <c r="O7327" t="str">
        <f>IF(N7327="","",'Master Barang'!B21)</f>
        <v>baymed masker hijau 3 play hijau 50 pcs</v>
      </c>
      <c r="P7327">
        <f>IF(OR(M7327="",N7327=""),"",SUMIFS('Barang Keluar'!$E:$E,'Barang Keluar'!$A:$A,M7327,'Barang Keluar'!$C:$C,N7327))</f>
        <v>0</v>
      </c>
    </row>
    <row r="7328" spans="13:16">
      <c r="M7328" s="49">
        <f>IF($A$4+73&gt;$B$4,"",$A$4+73)</f>
        <v>46096</v>
      </c>
      <c r="N7328" t="str">
        <f>IF(M7328="","",'Master Barang'!A22)</f>
        <v>PRL-021</v>
      </c>
      <c r="O7328" t="str">
        <f>IF(N7328="","",'Master Barang'!B22)</f>
        <v>altamed nurse cap penutup kepala 100 pcs</v>
      </c>
      <c r="P7328">
        <f>IF(OR(M7328="",N7328=""),"",SUMIFS('Barang Keluar'!$E:$E,'Barang Keluar'!$A:$A,M7328,'Barang Keluar'!$C:$C,N7328))</f>
        <v>0</v>
      </c>
    </row>
    <row r="7329" spans="13:16">
      <c r="M7329" s="49">
        <f>IF($A$4+73&gt;$B$4,"",$A$4+73)</f>
        <v>46096</v>
      </c>
      <c r="N7329" t="str">
        <f>IF(M7329="","",'Master Barang'!A23)</f>
        <v>PRL-022</v>
      </c>
      <c r="O7329" t="str">
        <f>IF(N7329="","",'Master Barang'!B23)</f>
        <v>sabun cuci tangan</v>
      </c>
      <c r="P7329">
        <f>IF(OR(M7329="",N7329=""),"",SUMIFS('Barang Keluar'!$E:$E,'Barang Keluar'!$A:$A,M7329,'Barang Keluar'!$C:$C,N7329))</f>
        <v>0</v>
      </c>
    </row>
    <row r="7330" spans="13:16">
      <c r="M7330" s="49">
        <f>IF($A$4+73&gt;$B$4,"",$A$4+73)</f>
        <v>46096</v>
      </c>
      <c r="N7330" t="str">
        <f>IF(M7330="","",'Master Barang'!A24)</f>
        <v>PRL-023</v>
      </c>
      <c r="O7330" t="str">
        <f>IF(N7330="","",'Master Barang'!B24)</f>
        <v>gayung kecil</v>
      </c>
      <c r="P7330">
        <f>IF(OR(M7330="",N7330=""),"",SUMIFS('Barang Keluar'!$E:$E,'Barang Keluar'!$A:$A,M7330,'Barang Keluar'!$C:$C,N7330))</f>
        <v>0</v>
      </c>
    </row>
    <row r="7331" spans="13:16">
      <c r="M7331" s="49">
        <f>IF($A$4+73&gt;$B$4,"",$A$4+73)</f>
        <v>46096</v>
      </c>
      <c r="N7331" t="str">
        <f>IF(M7331="","",'Master Barang'!A25)</f>
        <v>PRL-024</v>
      </c>
      <c r="O7331" t="str">
        <f>IF(N7331="","",'Master Barang'!B25)</f>
        <v>cikrak kecil</v>
      </c>
      <c r="P7331">
        <f>IF(OR(M7331="",N7331=""),"",SUMIFS('Barang Keluar'!$E:$E,'Barang Keluar'!$A:$A,M7331,'Barang Keluar'!$C:$C,N7331))</f>
        <v>0</v>
      </c>
    </row>
    <row r="7332" spans="13:16">
      <c r="M7332" s="49">
        <f>IF($A$4+73&gt;$B$4,"",$A$4+73)</f>
        <v>46096</v>
      </c>
      <c r="N7332" t="str">
        <f>IF(M7332="","",'Master Barang'!A26)</f>
        <v>PRL-025</v>
      </c>
      <c r="O7332" t="str">
        <f>IF(N7332="","",'Master Barang'!B26)</f>
        <v>petromax plastik kecil 12x24 100 lembar</v>
      </c>
      <c r="P7332">
        <f>IF(OR(M7332="",N7332=""),"",SUMIFS('Barang Keluar'!$E:$E,'Barang Keluar'!$A:$A,M7332,'Barang Keluar'!$C:$C,N7332))</f>
        <v>0</v>
      </c>
    </row>
    <row r="7333" spans="13:16">
      <c r="M7333" s="49">
        <f>IF($A$4+73&gt;$B$4,"",$A$4+73)</f>
        <v>46096</v>
      </c>
      <c r="N7333" t="str">
        <f>IF(M7333="","",'Master Barang'!A27)</f>
        <v>PRL-026</v>
      </c>
      <c r="O7333" t="str">
        <f>IF(N7333="","",'Master Barang'!B27)</f>
        <v>lancar kresek kecil bening </v>
      </c>
      <c r="P7333">
        <f>IF(OR(M7333="",N7333=""),"",SUMIFS('Barang Keluar'!$E:$E,'Barang Keluar'!$A:$A,M7333,'Barang Keluar'!$C:$C,N7333))</f>
        <v>0</v>
      </c>
    </row>
    <row r="7334" spans="13:16">
      <c r="M7334" s="49">
        <f>IF($A$4+73&gt;$B$4,"",$A$4+73)</f>
        <v>46096</v>
      </c>
      <c r="N7334" t="str">
        <f>IF(M7334="","",'Master Barang'!A28)</f>
        <v>PRL-027</v>
      </c>
      <c r="O7334" t="str">
        <f>IF(N7334="","",'Master Barang'!B28)</f>
        <v>kresek klin warna warni kecil</v>
      </c>
      <c r="P7334">
        <f>IF(OR(M7334="",N7334=""),"",SUMIFS('Barang Keluar'!$E:$E,'Barang Keluar'!$A:$A,M7334,'Barang Keluar'!$C:$C,N7334))</f>
        <v>0</v>
      </c>
    </row>
    <row r="7335" spans="13:16">
      <c r="M7335" s="49">
        <f>IF($A$4+73&gt;$B$4,"",$A$4+73)</f>
        <v>46096</v>
      </c>
      <c r="N7335" t="str">
        <f>IF(M7335="","",'Master Barang'!A29)</f>
        <v>PRL-028</v>
      </c>
      <c r="O7335" t="str">
        <f>IF(N7335="","",'Master Barang'!B29)</f>
        <v>ctik plastik 7x10 100 pcs</v>
      </c>
      <c r="P7335">
        <f>IF(OR(M7335="",N7335=""),"",SUMIFS('Barang Keluar'!$E:$E,'Barang Keluar'!$A:$A,M7335,'Barang Keluar'!$C:$C,N7335))</f>
        <v>0</v>
      </c>
    </row>
    <row r="7336" spans="13:16">
      <c r="M7336" s="49">
        <f>IF($A$4+73&gt;$B$4,"",$A$4+73)</f>
        <v>46096</v>
      </c>
      <c r="N7336" t="str">
        <f>IF(M7336="","",'Master Barang'!A30)</f>
        <v>PRL-029</v>
      </c>
      <c r="O7336" t="str">
        <f>IF(N7336="","",'Master Barang'!B30)</f>
        <v>ctik plastik 6x10 100 pcs</v>
      </c>
      <c r="P7336">
        <f>IF(OR(M7336="",N7336=""),"",SUMIFS('Barang Keluar'!$E:$E,'Barang Keluar'!$A:$A,M7336,'Barang Keluar'!$C:$C,N7336))</f>
        <v>0</v>
      </c>
    </row>
    <row r="7337" spans="13:16">
      <c r="M7337" s="49">
        <f>IF($A$4+73&gt;$B$4,"",$A$4+73)</f>
        <v>46096</v>
      </c>
      <c r="N7337" t="str">
        <f>IF(M7337="","",'Master Barang'!A31)</f>
        <v>PRL-030</v>
      </c>
      <c r="O7337" t="str">
        <f>IF(N7337="","",'Master Barang'!B31)</f>
        <v>klip plastik 25x16 100 pcs</v>
      </c>
      <c r="P7337">
        <f>IF(OR(M7337="",N7337=""),"",SUMIFS('Barang Keluar'!$E:$E,'Barang Keluar'!$A:$A,M7337,'Barang Keluar'!$C:$C,N7337))</f>
        <v>0</v>
      </c>
    </row>
    <row r="7338" spans="13:16">
      <c r="M7338" s="49">
        <f>IF($A$4+73&gt;$B$4,"",$A$4+73)</f>
        <v>46096</v>
      </c>
      <c r="N7338" t="str">
        <f>IF(M7338="","",'Master Barang'!A32)</f>
        <v>PRL-031</v>
      </c>
      <c r="O7338" t="str">
        <f>IF(N7338="","",'Master Barang'!B32)</f>
        <v>tempat saus 20 ml</v>
      </c>
      <c r="P7338">
        <f>IF(OR(M7338="",N7338=""),"",SUMIFS('Barang Keluar'!$E:$E,'Barang Keluar'!$A:$A,M7338,'Barang Keluar'!$C:$C,N7338))</f>
        <v>0</v>
      </c>
    </row>
    <row r="7339" spans="13:16">
      <c r="M7339" s="49">
        <f>IF($A$4+73&gt;$B$4,"",$A$4+73)</f>
        <v>46096</v>
      </c>
      <c r="N7339" t="str">
        <f>IF(M7339="","",'Master Barang'!A33)</f>
        <v>PRL-032</v>
      </c>
      <c r="O7339" t="str">
        <f>IF(N7339="","",'Master Barang'!B33)</f>
        <v>plastik packaging ag box uk sedang</v>
      </c>
      <c r="P7339">
        <f>IF(OR(M7339="",N7339=""),"",SUMIFS('Barang Keluar'!$E:$E,'Barang Keluar'!$A:$A,M7339,'Barang Keluar'!$C:$C,N7339))</f>
        <v>0</v>
      </c>
    </row>
    <row r="7340" spans="13:16">
      <c r="M7340" s="49">
        <f>IF($A$4+73&gt;$B$4,"",$A$4+73)</f>
        <v>46096</v>
      </c>
      <c r="N7340" t="str">
        <f>IF(M7340="","",'Master Barang'!A34)</f>
        <v>PRL-033</v>
      </c>
      <c r="O7340">
        <f>IF(N7340="","",'Master Barang'!B34)</f>
        <v>0</v>
      </c>
      <c r="P7340">
        <f>IF(OR(M7340="",N7340=""),"",SUMIFS('Barang Keluar'!$E:$E,'Barang Keluar'!$A:$A,M7340,'Barang Keluar'!$C:$C,N7340))</f>
        <v>0</v>
      </c>
    </row>
    <row r="7341" spans="13:16">
      <c r="M7341" s="49">
        <f>IF($A$4+73&gt;$B$4,"",$A$4+73)</f>
        <v>46096</v>
      </c>
      <c r="N7341">
        <f>IF(M7341="","",'Master Barang'!A35)</f>
        <v>0</v>
      </c>
      <c r="O7341">
        <f>IF(N7341="","",'Master Barang'!B35)</f>
        <v>0</v>
      </c>
      <c r="P7341">
        <f>IF(OR(M7341="",N7341=""),"",SUMIFS('Barang Keluar'!$E:$E,'Barang Keluar'!$A:$A,M7341,'Barang Keluar'!$C:$C,N7341))</f>
        <v>0</v>
      </c>
    </row>
    <row r="7342" spans="13:16">
      <c r="M7342" s="49">
        <f>IF($A$4+73&gt;$B$4,"",$A$4+73)</f>
        <v>46096</v>
      </c>
      <c r="N7342">
        <f>IF(M7342="","",'Master Barang'!A36)</f>
        <v>0</v>
      </c>
      <c r="O7342">
        <f>IF(N7342="","",'Master Barang'!B36)</f>
        <v>0</v>
      </c>
      <c r="P7342">
        <f>IF(OR(M7342="",N7342=""),"",SUMIFS('Barang Keluar'!$E:$E,'Barang Keluar'!$A:$A,M7342,'Barang Keluar'!$C:$C,N7342))</f>
        <v>0</v>
      </c>
    </row>
    <row r="7343" spans="13:16">
      <c r="M7343" s="49">
        <f>IF($A$4+73&gt;$B$4,"",$A$4+73)</f>
        <v>46096</v>
      </c>
      <c r="N7343">
        <f>IF(M7343="","",'Master Barang'!A37)</f>
        <v>0</v>
      </c>
      <c r="O7343">
        <f>IF(N7343="","",'Master Barang'!B37)</f>
        <v>0</v>
      </c>
      <c r="P7343">
        <f>IF(OR(M7343="",N7343=""),"",SUMIFS('Barang Keluar'!$E:$E,'Barang Keluar'!$A:$A,M7343,'Barang Keluar'!$C:$C,N7343))</f>
        <v>0</v>
      </c>
    </row>
    <row r="7344" spans="13:16">
      <c r="M7344" s="49">
        <f>IF($A$4+73&gt;$B$4,"",$A$4+73)</f>
        <v>46096</v>
      </c>
      <c r="N7344">
        <f>IF(M7344="","",'Master Barang'!A38)</f>
        <v>0</v>
      </c>
      <c r="O7344">
        <f>IF(N7344="","",'Master Barang'!B38)</f>
        <v>0</v>
      </c>
      <c r="P7344">
        <f>IF(OR(M7344="",N7344=""),"",SUMIFS('Barang Keluar'!$E:$E,'Barang Keluar'!$A:$A,M7344,'Barang Keluar'!$C:$C,N7344))</f>
        <v>0</v>
      </c>
    </row>
    <row r="7345" spans="13:16">
      <c r="M7345" s="49">
        <f>IF($A$4+73&gt;$B$4,"",$A$4+73)</f>
        <v>46096</v>
      </c>
      <c r="N7345">
        <f>IF(M7345="","",'Master Barang'!A39)</f>
        <v>0</v>
      </c>
      <c r="O7345">
        <f>IF(N7345="","",'Master Barang'!B39)</f>
        <v>0</v>
      </c>
      <c r="P7345">
        <f>IF(OR(M7345="",N7345=""),"",SUMIFS('Barang Keluar'!$E:$E,'Barang Keluar'!$A:$A,M7345,'Barang Keluar'!$C:$C,N7345))</f>
        <v>0</v>
      </c>
    </row>
    <row r="7346" spans="13:16">
      <c r="M7346" s="49">
        <f>IF($A$4+73&gt;$B$4,"",$A$4+73)</f>
        <v>46096</v>
      </c>
      <c r="N7346">
        <f>IF(M7346="","",'Master Barang'!A40)</f>
        <v>0</v>
      </c>
      <c r="O7346">
        <f>IF(N7346="","",'Master Barang'!B40)</f>
        <v>0</v>
      </c>
      <c r="P7346">
        <f>IF(OR(M7346="",N7346=""),"",SUMIFS('Barang Keluar'!$E:$E,'Barang Keluar'!$A:$A,M7346,'Barang Keluar'!$C:$C,N7346))</f>
        <v>0</v>
      </c>
    </row>
    <row r="7347" spans="13:16">
      <c r="M7347" s="49">
        <f>IF($A$4+73&gt;$B$4,"",$A$4+73)</f>
        <v>46096</v>
      </c>
      <c r="N7347">
        <f>IF(M7347="","",'Master Barang'!A41)</f>
        <v>0</v>
      </c>
      <c r="O7347">
        <f>IF(N7347="","",'Master Barang'!B41)</f>
        <v>0</v>
      </c>
      <c r="P7347">
        <f>IF(OR(M7347="",N7347=""),"",SUMIFS('Barang Keluar'!$E:$E,'Barang Keluar'!$A:$A,M7347,'Barang Keluar'!$C:$C,N7347))</f>
        <v>0</v>
      </c>
    </row>
    <row r="7348" spans="13:16">
      <c r="M7348" s="49">
        <f>IF($A$4+73&gt;$B$4,"",$A$4+73)</f>
        <v>46096</v>
      </c>
      <c r="N7348">
        <f>IF(M7348="","",'Master Barang'!A42)</f>
        <v>0</v>
      </c>
      <c r="O7348">
        <f>IF(N7348="","",'Master Barang'!B42)</f>
        <v>0</v>
      </c>
      <c r="P7348">
        <f>IF(OR(M7348="",N7348=""),"",SUMIFS('Barang Keluar'!$E:$E,'Barang Keluar'!$A:$A,M7348,'Barang Keluar'!$C:$C,N7348))</f>
        <v>0</v>
      </c>
    </row>
    <row r="7349" spans="13:16">
      <c r="M7349" s="49">
        <f>IF($A$4+73&gt;$B$4,"",$A$4+73)</f>
        <v>46096</v>
      </c>
      <c r="N7349">
        <f>IF(M7349="","",'Master Barang'!A43)</f>
        <v>0</v>
      </c>
      <c r="O7349">
        <f>IF(N7349="","",'Master Barang'!B43)</f>
        <v>0</v>
      </c>
      <c r="P7349">
        <f>IF(OR(M7349="",N7349=""),"",SUMIFS('Barang Keluar'!$E:$E,'Barang Keluar'!$A:$A,M7349,'Barang Keluar'!$C:$C,N7349))</f>
        <v>0</v>
      </c>
    </row>
    <row r="7350" spans="13:16">
      <c r="M7350" s="49">
        <f>IF($A$4+73&gt;$B$4,"",$A$4+73)</f>
        <v>46096</v>
      </c>
      <c r="N7350">
        <f>IF(M7350="","",'Master Barang'!A44)</f>
        <v>0</v>
      </c>
      <c r="O7350">
        <f>IF(N7350="","",'Master Barang'!B44)</f>
        <v>0</v>
      </c>
      <c r="P7350">
        <f>IF(OR(M7350="",N7350=""),"",SUMIFS('Barang Keluar'!$E:$E,'Barang Keluar'!$A:$A,M7350,'Barang Keluar'!$C:$C,N7350))</f>
        <v>0</v>
      </c>
    </row>
    <row r="7351" spans="13:16">
      <c r="M7351" s="49">
        <f>IF($A$4+73&gt;$B$4,"",$A$4+73)</f>
        <v>46096</v>
      </c>
      <c r="N7351">
        <f>IF(M7351="","",'Master Barang'!A45)</f>
        <v>0</v>
      </c>
      <c r="O7351">
        <f>IF(N7351="","",'Master Barang'!B45)</f>
        <v>0</v>
      </c>
      <c r="P7351">
        <f>IF(OR(M7351="",N7351=""),"",SUMIFS('Barang Keluar'!$E:$E,'Barang Keluar'!$A:$A,M7351,'Barang Keluar'!$C:$C,N7351))</f>
        <v>0</v>
      </c>
    </row>
    <row r="7352" spans="13:16">
      <c r="M7352" s="49">
        <f>IF($A$4+73&gt;$B$4,"",$A$4+73)</f>
        <v>46096</v>
      </c>
      <c r="N7352">
        <f>IF(M7352="","",'Master Barang'!A46)</f>
        <v>0</v>
      </c>
      <c r="O7352">
        <f>IF(N7352="","",'Master Barang'!B46)</f>
        <v>0</v>
      </c>
      <c r="P7352">
        <f>IF(OR(M7352="",N7352=""),"",SUMIFS('Barang Keluar'!$E:$E,'Barang Keluar'!$A:$A,M7352,'Barang Keluar'!$C:$C,N7352))</f>
        <v>0</v>
      </c>
    </row>
    <row r="7353" spans="13:16">
      <c r="M7353" s="49">
        <f>IF($A$4+73&gt;$B$4,"",$A$4+73)</f>
        <v>46096</v>
      </c>
      <c r="N7353">
        <f>IF(M7353="","",'Master Barang'!A47)</f>
        <v>0</v>
      </c>
      <c r="O7353">
        <f>IF(N7353="","",'Master Barang'!B47)</f>
        <v>0</v>
      </c>
      <c r="P7353">
        <f>IF(OR(M7353="",N7353=""),"",SUMIFS('Barang Keluar'!$E:$E,'Barang Keluar'!$A:$A,M7353,'Barang Keluar'!$C:$C,N7353))</f>
        <v>0</v>
      </c>
    </row>
    <row r="7354" spans="13:16">
      <c r="M7354" s="49">
        <f>IF($A$4+73&gt;$B$4,"",$A$4+73)</f>
        <v>46096</v>
      </c>
      <c r="N7354">
        <f>IF(M7354="","",'Master Barang'!A48)</f>
        <v>0</v>
      </c>
      <c r="O7354">
        <f>IF(N7354="","",'Master Barang'!B48)</f>
        <v>0</v>
      </c>
      <c r="P7354">
        <f>IF(OR(M7354="",N7354=""),"",SUMIFS('Barang Keluar'!$E:$E,'Barang Keluar'!$A:$A,M7354,'Barang Keluar'!$C:$C,N7354))</f>
        <v>0</v>
      </c>
    </row>
    <row r="7355" spans="13:16">
      <c r="M7355" s="49">
        <f>IF($A$4+73&gt;$B$4,"",$A$4+73)</f>
        <v>46096</v>
      </c>
      <c r="N7355">
        <f>IF(M7355="","",'Master Barang'!A49)</f>
        <v>0</v>
      </c>
      <c r="O7355">
        <f>IF(N7355="","",'Master Barang'!B49)</f>
        <v>0</v>
      </c>
      <c r="P7355">
        <f>IF(OR(M7355="",N7355=""),"",SUMIFS('Barang Keluar'!$E:$E,'Barang Keluar'!$A:$A,M7355,'Barang Keluar'!$C:$C,N7355))</f>
        <v>0</v>
      </c>
    </row>
    <row r="7356" spans="13:16">
      <c r="M7356" s="49">
        <f>IF($A$4+73&gt;$B$4,"",$A$4+73)</f>
        <v>46096</v>
      </c>
      <c r="N7356">
        <f>IF(M7356="","",'Master Barang'!A50)</f>
        <v>0</v>
      </c>
      <c r="O7356">
        <f>IF(N7356="","",'Master Barang'!B50)</f>
        <v>0</v>
      </c>
      <c r="P7356">
        <f>IF(OR(M7356="",N7356=""),"",SUMIFS('Barang Keluar'!$E:$E,'Barang Keluar'!$A:$A,M7356,'Barang Keluar'!$C:$C,N7356))</f>
        <v>0</v>
      </c>
    </row>
    <row r="7357" spans="13:16">
      <c r="M7357" s="49">
        <f>IF($A$4+73&gt;$B$4,"",$A$4+73)</f>
        <v>46096</v>
      </c>
      <c r="N7357">
        <f>IF(M7357="","",'Master Barang'!A51)</f>
        <v>0</v>
      </c>
      <c r="O7357">
        <f>IF(N7357="","",'Master Barang'!B51)</f>
        <v>0</v>
      </c>
      <c r="P7357">
        <f>IF(OR(M7357="",N7357=""),"",SUMIFS('Barang Keluar'!$E:$E,'Barang Keluar'!$A:$A,M7357,'Barang Keluar'!$C:$C,N7357))</f>
        <v>0</v>
      </c>
    </row>
    <row r="7358" spans="13:16">
      <c r="M7358" s="49">
        <f>IF($A$4+73&gt;$B$4,"",$A$4+73)</f>
        <v>46096</v>
      </c>
      <c r="N7358">
        <f>IF(M7358="","",'Master Barang'!A52)</f>
        <v>0</v>
      </c>
      <c r="O7358">
        <f>IF(N7358="","",'Master Barang'!B52)</f>
        <v>0</v>
      </c>
      <c r="P7358">
        <f>IF(OR(M7358="",N7358=""),"",SUMIFS('Barang Keluar'!$E:$E,'Barang Keluar'!$A:$A,M7358,'Barang Keluar'!$C:$C,N7358))</f>
        <v>0</v>
      </c>
    </row>
    <row r="7359" spans="13:16">
      <c r="M7359" s="49">
        <f>IF($A$4+73&gt;$B$4,"",$A$4+73)</f>
        <v>46096</v>
      </c>
      <c r="N7359">
        <f>IF(M7359="","",'Master Barang'!A53)</f>
        <v>0</v>
      </c>
      <c r="O7359">
        <f>IF(N7359="","",'Master Barang'!B53)</f>
        <v>0</v>
      </c>
      <c r="P7359">
        <f>IF(OR(M7359="",N7359=""),"",SUMIFS('Barang Keluar'!$E:$E,'Barang Keluar'!$A:$A,M7359,'Barang Keluar'!$C:$C,N7359))</f>
        <v>0</v>
      </c>
    </row>
    <row r="7360" spans="13:16">
      <c r="M7360" s="49">
        <f>IF($A$4+73&gt;$B$4,"",$A$4+73)</f>
        <v>46096</v>
      </c>
      <c r="N7360">
        <f>IF(M7360="","",'Master Barang'!A54)</f>
        <v>0</v>
      </c>
      <c r="O7360">
        <f>IF(N7360="","",'Master Barang'!B54)</f>
        <v>0</v>
      </c>
      <c r="P7360">
        <f>IF(OR(M7360="",N7360=""),"",SUMIFS('Barang Keluar'!$E:$E,'Barang Keluar'!$A:$A,M7360,'Barang Keluar'!$C:$C,N7360))</f>
        <v>0</v>
      </c>
    </row>
    <row r="7361" spans="13:16">
      <c r="M7361" s="49">
        <f>IF($A$4+73&gt;$B$4,"",$A$4+73)</f>
        <v>46096</v>
      </c>
      <c r="N7361">
        <f>IF(M7361="","",'Master Barang'!A55)</f>
        <v>0</v>
      </c>
      <c r="O7361">
        <f>IF(N7361="","",'Master Barang'!B55)</f>
        <v>0</v>
      </c>
      <c r="P7361">
        <f>IF(OR(M7361="",N7361=""),"",SUMIFS('Barang Keluar'!$E:$E,'Barang Keluar'!$A:$A,M7361,'Barang Keluar'!$C:$C,N7361))</f>
        <v>0</v>
      </c>
    </row>
    <row r="7362" spans="13:16">
      <c r="M7362" s="49">
        <f>IF($A$4+73&gt;$B$4,"",$A$4+73)</f>
        <v>46096</v>
      </c>
      <c r="N7362">
        <f>IF(M7362="","",'Master Barang'!A56)</f>
        <v>0</v>
      </c>
      <c r="O7362">
        <f>IF(N7362="","",'Master Barang'!B56)</f>
        <v>0</v>
      </c>
      <c r="P7362">
        <f>IF(OR(M7362="",N7362=""),"",SUMIFS('Barang Keluar'!$E:$E,'Barang Keluar'!$A:$A,M7362,'Barang Keluar'!$C:$C,N7362))</f>
        <v>0</v>
      </c>
    </row>
    <row r="7363" spans="13:16">
      <c r="M7363" s="49">
        <f>IF($A$4+73&gt;$B$4,"",$A$4+73)</f>
        <v>46096</v>
      </c>
      <c r="N7363">
        <f>IF(M7363="","",'Master Barang'!A57)</f>
        <v>0</v>
      </c>
      <c r="O7363">
        <f>IF(N7363="","",'Master Barang'!B57)</f>
        <v>0</v>
      </c>
      <c r="P7363">
        <f>IF(OR(M7363="",N7363=""),"",SUMIFS('Barang Keluar'!$E:$E,'Barang Keluar'!$A:$A,M7363,'Barang Keluar'!$C:$C,N7363))</f>
        <v>0</v>
      </c>
    </row>
    <row r="7364" spans="13:16">
      <c r="M7364" s="49">
        <f>IF($A$4+73&gt;$B$4,"",$A$4+73)</f>
        <v>46096</v>
      </c>
      <c r="N7364">
        <f>IF(M7364="","",'Master Barang'!A58)</f>
        <v>0</v>
      </c>
      <c r="O7364">
        <f>IF(N7364="","",'Master Barang'!B58)</f>
        <v>0</v>
      </c>
      <c r="P7364">
        <f>IF(OR(M7364="",N7364=""),"",SUMIFS('Barang Keluar'!$E:$E,'Barang Keluar'!$A:$A,M7364,'Barang Keluar'!$C:$C,N7364))</f>
        <v>0</v>
      </c>
    </row>
    <row r="7365" spans="13:16">
      <c r="M7365" s="49">
        <f>IF($A$4+73&gt;$B$4,"",$A$4+73)</f>
        <v>46096</v>
      </c>
      <c r="N7365">
        <f>IF(M7365="","",'Master Barang'!A59)</f>
        <v>0</v>
      </c>
      <c r="O7365">
        <f>IF(N7365="","",'Master Barang'!B59)</f>
        <v>0</v>
      </c>
      <c r="P7365">
        <f>IF(OR(M7365="",N7365=""),"",SUMIFS('Barang Keluar'!$E:$E,'Barang Keluar'!$A:$A,M7365,'Barang Keluar'!$C:$C,N7365))</f>
        <v>0</v>
      </c>
    </row>
    <row r="7366" spans="13:16">
      <c r="M7366" s="49">
        <f>IF($A$4+73&gt;$B$4,"",$A$4+73)</f>
        <v>46096</v>
      </c>
      <c r="N7366">
        <f>IF(M7366="","",'Master Barang'!A60)</f>
        <v>0</v>
      </c>
      <c r="O7366">
        <f>IF(N7366="","",'Master Barang'!B60)</f>
        <v>0</v>
      </c>
      <c r="P7366">
        <f>IF(OR(M7366="",N7366=""),"",SUMIFS('Barang Keluar'!$E:$E,'Barang Keluar'!$A:$A,M7366,'Barang Keluar'!$C:$C,N7366))</f>
        <v>0</v>
      </c>
    </row>
    <row r="7367" spans="13:16">
      <c r="M7367" s="49">
        <f>IF($A$4+73&gt;$B$4,"",$A$4+73)</f>
        <v>46096</v>
      </c>
      <c r="N7367">
        <f>IF(M7367="","",'Master Barang'!A61)</f>
        <v>0</v>
      </c>
      <c r="O7367">
        <f>IF(N7367="","",'Master Barang'!B61)</f>
        <v>0</v>
      </c>
      <c r="P7367">
        <f>IF(OR(M7367="",N7367=""),"",SUMIFS('Barang Keluar'!$E:$E,'Barang Keluar'!$A:$A,M7367,'Barang Keluar'!$C:$C,N7367))</f>
        <v>0</v>
      </c>
    </row>
    <row r="7368" spans="13:16">
      <c r="M7368" s="49">
        <f>IF($A$4+73&gt;$B$4,"",$A$4+73)</f>
        <v>46096</v>
      </c>
      <c r="N7368">
        <f>IF(M7368="","",'Master Barang'!A62)</f>
        <v>0</v>
      </c>
      <c r="O7368">
        <f>IF(N7368="","",'Master Barang'!B62)</f>
        <v>0</v>
      </c>
      <c r="P7368">
        <f>IF(OR(M7368="",N7368=""),"",SUMIFS('Barang Keluar'!$E:$E,'Barang Keluar'!$A:$A,M7368,'Barang Keluar'!$C:$C,N7368))</f>
        <v>0</v>
      </c>
    </row>
    <row r="7369" spans="13:16">
      <c r="M7369" s="49">
        <f>IF($A$4+73&gt;$B$4,"",$A$4+73)</f>
        <v>46096</v>
      </c>
      <c r="N7369">
        <f>IF(M7369="","",'Master Barang'!A63)</f>
        <v>0</v>
      </c>
      <c r="O7369">
        <f>IF(N7369="","",'Master Barang'!B63)</f>
        <v>0</v>
      </c>
      <c r="P7369">
        <f>IF(OR(M7369="",N7369=""),"",SUMIFS('Barang Keluar'!$E:$E,'Barang Keluar'!$A:$A,M7369,'Barang Keluar'!$C:$C,N7369))</f>
        <v>0</v>
      </c>
    </row>
    <row r="7370" spans="13:16">
      <c r="M7370" s="49">
        <f>IF($A$4+73&gt;$B$4,"",$A$4+73)</f>
        <v>46096</v>
      </c>
      <c r="N7370">
        <f>IF(M7370="","",'Master Barang'!A64)</f>
        <v>0</v>
      </c>
      <c r="O7370">
        <f>IF(N7370="","",'Master Barang'!B64)</f>
        <v>0</v>
      </c>
      <c r="P7370">
        <f>IF(OR(M7370="",N7370=""),"",SUMIFS('Barang Keluar'!$E:$E,'Barang Keluar'!$A:$A,M7370,'Barang Keluar'!$C:$C,N7370))</f>
        <v>0</v>
      </c>
    </row>
    <row r="7371" spans="13:16">
      <c r="M7371" s="49">
        <f>IF($A$4+73&gt;$B$4,"",$A$4+73)</f>
        <v>46096</v>
      </c>
      <c r="N7371">
        <f>IF(M7371="","",'Master Barang'!A65)</f>
        <v>0</v>
      </c>
      <c r="O7371">
        <f>IF(N7371="","",'Master Barang'!B65)</f>
        <v>0</v>
      </c>
      <c r="P7371">
        <f>IF(OR(M7371="",N7371=""),"",SUMIFS('Barang Keluar'!$E:$E,'Barang Keluar'!$A:$A,M7371,'Barang Keluar'!$C:$C,N7371))</f>
        <v>0</v>
      </c>
    </row>
    <row r="7372" spans="13:16">
      <c r="M7372" s="49">
        <f>IF($A$4+73&gt;$B$4,"",$A$4+73)</f>
        <v>46096</v>
      </c>
      <c r="N7372">
        <f>IF(M7372="","",'Master Barang'!A66)</f>
        <v>0</v>
      </c>
      <c r="O7372">
        <f>IF(N7372="","",'Master Barang'!B66)</f>
        <v>0</v>
      </c>
      <c r="P7372">
        <f>IF(OR(M7372="",N7372=""),"",SUMIFS('Barang Keluar'!$E:$E,'Barang Keluar'!$A:$A,M7372,'Barang Keluar'!$C:$C,N7372))</f>
        <v>0</v>
      </c>
    </row>
    <row r="7373" spans="13:16">
      <c r="M7373" s="49">
        <f>IF($A$4+73&gt;$B$4,"",$A$4+73)</f>
        <v>46096</v>
      </c>
      <c r="N7373">
        <f>IF(M7373="","",'Master Barang'!A67)</f>
        <v>0</v>
      </c>
      <c r="O7373">
        <f>IF(N7373="","",'Master Barang'!B67)</f>
        <v>0</v>
      </c>
      <c r="P7373">
        <f>IF(OR(M7373="",N7373=""),"",SUMIFS('Barang Keluar'!$E:$E,'Barang Keluar'!$A:$A,M7373,'Barang Keluar'!$C:$C,N7373))</f>
        <v>0</v>
      </c>
    </row>
    <row r="7374" spans="13:16">
      <c r="M7374" s="49">
        <f>IF($A$4+73&gt;$B$4,"",$A$4+73)</f>
        <v>46096</v>
      </c>
      <c r="N7374">
        <f>IF(M7374="","",'Master Barang'!A68)</f>
        <v>0</v>
      </c>
      <c r="O7374">
        <f>IF(N7374="","",'Master Barang'!B68)</f>
        <v>0</v>
      </c>
      <c r="P7374">
        <f>IF(OR(M7374="",N7374=""),"",SUMIFS('Barang Keluar'!$E:$E,'Barang Keluar'!$A:$A,M7374,'Barang Keluar'!$C:$C,N7374))</f>
        <v>0</v>
      </c>
    </row>
    <row r="7375" spans="13:16">
      <c r="M7375" s="49">
        <f>IF($A$4+73&gt;$B$4,"",$A$4+73)</f>
        <v>46096</v>
      </c>
      <c r="N7375">
        <f>IF(M7375="","",'Master Barang'!A69)</f>
        <v>0</v>
      </c>
      <c r="O7375">
        <f>IF(N7375="","",'Master Barang'!B69)</f>
        <v>0</v>
      </c>
      <c r="P7375">
        <f>IF(OR(M7375="",N7375=""),"",SUMIFS('Barang Keluar'!$E:$E,'Barang Keluar'!$A:$A,M7375,'Barang Keluar'!$C:$C,N7375))</f>
        <v>0</v>
      </c>
    </row>
    <row r="7376" spans="13:16">
      <c r="M7376" s="49">
        <f>IF($A$4+73&gt;$B$4,"",$A$4+73)</f>
        <v>46096</v>
      </c>
      <c r="N7376">
        <f>IF(M7376="","",'Master Barang'!A70)</f>
        <v>0</v>
      </c>
      <c r="O7376">
        <f>IF(N7376="","",'Master Barang'!B70)</f>
        <v>0</v>
      </c>
      <c r="P7376">
        <f>IF(OR(M7376="",N7376=""),"",SUMIFS('Barang Keluar'!$E:$E,'Barang Keluar'!$A:$A,M7376,'Barang Keluar'!$C:$C,N7376))</f>
        <v>0</v>
      </c>
    </row>
    <row r="7377" spans="13:16">
      <c r="M7377" s="49">
        <f>IF($A$4+73&gt;$B$4,"",$A$4+73)</f>
        <v>46096</v>
      </c>
      <c r="N7377">
        <f>IF(M7377="","",'Master Barang'!A71)</f>
        <v>0</v>
      </c>
      <c r="O7377">
        <f>IF(N7377="","",'Master Barang'!B71)</f>
        <v>0</v>
      </c>
      <c r="P7377">
        <f>IF(OR(M7377="",N7377=""),"",SUMIFS('Barang Keluar'!$E:$E,'Barang Keluar'!$A:$A,M7377,'Barang Keluar'!$C:$C,N7377))</f>
        <v>0</v>
      </c>
    </row>
    <row r="7378" spans="13:16">
      <c r="M7378" s="49">
        <f>IF($A$4+73&gt;$B$4,"",$A$4+73)</f>
        <v>46096</v>
      </c>
      <c r="N7378">
        <f>IF(M7378="","",'Master Barang'!A72)</f>
        <v>0</v>
      </c>
      <c r="O7378">
        <f>IF(N7378="","",'Master Barang'!B72)</f>
        <v>0</v>
      </c>
      <c r="P7378">
        <f>IF(OR(M7378="",N7378=""),"",SUMIFS('Barang Keluar'!$E:$E,'Barang Keluar'!$A:$A,M7378,'Barang Keluar'!$C:$C,N7378))</f>
        <v>0</v>
      </c>
    </row>
    <row r="7379" spans="13:16">
      <c r="M7379" s="49">
        <f>IF($A$4+73&gt;$B$4,"",$A$4+73)</f>
        <v>46096</v>
      </c>
      <c r="N7379">
        <f>IF(M7379="","",'Master Barang'!A73)</f>
        <v>0</v>
      </c>
      <c r="O7379">
        <f>IF(N7379="","",'Master Barang'!B73)</f>
        <v>0</v>
      </c>
      <c r="P7379">
        <f>IF(OR(M7379="",N7379=""),"",SUMIFS('Barang Keluar'!$E:$E,'Barang Keluar'!$A:$A,M7379,'Barang Keluar'!$C:$C,N7379))</f>
        <v>0</v>
      </c>
    </row>
    <row r="7380" spans="13:16">
      <c r="M7380" s="49">
        <f>IF($A$4+73&gt;$B$4,"",$A$4+73)</f>
        <v>46096</v>
      </c>
      <c r="N7380">
        <f>IF(M7380="","",'Master Barang'!A74)</f>
        <v>0</v>
      </c>
      <c r="O7380">
        <f>IF(N7380="","",'Master Barang'!B74)</f>
        <v>0</v>
      </c>
      <c r="P7380">
        <f>IF(OR(M7380="",N7380=""),"",SUMIFS('Barang Keluar'!$E:$E,'Barang Keluar'!$A:$A,M7380,'Barang Keluar'!$C:$C,N7380))</f>
        <v>0</v>
      </c>
    </row>
    <row r="7381" spans="13:16">
      <c r="M7381" s="49">
        <f>IF($A$4+73&gt;$B$4,"",$A$4+73)</f>
        <v>46096</v>
      </c>
      <c r="N7381">
        <f>IF(M7381="","",'Master Barang'!A75)</f>
        <v>0</v>
      </c>
      <c r="O7381">
        <f>IF(N7381="","",'Master Barang'!B75)</f>
        <v>0</v>
      </c>
      <c r="P7381">
        <f>IF(OR(M7381="",N7381=""),"",SUMIFS('Barang Keluar'!$E:$E,'Barang Keluar'!$A:$A,M7381,'Barang Keluar'!$C:$C,N7381))</f>
        <v>0</v>
      </c>
    </row>
    <row r="7382" spans="13:16">
      <c r="M7382" s="49">
        <f>IF($A$4+73&gt;$B$4,"",$A$4+73)</f>
        <v>46096</v>
      </c>
      <c r="N7382">
        <f>IF(M7382="","",'Master Barang'!A76)</f>
        <v>0</v>
      </c>
      <c r="O7382">
        <f>IF(N7382="","",'Master Barang'!B76)</f>
        <v>0</v>
      </c>
      <c r="P7382">
        <f>IF(OR(M7382="",N7382=""),"",SUMIFS('Barang Keluar'!$E:$E,'Barang Keluar'!$A:$A,M7382,'Barang Keluar'!$C:$C,N7382))</f>
        <v>0</v>
      </c>
    </row>
    <row r="7383" spans="13:16">
      <c r="M7383" s="49">
        <f>IF($A$4+73&gt;$B$4,"",$A$4+73)</f>
        <v>46096</v>
      </c>
      <c r="N7383">
        <f>IF(M7383="","",'Master Barang'!A77)</f>
        <v>0</v>
      </c>
      <c r="O7383">
        <f>IF(N7383="","",'Master Barang'!B77)</f>
        <v>0</v>
      </c>
      <c r="P7383">
        <f>IF(OR(M7383="",N7383=""),"",SUMIFS('Barang Keluar'!$E:$E,'Barang Keluar'!$A:$A,M7383,'Barang Keluar'!$C:$C,N7383))</f>
        <v>0</v>
      </c>
    </row>
    <row r="7384" spans="13:16">
      <c r="M7384" s="49">
        <f>IF($A$4+73&gt;$B$4,"",$A$4+73)</f>
        <v>46096</v>
      </c>
      <c r="N7384">
        <f>IF(M7384="","",'Master Barang'!A78)</f>
        <v>0</v>
      </c>
      <c r="O7384">
        <f>IF(N7384="","",'Master Barang'!B78)</f>
        <v>0</v>
      </c>
      <c r="P7384">
        <f>IF(OR(M7384="",N7384=""),"",SUMIFS('Barang Keluar'!$E:$E,'Barang Keluar'!$A:$A,M7384,'Barang Keluar'!$C:$C,N7384))</f>
        <v>0</v>
      </c>
    </row>
    <row r="7385" spans="13:16">
      <c r="M7385" s="49">
        <f>IF($A$4+73&gt;$B$4,"",$A$4+73)</f>
        <v>46096</v>
      </c>
      <c r="N7385">
        <f>IF(M7385="","",'Master Barang'!A79)</f>
        <v>0</v>
      </c>
      <c r="O7385">
        <f>IF(N7385="","",'Master Barang'!B79)</f>
        <v>0</v>
      </c>
      <c r="P7385">
        <f>IF(OR(M7385="",N7385=""),"",SUMIFS('Barang Keluar'!$E:$E,'Barang Keluar'!$A:$A,M7385,'Barang Keluar'!$C:$C,N7385))</f>
        <v>0</v>
      </c>
    </row>
    <row r="7386" spans="13:16">
      <c r="M7386" s="49">
        <f>IF($A$4+73&gt;$B$4,"",$A$4+73)</f>
        <v>46096</v>
      </c>
      <c r="N7386">
        <f>IF(M7386="","",'Master Barang'!A80)</f>
        <v>0</v>
      </c>
      <c r="O7386">
        <f>IF(N7386="","",'Master Barang'!B80)</f>
        <v>0</v>
      </c>
      <c r="P7386">
        <f>IF(OR(M7386="",N7386=""),"",SUMIFS('Barang Keluar'!$E:$E,'Barang Keluar'!$A:$A,M7386,'Barang Keluar'!$C:$C,N7386))</f>
        <v>0</v>
      </c>
    </row>
    <row r="7387" spans="13:16">
      <c r="M7387" s="49">
        <f>IF($A$4+73&gt;$B$4,"",$A$4+73)</f>
        <v>46096</v>
      </c>
      <c r="N7387">
        <f>IF(M7387="","",'Master Barang'!A81)</f>
        <v>0</v>
      </c>
      <c r="O7387">
        <f>IF(N7387="","",'Master Barang'!B81)</f>
        <v>0</v>
      </c>
      <c r="P7387">
        <f>IF(OR(M7387="",N7387=""),"",SUMIFS('Barang Keluar'!$E:$E,'Barang Keluar'!$A:$A,M7387,'Barang Keluar'!$C:$C,N7387))</f>
        <v>0</v>
      </c>
    </row>
    <row r="7388" spans="13:16">
      <c r="M7388" s="49">
        <f>IF($A$4+73&gt;$B$4,"",$A$4+73)</f>
        <v>46096</v>
      </c>
      <c r="N7388">
        <f>IF(M7388="","",'Master Barang'!A82)</f>
        <v>0</v>
      </c>
      <c r="O7388">
        <f>IF(N7388="","",'Master Barang'!B82)</f>
        <v>0</v>
      </c>
      <c r="P7388">
        <f>IF(OR(M7388="",N7388=""),"",SUMIFS('Barang Keluar'!$E:$E,'Barang Keluar'!$A:$A,M7388,'Barang Keluar'!$C:$C,N7388))</f>
        <v>0</v>
      </c>
    </row>
    <row r="7389" spans="13:16">
      <c r="M7389" s="49">
        <f>IF($A$4+73&gt;$B$4,"",$A$4+73)</f>
        <v>46096</v>
      </c>
      <c r="N7389">
        <f>IF(M7389="","",'Master Barang'!A83)</f>
        <v>0</v>
      </c>
      <c r="O7389">
        <f>IF(N7389="","",'Master Barang'!B83)</f>
        <v>0</v>
      </c>
      <c r="P7389">
        <f>IF(OR(M7389="",N7389=""),"",SUMIFS('Barang Keluar'!$E:$E,'Barang Keluar'!$A:$A,M7389,'Barang Keluar'!$C:$C,N7389))</f>
        <v>0</v>
      </c>
    </row>
    <row r="7390" spans="13:16">
      <c r="M7390" s="49">
        <f>IF($A$4+73&gt;$B$4,"",$A$4+73)</f>
        <v>46096</v>
      </c>
      <c r="N7390">
        <f>IF(M7390="","",'Master Barang'!A84)</f>
        <v>0</v>
      </c>
      <c r="O7390">
        <f>IF(N7390="","",'Master Barang'!B84)</f>
        <v>0</v>
      </c>
      <c r="P7390">
        <f>IF(OR(M7390="",N7390=""),"",SUMIFS('Barang Keluar'!$E:$E,'Barang Keluar'!$A:$A,M7390,'Barang Keluar'!$C:$C,N7390))</f>
        <v>0</v>
      </c>
    </row>
    <row r="7391" spans="13:16">
      <c r="M7391" s="49">
        <f>IF($A$4+73&gt;$B$4,"",$A$4+73)</f>
        <v>46096</v>
      </c>
      <c r="N7391">
        <f>IF(M7391="","",'Master Barang'!A85)</f>
        <v>0</v>
      </c>
      <c r="O7391">
        <f>IF(N7391="","",'Master Barang'!B85)</f>
        <v>0</v>
      </c>
      <c r="P7391">
        <f>IF(OR(M7391="",N7391=""),"",SUMIFS('Barang Keluar'!$E:$E,'Barang Keluar'!$A:$A,M7391,'Barang Keluar'!$C:$C,N7391))</f>
        <v>0</v>
      </c>
    </row>
    <row r="7392" spans="13:16">
      <c r="M7392" s="49">
        <f>IF($A$4+73&gt;$B$4,"",$A$4+73)</f>
        <v>46096</v>
      </c>
      <c r="N7392">
        <f>IF(M7392="","",'Master Barang'!A86)</f>
        <v>0</v>
      </c>
      <c r="O7392">
        <f>IF(N7392="","",'Master Barang'!B86)</f>
        <v>0</v>
      </c>
      <c r="P7392">
        <f>IF(OR(M7392="",N7392=""),"",SUMIFS('Barang Keluar'!$E:$E,'Barang Keluar'!$A:$A,M7392,'Barang Keluar'!$C:$C,N7392))</f>
        <v>0</v>
      </c>
    </row>
    <row r="7393" spans="13:16">
      <c r="M7393" s="49">
        <f>IF($A$4+73&gt;$B$4,"",$A$4+73)</f>
        <v>46096</v>
      </c>
      <c r="N7393">
        <f>IF(M7393="","",'Master Barang'!A87)</f>
        <v>0</v>
      </c>
      <c r="O7393">
        <f>IF(N7393="","",'Master Barang'!B87)</f>
        <v>0</v>
      </c>
      <c r="P7393">
        <f>IF(OR(M7393="",N7393=""),"",SUMIFS('Barang Keluar'!$E:$E,'Barang Keluar'!$A:$A,M7393,'Barang Keluar'!$C:$C,N7393))</f>
        <v>0</v>
      </c>
    </row>
    <row r="7394" spans="13:16">
      <c r="M7394" s="49">
        <f>IF($A$4+73&gt;$B$4,"",$A$4+73)</f>
        <v>46096</v>
      </c>
      <c r="N7394">
        <f>IF(M7394="","",'Master Barang'!A88)</f>
        <v>0</v>
      </c>
      <c r="O7394">
        <f>IF(N7394="","",'Master Barang'!B88)</f>
        <v>0</v>
      </c>
      <c r="P7394">
        <f>IF(OR(M7394="",N7394=""),"",SUMIFS('Barang Keluar'!$E:$E,'Barang Keluar'!$A:$A,M7394,'Barang Keluar'!$C:$C,N7394))</f>
        <v>0</v>
      </c>
    </row>
    <row r="7395" spans="13:16">
      <c r="M7395" s="49">
        <f>IF($A$4+73&gt;$B$4,"",$A$4+73)</f>
        <v>46096</v>
      </c>
      <c r="N7395">
        <f>IF(M7395="","",'Master Barang'!A89)</f>
        <v>0</v>
      </c>
      <c r="O7395">
        <f>IF(N7395="","",'Master Barang'!B89)</f>
        <v>0</v>
      </c>
      <c r="P7395">
        <f>IF(OR(M7395="",N7395=""),"",SUMIFS('Barang Keluar'!$E:$E,'Barang Keluar'!$A:$A,M7395,'Barang Keluar'!$C:$C,N7395))</f>
        <v>0</v>
      </c>
    </row>
    <row r="7396" spans="13:16">
      <c r="M7396" s="49">
        <f>IF($A$4+73&gt;$B$4,"",$A$4+73)</f>
        <v>46096</v>
      </c>
      <c r="N7396">
        <f>IF(M7396="","",'Master Barang'!A90)</f>
        <v>0</v>
      </c>
      <c r="O7396">
        <f>IF(N7396="","",'Master Barang'!B90)</f>
        <v>0</v>
      </c>
      <c r="P7396">
        <f>IF(OR(M7396="",N7396=""),"",SUMIFS('Barang Keluar'!$E:$E,'Barang Keluar'!$A:$A,M7396,'Barang Keluar'!$C:$C,N7396))</f>
        <v>0</v>
      </c>
    </row>
    <row r="7397" spans="13:16">
      <c r="M7397" s="49">
        <f>IF($A$4+73&gt;$B$4,"",$A$4+73)</f>
        <v>46096</v>
      </c>
      <c r="N7397">
        <f>IF(M7397="","",'Master Barang'!A91)</f>
        <v>0</v>
      </c>
      <c r="O7397">
        <f>IF(N7397="","",'Master Barang'!B91)</f>
        <v>0</v>
      </c>
      <c r="P7397">
        <f>IF(OR(M7397="",N7397=""),"",SUMIFS('Barang Keluar'!$E:$E,'Barang Keluar'!$A:$A,M7397,'Barang Keluar'!$C:$C,N7397))</f>
        <v>0</v>
      </c>
    </row>
    <row r="7398" spans="13:16">
      <c r="M7398" s="49">
        <f>IF($A$4+73&gt;$B$4,"",$A$4+73)</f>
        <v>46096</v>
      </c>
      <c r="N7398">
        <f>IF(M7398="","",'Master Barang'!A92)</f>
        <v>0</v>
      </c>
      <c r="O7398">
        <f>IF(N7398="","",'Master Barang'!B92)</f>
        <v>0</v>
      </c>
      <c r="P7398">
        <f>IF(OR(M7398="",N7398=""),"",SUMIFS('Barang Keluar'!$E:$E,'Barang Keluar'!$A:$A,M7398,'Barang Keluar'!$C:$C,N7398))</f>
        <v>0</v>
      </c>
    </row>
    <row r="7399" spans="13:16">
      <c r="M7399" s="49">
        <f>IF($A$4+73&gt;$B$4,"",$A$4+73)</f>
        <v>46096</v>
      </c>
      <c r="N7399">
        <f>IF(M7399="","",'Master Barang'!A93)</f>
        <v>0</v>
      </c>
      <c r="O7399">
        <f>IF(N7399="","",'Master Barang'!B93)</f>
        <v>0</v>
      </c>
      <c r="P7399">
        <f>IF(OR(M7399="",N7399=""),"",SUMIFS('Barang Keluar'!$E:$E,'Barang Keluar'!$A:$A,M7399,'Barang Keluar'!$C:$C,N7399))</f>
        <v>0</v>
      </c>
    </row>
    <row r="7400" spans="13:16">
      <c r="M7400" s="49">
        <f>IF($A$4+73&gt;$B$4,"",$A$4+73)</f>
        <v>46096</v>
      </c>
      <c r="N7400">
        <f>IF(M7400="","",'Master Barang'!A94)</f>
        <v>0</v>
      </c>
      <c r="O7400">
        <f>IF(N7400="","",'Master Barang'!B94)</f>
        <v>0</v>
      </c>
      <c r="P7400">
        <f>IF(OR(M7400="",N7400=""),"",SUMIFS('Barang Keluar'!$E:$E,'Barang Keluar'!$A:$A,M7400,'Barang Keluar'!$C:$C,N7400))</f>
        <v>0</v>
      </c>
    </row>
    <row r="7401" spans="13:16">
      <c r="M7401" s="49">
        <f>IF($A$4+73&gt;$B$4,"",$A$4+73)</f>
        <v>46096</v>
      </c>
      <c r="N7401">
        <f>IF(M7401="","",'Master Barang'!A95)</f>
        <v>0</v>
      </c>
      <c r="O7401">
        <f>IF(N7401="","",'Master Barang'!B95)</f>
        <v>0</v>
      </c>
      <c r="P7401">
        <f>IF(OR(M7401="",N7401=""),"",SUMIFS('Barang Keluar'!$E:$E,'Barang Keluar'!$A:$A,M7401,'Barang Keluar'!$C:$C,N7401))</f>
        <v>0</v>
      </c>
    </row>
    <row r="7402" spans="13:16">
      <c r="M7402" s="49">
        <f>IF($A$4+73&gt;$B$4,"",$A$4+73)</f>
        <v>46096</v>
      </c>
      <c r="N7402">
        <f>IF(M7402="","",'Master Barang'!A96)</f>
        <v>0</v>
      </c>
      <c r="O7402">
        <f>IF(N7402="","",'Master Barang'!B96)</f>
        <v>0</v>
      </c>
      <c r="P7402">
        <f>IF(OR(M7402="",N7402=""),"",SUMIFS('Barang Keluar'!$E:$E,'Barang Keluar'!$A:$A,M7402,'Barang Keluar'!$C:$C,N7402))</f>
        <v>0</v>
      </c>
    </row>
    <row r="7403" spans="13:16">
      <c r="M7403" s="49">
        <f>IF($A$4+73&gt;$B$4,"",$A$4+73)</f>
        <v>46096</v>
      </c>
      <c r="N7403">
        <f>IF(M7403="","",'Master Barang'!A97)</f>
        <v>0</v>
      </c>
      <c r="O7403">
        <f>IF(N7403="","",'Master Barang'!B97)</f>
        <v>0</v>
      </c>
      <c r="P7403">
        <f>IF(OR(M7403="",N7403=""),"",SUMIFS('Barang Keluar'!$E:$E,'Barang Keluar'!$A:$A,M7403,'Barang Keluar'!$C:$C,N7403))</f>
        <v>0</v>
      </c>
    </row>
    <row r="7404" spans="13:16">
      <c r="M7404" s="49">
        <f>IF($A$4+73&gt;$B$4,"",$A$4+73)</f>
        <v>46096</v>
      </c>
      <c r="N7404">
        <f>IF(M7404="","",'Master Barang'!A98)</f>
        <v>0</v>
      </c>
      <c r="O7404">
        <f>IF(N7404="","",'Master Barang'!B98)</f>
        <v>0</v>
      </c>
      <c r="P7404">
        <f>IF(OR(M7404="",N7404=""),"",SUMIFS('Barang Keluar'!$E:$E,'Barang Keluar'!$A:$A,M7404,'Barang Keluar'!$C:$C,N7404))</f>
        <v>0</v>
      </c>
    </row>
    <row r="7405" spans="13:16">
      <c r="M7405" s="49">
        <f>IF($A$4+73&gt;$B$4,"",$A$4+73)</f>
        <v>46096</v>
      </c>
      <c r="N7405">
        <f>IF(M7405="","",'Master Barang'!A99)</f>
        <v>0</v>
      </c>
      <c r="O7405">
        <f>IF(N7405="","",'Master Barang'!B99)</f>
        <v>0</v>
      </c>
      <c r="P7405">
        <f>IF(OR(M7405="",N7405=""),"",SUMIFS('Barang Keluar'!$E:$E,'Barang Keluar'!$A:$A,M7405,'Barang Keluar'!$C:$C,N7405))</f>
        <v>0</v>
      </c>
    </row>
    <row r="7406" spans="13:16">
      <c r="M7406" s="49">
        <f>IF($A$4+73&gt;$B$4,"",$A$4+73)</f>
        <v>46096</v>
      </c>
      <c r="N7406">
        <f>IF(M7406="","",'Master Barang'!A100)</f>
        <v>0</v>
      </c>
      <c r="O7406">
        <f>IF(N7406="","",'Master Barang'!B100)</f>
        <v>0</v>
      </c>
      <c r="P7406">
        <f>IF(OR(M7406="",N7406=""),"",SUMIFS('Barang Keluar'!$E:$E,'Barang Keluar'!$A:$A,M7406,'Barang Keluar'!$C:$C,N7406))</f>
        <v>0</v>
      </c>
    </row>
    <row r="7407" spans="13:16">
      <c r="M7407" s="49">
        <f>IF($A$4+73&gt;$B$4,"",$A$4+73)</f>
        <v>46096</v>
      </c>
      <c r="N7407">
        <f>IF(M7407="","",'Master Barang'!A101)</f>
        <v>0</v>
      </c>
      <c r="O7407">
        <f>IF(N7407="","",'Master Barang'!B101)</f>
        <v>0</v>
      </c>
      <c r="P7407">
        <f>IF(OR(M7407="",N7407=""),"",SUMIFS('Barang Keluar'!$E:$E,'Barang Keluar'!$A:$A,M7407,'Barang Keluar'!$C:$C,N7407))</f>
        <v>0</v>
      </c>
    </row>
    <row r="7408" spans="13:16">
      <c r="M7408" s="49">
        <f>IF($A$4+74&gt;$B$4,"",$A$4+74)</f>
        <v>46097</v>
      </c>
      <c r="N7408" t="str">
        <f>IF(M7408="","",'Master Barang'!A2)</f>
        <v>PRL-001</v>
      </c>
      <c r="O7408" t="str">
        <f>IF(N7408="","",'Master Barang'!B2)</f>
        <v>natura desinfectant food grade 5l</v>
      </c>
      <c r="P7408">
        <f>IF(OR(M7408="",N7408=""),"",SUMIFS('Barang Keluar'!$E:$E,'Barang Keluar'!$A:$A,M7408,'Barang Keluar'!$C:$C,N7408))</f>
        <v>0</v>
      </c>
    </row>
    <row r="7409" spans="13:16">
      <c r="M7409" s="49">
        <f>IF($A$4+74&gt;$B$4,"",$A$4+74)</f>
        <v>46097</v>
      </c>
      <c r="N7409" t="str">
        <f>IF(M7409="","",'Master Barang'!A3)</f>
        <v>PRL-002</v>
      </c>
      <c r="O7409" t="str">
        <f>IF(N7409="","",'Master Barang'!B3)</f>
        <v>sunlight cairan pencuci piring 5l</v>
      </c>
      <c r="P7409">
        <f>IF(OR(M7409="",N7409=""),"",SUMIFS('Barang Keluar'!$E:$E,'Barang Keluar'!$A:$A,M7409,'Barang Keluar'!$C:$C,N7409))</f>
        <v>0</v>
      </c>
    </row>
    <row r="7410" spans="13:16">
      <c r="M7410" s="49">
        <f>IF($A$4+74&gt;$B$4,"",$A$4+74)</f>
        <v>46097</v>
      </c>
      <c r="N7410" t="str">
        <f>IF(M7410="","",'Master Barang'!A4)</f>
        <v>PRL-003</v>
      </c>
      <c r="O7410" t="str">
        <f>IF(N7410="","",'Master Barang'!B4)</f>
        <v>oixs cleaner 1l</v>
      </c>
      <c r="P7410">
        <f>IF(OR(M7410="",N7410=""),"",SUMIFS('Barang Keluar'!$E:$E,'Barang Keluar'!$A:$A,M7410,'Barang Keluar'!$C:$C,N7410))</f>
        <v>0</v>
      </c>
    </row>
    <row r="7411" spans="13:16">
      <c r="M7411" s="49">
        <f>IF($A$4+74&gt;$B$4,"",$A$4+74)</f>
        <v>46097</v>
      </c>
      <c r="N7411" t="str">
        <f>IF(M7411="","",'Master Barang'!A5)</f>
        <v>PRL-004</v>
      </c>
      <c r="O7411" t="str">
        <f>IF(N7411="","",'Master Barang'!B5)</f>
        <v>be clean tissue serbaguna</v>
      </c>
      <c r="P7411">
        <f>IF(OR(M7411="",N7411=""),"",SUMIFS('Barang Keluar'!$E:$E,'Barang Keluar'!$A:$A,M7411,'Barang Keluar'!$C:$C,N7411))</f>
        <v>0</v>
      </c>
    </row>
    <row r="7412" spans="13:16">
      <c r="M7412" s="49">
        <f>IF($A$4+74&gt;$B$4,"",$A$4+74)</f>
        <v>46097</v>
      </c>
      <c r="N7412" t="str">
        <f>IF(M7412="","",'Master Barang'!A6)</f>
        <v>PRL-005</v>
      </c>
      <c r="O7412" t="str">
        <f>IF(N7412="","",'Master Barang'!B6)</f>
        <v>spons cuci hijau</v>
      </c>
      <c r="P7412">
        <f>IF(OR(M7412="",N7412=""),"",SUMIFS('Barang Keluar'!$E:$E,'Barang Keluar'!$A:$A,M7412,'Barang Keluar'!$C:$C,N7412))</f>
        <v>0</v>
      </c>
    </row>
    <row r="7413" spans="13:16">
      <c r="M7413" s="49">
        <f>IF($A$4+74&gt;$B$4,"",$A$4+74)</f>
        <v>46097</v>
      </c>
      <c r="N7413" t="str">
        <f>IF(M7413="","",'Master Barang'!A7)</f>
        <v>PRL-006</v>
      </c>
      <c r="O7413" t="str">
        <f>IF(N7413="","",'Master Barang'!B7)</f>
        <v>sabut cuci stainless</v>
      </c>
      <c r="P7413">
        <f>IF(OR(M7413="",N7413=""),"",SUMIFS('Barang Keluar'!$E:$E,'Barang Keluar'!$A:$A,M7413,'Barang Keluar'!$C:$C,N7413))</f>
        <v>0</v>
      </c>
    </row>
    <row r="7414" spans="13:16">
      <c r="M7414" s="49">
        <f>IF($A$4+74&gt;$B$4,"",$A$4+74)</f>
        <v>46097</v>
      </c>
      <c r="N7414" t="str">
        <f>IF(M7414="","",'Master Barang'!A8)</f>
        <v>PRL-007</v>
      </c>
      <c r="O7414" t="str">
        <f>IF(N7414="","",'Master Barang'!B8)</f>
        <v>plastik kresek besar merah 50pc</v>
      </c>
      <c r="P7414">
        <f>IF(OR(M7414="",N7414=""),"",SUMIFS('Barang Keluar'!$E:$E,'Barang Keluar'!$A:$A,M7414,'Barang Keluar'!$C:$C,N7414))</f>
        <v>0</v>
      </c>
    </row>
    <row r="7415" spans="13:16">
      <c r="M7415" s="49">
        <f>IF($A$4+74&gt;$B$4,"",$A$4+74)</f>
        <v>46097</v>
      </c>
      <c r="N7415" t="str">
        <f>IF(M7415="","",'Master Barang'!A9)</f>
        <v>PRL-008</v>
      </c>
      <c r="O7415" t="str">
        <f>IF(N7415="","",'Master Barang'!B9)</f>
        <v>lap besar</v>
      </c>
      <c r="P7415">
        <f>IF(OR(M7415="",N7415=""),"",SUMIFS('Barang Keluar'!$E:$E,'Barang Keluar'!$A:$A,M7415,'Barang Keluar'!$C:$C,N7415))</f>
        <v>0</v>
      </c>
    </row>
    <row r="7416" spans="13:16">
      <c r="M7416" s="49">
        <f>IF($A$4+74&gt;$B$4,"",$A$4+74)</f>
        <v>46097</v>
      </c>
      <c r="N7416" t="str">
        <f>IF(M7416="","",'Master Barang'!A10)</f>
        <v>PRL-009</v>
      </c>
      <c r="O7416" t="str">
        <f>IF(N7416="","",'Master Barang'!B10)</f>
        <v>lap microfiber</v>
      </c>
      <c r="P7416">
        <f>IF(OR(M7416="",N7416=""),"",SUMIFS('Barang Keluar'!$E:$E,'Barang Keluar'!$A:$A,M7416,'Barang Keluar'!$C:$C,N7416))</f>
        <v>0</v>
      </c>
    </row>
    <row r="7417" spans="13:16">
      <c r="M7417" s="49">
        <f>IF($A$4+74&gt;$B$4,"",$A$4+74)</f>
        <v>46097</v>
      </c>
      <c r="N7417" t="str">
        <f>IF(M7417="","",'Master Barang'!A11)</f>
        <v>PRL-010</v>
      </c>
      <c r="O7417" t="str">
        <f>IF(N7417="","",'Master Barang'!B11)</f>
        <v>lap kecil</v>
      </c>
      <c r="P7417">
        <f>IF(OR(M7417="",N7417=""),"",SUMIFS('Barang Keluar'!$E:$E,'Barang Keluar'!$A:$A,M7417,'Barang Keluar'!$C:$C,N7417))</f>
        <v>0</v>
      </c>
    </row>
    <row r="7418" spans="13:16">
      <c r="M7418" s="49">
        <f>IF($A$4+74&gt;$B$4,"",$A$4+74)</f>
        <v>46097</v>
      </c>
      <c r="N7418" t="str">
        <f>IF(M7418="","",'Master Barang'!A12)</f>
        <v>PRL-011</v>
      </c>
      <c r="O7418" t="str">
        <f>IF(N7418="","",'Master Barang'!B12)</f>
        <v>kanebo kecil</v>
      </c>
      <c r="P7418">
        <f>IF(OR(M7418="",N7418=""),"",SUMIFS('Barang Keluar'!$E:$E,'Barang Keluar'!$A:$A,M7418,'Barang Keluar'!$C:$C,N7418))</f>
        <v>0</v>
      </c>
    </row>
    <row r="7419" spans="13:16">
      <c r="M7419" s="49">
        <f>IF($A$4+74&gt;$B$4,"",$A$4+74)</f>
        <v>46097</v>
      </c>
      <c r="N7419" t="str">
        <f>IF(M7419="","",'Master Barang'!A13)</f>
        <v>PRL-012</v>
      </c>
      <c r="O7419" t="str">
        <f>IF(N7419="","",'Master Barang'!B13)</f>
        <v>plastik 1/4kg joyoboyo 100 lembar</v>
      </c>
      <c r="P7419">
        <f>IF(OR(M7419="",N7419=""),"",SUMIFS('Barang Keluar'!$E:$E,'Barang Keluar'!$A:$A,M7419,'Barang Keluar'!$C:$C,N7419))</f>
        <v>0</v>
      </c>
    </row>
    <row r="7420" spans="13:16">
      <c r="M7420" s="49">
        <f>IF($A$4+74&gt;$B$4,"",$A$4+74)</f>
        <v>46097</v>
      </c>
      <c r="N7420" t="str">
        <f>IF(M7420="","",'Master Barang'!A14)</f>
        <v>PRL-013</v>
      </c>
      <c r="O7420" t="str">
        <f>IF(N7420="","",'Master Barang'!B14)</f>
        <v>sarung tangan plastik kaka 100 pcs</v>
      </c>
      <c r="P7420">
        <f>IF(OR(M7420="",N7420=""),"",SUMIFS('Barang Keluar'!$E:$E,'Barang Keluar'!$A:$A,M7420,'Barang Keluar'!$C:$C,N7420))</f>
        <v>0</v>
      </c>
    </row>
    <row r="7421" spans="13:16">
      <c r="M7421" s="49">
        <f>IF($A$4+74&gt;$B$4,"",$A$4+74)</f>
        <v>46097</v>
      </c>
      <c r="N7421" t="str">
        <f>IF(M7421="","",'Master Barang'!A15)</f>
        <v>PRL-014</v>
      </c>
      <c r="O7421" t="str">
        <f>IF(N7421="","",'Master Barang'!B15)</f>
        <v>optima trashbag 80x100</v>
      </c>
      <c r="P7421">
        <f>IF(OR(M7421="",N7421=""),"",SUMIFS('Barang Keluar'!$E:$E,'Barang Keluar'!$A:$A,M7421,'Barang Keluar'!$C:$C,N7421))</f>
        <v>0</v>
      </c>
    </row>
    <row r="7422" spans="13:16">
      <c r="M7422" s="49">
        <f>IF($A$4+74&gt;$B$4,"",$A$4+74)</f>
        <v>46097</v>
      </c>
      <c r="N7422" t="str">
        <f>IF(M7422="","",'Master Barang'!A16)</f>
        <v>PRL-015</v>
      </c>
      <c r="O7422" t="str">
        <f>IF(N7422="","",'Master Barang'!B16)</f>
        <v>optima trashbag 60x100</v>
      </c>
      <c r="P7422">
        <f>IF(OR(M7422="",N7422=""),"",SUMIFS('Barang Keluar'!$E:$E,'Barang Keluar'!$A:$A,M7422,'Barang Keluar'!$C:$C,N7422))</f>
        <v>0</v>
      </c>
    </row>
    <row r="7423" spans="13:16">
      <c r="M7423" s="49">
        <f>IF($A$4+74&gt;$B$4,"",$A$4+74)</f>
        <v>46097</v>
      </c>
      <c r="N7423" t="str">
        <f>IF(M7423="","",'Master Barang'!A17)</f>
        <v>PRL-016</v>
      </c>
      <c r="O7423" t="str">
        <f>IF(N7423="","",'Master Barang'!B17)</f>
        <v>rajawali trashbag 30x40</v>
      </c>
      <c r="P7423">
        <f>IF(OR(M7423="",N7423=""),"",SUMIFS('Barang Keluar'!$E:$E,'Barang Keluar'!$A:$A,M7423,'Barang Keluar'!$C:$C,N7423))</f>
        <v>0</v>
      </c>
    </row>
    <row r="7424" spans="13:16">
      <c r="M7424" s="49">
        <f>IF($A$4+74&gt;$B$4,"",$A$4+74)</f>
        <v>46097</v>
      </c>
      <c r="N7424" t="str">
        <f>IF(M7424="","",'Master Barang'!A18)</f>
        <v>PRL-017</v>
      </c>
      <c r="O7424" t="str">
        <f>IF(N7424="","",'Master Barang'!B18)</f>
        <v>onemed masker biru 3 play 50 pcs</v>
      </c>
      <c r="P7424">
        <f>IF(OR(M7424="",N7424=""),"",SUMIFS('Barang Keluar'!$E:$E,'Barang Keluar'!$A:$A,M7424,'Barang Keluar'!$C:$C,N7424))</f>
        <v>0</v>
      </c>
    </row>
    <row r="7425" spans="13:16">
      <c r="M7425" s="49">
        <f>IF($A$4+74&gt;$B$4,"",$A$4+74)</f>
        <v>46097</v>
      </c>
      <c r="N7425" t="str">
        <f>IF(M7425="","",'Master Barang'!A19)</f>
        <v>PRL-018</v>
      </c>
      <c r="O7425" t="str">
        <f>IF(N7425="","",'Master Barang'!B19)</f>
        <v>onemed masker biru 3 play hijab 50 pcs</v>
      </c>
      <c r="P7425">
        <f>IF(OR(M7425="",N7425=""),"",SUMIFS('Barang Keluar'!$E:$E,'Barang Keluar'!$A:$A,M7425,'Barang Keluar'!$C:$C,N7425))</f>
        <v>0</v>
      </c>
    </row>
    <row r="7426" spans="13:16">
      <c r="M7426" s="49">
        <f>IF($A$4+74&gt;$B$4,"",$A$4+74)</f>
        <v>46097</v>
      </c>
      <c r="N7426" t="str">
        <f>IF(M7426="","",'Master Barang'!A20)</f>
        <v>PRL-019</v>
      </c>
      <c r="O7426" t="str">
        <f>IF(N7426="","",'Master Barang'!B20)</f>
        <v>neo health masker biru 3 play 50 pcs</v>
      </c>
      <c r="P7426">
        <f>IF(OR(M7426="",N7426=""),"",SUMIFS('Barang Keluar'!$E:$E,'Barang Keluar'!$A:$A,M7426,'Barang Keluar'!$C:$C,N7426))</f>
        <v>0</v>
      </c>
    </row>
    <row r="7427" spans="13:16">
      <c r="M7427" s="49">
        <f>IF($A$4+74&gt;$B$4,"",$A$4+74)</f>
        <v>46097</v>
      </c>
      <c r="N7427" t="str">
        <f>IF(M7427="","",'Master Barang'!A21)</f>
        <v>PRL-020</v>
      </c>
      <c r="O7427" t="str">
        <f>IF(N7427="","",'Master Barang'!B21)</f>
        <v>baymed masker hijau 3 play hijau 50 pcs</v>
      </c>
      <c r="P7427">
        <f>IF(OR(M7427="",N7427=""),"",SUMIFS('Barang Keluar'!$E:$E,'Barang Keluar'!$A:$A,M7427,'Barang Keluar'!$C:$C,N7427))</f>
        <v>0</v>
      </c>
    </row>
    <row r="7428" spans="13:16">
      <c r="M7428" s="49">
        <f>IF($A$4+74&gt;$B$4,"",$A$4+74)</f>
        <v>46097</v>
      </c>
      <c r="N7428" t="str">
        <f>IF(M7428="","",'Master Barang'!A22)</f>
        <v>PRL-021</v>
      </c>
      <c r="O7428" t="str">
        <f>IF(N7428="","",'Master Barang'!B22)</f>
        <v>altamed nurse cap penutup kepala 100 pcs</v>
      </c>
      <c r="P7428">
        <f>IF(OR(M7428="",N7428=""),"",SUMIFS('Barang Keluar'!$E:$E,'Barang Keluar'!$A:$A,M7428,'Barang Keluar'!$C:$C,N7428))</f>
        <v>0</v>
      </c>
    </row>
    <row r="7429" spans="13:16">
      <c r="M7429" s="49">
        <f>IF($A$4+74&gt;$B$4,"",$A$4+74)</f>
        <v>46097</v>
      </c>
      <c r="N7429" t="str">
        <f>IF(M7429="","",'Master Barang'!A23)</f>
        <v>PRL-022</v>
      </c>
      <c r="O7429" t="str">
        <f>IF(N7429="","",'Master Barang'!B23)</f>
        <v>sabun cuci tangan</v>
      </c>
      <c r="P7429">
        <f>IF(OR(M7429="",N7429=""),"",SUMIFS('Barang Keluar'!$E:$E,'Barang Keluar'!$A:$A,M7429,'Barang Keluar'!$C:$C,N7429))</f>
        <v>0</v>
      </c>
    </row>
    <row r="7430" spans="13:16">
      <c r="M7430" s="49">
        <f>IF($A$4+74&gt;$B$4,"",$A$4+74)</f>
        <v>46097</v>
      </c>
      <c r="N7430" t="str">
        <f>IF(M7430="","",'Master Barang'!A24)</f>
        <v>PRL-023</v>
      </c>
      <c r="O7430" t="str">
        <f>IF(N7430="","",'Master Barang'!B24)</f>
        <v>gayung kecil</v>
      </c>
      <c r="P7430">
        <f>IF(OR(M7430="",N7430=""),"",SUMIFS('Barang Keluar'!$E:$E,'Barang Keluar'!$A:$A,M7430,'Barang Keluar'!$C:$C,N7430))</f>
        <v>0</v>
      </c>
    </row>
    <row r="7431" spans="13:16">
      <c r="M7431" s="49">
        <f>IF($A$4+74&gt;$B$4,"",$A$4+74)</f>
        <v>46097</v>
      </c>
      <c r="N7431" t="str">
        <f>IF(M7431="","",'Master Barang'!A25)</f>
        <v>PRL-024</v>
      </c>
      <c r="O7431" t="str">
        <f>IF(N7431="","",'Master Barang'!B25)</f>
        <v>cikrak kecil</v>
      </c>
      <c r="P7431">
        <f>IF(OR(M7431="",N7431=""),"",SUMIFS('Barang Keluar'!$E:$E,'Barang Keluar'!$A:$A,M7431,'Barang Keluar'!$C:$C,N7431))</f>
        <v>0</v>
      </c>
    </row>
    <row r="7432" spans="13:16">
      <c r="M7432" s="49">
        <f>IF($A$4+74&gt;$B$4,"",$A$4+74)</f>
        <v>46097</v>
      </c>
      <c r="N7432" t="str">
        <f>IF(M7432="","",'Master Barang'!A26)</f>
        <v>PRL-025</v>
      </c>
      <c r="O7432" t="str">
        <f>IF(N7432="","",'Master Barang'!B26)</f>
        <v>petromax plastik kecil 12x24 100 lembar</v>
      </c>
      <c r="P7432">
        <f>IF(OR(M7432="",N7432=""),"",SUMIFS('Barang Keluar'!$E:$E,'Barang Keluar'!$A:$A,M7432,'Barang Keluar'!$C:$C,N7432))</f>
        <v>0</v>
      </c>
    </row>
    <row r="7433" spans="13:16">
      <c r="M7433" s="49">
        <f>IF($A$4+74&gt;$B$4,"",$A$4+74)</f>
        <v>46097</v>
      </c>
      <c r="N7433" t="str">
        <f>IF(M7433="","",'Master Barang'!A27)</f>
        <v>PRL-026</v>
      </c>
      <c r="O7433" t="str">
        <f>IF(N7433="","",'Master Barang'!B27)</f>
        <v>lancar kresek kecil bening </v>
      </c>
      <c r="P7433">
        <f>IF(OR(M7433="",N7433=""),"",SUMIFS('Barang Keluar'!$E:$E,'Barang Keluar'!$A:$A,M7433,'Barang Keluar'!$C:$C,N7433))</f>
        <v>0</v>
      </c>
    </row>
    <row r="7434" spans="13:16">
      <c r="M7434" s="49">
        <f>IF($A$4+74&gt;$B$4,"",$A$4+74)</f>
        <v>46097</v>
      </c>
      <c r="N7434" t="str">
        <f>IF(M7434="","",'Master Barang'!A28)</f>
        <v>PRL-027</v>
      </c>
      <c r="O7434" t="str">
        <f>IF(N7434="","",'Master Barang'!B28)</f>
        <v>kresek klin warna warni kecil</v>
      </c>
      <c r="P7434">
        <f>IF(OR(M7434="",N7434=""),"",SUMIFS('Barang Keluar'!$E:$E,'Barang Keluar'!$A:$A,M7434,'Barang Keluar'!$C:$C,N7434))</f>
        <v>0</v>
      </c>
    </row>
    <row r="7435" spans="13:16">
      <c r="M7435" s="49">
        <f>IF($A$4+74&gt;$B$4,"",$A$4+74)</f>
        <v>46097</v>
      </c>
      <c r="N7435" t="str">
        <f>IF(M7435="","",'Master Barang'!A29)</f>
        <v>PRL-028</v>
      </c>
      <c r="O7435" t="str">
        <f>IF(N7435="","",'Master Barang'!B29)</f>
        <v>ctik plastik 7x10 100 pcs</v>
      </c>
      <c r="P7435">
        <f>IF(OR(M7435="",N7435=""),"",SUMIFS('Barang Keluar'!$E:$E,'Barang Keluar'!$A:$A,M7435,'Barang Keluar'!$C:$C,N7435))</f>
        <v>0</v>
      </c>
    </row>
    <row r="7436" spans="13:16">
      <c r="M7436" s="49">
        <f>IF($A$4+74&gt;$B$4,"",$A$4+74)</f>
        <v>46097</v>
      </c>
      <c r="N7436" t="str">
        <f>IF(M7436="","",'Master Barang'!A30)</f>
        <v>PRL-029</v>
      </c>
      <c r="O7436" t="str">
        <f>IF(N7436="","",'Master Barang'!B30)</f>
        <v>ctik plastik 6x10 100 pcs</v>
      </c>
      <c r="P7436">
        <f>IF(OR(M7436="",N7436=""),"",SUMIFS('Barang Keluar'!$E:$E,'Barang Keluar'!$A:$A,M7436,'Barang Keluar'!$C:$C,N7436))</f>
        <v>0</v>
      </c>
    </row>
    <row r="7437" spans="13:16">
      <c r="M7437" s="49">
        <f>IF($A$4+74&gt;$B$4,"",$A$4+74)</f>
        <v>46097</v>
      </c>
      <c r="N7437" t="str">
        <f>IF(M7437="","",'Master Barang'!A31)</f>
        <v>PRL-030</v>
      </c>
      <c r="O7437" t="str">
        <f>IF(N7437="","",'Master Barang'!B31)</f>
        <v>klip plastik 25x16 100 pcs</v>
      </c>
      <c r="P7437">
        <f>IF(OR(M7437="",N7437=""),"",SUMIFS('Barang Keluar'!$E:$E,'Barang Keluar'!$A:$A,M7437,'Barang Keluar'!$C:$C,N7437))</f>
        <v>0</v>
      </c>
    </row>
    <row r="7438" spans="13:16">
      <c r="M7438" s="49">
        <f>IF($A$4+74&gt;$B$4,"",$A$4+74)</f>
        <v>46097</v>
      </c>
      <c r="N7438" t="str">
        <f>IF(M7438="","",'Master Barang'!A32)</f>
        <v>PRL-031</v>
      </c>
      <c r="O7438" t="str">
        <f>IF(N7438="","",'Master Barang'!B32)</f>
        <v>tempat saus 20 ml</v>
      </c>
      <c r="P7438">
        <f>IF(OR(M7438="",N7438=""),"",SUMIFS('Barang Keluar'!$E:$E,'Barang Keluar'!$A:$A,M7438,'Barang Keluar'!$C:$C,N7438))</f>
        <v>0</v>
      </c>
    </row>
    <row r="7439" spans="13:16">
      <c r="M7439" s="49">
        <f>IF($A$4+74&gt;$B$4,"",$A$4+74)</f>
        <v>46097</v>
      </c>
      <c r="N7439" t="str">
        <f>IF(M7439="","",'Master Barang'!A33)</f>
        <v>PRL-032</v>
      </c>
      <c r="O7439" t="str">
        <f>IF(N7439="","",'Master Barang'!B33)</f>
        <v>plastik packaging ag box uk sedang</v>
      </c>
      <c r="P7439">
        <f>IF(OR(M7439="",N7439=""),"",SUMIFS('Barang Keluar'!$E:$E,'Barang Keluar'!$A:$A,M7439,'Barang Keluar'!$C:$C,N7439))</f>
        <v>0</v>
      </c>
    </row>
    <row r="7440" spans="13:16">
      <c r="M7440" s="49">
        <f>IF($A$4+74&gt;$B$4,"",$A$4+74)</f>
        <v>46097</v>
      </c>
      <c r="N7440" t="str">
        <f>IF(M7440="","",'Master Barang'!A34)</f>
        <v>PRL-033</v>
      </c>
      <c r="O7440">
        <f>IF(N7440="","",'Master Barang'!B34)</f>
        <v>0</v>
      </c>
      <c r="P7440">
        <f>IF(OR(M7440="",N7440=""),"",SUMIFS('Barang Keluar'!$E:$E,'Barang Keluar'!$A:$A,M7440,'Barang Keluar'!$C:$C,N7440))</f>
        <v>0</v>
      </c>
    </row>
    <row r="7441" spans="13:16">
      <c r="M7441" s="49">
        <f>IF($A$4+74&gt;$B$4,"",$A$4+74)</f>
        <v>46097</v>
      </c>
      <c r="N7441">
        <f>IF(M7441="","",'Master Barang'!A35)</f>
        <v>0</v>
      </c>
      <c r="O7441">
        <f>IF(N7441="","",'Master Barang'!B35)</f>
        <v>0</v>
      </c>
      <c r="P7441">
        <f>IF(OR(M7441="",N7441=""),"",SUMIFS('Barang Keluar'!$E:$E,'Barang Keluar'!$A:$A,M7441,'Barang Keluar'!$C:$C,N7441))</f>
        <v>0</v>
      </c>
    </row>
    <row r="7442" spans="13:16">
      <c r="M7442" s="49">
        <f>IF($A$4+74&gt;$B$4,"",$A$4+74)</f>
        <v>46097</v>
      </c>
      <c r="N7442">
        <f>IF(M7442="","",'Master Barang'!A36)</f>
        <v>0</v>
      </c>
      <c r="O7442">
        <f>IF(N7442="","",'Master Barang'!B36)</f>
        <v>0</v>
      </c>
      <c r="P7442">
        <f>IF(OR(M7442="",N7442=""),"",SUMIFS('Barang Keluar'!$E:$E,'Barang Keluar'!$A:$A,M7442,'Barang Keluar'!$C:$C,N7442))</f>
        <v>0</v>
      </c>
    </row>
    <row r="7443" spans="13:16">
      <c r="M7443" s="49">
        <f>IF($A$4+74&gt;$B$4,"",$A$4+74)</f>
        <v>46097</v>
      </c>
      <c r="N7443">
        <f>IF(M7443="","",'Master Barang'!A37)</f>
        <v>0</v>
      </c>
      <c r="O7443">
        <f>IF(N7443="","",'Master Barang'!B37)</f>
        <v>0</v>
      </c>
      <c r="P7443">
        <f>IF(OR(M7443="",N7443=""),"",SUMIFS('Barang Keluar'!$E:$E,'Barang Keluar'!$A:$A,M7443,'Barang Keluar'!$C:$C,N7443))</f>
        <v>0</v>
      </c>
    </row>
    <row r="7444" spans="13:16">
      <c r="M7444" s="49">
        <f>IF($A$4+74&gt;$B$4,"",$A$4+74)</f>
        <v>46097</v>
      </c>
      <c r="N7444">
        <f>IF(M7444="","",'Master Barang'!A38)</f>
        <v>0</v>
      </c>
      <c r="O7444">
        <f>IF(N7444="","",'Master Barang'!B38)</f>
        <v>0</v>
      </c>
      <c r="P7444">
        <f>IF(OR(M7444="",N7444=""),"",SUMIFS('Barang Keluar'!$E:$E,'Barang Keluar'!$A:$A,M7444,'Barang Keluar'!$C:$C,N7444))</f>
        <v>0</v>
      </c>
    </row>
    <row r="7445" spans="13:16">
      <c r="M7445" s="49">
        <f>IF($A$4+74&gt;$B$4,"",$A$4+74)</f>
        <v>46097</v>
      </c>
      <c r="N7445">
        <f>IF(M7445="","",'Master Barang'!A39)</f>
        <v>0</v>
      </c>
      <c r="O7445">
        <f>IF(N7445="","",'Master Barang'!B39)</f>
        <v>0</v>
      </c>
      <c r="P7445">
        <f>IF(OR(M7445="",N7445=""),"",SUMIFS('Barang Keluar'!$E:$E,'Barang Keluar'!$A:$A,M7445,'Barang Keluar'!$C:$C,N7445))</f>
        <v>0</v>
      </c>
    </row>
    <row r="7446" spans="13:16">
      <c r="M7446" s="49">
        <f>IF($A$4+74&gt;$B$4,"",$A$4+74)</f>
        <v>46097</v>
      </c>
      <c r="N7446">
        <f>IF(M7446="","",'Master Barang'!A40)</f>
        <v>0</v>
      </c>
      <c r="O7446">
        <f>IF(N7446="","",'Master Barang'!B40)</f>
        <v>0</v>
      </c>
      <c r="P7446">
        <f>IF(OR(M7446="",N7446=""),"",SUMIFS('Barang Keluar'!$E:$E,'Barang Keluar'!$A:$A,M7446,'Barang Keluar'!$C:$C,N7446))</f>
        <v>0</v>
      </c>
    </row>
    <row r="7447" spans="13:16">
      <c r="M7447" s="49">
        <f>IF($A$4+74&gt;$B$4,"",$A$4+74)</f>
        <v>46097</v>
      </c>
      <c r="N7447">
        <f>IF(M7447="","",'Master Barang'!A41)</f>
        <v>0</v>
      </c>
      <c r="O7447">
        <f>IF(N7447="","",'Master Barang'!B41)</f>
        <v>0</v>
      </c>
      <c r="P7447">
        <f>IF(OR(M7447="",N7447=""),"",SUMIFS('Barang Keluar'!$E:$E,'Barang Keluar'!$A:$A,M7447,'Barang Keluar'!$C:$C,N7447))</f>
        <v>0</v>
      </c>
    </row>
    <row r="7448" spans="13:16">
      <c r="M7448" s="49">
        <f>IF($A$4+74&gt;$B$4,"",$A$4+74)</f>
        <v>46097</v>
      </c>
      <c r="N7448">
        <f>IF(M7448="","",'Master Barang'!A42)</f>
        <v>0</v>
      </c>
      <c r="O7448">
        <f>IF(N7448="","",'Master Barang'!B42)</f>
        <v>0</v>
      </c>
      <c r="P7448">
        <f>IF(OR(M7448="",N7448=""),"",SUMIFS('Barang Keluar'!$E:$E,'Barang Keluar'!$A:$A,M7448,'Barang Keluar'!$C:$C,N7448))</f>
        <v>0</v>
      </c>
    </row>
    <row r="7449" spans="13:16">
      <c r="M7449" s="49">
        <f>IF($A$4+74&gt;$B$4,"",$A$4+74)</f>
        <v>46097</v>
      </c>
      <c r="N7449">
        <f>IF(M7449="","",'Master Barang'!A43)</f>
        <v>0</v>
      </c>
      <c r="O7449">
        <f>IF(N7449="","",'Master Barang'!B43)</f>
        <v>0</v>
      </c>
      <c r="P7449">
        <f>IF(OR(M7449="",N7449=""),"",SUMIFS('Barang Keluar'!$E:$E,'Barang Keluar'!$A:$A,M7449,'Barang Keluar'!$C:$C,N7449))</f>
        <v>0</v>
      </c>
    </row>
    <row r="7450" spans="13:16">
      <c r="M7450" s="49">
        <f>IF($A$4+74&gt;$B$4,"",$A$4+74)</f>
        <v>46097</v>
      </c>
      <c r="N7450">
        <f>IF(M7450="","",'Master Barang'!A44)</f>
        <v>0</v>
      </c>
      <c r="O7450">
        <f>IF(N7450="","",'Master Barang'!B44)</f>
        <v>0</v>
      </c>
      <c r="P7450">
        <f>IF(OR(M7450="",N7450=""),"",SUMIFS('Barang Keluar'!$E:$E,'Barang Keluar'!$A:$A,M7450,'Barang Keluar'!$C:$C,N7450))</f>
        <v>0</v>
      </c>
    </row>
    <row r="7451" spans="13:16">
      <c r="M7451" s="49">
        <f>IF($A$4+74&gt;$B$4,"",$A$4+74)</f>
        <v>46097</v>
      </c>
      <c r="N7451">
        <f>IF(M7451="","",'Master Barang'!A45)</f>
        <v>0</v>
      </c>
      <c r="O7451">
        <f>IF(N7451="","",'Master Barang'!B45)</f>
        <v>0</v>
      </c>
      <c r="P7451">
        <f>IF(OR(M7451="",N7451=""),"",SUMIFS('Barang Keluar'!$E:$E,'Barang Keluar'!$A:$A,M7451,'Barang Keluar'!$C:$C,N7451))</f>
        <v>0</v>
      </c>
    </row>
    <row r="7452" spans="13:16">
      <c r="M7452" s="49">
        <f>IF($A$4+74&gt;$B$4,"",$A$4+74)</f>
        <v>46097</v>
      </c>
      <c r="N7452">
        <f>IF(M7452="","",'Master Barang'!A46)</f>
        <v>0</v>
      </c>
      <c r="O7452">
        <f>IF(N7452="","",'Master Barang'!B46)</f>
        <v>0</v>
      </c>
      <c r="P7452">
        <f>IF(OR(M7452="",N7452=""),"",SUMIFS('Barang Keluar'!$E:$E,'Barang Keluar'!$A:$A,M7452,'Barang Keluar'!$C:$C,N7452))</f>
        <v>0</v>
      </c>
    </row>
    <row r="7453" spans="13:16">
      <c r="M7453" s="49">
        <f>IF($A$4+74&gt;$B$4,"",$A$4+74)</f>
        <v>46097</v>
      </c>
      <c r="N7453">
        <f>IF(M7453="","",'Master Barang'!A47)</f>
        <v>0</v>
      </c>
      <c r="O7453">
        <f>IF(N7453="","",'Master Barang'!B47)</f>
        <v>0</v>
      </c>
      <c r="P7453">
        <f>IF(OR(M7453="",N7453=""),"",SUMIFS('Barang Keluar'!$E:$E,'Barang Keluar'!$A:$A,M7453,'Barang Keluar'!$C:$C,N7453))</f>
        <v>0</v>
      </c>
    </row>
    <row r="7454" spans="13:16">
      <c r="M7454" s="49">
        <f>IF($A$4+74&gt;$B$4,"",$A$4+74)</f>
        <v>46097</v>
      </c>
      <c r="N7454">
        <f>IF(M7454="","",'Master Barang'!A48)</f>
        <v>0</v>
      </c>
      <c r="O7454">
        <f>IF(N7454="","",'Master Barang'!B48)</f>
        <v>0</v>
      </c>
      <c r="P7454">
        <f>IF(OR(M7454="",N7454=""),"",SUMIFS('Barang Keluar'!$E:$E,'Barang Keluar'!$A:$A,M7454,'Barang Keluar'!$C:$C,N7454))</f>
        <v>0</v>
      </c>
    </row>
    <row r="7455" spans="13:16">
      <c r="M7455" s="49">
        <f>IF($A$4+74&gt;$B$4,"",$A$4+74)</f>
        <v>46097</v>
      </c>
      <c r="N7455">
        <f>IF(M7455="","",'Master Barang'!A49)</f>
        <v>0</v>
      </c>
      <c r="O7455">
        <f>IF(N7455="","",'Master Barang'!B49)</f>
        <v>0</v>
      </c>
      <c r="P7455">
        <f>IF(OR(M7455="",N7455=""),"",SUMIFS('Barang Keluar'!$E:$E,'Barang Keluar'!$A:$A,M7455,'Barang Keluar'!$C:$C,N7455))</f>
        <v>0</v>
      </c>
    </row>
    <row r="7456" spans="13:16">
      <c r="M7456" s="49">
        <f>IF($A$4+74&gt;$B$4,"",$A$4+74)</f>
        <v>46097</v>
      </c>
      <c r="N7456">
        <f>IF(M7456="","",'Master Barang'!A50)</f>
        <v>0</v>
      </c>
      <c r="O7456">
        <f>IF(N7456="","",'Master Barang'!B50)</f>
        <v>0</v>
      </c>
      <c r="P7456">
        <f>IF(OR(M7456="",N7456=""),"",SUMIFS('Barang Keluar'!$E:$E,'Barang Keluar'!$A:$A,M7456,'Barang Keluar'!$C:$C,N7456))</f>
        <v>0</v>
      </c>
    </row>
    <row r="7457" spans="13:16">
      <c r="M7457" s="49">
        <f>IF($A$4+74&gt;$B$4,"",$A$4+74)</f>
        <v>46097</v>
      </c>
      <c r="N7457">
        <f>IF(M7457="","",'Master Barang'!A51)</f>
        <v>0</v>
      </c>
      <c r="O7457">
        <f>IF(N7457="","",'Master Barang'!B51)</f>
        <v>0</v>
      </c>
      <c r="P7457">
        <f>IF(OR(M7457="",N7457=""),"",SUMIFS('Barang Keluar'!$E:$E,'Barang Keluar'!$A:$A,M7457,'Barang Keluar'!$C:$C,N7457))</f>
        <v>0</v>
      </c>
    </row>
    <row r="7458" spans="13:16">
      <c r="M7458" s="49">
        <f>IF($A$4+74&gt;$B$4,"",$A$4+74)</f>
        <v>46097</v>
      </c>
      <c r="N7458">
        <f>IF(M7458="","",'Master Barang'!A52)</f>
        <v>0</v>
      </c>
      <c r="O7458">
        <f>IF(N7458="","",'Master Barang'!B52)</f>
        <v>0</v>
      </c>
      <c r="P7458">
        <f>IF(OR(M7458="",N7458=""),"",SUMIFS('Barang Keluar'!$E:$E,'Barang Keluar'!$A:$A,M7458,'Barang Keluar'!$C:$C,N7458))</f>
        <v>0</v>
      </c>
    </row>
    <row r="7459" spans="13:16">
      <c r="M7459" s="49">
        <f>IF($A$4+74&gt;$B$4,"",$A$4+74)</f>
        <v>46097</v>
      </c>
      <c r="N7459">
        <f>IF(M7459="","",'Master Barang'!A53)</f>
        <v>0</v>
      </c>
      <c r="O7459">
        <f>IF(N7459="","",'Master Barang'!B53)</f>
        <v>0</v>
      </c>
      <c r="P7459">
        <f>IF(OR(M7459="",N7459=""),"",SUMIFS('Barang Keluar'!$E:$E,'Barang Keluar'!$A:$A,M7459,'Barang Keluar'!$C:$C,N7459))</f>
        <v>0</v>
      </c>
    </row>
    <row r="7460" spans="13:16">
      <c r="M7460" s="49">
        <f>IF($A$4+74&gt;$B$4,"",$A$4+74)</f>
        <v>46097</v>
      </c>
      <c r="N7460">
        <f>IF(M7460="","",'Master Barang'!A54)</f>
        <v>0</v>
      </c>
      <c r="O7460">
        <f>IF(N7460="","",'Master Barang'!B54)</f>
        <v>0</v>
      </c>
      <c r="P7460">
        <f>IF(OR(M7460="",N7460=""),"",SUMIFS('Barang Keluar'!$E:$E,'Barang Keluar'!$A:$A,M7460,'Barang Keluar'!$C:$C,N7460))</f>
        <v>0</v>
      </c>
    </row>
    <row r="7461" spans="13:16">
      <c r="M7461" s="49">
        <f>IF($A$4+74&gt;$B$4,"",$A$4+74)</f>
        <v>46097</v>
      </c>
      <c r="N7461">
        <f>IF(M7461="","",'Master Barang'!A55)</f>
        <v>0</v>
      </c>
      <c r="O7461">
        <f>IF(N7461="","",'Master Barang'!B55)</f>
        <v>0</v>
      </c>
      <c r="P7461">
        <f>IF(OR(M7461="",N7461=""),"",SUMIFS('Barang Keluar'!$E:$E,'Barang Keluar'!$A:$A,M7461,'Barang Keluar'!$C:$C,N7461))</f>
        <v>0</v>
      </c>
    </row>
    <row r="7462" spans="13:16">
      <c r="M7462" s="49">
        <f>IF($A$4+74&gt;$B$4,"",$A$4+74)</f>
        <v>46097</v>
      </c>
      <c r="N7462">
        <f>IF(M7462="","",'Master Barang'!A56)</f>
        <v>0</v>
      </c>
      <c r="O7462">
        <f>IF(N7462="","",'Master Barang'!B56)</f>
        <v>0</v>
      </c>
      <c r="P7462">
        <f>IF(OR(M7462="",N7462=""),"",SUMIFS('Barang Keluar'!$E:$E,'Barang Keluar'!$A:$A,M7462,'Barang Keluar'!$C:$C,N7462))</f>
        <v>0</v>
      </c>
    </row>
    <row r="7463" spans="13:16">
      <c r="M7463" s="49">
        <f>IF($A$4+74&gt;$B$4,"",$A$4+74)</f>
        <v>46097</v>
      </c>
      <c r="N7463">
        <f>IF(M7463="","",'Master Barang'!A57)</f>
        <v>0</v>
      </c>
      <c r="O7463">
        <f>IF(N7463="","",'Master Barang'!B57)</f>
        <v>0</v>
      </c>
      <c r="P7463">
        <f>IF(OR(M7463="",N7463=""),"",SUMIFS('Barang Keluar'!$E:$E,'Barang Keluar'!$A:$A,M7463,'Barang Keluar'!$C:$C,N7463))</f>
        <v>0</v>
      </c>
    </row>
    <row r="7464" spans="13:16">
      <c r="M7464" s="49">
        <f>IF($A$4+74&gt;$B$4,"",$A$4+74)</f>
        <v>46097</v>
      </c>
      <c r="N7464">
        <f>IF(M7464="","",'Master Barang'!A58)</f>
        <v>0</v>
      </c>
      <c r="O7464">
        <f>IF(N7464="","",'Master Barang'!B58)</f>
        <v>0</v>
      </c>
      <c r="P7464">
        <f>IF(OR(M7464="",N7464=""),"",SUMIFS('Barang Keluar'!$E:$E,'Barang Keluar'!$A:$A,M7464,'Barang Keluar'!$C:$C,N7464))</f>
        <v>0</v>
      </c>
    </row>
    <row r="7465" spans="13:16">
      <c r="M7465" s="49">
        <f>IF($A$4+74&gt;$B$4,"",$A$4+74)</f>
        <v>46097</v>
      </c>
      <c r="N7465">
        <f>IF(M7465="","",'Master Barang'!A59)</f>
        <v>0</v>
      </c>
      <c r="O7465">
        <f>IF(N7465="","",'Master Barang'!B59)</f>
        <v>0</v>
      </c>
      <c r="P7465">
        <f>IF(OR(M7465="",N7465=""),"",SUMIFS('Barang Keluar'!$E:$E,'Barang Keluar'!$A:$A,M7465,'Barang Keluar'!$C:$C,N7465))</f>
        <v>0</v>
      </c>
    </row>
    <row r="7466" spans="13:16">
      <c r="M7466" s="49">
        <f>IF($A$4+74&gt;$B$4,"",$A$4+74)</f>
        <v>46097</v>
      </c>
      <c r="N7466">
        <f>IF(M7466="","",'Master Barang'!A60)</f>
        <v>0</v>
      </c>
      <c r="O7466">
        <f>IF(N7466="","",'Master Barang'!B60)</f>
        <v>0</v>
      </c>
      <c r="P7466">
        <f>IF(OR(M7466="",N7466=""),"",SUMIFS('Barang Keluar'!$E:$E,'Barang Keluar'!$A:$A,M7466,'Barang Keluar'!$C:$C,N7466))</f>
        <v>0</v>
      </c>
    </row>
    <row r="7467" spans="13:16">
      <c r="M7467" s="49">
        <f>IF($A$4+74&gt;$B$4,"",$A$4+74)</f>
        <v>46097</v>
      </c>
      <c r="N7467">
        <f>IF(M7467="","",'Master Barang'!A61)</f>
        <v>0</v>
      </c>
      <c r="O7467">
        <f>IF(N7467="","",'Master Barang'!B61)</f>
        <v>0</v>
      </c>
      <c r="P7467">
        <f>IF(OR(M7467="",N7467=""),"",SUMIFS('Barang Keluar'!$E:$E,'Barang Keluar'!$A:$A,M7467,'Barang Keluar'!$C:$C,N7467))</f>
        <v>0</v>
      </c>
    </row>
    <row r="7468" spans="13:16">
      <c r="M7468" s="49">
        <f>IF($A$4+74&gt;$B$4,"",$A$4+74)</f>
        <v>46097</v>
      </c>
      <c r="N7468">
        <f>IF(M7468="","",'Master Barang'!A62)</f>
        <v>0</v>
      </c>
      <c r="O7468">
        <f>IF(N7468="","",'Master Barang'!B62)</f>
        <v>0</v>
      </c>
      <c r="P7468">
        <f>IF(OR(M7468="",N7468=""),"",SUMIFS('Barang Keluar'!$E:$E,'Barang Keluar'!$A:$A,M7468,'Barang Keluar'!$C:$C,N7468))</f>
        <v>0</v>
      </c>
    </row>
    <row r="7469" spans="13:16">
      <c r="M7469" s="49">
        <f>IF($A$4+74&gt;$B$4,"",$A$4+74)</f>
        <v>46097</v>
      </c>
      <c r="N7469">
        <f>IF(M7469="","",'Master Barang'!A63)</f>
        <v>0</v>
      </c>
      <c r="O7469">
        <f>IF(N7469="","",'Master Barang'!B63)</f>
        <v>0</v>
      </c>
      <c r="P7469">
        <f>IF(OR(M7469="",N7469=""),"",SUMIFS('Barang Keluar'!$E:$E,'Barang Keluar'!$A:$A,M7469,'Barang Keluar'!$C:$C,N7469))</f>
        <v>0</v>
      </c>
    </row>
    <row r="7470" spans="13:16">
      <c r="M7470" s="49">
        <f>IF($A$4+74&gt;$B$4,"",$A$4+74)</f>
        <v>46097</v>
      </c>
      <c r="N7470">
        <f>IF(M7470="","",'Master Barang'!A64)</f>
        <v>0</v>
      </c>
      <c r="O7470">
        <f>IF(N7470="","",'Master Barang'!B64)</f>
        <v>0</v>
      </c>
      <c r="P7470">
        <f>IF(OR(M7470="",N7470=""),"",SUMIFS('Barang Keluar'!$E:$E,'Barang Keluar'!$A:$A,M7470,'Barang Keluar'!$C:$C,N7470))</f>
        <v>0</v>
      </c>
    </row>
    <row r="7471" spans="13:16">
      <c r="M7471" s="49">
        <f>IF($A$4+74&gt;$B$4,"",$A$4+74)</f>
        <v>46097</v>
      </c>
      <c r="N7471">
        <f>IF(M7471="","",'Master Barang'!A65)</f>
        <v>0</v>
      </c>
      <c r="O7471">
        <f>IF(N7471="","",'Master Barang'!B65)</f>
        <v>0</v>
      </c>
      <c r="P7471">
        <f>IF(OR(M7471="",N7471=""),"",SUMIFS('Barang Keluar'!$E:$E,'Barang Keluar'!$A:$A,M7471,'Barang Keluar'!$C:$C,N7471))</f>
        <v>0</v>
      </c>
    </row>
    <row r="7472" spans="13:16">
      <c r="M7472" s="49">
        <f>IF($A$4+74&gt;$B$4,"",$A$4+74)</f>
        <v>46097</v>
      </c>
      <c r="N7472">
        <f>IF(M7472="","",'Master Barang'!A66)</f>
        <v>0</v>
      </c>
      <c r="O7472">
        <f>IF(N7472="","",'Master Barang'!B66)</f>
        <v>0</v>
      </c>
      <c r="P7472">
        <f>IF(OR(M7472="",N7472=""),"",SUMIFS('Barang Keluar'!$E:$E,'Barang Keluar'!$A:$A,M7472,'Barang Keluar'!$C:$C,N7472))</f>
        <v>0</v>
      </c>
    </row>
    <row r="7473" spans="13:16">
      <c r="M7473" s="49">
        <f>IF($A$4+74&gt;$B$4,"",$A$4+74)</f>
        <v>46097</v>
      </c>
      <c r="N7473">
        <f>IF(M7473="","",'Master Barang'!A67)</f>
        <v>0</v>
      </c>
      <c r="O7473">
        <f>IF(N7473="","",'Master Barang'!B67)</f>
        <v>0</v>
      </c>
      <c r="P7473">
        <f>IF(OR(M7473="",N7473=""),"",SUMIFS('Barang Keluar'!$E:$E,'Barang Keluar'!$A:$A,M7473,'Barang Keluar'!$C:$C,N7473))</f>
        <v>0</v>
      </c>
    </row>
    <row r="7474" spans="13:16">
      <c r="M7474" s="49">
        <f>IF($A$4+74&gt;$B$4,"",$A$4+74)</f>
        <v>46097</v>
      </c>
      <c r="N7474">
        <f>IF(M7474="","",'Master Barang'!A68)</f>
        <v>0</v>
      </c>
      <c r="O7474">
        <f>IF(N7474="","",'Master Barang'!B68)</f>
        <v>0</v>
      </c>
      <c r="P7474">
        <f>IF(OR(M7474="",N7474=""),"",SUMIFS('Barang Keluar'!$E:$E,'Barang Keluar'!$A:$A,M7474,'Barang Keluar'!$C:$C,N7474))</f>
        <v>0</v>
      </c>
    </row>
    <row r="7475" spans="13:16">
      <c r="M7475" s="49">
        <f>IF($A$4+74&gt;$B$4,"",$A$4+74)</f>
        <v>46097</v>
      </c>
      <c r="N7475">
        <f>IF(M7475="","",'Master Barang'!A69)</f>
        <v>0</v>
      </c>
      <c r="O7475">
        <f>IF(N7475="","",'Master Barang'!B69)</f>
        <v>0</v>
      </c>
      <c r="P7475">
        <f>IF(OR(M7475="",N7475=""),"",SUMIFS('Barang Keluar'!$E:$E,'Barang Keluar'!$A:$A,M7475,'Barang Keluar'!$C:$C,N7475))</f>
        <v>0</v>
      </c>
    </row>
    <row r="7476" spans="13:16">
      <c r="M7476" s="49">
        <f>IF($A$4+74&gt;$B$4,"",$A$4+74)</f>
        <v>46097</v>
      </c>
      <c r="N7476">
        <f>IF(M7476="","",'Master Barang'!A70)</f>
        <v>0</v>
      </c>
      <c r="O7476">
        <f>IF(N7476="","",'Master Barang'!B70)</f>
        <v>0</v>
      </c>
      <c r="P7476">
        <f>IF(OR(M7476="",N7476=""),"",SUMIFS('Barang Keluar'!$E:$E,'Barang Keluar'!$A:$A,M7476,'Barang Keluar'!$C:$C,N7476))</f>
        <v>0</v>
      </c>
    </row>
    <row r="7477" spans="13:16">
      <c r="M7477" s="49">
        <f>IF($A$4+74&gt;$B$4,"",$A$4+74)</f>
        <v>46097</v>
      </c>
      <c r="N7477">
        <f>IF(M7477="","",'Master Barang'!A71)</f>
        <v>0</v>
      </c>
      <c r="O7477">
        <f>IF(N7477="","",'Master Barang'!B71)</f>
        <v>0</v>
      </c>
      <c r="P7477">
        <f>IF(OR(M7477="",N7477=""),"",SUMIFS('Barang Keluar'!$E:$E,'Barang Keluar'!$A:$A,M7477,'Barang Keluar'!$C:$C,N7477))</f>
        <v>0</v>
      </c>
    </row>
    <row r="7478" spans="13:16">
      <c r="M7478" s="49">
        <f>IF($A$4+74&gt;$B$4,"",$A$4+74)</f>
        <v>46097</v>
      </c>
      <c r="N7478">
        <f>IF(M7478="","",'Master Barang'!A72)</f>
        <v>0</v>
      </c>
      <c r="O7478">
        <f>IF(N7478="","",'Master Barang'!B72)</f>
        <v>0</v>
      </c>
      <c r="P7478">
        <f>IF(OR(M7478="",N7478=""),"",SUMIFS('Barang Keluar'!$E:$E,'Barang Keluar'!$A:$A,M7478,'Barang Keluar'!$C:$C,N7478))</f>
        <v>0</v>
      </c>
    </row>
    <row r="7479" spans="13:16">
      <c r="M7479" s="49">
        <f>IF($A$4+74&gt;$B$4,"",$A$4+74)</f>
        <v>46097</v>
      </c>
      <c r="N7479">
        <f>IF(M7479="","",'Master Barang'!A73)</f>
        <v>0</v>
      </c>
      <c r="O7479">
        <f>IF(N7479="","",'Master Barang'!B73)</f>
        <v>0</v>
      </c>
      <c r="P7479">
        <f>IF(OR(M7479="",N7479=""),"",SUMIFS('Barang Keluar'!$E:$E,'Barang Keluar'!$A:$A,M7479,'Barang Keluar'!$C:$C,N7479))</f>
        <v>0</v>
      </c>
    </row>
    <row r="7480" spans="13:16">
      <c r="M7480" s="49">
        <f>IF($A$4+74&gt;$B$4,"",$A$4+74)</f>
        <v>46097</v>
      </c>
      <c r="N7480">
        <f>IF(M7480="","",'Master Barang'!A74)</f>
        <v>0</v>
      </c>
      <c r="O7480">
        <f>IF(N7480="","",'Master Barang'!B74)</f>
        <v>0</v>
      </c>
      <c r="P7480">
        <f>IF(OR(M7480="",N7480=""),"",SUMIFS('Barang Keluar'!$E:$E,'Barang Keluar'!$A:$A,M7480,'Barang Keluar'!$C:$C,N7480))</f>
        <v>0</v>
      </c>
    </row>
    <row r="7481" spans="13:16">
      <c r="M7481" s="49">
        <f>IF($A$4+74&gt;$B$4,"",$A$4+74)</f>
        <v>46097</v>
      </c>
      <c r="N7481">
        <f>IF(M7481="","",'Master Barang'!A75)</f>
        <v>0</v>
      </c>
      <c r="O7481">
        <f>IF(N7481="","",'Master Barang'!B75)</f>
        <v>0</v>
      </c>
      <c r="P7481">
        <f>IF(OR(M7481="",N7481=""),"",SUMIFS('Barang Keluar'!$E:$E,'Barang Keluar'!$A:$A,M7481,'Barang Keluar'!$C:$C,N7481))</f>
        <v>0</v>
      </c>
    </row>
    <row r="7482" spans="13:16">
      <c r="M7482" s="49">
        <f>IF($A$4+74&gt;$B$4,"",$A$4+74)</f>
        <v>46097</v>
      </c>
      <c r="N7482">
        <f>IF(M7482="","",'Master Barang'!A76)</f>
        <v>0</v>
      </c>
      <c r="O7482">
        <f>IF(N7482="","",'Master Barang'!B76)</f>
        <v>0</v>
      </c>
      <c r="P7482">
        <f>IF(OR(M7482="",N7482=""),"",SUMIFS('Barang Keluar'!$E:$E,'Barang Keluar'!$A:$A,M7482,'Barang Keluar'!$C:$C,N7482))</f>
        <v>0</v>
      </c>
    </row>
    <row r="7483" spans="13:16">
      <c r="M7483" s="49">
        <f>IF($A$4+74&gt;$B$4,"",$A$4+74)</f>
        <v>46097</v>
      </c>
      <c r="N7483">
        <f>IF(M7483="","",'Master Barang'!A77)</f>
        <v>0</v>
      </c>
      <c r="O7483">
        <f>IF(N7483="","",'Master Barang'!B77)</f>
        <v>0</v>
      </c>
      <c r="P7483">
        <f>IF(OR(M7483="",N7483=""),"",SUMIFS('Barang Keluar'!$E:$E,'Barang Keluar'!$A:$A,M7483,'Barang Keluar'!$C:$C,N7483))</f>
        <v>0</v>
      </c>
    </row>
    <row r="7484" spans="13:16">
      <c r="M7484" s="49">
        <f>IF($A$4+74&gt;$B$4,"",$A$4+74)</f>
        <v>46097</v>
      </c>
      <c r="N7484">
        <f>IF(M7484="","",'Master Barang'!A78)</f>
        <v>0</v>
      </c>
      <c r="O7484">
        <f>IF(N7484="","",'Master Barang'!B78)</f>
        <v>0</v>
      </c>
      <c r="P7484">
        <f>IF(OR(M7484="",N7484=""),"",SUMIFS('Barang Keluar'!$E:$E,'Barang Keluar'!$A:$A,M7484,'Barang Keluar'!$C:$C,N7484))</f>
        <v>0</v>
      </c>
    </row>
    <row r="7485" spans="13:16">
      <c r="M7485" s="49">
        <f>IF($A$4+74&gt;$B$4,"",$A$4+74)</f>
        <v>46097</v>
      </c>
      <c r="N7485">
        <f>IF(M7485="","",'Master Barang'!A79)</f>
        <v>0</v>
      </c>
      <c r="O7485">
        <f>IF(N7485="","",'Master Barang'!B79)</f>
        <v>0</v>
      </c>
      <c r="P7485">
        <f>IF(OR(M7485="",N7485=""),"",SUMIFS('Barang Keluar'!$E:$E,'Barang Keluar'!$A:$A,M7485,'Barang Keluar'!$C:$C,N7485))</f>
        <v>0</v>
      </c>
    </row>
    <row r="7486" spans="13:16">
      <c r="M7486" s="49">
        <f>IF($A$4+74&gt;$B$4,"",$A$4+74)</f>
        <v>46097</v>
      </c>
      <c r="N7486">
        <f>IF(M7486="","",'Master Barang'!A80)</f>
        <v>0</v>
      </c>
      <c r="O7486">
        <f>IF(N7486="","",'Master Barang'!B80)</f>
        <v>0</v>
      </c>
      <c r="P7486">
        <f>IF(OR(M7486="",N7486=""),"",SUMIFS('Barang Keluar'!$E:$E,'Barang Keluar'!$A:$A,M7486,'Barang Keluar'!$C:$C,N7486))</f>
        <v>0</v>
      </c>
    </row>
    <row r="7487" spans="13:16">
      <c r="M7487" s="49">
        <f>IF($A$4+74&gt;$B$4,"",$A$4+74)</f>
        <v>46097</v>
      </c>
      <c r="N7487">
        <f>IF(M7487="","",'Master Barang'!A81)</f>
        <v>0</v>
      </c>
      <c r="O7487">
        <f>IF(N7487="","",'Master Barang'!B81)</f>
        <v>0</v>
      </c>
      <c r="P7487">
        <f>IF(OR(M7487="",N7487=""),"",SUMIFS('Barang Keluar'!$E:$E,'Barang Keluar'!$A:$A,M7487,'Barang Keluar'!$C:$C,N7487))</f>
        <v>0</v>
      </c>
    </row>
    <row r="7488" spans="13:16">
      <c r="M7488" s="49">
        <f>IF($A$4+74&gt;$B$4,"",$A$4+74)</f>
        <v>46097</v>
      </c>
      <c r="N7488">
        <f>IF(M7488="","",'Master Barang'!A82)</f>
        <v>0</v>
      </c>
      <c r="O7488">
        <f>IF(N7488="","",'Master Barang'!B82)</f>
        <v>0</v>
      </c>
      <c r="P7488">
        <f>IF(OR(M7488="",N7488=""),"",SUMIFS('Barang Keluar'!$E:$E,'Barang Keluar'!$A:$A,M7488,'Barang Keluar'!$C:$C,N7488))</f>
        <v>0</v>
      </c>
    </row>
    <row r="7489" spans="13:16">
      <c r="M7489" s="49">
        <f>IF($A$4+74&gt;$B$4,"",$A$4+74)</f>
        <v>46097</v>
      </c>
      <c r="N7489">
        <f>IF(M7489="","",'Master Barang'!A83)</f>
        <v>0</v>
      </c>
      <c r="O7489">
        <f>IF(N7489="","",'Master Barang'!B83)</f>
        <v>0</v>
      </c>
      <c r="P7489">
        <f>IF(OR(M7489="",N7489=""),"",SUMIFS('Barang Keluar'!$E:$E,'Barang Keluar'!$A:$A,M7489,'Barang Keluar'!$C:$C,N7489))</f>
        <v>0</v>
      </c>
    </row>
    <row r="7490" spans="13:16">
      <c r="M7490" s="49">
        <f>IF($A$4+74&gt;$B$4,"",$A$4+74)</f>
        <v>46097</v>
      </c>
      <c r="N7490">
        <f>IF(M7490="","",'Master Barang'!A84)</f>
        <v>0</v>
      </c>
      <c r="O7490">
        <f>IF(N7490="","",'Master Barang'!B84)</f>
        <v>0</v>
      </c>
      <c r="P7490">
        <f>IF(OR(M7490="",N7490=""),"",SUMIFS('Barang Keluar'!$E:$E,'Barang Keluar'!$A:$A,M7490,'Barang Keluar'!$C:$C,N7490))</f>
        <v>0</v>
      </c>
    </row>
    <row r="7491" spans="13:16">
      <c r="M7491" s="49">
        <f>IF($A$4+74&gt;$B$4,"",$A$4+74)</f>
        <v>46097</v>
      </c>
      <c r="N7491">
        <f>IF(M7491="","",'Master Barang'!A85)</f>
        <v>0</v>
      </c>
      <c r="O7491">
        <f>IF(N7491="","",'Master Barang'!B85)</f>
        <v>0</v>
      </c>
      <c r="P7491">
        <f>IF(OR(M7491="",N7491=""),"",SUMIFS('Barang Keluar'!$E:$E,'Barang Keluar'!$A:$A,M7491,'Barang Keluar'!$C:$C,N7491))</f>
        <v>0</v>
      </c>
    </row>
    <row r="7492" spans="13:16">
      <c r="M7492" s="49">
        <f>IF($A$4+74&gt;$B$4,"",$A$4+74)</f>
        <v>46097</v>
      </c>
      <c r="N7492">
        <f>IF(M7492="","",'Master Barang'!A86)</f>
        <v>0</v>
      </c>
      <c r="O7492">
        <f>IF(N7492="","",'Master Barang'!B86)</f>
        <v>0</v>
      </c>
      <c r="P7492">
        <f>IF(OR(M7492="",N7492=""),"",SUMIFS('Barang Keluar'!$E:$E,'Barang Keluar'!$A:$A,M7492,'Barang Keluar'!$C:$C,N7492))</f>
        <v>0</v>
      </c>
    </row>
    <row r="7493" spans="13:16">
      <c r="M7493" s="49">
        <f>IF($A$4+74&gt;$B$4,"",$A$4+74)</f>
        <v>46097</v>
      </c>
      <c r="N7493">
        <f>IF(M7493="","",'Master Barang'!A87)</f>
        <v>0</v>
      </c>
      <c r="O7493">
        <f>IF(N7493="","",'Master Barang'!B87)</f>
        <v>0</v>
      </c>
      <c r="P7493">
        <f>IF(OR(M7493="",N7493=""),"",SUMIFS('Barang Keluar'!$E:$E,'Barang Keluar'!$A:$A,M7493,'Barang Keluar'!$C:$C,N7493))</f>
        <v>0</v>
      </c>
    </row>
    <row r="7494" spans="13:16">
      <c r="M7494" s="49">
        <f>IF($A$4+74&gt;$B$4,"",$A$4+74)</f>
        <v>46097</v>
      </c>
      <c r="N7494">
        <f>IF(M7494="","",'Master Barang'!A88)</f>
        <v>0</v>
      </c>
      <c r="O7494">
        <f>IF(N7494="","",'Master Barang'!B88)</f>
        <v>0</v>
      </c>
      <c r="P7494">
        <f>IF(OR(M7494="",N7494=""),"",SUMIFS('Barang Keluar'!$E:$E,'Barang Keluar'!$A:$A,M7494,'Barang Keluar'!$C:$C,N7494))</f>
        <v>0</v>
      </c>
    </row>
    <row r="7495" spans="13:16">
      <c r="M7495" s="49">
        <f>IF($A$4+74&gt;$B$4,"",$A$4+74)</f>
        <v>46097</v>
      </c>
      <c r="N7495">
        <f>IF(M7495="","",'Master Barang'!A89)</f>
        <v>0</v>
      </c>
      <c r="O7495">
        <f>IF(N7495="","",'Master Barang'!B89)</f>
        <v>0</v>
      </c>
      <c r="P7495">
        <f>IF(OR(M7495="",N7495=""),"",SUMIFS('Barang Keluar'!$E:$E,'Barang Keluar'!$A:$A,M7495,'Barang Keluar'!$C:$C,N7495))</f>
        <v>0</v>
      </c>
    </row>
    <row r="7496" spans="13:16">
      <c r="M7496" s="49">
        <f>IF($A$4+74&gt;$B$4,"",$A$4+74)</f>
        <v>46097</v>
      </c>
      <c r="N7496">
        <f>IF(M7496="","",'Master Barang'!A90)</f>
        <v>0</v>
      </c>
      <c r="O7496">
        <f>IF(N7496="","",'Master Barang'!B90)</f>
        <v>0</v>
      </c>
      <c r="P7496">
        <f>IF(OR(M7496="",N7496=""),"",SUMIFS('Barang Keluar'!$E:$E,'Barang Keluar'!$A:$A,M7496,'Barang Keluar'!$C:$C,N7496))</f>
        <v>0</v>
      </c>
    </row>
    <row r="7497" spans="13:16">
      <c r="M7497" s="49">
        <f>IF($A$4+74&gt;$B$4,"",$A$4+74)</f>
        <v>46097</v>
      </c>
      <c r="N7497">
        <f>IF(M7497="","",'Master Barang'!A91)</f>
        <v>0</v>
      </c>
      <c r="O7497">
        <f>IF(N7497="","",'Master Barang'!B91)</f>
        <v>0</v>
      </c>
      <c r="P7497">
        <f>IF(OR(M7497="",N7497=""),"",SUMIFS('Barang Keluar'!$E:$E,'Barang Keluar'!$A:$A,M7497,'Barang Keluar'!$C:$C,N7497))</f>
        <v>0</v>
      </c>
    </row>
    <row r="7498" spans="13:16">
      <c r="M7498" s="49">
        <f>IF($A$4+74&gt;$B$4,"",$A$4+74)</f>
        <v>46097</v>
      </c>
      <c r="N7498">
        <f>IF(M7498="","",'Master Barang'!A92)</f>
        <v>0</v>
      </c>
      <c r="O7498">
        <f>IF(N7498="","",'Master Barang'!B92)</f>
        <v>0</v>
      </c>
      <c r="P7498">
        <f>IF(OR(M7498="",N7498=""),"",SUMIFS('Barang Keluar'!$E:$E,'Barang Keluar'!$A:$A,M7498,'Barang Keluar'!$C:$C,N7498))</f>
        <v>0</v>
      </c>
    </row>
    <row r="7499" spans="13:16">
      <c r="M7499" s="49">
        <f>IF($A$4+74&gt;$B$4,"",$A$4+74)</f>
        <v>46097</v>
      </c>
      <c r="N7499">
        <f>IF(M7499="","",'Master Barang'!A93)</f>
        <v>0</v>
      </c>
      <c r="O7499">
        <f>IF(N7499="","",'Master Barang'!B93)</f>
        <v>0</v>
      </c>
      <c r="P7499">
        <f>IF(OR(M7499="",N7499=""),"",SUMIFS('Barang Keluar'!$E:$E,'Barang Keluar'!$A:$A,M7499,'Barang Keluar'!$C:$C,N7499))</f>
        <v>0</v>
      </c>
    </row>
    <row r="7500" spans="13:16">
      <c r="M7500" s="49">
        <f>IF($A$4+74&gt;$B$4,"",$A$4+74)</f>
        <v>46097</v>
      </c>
      <c r="N7500">
        <f>IF(M7500="","",'Master Barang'!A94)</f>
        <v>0</v>
      </c>
      <c r="O7500">
        <f>IF(N7500="","",'Master Barang'!B94)</f>
        <v>0</v>
      </c>
      <c r="P7500">
        <f>IF(OR(M7500="",N7500=""),"",SUMIFS('Barang Keluar'!$E:$E,'Barang Keluar'!$A:$A,M7500,'Barang Keluar'!$C:$C,N7500))</f>
        <v>0</v>
      </c>
    </row>
    <row r="7501" spans="13:16">
      <c r="M7501" s="49">
        <f>IF($A$4+74&gt;$B$4,"",$A$4+74)</f>
        <v>46097</v>
      </c>
      <c r="N7501">
        <f>IF(M7501="","",'Master Barang'!A95)</f>
        <v>0</v>
      </c>
      <c r="O7501">
        <f>IF(N7501="","",'Master Barang'!B95)</f>
        <v>0</v>
      </c>
      <c r="P7501">
        <f>IF(OR(M7501="",N7501=""),"",SUMIFS('Barang Keluar'!$E:$E,'Barang Keluar'!$A:$A,M7501,'Barang Keluar'!$C:$C,N7501))</f>
        <v>0</v>
      </c>
    </row>
    <row r="7502" spans="13:16">
      <c r="M7502" s="49">
        <f>IF($A$4+74&gt;$B$4,"",$A$4+74)</f>
        <v>46097</v>
      </c>
      <c r="N7502">
        <f>IF(M7502="","",'Master Barang'!A96)</f>
        <v>0</v>
      </c>
      <c r="O7502">
        <f>IF(N7502="","",'Master Barang'!B96)</f>
        <v>0</v>
      </c>
      <c r="P7502">
        <f>IF(OR(M7502="",N7502=""),"",SUMIFS('Barang Keluar'!$E:$E,'Barang Keluar'!$A:$A,M7502,'Barang Keluar'!$C:$C,N7502))</f>
        <v>0</v>
      </c>
    </row>
    <row r="7503" spans="13:16">
      <c r="M7503" s="49">
        <f>IF($A$4+74&gt;$B$4,"",$A$4+74)</f>
        <v>46097</v>
      </c>
      <c r="N7503">
        <f>IF(M7503="","",'Master Barang'!A97)</f>
        <v>0</v>
      </c>
      <c r="O7503">
        <f>IF(N7503="","",'Master Barang'!B97)</f>
        <v>0</v>
      </c>
      <c r="P7503">
        <f>IF(OR(M7503="",N7503=""),"",SUMIFS('Barang Keluar'!$E:$E,'Barang Keluar'!$A:$A,M7503,'Barang Keluar'!$C:$C,N7503))</f>
        <v>0</v>
      </c>
    </row>
    <row r="7504" spans="13:16">
      <c r="M7504" s="49">
        <f>IF($A$4+74&gt;$B$4,"",$A$4+74)</f>
        <v>46097</v>
      </c>
      <c r="N7504">
        <f>IF(M7504="","",'Master Barang'!A98)</f>
        <v>0</v>
      </c>
      <c r="O7504">
        <f>IF(N7504="","",'Master Barang'!B98)</f>
        <v>0</v>
      </c>
      <c r="P7504">
        <f>IF(OR(M7504="",N7504=""),"",SUMIFS('Barang Keluar'!$E:$E,'Barang Keluar'!$A:$A,M7504,'Barang Keluar'!$C:$C,N7504))</f>
        <v>0</v>
      </c>
    </row>
    <row r="7505" spans="13:16">
      <c r="M7505" s="49">
        <f>IF($A$4+74&gt;$B$4,"",$A$4+74)</f>
        <v>46097</v>
      </c>
      <c r="N7505">
        <f>IF(M7505="","",'Master Barang'!A99)</f>
        <v>0</v>
      </c>
      <c r="O7505">
        <f>IF(N7505="","",'Master Barang'!B99)</f>
        <v>0</v>
      </c>
      <c r="P7505">
        <f>IF(OR(M7505="",N7505=""),"",SUMIFS('Barang Keluar'!$E:$E,'Barang Keluar'!$A:$A,M7505,'Barang Keluar'!$C:$C,N7505))</f>
        <v>0</v>
      </c>
    </row>
    <row r="7506" spans="13:16">
      <c r="M7506" s="49">
        <f>IF($A$4+74&gt;$B$4,"",$A$4+74)</f>
        <v>46097</v>
      </c>
      <c r="N7506">
        <f>IF(M7506="","",'Master Barang'!A100)</f>
        <v>0</v>
      </c>
      <c r="O7506">
        <f>IF(N7506="","",'Master Barang'!B100)</f>
        <v>0</v>
      </c>
      <c r="P7506">
        <f>IF(OR(M7506="",N7506=""),"",SUMIFS('Barang Keluar'!$E:$E,'Barang Keluar'!$A:$A,M7506,'Barang Keluar'!$C:$C,N7506))</f>
        <v>0</v>
      </c>
    </row>
    <row r="7507" spans="13:16">
      <c r="M7507" s="49">
        <f>IF($A$4+74&gt;$B$4,"",$A$4+74)</f>
        <v>46097</v>
      </c>
      <c r="N7507">
        <f>IF(M7507="","",'Master Barang'!A101)</f>
        <v>0</v>
      </c>
      <c r="O7507">
        <f>IF(N7507="","",'Master Barang'!B101)</f>
        <v>0</v>
      </c>
      <c r="P7507">
        <f>IF(OR(M7507="",N7507=""),"",SUMIFS('Barang Keluar'!$E:$E,'Barang Keluar'!$A:$A,M7507,'Barang Keluar'!$C:$C,N7507))</f>
        <v>0</v>
      </c>
    </row>
    <row r="7508" spans="13:16">
      <c r="M7508" s="49">
        <f>IF($A$4+75&gt;$B$4,"",$A$4+75)</f>
        <v>46098</v>
      </c>
      <c r="N7508" t="str">
        <f>IF(M7508="","",'Master Barang'!A2)</f>
        <v>PRL-001</v>
      </c>
      <c r="O7508" t="str">
        <f>IF(N7508="","",'Master Barang'!B2)</f>
        <v>natura desinfectant food grade 5l</v>
      </c>
      <c r="P7508">
        <f>IF(OR(M7508="",N7508=""),"",SUMIFS('Barang Keluar'!$E:$E,'Barang Keluar'!$A:$A,M7508,'Barang Keluar'!$C:$C,N7508))</f>
        <v>0</v>
      </c>
    </row>
    <row r="7509" spans="13:16">
      <c r="M7509" s="49">
        <f>IF($A$4+75&gt;$B$4,"",$A$4+75)</f>
        <v>46098</v>
      </c>
      <c r="N7509" t="str">
        <f>IF(M7509="","",'Master Barang'!A3)</f>
        <v>PRL-002</v>
      </c>
      <c r="O7509" t="str">
        <f>IF(N7509="","",'Master Barang'!B3)</f>
        <v>sunlight cairan pencuci piring 5l</v>
      </c>
      <c r="P7509">
        <f>IF(OR(M7509="",N7509=""),"",SUMIFS('Barang Keluar'!$E:$E,'Barang Keluar'!$A:$A,M7509,'Barang Keluar'!$C:$C,N7509))</f>
        <v>0</v>
      </c>
    </row>
    <row r="7510" spans="13:16">
      <c r="M7510" s="49">
        <f>IF($A$4+75&gt;$B$4,"",$A$4+75)</f>
        <v>46098</v>
      </c>
      <c r="N7510" t="str">
        <f>IF(M7510="","",'Master Barang'!A4)</f>
        <v>PRL-003</v>
      </c>
      <c r="O7510" t="str">
        <f>IF(N7510="","",'Master Barang'!B4)</f>
        <v>oixs cleaner 1l</v>
      </c>
      <c r="P7510">
        <f>IF(OR(M7510="",N7510=""),"",SUMIFS('Barang Keluar'!$E:$E,'Barang Keluar'!$A:$A,M7510,'Barang Keluar'!$C:$C,N7510))</f>
        <v>0</v>
      </c>
    </row>
    <row r="7511" spans="13:16">
      <c r="M7511" s="49">
        <f>IF($A$4+75&gt;$B$4,"",$A$4+75)</f>
        <v>46098</v>
      </c>
      <c r="N7511" t="str">
        <f>IF(M7511="","",'Master Barang'!A5)</f>
        <v>PRL-004</v>
      </c>
      <c r="O7511" t="str">
        <f>IF(N7511="","",'Master Barang'!B5)</f>
        <v>be clean tissue serbaguna</v>
      </c>
      <c r="P7511">
        <f>IF(OR(M7511="",N7511=""),"",SUMIFS('Barang Keluar'!$E:$E,'Barang Keluar'!$A:$A,M7511,'Barang Keluar'!$C:$C,N7511))</f>
        <v>0</v>
      </c>
    </row>
    <row r="7512" spans="13:16">
      <c r="M7512" s="49">
        <f>IF($A$4+75&gt;$B$4,"",$A$4+75)</f>
        <v>46098</v>
      </c>
      <c r="N7512" t="str">
        <f>IF(M7512="","",'Master Barang'!A6)</f>
        <v>PRL-005</v>
      </c>
      <c r="O7512" t="str">
        <f>IF(N7512="","",'Master Barang'!B6)</f>
        <v>spons cuci hijau</v>
      </c>
      <c r="P7512">
        <f>IF(OR(M7512="",N7512=""),"",SUMIFS('Barang Keluar'!$E:$E,'Barang Keluar'!$A:$A,M7512,'Barang Keluar'!$C:$C,N7512))</f>
        <v>0</v>
      </c>
    </row>
    <row r="7513" spans="13:16">
      <c r="M7513" s="49">
        <f>IF($A$4+75&gt;$B$4,"",$A$4+75)</f>
        <v>46098</v>
      </c>
      <c r="N7513" t="str">
        <f>IF(M7513="","",'Master Barang'!A7)</f>
        <v>PRL-006</v>
      </c>
      <c r="O7513" t="str">
        <f>IF(N7513="","",'Master Barang'!B7)</f>
        <v>sabut cuci stainless</v>
      </c>
      <c r="P7513">
        <f>IF(OR(M7513="",N7513=""),"",SUMIFS('Barang Keluar'!$E:$E,'Barang Keluar'!$A:$A,M7513,'Barang Keluar'!$C:$C,N7513))</f>
        <v>0</v>
      </c>
    </row>
    <row r="7514" spans="13:16">
      <c r="M7514" s="49">
        <f>IF($A$4+75&gt;$B$4,"",$A$4+75)</f>
        <v>46098</v>
      </c>
      <c r="N7514" t="str">
        <f>IF(M7514="","",'Master Barang'!A8)</f>
        <v>PRL-007</v>
      </c>
      <c r="O7514" t="str">
        <f>IF(N7514="","",'Master Barang'!B8)</f>
        <v>plastik kresek besar merah 50pc</v>
      </c>
      <c r="P7514">
        <f>IF(OR(M7514="",N7514=""),"",SUMIFS('Barang Keluar'!$E:$E,'Barang Keluar'!$A:$A,M7514,'Barang Keluar'!$C:$C,N7514))</f>
        <v>0</v>
      </c>
    </row>
    <row r="7515" spans="13:16">
      <c r="M7515" s="49">
        <f>IF($A$4+75&gt;$B$4,"",$A$4+75)</f>
        <v>46098</v>
      </c>
      <c r="N7515" t="str">
        <f>IF(M7515="","",'Master Barang'!A9)</f>
        <v>PRL-008</v>
      </c>
      <c r="O7515" t="str">
        <f>IF(N7515="","",'Master Barang'!B9)</f>
        <v>lap besar</v>
      </c>
      <c r="P7515">
        <f>IF(OR(M7515="",N7515=""),"",SUMIFS('Barang Keluar'!$E:$E,'Barang Keluar'!$A:$A,M7515,'Barang Keluar'!$C:$C,N7515))</f>
        <v>0</v>
      </c>
    </row>
    <row r="7516" spans="13:16">
      <c r="M7516" s="49">
        <f>IF($A$4+75&gt;$B$4,"",$A$4+75)</f>
        <v>46098</v>
      </c>
      <c r="N7516" t="str">
        <f>IF(M7516="","",'Master Barang'!A10)</f>
        <v>PRL-009</v>
      </c>
      <c r="O7516" t="str">
        <f>IF(N7516="","",'Master Barang'!B10)</f>
        <v>lap microfiber</v>
      </c>
      <c r="P7516">
        <f>IF(OR(M7516="",N7516=""),"",SUMIFS('Barang Keluar'!$E:$E,'Barang Keluar'!$A:$A,M7516,'Barang Keluar'!$C:$C,N7516))</f>
        <v>0</v>
      </c>
    </row>
    <row r="7517" spans="13:16">
      <c r="M7517" s="49">
        <f>IF($A$4+75&gt;$B$4,"",$A$4+75)</f>
        <v>46098</v>
      </c>
      <c r="N7517" t="str">
        <f>IF(M7517="","",'Master Barang'!A11)</f>
        <v>PRL-010</v>
      </c>
      <c r="O7517" t="str">
        <f>IF(N7517="","",'Master Barang'!B11)</f>
        <v>lap kecil</v>
      </c>
      <c r="P7517">
        <f>IF(OR(M7517="",N7517=""),"",SUMIFS('Barang Keluar'!$E:$E,'Barang Keluar'!$A:$A,M7517,'Barang Keluar'!$C:$C,N7517))</f>
        <v>0</v>
      </c>
    </row>
    <row r="7518" spans="13:16">
      <c r="M7518" s="49">
        <f>IF($A$4+75&gt;$B$4,"",$A$4+75)</f>
        <v>46098</v>
      </c>
      <c r="N7518" t="str">
        <f>IF(M7518="","",'Master Barang'!A12)</f>
        <v>PRL-011</v>
      </c>
      <c r="O7518" t="str">
        <f>IF(N7518="","",'Master Barang'!B12)</f>
        <v>kanebo kecil</v>
      </c>
      <c r="P7518">
        <f>IF(OR(M7518="",N7518=""),"",SUMIFS('Barang Keluar'!$E:$E,'Barang Keluar'!$A:$A,M7518,'Barang Keluar'!$C:$C,N7518))</f>
        <v>0</v>
      </c>
    </row>
    <row r="7519" spans="13:16">
      <c r="M7519" s="49">
        <f>IF($A$4+75&gt;$B$4,"",$A$4+75)</f>
        <v>46098</v>
      </c>
      <c r="N7519" t="str">
        <f>IF(M7519="","",'Master Barang'!A13)</f>
        <v>PRL-012</v>
      </c>
      <c r="O7519" t="str">
        <f>IF(N7519="","",'Master Barang'!B13)</f>
        <v>plastik 1/4kg joyoboyo 100 lembar</v>
      </c>
      <c r="P7519">
        <f>IF(OR(M7519="",N7519=""),"",SUMIFS('Barang Keluar'!$E:$E,'Barang Keluar'!$A:$A,M7519,'Barang Keluar'!$C:$C,N7519))</f>
        <v>0</v>
      </c>
    </row>
    <row r="7520" spans="13:16">
      <c r="M7520" s="49">
        <f>IF($A$4+75&gt;$B$4,"",$A$4+75)</f>
        <v>46098</v>
      </c>
      <c r="N7520" t="str">
        <f>IF(M7520="","",'Master Barang'!A14)</f>
        <v>PRL-013</v>
      </c>
      <c r="O7520" t="str">
        <f>IF(N7520="","",'Master Barang'!B14)</f>
        <v>sarung tangan plastik kaka 100 pcs</v>
      </c>
      <c r="P7520">
        <f>IF(OR(M7520="",N7520=""),"",SUMIFS('Barang Keluar'!$E:$E,'Barang Keluar'!$A:$A,M7520,'Barang Keluar'!$C:$C,N7520))</f>
        <v>0</v>
      </c>
    </row>
    <row r="7521" spans="13:16">
      <c r="M7521" s="49">
        <f>IF($A$4+75&gt;$B$4,"",$A$4+75)</f>
        <v>46098</v>
      </c>
      <c r="N7521" t="str">
        <f>IF(M7521="","",'Master Barang'!A15)</f>
        <v>PRL-014</v>
      </c>
      <c r="O7521" t="str">
        <f>IF(N7521="","",'Master Barang'!B15)</f>
        <v>optima trashbag 80x100</v>
      </c>
      <c r="P7521">
        <f>IF(OR(M7521="",N7521=""),"",SUMIFS('Barang Keluar'!$E:$E,'Barang Keluar'!$A:$A,M7521,'Barang Keluar'!$C:$C,N7521))</f>
        <v>0</v>
      </c>
    </row>
    <row r="7522" spans="13:16">
      <c r="M7522" s="49">
        <f>IF($A$4+75&gt;$B$4,"",$A$4+75)</f>
        <v>46098</v>
      </c>
      <c r="N7522" t="str">
        <f>IF(M7522="","",'Master Barang'!A16)</f>
        <v>PRL-015</v>
      </c>
      <c r="O7522" t="str">
        <f>IF(N7522="","",'Master Barang'!B16)</f>
        <v>optima trashbag 60x100</v>
      </c>
      <c r="P7522">
        <f>IF(OR(M7522="",N7522=""),"",SUMIFS('Barang Keluar'!$E:$E,'Barang Keluar'!$A:$A,M7522,'Barang Keluar'!$C:$C,N7522))</f>
        <v>0</v>
      </c>
    </row>
    <row r="7523" spans="13:16">
      <c r="M7523" s="49">
        <f>IF($A$4+75&gt;$B$4,"",$A$4+75)</f>
        <v>46098</v>
      </c>
      <c r="N7523" t="str">
        <f>IF(M7523="","",'Master Barang'!A17)</f>
        <v>PRL-016</v>
      </c>
      <c r="O7523" t="str">
        <f>IF(N7523="","",'Master Barang'!B17)</f>
        <v>rajawali trashbag 30x40</v>
      </c>
      <c r="P7523">
        <f>IF(OR(M7523="",N7523=""),"",SUMIFS('Barang Keluar'!$E:$E,'Barang Keluar'!$A:$A,M7523,'Barang Keluar'!$C:$C,N7523))</f>
        <v>0</v>
      </c>
    </row>
    <row r="7524" spans="13:16">
      <c r="M7524" s="49">
        <f>IF($A$4+75&gt;$B$4,"",$A$4+75)</f>
        <v>46098</v>
      </c>
      <c r="N7524" t="str">
        <f>IF(M7524="","",'Master Barang'!A18)</f>
        <v>PRL-017</v>
      </c>
      <c r="O7524" t="str">
        <f>IF(N7524="","",'Master Barang'!B18)</f>
        <v>onemed masker biru 3 play 50 pcs</v>
      </c>
      <c r="P7524">
        <f>IF(OR(M7524="",N7524=""),"",SUMIFS('Barang Keluar'!$E:$E,'Barang Keluar'!$A:$A,M7524,'Barang Keluar'!$C:$C,N7524))</f>
        <v>0</v>
      </c>
    </row>
    <row r="7525" spans="13:16">
      <c r="M7525" s="49">
        <f>IF($A$4+75&gt;$B$4,"",$A$4+75)</f>
        <v>46098</v>
      </c>
      <c r="N7525" t="str">
        <f>IF(M7525="","",'Master Barang'!A19)</f>
        <v>PRL-018</v>
      </c>
      <c r="O7525" t="str">
        <f>IF(N7525="","",'Master Barang'!B19)</f>
        <v>onemed masker biru 3 play hijab 50 pcs</v>
      </c>
      <c r="P7525">
        <f>IF(OR(M7525="",N7525=""),"",SUMIFS('Barang Keluar'!$E:$E,'Barang Keluar'!$A:$A,M7525,'Barang Keluar'!$C:$C,N7525))</f>
        <v>0</v>
      </c>
    </row>
    <row r="7526" spans="13:16">
      <c r="M7526" s="49">
        <f>IF($A$4+75&gt;$B$4,"",$A$4+75)</f>
        <v>46098</v>
      </c>
      <c r="N7526" t="str">
        <f>IF(M7526="","",'Master Barang'!A20)</f>
        <v>PRL-019</v>
      </c>
      <c r="O7526" t="str">
        <f>IF(N7526="","",'Master Barang'!B20)</f>
        <v>neo health masker biru 3 play 50 pcs</v>
      </c>
      <c r="P7526">
        <f>IF(OR(M7526="",N7526=""),"",SUMIFS('Barang Keluar'!$E:$E,'Barang Keluar'!$A:$A,M7526,'Barang Keluar'!$C:$C,N7526))</f>
        <v>0</v>
      </c>
    </row>
    <row r="7527" spans="13:16">
      <c r="M7527" s="49">
        <f>IF($A$4+75&gt;$B$4,"",$A$4+75)</f>
        <v>46098</v>
      </c>
      <c r="N7527" t="str">
        <f>IF(M7527="","",'Master Barang'!A21)</f>
        <v>PRL-020</v>
      </c>
      <c r="O7527" t="str">
        <f>IF(N7527="","",'Master Barang'!B21)</f>
        <v>baymed masker hijau 3 play hijau 50 pcs</v>
      </c>
      <c r="P7527">
        <f>IF(OR(M7527="",N7527=""),"",SUMIFS('Barang Keluar'!$E:$E,'Barang Keluar'!$A:$A,M7527,'Barang Keluar'!$C:$C,N7527))</f>
        <v>0</v>
      </c>
    </row>
    <row r="7528" spans="13:16">
      <c r="M7528" s="49">
        <f>IF($A$4+75&gt;$B$4,"",$A$4+75)</f>
        <v>46098</v>
      </c>
      <c r="N7528" t="str">
        <f>IF(M7528="","",'Master Barang'!A22)</f>
        <v>PRL-021</v>
      </c>
      <c r="O7528" t="str">
        <f>IF(N7528="","",'Master Barang'!B22)</f>
        <v>altamed nurse cap penutup kepala 100 pcs</v>
      </c>
      <c r="P7528">
        <f>IF(OR(M7528="",N7528=""),"",SUMIFS('Barang Keluar'!$E:$E,'Barang Keluar'!$A:$A,M7528,'Barang Keluar'!$C:$C,N7528))</f>
        <v>0</v>
      </c>
    </row>
    <row r="7529" spans="13:16">
      <c r="M7529" s="49">
        <f>IF($A$4+75&gt;$B$4,"",$A$4+75)</f>
        <v>46098</v>
      </c>
      <c r="N7529" t="str">
        <f>IF(M7529="","",'Master Barang'!A23)</f>
        <v>PRL-022</v>
      </c>
      <c r="O7529" t="str">
        <f>IF(N7529="","",'Master Barang'!B23)</f>
        <v>sabun cuci tangan</v>
      </c>
      <c r="P7529">
        <f>IF(OR(M7529="",N7529=""),"",SUMIFS('Barang Keluar'!$E:$E,'Barang Keluar'!$A:$A,M7529,'Barang Keluar'!$C:$C,N7529))</f>
        <v>0</v>
      </c>
    </row>
    <row r="7530" spans="13:16">
      <c r="M7530" s="49">
        <f>IF($A$4+75&gt;$B$4,"",$A$4+75)</f>
        <v>46098</v>
      </c>
      <c r="N7530" t="str">
        <f>IF(M7530="","",'Master Barang'!A24)</f>
        <v>PRL-023</v>
      </c>
      <c r="O7530" t="str">
        <f>IF(N7530="","",'Master Barang'!B24)</f>
        <v>gayung kecil</v>
      </c>
      <c r="P7530">
        <f>IF(OR(M7530="",N7530=""),"",SUMIFS('Barang Keluar'!$E:$E,'Barang Keluar'!$A:$A,M7530,'Barang Keluar'!$C:$C,N7530))</f>
        <v>0</v>
      </c>
    </row>
    <row r="7531" spans="13:16">
      <c r="M7531" s="49">
        <f>IF($A$4+75&gt;$B$4,"",$A$4+75)</f>
        <v>46098</v>
      </c>
      <c r="N7531" t="str">
        <f>IF(M7531="","",'Master Barang'!A25)</f>
        <v>PRL-024</v>
      </c>
      <c r="O7531" t="str">
        <f>IF(N7531="","",'Master Barang'!B25)</f>
        <v>cikrak kecil</v>
      </c>
      <c r="P7531">
        <f>IF(OR(M7531="",N7531=""),"",SUMIFS('Barang Keluar'!$E:$E,'Barang Keluar'!$A:$A,M7531,'Barang Keluar'!$C:$C,N7531))</f>
        <v>0</v>
      </c>
    </row>
    <row r="7532" spans="13:16">
      <c r="M7532" s="49">
        <f>IF($A$4+75&gt;$B$4,"",$A$4+75)</f>
        <v>46098</v>
      </c>
      <c r="N7532" t="str">
        <f>IF(M7532="","",'Master Barang'!A26)</f>
        <v>PRL-025</v>
      </c>
      <c r="O7532" t="str">
        <f>IF(N7532="","",'Master Barang'!B26)</f>
        <v>petromax plastik kecil 12x24 100 lembar</v>
      </c>
      <c r="P7532">
        <f>IF(OR(M7532="",N7532=""),"",SUMIFS('Barang Keluar'!$E:$E,'Barang Keluar'!$A:$A,M7532,'Barang Keluar'!$C:$C,N7532))</f>
        <v>0</v>
      </c>
    </row>
    <row r="7533" spans="13:16">
      <c r="M7533" s="49">
        <f>IF($A$4+75&gt;$B$4,"",$A$4+75)</f>
        <v>46098</v>
      </c>
      <c r="N7533" t="str">
        <f>IF(M7533="","",'Master Barang'!A27)</f>
        <v>PRL-026</v>
      </c>
      <c r="O7533" t="str">
        <f>IF(N7533="","",'Master Barang'!B27)</f>
        <v>lancar kresek kecil bening </v>
      </c>
      <c r="P7533">
        <f>IF(OR(M7533="",N7533=""),"",SUMIFS('Barang Keluar'!$E:$E,'Barang Keluar'!$A:$A,M7533,'Barang Keluar'!$C:$C,N7533))</f>
        <v>0</v>
      </c>
    </row>
    <row r="7534" spans="13:16">
      <c r="M7534" s="49">
        <f>IF($A$4+75&gt;$B$4,"",$A$4+75)</f>
        <v>46098</v>
      </c>
      <c r="N7534" t="str">
        <f>IF(M7534="","",'Master Barang'!A28)</f>
        <v>PRL-027</v>
      </c>
      <c r="O7534" t="str">
        <f>IF(N7534="","",'Master Barang'!B28)</f>
        <v>kresek klin warna warni kecil</v>
      </c>
      <c r="P7534">
        <f>IF(OR(M7534="",N7534=""),"",SUMIFS('Barang Keluar'!$E:$E,'Barang Keluar'!$A:$A,M7534,'Barang Keluar'!$C:$C,N7534))</f>
        <v>0</v>
      </c>
    </row>
    <row r="7535" spans="13:16">
      <c r="M7535" s="49">
        <f>IF($A$4+75&gt;$B$4,"",$A$4+75)</f>
        <v>46098</v>
      </c>
      <c r="N7535" t="str">
        <f>IF(M7535="","",'Master Barang'!A29)</f>
        <v>PRL-028</v>
      </c>
      <c r="O7535" t="str">
        <f>IF(N7535="","",'Master Barang'!B29)</f>
        <v>ctik plastik 7x10 100 pcs</v>
      </c>
      <c r="P7535">
        <f>IF(OR(M7535="",N7535=""),"",SUMIFS('Barang Keluar'!$E:$E,'Barang Keluar'!$A:$A,M7535,'Barang Keluar'!$C:$C,N7535))</f>
        <v>0</v>
      </c>
    </row>
    <row r="7536" spans="13:16">
      <c r="M7536" s="49">
        <f>IF($A$4+75&gt;$B$4,"",$A$4+75)</f>
        <v>46098</v>
      </c>
      <c r="N7536" t="str">
        <f>IF(M7536="","",'Master Barang'!A30)</f>
        <v>PRL-029</v>
      </c>
      <c r="O7536" t="str">
        <f>IF(N7536="","",'Master Barang'!B30)</f>
        <v>ctik plastik 6x10 100 pcs</v>
      </c>
      <c r="P7536">
        <f>IF(OR(M7536="",N7536=""),"",SUMIFS('Barang Keluar'!$E:$E,'Barang Keluar'!$A:$A,M7536,'Barang Keluar'!$C:$C,N7536))</f>
        <v>0</v>
      </c>
    </row>
    <row r="7537" spans="13:16">
      <c r="M7537" s="49">
        <f>IF($A$4+75&gt;$B$4,"",$A$4+75)</f>
        <v>46098</v>
      </c>
      <c r="N7537" t="str">
        <f>IF(M7537="","",'Master Barang'!A31)</f>
        <v>PRL-030</v>
      </c>
      <c r="O7537" t="str">
        <f>IF(N7537="","",'Master Barang'!B31)</f>
        <v>klip plastik 25x16 100 pcs</v>
      </c>
      <c r="P7537">
        <f>IF(OR(M7537="",N7537=""),"",SUMIFS('Barang Keluar'!$E:$E,'Barang Keluar'!$A:$A,M7537,'Barang Keluar'!$C:$C,N7537))</f>
        <v>0</v>
      </c>
    </row>
    <row r="7538" spans="13:16">
      <c r="M7538" s="49">
        <f>IF($A$4+75&gt;$B$4,"",$A$4+75)</f>
        <v>46098</v>
      </c>
      <c r="N7538" t="str">
        <f>IF(M7538="","",'Master Barang'!A32)</f>
        <v>PRL-031</v>
      </c>
      <c r="O7538" t="str">
        <f>IF(N7538="","",'Master Barang'!B32)</f>
        <v>tempat saus 20 ml</v>
      </c>
      <c r="P7538">
        <f>IF(OR(M7538="",N7538=""),"",SUMIFS('Barang Keluar'!$E:$E,'Barang Keluar'!$A:$A,M7538,'Barang Keluar'!$C:$C,N7538))</f>
        <v>0</v>
      </c>
    </row>
    <row r="7539" spans="13:16">
      <c r="M7539" s="49">
        <f>IF($A$4+75&gt;$B$4,"",$A$4+75)</f>
        <v>46098</v>
      </c>
      <c r="N7539" t="str">
        <f>IF(M7539="","",'Master Barang'!A33)</f>
        <v>PRL-032</v>
      </c>
      <c r="O7539" t="str">
        <f>IF(N7539="","",'Master Barang'!B33)</f>
        <v>plastik packaging ag box uk sedang</v>
      </c>
      <c r="P7539">
        <f>IF(OR(M7539="",N7539=""),"",SUMIFS('Barang Keluar'!$E:$E,'Barang Keluar'!$A:$A,M7539,'Barang Keluar'!$C:$C,N7539))</f>
        <v>0</v>
      </c>
    </row>
    <row r="7540" spans="13:16">
      <c r="M7540" s="49">
        <f>IF($A$4+75&gt;$B$4,"",$A$4+75)</f>
        <v>46098</v>
      </c>
      <c r="N7540" t="str">
        <f>IF(M7540="","",'Master Barang'!A34)</f>
        <v>PRL-033</v>
      </c>
      <c r="O7540">
        <f>IF(N7540="","",'Master Barang'!B34)</f>
        <v>0</v>
      </c>
      <c r="P7540">
        <f>IF(OR(M7540="",N7540=""),"",SUMIFS('Barang Keluar'!$E:$E,'Barang Keluar'!$A:$A,M7540,'Barang Keluar'!$C:$C,N7540))</f>
        <v>0</v>
      </c>
    </row>
    <row r="7541" spans="13:16">
      <c r="M7541" s="49">
        <f>IF($A$4+75&gt;$B$4,"",$A$4+75)</f>
        <v>46098</v>
      </c>
      <c r="N7541">
        <f>IF(M7541="","",'Master Barang'!A35)</f>
        <v>0</v>
      </c>
      <c r="O7541">
        <f>IF(N7541="","",'Master Barang'!B35)</f>
        <v>0</v>
      </c>
      <c r="P7541">
        <f>IF(OR(M7541="",N7541=""),"",SUMIFS('Barang Keluar'!$E:$E,'Barang Keluar'!$A:$A,M7541,'Barang Keluar'!$C:$C,N7541))</f>
        <v>0</v>
      </c>
    </row>
    <row r="7542" spans="13:16">
      <c r="M7542" s="49">
        <f>IF($A$4+75&gt;$B$4,"",$A$4+75)</f>
        <v>46098</v>
      </c>
      <c r="N7542">
        <f>IF(M7542="","",'Master Barang'!A36)</f>
        <v>0</v>
      </c>
      <c r="O7542">
        <f>IF(N7542="","",'Master Barang'!B36)</f>
        <v>0</v>
      </c>
      <c r="P7542">
        <f>IF(OR(M7542="",N7542=""),"",SUMIFS('Barang Keluar'!$E:$E,'Barang Keluar'!$A:$A,M7542,'Barang Keluar'!$C:$C,N7542))</f>
        <v>0</v>
      </c>
    </row>
    <row r="7543" spans="13:16">
      <c r="M7543" s="49">
        <f>IF($A$4+75&gt;$B$4,"",$A$4+75)</f>
        <v>46098</v>
      </c>
      <c r="N7543">
        <f>IF(M7543="","",'Master Barang'!A37)</f>
        <v>0</v>
      </c>
      <c r="O7543">
        <f>IF(N7543="","",'Master Barang'!B37)</f>
        <v>0</v>
      </c>
      <c r="P7543">
        <f>IF(OR(M7543="",N7543=""),"",SUMIFS('Barang Keluar'!$E:$E,'Barang Keluar'!$A:$A,M7543,'Barang Keluar'!$C:$C,N7543))</f>
        <v>0</v>
      </c>
    </row>
    <row r="7544" spans="13:16">
      <c r="M7544" s="49">
        <f>IF($A$4+75&gt;$B$4,"",$A$4+75)</f>
        <v>46098</v>
      </c>
      <c r="N7544">
        <f>IF(M7544="","",'Master Barang'!A38)</f>
        <v>0</v>
      </c>
      <c r="O7544">
        <f>IF(N7544="","",'Master Barang'!B38)</f>
        <v>0</v>
      </c>
      <c r="P7544">
        <f>IF(OR(M7544="",N7544=""),"",SUMIFS('Barang Keluar'!$E:$E,'Barang Keluar'!$A:$A,M7544,'Barang Keluar'!$C:$C,N7544))</f>
        <v>0</v>
      </c>
    </row>
    <row r="7545" spans="13:16">
      <c r="M7545" s="49">
        <f>IF($A$4+75&gt;$B$4,"",$A$4+75)</f>
        <v>46098</v>
      </c>
      <c r="N7545">
        <f>IF(M7545="","",'Master Barang'!A39)</f>
        <v>0</v>
      </c>
      <c r="O7545">
        <f>IF(N7545="","",'Master Barang'!B39)</f>
        <v>0</v>
      </c>
      <c r="P7545">
        <f>IF(OR(M7545="",N7545=""),"",SUMIFS('Barang Keluar'!$E:$E,'Barang Keluar'!$A:$A,M7545,'Barang Keluar'!$C:$C,N7545))</f>
        <v>0</v>
      </c>
    </row>
    <row r="7546" spans="13:16">
      <c r="M7546" s="49">
        <f>IF($A$4+75&gt;$B$4,"",$A$4+75)</f>
        <v>46098</v>
      </c>
      <c r="N7546">
        <f>IF(M7546="","",'Master Barang'!A40)</f>
        <v>0</v>
      </c>
      <c r="O7546">
        <f>IF(N7546="","",'Master Barang'!B40)</f>
        <v>0</v>
      </c>
      <c r="P7546">
        <f>IF(OR(M7546="",N7546=""),"",SUMIFS('Barang Keluar'!$E:$E,'Barang Keluar'!$A:$A,M7546,'Barang Keluar'!$C:$C,N7546))</f>
        <v>0</v>
      </c>
    </row>
    <row r="7547" spans="13:16">
      <c r="M7547" s="49">
        <f>IF($A$4+75&gt;$B$4,"",$A$4+75)</f>
        <v>46098</v>
      </c>
      <c r="N7547">
        <f>IF(M7547="","",'Master Barang'!A41)</f>
        <v>0</v>
      </c>
      <c r="O7547">
        <f>IF(N7547="","",'Master Barang'!B41)</f>
        <v>0</v>
      </c>
      <c r="P7547">
        <f>IF(OR(M7547="",N7547=""),"",SUMIFS('Barang Keluar'!$E:$E,'Barang Keluar'!$A:$A,M7547,'Barang Keluar'!$C:$C,N7547))</f>
        <v>0</v>
      </c>
    </row>
    <row r="7548" spans="13:16">
      <c r="M7548" s="49">
        <f>IF($A$4+75&gt;$B$4,"",$A$4+75)</f>
        <v>46098</v>
      </c>
      <c r="N7548">
        <f>IF(M7548="","",'Master Barang'!A42)</f>
        <v>0</v>
      </c>
      <c r="O7548">
        <f>IF(N7548="","",'Master Barang'!B42)</f>
        <v>0</v>
      </c>
      <c r="P7548">
        <f>IF(OR(M7548="",N7548=""),"",SUMIFS('Barang Keluar'!$E:$E,'Barang Keluar'!$A:$A,M7548,'Barang Keluar'!$C:$C,N7548))</f>
        <v>0</v>
      </c>
    </row>
    <row r="7549" spans="13:16">
      <c r="M7549" s="49">
        <f>IF($A$4+75&gt;$B$4,"",$A$4+75)</f>
        <v>46098</v>
      </c>
      <c r="N7549">
        <f>IF(M7549="","",'Master Barang'!A43)</f>
        <v>0</v>
      </c>
      <c r="O7549">
        <f>IF(N7549="","",'Master Barang'!B43)</f>
        <v>0</v>
      </c>
      <c r="P7549">
        <f>IF(OR(M7549="",N7549=""),"",SUMIFS('Barang Keluar'!$E:$E,'Barang Keluar'!$A:$A,M7549,'Barang Keluar'!$C:$C,N7549))</f>
        <v>0</v>
      </c>
    </row>
    <row r="7550" spans="13:16">
      <c r="M7550" s="49">
        <f>IF($A$4+75&gt;$B$4,"",$A$4+75)</f>
        <v>46098</v>
      </c>
      <c r="N7550">
        <f>IF(M7550="","",'Master Barang'!A44)</f>
        <v>0</v>
      </c>
      <c r="O7550">
        <f>IF(N7550="","",'Master Barang'!B44)</f>
        <v>0</v>
      </c>
      <c r="P7550">
        <f>IF(OR(M7550="",N7550=""),"",SUMIFS('Barang Keluar'!$E:$E,'Barang Keluar'!$A:$A,M7550,'Barang Keluar'!$C:$C,N7550))</f>
        <v>0</v>
      </c>
    </row>
    <row r="7551" spans="13:16">
      <c r="M7551" s="49">
        <f>IF($A$4+75&gt;$B$4,"",$A$4+75)</f>
        <v>46098</v>
      </c>
      <c r="N7551">
        <f>IF(M7551="","",'Master Barang'!A45)</f>
        <v>0</v>
      </c>
      <c r="O7551">
        <f>IF(N7551="","",'Master Barang'!B45)</f>
        <v>0</v>
      </c>
      <c r="P7551">
        <f>IF(OR(M7551="",N7551=""),"",SUMIFS('Barang Keluar'!$E:$E,'Barang Keluar'!$A:$A,M7551,'Barang Keluar'!$C:$C,N7551))</f>
        <v>0</v>
      </c>
    </row>
    <row r="7552" spans="13:16">
      <c r="M7552" s="49">
        <f>IF($A$4+75&gt;$B$4,"",$A$4+75)</f>
        <v>46098</v>
      </c>
      <c r="N7552">
        <f>IF(M7552="","",'Master Barang'!A46)</f>
        <v>0</v>
      </c>
      <c r="O7552">
        <f>IF(N7552="","",'Master Barang'!B46)</f>
        <v>0</v>
      </c>
      <c r="P7552">
        <f>IF(OR(M7552="",N7552=""),"",SUMIFS('Barang Keluar'!$E:$E,'Barang Keluar'!$A:$A,M7552,'Barang Keluar'!$C:$C,N7552))</f>
        <v>0</v>
      </c>
    </row>
    <row r="7553" spans="13:16">
      <c r="M7553" s="49">
        <f>IF($A$4+75&gt;$B$4,"",$A$4+75)</f>
        <v>46098</v>
      </c>
      <c r="N7553">
        <f>IF(M7553="","",'Master Barang'!A47)</f>
        <v>0</v>
      </c>
      <c r="O7553">
        <f>IF(N7553="","",'Master Barang'!B47)</f>
        <v>0</v>
      </c>
      <c r="P7553">
        <f>IF(OR(M7553="",N7553=""),"",SUMIFS('Barang Keluar'!$E:$E,'Barang Keluar'!$A:$A,M7553,'Barang Keluar'!$C:$C,N7553))</f>
        <v>0</v>
      </c>
    </row>
    <row r="7554" spans="13:16">
      <c r="M7554" s="49">
        <f>IF($A$4+75&gt;$B$4,"",$A$4+75)</f>
        <v>46098</v>
      </c>
      <c r="N7554">
        <f>IF(M7554="","",'Master Barang'!A48)</f>
        <v>0</v>
      </c>
      <c r="O7554">
        <f>IF(N7554="","",'Master Barang'!B48)</f>
        <v>0</v>
      </c>
      <c r="P7554">
        <f>IF(OR(M7554="",N7554=""),"",SUMIFS('Barang Keluar'!$E:$E,'Barang Keluar'!$A:$A,M7554,'Barang Keluar'!$C:$C,N7554))</f>
        <v>0</v>
      </c>
    </row>
    <row r="7555" spans="13:16">
      <c r="M7555" s="49">
        <f>IF($A$4+75&gt;$B$4,"",$A$4+75)</f>
        <v>46098</v>
      </c>
      <c r="N7555">
        <f>IF(M7555="","",'Master Barang'!A49)</f>
        <v>0</v>
      </c>
      <c r="O7555">
        <f>IF(N7555="","",'Master Barang'!B49)</f>
        <v>0</v>
      </c>
      <c r="P7555">
        <f>IF(OR(M7555="",N7555=""),"",SUMIFS('Barang Keluar'!$E:$E,'Barang Keluar'!$A:$A,M7555,'Barang Keluar'!$C:$C,N7555))</f>
        <v>0</v>
      </c>
    </row>
    <row r="7556" spans="13:16">
      <c r="M7556" s="49">
        <f>IF($A$4+75&gt;$B$4,"",$A$4+75)</f>
        <v>46098</v>
      </c>
      <c r="N7556">
        <f>IF(M7556="","",'Master Barang'!A50)</f>
        <v>0</v>
      </c>
      <c r="O7556">
        <f>IF(N7556="","",'Master Barang'!B50)</f>
        <v>0</v>
      </c>
      <c r="P7556">
        <f>IF(OR(M7556="",N7556=""),"",SUMIFS('Barang Keluar'!$E:$E,'Barang Keluar'!$A:$A,M7556,'Barang Keluar'!$C:$C,N7556))</f>
        <v>0</v>
      </c>
    </row>
    <row r="7557" spans="13:16">
      <c r="M7557" s="49">
        <f>IF($A$4+75&gt;$B$4,"",$A$4+75)</f>
        <v>46098</v>
      </c>
      <c r="N7557">
        <f>IF(M7557="","",'Master Barang'!A51)</f>
        <v>0</v>
      </c>
      <c r="O7557">
        <f>IF(N7557="","",'Master Barang'!B51)</f>
        <v>0</v>
      </c>
      <c r="P7557">
        <f>IF(OR(M7557="",N7557=""),"",SUMIFS('Barang Keluar'!$E:$E,'Barang Keluar'!$A:$A,M7557,'Barang Keluar'!$C:$C,N7557))</f>
        <v>0</v>
      </c>
    </row>
    <row r="7558" spans="13:16">
      <c r="M7558" s="49">
        <f>IF($A$4+75&gt;$B$4,"",$A$4+75)</f>
        <v>46098</v>
      </c>
      <c r="N7558">
        <f>IF(M7558="","",'Master Barang'!A52)</f>
        <v>0</v>
      </c>
      <c r="O7558">
        <f>IF(N7558="","",'Master Barang'!B52)</f>
        <v>0</v>
      </c>
      <c r="P7558">
        <f>IF(OR(M7558="",N7558=""),"",SUMIFS('Barang Keluar'!$E:$E,'Barang Keluar'!$A:$A,M7558,'Barang Keluar'!$C:$C,N7558))</f>
        <v>0</v>
      </c>
    </row>
    <row r="7559" spans="13:16">
      <c r="M7559" s="49">
        <f>IF($A$4+75&gt;$B$4,"",$A$4+75)</f>
        <v>46098</v>
      </c>
      <c r="N7559">
        <f>IF(M7559="","",'Master Barang'!A53)</f>
        <v>0</v>
      </c>
      <c r="O7559">
        <f>IF(N7559="","",'Master Barang'!B53)</f>
        <v>0</v>
      </c>
      <c r="P7559">
        <f>IF(OR(M7559="",N7559=""),"",SUMIFS('Barang Keluar'!$E:$E,'Barang Keluar'!$A:$A,M7559,'Barang Keluar'!$C:$C,N7559))</f>
        <v>0</v>
      </c>
    </row>
    <row r="7560" spans="13:16">
      <c r="M7560" s="49">
        <f>IF($A$4+75&gt;$B$4,"",$A$4+75)</f>
        <v>46098</v>
      </c>
      <c r="N7560">
        <f>IF(M7560="","",'Master Barang'!A54)</f>
        <v>0</v>
      </c>
      <c r="O7560">
        <f>IF(N7560="","",'Master Barang'!B54)</f>
        <v>0</v>
      </c>
      <c r="P7560">
        <f>IF(OR(M7560="",N7560=""),"",SUMIFS('Barang Keluar'!$E:$E,'Barang Keluar'!$A:$A,M7560,'Barang Keluar'!$C:$C,N7560))</f>
        <v>0</v>
      </c>
    </row>
    <row r="7561" spans="13:16">
      <c r="M7561" s="49">
        <f>IF($A$4+75&gt;$B$4,"",$A$4+75)</f>
        <v>46098</v>
      </c>
      <c r="N7561">
        <f>IF(M7561="","",'Master Barang'!A55)</f>
        <v>0</v>
      </c>
      <c r="O7561">
        <f>IF(N7561="","",'Master Barang'!B55)</f>
        <v>0</v>
      </c>
      <c r="P7561">
        <f>IF(OR(M7561="",N7561=""),"",SUMIFS('Barang Keluar'!$E:$E,'Barang Keluar'!$A:$A,M7561,'Barang Keluar'!$C:$C,N7561))</f>
        <v>0</v>
      </c>
    </row>
    <row r="7562" spans="13:16">
      <c r="M7562" s="49">
        <f>IF($A$4+75&gt;$B$4,"",$A$4+75)</f>
        <v>46098</v>
      </c>
      <c r="N7562">
        <f>IF(M7562="","",'Master Barang'!A56)</f>
        <v>0</v>
      </c>
      <c r="O7562">
        <f>IF(N7562="","",'Master Barang'!B56)</f>
        <v>0</v>
      </c>
      <c r="P7562">
        <f>IF(OR(M7562="",N7562=""),"",SUMIFS('Barang Keluar'!$E:$E,'Barang Keluar'!$A:$A,M7562,'Barang Keluar'!$C:$C,N7562))</f>
        <v>0</v>
      </c>
    </row>
    <row r="7563" spans="13:16">
      <c r="M7563" s="49">
        <f>IF($A$4+75&gt;$B$4,"",$A$4+75)</f>
        <v>46098</v>
      </c>
      <c r="N7563">
        <f>IF(M7563="","",'Master Barang'!A57)</f>
        <v>0</v>
      </c>
      <c r="O7563">
        <f>IF(N7563="","",'Master Barang'!B57)</f>
        <v>0</v>
      </c>
      <c r="P7563">
        <f>IF(OR(M7563="",N7563=""),"",SUMIFS('Barang Keluar'!$E:$E,'Barang Keluar'!$A:$A,M7563,'Barang Keluar'!$C:$C,N7563))</f>
        <v>0</v>
      </c>
    </row>
    <row r="7564" spans="13:16">
      <c r="M7564" s="49">
        <f>IF($A$4+75&gt;$B$4,"",$A$4+75)</f>
        <v>46098</v>
      </c>
      <c r="N7564">
        <f>IF(M7564="","",'Master Barang'!A58)</f>
        <v>0</v>
      </c>
      <c r="O7564">
        <f>IF(N7564="","",'Master Barang'!B58)</f>
        <v>0</v>
      </c>
      <c r="P7564">
        <f>IF(OR(M7564="",N7564=""),"",SUMIFS('Barang Keluar'!$E:$E,'Barang Keluar'!$A:$A,M7564,'Barang Keluar'!$C:$C,N7564))</f>
        <v>0</v>
      </c>
    </row>
    <row r="7565" spans="13:16">
      <c r="M7565" s="49">
        <f>IF($A$4+75&gt;$B$4,"",$A$4+75)</f>
        <v>46098</v>
      </c>
      <c r="N7565">
        <f>IF(M7565="","",'Master Barang'!A59)</f>
        <v>0</v>
      </c>
      <c r="O7565">
        <f>IF(N7565="","",'Master Barang'!B59)</f>
        <v>0</v>
      </c>
      <c r="P7565">
        <f>IF(OR(M7565="",N7565=""),"",SUMIFS('Barang Keluar'!$E:$E,'Barang Keluar'!$A:$A,M7565,'Barang Keluar'!$C:$C,N7565))</f>
        <v>0</v>
      </c>
    </row>
    <row r="7566" spans="13:16">
      <c r="M7566" s="49">
        <f>IF($A$4+75&gt;$B$4,"",$A$4+75)</f>
        <v>46098</v>
      </c>
      <c r="N7566">
        <f>IF(M7566="","",'Master Barang'!A60)</f>
        <v>0</v>
      </c>
      <c r="O7566">
        <f>IF(N7566="","",'Master Barang'!B60)</f>
        <v>0</v>
      </c>
      <c r="P7566">
        <f>IF(OR(M7566="",N7566=""),"",SUMIFS('Barang Keluar'!$E:$E,'Barang Keluar'!$A:$A,M7566,'Barang Keluar'!$C:$C,N7566))</f>
        <v>0</v>
      </c>
    </row>
    <row r="7567" spans="13:16">
      <c r="M7567" s="49">
        <f>IF($A$4+75&gt;$B$4,"",$A$4+75)</f>
        <v>46098</v>
      </c>
      <c r="N7567">
        <f>IF(M7567="","",'Master Barang'!A61)</f>
        <v>0</v>
      </c>
      <c r="O7567">
        <f>IF(N7567="","",'Master Barang'!B61)</f>
        <v>0</v>
      </c>
      <c r="P7567">
        <f>IF(OR(M7567="",N7567=""),"",SUMIFS('Barang Keluar'!$E:$E,'Barang Keluar'!$A:$A,M7567,'Barang Keluar'!$C:$C,N7567))</f>
        <v>0</v>
      </c>
    </row>
    <row r="7568" spans="13:16">
      <c r="M7568" s="49">
        <f>IF($A$4+75&gt;$B$4,"",$A$4+75)</f>
        <v>46098</v>
      </c>
      <c r="N7568">
        <f>IF(M7568="","",'Master Barang'!A62)</f>
        <v>0</v>
      </c>
      <c r="O7568">
        <f>IF(N7568="","",'Master Barang'!B62)</f>
        <v>0</v>
      </c>
      <c r="P7568">
        <f>IF(OR(M7568="",N7568=""),"",SUMIFS('Barang Keluar'!$E:$E,'Barang Keluar'!$A:$A,M7568,'Barang Keluar'!$C:$C,N7568))</f>
        <v>0</v>
      </c>
    </row>
    <row r="7569" spans="13:16">
      <c r="M7569" s="49">
        <f>IF($A$4+75&gt;$B$4,"",$A$4+75)</f>
        <v>46098</v>
      </c>
      <c r="N7569">
        <f>IF(M7569="","",'Master Barang'!A63)</f>
        <v>0</v>
      </c>
      <c r="O7569">
        <f>IF(N7569="","",'Master Barang'!B63)</f>
        <v>0</v>
      </c>
      <c r="P7569">
        <f>IF(OR(M7569="",N7569=""),"",SUMIFS('Barang Keluar'!$E:$E,'Barang Keluar'!$A:$A,M7569,'Barang Keluar'!$C:$C,N7569))</f>
        <v>0</v>
      </c>
    </row>
    <row r="7570" spans="13:16">
      <c r="M7570" s="49">
        <f>IF($A$4+75&gt;$B$4,"",$A$4+75)</f>
        <v>46098</v>
      </c>
      <c r="N7570">
        <f>IF(M7570="","",'Master Barang'!A64)</f>
        <v>0</v>
      </c>
      <c r="O7570">
        <f>IF(N7570="","",'Master Barang'!B64)</f>
        <v>0</v>
      </c>
      <c r="P7570">
        <f>IF(OR(M7570="",N7570=""),"",SUMIFS('Barang Keluar'!$E:$E,'Barang Keluar'!$A:$A,M7570,'Barang Keluar'!$C:$C,N7570))</f>
        <v>0</v>
      </c>
    </row>
    <row r="7571" spans="13:16">
      <c r="M7571" s="49">
        <f>IF($A$4+75&gt;$B$4,"",$A$4+75)</f>
        <v>46098</v>
      </c>
      <c r="N7571">
        <f>IF(M7571="","",'Master Barang'!A65)</f>
        <v>0</v>
      </c>
      <c r="O7571">
        <f>IF(N7571="","",'Master Barang'!B65)</f>
        <v>0</v>
      </c>
      <c r="P7571">
        <f>IF(OR(M7571="",N7571=""),"",SUMIFS('Barang Keluar'!$E:$E,'Barang Keluar'!$A:$A,M7571,'Barang Keluar'!$C:$C,N7571))</f>
        <v>0</v>
      </c>
    </row>
    <row r="7572" spans="13:16">
      <c r="M7572" s="49">
        <f>IF($A$4+75&gt;$B$4,"",$A$4+75)</f>
        <v>46098</v>
      </c>
      <c r="N7572">
        <f>IF(M7572="","",'Master Barang'!A66)</f>
        <v>0</v>
      </c>
      <c r="O7572">
        <f>IF(N7572="","",'Master Barang'!B66)</f>
        <v>0</v>
      </c>
      <c r="P7572">
        <f>IF(OR(M7572="",N7572=""),"",SUMIFS('Barang Keluar'!$E:$E,'Barang Keluar'!$A:$A,M7572,'Barang Keluar'!$C:$C,N7572))</f>
        <v>0</v>
      </c>
    </row>
    <row r="7573" spans="13:16">
      <c r="M7573" s="49">
        <f>IF($A$4+75&gt;$B$4,"",$A$4+75)</f>
        <v>46098</v>
      </c>
      <c r="N7573">
        <f>IF(M7573="","",'Master Barang'!A67)</f>
        <v>0</v>
      </c>
      <c r="O7573">
        <f>IF(N7573="","",'Master Barang'!B67)</f>
        <v>0</v>
      </c>
      <c r="P7573">
        <f>IF(OR(M7573="",N7573=""),"",SUMIFS('Barang Keluar'!$E:$E,'Barang Keluar'!$A:$A,M7573,'Barang Keluar'!$C:$C,N7573))</f>
        <v>0</v>
      </c>
    </row>
    <row r="7574" spans="13:16">
      <c r="M7574" s="49">
        <f>IF($A$4+75&gt;$B$4,"",$A$4+75)</f>
        <v>46098</v>
      </c>
      <c r="N7574">
        <f>IF(M7574="","",'Master Barang'!A68)</f>
        <v>0</v>
      </c>
      <c r="O7574">
        <f>IF(N7574="","",'Master Barang'!B68)</f>
        <v>0</v>
      </c>
      <c r="P7574">
        <f>IF(OR(M7574="",N7574=""),"",SUMIFS('Barang Keluar'!$E:$E,'Barang Keluar'!$A:$A,M7574,'Barang Keluar'!$C:$C,N7574))</f>
        <v>0</v>
      </c>
    </row>
    <row r="7575" spans="13:16">
      <c r="M7575" s="49">
        <f>IF($A$4+75&gt;$B$4,"",$A$4+75)</f>
        <v>46098</v>
      </c>
      <c r="N7575">
        <f>IF(M7575="","",'Master Barang'!A69)</f>
        <v>0</v>
      </c>
      <c r="O7575">
        <f>IF(N7575="","",'Master Barang'!B69)</f>
        <v>0</v>
      </c>
      <c r="P7575">
        <f>IF(OR(M7575="",N7575=""),"",SUMIFS('Barang Keluar'!$E:$E,'Barang Keluar'!$A:$A,M7575,'Barang Keluar'!$C:$C,N7575))</f>
        <v>0</v>
      </c>
    </row>
    <row r="7576" spans="13:16">
      <c r="M7576" s="49">
        <f>IF($A$4+75&gt;$B$4,"",$A$4+75)</f>
        <v>46098</v>
      </c>
      <c r="N7576">
        <f>IF(M7576="","",'Master Barang'!A70)</f>
        <v>0</v>
      </c>
      <c r="O7576">
        <f>IF(N7576="","",'Master Barang'!B70)</f>
        <v>0</v>
      </c>
      <c r="P7576">
        <f>IF(OR(M7576="",N7576=""),"",SUMIFS('Barang Keluar'!$E:$E,'Barang Keluar'!$A:$A,M7576,'Barang Keluar'!$C:$C,N7576))</f>
        <v>0</v>
      </c>
    </row>
    <row r="7577" spans="13:16">
      <c r="M7577" s="49">
        <f>IF($A$4+75&gt;$B$4,"",$A$4+75)</f>
        <v>46098</v>
      </c>
      <c r="N7577">
        <f>IF(M7577="","",'Master Barang'!A71)</f>
        <v>0</v>
      </c>
      <c r="O7577">
        <f>IF(N7577="","",'Master Barang'!B71)</f>
        <v>0</v>
      </c>
      <c r="P7577">
        <f>IF(OR(M7577="",N7577=""),"",SUMIFS('Barang Keluar'!$E:$E,'Barang Keluar'!$A:$A,M7577,'Barang Keluar'!$C:$C,N7577))</f>
        <v>0</v>
      </c>
    </row>
    <row r="7578" spans="13:16">
      <c r="M7578" s="49">
        <f>IF($A$4+75&gt;$B$4,"",$A$4+75)</f>
        <v>46098</v>
      </c>
      <c r="N7578">
        <f>IF(M7578="","",'Master Barang'!A72)</f>
        <v>0</v>
      </c>
      <c r="O7578">
        <f>IF(N7578="","",'Master Barang'!B72)</f>
        <v>0</v>
      </c>
      <c r="P7578">
        <f>IF(OR(M7578="",N7578=""),"",SUMIFS('Barang Keluar'!$E:$E,'Barang Keluar'!$A:$A,M7578,'Barang Keluar'!$C:$C,N7578))</f>
        <v>0</v>
      </c>
    </row>
    <row r="7579" spans="13:16">
      <c r="M7579" s="49">
        <f>IF($A$4+75&gt;$B$4,"",$A$4+75)</f>
        <v>46098</v>
      </c>
      <c r="N7579">
        <f>IF(M7579="","",'Master Barang'!A73)</f>
        <v>0</v>
      </c>
      <c r="O7579">
        <f>IF(N7579="","",'Master Barang'!B73)</f>
        <v>0</v>
      </c>
      <c r="P7579">
        <f>IF(OR(M7579="",N7579=""),"",SUMIFS('Barang Keluar'!$E:$E,'Barang Keluar'!$A:$A,M7579,'Barang Keluar'!$C:$C,N7579))</f>
        <v>0</v>
      </c>
    </row>
    <row r="7580" spans="13:16">
      <c r="M7580" s="49">
        <f>IF($A$4+75&gt;$B$4,"",$A$4+75)</f>
        <v>46098</v>
      </c>
      <c r="N7580">
        <f>IF(M7580="","",'Master Barang'!A74)</f>
        <v>0</v>
      </c>
      <c r="O7580">
        <f>IF(N7580="","",'Master Barang'!B74)</f>
        <v>0</v>
      </c>
      <c r="P7580">
        <f>IF(OR(M7580="",N7580=""),"",SUMIFS('Barang Keluar'!$E:$E,'Barang Keluar'!$A:$A,M7580,'Barang Keluar'!$C:$C,N7580))</f>
        <v>0</v>
      </c>
    </row>
    <row r="7581" spans="13:16">
      <c r="M7581" s="49">
        <f>IF($A$4+75&gt;$B$4,"",$A$4+75)</f>
        <v>46098</v>
      </c>
      <c r="N7581">
        <f>IF(M7581="","",'Master Barang'!A75)</f>
        <v>0</v>
      </c>
      <c r="O7581">
        <f>IF(N7581="","",'Master Barang'!B75)</f>
        <v>0</v>
      </c>
      <c r="P7581">
        <f>IF(OR(M7581="",N7581=""),"",SUMIFS('Barang Keluar'!$E:$E,'Barang Keluar'!$A:$A,M7581,'Barang Keluar'!$C:$C,N7581))</f>
        <v>0</v>
      </c>
    </row>
    <row r="7582" spans="13:16">
      <c r="M7582" s="49">
        <f>IF($A$4+75&gt;$B$4,"",$A$4+75)</f>
        <v>46098</v>
      </c>
      <c r="N7582">
        <f>IF(M7582="","",'Master Barang'!A76)</f>
        <v>0</v>
      </c>
      <c r="O7582">
        <f>IF(N7582="","",'Master Barang'!B76)</f>
        <v>0</v>
      </c>
      <c r="P7582">
        <f>IF(OR(M7582="",N7582=""),"",SUMIFS('Barang Keluar'!$E:$E,'Barang Keluar'!$A:$A,M7582,'Barang Keluar'!$C:$C,N7582))</f>
        <v>0</v>
      </c>
    </row>
    <row r="7583" spans="13:16">
      <c r="M7583" s="49">
        <f>IF($A$4+75&gt;$B$4,"",$A$4+75)</f>
        <v>46098</v>
      </c>
      <c r="N7583">
        <f>IF(M7583="","",'Master Barang'!A77)</f>
        <v>0</v>
      </c>
      <c r="O7583">
        <f>IF(N7583="","",'Master Barang'!B77)</f>
        <v>0</v>
      </c>
      <c r="P7583">
        <f>IF(OR(M7583="",N7583=""),"",SUMIFS('Barang Keluar'!$E:$E,'Barang Keluar'!$A:$A,M7583,'Barang Keluar'!$C:$C,N7583))</f>
        <v>0</v>
      </c>
    </row>
    <row r="7584" spans="13:16">
      <c r="M7584" s="49">
        <f>IF($A$4+75&gt;$B$4,"",$A$4+75)</f>
        <v>46098</v>
      </c>
      <c r="N7584">
        <f>IF(M7584="","",'Master Barang'!A78)</f>
        <v>0</v>
      </c>
      <c r="O7584">
        <f>IF(N7584="","",'Master Barang'!B78)</f>
        <v>0</v>
      </c>
      <c r="P7584">
        <f>IF(OR(M7584="",N7584=""),"",SUMIFS('Barang Keluar'!$E:$E,'Barang Keluar'!$A:$A,M7584,'Barang Keluar'!$C:$C,N7584))</f>
        <v>0</v>
      </c>
    </row>
    <row r="7585" spans="13:16">
      <c r="M7585" s="49">
        <f>IF($A$4+75&gt;$B$4,"",$A$4+75)</f>
        <v>46098</v>
      </c>
      <c r="N7585">
        <f>IF(M7585="","",'Master Barang'!A79)</f>
        <v>0</v>
      </c>
      <c r="O7585">
        <f>IF(N7585="","",'Master Barang'!B79)</f>
        <v>0</v>
      </c>
      <c r="P7585">
        <f>IF(OR(M7585="",N7585=""),"",SUMIFS('Barang Keluar'!$E:$E,'Barang Keluar'!$A:$A,M7585,'Barang Keluar'!$C:$C,N7585))</f>
        <v>0</v>
      </c>
    </row>
    <row r="7586" spans="13:16">
      <c r="M7586" s="49">
        <f>IF($A$4+75&gt;$B$4,"",$A$4+75)</f>
        <v>46098</v>
      </c>
      <c r="N7586">
        <f>IF(M7586="","",'Master Barang'!A80)</f>
        <v>0</v>
      </c>
      <c r="O7586">
        <f>IF(N7586="","",'Master Barang'!B80)</f>
        <v>0</v>
      </c>
      <c r="P7586">
        <f>IF(OR(M7586="",N7586=""),"",SUMIFS('Barang Keluar'!$E:$E,'Barang Keluar'!$A:$A,M7586,'Barang Keluar'!$C:$C,N7586))</f>
        <v>0</v>
      </c>
    </row>
    <row r="7587" spans="13:16">
      <c r="M7587" s="49">
        <f>IF($A$4+75&gt;$B$4,"",$A$4+75)</f>
        <v>46098</v>
      </c>
      <c r="N7587">
        <f>IF(M7587="","",'Master Barang'!A81)</f>
        <v>0</v>
      </c>
      <c r="O7587">
        <f>IF(N7587="","",'Master Barang'!B81)</f>
        <v>0</v>
      </c>
      <c r="P7587">
        <f>IF(OR(M7587="",N7587=""),"",SUMIFS('Barang Keluar'!$E:$E,'Barang Keluar'!$A:$A,M7587,'Barang Keluar'!$C:$C,N7587))</f>
        <v>0</v>
      </c>
    </row>
    <row r="7588" spans="13:16">
      <c r="M7588" s="49">
        <f>IF($A$4+75&gt;$B$4,"",$A$4+75)</f>
        <v>46098</v>
      </c>
      <c r="N7588">
        <f>IF(M7588="","",'Master Barang'!A82)</f>
        <v>0</v>
      </c>
      <c r="O7588">
        <f>IF(N7588="","",'Master Barang'!B82)</f>
        <v>0</v>
      </c>
      <c r="P7588">
        <f>IF(OR(M7588="",N7588=""),"",SUMIFS('Barang Keluar'!$E:$E,'Barang Keluar'!$A:$A,M7588,'Barang Keluar'!$C:$C,N7588))</f>
        <v>0</v>
      </c>
    </row>
    <row r="7589" spans="13:16">
      <c r="M7589" s="49">
        <f>IF($A$4+75&gt;$B$4,"",$A$4+75)</f>
        <v>46098</v>
      </c>
      <c r="N7589">
        <f>IF(M7589="","",'Master Barang'!A83)</f>
        <v>0</v>
      </c>
      <c r="O7589">
        <f>IF(N7589="","",'Master Barang'!B83)</f>
        <v>0</v>
      </c>
      <c r="P7589">
        <f>IF(OR(M7589="",N7589=""),"",SUMIFS('Barang Keluar'!$E:$E,'Barang Keluar'!$A:$A,M7589,'Barang Keluar'!$C:$C,N7589))</f>
        <v>0</v>
      </c>
    </row>
    <row r="7590" spans="13:16">
      <c r="M7590" s="49">
        <f>IF($A$4+75&gt;$B$4,"",$A$4+75)</f>
        <v>46098</v>
      </c>
      <c r="N7590">
        <f>IF(M7590="","",'Master Barang'!A84)</f>
        <v>0</v>
      </c>
      <c r="O7590">
        <f>IF(N7590="","",'Master Barang'!B84)</f>
        <v>0</v>
      </c>
      <c r="P7590">
        <f>IF(OR(M7590="",N7590=""),"",SUMIFS('Barang Keluar'!$E:$E,'Barang Keluar'!$A:$A,M7590,'Barang Keluar'!$C:$C,N7590))</f>
        <v>0</v>
      </c>
    </row>
    <row r="7591" spans="13:16">
      <c r="M7591" s="49">
        <f>IF($A$4+75&gt;$B$4,"",$A$4+75)</f>
        <v>46098</v>
      </c>
      <c r="N7591">
        <f>IF(M7591="","",'Master Barang'!A85)</f>
        <v>0</v>
      </c>
      <c r="O7591">
        <f>IF(N7591="","",'Master Barang'!B85)</f>
        <v>0</v>
      </c>
      <c r="P7591">
        <f>IF(OR(M7591="",N7591=""),"",SUMIFS('Barang Keluar'!$E:$E,'Barang Keluar'!$A:$A,M7591,'Barang Keluar'!$C:$C,N7591))</f>
        <v>0</v>
      </c>
    </row>
    <row r="7592" spans="13:16">
      <c r="M7592" s="49">
        <f>IF($A$4+75&gt;$B$4,"",$A$4+75)</f>
        <v>46098</v>
      </c>
      <c r="N7592">
        <f>IF(M7592="","",'Master Barang'!A86)</f>
        <v>0</v>
      </c>
      <c r="O7592">
        <f>IF(N7592="","",'Master Barang'!B86)</f>
        <v>0</v>
      </c>
      <c r="P7592">
        <f>IF(OR(M7592="",N7592=""),"",SUMIFS('Barang Keluar'!$E:$E,'Barang Keluar'!$A:$A,M7592,'Barang Keluar'!$C:$C,N7592))</f>
        <v>0</v>
      </c>
    </row>
    <row r="7593" spans="13:16">
      <c r="M7593" s="49">
        <f>IF($A$4+75&gt;$B$4,"",$A$4+75)</f>
        <v>46098</v>
      </c>
      <c r="N7593">
        <f>IF(M7593="","",'Master Barang'!A87)</f>
        <v>0</v>
      </c>
      <c r="O7593">
        <f>IF(N7593="","",'Master Barang'!B87)</f>
        <v>0</v>
      </c>
      <c r="P7593">
        <f>IF(OR(M7593="",N7593=""),"",SUMIFS('Barang Keluar'!$E:$E,'Barang Keluar'!$A:$A,M7593,'Barang Keluar'!$C:$C,N7593))</f>
        <v>0</v>
      </c>
    </row>
    <row r="7594" spans="13:16">
      <c r="M7594" s="49">
        <f>IF($A$4+75&gt;$B$4,"",$A$4+75)</f>
        <v>46098</v>
      </c>
      <c r="N7594">
        <f>IF(M7594="","",'Master Barang'!A88)</f>
        <v>0</v>
      </c>
      <c r="O7594">
        <f>IF(N7594="","",'Master Barang'!B88)</f>
        <v>0</v>
      </c>
      <c r="P7594">
        <f>IF(OR(M7594="",N7594=""),"",SUMIFS('Barang Keluar'!$E:$E,'Barang Keluar'!$A:$A,M7594,'Barang Keluar'!$C:$C,N7594))</f>
        <v>0</v>
      </c>
    </row>
    <row r="7595" spans="13:16">
      <c r="M7595" s="49">
        <f>IF($A$4+75&gt;$B$4,"",$A$4+75)</f>
        <v>46098</v>
      </c>
      <c r="N7595">
        <f>IF(M7595="","",'Master Barang'!A89)</f>
        <v>0</v>
      </c>
      <c r="O7595">
        <f>IF(N7595="","",'Master Barang'!B89)</f>
        <v>0</v>
      </c>
      <c r="P7595">
        <f>IF(OR(M7595="",N7595=""),"",SUMIFS('Barang Keluar'!$E:$E,'Barang Keluar'!$A:$A,M7595,'Barang Keluar'!$C:$C,N7595))</f>
        <v>0</v>
      </c>
    </row>
    <row r="7596" spans="13:16">
      <c r="M7596" s="49">
        <f>IF($A$4+75&gt;$B$4,"",$A$4+75)</f>
        <v>46098</v>
      </c>
      <c r="N7596">
        <f>IF(M7596="","",'Master Barang'!A90)</f>
        <v>0</v>
      </c>
      <c r="O7596">
        <f>IF(N7596="","",'Master Barang'!B90)</f>
        <v>0</v>
      </c>
      <c r="P7596">
        <f>IF(OR(M7596="",N7596=""),"",SUMIFS('Barang Keluar'!$E:$E,'Barang Keluar'!$A:$A,M7596,'Barang Keluar'!$C:$C,N7596))</f>
        <v>0</v>
      </c>
    </row>
    <row r="7597" spans="13:16">
      <c r="M7597" s="49">
        <f>IF($A$4+75&gt;$B$4,"",$A$4+75)</f>
        <v>46098</v>
      </c>
      <c r="N7597">
        <f>IF(M7597="","",'Master Barang'!A91)</f>
        <v>0</v>
      </c>
      <c r="O7597">
        <f>IF(N7597="","",'Master Barang'!B91)</f>
        <v>0</v>
      </c>
      <c r="P7597">
        <f>IF(OR(M7597="",N7597=""),"",SUMIFS('Barang Keluar'!$E:$E,'Barang Keluar'!$A:$A,M7597,'Barang Keluar'!$C:$C,N7597))</f>
        <v>0</v>
      </c>
    </row>
    <row r="7598" spans="13:16">
      <c r="M7598" s="49">
        <f>IF($A$4+75&gt;$B$4,"",$A$4+75)</f>
        <v>46098</v>
      </c>
      <c r="N7598">
        <f>IF(M7598="","",'Master Barang'!A92)</f>
        <v>0</v>
      </c>
      <c r="O7598">
        <f>IF(N7598="","",'Master Barang'!B92)</f>
        <v>0</v>
      </c>
      <c r="P7598">
        <f>IF(OR(M7598="",N7598=""),"",SUMIFS('Barang Keluar'!$E:$E,'Barang Keluar'!$A:$A,M7598,'Barang Keluar'!$C:$C,N7598))</f>
        <v>0</v>
      </c>
    </row>
    <row r="7599" spans="13:16">
      <c r="M7599" s="49">
        <f>IF($A$4+75&gt;$B$4,"",$A$4+75)</f>
        <v>46098</v>
      </c>
      <c r="N7599">
        <f>IF(M7599="","",'Master Barang'!A93)</f>
        <v>0</v>
      </c>
      <c r="O7599">
        <f>IF(N7599="","",'Master Barang'!B93)</f>
        <v>0</v>
      </c>
      <c r="P7599">
        <f>IF(OR(M7599="",N7599=""),"",SUMIFS('Barang Keluar'!$E:$E,'Barang Keluar'!$A:$A,M7599,'Barang Keluar'!$C:$C,N7599))</f>
        <v>0</v>
      </c>
    </row>
    <row r="7600" spans="13:16">
      <c r="M7600" s="49">
        <f>IF($A$4+75&gt;$B$4,"",$A$4+75)</f>
        <v>46098</v>
      </c>
      <c r="N7600">
        <f>IF(M7600="","",'Master Barang'!A94)</f>
        <v>0</v>
      </c>
      <c r="O7600">
        <f>IF(N7600="","",'Master Barang'!B94)</f>
        <v>0</v>
      </c>
      <c r="P7600">
        <f>IF(OR(M7600="",N7600=""),"",SUMIFS('Barang Keluar'!$E:$E,'Barang Keluar'!$A:$A,M7600,'Barang Keluar'!$C:$C,N7600))</f>
        <v>0</v>
      </c>
    </row>
    <row r="7601" spans="13:16">
      <c r="M7601" s="49">
        <f>IF($A$4+75&gt;$B$4,"",$A$4+75)</f>
        <v>46098</v>
      </c>
      <c r="N7601">
        <f>IF(M7601="","",'Master Barang'!A95)</f>
        <v>0</v>
      </c>
      <c r="O7601">
        <f>IF(N7601="","",'Master Barang'!B95)</f>
        <v>0</v>
      </c>
      <c r="P7601">
        <f>IF(OR(M7601="",N7601=""),"",SUMIFS('Barang Keluar'!$E:$E,'Barang Keluar'!$A:$A,M7601,'Barang Keluar'!$C:$C,N7601))</f>
        <v>0</v>
      </c>
    </row>
    <row r="7602" spans="13:16">
      <c r="M7602" s="49">
        <f>IF($A$4+75&gt;$B$4,"",$A$4+75)</f>
        <v>46098</v>
      </c>
      <c r="N7602">
        <f>IF(M7602="","",'Master Barang'!A96)</f>
        <v>0</v>
      </c>
      <c r="O7602">
        <f>IF(N7602="","",'Master Barang'!B96)</f>
        <v>0</v>
      </c>
      <c r="P7602">
        <f>IF(OR(M7602="",N7602=""),"",SUMIFS('Barang Keluar'!$E:$E,'Barang Keluar'!$A:$A,M7602,'Barang Keluar'!$C:$C,N7602))</f>
        <v>0</v>
      </c>
    </row>
    <row r="7603" spans="13:16">
      <c r="M7603" s="49">
        <f>IF($A$4+75&gt;$B$4,"",$A$4+75)</f>
        <v>46098</v>
      </c>
      <c r="N7603">
        <f>IF(M7603="","",'Master Barang'!A97)</f>
        <v>0</v>
      </c>
      <c r="O7603">
        <f>IF(N7603="","",'Master Barang'!B97)</f>
        <v>0</v>
      </c>
      <c r="P7603">
        <f>IF(OR(M7603="",N7603=""),"",SUMIFS('Barang Keluar'!$E:$E,'Barang Keluar'!$A:$A,M7603,'Barang Keluar'!$C:$C,N7603))</f>
        <v>0</v>
      </c>
    </row>
    <row r="7604" spans="13:16">
      <c r="M7604" s="49">
        <f>IF($A$4+75&gt;$B$4,"",$A$4+75)</f>
        <v>46098</v>
      </c>
      <c r="N7604">
        <f>IF(M7604="","",'Master Barang'!A98)</f>
        <v>0</v>
      </c>
      <c r="O7604">
        <f>IF(N7604="","",'Master Barang'!B98)</f>
        <v>0</v>
      </c>
      <c r="P7604">
        <f>IF(OR(M7604="",N7604=""),"",SUMIFS('Barang Keluar'!$E:$E,'Barang Keluar'!$A:$A,M7604,'Barang Keluar'!$C:$C,N7604))</f>
        <v>0</v>
      </c>
    </row>
    <row r="7605" spans="13:16">
      <c r="M7605" s="49">
        <f>IF($A$4+75&gt;$B$4,"",$A$4+75)</f>
        <v>46098</v>
      </c>
      <c r="N7605">
        <f>IF(M7605="","",'Master Barang'!A99)</f>
        <v>0</v>
      </c>
      <c r="O7605">
        <f>IF(N7605="","",'Master Barang'!B99)</f>
        <v>0</v>
      </c>
      <c r="P7605">
        <f>IF(OR(M7605="",N7605=""),"",SUMIFS('Barang Keluar'!$E:$E,'Barang Keluar'!$A:$A,M7605,'Barang Keluar'!$C:$C,N7605))</f>
        <v>0</v>
      </c>
    </row>
    <row r="7606" spans="13:16">
      <c r="M7606" s="49">
        <f>IF($A$4+75&gt;$B$4,"",$A$4+75)</f>
        <v>46098</v>
      </c>
      <c r="N7606">
        <f>IF(M7606="","",'Master Barang'!A100)</f>
        <v>0</v>
      </c>
      <c r="O7606">
        <f>IF(N7606="","",'Master Barang'!B100)</f>
        <v>0</v>
      </c>
      <c r="P7606">
        <f>IF(OR(M7606="",N7606=""),"",SUMIFS('Barang Keluar'!$E:$E,'Barang Keluar'!$A:$A,M7606,'Barang Keluar'!$C:$C,N7606))</f>
        <v>0</v>
      </c>
    </row>
    <row r="7607" spans="13:16">
      <c r="M7607" s="49">
        <f>IF($A$4+75&gt;$B$4,"",$A$4+75)</f>
        <v>46098</v>
      </c>
      <c r="N7607">
        <f>IF(M7607="","",'Master Barang'!A101)</f>
        <v>0</v>
      </c>
      <c r="O7607">
        <f>IF(N7607="","",'Master Barang'!B101)</f>
        <v>0</v>
      </c>
      <c r="P7607">
        <f>IF(OR(M7607="",N7607=""),"",SUMIFS('Barang Keluar'!$E:$E,'Barang Keluar'!$A:$A,M7607,'Barang Keluar'!$C:$C,N7607))</f>
        <v>0</v>
      </c>
    </row>
    <row r="7608" spans="13:16">
      <c r="M7608" s="49">
        <f>IF($A$4+76&gt;$B$4,"",$A$4+76)</f>
        <v>46099</v>
      </c>
      <c r="N7608" t="str">
        <f>IF(M7608="","",'Master Barang'!A2)</f>
        <v>PRL-001</v>
      </c>
      <c r="O7608" t="str">
        <f>IF(N7608="","",'Master Barang'!B2)</f>
        <v>natura desinfectant food grade 5l</v>
      </c>
      <c r="P7608">
        <f>IF(OR(M7608="",N7608=""),"",SUMIFS('Barang Keluar'!$E:$E,'Barang Keluar'!$A:$A,M7608,'Barang Keluar'!$C:$C,N7608))</f>
        <v>0</v>
      </c>
    </row>
    <row r="7609" spans="13:16">
      <c r="M7609" s="49">
        <f>IF($A$4+76&gt;$B$4,"",$A$4+76)</f>
        <v>46099</v>
      </c>
      <c r="N7609" t="str">
        <f>IF(M7609="","",'Master Barang'!A3)</f>
        <v>PRL-002</v>
      </c>
      <c r="O7609" t="str">
        <f>IF(N7609="","",'Master Barang'!B3)</f>
        <v>sunlight cairan pencuci piring 5l</v>
      </c>
      <c r="P7609">
        <f>IF(OR(M7609="",N7609=""),"",SUMIFS('Barang Keluar'!$E:$E,'Barang Keluar'!$A:$A,M7609,'Barang Keluar'!$C:$C,N7609))</f>
        <v>0</v>
      </c>
    </row>
    <row r="7610" spans="13:16">
      <c r="M7610" s="49">
        <f>IF($A$4+76&gt;$B$4,"",$A$4+76)</f>
        <v>46099</v>
      </c>
      <c r="N7610" t="str">
        <f>IF(M7610="","",'Master Barang'!A4)</f>
        <v>PRL-003</v>
      </c>
      <c r="O7610" t="str">
        <f>IF(N7610="","",'Master Barang'!B4)</f>
        <v>oixs cleaner 1l</v>
      </c>
      <c r="P7610">
        <f>IF(OR(M7610="",N7610=""),"",SUMIFS('Barang Keluar'!$E:$E,'Barang Keluar'!$A:$A,M7610,'Barang Keluar'!$C:$C,N7610))</f>
        <v>0</v>
      </c>
    </row>
    <row r="7611" spans="13:16">
      <c r="M7611" s="49">
        <f>IF($A$4+76&gt;$B$4,"",$A$4+76)</f>
        <v>46099</v>
      </c>
      <c r="N7611" t="str">
        <f>IF(M7611="","",'Master Barang'!A5)</f>
        <v>PRL-004</v>
      </c>
      <c r="O7611" t="str">
        <f>IF(N7611="","",'Master Barang'!B5)</f>
        <v>be clean tissue serbaguna</v>
      </c>
      <c r="P7611">
        <f>IF(OR(M7611="",N7611=""),"",SUMIFS('Barang Keluar'!$E:$E,'Barang Keluar'!$A:$A,M7611,'Barang Keluar'!$C:$C,N7611))</f>
        <v>0</v>
      </c>
    </row>
    <row r="7612" spans="13:16">
      <c r="M7612" s="49">
        <f>IF($A$4+76&gt;$B$4,"",$A$4+76)</f>
        <v>46099</v>
      </c>
      <c r="N7612" t="str">
        <f>IF(M7612="","",'Master Barang'!A6)</f>
        <v>PRL-005</v>
      </c>
      <c r="O7612" t="str">
        <f>IF(N7612="","",'Master Barang'!B6)</f>
        <v>spons cuci hijau</v>
      </c>
      <c r="P7612">
        <f>IF(OR(M7612="",N7612=""),"",SUMIFS('Barang Keluar'!$E:$E,'Barang Keluar'!$A:$A,M7612,'Barang Keluar'!$C:$C,N7612))</f>
        <v>0</v>
      </c>
    </row>
    <row r="7613" spans="13:16">
      <c r="M7613" s="49">
        <f>IF($A$4+76&gt;$B$4,"",$A$4+76)</f>
        <v>46099</v>
      </c>
      <c r="N7613" t="str">
        <f>IF(M7613="","",'Master Barang'!A7)</f>
        <v>PRL-006</v>
      </c>
      <c r="O7613" t="str">
        <f>IF(N7613="","",'Master Barang'!B7)</f>
        <v>sabut cuci stainless</v>
      </c>
      <c r="P7613">
        <f>IF(OR(M7613="",N7613=""),"",SUMIFS('Barang Keluar'!$E:$E,'Barang Keluar'!$A:$A,M7613,'Barang Keluar'!$C:$C,N7613))</f>
        <v>0</v>
      </c>
    </row>
    <row r="7614" spans="13:16">
      <c r="M7614" s="49">
        <f>IF($A$4+76&gt;$B$4,"",$A$4+76)</f>
        <v>46099</v>
      </c>
      <c r="N7614" t="str">
        <f>IF(M7614="","",'Master Barang'!A8)</f>
        <v>PRL-007</v>
      </c>
      <c r="O7614" t="str">
        <f>IF(N7614="","",'Master Barang'!B8)</f>
        <v>plastik kresek besar merah 50pc</v>
      </c>
      <c r="P7614">
        <f>IF(OR(M7614="",N7614=""),"",SUMIFS('Barang Keluar'!$E:$E,'Barang Keluar'!$A:$A,M7614,'Barang Keluar'!$C:$C,N7614))</f>
        <v>0</v>
      </c>
    </row>
    <row r="7615" spans="13:16">
      <c r="M7615" s="49">
        <f>IF($A$4+76&gt;$B$4,"",$A$4+76)</f>
        <v>46099</v>
      </c>
      <c r="N7615" t="str">
        <f>IF(M7615="","",'Master Barang'!A9)</f>
        <v>PRL-008</v>
      </c>
      <c r="O7615" t="str">
        <f>IF(N7615="","",'Master Barang'!B9)</f>
        <v>lap besar</v>
      </c>
      <c r="P7615">
        <f>IF(OR(M7615="",N7615=""),"",SUMIFS('Barang Keluar'!$E:$E,'Barang Keluar'!$A:$A,M7615,'Barang Keluar'!$C:$C,N7615))</f>
        <v>0</v>
      </c>
    </row>
    <row r="7616" spans="13:16">
      <c r="M7616" s="49">
        <f>IF($A$4+76&gt;$B$4,"",$A$4+76)</f>
        <v>46099</v>
      </c>
      <c r="N7616" t="str">
        <f>IF(M7616="","",'Master Barang'!A10)</f>
        <v>PRL-009</v>
      </c>
      <c r="O7616" t="str">
        <f>IF(N7616="","",'Master Barang'!B10)</f>
        <v>lap microfiber</v>
      </c>
      <c r="P7616">
        <f>IF(OR(M7616="",N7616=""),"",SUMIFS('Barang Keluar'!$E:$E,'Barang Keluar'!$A:$A,M7616,'Barang Keluar'!$C:$C,N7616))</f>
        <v>0</v>
      </c>
    </row>
    <row r="7617" spans="13:16">
      <c r="M7617" s="49">
        <f>IF($A$4+76&gt;$B$4,"",$A$4+76)</f>
        <v>46099</v>
      </c>
      <c r="N7617" t="str">
        <f>IF(M7617="","",'Master Barang'!A11)</f>
        <v>PRL-010</v>
      </c>
      <c r="O7617" t="str">
        <f>IF(N7617="","",'Master Barang'!B11)</f>
        <v>lap kecil</v>
      </c>
      <c r="P7617">
        <f>IF(OR(M7617="",N7617=""),"",SUMIFS('Barang Keluar'!$E:$E,'Barang Keluar'!$A:$A,M7617,'Barang Keluar'!$C:$C,N7617))</f>
        <v>0</v>
      </c>
    </row>
    <row r="7618" spans="13:16">
      <c r="M7618" s="49">
        <f>IF($A$4+76&gt;$B$4,"",$A$4+76)</f>
        <v>46099</v>
      </c>
      <c r="N7618" t="str">
        <f>IF(M7618="","",'Master Barang'!A12)</f>
        <v>PRL-011</v>
      </c>
      <c r="O7618" t="str">
        <f>IF(N7618="","",'Master Barang'!B12)</f>
        <v>kanebo kecil</v>
      </c>
      <c r="P7618">
        <f>IF(OR(M7618="",N7618=""),"",SUMIFS('Barang Keluar'!$E:$E,'Barang Keluar'!$A:$A,M7618,'Barang Keluar'!$C:$C,N7618))</f>
        <v>0</v>
      </c>
    </row>
    <row r="7619" spans="13:16">
      <c r="M7619" s="49">
        <f>IF($A$4+76&gt;$B$4,"",$A$4+76)</f>
        <v>46099</v>
      </c>
      <c r="N7619" t="str">
        <f>IF(M7619="","",'Master Barang'!A13)</f>
        <v>PRL-012</v>
      </c>
      <c r="O7619" t="str">
        <f>IF(N7619="","",'Master Barang'!B13)</f>
        <v>plastik 1/4kg joyoboyo 100 lembar</v>
      </c>
      <c r="P7619">
        <f>IF(OR(M7619="",N7619=""),"",SUMIFS('Barang Keluar'!$E:$E,'Barang Keluar'!$A:$A,M7619,'Barang Keluar'!$C:$C,N7619))</f>
        <v>0</v>
      </c>
    </row>
    <row r="7620" spans="13:16">
      <c r="M7620" s="49">
        <f>IF($A$4+76&gt;$B$4,"",$A$4+76)</f>
        <v>46099</v>
      </c>
      <c r="N7620" t="str">
        <f>IF(M7620="","",'Master Barang'!A14)</f>
        <v>PRL-013</v>
      </c>
      <c r="O7620" t="str">
        <f>IF(N7620="","",'Master Barang'!B14)</f>
        <v>sarung tangan plastik kaka 100 pcs</v>
      </c>
      <c r="P7620">
        <f>IF(OR(M7620="",N7620=""),"",SUMIFS('Barang Keluar'!$E:$E,'Barang Keluar'!$A:$A,M7620,'Barang Keluar'!$C:$C,N7620))</f>
        <v>0</v>
      </c>
    </row>
    <row r="7621" spans="13:16">
      <c r="M7621" s="49">
        <f>IF($A$4+76&gt;$B$4,"",$A$4+76)</f>
        <v>46099</v>
      </c>
      <c r="N7621" t="str">
        <f>IF(M7621="","",'Master Barang'!A15)</f>
        <v>PRL-014</v>
      </c>
      <c r="O7621" t="str">
        <f>IF(N7621="","",'Master Barang'!B15)</f>
        <v>optima trashbag 80x100</v>
      </c>
      <c r="P7621">
        <f>IF(OR(M7621="",N7621=""),"",SUMIFS('Barang Keluar'!$E:$E,'Barang Keluar'!$A:$A,M7621,'Barang Keluar'!$C:$C,N7621))</f>
        <v>0</v>
      </c>
    </row>
    <row r="7622" spans="13:16">
      <c r="M7622" s="49">
        <f>IF($A$4+76&gt;$B$4,"",$A$4+76)</f>
        <v>46099</v>
      </c>
      <c r="N7622" t="str">
        <f>IF(M7622="","",'Master Barang'!A16)</f>
        <v>PRL-015</v>
      </c>
      <c r="O7622" t="str">
        <f>IF(N7622="","",'Master Barang'!B16)</f>
        <v>optima trashbag 60x100</v>
      </c>
      <c r="P7622">
        <f>IF(OR(M7622="",N7622=""),"",SUMIFS('Barang Keluar'!$E:$E,'Barang Keluar'!$A:$A,M7622,'Barang Keluar'!$C:$C,N7622))</f>
        <v>0</v>
      </c>
    </row>
    <row r="7623" spans="13:16">
      <c r="M7623" s="49">
        <f>IF($A$4+76&gt;$B$4,"",$A$4+76)</f>
        <v>46099</v>
      </c>
      <c r="N7623" t="str">
        <f>IF(M7623="","",'Master Barang'!A17)</f>
        <v>PRL-016</v>
      </c>
      <c r="O7623" t="str">
        <f>IF(N7623="","",'Master Barang'!B17)</f>
        <v>rajawali trashbag 30x40</v>
      </c>
      <c r="P7623">
        <f>IF(OR(M7623="",N7623=""),"",SUMIFS('Barang Keluar'!$E:$E,'Barang Keluar'!$A:$A,M7623,'Barang Keluar'!$C:$C,N7623))</f>
        <v>0</v>
      </c>
    </row>
    <row r="7624" spans="13:16">
      <c r="M7624" s="49">
        <f>IF($A$4+76&gt;$B$4,"",$A$4+76)</f>
        <v>46099</v>
      </c>
      <c r="N7624" t="str">
        <f>IF(M7624="","",'Master Barang'!A18)</f>
        <v>PRL-017</v>
      </c>
      <c r="O7624" t="str">
        <f>IF(N7624="","",'Master Barang'!B18)</f>
        <v>onemed masker biru 3 play 50 pcs</v>
      </c>
      <c r="P7624">
        <f>IF(OR(M7624="",N7624=""),"",SUMIFS('Barang Keluar'!$E:$E,'Barang Keluar'!$A:$A,M7624,'Barang Keluar'!$C:$C,N7624))</f>
        <v>0</v>
      </c>
    </row>
    <row r="7625" spans="13:16">
      <c r="M7625" s="49">
        <f>IF($A$4+76&gt;$B$4,"",$A$4+76)</f>
        <v>46099</v>
      </c>
      <c r="N7625" t="str">
        <f>IF(M7625="","",'Master Barang'!A19)</f>
        <v>PRL-018</v>
      </c>
      <c r="O7625" t="str">
        <f>IF(N7625="","",'Master Barang'!B19)</f>
        <v>onemed masker biru 3 play hijab 50 pcs</v>
      </c>
      <c r="P7625">
        <f>IF(OR(M7625="",N7625=""),"",SUMIFS('Barang Keluar'!$E:$E,'Barang Keluar'!$A:$A,M7625,'Barang Keluar'!$C:$C,N7625))</f>
        <v>0</v>
      </c>
    </row>
    <row r="7626" spans="13:16">
      <c r="M7626" s="49">
        <f>IF($A$4+76&gt;$B$4,"",$A$4+76)</f>
        <v>46099</v>
      </c>
      <c r="N7626" t="str">
        <f>IF(M7626="","",'Master Barang'!A20)</f>
        <v>PRL-019</v>
      </c>
      <c r="O7626" t="str">
        <f>IF(N7626="","",'Master Barang'!B20)</f>
        <v>neo health masker biru 3 play 50 pcs</v>
      </c>
      <c r="P7626">
        <f>IF(OR(M7626="",N7626=""),"",SUMIFS('Barang Keluar'!$E:$E,'Barang Keluar'!$A:$A,M7626,'Barang Keluar'!$C:$C,N7626))</f>
        <v>0</v>
      </c>
    </row>
    <row r="7627" spans="13:16">
      <c r="M7627" s="49">
        <f>IF($A$4+76&gt;$B$4,"",$A$4+76)</f>
        <v>46099</v>
      </c>
      <c r="N7627" t="str">
        <f>IF(M7627="","",'Master Barang'!A21)</f>
        <v>PRL-020</v>
      </c>
      <c r="O7627" t="str">
        <f>IF(N7627="","",'Master Barang'!B21)</f>
        <v>baymed masker hijau 3 play hijau 50 pcs</v>
      </c>
      <c r="P7627">
        <f>IF(OR(M7627="",N7627=""),"",SUMIFS('Barang Keluar'!$E:$E,'Barang Keluar'!$A:$A,M7627,'Barang Keluar'!$C:$C,N7627))</f>
        <v>0</v>
      </c>
    </row>
    <row r="7628" spans="13:16">
      <c r="M7628" s="49">
        <f>IF($A$4+76&gt;$B$4,"",$A$4+76)</f>
        <v>46099</v>
      </c>
      <c r="N7628" t="str">
        <f>IF(M7628="","",'Master Barang'!A22)</f>
        <v>PRL-021</v>
      </c>
      <c r="O7628" t="str">
        <f>IF(N7628="","",'Master Barang'!B22)</f>
        <v>altamed nurse cap penutup kepala 100 pcs</v>
      </c>
      <c r="P7628">
        <f>IF(OR(M7628="",N7628=""),"",SUMIFS('Barang Keluar'!$E:$E,'Barang Keluar'!$A:$A,M7628,'Barang Keluar'!$C:$C,N7628))</f>
        <v>0</v>
      </c>
    </row>
    <row r="7629" spans="13:16">
      <c r="M7629" s="49">
        <f>IF($A$4+76&gt;$B$4,"",$A$4+76)</f>
        <v>46099</v>
      </c>
      <c r="N7629" t="str">
        <f>IF(M7629="","",'Master Barang'!A23)</f>
        <v>PRL-022</v>
      </c>
      <c r="O7629" t="str">
        <f>IF(N7629="","",'Master Barang'!B23)</f>
        <v>sabun cuci tangan</v>
      </c>
      <c r="P7629">
        <f>IF(OR(M7629="",N7629=""),"",SUMIFS('Barang Keluar'!$E:$E,'Barang Keluar'!$A:$A,M7629,'Barang Keluar'!$C:$C,N7629))</f>
        <v>0</v>
      </c>
    </row>
    <row r="7630" spans="13:16">
      <c r="M7630" s="49">
        <f>IF($A$4+76&gt;$B$4,"",$A$4+76)</f>
        <v>46099</v>
      </c>
      <c r="N7630" t="str">
        <f>IF(M7630="","",'Master Barang'!A24)</f>
        <v>PRL-023</v>
      </c>
      <c r="O7630" t="str">
        <f>IF(N7630="","",'Master Barang'!B24)</f>
        <v>gayung kecil</v>
      </c>
      <c r="P7630">
        <f>IF(OR(M7630="",N7630=""),"",SUMIFS('Barang Keluar'!$E:$E,'Barang Keluar'!$A:$A,M7630,'Barang Keluar'!$C:$C,N7630))</f>
        <v>0</v>
      </c>
    </row>
    <row r="7631" spans="13:16">
      <c r="M7631" s="49">
        <f>IF($A$4+76&gt;$B$4,"",$A$4+76)</f>
        <v>46099</v>
      </c>
      <c r="N7631" t="str">
        <f>IF(M7631="","",'Master Barang'!A25)</f>
        <v>PRL-024</v>
      </c>
      <c r="O7631" t="str">
        <f>IF(N7631="","",'Master Barang'!B25)</f>
        <v>cikrak kecil</v>
      </c>
      <c r="P7631">
        <f>IF(OR(M7631="",N7631=""),"",SUMIFS('Barang Keluar'!$E:$E,'Barang Keluar'!$A:$A,M7631,'Barang Keluar'!$C:$C,N7631))</f>
        <v>0</v>
      </c>
    </row>
    <row r="7632" spans="13:16">
      <c r="M7632" s="49">
        <f>IF($A$4+76&gt;$B$4,"",$A$4+76)</f>
        <v>46099</v>
      </c>
      <c r="N7632" t="str">
        <f>IF(M7632="","",'Master Barang'!A26)</f>
        <v>PRL-025</v>
      </c>
      <c r="O7632" t="str">
        <f>IF(N7632="","",'Master Barang'!B26)</f>
        <v>petromax plastik kecil 12x24 100 lembar</v>
      </c>
      <c r="P7632">
        <f>IF(OR(M7632="",N7632=""),"",SUMIFS('Barang Keluar'!$E:$E,'Barang Keluar'!$A:$A,M7632,'Barang Keluar'!$C:$C,N7632))</f>
        <v>0</v>
      </c>
    </row>
    <row r="7633" spans="13:16">
      <c r="M7633" s="49">
        <f>IF($A$4+76&gt;$B$4,"",$A$4+76)</f>
        <v>46099</v>
      </c>
      <c r="N7633" t="str">
        <f>IF(M7633="","",'Master Barang'!A27)</f>
        <v>PRL-026</v>
      </c>
      <c r="O7633" t="str">
        <f>IF(N7633="","",'Master Barang'!B27)</f>
        <v>lancar kresek kecil bening </v>
      </c>
      <c r="P7633">
        <f>IF(OR(M7633="",N7633=""),"",SUMIFS('Barang Keluar'!$E:$E,'Barang Keluar'!$A:$A,M7633,'Barang Keluar'!$C:$C,N7633))</f>
        <v>0</v>
      </c>
    </row>
    <row r="7634" spans="13:16">
      <c r="M7634" s="49">
        <f>IF($A$4+76&gt;$B$4,"",$A$4+76)</f>
        <v>46099</v>
      </c>
      <c r="N7634" t="str">
        <f>IF(M7634="","",'Master Barang'!A28)</f>
        <v>PRL-027</v>
      </c>
      <c r="O7634" t="str">
        <f>IF(N7634="","",'Master Barang'!B28)</f>
        <v>kresek klin warna warni kecil</v>
      </c>
      <c r="P7634">
        <f>IF(OR(M7634="",N7634=""),"",SUMIFS('Barang Keluar'!$E:$E,'Barang Keluar'!$A:$A,M7634,'Barang Keluar'!$C:$C,N7634))</f>
        <v>0</v>
      </c>
    </row>
    <row r="7635" spans="13:16">
      <c r="M7635" s="49">
        <f>IF($A$4+76&gt;$B$4,"",$A$4+76)</f>
        <v>46099</v>
      </c>
      <c r="N7635" t="str">
        <f>IF(M7635="","",'Master Barang'!A29)</f>
        <v>PRL-028</v>
      </c>
      <c r="O7635" t="str">
        <f>IF(N7635="","",'Master Barang'!B29)</f>
        <v>ctik plastik 7x10 100 pcs</v>
      </c>
      <c r="P7635">
        <f>IF(OR(M7635="",N7635=""),"",SUMIFS('Barang Keluar'!$E:$E,'Barang Keluar'!$A:$A,M7635,'Barang Keluar'!$C:$C,N7635))</f>
        <v>0</v>
      </c>
    </row>
    <row r="7636" spans="13:16">
      <c r="M7636" s="49">
        <f>IF($A$4+76&gt;$B$4,"",$A$4+76)</f>
        <v>46099</v>
      </c>
      <c r="N7636" t="str">
        <f>IF(M7636="","",'Master Barang'!A30)</f>
        <v>PRL-029</v>
      </c>
      <c r="O7636" t="str">
        <f>IF(N7636="","",'Master Barang'!B30)</f>
        <v>ctik plastik 6x10 100 pcs</v>
      </c>
      <c r="P7636">
        <f>IF(OR(M7636="",N7636=""),"",SUMIFS('Barang Keluar'!$E:$E,'Barang Keluar'!$A:$A,M7636,'Barang Keluar'!$C:$C,N7636))</f>
        <v>0</v>
      </c>
    </row>
    <row r="7637" spans="13:16">
      <c r="M7637" s="49">
        <f>IF($A$4+76&gt;$B$4,"",$A$4+76)</f>
        <v>46099</v>
      </c>
      <c r="N7637" t="str">
        <f>IF(M7637="","",'Master Barang'!A31)</f>
        <v>PRL-030</v>
      </c>
      <c r="O7637" t="str">
        <f>IF(N7637="","",'Master Barang'!B31)</f>
        <v>klip plastik 25x16 100 pcs</v>
      </c>
      <c r="P7637">
        <f>IF(OR(M7637="",N7637=""),"",SUMIFS('Barang Keluar'!$E:$E,'Barang Keluar'!$A:$A,M7637,'Barang Keluar'!$C:$C,N7637))</f>
        <v>0</v>
      </c>
    </row>
    <row r="7638" spans="13:16">
      <c r="M7638" s="49">
        <f>IF($A$4+76&gt;$B$4,"",$A$4+76)</f>
        <v>46099</v>
      </c>
      <c r="N7638" t="str">
        <f>IF(M7638="","",'Master Barang'!A32)</f>
        <v>PRL-031</v>
      </c>
      <c r="O7638" t="str">
        <f>IF(N7638="","",'Master Barang'!B32)</f>
        <v>tempat saus 20 ml</v>
      </c>
      <c r="P7638">
        <f>IF(OR(M7638="",N7638=""),"",SUMIFS('Barang Keluar'!$E:$E,'Barang Keluar'!$A:$A,M7638,'Barang Keluar'!$C:$C,N7638))</f>
        <v>0</v>
      </c>
    </row>
    <row r="7639" spans="13:16">
      <c r="M7639" s="49">
        <f>IF($A$4+76&gt;$B$4,"",$A$4+76)</f>
        <v>46099</v>
      </c>
      <c r="N7639" t="str">
        <f>IF(M7639="","",'Master Barang'!A33)</f>
        <v>PRL-032</v>
      </c>
      <c r="O7639" t="str">
        <f>IF(N7639="","",'Master Barang'!B33)</f>
        <v>plastik packaging ag box uk sedang</v>
      </c>
      <c r="P7639">
        <f>IF(OR(M7639="",N7639=""),"",SUMIFS('Barang Keluar'!$E:$E,'Barang Keluar'!$A:$A,M7639,'Barang Keluar'!$C:$C,N7639))</f>
        <v>0</v>
      </c>
    </row>
    <row r="7640" spans="13:16">
      <c r="M7640" s="49">
        <f>IF($A$4+76&gt;$B$4,"",$A$4+76)</f>
        <v>46099</v>
      </c>
      <c r="N7640" t="str">
        <f>IF(M7640="","",'Master Barang'!A34)</f>
        <v>PRL-033</v>
      </c>
      <c r="O7640">
        <f>IF(N7640="","",'Master Barang'!B34)</f>
        <v>0</v>
      </c>
      <c r="P7640">
        <f>IF(OR(M7640="",N7640=""),"",SUMIFS('Barang Keluar'!$E:$E,'Barang Keluar'!$A:$A,M7640,'Barang Keluar'!$C:$C,N7640))</f>
        <v>0</v>
      </c>
    </row>
    <row r="7641" spans="13:16">
      <c r="M7641" s="49">
        <f>IF($A$4+76&gt;$B$4,"",$A$4+76)</f>
        <v>46099</v>
      </c>
      <c r="N7641">
        <f>IF(M7641="","",'Master Barang'!A35)</f>
        <v>0</v>
      </c>
      <c r="O7641">
        <f>IF(N7641="","",'Master Barang'!B35)</f>
        <v>0</v>
      </c>
      <c r="P7641">
        <f>IF(OR(M7641="",N7641=""),"",SUMIFS('Barang Keluar'!$E:$E,'Barang Keluar'!$A:$A,M7641,'Barang Keluar'!$C:$C,N7641))</f>
        <v>0</v>
      </c>
    </row>
    <row r="7642" spans="13:16">
      <c r="M7642" s="49">
        <f>IF($A$4+76&gt;$B$4,"",$A$4+76)</f>
        <v>46099</v>
      </c>
      <c r="N7642">
        <f>IF(M7642="","",'Master Barang'!A36)</f>
        <v>0</v>
      </c>
      <c r="O7642">
        <f>IF(N7642="","",'Master Barang'!B36)</f>
        <v>0</v>
      </c>
      <c r="P7642">
        <f>IF(OR(M7642="",N7642=""),"",SUMIFS('Barang Keluar'!$E:$E,'Barang Keluar'!$A:$A,M7642,'Barang Keluar'!$C:$C,N7642))</f>
        <v>0</v>
      </c>
    </row>
    <row r="7643" spans="13:16">
      <c r="M7643" s="49">
        <f>IF($A$4+76&gt;$B$4,"",$A$4+76)</f>
        <v>46099</v>
      </c>
      <c r="N7643">
        <f>IF(M7643="","",'Master Barang'!A37)</f>
        <v>0</v>
      </c>
      <c r="O7643">
        <f>IF(N7643="","",'Master Barang'!B37)</f>
        <v>0</v>
      </c>
      <c r="P7643">
        <f>IF(OR(M7643="",N7643=""),"",SUMIFS('Barang Keluar'!$E:$E,'Barang Keluar'!$A:$A,M7643,'Barang Keluar'!$C:$C,N7643))</f>
        <v>0</v>
      </c>
    </row>
    <row r="7644" spans="13:16">
      <c r="M7644" s="49">
        <f>IF($A$4+76&gt;$B$4,"",$A$4+76)</f>
        <v>46099</v>
      </c>
      <c r="N7644">
        <f>IF(M7644="","",'Master Barang'!A38)</f>
        <v>0</v>
      </c>
      <c r="O7644">
        <f>IF(N7644="","",'Master Barang'!B38)</f>
        <v>0</v>
      </c>
      <c r="P7644">
        <f>IF(OR(M7644="",N7644=""),"",SUMIFS('Barang Keluar'!$E:$E,'Barang Keluar'!$A:$A,M7644,'Barang Keluar'!$C:$C,N7644))</f>
        <v>0</v>
      </c>
    </row>
    <row r="7645" spans="13:16">
      <c r="M7645" s="49">
        <f>IF($A$4+76&gt;$B$4,"",$A$4+76)</f>
        <v>46099</v>
      </c>
      <c r="N7645">
        <f>IF(M7645="","",'Master Barang'!A39)</f>
        <v>0</v>
      </c>
      <c r="O7645">
        <f>IF(N7645="","",'Master Barang'!B39)</f>
        <v>0</v>
      </c>
      <c r="P7645">
        <f>IF(OR(M7645="",N7645=""),"",SUMIFS('Barang Keluar'!$E:$E,'Barang Keluar'!$A:$A,M7645,'Barang Keluar'!$C:$C,N7645))</f>
        <v>0</v>
      </c>
    </row>
    <row r="7646" spans="13:16">
      <c r="M7646" s="49">
        <f>IF($A$4+76&gt;$B$4,"",$A$4+76)</f>
        <v>46099</v>
      </c>
      <c r="N7646">
        <f>IF(M7646="","",'Master Barang'!A40)</f>
        <v>0</v>
      </c>
      <c r="O7646">
        <f>IF(N7646="","",'Master Barang'!B40)</f>
        <v>0</v>
      </c>
      <c r="P7646">
        <f>IF(OR(M7646="",N7646=""),"",SUMIFS('Barang Keluar'!$E:$E,'Barang Keluar'!$A:$A,M7646,'Barang Keluar'!$C:$C,N7646))</f>
        <v>0</v>
      </c>
    </row>
    <row r="7647" spans="13:16">
      <c r="M7647" s="49">
        <f>IF($A$4+76&gt;$B$4,"",$A$4+76)</f>
        <v>46099</v>
      </c>
      <c r="N7647">
        <f>IF(M7647="","",'Master Barang'!A41)</f>
        <v>0</v>
      </c>
      <c r="O7647">
        <f>IF(N7647="","",'Master Barang'!B41)</f>
        <v>0</v>
      </c>
      <c r="P7647">
        <f>IF(OR(M7647="",N7647=""),"",SUMIFS('Barang Keluar'!$E:$E,'Barang Keluar'!$A:$A,M7647,'Barang Keluar'!$C:$C,N7647))</f>
        <v>0</v>
      </c>
    </row>
    <row r="7648" spans="13:16">
      <c r="M7648" s="49">
        <f>IF($A$4+76&gt;$B$4,"",$A$4+76)</f>
        <v>46099</v>
      </c>
      <c r="N7648">
        <f>IF(M7648="","",'Master Barang'!A42)</f>
        <v>0</v>
      </c>
      <c r="O7648">
        <f>IF(N7648="","",'Master Barang'!B42)</f>
        <v>0</v>
      </c>
      <c r="P7648">
        <f>IF(OR(M7648="",N7648=""),"",SUMIFS('Barang Keluar'!$E:$E,'Barang Keluar'!$A:$A,M7648,'Barang Keluar'!$C:$C,N7648))</f>
        <v>0</v>
      </c>
    </row>
    <row r="7649" spans="13:16">
      <c r="M7649" s="49">
        <f>IF($A$4+76&gt;$B$4,"",$A$4+76)</f>
        <v>46099</v>
      </c>
      <c r="N7649">
        <f>IF(M7649="","",'Master Barang'!A43)</f>
        <v>0</v>
      </c>
      <c r="O7649">
        <f>IF(N7649="","",'Master Barang'!B43)</f>
        <v>0</v>
      </c>
      <c r="P7649">
        <f>IF(OR(M7649="",N7649=""),"",SUMIFS('Barang Keluar'!$E:$E,'Barang Keluar'!$A:$A,M7649,'Barang Keluar'!$C:$C,N7649))</f>
        <v>0</v>
      </c>
    </row>
    <row r="7650" spans="13:16">
      <c r="M7650" s="49">
        <f>IF($A$4+76&gt;$B$4,"",$A$4+76)</f>
        <v>46099</v>
      </c>
      <c r="N7650">
        <f>IF(M7650="","",'Master Barang'!A44)</f>
        <v>0</v>
      </c>
      <c r="O7650">
        <f>IF(N7650="","",'Master Barang'!B44)</f>
        <v>0</v>
      </c>
      <c r="P7650">
        <f>IF(OR(M7650="",N7650=""),"",SUMIFS('Barang Keluar'!$E:$E,'Barang Keluar'!$A:$A,M7650,'Barang Keluar'!$C:$C,N7650))</f>
        <v>0</v>
      </c>
    </row>
    <row r="7651" spans="13:16">
      <c r="M7651" s="49">
        <f>IF($A$4+76&gt;$B$4,"",$A$4+76)</f>
        <v>46099</v>
      </c>
      <c r="N7651">
        <f>IF(M7651="","",'Master Barang'!A45)</f>
        <v>0</v>
      </c>
      <c r="O7651">
        <f>IF(N7651="","",'Master Barang'!B45)</f>
        <v>0</v>
      </c>
      <c r="P7651">
        <f>IF(OR(M7651="",N7651=""),"",SUMIFS('Barang Keluar'!$E:$E,'Barang Keluar'!$A:$A,M7651,'Barang Keluar'!$C:$C,N7651))</f>
        <v>0</v>
      </c>
    </row>
    <row r="7652" spans="13:16">
      <c r="M7652" s="49">
        <f>IF($A$4+76&gt;$B$4,"",$A$4+76)</f>
        <v>46099</v>
      </c>
      <c r="N7652">
        <f>IF(M7652="","",'Master Barang'!A46)</f>
        <v>0</v>
      </c>
      <c r="O7652">
        <f>IF(N7652="","",'Master Barang'!B46)</f>
        <v>0</v>
      </c>
      <c r="P7652">
        <f>IF(OR(M7652="",N7652=""),"",SUMIFS('Barang Keluar'!$E:$E,'Barang Keluar'!$A:$A,M7652,'Barang Keluar'!$C:$C,N7652))</f>
        <v>0</v>
      </c>
    </row>
    <row r="7653" spans="13:16">
      <c r="M7653" s="49">
        <f>IF($A$4+76&gt;$B$4,"",$A$4+76)</f>
        <v>46099</v>
      </c>
      <c r="N7653">
        <f>IF(M7653="","",'Master Barang'!A47)</f>
        <v>0</v>
      </c>
      <c r="O7653">
        <f>IF(N7653="","",'Master Barang'!B47)</f>
        <v>0</v>
      </c>
      <c r="P7653">
        <f>IF(OR(M7653="",N7653=""),"",SUMIFS('Barang Keluar'!$E:$E,'Barang Keluar'!$A:$A,M7653,'Barang Keluar'!$C:$C,N7653))</f>
        <v>0</v>
      </c>
    </row>
    <row r="7654" spans="13:16">
      <c r="M7654" s="49">
        <f>IF($A$4+76&gt;$B$4,"",$A$4+76)</f>
        <v>46099</v>
      </c>
      <c r="N7654">
        <f>IF(M7654="","",'Master Barang'!A48)</f>
        <v>0</v>
      </c>
      <c r="O7654">
        <f>IF(N7654="","",'Master Barang'!B48)</f>
        <v>0</v>
      </c>
      <c r="P7654">
        <f>IF(OR(M7654="",N7654=""),"",SUMIFS('Barang Keluar'!$E:$E,'Barang Keluar'!$A:$A,M7654,'Barang Keluar'!$C:$C,N7654))</f>
        <v>0</v>
      </c>
    </row>
    <row r="7655" spans="13:16">
      <c r="M7655" s="49">
        <f>IF($A$4+76&gt;$B$4,"",$A$4+76)</f>
        <v>46099</v>
      </c>
      <c r="N7655">
        <f>IF(M7655="","",'Master Barang'!A49)</f>
        <v>0</v>
      </c>
      <c r="O7655">
        <f>IF(N7655="","",'Master Barang'!B49)</f>
        <v>0</v>
      </c>
      <c r="P7655">
        <f>IF(OR(M7655="",N7655=""),"",SUMIFS('Barang Keluar'!$E:$E,'Barang Keluar'!$A:$A,M7655,'Barang Keluar'!$C:$C,N7655))</f>
        <v>0</v>
      </c>
    </row>
    <row r="7656" spans="13:16">
      <c r="M7656" s="49">
        <f>IF($A$4+76&gt;$B$4,"",$A$4+76)</f>
        <v>46099</v>
      </c>
      <c r="N7656">
        <f>IF(M7656="","",'Master Barang'!A50)</f>
        <v>0</v>
      </c>
      <c r="O7656">
        <f>IF(N7656="","",'Master Barang'!B50)</f>
        <v>0</v>
      </c>
      <c r="P7656">
        <f>IF(OR(M7656="",N7656=""),"",SUMIFS('Barang Keluar'!$E:$E,'Barang Keluar'!$A:$A,M7656,'Barang Keluar'!$C:$C,N7656))</f>
        <v>0</v>
      </c>
    </row>
    <row r="7657" spans="13:16">
      <c r="M7657" s="49">
        <f>IF($A$4+76&gt;$B$4,"",$A$4+76)</f>
        <v>46099</v>
      </c>
      <c r="N7657">
        <f>IF(M7657="","",'Master Barang'!A51)</f>
        <v>0</v>
      </c>
      <c r="O7657">
        <f>IF(N7657="","",'Master Barang'!B51)</f>
        <v>0</v>
      </c>
      <c r="P7657">
        <f>IF(OR(M7657="",N7657=""),"",SUMIFS('Barang Keluar'!$E:$E,'Barang Keluar'!$A:$A,M7657,'Barang Keluar'!$C:$C,N7657))</f>
        <v>0</v>
      </c>
    </row>
    <row r="7658" spans="13:16">
      <c r="M7658" s="49">
        <f>IF($A$4+76&gt;$B$4,"",$A$4+76)</f>
        <v>46099</v>
      </c>
      <c r="N7658">
        <f>IF(M7658="","",'Master Barang'!A52)</f>
        <v>0</v>
      </c>
      <c r="O7658">
        <f>IF(N7658="","",'Master Barang'!B52)</f>
        <v>0</v>
      </c>
      <c r="P7658">
        <f>IF(OR(M7658="",N7658=""),"",SUMIFS('Barang Keluar'!$E:$E,'Barang Keluar'!$A:$A,M7658,'Barang Keluar'!$C:$C,N7658))</f>
        <v>0</v>
      </c>
    </row>
    <row r="7659" spans="13:16">
      <c r="M7659" s="49">
        <f>IF($A$4+76&gt;$B$4,"",$A$4+76)</f>
        <v>46099</v>
      </c>
      <c r="N7659">
        <f>IF(M7659="","",'Master Barang'!A53)</f>
        <v>0</v>
      </c>
      <c r="O7659">
        <f>IF(N7659="","",'Master Barang'!B53)</f>
        <v>0</v>
      </c>
      <c r="P7659">
        <f>IF(OR(M7659="",N7659=""),"",SUMIFS('Barang Keluar'!$E:$E,'Barang Keluar'!$A:$A,M7659,'Barang Keluar'!$C:$C,N7659))</f>
        <v>0</v>
      </c>
    </row>
    <row r="7660" spans="13:16">
      <c r="M7660" s="49">
        <f>IF($A$4+76&gt;$B$4,"",$A$4+76)</f>
        <v>46099</v>
      </c>
      <c r="N7660">
        <f>IF(M7660="","",'Master Barang'!A54)</f>
        <v>0</v>
      </c>
      <c r="O7660">
        <f>IF(N7660="","",'Master Barang'!B54)</f>
        <v>0</v>
      </c>
      <c r="P7660">
        <f>IF(OR(M7660="",N7660=""),"",SUMIFS('Barang Keluar'!$E:$E,'Barang Keluar'!$A:$A,M7660,'Barang Keluar'!$C:$C,N7660))</f>
        <v>0</v>
      </c>
    </row>
    <row r="7661" spans="13:16">
      <c r="M7661" s="49">
        <f>IF($A$4+76&gt;$B$4,"",$A$4+76)</f>
        <v>46099</v>
      </c>
      <c r="N7661">
        <f>IF(M7661="","",'Master Barang'!A55)</f>
        <v>0</v>
      </c>
      <c r="O7661">
        <f>IF(N7661="","",'Master Barang'!B55)</f>
        <v>0</v>
      </c>
      <c r="P7661">
        <f>IF(OR(M7661="",N7661=""),"",SUMIFS('Barang Keluar'!$E:$E,'Barang Keluar'!$A:$A,M7661,'Barang Keluar'!$C:$C,N7661))</f>
        <v>0</v>
      </c>
    </row>
    <row r="7662" spans="13:16">
      <c r="M7662" s="49">
        <f>IF($A$4+76&gt;$B$4,"",$A$4+76)</f>
        <v>46099</v>
      </c>
      <c r="N7662">
        <f>IF(M7662="","",'Master Barang'!A56)</f>
        <v>0</v>
      </c>
      <c r="O7662">
        <f>IF(N7662="","",'Master Barang'!B56)</f>
        <v>0</v>
      </c>
      <c r="P7662">
        <f>IF(OR(M7662="",N7662=""),"",SUMIFS('Barang Keluar'!$E:$E,'Barang Keluar'!$A:$A,M7662,'Barang Keluar'!$C:$C,N7662))</f>
        <v>0</v>
      </c>
    </row>
    <row r="7663" spans="13:16">
      <c r="M7663" s="49">
        <f>IF($A$4+76&gt;$B$4,"",$A$4+76)</f>
        <v>46099</v>
      </c>
      <c r="N7663">
        <f>IF(M7663="","",'Master Barang'!A57)</f>
        <v>0</v>
      </c>
      <c r="O7663">
        <f>IF(N7663="","",'Master Barang'!B57)</f>
        <v>0</v>
      </c>
      <c r="P7663">
        <f>IF(OR(M7663="",N7663=""),"",SUMIFS('Barang Keluar'!$E:$E,'Barang Keluar'!$A:$A,M7663,'Barang Keluar'!$C:$C,N7663))</f>
        <v>0</v>
      </c>
    </row>
    <row r="7664" spans="13:16">
      <c r="M7664" s="49">
        <f>IF($A$4+76&gt;$B$4,"",$A$4+76)</f>
        <v>46099</v>
      </c>
      <c r="N7664">
        <f>IF(M7664="","",'Master Barang'!A58)</f>
        <v>0</v>
      </c>
      <c r="O7664">
        <f>IF(N7664="","",'Master Barang'!B58)</f>
        <v>0</v>
      </c>
      <c r="P7664">
        <f>IF(OR(M7664="",N7664=""),"",SUMIFS('Barang Keluar'!$E:$E,'Barang Keluar'!$A:$A,M7664,'Barang Keluar'!$C:$C,N7664))</f>
        <v>0</v>
      </c>
    </row>
    <row r="7665" spans="13:16">
      <c r="M7665" s="49">
        <f>IF($A$4+76&gt;$B$4,"",$A$4+76)</f>
        <v>46099</v>
      </c>
      <c r="N7665">
        <f>IF(M7665="","",'Master Barang'!A59)</f>
        <v>0</v>
      </c>
      <c r="O7665">
        <f>IF(N7665="","",'Master Barang'!B59)</f>
        <v>0</v>
      </c>
      <c r="P7665">
        <f>IF(OR(M7665="",N7665=""),"",SUMIFS('Barang Keluar'!$E:$E,'Barang Keluar'!$A:$A,M7665,'Barang Keluar'!$C:$C,N7665))</f>
        <v>0</v>
      </c>
    </row>
    <row r="7666" spans="13:16">
      <c r="M7666" s="49">
        <f>IF($A$4+76&gt;$B$4,"",$A$4+76)</f>
        <v>46099</v>
      </c>
      <c r="N7666">
        <f>IF(M7666="","",'Master Barang'!A60)</f>
        <v>0</v>
      </c>
      <c r="O7666">
        <f>IF(N7666="","",'Master Barang'!B60)</f>
        <v>0</v>
      </c>
      <c r="P7666">
        <f>IF(OR(M7666="",N7666=""),"",SUMIFS('Barang Keluar'!$E:$E,'Barang Keluar'!$A:$A,M7666,'Barang Keluar'!$C:$C,N7666))</f>
        <v>0</v>
      </c>
    </row>
    <row r="7667" spans="13:16">
      <c r="M7667" s="49">
        <f>IF($A$4+76&gt;$B$4,"",$A$4+76)</f>
        <v>46099</v>
      </c>
      <c r="N7667">
        <f>IF(M7667="","",'Master Barang'!A61)</f>
        <v>0</v>
      </c>
      <c r="O7667">
        <f>IF(N7667="","",'Master Barang'!B61)</f>
        <v>0</v>
      </c>
      <c r="P7667">
        <f>IF(OR(M7667="",N7667=""),"",SUMIFS('Barang Keluar'!$E:$E,'Barang Keluar'!$A:$A,M7667,'Barang Keluar'!$C:$C,N7667))</f>
        <v>0</v>
      </c>
    </row>
    <row r="7668" spans="13:16">
      <c r="M7668" s="49">
        <f>IF($A$4+76&gt;$B$4,"",$A$4+76)</f>
        <v>46099</v>
      </c>
      <c r="N7668">
        <f>IF(M7668="","",'Master Barang'!A62)</f>
        <v>0</v>
      </c>
      <c r="O7668">
        <f>IF(N7668="","",'Master Barang'!B62)</f>
        <v>0</v>
      </c>
      <c r="P7668">
        <f>IF(OR(M7668="",N7668=""),"",SUMIFS('Barang Keluar'!$E:$E,'Barang Keluar'!$A:$A,M7668,'Barang Keluar'!$C:$C,N7668))</f>
        <v>0</v>
      </c>
    </row>
    <row r="7669" spans="13:16">
      <c r="M7669" s="49">
        <f>IF($A$4+76&gt;$B$4,"",$A$4+76)</f>
        <v>46099</v>
      </c>
      <c r="N7669">
        <f>IF(M7669="","",'Master Barang'!A63)</f>
        <v>0</v>
      </c>
      <c r="O7669">
        <f>IF(N7669="","",'Master Barang'!B63)</f>
        <v>0</v>
      </c>
      <c r="P7669">
        <f>IF(OR(M7669="",N7669=""),"",SUMIFS('Barang Keluar'!$E:$E,'Barang Keluar'!$A:$A,M7669,'Barang Keluar'!$C:$C,N7669))</f>
        <v>0</v>
      </c>
    </row>
    <row r="7670" spans="13:16">
      <c r="M7670" s="49">
        <f>IF($A$4+76&gt;$B$4,"",$A$4+76)</f>
        <v>46099</v>
      </c>
      <c r="N7670">
        <f>IF(M7670="","",'Master Barang'!A64)</f>
        <v>0</v>
      </c>
      <c r="O7670">
        <f>IF(N7670="","",'Master Barang'!B64)</f>
        <v>0</v>
      </c>
      <c r="P7670">
        <f>IF(OR(M7670="",N7670=""),"",SUMIFS('Barang Keluar'!$E:$E,'Barang Keluar'!$A:$A,M7670,'Barang Keluar'!$C:$C,N7670))</f>
        <v>0</v>
      </c>
    </row>
    <row r="7671" spans="13:16">
      <c r="M7671" s="49">
        <f>IF($A$4+76&gt;$B$4,"",$A$4+76)</f>
        <v>46099</v>
      </c>
      <c r="N7671">
        <f>IF(M7671="","",'Master Barang'!A65)</f>
        <v>0</v>
      </c>
      <c r="O7671">
        <f>IF(N7671="","",'Master Barang'!B65)</f>
        <v>0</v>
      </c>
      <c r="P7671">
        <f>IF(OR(M7671="",N7671=""),"",SUMIFS('Barang Keluar'!$E:$E,'Barang Keluar'!$A:$A,M7671,'Barang Keluar'!$C:$C,N7671))</f>
        <v>0</v>
      </c>
    </row>
    <row r="7672" spans="13:16">
      <c r="M7672" s="49">
        <f>IF($A$4+76&gt;$B$4,"",$A$4+76)</f>
        <v>46099</v>
      </c>
      <c r="N7672">
        <f>IF(M7672="","",'Master Barang'!A66)</f>
        <v>0</v>
      </c>
      <c r="O7672">
        <f>IF(N7672="","",'Master Barang'!B66)</f>
        <v>0</v>
      </c>
      <c r="P7672">
        <f>IF(OR(M7672="",N7672=""),"",SUMIFS('Barang Keluar'!$E:$E,'Barang Keluar'!$A:$A,M7672,'Barang Keluar'!$C:$C,N7672))</f>
        <v>0</v>
      </c>
    </row>
    <row r="7673" spans="13:16">
      <c r="M7673" s="49">
        <f>IF($A$4+76&gt;$B$4,"",$A$4+76)</f>
        <v>46099</v>
      </c>
      <c r="N7673">
        <f>IF(M7673="","",'Master Barang'!A67)</f>
        <v>0</v>
      </c>
      <c r="O7673">
        <f>IF(N7673="","",'Master Barang'!B67)</f>
        <v>0</v>
      </c>
      <c r="P7673">
        <f>IF(OR(M7673="",N7673=""),"",SUMIFS('Barang Keluar'!$E:$E,'Barang Keluar'!$A:$A,M7673,'Barang Keluar'!$C:$C,N7673))</f>
        <v>0</v>
      </c>
    </row>
    <row r="7674" spans="13:16">
      <c r="M7674" s="49">
        <f>IF($A$4+76&gt;$B$4,"",$A$4+76)</f>
        <v>46099</v>
      </c>
      <c r="N7674">
        <f>IF(M7674="","",'Master Barang'!A68)</f>
        <v>0</v>
      </c>
      <c r="O7674">
        <f>IF(N7674="","",'Master Barang'!B68)</f>
        <v>0</v>
      </c>
      <c r="P7674">
        <f>IF(OR(M7674="",N7674=""),"",SUMIFS('Barang Keluar'!$E:$E,'Barang Keluar'!$A:$A,M7674,'Barang Keluar'!$C:$C,N7674))</f>
        <v>0</v>
      </c>
    </row>
    <row r="7675" spans="13:16">
      <c r="M7675" s="49">
        <f>IF($A$4+76&gt;$B$4,"",$A$4+76)</f>
        <v>46099</v>
      </c>
      <c r="N7675">
        <f>IF(M7675="","",'Master Barang'!A69)</f>
        <v>0</v>
      </c>
      <c r="O7675">
        <f>IF(N7675="","",'Master Barang'!B69)</f>
        <v>0</v>
      </c>
      <c r="P7675">
        <f>IF(OR(M7675="",N7675=""),"",SUMIFS('Barang Keluar'!$E:$E,'Barang Keluar'!$A:$A,M7675,'Barang Keluar'!$C:$C,N7675))</f>
        <v>0</v>
      </c>
    </row>
    <row r="7676" spans="13:16">
      <c r="M7676" s="49">
        <f>IF($A$4+76&gt;$B$4,"",$A$4+76)</f>
        <v>46099</v>
      </c>
      <c r="N7676">
        <f>IF(M7676="","",'Master Barang'!A70)</f>
        <v>0</v>
      </c>
      <c r="O7676">
        <f>IF(N7676="","",'Master Barang'!B70)</f>
        <v>0</v>
      </c>
      <c r="P7676">
        <f>IF(OR(M7676="",N7676=""),"",SUMIFS('Barang Keluar'!$E:$E,'Barang Keluar'!$A:$A,M7676,'Barang Keluar'!$C:$C,N7676))</f>
        <v>0</v>
      </c>
    </row>
    <row r="7677" spans="13:16">
      <c r="M7677" s="49">
        <f>IF($A$4+76&gt;$B$4,"",$A$4+76)</f>
        <v>46099</v>
      </c>
      <c r="N7677">
        <f>IF(M7677="","",'Master Barang'!A71)</f>
        <v>0</v>
      </c>
      <c r="O7677">
        <f>IF(N7677="","",'Master Barang'!B71)</f>
        <v>0</v>
      </c>
      <c r="P7677">
        <f>IF(OR(M7677="",N7677=""),"",SUMIFS('Barang Keluar'!$E:$E,'Barang Keluar'!$A:$A,M7677,'Barang Keluar'!$C:$C,N7677))</f>
        <v>0</v>
      </c>
    </row>
    <row r="7678" spans="13:16">
      <c r="M7678" s="49">
        <f>IF($A$4+76&gt;$B$4,"",$A$4+76)</f>
        <v>46099</v>
      </c>
      <c r="N7678">
        <f>IF(M7678="","",'Master Barang'!A72)</f>
        <v>0</v>
      </c>
      <c r="O7678">
        <f>IF(N7678="","",'Master Barang'!B72)</f>
        <v>0</v>
      </c>
      <c r="P7678">
        <f>IF(OR(M7678="",N7678=""),"",SUMIFS('Barang Keluar'!$E:$E,'Barang Keluar'!$A:$A,M7678,'Barang Keluar'!$C:$C,N7678))</f>
        <v>0</v>
      </c>
    </row>
    <row r="7679" spans="13:16">
      <c r="M7679" s="49">
        <f>IF($A$4+76&gt;$B$4,"",$A$4+76)</f>
        <v>46099</v>
      </c>
      <c r="N7679">
        <f>IF(M7679="","",'Master Barang'!A73)</f>
        <v>0</v>
      </c>
      <c r="O7679">
        <f>IF(N7679="","",'Master Barang'!B73)</f>
        <v>0</v>
      </c>
      <c r="P7679">
        <f>IF(OR(M7679="",N7679=""),"",SUMIFS('Barang Keluar'!$E:$E,'Barang Keluar'!$A:$A,M7679,'Barang Keluar'!$C:$C,N7679))</f>
        <v>0</v>
      </c>
    </row>
    <row r="7680" spans="13:16">
      <c r="M7680" s="49">
        <f>IF($A$4+76&gt;$B$4,"",$A$4+76)</f>
        <v>46099</v>
      </c>
      <c r="N7680">
        <f>IF(M7680="","",'Master Barang'!A74)</f>
        <v>0</v>
      </c>
      <c r="O7680">
        <f>IF(N7680="","",'Master Barang'!B74)</f>
        <v>0</v>
      </c>
      <c r="P7680">
        <f>IF(OR(M7680="",N7680=""),"",SUMIFS('Barang Keluar'!$E:$E,'Barang Keluar'!$A:$A,M7680,'Barang Keluar'!$C:$C,N7680))</f>
        <v>0</v>
      </c>
    </row>
    <row r="7681" spans="13:16">
      <c r="M7681" s="49">
        <f>IF($A$4+76&gt;$B$4,"",$A$4+76)</f>
        <v>46099</v>
      </c>
      <c r="N7681">
        <f>IF(M7681="","",'Master Barang'!A75)</f>
        <v>0</v>
      </c>
      <c r="O7681">
        <f>IF(N7681="","",'Master Barang'!B75)</f>
        <v>0</v>
      </c>
      <c r="P7681">
        <f>IF(OR(M7681="",N7681=""),"",SUMIFS('Barang Keluar'!$E:$E,'Barang Keluar'!$A:$A,M7681,'Barang Keluar'!$C:$C,N7681))</f>
        <v>0</v>
      </c>
    </row>
    <row r="7682" spans="13:16">
      <c r="M7682" s="49">
        <f>IF($A$4+76&gt;$B$4,"",$A$4+76)</f>
        <v>46099</v>
      </c>
      <c r="N7682">
        <f>IF(M7682="","",'Master Barang'!A76)</f>
        <v>0</v>
      </c>
      <c r="O7682">
        <f>IF(N7682="","",'Master Barang'!B76)</f>
        <v>0</v>
      </c>
      <c r="P7682">
        <f>IF(OR(M7682="",N7682=""),"",SUMIFS('Barang Keluar'!$E:$E,'Barang Keluar'!$A:$A,M7682,'Barang Keluar'!$C:$C,N7682))</f>
        <v>0</v>
      </c>
    </row>
    <row r="7683" spans="13:16">
      <c r="M7683" s="49">
        <f>IF($A$4+76&gt;$B$4,"",$A$4+76)</f>
        <v>46099</v>
      </c>
      <c r="N7683">
        <f>IF(M7683="","",'Master Barang'!A77)</f>
        <v>0</v>
      </c>
      <c r="O7683">
        <f>IF(N7683="","",'Master Barang'!B77)</f>
        <v>0</v>
      </c>
      <c r="P7683">
        <f>IF(OR(M7683="",N7683=""),"",SUMIFS('Barang Keluar'!$E:$E,'Barang Keluar'!$A:$A,M7683,'Barang Keluar'!$C:$C,N7683))</f>
        <v>0</v>
      </c>
    </row>
    <row r="7684" spans="13:16">
      <c r="M7684" s="49">
        <f>IF($A$4+76&gt;$B$4,"",$A$4+76)</f>
        <v>46099</v>
      </c>
      <c r="N7684">
        <f>IF(M7684="","",'Master Barang'!A78)</f>
        <v>0</v>
      </c>
      <c r="O7684">
        <f>IF(N7684="","",'Master Barang'!B78)</f>
        <v>0</v>
      </c>
      <c r="P7684">
        <f>IF(OR(M7684="",N7684=""),"",SUMIFS('Barang Keluar'!$E:$E,'Barang Keluar'!$A:$A,M7684,'Barang Keluar'!$C:$C,N7684))</f>
        <v>0</v>
      </c>
    </row>
    <row r="7685" spans="13:16">
      <c r="M7685" s="49">
        <f>IF($A$4+76&gt;$B$4,"",$A$4+76)</f>
        <v>46099</v>
      </c>
      <c r="N7685">
        <f>IF(M7685="","",'Master Barang'!A79)</f>
        <v>0</v>
      </c>
      <c r="O7685">
        <f>IF(N7685="","",'Master Barang'!B79)</f>
        <v>0</v>
      </c>
      <c r="P7685">
        <f>IF(OR(M7685="",N7685=""),"",SUMIFS('Barang Keluar'!$E:$E,'Barang Keluar'!$A:$A,M7685,'Barang Keluar'!$C:$C,N7685))</f>
        <v>0</v>
      </c>
    </row>
    <row r="7686" spans="13:16">
      <c r="M7686" s="49">
        <f>IF($A$4+76&gt;$B$4,"",$A$4+76)</f>
        <v>46099</v>
      </c>
      <c r="N7686">
        <f>IF(M7686="","",'Master Barang'!A80)</f>
        <v>0</v>
      </c>
      <c r="O7686">
        <f>IF(N7686="","",'Master Barang'!B80)</f>
        <v>0</v>
      </c>
      <c r="P7686">
        <f>IF(OR(M7686="",N7686=""),"",SUMIFS('Barang Keluar'!$E:$E,'Barang Keluar'!$A:$A,M7686,'Barang Keluar'!$C:$C,N7686))</f>
        <v>0</v>
      </c>
    </row>
    <row r="7687" spans="13:16">
      <c r="M7687" s="49">
        <f>IF($A$4+76&gt;$B$4,"",$A$4+76)</f>
        <v>46099</v>
      </c>
      <c r="N7687">
        <f>IF(M7687="","",'Master Barang'!A81)</f>
        <v>0</v>
      </c>
      <c r="O7687">
        <f>IF(N7687="","",'Master Barang'!B81)</f>
        <v>0</v>
      </c>
      <c r="P7687">
        <f>IF(OR(M7687="",N7687=""),"",SUMIFS('Barang Keluar'!$E:$E,'Barang Keluar'!$A:$A,M7687,'Barang Keluar'!$C:$C,N7687))</f>
        <v>0</v>
      </c>
    </row>
    <row r="7688" spans="13:16">
      <c r="M7688" s="49">
        <f>IF($A$4+76&gt;$B$4,"",$A$4+76)</f>
        <v>46099</v>
      </c>
      <c r="N7688">
        <f>IF(M7688="","",'Master Barang'!A82)</f>
        <v>0</v>
      </c>
      <c r="O7688">
        <f>IF(N7688="","",'Master Barang'!B82)</f>
        <v>0</v>
      </c>
      <c r="P7688">
        <f>IF(OR(M7688="",N7688=""),"",SUMIFS('Barang Keluar'!$E:$E,'Barang Keluar'!$A:$A,M7688,'Barang Keluar'!$C:$C,N7688))</f>
        <v>0</v>
      </c>
    </row>
    <row r="7689" spans="13:16">
      <c r="M7689" s="49">
        <f>IF($A$4+76&gt;$B$4,"",$A$4+76)</f>
        <v>46099</v>
      </c>
      <c r="N7689">
        <f>IF(M7689="","",'Master Barang'!A83)</f>
        <v>0</v>
      </c>
      <c r="O7689">
        <f>IF(N7689="","",'Master Barang'!B83)</f>
        <v>0</v>
      </c>
      <c r="P7689">
        <f>IF(OR(M7689="",N7689=""),"",SUMIFS('Barang Keluar'!$E:$E,'Barang Keluar'!$A:$A,M7689,'Barang Keluar'!$C:$C,N7689))</f>
        <v>0</v>
      </c>
    </row>
    <row r="7690" spans="13:16">
      <c r="M7690" s="49">
        <f>IF($A$4+76&gt;$B$4,"",$A$4+76)</f>
        <v>46099</v>
      </c>
      <c r="N7690">
        <f>IF(M7690="","",'Master Barang'!A84)</f>
        <v>0</v>
      </c>
      <c r="O7690">
        <f>IF(N7690="","",'Master Barang'!B84)</f>
        <v>0</v>
      </c>
      <c r="P7690">
        <f>IF(OR(M7690="",N7690=""),"",SUMIFS('Barang Keluar'!$E:$E,'Barang Keluar'!$A:$A,M7690,'Barang Keluar'!$C:$C,N7690))</f>
        <v>0</v>
      </c>
    </row>
    <row r="7691" spans="13:16">
      <c r="M7691" s="49">
        <f>IF($A$4+76&gt;$B$4,"",$A$4+76)</f>
        <v>46099</v>
      </c>
      <c r="N7691">
        <f>IF(M7691="","",'Master Barang'!A85)</f>
        <v>0</v>
      </c>
      <c r="O7691">
        <f>IF(N7691="","",'Master Barang'!B85)</f>
        <v>0</v>
      </c>
      <c r="P7691">
        <f>IF(OR(M7691="",N7691=""),"",SUMIFS('Barang Keluar'!$E:$E,'Barang Keluar'!$A:$A,M7691,'Barang Keluar'!$C:$C,N7691))</f>
        <v>0</v>
      </c>
    </row>
    <row r="7692" spans="13:16">
      <c r="M7692" s="49">
        <f>IF($A$4+76&gt;$B$4,"",$A$4+76)</f>
        <v>46099</v>
      </c>
      <c r="N7692">
        <f>IF(M7692="","",'Master Barang'!A86)</f>
        <v>0</v>
      </c>
      <c r="O7692">
        <f>IF(N7692="","",'Master Barang'!B86)</f>
        <v>0</v>
      </c>
      <c r="P7692">
        <f>IF(OR(M7692="",N7692=""),"",SUMIFS('Barang Keluar'!$E:$E,'Barang Keluar'!$A:$A,M7692,'Barang Keluar'!$C:$C,N7692))</f>
        <v>0</v>
      </c>
    </row>
    <row r="7693" spans="13:16">
      <c r="M7693" s="49">
        <f>IF($A$4+76&gt;$B$4,"",$A$4+76)</f>
        <v>46099</v>
      </c>
      <c r="N7693">
        <f>IF(M7693="","",'Master Barang'!A87)</f>
        <v>0</v>
      </c>
      <c r="O7693">
        <f>IF(N7693="","",'Master Barang'!B87)</f>
        <v>0</v>
      </c>
      <c r="P7693">
        <f>IF(OR(M7693="",N7693=""),"",SUMIFS('Barang Keluar'!$E:$E,'Barang Keluar'!$A:$A,M7693,'Barang Keluar'!$C:$C,N7693))</f>
        <v>0</v>
      </c>
    </row>
    <row r="7694" spans="13:16">
      <c r="M7694" s="49">
        <f>IF($A$4+76&gt;$B$4,"",$A$4+76)</f>
        <v>46099</v>
      </c>
      <c r="N7694">
        <f>IF(M7694="","",'Master Barang'!A88)</f>
        <v>0</v>
      </c>
      <c r="O7694">
        <f>IF(N7694="","",'Master Barang'!B88)</f>
        <v>0</v>
      </c>
      <c r="P7694">
        <f>IF(OR(M7694="",N7694=""),"",SUMIFS('Barang Keluar'!$E:$E,'Barang Keluar'!$A:$A,M7694,'Barang Keluar'!$C:$C,N7694))</f>
        <v>0</v>
      </c>
    </row>
    <row r="7695" spans="13:16">
      <c r="M7695" s="49">
        <f>IF($A$4+76&gt;$B$4,"",$A$4+76)</f>
        <v>46099</v>
      </c>
      <c r="N7695">
        <f>IF(M7695="","",'Master Barang'!A89)</f>
        <v>0</v>
      </c>
      <c r="O7695">
        <f>IF(N7695="","",'Master Barang'!B89)</f>
        <v>0</v>
      </c>
      <c r="P7695">
        <f>IF(OR(M7695="",N7695=""),"",SUMIFS('Barang Keluar'!$E:$E,'Barang Keluar'!$A:$A,M7695,'Barang Keluar'!$C:$C,N7695))</f>
        <v>0</v>
      </c>
    </row>
    <row r="7696" spans="13:16">
      <c r="M7696" s="49">
        <f>IF($A$4+76&gt;$B$4,"",$A$4+76)</f>
        <v>46099</v>
      </c>
      <c r="N7696">
        <f>IF(M7696="","",'Master Barang'!A90)</f>
        <v>0</v>
      </c>
      <c r="O7696">
        <f>IF(N7696="","",'Master Barang'!B90)</f>
        <v>0</v>
      </c>
      <c r="P7696">
        <f>IF(OR(M7696="",N7696=""),"",SUMIFS('Barang Keluar'!$E:$E,'Barang Keluar'!$A:$A,M7696,'Barang Keluar'!$C:$C,N7696))</f>
        <v>0</v>
      </c>
    </row>
    <row r="7697" spans="13:16">
      <c r="M7697" s="49">
        <f>IF($A$4+76&gt;$B$4,"",$A$4+76)</f>
        <v>46099</v>
      </c>
      <c r="N7697">
        <f>IF(M7697="","",'Master Barang'!A91)</f>
        <v>0</v>
      </c>
      <c r="O7697">
        <f>IF(N7697="","",'Master Barang'!B91)</f>
        <v>0</v>
      </c>
      <c r="P7697">
        <f>IF(OR(M7697="",N7697=""),"",SUMIFS('Barang Keluar'!$E:$E,'Barang Keluar'!$A:$A,M7697,'Barang Keluar'!$C:$C,N7697))</f>
        <v>0</v>
      </c>
    </row>
    <row r="7698" spans="13:16">
      <c r="M7698" s="49">
        <f>IF($A$4+76&gt;$B$4,"",$A$4+76)</f>
        <v>46099</v>
      </c>
      <c r="N7698">
        <f>IF(M7698="","",'Master Barang'!A92)</f>
        <v>0</v>
      </c>
      <c r="O7698">
        <f>IF(N7698="","",'Master Barang'!B92)</f>
        <v>0</v>
      </c>
      <c r="P7698">
        <f>IF(OR(M7698="",N7698=""),"",SUMIFS('Barang Keluar'!$E:$E,'Barang Keluar'!$A:$A,M7698,'Barang Keluar'!$C:$C,N7698))</f>
        <v>0</v>
      </c>
    </row>
    <row r="7699" spans="13:16">
      <c r="M7699" s="49">
        <f>IF($A$4+76&gt;$B$4,"",$A$4+76)</f>
        <v>46099</v>
      </c>
      <c r="N7699">
        <f>IF(M7699="","",'Master Barang'!A93)</f>
        <v>0</v>
      </c>
      <c r="O7699">
        <f>IF(N7699="","",'Master Barang'!B93)</f>
        <v>0</v>
      </c>
      <c r="P7699">
        <f>IF(OR(M7699="",N7699=""),"",SUMIFS('Barang Keluar'!$E:$E,'Barang Keluar'!$A:$A,M7699,'Barang Keluar'!$C:$C,N7699))</f>
        <v>0</v>
      </c>
    </row>
    <row r="7700" spans="13:16">
      <c r="M7700" s="49">
        <f>IF($A$4+76&gt;$B$4,"",$A$4+76)</f>
        <v>46099</v>
      </c>
      <c r="N7700">
        <f>IF(M7700="","",'Master Barang'!A94)</f>
        <v>0</v>
      </c>
      <c r="O7700">
        <f>IF(N7700="","",'Master Barang'!B94)</f>
        <v>0</v>
      </c>
      <c r="P7700">
        <f>IF(OR(M7700="",N7700=""),"",SUMIFS('Barang Keluar'!$E:$E,'Barang Keluar'!$A:$A,M7700,'Barang Keluar'!$C:$C,N7700))</f>
        <v>0</v>
      </c>
    </row>
    <row r="7701" spans="13:16">
      <c r="M7701" s="49">
        <f>IF($A$4+76&gt;$B$4,"",$A$4+76)</f>
        <v>46099</v>
      </c>
      <c r="N7701">
        <f>IF(M7701="","",'Master Barang'!A95)</f>
        <v>0</v>
      </c>
      <c r="O7701">
        <f>IF(N7701="","",'Master Barang'!B95)</f>
        <v>0</v>
      </c>
      <c r="P7701">
        <f>IF(OR(M7701="",N7701=""),"",SUMIFS('Barang Keluar'!$E:$E,'Barang Keluar'!$A:$A,M7701,'Barang Keluar'!$C:$C,N7701))</f>
        <v>0</v>
      </c>
    </row>
    <row r="7702" spans="13:16">
      <c r="M7702" s="49">
        <f>IF($A$4+76&gt;$B$4,"",$A$4+76)</f>
        <v>46099</v>
      </c>
      <c r="N7702">
        <f>IF(M7702="","",'Master Barang'!A96)</f>
        <v>0</v>
      </c>
      <c r="O7702">
        <f>IF(N7702="","",'Master Barang'!B96)</f>
        <v>0</v>
      </c>
      <c r="P7702">
        <f>IF(OR(M7702="",N7702=""),"",SUMIFS('Barang Keluar'!$E:$E,'Barang Keluar'!$A:$A,M7702,'Barang Keluar'!$C:$C,N7702))</f>
        <v>0</v>
      </c>
    </row>
    <row r="7703" spans="13:16">
      <c r="M7703" s="49">
        <f>IF($A$4+76&gt;$B$4,"",$A$4+76)</f>
        <v>46099</v>
      </c>
      <c r="N7703">
        <f>IF(M7703="","",'Master Barang'!A97)</f>
        <v>0</v>
      </c>
      <c r="O7703">
        <f>IF(N7703="","",'Master Barang'!B97)</f>
        <v>0</v>
      </c>
      <c r="P7703">
        <f>IF(OR(M7703="",N7703=""),"",SUMIFS('Barang Keluar'!$E:$E,'Barang Keluar'!$A:$A,M7703,'Barang Keluar'!$C:$C,N7703))</f>
        <v>0</v>
      </c>
    </row>
    <row r="7704" spans="13:16">
      <c r="M7704" s="49">
        <f>IF($A$4+76&gt;$B$4,"",$A$4+76)</f>
        <v>46099</v>
      </c>
      <c r="N7704">
        <f>IF(M7704="","",'Master Barang'!A98)</f>
        <v>0</v>
      </c>
      <c r="O7704">
        <f>IF(N7704="","",'Master Barang'!B98)</f>
        <v>0</v>
      </c>
      <c r="P7704">
        <f>IF(OR(M7704="",N7704=""),"",SUMIFS('Barang Keluar'!$E:$E,'Barang Keluar'!$A:$A,M7704,'Barang Keluar'!$C:$C,N7704))</f>
        <v>0</v>
      </c>
    </row>
    <row r="7705" spans="13:16">
      <c r="M7705" s="49">
        <f>IF($A$4+76&gt;$B$4,"",$A$4+76)</f>
        <v>46099</v>
      </c>
      <c r="N7705">
        <f>IF(M7705="","",'Master Barang'!A99)</f>
        <v>0</v>
      </c>
      <c r="O7705">
        <f>IF(N7705="","",'Master Barang'!B99)</f>
        <v>0</v>
      </c>
      <c r="P7705">
        <f>IF(OR(M7705="",N7705=""),"",SUMIFS('Barang Keluar'!$E:$E,'Barang Keluar'!$A:$A,M7705,'Barang Keluar'!$C:$C,N7705))</f>
        <v>0</v>
      </c>
    </row>
    <row r="7706" spans="13:16">
      <c r="M7706" s="49">
        <f>IF($A$4+76&gt;$B$4,"",$A$4+76)</f>
        <v>46099</v>
      </c>
      <c r="N7706">
        <f>IF(M7706="","",'Master Barang'!A100)</f>
        <v>0</v>
      </c>
      <c r="O7706">
        <f>IF(N7706="","",'Master Barang'!B100)</f>
        <v>0</v>
      </c>
      <c r="P7706">
        <f>IF(OR(M7706="",N7706=""),"",SUMIFS('Barang Keluar'!$E:$E,'Barang Keluar'!$A:$A,M7706,'Barang Keluar'!$C:$C,N7706))</f>
        <v>0</v>
      </c>
    </row>
    <row r="7707" spans="13:16">
      <c r="M7707" s="49">
        <f>IF($A$4+76&gt;$B$4,"",$A$4+76)</f>
        <v>46099</v>
      </c>
      <c r="N7707">
        <f>IF(M7707="","",'Master Barang'!A101)</f>
        <v>0</v>
      </c>
      <c r="O7707">
        <f>IF(N7707="","",'Master Barang'!B101)</f>
        <v>0</v>
      </c>
      <c r="P7707">
        <f>IF(OR(M7707="",N7707=""),"",SUMIFS('Barang Keluar'!$E:$E,'Barang Keluar'!$A:$A,M7707,'Barang Keluar'!$C:$C,N7707))</f>
        <v>0</v>
      </c>
    </row>
    <row r="7708" spans="13:16">
      <c r="M7708" s="49">
        <f>IF($A$4+77&gt;$B$4,"",$A$4+77)</f>
        <v>46100</v>
      </c>
      <c r="N7708" t="str">
        <f>IF(M7708="","",'Master Barang'!A2)</f>
        <v>PRL-001</v>
      </c>
      <c r="O7708" t="str">
        <f>IF(N7708="","",'Master Barang'!B2)</f>
        <v>natura desinfectant food grade 5l</v>
      </c>
      <c r="P7708">
        <f>IF(OR(M7708="",N7708=""),"",SUMIFS('Barang Keluar'!$E:$E,'Barang Keluar'!$A:$A,M7708,'Barang Keluar'!$C:$C,N7708))</f>
        <v>0</v>
      </c>
    </row>
    <row r="7709" spans="13:16">
      <c r="M7709" s="49">
        <f>IF($A$4+77&gt;$B$4,"",$A$4+77)</f>
        <v>46100</v>
      </c>
      <c r="N7709" t="str">
        <f>IF(M7709="","",'Master Barang'!A3)</f>
        <v>PRL-002</v>
      </c>
      <c r="O7709" t="str">
        <f>IF(N7709="","",'Master Barang'!B3)</f>
        <v>sunlight cairan pencuci piring 5l</v>
      </c>
      <c r="P7709">
        <f>IF(OR(M7709="",N7709=""),"",SUMIFS('Barang Keluar'!$E:$E,'Barang Keluar'!$A:$A,M7709,'Barang Keluar'!$C:$C,N7709))</f>
        <v>0</v>
      </c>
    </row>
    <row r="7710" spans="13:16">
      <c r="M7710" s="49">
        <f>IF($A$4+77&gt;$B$4,"",$A$4+77)</f>
        <v>46100</v>
      </c>
      <c r="N7710" t="str">
        <f>IF(M7710="","",'Master Barang'!A4)</f>
        <v>PRL-003</v>
      </c>
      <c r="O7710" t="str">
        <f>IF(N7710="","",'Master Barang'!B4)</f>
        <v>oixs cleaner 1l</v>
      </c>
      <c r="P7710">
        <f>IF(OR(M7710="",N7710=""),"",SUMIFS('Barang Keluar'!$E:$E,'Barang Keluar'!$A:$A,M7710,'Barang Keluar'!$C:$C,N7710))</f>
        <v>0</v>
      </c>
    </row>
    <row r="7711" spans="13:16">
      <c r="M7711" s="49">
        <f>IF($A$4+77&gt;$B$4,"",$A$4+77)</f>
        <v>46100</v>
      </c>
      <c r="N7711" t="str">
        <f>IF(M7711="","",'Master Barang'!A5)</f>
        <v>PRL-004</v>
      </c>
      <c r="O7711" t="str">
        <f>IF(N7711="","",'Master Barang'!B5)</f>
        <v>be clean tissue serbaguna</v>
      </c>
      <c r="P7711">
        <f>IF(OR(M7711="",N7711=""),"",SUMIFS('Barang Keluar'!$E:$E,'Barang Keluar'!$A:$A,M7711,'Barang Keluar'!$C:$C,N7711))</f>
        <v>0</v>
      </c>
    </row>
    <row r="7712" spans="13:16">
      <c r="M7712" s="49">
        <f>IF($A$4+77&gt;$B$4,"",$A$4+77)</f>
        <v>46100</v>
      </c>
      <c r="N7712" t="str">
        <f>IF(M7712="","",'Master Barang'!A6)</f>
        <v>PRL-005</v>
      </c>
      <c r="O7712" t="str">
        <f>IF(N7712="","",'Master Barang'!B6)</f>
        <v>spons cuci hijau</v>
      </c>
      <c r="P7712">
        <f>IF(OR(M7712="",N7712=""),"",SUMIFS('Barang Keluar'!$E:$E,'Barang Keluar'!$A:$A,M7712,'Barang Keluar'!$C:$C,N7712))</f>
        <v>0</v>
      </c>
    </row>
    <row r="7713" spans="13:16">
      <c r="M7713" s="49">
        <f>IF($A$4+77&gt;$B$4,"",$A$4+77)</f>
        <v>46100</v>
      </c>
      <c r="N7713" t="str">
        <f>IF(M7713="","",'Master Barang'!A7)</f>
        <v>PRL-006</v>
      </c>
      <c r="O7713" t="str">
        <f>IF(N7713="","",'Master Barang'!B7)</f>
        <v>sabut cuci stainless</v>
      </c>
      <c r="P7713">
        <f>IF(OR(M7713="",N7713=""),"",SUMIFS('Barang Keluar'!$E:$E,'Barang Keluar'!$A:$A,M7713,'Barang Keluar'!$C:$C,N7713))</f>
        <v>0</v>
      </c>
    </row>
    <row r="7714" spans="13:16">
      <c r="M7714" s="49">
        <f>IF($A$4+77&gt;$B$4,"",$A$4+77)</f>
        <v>46100</v>
      </c>
      <c r="N7714" t="str">
        <f>IF(M7714="","",'Master Barang'!A8)</f>
        <v>PRL-007</v>
      </c>
      <c r="O7714" t="str">
        <f>IF(N7714="","",'Master Barang'!B8)</f>
        <v>plastik kresek besar merah 50pc</v>
      </c>
      <c r="P7714">
        <f>IF(OR(M7714="",N7714=""),"",SUMIFS('Barang Keluar'!$E:$E,'Barang Keluar'!$A:$A,M7714,'Barang Keluar'!$C:$C,N7714))</f>
        <v>0</v>
      </c>
    </row>
    <row r="7715" spans="13:16">
      <c r="M7715" s="49">
        <f>IF($A$4+77&gt;$B$4,"",$A$4+77)</f>
        <v>46100</v>
      </c>
      <c r="N7715" t="str">
        <f>IF(M7715="","",'Master Barang'!A9)</f>
        <v>PRL-008</v>
      </c>
      <c r="O7715" t="str">
        <f>IF(N7715="","",'Master Barang'!B9)</f>
        <v>lap besar</v>
      </c>
      <c r="P7715">
        <f>IF(OR(M7715="",N7715=""),"",SUMIFS('Barang Keluar'!$E:$E,'Barang Keluar'!$A:$A,M7715,'Barang Keluar'!$C:$C,N7715))</f>
        <v>0</v>
      </c>
    </row>
    <row r="7716" spans="13:16">
      <c r="M7716" s="49">
        <f>IF($A$4+77&gt;$B$4,"",$A$4+77)</f>
        <v>46100</v>
      </c>
      <c r="N7716" t="str">
        <f>IF(M7716="","",'Master Barang'!A10)</f>
        <v>PRL-009</v>
      </c>
      <c r="O7716" t="str">
        <f>IF(N7716="","",'Master Barang'!B10)</f>
        <v>lap microfiber</v>
      </c>
      <c r="P7716">
        <f>IF(OR(M7716="",N7716=""),"",SUMIFS('Barang Keluar'!$E:$E,'Barang Keluar'!$A:$A,M7716,'Barang Keluar'!$C:$C,N7716))</f>
        <v>0</v>
      </c>
    </row>
    <row r="7717" spans="13:16">
      <c r="M7717" s="49">
        <f>IF($A$4+77&gt;$B$4,"",$A$4+77)</f>
        <v>46100</v>
      </c>
      <c r="N7717" t="str">
        <f>IF(M7717="","",'Master Barang'!A11)</f>
        <v>PRL-010</v>
      </c>
      <c r="O7717" t="str">
        <f>IF(N7717="","",'Master Barang'!B11)</f>
        <v>lap kecil</v>
      </c>
      <c r="P7717">
        <f>IF(OR(M7717="",N7717=""),"",SUMIFS('Barang Keluar'!$E:$E,'Barang Keluar'!$A:$A,M7717,'Barang Keluar'!$C:$C,N7717))</f>
        <v>0</v>
      </c>
    </row>
    <row r="7718" spans="13:16">
      <c r="M7718" s="49">
        <f>IF($A$4+77&gt;$B$4,"",$A$4+77)</f>
        <v>46100</v>
      </c>
      <c r="N7718" t="str">
        <f>IF(M7718="","",'Master Barang'!A12)</f>
        <v>PRL-011</v>
      </c>
      <c r="O7718" t="str">
        <f>IF(N7718="","",'Master Barang'!B12)</f>
        <v>kanebo kecil</v>
      </c>
      <c r="P7718">
        <f>IF(OR(M7718="",N7718=""),"",SUMIFS('Barang Keluar'!$E:$E,'Barang Keluar'!$A:$A,M7718,'Barang Keluar'!$C:$C,N7718))</f>
        <v>0</v>
      </c>
    </row>
    <row r="7719" spans="13:16">
      <c r="M7719" s="49">
        <f>IF($A$4+77&gt;$B$4,"",$A$4+77)</f>
        <v>46100</v>
      </c>
      <c r="N7719" t="str">
        <f>IF(M7719="","",'Master Barang'!A13)</f>
        <v>PRL-012</v>
      </c>
      <c r="O7719" t="str">
        <f>IF(N7719="","",'Master Barang'!B13)</f>
        <v>plastik 1/4kg joyoboyo 100 lembar</v>
      </c>
      <c r="P7719">
        <f>IF(OR(M7719="",N7719=""),"",SUMIFS('Barang Keluar'!$E:$E,'Barang Keluar'!$A:$A,M7719,'Barang Keluar'!$C:$C,N7719))</f>
        <v>0</v>
      </c>
    </row>
    <row r="7720" spans="13:16">
      <c r="M7720" s="49">
        <f>IF($A$4+77&gt;$B$4,"",$A$4+77)</f>
        <v>46100</v>
      </c>
      <c r="N7720" t="str">
        <f>IF(M7720="","",'Master Barang'!A14)</f>
        <v>PRL-013</v>
      </c>
      <c r="O7720" t="str">
        <f>IF(N7720="","",'Master Barang'!B14)</f>
        <v>sarung tangan plastik kaka 100 pcs</v>
      </c>
      <c r="P7720">
        <f>IF(OR(M7720="",N7720=""),"",SUMIFS('Barang Keluar'!$E:$E,'Barang Keluar'!$A:$A,M7720,'Barang Keluar'!$C:$C,N7720))</f>
        <v>0</v>
      </c>
    </row>
    <row r="7721" spans="13:16">
      <c r="M7721" s="49">
        <f>IF($A$4+77&gt;$B$4,"",$A$4+77)</f>
        <v>46100</v>
      </c>
      <c r="N7721" t="str">
        <f>IF(M7721="","",'Master Barang'!A15)</f>
        <v>PRL-014</v>
      </c>
      <c r="O7721" t="str">
        <f>IF(N7721="","",'Master Barang'!B15)</f>
        <v>optima trashbag 80x100</v>
      </c>
      <c r="P7721">
        <f>IF(OR(M7721="",N7721=""),"",SUMIFS('Barang Keluar'!$E:$E,'Barang Keluar'!$A:$A,M7721,'Barang Keluar'!$C:$C,N7721))</f>
        <v>0</v>
      </c>
    </row>
    <row r="7722" spans="13:16">
      <c r="M7722" s="49">
        <f>IF($A$4+77&gt;$B$4,"",$A$4+77)</f>
        <v>46100</v>
      </c>
      <c r="N7722" t="str">
        <f>IF(M7722="","",'Master Barang'!A16)</f>
        <v>PRL-015</v>
      </c>
      <c r="O7722" t="str">
        <f>IF(N7722="","",'Master Barang'!B16)</f>
        <v>optima trashbag 60x100</v>
      </c>
      <c r="P7722">
        <f>IF(OR(M7722="",N7722=""),"",SUMIFS('Barang Keluar'!$E:$E,'Barang Keluar'!$A:$A,M7722,'Barang Keluar'!$C:$C,N7722))</f>
        <v>0</v>
      </c>
    </row>
    <row r="7723" spans="13:16">
      <c r="M7723" s="49">
        <f>IF($A$4+77&gt;$B$4,"",$A$4+77)</f>
        <v>46100</v>
      </c>
      <c r="N7723" t="str">
        <f>IF(M7723="","",'Master Barang'!A17)</f>
        <v>PRL-016</v>
      </c>
      <c r="O7723" t="str">
        <f>IF(N7723="","",'Master Barang'!B17)</f>
        <v>rajawali trashbag 30x40</v>
      </c>
      <c r="P7723">
        <f>IF(OR(M7723="",N7723=""),"",SUMIFS('Barang Keluar'!$E:$E,'Barang Keluar'!$A:$A,M7723,'Barang Keluar'!$C:$C,N7723))</f>
        <v>0</v>
      </c>
    </row>
    <row r="7724" spans="13:16">
      <c r="M7724" s="49">
        <f>IF($A$4+77&gt;$B$4,"",$A$4+77)</f>
        <v>46100</v>
      </c>
      <c r="N7724" t="str">
        <f>IF(M7724="","",'Master Barang'!A18)</f>
        <v>PRL-017</v>
      </c>
      <c r="O7724" t="str">
        <f>IF(N7724="","",'Master Barang'!B18)</f>
        <v>onemed masker biru 3 play 50 pcs</v>
      </c>
      <c r="P7724">
        <f>IF(OR(M7724="",N7724=""),"",SUMIFS('Barang Keluar'!$E:$E,'Barang Keluar'!$A:$A,M7724,'Barang Keluar'!$C:$C,N7724))</f>
        <v>0</v>
      </c>
    </row>
    <row r="7725" spans="13:16">
      <c r="M7725" s="49">
        <f>IF($A$4+77&gt;$B$4,"",$A$4+77)</f>
        <v>46100</v>
      </c>
      <c r="N7725" t="str">
        <f>IF(M7725="","",'Master Barang'!A19)</f>
        <v>PRL-018</v>
      </c>
      <c r="O7725" t="str">
        <f>IF(N7725="","",'Master Barang'!B19)</f>
        <v>onemed masker biru 3 play hijab 50 pcs</v>
      </c>
      <c r="P7725">
        <f>IF(OR(M7725="",N7725=""),"",SUMIFS('Barang Keluar'!$E:$E,'Barang Keluar'!$A:$A,M7725,'Barang Keluar'!$C:$C,N7725))</f>
        <v>0</v>
      </c>
    </row>
    <row r="7726" spans="13:16">
      <c r="M7726" s="49">
        <f>IF($A$4+77&gt;$B$4,"",$A$4+77)</f>
        <v>46100</v>
      </c>
      <c r="N7726" t="str">
        <f>IF(M7726="","",'Master Barang'!A20)</f>
        <v>PRL-019</v>
      </c>
      <c r="O7726" t="str">
        <f>IF(N7726="","",'Master Barang'!B20)</f>
        <v>neo health masker biru 3 play 50 pcs</v>
      </c>
      <c r="P7726">
        <f>IF(OR(M7726="",N7726=""),"",SUMIFS('Barang Keluar'!$E:$E,'Barang Keluar'!$A:$A,M7726,'Barang Keluar'!$C:$C,N7726))</f>
        <v>0</v>
      </c>
    </row>
    <row r="7727" spans="13:16">
      <c r="M7727" s="49">
        <f>IF($A$4+77&gt;$B$4,"",$A$4+77)</f>
        <v>46100</v>
      </c>
      <c r="N7727" t="str">
        <f>IF(M7727="","",'Master Barang'!A21)</f>
        <v>PRL-020</v>
      </c>
      <c r="O7727" t="str">
        <f>IF(N7727="","",'Master Barang'!B21)</f>
        <v>baymed masker hijau 3 play hijau 50 pcs</v>
      </c>
      <c r="P7727">
        <f>IF(OR(M7727="",N7727=""),"",SUMIFS('Barang Keluar'!$E:$E,'Barang Keluar'!$A:$A,M7727,'Barang Keluar'!$C:$C,N7727))</f>
        <v>0</v>
      </c>
    </row>
    <row r="7728" spans="13:16">
      <c r="M7728" s="49">
        <f>IF($A$4+77&gt;$B$4,"",$A$4+77)</f>
        <v>46100</v>
      </c>
      <c r="N7728" t="str">
        <f>IF(M7728="","",'Master Barang'!A22)</f>
        <v>PRL-021</v>
      </c>
      <c r="O7728" t="str">
        <f>IF(N7728="","",'Master Barang'!B22)</f>
        <v>altamed nurse cap penutup kepala 100 pcs</v>
      </c>
      <c r="P7728">
        <f>IF(OR(M7728="",N7728=""),"",SUMIFS('Barang Keluar'!$E:$E,'Barang Keluar'!$A:$A,M7728,'Barang Keluar'!$C:$C,N7728))</f>
        <v>0</v>
      </c>
    </row>
    <row r="7729" spans="13:16">
      <c r="M7729" s="49">
        <f>IF($A$4+77&gt;$B$4,"",$A$4+77)</f>
        <v>46100</v>
      </c>
      <c r="N7729" t="str">
        <f>IF(M7729="","",'Master Barang'!A23)</f>
        <v>PRL-022</v>
      </c>
      <c r="O7729" t="str">
        <f>IF(N7729="","",'Master Barang'!B23)</f>
        <v>sabun cuci tangan</v>
      </c>
      <c r="P7729">
        <f>IF(OR(M7729="",N7729=""),"",SUMIFS('Barang Keluar'!$E:$E,'Barang Keluar'!$A:$A,M7729,'Barang Keluar'!$C:$C,N7729))</f>
        <v>0</v>
      </c>
    </row>
    <row r="7730" spans="13:16">
      <c r="M7730" s="49">
        <f>IF($A$4+77&gt;$B$4,"",$A$4+77)</f>
        <v>46100</v>
      </c>
      <c r="N7730" t="str">
        <f>IF(M7730="","",'Master Barang'!A24)</f>
        <v>PRL-023</v>
      </c>
      <c r="O7730" t="str">
        <f>IF(N7730="","",'Master Barang'!B24)</f>
        <v>gayung kecil</v>
      </c>
      <c r="P7730">
        <f>IF(OR(M7730="",N7730=""),"",SUMIFS('Barang Keluar'!$E:$E,'Barang Keluar'!$A:$A,M7730,'Barang Keluar'!$C:$C,N7730))</f>
        <v>0</v>
      </c>
    </row>
    <row r="7731" spans="13:16">
      <c r="M7731" s="49">
        <f>IF($A$4+77&gt;$B$4,"",$A$4+77)</f>
        <v>46100</v>
      </c>
      <c r="N7731" t="str">
        <f>IF(M7731="","",'Master Barang'!A25)</f>
        <v>PRL-024</v>
      </c>
      <c r="O7731" t="str">
        <f>IF(N7731="","",'Master Barang'!B25)</f>
        <v>cikrak kecil</v>
      </c>
      <c r="P7731">
        <f>IF(OR(M7731="",N7731=""),"",SUMIFS('Barang Keluar'!$E:$E,'Barang Keluar'!$A:$A,M7731,'Barang Keluar'!$C:$C,N7731))</f>
        <v>0</v>
      </c>
    </row>
    <row r="7732" spans="13:16">
      <c r="M7732" s="49">
        <f>IF($A$4+77&gt;$B$4,"",$A$4+77)</f>
        <v>46100</v>
      </c>
      <c r="N7732" t="str">
        <f>IF(M7732="","",'Master Barang'!A26)</f>
        <v>PRL-025</v>
      </c>
      <c r="O7732" t="str">
        <f>IF(N7732="","",'Master Barang'!B26)</f>
        <v>petromax plastik kecil 12x24 100 lembar</v>
      </c>
      <c r="P7732">
        <f>IF(OR(M7732="",N7732=""),"",SUMIFS('Barang Keluar'!$E:$E,'Barang Keluar'!$A:$A,M7732,'Barang Keluar'!$C:$C,N7732))</f>
        <v>0</v>
      </c>
    </row>
    <row r="7733" spans="13:16">
      <c r="M7733" s="49">
        <f>IF($A$4+77&gt;$B$4,"",$A$4+77)</f>
        <v>46100</v>
      </c>
      <c r="N7733" t="str">
        <f>IF(M7733="","",'Master Barang'!A27)</f>
        <v>PRL-026</v>
      </c>
      <c r="O7733" t="str">
        <f>IF(N7733="","",'Master Barang'!B27)</f>
        <v>lancar kresek kecil bening </v>
      </c>
      <c r="P7733">
        <f>IF(OR(M7733="",N7733=""),"",SUMIFS('Barang Keluar'!$E:$E,'Barang Keluar'!$A:$A,M7733,'Barang Keluar'!$C:$C,N7733))</f>
        <v>0</v>
      </c>
    </row>
    <row r="7734" spans="13:16">
      <c r="M7734" s="49">
        <f>IF($A$4+77&gt;$B$4,"",$A$4+77)</f>
        <v>46100</v>
      </c>
      <c r="N7734" t="str">
        <f>IF(M7734="","",'Master Barang'!A28)</f>
        <v>PRL-027</v>
      </c>
      <c r="O7734" t="str">
        <f>IF(N7734="","",'Master Barang'!B28)</f>
        <v>kresek klin warna warni kecil</v>
      </c>
      <c r="P7734">
        <f>IF(OR(M7734="",N7734=""),"",SUMIFS('Barang Keluar'!$E:$E,'Barang Keluar'!$A:$A,M7734,'Barang Keluar'!$C:$C,N7734))</f>
        <v>0</v>
      </c>
    </row>
    <row r="7735" spans="13:16">
      <c r="M7735" s="49">
        <f>IF($A$4+77&gt;$B$4,"",$A$4+77)</f>
        <v>46100</v>
      </c>
      <c r="N7735" t="str">
        <f>IF(M7735="","",'Master Barang'!A29)</f>
        <v>PRL-028</v>
      </c>
      <c r="O7735" t="str">
        <f>IF(N7735="","",'Master Barang'!B29)</f>
        <v>ctik plastik 7x10 100 pcs</v>
      </c>
      <c r="P7735">
        <f>IF(OR(M7735="",N7735=""),"",SUMIFS('Barang Keluar'!$E:$E,'Barang Keluar'!$A:$A,M7735,'Barang Keluar'!$C:$C,N7735))</f>
        <v>0</v>
      </c>
    </row>
    <row r="7736" spans="13:16">
      <c r="M7736" s="49">
        <f>IF($A$4+77&gt;$B$4,"",$A$4+77)</f>
        <v>46100</v>
      </c>
      <c r="N7736" t="str">
        <f>IF(M7736="","",'Master Barang'!A30)</f>
        <v>PRL-029</v>
      </c>
      <c r="O7736" t="str">
        <f>IF(N7736="","",'Master Barang'!B30)</f>
        <v>ctik plastik 6x10 100 pcs</v>
      </c>
      <c r="P7736">
        <f>IF(OR(M7736="",N7736=""),"",SUMIFS('Barang Keluar'!$E:$E,'Barang Keluar'!$A:$A,M7736,'Barang Keluar'!$C:$C,N7736))</f>
        <v>0</v>
      </c>
    </row>
    <row r="7737" spans="13:16">
      <c r="M7737" s="49">
        <f>IF($A$4+77&gt;$B$4,"",$A$4+77)</f>
        <v>46100</v>
      </c>
      <c r="N7737" t="str">
        <f>IF(M7737="","",'Master Barang'!A31)</f>
        <v>PRL-030</v>
      </c>
      <c r="O7737" t="str">
        <f>IF(N7737="","",'Master Barang'!B31)</f>
        <v>klip plastik 25x16 100 pcs</v>
      </c>
      <c r="P7737">
        <f>IF(OR(M7737="",N7737=""),"",SUMIFS('Barang Keluar'!$E:$E,'Barang Keluar'!$A:$A,M7737,'Barang Keluar'!$C:$C,N7737))</f>
        <v>0</v>
      </c>
    </row>
    <row r="7738" spans="13:16">
      <c r="M7738" s="49">
        <f>IF($A$4+77&gt;$B$4,"",$A$4+77)</f>
        <v>46100</v>
      </c>
      <c r="N7738" t="str">
        <f>IF(M7738="","",'Master Barang'!A32)</f>
        <v>PRL-031</v>
      </c>
      <c r="O7738" t="str">
        <f>IF(N7738="","",'Master Barang'!B32)</f>
        <v>tempat saus 20 ml</v>
      </c>
      <c r="P7738">
        <f>IF(OR(M7738="",N7738=""),"",SUMIFS('Barang Keluar'!$E:$E,'Barang Keluar'!$A:$A,M7738,'Barang Keluar'!$C:$C,N7738))</f>
        <v>0</v>
      </c>
    </row>
    <row r="7739" spans="13:16">
      <c r="M7739" s="49">
        <f>IF($A$4+77&gt;$B$4,"",$A$4+77)</f>
        <v>46100</v>
      </c>
      <c r="N7739" t="str">
        <f>IF(M7739="","",'Master Barang'!A33)</f>
        <v>PRL-032</v>
      </c>
      <c r="O7739" t="str">
        <f>IF(N7739="","",'Master Barang'!B33)</f>
        <v>plastik packaging ag box uk sedang</v>
      </c>
      <c r="P7739">
        <f>IF(OR(M7739="",N7739=""),"",SUMIFS('Barang Keluar'!$E:$E,'Barang Keluar'!$A:$A,M7739,'Barang Keluar'!$C:$C,N7739))</f>
        <v>0</v>
      </c>
    </row>
    <row r="7740" spans="13:16">
      <c r="M7740" s="49">
        <f>IF($A$4+77&gt;$B$4,"",$A$4+77)</f>
        <v>46100</v>
      </c>
      <c r="N7740" t="str">
        <f>IF(M7740="","",'Master Barang'!A34)</f>
        <v>PRL-033</v>
      </c>
      <c r="O7740">
        <f>IF(N7740="","",'Master Barang'!B34)</f>
        <v>0</v>
      </c>
      <c r="P7740">
        <f>IF(OR(M7740="",N7740=""),"",SUMIFS('Barang Keluar'!$E:$E,'Barang Keluar'!$A:$A,M7740,'Barang Keluar'!$C:$C,N7740))</f>
        <v>0</v>
      </c>
    </row>
    <row r="7741" spans="13:16">
      <c r="M7741" s="49">
        <f>IF($A$4+77&gt;$B$4,"",$A$4+77)</f>
        <v>46100</v>
      </c>
      <c r="N7741">
        <f>IF(M7741="","",'Master Barang'!A35)</f>
        <v>0</v>
      </c>
      <c r="O7741">
        <f>IF(N7741="","",'Master Barang'!B35)</f>
        <v>0</v>
      </c>
      <c r="P7741">
        <f>IF(OR(M7741="",N7741=""),"",SUMIFS('Barang Keluar'!$E:$E,'Barang Keluar'!$A:$A,M7741,'Barang Keluar'!$C:$C,N7741))</f>
        <v>0</v>
      </c>
    </row>
    <row r="7742" spans="13:16">
      <c r="M7742" s="49">
        <f>IF($A$4+77&gt;$B$4,"",$A$4+77)</f>
        <v>46100</v>
      </c>
      <c r="N7742">
        <f>IF(M7742="","",'Master Barang'!A36)</f>
        <v>0</v>
      </c>
      <c r="O7742">
        <f>IF(N7742="","",'Master Barang'!B36)</f>
        <v>0</v>
      </c>
      <c r="P7742">
        <f>IF(OR(M7742="",N7742=""),"",SUMIFS('Barang Keluar'!$E:$E,'Barang Keluar'!$A:$A,M7742,'Barang Keluar'!$C:$C,N7742))</f>
        <v>0</v>
      </c>
    </row>
    <row r="7743" spans="13:16">
      <c r="M7743" s="49">
        <f>IF($A$4+77&gt;$B$4,"",$A$4+77)</f>
        <v>46100</v>
      </c>
      <c r="N7743">
        <f>IF(M7743="","",'Master Barang'!A37)</f>
        <v>0</v>
      </c>
      <c r="O7743">
        <f>IF(N7743="","",'Master Barang'!B37)</f>
        <v>0</v>
      </c>
      <c r="P7743">
        <f>IF(OR(M7743="",N7743=""),"",SUMIFS('Barang Keluar'!$E:$E,'Barang Keluar'!$A:$A,M7743,'Barang Keluar'!$C:$C,N7743))</f>
        <v>0</v>
      </c>
    </row>
    <row r="7744" spans="13:16">
      <c r="M7744" s="49">
        <f>IF($A$4+77&gt;$B$4,"",$A$4+77)</f>
        <v>46100</v>
      </c>
      <c r="N7744">
        <f>IF(M7744="","",'Master Barang'!A38)</f>
        <v>0</v>
      </c>
      <c r="O7744">
        <f>IF(N7744="","",'Master Barang'!B38)</f>
        <v>0</v>
      </c>
      <c r="P7744">
        <f>IF(OR(M7744="",N7744=""),"",SUMIFS('Barang Keluar'!$E:$E,'Barang Keluar'!$A:$A,M7744,'Barang Keluar'!$C:$C,N7744))</f>
        <v>0</v>
      </c>
    </row>
    <row r="7745" spans="13:16">
      <c r="M7745" s="49">
        <f>IF($A$4+77&gt;$B$4,"",$A$4+77)</f>
        <v>46100</v>
      </c>
      <c r="N7745">
        <f>IF(M7745="","",'Master Barang'!A39)</f>
        <v>0</v>
      </c>
      <c r="O7745">
        <f>IF(N7745="","",'Master Barang'!B39)</f>
        <v>0</v>
      </c>
      <c r="P7745">
        <f>IF(OR(M7745="",N7745=""),"",SUMIFS('Barang Keluar'!$E:$E,'Barang Keluar'!$A:$A,M7745,'Barang Keluar'!$C:$C,N7745))</f>
        <v>0</v>
      </c>
    </row>
    <row r="7746" spans="13:16">
      <c r="M7746" s="49">
        <f>IF($A$4+77&gt;$B$4,"",$A$4+77)</f>
        <v>46100</v>
      </c>
      <c r="N7746">
        <f>IF(M7746="","",'Master Barang'!A40)</f>
        <v>0</v>
      </c>
      <c r="O7746">
        <f>IF(N7746="","",'Master Barang'!B40)</f>
        <v>0</v>
      </c>
      <c r="P7746">
        <f>IF(OR(M7746="",N7746=""),"",SUMIFS('Barang Keluar'!$E:$E,'Barang Keluar'!$A:$A,M7746,'Barang Keluar'!$C:$C,N7746))</f>
        <v>0</v>
      </c>
    </row>
    <row r="7747" spans="13:16">
      <c r="M7747" s="49">
        <f>IF($A$4+77&gt;$B$4,"",$A$4+77)</f>
        <v>46100</v>
      </c>
      <c r="N7747">
        <f>IF(M7747="","",'Master Barang'!A41)</f>
        <v>0</v>
      </c>
      <c r="O7747">
        <f>IF(N7747="","",'Master Barang'!B41)</f>
        <v>0</v>
      </c>
      <c r="P7747">
        <f>IF(OR(M7747="",N7747=""),"",SUMIFS('Barang Keluar'!$E:$E,'Barang Keluar'!$A:$A,M7747,'Barang Keluar'!$C:$C,N7747))</f>
        <v>0</v>
      </c>
    </row>
    <row r="7748" spans="13:16">
      <c r="M7748" s="49">
        <f>IF($A$4+77&gt;$B$4,"",$A$4+77)</f>
        <v>46100</v>
      </c>
      <c r="N7748">
        <f>IF(M7748="","",'Master Barang'!A42)</f>
        <v>0</v>
      </c>
      <c r="O7748">
        <f>IF(N7748="","",'Master Barang'!B42)</f>
        <v>0</v>
      </c>
      <c r="P7748">
        <f>IF(OR(M7748="",N7748=""),"",SUMIFS('Barang Keluar'!$E:$E,'Barang Keluar'!$A:$A,M7748,'Barang Keluar'!$C:$C,N7748))</f>
        <v>0</v>
      </c>
    </row>
    <row r="7749" spans="13:16">
      <c r="M7749" s="49">
        <f>IF($A$4+77&gt;$B$4,"",$A$4+77)</f>
        <v>46100</v>
      </c>
      <c r="N7749">
        <f>IF(M7749="","",'Master Barang'!A43)</f>
        <v>0</v>
      </c>
      <c r="O7749">
        <f>IF(N7749="","",'Master Barang'!B43)</f>
        <v>0</v>
      </c>
      <c r="P7749">
        <f>IF(OR(M7749="",N7749=""),"",SUMIFS('Barang Keluar'!$E:$E,'Barang Keluar'!$A:$A,M7749,'Barang Keluar'!$C:$C,N7749))</f>
        <v>0</v>
      </c>
    </row>
    <row r="7750" spans="13:16">
      <c r="M7750" s="49">
        <f>IF($A$4+77&gt;$B$4,"",$A$4+77)</f>
        <v>46100</v>
      </c>
      <c r="N7750">
        <f>IF(M7750="","",'Master Barang'!A44)</f>
        <v>0</v>
      </c>
      <c r="O7750">
        <f>IF(N7750="","",'Master Barang'!B44)</f>
        <v>0</v>
      </c>
      <c r="P7750">
        <f>IF(OR(M7750="",N7750=""),"",SUMIFS('Barang Keluar'!$E:$E,'Barang Keluar'!$A:$A,M7750,'Barang Keluar'!$C:$C,N7750))</f>
        <v>0</v>
      </c>
    </row>
    <row r="7751" spans="13:16">
      <c r="M7751" s="49">
        <f>IF($A$4+77&gt;$B$4,"",$A$4+77)</f>
        <v>46100</v>
      </c>
      <c r="N7751">
        <f>IF(M7751="","",'Master Barang'!A45)</f>
        <v>0</v>
      </c>
      <c r="O7751">
        <f>IF(N7751="","",'Master Barang'!B45)</f>
        <v>0</v>
      </c>
      <c r="P7751">
        <f>IF(OR(M7751="",N7751=""),"",SUMIFS('Barang Keluar'!$E:$E,'Barang Keluar'!$A:$A,M7751,'Barang Keluar'!$C:$C,N7751))</f>
        <v>0</v>
      </c>
    </row>
    <row r="7752" spans="13:16">
      <c r="M7752" s="49">
        <f>IF($A$4+77&gt;$B$4,"",$A$4+77)</f>
        <v>46100</v>
      </c>
      <c r="N7752">
        <f>IF(M7752="","",'Master Barang'!A46)</f>
        <v>0</v>
      </c>
      <c r="O7752">
        <f>IF(N7752="","",'Master Barang'!B46)</f>
        <v>0</v>
      </c>
      <c r="P7752">
        <f>IF(OR(M7752="",N7752=""),"",SUMIFS('Barang Keluar'!$E:$E,'Barang Keluar'!$A:$A,M7752,'Barang Keluar'!$C:$C,N7752))</f>
        <v>0</v>
      </c>
    </row>
    <row r="7753" spans="13:16">
      <c r="M7753" s="49">
        <f>IF($A$4+77&gt;$B$4,"",$A$4+77)</f>
        <v>46100</v>
      </c>
      <c r="N7753">
        <f>IF(M7753="","",'Master Barang'!A47)</f>
        <v>0</v>
      </c>
      <c r="O7753">
        <f>IF(N7753="","",'Master Barang'!B47)</f>
        <v>0</v>
      </c>
      <c r="P7753">
        <f>IF(OR(M7753="",N7753=""),"",SUMIFS('Barang Keluar'!$E:$E,'Barang Keluar'!$A:$A,M7753,'Barang Keluar'!$C:$C,N7753))</f>
        <v>0</v>
      </c>
    </row>
    <row r="7754" spans="13:16">
      <c r="M7754" s="49">
        <f>IF($A$4+77&gt;$B$4,"",$A$4+77)</f>
        <v>46100</v>
      </c>
      <c r="N7754">
        <f>IF(M7754="","",'Master Barang'!A48)</f>
        <v>0</v>
      </c>
      <c r="O7754">
        <f>IF(N7754="","",'Master Barang'!B48)</f>
        <v>0</v>
      </c>
      <c r="P7754">
        <f>IF(OR(M7754="",N7754=""),"",SUMIFS('Barang Keluar'!$E:$E,'Barang Keluar'!$A:$A,M7754,'Barang Keluar'!$C:$C,N7754))</f>
        <v>0</v>
      </c>
    </row>
    <row r="7755" spans="13:16">
      <c r="M7755" s="49">
        <f>IF($A$4+77&gt;$B$4,"",$A$4+77)</f>
        <v>46100</v>
      </c>
      <c r="N7755">
        <f>IF(M7755="","",'Master Barang'!A49)</f>
        <v>0</v>
      </c>
      <c r="O7755">
        <f>IF(N7755="","",'Master Barang'!B49)</f>
        <v>0</v>
      </c>
      <c r="P7755">
        <f>IF(OR(M7755="",N7755=""),"",SUMIFS('Barang Keluar'!$E:$E,'Barang Keluar'!$A:$A,M7755,'Barang Keluar'!$C:$C,N7755))</f>
        <v>0</v>
      </c>
    </row>
    <row r="7756" spans="13:16">
      <c r="M7756" s="49">
        <f>IF($A$4+77&gt;$B$4,"",$A$4+77)</f>
        <v>46100</v>
      </c>
      <c r="N7756">
        <f>IF(M7756="","",'Master Barang'!A50)</f>
        <v>0</v>
      </c>
      <c r="O7756">
        <f>IF(N7756="","",'Master Barang'!B50)</f>
        <v>0</v>
      </c>
      <c r="P7756">
        <f>IF(OR(M7756="",N7756=""),"",SUMIFS('Barang Keluar'!$E:$E,'Barang Keluar'!$A:$A,M7756,'Barang Keluar'!$C:$C,N7756))</f>
        <v>0</v>
      </c>
    </row>
    <row r="7757" spans="13:16">
      <c r="M7757" s="49">
        <f>IF($A$4+77&gt;$B$4,"",$A$4+77)</f>
        <v>46100</v>
      </c>
      <c r="N7757">
        <f>IF(M7757="","",'Master Barang'!A51)</f>
        <v>0</v>
      </c>
      <c r="O7757">
        <f>IF(N7757="","",'Master Barang'!B51)</f>
        <v>0</v>
      </c>
      <c r="P7757">
        <f>IF(OR(M7757="",N7757=""),"",SUMIFS('Barang Keluar'!$E:$E,'Barang Keluar'!$A:$A,M7757,'Barang Keluar'!$C:$C,N7757))</f>
        <v>0</v>
      </c>
    </row>
    <row r="7758" spans="13:16">
      <c r="M7758" s="49">
        <f>IF($A$4+77&gt;$B$4,"",$A$4+77)</f>
        <v>46100</v>
      </c>
      <c r="N7758">
        <f>IF(M7758="","",'Master Barang'!A52)</f>
        <v>0</v>
      </c>
      <c r="O7758">
        <f>IF(N7758="","",'Master Barang'!B52)</f>
        <v>0</v>
      </c>
      <c r="P7758">
        <f>IF(OR(M7758="",N7758=""),"",SUMIFS('Barang Keluar'!$E:$E,'Barang Keluar'!$A:$A,M7758,'Barang Keluar'!$C:$C,N7758))</f>
        <v>0</v>
      </c>
    </row>
    <row r="7759" spans="13:16">
      <c r="M7759" s="49">
        <f>IF($A$4+77&gt;$B$4,"",$A$4+77)</f>
        <v>46100</v>
      </c>
      <c r="N7759">
        <f>IF(M7759="","",'Master Barang'!A53)</f>
        <v>0</v>
      </c>
      <c r="O7759">
        <f>IF(N7759="","",'Master Barang'!B53)</f>
        <v>0</v>
      </c>
      <c r="P7759">
        <f>IF(OR(M7759="",N7759=""),"",SUMIFS('Barang Keluar'!$E:$E,'Barang Keluar'!$A:$A,M7759,'Barang Keluar'!$C:$C,N7759))</f>
        <v>0</v>
      </c>
    </row>
    <row r="7760" spans="13:16">
      <c r="M7760" s="49">
        <f>IF($A$4+77&gt;$B$4,"",$A$4+77)</f>
        <v>46100</v>
      </c>
      <c r="N7760">
        <f>IF(M7760="","",'Master Barang'!A54)</f>
        <v>0</v>
      </c>
      <c r="O7760">
        <f>IF(N7760="","",'Master Barang'!B54)</f>
        <v>0</v>
      </c>
      <c r="P7760">
        <f>IF(OR(M7760="",N7760=""),"",SUMIFS('Barang Keluar'!$E:$E,'Barang Keluar'!$A:$A,M7760,'Barang Keluar'!$C:$C,N7760))</f>
        <v>0</v>
      </c>
    </row>
    <row r="7761" spans="13:16">
      <c r="M7761" s="49">
        <f>IF($A$4+77&gt;$B$4,"",$A$4+77)</f>
        <v>46100</v>
      </c>
      <c r="N7761">
        <f>IF(M7761="","",'Master Barang'!A55)</f>
        <v>0</v>
      </c>
      <c r="O7761">
        <f>IF(N7761="","",'Master Barang'!B55)</f>
        <v>0</v>
      </c>
      <c r="P7761">
        <f>IF(OR(M7761="",N7761=""),"",SUMIFS('Barang Keluar'!$E:$E,'Barang Keluar'!$A:$A,M7761,'Barang Keluar'!$C:$C,N7761))</f>
        <v>0</v>
      </c>
    </row>
    <row r="7762" spans="13:16">
      <c r="M7762" s="49">
        <f>IF($A$4+77&gt;$B$4,"",$A$4+77)</f>
        <v>46100</v>
      </c>
      <c r="N7762">
        <f>IF(M7762="","",'Master Barang'!A56)</f>
        <v>0</v>
      </c>
      <c r="O7762">
        <f>IF(N7762="","",'Master Barang'!B56)</f>
        <v>0</v>
      </c>
      <c r="P7762">
        <f>IF(OR(M7762="",N7762=""),"",SUMIFS('Barang Keluar'!$E:$E,'Barang Keluar'!$A:$A,M7762,'Barang Keluar'!$C:$C,N7762))</f>
        <v>0</v>
      </c>
    </row>
    <row r="7763" spans="13:16">
      <c r="M7763" s="49">
        <f>IF($A$4+77&gt;$B$4,"",$A$4+77)</f>
        <v>46100</v>
      </c>
      <c r="N7763">
        <f>IF(M7763="","",'Master Barang'!A57)</f>
        <v>0</v>
      </c>
      <c r="O7763">
        <f>IF(N7763="","",'Master Barang'!B57)</f>
        <v>0</v>
      </c>
      <c r="P7763">
        <f>IF(OR(M7763="",N7763=""),"",SUMIFS('Barang Keluar'!$E:$E,'Barang Keluar'!$A:$A,M7763,'Barang Keluar'!$C:$C,N7763))</f>
        <v>0</v>
      </c>
    </row>
    <row r="7764" spans="13:16">
      <c r="M7764" s="49">
        <f>IF($A$4+77&gt;$B$4,"",$A$4+77)</f>
        <v>46100</v>
      </c>
      <c r="N7764">
        <f>IF(M7764="","",'Master Barang'!A58)</f>
        <v>0</v>
      </c>
      <c r="O7764">
        <f>IF(N7764="","",'Master Barang'!B58)</f>
        <v>0</v>
      </c>
      <c r="P7764">
        <f>IF(OR(M7764="",N7764=""),"",SUMIFS('Barang Keluar'!$E:$E,'Barang Keluar'!$A:$A,M7764,'Barang Keluar'!$C:$C,N7764))</f>
        <v>0</v>
      </c>
    </row>
    <row r="7765" spans="13:16">
      <c r="M7765" s="49">
        <f>IF($A$4+77&gt;$B$4,"",$A$4+77)</f>
        <v>46100</v>
      </c>
      <c r="N7765">
        <f>IF(M7765="","",'Master Barang'!A59)</f>
        <v>0</v>
      </c>
      <c r="O7765">
        <f>IF(N7765="","",'Master Barang'!B59)</f>
        <v>0</v>
      </c>
      <c r="P7765">
        <f>IF(OR(M7765="",N7765=""),"",SUMIFS('Barang Keluar'!$E:$E,'Barang Keluar'!$A:$A,M7765,'Barang Keluar'!$C:$C,N7765))</f>
        <v>0</v>
      </c>
    </row>
    <row r="7766" spans="13:16">
      <c r="M7766" s="49">
        <f>IF($A$4+77&gt;$B$4,"",$A$4+77)</f>
        <v>46100</v>
      </c>
      <c r="N7766">
        <f>IF(M7766="","",'Master Barang'!A60)</f>
        <v>0</v>
      </c>
      <c r="O7766">
        <f>IF(N7766="","",'Master Barang'!B60)</f>
        <v>0</v>
      </c>
      <c r="P7766">
        <f>IF(OR(M7766="",N7766=""),"",SUMIFS('Barang Keluar'!$E:$E,'Barang Keluar'!$A:$A,M7766,'Barang Keluar'!$C:$C,N7766))</f>
        <v>0</v>
      </c>
    </row>
    <row r="7767" spans="13:16">
      <c r="M7767" s="49">
        <f>IF($A$4+77&gt;$B$4,"",$A$4+77)</f>
        <v>46100</v>
      </c>
      <c r="N7767">
        <f>IF(M7767="","",'Master Barang'!A61)</f>
        <v>0</v>
      </c>
      <c r="O7767">
        <f>IF(N7767="","",'Master Barang'!B61)</f>
        <v>0</v>
      </c>
      <c r="P7767">
        <f>IF(OR(M7767="",N7767=""),"",SUMIFS('Barang Keluar'!$E:$E,'Barang Keluar'!$A:$A,M7767,'Barang Keluar'!$C:$C,N7767))</f>
        <v>0</v>
      </c>
    </row>
    <row r="7768" spans="13:16">
      <c r="M7768" s="49">
        <f>IF($A$4+77&gt;$B$4,"",$A$4+77)</f>
        <v>46100</v>
      </c>
      <c r="N7768">
        <f>IF(M7768="","",'Master Barang'!A62)</f>
        <v>0</v>
      </c>
      <c r="O7768">
        <f>IF(N7768="","",'Master Barang'!B62)</f>
        <v>0</v>
      </c>
      <c r="P7768">
        <f>IF(OR(M7768="",N7768=""),"",SUMIFS('Barang Keluar'!$E:$E,'Barang Keluar'!$A:$A,M7768,'Barang Keluar'!$C:$C,N7768))</f>
        <v>0</v>
      </c>
    </row>
    <row r="7769" spans="13:16">
      <c r="M7769" s="49">
        <f>IF($A$4+77&gt;$B$4,"",$A$4+77)</f>
        <v>46100</v>
      </c>
      <c r="N7769">
        <f>IF(M7769="","",'Master Barang'!A63)</f>
        <v>0</v>
      </c>
      <c r="O7769">
        <f>IF(N7769="","",'Master Barang'!B63)</f>
        <v>0</v>
      </c>
      <c r="P7769">
        <f>IF(OR(M7769="",N7769=""),"",SUMIFS('Barang Keluar'!$E:$E,'Barang Keluar'!$A:$A,M7769,'Barang Keluar'!$C:$C,N7769))</f>
        <v>0</v>
      </c>
    </row>
    <row r="7770" spans="13:16">
      <c r="M7770" s="49">
        <f>IF($A$4+77&gt;$B$4,"",$A$4+77)</f>
        <v>46100</v>
      </c>
      <c r="N7770">
        <f>IF(M7770="","",'Master Barang'!A64)</f>
        <v>0</v>
      </c>
      <c r="O7770">
        <f>IF(N7770="","",'Master Barang'!B64)</f>
        <v>0</v>
      </c>
      <c r="P7770">
        <f>IF(OR(M7770="",N7770=""),"",SUMIFS('Barang Keluar'!$E:$E,'Barang Keluar'!$A:$A,M7770,'Barang Keluar'!$C:$C,N7770))</f>
        <v>0</v>
      </c>
    </row>
    <row r="7771" spans="13:16">
      <c r="M7771" s="49">
        <f>IF($A$4+77&gt;$B$4,"",$A$4+77)</f>
        <v>46100</v>
      </c>
      <c r="N7771">
        <f>IF(M7771="","",'Master Barang'!A65)</f>
        <v>0</v>
      </c>
      <c r="O7771">
        <f>IF(N7771="","",'Master Barang'!B65)</f>
        <v>0</v>
      </c>
      <c r="P7771">
        <f>IF(OR(M7771="",N7771=""),"",SUMIFS('Barang Keluar'!$E:$E,'Barang Keluar'!$A:$A,M7771,'Barang Keluar'!$C:$C,N7771))</f>
        <v>0</v>
      </c>
    </row>
    <row r="7772" spans="13:16">
      <c r="M7772" s="49">
        <f>IF($A$4+77&gt;$B$4,"",$A$4+77)</f>
        <v>46100</v>
      </c>
      <c r="N7772">
        <f>IF(M7772="","",'Master Barang'!A66)</f>
        <v>0</v>
      </c>
      <c r="O7772">
        <f>IF(N7772="","",'Master Barang'!B66)</f>
        <v>0</v>
      </c>
      <c r="P7772">
        <f>IF(OR(M7772="",N7772=""),"",SUMIFS('Barang Keluar'!$E:$E,'Barang Keluar'!$A:$A,M7772,'Barang Keluar'!$C:$C,N7772))</f>
        <v>0</v>
      </c>
    </row>
    <row r="7773" spans="13:16">
      <c r="M7773" s="49">
        <f>IF($A$4+77&gt;$B$4,"",$A$4+77)</f>
        <v>46100</v>
      </c>
      <c r="N7773">
        <f>IF(M7773="","",'Master Barang'!A67)</f>
        <v>0</v>
      </c>
      <c r="O7773">
        <f>IF(N7773="","",'Master Barang'!B67)</f>
        <v>0</v>
      </c>
      <c r="P7773">
        <f>IF(OR(M7773="",N7773=""),"",SUMIFS('Barang Keluar'!$E:$E,'Barang Keluar'!$A:$A,M7773,'Barang Keluar'!$C:$C,N7773))</f>
        <v>0</v>
      </c>
    </row>
    <row r="7774" spans="13:16">
      <c r="M7774" s="49">
        <f>IF($A$4+77&gt;$B$4,"",$A$4+77)</f>
        <v>46100</v>
      </c>
      <c r="N7774">
        <f>IF(M7774="","",'Master Barang'!A68)</f>
        <v>0</v>
      </c>
      <c r="O7774">
        <f>IF(N7774="","",'Master Barang'!B68)</f>
        <v>0</v>
      </c>
      <c r="P7774">
        <f>IF(OR(M7774="",N7774=""),"",SUMIFS('Barang Keluar'!$E:$E,'Barang Keluar'!$A:$A,M7774,'Barang Keluar'!$C:$C,N7774))</f>
        <v>0</v>
      </c>
    </row>
    <row r="7775" spans="13:16">
      <c r="M7775" s="49">
        <f>IF($A$4+77&gt;$B$4,"",$A$4+77)</f>
        <v>46100</v>
      </c>
      <c r="N7775">
        <f>IF(M7775="","",'Master Barang'!A69)</f>
        <v>0</v>
      </c>
      <c r="O7775">
        <f>IF(N7775="","",'Master Barang'!B69)</f>
        <v>0</v>
      </c>
      <c r="P7775">
        <f>IF(OR(M7775="",N7775=""),"",SUMIFS('Barang Keluar'!$E:$E,'Barang Keluar'!$A:$A,M7775,'Barang Keluar'!$C:$C,N7775))</f>
        <v>0</v>
      </c>
    </row>
    <row r="7776" spans="13:16">
      <c r="M7776" s="49">
        <f>IF($A$4+77&gt;$B$4,"",$A$4+77)</f>
        <v>46100</v>
      </c>
      <c r="N7776">
        <f>IF(M7776="","",'Master Barang'!A70)</f>
        <v>0</v>
      </c>
      <c r="O7776">
        <f>IF(N7776="","",'Master Barang'!B70)</f>
        <v>0</v>
      </c>
      <c r="P7776">
        <f>IF(OR(M7776="",N7776=""),"",SUMIFS('Barang Keluar'!$E:$E,'Barang Keluar'!$A:$A,M7776,'Barang Keluar'!$C:$C,N7776))</f>
        <v>0</v>
      </c>
    </row>
    <row r="7777" spans="13:16">
      <c r="M7777" s="49">
        <f>IF($A$4+77&gt;$B$4,"",$A$4+77)</f>
        <v>46100</v>
      </c>
      <c r="N7777">
        <f>IF(M7777="","",'Master Barang'!A71)</f>
        <v>0</v>
      </c>
      <c r="O7777">
        <f>IF(N7777="","",'Master Barang'!B71)</f>
        <v>0</v>
      </c>
      <c r="P7777">
        <f>IF(OR(M7777="",N7777=""),"",SUMIFS('Barang Keluar'!$E:$E,'Barang Keluar'!$A:$A,M7777,'Barang Keluar'!$C:$C,N7777))</f>
        <v>0</v>
      </c>
    </row>
    <row r="7778" spans="13:16">
      <c r="M7778" s="49">
        <f>IF($A$4+77&gt;$B$4,"",$A$4+77)</f>
        <v>46100</v>
      </c>
      <c r="N7778">
        <f>IF(M7778="","",'Master Barang'!A72)</f>
        <v>0</v>
      </c>
      <c r="O7778">
        <f>IF(N7778="","",'Master Barang'!B72)</f>
        <v>0</v>
      </c>
      <c r="P7778">
        <f>IF(OR(M7778="",N7778=""),"",SUMIFS('Barang Keluar'!$E:$E,'Barang Keluar'!$A:$A,M7778,'Barang Keluar'!$C:$C,N7778))</f>
        <v>0</v>
      </c>
    </row>
    <row r="7779" spans="13:16">
      <c r="M7779" s="49">
        <f>IF($A$4+77&gt;$B$4,"",$A$4+77)</f>
        <v>46100</v>
      </c>
      <c r="N7779">
        <f>IF(M7779="","",'Master Barang'!A73)</f>
        <v>0</v>
      </c>
      <c r="O7779">
        <f>IF(N7779="","",'Master Barang'!B73)</f>
        <v>0</v>
      </c>
      <c r="P7779">
        <f>IF(OR(M7779="",N7779=""),"",SUMIFS('Barang Keluar'!$E:$E,'Barang Keluar'!$A:$A,M7779,'Barang Keluar'!$C:$C,N7779))</f>
        <v>0</v>
      </c>
    </row>
    <row r="7780" spans="13:16">
      <c r="M7780" s="49">
        <f>IF($A$4+77&gt;$B$4,"",$A$4+77)</f>
        <v>46100</v>
      </c>
      <c r="N7780">
        <f>IF(M7780="","",'Master Barang'!A74)</f>
        <v>0</v>
      </c>
      <c r="O7780">
        <f>IF(N7780="","",'Master Barang'!B74)</f>
        <v>0</v>
      </c>
      <c r="P7780">
        <f>IF(OR(M7780="",N7780=""),"",SUMIFS('Barang Keluar'!$E:$E,'Barang Keluar'!$A:$A,M7780,'Barang Keluar'!$C:$C,N7780))</f>
        <v>0</v>
      </c>
    </row>
    <row r="7781" spans="13:16">
      <c r="M7781" s="49">
        <f>IF($A$4+77&gt;$B$4,"",$A$4+77)</f>
        <v>46100</v>
      </c>
      <c r="N7781">
        <f>IF(M7781="","",'Master Barang'!A75)</f>
        <v>0</v>
      </c>
      <c r="O7781">
        <f>IF(N7781="","",'Master Barang'!B75)</f>
        <v>0</v>
      </c>
      <c r="P7781">
        <f>IF(OR(M7781="",N7781=""),"",SUMIFS('Barang Keluar'!$E:$E,'Barang Keluar'!$A:$A,M7781,'Barang Keluar'!$C:$C,N7781))</f>
        <v>0</v>
      </c>
    </row>
    <row r="7782" spans="13:16">
      <c r="M7782" s="49">
        <f>IF($A$4+77&gt;$B$4,"",$A$4+77)</f>
        <v>46100</v>
      </c>
      <c r="N7782">
        <f>IF(M7782="","",'Master Barang'!A76)</f>
        <v>0</v>
      </c>
      <c r="O7782">
        <f>IF(N7782="","",'Master Barang'!B76)</f>
        <v>0</v>
      </c>
      <c r="P7782">
        <f>IF(OR(M7782="",N7782=""),"",SUMIFS('Barang Keluar'!$E:$E,'Barang Keluar'!$A:$A,M7782,'Barang Keluar'!$C:$C,N7782))</f>
        <v>0</v>
      </c>
    </row>
    <row r="7783" spans="13:16">
      <c r="M7783" s="49">
        <f>IF($A$4+77&gt;$B$4,"",$A$4+77)</f>
        <v>46100</v>
      </c>
      <c r="N7783">
        <f>IF(M7783="","",'Master Barang'!A77)</f>
        <v>0</v>
      </c>
      <c r="O7783">
        <f>IF(N7783="","",'Master Barang'!B77)</f>
        <v>0</v>
      </c>
      <c r="P7783">
        <f>IF(OR(M7783="",N7783=""),"",SUMIFS('Barang Keluar'!$E:$E,'Barang Keluar'!$A:$A,M7783,'Barang Keluar'!$C:$C,N7783))</f>
        <v>0</v>
      </c>
    </row>
    <row r="7784" spans="13:16">
      <c r="M7784" s="49">
        <f>IF($A$4+77&gt;$B$4,"",$A$4+77)</f>
        <v>46100</v>
      </c>
      <c r="N7784">
        <f>IF(M7784="","",'Master Barang'!A78)</f>
        <v>0</v>
      </c>
      <c r="O7784">
        <f>IF(N7784="","",'Master Barang'!B78)</f>
        <v>0</v>
      </c>
      <c r="P7784">
        <f>IF(OR(M7784="",N7784=""),"",SUMIFS('Barang Keluar'!$E:$E,'Barang Keluar'!$A:$A,M7784,'Barang Keluar'!$C:$C,N7784))</f>
        <v>0</v>
      </c>
    </row>
    <row r="7785" spans="13:16">
      <c r="M7785" s="49">
        <f>IF($A$4+77&gt;$B$4,"",$A$4+77)</f>
        <v>46100</v>
      </c>
      <c r="N7785">
        <f>IF(M7785="","",'Master Barang'!A79)</f>
        <v>0</v>
      </c>
      <c r="O7785">
        <f>IF(N7785="","",'Master Barang'!B79)</f>
        <v>0</v>
      </c>
      <c r="P7785">
        <f>IF(OR(M7785="",N7785=""),"",SUMIFS('Barang Keluar'!$E:$E,'Barang Keluar'!$A:$A,M7785,'Barang Keluar'!$C:$C,N7785))</f>
        <v>0</v>
      </c>
    </row>
    <row r="7786" spans="13:16">
      <c r="M7786" s="49">
        <f>IF($A$4+77&gt;$B$4,"",$A$4+77)</f>
        <v>46100</v>
      </c>
      <c r="N7786">
        <f>IF(M7786="","",'Master Barang'!A80)</f>
        <v>0</v>
      </c>
      <c r="O7786">
        <f>IF(N7786="","",'Master Barang'!B80)</f>
        <v>0</v>
      </c>
      <c r="P7786">
        <f>IF(OR(M7786="",N7786=""),"",SUMIFS('Barang Keluar'!$E:$E,'Barang Keluar'!$A:$A,M7786,'Barang Keluar'!$C:$C,N7786))</f>
        <v>0</v>
      </c>
    </row>
    <row r="7787" spans="13:16">
      <c r="M7787" s="49">
        <f>IF($A$4+77&gt;$B$4,"",$A$4+77)</f>
        <v>46100</v>
      </c>
      <c r="N7787">
        <f>IF(M7787="","",'Master Barang'!A81)</f>
        <v>0</v>
      </c>
      <c r="O7787">
        <f>IF(N7787="","",'Master Barang'!B81)</f>
        <v>0</v>
      </c>
      <c r="P7787">
        <f>IF(OR(M7787="",N7787=""),"",SUMIFS('Barang Keluar'!$E:$E,'Barang Keluar'!$A:$A,M7787,'Barang Keluar'!$C:$C,N7787))</f>
        <v>0</v>
      </c>
    </row>
    <row r="7788" spans="13:16">
      <c r="M7788" s="49">
        <f>IF($A$4+77&gt;$B$4,"",$A$4+77)</f>
        <v>46100</v>
      </c>
      <c r="N7788">
        <f>IF(M7788="","",'Master Barang'!A82)</f>
        <v>0</v>
      </c>
      <c r="O7788">
        <f>IF(N7788="","",'Master Barang'!B82)</f>
        <v>0</v>
      </c>
      <c r="P7788">
        <f>IF(OR(M7788="",N7788=""),"",SUMIFS('Barang Keluar'!$E:$E,'Barang Keluar'!$A:$A,M7788,'Barang Keluar'!$C:$C,N7788))</f>
        <v>0</v>
      </c>
    </row>
    <row r="7789" spans="13:16">
      <c r="M7789" s="49">
        <f>IF($A$4+77&gt;$B$4,"",$A$4+77)</f>
        <v>46100</v>
      </c>
      <c r="N7789">
        <f>IF(M7789="","",'Master Barang'!A83)</f>
        <v>0</v>
      </c>
      <c r="O7789">
        <f>IF(N7789="","",'Master Barang'!B83)</f>
        <v>0</v>
      </c>
      <c r="P7789">
        <f>IF(OR(M7789="",N7789=""),"",SUMIFS('Barang Keluar'!$E:$E,'Barang Keluar'!$A:$A,M7789,'Barang Keluar'!$C:$C,N7789))</f>
        <v>0</v>
      </c>
    </row>
    <row r="7790" spans="13:16">
      <c r="M7790" s="49">
        <f>IF($A$4+77&gt;$B$4,"",$A$4+77)</f>
        <v>46100</v>
      </c>
      <c r="N7790">
        <f>IF(M7790="","",'Master Barang'!A84)</f>
        <v>0</v>
      </c>
      <c r="O7790">
        <f>IF(N7790="","",'Master Barang'!B84)</f>
        <v>0</v>
      </c>
      <c r="P7790">
        <f>IF(OR(M7790="",N7790=""),"",SUMIFS('Barang Keluar'!$E:$E,'Barang Keluar'!$A:$A,M7790,'Barang Keluar'!$C:$C,N7790))</f>
        <v>0</v>
      </c>
    </row>
    <row r="7791" spans="13:16">
      <c r="M7791" s="49">
        <f>IF($A$4+77&gt;$B$4,"",$A$4+77)</f>
        <v>46100</v>
      </c>
      <c r="N7791">
        <f>IF(M7791="","",'Master Barang'!A85)</f>
        <v>0</v>
      </c>
      <c r="O7791">
        <f>IF(N7791="","",'Master Barang'!B85)</f>
        <v>0</v>
      </c>
      <c r="P7791">
        <f>IF(OR(M7791="",N7791=""),"",SUMIFS('Barang Keluar'!$E:$E,'Barang Keluar'!$A:$A,M7791,'Barang Keluar'!$C:$C,N7791))</f>
        <v>0</v>
      </c>
    </row>
    <row r="7792" spans="13:16">
      <c r="M7792" s="49">
        <f>IF($A$4+77&gt;$B$4,"",$A$4+77)</f>
        <v>46100</v>
      </c>
      <c r="N7792">
        <f>IF(M7792="","",'Master Barang'!A86)</f>
        <v>0</v>
      </c>
      <c r="O7792">
        <f>IF(N7792="","",'Master Barang'!B86)</f>
        <v>0</v>
      </c>
      <c r="P7792">
        <f>IF(OR(M7792="",N7792=""),"",SUMIFS('Barang Keluar'!$E:$E,'Barang Keluar'!$A:$A,M7792,'Barang Keluar'!$C:$C,N7792))</f>
        <v>0</v>
      </c>
    </row>
    <row r="7793" spans="13:16">
      <c r="M7793" s="49">
        <f>IF($A$4+77&gt;$B$4,"",$A$4+77)</f>
        <v>46100</v>
      </c>
      <c r="N7793">
        <f>IF(M7793="","",'Master Barang'!A87)</f>
        <v>0</v>
      </c>
      <c r="O7793">
        <f>IF(N7793="","",'Master Barang'!B87)</f>
        <v>0</v>
      </c>
      <c r="P7793">
        <f>IF(OR(M7793="",N7793=""),"",SUMIFS('Barang Keluar'!$E:$E,'Barang Keluar'!$A:$A,M7793,'Barang Keluar'!$C:$C,N7793))</f>
        <v>0</v>
      </c>
    </row>
    <row r="7794" spans="13:16">
      <c r="M7794" s="49">
        <f>IF($A$4+77&gt;$B$4,"",$A$4+77)</f>
        <v>46100</v>
      </c>
      <c r="N7794">
        <f>IF(M7794="","",'Master Barang'!A88)</f>
        <v>0</v>
      </c>
      <c r="O7794">
        <f>IF(N7794="","",'Master Barang'!B88)</f>
        <v>0</v>
      </c>
      <c r="P7794">
        <f>IF(OR(M7794="",N7794=""),"",SUMIFS('Barang Keluar'!$E:$E,'Barang Keluar'!$A:$A,M7794,'Barang Keluar'!$C:$C,N7794))</f>
        <v>0</v>
      </c>
    </row>
    <row r="7795" spans="13:16">
      <c r="M7795" s="49">
        <f>IF($A$4+77&gt;$B$4,"",$A$4+77)</f>
        <v>46100</v>
      </c>
      <c r="N7795">
        <f>IF(M7795="","",'Master Barang'!A89)</f>
        <v>0</v>
      </c>
      <c r="O7795">
        <f>IF(N7795="","",'Master Barang'!B89)</f>
        <v>0</v>
      </c>
      <c r="P7795">
        <f>IF(OR(M7795="",N7795=""),"",SUMIFS('Barang Keluar'!$E:$E,'Barang Keluar'!$A:$A,M7795,'Barang Keluar'!$C:$C,N7795))</f>
        <v>0</v>
      </c>
    </row>
    <row r="7796" spans="13:16">
      <c r="M7796" s="49">
        <f>IF($A$4+77&gt;$B$4,"",$A$4+77)</f>
        <v>46100</v>
      </c>
      <c r="N7796">
        <f>IF(M7796="","",'Master Barang'!A90)</f>
        <v>0</v>
      </c>
      <c r="O7796">
        <f>IF(N7796="","",'Master Barang'!B90)</f>
        <v>0</v>
      </c>
      <c r="P7796">
        <f>IF(OR(M7796="",N7796=""),"",SUMIFS('Barang Keluar'!$E:$E,'Barang Keluar'!$A:$A,M7796,'Barang Keluar'!$C:$C,N7796))</f>
        <v>0</v>
      </c>
    </row>
    <row r="7797" spans="13:16">
      <c r="M7797" s="49">
        <f>IF($A$4+77&gt;$B$4,"",$A$4+77)</f>
        <v>46100</v>
      </c>
      <c r="N7797">
        <f>IF(M7797="","",'Master Barang'!A91)</f>
        <v>0</v>
      </c>
      <c r="O7797">
        <f>IF(N7797="","",'Master Barang'!B91)</f>
        <v>0</v>
      </c>
      <c r="P7797">
        <f>IF(OR(M7797="",N7797=""),"",SUMIFS('Barang Keluar'!$E:$E,'Barang Keluar'!$A:$A,M7797,'Barang Keluar'!$C:$C,N7797))</f>
        <v>0</v>
      </c>
    </row>
    <row r="7798" spans="13:16">
      <c r="M7798" s="49">
        <f>IF($A$4+77&gt;$B$4,"",$A$4+77)</f>
        <v>46100</v>
      </c>
      <c r="N7798">
        <f>IF(M7798="","",'Master Barang'!A92)</f>
        <v>0</v>
      </c>
      <c r="O7798">
        <f>IF(N7798="","",'Master Barang'!B92)</f>
        <v>0</v>
      </c>
      <c r="P7798">
        <f>IF(OR(M7798="",N7798=""),"",SUMIFS('Barang Keluar'!$E:$E,'Barang Keluar'!$A:$A,M7798,'Barang Keluar'!$C:$C,N7798))</f>
        <v>0</v>
      </c>
    </row>
    <row r="7799" spans="13:16">
      <c r="M7799" s="49">
        <f>IF($A$4+77&gt;$B$4,"",$A$4+77)</f>
        <v>46100</v>
      </c>
      <c r="N7799">
        <f>IF(M7799="","",'Master Barang'!A93)</f>
        <v>0</v>
      </c>
      <c r="O7799">
        <f>IF(N7799="","",'Master Barang'!B93)</f>
        <v>0</v>
      </c>
      <c r="P7799">
        <f>IF(OR(M7799="",N7799=""),"",SUMIFS('Barang Keluar'!$E:$E,'Barang Keluar'!$A:$A,M7799,'Barang Keluar'!$C:$C,N7799))</f>
        <v>0</v>
      </c>
    </row>
    <row r="7800" spans="13:16">
      <c r="M7800" s="49">
        <f>IF($A$4+77&gt;$B$4,"",$A$4+77)</f>
        <v>46100</v>
      </c>
      <c r="N7800">
        <f>IF(M7800="","",'Master Barang'!A94)</f>
        <v>0</v>
      </c>
      <c r="O7800">
        <f>IF(N7800="","",'Master Barang'!B94)</f>
        <v>0</v>
      </c>
      <c r="P7800">
        <f>IF(OR(M7800="",N7800=""),"",SUMIFS('Barang Keluar'!$E:$E,'Barang Keluar'!$A:$A,M7800,'Barang Keluar'!$C:$C,N7800))</f>
        <v>0</v>
      </c>
    </row>
    <row r="7801" spans="13:16">
      <c r="M7801" s="49">
        <f>IF($A$4+77&gt;$B$4,"",$A$4+77)</f>
        <v>46100</v>
      </c>
      <c r="N7801">
        <f>IF(M7801="","",'Master Barang'!A95)</f>
        <v>0</v>
      </c>
      <c r="O7801">
        <f>IF(N7801="","",'Master Barang'!B95)</f>
        <v>0</v>
      </c>
      <c r="P7801">
        <f>IF(OR(M7801="",N7801=""),"",SUMIFS('Barang Keluar'!$E:$E,'Barang Keluar'!$A:$A,M7801,'Barang Keluar'!$C:$C,N7801))</f>
        <v>0</v>
      </c>
    </row>
    <row r="7802" spans="13:16">
      <c r="M7802" s="49">
        <f>IF($A$4+77&gt;$B$4,"",$A$4+77)</f>
        <v>46100</v>
      </c>
      <c r="N7802">
        <f>IF(M7802="","",'Master Barang'!A96)</f>
        <v>0</v>
      </c>
      <c r="O7802">
        <f>IF(N7802="","",'Master Barang'!B96)</f>
        <v>0</v>
      </c>
      <c r="P7802">
        <f>IF(OR(M7802="",N7802=""),"",SUMIFS('Barang Keluar'!$E:$E,'Barang Keluar'!$A:$A,M7802,'Barang Keluar'!$C:$C,N7802))</f>
        <v>0</v>
      </c>
    </row>
    <row r="7803" spans="13:16">
      <c r="M7803" s="49">
        <f>IF($A$4+77&gt;$B$4,"",$A$4+77)</f>
        <v>46100</v>
      </c>
      <c r="N7803">
        <f>IF(M7803="","",'Master Barang'!A97)</f>
        <v>0</v>
      </c>
      <c r="O7803">
        <f>IF(N7803="","",'Master Barang'!B97)</f>
        <v>0</v>
      </c>
      <c r="P7803">
        <f>IF(OR(M7803="",N7803=""),"",SUMIFS('Barang Keluar'!$E:$E,'Barang Keluar'!$A:$A,M7803,'Barang Keluar'!$C:$C,N7803))</f>
        <v>0</v>
      </c>
    </row>
    <row r="7804" spans="13:16">
      <c r="M7804" s="49">
        <f>IF($A$4+77&gt;$B$4,"",$A$4+77)</f>
        <v>46100</v>
      </c>
      <c r="N7804">
        <f>IF(M7804="","",'Master Barang'!A98)</f>
        <v>0</v>
      </c>
      <c r="O7804">
        <f>IF(N7804="","",'Master Barang'!B98)</f>
        <v>0</v>
      </c>
      <c r="P7804">
        <f>IF(OR(M7804="",N7804=""),"",SUMIFS('Barang Keluar'!$E:$E,'Barang Keluar'!$A:$A,M7804,'Barang Keluar'!$C:$C,N7804))</f>
        <v>0</v>
      </c>
    </row>
    <row r="7805" spans="13:16">
      <c r="M7805" s="49">
        <f>IF($A$4+77&gt;$B$4,"",$A$4+77)</f>
        <v>46100</v>
      </c>
      <c r="N7805">
        <f>IF(M7805="","",'Master Barang'!A99)</f>
        <v>0</v>
      </c>
      <c r="O7805">
        <f>IF(N7805="","",'Master Barang'!B99)</f>
        <v>0</v>
      </c>
      <c r="P7805">
        <f>IF(OR(M7805="",N7805=""),"",SUMIFS('Barang Keluar'!$E:$E,'Barang Keluar'!$A:$A,M7805,'Barang Keluar'!$C:$C,N7805))</f>
        <v>0</v>
      </c>
    </row>
    <row r="7806" spans="13:16">
      <c r="M7806" s="49">
        <f>IF($A$4+77&gt;$B$4,"",$A$4+77)</f>
        <v>46100</v>
      </c>
      <c r="N7806">
        <f>IF(M7806="","",'Master Barang'!A100)</f>
        <v>0</v>
      </c>
      <c r="O7806">
        <f>IF(N7806="","",'Master Barang'!B100)</f>
        <v>0</v>
      </c>
      <c r="P7806">
        <f>IF(OR(M7806="",N7806=""),"",SUMIFS('Barang Keluar'!$E:$E,'Barang Keluar'!$A:$A,M7806,'Barang Keluar'!$C:$C,N7806))</f>
        <v>0</v>
      </c>
    </row>
    <row r="7807" spans="13:16">
      <c r="M7807" s="49">
        <f>IF($A$4+77&gt;$B$4,"",$A$4+77)</f>
        <v>46100</v>
      </c>
      <c r="N7807">
        <f>IF(M7807="","",'Master Barang'!A101)</f>
        <v>0</v>
      </c>
      <c r="O7807">
        <f>IF(N7807="","",'Master Barang'!B101)</f>
        <v>0</v>
      </c>
      <c r="P7807">
        <f>IF(OR(M7807="",N7807=""),"",SUMIFS('Barang Keluar'!$E:$E,'Barang Keluar'!$A:$A,M7807,'Barang Keluar'!$C:$C,N7807))</f>
        <v>0</v>
      </c>
    </row>
    <row r="7808" spans="13:16">
      <c r="M7808" s="49">
        <f>IF($A$4+78&gt;$B$4,"",$A$4+78)</f>
        <v>46101</v>
      </c>
      <c r="N7808" t="str">
        <f>IF(M7808="","",'Master Barang'!A2)</f>
        <v>PRL-001</v>
      </c>
      <c r="O7808" t="str">
        <f>IF(N7808="","",'Master Barang'!B2)</f>
        <v>natura desinfectant food grade 5l</v>
      </c>
      <c r="P7808">
        <f>IF(OR(M7808="",N7808=""),"",SUMIFS('Barang Keluar'!$E:$E,'Barang Keluar'!$A:$A,M7808,'Barang Keluar'!$C:$C,N7808))</f>
        <v>0</v>
      </c>
    </row>
    <row r="7809" spans="13:16">
      <c r="M7809" s="49">
        <f>IF($A$4+78&gt;$B$4,"",$A$4+78)</f>
        <v>46101</v>
      </c>
      <c r="N7809" t="str">
        <f>IF(M7809="","",'Master Barang'!A3)</f>
        <v>PRL-002</v>
      </c>
      <c r="O7809" t="str">
        <f>IF(N7809="","",'Master Barang'!B3)</f>
        <v>sunlight cairan pencuci piring 5l</v>
      </c>
      <c r="P7809">
        <f>IF(OR(M7809="",N7809=""),"",SUMIFS('Barang Keluar'!$E:$E,'Barang Keluar'!$A:$A,M7809,'Barang Keluar'!$C:$C,N7809))</f>
        <v>0</v>
      </c>
    </row>
    <row r="7810" spans="13:16">
      <c r="M7810" s="49">
        <f>IF($A$4+78&gt;$B$4,"",$A$4+78)</f>
        <v>46101</v>
      </c>
      <c r="N7810" t="str">
        <f>IF(M7810="","",'Master Barang'!A4)</f>
        <v>PRL-003</v>
      </c>
      <c r="O7810" t="str">
        <f>IF(N7810="","",'Master Barang'!B4)</f>
        <v>oixs cleaner 1l</v>
      </c>
      <c r="P7810">
        <f>IF(OR(M7810="",N7810=""),"",SUMIFS('Barang Keluar'!$E:$E,'Barang Keluar'!$A:$A,M7810,'Barang Keluar'!$C:$C,N7810))</f>
        <v>0</v>
      </c>
    </row>
    <row r="7811" spans="13:16">
      <c r="M7811" s="49">
        <f>IF($A$4+78&gt;$B$4,"",$A$4+78)</f>
        <v>46101</v>
      </c>
      <c r="N7811" t="str">
        <f>IF(M7811="","",'Master Barang'!A5)</f>
        <v>PRL-004</v>
      </c>
      <c r="O7811" t="str">
        <f>IF(N7811="","",'Master Barang'!B5)</f>
        <v>be clean tissue serbaguna</v>
      </c>
      <c r="P7811">
        <f>IF(OR(M7811="",N7811=""),"",SUMIFS('Barang Keluar'!$E:$E,'Barang Keluar'!$A:$A,M7811,'Barang Keluar'!$C:$C,N7811))</f>
        <v>0</v>
      </c>
    </row>
    <row r="7812" spans="13:16">
      <c r="M7812" s="49">
        <f>IF($A$4+78&gt;$B$4,"",$A$4+78)</f>
        <v>46101</v>
      </c>
      <c r="N7812" t="str">
        <f>IF(M7812="","",'Master Barang'!A6)</f>
        <v>PRL-005</v>
      </c>
      <c r="O7812" t="str">
        <f>IF(N7812="","",'Master Barang'!B6)</f>
        <v>spons cuci hijau</v>
      </c>
      <c r="P7812">
        <f>IF(OR(M7812="",N7812=""),"",SUMIFS('Barang Keluar'!$E:$E,'Barang Keluar'!$A:$A,M7812,'Barang Keluar'!$C:$C,N7812))</f>
        <v>0</v>
      </c>
    </row>
    <row r="7813" spans="13:16">
      <c r="M7813" s="49">
        <f>IF($A$4+78&gt;$B$4,"",$A$4+78)</f>
        <v>46101</v>
      </c>
      <c r="N7813" t="str">
        <f>IF(M7813="","",'Master Barang'!A7)</f>
        <v>PRL-006</v>
      </c>
      <c r="O7813" t="str">
        <f>IF(N7813="","",'Master Barang'!B7)</f>
        <v>sabut cuci stainless</v>
      </c>
      <c r="P7813">
        <f>IF(OR(M7813="",N7813=""),"",SUMIFS('Barang Keluar'!$E:$E,'Barang Keluar'!$A:$A,M7813,'Barang Keluar'!$C:$C,N7813))</f>
        <v>0</v>
      </c>
    </row>
    <row r="7814" spans="13:16">
      <c r="M7814" s="49">
        <f>IF($A$4+78&gt;$B$4,"",$A$4+78)</f>
        <v>46101</v>
      </c>
      <c r="N7814" t="str">
        <f>IF(M7814="","",'Master Barang'!A8)</f>
        <v>PRL-007</v>
      </c>
      <c r="O7814" t="str">
        <f>IF(N7814="","",'Master Barang'!B8)</f>
        <v>plastik kresek besar merah 50pc</v>
      </c>
      <c r="P7814">
        <f>IF(OR(M7814="",N7814=""),"",SUMIFS('Barang Keluar'!$E:$E,'Barang Keluar'!$A:$A,M7814,'Barang Keluar'!$C:$C,N7814))</f>
        <v>0</v>
      </c>
    </row>
    <row r="7815" spans="13:16">
      <c r="M7815" s="49">
        <f>IF($A$4+78&gt;$B$4,"",$A$4+78)</f>
        <v>46101</v>
      </c>
      <c r="N7815" t="str">
        <f>IF(M7815="","",'Master Barang'!A9)</f>
        <v>PRL-008</v>
      </c>
      <c r="O7815" t="str">
        <f>IF(N7815="","",'Master Barang'!B9)</f>
        <v>lap besar</v>
      </c>
      <c r="P7815">
        <f>IF(OR(M7815="",N7815=""),"",SUMIFS('Barang Keluar'!$E:$E,'Barang Keluar'!$A:$A,M7815,'Barang Keluar'!$C:$C,N7815))</f>
        <v>0</v>
      </c>
    </row>
    <row r="7816" spans="13:16">
      <c r="M7816" s="49">
        <f>IF($A$4+78&gt;$B$4,"",$A$4+78)</f>
        <v>46101</v>
      </c>
      <c r="N7816" t="str">
        <f>IF(M7816="","",'Master Barang'!A10)</f>
        <v>PRL-009</v>
      </c>
      <c r="O7816" t="str">
        <f>IF(N7816="","",'Master Barang'!B10)</f>
        <v>lap microfiber</v>
      </c>
      <c r="P7816">
        <f>IF(OR(M7816="",N7816=""),"",SUMIFS('Barang Keluar'!$E:$E,'Barang Keluar'!$A:$A,M7816,'Barang Keluar'!$C:$C,N7816))</f>
        <v>0</v>
      </c>
    </row>
    <row r="7817" spans="13:16">
      <c r="M7817" s="49">
        <f>IF($A$4+78&gt;$B$4,"",$A$4+78)</f>
        <v>46101</v>
      </c>
      <c r="N7817" t="str">
        <f>IF(M7817="","",'Master Barang'!A11)</f>
        <v>PRL-010</v>
      </c>
      <c r="O7817" t="str">
        <f>IF(N7817="","",'Master Barang'!B11)</f>
        <v>lap kecil</v>
      </c>
      <c r="P7817">
        <f>IF(OR(M7817="",N7817=""),"",SUMIFS('Barang Keluar'!$E:$E,'Barang Keluar'!$A:$A,M7817,'Barang Keluar'!$C:$C,N7817))</f>
        <v>0</v>
      </c>
    </row>
    <row r="7818" spans="13:16">
      <c r="M7818" s="49">
        <f>IF($A$4+78&gt;$B$4,"",$A$4+78)</f>
        <v>46101</v>
      </c>
      <c r="N7818" t="str">
        <f>IF(M7818="","",'Master Barang'!A12)</f>
        <v>PRL-011</v>
      </c>
      <c r="O7818" t="str">
        <f>IF(N7818="","",'Master Barang'!B12)</f>
        <v>kanebo kecil</v>
      </c>
      <c r="P7818">
        <f>IF(OR(M7818="",N7818=""),"",SUMIFS('Barang Keluar'!$E:$E,'Barang Keluar'!$A:$A,M7818,'Barang Keluar'!$C:$C,N7818))</f>
        <v>0</v>
      </c>
    </row>
    <row r="7819" spans="13:16">
      <c r="M7819" s="49">
        <f>IF($A$4+78&gt;$B$4,"",$A$4+78)</f>
        <v>46101</v>
      </c>
      <c r="N7819" t="str">
        <f>IF(M7819="","",'Master Barang'!A13)</f>
        <v>PRL-012</v>
      </c>
      <c r="O7819" t="str">
        <f>IF(N7819="","",'Master Barang'!B13)</f>
        <v>plastik 1/4kg joyoboyo 100 lembar</v>
      </c>
      <c r="P7819">
        <f>IF(OR(M7819="",N7819=""),"",SUMIFS('Barang Keluar'!$E:$E,'Barang Keluar'!$A:$A,M7819,'Barang Keluar'!$C:$C,N7819))</f>
        <v>0</v>
      </c>
    </row>
    <row r="7820" spans="13:16">
      <c r="M7820" s="49">
        <f>IF($A$4+78&gt;$B$4,"",$A$4+78)</f>
        <v>46101</v>
      </c>
      <c r="N7820" t="str">
        <f>IF(M7820="","",'Master Barang'!A14)</f>
        <v>PRL-013</v>
      </c>
      <c r="O7820" t="str">
        <f>IF(N7820="","",'Master Barang'!B14)</f>
        <v>sarung tangan plastik kaka 100 pcs</v>
      </c>
      <c r="P7820">
        <f>IF(OR(M7820="",N7820=""),"",SUMIFS('Barang Keluar'!$E:$E,'Barang Keluar'!$A:$A,M7820,'Barang Keluar'!$C:$C,N7820))</f>
        <v>0</v>
      </c>
    </row>
    <row r="7821" spans="13:16">
      <c r="M7821" s="49">
        <f>IF($A$4+78&gt;$B$4,"",$A$4+78)</f>
        <v>46101</v>
      </c>
      <c r="N7821" t="str">
        <f>IF(M7821="","",'Master Barang'!A15)</f>
        <v>PRL-014</v>
      </c>
      <c r="O7821" t="str">
        <f>IF(N7821="","",'Master Barang'!B15)</f>
        <v>optima trashbag 80x100</v>
      </c>
      <c r="P7821">
        <f>IF(OR(M7821="",N7821=""),"",SUMIFS('Barang Keluar'!$E:$E,'Barang Keluar'!$A:$A,M7821,'Barang Keluar'!$C:$C,N7821))</f>
        <v>0</v>
      </c>
    </row>
    <row r="7822" spans="13:16">
      <c r="M7822" s="49">
        <f>IF($A$4+78&gt;$B$4,"",$A$4+78)</f>
        <v>46101</v>
      </c>
      <c r="N7822" t="str">
        <f>IF(M7822="","",'Master Barang'!A16)</f>
        <v>PRL-015</v>
      </c>
      <c r="O7822" t="str">
        <f>IF(N7822="","",'Master Barang'!B16)</f>
        <v>optima trashbag 60x100</v>
      </c>
      <c r="P7822">
        <f>IF(OR(M7822="",N7822=""),"",SUMIFS('Barang Keluar'!$E:$E,'Barang Keluar'!$A:$A,M7822,'Barang Keluar'!$C:$C,N7822))</f>
        <v>0</v>
      </c>
    </row>
    <row r="7823" spans="13:16">
      <c r="M7823" s="49">
        <f>IF($A$4+78&gt;$B$4,"",$A$4+78)</f>
        <v>46101</v>
      </c>
      <c r="N7823" t="str">
        <f>IF(M7823="","",'Master Barang'!A17)</f>
        <v>PRL-016</v>
      </c>
      <c r="O7823" t="str">
        <f>IF(N7823="","",'Master Barang'!B17)</f>
        <v>rajawali trashbag 30x40</v>
      </c>
      <c r="P7823">
        <f>IF(OR(M7823="",N7823=""),"",SUMIFS('Barang Keluar'!$E:$E,'Barang Keluar'!$A:$A,M7823,'Barang Keluar'!$C:$C,N7823))</f>
        <v>0</v>
      </c>
    </row>
    <row r="7824" spans="13:16">
      <c r="M7824" s="49">
        <f>IF($A$4+78&gt;$B$4,"",$A$4+78)</f>
        <v>46101</v>
      </c>
      <c r="N7824" t="str">
        <f>IF(M7824="","",'Master Barang'!A18)</f>
        <v>PRL-017</v>
      </c>
      <c r="O7824" t="str">
        <f>IF(N7824="","",'Master Barang'!B18)</f>
        <v>onemed masker biru 3 play 50 pcs</v>
      </c>
      <c r="P7824">
        <f>IF(OR(M7824="",N7824=""),"",SUMIFS('Barang Keluar'!$E:$E,'Barang Keluar'!$A:$A,M7824,'Barang Keluar'!$C:$C,N7824))</f>
        <v>0</v>
      </c>
    </row>
    <row r="7825" spans="13:16">
      <c r="M7825" s="49">
        <f>IF($A$4+78&gt;$B$4,"",$A$4+78)</f>
        <v>46101</v>
      </c>
      <c r="N7825" t="str">
        <f>IF(M7825="","",'Master Barang'!A19)</f>
        <v>PRL-018</v>
      </c>
      <c r="O7825" t="str">
        <f>IF(N7825="","",'Master Barang'!B19)</f>
        <v>onemed masker biru 3 play hijab 50 pcs</v>
      </c>
      <c r="P7825">
        <f>IF(OR(M7825="",N7825=""),"",SUMIFS('Barang Keluar'!$E:$E,'Barang Keluar'!$A:$A,M7825,'Barang Keluar'!$C:$C,N7825))</f>
        <v>0</v>
      </c>
    </row>
    <row r="7826" spans="13:16">
      <c r="M7826" s="49">
        <f>IF($A$4+78&gt;$B$4,"",$A$4+78)</f>
        <v>46101</v>
      </c>
      <c r="N7826" t="str">
        <f>IF(M7826="","",'Master Barang'!A20)</f>
        <v>PRL-019</v>
      </c>
      <c r="O7826" t="str">
        <f>IF(N7826="","",'Master Barang'!B20)</f>
        <v>neo health masker biru 3 play 50 pcs</v>
      </c>
      <c r="P7826">
        <f>IF(OR(M7826="",N7826=""),"",SUMIFS('Barang Keluar'!$E:$E,'Barang Keluar'!$A:$A,M7826,'Barang Keluar'!$C:$C,N7826))</f>
        <v>0</v>
      </c>
    </row>
    <row r="7827" spans="13:16">
      <c r="M7827" s="49">
        <f>IF($A$4+78&gt;$B$4,"",$A$4+78)</f>
        <v>46101</v>
      </c>
      <c r="N7827" t="str">
        <f>IF(M7827="","",'Master Barang'!A21)</f>
        <v>PRL-020</v>
      </c>
      <c r="O7827" t="str">
        <f>IF(N7827="","",'Master Barang'!B21)</f>
        <v>baymed masker hijau 3 play hijau 50 pcs</v>
      </c>
      <c r="P7827">
        <f>IF(OR(M7827="",N7827=""),"",SUMIFS('Barang Keluar'!$E:$E,'Barang Keluar'!$A:$A,M7827,'Barang Keluar'!$C:$C,N7827))</f>
        <v>0</v>
      </c>
    </row>
    <row r="7828" spans="13:16">
      <c r="M7828" s="49">
        <f>IF($A$4+78&gt;$B$4,"",$A$4+78)</f>
        <v>46101</v>
      </c>
      <c r="N7828" t="str">
        <f>IF(M7828="","",'Master Barang'!A22)</f>
        <v>PRL-021</v>
      </c>
      <c r="O7828" t="str">
        <f>IF(N7828="","",'Master Barang'!B22)</f>
        <v>altamed nurse cap penutup kepala 100 pcs</v>
      </c>
      <c r="P7828">
        <f>IF(OR(M7828="",N7828=""),"",SUMIFS('Barang Keluar'!$E:$E,'Barang Keluar'!$A:$A,M7828,'Barang Keluar'!$C:$C,N7828))</f>
        <v>0</v>
      </c>
    </row>
    <row r="7829" spans="13:16">
      <c r="M7829" s="49">
        <f>IF($A$4+78&gt;$B$4,"",$A$4+78)</f>
        <v>46101</v>
      </c>
      <c r="N7829" t="str">
        <f>IF(M7829="","",'Master Barang'!A23)</f>
        <v>PRL-022</v>
      </c>
      <c r="O7829" t="str">
        <f>IF(N7829="","",'Master Barang'!B23)</f>
        <v>sabun cuci tangan</v>
      </c>
      <c r="P7829">
        <f>IF(OR(M7829="",N7829=""),"",SUMIFS('Barang Keluar'!$E:$E,'Barang Keluar'!$A:$A,M7829,'Barang Keluar'!$C:$C,N7829))</f>
        <v>0</v>
      </c>
    </row>
    <row r="7830" spans="13:16">
      <c r="M7830" s="49">
        <f>IF($A$4+78&gt;$B$4,"",$A$4+78)</f>
        <v>46101</v>
      </c>
      <c r="N7830" t="str">
        <f>IF(M7830="","",'Master Barang'!A24)</f>
        <v>PRL-023</v>
      </c>
      <c r="O7830" t="str">
        <f>IF(N7830="","",'Master Barang'!B24)</f>
        <v>gayung kecil</v>
      </c>
      <c r="P7830">
        <f>IF(OR(M7830="",N7830=""),"",SUMIFS('Barang Keluar'!$E:$E,'Barang Keluar'!$A:$A,M7830,'Barang Keluar'!$C:$C,N7830))</f>
        <v>0</v>
      </c>
    </row>
    <row r="7831" spans="13:16">
      <c r="M7831" s="49">
        <f>IF($A$4+78&gt;$B$4,"",$A$4+78)</f>
        <v>46101</v>
      </c>
      <c r="N7831" t="str">
        <f>IF(M7831="","",'Master Barang'!A25)</f>
        <v>PRL-024</v>
      </c>
      <c r="O7831" t="str">
        <f>IF(N7831="","",'Master Barang'!B25)</f>
        <v>cikrak kecil</v>
      </c>
      <c r="P7831">
        <f>IF(OR(M7831="",N7831=""),"",SUMIFS('Barang Keluar'!$E:$E,'Barang Keluar'!$A:$A,M7831,'Barang Keluar'!$C:$C,N7831))</f>
        <v>0</v>
      </c>
    </row>
    <row r="7832" spans="13:16">
      <c r="M7832" s="49">
        <f>IF($A$4+78&gt;$B$4,"",$A$4+78)</f>
        <v>46101</v>
      </c>
      <c r="N7832" t="str">
        <f>IF(M7832="","",'Master Barang'!A26)</f>
        <v>PRL-025</v>
      </c>
      <c r="O7832" t="str">
        <f>IF(N7832="","",'Master Barang'!B26)</f>
        <v>petromax plastik kecil 12x24 100 lembar</v>
      </c>
      <c r="P7832">
        <f>IF(OR(M7832="",N7832=""),"",SUMIFS('Barang Keluar'!$E:$E,'Barang Keluar'!$A:$A,M7832,'Barang Keluar'!$C:$C,N7832))</f>
        <v>0</v>
      </c>
    </row>
    <row r="7833" spans="13:16">
      <c r="M7833" s="49">
        <f>IF($A$4+78&gt;$B$4,"",$A$4+78)</f>
        <v>46101</v>
      </c>
      <c r="N7833" t="str">
        <f>IF(M7833="","",'Master Barang'!A27)</f>
        <v>PRL-026</v>
      </c>
      <c r="O7833" t="str">
        <f>IF(N7833="","",'Master Barang'!B27)</f>
        <v>lancar kresek kecil bening </v>
      </c>
      <c r="P7833">
        <f>IF(OR(M7833="",N7833=""),"",SUMIFS('Barang Keluar'!$E:$E,'Barang Keluar'!$A:$A,M7833,'Barang Keluar'!$C:$C,N7833))</f>
        <v>0</v>
      </c>
    </row>
    <row r="7834" spans="13:16">
      <c r="M7834" s="49">
        <f>IF($A$4+78&gt;$B$4,"",$A$4+78)</f>
        <v>46101</v>
      </c>
      <c r="N7834" t="str">
        <f>IF(M7834="","",'Master Barang'!A28)</f>
        <v>PRL-027</v>
      </c>
      <c r="O7834" t="str">
        <f>IF(N7834="","",'Master Barang'!B28)</f>
        <v>kresek klin warna warni kecil</v>
      </c>
      <c r="P7834">
        <f>IF(OR(M7834="",N7834=""),"",SUMIFS('Barang Keluar'!$E:$E,'Barang Keluar'!$A:$A,M7834,'Barang Keluar'!$C:$C,N7834))</f>
        <v>0</v>
      </c>
    </row>
    <row r="7835" spans="13:16">
      <c r="M7835" s="49">
        <f>IF($A$4+78&gt;$B$4,"",$A$4+78)</f>
        <v>46101</v>
      </c>
      <c r="N7835" t="str">
        <f>IF(M7835="","",'Master Barang'!A29)</f>
        <v>PRL-028</v>
      </c>
      <c r="O7835" t="str">
        <f>IF(N7835="","",'Master Barang'!B29)</f>
        <v>ctik plastik 7x10 100 pcs</v>
      </c>
      <c r="P7835">
        <f>IF(OR(M7835="",N7835=""),"",SUMIFS('Barang Keluar'!$E:$E,'Barang Keluar'!$A:$A,M7835,'Barang Keluar'!$C:$C,N7835))</f>
        <v>0</v>
      </c>
    </row>
    <row r="7836" spans="13:16">
      <c r="M7836" s="49">
        <f>IF($A$4+78&gt;$B$4,"",$A$4+78)</f>
        <v>46101</v>
      </c>
      <c r="N7836" t="str">
        <f>IF(M7836="","",'Master Barang'!A30)</f>
        <v>PRL-029</v>
      </c>
      <c r="O7836" t="str">
        <f>IF(N7836="","",'Master Barang'!B30)</f>
        <v>ctik plastik 6x10 100 pcs</v>
      </c>
      <c r="P7836">
        <f>IF(OR(M7836="",N7836=""),"",SUMIFS('Barang Keluar'!$E:$E,'Barang Keluar'!$A:$A,M7836,'Barang Keluar'!$C:$C,N7836))</f>
        <v>0</v>
      </c>
    </row>
    <row r="7837" spans="13:16">
      <c r="M7837" s="49">
        <f>IF($A$4+78&gt;$B$4,"",$A$4+78)</f>
        <v>46101</v>
      </c>
      <c r="N7837" t="str">
        <f>IF(M7837="","",'Master Barang'!A31)</f>
        <v>PRL-030</v>
      </c>
      <c r="O7837" t="str">
        <f>IF(N7837="","",'Master Barang'!B31)</f>
        <v>klip plastik 25x16 100 pcs</v>
      </c>
      <c r="P7837">
        <f>IF(OR(M7837="",N7837=""),"",SUMIFS('Barang Keluar'!$E:$E,'Barang Keluar'!$A:$A,M7837,'Barang Keluar'!$C:$C,N7837))</f>
        <v>0</v>
      </c>
    </row>
    <row r="7838" spans="13:16">
      <c r="M7838" s="49">
        <f>IF($A$4+78&gt;$B$4,"",$A$4+78)</f>
        <v>46101</v>
      </c>
      <c r="N7838" t="str">
        <f>IF(M7838="","",'Master Barang'!A32)</f>
        <v>PRL-031</v>
      </c>
      <c r="O7838" t="str">
        <f>IF(N7838="","",'Master Barang'!B32)</f>
        <v>tempat saus 20 ml</v>
      </c>
      <c r="P7838">
        <f>IF(OR(M7838="",N7838=""),"",SUMIFS('Barang Keluar'!$E:$E,'Barang Keluar'!$A:$A,M7838,'Barang Keluar'!$C:$C,N7838))</f>
        <v>0</v>
      </c>
    </row>
    <row r="7839" spans="13:16">
      <c r="M7839" s="49">
        <f>IF($A$4+78&gt;$B$4,"",$A$4+78)</f>
        <v>46101</v>
      </c>
      <c r="N7839" t="str">
        <f>IF(M7839="","",'Master Barang'!A33)</f>
        <v>PRL-032</v>
      </c>
      <c r="O7839" t="str">
        <f>IF(N7839="","",'Master Barang'!B33)</f>
        <v>plastik packaging ag box uk sedang</v>
      </c>
      <c r="P7839">
        <f>IF(OR(M7839="",N7839=""),"",SUMIFS('Barang Keluar'!$E:$E,'Barang Keluar'!$A:$A,M7839,'Barang Keluar'!$C:$C,N7839))</f>
        <v>0</v>
      </c>
    </row>
    <row r="7840" spans="13:16">
      <c r="M7840" s="49">
        <f>IF($A$4+78&gt;$B$4,"",$A$4+78)</f>
        <v>46101</v>
      </c>
      <c r="N7840" t="str">
        <f>IF(M7840="","",'Master Barang'!A34)</f>
        <v>PRL-033</v>
      </c>
      <c r="O7840">
        <f>IF(N7840="","",'Master Barang'!B34)</f>
        <v>0</v>
      </c>
      <c r="P7840">
        <f>IF(OR(M7840="",N7840=""),"",SUMIFS('Barang Keluar'!$E:$E,'Barang Keluar'!$A:$A,M7840,'Barang Keluar'!$C:$C,N7840))</f>
        <v>0</v>
      </c>
    </row>
    <row r="7841" spans="13:16">
      <c r="M7841" s="49">
        <f>IF($A$4+78&gt;$B$4,"",$A$4+78)</f>
        <v>46101</v>
      </c>
      <c r="N7841">
        <f>IF(M7841="","",'Master Barang'!A35)</f>
        <v>0</v>
      </c>
      <c r="O7841">
        <f>IF(N7841="","",'Master Barang'!B35)</f>
        <v>0</v>
      </c>
      <c r="P7841">
        <f>IF(OR(M7841="",N7841=""),"",SUMIFS('Barang Keluar'!$E:$E,'Barang Keluar'!$A:$A,M7841,'Barang Keluar'!$C:$C,N7841))</f>
        <v>0</v>
      </c>
    </row>
    <row r="7842" spans="13:16">
      <c r="M7842" s="49">
        <f>IF($A$4+78&gt;$B$4,"",$A$4+78)</f>
        <v>46101</v>
      </c>
      <c r="N7842">
        <f>IF(M7842="","",'Master Barang'!A36)</f>
        <v>0</v>
      </c>
      <c r="O7842">
        <f>IF(N7842="","",'Master Barang'!B36)</f>
        <v>0</v>
      </c>
      <c r="P7842">
        <f>IF(OR(M7842="",N7842=""),"",SUMIFS('Barang Keluar'!$E:$E,'Barang Keluar'!$A:$A,M7842,'Barang Keluar'!$C:$C,N7842))</f>
        <v>0</v>
      </c>
    </row>
    <row r="7843" spans="13:16">
      <c r="M7843" s="49">
        <f>IF($A$4+78&gt;$B$4,"",$A$4+78)</f>
        <v>46101</v>
      </c>
      <c r="N7843">
        <f>IF(M7843="","",'Master Barang'!A37)</f>
        <v>0</v>
      </c>
      <c r="O7843">
        <f>IF(N7843="","",'Master Barang'!B37)</f>
        <v>0</v>
      </c>
      <c r="P7843">
        <f>IF(OR(M7843="",N7843=""),"",SUMIFS('Barang Keluar'!$E:$E,'Barang Keluar'!$A:$A,M7843,'Barang Keluar'!$C:$C,N7843))</f>
        <v>0</v>
      </c>
    </row>
    <row r="7844" spans="13:16">
      <c r="M7844" s="49">
        <f>IF($A$4+78&gt;$B$4,"",$A$4+78)</f>
        <v>46101</v>
      </c>
      <c r="N7844">
        <f>IF(M7844="","",'Master Barang'!A38)</f>
        <v>0</v>
      </c>
      <c r="O7844">
        <f>IF(N7844="","",'Master Barang'!B38)</f>
        <v>0</v>
      </c>
      <c r="P7844">
        <f>IF(OR(M7844="",N7844=""),"",SUMIFS('Barang Keluar'!$E:$E,'Barang Keluar'!$A:$A,M7844,'Barang Keluar'!$C:$C,N7844))</f>
        <v>0</v>
      </c>
    </row>
    <row r="7845" spans="13:16">
      <c r="M7845" s="49">
        <f>IF($A$4+78&gt;$B$4,"",$A$4+78)</f>
        <v>46101</v>
      </c>
      <c r="N7845">
        <f>IF(M7845="","",'Master Barang'!A39)</f>
        <v>0</v>
      </c>
      <c r="O7845">
        <f>IF(N7845="","",'Master Barang'!B39)</f>
        <v>0</v>
      </c>
      <c r="P7845">
        <f>IF(OR(M7845="",N7845=""),"",SUMIFS('Barang Keluar'!$E:$E,'Barang Keluar'!$A:$A,M7845,'Barang Keluar'!$C:$C,N7845))</f>
        <v>0</v>
      </c>
    </row>
    <row r="7846" spans="13:16">
      <c r="M7846" s="49">
        <f>IF($A$4+78&gt;$B$4,"",$A$4+78)</f>
        <v>46101</v>
      </c>
      <c r="N7846">
        <f>IF(M7846="","",'Master Barang'!A40)</f>
        <v>0</v>
      </c>
      <c r="O7846">
        <f>IF(N7846="","",'Master Barang'!B40)</f>
        <v>0</v>
      </c>
      <c r="P7846">
        <f>IF(OR(M7846="",N7846=""),"",SUMIFS('Barang Keluar'!$E:$E,'Barang Keluar'!$A:$A,M7846,'Barang Keluar'!$C:$C,N7846))</f>
        <v>0</v>
      </c>
    </row>
    <row r="7847" spans="13:16">
      <c r="M7847" s="49">
        <f>IF($A$4+78&gt;$B$4,"",$A$4+78)</f>
        <v>46101</v>
      </c>
      <c r="N7847">
        <f>IF(M7847="","",'Master Barang'!A41)</f>
        <v>0</v>
      </c>
      <c r="O7847">
        <f>IF(N7847="","",'Master Barang'!B41)</f>
        <v>0</v>
      </c>
      <c r="P7847">
        <f>IF(OR(M7847="",N7847=""),"",SUMIFS('Barang Keluar'!$E:$E,'Barang Keluar'!$A:$A,M7847,'Barang Keluar'!$C:$C,N7847))</f>
        <v>0</v>
      </c>
    </row>
    <row r="7848" spans="13:16">
      <c r="M7848" s="49">
        <f>IF($A$4+78&gt;$B$4,"",$A$4+78)</f>
        <v>46101</v>
      </c>
      <c r="N7848">
        <f>IF(M7848="","",'Master Barang'!A42)</f>
        <v>0</v>
      </c>
      <c r="O7848">
        <f>IF(N7848="","",'Master Barang'!B42)</f>
        <v>0</v>
      </c>
      <c r="P7848">
        <f>IF(OR(M7848="",N7848=""),"",SUMIFS('Barang Keluar'!$E:$E,'Barang Keluar'!$A:$A,M7848,'Barang Keluar'!$C:$C,N7848))</f>
        <v>0</v>
      </c>
    </row>
    <row r="7849" spans="13:16">
      <c r="M7849" s="49">
        <f>IF($A$4+78&gt;$B$4,"",$A$4+78)</f>
        <v>46101</v>
      </c>
      <c r="N7849">
        <f>IF(M7849="","",'Master Barang'!A43)</f>
        <v>0</v>
      </c>
      <c r="O7849">
        <f>IF(N7849="","",'Master Barang'!B43)</f>
        <v>0</v>
      </c>
      <c r="P7849">
        <f>IF(OR(M7849="",N7849=""),"",SUMIFS('Barang Keluar'!$E:$E,'Barang Keluar'!$A:$A,M7849,'Barang Keluar'!$C:$C,N7849))</f>
        <v>0</v>
      </c>
    </row>
    <row r="7850" spans="13:16">
      <c r="M7850" s="49">
        <f>IF($A$4+78&gt;$B$4,"",$A$4+78)</f>
        <v>46101</v>
      </c>
      <c r="N7850">
        <f>IF(M7850="","",'Master Barang'!A44)</f>
        <v>0</v>
      </c>
      <c r="O7850">
        <f>IF(N7850="","",'Master Barang'!B44)</f>
        <v>0</v>
      </c>
      <c r="P7850">
        <f>IF(OR(M7850="",N7850=""),"",SUMIFS('Barang Keluar'!$E:$E,'Barang Keluar'!$A:$A,M7850,'Barang Keluar'!$C:$C,N7850))</f>
        <v>0</v>
      </c>
    </row>
    <row r="7851" spans="13:16">
      <c r="M7851" s="49">
        <f>IF($A$4+78&gt;$B$4,"",$A$4+78)</f>
        <v>46101</v>
      </c>
      <c r="N7851">
        <f>IF(M7851="","",'Master Barang'!A45)</f>
        <v>0</v>
      </c>
      <c r="O7851">
        <f>IF(N7851="","",'Master Barang'!B45)</f>
        <v>0</v>
      </c>
      <c r="P7851">
        <f>IF(OR(M7851="",N7851=""),"",SUMIFS('Barang Keluar'!$E:$E,'Barang Keluar'!$A:$A,M7851,'Barang Keluar'!$C:$C,N7851))</f>
        <v>0</v>
      </c>
    </row>
    <row r="7852" spans="13:16">
      <c r="M7852" s="49">
        <f>IF($A$4+78&gt;$B$4,"",$A$4+78)</f>
        <v>46101</v>
      </c>
      <c r="N7852">
        <f>IF(M7852="","",'Master Barang'!A46)</f>
        <v>0</v>
      </c>
      <c r="O7852">
        <f>IF(N7852="","",'Master Barang'!B46)</f>
        <v>0</v>
      </c>
      <c r="P7852">
        <f>IF(OR(M7852="",N7852=""),"",SUMIFS('Barang Keluar'!$E:$E,'Barang Keluar'!$A:$A,M7852,'Barang Keluar'!$C:$C,N7852))</f>
        <v>0</v>
      </c>
    </row>
    <row r="7853" spans="13:16">
      <c r="M7853" s="49">
        <f>IF($A$4+78&gt;$B$4,"",$A$4+78)</f>
        <v>46101</v>
      </c>
      <c r="N7853">
        <f>IF(M7853="","",'Master Barang'!A47)</f>
        <v>0</v>
      </c>
      <c r="O7853">
        <f>IF(N7853="","",'Master Barang'!B47)</f>
        <v>0</v>
      </c>
      <c r="P7853">
        <f>IF(OR(M7853="",N7853=""),"",SUMIFS('Barang Keluar'!$E:$E,'Barang Keluar'!$A:$A,M7853,'Barang Keluar'!$C:$C,N7853))</f>
        <v>0</v>
      </c>
    </row>
    <row r="7854" spans="13:16">
      <c r="M7854" s="49">
        <f>IF($A$4+78&gt;$B$4,"",$A$4+78)</f>
        <v>46101</v>
      </c>
      <c r="N7854">
        <f>IF(M7854="","",'Master Barang'!A48)</f>
        <v>0</v>
      </c>
      <c r="O7854">
        <f>IF(N7854="","",'Master Barang'!B48)</f>
        <v>0</v>
      </c>
      <c r="P7854">
        <f>IF(OR(M7854="",N7854=""),"",SUMIFS('Barang Keluar'!$E:$E,'Barang Keluar'!$A:$A,M7854,'Barang Keluar'!$C:$C,N7854))</f>
        <v>0</v>
      </c>
    </row>
    <row r="7855" spans="13:16">
      <c r="M7855" s="49">
        <f>IF($A$4+78&gt;$B$4,"",$A$4+78)</f>
        <v>46101</v>
      </c>
      <c r="N7855">
        <f>IF(M7855="","",'Master Barang'!A49)</f>
        <v>0</v>
      </c>
      <c r="O7855">
        <f>IF(N7855="","",'Master Barang'!B49)</f>
        <v>0</v>
      </c>
      <c r="P7855">
        <f>IF(OR(M7855="",N7855=""),"",SUMIFS('Barang Keluar'!$E:$E,'Barang Keluar'!$A:$A,M7855,'Barang Keluar'!$C:$C,N7855))</f>
        <v>0</v>
      </c>
    </row>
    <row r="7856" spans="13:16">
      <c r="M7856" s="49">
        <f>IF($A$4+78&gt;$B$4,"",$A$4+78)</f>
        <v>46101</v>
      </c>
      <c r="N7856">
        <f>IF(M7856="","",'Master Barang'!A50)</f>
        <v>0</v>
      </c>
      <c r="O7856">
        <f>IF(N7856="","",'Master Barang'!B50)</f>
        <v>0</v>
      </c>
      <c r="P7856">
        <f>IF(OR(M7856="",N7856=""),"",SUMIFS('Barang Keluar'!$E:$E,'Barang Keluar'!$A:$A,M7856,'Barang Keluar'!$C:$C,N7856))</f>
        <v>0</v>
      </c>
    </row>
    <row r="7857" spans="13:16">
      <c r="M7857" s="49">
        <f>IF($A$4+78&gt;$B$4,"",$A$4+78)</f>
        <v>46101</v>
      </c>
      <c r="N7857">
        <f>IF(M7857="","",'Master Barang'!A51)</f>
        <v>0</v>
      </c>
      <c r="O7857">
        <f>IF(N7857="","",'Master Barang'!B51)</f>
        <v>0</v>
      </c>
      <c r="P7857">
        <f>IF(OR(M7857="",N7857=""),"",SUMIFS('Barang Keluar'!$E:$E,'Barang Keluar'!$A:$A,M7857,'Barang Keluar'!$C:$C,N7857))</f>
        <v>0</v>
      </c>
    </row>
    <row r="7858" spans="13:16">
      <c r="M7858" s="49">
        <f>IF($A$4+78&gt;$B$4,"",$A$4+78)</f>
        <v>46101</v>
      </c>
      <c r="N7858">
        <f>IF(M7858="","",'Master Barang'!A52)</f>
        <v>0</v>
      </c>
      <c r="O7858">
        <f>IF(N7858="","",'Master Barang'!B52)</f>
        <v>0</v>
      </c>
      <c r="P7858">
        <f>IF(OR(M7858="",N7858=""),"",SUMIFS('Barang Keluar'!$E:$E,'Barang Keluar'!$A:$A,M7858,'Barang Keluar'!$C:$C,N7858))</f>
        <v>0</v>
      </c>
    </row>
    <row r="7859" spans="13:16">
      <c r="M7859" s="49">
        <f>IF($A$4+78&gt;$B$4,"",$A$4+78)</f>
        <v>46101</v>
      </c>
      <c r="N7859">
        <f>IF(M7859="","",'Master Barang'!A53)</f>
        <v>0</v>
      </c>
      <c r="O7859">
        <f>IF(N7859="","",'Master Barang'!B53)</f>
        <v>0</v>
      </c>
      <c r="P7859">
        <f>IF(OR(M7859="",N7859=""),"",SUMIFS('Barang Keluar'!$E:$E,'Barang Keluar'!$A:$A,M7859,'Barang Keluar'!$C:$C,N7859))</f>
        <v>0</v>
      </c>
    </row>
    <row r="7860" spans="13:16">
      <c r="M7860" s="49">
        <f>IF($A$4+78&gt;$B$4,"",$A$4+78)</f>
        <v>46101</v>
      </c>
      <c r="N7860">
        <f>IF(M7860="","",'Master Barang'!A54)</f>
        <v>0</v>
      </c>
      <c r="O7860">
        <f>IF(N7860="","",'Master Barang'!B54)</f>
        <v>0</v>
      </c>
      <c r="P7860">
        <f>IF(OR(M7860="",N7860=""),"",SUMIFS('Barang Keluar'!$E:$E,'Barang Keluar'!$A:$A,M7860,'Barang Keluar'!$C:$C,N7860))</f>
        <v>0</v>
      </c>
    </row>
    <row r="7861" spans="13:16">
      <c r="M7861" s="49">
        <f>IF($A$4+78&gt;$B$4,"",$A$4+78)</f>
        <v>46101</v>
      </c>
      <c r="N7861">
        <f>IF(M7861="","",'Master Barang'!A55)</f>
        <v>0</v>
      </c>
      <c r="O7861">
        <f>IF(N7861="","",'Master Barang'!B55)</f>
        <v>0</v>
      </c>
      <c r="P7861">
        <f>IF(OR(M7861="",N7861=""),"",SUMIFS('Barang Keluar'!$E:$E,'Barang Keluar'!$A:$A,M7861,'Barang Keluar'!$C:$C,N7861))</f>
        <v>0</v>
      </c>
    </row>
    <row r="7862" spans="13:16">
      <c r="M7862" s="49">
        <f>IF($A$4+78&gt;$B$4,"",$A$4+78)</f>
        <v>46101</v>
      </c>
      <c r="N7862">
        <f>IF(M7862="","",'Master Barang'!A56)</f>
        <v>0</v>
      </c>
      <c r="O7862">
        <f>IF(N7862="","",'Master Barang'!B56)</f>
        <v>0</v>
      </c>
      <c r="P7862">
        <f>IF(OR(M7862="",N7862=""),"",SUMIFS('Barang Keluar'!$E:$E,'Barang Keluar'!$A:$A,M7862,'Barang Keluar'!$C:$C,N7862))</f>
        <v>0</v>
      </c>
    </row>
    <row r="7863" spans="13:16">
      <c r="M7863" s="49">
        <f>IF($A$4+78&gt;$B$4,"",$A$4+78)</f>
        <v>46101</v>
      </c>
      <c r="N7863">
        <f>IF(M7863="","",'Master Barang'!A57)</f>
        <v>0</v>
      </c>
      <c r="O7863">
        <f>IF(N7863="","",'Master Barang'!B57)</f>
        <v>0</v>
      </c>
      <c r="P7863">
        <f>IF(OR(M7863="",N7863=""),"",SUMIFS('Barang Keluar'!$E:$E,'Barang Keluar'!$A:$A,M7863,'Barang Keluar'!$C:$C,N7863))</f>
        <v>0</v>
      </c>
    </row>
    <row r="7864" spans="13:16">
      <c r="M7864" s="49">
        <f>IF($A$4+78&gt;$B$4,"",$A$4+78)</f>
        <v>46101</v>
      </c>
      <c r="N7864">
        <f>IF(M7864="","",'Master Barang'!A58)</f>
        <v>0</v>
      </c>
      <c r="O7864">
        <f>IF(N7864="","",'Master Barang'!B58)</f>
        <v>0</v>
      </c>
      <c r="P7864">
        <f>IF(OR(M7864="",N7864=""),"",SUMIFS('Barang Keluar'!$E:$E,'Barang Keluar'!$A:$A,M7864,'Barang Keluar'!$C:$C,N7864))</f>
        <v>0</v>
      </c>
    </row>
    <row r="7865" spans="13:16">
      <c r="M7865" s="49">
        <f>IF($A$4+78&gt;$B$4,"",$A$4+78)</f>
        <v>46101</v>
      </c>
      <c r="N7865">
        <f>IF(M7865="","",'Master Barang'!A59)</f>
        <v>0</v>
      </c>
      <c r="O7865">
        <f>IF(N7865="","",'Master Barang'!B59)</f>
        <v>0</v>
      </c>
      <c r="P7865">
        <f>IF(OR(M7865="",N7865=""),"",SUMIFS('Barang Keluar'!$E:$E,'Barang Keluar'!$A:$A,M7865,'Barang Keluar'!$C:$C,N7865))</f>
        <v>0</v>
      </c>
    </row>
    <row r="7866" spans="13:16">
      <c r="M7866" s="49">
        <f>IF($A$4+78&gt;$B$4,"",$A$4+78)</f>
        <v>46101</v>
      </c>
      <c r="N7866">
        <f>IF(M7866="","",'Master Barang'!A60)</f>
        <v>0</v>
      </c>
      <c r="O7866">
        <f>IF(N7866="","",'Master Barang'!B60)</f>
        <v>0</v>
      </c>
      <c r="P7866">
        <f>IF(OR(M7866="",N7866=""),"",SUMIFS('Barang Keluar'!$E:$E,'Barang Keluar'!$A:$A,M7866,'Barang Keluar'!$C:$C,N7866))</f>
        <v>0</v>
      </c>
    </row>
    <row r="7867" spans="13:16">
      <c r="M7867" s="49">
        <f>IF($A$4+78&gt;$B$4,"",$A$4+78)</f>
        <v>46101</v>
      </c>
      <c r="N7867">
        <f>IF(M7867="","",'Master Barang'!A61)</f>
        <v>0</v>
      </c>
      <c r="O7867">
        <f>IF(N7867="","",'Master Barang'!B61)</f>
        <v>0</v>
      </c>
      <c r="P7867">
        <f>IF(OR(M7867="",N7867=""),"",SUMIFS('Barang Keluar'!$E:$E,'Barang Keluar'!$A:$A,M7867,'Barang Keluar'!$C:$C,N7867))</f>
        <v>0</v>
      </c>
    </row>
    <row r="7868" spans="13:16">
      <c r="M7868" s="49">
        <f>IF($A$4+78&gt;$B$4,"",$A$4+78)</f>
        <v>46101</v>
      </c>
      <c r="N7868">
        <f>IF(M7868="","",'Master Barang'!A62)</f>
        <v>0</v>
      </c>
      <c r="O7868">
        <f>IF(N7868="","",'Master Barang'!B62)</f>
        <v>0</v>
      </c>
      <c r="P7868">
        <f>IF(OR(M7868="",N7868=""),"",SUMIFS('Barang Keluar'!$E:$E,'Barang Keluar'!$A:$A,M7868,'Barang Keluar'!$C:$C,N7868))</f>
        <v>0</v>
      </c>
    </row>
    <row r="7869" spans="13:16">
      <c r="M7869" s="49">
        <f>IF($A$4+78&gt;$B$4,"",$A$4+78)</f>
        <v>46101</v>
      </c>
      <c r="N7869">
        <f>IF(M7869="","",'Master Barang'!A63)</f>
        <v>0</v>
      </c>
      <c r="O7869">
        <f>IF(N7869="","",'Master Barang'!B63)</f>
        <v>0</v>
      </c>
      <c r="P7869">
        <f>IF(OR(M7869="",N7869=""),"",SUMIFS('Barang Keluar'!$E:$E,'Barang Keluar'!$A:$A,M7869,'Barang Keluar'!$C:$C,N7869))</f>
        <v>0</v>
      </c>
    </row>
    <row r="7870" spans="13:16">
      <c r="M7870" s="49">
        <f>IF($A$4+78&gt;$B$4,"",$A$4+78)</f>
        <v>46101</v>
      </c>
      <c r="N7870">
        <f>IF(M7870="","",'Master Barang'!A64)</f>
        <v>0</v>
      </c>
      <c r="O7870">
        <f>IF(N7870="","",'Master Barang'!B64)</f>
        <v>0</v>
      </c>
      <c r="P7870">
        <f>IF(OR(M7870="",N7870=""),"",SUMIFS('Barang Keluar'!$E:$E,'Barang Keluar'!$A:$A,M7870,'Barang Keluar'!$C:$C,N7870))</f>
        <v>0</v>
      </c>
    </row>
    <row r="7871" spans="13:16">
      <c r="M7871" s="49">
        <f>IF($A$4+78&gt;$B$4,"",$A$4+78)</f>
        <v>46101</v>
      </c>
      <c r="N7871">
        <f>IF(M7871="","",'Master Barang'!A65)</f>
        <v>0</v>
      </c>
      <c r="O7871">
        <f>IF(N7871="","",'Master Barang'!B65)</f>
        <v>0</v>
      </c>
      <c r="P7871">
        <f>IF(OR(M7871="",N7871=""),"",SUMIFS('Barang Keluar'!$E:$E,'Barang Keluar'!$A:$A,M7871,'Barang Keluar'!$C:$C,N7871))</f>
        <v>0</v>
      </c>
    </row>
    <row r="7872" spans="13:16">
      <c r="M7872" s="49">
        <f>IF($A$4+78&gt;$B$4,"",$A$4+78)</f>
        <v>46101</v>
      </c>
      <c r="N7872">
        <f>IF(M7872="","",'Master Barang'!A66)</f>
        <v>0</v>
      </c>
      <c r="O7872">
        <f>IF(N7872="","",'Master Barang'!B66)</f>
        <v>0</v>
      </c>
      <c r="P7872">
        <f>IF(OR(M7872="",N7872=""),"",SUMIFS('Barang Keluar'!$E:$E,'Barang Keluar'!$A:$A,M7872,'Barang Keluar'!$C:$C,N7872))</f>
        <v>0</v>
      </c>
    </row>
    <row r="7873" spans="13:16">
      <c r="M7873" s="49">
        <f>IF($A$4+78&gt;$B$4,"",$A$4+78)</f>
        <v>46101</v>
      </c>
      <c r="N7873">
        <f>IF(M7873="","",'Master Barang'!A67)</f>
        <v>0</v>
      </c>
      <c r="O7873">
        <f>IF(N7873="","",'Master Barang'!B67)</f>
        <v>0</v>
      </c>
      <c r="P7873">
        <f>IF(OR(M7873="",N7873=""),"",SUMIFS('Barang Keluar'!$E:$E,'Barang Keluar'!$A:$A,M7873,'Barang Keluar'!$C:$C,N7873))</f>
        <v>0</v>
      </c>
    </row>
    <row r="7874" spans="13:16">
      <c r="M7874" s="49">
        <f>IF($A$4+78&gt;$B$4,"",$A$4+78)</f>
        <v>46101</v>
      </c>
      <c r="N7874">
        <f>IF(M7874="","",'Master Barang'!A68)</f>
        <v>0</v>
      </c>
      <c r="O7874">
        <f>IF(N7874="","",'Master Barang'!B68)</f>
        <v>0</v>
      </c>
      <c r="P7874">
        <f>IF(OR(M7874="",N7874=""),"",SUMIFS('Barang Keluar'!$E:$E,'Barang Keluar'!$A:$A,M7874,'Barang Keluar'!$C:$C,N7874))</f>
        <v>0</v>
      </c>
    </row>
    <row r="7875" spans="13:16">
      <c r="M7875" s="49">
        <f>IF($A$4+78&gt;$B$4,"",$A$4+78)</f>
        <v>46101</v>
      </c>
      <c r="N7875">
        <f>IF(M7875="","",'Master Barang'!A69)</f>
        <v>0</v>
      </c>
      <c r="O7875">
        <f>IF(N7875="","",'Master Barang'!B69)</f>
        <v>0</v>
      </c>
      <c r="P7875">
        <f>IF(OR(M7875="",N7875=""),"",SUMIFS('Barang Keluar'!$E:$E,'Barang Keluar'!$A:$A,M7875,'Barang Keluar'!$C:$C,N7875))</f>
        <v>0</v>
      </c>
    </row>
    <row r="7876" spans="13:16">
      <c r="M7876" s="49">
        <f>IF($A$4+78&gt;$B$4,"",$A$4+78)</f>
        <v>46101</v>
      </c>
      <c r="N7876">
        <f>IF(M7876="","",'Master Barang'!A70)</f>
        <v>0</v>
      </c>
      <c r="O7876">
        <f>IF(N7876="","",'Master Barang'!B70)</f>
        <v>0</v>
      </c>
      <c r="P7876">
        <f>IF(OR(M7876="",N7876=""),"",SUMIFS('Barang Keluar'!$E:$E,'Barang Keluar'!$A:$A,M7876,'Barang Keluar'!$C:$C,N7876))</f>
        <v>0</v>
      </c>
    </row>
    <row r="7877" spans="13:16">
      <c r="M7877" s="49">
        <f>IF($A$4+78&gt;$B$4,"",$A$4+78)</f>
        <v>46101</v>
      </c>
      <c r="N7877">
        <f>IF(M7877="","",'Master Barang'!A71)</f>
        <v>0</v>
      </c>
      <c r="O7877">
        <f>IF(N7877="","",'Master Barang'!B71)</f>
        <v>0</v>
      </c>
      <c r="P7877">
        <f>IF(OR(M7877="",N7877=""),"",SUMIFS('Barang Keluar'!$E:$E,'Barang Keluar'!$A:$A,M7877,'Barang Keluar'!$C:$C,N7877))</f>
        <v>0</v>
      </c>
    </row>
    <row r="7878" spans="13:16">
      <c r="M7878" s="49">
        <f>IF($A$4+78&gt;$B$4,"",$A$4+78)</f>
        <v>46101</v>
      </c>
      <c r="N7878">
        <f>IF(M7878="","",'Master Barang'!A72)</f>
        <v>0</v>
      </c>
      <c r="O7878">
        <f>IF(N7878="","",'Master Barang'!B72)</f>
        <v>0</v>
      </c>
      <c r="P7878">
        <f>IF(OR(M7878="",N7878=""),"",SUMIFS('Barang Keluar'!$E:$E,'Barang Keluar'!$A:$A,M7878,'Barang Keluar'!$C:$C,N7878))</f>
        <v>0</v>
      </c>
    </row>
    <row r="7879" spans="13:16">
      <c r="M7879" s="49">
        <f>IF($A$4+78&gt;$B$4,"",$A$4+78)</f>
        <v>46101</v>
      </c>
      <c r="N7879">
        <f>IF(M7879="","",'Master Barang'!A73)</f>
        <v>0</v>
      </c>
      <c r="O7879">
        <f>IF(N7879="","",'Master Barang'!B73)</f>
        <v>0</v>
      </c>
      <c r="P7879">
        <f>IF(OR(M7879="",N7879=""),"",SUMIFS('Barang Keluar'!$E:$E,'Barang Keluar'!$A:$A,M7879,'Barang Keluar'!$C:$C,N7879))</f>
        <v>0</v>
      </c>
    </row>
    <row r="7880" spans="13:16">
      <c r="M7880" s="49">
        <f>IF($A$4+78&gt;$B$4,"",$A$4+78)</f>
        <v>46101</v>
      </c>
      <c r="N7880">
        <f>IF(M7880="","",'Master Barang'!A74)</f>
        <v>0</v>
      </c>
      <c r="O7880">
        <f>IF(N7880="","",'Master Barang'!B74)</f>
        <v>0</v>
      </c>
      <c r="P7880">
        <f>IF(OR(M7880="",N7880=""),"",SUMIFS('Barang Keluar'!$E:$E,'Barang Keluar'!$A:$A,M7880,'Barang Keluar'!$C:$C,N7880))</f>
        <v>0</v>
      </c>
    </row>
    <row r="7881" spans="13:16">
      <c r="M7881" s="49">
        <f>IF($A$4+78&gt;$B$4,"",$A$4+78)</f>
        <v>46101</v>
      </c>
      <c r="N7881">
        <f>IF(M7881="","",'Master Barang'!A75)</f>
        <v>0</v>
      </c>
      <c r="O7881">
        <f>IF(N7881="","",'Master Barang'!B75)</f>
        <v>0</v>
      </c>
      <c r="P7881">
        <f>IF(OR(M7881="",N7881=""),"",SUMIFS('Barang Keluar'!$E:$E,'Barang Keluar'!$A:$A,M7881,'Barang Keluar'!$C:$C,N7881))</f>
        <v>0</v>
      </c>
    </row>
    <row r="7882" spans="13:16">
      <c r="M7882" s="49">
        <f>IF($A$4+78&gt;$B$4,"",$A$4+78)</f>
        <v>46101</v>
      </c>
      <c r="N7882">
        <f>IF(M7882="","",'Master Barang'!A76)</f>
        <v>0</v>
      </c>
      <c r="O7882">
        <f>IF(N7882="","",'Master Barang'!B76)</f>
        <v>0</v>
      </c>
      <c r="P7882">
        <f>IF(OR(M7882="",N7882=""),"",SUMIFS('Barang Keluar'!$E:$E,'Barang Keluar'!$A:$A,M7882,'Barang Keluar'!$C:$C,N7882))</f>
        <v>0</v>
      </c>
    </row>
    <row r="7883" spans="13:16">
      <c r="M7883" s="49">
        <f>IF($A$4+78&gt;$B$4,"",$A$4+78)</f>
        <v>46101</v>
      </c>
      <c r="N7883">
        <f>IF(M7883="","",'Master Barang'!A77)</f>
        <v>0</v>
      </c>
      <c r="O7883">
        <f>IF(N7883="","",'Master Barang'!B77)</f>
        <v>0</v>
      </c>
      <c r="P7883">
        <f>IF(OR(M7883="",N7883=""),"",SUMIFS('Barang Keluar'!$E:$E,'Barang Keluar'!$A:$A,M7883,'Barang Keluar'!$C:$C,N7883))</f>
        <v>0</v>
      </c>
    </row>
    <row r="7884" spans="13:16">
      <c r="M7884" s="49">
        <f>IF($A$4+78&gt;$B$4,"",$A$4+78)</f>
        <v>46101</v>
      </c>
      <c r="N7884">
        <f>IF(M7884="","",'Master Barang'!A78)</f>
        <v>0</v>
      </c>
      <c r="O7884">
        <f>IF(N7884="","",'Master Barang'!B78)</f>
        <v>0</v>
      </c>
      <c r="P7884">
        <f>IF(OR(M7884="",N7884=""),"",SUMIFS('Barang Keluar'!$E:$E,'Barang Keluar'!$A:$A,M7884,'Barang Keluar'!$C:$C,N7884))</f>
        <v>0</v>
      </c>
    </row>
    <row r="7885" spans="13:16">
      <c r="M7885" s="49">
        <f>IF($A$4+78&gt;$B$4,"",$A$4+78)</f>
        <v>46101</v>
      </c>
      <c r="N7885">
        <f>IF(M7885="","",'Master Barang'!A79)</f>
        <v>0</v>
      </c>
      <c r="O7885">
        <f>IF(N7885="","",'Master Barang'!B79)</f>
        <v>0</v>
      </c>
      <c r="P7885">
        <f>IF(OR(M7885="",N7885=""),"",SUMIFS('Barang Keluar'!$E:$E,'Barang Keluar'!$A:$A,M7885,'Barang Keluar'!$C:$C,N7885))</f>
        <v>0</v>
      </c>
    </row>
    <row r="7886" spans="13:16">
      <c r="M7886" s="49">
        <f>IF($A$4+78&gt;$B$4,"",$A$4+78)</f>
        <v>46101</v>
      </c>
      <c r="N7886">
        <f>IF(M7886="","",'Master Barang'!A80)</f>
        <v>0</v>
      </c>
      <c r="O7886">
        <f>IF(N7886="","",'Master Barang'!B80)</f>
        <v>0</v>
      </c>
      <c r="P7886">
        <f>IF(OR(M7886="",N7886=""),"",SUMIFS('Barang Keluar'!$E:$E,'Barang Keluar'!$A:$A,M7886,'Barang Keluar'!$C:$C,N7886))</f>
        <v>0</v>
      </c>
    </row>
    <row r="7887" spans="13:16">
      <c r="M7887" s="49">
        <f>IF($A$4+78&gt;$B$4,"",$A$4+78)</f>
        <v>46101</v>
      </c>
      <c r="N7887">
        <f>IF(M7887="","",'Master Barang'!A81)</f>
        <v>0</v>
      </c>
      <c r="O7887">
        <f>IF(N7887="","",'Master Barang'!B81)</f>
        <v>0</v>
      </c>
      <c r="P7887">
        <f>IF(OR(M7887="",N7887=""),"",SUMIFS('Barang Keluar'!$E:$E,'Barang Keluar'!$A:$A,M7887,'Barang Keluar'!$C:$C,N7887))</f>
        <v>0</v>
      </c>
    </row>
    <row r="7888" spans="13:16">
      <c r="M7888" s="49">
        <f>IF($A$4+78&gt;$B$4,"",$A$4+78)</f>
        <v>46101</v>
      </c>
      <c r="N7888">
        <f>IF(M7888="","",'Master Barang'!A82)</f>
        <v>0</v>
      </c>
      <c r="O7888">
        <f>IF(N7888="","",'Master Barang'!B82)</f>
        <v>0</v>
      </c>
      <c r="P7888">
        <f>IF(OR(M7888="",N7888=""),"",SUMIFS('Barang Keluar'!$E:$E,'Barang Keluar'!$A:$A,M7888,'Barang Keluar'!$C:$C,N7888))</f>
        <v>0</v>
      </c>
    </row>
    <row r="7889" spans="13:16">
      <c r="M7889" s="49">
        <f>IF($A$4+78&gt;$B$4,"",$A$4+78)</f>
        <v>46101</v>
      </c>
      <c r="N7889">
        <f>IF(M7889="","",'Master Barang'!A83)</f>
        <v>0</v>
      </c>
      <c r="O7889">
        <f>IF(N7889="","",'Master Barang'!B83)</f>
        <v>0</v>
      </c>
      <c r="P7889">
        <f>IF(OR(M7889="",N7889=""),"",SUMIFS('Barang Keluar'!$E:$E,'Barang Keluar'!$A:$A,M7889,'Barang Keluar'!$C:$C,N7889))</f>
        <v>0</v>
      </c>
    </row>
    <row r="7890" spans="13:16">
      <c r="M7890" s="49">
        <f>IF($A$4+78&gt;$B$4,"",$A$4+78)</f>
        <v>46101</v>
      </c>
      <c r="N7890">
        <f>IF(M7890="","",'Master Barang'!A84)</f>
        <v>0</v>
      </c>
      <c r="O7890">
        <f>IF(N7890="","",'Master Barang'!B84)</f>
        <v>0</v>
      </c>
      <c r="P7890">
        <f>IF(OR(M7890="",N7890=""),"",SUMIFS('Barang Keluar'!$E:$E,'Barang Keluar'!$A:$A,M7890,'Barang Keluar'!$C:$C,N7890))</f>
        <v>0</v>
      </c>
    </row>
    <row r="7891" spans="13:16">
      <c r="M7891" s="49">
        <f>IF($A$4+78&gt;$B$4,"",$A$4+78)</f>
        <v>46101</v>
      </c>
      <c r="N7891">
        <f>IF(M7891="","",'Master Barang'!A85)</f>
        <v>0</v>
      </c>
      <c r="O7891">
        <f>IF(N7891="","",'Master Barang'!B85)</f>
        <v>0</v>
      </c>
      <c r="P7891">
        <f>IF(OR(M7891="",N7891=""),"",SUMIFS('Barang Keluar'!$E:$E,'Barang Keluar'!$A:$A,M7891,'Barang Keluar'!$C:$C,N7891))</f>
        <v>0</v>
      </c>
    </row>
    <row r="7892" spans="13:16">
      <c r="M7892" s="49">
        <f>IF($A$4+78&gt;$B$4,"",$A$4+78)</f>
        <v>46101</v>
      </c>
      <c r="N7892">
        <f>IF(M7892="","",'Master Barang'!A86)</f>
        <v>0</v>
      </c>
      <c r="O7892">
        <f>IF(N7892="","",'Master Barang'!B86)</f>
        <v>0</v>
      </c>
      <c r="P7892">
        <f>IF(OR(M7892="",N7892=""),"",SUMIFS('Barang Keluar'!$E:$E,'Barang Keluar'!$A:$A,M7892,'Barang Keluar'!$C:$C,N7892))</f>
        <v>0</v>
      </c>
    </row>
    <row r="7893" spans="13:16">
      <c r="M7893" s="49">
        <f>IF($A$4+78&gt;$B$4,"",$A$4+78)</f>
        <v>46101</v>
      </c>
      <c r="N7893">
        <f>IF(M7893="","",'Master Barang'!A87)</f>
        <v>0</v>
      </c>
      <c r="O7893">
        <f>IF(N7893="","",'Master Barang'!B87)</f>
        <v>0</v>
      </c>
      <c r="P7893">
        <f>IF(OR(M7893="",N7893=""),"",SUMIFS('Barang Keluar'!$E:$E,'Barang Keluar'!$A:$A,M7893,'Barang Keluar'!$C:$C,N7893))</f>
        <v>0</v>
      </c>
    </row>
    <row r="7894" spans="13:16">
      <c r="M7894" s="49">
        <f>IF($A$4+78&gt;$B$4,"",$A$4+78)</f>
        <v>46101</v>
      </c>
      <c r="N7894">
        <f>IF(M7894="","",'Master Barang'!A88)</f>
        <v>0</v>
      </c>
      <c r="O7894">
        <f>IF(N7894="","",'Master Barang'!B88)</f>
        <v>0</v>
      </c>
      <c r="P7894">
        <f>IF(OR(M7894="",N7894=""),"",SUMIFS('Barang Keluar'!$E:$E,'Barang Keluar'!$A:$A,M7894,'Barang Keluar'!$C:$C,N7894))</f>
        <v>0</v>
      </c>
    </row>
    <row r="7895" spans="13:16">
      <c r="M7895" s="49">
        <f>IF($A$4+78&gt;$B$4,"",$A$4+78)</f>
        <v>46101</v>
      </c>
      <c r="N7895">
        <f>IF(M7895="","",'Master Barang'!A89)</f>
        <v>0</v>
      </c>
      <c r="O7895">
        <f>IF(N7895="","",'Master Barang'!B89)</f>
        <v>0</v>
      </c>
      <c r="P7895">
        <f>IF(OR(M7895="",N7895=""),"",SUMIFS('Barang Keluar'!$E:$E,'Barang Keluar'!$A:$A,M7895,'Barang Keluar'!$C:$C,N7895))</f>
        <v>0</v>
      </c>
    </row>
    <row r="7896" spans="13:16">
      <c r="M7896" s="49">
        <f>IF($A$4+78&gt;$B$4,"",$A$4+78)</f>
        <v>46101</v>
      </c>
      <c r="N7896">
        <f>IF(M7896="","",'Master Barang'!A90)</f>
        <v>0</v>
      </c>
      <c r="O7896">
        <f>IF(N7896="","",'Master Barang'!B90)</f>
        <v>0</v>
      </c>
      <c r="P7896">
        <f>IF(OR(M7896="",N7896=""),"",SUMIFS('Barang Keluar'!$E:$E,'Barang Keluar'!$A:$A,M7896,'Barang Keluar'!$C:$C,N7896))</f>
        <v>0</v>
      </c>
    </row>
    <row r="7897" spans="13:16">
      <c r="M7897" s="49">
        <f>IF($A$4+78&gt;$B$4,"",$A$4+78)</f>
        <v>46101</v>
      </c>
      <c r="N7897">
        <f>IF(M7897="","",'Master Barang'!A91)</f>
        <v>0</v>
      </c>
      <c r="O7897">
        <f>IF(N7897="","",'Master Barang'!B91)</f>
        <v>0</v>
      </c>
      <c r="P7897">
        <f>IF(OR(M7897="",N7897=""),"",SUMIFS('Barang Keluar'!$E:$E,'Barang Keluar'!$A:$A,M7897,'Barang Keluar'!$C:$C,N7897))</f>
        <v>0</v>
      </c>
    </row>
    <row r="7898" spans="13:16">
      <c r="M7898" s="49">
        <f>IF($A$4+78&gt;$B$4,"",$A$4+78)</f>
        <v>46101</v>
      </c>
      <c r="N7898">
        <f>IF(M7898="","",'Master Barang'!A92)</f>
        <v>0</v>
      </c>
      <c r="O7898">
        <f>IF(N7898="","",'Master Barang'!B92)</f>
        <v>0</v>
      </c>
      <c r="P7898">
        <f>IF(OR(M7898="",N7898=""),"",SUMIFS('Barang Keluar'!$E:$E,'Barang Keluar'!$A:$A,M7898,'Barang Keluar'!$C:$C,N7898))</f>
        <v>0</v>
      </c>
    </row>
    <row r="7899" spans="13:16">
      <c r="M7899" s="49">
        <f>IF($A$4+78&gt;$B$4,"",$A$4+78)</f>
        <v>46101</v>
      </c>
      <c r="N7899">
        <f>IF(M7899="","",'Master Barang'!A93)</f>
        <v>0</v>
      </c>
      <c r="O7899">
        <f>IF(N7899="","",'Master Barang'!B93)</f>
        <v>0</v>
      </c>
      <c r="P7899">
        <f>IF(OR(M7899="",N7899=""),"",SUMIFS('Barang Keluar'!$E:$E,'Barang Keluar'!$A:$A,M7899,'Barang Keluar'!$C:$C,N7899))</f>
        <v>0</v>
      </c>
    </row>
    <row r="7900" spans="13:16">
      <c r="M7900" s="49">
        <f>IF($A$4+78&gt;$B$4,"",$A$4+78)</f>
        <v>46101</v>
      </c>
      <c r="N7900">
        <f>IF(M7900="","",'Master Barang'!A94)</f>
        <v>0</v>
      </c>
      <c r="O7900">
        <f>IF(N7900="","",'Master Barang'!B94)</f>
        <v>0</v>
      </c>
      <c r="P7900">
        <f>IF(OR(M7900="",N7900=""),"",SUMIFS('Barang Keluar'!$E:$E,'Barang Keluar'!$A:$A,M7900,'Barang Keluar'!$C:$C,N7900))</f>
        <v>0</v>
      </c>
    </row>
    <row r="7901" spans="13:16">
      <c r="M7901" s="49">
        <f>IF($A$4+78&gt;$B$4,"",$A$4+78)</f>
        <v>46101</v>
      </c>
      <c r="N7901">
        <f>IF(M7901="","",'Master Barang'!A95)</f>
        <v>0</v>
      </c>
      <c r="O7901">
        <f>IF(N7901="","",'Master Barang'!B95)</f>
        <v>0</v>
      </c>
      <c r="P7901">
        <f>IF(OR(M7901="",N7901=""),"",SUMIFS('Barang Keluar'!$E:$E,'Barang Keluar'!$A:$A,M7901,'Barang Keluar'!$C:$C,N7901))</f>
        <v>0</v>
      </c>
    </row>
    <row r="7902" spans="13:16">
      <c r="M7902" s="49">
        <f>IF($A$4+78&gt;$B$4,"",$A$4+78)</f>
        <v>46101</v>
      </c>
      <c r="N7902">
        <f>IF(M7902="","",'Master Barang'!A96)</f>
        <v>0</v>
      </c>
      <c r="O7902">
        <f>IF(N7902="","",'Master Barang'!B96)</f>
        <v>0</v>
      </c>
      <c r="P7902">
        <f>IF(OR(M7902="",N7902=""),"",SUMIFS('Barang Keluar'!$E:$E,'Barang Keluar'!$A:$A,M7902,'Barang Keluar'!$C:$C,N7902))</f>
        <v>0</v>
      </c>
    </row>
    <row r="7903" spans="13:16">
      <c r="M7903" s="49">
        <f>IF($A$4+78&gt;$B$4,"",$A$4+78)</f>
        <v>46101</v>
      </c>
      <c r="N7903">
        <f>IF(M7903="","",'Master Barang'!A97)</f>
        <v>0</v>
      </c>
      <c r="O7903">
        <f>IF(N7903="","",'Master Barang'!B97)</f>
        <v>0</v>
      </c>
      <c r="P7903">
        <f>IF(OR(M7903="",N7903=""),"",SUMIFS('Barang Keluar'!$E:$E,'Barang Keluar'!$A:$A,M7903,'Barang Keluar'!$C:$C,N7903))</f>
        <v>0</v>
      </c>
    </row>
    <row r="7904" spans="13:16">
      <c r="M7904" s="49">
        <f>IF($A$4+78&gt;$B$4,"",$A$4+78)</f>
        <v>46101</v>
      </c>
      <c r="N7904">
        <f>IF(M7904="","",'Master Barang'!A98)</f>
        <v>0</v>
      </c>
      <c r="O7904">
        <f>IF(N7904="","",'Master Barang'!B98)</f>
        <v>0</v>
      </c>
      <c r="P7904">
        <f>IF(OR(M7904="",N7904=""),"",SUMIFS('Barang Keluar'!$E:$E,'Barang Keluar'!$A:$A,M7904,'Barang Keluar'!$C:$C,N7904))</f>
        <v>0</v>
      </c>
    </row>
    <row r="7905" spans="13:16">
      <c r="M7905" s="49">
        <f>IF($A$4+78&gt;$B$4,"",$A$4+78)</f>
        <v>46101</v>
      </c>
      <c r="N7905">
        <f>IF(M7905="","",'Master Barang'!A99)</f>
        <v>0</v>
      </c>
      <c r="O7905">
        <f>IF(N7905="","",'Master Barang'!B99)</f>
        <v>0</v>
      </c>
      <c r="P7905">
        <f>IF(OR(M7905="",N7905=""),"",SUMIFS('Barang Keluar'!$E:$E,'Barang Keluar'!$A:$A,M7905,'Barang Keluar'!$C:$C,N7905))</f>
        <v>0</v>
      </c>
    </row>
    <row r="7906" spans="13:16">
      <c r="M7906" s="49">
        <f>IF($A$4+78&gt;$B$4,"",$A$4+78)</f>
        <v>46101</v>
      </c>
      <c r="N7906">
        <f>IF(M7906="","",'Master Barang'!A100)</f>
        <v>0</v>
      </c>
      <c r="O7906">
        <f>IF(N7906="","",'Master Barang'!B100)</f>
        <v>0</v>
      </c>
      <c r="P7906">
        <f>IF(OR(M7906="",N7906=""),"",SUMIFS('Barang Keluar'!$E:$E,'Barang Keluar'!$A:$A,M7906,'Barang Keluar'!$C:$C,N7906))</f>
        <v>0</v>
      </c>
    </row>
    <row r="7907" spans="13:16">
      <c r="M7907" s="49">
        <f>IF($A$4+78&gt;$B$4,"",$A$4+78)</f>
        <v>46101</v>
      </c>
      <c r="N7907">
        <f>IF(M7907="","",'Master Barang'!A101)</f>
        <v>0</v>
      </c>
      <c r="O7907">
        <f>IF(N7907="","",'Master Barang'!B101)</f>
        <v>0</v>
      </c>
      <c r="P7907">
        <f>IF(OR(M7907="",N7907=""),"",SUMIFS('Barang Keluar'!$E:$E,'Barang Keluar'!$A:$A,M7907,'Barang Keluar'!$C:$C,N7907))</f>
        <v>0</v>
      </c>
    </row>
    <row r="7908" spans="13:16">
      <c r="M7908" s="49">
        <f>IF($A$4+79&gt;$B$4,"",$A$4+79)</f>
        <v>46102</v>
      </c>
      <c r="N7908" t="str">
        <f>IF(M7908="","",'Master Barang'!A2)</f>
        <v>PRL-001</v>
      </c>
      <c r="O7908" t="str">
        <f>IF(N7908="","",'Master Barang'!B2)</f>
        <v>natura desinfectant food grade 5l</v>
      </c>
      <c r="P7908">
        <f>IF(OR(M7908="",N7908=""),"",SUMIFS('Barang Keluar'!$E:$E,'Barang Keluar'!$A:$A,M7908,'Barang Keluar'!$C:$C,N7908))</f>
        <v>0</v>
      </c>
    </row>
    <row r="7909" spans="13:16">
      <c r="M7909" s="49">
        <f>IF($A$4+79&gt;$B$4,"",$A$4+79)</f>
        <v>46102</v>
      </c>
      <c r="N7909" t="str">
        <f>IF(M7909="","",'Master Barang'!A3)</f>
        <v>PRL-002</v>
      </c>
      <c r="O7909" t="str">
        <f>IF(N7909="","",'Master Barang'!B3)</f>
        <v>sunlight cairan pencuci piring 5l</v>
      </c>
      <c r="P7909">
        <f>IF(OR(M7909="",N7909=""),"",SUMIFS('Barang Keluar'!$E:$E,'Barang Keluar'!$A:$A,M7909,'Barang Keluar'!$C:$C,N7909))</f>
        <v>0</v>
      </c>
    </row>
    <row r="7910" spans="13:16">
      <c r="M7910" s="49">
        <f>IF($A$4+79&gt;$B$4,"",$A$4+79)</f>
        <v>46102</v>
      </c>
      <c r="N7910" t="str">
        <f>IF(M7910="","",'Master Barang'!A4)</f>
        <v>PRL-003</v>
      </c>
      <c r="O7910" t="str">
        <f>IF(N7910="","",'Master Barang'!B4)</f>
        <v>oixs cleaner 1l</v>
      </c>
      <c r="P7910">
        <f>IF(OR(M7910="",N7910=""),"",SUMIFS('Barang Keluar'!$E:$E,'Barang Keluar'!$A:$A,M7910,'Barang Keluar'!$C:$C,N7910))</f>
        <v>0</v>
      </c>
    </row>
    <row r="7911" spans="13:16">
      <c r="M7911" s="49">
        <f>IF($A$4+79&gt;$B$4,"",$A$4+79)</f>
        <v>46102</v>
      </c>
      <c r="N7911" t="str">
        <f>IF(M7911="","",'Master Barang'!A5)</f>
        <v>PRL-004</v>
      </c>
      <c r="O7911" t="str">
        <f>IF(N7911="","",'Master Barang'!B5)</f>
        <v>be clean tissue serbaguna</v>
      </c>
      <c r="P7911">
        <f>IF(OR(M7911="",N7911=""),"",SUMIFS('Barang Keluar'!$E:$E,'Barang Keluar'!$A:$A,M7911,'Barang Keluar'!$C:$C,N7911))</f>
        <v>0</v>
      </c>
    </row>
    <row r="7912" spans="13:16">
      <c r="M7912" s="49">
        <f>IF($A$4+79&gt;$B$4,"",$A$4+79)</f>
        <v>46102</v>
      </c>
      <c r="N7912" t="str">
        <f>IF(M7912="","",'Master Barang'!A6)</f>
        <v>PRL-005</v>
      </c>
      <c r="O7912" t="str">
        <f>IF(N7912="","",'Master Barang'!B6)</f>
        <v>spons cuci hijau</v>
      </c>
      <c r="P7912">
        <f>IF(OR(M7912="",N7912=""),"",SUMIFS('Barang Keluar'!$E:$E,'Barang Keluar'!$A:$A,M7912,'Barang Keluar'!$C:$C,N7912))</f>
        <v>0</v>
      </c>
    </row>
    <row r="7913" spans="13:16">
      <c r="M7913" s="49">
        <f>IF($A$4+79&gt;$B$4,"",$A$4+79)</f>
        <v>46102</v>
      </c>
      <c r="N7913" t="str">
        <f>IF(M7913="","",'Master Barang'!A7)</f>
        <v>PRL-006</v>
      </c>
      <c r="O7913" t="str">
        <f>IF(N7913="","",'Master Barang'!B7)</f>
        <v>sabut cuci stainless</v>
      </c>
      <c r="P7913">
        <f>IF(OR(M7913="",N7913=""),"",SUMIFS('Barang Keluar'!$E:$E,'Barang Keluar'!$A:$A,M7913,'Barang Keluar'!$C:$C,N7913))</f>
        <v>0</v>
      </c>
    </row>
    <row r="7914" spans="13:16">
      <c r="M7914" s="49">
        <f>IF($A$4+79&gt;$B$4,"",$A$4+79)</f>
        <v>46102</v>
      </c>
      <c r="N7914" t="str">
        <f>IF(M7914="","",'Master Barang'!A8)</f>
        <v>PRL-007</v>
      </c>
      <c r="O7914" t="str">
        <f>IF(N7914="","",'Master Barang'!B8)</f>
        <v>plastik kresek besar merah 50pc</v>
      </c>
      <c r="P7914">
        <f>IF(OR(M7914="",N7914=""),"",SUMIFS('Barang Keluar'!$E:$E,'Barang Keluar'!$A:$A,M7914,'Barang Keluar'!$C:$C,N7914))</f>
        <v>0</v>
      </c>
    </row>
    <row r="7915" spans="13:16">
      <c r="M7915" s="49">
        <f>IF($A$4+79&gt;$B$4,"",$A$4+79)</f>
        <v>46102</v>
      </c>
      <c r="N7915" t="str">
        <f>IF(M7915="","",'Master Barang'!A9)</f>
        <v>PRL-008</v>
      </c>
      <c r="O7915" t="str">
        <f>IF(N7915="","",'Master Barang'!B9)</f>
        <v>lap besar</v>
      </c>
      <c r="P7915">
        <f>IF(OR(M7915="",N7915=""),"",SUMIFS('Barang Keluar'!$E:$E,'Barang Keluar'!$A:$A,M7915,'Barang Keluar'!$C:$C,N7915))</f>
        <v>0</v>
      </c>
    </row>
    <row r="7916" spans="13:16">
      <c r="M7916" s="49">
        <f>IF($A$4+79&gt;$B$4,"",$A$4+79)</f>
        <v>46102</v>
      </c>
      <c r="N7916" t="str">
        <f>IF(M7916="","",'Master Barang'!A10)</f>
        <v>PRL-009</v>
      </c>
      <c r="O7916" t="str">
        <f>IF(N7916="","",'Master Barang'!B10)</f>
        <v>lap microfiber</v>
      </c>
      <c r="P7916">
        <f>IF(OR(M7916="",N7916=""),"",SUMIFS('Barang Keluar'!$E:$E,'Barang Keluar'!$A:$A,M7916,'Barang Keluar'!$C:$C,N7916))</f>
        <v>0</v>
      </c>
    </row>
    <row r="7917" spans="13:16">
      <c r="M7917" s="49">
        <f>IF($A$4+79&gt;$B$4,"",$A$4+79)</f>
        <v>46102</v>
      </c>
      <c r="N7917" t="str">
        <f>IF(M7917="","",'Master Barang'!A11)</f>
        <v>PRL-010</v>
      </c>
      <c r="O7917" t="str">
        <f>IF(N7917="","",'Master Barang'!B11)</f>
        <v>lap kecil</v>
      </c>
      <c r="P7917">
        <f>IF(OR(M7917="",N7917=""),"",SUMIFS('Barang Keluar'!$E:$E,'Barang Keluar'!$A:$A,M7917,'Barang Keluar'!$C:$C,N7917))</f>
        <v>0</v>
      </c>
    </row>
    <row r="7918" spans="13:16">
      <c r="M7918" s="49">
        <f>IF($A$4+79&gt;$B$4,"",$A$4+79)</f>
        <v>46102</v>
      </c>
      <c r="N7918" t="str">
        <f>IF(M7918="","",'Master Barang'!A12)</f>
        <v>PRL-011</v>
      </c>
      <c r="O7918" t="str">
        <f>IF(N7918="","",'Master Barang'!B12)</f>
        <v>kanebo kecil</v>
      </c>
      <c r="P7918">
        <f>IF(OR(M7918="",N7918=""),"",SUMIFS('Barang Keluar'!$E:$E,'Barang Keluar'!$A:$A,M7918,'Barang Keluar'!$C:$C,N7918))</f>
        <v>0</v>
      </c>
    </row>
    <row r="7919" spans="13:16">
      <c r="M7919" s="49">
        <f>IF($A$4+79&gt;$B$4,"",$A$4+79)</f>
        <v>46102</v>
      </c>
      <c r="N7919" t="str">
        <f>IF(M7919="","",'Master Barang'!A13)</f>
        <v>PRL-012</v>
      </c>
      <c r="O7919" t="str">
        <f>IF(N7919="","",'Master Barang'!B13)</f>
        <v>plastik 1/4kg joyoboyo 100 lembar</v>
      </c>
      <c r="P7919">
        <f>IF(OR(M7919="",N7919=""),"",SUMIFS('Barang Keluar'!$E:$E,'Barang Keluar'!$A:$A,M7919,'Barang Keluar'!$C:$C,N7919))</f>
        <v>0</v>
      </c>
    </row>
    <row r="7920" spans="13:16">
      <c r="M7920" s="49">
        <f>IF($A$4+79&gt;$B$4,"",$A$4+79)</f>
        <v>46102</v>
      </c>
      <c r="N7920" t="str">
        <f>IF(M7920="","",'Master Barang'!A14)</f>
        <v>PRL-013</v>
      </c>
      <c r="O7920" t="str">
        <f>IF(N7920="","",'Master Barang'!B14)</f>
        <v>sarung tangan plastik kaka 100 pcs</v>
      </c>
      <c r="P7920">
        <f>IF(OR(M7920="",N7920=""),"",SUMIFS('Barang Keluar'!$E:$E,'Barang Keluar'!$A:$A,M7920,'Barang Keluar'!$C:$C,N7920))</f>
        <v>0</v>
      </c>
    </row>
    <row r="7921" spans="13:16">
      <c r="M7921" s="49">
        <f>IF($A$4+79&gt;$B$4,"",$A$4+79)</f>
        <v>46102</v>
      </c>
      <c r="N7921" t="str">
        <f>IF(M7921="","",'Master Barang'!A15)</f>
        <v>PRL-014</v>
      </c>
      <c r="O7921" t="str">
        <f>IF(N7921="","",'Master Barang'!B15)</f>
        <v>optima trashbag 80x100</v>
      </c>
      <c r="P7921">
        <f>IF(OR(M7921="",N7921=""),"",SUMIFS('Barang Keluar'!$E:$E,'Barang Keluar'!$A:$A,M7921,'Barang Keluar'!$C:$C,N7921))</f>
        <v>0</v>
      </c>
    </row>
    <row r="7922" spans="13:16">
      <c r="M7922" s="49">
        <f>IF($A$4+79&gt;$B$4,"",$A$4+79)</f>
        <v>46102</v>
      </c>
      <c r="N7922" t="str">
        <f>IF(M7922="","",'Master Barang'!A16)</f>
        <v>PRL-015</v>
      </c>
      <c r="O7922" t="str">
        <f>IF(N7922="","",'Master Barang'!B16)</f>
        <v>optima trashbag 60x100</v>
      </c>
      <c r="P7922">
        <f>IF(OR(M7922="",N7922=""),"",SUMIFS('Barang Keluar'!$E:$E,'Barang Keluar'!$A:$A,M7922,'Barang Keluar'!$C:$C,N7922))</f>
        <v>0</v>
      </c>
    </row>
    <row r="7923" spans="13:16">
      <c r="M7923" s="49">
        <f>IF($A$4+79&gt;$B$4,"",$A$4+79)</f>
        <v>46102</v>
      </c>
      <c r="N7923" t="str">
        <f>IF(M7923="","",'Master Barang'!A17)</f>
        <v>PRL-016</v>
      </c>
      <c r="O7923" t="str">
        <f>IF(N7923="","",'Master Barang'!B17)</f>
        <v>rajawali trashbag 30x40</v>
      </c>
      <c r="P7923">
        <f>IF(OR(M7923="",N7923=""),"",SUMIFS('Barang Keluar'!$E:$E,'Barang Keluar'!$A:$A,M7923,'Barang Keluar'!$C:$C,N7923))</f>
        <v>0</v>
      </c>
    </row>
    <row r="7924" spans="13:16">
      <c r="M7924" s="49">
        <f>IF($A$4+79&gt;$B$4,"",$A$4+79)</f>
        <v>46102</v>
      </c>
      <c r="N7924" t="str">
        <f>IF(M7924="","",'Master Barang'!A18)</f>
        <v>PRL-017</v>
      </c>
      <c r="O7924" t="str">
        <f>IF(N7924="","",'Master Barang'!B18)</f>
        <v>onemed masker biru 3 play 50 pcs</v>
      </c>
      <c r="P7924">
        <f>IF(OR(M7924="",N7924=""),"",SUMIFS('Barang Keluar'!$E:$E,'Barang Keluar'!$A:$A,M7924,'Barang Keluar'!$C:$C,N7924))</f>
        <v>0</v>
      </c>
    </row>
    <row r="7925" spans="13:16">
      <c r="M7925" s="49">
        <f>IF($A$4+79&gt;$B$4,"",$A$4+79)</f>
        <v>46102</v>
      </c>
      <c r="N7925" t="str">
        <f>IF(M7925="","",'Master Barang'!A19)</f>
        <v>PRL-018</v>
      </c>
      <c r="O7925" t="str">
        <f>IF(N7925="","",'Master Barang'!B19)</f>
        <v>onemed masker biru 3 play hijab 50 pcs</v>
      </c>
      <c r="P7925">
        <f>IF(OR(M7925="",N7925=""),"",SUMIFS('Barang Keluar'!$E:$E,'Barang Keluar'!$A:$A,M7925,'Barang Keluar'!$C:$C,N7925))</f>
        <v>0</v>
      </c>
    </row>
    <row r="7926" spans="13:16">
      <c r="M7926" s="49">
        <f>IF($A$4+79&gt;$B$4,"",$A$4+79)</f>
        <v>46102</v>
      </c>
      <c r="N7926" t="str">
        <f>IF(M7926="","",'Master Barang'!A20)</f>
        <v>PRL-019</v>
      </c>
      <c r="O7926" t="str">
        <f>IF(N7926="","",'Master Barang'!B20)</f>
        <v>neo health masker biru 3 play 50 pcs</v>
      </c>
      <c r="P7926">
        <f>IF(OR(M7926="",N7926=""),"",SUMIFS('Barang Keluar'!$E:$E,'Barang Keluar'!$A:$A,M7926,'Barang Keluar'!$C:$C,N7926))</f>
        <v>0</v>
      </c>
    </row>
    <row r="7927" spans="13:16">
      <c r="M7927" s="49">
        <f>IF($A$4+79&gt;$B$4,"",$A$4+79)</f>
        <v>46102</v>
      </c>
      <c r="N7927" t="str">
        <f>IF(M7927="","",'Master Barang'!A21)</f>
        <v>PRL-020</v>
      </c>
      <c r="O7927" t="str">
        <f>IF(N7927="","",'Master Barang'!B21)</f>
        <v>baymed masker hijau 3 play hijau 50 pcs</v>
      </c>
      <c r="P7927">
        <f>IF(OR(M7927="",N7927=""),"",SUMIFS('Barang Keluar'!$E:$E,'Barang Keluar'!$A:$A,M7927,'Barang Keluar'!$C:$C,N7927))</f>
        <v>0</v>
      </c>
    </row>
    <row r="7928" spans="13:16">
      <c r="M7928" s="49">
        <f>IF($A$4+79&gt;$B$4,"",$A$4+79)</f>
        <v>46102</v>
      </c>
      <c r="N7928" t="str">
        <f>IF(M7928="","",'Master Barang'!A22)</f>
        <v>PRL-021</v>
      </c>
      <c r="O7928" t="str">
        <f>IF(N7928="","",'Master Barang'!B22)</f>
        <v>altamed nurse cap penutup kepala 100 pcs</v>
      </c>
      <c r="P7928">
        <f>IF(OR(M7928="",N7928=""),"",SUMIFS('Barang Keluar'!$E:$E,'Barang Keluar'!$A:$A,M7928,'Barang Keluar'!$C:$C,N7928))</f>
        <v>0</v>
      </c>
    </row>
    <row r="7929" spans="13:16">
      <c r="M7929" s="49">
        <f>IF($A$4+79&gt;$B$4,"",$A$4+79)</f>
        <v>46102</v>
      </c>
      <c r="N7929" t="str">
        <f>IF(M7929="","",'Master Barang'!A23)</f>
        <v>PRL-022</v>
      </c>
      <c r="O7929" t="str">
        <f>IF(N7929="","",'Master Barang'!B23)</f>
        <v>sabun cuci tangan</v>
      </c>
      <c r="P7929">
        <f>IF(OR(M7929="",N7929=""),"",SUMIFS('Barang Keluar'!$E:$E,'Barang Keluar'!$A:$A,M7929,'Barang Keluar'!$C:$C,N7929))</f>
        <v>0</v>
      </c>
    </row>
    <row r="7930" spans="13:16">
      <c r="M7930" s="49">
        <f>IF($A$4+79&gt;$B$4,"",$A$4+79)</f>
        <v>46102</v>
      </c>
      <c r="N7930" t="str">
        <f>IF(M7930="","",'Master Barang'!A24)</f>
        <v>PRL-023</v>
      </c>
      <c r="O7930" t="str">
        <f>IF(N7930="","",'Master Barang'!B24)</f>
        <v>gayung kecil</v>
      </c>
      <c r="P7930">
        <f>IF(OR(M7930="",N7930=""),"",SUMIFS('Barang Keluar'!$E:$E,'Barang Keluar'!$A:$A,M7930,'Barang Keluar'!$C:$C,N7930))</f>
        <v>0</v>
      </c>
    </row>
    <row r="7931" spans="13:16">
      <c r="M7931" s="49">
        <f>IF($A$4+79&gt;$B$4,"",$A$4+79)</f>
        <v>46102</v>
      </c>
      <c r="N7931" t="str">
        <f>IF(M7931="","",'Master Barang'!A25)</f>
        <v>PRL-024</v>
      </c>
      <c r="O7931" t="str">
        <f>IF(N7931="","",'Master Barang'!B25)</f>
        <v>cikrak kecil</v>
      </c>
      <c r="P7931">
        <f>IF(OR(M7931="",N7931=""),"",SUMIFS('Barang Keluar'!$E:$E,'Barang Keluar'!$A:$A,M7931,'Barang Keluar'!$C:$C,N7931))</f>
        <v>0</v>
      </c>
    </row>
    <row r="7932" spans="13:16">
      <c r="M7932" s="49">
        <f>IF($A$4+79&gt;$B$4,"",$A$4+79)</f>
        <v>46102</v>
      </c>
      <c r="N7932" t="str">
        <f>IF(M7932="","",'Master Barang'!A26)</f>
        <v>PRL-025</v>
      </c>
      <c r="O7932" t="str">
        <f>IF(N7932="","",'Master Barang'!B26)</f>
        <v>petromax plastik kecil 12x24 100 lembar</v>
      </c>
      <c r="P7932">
        <f>IF(OR(M7932="",N7932=""),"",SUMIFS('Barang Keluar'!$E:$E,'Barang Keluar'!$A:$A,M7932,'Barang Keluar'!$C:$C,N7932))</f>
        <v>0</v>
      </c>
    </row>
    <row r="7933" spans="13:16">
      <c r="M7933" s="49">
        <f>IF($A$4+79&gt;$B$4,"",$A$4+79)</f>
        <v>46102</v>
      </c>
      <c r="N7933" t="str">
        <f>IF(M7933="","",'Master Barang'!A27)</f>
        <v>PRL-026</v>
      </c>
      <c r="O7933" t="str">
        <f>IF(N7933="","",'Master Barang'!B27)</f>
        <v>lancar kresek kecil bening </v>
      </c>
      <c r="P7933">
        <f>IF(OR(M7933="",N7933=""),"",SUMIFS('Barang Keluar'!$E:$E,'Barang Keluar'!$A:$A,M7933,'Barang Keluar'!$C:$C,N7933))</f>
        <v>0</v>
      </c>
    </row>
    <row r="7934" spans="13:16">
      <c r="M7934" s="49">
        <f>IF($A$4+79&gt;$B$4,"",$A$4+79)</f>
        <v>46102</v>
      </c>
      <c r="N7934" t="str">
        <f>IF(M7934="","",'Master Barang'!A28)</f>
        <v>PRL-027</v>
      </c>
      <c r="O7934" t="str">
        <f>IF(N7934="","",'Master Barang'!B28)</f>
        <v>kresek klin warna warni kecil</v>
      </c>
      <c r="P7934">
        <f>IF(OR(M7934="",N7934=""),"",SUMIFS('Barang Keluar'!$E:$E,'Barang Keluar'!$A:$A,M7934,'Barang Keluar'!$C:$C,N7934))</f>
        <v>0</v>
      </c>
    </row>
    <row r="7935" spans="13:16">
      <c r="M7935" s="49">
        <f>IF($A$4+79&gt;$B$4,"",$A$4+79)</f>
        <v>46102</v>
      </c>
      <c r="N7935" t="str">
        <f>IF(M7935="","",'Master Barang'!A29)</f>
        <v>PRL-028</v>
      </c>
      <c r="O7935" t="str">
        <f>IF(N7935="","",'Master Barang'!B29)</f>
        <v>ctik plastik 7x10 100 pcs</v>
      </c>
      <c r="P7935">
        <f>IF(OR(M7935="",N7935=""),"",SUMIFS('Barang Keluar'!$E:$E,'Barang Keluar'!$A:$A,M7935,'Barang Keluar'!$C:$C,N7935))</f>
        <v>0</v>
      </c>
    </row>
    <row r="7936" spans="13:16">
      <c r="M7936" s="49">
        <f>IF($A$4+79&gt;$B$4,"",$A$4+79)</f>
        <v>46102</v>
      </c>
      <c r="N7936" t="str">
        <f>IF(M7936="","",'Master Barang'!A30)</f>
        <v>PRL-029</v>
      </c>
      <c r="O7936" t="str">
        <f>IF(N7936="","",'Master Barang'!B30)</f>
        <v>ctik plastik 6x10 100 pcs</v>
      </c>
      <c r="P7936">
        <f>IF(OR(M7936="",N7936=""),"",SUMIFS('Barang Keluar'!$E:$E,'Barang Keluar'!$A:$A,M7936,'Barang Keluar'!$C:$C,N7936))</f>
        <v>0</v>
      </c>
    </row>
    <row r="7937" spans="13:16">
      <c r="M7937" s="49">
        <f>IF($A$4+79&gt;$B$4,"",$A$4+79)</f>
        <v>46102</v>
      </c>
      <c r="N7937" t="str">
        <f>IF(M7937="","",'Master Barang'!A31)</f>
        <v>PRL-030</v>
      </c>
      <c r="O7937" t="str">
        <f>IF(N7937="","",'Master Barang'!B31)</f>
        <v>klip plastik 25x16 100 pcs</v>
      </c>
      <c r="P7937">
        <f>IF(OR(M7937="",N7937=""),"",SUMIFS('Barang Keluar'!$E:$E,'Barang Keluar'!$A:$A,M7937,'Barang Keluar'!$C:$C,N7937))</f>
        <v>0</v>
      </c>
    </row>
    <row r="7938" spans="13:16">
      <c r="M7938" s="49">
        <f>IF($A$4+79&gt;$B$4,"",$A$4+79)</f>
        <v>46102</v>
      </c>
      <c r="N7938" t="str">
        <f>IF(M7938="","",'Master Barang'!A32)</f>
        <v>PRL-031</v>
      </c>
      <c r="O7938" t="str">
        <f>IF(N7938="","",'Master Barang'!B32)</f>
        <v>tempat saus 20 ml</v>
      </c>
      <c r="P7938">
        <f>IF(OR(M7938="",N7938=""),"",SUMIFS('Barang Keluar'!$E:$E,'Barang Keluar'!$A:$A,M7938,'Barang Keluar'!$C:$C,N7938))</f>
        <v>0</v>
      </c>
    </row>
    <row r="7939" spans="13:16">
      <c r="M7939" s="49">
        <f>IF($A$4+79&gt;$B$4,"",$A$4+79)</f>
        <v>46102</v>
      </c>
      <c r="N7939" t="str">
        <f>IF(M7939="","",'Master Barang'!A33)</f>
        <v>PRL-032</v>
      </c>
      <c r="O7939" t="str">
        <f>IF(N7939="","",'Master Barang'!B33)</f>
        <v>plastik packaging ag box uk sedang</v>
      </c>
      <c r="P7939">
        <f>IF(OR(M7939="",N7939=""),"",SUMIFS('Barang Keluar'!$E:$E,'Barang Keluar'!$A:$A,M7939,'Barang Keluar'!$C:$C,N7939))</f>
        <v>0</v>
      </c>
    </row>
    <row r="7940" spans="13:16">
      <c r="M7940" s="49">
        <f>IF($A$4+79&gt;$B$4,"",$A$4+79)</f>
        <v>46102</v>
      </c>
      <c r="N7940" t="str">
        <f>IF(M7940="","",'Master Barang'!A34)</f>
        <v>PRL-033</v>
      </c>
      <c r="O7940">
        <f>IF(N7940="","",'Master Barang'!B34)</f>
        <v>0</v>
      </c>
      <c r="P7940">
        <f>IF(OR(M7940="",N7940=""),"",SUMIFS('Barang Keluar'!$E:$E,'Barang Keluar'!$A:$A,M7940,'Barang Keluar'!$C:$C,N7940))</f>
        <v>0</v>
      </c>
    </row>
    <row r="7941" spans="13:16">
      <c r="M7941" s="49">
        <f>IF($A$4+79&gt;$B$4,"",$A$4+79)</f>
        <v>46102</v>
      </c>
      <c r="N7941">
        <f>IF(M7941="","",'Master Barang'!A35)</f>
        <v>0</v>
      </c>
      <c r="O7941">
        <f>IF(N7941="","",'Master Barang'!B35)</f>
        <v>0</v>
      </c>
      <c r="P7941">
        <f>IF(OR(M7941="",N7941=""),"",SUMIFS('Barang Keluar'!$E:$E,'Barang Keluar'!$A:$A,M7941,'Barang Keluar'!$C:$C,N7941))</f>
        <v>0</v>
      </c>
    </row>
    <row r="7942" spans="13:16">
      <c r="M7942" s="49">
        <f>IF($A$4+79&gt;$B$4,"",$A$4+79)</f>
        <v>46102</v>
      </c>
      <c r="N7942">
        <f>IF(M7942="","",'Master Barang'!A36)</f>
        <v>0</v>
      </c>
      <c r="O7942">
        <f>IF(N7942="","",'Master Barang'!B36)</f>
        <v>0</v>
      </c>
      <c r="P7942">
        <f>IF(OR(M7942="",N7942=""),"",SUMIFS('Barang Keluar'!$E:$E,'Barang Keluar'!$A:$A,M7942,'Barang Keluar'!$C:$C,N7942))</f>
        <v>0</v>
      </c>
    </row>
    <row r="7943" spans="13:16">
      <c r="M7943" s="49">
        <f>IF($A$4+79&gt;$B$4,"",$A$4+79)</f>
        <v>46102</v>
      </c>
      <c r="N7943">
        <f>IF(M7943="","",'Master Barang'!A37)</f>
        <v>0</v>
      </c>
      <c r="O7943">
        <f>IF(N7943="","",'Master Barang'!B37)</f>
        <v>0</v>
      </c>
      <c r="P7943">
        <f>IF(OR(M7943="",N7943=""),"",SUMIFS('Barang Keluar'!$E:$E,'Barang Keluar'!$A:$A,M7943,'Barang Keluar'!$C:$C,N7943))</f>
        <v>0</v>
      </c>
    </row>
    <row r="7944" spans="13:16">
      <c r="M7944" s="49">
        <f>IF($A$4+79&gt;$B$4,"",$A$4+79)</f>
        <v>46102</v>
      </c>
      <c r="N7944">
        <f>IF(M7944="","",'Master Barang'!A38)</f>
        <v>0</v>
      </c>
      <c r="O7944">
        <f>IF(N7944="","",'Master Barang'!B38)</f>
        <v>0</v>
      </c>
      <c r="P7944">
        <f>IF(OR(M7944="",N7944=""),"",SUMIFS('Barang Keluar'!$E:$E,'Barang Keluar'!$A:$A,M7944,'Barang Keluar'!$C:$C,N7944))</f>
        <v>0</v>
      </c>
    </row>
    <row r="7945" spans="13:16">
      <c r="M7945" s="49">
        <f>IF($A$4+79&gt;$B$4,"",$A$4+79)</f>
        <v>46102</v>
      </c>
      <c r="N7945">
        <f>IF(M7945="","",'Master Barang'!A39)</f>
        <v>0</v>
      </c>
      <c r="O7945">
        <f>IF(N7945="","",'Master Barang'!B39)</f>
        <v>0</v>
      </c>
      <c r="P7945">
        <f>IF(OR(M7945="",N7945=""),"",SUMIFS('Barang Keluar'!$E:$E,'Barang Keluar'!$A:$A,M7945,'Barang Keluar'!$C:$C,N7945))</f>
        <v>0</v>
      </c>
    </row>
    <row r="7946" spans="13:16">
      <c r="M7946" s="49">
        <f>IF($A$4+79&gt;$B$4,"",$A$4+79)</f>
        <v>46102</v>
      </c>
      <c r="N7946">
        <f>IF(M7946="","",'Master Barang'!A40)</f>
        <v>0</v>
      </c>
      <c r="O7946">
        <f>IF(N7946="","",'Master Barang'!B40)</f>
        <v>0</v>
      </c>
      <c r="P7946">
        <f>IF(OR(M7946="",N7946=""),"",SUMIFS('Barang Keluar'!$E:$E,'Barang Keluar'!$A:$A,M7946,'Barang Keluar'!$C:$C,N7946))</f>
        <v>0</v>
      </c>
    </row>
    <row r="7947" spans="13:16">
      <c r="M7947" s="49">
        <f>IF($A$4+79&gt;$B$4,"",$A$4+79)</f>
        <v>46102</v>
      </c>
      <c r="N7947">
        <f>IF(M7947="","",'Master Barang'!A41)</f>
        <v>0</v>
      </c>
      <c r="O7947">
        <f>IF(N7947="","",'Master Barang'!B41)</f>
        <v>0</v>
      </c>
      <c r="P7947">
        <f>IF(OR(M7947="",N7947=""),"",SUMIFS('Barang Keluar'!$E:$E,'Barang Keluar'!$A:$A,M7947,'Barang Keluar'!$C:$C,N7947))</f>
        <v>0</v>
      </c>
    </row>
    <row r="7948" spans="13:16">
      <c r="M7948" s="49">
        <f>IF($A$4+79&gt;$B$4,"",$A$4+79)</f>
        <v>46102</v>
      </c>
      <c r="N7948">
        <f>IF(M7948="","",'Master Barang'!A42)</f>
        <v>0</v>
      </c>
      <c r="O7948">
        <f>IF(N7948="","",'Master Barang'!B42)</f>
        <v>0</v>
      </c>
      <c r="P7948">
        <f>IF(OR(M7948="",N7948=""),"",SUMIFS('Barang Keluar'!$E:$E,'Barang Keluar'!$A:$A,M7948,'Barang Keluar'!$C:$C,N7948))</f>
        <v>0</v>
      </c>
    </row>
    <row r="7949" spans="13:16">
      <c r="M7949" s="49">
        <f>IF($A$4+79&gt;$B$4,"",$A$4+79)</f>
        <v>46102</v>
      </c>
      <c r="N7949">
        <f>IF(M7949="","",'Master Barang'!A43)</f>
        <v>0</v>
      </c>
      <c r="O7949">
        <f>IF(N7949="","",'Master Barang'!B43)</f>
        <v>0</v>
      </c>
      <c r="P7949">
        <f>IF(OR(M7949="",N7949=""),"",SUMIFS('Barang Keluar'!$E:$E,'Barang Keluar'!$A:$A,M7949,'Barang Keluar'!$C:$C,N7949))</f>
        <v>0</v>
      </c>
    </row>
    <row r="7950" spans="13:16">
      <c r="M7950" s="49">
        <f>IF($A$4+79&gt;$B$4,"",$A$4+79)</f>
        <v>46102</v>
      </c>
      <c r="N7950">
        <f>IF(M7950="","",'Master Barang'!A44)</f>
        <v>0</v>
      </c>
      <c r="O7950">
        <f>IF(N7950="","",'Master Barang'!B44)</f>
        <v>0</v>
      </c>
      <c r="P7950">
        <f>IF(OR(M7950="",N7950=""),"",SUMIFS('Barang Keluar'!$E:$E,'Barang Keluar'!$A:$A,M7950,'Barang Keluar'!$C:$C,N7950))</f>
        <v>0</v>
      </c>
    </row>
    <row r="7951" spans="13:16">
      <c r="M7951" s="49">
        <f>IF($A$4+79&gt;$B$4,"",$A$4+79)</f>
        <v>46102</v>
      </c>
      <c r="N7951">
        <f>IF(M7951="","",'Master Barang'!A45)</f>
        <v>0</v>
      </c>
      <c r="O7951">
        <f>IF(N7951="","",'Master Barang'!B45)</f>
        <v>0</v>
      </c>
      <c r="P7951">
        <f>IF(OR(M7951="",N7951=""),"",SUMIFS('Barang Keluar'!$E:$E,'Barang Keluar'!$A:$A,M7951,'Barang Keluar'!$C:$C,N7951))</f>
        <v>0</v>
      </c>
    </row>
    <row r="7952" spans="13:16">
      <c r="M7952" s="49">
        <f>IF($A$4+79&gt;$B$4,"",$A$4+79)</f>
        <v>46102</v>
      </c>
      <c r="N7952">
        <f>IF(M7952="","",'Master Barang'!A46)</f>
        <v>0</v>
      </c>
      <c r="O7952">
        <f>IF(N7952="","",'Master Barang'!B46)</f>
        <v>0</v>
      </c>
      <c r="P7952">
        <f>IF(OR(M7952="",N7952=""),"",SUMIFS('Barang Keluar'!$E:$E,'Barang Keluar'!$A:$A,M7952,'Barang Keluar'!$C:$C,N7952))</f>
        <v>0</v>
      </c>
    </row>
    <row r="7953" spans="13:16">
      <c r="M7953" s="49">
        <f>IF($A$4+79&gt;$B$4,"",$A$4+79)</f>
        <v>46102</v>
      </c>
      <c r="N7953">
        <f>IF(M7953="","",'Master Barang'!A47)</f>
        <v>0</v>
      </c>
      <c r="O7953">
        <f>IF(N7953="","",'Master Barang'!B47)</f>
        <v>0</v>
      </c>
      <c r="P7953">
        <f>IF(OR(M7953="",N7953=""),"",SUMIFS('Barang Keluar'!$E:$E,'Barang Keluar'!$A:$A,M7953,'Barang Keluar'!$C:$C,N7953))</f>
        <v>0</v>
      </c>
    </row>
    <row r="7954" spans="13:16">
      <c r="M7954" s="49">
        <f>IF($A$4+79&gt;$B$4,"",$A$4+79)</f>
        <v>46102</v>
      </c>
      <c r="N7954">
        <f>IF(M7954="","",'Master Barang'!A48)</f>
        <v>0</v>
      </c>
      <c r="O7954">
        <f>IF(N7954="","",'Master Barang'!B48)</f>
        <v>0</v>
      </c>
      <c r="P7954">
        <f>IF(OR(M7954="",N7954=""),"",SUMIFS('Barang Keluar'!$E:$E,'Barang Keluar'!$A:$A,M7954,'Barang Keluar'!$C:$C,N7954))</f>
        <v>0</v>
      </c>
    </row>
    <row r="7955" spans="13:16">
      <c r="M7955" s="49">
        <f>IF($A$4+79&gt;$B$4,"",$A$4+79)</f>
        <v>46102</v>
      </c>
      <c r="N7955">
        <f>IF(M7955="","",'Master Barang'!A49)</f>
        <v>0</v>
      </c>
      <c r="O7955">
        <f>IF(N7955="","",'Master Barang'!B49)</f>
        <v>0</v>
      </c>
      <c r="P7955">
        <f>IF(OR(M7955="",N7955=""),"",SUMIFS('Barang Keluar'!$E:$E,'Barang Keluar'!$A:$A,M7955,'Barang Keluar'!$C:$C,N7955))</f>
        <v>0</v>
      </c>
    </row>
    <row r="7956" spans="13:16">
      <c r="M7956" s="49">
        <f>IF($A$4+79&gt;$B$4,"",$A$4+79)</f>
        <v>46102</v>
      </c>
      <c r="N7956">
        <f>IF(M7956="","",'Master Barang'!A50)</f>
        <v>0</v>
      </c>
      <c r="O7956">
        <f>IF(N7956="","",'Master Barang'!B50)</f>
        <v>0</v>
      </c>
      <c r="P7956">
        <f>IF(OR(M7956="",N7956=""),"",SUMIFS('Barang Keluar'!$E:$E,'Barang Keluar'!$A:$A,M7956,'Barang Keluar'!$C:$C,N7956))</f>
        <v>0</v>
      </c>
    </row>
    <row r="7957" spans="13:16">
      <c r="M7957" s="49">
        <f>IF($A$4+79&gt;$B$4,"",$A$4+79)</f>
        <v>46102</v>
      </c>
      <c r="N7957">
        <f>IF(M7957="","",'Master Barang'!A51)</f>
        <v>0</v>
      </c>
      <c r="O7957">
        <f>IF(N7957="","",'Master Barang'!B51)</f>
        <v>0</v>
      </c>
      <c r="P7957">
        <f>IF(OR(M7957="",N7957=""),"",SUMIFS('Barang Keluar'!$E:$E,'Barang Keluar'!$A:$A,M7957,'Barang Keluar'!$C:$C,N7957))</f>
        <v>0</v>
      </c>
    </row>
    <row r="7958" spans="13:16">
      <c r="M7958" s="49">
        <f>IF($A$4+79&gt;$B$4,"",$A$4+79)</f>
        <v>46102</v>
      </c>
      <c r="N7958">
        <f>IF(M7958="","",'Master Barang'!A52)</f>
        <v>0</v>
      </c>
      <c r="O7958">
        <f>IF(N7958="","",'Master Barang'!B52)</f>
        <v>0</v>
      </c>
      <c r="P7958">
        <f>IF(OR(M7958="",N7958=""),"",SUMIFS('Barang Keluar'!$E:$E,'Barang Keluar'!$A:$A,M7958,'Barang Keluar'!$C:$C,N7958))</f>
        <v>0</v>
      </c>
    </row>
    <row r="7959" spans="13:16">
      <c r="M7959" s="49">
        <f>IF($A$4+79&gt;$B$4,"",$A$4+79)</f>
        <v>46102</v>
      </c>
      <c r="N7959">
        <f>IF(M7959="","",'Master Barang'!A53)</f>
        <v>0</v>
      </c>
      <c r="O7959">
        <f>IF(N7959="","",'Master Barang'!B53)</f>
        <v>0</v>
      </c>
      <c r="P7959">
        <f>IF(OR(M7959="",N7959=""),"",SUMIFS('Barang Keluar'!$E:$E,'Barang Keluar'!$A:$A,M7959,'Barang Keluar'!$C:$C,N7959))</f>
        <v>0</v>
      </c>
    </row>
    <row r="7960" spans="13:16">
      <c r="M7960" s="49">
        <f>IF($A$4+79&gt;$B$4,"",$A$4+79)</f>
        <v>46102</v>
      </c>
      <c r="N7960">
        <f>IF(M7960="","",'Master Barang'!A54)</f>
        <v>0</v>
      </c>
      <c r="O7960">
        <f>IF(N7960="","",'Master Barang'!B54)</f>
        <v>0</v>
      </c>
      <c r="P7960">
        <f>IF(OR(M7960="",N7960=""),"",SUMIFS('Barang Keluar'!$E:$E,'Barang Keluar'!$A:$A,M7960,'Barang Keluar'!$C:$C,N7960))</f>
        <v>0</v>
      </c>
    </row>
    <row r="7961" spans="13:16">
      <c r="M7961" s="49">
        <f>IF($A$4+79&gt;$B$4,"",$A$4+79)</f>
        <v>46102</v>
      </c>
      <c r="N7961">
        <f>IF(M7961="","",'Master Barang'!A55)</f>
        <v>0</v>
      </c>
      <c r="O7961">
        <f>IF(N7961="","",'Master Barang'!B55)</f>
        <v>0</v>
      </c>
      <c r="P7961">
        <f>IF(OR(M7961="",N7961=""),"",SUMIFS('Barang Keluar'!$E:$E,'Barang Keluar'!$A:$A,M7961,'Barang Keluar'!$C:$C,N7961))</f>
        <v>0</v>
      </c>
    </row>
    <row r="7962" spans="13:16">
      <c r="M7962" s="49">
        <f>IF($A$4+79&gt;$B$4,"",$A$4+79)</f>
        <v>46102</v>
      </c>
      <c r="N7962">
        <f>IF(M7962="","",'Master Barang'!A56)</f>
        <v>0</v>
      </c>
      <c r="O7962">
        <f>IF(N7962="","",'Master Barang'!B56)</f>
        <v>0</v>
      </c>
      <c r="P7962">
        <f>IF(OR(M7962="",N7962=""),"",SUMIFS('Barang Keluar'!$E:$E,'Barang Keluar'!$A:$A,M7962,'Barang Keluar'!$C:$C,N7962))</f>
        <v>0</v>
      </c>
    </row>
    <row r="7963" spans="13:16">
      <c r="M7963" s="49">
        <f>IF($A$4+79&gt;$B$4,"",$A$4+79)</f>
        <v>46102</v>
      </c>
      <c r="N7963">
        <f>IF(M7963="","",'Master Barang'!A57)</f>
        <v>0</v>
      </c>
      <c r="O7963">
        <f>IF(N7963="","",'Master Barang'!B57)</f>
        <v>0</v>
      </c>
      <c r="P7963">
        <f>IF(OR(M7963="",N7963=""),"",SUMIFS('Barang Keluar'!$E:$E,'Barang Keluar'!$A:$A,M7963,'Barang Keluar'!$C:$C,N7963))</f>
        <v>0</v>
      </c>
    </row>
    <row r="7964" spans="13:16">
      <c r="M7964" s="49">
        <f>IF($A$4+79&gt;$B$4,"",$A$4+79)</f>
        <v>46102</v>
      </c>
      <c r="N7964">
        <f>IF(M7964="","",'Master Barang'!A58)</f>
        <v>0</v>
      </c>
      <c r="O7964">
        <f>IF(N7964="","",'Master Barang'!B58)</f>
        <v>0</v>
      </c>
      <c r="P7964">
        <f>IF(OR(M7964="",N7964=""),"",SUMIFS('Barang Keluar'!$E:$E,'Barang Keluar'!$A:$A,M7964,'Barang Keluar'!$C:$C,N7964))</f>
        <v>0</v>
      </c>
    </row>
    <row r="7965" spans="13:16">
      <c r="M7965" s="49">
        <f>IF($A$4+79&gt;$B$4,"",$A$4+79)</f>
        <v>46102</v>
      </c>
      <c r="N7965">
        <f>IF(M7965="","",'Master Barang'!A59)</f>
        <v>0</v>
      </c>
      <c r="O7965">
        <f>IF(N7965="","",'Master Barang'!B59)</f>
        <v>0</v>
      </c>
      <c r="P7965">
        <f>IF(OR(M7965="",N7965=""),"",SUMIFS('Barang Keluar'!$E:$E,'Barang Keluar'!$A:$A,M7965,'Barang Keluar'!$C:$C,N7965))</f>
        <v>0</v>
      </c>
    </row>
    <row r="7966" spans="13:16">
      <c r="M7966" s="49">
        <f>IF($A$4+79&gt;$B$4,"",$A$4+79)</f>
        <v>46102</v>
      </c>
      <c r="N7966">
        <f>IF(M7966="","",'Master Barang'!A60)</f>
        <v>0</v>
      </c>
      <c r="O7966">
        <f>IF(N7966="","",'Master Barang'!B60)</f>
        <v>0</v>
      </c>
      <c r="P7966">
        <f>IF(OR(M7966="",N7966=""),"",SUMIFS('Barang Keluar'!$E:$E,'Barang Keluar'!$A:$A,M7966,'Barang Keluar'!$C:$C,N7966))</f>
        <v>0</v>
      </c>
    </row>
    <row r="7967" spans="13:16">
      <c r="M7967" s="49">
        <f>IF($A$4+79&gt;$B$4,"",$A$4+79)</f>
        <v>46102</v>
      </c>
      <c r="N7967">
        <f>IF(M7967="","",'Master Barang'!A61)</f>
        <v>0</v>
      </c>
      <c r="O7967">
        <f>IF(N7967="","",'Master Barang'!B61)</f>
        <v>0</v>
      </c>
      <c r="P7967">
        <f>IF(OR(M7967="",N7967=""),"",SUMIFS('Barang Keluar'!$E:$E,'Barang Keluar'!$A:$A,M7967,'Barang Keluar'!$C:$C,N7967))</f>
        <v>0</v>
      </c>
    </row>
    <row r="7968" spans="13:16">
      <c r="M7968" s="49">
        <f>IF($A$4+79&gt;$B$4,"",$A$4+79)</f>
        <v>46102</v>
      </c>
      <c r="N7968">
        <f>IF(M7968="","",'Master Barang'!A62)</f>
        <v>0</v>
      </c>
      <c r="O7968">
        <f>IF(N7968="","",'Master Barang'!B62)</f>
        <v>0</v>
      </c>
      <c r="P7968">
        <f>IF(OR(M7968="",N7968=""),"",SUMIFS('Barang Keluar'!$E:$E,'Barang Keluar'!$A:$A,M7968,'Barang Keluar'!$C:$C,N7968))</f>
        <v>0</v>
      </c>
    </row>
    <row r="7969" spans="13:16">
      <c r="M7969" s="49">
        <f>IF($A$4+79&gt;$B$4,"",$A$4+79)</f>
        <v>46102</v>
      </c>
      <c r="N7969">
        <f>IF(M7969="","",'Master Barang'!A63)</f>
        <v>0</v>
      </c>
      <c r="O7969">
        <f>IF(N7969="","",'Master Barang'!B63)</f>
        <v>0</v>
      </c>
      <c r="P7969">
        <f>IF(OR(M7969="",N7969=""),"",SUMIFS('Barang Keluar'!$E:$E,'Barang Keluar'!$A:$A,M7969,'Barang Keluar'!$C:$C,N7969))</f>
        <v>0</v>
      </c>
    </row>
    <row r="7970" spans="13:16">
      <c r="M7970" s="49">
        <f>IF($A$4+79&gt;$B$4,"",$A$4+79)</f>
        <v>46102</v>
      </c>
      <c r="N7970">
        <f>IF(M7970="","",'Master Barang'!A64)</f>
        <v>0</v>
      </c>
      <c r="O7970">
        <f>IF(N7970="","",'Master Barang'!B64)</f>
        <v>0</v>
      </c>
      <c r="P7970">
        <f>IF(OR(M7970="",N7970=""),"",SUMIFS('Barang Keluar'!$E:$E,'Barang Keluar'!$A:$A,M7970,'Barang Keluar'!$C:$C,N7970))</f>
        <v>0</v>
      </c>
    </row>
    <row r="7971" spans="13:16">
      <c r="M7971" s="49">
        <f>IF($A$4+79&gt;$B$4,"",$A$4+79)</f>
        <v>46102</v>
      </c>
      <c r="N7971">
        <f>IF(M7971="","",'Master Barang'!A65)</f>
        <v>0</v>
      </c>
      <c r="O7971">
        <f>IF(N7971="","",'Master Barang'!B65)</f>
        <v>0</v>
      </c>
      <c r="P7971">
        <f>IF(OR(M7971="",N7971=""),"",SUMIFS('Barang Keluar'!$E:$E,'Barang Keluar'!$A:$A,M7971,'Barang Keluar'!$C:$C,N7971))</f>
        <v>0</v>
      </c>
    </row>
    <row r="7972" spans="13:16">
      <c r="M7972" s="49">
        <f>IF($A$4+79&gt;$B$4,"",$A$4+79)</f>
        <v>46102</v>
      </c>
      <c r="N7972">
        <f>IF(M7972="","",'Master Barang'!A66)</f>
        <v>0</v>
      </c>
      <c r="O7972">
        <f>IF(N7972="","",'Master Barang'!B66)</f>
        <v>0</v>
      </c>
      <c r="P7972">
        <f>IF(OR(M7972="",N7972=""),"",SUMIFS('Barang Keluar'!$E:$E,'Barang Keluar'!$A:$A,M7972,'Barang Keluar'!$C:$C,N7972))</f>
        <v>0</v>
      </c>
    </row>
    <row r="7973" spans="13:16">
      <c r="M7973" s="49">
        <f>IF($A$4+79&gt;$B$4,"",$A$4+79)</f>
        <v>46102</v>
      </c>
      <c r="N7973">
        <f>IF(M7973="","",'Master Barang'!A67)</f>
        <v>0</v>
      </c>
      <c r="O7973">
        <f>IF(N7973="","",'Master Barang'!B67)</f>
        <v>0</v>
      </c>
      <c r="P7973">
        <f>IF(OR(M7973="",N7973=""),"",SUMIFS('Barang Keluar'!$E:$E,'Barang Keluar'!$A:$A,M7973,'Barang Keluar'!$C:$C,N7973))</f>
        <v>0</v>
      </c>
    </row>
    <row r="7974" spans="13:16">
      <c r="M7974" s="49">
        <f>IF($A$4+79&gt;$B$4,"",$A$4+79)</f>
        <v>46102</v>
      </c>
      <c r="N7974">
        <f>IF(M7974="","",'Master Barang'!A68)</f>
        <v>0</v>
      </c>
      <c r="O7974">
        <f>IF(N7974="","",'Master Barang'!B68)</f>
        <v>0</v>
      </c>
      <c r="P7974">
        <f>IF(OR(M7974="",N7974=""),"",SUMIFS('Barang Keluar'!$E:$E,'Barang Keluar'!$A:$A,M7974,'Barang Keluar'!$C:$C,N7974))</f>
        <v>0</v>
      </c>
    </row>
    <row r="7975" spans="13:16">
      <c r="M7975" s="49">
        <f>IF($A$4+79&gt;$B$4,"",$A$4+79)</f>
        <v>46102</v>
      </c>
      <c r="N7975">
        <f>IF(M7975="","",'Master Barang'!A69)</f>
        <v>0</v>
      </c>
      <c r="O7975">
        <f>IF(N7975="","",'Master Barang'!B69)</f>
        <v>0</v>
      </c>
      <c r="P7975">
        <f>IF(OR(M7975="",N7975=""),"",SUMIFS('Barang Keluar'!$E:$E,'Barang Keluar'!$A:$A,M7975,'Barang Keluar'!$C:$C,N7975))</f>
        <v>0</v>
      </c>
    </row>
    <row r="7976" spans="13:16">
      <c r="M7976" s="49">
        <f>IF($A$4+79&gt;$B$4,"",$A$4+79)</f>
        <v>46102</v>
      </c>
      <c r="N7976">
        <f>IF(M7976="","",'Master Barang'!A70)</f>
        <v>0</v>
      </c>
      <c r="O7976">
        <f>IF(N7976="","",'Master Barang'!B70)</f>
        <v>0</v>
      </c>
      <c r="P7976">
        <f>IF(OR(M7976="",N7976=""),"",SUMIFS('Barang Keluar'!$E:$E,'Barang Keluar'!$A:$A,M7976,'Barang Keluar'!$C:$C,N7976))</f>
        <v>0</v>
      </c>
    </row>
    <row r="7977" spans="13:16">
      <c r="M7977" s="49">
        <f>IF($A$4+79&gt;$B$4,"",$A$4+79)</f>
        <v>46102</v>
      </c>
      <c r="N7977">
        <f>IF(M7977="","",'Master Barang'!A71)</f>
        <v>0</v>
      </c>
      <c r="O7977">
        <f>IF(N7977="","",'Master Barang'!B71)</f>
        <v>0</v>
      </c>
      <c r="P7977">
        <f>IF(OR(M7977="",N7977=""),"",SUMIFS('Barang Keluar'!$E:$E,'Barang Keluar'!$A:$A,M7977,'Barang Keluar'!$C:$C,N7977))</f>
        <v>0</v>
      </c>
    </row>
    <row r="7978" spans="13:16">
      <c r="M7978" s="49">
        <f>IF($A$4+79&gt;$B$4,"",$A$4+79)</f>
        <v>46102</v>
      </c>
      <c r="N7978">
        <f>IF(M7978="","",'Master Barang'!A72)</f>
        <v>0</v>
      </c>
      <c r="O7978">
        <f>IF(N7978="","",'Master Barang'!B72)</f>
        <v>0</v>
      </c>
      <c r="P7978">
        <f>IF(OR(M7978="",N7978=""),"",SUMIFS('Barang Keluar'!$E:$E,'Barang Keluar'!$A:$A,M7978,'Barang Keluar'!$C:$C,N7978))</f>
        <v>0</v>
      </c>
    </row>
    <row r="7979" spans="13:16">
      <c r="M7979" s="49">
        <f>IF($A$4+79&gt;$B$4,"",$A$4+79)</f>
        <v>46102</v>
      </c>
      <c r="N7979">
        <f>IF(M7979="","",'Master Barang'!A73)</f>
        <v>0</v>
      </c>
      <c r="O7979">
        <f>IF(N7979="","",'Master Barang'!B73)</f>
        <v>0</v>
      </c>
      <c r="P7979">
        <f>IF(OR(M7979="",N7979=""),"",SUMIFS('Barang Keluar'!$E:$E,'Barang Keluar'!$A:$A,M7979,'Barang Keluar'!$C:$C,N7979))</f>
        <v>0</v>
      </c>
    </row>
    <row r="7980" spans="13:16">
      <c r="M7980" s="49">
        <f>IF($A$4+79&gt;$B$4,"",$A$4+79)</f>
        <v>46102</v>
      </c>
      <c r="N7980">
        <f>IF(M7980="","",'Master Barang'!A74)</f>
        <v>0</v>
      </c>
      <c r="O7980">
        <f>IF(N7980="","",'Master Barang'!B74)</f>
        <v>0</v>
      </c>
      <c r="P7980">
        <f>IF(OR(M7980="",N7980=""),"",SUMIFS('Barang Keluar'!$E:$E,'Barang Keluar'!$A:$A,M7980,'Barang Keluar'!$C:$C,N7980))</f>
        <v>0</v>
      </c>
    </row>
    <row r="7981" spans="13:16">
      <c r="M7981" s="49">
        <f>IF($A$4+79&gt;$B$4,"",$A$4+79)</f>
        <v>46102</v>
      </c>
      <c r="N7981">
        <f>IF(M7981="","",'Master Barang'!A75)</f>
        <v>0</v>
      </c>
      <c r="O7981">
        <f>IF(N7981="","",'Master Barang'!B75)</f>
        <v>0</v>
      </c>
      <c r="P7981">
        <f>IF(OR(M7981="",N7981=""),"",SUMIFS('Barang Keluar'!$E:$E,'Barang Keluar'!$A:$A,M7981,'Barang Keluar'!$C:$C,N7981))</f>
        <v>0</v>
      </c>
    </row>
    <row r="7982" spans="13:16">
      <c r="M7982" s="49">
        <f>IF($A$4+79&gt;$B$4,"",$A$4+79)</f>
        <v>46102</v>
      </c>
      <c r="N7982">
        <f>IF(M7982="","",'Master Barang'!A76)</f>
        <v>0</v>
      </c>
      <c r="O7982">
        <f>IF(N7982="","",'Master Barang'!B76)</f>
        <v>0</v>
      </c>
      <c r="P7982">
        <f>IF(OR(M7982="",N7982=""),"",SUMIFS('Barang Keluar'!$E:$E,'Barang Keluar'!$A:$A,M7982,'Barang Keluar'!$C:$C,N7982))</f>
        <v>0</v>
      </c>
    </row>
    <row r="7983" spans="13:16">
      <c r="M7983" s="49">
        <f>IF($A$4+79&gt;$B$4,"",$A$4+79)</f>
        <v>46102</v>
      </c>
      <c r="N7983">
        <f>IF(M7983="","",'Master Barang'!A77)</f>
        <v>0</v>
      </c>
      <c r="O7983">
        <f>IF(N7983="","",'Master Barang'!B77)</f>
        <v>0</v>
      </c>
      <c r="P7983">
        <f>IF(OR(M7983="",N7983=""),"",SUMIFS('Barang Keluar'!$E:$E,'Barang Keluar'!$A:$A,M7983,'Barang Keluar'!$C:$C,N7983))</f>
        <v>0</v>
      </c>
    </row>
    <row r="7984" spans="13:16">
      <c r="M7984" s="49">
        <f>IF($A$4+79&gt;$B$4,"",$A$4+79)</f>
        <v>46102</v>
      </c>
      <c r="N7984">
        <f>IF(M7984="","",'Master Barang'!A78)</f>
        <v>0</v>
      </c>
      <c r="O7984">
        <f>IF(N7984="","",'Master Barang'!B78)</f>
        <v>0</v>
      </c>
      <c r="P7984">
        <f>IF(OR(M7984="",N7984=""),"",SUMIFS('Barang Keluar'!$E:$E,'Barang Keluar'!$A:$A,M7984,'Barang Keluar'!$C:$C,N7984))</f>
        <v>0</v>
      </c>
    </row>
    <row r="7985" spans="13:16">
      <c r="M7985" s="49">
        <f>IF($A$4+79&gt;$B$4,"",$A$4+79)</f>
        <v>46102</v>
      </c>
      <c r="N7985">
        <f>IF(M7985="","",'Master Barang'!A79)</f>
        <v>0</v>
      </c>
      <c r="O7985">
        <f>IF(N7985="","",'Master Barang'!B79)</f>
        <v>0</v>
      </c>
      <c r="P7985">
        <f>IF(OR(M7985="",N7985=""),"",SUMIFS('Barang Keluar'!$E:$E,'Barang Keluar'!$A:$A,M7985,'Barang Keluar'!$C:$C,N7985))</f>
        <v>0</v>
      </c>
    </row>
    <row r="7986" spans="13:16">
      <c r="M7986" s="49">
        <f>IF($A$4+79&gt;$B$4,"",$A$4+79)</f>
        <v>46102</v>
      </c>
      <c r="N7986">
        <f>IF(M7986="","",'Master Barang'!A80)</f>
        <v>0</v>
      </c>
      <c r="O7986">
        <f>IF(N7986="","",'Master Barang'!B80)</f>
        <v>0</v>
      </c>
      <c r="P7986">
        <f>IF(OR(M7986="",N7986=""),"",SUMIFS('Barang Keluar'!$E:$E,'Barang Keluar'!$A:$A,M7986,'Barang Keluar'!$C:$C,N7986))</f>
        <v>0</v>
      </c>
    </row>
    <row r="7987" spans="13:16">
      <c r="M7987" s="49">
        <f>IF($A$4+79&gt;$B$4,"",$A$4+79)</f>
        <v>46102</v>
      </c>
      <c r="N7987">
        <f>IF(M7987="","",'Master Barang'!A81)</f>
        <v>0</v>
      </c>
      <c r="O7987">
        <f>IF(N7987="","",'Master Barang'!B81)</f>
        <v>0</v>
      </c>
      <c r="P7987">
        <f>IF(OR(M7987="",N7987=""),"",SUMIFS('Barang Keluar'!$E:$E,'Barang Keluar'!$A:$A,M7987,'Barang Keluar'!$C:$C,N7987))</f>
        <v>0</v>
      </c>
    </row>
    <row r="7988" spans="13:16">
      <c r="M7988" s="49">
        <f>IF($A$4+79&gt;$B$4,"",$A$4+79)</f>
        <v>46102</v>
      </c>
      <c r="N7988">
        <f>IF(M7988="","",'Master Barang'!A82)</f>
        <v>0</v>
      </c>
      <c r="O7988">
        <f>IF(N7988="","",'Master Barang'!B82)</f>
        <v>0</v>
      </c>
      <c r="P7988">
        <f>IF(OR(M7988="",N7988=""),"",SUMIFS('Barang Keluar'!$E:$E,'Barang Keluar'!$A:$A,M7988,'Barang Keluar'!$C:$C,N7988))</f>
        <v>0</v>
      </c>
    </row>
    <row r="7989" spans="13:16">
      <c r="M7989" s="49">
        <f>IF($A$4+79&gt;$B$4,"",$A$4+79)</f>
        <v>46102</v>
      </c>
      <c r="N7989">
        <f>IF(M7989="","",'Master Barang'!A83)</f>
        <v>0</v>
      </c>
      <c r="O7989">
        <f>IF(N7989="","",'Master Barang'!B83)</f>
        <v>0</v>
      </c>
      <c r="P7989">
        <f>IF(OR(M7989="",N7989=""),"",SUMIFS('Barang Keluar'!$E:$E,'Barang Keluar'!$A:$A,M7989,'Barang Keluar'!$C:$C,N7989))</f>
        <v>0</v>
      </c>
    </row>
    <row r="7990" spans="13:16">
      <c r="M7990" s="49">
        <f>IF($A$4+79&gt;$B$4,"",$A$4+79)</f>
        <v>46102</v>
      </c>
      <c r="N7990">
        <f>IF(M7990="","",'Master Barang'!A84)</f>
        <v>0</v>
      </c>
      <c r="O7990">
        <f>IF(N7990="","",'Master Barang'!B84)</f>
        <v>0</v>
      </c>
      <c r="P7990">
        <f>IF(OR(M7990="",N7990=""),"",SUMIFS('Barang Keluar'!$E:$E,'Barang Keluar'!$A:$A,M7990,'Barang Keluar'!$C:$C,N7990))</f>
        <v>0</v>
      </c>
    </row>
    <row r="7991" spans="13:16">
      <c r="M7991" s="49">
        <f>IF($A$4+79&gt;$B$4,"",$A$4+79)</f>
        <v>46102</v>
      </c>
      <c r="N7991">
        <f>IF(M7991="","",'Master Barang'!A85)</f>
        <v>0</v>
      </c>
      <c r="O7991">
        <f>IF(N7991="","",'Master Barang'!B85)</f>
        <v>0</v>
      </c>
      <c r="P7991">
        <f>IF(OR(M7991="",N7991=""),"",SUMIFS('Barang Keluar'!$E:$E,'Barang Keluar'!$A:$A,M7991,'Barang Keluar'!$C:$C,N7991))</f>
        <v>0</v>
      </c>
    </row>
    <row r="7992" spans="13:16">
      <c r="M7992" s="49">
        <f>IF($A$4+79&gt;$B$4,"",$A$4+79)</f>
        <v>46102</v>
      </c>
      <c r="N7992">
        <f>IF(M7992="","",'Master Barang'!A86)</f>
        <v>0</v>
      </c>
      <c r="O7992">
        <f>IF(N7992="","",'Master Barang'!B86)</f>
        <v>0</v>
      </c>
      <c r="P7992">
        <f>IF(OR(M7992="",N7992=""),"",SUMIFS('Barang Keluar'!$E:$E,'Barang Keluar'!$A:$A,M7992,'Barang Keluar'!$C:$C,N7992))</f>
        <v>0</v>
      </c>
    </row>
    <row r="7993" spans="13:16">
      <c r="M7993" s="49">
        <f>IF($A$4+79&gt;$B$4,"",$A$4+79)</f>
        <v>46102</v>
      </c>
      <c r="N7993">
        <f>IF(M7993="","",'Master Barang'!A87)</f>
        <v>0</v>
      </c>
      <c r="O7993">
        <f>IF(N7993="","",'Master Barang'!B87)</f>
        <v>0</v>
      </c>
      <c r="P7993">
        <f>IF(OR(M7993="",N7993=""),"",SUMIFS('Barang Keluar'!$E:$E,'Barang Keluar'!$A:$A,M7993,'Barang Keluar'!$C:$C,N7993))</f>
        <v>0</v>
      </c>
    </row>
    <row r="7994" spans="13:16">
      <c r="M7994" s="49">
        <f>IF($A$4+79&gt;$B$4,"",$A$4+79)</f>
        <v>46102</v>
      </c>
      <c r="N7994">
        <f>IF(M7994="","",'Master Barang'!A88)</f>
        <v>0</v>
      </c>
      <c r="O7994">
        <f>IF(N7994="","",'Master Barang'!B88)</f>
        <v>0</v>
      </c>
      <c r="P7994">
        <f>IF(OR(M7994="",N7994=""),"",SUMIFS('Barang Keluar'!$E:$E,'Barang Keluar'!$A:$A,M7994,'Barang Keluar'!$C:$C,N7994))</f>
        <v>0</v>
      </c>
    </row>
    <row r="7995" spans="13:16">
      <c r="M7995" s="49">
        <f>IF($A$4+79&gt;$B$4,"",$A$4+79)</f>
        <v>46102</v>
      </c>
      <c r="N7995">
        <f>IF(M7995="","",'Master Barang'!A89)</f>
        <v>0</v>
      </c>
      <c r="O7995">
        <f>IF(N7995="","",'Master Barang'!B89)</f>
        <v>0</v>
      </c>
      <c r="P7995">
        <f>IF(OR(M7995="",N7995=""),"",SUMIFS('Barang Keluar'!$E:$E,'Barang Keluar'!$A:$A,M7995,'Barang Keluar'!$C:$C,N7995))</f>
        <v>0</v>
      </c>
    </row>
    <row r="7996" spans="13:16">
      <c r="M7996" s="49">
        <f>IF($A$4+79&gt;$B$4,"",$A$4+79)</f>
        <v>46102</v>
      </c>
      <c r="N7996">
        <f>IF(M7996="","",'Master Barang'!A90)</f>
        <v>0</v>
      </c>
      <c r="O7996">
        <f>IF(N7996="","",'Master Barang'!B90)</f>
        <v>0</v>
      </c>
      <c r="P7996">
        <f>IF(OR(M7996="",N7996=""),"",SUMIFS('Barang Keluar'!$E:$E,'Barang Keluar'!$A:$A,M7996,'Barang Keluar'!$C:$C,N7996))</f>
        <v>0</v>
      </c>
    </row>
    <row r="7997" spans="13:16">
      <c r="M7997" s="49">
        <f>IF($A$4+79&gt;$B$4,"",$A$4+79)</f>
        <v>46102</v>
      </c>
      <c r="N7997">
        <f>IF(M7997="","",'Master Barang'!A91)</f>
        <v>0</v>
      </c>
      <c r="O7997">
        <f>IF(N7997="","",'Master Barang'!B91)</f>
        <v>0</v>
      </c>
      <c r="P7997">
        <f>IF(OR(M7997="",N7997=""),"",SUMIFS('Barang Keluar'!$E:$E,'Barang Keluar'!$A:$A,M7997,'Barang Keluar'!$C:$C,N7997))</f>
        <v>0</v>
      </c>
    </row>
    <row r="7998" spans="13:16">
      <c r="M7998" s="49">
        <f>IF($A$4+79&gt;$B$4,"",$A$4+79)</f>
        <v>46102</v>
      </c>
      <c r="N7998">
        <f>IF(M7998="","",'Master Barang'!A92)</f>
        <v>0</v>
      </c>
      <c r="O7998">
        <f>IF(N7998="","",'Master Barang'!B92)</f>
        <v>0</v>
      </c>
      <c r="P7998">
        <f>IF(OR(M7998="",N7998=""),"",SUMIFS('Barang Keluar'!$E:$E,'Barang Keluar'!$A:$A,M7998,'Barang Keluar'!$C:$C,N7998))</f>
        <v>0</v>
      </c>
    </row>
    <row r="7999" spans="13:16">
      <c r="M7999" s="49">
        <f>IF($A$4+79&gt;$B$4,"",$A$4+79)</f>
        <v>46102</v>
      </c>
      <c r="N7999">
        <f>IF(M7999="","",'Master Barang'!A93)</f>
        <v>0</v>
      </c>
      <c r="O7999">
        <f>IF(N7999="","",'Master Barang'!B93)</f>
        <v>0</v>
      </c>
      <c r="P7999">
        <f>IF(OR(M7999="",N7999=""),"",SUMIFS('Barang Keluar'!$E:$E,'Barang Keluar'!$A:$A,M7999,'Barang Keluar'!$C:$C,N7999))</f>
        <v>0</v>
      </c>
    </row>
    <row r="8000" spans="13:16">
      <c r="M8000" s="49">
        <f>IF($A$4+79&gt;$B$4,"",$A$4+79)</f>
        <v>46102</v>
      </c>
      <c r="N8000">
        <f>IF(M8000="","",'Master Barang'!A94)</f>
        <v>0</v>
      </c>
      <c r="O8000">
        <f>IF(N8000="","",'Master Barang'!B94)</f>
        <v>0</v>
      </c>
      <c r="P8000">
        <f>IF(OR(M8000="",N8000=""),"",SUMIFS('Barang Keluar'!$E:$E,'Barang Keluar'!$A:$A,M8000,'Barang Keluar'!$C:$C,N8000))</f>
        <v>0</v>
      </c>
    </row>
    <row r="8001" spans="13:16">
      <c r="M8001" s="49">
        <f>IF($A$4+79&gt;$B$4,"",$A$4+79)</f>
        <v>46102</v>
      </c>
      <c r="N8001">
        <f>IF(M8001="","",'Master Barang'!A95)</f>
        <v>0</v>
      </c>
      <c r="O8001">
        <f>IF(N8001="","",'Master Barang'!B95)</f>
        <v>0</v>
      </c>
      <c r="P8001">
        <f>IF(OR(M8001="",N8001=""),"",SUMIFS('Barang Keluar'!$E:$E,'Barang Keluar'!$A:$A,M8001,'Barang Keluar'!$C:$C,N8001))</f>
        <v>0</v>
      </c>
    </row>
    <row r="8002" spans="13:16">
      <c r="M8002" s="49">
        <f>IF($A$4+79&gt;$B$4,"",$A$4+79)</f>
        <v>46102</v>
      </c>
      <c r="N8002">
        <f>IF(M8002="","",'Master Barang'!A96)</f>
        <v>0</v>
      </c>
      <c r="O8002">
        <f>IF(N8002="","",'Master Barang'!B96)</f>
        <v>0</v>
      </c>
      <c r="P8002">
        <f>IF(OR(M8002="",N8002=""),"",SUMIFS('Barang Keluar'!$E:$E,'Barang Keluar'!$A:$A,M8002,'Barang Keluar'!$C:$C,N8002))</f>
        <v>0</v>
      </c>
    </row>
    <row r="8003" spans="13:16">
      <c r="M8003" s="49">
        <f>IF($A$4+79&gt;$B$4,"",$A$4+79)</f>
        <v>46102</v>
      </c>
      <c r="N8003">
        <f>IF(M8003="","",'Master Barang'!A97)</f>
        <v>0</v>
      </c>
      <c r="O8003">
        <f>IF(N8003="","",'Master Barang'!B97)</f>
        <v>0</v>
      </c>
      <c r="P8003">
        <f>IF(OR(M8003="",N8003=""),"",SUMIFS('Barang Keluar'!$E:$E,'Barang Keluar'!$A:$A,M8003,'Barang Keluar'!$C:$C,N8003))</f>
        <v>0</v>
      </c>
    </row>
    <row r="8004" spans="13:16">
      <c r="M8004" s="49">
        <f>IF($A$4+79&gt;$B$4,"",$A$4+79)</f>
        <v>46102</v>
      </c>
      <c r="N8004">
        <f>IF(M8004="","",'Master Barang'!A98)</f>
        <v>0</v>
      </c>
      <c r="O8004">
        <f>IF(N8004="","",'Master Barang'!B98)</f>
        <v>0</v>
      </c>
      <c r="P8004">
        <f>IF(OR(M8004="",N8004=""),"",SUMIFS('Barang Keluar'!$E:$E,'Barang Keluar'!$A:$A,M8004,'Barang Keluar'!$C:$C,N8004))</f>
        <v>0</v>
      </c>
    </row>
    <row r="8005" spans="13:16">
      <c r="M8005" s="49">
        <f>IF($A$4+79&gt;$B$4,"",$A$4+79)</f>
        <v>46102</v>
      </c>
      <c r="N8005">
        <f>IF(M8005="","",'Master Barang'!A99)</f>
        <v>0</v>
      </c>
      <c r="O8005">
        <f>IF(N8005="","",'Master Barang'!B99)</f>
        <v>0</v>
      </c>
      <c r="P8005">
        <f>IF(OR(M8005="",N8005=""),"",SUMIFS('Barang Keluar'!$E:$E,'Barang Keluar'!$A:$A,M8005,'Barang Keluar'!$C:$C,N8005))</f>
        <v>0</v>
      </c>
    </row>
    <row r="8006" spans="13:16">
      <c r="M8006" s="49">
        <f>IF($A$4+79&gt;$B$4,"",$A$4+79)</f>
        <v>46102</v>
      </c>
      <c r="N8006">
        <f>IF(M8006="","",'Master Barang'!A100)</f>
        <v>0</v>
      </c>
      <c r="O8006">
        <f>IF(N8006="","",'Master Barang'!B100)</f>
        <v>0</v>
      </c>
      <c r="P8006">
        <f>IF(OR(M8006="",N8006=""),"",SUMIFS('Barang Keluar'!$E:$E,'Barang Keluar'!$A:$A,M8006,'Barang Keluar'!$C:$C,N8006))</f>
        <v>0</v>
      </c>
    </row>
    <row r="8007" spans="13:16">
      <c r="M8007" s="49">
        <f>IF($A$4+79&gt;$B$4,"",$A$4+79)</f>
        <v>46102</v>
      </c>
      <c r="N8007">
        <f>IF(M8007="","",'Master Barang'!A101)</f>
        <v>0</v>
      </c>
      <c r="O8007">
        <f>IF(N8007="","",'Master Barang'!B101)</f>
        <v>0</v>
      </c>
      <c r="P8007">
        <f>IF(OR(M8007="",N8007=""),"",SUMIFS('Barang Keluar'!$E:$E,'Barang Keluar'!$A:$A,M8007,'Barang Keluar'!$C:$C,N8007))</f>
        <v>0</v>
      </c>
    </row>
    <row r="8008" spans="13:16">
      <c r="M8008" s="49">
        <f>IF($A$4+80&gt;$B$4,"",$A$4+80)</f>
        <v>46103</v>
      </c>
      <c r="N8008" t="str">
        <f>IF(M8008="","",'Master Barang'!A2)</f>
        <v>PRL-001</v>
      </c>
      <c r="O8008" t="str">
        <f>IF(N8008="","",'Master Barang'!B2)</f>
        <v>natura desinfectant food grade 5l</v>
      </c>
      <c r="P8008">
        <f>IF(OR(M8008="",N8008=""),"",SUMIFS('Barang Keluar'!$E:$E,'Barang Keluar'!$A:$A,M8008,'Barang Keluar'!$C:$C,N8008))</f>
        <v>0</v>
      </c>
    </row>
    <row r="8009" spans="13:16">
      <c r="M8009" s="49">
        <f>IF($A$4+80&gt;$B$4,"",$A$4+80)</f>
        <v>46103</v>
      </c>
      <c r="N8009" t="str">
        <f>IF(M8009="","",'Master Barang'!A3)</f>
        <v>PRL-002</v>
      </c>
      <c r="O8009" t="str">
        <f>IF(N8009="","",'Master Barang'!B3)</f>
        <v>sunlight cairan pencuci piring 5l</v>
      </c>
      <c r="P8009">
        <f>IF(OR(M8009="",N8009=""),"",SUMIFS('Barang Keluar'!$E:$E,'Barang Keluar'!$A:$A,M8009,'Barang Keluar'!$C:$C,N8009))</f>
        <v>0</v>
      </c>
    </row>
    <row r="8010" spans="13:16">
      <c r="M8010" s="49">
        <f>IF($A$4+80&gt;$B$4,"",$A$4+80)</f>
        <v>46103</v>
      </c>
      <c r="N8010" t="str">
        <f>IF(M8010="","",'Master Barang'!A4)</f>
        <v>PRL-003</v>
      </c>
      <c r="O8010" t="str">
        <f>IF(N8010="","",'Master Barang'!B4)</f>
        <v>oixs cleaner 1l</v>
      </c>
      <c r="P8010">
        <f>IF(OR(M8010="",N8010=""),"",SUMIFS('Barang Keluar'!$E:$E,'Barang Keluar'!$A:$A,M8010,'Barang Keluar'!$C:$C,N8010))</f>
        <v>0</v>
      </c>
    </row>
    <row r="8011" spans="13:16">
      <c r="M8011" s="49">
        <f>IF($A$4+80&gt;$B$4,"",$A$4+80)</f>
        <v>46103</v>
      </c>
      <c r="N8011" t="str">
        <f>IF(M8011="","",'Master Barang'!A5)</f>
        <v>PRL-004</v>
      </c>
      <c r="O8011" t="str">
        <f>IF(N8011="","",'Master Barang'!B5)</f>
        <v>be clean tissue serbaguna</v>
      </c>
      <c r="P8011">
        <f>IF(OR(M8011="",N8011=""),"",SUMIFS('Barang Keluar'!$E:$E,'Barang Keluar'!$A:$A,M8011,'Barang Keluar'!$C:$C,N8011))</f>
        <v>0</v>
      </c>
    </row>
    <row r="8012" spans="13:16">
      <c r="M8012" s="49">
        <f>IF($A$4+80&gt;$B$4,"",$A$4+80)</f>
        <v>46103</v>
      </c>
      <c r="N8012" t="str">
        <f>IF(M8012="","",'Master Barang'!A6)</f>
        <v>PRL-005</v>
      </c>
      <c r="O8012" t="str">
        <f>IF(N8012="","",'Master Barang'!B6)</f>
        <v>spons cuci hijau</v>
      </c>
      <c r="P8012">
        <f>IF(OR(M8012="",N8012=""),"",SUMIFS('Barang Keluar'!$E:$E,'Barang Keluar'!$A:$A,M8012,'Barang Keluar'!$C:$C,N8012))</f>
        <v>0</v>
      </c>
    </row>
    <row r="8013" spans="13:16">
      <c r="M8013" s="49">
        <f>IF($A$4+80&gt;$B$4,"",$A$4+80)</f>
        <v>46103</v>
      </c>
      <c r="N8013" t="str">
        <f>IF(M8013="","",'Master Barang'!A7)</f>
        <v>PRL-006</v>
      </c>
      <c r="O8013" t="str">
        <f>IF(N8013="","",'Master Barang'!B7)</f>
        <v>sabut cuci stainless</v>
      </c>
      <c r="P8013">
        <f>IF(OR(M8013="",N8013=""),"",SUMIFS('Barang Keluar'!$E:$E,'Barang Keluar'!$A:$A,M8013,'Barang Keluar'!$C:$C,N8013))</f>
        <v>0</v>
      </c>
    </row>
    <row r="8014" spans="13:16">
      <c r="M8014" s="49">
        <f>IF($A$4+80&gt;$B$4,"",$A$4+80)</f>
        <v>46103</v>
      </c>
      <c r="N8014" t="str">
        <f>IF(M8014="","",'Master Barang'!A8)</f>
        <v>PRL-007</v>
      </c>
      <c r="O8014" t="str">
        <f>IF(N8014="","",'Master Barang'!B8)</f>
        <v>plastik kresek besar merah 50pc</v>
      </c>
      <c r="P8014">
        <f>IF(OR(M8014="",N8014=""),"",SUMIFS('Barang Keluar'!$E:$E,'Barang Keluar'!$A:$A,M8014,'Barang Keluar'!$C:$C,N8014))</f>
        <v>0</v>
      </c>
    </row>
    <row r="8015" spans="13:16">
      <c r="M8015" s="49">
        <f>IF($A$4+80&gt;$B$4,"",$A$4+80)</f>
        <v>46103</v>
      </c>
      <c r="N8015" t="str">
        <f>IF(M8015="","",'Master Barang'!A9)</f>
        <v>PRL-008</v>
      </c>
      <c r="O8015" t="str">
        <f>IF(N8015="","",'Master Barang'!B9)</f>
        <v>lap besar</v>
      </c>
      <c r="P8015">
        <f>IF(OR(M8015="",N8015=""),"",SUMIFS('Barang Keluar'!$E:$E,'Barang Keluar'!$A:$A,M8015,'Barang Keluar'!$C:$C,N8015))</f>
        <v>0</v>
      </c>
    </row>
    <row r="8016" spans="13:16">
      <c r="M8016" s="49">
        <f>IF($A$4+80&gt;$B$4,"",$A$4+80)</f>
        <v>46103</v>
      </c>
      <c r="N8016" t="str">
        <f>IF(M8016="","",'Master Barang'!A10)</f>
        <v>PRL-009</v>
      </c>
      <c r="O8016" t="str">
        <f>IF(N8016="","",'Master Barang'!B10)</f>
        <v>lap microfiber</v>
      </c>
      <c r="P8016">
        <f>IF(OR(M8016="",N8016=""),"",SUMIFS('Barang Keluar'!$E:$E,'Barang Keluar'!$A:$A,M8016,'Barang Keluar'!$C:$C,N8016))</f>
        <v>0</v>
      </c>
    </row>
    <row r="8017" spans="13:16">
      <c r="M8017" s="49">
        <f>IF($A$4+80&gt;$B$4,"",$A$4+80)</f>
        <v>46103</v>
      </c>
      <c r="N8017" t="str">
        <f>IF(M8017="","",'Master Barang'!A11)</f>
        <v>PRL-010</v>
      </c>
      <c r="O8017" t="str">
        <f>IF(N8017="","",'Master Barang'!B11)</f>
        <v>lap kecil</v>
      </c>
      <c r="P8017">
        <f>IF(OR(M8017="",N8017=""),"",SUMIFS('Barang Keluar'!$E:$E,'Barang Keluar'!$A:$A,M8017,'Barang Keluar'!$C:$C,N8017))</f>
        <v>0</v>
      </c>
    </row>
    <row r="8018" spans="13:16">
      <c r="M8018" s="49">
        <f>IF($A$4+80&gt;$B$4,"",$A$4+80)</f>
        <v>46103</v>
      </c>
      <c r="N8018" t="str">
        <f>IF(M8018="","",'Master Barang'!A12)</f>
        <v>PRL-011</v>
      </c>
      <c r="O8018" t="str">
        <f>IF(N8018="","",'Master Barang'!B12)</f>
        <v>kanebo kecil</v>
      </c>
      <c r="P8018">
        <f>IF(OR(M8018="",N8018=""),"",SUMIFS('Barang Keluar'!$E:$E,'Barang Keluar'!$A:$A,M8018,'Barang Keluar'!$C:$C,N8018))</f>
        <v>0</v>
      </c>
    </row>
    <row r="8019" spans="13:16">
      <c r="M8019" s="49">
        <f>IF($A$4+80&gt;$B$4,"",$A$4+80)</f>
        <v>46103</v>
      </c>
      <c r="N8019" t="str">
        <f>IF(M8019="","",'Master Barang'!A13)</f>
        <v>PRL-012</v>
      </c>
      <c r="O8019" t="str">
        <f>IF(N8019="","",'Master Barang'!B13)</f>
        <v>plastik 1/4kg joyoboyo 100 lembar</v>
      </c>
      <c r="P8019">
        <f>IF(OR(M8019="",N8019=""),"",SUMIFS('Barang Keluar'!$E:$E,'Barang Keluar'!$A:$A,M8019,'Barang Keluar'!$C:$C,N8019))</f>
        <v>0</v>
      </c>
    </row>
    <row r="8020" spans="13:16">
      <c r="M8020" s="49">
        <f>IF($A$4+80&gt;$B$4,"",$A$4+80)</f>
        <v>46103</v>
      </c>
      <c r="N8020" t="str">
        <f>IF(M8020="","",'Master Barang'!A14)</f>
        <v>PRL-013</v>
      </c>
      <c r="O8020" t="str">
        <f>IF(N8020="","",'Master Barang'!B14)</f>
        <v>sarung tangan plastik kaka 100 pcs</v>
      </c>
      <c r="P8020">
        <f>IF(OR(M8020="",N8020=""),"",SUMIFS('Barang Keluar'!$E:$E,'Barang Keluar'!$A:$A,M8020,'Barang Keluar'!$C:$C,N8020))</f>
        <v>0</v>
      </c>
    </row>
    <row r="8021" spans="13:16">
      <c r="M8021" s="49">
        <f>IF($A$4+80&gt;$B$4,"",$A$4+80)</f>
        <v>46103</v>
      </c>
      <c r="N8021" t="str">
        <f>IF(M8021="","",'Master Barang'!A15)</f>
        <v>PRL-014</v>
      </c>
      <c r="O8021" t="str">
        <f>IF(N8021="","",'Master Barang'!B15)</f>
        <v>optima trashbag 80x100</v>
      </c>
      <c r="P8021">
        <f>IF(OR(M8021="",N8021=""),"",SUMIFS('Barang Keluar'!$E:$E,'Barang Keluar'!$A:$A,M8021,'Barang Keluar'!$C:$C,N8021))</f>
        <v>0</v>
      </c>
    </row>
    <row r="8022" spans="13:16">
      <c r="M8022" s="49">
        <f>IF($A$4+80&gt;$B$4,"",$A$4+80)</f>
        <v>46103</v>
      </c>
      <c r="N8022" t="str">
        <f>IF(M8022="","",'Master Barang'!A16)</f>
        <v>PRL-015</v>
      </c>
      <c r="O8022" t="str">
        <f>IF(N8022="","",'Master Barang'!B16)</f>
        <v>optima trashbag 60x100</v>
      </c>
      <c r="P8022">
        <f>IF(OR(M8022="",N8022=""),"",SUMIFS('Barang Keluar'!$E:$E,'Barang Keluar'!$A:$A,M8022,'Barang Keluar'!$C:$C,N8022))</f>
        <v>0</v>
      </c>
    </row>
    <row r="8023" spans="13:16">
      <c r="M8023" s="49">
        <f>IF($A$4+80&gt;$B$4,"",$A$4+80)</f>
        <v>46103</v>
      </c>
      <c r="N8023" t="str">
        <f>IF(M8023="","",'Master Barang'!A17)</f>
        <v>PRL-016</v>
      </c>
      <c r="O8023" t="str">
        <f>IF(N8023="","",'Master Barang'!B17)</f>
        <v>rajawali trashbag 30x40</v>
      </c>
      <c r="P8023">
        <f>IF(OR(M8023="",N8023=""),"",SUMIFS('Barang Keluar'!$E:$E,'Barang Keluar'!$A:$A,M8023,'Barang Keluar'!$C:$C,N8023))</f>
        <v>0</v>
      </c>
    </row>
    <row r="8024" spans="13:16">
      <c r="M8024" s="49">
        <f>IF($A$4+80&gt;$B$4,"",$A$4+80)</f>
        <v>46103</v>
      </c>
      <c r="N8024" t="str">
        <f>IF(M8024="","",'Master Barang'!A18)</f>
        <v>PRL-017</v>
      </c>
      <c r="O8024" t="str">
        <f>IF(N8024="","",'Master Barang'!B18)</f>
        <v>onemed masker biru 3 play 50 pcs</v>
      </c>
      <c r="P8024">
        <f>IF(OR(M8024="",N8024=""),"",SUMIFS('Barang Keluar'!$E:$E,'Barang Keluar'!$A:$A,M8024,'Barang Keluar'!$C:$C,N8024))</f>
        <v>0</v>
      </c>
    </row>
    <row r="8025" spans="13:16">
      <c r="M8025" s="49">
        <f>IF($A$4+80&gt;$B$4,"",$A$4+80)</f>
        <v>46103</v>
      </c>
      <c r="N8025" t="str">
        <f>IF(M8025="","",'Master Barang'!A19)</f>
        <v>PRL-018</v>
      </c>
      <c r="O8025" t="str">
        <f>IF(N8025="","",'Master Barang'!B19)</f>
        <v>onemed masker biru 3 play hijab 50 pcs</v>
      </c>
      <c r="P8025">
        <f>IF(OR(M8025="",N8025=""),"",SUMIFS('Barang Keluar'!$E:$E,'Barang Keluar'!$A:$A,M8025,'Barang Keluar'!$C:$C,N8025))</f>
        <v>0</v>
      </c>
    </row>
    <row r="8026" spans="13:16">
      <c r="M8026" s="49">
        <f>IF($A$4+80&gt;$B$4,"",$A$4+80)</f>
        <v>46103</v>
      </c>
      <c r="N8026" t="str">
        <f>IF(M8026="","",'Master Barang'!A20)</f>
        <v>PRL-019</v>
      </c>
      <c r="O8026" t="str">
        <f>IF(N8026="","",'Master Barang'!B20)</f>
        <v>neo health masker biru 3 play 50 pcs</v>
      </c>
      <c r="P8026">
        <f>IF(OR(M8026="",N8026=""),"",SUMIFS('Barang Keluar'!$E:$E,'Barang Keluar'!$A:$A,M8026,'Barang Keluar'!$C:$C,N8026))</f>
        <v>0</v>
      </c>
    </row>
    <row r="8027" spans="13:16">
      <c r="M8027" s="49">
        <f>IF($A$4+80&gt;$B$4,"",$A$4+80)</f>
        <v>46103</v>
      </c>
      <c r="N8027" t="str">
        <f>IF(M8027="","",'Master Barang'!A21)</f>
        <v>PRL-020</v>
      </c>
      <c r="O8027" t="str">
        <f>IF(N8027="","",'Master Barang'!B21)</f>
        <v>baymed masker hijau 3 play hijau 50 pcs</v>
      </c>
      <c r="P8027">
        <f>IF(OR(M8027="",N8027=""),"",SUMIFS('Barang Keluar'!$E:$E,'Barang Keluar'!$A:$A,M8027,'Barang Keluar'!$C:$C,N8027))</f>
        <v>0</v>
      </c>
    </row>
    <row r="8028" spans="13:16">
      <c r="M8028" s="49">
        <f>IF($A$4+80&gt;$B$4,"",$A$4+80)</f>
        <v>46103</v>
      </c>
      <c r="N8028" t="str">
        <f>IF(M8028="","",'Master Barang'!A22)</f>
        <v>PRL-021</v>
      </c>
      <c r="O8028" t="str">
        <f>IF(N8028="","",'Master Barang'!B22)</f>
        <v>altamed nurse cap penutup kepala 100 pcs</v>
      </c>
      <c r="P8028">
        <f>IF(OR(M8028="",N8028=""),"",SUMIFS('Barang Keluar'!$E:$E,'Barang Keluar'!$A:$A,M8028,'Barang Keluar'!$C:$C,N8028))</f>
        <v>0</v>
      </c>
    </row>
    <row r="8029" spans="13:16">
      <c r="M8029" s="49">
        <f>IF($A$4+80&gt;$B$4,"",$A$4+80)</f>
        <v>46103</v>
      </c>
      <c r="N8029" t="str">
        <f>IF(M8029="","",'Master Barang'!A23)</f>
        <v>PRL-022</v>
      </c>
      <c r="O8029" t="str">
        <f>IF(N8029="","",'Master Barang'!B23)</f>
        <v>sabun cuci tangan</v>
      </c>
      <c r="P8029">
        <f>IF(OR(M8029="",N8029=""),"",SUMIFS('Barang Keluar'!$E:$E,'Barang Keluar'!$A:$A,M8029,'Barang Keluar'!$C:$C,N8029))</f>
        <v>0</v>
      </c>
    </row>
    <row r="8030" spans="13:16">
      <c r="M8030" s="49">
        <f>IF($A$4+80&gt;$B$4,"",$A$4+80)</f>
        <v>46103</v>
      </c>
      <c r="N8030" t="str">
        <f>IF(M8030="","",'Master Barang'!A24)</f>
        <v>PRL-023</v>
      </c>
      <c r="O8030" t="str">
        <f>IF(N8030="","",'Master Barang'!B24)</f>
        <v>gayung kecil</v>
      </c>
      <c r="P8030">
        <f>IF(OR(M8030="",N8030=""),"",SUMIFS('Barang Keluar'!$E:$E,'Barang Keluar'!$A:$A,M8030,'Barang Keluar'!$C:$C,N8030))</f>
        <v>0</v>
      </c>
    </row>
    <row r="8031" spans="13:16">
      <c r="M8031" s="49">
        <f>IF($A$4+80&gt;$B$4,"",$A$4+80)</f>
        <v>46103</v>
      </c>
      <c r="N8031" t="str">
        <f>IF(M8031="","",'Master Barang'!A25)</f>
        <v>PRL-024</v>
      </c>
      <c r="O8031" t="str">
        <f>IF(N8031="","",'Master Barang'!B25)</f>
        <v>cikrak kecil</v>
      </c>
      <c r="P8031">
        <f>IF(OR(M8031="",N8031=""),"",SUMIFS('Barang Keluar'!$E:$E,'Barang Keluar'!$A:$A,M8031,'Barang Keluar'!$C:$C,N8031))</f>
        <v>0</v>
      </c>
    </row>
    <row r="8032" spans="13:16">
      <c r="M8032" s="49">
        <f>IF($A$4+80&gt;$B$4,"",$A$4+80)</f>
        <v>46103</v>
      </c>
      <c r="N8032" t="str">
        <f>IF(M8032="","",'Master Barang'!A26)</f>
        <v>PRL-025</v>
      </c>
      <c r="O8032" t="str">
        <f>IF(N8032="","",'Master Barang'!B26)</f>
        <v>petromax plastik kecil 12x24 100 lembar</v>
      </c>
      <c r="P8032">
        <f>IF(OR(M8032="",N8032=""),"",SUMIFS('Barang Keluar'!$E:$E,'Barang Keluar'!$A:$A,M8032,'Barang Keluar'!$C:$C,N8032))</f>
        <v>0</v>
      </c>
    </row>
    <row r="8033" spans="13:16">
      <c r="M8033" s="49">
        <f>IF($A$4+80&gt;$B$4,"",$A$4+80)</f>
        <v>46103</v>
      </c>
      <c r="N8033" t="str">
        <f>IF(M8033="","",'Master Barang'!A27)</f>
        <v>PRL-026</v>
      </c>
      <c r="O8033" t="str">
        <f>IF(N8033="","",'Master Barang'!B27)</f>
        <v>lancar kresek kecil bening </v>
      </c>
      <c r="P8033">
        <f>IF(OR(M8033="",N8033=""),"",SUMIFS('Barang Keluar'!$E:$E,'Barang Keluar'!$A:$A,M8033,'Barang Keluar'!$C:$C,N8033))</f>
        <v>0</v>
      </c>
    </row>
    <row r="8034" spans="13:16">
      <c r="M8034" s="49">
        <f>IF($A$4+80&gt;$B$4,"",$A$4+80)</f>
        <v>46103</v>
      </c>
      <c r="N8034" t="str">
        <f>IF(M8034="","",'Master Barang'!A28)</f>
        <v>PRL-027</v>
      </c>
      <c r="O8034" t="str">
        <f>IF(N8034="","",'Master Barang'!B28)</f>
        <v>kresek klin warna warni kecil</v>
      </c>
      <c r="P8034">
        <f>IF(OR(M8034="",N8034=""),"",SUMIFS('Barang Keluar'!$E:$E,'Barang Keluar'!$A:$A,M8034,'Barang Keluar'!$C:$C,N8034))</f>
        <v>0</v>
      </c>
    </row>
    <row r="8035" spans="13:16">
      <c r="M8035" s="49">
        <f>IF($A$4+80&gt;$B$4,"",$A$4+80)</f>
        <v>46103</v>
      </c>
      <c r="N8035" t="str">
        <f>IF(M8035="","",'Master Barang'!A29)</f>
        <v>PRL-028</v>
      </c>
      <c r="O8035" t="str">
        <f>IF(N8035="","",'Master Barang'!B29)</f>
        <v>ctik plastik 7x10 100 pcs</v>
      </c>
      <c r="P8035">
        <f>IF(OR(M8035="",N8035=""),"",SUMIFS('Barang Keluar'!$E:$E,'Barang Keluar'!$A:$A,M8035,'Barang Keluar'!$C:$C,N8035))</f>
        <v>0</v>
      </c>
    </row>
    <row r="8036" spans="13:16">
      <c r="M8036" s="49">
        <f>IF($A$4+80&gt;$B$4,"",$A$4+80)</f>
        <v>46103</v>
      </c>
      <c r="N8036" t="str">
        <f>IF(M8036="","",'Master Barang'!A30)</f>
        <v>PRL-029</v>
      </c>
      <c r="O8036" t="str">
        <f>IF(N8036="","",'Master Barang'!B30)</f>
        <v>ctik plastik 6x10 100 pcs</v>
      </c>
      <c r="P8036">
        <f>IF(OR(M8036="",N8036=""),"",SUMIFS('Barang Keluar'!$E:$E,'Barang Keluar'!$A:$A,M8036,'Barang Keluar'!$C:$C,N8036))</f>
        <v>0</v>
      </c>
    </row>
    <row r="8037" spans="13:16">
      <c r="M8037" s="49">
        <f>IF($A$4+80&gt;$B$4,"",$A$4+80)</f>
        <v>46103</v>
      </c>
      <c r="N8037" t="str">
        <f>IF(M8037="","",'Master Barang'!A31)</f>
        <v>PRL-030</v>
      </c>
      <c r="O8037" t="str">
        <f>IF(N8037="","",'Master Barang'!B31)</f>
        <v>klip plastik 25x16 100 pcs</v>
      </c>
      <c r="P8037">
        <f>IF(OR(M8037="",N8037=""),"",SUMIFS('Barang Keluar'!$E:$E,'Barang Keluar'!$A:$A,M8037,'Barang Keluar'!$C:$C,N8037))</f>
        <v>0</v>
      </c>
    </row>
    <row r="8038" spans="13:16">
      <c r="M8038" s="49">
        <f>IF($A$4+80&gt;$B$4,"",$A$4+80)</f>
        <v>46103</v>
      </c>
      <c r="N8038" t="str">
        <f>IF(M8038="","",'Master Barang'!A32)</f>
        <v>PRL-031</v>
      </c>
      <c r="O8038" t="str">
        <f>IF(N8038="","",'Master Barang'!B32)</f>
        <v>tempat saus 20 ml</v>
      </c>
      <c r="P8038">
        <f>IF(OR(M8038="",N8038=""),"",SUMIFS('Barang Keluar'!$E:$E,'Barang Keluar'!$A:$A,M8038,'Barang Keluar'!$C:$C,N8038))</f>
        <v>0</v>
      </c>
    </row>
    <row r="8039" spans="13:16">
      <c r="M8039" s="49">
        <f>IF($A$4+80&gt;$B$4,"",$A$4+80)</f>
        <v>46103</v>
      </c>
      <c r="N8039" t="str">
        <f>IF(M8039="","",'Master Barang'!A33)</f>
        <v>PRL-032</v>
      </c>
      <c r="O8039" t="str">
        <f>IF(N8039="","",'Master Barang'!B33)</f>
        <v>plastik packaging ag box uk sedang</v>
      </c>
      <c r="P8039">
        <f>IF(OR(M8039="",N8039=""),"",SUMIFS('Barang Keluar'!$E:$E,'Barang Keluar'!$A:$A,M8039,'Barang Keluar'!$C:$C,N8039))</f>
        <v>0</v>
      </c>
    </row>
    <row r="8040" spans="13:16">
      <c r="M8040" s="49">
        <f>IF($A$4+80&gt;$B$4,"",$A$4+80)</f>
        <v>46103</v>
      </c>
      <c r="N8040" t="str">
        <f>IF(M8040="","",'Master Barang'!A34)</f>
        <v>PRL-033</v>
      </c>
      <c r="O8040">
        <f>IF(N8040="","",'Master Barang'!B34)</f>
        <v>0</v>
      </c>
      <c r="P8040">
        <f>IF(OR(M8040="",N8040=""),"",SUMIFS('Barang Keluar'!$E:$E,'Barang Keluar'!$A:$A,M8040,'Barang Keluar'!$C:$C,N8040))</f>
        <v>0</v>
      </c>
    </row>
    <row r="8041" spans="13:16">
      <c r="M8041" s="49">
        <f>IF($A$4+80&gt;$B$4,"",$A$4+80)</f>
        <v>46103</v>
      </c>
      <c r="N8041">
        <f>IF(M8041="","",'Master Barang'!A35)</f>
        <v>0</v>
      </c>
      <c r="O8041">
        <f>IF(N8041="","",'Master Barang'!B35)</f>
        <v>0</v>
      </c>
      <c r="P8041">
        <f>IF(OR(M8041="",N8041=""),"",SUMIFS('Barang Keluar'!$E:$E,'Barang Keluar'!$A:$A,M8041,'Barang Keluar'!$C:$C,N8041))</f>
        <v>0</v>
      </c>
    </row>
    <row r="8042" spans="13:16">
      <c r="M8042" s="49">
        <f>IF($A$4+80&gt;$B$4,"",$A$4+80)</f>
        <v>46103</v>
      </c>
      <c r="N8042">
        <f>IF(M8042="","",'Master Barang'!A36)</f>
        <v>0</v>
      </c>
      <c r="O8042">
        <f>IF(N8042="","",'Master Barang'!B36)</f>
        <v>0</v>
      </c>
      <c r="P8042">
        <f>IF(OR(M8042="",N8042=""),"",SUMIFS('Barang Keluar'!$E:$E,'Barang Keluar'!$A:$A,M8042,'Barang Keluar'!$C:$C,N8042))</f>
        <v>0</v>
      </c>
    </row>
    <row r="8043" spans="13:16">
      <c r="M8043" s="49">
        <f>IF($A$4+80&gt;$B$4,"",$A$4+80)</f>
        <v>46103</v>
      </c>
      <c r="N8043">
        <f>IF(M8043="","",'Master Barang'!A37)</f>
        <v>0</v>
      </c>
      <c r="O8043">
        <f>IF(N8043="","",'Master Barang'!B37)</f>
        <v>0</v>
      </c>
      <c r="P8043">
        <f>IF(OR(M8043="",N8043=""),"",SUMIFS('Barang Keluar'!$E:$E,'Barang Keluar'!$A:$A,M8043,'Barang Keluar'!$C:$C,N8043))</f>
        <v>0</v>
      </c>
    </row>
    <row r="8044" spans="13:16">
      <c r="M8044" s="49">
        <f>IF($A$4+80&gt;$B$4,"",$A$4+80)</f>
        <v>46103</v>
      </c>
      <c r="N8044">
        <f>IF(M8044="","",'Master Barang'!A38)</f>
        <v>0</v>
      </c>
      <c r="O8044">
        <f>IF(N8044="","",'Master Barang'!B38)</f>
        <v>0</v>
      </c>
      <c r="P8044">
        <f>IF(OR(M8044="",N8044=""),"",SUMIFS('Barang Keluar'!$E:$E,'Barang Keluar'!$A:$A,M8044,'Barang Keluar'!$C:$C,N8044))</f>
        <v>0</v>
      </c>
    </row>
    <row r="8045" spans="13:16">
      <c r="M8045" s="49">
        <f>IF($A$4+80&gt;$B$4,"",$A$4+80)</f>
        <v>46103</v>
      </c>
      <c r="N8045">
        <f>IF(M8045="","",'Master Barang'!A39)</f>
        <v>0</v>
      </c>
      <c r="O8045">
        <f>IF(N8045="","",'Master Barang'!B39)</f>
        <v>0</v>
      </c>
      <c r="P8045">
        <f>IF(OR(M8045="",N8045=""),"",SUMIFS('Barang Keluar'!$E:$E,'Barang Keluar'!$A:$A,M8045,'Barang Keluar'!$C:$C,N8045))</f>
        <v>0</v>
      </c>
    </row>
    <row r="8046" spans="13:16">
      <c r="M8046" s="49">
        <f>IF($A$4+80&gt;$B$4,"",$A$4+80)</f>
        <v>46103</v>
      </c>
      <c r="N8046">
        <f>IF(M8046="","",'Master Barang'!A40)</f>
        <v>0</v>
      </c>
      <c r="O8046">
        <f>IF(N8046="","",'Master Barang'!B40)</f>
        <v>0</v>
      </c>
      <c r="P8046">
        <f>IF(OR(M8046="",N8046=""),"",SUMIFS('Barang Keluar'!$E:$E,'Barang Keluar'!$A:$A,M8046,'Barang Keluar'!$C:$C,N8046))</f>
        <v>0</v>
      </c>
    </row>
    <row r="8047" spans="13:16">
      <c r="M8047" s="49">
        <f>IF($A$4+80&gt;$B$4,"",$A$4+80)</f>
        <v>46103</v>
      </c>
      <c r="N8047">
        <f>IF(M8047="","",'Master Barang'!A41)</f>
        <v>0</v>
      </c>
      <c r="O8047">
        <f>IF(N8047="","",'Master Barang'!B41)</f>
        <v>0</v>
      </c>
      <c r="P8047">
        <f>IF(OR(M8047="",N8047=""),"",SUMIFS('Barang Keluar'!$E:$E,'Barang Keluar'!$A:$A,M8047,'Barang Keluar'!$C:$C,N8047))</f>
        <v>0</v>
      </c>
    </row>
    <row r="8048" spans="13:16">
      <c r="M8048" s="49">
        <f>IF($A$4+80&gt;$B$4,"",$A$4+80)</f>
        <v>46103</v>
      </c>
      <c r="N8048">
        <f>IF(M8048="","",'Master Barang'!A42)</f>
        <v>0</v>
      </c>
      <c r="O8048">
        <f>IF(N8048="","",'Master Barang'!B42)</f>
        <v>0</v>
      </c>
      <c r="P8048">
        <f>IF(OR(M8048="",N8048=""),"",SUMIFS('Barang Keluar'!$E:$E,'Barang Keluar'!$A:$A,M8048,'Barang Keluar'!$C:$C,N8048))</f>
        <v>0</v>
      </c>
    </row>
    <row r="8049" spans="13:16">
      <c r="M8049" s="49">
        <f>IF($A$4+80&gt;$B$4,"",$A$4+80)</f>
        <v>46103</v>
      </c>
      <c r="N8049">
        <f>IF(M8049="","",'Master Barang'!A43)</f>
        <v>0</v>
      </c>
      <c r="O8049">
        <f>IF(N8049="","",'Master Barang'!B43)</f>
        <v>0</v>
      </c>
      <c r="P8049">
        <f>IF(OR(M8049="",N8049=""),"",SUMIFS('Barang Keluar'!$E:$E,'Barang Keluar'!$A:$A,M8049,'Barang Keluar'!$C:$C,N8049))</f>
        <v>0</v>
      </c>
    </row>
    <row r="8050" spans="13:16">
      <c r="M8050" s="49">
        <f>IF($A$4+80&gt;$B$4,"",$A$4+80)</f>
        <v>46103</v>
      </c>
      <c r="N8050">
        <f>IF(M8050="","",'Master Barang'!A44)</f>
        <v>0</v>
      </c>
      <c r="O8050">
        <f>IF(N8050="","",'Master Barang'!B44)</f>
        <v>0</v>
      </c>
      <c r="P8050">
        <f>IF(OR(M8050="",N8050=""),"",SUMIFS('Barang Keluar'!$E:$E,'Barang Keluar'!$A:$A,M8050,'Barang Keluar'!$C:$C,N8050))</f>
        <v>0</v>
      </c>
    </row>
    <row r="8051" spans="13:16">
      <c r="M8051" s="49">
        <f>IF($A$4+80&gt;$B$4,"",$A$4+80)</f>
        <v>46103</v>
      </c>
      <c r="N8051">
        <f>IF(M8051="","",'Master Barang'!A45)</f>
        <v>0</v>
      </c>
      <c r="O8051">
        <f>IF(N8051="","",'Master Barang'!B45)</f>
        <v>0</v>
      </c>
      <c r="P8051">
        <f>IF(OR(M8051="",N8051=""),"",SUMIFS('Barang Keluar'!$E:$E,'Barang Keluar'!$A:$A,M8051,'Barang Keluar'!$C:$C,N8051))</f>
        <v>0</v>
      </c>
    </row>
    <row r="8052" spans="13:16">
      <c r="M8052" s="49">
        <f>IF($A$4+80&gt;$B$4,"",$A$4+80)</f>
        <v>46103</v>
      </c>
      <c r="N8052">
        <f>IF(M8052="","",'Master Barang'!A46)</f>
        <v>0</v>
      </c>
      <c r="O8052">
        <f>IF(N8052="","",'Master Barang'!B46)</f>
        <v>0</v>
      </c>
      <c r="P8052">
        <f>IF(OR(M8052="",N8052=""),"",SUMIFS('Barang Keluar'!$E:$E,'Barang Keluar'!$A:$A,M8052,'Barang Keluar'!$C:$C,N8052))</f>
        <v>0</v>
      </c>
    </row>
    <row r="8053" spans="13:16">
      <c r="M8053" s="49">
        <f>IF($A$4+80&gt;$B$4,"",$A$4+80)</f>
        <v>46103</v>
      </c>
      <c r="N8053">
        <f>IF(M8053="","",'Master Barang'!A47)</f>
        <v>0</v>
      </c>
      <c r="O8053">
        <f>IF(N8053="","",'Master Barang'!B47)</f>
        <v>0</v>
      </c>
      <c r="P8053">
        <f>IF(OR(M8053="",N8053=""),"",SUMIFS('Barang Keluar'!$E:$E,'Barang Keluar'!$A:$A,M8053,'Barang Keluar'!$C:$C,N8053))</f>
        <v>0</v>
      </c>
    </row>
    <row r="8054" spans="13:16">
      <c r="M8054" s="49">
        <f>IF($A$4+80&gt;$B$4,"",$A$4+80)</f>
        <v>46103</v>
      </c>
      <c r="N8054">
        <f>IF(M8054="","",'Master Barang'!A48)</f>
        <v>0</v>
      </c>
      <c r="O8054">
        <f>IF(N8054="","",'Master Barang'!B48)</f>
        <v>0</v>
      </c>
      <c r="P8054">
        <f>IF(OR(M8054="",N8054=""),"",SUMIFS('Barang Keluar'!$E:$E,'Barang Keluar'!$A:$A,M8054,'Barang Keluar'!$C:$C,N8054))</f>
        <v>0</v>
      </c>
    </row>
    <row r="8055" spans="13:16">
      <c r="M8055" s="49">
        <f>IF($A$4+80&gt;$B$4,"",$A$4+80)</f>
        <v>46103</v>
      </c>
      <c r="N8055">
        <f>IF(M8055="","",'Master Barang'!A49)</f>
        <v>0</v>
      </c>
      <c r="O8055">
        <f>IF(N8055="","",'Master Barang'!B49)</f>
        <v>0</v>
      </c>
      <c r="P8055">
        <f>IF(OR(M8055="",N8055=""),"",SUMIFS('Barang Keluar'!$E:$E,'Barang Keluar'!$A:$A,M8055,'Barang Keluar'!$C:$C,N8055))</f>
        <v>0</v>
      </c>
    </row>
    <row r="8056" spans="13:16">
      <c r="M8056" s="49">
        <f>IF($A$4+80&gt;$B$4,"",$A$4+80)</f>
        <v>46103</v>
      </c>
      <c r="N8056">
        <f>IF(M8056="","",'Master Barang'!A50)</f>
        <v>0</v>
      </c>
      <c r="O8056">
        <f>IF(N8056="","",'Master Barang'!B50)</f>
        <v>0</v>
      </c>
      <c r="P8056">
        <f>IF(OR(M8056="",N8056=""),"",SUMIFS('Barang Keluar'!$E:$E,'Barang Keluar'!$A:$A,M8056,'Barang Keluar'!$C:$C,N8056))</f>
        <v>0</v>
      </c>
    </row>
    <row r="8057" spans="13:16">
      <c r="M8057" s="49">
        <f>IF($A$4+80&gt;$B$4,"",$A$4+80)</f>
        <v>46103</v>
      </c>
      <c r="N8057">
        <f>IF(M8057="","",'Master Barang'!A51)</f>
        <v>0</v>
      </c>
      <c r="O8057">
        <f>IF(N8057="","",'Master Barang'!B51)</f>
        <v>0</v>
      </c>
      <c r="P8057">
        <f>IF(OR(M8057="",N8057=""),"",SUMIFS('Barang Keluar'!$E:$E,'Barang Keluar'!$A:$A,M8057,'Barang Keluar'!$C:$C,N8057))</f>
        <v>0</v>
      </c>
    </row>
    <row r="8058" spans="13:16">
      <c r="M8058" s="49">
        <f>IF($A$4+80&gt;$B$4,"",$A$4+80)</f>
        <v>46103</v>
      </c>
      <c r="N8058">
        <f>IF(M8058="","",'Master Barang'!A52)</f>
        <v>0</v>
      </c>
      <c r="O8058">
        <f>IF(N8058="","",'Master Barang'!B52)</f>
        <v>0</v>
      </c>
      <c r="P8058">
        <f>IF(OR(M8058="",N8058=""),"",SUMIFS('Barang Keluar'!$E:$E,'Barang Keluar'!$A:$A,M8058,'Barang Keluar'!$C:$C,N8058))</f>
        <v>0</v>
      </c>
    </row>
    <row r="8059" spans="13:16">
      <c r="M8059" s="49">
        <f>IF($A$4+80&gt;$B$4,"",$A$4+80)</f>
        <v>46103</v>
      </c>
      <c r="N8059">
        <f>IF(M8059="","",'Master Barang'!A53)</f>
        <v>0</v>
      </c>
      <c r="O8059">
        <f>IF(N8059="","",'Master Barang'!B53)</f>
        <v>0</v>
      </c>
      <c r="P8059">
        <f>IF(OR(M8059="",N8059=""),"",SUMIFS('Barang Keluar'!$E:$E,'Barang Keluar'!$A:$A,M8059,'Barang Keluar'!$C:$C,N8059))</f>
        <v>0</v>
      </c>
    </row>
    <row r="8060" spans="13:16">
      <c r="M8060" s="49">
        <f>IF($A$4+80&gt;$B$4,"",$A$4+80)</f>
        <v>46103</v>
      </c>
      <c r="N8060">
        <f>IF(M8060="","",'Master Barang'!A54)</f>
        <v>0</v>
      </c>
      <c r="O8060">
        <f>IF(N8060="","",'Master Barang'!B54)</f>
        <v>0</v>
      </c>
      <c r="P8060">
        <f>IF(OR(M8060="",N8060=""),"",SUMIFS('Barang Keluar'!$E:$E,'Barang Keluar'!$A:$A,M8060,'Barang Keluar'!$C:$C,N8060))</f>
        <v>0</v>
      </c>
    </row>
    <row r="8061" spans="13:16">
      <c r="M8061" s="49">
        <f>IF($A$4+80&gt;$B$4,"",$A$4+80)</f>
        <v>46103</v>
      </c>
      <c r="N8061">
        <f>IF(M8061="","",'Master Barang'!A55)</f>
        <v>0</v>
      </c>
      <c r="O8061">
        <f>IF(N8061="","",'Master Barang'!B55)</f>
        <v>0</v>
      </c>
      <c r="P8061">
        <f>IF(OR(M8061="",N8061=""),"",SUMIFS('Barang Keluar'!$E:$E,'Barang Keluar'!$A:$A,M8061,'Barang Keluar'!$C:$C,N8061))</f>
        <v>0</v>
      </c>
    </row>
    <row r="8062" spans="13:16">
      <c r="M8062" s="49">
        <f>IF($A$4+80&gt;$B$4,"",$A$4+80)</f>
        <v>46103</v>
      </c>
      <c r="N8062">
        <f>IF(M8062="","",'Master Barang'!A56)</f>
        <v>0</v>
      </c>
      <c r="O8062">
        <f>IF(N8062="","",'Master Barang'!B56)</f>
        <v>0</v>
      </c>
      <c r="P8062">
        <f>IF(OR(M8062="",N8062=""),"",SUMIFS('Barang Keluar'!$E:$E,'Barang Keluar'!$A:$A,M8062,'Barang Keluar'!$C:$C,N8062))</f>
        <v>0</v>
      </c>
    </row>
    <row r="8063" spans="13:16">
      <c r="M8063" s="49">
        <f>IF($A$4+80&gt;$B$4,"",$A$4+80)</f>
        <v>46103</v>
      </c>
      <c r="N8063">
        <f>IF(M8063="","",'Master Barang'!A57)</f>
        <v>0</v>
      </c>
      <c r="O8063">
        <f>IF(N8063="","",'Master Barang'!B57)</f>
        <v>0</v>
      </c>
      <c r="P8063">
        <f>IF(OR(M8063="",N8063=""),"",SUMIFS('Barang Keluar'!$E:$E,'Barang Keluar'!$A:$A,M8063,'Barang Keluar'!$C:$C,N8063))</f>
        <v>0</v>
      </c>
    </row>
    <row r="8064" spans="13:16">
      <c r="M8064" s="49">
        <f>IF($A$4+80&gt;$B$4,"",$A$4+80)</f>
        <v>46103</v>
      </c>
      <c r="N8064">
        <f>IF(M8064="","",'Master Barang'!A58)</f>
        <v>0</v>
      </c>
      <c r="O8064">
        <f>IF(N8064="","",'Master Barang'!B58)</f>
        <v>0</v>
      </c>
      <c r="P8064">
        <f>IF(OR(M8064="",N8064=""),"",SUMIFS('Barang Keluar'!$E:$E,'Barang Keluar'!$A:$A,M8064,'Barang Keluar'!$C:$C,N8064))</f>
        <v>0</v>
      </c>
    </row>
    <row r="8065" spans="13:16">
      <c r="M8065" s="49">
        <f>IF($A$4+80&gt;$B$4,"",$A$4+80)</f>
        <v>46103</v>
      </c>
      <c r="N8065">
        <f>IF(M8065="","",'Master Barang'!A59)</f>
        <v>0</v>
      </c>
      <c r="O8065">
        <f>IF(N8065="","",'Master Barang'!B59)</f>
        <v>0</v>
      </c>
      <c r="P8065">
        <f>IF(OR(M8065="",N8065=""),"",SUMIFS('Barang Keluar'!$E:$E,'Barang Keluar'!$A:$A,M8065,'Barang Keluar'!$C:$C,N8065))</f>
        <v>0</v>
      </c>
    </row>
    <row r="8066" spans="13:16">
      <c r="M8066" s="49">
        <f>IF($A$4+80&gt;$B$4,"",$A$4+80)</f>
        <v>46103</v>
      </c>
      <c r="N8066">
        <f>IF(M8066="","",'Master Barang'!A60)</f>
        <v>0</v>
      </c>
      <c r="O8066">
        <f>IF(N8066="","",'Master Barang'!B60)</f>
        <v>0</v>
      </c>
      <c r="P8066">
        <f>IF(OR(M8066="",N8066=""),"",SUMIFS('Barang Keluar'!$E:$E,'Barang Keluar'!$A:$A,M8066,'Barang Keluar'!$C:$C,N8066))</f>
        <v>0</v>
      </c>
    </row>
    <row r="8067" spans="13:16">
      <c r="M8067" s="49">
        <f>IF($A$4+80&gt;$B$4,"",$A$4+80)</f>
        <v>46103</v>
      </c>
      <c r="N8067">
        <f>IF(M8067="","",'Master Barang'!A61)</f>
        <v>0</v>
      </c>
      <c r="O8067">
        <f>IF(N8067="","",'Master Barang'!B61)</f>
        <v>0</v>
      </c>
      <c r="P8067">
        <f>IF(OR(M8067="",N8067=""),"",SUMIFS('Barang Keluar'!$E:$E,'Barang Keluar'!$A:$A,M8067,'Barang Keluar'!$C:$C,N8067))</f>
        <v>0</v>
      </c>
    </row>
    <row r="8068" spans="13:16">
      <c r="M8068" s="49">
        <f>IF($A$4+80&gt;$B$4,"",$A$4+80)</f>
        <v>46103</v>
      </c>
      <c r="N8068">
        <f>IF(M8068="","",'Master Barang'!A62)</f>
        <v>0</v>
      </c>
      <c r="O8068">
        <f>IF(N8068="","",'Master Barang'!B62)</f>
        <v>0</v>
      </c>
      <c r="P8068">
        <f>IF(OR(M8068="",N8068=""),"",SUMIFS('Barang Keluar'!$E:$E,'Barang Keluar'!$A:$A,M8068,'Barang Keluar'!$C:$C,N8068))</f>
        <v>0</v>
      </c>
    </row>
    <row r="8069" spans="13:16">
      <c r="M8069" s="49">
        <f>IF($A$4+80&gt;$B$4,"",$A$4+80)</f>
        <v>46103</v>
      </c>
      <c r="N8069">
        <f>IF(M8069="","",'Master Barang'!A63)</f>
        <v>0</v>
      </c>
      <c r="O8069">
        <f>IF(N8069="","",'Master Barang'!B63)</f>
        <v>0</v>
      </c>
      <c r="P8069">
        <f>IF(OR(M8069="",N8069=""),"",SUMIFS('Barang Keluar'!$E:$E,'Barang Keluar'!$A:$A,M8069,'Barang Keluar'!$C:$C,N8069))</f>
        <v>0</v>
      </c>
    </row>
    <row r="8070" spans="13:16">
      <c r="M8070" s="49">
        <f>IF($A$4+80&gt;$B$4,"",$A$4+80)</f>
        <v>46103</v>
      </c>
      <c r="N8070">
        <f>IF(M8070="","",'Master Barang'!A64)</f>
        <v>0</v>
      </c>
      <c r="O8070">
        <f>IF(N8070="","",'Master Barang'!B64)</f>
        <v>0</v>
      </c>
      <c r="P8070">
        <f>IF(OR(M8070="",N8070=""),"",SUMIFS('Barang Keluar'!$E:$E,'Barang Keluar'!$A:$A,M8070,'Barang Keluar'!$C:$C,N8070))</f>
        <v>0</v>
      </c>
    </row>
    <row r="8071" spans="13:16">
      <c r="M8071" s="49">
        <f>IF($A$4+80&gt;$B$4,"",$A$4+80)</f>
        <v>46103</v>
      </c>
      <c r="N8071">
        <f>IF(M8071="","",'Master Barang'!A65)</f>
        <v>0</v>
      </c>
      <c r="O8071">
        <f>IF(N8071="","",'Master Barang'!B65)</f>
        <v>0</v>
      </c>
      <c r="P8071">
        <f>IF(OR(M8071="",N8071=""),"",SUMIFS('Barang Keluar'!$E:$E,'Barang Keluar'!$A:$A,M8071,'Barang Keluar'!$C:$C,N8071))</f>
        <v>0</v>
      </c>
    </row>
    <row r="8072" spans="13:16">
      <c r="M8072" s="49">
        <f>IF($A$4+80&gt;$B$4,"",$A$4+80)</f>
        <v>46103</v>
      </c>
      <c r="N8072">
        <f>IF(M8072="","",'Master Barang'!A66)</f>
        <v>0</v>
      </c>
      <c r="O8072">
        <f>IF(N8072="","",'Master Barang'!B66)</f>
        <v>0</v>
      </c>
      <c r="P8072">
        <f>IF(OR(M8072="",N8072=""),"",SUMIFS('Barang Keluar'!$E:$E,'Barang Keluar'!$A:$A,M8072,'Barang Keluar'!$C:$C,N8072))</f>
        <v>0</v>
      </c>
    </row>
    <row r="8073" spans="13:16">
      <c r="M8073" s="49">
        <f>IF($A$4+80&gt;$B$4,"",$A$4+80)</f>
        <v>46103</v>
      </c>
      <c r="N8073">
        <f>IF(M8073="","",'Master Barang'!A67)</f>
        <v>0</v>
      </c>
      <c r="O8073">
        <f>IF(N8073="","",'Master Barang'!B67)</f>
        <v>0</v>
      </c>
      <c r="P8073">
        <f>IF(OR(M8073="",N8073=""),"",SUMIFS('Barang Keluar'!$E:$E,'Barang Keluar'!$A:$A,M8073,'Barang Keluar'!$C:$C,N8073))</f>
        <v>0</v>
      </c>
    </row>
    <row r="8074" spans="13:16">
      <c r="M8074" s="49">
        <f>IF($A$4+80&gt;$B$4,"",$A$4+80)</f>
        <v>46103</v>
      </c>
      <c r="N8074">
        <f>IF(M8074="","",'Master Barang'!A68)</f>
        <v>0</v>
      </c>
      <c r="O8074">
        <f>IF(N8074="","",'Master Barang'!B68)</f>
        <v>0</v>
      </c>
      <c r="P8074">
        <f>IF(OR(M8074="",N8074=""),"",SUMIFS('Barang Keluar'!$E:$E,'Barang Keluar'!$A:$A,M8074,'Barang Keluar'!$C:$C,N8074))</f>
        <v>0</v>
      </c>
    </row>
    <row r="8075" spans="13:16">
      <c r="M8075" s="49">
        <f>IF($A$4+80&gt;$B$4,"",$A$4+80)</f>
        <v>46103</v>
      </c>
      <c r="N8075">
        <f>IF(M8075="","",'Master Barang'!A69)</f>
        <v>0</v>
      </c>
      <c r="O8075">
        <f>IF(N8075="","",'Master Barang'!B69)</f>
        <v>0</v>
      </c>
      <c r="P8075">
        <f>IF(OR(M8075="",N8075=""),"",SUMIFS('Barang Keluar'!$E:$E,'Barang Keluar'!$A:$A,M8075,'Barang Keluar'!$C:$C,N8075))</f>
        <v>0</v>
      </c>
    </row>
    <row r="8076" spans="13:16">
      <c r="M8076" s="49">
        <f>IF($A$4+80&gt;$B$4,"",$A$4+80)</f>
        <v>46103</v>
      </c>
      <c r="N8076">
        <f>IF(M8076="","",'Master Barang'!A70)</f>
        <v>0</v>
      </c>
      <c r="O8076">
        <f>IF(N8076="","",'Master Barang'!B70)</f>
        <v>0</v>
      </c>
      <c r="P8076">
        <f>IF(OR(M8076="",N8076=""),"",SUMIFS('Barang Keluar'!$E:$E,'Barang Keluar'!$A:$A,M8076,'Barang Keluar'!$C:$C,N8076))</f>
        <v>0</v>
      </c>
    </row>
    <row r="8077" spans="13:16">
      <c r="M8077" s="49">
        <f>IF($A$4+80&gt;$B$4,"",$A$4+80)</f>
        <v>46103</v>
      </c>
      <c r="N8077">
        <f>IF(M8077="","",'Master Barang'!A71)</f>
        <v>0</v>
      </c>
      <c r="O8077">
        <f>IF(N8077="","",'Master Barang'!B71)</f>
        <v>0</v>
      </c>
      <c r="P8077">
        <f>IF(OR(M8077="",N8077=""),"",SUMIFS('Barang Keluar'!$E:$E,'Barang Keluar'!$A:$A,M8077,'Barang Keluar'!$C:$C,N8077))</f>
        <v>0</v>
      </c>
    </row>
    <row r="8078" spans="13:16">
      <c r="M8078" s="49">
        <f>IF($A$4+80&gt;$B$4,"",$A$4+80)</f>
        <v>46103</v>
      </c>
      <c r="N8078">
        <f>IF(M8078="","",'Master Barang'!A72)</f>
        <v>0</v>
      </c>
      <c r="O8078">
        <f>IF(N8078="","",'Master Barang'!B72)</f>
        <v>0</v>
      </c>
      <c r="P8078">
        <f>IF(OR(M8078="",N8078=""),"",SUMIFS('Barang Keluar'!$E:$E,'Barang Keluar'!$A:$A,M8078,'Barang Keluar'!$C:$C,N8078))</f>
        <v>0</v>
      </c>
    </row>
    <row r="8079" spans="13:16">
      <c r="M8079" s="49">
        <f>IF($A$4+80&gt;$B$4,"",$A$4+80)</f>
        <v>46103</v>
      </c>
      <c r="N8079">
        <f>IF(M8079="","",'Master Barang'!A73)</f>
        <v>0</v>
      </c>
      <c r="O8079">
        <f>IF(N8079="","",'Master Barang'!B73)</f>
        <v>0</v>
      </c>
      <c r="P8079">
        <f>IF(OR(M8079="",N8079=""),"",SUMIFS('Barang Keluar'!$E:$E,'Barang Keluar'!$A:$A,M8079,'Barang Keluar'!$C:$C,N8079))</f>
        <v>0</v>
      </c>
    </row>
    <row r="8080" spans="13:16">
      <c r="M8080" s="49">
        <f>IF($A$4+80&gt;$B$4,"",$A$4+80)</f>
        <v>46103</v>
      </c>
      <c r="N8080">
        <f>IF(M8080="","",'Master Barang'!A74)</f>
        <v>0</v>
      </c>
      <c r="O8080">
        <f>IF(N8080="","",'Master Barang'!B74)</f>
        <v>0</v>
      </c>
      <c r="P8080">
        <f>IF(OR(M8080="",N8080=""),"",SUMIFS('Barang Keluar'!$E:$E,'Barang Keluar'!$A:$A,M8080,'Barang Keluar'!$C:$C,N8080))</f>
        <v>0</v>
      </c>
    </row>
    <row r="8081" spans="13:16">
      <c r="M8081" s="49">
        <f>IF($A$4+80&gt;$B$4,"",$A$4+80)</f>
        <v>46103</v>
      </c>
      <c r="N8081">
        <f>IF(M8081="","",'Master Barang'!A75)</f>
        <v>0</v>
      </c>
      <c r="O8081">
        <f>IF(N8081="","",'Master Barang'!B75)</f>
        <v>0</v>
      </c>
      <c r="P8081">
        <f>IF(OR(M8081="",N8081=""),"",SUMIFS('Barang Keluar'!$E:$E,'Barang Keluar'!$A:$A,M8081,'Barang Keluar'!$C:$C,N8081))</f>
        <v>0</v>
      </c>
    </row>
    <row r="8082" spans="13:16">
      <c r="M8082" s="49">
        <f>IF($A$4+80&gt;$B$4,"",$A$4+80)</f>
        <v>46103</v>
      </c>
      <c r="N8082">
        <f>IF(M8082="","",'Master Barang'!A76)</f>
        <v>0</v>
      </c>
      <c r="O8082">
        <f>IF(N8082="","",'Master Barang'!B76)</f>
        <v>0</v>
      </c>
      <c r="P8082">
        <f>IF(OR(M8082="",N8082=""),"",SUMIFS('Barang Keluar'!$E:$E,'Barang Keluar'!$A:$A,M8082,'Barang Keluar'!$C:$C,N8082))</f>
        <v>0</v>
      </c>
    </row>
    <row r="8083" spans="13:16">
      <c r="M8083" s="49">
        <f>IF($A$4+80&gt;$B$4,"",$A$4+80)</f>
        <v>46103</v>
      </c>
      <c r="N8083">
        <f>IF(M8083="","",'Master Barang'!A77)</f>
        <v>0</v>
      </c>
      <c r="O8083">
        <f>IF(N8083="","",'Master Barang'!B77)</f>
        <v>0</v>
      </c>
      <c r="P8083">
        <f>IF(OR(M8083="",N8083=""),"",SUMIFS('Barang Keluar'!$E:$E,'Barang Keluar'!$A:$A,M8083,'Barang Keluar'!$C:$C,N8083))</f>
        <v>0</v>
      </c>
    </row>
    <row r="8084" spans="13:16">
      <c r="M8084" s="49">
        <f>IF($A$4+80&gt;$B$4,"",$A$4+80)</f>
        <v>46103</v>
      </c>
      <c r="N8084">
        <f>IF(M8084="","",'Master Barang'!A78)</f>
        <v>0</v>
      </c>
      <c r="O8084">
        <f>IF(N8084="","",'Master Barang'!B78)</f>
        <v>0</v>
      </c>
      <c r="P8084">
        <f>IF(OR(M8084="",N8084=""),"",SUMIFS('Barang Keluar'!$E:$E,'Barang Keluar'!$A:$A,M8084,'Barang Keluar'!$C:$C,N8084))</f>
        <v>0</v>
      </c>
    </row>
    <row r="8085" spans="13:16">
      <c r="M8085" s="49">
        <f>IF($A$4+80&gt;$B$4,"",$A$4+80)</f>
        <v>46103</v>
      </c>
      <c r="N8085">
        <f>IF(M8085="","",'Master Barang'!A79)</f>
        <v>0</v>
      </c>
      <c r="O8085">
        <f>IF(N8085="","",'Master Barang'!B79)</f>
        <v>0</v>
      </c>
      <c r="P8085">
        <f>IF(OR(M8085="",N8085=""),"",SUMIFS('Barang Keluar'!$E:$E,'Barang Keluar'!$A:$A,M8085,'Barang Keluar'!$C:$C,N8085))</f>
        <v>0</v>
      </c>
    </row>
    <row r="8086" spans="13:16">
      <c r="M8086" s="49">
        <f>IF($A$4+80&gt;$B$4,"",$A$4+80)</f>
        <v>46103</v>
      </c>
      <c r="N8086">
        <f>IF(M8086="","",'Master Barang'!A80)</f>
        <v>0</v>
      </c>
      <c r="O8086">
        <f>IF(N8086="","",'Master Barang'!B80)</f>
        <v>0</v>
      </c>
      <c r="P8086">
        <f>IF(OR(M8086="",N8086=""),"",SUMIFS('Barang Keluar'!$E:$E,'Barang Keluar'!$A:$A,M8086,'Barang Keluar'!$C:$C,N8086))</f>
        <v>0</v>
      </c>
    </row>
    <row r="8087" spans="13:16">
      <c r="M8087" s="49">
        <f>IF($A$4+80&gt;$B$4,"",$A$4+80)</f>
        <v>46103</v>
      </c>
      <c r="N8087">
        <f>IF(M8087="","",'Master Barang'!A81)</f>
        <v>0</v>
      </c>
      <c r="O8087">
        <f>IF(N8087="","",'Master Barang'!B81)</f>
        <v>0</v>
      </c>
      <c r="P8087">
        <f>IF(OR(M8087="",N8087=""),"",SUMIFS('Barang Keluar'!$E:$E,'Barang Keluar'!$A:$A,M8087,'Barang Keluar'!$C:$C,N8087))</f>
        <v>0</v>
      </c>
    </row>
    <row r="8088" spans="13:16">
      <c r="M8088" s="49">
        <f>IF($A$4+80&gt;$B$4,"",$A$4+80)</f>
        <v>46103</v>
      </c>
      <c r="N8088">
        <f>IF(M8088="","",'Master Barang'!A82)</f>
        <v>0</v>
      </c>
      <c r="O8088">
        <f>IF(N8088="","",'Master Barang'!B82)</f>
        <v>0</v>
      </c>
      <c r="P8088">
        <f>IF(OR(M8088="",N8088=""),"",SUMIFS('Barang Keluar'!$E:$E,'Barang Keluar'!$A:$A,M8088,'Barang Keluar'!$C:$C,N8088))</f>
        <v>0</v>
      </c>
    </row>
    <row r="8089" spans="13:16">
      <c r="M8089" s="49">
        <f>IF($A$4+80&gt;$B$4,"",$A$4+80)</f>
        <v>46103</v>
      </c>
      <c r="N8089">
        <f>IF(M8089="","",'Master Barang'!A83)</f>
        <v>0</v>
      </c>
      <c r="O8089">
        <f>IF(N8089="","",'Master Barang'!B83)</f>
        <v>0</v>
      </c>
      <c r="P8089">
        <f>IF(OR(M8089="",N8089=""),"",SUMIFS('Barang Keluar'!$E:$E,'Barang Keluar'!$A:$A,M8089,'Barang Keluar'!$C:$C,N8089))</f>
        <v>0</v>
      </c>
    </row>
    <row r="8090" spans="13:16">
      <c r="M8090" s="49">
        <f>IF($A$4+80&gt;$B$4,"",$A$4+80)</f>
        <v>46103</v>
      </c>
      <c r="N8090">
        <f>IF(M8090="","",'Master Barang'!A84)</f>
        <v>0</v>
      </c>
      <c r="O8090">
        <f>IF(N8090="","",'Master Barang'!B84)</f>
        <v>0</v>
      </c>
      <c r="P8090">
        <f>IF(OR(M8090="",N8090=""),"",SUMIFS('Barang Keluar'!$E:$E,'Barang Keluar'!$A:$A,M8090,'Barang Keluar'!$C:$C,N8090))</f>
        <v>0</v>
      </c>
    </row>
    <row r="8091" spans="13:16">
      <c r="M8091" s="49">
        <f>IF($A$4+80&gt;$B$4,"",$A$4+80)</f>
        <v>46103</v>
      </c>
      <c r="N8091">
        <f>IF(M8091="","",'Master Barang'!A85)</f>
        <v>0</v>
      </c>
      <c r="O8091">
        <f>IF(N8091="","",'Master Barang'!B85)</f>
        <v>0</v>
      </c>
      <c r="P8091">
        <f>IF(OR(M8091="",N8091=""),"",SUMIFS('Barang Keluar'!$E:$E,'Barang Keluar'!$A:$A,M8091,'Barang Keluar'!$C:$C,N8091))</f>
        <v>0</v>
      </c>
    </row>
    <row r="8092" spans="13:16">
      <c r="M8092" s="49">
        <f>IF($A$4+80&gt;$B$4,"",$A$4+80)</f>
        <v>46103</v>
      </c>
      <c r="N8092">
        <f>IF(M8092="","",'Master Barang'!A86)</f>
        <v>0</v>
      </c>
      <c r="O8092">
        <f>IF(N8092="","",'Master Barang'!B86)</f>
        <v>0</v>
      </c>
      <c r="P8092">
        <f>IF(OR(M8092="",N8092=""),"",SUMIFS('Barang Keluar'!$E:$E,'Barang Keluar'!$A:$A,M8092,'Barang Keluar'!$C:$C,N8092))</f>
        <v>0</v>
      </c>
    </row>
    <row r="8093" spans="13:16">
      <c r="M8093" s="49">
        <f>IF($A$4+80&gt;$B$4,"",$A$4+80)</f>
        <v>46103</v>
      </c>
      <c r="N8093">
        <f>IF(M8093="","",'Master Barang'!A87)</f>
        <v>0</v>
      </c>
      <c r="O8093">
        <f>IF(N8093="","",'Master Barang'!B87)</f>
        <v>0</v>
      </c>
      <c r="P8093">
        <f>IF(OR(M8093="",N8093=""),"",SUMIFS('Barang Keluar'!$E:$E,'Barang Keluar'!$A:$A,M8093,'Barang Keluar'!$C:$C,N8093))</f>
        <v>0</v>
      </c>
    </row>
    <row r="8094" spans="13:16">
      <c r="M8094" s="49">
        <f>IF($A$4+80&gt;$B$4,"",$A$4+80)</f>
        <v>46103</v>
      </c>
      <c r="N8094">
        <f>IF(M8094="","",'Master Barang'!A88)</f>
        <v>0</v>
      </c>
      <c r="O8094">
        <f>IF(N8094="","",'Master Barang'!B88)</f>
        <v>0</v>
      </c>
      <c r="P8094">
        <f>IF(OR(M8094="",N8094=""),"",SUMIFS('Barang Keluar'!$E:$E,'Barang Keluar'!$A:$A,M8094,'Barang Keluar'!$C:$C,N8094))</f>
        <v>0</v>
      </c>
    </row>
    <row r="8095" spans="13:16">
      <c r="M8095" s="49">
        <f>IF($A$4+80&gt;$B$4,"",$A$4+80)</f>
        <v>46103</v>
      </c>
      <c r="N8095">
        <f>IF(M8095="","",'Master Barang'!A89)</f>
        <v>0</v>
      </c>
      <c r="O8095">
        <f>IF(N8095="","",'Master Barang'!B89)</f>
        <v>0</v>
      </c>
      <c r="P8095">
        <f>IF(OR(M8095="",N8095=""),"",SUMIFS('Barang Keluar'!$E:$E,'Barang Keluar'!$A:$A,M8095,'Barang Keluar'!$C:$C,N8095))</f>
        <v>0</v>
      </c>
    </row>
    <row r="8096" spans="13:16">
      <c r="M8096" s="49">
        <f>IF($A$4+80&gt;$B$4,"",$A$4+80)</f>
        <v>46103</v>
      </c>
      <c r="N8096">
        <f>IF(M8096="","",'Master Barang'!A90)</f>
        <v>0</v>
      </c>
      <c r="O8096">
        <f>IF(N8096="","",'Master Barang'!B90)</f>
        <v>0</v>
      </c>
      <c r="P8096">
        <f>IF(OR(M8096="",N8096=""),"",SUMIFS('Barang Keluar'!$E:$E,'Barang Keluar'!$A:$A,M8096,'Barang Keluar'!$C:$C,N8096))</f>
        <v>0</v>
      </c>
    </row>
    <row r="8097" spans="13:16">
      <c r="M8097" s="49">
        <f>IF($A$4+80&gt;$B$4,"",$A$4+80)</f>
        <v>46103</v>
      </c>
      <c r="N8097">
        <f>IF(M8097="","",'Master Barang'!A91)</f>
        <v>0</v>
      </c>
      <c r="O8097">
        <f>IF(N8097="","",'Master Barang'!B91)</f>
        <v>0</v>
      </c>
      <c r="P8097">
        <f>IF(OR(M8097="",N8097=""),"",SUMIFS('Barang Keluar'!$E:$E,'Barang Keluar'!$A:$A,M8097,'Barang Keluar'!$C:$C,N8097))</f>
        <v>0</v>
      </c>
    </row>
    <row r="8098" spans="13:16">
      <c r="M8098" s="49">
        <f>IF($A$4+80&gt;$B$4,"",$A$4+80)</f>
        <v>46103</v>
      </c>
      <c r="N8098">
        <f>IF(M8098="","",'Master Barang'!A92)</f>
        <v>0</v>
      </c>
      <c r="O8098">
        <f>IF(N8098="","",'Master Barang'!B92)</f>
        <v>0</v>
      </c>
      <c r="P8098">
        <f>IF(OR(M8098="",N8098=""),"",SUMIFS('Barang Keluar'!$E:$E,'Barang Keluar'!$A:$A,M8098,'Barang Keluar'!$C:$C,N8098))</f>
        <v>0</v>
      </c>
    </row>
    <row r="8099" spans="13:16">
      <c r="M8099" s="49">
        <f>IF($A$4+80&gt;$B$4,"",$A$4+80)</f>
        <v>46103</v>
      </c>
      <c r="N8099">
        <f>IF(M8099="","",'Master Barang'!A93)</f>
        <v>0</v>
      </c>
      <c r="O8099">
        <f>IF(N8099="","",'Master Barang'!B93)</f>
        <v>0</v>
      </c>
      <c r="P8099">
        <f>IF(OR(M8099="",N8099=""),"",SUMIFS('Barang Keluar'!$E:$E,'Barang Keluar'!$A:$A,M8099,'Barang Keluar'!$C:$C,N8099))</f>
        <v>0</v>
      </c>
    </row>
    <row r="8100" spans="13:16">
      <c r="M8100" s="49">
        <f>IF($A$4+80&gt;$B$4,"",$A$4+80)</f>
        <v>46103</v>
      </c>
      <c r="N8100">
        <f>IF(M8100="","",'Master Barang'!A94)</f>
        <v>0</v>
      </c>
      <c r="O8100">
        <f>IF(N8100="","",'Master Barang'!B94)</f>
        <v>0</v>
      </c>
      <c r="P8100">
        <f>IF(OR(M8100="",N8100=""),"",SUMIFS('Barang Keluar'!$E:$E,'Barang Keluar'!$A:$A,M8100,'Barang Keluar'!$C:$C,N8100))</f>
        <v>0</v>
      </c>
    </row>
    <row r="8101" spans="13:16">
      <c r="M8101" s="49">
        <f>IF($A$4+80&gt;$B$4,"",$A$4+80)</f>
        <v>46103</v>
      </c>
      <c r="N8101">
        <f>IF(M8101="","",'Master Barang'!A95)</f>
        <v>0</v>
      </c>
      <c r="O8101">
        <f>IF(N8101="","",'Master Barang'!B95)</f>
        <v>0</v>
      </c>
      <c r="P8101">
        <f>IF(OR(M8101="",N8101=""),"",SUMIFS('Barang Keluar'!$E:$E,'Barang Keluar'!$A:$A,M8101,'Barang Keluar'!$C:$C,N8101))</f>
        <v>0</v>
      </c>
    </row>
    <row r="8102" spans="13:16">
      <c r="M8102" s="49">
        <f>IF($A$4+80&gt;$B$4,"",$A$4+80)</f>
        <v>46103</v>
      </c>
      <c r="N8102">
        <f>IF(M8102="","",'Master Barang'!A96)</f>
        <v>0</v>
      </c>
      <c r="O8102">
        <f>IF(N8102="","",'Master Barang'!B96)</f>
        <v>0</v>
      </c>
      <c r="P8102">
        <f>IF(OR(M8102="",N8102=""),"",SUMIFS('Barang Keluar'!$E:$E,'Barang Keluar'!$A:$A,M8102,'Barang Keluar'!$C:$C,N8102))</f>
        <v>0</v>
      </c>
    </row>
    <row r="8103" spans="13:16">
      <c r="M8103" s="49">
        <f>IF($A$4+80&gt;$B$4,"",$A$4+80)</f>
        <v>46103</v>
      </c>
      <c r="N8103">
        <f>IF(M8103="","",'Master Barang'!A97)</f>
        <v>0</v>
      </c>
      <c r="O8103">
        <f>IF(N8103="","",'Master Barang'!B97)</f>
        <v>0</v>
      </c>
      <c r="P8103">
        <f>IF(OR(M8103="",N8103=""),"",SUMIFS('Barang Keluar'!$E:$E,'Barang Keluar'!$A:$A,M8103,'Barang Keluar'!$C:$C,N8103))</f>
        <v>0</v>
      </c>
    </row>
    <row r="8104" spans="13:16">
      <c r="M8104" s="49">
        <f>IF($A$4+80&gt;$B$4,"",$A$4+80)</f>
        <v>46103</v>
      </c>
      <c r="N8104">
        <f>IF(M8104="","",'Master Barang'!A98)</f>
        <v>0</v>
      </c>
      <c r="O8104">
        <f>IF(N8104="","",'Master Barang'!B98)</f>
        <v>0</v>
      </c>
      <c r="P8104">
        <f>IF(OR(M8104="",N8104=""),"",SUMIFS('Barang Keluar'!$E:$E,'Barang Keluar'!$A:$A,M8104,'Barang Keluar'!$C:$C,N8104))</f>
        <v>0</v>
      </c>
    </row>
    <row r="8105" spans="13:16">
      <c r="M8105" s="49">
        <f>IF($A$4+80&gt;$B$4,"",$A$4+80)</f>
        <v>46103</v>
      </c>
      <c r="N8105">
        <f>IF(M8105="","",'Master Barang'!A99)</f>
        <v>0</v>
      </c>
      <c r="O8105">
        <f>IF(N8105="","",'Master Barang'!B99)</f>
        <v>0</v>
      </c>
      <c r="P8105">
        <f>IF(OR(M8105="",N8105=""),"",SUMIFS('Barang Keluar'!$E:$E,'Barang Keluar'!$A:$A,M8105,'Barang Keluar'!$C:$C,N8105))</f>
        <v>0</v>
      </c>
    </row>
    <row r="8106" spans="13:16">
      <c r="M8106" s="49">
        <f>IF($A$4+80&gt;$B$4,"",$A$4+80)</f>
        <v>46103</v>
      </c>
      <c r="N8106">
        <f>IF(M8106="","",'Master Barang'!A100)</f>
        <v>0</v>
      </c>
      <c r="O8106">
        <f>IF(N8106="","",'Master Barang'!B100)</f>
        <v>0</v>
      </c>
      <c r="P8106">
        <f>IF(OR(M8106="",N8106=""),"",SUMIFS('Barang Keluar'!$E:$E,'Barang Keluar'!$A:$A,M8106,'Barang Keluar'!$C:$C,N8106))</f>
        <v>0</v>
      </c>
    </row>
    <row r="8107" spans="13:16">
      <c r="M8107" s="49">
        <f>IF($A$4+80&gt;$B$4,"",$A$4+80)</f>
        <v>46103</v>
      </c>
      <c r="N8107">
        <f>IF(M8107="","",'Master Barang'!A101)</f>
        <v>0</v>
      </c>
      <c r="O8107">
        <f>IF(N8107="","",'Master Barang'!B101)</f>
        <v>0</v>
      </c>
      <c r="P8107">
        <f>IF(OR(M8107="",N8107=""),"",SUMIFS('Barang Keluar'!$E:$E,'Barang Keluar'!$A:$A,M8107,'Barang Keluar'!$C:$C,N8107))</f>
        <v>0</v>
      </c>
    </row>
    <row r="8108" spans="13:16">
      <c r="M8108" s="49">
        <f>IF($A$4+81&gt;$B$4,"",$A$4+81)</f>
        <v>46104</v>
      </c>
      <c r="N8108" t="str">
        <f>IF(M8108="","",'Master Barang'!A2)</f>
        <v>PRL-001</v>
      </c>
      <c r="O8108" t="str">
        <f>IF(N8108="","",'Master Barang'!B2)</f>
        <v>natura desinfectant food grade 5l</v>
      </c>
      <c r="P8108">
        <f>IF(OR(M8108="",N8108=""),"",SUMIFS('Barang Keluar'!$E:$E,'Barang Keluar'!$A:$A,M8108,'Barang Keluar'!$C:$C,N8108))</f>
        <v>0</v>
      </c>
    </row>
    <row r="8109" spans="13:16">
      <c r="M8109" s="49">
        <f>IF($A$4+81&gt;$B$4,"",$A$4+81)</f>
        <v>46104</v>
      </c>
      <c r="N8109" t="str">
        <f>IF(M8109="","",'Master Barang'!A3)</f>
        <v>PRL-002</v>
      </c>
      <c r="O8109" t="str">
        <f>IF(N8109="","",'Master Barang'!B3)</f>
        <v>sunlight cairan pencuci piring 5l</v>
      </c>
      <c r="P8109">
        <f>IF(OR(M8109="",N8109=""),"",SUMIFS('Barang Keluar'!$E:$E,'Barang Keluar'!$A:$A,M8109,'Barang Keluar'!$C:$C,N8109))</f>
        <v>0</v>
      </c>
    </row>
    <row r="8110" spans="13:16">
      <c r="M8110" s="49">
        <f>IF($A$4+81&gt;$B$4,"",$A$4+81)</f>
        <v>46104</v>
      </c>
      <c r="N8110" t="str">
        <f>IF(M8110="","",'Master Barang'!A4)</f>
        <v>PRL-003</v>
      </c>
      <c r="O8110" t="str">
        <f>IF(N8110="","",'Master Barang'!B4)</f>
        <v>oixs cleaner 1l</v>
      </c>
      <c r="P8110">
        <f>IF(OR(M8110="",N8110=""),"",SUMIFS('Barang Keluar'!$E:$E,'Barang Keluar'!$A:$A,M8110,'Barang Keluar'!$C:$C,N8110))</f>
        <v>0</v>
      </c>
    </row>
    <row r="8111" spans="13:16">
      <c r="M8111" s="49">
        <f>IF($A$4+81&gt;$B$4,"",$A$4+81)</f>
        <v>46104</v>
      </c>
      <c r="N8111" t="str">
        <f>IF(M8111="","",'Master Barang'!A5)</f>
        <v>PRL-004</v>
      </c>
      <c r="O8111" t="str">
        <f>IF(N8111="","",'Master Barang'!B5)</f>
        <v>be clean tissue serbaguna</v>
      </c>
      <c r="P8111">
        <f>IF(OR(M8111="",N8111=""),"",SUMIFS('Barang Keluar'!$E:$E,'Barang Keluar'!$A:$A,M8111,'Barang Keluar'!$C:$C,N8111))</f>
        <v>0</v>
      </c>
    </row>
    <row r="8112" spans="13:16">
      <c r="M8112" s="49">
        <f>IF($A$4+81&gt;$B$4,"",$A$4+81)</f>
        <v>46104</v>
      </c>
      <c r="N8112" t="str">
        <f>IF(M8112="","",'Master Barang'!A6)</f>
        <v>PRL-005</v>
      </c>
      <c r="O8112" t="str">
        <f>IF(N8112="","",'Master Barang'!B6)</f>
        <v>spons cuci hijau</v>
      </c>
      <c r="P8112">
        <f>IF(OR(M8112="",N8112=""),"",SUMIFS('Barang Keluar'!$E:$E,'Barang Keluar'!$A:$A,M8112,'Barang Keluar'!$C:$C,N8112))</f>
        <v>0</v>
      </c>
    </row>
    <row r="8113" spans="13:16">
      <c r="M8113" s="49">
        <f>IF($A$4+81&gt;$B$4,"",$A$4+81)</f>
        <v>46104</v>
      </c>
      <c r="N8113" t="str">
        <f>IF(M8113="","",'Master Barang'!A7)</f>
        <v>PRL-006</v>
      </c>
      <c r="O8113" t="str">
        <f>IF(N8113="","",'Master Barang'!B7)</f>
        <v>sabut cuci stainless</v>
      </c>
      <c r="P8113">
        <f>IF(OR(M8113="",N8113=""),"",SUMIFS('Barang Keluar'!$E:$E,'Barang Keluar'!$A:$A,M8113,'Barang Keluar'!$C:$C,N8113))</f>
        <v>0</v>
      </c>
    </row>
    <row r="8114" spans="13:16">
      <c r="M8114" s="49">
        <f>IF($A$4+81&gt;$B$4,"",$A$4+81)</f>
        <v>46104</v>
      </c>
      <c r="N8114" t="str">
        <f>IF(M8114="","",'Master Barang'!A8)</f>
        <v>PRL-007</v>
      </c>
      <c r="O8114" t="str">
        <f>IF(N8114="","",'Master Barang'!B8)</f>
        <v>plastik kresek besar merah 50pc</v>
      </c>
      <c r="P8114">
        <f>IF(OR(M8114="",N8114=""),"",SUMIFS('Barang Keluar'!$E:$E,'Barang Keluar'!$A:$A,M8114,'Barang Keluar'!$C:$C,N8114))</f>
        <v>0</v>
      </c>
    </row>
    <row r="8115" spans="13:16">
      <c r="M8115" s="49">
        <f>IF($A$4+81&gt;$B$4,"",$A$4+81)</f>
        <v>46104</v>
      </c>
      <c r="N8115" t="str">
        <f>IF(M8115="","",'Master Barang'!A9)</f>
        <v>PRL-008</v>
      </c>
      <c r="O8115" t="str">
        <f>IF(N8115="","",'Master Barang'!B9)</f>
        <v>lap besar</v>
      </c>
      <c r="P8115">
        <f>IF(OR(M8115="",N8115=""),"",SUMIFS('Barang Keluar'!$E:$E,'Barang Keluar'!$A:$A,M8115,'Barang Keluar'!$C:$C,N8115))</f>
        <v>0</v>
      </c>
    </row>
    <row r="8116" spans="13:16">
      <c r="M8116" s="49">
        <f>IF($A$4+81&gt;$B$4,"",$A$4+81)</f>
        <v>46104</v>
      </c>
      <c r="N8116" t="str">
        <f>IF(M8116="","",'Master Barang'!A10)</f>
        <v>PRL-009</v>
      </c>
      <c r="O8116" t="str">
        <f>IF(N8116="","",'Master Barang'!B10)</f>
        <v>lap microfiber</v>
      </c>
      <c r="P8116">
        <f>IF(OR(M8116="",N8116=""),"",SUMIFS('Barang Keluar'!$E:$E,'Barang Keluar'!$A:$A,M8116,'Barang Keluar'!$C:$C,N8116))</f>
        <v>0</v>
      </c>
    </row>
    <row r="8117" spans="13:16">
      <c r="M8117" s="49">
        <f>IF($A$4+81&gt;$B$4,"",$A$4+81)</f>
        <v>46104</v>
      </c>
      <c r="N8117" t="str">
        <f>IF(M8117="","",'Master Barang'!A11)</f>
        <v>PRL-010</v>
      </c>
      <c r="O8117" t="str">
        <f>IF(N8117="","",'Master Barang'!B11)</f>
        <v>lap kecil</v>
      </c>
      <c r="P8117">
        <f>IF(OR(M8117="",N8117=""),"",SUMIFS('Barang Keluar'!$E:$E,'Barang Keluar'!$A:$A,M8117,'Barang Keluar'!$C:$C,N8117))</f>
        <v>0</v>
      </c>
    </row>
    <row r="8118" spans="13:16">
      <c r="M8118" s="49">
        <f>IF($A$4+81&gt;$B$4,"",$A$4+81)</f>
        <v>46104</v>
      </c>
      <c r="N8118" t="str">
        <f>IF(M8118="","",'Master Barang'!A12)</f>
        <v>PRL-011</v>
      </c>
      <c r="O8118" t="str">
        <f>IF(N8118="","",'Master Barang'!B12)</f>
        <v>kanebo kecil</v>
      </c>
      <c r="P8118">
        <f>IF(OR(M8118="",N8118=""),"",SUMIFS('Barang Keluar'!$E:$E,'Barang Keluar'!$A:$A,M8118,'Barang Keluar'!$C:$C,N8118))</f>
        <v>0</v>
      </c>
    </row>
    <row r="8119" spans="13:16">
      <c r="M8119" s="49">
        <f>IF($A$4+81&gt;$B$4,"",$A$4+81)</f>
        <v>46104</v>
      </c>
      <c r="N8119" t="str">
        <f>IF(M8119="","",'Master Barang'!A13)</f>
        <v>PRL-012</v>
      </c>
      <c r="O8119" t="str">
        <f>IF(N8119="","",'Master Barang'!B13)</f>
        <v>plastik 1/4kg joyoboyo 100 lembar</v>
      </c>
      <c r="P8119">
        <f>IF(OR(M8119="",N8119=""),"",SUMIFS('Barang Keluar'!$E:$E,'Barang Keluar'!$A:$A,M8119,'Barang Keluar'!$C:$C,N8119))</f>
        <v>0</v>
      </c>
    </row>
    <row r="8120" spans="13:16">
      <c r="M8120" s="49">
        <f>IF($A$4+81&gt;$B$4,"",$A$4+81)</f>
        <v>46104</v>
      </c>
      <c r="N8120" t="str">
        <f>IF(M8120="","",'Master Barang'!A14)</f>
        <v>PRL-013</v>
      </c>
      <c r="O8120" t="str">
        <f>IF(N8120="","",'Master Barang'!B14)</f>
        <v>sarung tangan plastik kaka 100 pcs</v>
      </c>
      <c r="P8120">
        <f>IF(OR(M8120="",N8120=""),"",SUMIFS('Barang Keluar'!$E:$E,'Barang Keluar'!$A:$A,M8120,'Barang Keluar'!$C:$C,N8120))</f>
        <v>0</v>
      </c>
    </row>
    <row r="8121" spans="13:16">
      <c r="M8121" s="49">
        <f>IF($A$4+81&gt;$B$4,"",$A$4+81)</f>
        <v>46104</v>
      </c>
      <c r="N8121" t="str">
        <f>IF(M8121="","",'Master Barang'!A15)</f>
        <v>PRL-014</v>
      </c>
      <c r="O8121" t="str">
        <f>IF(N8121="","",'Master Barang'!B15)</f>
        <v>optima trashbag 80x100</v>
      </c>
      <c r="P8121">
        <f>IF(OR(M8121="",N8121=""),"",SUMIFS('Barang Keluar'!$E:$E,'Barang Keluar'!$A:$A,M8121,'Barang Keluar'!$C:$C,N8121))</f>
        <v>0</v>
      </c>
    </row>
    <row r="8122" spans="13:16">
      <c r="M8122" s="49">
        <f>IF($A$4+81&gt;$B$4,"",$A$4+81)</f>
        <v>46104</v>
      </c>
      <c r="N8122" t="str">
        <f>IF(M8122="","",'Master Barang'!A16)</f>
        <v>PRL-015</v>
      </c>
      <c r="O8122" t="str">
        <f>IF(N8122="","",'Master Barang'!B16)</f>
        <v>optima trashbag 60x100</v>
      </c>
      <c r="P8122">
        <f>IF(OR(M8122="",N8122=""),"",SUMIFS('Barang Keluar'!$E:$E,'Barang Keluar'!$A:$A,M8122,'Barang Keluar'!$C:$C,N8122))</f>
        <v>0</v>
      </c>
    </row>
    <row r="8123" spans="13:16">
      <c r="M8123" s="49">
        <f>IF($A$4+81&gt;$B$4,"",$A$4+81)</f>
        <v>46104</v>
      </c>
      <c r="N8123" t="str">
        <f>IF(M8123="","",'Master Barang'!A17)</f>
        <v>PRL-016</v>
      </c>
      <c r="O8123" t="str">
        <f>IF(N8123="","",'Master Barang'!B17)</f>
        <v>rajawali trashbag 30x40</v>
      </c>
      <c r="P8123">
        <f>IF(OR(M8123="",N8123=""),"",SUMIFS('Barang Keluar'!$E:$E,'Barang Keluar'!$A:$A,M8123,'Barang Keluar'!$C:$C,N8123))</f>
        <v>0</v>
      </c>
    </row>
    <row r="8124" spans="13:16">
      <c r="M8124" s="49">
        <f>IF($A$4+81&gt;$B$4,"",$A$4+81)</f>
        <v>46104</v>
      </c>
      <c r="N8124" t="str">
        <f>IF(M8124="","",'Master Barang'!A18)</f>
        <v>PRL-017</v>
      </c>
      <c r="O8124" t="str">
        <f>IF(N8124="","",'Master Barang'!B18)</f>
        <v>onemed masker biru 3 play 50 pcs</v>
      </c>
      <c r="P8124">
        <f>IF(OR(M8124="",N8124=""),"",SUMIFS('Barang Keluar'!$E:$E,'Barang Keluar'!$A:$A,M8124,'Barang Keluar'!$C:$C,N8124))</f>
        <v>0</v>
      </c>
    </row>
    <row r="8125" spans="13:16">
      <c r="M8125" s="49">
        <f>IF($A$4+81&gt;$B$4,"",$A$4+81)</f>
        <v>46104</v>
      </c>
      <c r="N8125" t="str">
        <f>IF(M8125="","",'Master Barang'!A19)</f>
        <v>PRL-018</v>
      </c>
      <c r="O8125" t="str">
        <f>IF(N8125="","",'Master Barang'!B19)</f>
        <v>onemed masker biru 3 play hijab 50 pcs</v>
      </c>
      <c r="P8125">
        <f>IF(OR(M8125="",N8125=""),"",SUMIFS('Barang Keluar'!$E:$E,'Barang Keluar'!$A:$A,M8125,'Barang Keluar'!$C:$C,N8125))</f>
        <v>0</v>
      </c>
    </row>
    <row r="8126" spans="13:16">
      <c r="M8126" s="49">
        <f>IF($A$4+81&gt;$B$4,"",$A$4+81)</f>
        <v>46104</v>
      </c>
      <c r="N8126" t="str">
        <f>IF(M8126="","",'Master Barang'!A20)</f>
        <v>PRL-019</v>
      </c>
      <c r="O8126" t="str">
        <f>IF(N8126="","",'Master Barang'!B20)</f>
        <v>neo health masker biru 3 play 50 pcs</v>
      </c>
      <c r="P8126">
        <f>IF(OR(M8126="",N8126=""),"",SUMIFS('Barang Keluar'!$E:$E,'Barang Keluar'!$A:$A,M8126,'Barang Keluar'!$C:$C,N8126))</f>
        <v>0</v>
      </c>
    </row>
    <row r="8127" spans="13:16">
      <c r="M8127" s="49">
        <f>IF($A$4+81&gt;$B$4,"",$A$4+81)</f>
        <v>46104</v>
      </c>
      <c r="N8127" t="str">
        <f>IF(M8127="","",'Master Barang'!A21)</f>
        <v>PRL-020</v>
      </c>
      <c r="O8127" t="str">
        <f>IF(N8127="","",'Master Barang'!B21)</f>
        <v>baymed masker hijau 3 play hijau 50 pcs</v>
      </c>
      <c r="P8127">
        <f>IF(OR(M8127="",N8127=""),"",SUMIFS('Barang Keluar'!$E:$E,'Barang Keluar'!$A:$A,M8127,'Barang Keluar'!$C:$C,N8127))</f>
        <v>0</v>
      </c>
    </row>
    <row r="8128" spans="13:16">
      <c r="M8128" s="49">
        <f>IF($A$4+81&gt;$B$4,"",$A$4+81)</f>
        <v>46104</v>
      </c>
      <c r="N8128" t="str">
        <f>IF(M8128="","",'Master Barang'!A22)</f>
        <v>PRL-021</v>
      </c>
      <c r="O8128" t="str">
        <f>IF(N8128="","",'Master Barang'!B22)</f>
        <v>altamed nurse cap penutup kepala 100 pcs</v>
      </c>
      <c r="P8128">
        <f>IF(OR(M8128="",N8128=""),"",SUMIFS('Barang Keluar'!$E:$E,'Barang Keluar'!$A:$A,M8128,'Barang Keluar'!$C:$C,N8128))</f>
        <v>0</v>
      </c>
    </row>
    <row r="8129" spans="13:16">
      <c r="M8129" s="49">
        <f>IF($A$4+81&gt;$B$4,"",$A$4+81)</f>
        <v>46104</v>
      </c>
      <c r="N8129" t="str">
        <f>IF(M8129="","",'Master Barang'!A23)</f>
        <v>PRL-022</v>
      </c>
      <c r="O8129" t="str">
        <f>IF(N8129="","",'Master Barang'!B23)</f>
        <v>sabun cuci tangan</v>
      </c>
      <c r="P8129">
        <f>IF(OR(M8129="",N8129=""),"",SUMIFS('Barang Keluar'!$E:$E,'Barang Keluar'!$A:$A,M8129,'Barang Keluar'!$C:$C,N8129))</f>
        <v>0</v>
      </c>
    </row>
    <row r="8130" spans="13:16">
      <c r="M8130" s="49">
        <f>IF($A$4+81&gt;$B$4,"",$A$4+81)</f>
        <v>46104</v>
      </c>
      <c r="N8130" t="str">
        <f>IF(M8130="","",'Master Barang'!A24)</f>
        <v>PRL-023</v>
      </c>
      <c r="O8130" t="str">
        <f>IF(N8130="","",'Master Barang'!B24)</f>
        <v>gayung kecil</v>
      </c>
      <c r="P8130">
        <f>IF(OR(M8130="",N8130=""),"",SUMIFS('Barang Keluar'!$E:$E,'Barang Keluar'!$A:$A,M8130,'Barang Keluar'!$C:$C,N8130))</f>
        <v>0</v>
      </c>
    </row>
    <row r="8131" spans="13:16">
      <c r="M8131" s="49">
        <f>IF($A$4+81&gt;$B$4,"",$A$4+81)</f>
        <v>46104</v>
      </c>
      <c r="N8131" t="str">
        <f>IF(M8131="","",'Master Barang'!A25)</f>
        <v>PRL-024</v>
      </c>
      <c r="O8131" t="str">
        <f>IF(N8131="","",'Master Barang'!B25)</f>
        <v>cikrak kecil</v>
      </c>
      <c r="P8131">
        <f>IF(OR(M8131="",N8131=""),"",SUMIFS('Barang Keluar'!$E:$E,'Barang Keluar'!$A:$A,M8131,'Barang Keluar'!$C:$C,N8131))</f>
        <v>0</v>
      </c>
    </row>
    <row r="8132" spans="13:16">
      <c r="M8132" s="49">
        <f>IF($A$4+81&gt;$B$4,"",$A$4+81)</f>
        <v>46104</v>
      </c>
      <c r="N8132" t="str">
        <f>IF(M8132="","",'Master Barang'!A26)</f>
        <v>PRL-025</v>
      </c>
      <c r="O8132" t="str">
        <f>IF(N8132="","",'Master Barang'!B26)</f>
        <v>petromax plastik kecil 12x24 100 lembar</v>
      </c>
      <c r="P8132">
        <f>IF(OR(M8132="",N8132=""),"",SUMIFS('Barang Keluar'!$E:$E,'Barang Keluar'!$A:$A,M8132,'Barang Keluar'!$C:$C,N8132))</f>
        <v>0</v>
      </c>
    </row>
    <row r="8133" spans="13:16">
      <c r="M8133" s="49">
        <f>IF($A$4+81&gt;$B$4,"",$A$4+81)</f>
        <v>46104</v>
      </c>
      <c r="N8133" t="str">
        <f>IF(M8133="","",'Master Barang'!A27)</f>
        <v>PRL-026</v>
      </c>
      <c r="O8133" t="str">
        <f>IF(N8133="","",'Master Barang'!B27)</f>
        <v>lancar kresek kecil bening </v>
      </c>
      <c r="P8133">
        <f>IF(OR(M8133="",N8133=""),"",SUMIFS('Barang Keluar'!$E:$E,'Barang Keluar'!$A:$A,M8133,'Barang Keluar'!$C:$C,N8133))</f>
        <v>0</v>
      </c>
    </row>
    <row r="8134" spans="13:16">
      <c r="M8134" s="49">
        <f>IF($A$4+81&gt;$B$4,"",$A$4+81)</f>
        <v>46104</v>
      </c>
      <c r="N8134" t="str">
        <f>IF(M8134="","",'Master Barang'!A28)</f>
        <v>PRL-027</v>
      </c>
      <c r="O8134" t="str">
        <f>IF(N8134="","",'Master Barang'!B28)</f>
        <v>kresek klin warna warni kecil</v>
      </c>
      <c r="P8134">
        <f>IF(OR(M8134="",N8134=""),"",SUMIFS('Barang Keluar'!$E:$E,'Barang Keluar'!$A:$A,M8134,'Barang Keluar'!$C:$C,N8134))</f>
        <v>0</v>
      </c>
    </row>
    <row r="8135" spans="13:16">
      <c r="M8135" s="49">
        <f>IF($A$4+81&gt;$B$4,"",$A$4+81)</f>
        <v>46104</v>
      </c>
      <c r="N8135" t="str">
        <f>IF(M8135="","",'Master Barang'!A29)</f>
        <v>PRL-028</v>
      </c>
      <c r="O8135" t="str">
        <f>IF(N8135="","",'Master Barang'!B29)</f>
        <v>ctik plastik 7x10 100 pcs</v>
      </c>
      <c r="P8135">
        <f>IF(OR(M8135="",N8135=""),"",SUMIFS('Barang Keluar'!$E:$E,'Barang Keluar'!$A:$A,M8135,'Barang Keluar'!$C:$C,N8135))</f>
        <v>0</v>
      </c>
    </row>
    <row r="8136" spans="13:16">
      <c r="M8136" s="49">
        <f>IF($A$4+81&gt;$B$4,"",$A$4+81)</f>
        <v>46104</v>
      </c>
      <c r="N8136" t="str">
        <f>IF(M8136="","",'Master Barang'!A30)</f>
        <v>PRL-029</v>
      </c>
      <c r="O8136" t="str">
        <f>IF(N8136="","",'Master Barang'!B30)</f>
        <v>ctik plastik 6x10 100 pcs</v>
      </c>
      <c r="P8136">
        <f>IF(OR(M8136="",N8136=""),"",SUMIFS('Barang Keluar'!$E:$E,'Barang Keluar'!$A:$A,M8136,'Barang Keluar'!$C:$C,N8136))</f>
        <v>0</v>
      </c>
    </row>
    <row r="8137" spans="13:16">
      <c r="M8137" s="49">
        <f>IF($A$4+81&gt;$B$4,"",$A$4+81)</f>
        <v>46104</v>
      </c>
      <c r="N8137" t="str">
        <f>IF(M8137="","",'Master Barang'!A31)</f>
        <v>PRL-030</v>
      </c>
      <c r="O8137" t="str">
        <f>IF(N8137="","",'Master Barang'!B31)</f>
        <v>klip plastik 25x16 100 pcs</v>
      </c>
      <c r="P8137">
        <f>IF(OR(M8137="",N8137=""),"",SUMIFS('Barang Keluar'!$E:$E,'Barang Keluar'!$A:$A,M8137,'Barang Keluar'!$C:$C,N8137))</f>
        <v>0</v>
      </c>
    </row>
    <row r="8138" spans="13:16">
      <c r="M8138" s="49">
        <f>IF($A$4+81&gt;$B$4,"",$A$4+81)</f>
        <v>46104</v>
      </c>
      <c r="N8138" t="str">
        <f>IF(M8138="","",'Master Barang'!A32)</f>
        <v>PRL-031</v>
      </c>
      <c r="O8138" t="str">
        <f>IF(N8138="","",'Master Barang'!B32)</f>
        <v>tempat saus 20 ml</v>
      </c>
      <c r="P8138">
        <f>IF(OR(M8138="",N8138=""),"",SUMIFS('Barang Keluar'!$E:$E,'Barang Keluar'!$A:$A,M8138,'Barang Keluar'!$C:$C,N8138))</f>
        <v>0</v>
      </c>
    </row>
    <row r="8139" spans="13:16">
      <c r="M8139" s="49">
        <f>IF($A$4+81&gt;$B$4,"",$A$4+81)</f>
        <v>46104</v>
      </c>
      <c r="N8139" t="str">
        <f>IF(M8139="","",'Master Barang'!A33)</f>
        <v>PRL-032</v>
      </c>
      <c r="O8139" t="str">
        <f>IF(N8139="","",'Master Barang'!B33)</f>
        <v>plastik packaging ag box uk sedang</v>
      </c>
      <c r="P8139">
        <f>IF(OR(M8139="",N8139=""),"",SUMIFS('Barang Keluar'!$E:$E,'Barang Keluar'!$A:$A,M8139,'Barang Keluar'!$C:$C,N8139))</f>
        <v>0</v>
      </c>
    </row>
    <row r="8140" spans="13:16">
      <c r="M8140" s="49">
        <f>IF($A$4+81&gt;$B$4,"",$A$4+81)</f>
        <v>46104</v>
      </c>
      <c r="N8140" t="str">
        <f>IF(M8140="","",'Master Barang'!A34)</f>
        <v>PRL-033</v>
      </c>
      <c r="O8140">
        <f>IF(N8140="","",'Master Barang'!B34)</f>
        <v>0</v>
      </c>
      <c r="P8140">
        <f>IF(OR(M8140="",N8140=""),"",SUMIFS('Barang Keluar'!$E:$E,'Barang Keluar'!$A:$A,M8140,'Barang Keluar'!$C:$C,N8140))</f>
        <v>0</v>
      </c>
    </row>
    <row r="8141" spans="13:16">
      <c r="M8141" s="49">
        <f>IF($A$4+81&gt;$B$4,"",$A$4+81)</f>
        <v>46104</v>
      </c>
      <c r="N8141">
        <f>IF(M8141="","",'Master Barang'!A35)</f>
        <v>0</v>
      </c>
      <c r="O8141">
        <f>IF(N8141="","",'Master Barang'!B35)</f>
        <v>0</v>
      </c>
      <c r="P8141">
        <f>IF(OR(M8141="",N8141=""),"",SUMIFS('Barang Keluar'!$E:$E,'Barang Keluar'!$A:$A,M8141,'Barang Keluar'!$C:$C,N8141))</f>
        <v>0</v>
      </c>
    </row>
    <row r="8142" spans="13:16">
      <c r="M8142" s="49">
        <f>IF($A$4+81&gt;$B$4,"",$A$4+81)</f>
        <v>46104</v>
      </c>
      <c r="N8142">
        <f>IF(M8142="","",'Master Barang'!A36)</f>
        <v>0</v>
      </c>
      <c r="O8142">
        <f>IF(N8142="","",'Master Barang'!B36)</f>
        <v>0</v>
      </c>
      <c r="P8142">
        <f>IF(OR(M8142="",N8142=""),"",SUMIFS('Barang Keluar'!$E:$E,'Barang Keluar'!$A:$A,M8142,'Barang Keluar'!$C:$C,N8142))</f>
        <v>0</v>
      </c>
    </row>
    <row r="8143" spans="13:16">
      <c r="M8143" s="49">
        <f>IF($A$4+81&gt;$B$4,"",$A$4+81)</f>
        <v>46104</v>
      </c>
      <c r="N8143">
        <f>IF(M8143="","",'Master Barang'!A37)</f>
        <v>0</v>
      </c>
      <c r="O8143">
        <f>IF(N8143="","",'Master Barang'!B37)</f>
        <v>0</v>
      </c>
      <c r="P8143">
        <f>IF(OR(M8143="",N8143=""),"",SUMIFS('Barang Keluar'!$E:$E,'Barang Keluar'!$A:$A,M8143,'Barang Keluar'!$C:$C,N8143))</f>
        <v>0</v>
      </c>
    </row>
    <row r="8144" spans="13:16">
      <c r="M8144" s="49">
        <f>IF($A$4+81&gt;$B$4,"",$A$4+81)</f>
        <v>46104</v>
      </c>
      <c r="N8144">
        <f>IF(M8144="","",'Master Barang'!A38)</f>
        <v>0</v>
      </c>
      <c r="O8144">
        <f>IF(N8144="","",'Master Barang'!B38)</f>
        <v>0</v>
      </c>
      <c r="P8144">
        <f>IF(OR(M8144="",N8144=""),"",SUMIFS('Barang Keluar'!$E:$E,'Barang Keluar'!$A:$A,M8144,'Barang Keluar'!$C:$C,N8144))</f>
        <v>0</v>
      </c>
    </row>
    <row r="8145" spans="13:16">
      <c r="M8145" s="49">
        <f>IF($A$4+81&gt;$B$4,"",$A$4+81)</f>
        <v>46104</v>
      </c>
      <c r="N8145">
        <f>IF(M8145="","",'Master Barang'!A39)</f>
        <v>0</v>
      </c>
      <c r="O8145">
        <f>IF(N8145="","",'Master Barang'!B39)</f>
        <v>0</v>
      </c>
      <c r="P8145">
        <f>IF(OR(M8145="",N8145=""),"",SUMIFS('Barang Keluar'!$E:$E,'Barang Keluar'!$A:$A,M8145,'Barang Keluar'!$C:$C,N8145))</f>
        <v>0</v>
      </c>
    </row>
    <row r="8146" spans="13:16">
      <c r="M8146" s="49">
        <f>IF($A$4+81&gt;$B$4,"",$A$4+81)</f>
        <v>46104</v>
      </c>
      <c r="N8146">
        <f>IF(M8146="","",'Master Barang'!A40)</f>
        <v>0</v>
      </c>
      <c r="O8146">
        <f>IF(N8146="","",'Master Barang'!B40)</f>
        <v>0</v>
      </c>
      <c r="P8146">
        <f>IF(OR(M8146="",N8146=""),"",SUMIFS('Barang Keluar'!$E:$E,'Barang Keluar'!$A:$A,M8146,'Barang Keluar'!$C:$C,N8146))</f>
        <v>0</v>
      </c>
    </row>
    <row r="8147" spans="13:16">
      <c r="M8147" s="49">
        <f>IF($A$4+81&gt;$B$4,"",$A$4+81)</f>
        <v>46104</v>
      </c>
      <c r="N8147">
        <f>IF(M8147="","",'Master Barang'!A41)</f>
        <v>0</v>
      </c>
      <c r="O8147">
        <f>IF(N8147="","",'Master Barang'!B41)</f>
        <v>0</v>
      </c>
      <c r="P8147">
        <f>IF(OR(M8147="",N8147=""),"",SUMIFS('Barang Keluar'!$E:$E,'Barang Keluar'!$A:$A,M8147,'Barang Keluar'!$C:$C,N8147))</f>
        <v>0</v>
      </c>
    </row>
    <row r="8148" spans="13:16">
      <c r="M8148" s="49">
        <f>IF($A$4+81&gt;$B$4,"",$A$4+81)</f>
        <v>46104</v>
      </c>
      <c r="N8148">
        <f>IF(M8148="","",'Master Barang'!A42)</f>
        <v>0</v>
      </c>
      <c r="O8148">
        <f>IF(N8148="","",'Master Barang'!B42)</f>
        <v>0</v>
      </c>
      <c r="P8148">
        <f>IF(OR(M8148="",N8148=""),"",SUMIFS('Barang Keluar'!$E:$E,'Barang Keluar'!$A:$A,M8148,'Barang Keluar'!$C:$C,N8148))</f>
        <v>0</v>
      </c>
    </row>
    <row r="8149" spans="13:16">
      <c r="M8149" s="49">
        <f>IF($A$4+81&gt;$B$4,"",$A$4+81)</f>
        <v>46104</v>
      </c>
      <c r="N8149">
        <f>IF(M8149="","",'Master Barang'!A43)</f>
        <v>0</v>
      </c>
      <c r="O8149">
        <f>IF(N8149="","",'Master Barang'!B43)</f>
        <v>0</v>
      </c>
      <c r="P8149">
        <f>IF(OR(M8149="",N8149=""),"",SUMIFS('Barang Keluar'!$E:$E,'Barang Keluar'!$A:$A,M8149,'Barang Keluar'!$C:$C,N8149))</f>
        <v>0</v>
      </c>
    </row>
    <row r="8150" spans="13:16">
      <c r="M8150" s="49">
        <f>IF($A$4+81&gt;$B$4,"",$A$4+81)</f>
        <v>46104</v>
      </c>
      <c r="N8150">
        <f>IF(M8150="","",'Master Barang'!A44)</f>
        <v>0</v>
      </c>
      <c r="O8150">
        <f>IF(N8150="","",'Master Barang'!B44)</f>
        <v>0</v>
      </c>
      <c r="P8150">
        <f>IF(OR(M8150="",N8150=""),"",SUMIFS('Barang Keluar'!$E:$E,'Barang Keluar'!$A:$A,M8150,'Barang Keluar'!$C:$C,N8150))</f>
        <v>0</v>
      </c>
    </row>
    <row r="8151" spans="13:16">
      <c r="M8151" s="49">
        <f>IF($A$4+81&gt;$B$4,"",$A$4+81)</f>
        <v>46104</v>
      </c>
      <c r="N8151">
        <f>IF(M8151="","",'Master Barang'!A45)</f>
        <v>0</v>
      </c>
      <c r="O8151">
        <f>IF(N8151="","",'Master Barang'!B45)</f>
        <v>0</v>
      </c>
      <c r="P8151">
        <f>IF(OR(M8151="",N8151=""),"",SUMIFS('Barang Keluar'!$E:$E,'Barang Keluar'!$A:$A,M8151,'Barang Keluar'!$C:$C,N8151))</f>
        <v>0</v>
      </c>
    </row>
    <row r="8152" spans="13:16">
      <c r="M8152" s="49">
        <f>IF($A$4+81&gt;$B$4,"",$A$4+81)</f>
        <v>46104</v>
      </c>
      <c r="N8152">
        <f>IF(M8152="","",'Master Barang'!A46)</f>
        <v>0</v>
      </c>
      <c r="O8152">
        <f>IF(N8152="","",'Master Barang'!B46)</f>
        <v>0</v>
      </c>
      <c r="P8152">
        <f>IF(OR(M8152="",N8152=""),"",SUMIFS('Barang Keluar'!$E:$E,'Barang Keluar'!$A:$A,M8152,'Barang Keluar'!$C:$C,N8152))</f>
        <v>0</v>
      </c>
    </row>
    <row r="8153" spans="13:16">
      <c r="M8153" s="49">
        <f>IF($A$4+81&gt;$B$4,"",$A$4+81)</f>
        <v>46104</v>
      </c>
      <c r="N8153">
        <f>IF(M8153="","",'Master Barang'!A47)</f>
        <v>0</v>
      </c>
      <c r="O8153">
        <f>IF(N8153="","",'Master Barang'!B47)</f>
        <v>0</v>
      </c>
      <c r="P8153">
        <f>IF(OR(M8153="",N8153=""),"",SUMIFS('Barang Keluar'!$E:$E,'Barang Keluar'!$A:$A,M8153,'Barang Keluar'!$C:$C,N8153))</f>
        <v>0</v>
      </c>
    </row>
    <row r="8154" spans="13:16">
      <c r="M8154" s="49">
        <f>IF($A$4+81&gt;$B$4,"",$A$4+81)</f>
        <v>46104</v>
      </c>
      <c r="N8154">
        <f>IF(M8154="","",'Master Barang'!A48)</f>
        <v>0</v>
      </c>
      <c r="O8154">
        <f>IF(N8154="","",'Master Barang'!B48)</f>
        <v>0</v>
      </c>
      <c r="P8154">
        <f>IF(OR(M8154="",N8154=""),"",SUMIFS('Barang Keluar'!$E:$E,'Barang Keluar'!$A:$A,M8154,'Barang Keluar'!$C:$C,N8154))</f>
        <v>0</v>
      </c>
    </row>
    <row r="8155" spans="13:16">
      <c r="M8155" s="49">
        <f>IF($A$4+81&gt;$B$4,"",$A$4+81)</f>
        <v>46104</v>
      </c>
      <c r="N8155">
        <f>IF(M8155="","",'Master Barang'!A49)</f>
        <v>0</v>
      </c>
      <c r="O8155">
        <f>IF(N8155="","",'Master Barang'!B49)</f>
        <v>0</v>
      </c>
      <c r="P8155">
        <f>IF(OR(M8155="",N8155=""),"",SUMIFS('Barang Keluar'!$E:$E,'Barang Keluar'!$A:$A,M8155,'Barang Keluar'!$C:$C,N8155))</f>
        <v>0</v>
      </c>
    </row>
    <row r="8156" spans="13:16">
      <c r="M8156" s="49">
        <f>IF($A$4+81&gt;$B$4,"",$A$4+81)</f>
        <v>46104</v>
      </c>
      <c r="N8156">
        <f>IF(M8156="","",'Master Barang'!A50)</f>
        <v>0</v>
      </c>
      <c r="O8156">
        <f>IF(N8156="","",'Master Barang'!B50)</f>
        <v>0</v>
      </c>
      <c r="P8156">
        <f>IF(OR(M8156="",N8156=""),"",SUMIFS('Barang Keluar'!$E:$E,'Barang Keluar'!$A:$A,M8156,'Barang Keluar'!$C:$C,N8156))</f>
        <v>0</v>
      </c>
    </row>
    <row r="8157" spans="13:16">
      <c r="M8157" s="49">
        <f>IF($A$4+81&gt;$B$4,"",$A$4+81)</f>
        <v>46104</v>
      </c>
      <c r="N8157">
        <f>IF(M8157="","",'Master Barang'!A51)</f>
        <v>0</v>
      </c>
      <c r="O8157">
        <f>IF(N8157="","",'Master Barang'!B51)</f>
        <v>0</v>
      </c>
      <c r="P8157">
        <f>IF(OR(M8157="",N8157=""),"",SUMIFS('Barang Keluar'!$E:$E,'Barang Keluar'!$A:$A,M8157,'Barang Keluar'!$C:$C,N8157))</f>
        <v>0</v>
      </c>
    </row>
    <row r="8158" spans="13:16">
      <c r="M8158" s="49">
        <f>IF($A$4+81&gt;$B$4,"",$A$4+81)</f>
        <v>46104</v>
      </c>
      <c r="N8158">
        <f>IF(M8158="","",'Master Barang'!A52)</f>
        <v>0</v>
      </c>
      <c r="O8158">
        <f>IF(N8158="","",'Master Barang'!B52)</f>
        <v>0</v>
      </c>
      <c r="P8158">
        <f>IF(OR(M8158="",N8158=""),"",SUMIFS('Barang Keluar'!$E:$E,'Barang Keluar'!$A:$A,M8158,'Barang Keluar'!$C:$C,N8158))</f>
        <v>0</v>
      </c>
    </row>
    <row r="8159" spans="13:16">
      <c r="M8159" s="49">
        <f>IF($A$4+81&gt;$B$4,"",$A$4+81)</f>
        <v>46104</v>
      </c>
      <c r="N8159">
        <f>IF(M8159="","",'Master Barang'!A53)</f>
        <v>0</v>
      </c>
      <c r="O8159">
        <f>IF(N8159="","",'Master Barang'!B53)</f>
        <v>0</v>
      </c>
      <c r="P8159">
        <f>IF(OR(M8159="",N8159=""),"",SUMIFS('Barang Keluar'!$E:$E,'Barang Keluar'!$A:$A,M8159,'Barang Keluar'!$C:$C,N8159))</f>
        <v>0</v>
      </c>
    </row>
    <row r="8160" spans="13:16">
      <c r="M8160" s="49">
        <f>IF($A$4+81&gt;$B$4,"",$A$4+81)</f>
        <v>46104</v>
      </c>
      <c r="N8160">
        <f>IF(M8160="","",'Master Barang'!A54)</f>
        <v>0</v>
      </c>
      <c r="O8160">
        <f>IF(N8160="","",'Master Barang'!B54)</f>
        <v>0</v>
      </c>
      <c r="P8160">
        <f>IF(OR(M8160="",N8160=""),"",SUMIFS('Barang Keluar'!$E:$E,'Barang Keluar'!$A:$A,M8160,'Barang Keluar'!$C:$C,N8160))</f>
        <v>0</v>
      </c>
    </row>
    <row r="8161" spans="13:16">
      <c r="M8161" s="49">
        <f>IF($A$4+81&gt;$B$4,"",$A$4+81)</f>
        <v>46104</v>
      </c>
      <c r="N8161">
        <f>IF(M8161="","",'Master Barang'!A55)</f>
        <v>0</v>
      </c>
      <c r="O8161">
        <f>IF(N8161="","",'Master Barang'!B55)</f>
        <v>0</v>
      </c>
      <c r="P8161">
        <f>IF(OR(M8161="",N8161=""),"",SUMIFS('Barang Keluar'!$E:$E,'Barang Keluar'!$A:$A,M8161,'Barang Keluar'!$C:$C,N8161))</f>
        <v>0</v>
      </c>
    </row>
    <row r="8162" spans="13:16">
      <c r="M8162" s="49">
        <f>IF($A$4+81&gt;$B$4,"",$A$4+81)</f>
        <v>46104</v>
      </c>
      <c r="N8162">
        <f>IF(M8162="","",'Master Barang'!A56)</f>
        <v>0</v>
      </c>
      <c r="O8162">
        <f>IF(N8162="","",'Master Barang'!B56)</f>
        <v>0</v>
      </c>
      <c r="P8162">
        <f>IF(OR(M8162="",N8162=""),"",SUMIFS('Barang Keluar'!$E:$E,'Barang Keluar'!$A:$A,M8162,'Barang Keluar'!$C:$C,N8162))</f>
        <v>0</v>
      </c>
    </row>
    <row r="8163" spans="13:16">
      <c r="M8163" s="49">
        <f>IF($A$4+81&gt;$B$4,"",$A$4+81)</f>
        <v>46104</v>
      </c>
      <c r="N8163">
        <f>IF(M8163="","",'Master Barang'!A57)</f>
        <v>0</v>
      </c>
      <c r="O8163">
        <f>IF(N8163="","",'Master Barang'!B57)</f>
        <v>0</v>
      </c>
      <c r="P8163">
        <f>IF(OR(M8163="",N8163=""),"",SUMIFS('Barang Keluar'!$E:$E,'Barang Keluar'!$A:$A,M8163,'Barang Keluar'!$C:$C,N8163))</f>
        <v>0</v>
      </c>
    </row>
    <row r="8164" spans="13:16">
      <c r="M8164" s="49">
        <f>IF($A$4+81&gt;$B$4,"",$A$4+81)</f>
        <v>46104</v>
      </c>
      <c r="N8164">
        <f>IF(M8164="","",'Master Barang'!A58)</f>
        <v>0</v>
      </c>
      <c r="O8164">
        <f>IF(N8164="","",'Master Barang'!B58)</f>
        <v>0</v>
      </c>
      <c r="P8164">
        <f>IF(OR(M8164="",N8164=""),"",SUMIFS('Barang Keluar'!$E:$E,'Barang Keluar'!$A:$A,M8164,'Barang Keluar'!$C:$C,N8164))</f>
        <v>0</v>
      </c>
    </row>
    <row r="8165" spans="13:16">
      <c r="M8165" s="49">
        <f>IF($A$4+81&gt;$B$4,"",$A$4+81)</f>
        <v>46104</v>
      </c>
      <c r="N8165">
        <f>IF(M8165="","",'Master Barang'!A59)</f>
        <v>0</v>
      </c>
      <c r="O8165">
        <f>IF(N8165="","",'Master Barang'!B59)</f>
        <v>0</v>
      </c>
      <c r="P8165">
        <f>IF(OR(M8165="",N8165=""),"",SUMIFS('Barang Keluar'!$E:$E,'Barang Keluar'!$A:$A,M8165,'Barang Keluar'!$C:$C,N8165))</f>
        <v>0</v>
      </c>
    </row>
    <row r="8166" spans="13:16">
      <c r="M8166" s="49">
        <f>IF($A$4+81&gt;$B$4,"",$A$4+81)</f>
        <v>46104</v>
      </c>
      <c r="N8166">
        <f>IF(M8166="","",'Master Barang'!A60)</f>
        <v>0</v>
      </c>
      <c r="O8166">
        <f>IF(N8166="","",'Master Barang'!B60)</f>
        <v>0</v>
      </c>
      <c r="P8166">
        <f>IF(OR(M8166="",N8166=""),"",SUMIFS('Barang Keluar'!$E:$E,'Barang Keluar'!$A:$A,M8166,'Barang Keluar'!$C:$C,N8166))</f>
        <v>0</v>
      </c>
    </row>
    <row r="8167" spans="13:16">
      <c r="M8167" s="49">
        <f>IF($A$4+81&gt;$B$4,"",$A$4+81)</f>
        <v>46104</v>
      </c>
      <c r="N8167">
        <f>IF(M8167="","",'Master Barang'!A61)</f>
        <v>0</v>
      </c>
      <c r="O8167">
        <f>IF(N8167="","",'Master Barang'!B61)</f>
        <v>0</v>
      </c>
      <c r="P8167">
        <f>IF(OR(M8167="",N8167=""),"",SUMIFS('Barang Keluar'!$E:$E,'Barang Keluar'!$A:$A,M8167,'Barang Keluar'!$C:$C,N8167))</f>
        <v>0</v>
      </c>
    </row>
    <row r="8168" spans="13:16">
      <c r="M8168" s="49">
        <f>IF($A$4+81&gt;$B$4,"",$A$4+81)</f>
        <v>46104</v>
      </c>
      <c r="N8168">
        <f>IF(M8168="","",'Master Barang'!A62)</f>
        <v>0</v>
      </c>
      <c r="O8168">
        <f>IF(N8168="","",'Master Barang'!B62)</f>
        <v>0</v>
      </c>
      <c r="P8168">
        <f>IF(OR(M8168="",N8168=""),"",SUMIFS('Barang Keluar'!$E:$E,'Barang Keluar'!$A:$A,M8168,'Barang Keluar'!$C:$C,N8168))</f>
        <v>0</v>
      </c>
    </row>
    <row r="8169" spans="13:16">
      <c r="M8169" s="49">
        <f>IF($A$4+81&gt;$B$4,"",$A$4+81)</f>
        <v>46104</v>
      </c>
      <c r="N8169">
        <f>IF(M8169="","",'Master Barang'!A63)</f>
        <v>0</v>
      </c>
      <c r="O8169">
        <f>IF(N8169="","",'Master Barang'!B63)</f>
        <v>0</v>
      </c>
      <c r="P8169">
        <f>IF(OR(M8169="",N8169=""),"",SUMIFS('Barang Keluar'!$E:$E,'Barang Keluar'!$A:$A,M8169,'Barang Keluar'!$C:$C,N8169))</f>
        <v>0</v>
      </c>
    </row>
    <row r="8170" spans="13:16">
      <c r="M8170" s="49">
        <f>IF($A$4+81&gt;$B$4,"",$A$4+81)</f>
        <v>46104</v>
      </c>
      <c r="N8170">
        <f>IF(M8170="","",'Master Barang'!A64)</f>
        <v>0</v>
      </c>
      <c r="O8170">
        <f>IF(N8170="","",'Master Barang'!B64)</f>
        <v>0</v>
      </c>
      <c r="P8170">
        <f>IF(OR(M8170="",N8170=""),"",SUMIFS('Barang Keluar'!$E:$E,'Barang Keluar'!$A:$A,M8170,'Barang Keluar'!$C:$C,N8170))</f>
        <v>0</v>
      </c>
    </row>
    <row r="8171" spans="13:16">
      <c r="M8171" s="49">
        <f>IF($A$4+81&gt;$B$4,"",$A$4+81)</f>
        <v>46104</v>
      </c>
      <c r="N8171">
        <f>IF(M8171="","",'Master Barang'!A65)</f>
        <v>0</v>
      </c>
      <c r="O8171">
        <f>IF(N8171="","",'Master Barang'!B65)</f>
        <v>0</v>
      </c>
      <c r="P8171">
        <f>IF(OR(M8171="",N8171=""),"",SUMIFS('Barang Keluar'!$E:$E,'Barang Keluar'!$A:$A,M8171,'Barang Keluar'!$C:$C,N8171))</f>
        <v>0</v>
      </c>
    </row>
    <row r="8172" spans="13:16">
      <c r="M8172" s="49">
        <f>IF($A$4+81&gt;$B$4,"",$A$4+81)</f>
        <v>46104</v>
      </c>
      <c r="N8172">
        <f>IF(M8172="","",'Master Barang'!A66)</f>
        <v>0</v>
      </c>
      <c r="O8172">
        <f>IF(N8172="","",'Master Barang'!B66)</f>
        <v>0</v>
      </c>
      <c r="P8172">
        <f>IF(OR(M8172="",N8172=""),"",SUMIFS('Barang Keluar'!$E:$E,'Barang Keluar'!$A:$A,M8172,'Barang Keluar'!$C:$C,N8172))</f>
        <v>0</v>
      </c>
    </row>
    <row r="8173" spans="13:16">
      <c r="M8173" s="49">
        <f>IF($A$4+81&gt;$B$4,"",$A$4+81)</f>
        <v>46104</v>
      </c>
      <c r="N8173">
        <f>IF(M8173="","",'Master Barang'!A67)</f>
        <v>0</v>
      </c>
      <c r="O8173">
        <f>IF(N8173="","",'Master Barang'!B67)</f>
        <v>0</v>
      </c>
      <c r="P8173">
        <f>IF(OR(M8173="",N8173=""),"",SUMIFS('Barang Keluar'!$E:$E,'Barang Keluar'!$A:$A,M8173,'Barang Keluar'!$C:$C,N8173))</f>
        <v>0</v>
      </c>
    </row>
    <row r="8174" spans="13:16">
      <c r="M8174" s="49">
        <f>IF($A$4+81&gt;$B$4,"",$A$4+81)</f>
        <v>46104</v>
      </c>
      <c r="N8174">
        <f>IF(M8174="","",'Master Barang'!A68)</f>
        <v>0</v>
      </c>
      <c r="O8174">
        <f>IF(N8174="","",'Master Barang'!B68)</f>
        <v>0</v>
      </c>
      <c r="P8174">
        <f>IF(OR(M8174="",N8174=""),"",SUMIFS('Barang Keluar'!$E:$E,'Barang Keluar'!$A:$A,M8174,'Barang Keluar'!$C:$C,N8174))</f>
        <v>0</v>
      </c>
    </row>
    <row r="8175" spans="13:16">
      <c r="M8175" s="49">
        <f>IF($A$4+81&gt;$B$4,"",$A$4+81)</f>
        <v>46104</v>
      </c>
      <c r="N8175">
        <f>IF(M8175="","",'Master Barang'!A69)</f>
        <v>0</v>
      </c>
      <c r="O8175">
        <f>IF(N8175="","",'Master Barang'!B69)</f>
        <v>0</v>
      </c>
      <c r="P8175">
        <f>IF(OR(M8175="",N8175=""),"",SUMIFS('Barang Keluar'!$E:$E,'Barang Keluar'!$A:$A,M8175,'Barang Keluar'!$C:$C,N8175))</f>
        <v>0</v>
      </c>
    </row>
    <row r="8176" spans="13:16">
      <c r="M8176" s="49">
        <f>IF($A$4+81&gt;$B$4,"",$A$4+81)</f>
        <v>46104</v>
      </c>
      <c r="N8176">
        <f>IF(M8176="","",'Master Barang'!A70)</f>
        <v>0</v>
      </c>
      <c r="O8176">
        <f>IF(N8176="","",'Master Barang'!B70)</f>
        <v>0</v>
      </c>
      <c r="P8176">
        <f>IF(OR(M8176="",N8176=""),"",SUMIFS('Barang Keluar'!$E:$E,'Barang Keluar'!$A:$A,M8176,'Barang Keluar'!$C:$C,N8176))</f>
        <v>0</v>
      </c>
    </row>
    <row r="8177" spans="13:16">
      <c r="M8177" s="49">
        <f>IF($A$4+81&gt;$B$4,"",$A$4+81)</f>
        <v>46104</v>
      </c>
      <c r="N8177">
        <f>IF(M8177="","",'Master Barang'!A71)</f>
        <v>0</v>
      </c>
      <c r="O8177">
        <f>IF(N8177="","",'Master Barang'!B71)</f>
        <v>0</v>
      </c>
      <c r="P8177">
        <f>IF(OR(M8177="",N8177=""),"",SUMIFS('Barang Keluar'!$E:$E,'Barang Keluar'!$A:$A,M8177,'Barang Keluar'!$C:$C,N8177))</f>
        <v>0</v>
      </c>
    </row>
    <row r="8178" spans="13:16">
      <c r="M8178" s="49">
        <f>IF($A$4+81&gt;$B$4,"",$A$4+81)</f>
        <v>46104</v>
      </c>
      <c r="N8178">
        <f>IF(M8178="","",'Master Barang'!A72)</f>
        <v>0</v>
      </c>
      <c r="O8178">
        <f>IF(N8178="","",'Master Barang'!B72)</f>
        <v>0</v>
      </c>
      <c r="P8178">
        <f>IF(OR(M8178="",N8178=""),"",SUMIFS('Barang Keluar'!$E:$E,'Barang Keluar'!$A:$A,M8178,'Barang Keluar'!$C:$C,N8178))</f>
        <v>0</v>
      </c>
    </row>
    <row r="8179" spans="13:16">
      <c r="M8179" s="49">
        <f>IF($A$4+81&gt;$B$4,"",$A$4+81)</f>
        <v>46104</v>
      </c>
      <c r="N8179">
        <f>IF(M8179="","",'Master Barang'!A73)</f>
        <v>0</v>
      </c>
      <c r="O8179">
        <f>IF(N8179="","",'Master Barang'!B73)</f>
        <v>0</v>
      </c>
      <c r="P8179">
        <f>IF(OR(M8179="",N8179=""),"",SUMIFS('Barang Keluar'!$E:$E,'Barang Keluar'!$A:$A,M8179,'Barang Keluar'!$C:$C,N8179))</f>
        <v>0</v>
      </c>
    </row>
    <row r="8180" spans="13:16">
      <c r="M8180" s="49">
        <f>IF($A$4+81&gt;$B$4,"",$A$4+81)</f>
        <v>46104</v>
      </c>
      <c r="N8180">
        <f>IF(M8180="","",'Master Barang'!A74)</f>
        <v>0</v>
      </c>
      <c r="O8180">
        <f>IF(N8180="","",'Master Barang'!B74)</f>
        <v>0</v>
      </c>
      <c r="P8180">
        <f>IF(OR(M8180="",N8180=""),"",SUMIFS('Barang Keluar'!$E:$E,'Barang Keluar'!$A:$A,M8180,'Barang Keluar'!$C:$C,N8180))</f>
        <v>0</v>
      </c>
    </row>
    <row r="8181" spans="13:16">
      <c r="M8181" s="49">
        <f>IF($A$4+81&gt;$B$4,"",$A$4+81)</f>
        <v>46104</v>
      </c>
      <c r="N8181">
        <f>IF(M8181="","",'Master Barang'!A75)</f>
        <v>0</v>
      </c>
      <c r="O8181">
        <f>IF(N8181="","",'Master Barang'!B75)</f>
        <v>0</v>
      </c>
      <c r="P8181">
        <f>IF(OR(M8181="",N8181=""),"",SUMIFS('Barang Keluar'!$E:$E,'Barang Keluar'!$A:$A,M8181,'Barang Keluar'!$C:$C,N8181))</f>
        <v>0</v>
      </c>
    </row>
    <row r="8182" spans="13:16">
      <c r="M8182" s="49">
        <f>IF($A$4+81&gt;$B$4,"",$A$4+81)</f>
        <v>46104</v>
      </c>
      <c r="N8182">
        <f>IF(M8182="","",'Master Barang'!A76)</f>
        <v>0</v>
      </c>
      <c r="O8182">
        <f>IF(N8182="","",'Master Barang'!B76)</f>
        <v>0</v>
      </c>
      <c r="P8182">
        <f>IF(OR(M8182="",N8182=""),"",SUMIFS('Barang Keluar'!$E:$E,'Barang Keluar'!$A:$A,M8182,'Barang Keluar'!$C:$C,N8182))</f>
        <v>0</v>
      </c>
    </row>
    <row r="8183" spans="13:16">
      <c r="M8183" s="49">
        <f>IF($A$4+81&gt;$B$4,"",$A$4+81)</f>
        <v>46104</v>
      </c>
      <c r="N8183">
        <f>IF(M8183="","",'Master Barang'!A77)</f>
        <v>0</v>
      </c>
      <c r="O8183">
        <f>IF(N8183="","",'Master Barang'!B77)</f>
        <v>0</v>
      </c>
      <c r="P8183">
        <f>IF(OR(M8183="",N8183=""),"",SUMIFS('Barang Keluar'!$E:$E,'Barang Keluar'!$A:$A,M8183,'Barang Keluar'!$C:$C,N8183))</f>
        <v>0</v>
      </c>
    </row>
    <row r="8184" spans="13:16">
      <c r="M8184" s="49">
        <f>IF($A$4+81&gt;$B$4,"",$A$4+81)</f>
        <v>46104</v>
      </c>
      <c r="N8184">
        <f>IF(M8184="","",'Master Barang'!A78)</f>
        <v>0</v>
      </c>
      <c r="O8184">
        <f>IF(N8184="","",'Master Barang'!B78)</f>
        <v>0</v>
      </c>
      <c r="P8184">
        <f>IF(OR(M8184="",N8184=""),"",SUMIFS('Barang Keluar'!$E:$E,'Barang Keluar'!$A:$A,M8184,'Barang Keluar'!$C:$C,N8184))</f>
        <v>0</v>
      </c>
    </row>
    <row r="8185" spans="13:16">
      <c r="M8185" s="49">
        <f>IF($A$4+81&gt;$B$4,"",$A$4+81)</f>
        <v>46104</v>
      </c>
      <c r="N8185">
        <f>IF(M8185="","",'Master Barang'!A79)</f>
        <v>0</v>
      </c>
      <c r="O8185">
        <f>IF(N8185="","",'Master Barang'!B79)</f>
        <v>0</v>
      </c>
      <c r="P8185">
        <f>IF(OR(M8185="",N8185=""),"",SUMIFS('Barang Keluar'!$E:$E,'Barang Keluar'!$A:$A,M8185,'Barang Keluar'!$C:$C,N8185))</f>
        <v>0</v>
      </c>
    </row>
    <row r="8186" spans="13:16">
      <c r="M8186" s="49">
        <f>IF($A$4+81&gt;$B$4,"",$A$4+81)</f>
        <v>46104</v>
      </c>
      <c r="N8186">
        <f>IF(M8186="","",'Master Barang'!A80)</f>
        <v>0</v>
      </c>
      <c r="O8186">
        <f>IF(N8186="","",'Master Barang'!B80)</f>
        <v>0</v>
      </c>
      <c r="P8186">
        <f>IF(OR(M8186="",N8186=""),"",SUMIFS('Barang Keluar'!$E:$E,'Barang Keluar'!$A:$A,M8186,'Barang Keluar'!$C:$C,N8186))</f>
        <v>0</v>
      </c>
    </row>
    <row r="8187" spans="13:16">
      <c r="M8187" s="49">
        <f>IF($A$4+81&gt;$B$4,"",$A$4+81)</f>
        <v>46104</v>
      </c>
      <c r="N8187">
        <f>IF(M8187="","",'Master Barang'!A81)</f>
        <v>0</v>
      </c>
      <c r="O8187">
        <f>IF(N8187="","",'Master Barang'!B81)</f>
        <v>0</v>
      </c>
      <c r="P8187">
        <f>IF(OR(M8187="",N8187=""),"",SUMIFS('Barang Keluar'!$E:$E,'Barang Keluar'!$A:$A,M8187,'Barang Keluar'!$C:$C,N8187))</f>
        <v>0</v>
      </c>
    </row>
    <row r="8188" spans="13:16">
      <c r="M8188" s="49">
        <f>IF($A$4+81&gt;$B$4,"",$A$4+81)</f>
        <v>46104</v>
      </c>
      <c r="N8188">
        <f>IF(M8188="","",'Master Barang'!A82)</f>
        <v>0</v>
      </c>
      <c r="O8188">
        <f>IF(N8188="","",'Master Barang'!B82)</f>
        <v>0</v>
      </c>
      <c r="P8188">
        <f>IF(OR(M8188="",N8188=""),"",SUMIFS('Barang Keluar'!$E:$E,'Barang Keluar'!$A:$A,M8188,'Barang Keluar'!$C:$C,N8188))</f>
        <v>0</v>
      </c>
    </row>
    <row r="8189" spans="13:16">
      <c r="M8189" s="49">
        <f>IF($A$4+81&gt;$B$4,"",$A$4+81)</f>
        <v>46104</v>
      </c>
      <c r="N8189">
        <f>IF(M8189="","",'Master Barang'!A83)</f>
        <v>0</v>
      </c>
      <c r="O8189">
        <f>IF(N8189="","",'Master Barang'!B83)</f>
        <v>0</v>
      </c>
      <c r="P8189">
        <f>IF(OR(M8189="",N8189=""),"",SUMIFS('Barang Keluar'!$E:$E,'Barang Keluar'!$A:$A,M8189,'Barang Keluar'!$C:$C,N8189))</f>
        <v>0</v>
      </c>
    </row>
    <row r="8190" spans="13:16">
      <c r="M8190" s="49">
        <f>IF($A$4+81&gt;$B$4,"",$A$4+81)</f>
        <v>46104</v>
      </c>
      <c r="N8190">
        <f>IF(M8190="","",'Master Barang'!A84)</f>
        <v>0</v>
      </c>
      <c r="O8190">
        <f>IF(N8190="","",'Master Barang'!B84)</f>
        <v>0</v>
      </c>
      <c r="P8190">
        <f>IF(OR(M8190="",N8190=""),"",SUMIFS('Barang Keluar'!$E:$E,'Barang Keluar'!$A:$A,M8190,'Barang Keluar'!$C:$C,N8190))</f>
        <v>0</v>
      </c>
    </row>
    <row r="8191" spans="13:16">
      <c r="M8191" s="49">
        <f>IF($A$4+81&gt;$B$4,"",$A$4+81)</f>
        <v>46104</v>
      </c>
      <c r="N8191">
        <f>IF(M8191="","",'Master Barang'!A85)</f>
        <v>0</v>
      </c>
      <c r="O8191">
        <f>IF(N8191="","",'Master Barang'!B85)</f>
        <v>0</v>
      </c>
      <c r="P8191">
        <f>IF(OR(M8191="",N8191=""),"",SUMIFS('Barang Keluar'!$E:$E,'Barang Keluar'!$A:$A,M8191,'Barang Keluar'!$C:$C,N8191))</f>
        <v>0</v>
      </c>
    </row>
    <row r="8192" spans="13:16">
      <c r="M8192" s="49">
        <f>IF($A$4+81&gt;$B$4,"",$A$4+81)</f>
        <v>46104</v>
      </c>
      <c r="N8192">
        <f>IF(M8192="","",'Master Barang'!A86)</f>
        <v>0</v>
      </c>
      <c r="O8192">
        <f>IF(N8192="","",'Master Barang'!B86)</f>
        <v>0</v>
      </c>
      <c r="P8192">
        <f>IF(OR(M8192="",N8192=""),"",SUMIFS('Barang Keluar'!$E:$E,'Barang Keluar'!$A:$A,M8192,'Barang Keluar'!$C:$C,N8192))</f>
        <v>0</v>
      </c>
    </row>
    <row r="8193" spans="13:16">
      <c r="M8193" s="49">
        <f>IF($A$4+81&gt;$B$4,"",$A$4+81)</f>
        <v>46104</v>
      </c>
      <c r="N8193">
        <f>IF(M8193="","",'Master Barang'!A87)</f>
        <v>0</v>
      </c>
      <c r="O8193">
        <f>IF(N8193="","",'Master Barang'!B87)</f>
        <v>0</v>
      </c>
      <c r="P8193">
        <f>IF(OR(M8193="",N8193=""),"",SUMIFS('Barang Keluar'!$E:$E,'Barang Keluar'!$A:$A,M8193,'Barang Keluar'!$C:$C,N8193))</f>
        <v>0</v>
      </c>
    </row>
    <row r="8194" spans="13:16">
      <c r="M8194" s="49">
        <f>IF($A$4+81&gt;$B$4,"",$A$4+81)</f>
        <v>46104</v>
      </c>
      <c r="N8194">
        <f>IF(M8194="","",'Master Barang'!A88)</f>
        <v>0</v>
      </c>
      <c r="O8194">
        <f>IF(N8194="","",'Master Barang'!B88)</f>
        <v>0</v>
      </c>
      <c r="P8194">
        <f>IF(OR(M8194="",N8194=""),"",SUMIFS('Barang Keluar'!$E:$E,'Barang Keluar'!$A:$A,M8194,'Barang Keluar'!$C:$C,N8194))</f>
        <v>0</v>
      </c>
    </row>
    <row r="8195" spans="13:16">
      <c r="M8195" s="49">
        <f>IF($A$4+81&gt;$B$4,"",$A$4+81)</f>
        <v>46104</v>
      </c>
      <c r="N8195">
        <f>IF(M8195="","",'Master Barang'!A89)</f>
        <v>0</v>
      </c>
      <c r="O8195">
        <f>IF(N8195="","",'Master Barang'!B89)</f>
        <v>0</v>
      </c>
      <c r="P8195">
        <f>IF(OR(M8195="",N8195=""),"",SUMIFS('Barang Keluar'!$E:$E,'Barang Keluar'!$A:$A,M8195,'Barang Keluar'!$C:$C,N8195))</f>
        <v>0</v>
      </c>
    </row>
    <row r="8196" spans="13:16">
      <c r="M8196" s="49">
        <f>IF($A$4+81&gt;$B$4,"",$A$4+81)</f>
        <v>46104</v>
      </c>
      <c r="N8196">
        <f>IF(M8196="","",'Master Barang'!A90)</f>
        <v>0</v>
      </c>
      <c r="O8196">
        <f>IF(N8196="","",'Master Barang'!B90)</f>
        <v>0</v>
      </c>
      <c r="P8196">
        <f>IF(OR(M8196="",N8196=""),"",SUMIFS('Barang Keluar'!$E:$E,'Barang Keluar'!$A:$A,M8196,'Barang Keluar'!$C:$C,N8196))</f>
        <v>0</v>
      </c>
    </row>
    <row r="8197" spans="13:16">
      <c r="M8197" s="49">
        <f>IF($A$4+81&gt;$B$4,"",$A$4+81)</f>
        <v>46104</v>
      </c>
      <c r="N8197">
        <f>IF(M8197="","",'Master Barang'!A91)</f>
        <v>0</v>
      </c>
      <c r="O8197">
        <f>IF(N8197="","",'Master Barang'!B91)</f>
        <v>0</v>
      </c>
      <c r="P8197">
        <f>IF(OR(M8197="",N8197=""),"",SUMIFS('Barang Keluar'!$E:$E,'Barang Keluar'!$A:$A,M8197,'Barang Keluar'!$C:$C,N8197))</f>
        <v>0</v>
      </c>
    </row>
    <row r="8198" spans="13:16">
      <c r="M8198" s="49">
        <f>IF($A$4+81&gt;$B$4,"",$A$4+81)</f>
        <v>46104</v>
      </c>
      <c r="N8198">
        <f>IF(M8198="","",'Master Barang'!A92)</f>
        <v>0</v>
      </c>
      <c r="O8198">
        <f>IF(N8198="","",'Master Barang'!B92)</f>
        <v>0</v>
      </c>
      <c r="P8198">
        <f>IF(OR(M8198="",N8198=""),"",SUMIFS('Barang Keluar'!$E:$E,'Barang Keluar'!$A:$A,M8198,'Barang Keluar'!$C:$C,N8198))</f>
        <v>0</v>
      </c>
    </row>
    <row r="8199" spans="13:16">
      <c r="M8199" s="49">
        <f>IF($A$4+81&gt;$B$4,"",$A$4+81)</f>
        <v>46104</v>
      </c>
      <c r="N8199">
        <f>IF(M8199="","",'Master Barang'!A93)</f>
        <v>0</v>
      </c>
      <c r="O8199">
        <f>IF(N8199="","",'Master Barang'!B93)</f>
        <v>0</v>
      </c>
      <c r="P8199">
        <f>IF(OR(M8199="",N8199=""),"",SUMIFS('Barang Keluar'!$E:$E,'Barang Keluar'!$A:$A,M8199,'Barang Keluar'!$C:$C,N8199))</f>
        <v>0</v>
      </c>
    </row>
    <row r="8200" spans="13:16">
      <c r="M8200" s="49">
        <f>IF($A$4+81&gt;$B$4,"",$A$4+81)</f>
        <v>46104</v>
      </c>
      <c r="N8200">
        <f>IF(M8200="","",'Master Barang'!A94)</f>
        <v>0</v>
      </c>
      <c r="O8200">
        <f>IF(N8200="","",'Master Barang'!B94)</f>
        <v>0</v>
      </c>
      <c r="P8200">
        <f>IF(OR(M8200="",N8200=""),"",SUMIFS('Barang Keluar'!$E:$E,'Barang Keluar'!$A:$A,M8200,'Barang Keluar'!$C:$C,N8200))</f>
        <v>0</v>
      </c>
    </row>
    <row r="8201" spans="13:16">
      <c r="M8201" s="49">
        <f>IF($A$4+81&gt;$B$4,"",$A$4+81)</f>
        <v>46104</v>
      </c>
      <c r="N8201">
        <f>IF(M8201="","",'Master Barang'!A95)</f>
        <v>0</v>
      </c>
      <c r="O8201">
        <f>IF(N8201="","",'Master Barang'!B95)</f>
        <v>0</v>
      </c>
      <c r="P8201">
        <f>IF(OR(M8201="",N8201=""),"",SUMIFS('Barang Keluar'!$E:$E,'Barang Keluar'!$A:$A,M8201,'Barang Keluar'!$C:$C,N8201))</f>
        <v>0</v>
      </c>
    </row>
    <row r="8202" spans="13:16">
      <c r="M8202" s="49">
        <f>IF($A$4+81&gt;$B$4,"",$A$4+81)</f>
        <v>46104</v>
      </c>
      <c r="N8202">
        <f>IF(M8202="","",'Master Barang'!A96)</f>
        <v>0</v>
      </c>
      <c r="O8202">
        <f>IF(N8202="","",'Master Barang'!B96)</f>
        <v>0</v>
      </c>
      <c r="P8202">
        <f>IF(OR(M8202="",N8202=""),"",SUMIFS('Barang Keluar'!$E:$E,'Barang Keluar'!$A:$A,M8202,'Barang Keluar'!$C:$C,N8202))</f>
        <v>0</v>
      </c>
    </row>
    <row r="8203" spans="13:16">
      <c r="M8203" s="49">
        <f>IF($A$4+81&gt;$B$4,"",$A$4+81)</f>
        <v>46104</v>
      </c>
      <c r="N8203">
        <f>IF(M8203="","",'Master Barang'!A97)</f>
        <v>0</v>
      </c>
      <c r="O8203">
        <f>IF(N8203="","",'Master Barang'!B97)</f>
        <v>0</v>
      </c>
      <c r="P8203">
        <f>IF(OR(M8203="",N8203=""),"",SUMIFS('Barang Keluar'!$E:$E,'Barang Keluar'!$A:$A,M8203,'Barang Keluar'!$C:$C,N8203))</f>
        <v>0</v>
      </c>
    </row>
    <row r="8204" spans="13:16">
      <c r="M8204" s="49">
        <f>IF($A$4+81&gt;$B$4,"",$A$4+81)</f>
        <v>46104</v>
      </c>
      <c r="N8204">
        <f>IF(M8204="","",'Master Barang'!A98)</f>
        <v>0</v>
      </c>
      <c r="O8204">
        <f>IF(N8204="","",'Master Barang'!B98)</f>
        <v>0</v>
      </c>
      <c r="P8204">
        <f>IF(OR(M8204="",N8204=""),"",SUMIFS('Barang Keluar'!$E:$E,'Barang Keluar'!$A:$A,M8204,'Barang Keluar'!$C:$C,N8204))</f>
        <v>0</v>
      </c>
    </row>
    <row r="8205" spans="13:16">
      <c r="M8205" s="49">
        <f>IF($A$4+81&gt;$B$4,"",$A$4+81)</f>
        <v>46104</v>
      </c>
      <c r="N8205">
        <f>IF(M8205="","",'Master Barang'!A99)</f>
        <v>0</v>
      </c>
      <c r="O8205">
        <f>IF(N8205="","",'Master Barang'!B99)</f>
        <v>0</v>
      </c>
      <c r="P8205">
        <f>IF(OR(M8205="",N8205=""),"",SUMIFS('Barang Keluar'!$E:$E,'Barang Keluar'!$A:$A,M8205,'Barang Keluar'!$C:$C,N8205))</f>
        <v>0</v>
      </c>
    </row>
    <row r="8206" spans="13:16">
      <c r="M8206" s="49">
        <f>IF($A$4+81&gt;$B$4,"",$A$4+81)</f>
        <v>46104</v>
      </c>
      <c r="N8206">
        <f>IF(M8206="","",'Master Barang'!A100)</f>
        <v>0</v>
      </c>
      <c r="O8206">
        <f>IF(N8206="","",'Master Barang'!B100)</f>
        <v>0</v>
      </c>
      <c r="P8206">
        <f>IF(OR(M8206="",N8206=""),"",SUMIFS('Barang Keluar'!$E:$E,'Barang Keluar'!$A:$A,M8206,'Barang Keluar'!$C:$C,N8206))</f>
        <v>0</v>
      </c>
    </row>
    <row r="8207" spans="13:16">
      <c r="M8207" s="49">
        <f>IF($A$4+81&gt;$B$4,"",$A$4+81)</f>
        <v>46104</v>
      </c>
      <c r="N8207">
        <f>IF(M8207="","",'Master Barang'!A101)</f>
        <v>0</v>
      </c>
      <c r="O8207">
        <f>IF(N8207="","",'Master Barang'!B101)</f>
        <v>0</v>
      </c>
      <c r="P8207">
        <f>IF(OR(M8207="",N8207=""),"",SUMIFS('Barang Keluar'!$E:$E,'Barang Keluar'!$A:$A,M8207,'Barang Keluar'!$C:$C,N8207))</f>
        <v>0</v>
      </c>
    </row>
    <row r="8208" spans="13:16">
      <c r="M8208" s="49">
        <f>IF($A$4+82&gt;$B$4,"",$A$4+82)</f>
        <v>46105</v>
      </c>
      <c r="N8208" t="str">
        <f>IF(M8208="","",'Master Barang'!A2)</f>
        <v>PRL-001</v>
      </c>
      <c r="O8208" t="str">
        <f>IF(N8208="","",'Master Barang'!B2)</f>
        <v>natura desinfectant food grade 5l</v>
      </c>
      <c r="P8208">
        <f>IF(OR(M8208="",N8208=""),"",SUMIFS('Barang Keluar'!$E:$E,'Barang Keluar'!$A:$A,M8208,'Barang Keluar'!$C:$C,N8208))</f>
        <v>0</v>
      </c>
    </row>
    <row r="8209" spans="13:16">
      <c r="M8209" s="49">
        <f>IF($A$4+82&gt;$B$4,"",$A$4+82)</f>
        <v>46105</v>
      </c>
      <c r="N8209" t="str">
        <f>IF(M8209="","",'Master Barang'!A3)</f>
        <v>PRL-002</v>
      </c>
      <c r="O8209" t="str">
        <f>IF(N8209="","",'Master Barang'!B3)</f>
        <v>sunlight cairan pencuci piring 5l</v>
      </c>
      <c r="P8209">
        <f>IF(OR(M8209="",N8209=""),"",SUMIFS('Barang Keluar'!$E:$E,'Barang Keluar'!$A:$A,M8209,'Barang Keluar'!$C:$C,N8209))</f>
        <v>0</v>
      </c>
    </row>
    <row r="8210" spans="13:16">
      <c r="M8210" s="49">
        <f>IF($A$4+82&gt;$B$4,"",$A$4+82)</f>
        <v>46105</v>
      </c>
      <c r="N8210" t="str">
        <f>IF(M8210="","",'Master Barang'!A4)</f>
        <v>PRL-003</v>
      </c>
      <c r="O8210" t="str">
        <f>IF(N8210="","",'Master Barang'!B4)</f>
        <v>oixs cleaner 1l</v>
      </c>
      <c r="P8210">
        <f>IF(OR(M8210="",N8210=""),"",SUMIFS('Barang Keluar'!$E:$E,'Barang Keluar'!$A:$A,M8210,'Barang Keluar'!$C:$C,N8210))</f>
        <v>0</v>
      </c>
    </row>
    <row r="8211" spans="13:16">
      <c r="M8211" s="49">
        <f>IF($A$4+82&gt;$B$4,"",$A$4+82)</f>
        <v>46105</v>
      </c>
      <c r="N8211" t="str">
        <f>IF(M8211="","",'Master Barang'!A5)</f>
        <v>PRL-004</v>
      </c>
      <c r="O8211" t="str">
        <f>IF(N8211="","",'Master Barang'!B5)</f>
        <v>be clean tissue serbaguna</v>
      </c>
      <c r="P8211">
        <f>IF(OR(M8211="",N8211=""),"",SUMIFS('Barang Keluar'!$E:$E,'Barang Keluar'!$A:$A,M8211,'Barang Keluar'!$C:$C,N8211))</f>
        <v>0</v>
      </c>
    </row>
    <row r="8212" spans="13:16">
      <c r="M8212" s="49">
        <f>IF($A$4+82&gt;$B$4,"",$A$4+82)</f>
        <v>46105</v>
      </c>
      <c r="N8212" t="str">
        <f>IF(M8212="","",'Master Barang'!A6)</f>
        <v>PRL-005</v>
      </c>
      <c r="O8212" t="str">
        <f>IF(N8212="","",'Master Barang'!B6)</f>
        <v>spons cuci hijau</v>
      </c>
      <c r="P8212">
        <f>IF(OR(M8212="",N8212=""),"",SUMIFS('Barang Keluar'!$E:$E,'Barang Keluar'!$A:$A,M8212,'Barang Keluar'!$C:$C,N8212))</f>
        <v>0</v>
      </c>
    </row>
    <row r="8213" spans="13:16">
      <c r="M8213" s="49">
        <f>IF($A$4+82&gt;$B$4,"",$A$4+82)</f>
        <v>46105</v>
      </c>
      <c r="N8213" t="str">
        <f>IF(M8213="","",'Master Barang'!A7)</f>
        <v>PRL-006</v>
      </c>
      <c r="O8213" t="str">
        <f>IF(N8213="","",'Master Barang'!B7)</f>
        <v>sabut cuci stainless</v>
      </c>
      <c r="P8213">
        <f>IF(OR(M8213="",N8213=""),"",SUMIFS('Barang Keluar'!$E:$E,'Barang Keluar'!$A:$A,M8213,'Barang Keluar'!$C:$C,N8213))</f>
        <v>0</v>
      </c>
    </row>
    <row r="8214" spans="13:16">
      <c r="M8214" s="49">
        <f>IF($A$4+82&gt;$B$4,"",$A$4+82)</f>
        <v>46105</v>
      </c>
      <c r="N8214" t="str">
        <f>IF(M8214="","",'Master Barang'!A8)</f>
        <v>PRL-007</v>
      </c>
      <c r="O8214" t="str">
        <f>IF(N8214="","",'Master Barang'!B8)</f>
        <v>plastik kresek besar merah 50pc</v>
      </c>
      <c r="P8214">
        <f>IF(OR(M8214="",N8214=""),"",SUMIFS('Barang Keluar'!$E:$E,'Barang Keluar'!$A:$A,M8214,'Barang Keluar'!$C:$C,N8214))</f>
        <v>0</v>
      </c>
    </row>
    <row r="8215" spans="13:16">
      <c r="M8215" s="49">
        <f>IF($A$4+82&gt;$B$4,"",$A$4+82)</f>
        <v>46105</v>
      </c>
      <c r="N8215" t="str">
        <f>IF(M8215="","",'Master Barang'!A9)</f>
        <v>PRL-008</v>
      </c>
      <c r="O8215" t="str">
        <f>IF(N8215="","",'Master Barang'!B9)</f>
        <v>lap besar</v>
      </c>
      <c r="P8215">
        <f>IF(OR(M8215="",N8215=""),"",SUMIFS('Barang Keluar'!$E:$E,'Barang Keluar'!$A:$A,M8215,'Barang Keluar'!$C:$C,N8215))</f>
        <v>0</v>
      </c>
    </row>
    <row r="8216" spans="13:16">
      <c r="M8216" s="49">
        <f>IF($A$4+82&gt;$B$4,"",$A$4+82)</f>
        <v>46105</v>
      </c>
      <c r="N8216" t="str">
        <f>IF(M8216="","",'Master Barang'!A10)</f>
        <v>PRL-009</v>
      </c>
      <c r="O8216" t="str">
        <f>IF(N8216="","",'Master Barang'!B10)</f>
        <v>lap microfiber</v>
      </c>
      <c r="P8216">
        <f>IF(OR(M8216="",N8216=""),"",SUMIFS('Barang Keluar'!$E:$E,'Barang Keluar'!$A:$A,M8216,'Barang Keluar'!$C:$C,N8216))</f>
        <v>0</v>
      </c>
    </row>
    <row r="8217" spans="13:16">
      <c r="M8217" s="49">
        <f>IF($A$4+82&gt;$B$4,"",$A$4+82)</f>
        <v>46105</v>
      </c>
      <c r="N8217" t="str">
        <f>IF(M8217="","",'Master Barang'!A11)</f>
        <v>PRL-010</v>
      </c>
      <c r="O8217" t="str">
        <f>IF(N8217="","",'Master Barang'!B11)</f>
        <v>lap kecil</v>
      </c>
      <c r="P8217">
        <f>IF(OR(M8217="",N8217=""),"",SUMIFS('Barang Keluar'!$E:$E,'Barang Keluar'!$A:$A,M8217,'Barang Keluar'!$C:$C,N8217))</f>
        <v>0</v>
      </c>
    </row>
    <row r="8218" spans="13:16">
      <c r="M8218" s="49">
        <f>IF($A$4+82&gt;$B$4,"",$A$4+82)</f>
        <v>46105</v>
      </c>
      <c r="N8218" t="str">
        <f>IF(M8218="","",'Master Barang'!A12)</f>
        <v>PRL-011</v>
      </c>
      <c r="O8218" t="str">
        <f>IF(N8218="","",'Master Barang'!B12)</f>
        <v>kanebo kecil</v>
      </c>
      <c r="P8218">
        <f>IF(OR(M8218="",N8218=""),"",SUMIFS('Barang Keluar'!$E:$E,'Barang Keluar'!$A:$A,M8218,'Barang Keluar'!$C:$C,N8218))</f>
        <v>0</v>
      </c>
    </row>
    <row r="8219" spans="13:16">
      <c r="M8219" s="49">
        <f>IF($A$4+82&gt;$B$4,"",$A$4+82)</f>
        <v>46105</v>
      </c>
      <c r="N8219" t="str">
        <f>IF(M8219="","",'Master Barang'!A13)</f>
        <v>PRL-012</v>
      </c>
      <c r="O8219" t="str">
        <f>IF(N8219="","",'Master Barang'!B13)</f>
        <v>plastik 1/4kg joyoboyo 100 lembar</v>
      </c>
      <c r="P8219">
        <f>IF(OR(M8219="",N8219=""),"",SUMIFS('Barang Keluar'!$E:$E,'Barang Keluar'!$A:$A,M8219,'Barang Keluar'!$C:$C,N8219))</f>
        <v>0</v>
      </c>
    </row>
    <row r="8220" spans="13:16">
      <c r="M8220" s="49">
        <f>IF($A$4+82&gt;$B$4,"",$A$4+82)</f>
        <v>46105</v>
      </c>
      <c r="N8220" t="str">
        <f>IF(M8220="","",'Master Barang'!A14)</f>
        <v>PRL-013</v>
      </c>
      <c r="O8220" t="str">
        <f>IF(N8220="","",'Master Barang'!B14)</f>
        <v>sarung tangan plastik kaka 100 pcs</v>
      </c>
      <c r="P8220">
        <f>IF(OR(M8220="",N8220=""),"",SUMIFS('Barang Keluar'!$E:$E,'Barang Keluar'!$A:$A,M8220,'Barang Keluar'!$C:$C,N8220))</f>
        <v>0</v>
      </c>
    </row>
    <row r="8221" spans="13:16">
      <c r="M8221" s="49">
        <f>IF($A$4+82&gt;$B$4,"",$A$4+82)</f>
        <v>46105</v>
      </c>
      <c r="N8221" t="str">
        <f>IF(M8221="","",'Master Barang'!A15)</f>
        <v>PRL-014</v>
      </c>
      <c r="O8221" t="str">
        <f>IF(N8221="","",'Master Barang'!B15)</f>
        <v>optima trashbag 80x100</v>
      </c>
      <c r="P8221">
        <f>IF(OR(M8221="",N8221=""),"",SUMIFS('Barang Keluar'!$E:$E,'Barang Keluar'!$A:$A,M8221,'Barang Keluar'!$C:$C,N8221))</f>
        <v>0</v>
      </c>
    </row>
    <row r="8222" spans="13:16">
      <c r="M8222" s="49">
        <f>IF($A$4+82&gt;$B$4,"",$A$4+82)</f>
        <v>46105</v>
      </c>
      <c r="N8222" t="str">
        <f>IF(M8222="","",'Master Barang'!A16)</f>
        <v>PRL-015</v>
      </c>
      <c r="O8222" t="str">
        <f>IF(N8222="","",'Master Barang'!B16)</f>
        <v>optima trashbag 60x100</v>
      </c>
      <c r="P8222">
        <f>IF(OR(M8222="",N8222=""),"",SUMIFS('Barang Keluar'!$E:$E,'Barang Keluar'!$A:$A,M8222,'Barang Keluar'!$C:$C,N8222))</f>
        <v>0</v>
      </c>
    </row>
    <row r="8223" spans="13:16">
      <c r="M8223" s="49">
        <f>IF($A$4+82&gt;$B$4,"",$A$4+82)</f>
        <v>46105</v>
      </c>
      <c r="N8223" t="str">
        <f>IF(M8223="","",'Master Barang'!A17)</f>
        <v>PRL-016</v>
      </c>
      <c r="O8223" t="str">
        <f>IF(N8223="","",'Master Barang'!B17)</f>
        <v>rajawali trashbag 30x40</v>
      </c>
      <c r="P8223">
        <f>IF(OR(M8223="",N8223=""),"",SUMIFS('Barang Keluar'!$E:$E,'Barang Keluar'!$A:$A,M8223,'Barang Keluar'!$C:$C,N8223))</f>
        <v>0</v>
      </c>
    </row>
    <row r="8224" spans="13:16">
      <c r="M8224" s="49">
        <f>IF($A$4+82&gt;$B$4,"",$A$4+82)</f>
        <v>46105</v>
      </c>
      <c r="N8224" t="str">
        <f>IF(M8224="","",'Master Barang'!A18)</f>
        <v>PRL-017</v>
      </c>
      <c r="O8224" t="str">
        <f>IF(N8224="","",'Master Barang'!B18)</f>
        <v>onemed masker biru 3 play 50 pcs</v>
      </c>
      <c r="P8224">
        <f>IF(OR(M8224="",N8224=""),"",SUMIFS('Barang Keluar'!$E:$E,'Barang Keluar'!$A:$A,M8224,'Barang Keluar'!$C:$C,N8224))</f>
        <v>0</v>
      </c>
    </row>
    <row r="8225" spans="13:16">
      <c r="M8225" s="49">
        <f>IF($A$4+82&gt;$B$4,"",$A$4+82)</f>
        <v>46105</v>
      </c>
      <c r="N8225" t="str">
        <f>IF(M8225="","",'Master Barang'!A19)</f>
        <v>PRL-018</v>
      </c>
      <c r="O8225" t="str">
        <f>IF(N8225="","",'Master Barang'!B19)</f>
        <v>onemed masker biru 3 play hijab 50 pcs</v>
      </c>
      <c r="P8225">
        <f>IF(OR(M8225="",N8225=""),"",SUMIFS('Barang Keluar'!$E:$E,'Barang Keluar'!$A:$A,M8225,'Barang Keluar'!$C:$C,N8225))</f>
        <v>0</v>
      </c>
    </row>
    <row r="8226" spans="13:16">
      <c r="M8226" s="49">
        <f>IF($A$4+82&gt;$B$4,"",$A$4+82)</f>
        <v>46105</v>
      </c>
      <c r="N8226" t="str">
        <f>IF(M8226="","",'Master Barang'!A20)</f>
        <v>PRL-019</v>
      </c>
      <c r="O8226" t="str">
        <f>IF(N8226="","",'Master Barang'!B20)</f>
        <v>neo health masker biru 3 play 50 pcs</v>
      </c>
      <c r="P8226">
        <f>IF(OR(M8226="",N8226=""),"",SUMIFS('Barang Keluar'!$E:$E,'Barang Keluar'!$A:$A,M8226,'Barang Keluar'!$C:$C,N8226))</f>
        <v>0</v>
      </c>
    </row>
    <row r="8227" spans="13:16">
      <c r="M8227" s="49">
        <f>IF($A$4+82&gt;$B$4,"",$A$4+82)</f>
        <v>46105</v>
      </c>
      <c r="N8227" t="str">
        <f>IF(M8227="","",'Master Barang'!A21)</f>
        <v>PRL-020</v>
      </c>
      <c r="O8227" t="str">
        <f>IF(N8227="","",'Master Barang'!B21)</f>
        <v>baymed masker hijau 3 play hijau 50 pcs</v>
      </c>
      <c r="P8227">
        <f>IF(OR(M8227="",N8227=""),"",SUMIFS('Barang Keluar'!$E:$E,'Barang Keluar'!$A:$A,M8227,'Barang Keluar'!$C:$C,N8227))</f>
        <v>0</v>
      </c>
    </row>
    <row r="8228" spans="13:16">
      <c r="M8228" s="49">
        <f>IF($A$4+82&gt;$B$4,"",$A$4+82)</f>
        <v>46105</v>
      </c>
      <c r="N8228" t="str">
        <f>IF(M8228="","",'Master Barang'!A22)</f>
        <v>PRL-021</v>
      </c>
      <c r="O8228" t="str">
        <f>IF(N8228="","",'Master Barang'!B22)</f>
        <v>altamed nurse cap penutup kepala 100 pcs</v>
      </c>
      <c r="P8228">
        <f>IF(OR(M8228="",N8228=""),"",SUMIFS('Barang Keluar'!$E:$E,'Barang Keluar'!$A:$A,M8228,'Barang Keluar'!$C:$C,N8228))</f>
        <v>0</v>
      </c>
    </row>
    <row r="8229" spans="13:16">
      <c r="M8229" s="49">
        <f>IF($A$4+82&gt;$B$4,"",$A$4+82)</f>
        <v>46105</v>
      </c>
      <c r="N8229" t="str">
        <f>IF(M8229="","",'Master Barang'!A23)</f>
        <v>PRL-022</v>
      </c>
      <c r="O8229" t="str">
        <f>IF(N8229="","",'Master Barang'!B23)</f>
        <v>sabun cuci tangan</v>
      </c>
      <c r="P8229">
        <f>IF(OR(M8229="",N8229=""),"",SUMIFS('Barang Keluar'!$E:$E,'Barang Keluar'!$A:$A,M8229,'Barang Keluar'!$C:$C,N8229))</f>
        <v>0</v>
      </c>
    </row>
    <row r="8230" spans="13:16">
      <c r="M8230" s="49">
        <f>IF($A$4+82&gt;$B$4,"",$A$4+82)</f>
        <v>46105</v>
      </c>
      <c r="N8230" t="str">
        <f>IF(M8230="","",'Master Barang'!A24)</f>
        <v>PRL-023</v>
      </c>
      <c r="O8230" t="str">
        <f>IF(N8230="","",'Master Barang'!B24)</f>
        <v>gayung kecil</v>
      </c>
      <c r="P8230">
        <f>IF(OR(M8230="",N8230=""),"",SUMIFS('Barang Keluar'!$E:$E,'Barang Keluar'!$A:$A,M8230,'Barang Keluar'!$C:$C,N8230))</f>
        <v>0</v>
      </c>
    </row>
    <row r="8231" spans="13:16">
      <c r="M8231" s="49">
        <f>IF($A$4+82&gt;$B$4,"",$A$4+82)</f>
        <v>46105</v>
      </c>
      <c r="N8231" t="str">
        <f>IF(M8231="","",'Master Barang'!A25)</f>
        <v>PRL-024</v>
      </c>
      <c r="O8231" t="str">
        <f>IF(N8231="","",'Master Barang'!B25)</f>
        <v>cikrak kecil</v>
      </c>
      <c r="P8231">
        <f>IF(OR(M8231="",N8231=""),"",SUMIFS('Barang Keluar'!$E:$E,'Barang Keluar'!$A:$A,M8231,'Barang Keluar'!$C:$C,N8231))</f>
        <v>0</v>
      </c>
    </row>
    <row r="8232" spans="13:16">
      <c r="M8232" s="49">
        <f>IF($A$4+82&gt;$B$4,"",$A$4+82)</f>
        <v>46105</v>
      </c>
      <c r="N8232" t="str">
        <f>IF(M8232="","",'Master Barang'!A26)</f>
        <v>PRL-025</v>
      </c>
      <c r="O8232" t="str">
        <f>IF(N8232="","",'Master Barang'!B26)</f>
        <v>petromax plastik kecil 12x24 100 lembar</v>
      </c>
      <c r="P8232">
        <f>IF(OR(M8232="",N8232=""),"",SUMIFS('Barang Keluar'!$E:$E,'Barang Keluar'!$A:$A,M8232,'Barang Keluar'!$C:$C,N8232))</f>
        <v>0</v>
      </c>
    </row>
    <row r="8233" spans="13:16">
      <c r="M8233" s="49">
        <f>IF($A$4+82&gt;$B$4,"",$A$4+82)</f>
        <v>46105</v>
      </c>
      <c r="N8233" t="str">
        <f>IF(M8233="","",'Master Barang'!A27)</f>
        <v>PRL-026</v>
      </c>
      <c r="O8233" t="str">
        <f>IF(N8233="","",'Master Barang'!B27)</f>
        <v>lancar kresek kecil bening </v>
      </c>
      <c r="P8233">
        <f>IF(OR(M8233="",N8233=""),"",SUMIFS('Barang Keluar'!$E:$E,'Barang Keluar'!$A:$A,M8233,'Barang Keluar'!$C:$C,N8233))</f>
        <v>0</v>
      </c>
    </row>
    <row r="8234" spans="13:16">
      <c r="M8234" s="49">
        <f>IF($A$4+82&gt;$B$4,"",$A$4+82)</f>
        <v>46105</v>
      </c>
      <c r="N8234" t="str">
        <f>IF(M8234="","",'Master Barang'!A28)</f>
        <v>PRL-027</v>
      </c>
      <c r="O8234" t="str">
        <f>IF(N8234="","",'Master Barang'!B28)</f>
        <v>kresek klin warna warni kecil</v>
      </c>
      <c r="P8234">
        <f>IF(OR(M8234="",N8234=""),"",SUMIFS('Barang Keluar'!$E:$E,'Barang Keluar'!$A:$A,M8234,'Barang Keluar'!$C:$C,N8234))</f>
        <v>0</v>
      </c>
    </row>
    <row r="8235" spans="13:16">
      <c r="M8235" s="49">
        <f>IF($A$4+82&gt;$B$4,"",$A$4+82)</f>
        <v>46105</v>
      </c>
      <c r="N8235" t="str">
        <f>IF(M8235="","",'Master Barang'!A29)</f>
        <v>PRL-028</v>
      </c>
      <c r="O8235" t="str">
        <f>IF(N8235="","",'Master Barang'!B29)</f>
        <v>ctik plastik 7x10 100 pcs</v>
      </c>
      <c r="P8235">
        <f>IF(OR(M8235="",N8235=""),"",SUMIFS('Barang Keluar'!$E:$E,'Barang Keluar'!$A:$A,M8235,'Barang Keluar'!$C:$C,N8235))</f>
        <v>0</v>
      </c>
    </row>
    <row r="8236" spans="13:16">
      <c r="M8236" s="49">
        <f>IF($A$4+82&gt;$B$4,"",$A$4+82)</f>
        <v>46105</v>
      </c>
      <c r="N8236" t="str">
        <f>IF(M8236="","",'Master Barang'!A30)</f>
        <v>PRL-029</v>
      </c>
      <c r="O8236" t="str">
        <f>IF(N8236="","",'Master Barang'!B30)</f>
        <v>ctik plastik 6x10 100 pcs</v>
      </c>
      <c r="P8236">
        <f>IF(OR(M8236="",N8236=""),"",SUMIFS('Barang Keluar'!$E:$E,'Barang Keluar'!$A:$A,M8236,'Barang Keluar'!$C:$C,N8236))</f>
        <v>0</v>
      </c>
    </row>
    <row r="8237" spans="13:16">
      <c r="M8237" s="49">
        <f>IF($A$4+82&gt;$B$4,"",$A$4+82)</f>
        <v>46105</v>
      </c>
      <c r="N8237" t="str">
        <f>IF(M8237="","",'Master Barang'!A31)</f>
        <v>PRL-030</v>
      </c>
      <c r="O8237" t="str">
        <f>IF(N8237="","",'Master Barang'!B31)</f>
        <v>klip plastik 25x16 100 pcs</v>
      </c>
      <c r="P8237">
        <f>IF(OR(M8237="",N8237=""),"",SUMIFS('Barang Keluar'!$E:$E,'Barang Keluar'!$A:$A,M8237,'Barang Keluar'!$C:$C,N8237))</f>
        <v>0</v>
      </c>
    </row>
    <row r="8238" spans="13:16">
      <c r="M8238" s="49">
        <f>IF($A$4+82&gt;$B$4,"",$A$4+82)</f>
        <v>46105</v>
      </c>
      <c r="N8238" t="str">
        <f>IF(M8238="","",'Master Barang'!A32)</f>
        <v>PRL-031</v>
      </c>
      <c r="O8238" t="str">
        <f>IF(N8238="","",'Master Barang'!B32)</f>
        <v>tempat saus 20 ml</v>
      </c>
      <c r="P8238">
        <f>IF(OR(M8238="",N8238=""),"",SUMIFS('Barang Keluar'!$E:$E,'Barang Keluar'!$A:$A,M8238,'Barang Keluar'!$C:$C,N8238))</f>
        <v>0</v>
      </c>
    </row>
    <row r="8239" spans="13:16">
      <c r="M8239" s="49">
        <f>IF($A$4+82&gt;$B$4,"",$A$4+82)</f>
        <v>46105</v>
      </c>
      <c r="N8239" t="str">
        <f>IF(M8239="","",'Master Barang'!A33)</f>
        <v>PRL-032</v>
      </c>
      <c r="O8239" t="str">
        <f>IF(N8239="","",'Master Barang'!B33)</f>
        <v>plastik packaging ag box uk sedang</v>
      </c>
      <c r="P8239">
        <f>IF(OR(M8239="",N8239=""),"",SUMIFS('Barang Keluar'!$E:$E,'Barang Keluar'!$A:$A,M8239,'Barang Keluar'!$C:$C,N8239))</f>
        <v>0</v>
      </c>
    </row>
    <row r="8240" spans="13:16">
      <c r="M8240" s="49">
        <f>IF($A$4+82&gt;$B$4,"",$A$4+82)</f>
        <v>46105</v>
      </c>
      <c r="N8240" t="str">
        <f>IF(M8240="","",'Master Barang'!A34)</f>
        <v>PRL-033</v>
      </c>
      <c r="O8240">
        <f>IF(N8240="","",'Master Barang'!B34)</f>
        <v>0</v>
      </c>
      <c r="P8240">
        <f>IF(OR(M8240="",N8240=""),"",SUMIFS('Barang Keluar'!$E:$E,'Barang Keluar'!$A:$A,M8240,'Barang Keluar'!$C:$C,N8240))</f>
        <v>0</v>
      </c>
    </row>
    <row r="8241" spans="13:16">
      <c r="M8241" s="49">
        <f>IF($A$4+82&gt;$B$4,"",$A$4+82)</f>
        <v>46105</v>
      </c>
      <c r="N8241">
        <f>IF(M8241="","",'Master Barang'!A35)</f>
        <v>0</v>
      </c>
      <c r="O8241">
        <f>IF(N8241="","",'Master Barang'!B35)</f>
        <v>0</v>
      </c>
      <c r="P8241">
        <f>IF(OR(M8241="",N8241=""),"",SUMIFS('Barang Keluar'!$E:$E,'Barang Keluar'!$A:$A,M8241,'Barang Keluar'!$C:$C,N8241))</f>
        <v>0</v>
      </c>
    </row>
    <row r="8242" spans="13:16">
      <c r="M8242" s="49">
        <f>IF($A$4+82&gt;$B$4,"",$A$4+82)</f>
        <v>46105</v>
      </c>
      <c r="N8242">
        <f>IF(M8242="","",'Master Barang'!A36)</f>
        <v>0</v>
      </c>
      <c r="O8242">
        <f>IF(N8242="","",'Master Barang'!B36)</f>
        <v>0</v>
      </c>
      <c r="P8242">
        <f>IF(OR(M8242="",N8242=""),"",SUMIFS('Barang Keluar'!$E:$E,'Barang Keluar'!$A:$A,M8242,'Barang Keluar'!$C:$C,N8242))</f>
        <v>0</v>
      </c>
    </row>
    <row r="8243" spans="13:16">
      <c r="M8243" s="49">
        <f>IF($A$4+82&gt;$B$4,"",$A$4+82)</f>
        <v>46105</v>
      </c>
      <c r="N8243">
        <f>IF(M8243="","",'Master Barang'!A37)</f>
        <v>0</v>
      </c>
      <c r="O8243">
        <f>IF(N8243="","",'Master Barang'!B37)</f>
        <v>0</v>
      </c>
      <c r="P8243">
        <f>IF(OR(M8243="",N8243=""),"",SUMIFS('Barang Keluar'!$E:$E,'Barang Keluar'!$A:$A,M8243,'Barang Keluar'!$C:$C,N8243))</f>
        <v>0</v>
      </c>
    </row>
    <row r="8244" spans="13:16">
      <c r="M8244" s="49">
        <f>IF($A$4+82&gt;$B$4,"",$A$4+82)</f>
        <v>46105</v>
      </c>
      <c r="N8244">
        <f>IF(M8244="","",'Master Barang'!A38)</f>
        <v>0</v>
      </c>
      <c r="O8244">
        <f>IF(N8244="","",'Master Barang'!B38)</f>
        <v>0</v>
      </c>
      <c r="P8244">
        <f>IF(OR(M8244="",N8244=""),"",SUMIFS('Barang Keluar'!$E:$E,'Barang Keluar'!$A:$A,M8244,'Barang Keluar'!$C:$C,N8244))</f>
        <v>0</v>
      </c>
    </row>
    <row r="8245" spans="13:16">
      <c r="M8245" s="49">
        <f>IF($A$4+82&gt;$B$4,"",$A$4+82)</f>
        <v>46105</v>
      </c>
      <c r="N8245">
        <f>IF(M8245="","",'Master Barang'!A39)</f>
        <v>0</v>
      </c>
      <c r="O8245">
        <f>IF(N8245="","",'Master Barang'!B39)</f>
        <v>0</v>
      </c>
      <c r="P8245">
        <f>IF(OR(M8245="",N8245=""),"",SUMIFS('Barang Keluar'!$E:$E,'Barang Keluar'!$A:$A,M8245,'Barang Keluar'!$C:$C,N8245))</f>
        <v>0</v>
      </c>
    </row>
    <row r="8246" spans="13:16">
      <c r="M8246" s="49">
        <f>IF($A$4+82&gt;$B$4,"",$A$4+82)</f>
        <v>46105</v>
      </c>
      <c r="N8246">
        <f>IF(M8246="","",'Master Barang'!A40)</f>
        <v>0</v>
      </c>
      <c r="O8246">
        <f>IF(N8246="","",'Master Barang'!B40)</f>
        <v>0</v>
      </c>
      <c r="P8246">
        <f>IF(OR(M8246="",N8246=""),"",SUMIFS('Barang Keluar'!$E:$E,'Barang Keluar'!$A:$A,M8246,'Barang Keluar'!$C:$C,N8246))</f>
        <v>0</v>
      </c>
    </row>
    <row r="8247" spans="13:16">
      <c r="M8247" s="49">
        <f>IF($A$4+82&gt;$B$4,"",$A$4+82)</f>
        <v>46105</v>
      </c>
      <c r="N8247">
        <f>IF(M8247="","",'Master Barang'!A41)</f>
        <v>0</v>
      </c>
      <c r="O8247">
        <f>IF(N8247="","",'Master Barang'!B41)</f>
        <v>0</v>
      </c>
      <c r="P8247">
        <f>IF(OR(M8247="",N8247=""),"",SUMIFS('Barang Keluar'!$E:$E,'Barang Keluar'!$A:$A,M8247,'Barang Keluar'!$C:$C,N8247))</f>
        <v>0</v>
      </c>
    </row>
    <row r="8248" spans="13:16">
      <c r="M8248" s="49">
        <f>IF($A$4+82&gt;$B$4,"",$A$4+82)</f>
        <v>46105</v>
      </c>
      <c r="N8248">
        <f>IF(M8248="","",'Master Barang'!A42)</f>
        <v>0</v>
      </c>
      <c r="O8248">
        <f>IF(N8248="","",'Master Barang'!B42)</f>
        <v>0</v>
      </c>
      <c r="P8248">
        <f>IF(OR(M8248="",N8248=""),"",SUMIFS('Barang Keluar'!$E:$E,'Barang Keluar'!$A:$A,M8248,'Barang Keluar'!$C:$C,N8248))</f>
        <v>0</v>
      </c>
    </row>
    <row r="8249" spans="13:16">
      <c r="M8249" s="49">
        <f>IF($A$4+82&gt;$B$4,"",$A$4+82)</f>
        <v>46105</v>
      </c>
      <c r="N8249">
        <f>IF(M8249="","",'Master Barang'!A43)</f>
        <v>0</v>
      </c>
      <c r="O8249">
        <f>IF(N8249="","",'Master Barang'!B43)</f>
        <v>0</v>
      </c>
      <c r="P8249">
        <f>IF(OR(M8249="",N8249=""),"",SUMIFS('Barang Keluar'!$E:$E,'Barang Keluar'!$A:$A,M8249,'Barang Keluar'!$C:$C,N8249))</f>
        <v>0</v>
      </c>
    </row>
    <row r="8250" spans="13:16">
      <c r="M8250" s="49">
        <f>IF($A$4+82&gt;$B$4,"",$A$4+82)</f>
        <v>46105</v>
      </c>
      <c r="N8250">
        <f>IF(M8250="","",'Master Barang'!A44)</f>
        <v>0</v>
      </c>
      <c r="O8250">
        <f>IF(N8250="","",'Master Barang'!B44)</f>
        <v>0</v>
      </c>
      <c r="P8250">
        <f>IF(OR(M8250="",N8250=""),"",SUMIFS('Barang Keluar'!$E:$E,'Barang Keluar'!$A:$A,M8250,'Barang Keluar'!$C:$C,N8250))</f>
        <v>0</v>
      </c>
    </row>
    <row r="8251" spans="13:16">
      <c r="M8251" s="49">
        <f>IF($A$4+82&gt;$B$4,"",$A$4+82)</f>
        <v>46105</v>
      </c>
      <c r="N8251">
        <f>IF(M8251="","",'Master Barang'!A45)</f>
        <v>0</v>
      </c>
      <c r="O8251">
        <f>IF(N8251="","",'Master Barang'!B45)</f>
        <v>0</v>
      </c>
      <c r="P8251">
        <f>IF(OR(M8251="",N8251=""),"",SUMIFS('Barang Keluar'!$E:$E,'Barang Keluar'!$A:$A,M8251,'Barang Keluar'!$C:$C,N8251))</f>
        <v>0</v>
      </c>
    </row>
    <row r="8252" spans="13:16">
      <c r="M8252" s="49">
        <f>IF($A$4+82&gt;$B$4,"",$A$4+82)</f>
        <v>46105</v>
      </c>
      <c r="N8252">
        <f>IF(M8252="","",'Master Barang'!A46)</f>
        <v>0</v>
      </c>
      <c r="O8252">
        <f>IF(N8252="","",'Master Barang'!B46)</f>
        <v>0</v>
      </c>
      <c r="P8252">
        <f>IF(OR(M8252="",N8252=""),"",SUMIFS('Barang Keluar'!$E:$E,'Barang Keluar'!$A:$A,M8252,'Barang Keluar'!$C:$C,N8252))</f>
        <v>0</v>
      </c>
    </row>
    <row r="8253" spans="13:16">
      <c r="M8253" s="49">
        <f>IF($A$4+82&gt;$B$4,"",$A$4+82)</f>
        <v>46105</v>
      </c>
      <c r="N8253">
        <f>IF(M8253="","",'Master Barang'!A47)</f>
        <v>0</v>
      </c>
      <c r="O8253">
        <f>IF(N8253="","",'Master Barang'!B47)</f>
        <v>0</v>
      </c>
      <c r="P8253">
        <f>IF(OR(M8253="",N8253=""),"",SUMIFS('Barang Keluar'!$E:$E,'Barang Keluar'!$A:$A,M8253,'Barang Keluar'!$C:$C,N8253))</f>
        <v>0</v>
      </c>
    </row>
    <row r="8254" spans="13:16">
      <c r="M8254" s="49">
        <f>IF($A$4+82&gt;$B$4,"",$A$4+82)</f>
        <v>46105</v>
      </c>
      <c r="N8254">
        <f>IF(M8254="","",'Master Barang'!A48)</f>
        <v>0</v>
      </c>
      <c r="O8254">
        <f>IF(N8254="","",'Master Barang'!B48)</f>
        <v>0</v>
      </c>
      <c r="P8254">
        <f>IF(OR(M8254="",N8254=""),"",SUMIFS('Barang Keluar'!$E:$E,'Barang Keluar'!$A:$A,M8254,'Barang Keluar'!$C:$C,N8254))</f>
        <v>0</v>
      </c>
    </row>
    <row r="8255" spans="13:16">
      <c r="M8255" s="49">
        <f>IF($A$4+82&gt;$B$4,"",$A$4+82)</f>
        <v>46105</v>
      </c>
      <c r="N8255">
        <f>IF(M8255="","",'Master Barang'!A49)</f>
        <v>0</v>
      </c>
      <c r="O8255">
        <f>IF(N8255="","",'Master Barang'!B49)</f>
        <v>0</v>
      </c>
      <c r="P8255">
        <f>IF(OR(M8255="",N8255=""),"",SUMIFS('Barang Keluar'!$E:$E,'Barang Keluar'!$A:$A,M8255,'Barang Keluar'!$C:$C,N8255))</f>
        <v>0</v>
      </c>
    </row>
    <row r="8256" spans="13:16">
      <c r="M8256" s="49">
        <f>IF($A$4+82&gt;$B$4,"",$A$4+82)</f>
        <v>46105</v>
      </c>
      <c r="N8256">
        <f>IF(M8256="","",'Master Barang'!A50)</f>
        <v>0</v>
      </c>
      <c r="O8256">
        <f>IF(N8256="","",'Master Barang'!B50)</f>
        <v>0</v>
      </c>
      <c r="P8256">
        <f>IF(OR(M8256="",N8256=""),"",SUMIFS('Barang Keluar'!$E:$E,'Barang Keluar'!$A:$A,M8256,'Barang Keluar'!$C:$C,N8256))</f>
        <v>0</v>
      </c>
    </row>
    <row r="8257" spans="13:16">
      <c r="M8257" s="49">
        <f>IF($A$4+82&gt;$B$4,"",$A$4+82)</f>
        <v>46105</v>
      </c>
      <c r="N8257">
        <f>IF(M8257="","",'Master Barang'!A51)</f>
        <v>0</v>
      </c>
      <c r="O8257">
        <f>IF(N8257="","",'Master Barang'!B51)</f>
        <v>0</v>
      </c>
      <c r="P8257">
        <f>IF(OR(M8257="",N8257=""),"",SUMIFS('Barang Keluar'!$E:$E,'Barang Keluar'!$A:$A,M8257,'Barang Keluar'!$C:$C,N8257))</f>
        <v>0</v>
      </c>
    </row>
    <row r="8258" spans="13:16">
      <c r="M8258" s="49">
        <f>IF($A$4+82&gt;$B$4,"",$A$4+82)</f>
        <v>46105</v>
      </c>
      <c r="N8258">
        <f>IF(M8258="","",'Master Barang'!A52)</f>
        <v>0</v>
      </c>
      <c r="O8258">
        <f>IF(N8258="","",'Master Barang'!B52)</f>
        <v>0</v>
      </c>
      <c r="P8258">
        <f>IF(OR(M8258="",N8258=""),"",SUMIFS('Barang Keluar'!$E:$E,'Barang Keluar'!$A:$A,M8258,'Barang Keluar'!$C:$C,N8258))</f>
        <v>0</v>
      </c>
    </row>
    <row r="8259" spans="13:16">
      <c r="M8259" s="49">
        <f>IF($A$4+82&gt;$B$4,"",$A$4+82)</f>
        <v>46105</v>
      </c>
      <c r="N8259">
        <f>IF(M8259="","",'Master Barang'!A53)</f>
        <v>0</v>
      </c>
      <c r="O8259">
        <f>IF(N8259="","",'Master Barang'!B53)</f>
        <v>0</v>
      </c>
      <c r="P8259">
        <f>IF(OR(M8259="",N8259=""),"",SUMIFS('Barang Keluar'!$E:$E,'Barang Keluar'!$A:$A,M8259,'Barang Keluar'!$C:$C,N8259))</f>
        <v>0</v>
      </c>
    </row>
    <row r="8260" spans="13:16">
      <c r="M8260" s="49">
        <f>IF($A$4+82&gt;$B$4,"",$A$4+82)</f>
        <v>46105</v>
      </c>
      <c r="N8260">
        <f>IF(M8260="","",'Master Barang'!A54)</f>
        <v>0</v>
      </c>
      <c r="O8260">
        <f>IF(N8260="","",'Master Barang'!B54)</f>
        <v>0</v>
      </c>
      <c r="P8260">
        <f>IF(OR(M8260="",N8260=""),"",SUMIFS('Barang Keluar'!$E:$E,'Barang Keluar'!$A:$A,M8260,'Barang Keluar'!$C:$C,N8260))</f>
        <v>0</v>
      </c>
    </row>
    <row r="8261" spans="13:16">
      <c r="M8261" s="49">
        <f>IF($A$4+82&gt;$B$4,"",$A$4+82)</f>
        <v>46105</v>
      </c>
      <c r="N8261">
        <f>IF(M8261="","",'Master Barang'!A55)</f>
        <v>0</v>
      </c>
      <c r="O8261">
        <f>IF(N8261="","",'Master Barang'!B55)</f>
        <v>0</v>
      </c>
      <c r="P8261">
        <f>IF(OR(M8261="",N8261=""),"",SUMIFS('Barang Keluar'!$E:$E,'Barang Keluar'!$A:$A,M8261,'Barang Keluar'!$C:$C,N8261))</f>
        <v>0</v>
      </c>
    </row>
    <row r="8262" spans="13:16">
      <c r="M8262" s="49">
        <f>IF($A$4+82&gt;$B$4,"",$A$4+82)</f>
        <v>46105</v>
      </c>
      <c r="N8262">
        <f>IF(M8262="","",'Master Barang'!A56)</f>
        <v>0</v>
      </c>
      <c r="O8262">
        <f>IF(N8262="","",'Master Barang'!B56)</f>
        <v>0</v>
      </c>
      <c r="P8262">
        <f>IF(OR(M8262="",N8262=""),"",SUMIFS('Barang Keluar'!$E:$E,'Barang Keluar'!$A:$A,M8262,'Barang Keluar'!$C:$C,N8262))</f>
        <v>0</v>
      </c>
    </row>
    <row r="8263" spans="13:16">
      <c r="M8263" s="49">
        <f>IF($A$4+82&gt;$B$4,"",$A$4+82)</f>
        <v>46105</v>
      </c>
      <c r="N8263">
        <f>IF(M8263="","",'Master Barang'!A57)</f>
        <v>0</v>
      </c>
      <c r="O8263">
        <f>IF(N8263="","",'Master Barang'!B57)</f>
        <v>0</v>
      </c>
      <c r="P8263">
        <f>IF(OR(M8263="",N8263=""),"",SUMIFS('Barang Keluar'!$E:$E,'Barang Keluar'!$A:$A,M8263,'Barang Keluar'!$C:$C,N8263))</f>
        <v>0</v>
      </c>
    </row>
    <row r="8264" spans="13:16">
      <c r="M8264" s="49">
        <f>IF($A$4+82&gt;$B$4,"",$A$4+82)</f>
        <v>46105</v>
      </c>
      <c r="N8264">
        <f>IF(M8264="","",'Master Barang'!A58)</f>
        <v>0</v>
      </c>
      <c r="O8264">
        <f>IF(N8264="","",'Master Barang'!B58)</f>
        <v>0</v>
      </c>
      <c r="P8264">
        <f>IF(OR(M8264="",N8264=""),"",SUMIFS('Barang Keluar'!$E:$E,'Barang Keluar'!$A:$A,M8264,'Barang Keluar'!$C:$C,N8264))</f>
        <v>0</v>
      </c>
    </row>
    <row r="8265" spans="13:16">
      <c r="M8265" s="49">
        <f>IF($A$4+82&gt;$B$4,"",$A$4+82)</f>
        <v>46105</v>
      </c>
      <c r="N8265">
        <f>IF(M8265="","",'Master Barang'!A59)</f>
        <v>0</v>
      </c>
      <c r="O8265">
        <f>IF(N8265="","",'Master Barang'!B59)</f>
        <v>0</v>
      </c>
      <c r="P8265">
        <f>IF(OR(M8265="",N8265=""),"",SUMIFS('Barang Keluar'!$E:$E,'Barang Keluar'!$A:$A,M8265,'Barang Keluar'!$C:$C,N8265))</f>
        <v>0</v>
      </c>
    </row>
    <row r="8266" spans="13:16">
      <c r="M8266" s="49">
        <f>IF($A$4+82&gt;$B$4,"",$A$4+82)</f>
        <v>46105</v>
      </c>
      <c r="N8266">
        <f>IF(M8266="","",'Master Barang'!A60)</f>
        <v>0</v>
      </c>
      <c r="O8266">
        <f>IF(N8266="","",'Master Barang'!B60)</f>
        <v>0</v>
      </c>
      <c r="P8266">
        <f>IF(OR(M8266="",N8266=""),"",SUMIFS('Barang Keluar'!$E:$E,'Barang Keluar'!$A:$A,M8266,'Barang Keluar'!$C:$C,N8266))</f>
        <v>0</v>
      </c>
    </row>
    <row r="8267" spans="13:16">
      <c r="M8267" s="49">
        <f>IF($A$4+82&gt;$B$4,"",$A$4+82)</f>
        <v>46105</v>
      </c>
      <c r="N8267">
        <f>IF(M8267="","",'Master Barang'!A61)</f>
        <v>0</v>
      </c>
      <c r="O8267">
        <f>IF(N8267="","",'Master Barang'!B61)</f>
        <v>0</v>
      </c>
      <c r="P8267">
        <f>IF(OR(M8267="",N8267=""),"",SUMIFS('Barang Keluar'!$E:$E,'Barang Keluar'!$A:$A,M8267,'Barang Keluar'!$C:$C,N8267))</f>
        <v>0</v>
      </c>
    </row>
    <row r="8268" spans="13:16">
      <c r="M8268" s="49">
        <f>IF($A$4+82&gt;$B$4,"",$A$4+82)</f>
        <v>46105</v>
      </c>
      <c r="N8268">
        <f>IF(M8268="","",'Master Barang'!A62)</f>
        <v>0</v>
      </c>
      <c r="O8268">
        <f>IF(N8268="","",'Master Barang'!B62)</f>
        <v>0</v>
      </c>
      <c r="P8268">
        <f>IF(OR(M8268="",N8268=""),"",SUMIFS('Barang Keluar'!$E:$E,'Barang Keluar'!$A:$A,M8268,'Barang Keluar'!$C:$C,N8268))</f>
        <v>0</v>
      </c>
    </row>
    <row r="8269" spans="13:16">
      <c r="M8269" s="49">
        <f>IF($A$4+82&gt;$B$4,"",$A$4+82)</f>
        <v>46105</v>
      </c>
      <c r="N8269">
        <f>IF(M8269="","",'Master Barang'!A63)</f>
        <v>0</v>
      </c>
      <c r="O8269">
        <f>IF(N8269="","",'Master Barang'!B63)</f>
        <v>0</v>
      </c>
      <c r="P8269">
        <f>IF(OR(M8269="",N8269=""),"",SUMIFS('Barang Keluar'!$E:$E,'Barang Keluar'!$A:$A,M8269,'Barang Keluar'!$C:$C,N8269))</f>
        <v>0</v>
      </c>
    </row>
    <row r="8270" spans="13:16">
      <c r="M8270" s="49">
        <f>IF($A$4+82&gt;$B$4,"",$A$4+82)</f>
        <v>46105</v>
      </c>
      <c r="N8270">
        <f>IF(M8270="","",'Master Barang'!A64)</f>
        <v>0</v>
      </c>
      <c r="O8270">
        <f>IF(N8270="","",'Master Barang'!B64)</f>
        <v>0</v>
      </c>
      <c r="P8270">
        <f>IF(OR(M8270="",N8270=""),"",SUMIFS('Barang Keluar'!$E:$E,'Barang Keluar'!$A:$A,M8270,'Barang Keluar'!$C:$C,N8270))</f>
        <v>0</v>
      </c>
    </row>
    <row r="8271" spans="13:16">
      <c r="M8271" s="49">
        <f>IF($A$4+82&gt;$B$4,"",$A$4+82)</f>
        <v>46105</v>
      </c>
      <c r="N8271">
        <f>IF(M8271="","",'Master Barang'!A65)</f>
        <v>0</v>
      </c>
      <c r="O8271">
        <f>IF(N8271="","",'Master Barang'!B65)</f>
        <v>0</v>
      </c>
      <c r="P8271">
        <f>IF(OR(M8271="",N8271=""),"",SUMIFS('Barang Keluar'!$E:$E,'Barang Keluar'!$A:$A,M8271,'Barang Keluar'!$C:$C,N8271))</f>
        <v>0</v>
      </c>
    </row>
    <row r="8272" spans="13:16">
      <c r="M8272" s="49">
        <f>IF($A$4+82&gt;$B$4,"",$A$4+82)</f>
        <v>46105</v>
      </c>
      <c r="N8272">
        <f>IF(M8272="","",'Master Barang'!A66)</f>
        <v>0</v>
      </c>
      <c r="O8272">
        <f>IF(N8272="","",'Master Barang'!B66)</f>
        <v>0</v>
      </c>
      <c r="P8272">
        <f>IF(OR(M8272="",N8272=""),"",SUMIFS('Barang Keluar'!$E:$E,'Barang Keluar'!$A:$A,M8272,'Barang Keluar'!$C:$C,N8272))</f>
        <v>0</v>
      </c>
    </row>
    <row r="8273" spans="13:16">
      <c r="M8273" s="49">
        <f>IF($A$4+82&gt;$B$4,"",$A$4+82)</f>
        <v>46105</v>
      </c>
      <c r="N8273">
        <f>IF(M8273="","",'Master Barang'!A67)</f>
        <v>0</v>
      </c>
      <c r="O8273">
        <f>IF(N8273="","",'Master Barang'!B67)</f>
        <v>0</v>
      </c>
      <c r="P8273">
        <f>IF(OR(M8273="",N8273=""),"",SUMIFS('Barang Keluar'!$E:$E,'Barang Keluar'!$A:$A,M8273,'Barang Keluar'!$C:$C,N8273))</f>
        <v>0</v>
      </c>
    </row>
    <row r="8274" spans="13:16">
      <c r="M8274" s="49">
        <f>IF($A$4+82&gt;$B$4,"",$A$4+82)</f>
        <v>46105</v>
      </c>
      <c r="N8274">
        <f>IF(M8274="","",'Master Barang'!A68)</f>
        <v>0</v>
      </c>
      <c r="O8274">
        <f>IF(N8274="","",'Master Barang'!B68)</f>
        <v>0</v>
      </c>
      <c r="P8274">
        <f>IF(OR(M8274="",N8274=""),"",SUMIFS('Barang Keluar'!$E:$E,'Barang Keluar'!$A:$A,M8274,'Barang Keluar'!$C:$C,N8274))</f>
        <v>0</v>
      </c>
    </row>
    <row r="8275" spans="13:16">
      <c r="M8275" s="49">
        <f>IF($A$4+82&gt;$B$4,"",$A$4+82)</f>
        <v>46105</v>
      </c>
      <c r="N8275">
        <f>IF(M8275="","",'Master Barang'!A69)</f>
        <v>0</v>
      </c>
      <c r="O8275">
        <f>IF(N8275="","",'Master Barang'!B69)</f>
        <v>0</v>
      </c>
      <c r="P8275">
        <f>IF(OR(M8275="",N8275=""),"",SUMIFS('Barang Keluar'!$E:$E,'Barang Keluar'!$A:$A,M8275,'Barang Keluar'!$C:$C,N8275))</f>
        <v>0</v>
      </c>
    </row>
    <row r="8276" spans="13:16">
      <c r="M8276" s="49">
        <f>IF($A$4+82&gt;$B$4,"",$A$4+82)</f>
        <v>46105</v>
      </c>
      <c r="N8276">
        <f>IF(M8276="","",'Master Barang'!A70)</f>
        <v>0</v>
      </c>
      <c r="O8276">
        <f>IF(N8276="","",'Master Barang'!B70)</f>
        <v>0</v>
      </c>
      <c r="P8276">
        <f>IF(OR(M8276="",N8276=""),"",SUMIFS('Barang Keluar'!$E:$E,'Barang Keluar'!$A:$A,M8276,'Barang Keluar'!$C:$C,N8276))</f>
        <v>0</v>
      </c>
    </row>
    <row r="8277" spans="13:16">
      <c r="M8277" s="49">
        <f>IF($A$4+82&gt;$B$4,"",$A$4+82)</f>
        <v>46105</v>
      </c>
      <c r="N8277">
        <f>IF(M8277="","",'Master Barang'!A71)</f>
        <v>0</v>
      </c>
      <c r="O8277">
        <f>IF(N8277="","",'Master Barang'!B71)</f>
        <v>0</v>
      </c>
      <c r="P8277">
        <f>IF(OR(M8277="",N8277=""),"",SUMIFS('Barang Keluar'!$E:$E,'Barang Keluar'!$A:$A,M8277,'Barang Keluar'!$C:$C,N8277))</f>
        <v>0</v>
      </c>
    </row>
    <row r="8278" spans="13:16">
      <c r="M8278" s="49">
        <f>IF($A$4+82&gt;$B$4,"",$A$4+82)</f>
        <v>46105</v>
      </c>
      <c r="N8278">
        <f>IF(M8278="","",'Master Barang'!A72)</f>
        <v>0</v>
      </c>
      <c r="O8278">
        <f>IF(N8278="","",'Master Barang'!B72)</f>
        <v>0</v>
      </c>
      <c r="P8278">
        <f>IF(OR(M8278="",N8278=""),"",SUMIFS('Barang Keluar'!$E:$E,'Barang Keluar'!$A:$A,M8278,'Barang Keluar'!$C:$C,N8278))</f>
        <v>0</v>
      </c>
    </row>
    <row r="8279" spans="13:16">
      <c r="M8279" s="49">
        <f>IF($A$4+82&gt;$B$4,"",$A$4+82)</f>
        <v>46105</v>
      </c>
      <c r="N8279">
        <f>IF(M8279="","",'Master Barang'!A73)</f>
        <v>0</v>
      </c>
      <c r="O8279">
        <f>IF(N8279="","",'Master Barang'!B73)</f>
        <v>0</v>
      </c>
      <c r="P8279">
        <f>IF(OR(M8279="",N8279=""),"",SUMIFS('Barang Keluar'!$E:$E,'Barang Keluar'!$A:$A,M8279,'Barang Keluar'!$C:$C,N8279))</f>
        <v>0</v>
      </c>
    </row>
    <row r="8280" spans="13:16">
      <c r="M8280" s="49">
        <f>IF($A$4+82&gt;$B$4,"",$A$4+82)</f>
        <v>46105</v>
      </c>
      <c r="N8280">
        <f>IF(M8280="","",'Master Barang'!A74)</f>
        <v>0</v>
      </c>
      <c r="O8280">
        <f>IF(N8280="","",'Master Barang'!B74)</f>
        <v>0</v>
      </c>
      <c r="P8280">
        <f>IF(OR(M8280="",N8280=""),"",SUMIFS('Barang Keluar'!$E:$E,'Barang Keluar'!$A:$A,M8280,'Barang Keluar'!$C:$C,N8280))</f>
        <v>0</v>
      </c>
    </row>
    <row r="8281" spans="13:16">
      <c r="M8281" s="49">
        <f>IF($A$4+82&gt;$B$4,"",$A$4+82)</f>
        <v>46105</v>
      </c>
      <c r="N8281">
        <f>IF(M8281="","",'Master Barang'!A75)</f>
        <v>0</v>
      </c>
      <c r="O8281">
        <f>IF(N8281="","",'Master Barang'!B75)</f>
        <v>0</v>
      </c>
      <c r="P8281">
        <f>IF(OR(M8281="",N8281=""),"",SUMIFS('Barang Keluar'!$E:$E,'Barang Keluar'!$A:$A,M8281,'Barang Keluar'!$C:$C,N8281))</f>
        <v>0</v>
      </c>
    </row>
    <row r="8282" spans="13:16">
      <c r="M8282" s="49">
        <f>IF($A$4+82&gt;$B$4,"",$A$4+82)</f>
        <v>46105</v>
      </c>
      <c r="N8282">
        <f>IF(M8282="","",'Master Barang'!A76)</f>
        <v>0</v>
      </c>
      <c r="O8282">
        <f>IF(N8282="","",'Master Barang'!B76)</f>
        <v>0</v>
      </c>
      <c r="P8282">
        <f>IF(OR(M8282="",N8282=""),"",SUMIFS('Barang Keluar'!$E:$E,'Barang Keluar'!$A:$A,M8282,'Barang Keluar'!$C:$C,N8282))</f>
        <v>0</v>
      </c>
    </row>
    <row r="8283" spans="13:16">
      <c r="M8283" s="49">
        <f>IF($A$4+82&gt;$B$4,"",$A$4+82)</f>
        <v>46105</v>
      </c>
      <c r="N8283">
        <f>IF(M8283="","",'Master Barang'!A77)</f>
        <v>0</v>
      </c>
      <c r="O8283">
        <f>IF(N8283="","",'Master Barang'!B77)</f>
        <v>0</v>
      </c>
      <c r="P8283">
        <f>IF(OR(M8283="",N8283=""),"",SUMIFS('Barang Keluar'!$E:$E,'Barang Keluar'!$A:$A,M8283,'Barang Keluar'!$C:$C,N8283))</f>
        <v>0</v>
      </c>
    </row>
    <row r="8284" spans="13:16">
      <c r="M8284" s="49">
        <f>IF($A$4+82&gt;$B$4,"",$A$4+82)</f>
        <v>46105</v>
      </c>
      <c r="N8284">
        <f>IF(M8284="","",'Master Barang'!A78)</f>
        <v>0</v>
      </c>
      <c r="O8284">
        <f>IF(N8284="","",'Master Barang'!B78)</f>
        <v>0</v>
      </c>
      <c r="P8284">
        <f>IF(OR(M8284="",N8284=""),"",SUMIFS('Barang Keluar'!$E:$E,'Barang Keluar'!$A:$A,M8284,'Barang Keluar'!$C:$C,N8284))</f>
        <v>0</v>
      </c>
    </row>
    <row r="8285" spans="13:16">
      <c r="M8285" s="49">
        <f>IF($A$4+82&gt;$B$4,"",$A$4+82)</f>
        <v>46105</v>
      </c>
      <c r="N8285">
        <f>IF(M8285="","",'Master Barang'!A79)</f>
        <v>0</v>
      </c>
      <c r="O8285">
        <f>IF(N8285="","",'Master Barang'!B79)</f>
        <v>0</v>
      </c>
      <c r="P8285">
        <f>IF(OR(M8285="",N8285=""),"",SUMIFS('Barang Keluar'!$E:$E,'Barang Keluar'!$A:$A,M8285,'Barang Keluar'!$C:$C,N8285))</f>
        <v>0</v>
      </c>
    </row>
    <row r="8286" spans="13:16">
      <c r="M8286" s="49">
        <f>IF($A$4+82&gt;$B$4,"",$A$4+82)</f>
        <v>46105</v>
      </c>
      <c r="N8286">
        <f>IF(M8286="","",'Master Barang'!A80)</f>
        <v>0</v>
      </c>
      <c r="O8286">
        <f>IF(N8286="","",'Master Barang'!B80)</f>
        <v>0</v>
      </c>
      <c r="P8286">
        <f>IF(OR(M8286="",N8286=""),"",SUMIFS('Barang Keluar'!$E:$E,'Barang Keluar'!$A:$A,M8286,'Barang Keluar'!$C:$C,N8286))</f>
        <v>0</v>
      </c>
    </row>
    <row r="8287" spans="13:16">
      <c r="M8287" s="49">
        <f>IF($A$4+82&gt;$B$4,"",$A$4+82)</f>
        <v>46105</v>
      </c>
      <c r="N8287">
        <f>IF(M8287="","",'Master Barang'!A81)</f>
        <v>0</v>
      </c>
      <c r="O8287">
        <f>IF(N8287="","",'Master Barang'!B81)</f>
        <v>0</v>
      </c>
      <c r="P8287">
        <f>IF(OR(M8287="",N8287=""),"",SUMIFS('Barang Keluar'!$E:$E,'Barang Keluar'!$A:$A,M8287,'Barang Keluar'!$C:$C,N8287))</f>
        <v>0</v>
      </c>
    </row>
    <row r="8288" spans="13:16">
      <c r="M8288" s="49">
        <f>IF($A$4+82&gt;$B$4,"",$A$4+82)</f>
        <v>46105</v>
      </c>
      <c r="N8288">
        <f>IF(M8288="","",'Master Barang'!A82)</f>
        <v>0</v>
      </c>
      <c r="O8288">
        <f>IF(N8288="","",'Master Barang'!B82)</f>
        <v>0</v>
      </c>
      <c r="P8288">
        <f>IF(OR(M8288="",N8288=""),"",SUMIFS('Barang Keluar'!$E:$E,'Barang Keluar'!$A:$A,M8288,'Barang Keluar'!$C:$C,N8288))</f>
        <v>0</v>
      </c>
    </row>
    <row r="8289" spans="13:16">
      <c r="M8289" s="49">
        <f>IF($A$4+82&gt;$B$4,"",$A$4+82)</f>
        <v>46105</v>
      </c>
      <c r="N8289">
        <f>IF(M8289="","",'Master Barang'!A83)</f>
        <v>0</v>
      </c>
      <c r="O8289">
        <f>IF(N8289="","",'Master Barang'!B83)</f>
        <v>0</v>
      </c>
      <c r="P8289">
        <f>IF(OR(M8289="",N8289=""),"",SUMIFS('Barang Keluar'!$E:$E,'Barang Keluar'!$A:$A,M8289,'Barang Keluar'!$C:$C,N8289))</f>
        <v>0</v>
      </c>
    </row>
    <row r="8290" spans="13:16">
      <c r="M8290" s="49">
        <f>IF($A$4+82&gt;$B$4,"",$A$4+82)</f>
        <v>46105</v>
      </c>
      <c r="N8290">
        <f>IF(M8290="","",'Master Barang'!A84)</f>
        <v>0</v>
      </c>
      <c r="O8290">
        <f>IF(N8290="","",'Master Barang'!B84)</f>
        <v>0</v>
      </c>
      <c r="P8290">
        <f>IF(OR(M8290="",N8290=""),"",SUMIFS('Barang Keluar'!$E:$E,'Barang Keluar'!$A:$A,M8290,'Barang Keluar'!$C:$C,N8290))</f>
        <v>0</v>
      </c>
    </row>
    <row r="8291" spans="13:16">
      <c r="M8291" s="49">
        <f>IF($A$4+82&gt;$B$4,"",$A$4+82)</f>
        <v>46105</v>
      </c>
      <c r="N8291">
        <f>IF(M8291="","",'Master Barang'!A85)</f>
        <v>0</v>
      </c>
      <c r="O8291">
        <f>IF(N8291="","",'Master Barang'!B85)</f>
        <v>0</v>
      </c>
      <c r="P8291">
        <f>IF(OR(M8291="",N8291=""),"",SUMIFS('Barang Keluar'!$E:$E,'Barang Keluar'!$A:$A,M8291,'Barang Keluar'!$C:$C,N8291))</f>
        <v>0</v>
      </c>
    </row>
    <row r="8292" spans="13:16">
      <c r="M8292" s="49">
        <f>IF($A$4+82&gt;$B$4,"",$A$4+82)</f>
        <v>46105</v>
      </c>
      <c r="N8292">
        <f>IF(M8292="","",'Master Barang'!A86)</f>
        <v>0</v>
      </c>
      <c r="O8292">
        <f>IF(N8292="","",'Master Barang'!B86)</f>
        <v>0</v>
      </c>
      <c r="P8292">
        <f>IF(OR(M8292="",N8292=""),"",SUMIFS('Barang Keluar'!$E:$E,'Barang Keluar'!$A:$A,M8292,'Barang Keluar'!$C:$C,N8292))</f>
        <v>0</v>
      </c>
    </row>
    <row r="8293" spans="13:16">
      <c r="M8293" s="49">
        <f>IF($A$4+82&gt;$B$4,"",$A$4+82)</f>
        <v>46105</v>
      </c>
      <c r="N8293">
        <f>IF(M8293="","",'Master Barang'!A87)</f>
        <v>0</v>
      </c>
      <c r="O8293">
        <f>IF(N8293="","",'Master Barang'!B87)</f>
        <v>0</v>
      </c>
      <c r="P8293">
        <f>IF(OR(M8293="",N8293=""),"",SUMIFS('Barang Keluar'!$E:$E,'Barang Keluar'!$A:$A,M8293,'Barang Keluar'!$C:$C,N8293))</f>
        <v>0</v>
      </c>
    </row>
    <row r="8294" spans="13:16">
      <c r="M8294" s="49">
        <f>IF($A$4+82&gt;$B$4,"",$A$4+82)</f>
        <v>46105</v>
      </c>
      <c r="N8294">
        <f>IF(M8294="","",'Master Barang'!A88)</f>
        <v>0</v>
      </c>
      <c r="O8294">
        <f>IF(N8294="","",'Master Barang'!B88)</f>
        <v>0</v>
      </c>
      <c r="P8294">
        <f>IF(OR(M8294="",N8294=""),"",SUMIFS('Barang Keluar'!$E:$E,'Barang Keluar'!$A:$A,M8294,'Barang Keluar'!$C:$C,N8294))</f>
        <v>0</v>
      </c>
    </row>
    <row r="8295" spans="13:16">
      <c r="M8295" s="49">
        <f>IF($A$4+82&gt;$B$4,"",$A$4+82)</f>
        <v>46105</v>
      </c>
      <c r="N8295">
        <f>IF(M8295="","",'Master Barang'!A89)</f>
        <v>0</v>
      </c>
      <c r="O8295">
        <f>IF(N8295="","",'Master Barang'!B89)</f>
        <v>0</v>
      </c>
      <c r="P8295">
        <f>IF(OR(M8295="",N8295=""),"",SUMIFS('Barang Keluar'!$E:$E,'Barang Keluar'!$A:$A,M8295,'Barang Keluar'!$C:$C,N8295))</f>
        <v>0</v>
      </c>
    </row>
    <row r="8296" spans="13:16">
      <c r="M8296" s="49">
        <f>IF($A$4+82&gt;$B$4,"",$A$4+82)</f>
        <v>46105</v>
      </c>
      <c r="N8296">
        <f>IF(M8296="","",'Master Barang'!A90)</f>
        <v>0</v>
      </c>
      <c r="O8296">
        <f>IF(N8296="","",'Master Barang'!B90)</f>
        <v>0</v>
      </c>
      <c r="P8296">
        <f>IF(OR(M8296="",N8296=""),"",SUMIFS('Barang Keluar'!$E:$E,'Barang Keluar'!$A:$A,M8296,'Barang Keluar'!$C:$C,N8296))</f>
        <v>0</v>
      </c>
    </row>
    <row r="8297" spans="13:16">
      <c r="M8297" s="49">
        <f>IF($A$4+82&gt;$B$4,"",$A$4+82)</f>
        <v>46105</v>
      </c>
      <c r="N8297">
        <f>IF(M8297="","",'Master Barang'!A91)</f>
        <v>0</v>
      </c>
      <c r="O8297">
        <f>IF(N8297="","",'Master Barang'!B91)</f>
        <v>0</v>
      </c>
      <c r="P8297">
        <f>IF(OR(M8297="",N8297=""),"",SUMIFS('Barang Keluar'!$E:$E,'Barang Keluar'!$A:$A,M8297,'Barang Keluar'!$C:$C,N8297))</f>
        <v>0</v>
      </c>
    </row>
    <row r="8298" spans="13:16">
      <c r="M8298" s="49">
        <f>IF($A$4+82&gt;$B$4,"",$A$4+82)</f>
        <v>46105</v>
      </c>
      <c r="N8298">
        <f>IF(M8298="","",'Master Barang'!A92)</f>
        <v>0</v>
      </c>
      <c r="O8298">
        <f>IF(N8298="","",'Master Barang'!B92)</f>
        <v>0</v>
      </c>
      <c r="P8298">
        <f>IF(OR(M8298="",N8298=""),"",SUMIFS('Barang Keluar'!$E:$E,'Barang Keluar'!$A:$A,M8298,'Barang Keluar'!$C:$C,N8298))</f>
        <v>0</v>
      </c>
    </row>
    <row r="8299" spans="13:16">
      <c r="M8299" s="49">
        <f>IF($A$4+82&gt;$B$4,"",$A$4+82)</f>
        <v>46105</v>
      </c>
      <c r="N8299">
        <f>IF(M8299="","",'Master Barang'!A93)</f>
        <v>0</v>
      </c>
      <c r="O8299">
        <f>IF(N8299="","",'Master Barang'!B93)</f>
        <v>0</v>
      </c>
      <c r="P8299">
        <f>IF(OR(M8299="",N8299=""),"",SUMIFS('Barang Keluar'!$E:$E,'Barang Keluar'!$A:$A,M8299,'Barang Keluar'!$C:$C,N8299))</f>
        <v>0</v>
      </c>
    </row>
    <row r="8300" spans="13:16">
      <c r="M8300" s="49">
        <f>IF($A$4+82&gt;$B$4,"",$A$4+82)</f>
        <v>46105</v>
      </c>
      <c r="N8300">
        <f>IF(M8300="","",'Master Barang'!A94)</f>
        <v>0</v>
      </c>
      <c r="O8300">
        <f>IF(N8300="","",'Master Barang'!B94)</f>
        <v>0</v>
      </c>
      <c r="P8300">
        <f>IF(OR(M8300="",N8300=""),"",SUMIFS('Barang Keluar'!$E:$E,'Barang Keluar'!$A:$A,M8300,'Barang Keluar'!$C:$C,N8300))</f>
        <v>0</v>
      </c>
    </row>
    <row r="8301" spans="13:16">
      <c r="M8301" s="49">
        <f>IF($A$4+82&gt;$B$4,"",$A$4+82)</f>
        <v>46105</v>
      </c>
      <c r="N8301">
        <f>IF(M8301="","",'Master Barang'!A95)</f>
        <v>0</v>
      </c>
      <c r="O8301">
        <f>IF(N8301="","",'Master Barang'!B95)</f>
        <v>0</v>
      </c>
      <c r="P8301">
        <f>IF(OR(M8301="",N8301=""),"",SUMIFS('Barang Keluar'!$E:$E,'Barang Keluar'!$A:$A,M8301,'Barang Keluar'!$C:$C,N8301))</f>
        <v>0</v>
      </c>
    </row>
    <row r="8302" spans="13:16">
      <c r="M8302" s="49">
        <f>IF($A$4+82&gt;$B$4,"",$A$4+82)</f>
        <v>46105</v>
      </c>
      <c r="N8302">
        <f>IF(M8302="","",'Master Barang'!A96)</f>
        <v>0</v>
      </c>
      <c r="O8302">
        <f>IF(N8302="","",'Master Barang'!B96)</f>
        <v>0</v>
      </c>
      <c r="P8302">
        <f>IF(OR(M8302="",N8302=""),"",SUMIFS('Barang Keluar'!$E:$E,'Barang Keluar'!$A:$A,M8302,'Barang Keluar'!$C:$C,N8302))</f>
        <v>0</v>
      </c>
    </row>
    <row r="8303" spans="13:16">
      <c r="M8303" s="49">
        <f>IF($A$4+82&gt;$B$4,"",$A$4+82)</f>
        <v>46105</v>
      </c>
      <c r="N8303">
        <f>IF(M8303="","",'Master Barang'!A97)</f>
        <v>0</v>
      </c>
      <c r="O8303">
        <f>IF(N8303="","",'Master Barang'!B97)</f>
        <v>0</v>
      </c>
      <c r="P8303">
        <f>IF(OR(M8303="",N8303=""),"",SUMIFS('Barang Keluar'!$E:$E,'Barang Keluar'!$A:$A,M8303,'Barang Keluar'!$C:$C,N8303))</f>
        <v>0</v>
      </c>
    </row>
    <row r="8304" spans="13:16">
      <c r="M8304" s="49">
        <f>IF($A$4+82&gt;$B$4,"",$A$4+82)</f>
        <v>46105</v>
      </c>
      <c r="N8304">
        <f>IF(M8304="","",'Master Barang'!A98)</f>
        <v>0</v>
      </c>
      <c r="O8304">
        <f>IF(N8304="","",'Master Barang'!B98)</f>
        <v>0</v>
      </c>
      <c r="P8304">
        <f>IF(OR(M8304="",N8304=""),"",SUMIFS('Barang Keluar'!$E:$E,'Barang Keluar'!$A:$A,M8304,'Barang Keluar'!$C:$C,N8304))</f>
        <v>0</v>
      </c>
    </row>
    <row r="8305" spans="13:16">
      <c r="M8305" s="49">
        <f>IF($A$4+82&gt;$B$4,"",$A$4+82)</f>
        <v>46105</v>
      </c>
      <c r="N8305">
        <f>IF(M8305="","",'Master Barang'!A99)</f>
        <v>0</v>
      </c>
      <c r="O8305">
        <f>IF(N8305="","",'Master Barang'!B99)</f>
        <v>0</v>
      </c>
      <c r="P8305">
        <f>IF(OR(M8305="",N8305=""),"",SUMIFS('Barang Keluar'!$E:$E,'Barang Keluar'!$A:$A,M8305,'Barang Keluar'!$C:$C,N8305))</f>
        <v>0</v>
      </c>
    </row>
    <row r="8306" spans="13:16">
      <c r="M8306" s="49">
        <f>IF($A$4+82&gt;$B$4,"",$A$4+82)</f>
        <v>46105</v>
      </c>
      <c r="N8306">
        <f>IF(M8306="","",'Master Barang'!A100)</f>
        <v>0</v>
      </c>
      <c r="O8306">
        <f>IF(N8306="","",'Master Barang'!B100)</f>
        <v>0</v>
      </c>
      <c r="P8306">
        <f>IF(OR(M8306="",N8306=""),"",SUMIFS('Barang Keluar'!$E:$E,'Barang Keluar'!$A:$A,M8306,'Barang Keluar'!$C:$C,N8306))</f>
        <v>0</v>
      </c>
    </row>
    <row r="8307" spans="13:16">
      <c r="M8307" s="49">
        <f>IF($A$4+82&gt;$B$4,"",$A$4+82)</f>
        <v>46105</v>
      </c>
      <c r="N8307">
        <f>IF(M8307="","",'Master Barang'!A101)</f>
        <v>0</v>
      </c>
      <c r="O8307">
        <f>IF(N8307="","",'Master Barang'!B101)</f>
        <v>0</v>
      </c>
      <c r="P8307">
        <f>IF(OR(M8307="",N8307=""),"",SUMIFS('Barang Keluar'!$E:$E,'Barang Keluar'!$A:$A,M8307,'Barang Keluar'!$C:$C,N8307))</f>
        <v>0</v>
      </c>
    </row>
    <row r="8308" spans="13:16">
      <c r="M8308" s="49">
        <f>IF($A$4+83&gt;$B$4,"",$A$4+83)</f>
        <v>46106</v>
      </c>
      <c r="N8308" t="str">
        <f>IF(M8308="","",'Master Barang'!A2)</f>
        <v>PRL-001</v>
      </c>
      <c r="O8308" t="str">
        <f>IF(N8308="","",'Master Barang'!B2)</f>
        <v>natura desinfectant food grade 5l</v>
      </c>
      <c r="P8308">
        <f>IF(OR(M8308="",N8308=""),"",SUMIFS('Barang Keluar'!$E:$E,'Barang Keluar'!$A:$A,M8308,'Barang Keluar'!$C:$C,N8308))</f>
        <v>0</v>
      </c>
    </row>
    <row r="8309" spans="13:16">
      <c r="M8309" s="49">
        <f>IF($A$4+83&gt;$B$4,"",$A$4+83)</f>
        <v>46106</v>
      </c>
      <c r="N8309" t="str">
        <f>IF(M8309="","",'Master Barang'!A3)</f>
        <v>PRL-002</v>
      </c>
      <c r="O8309" t="str">
        <f>IF(N8309="","",'Master Barang'!B3)</f>
        <v>sunlight cairan pencuci piring 5l</v>
      </c>
      <c r="P8309">
        <f>IF(OR(M8309="",N8309=""),"",SUMIFS('Barang Keluar'!$E:$E,'Barang Keluar'!$A:$A,M8309,'Barang Keluar'!$C:$C,N8309))</f>
        <v>0</v>
      </c>
    </row>
    <row r="8310" spans="13:16">
      <c r="M8310" s="49">
        <f>IF($A$4+83&gt;$B$4,"",$A$4+83)</f>
        <v>46106</v>
      </c>
      <c r="N8310" t="str">
        <f>IF(M8310="","",'Master Barang'!A4)</f>
        <v>PRL-003</v>
      </c>
      <c r="O8310" t="str">
        <f>IF(N8310="","",'Master Barang'!B4)</f>
        <v>oixs cleaner 1l</v>
      </c>
      <c r="P8310">
        <f>IF(OR(M8310="",N8310=""),"",SUMIFS('Barang Keluar'!$E:$E,'Barang Keluar'!$A:$A,M8310,'Barang Keluar'!$C:$C,N8310))</f>
        <v>0</v>
      </c>
    </row>
    <row r="8311" spans="13:16">
      <c r="M8311" s="49">
        <f>IF($A$4+83&gt;$B$4,"",$A$4+83)</f>
        <v>46106</v>
      </c>
      <c r="N8311" t="str">
        <f>IF(M8311="","",'Master Barang'!A5)</f>
        <v>PRL-004</v>
      </c>
      <c r="O8311" t="str">
        <f>IF(N8311="","",'Master Barang'!B5)</f>
        <v>be clean tissue serbaguna</v>
      </c>
      <c r="P8311">
        <f>IF(OR(M8311="",N8311=""),"",SUMIFS('Barang Keluar'!$E:$E,'Barang Keluar'!$A:$A,M8311,'Barang Keluar'!$C:$C,N8311))</f>
        <v>0</v>
      </c>
    </row>
    <row r="8312" spans="13:16">
      <c r="M8312" s="49">
        <f>IF($A$4+83&gt;$B$4,"",$A$4+83)</f>
        <v>46106</v>
      </c>
      <c r="N8312" t="str">
        <f>IF(M8312="","",'Master Barang'!A6)</f>
        <v>PRL-005</v>
      </c>
      <c r="O8312" t="str">
        <f>IF(N8312="","",'Master Barang'!B6)</f>
        <v>spons cuci hijau</v>
      </c>
      <c r="P8312">
        <f>IF(OR(M8312="",N8312=""),"",SUMIFS('Barang Keluar'!$E:$E,'Barang Keluar'!$A:$A,M8312,'Barang Keluar'!$C:$C,N8312))</f>
        <v>0</v>
      </c>
    </row>
    <row r="8313" spans="13:16">
      <c r="M8313" s="49">
        <f>IF($A$4+83&gt;$B$4,"",$A$4+83)</f>
        <v>46106</v>
      </c>
      <c r="N8313" t="str">
        <f>IF(M8313="","",'Master Barang'!A7)</f>
        <v>PRL-006</v>
      </c>
      <c r="O8313" t="str">
        <f>IF(N8313="","",'Master Barang'!B7)</f>
        <v>sabut cuci stainless</v>
      </c>
      <c r="P8313">
        <f>IF(OR(M8313="",N8313=""),"",SUMIFS('Barang Keluar'!$E:$E,'Barang Keluar'!$A:$A,M8313,'Barang Keluar'!$C:$C,N8313))</f>
        <v>0</v>
      </c>
    </row>
    <row r="8314" spans="13:16">
      <c r="M8314" s="49">
        <f>IF($A$4+83&gt;$B$4,"",$A$4+83)</f>
        <v>46106</v>
      </c>
      <c r="N8314" t="str">
        <f>IF(M8314="","",'Master Barang'!A8)</f>
        <v>PRL-007</v>
      </c>
      <c r="O8314" t="str">
        <f>IF(N8314="","",'Master Barang'!B8)</f>
        <v>plastik kresek besar merah 50pc</v>
      </c>
      <c r="P8314">
        <f>IF(OR(M8314="",N8314=""),"",SUMIFS('Barang Keluar'!$E:$E,'Barang Keluar'!$A:$A,M8314,'Barang Keluar'!$C:$C,N8314))</f>
        <v>0</v>
      </c>
    </row>
    <row r="8315" spans="13:16">
      <c r="M8315" s="49">
        <f>IF($A$4+83&gt;$B$4,"",$A$4+83)</f>
        <v>46106</v>
      </c>
      <c r="N8315" t="str">
        <f>IF(M8315="","",'Master Barang'!A9)</f>
        <v>PRL-008</v>
      </c>
      <c r="O8315" t="str">
        <f>IF(N8315="","",'Master Barang'!B9)</f>
        <v>lap besar</v>
      </c>
      <c r="P8315">
        <f>IF(OR(M8315="",N8315=""),"",SUMIFS('Barang Keluar'!$E:$E,'Barang Keluar'!$A:$A,M8315,'Barang Keluar'!$C:$C,N8315))</f>
        <v>0</v>
      </c>
    </row>
    <row r="8316" spans="13:16">
      <c r="M8316" s="49">
        <f>IF($A$4+83&gt;$B$4,"",$A$4+83)</f>
        <v>46106</v>
      </c>
      <c r="N8316" t="str">
        <f>IF(M8316="","",'Master Barang'!A10)</f>
        <v>PRL-009</v>
      </c>
      <c r="O8316" t="str">
        <f>IF(N8316="","",'Master Barang'!B10)</f>
        <v>lap microfiber</v>
      </c>
      <c r="P8316">
        <f>IF(OR(M8316="",N8316=""),"",SUMIFS('Barang Keluar'!$E:$E,'Barang Keluar'!$A:$A,M8316,'Barang Keluar'!$C:$C,N8316))</f>
        <v>0</v>
      </c>
    </row>
    <row r="8317" spans="13:16">
      <c r="M8317" s="49">
        <f>IF($A$4+83&gt;$B$4,"",$A$4+83)</f>
        <v>46106</v>
      </c>
      <c r="N8317" t="str">
        <f>IF(M8317="","",'Master Barang'!A11)</f>
        <v>PRL-010</v>
      </c>
      <c r="O8317" t="str">
        <f>IF(N8317="","",'Master Barang'!B11)</f>
        <v>lap kecil</v>
      </c>
      <c r="P8317">
        <f>IF(OR(M8317="",N8317=""),"",SUMIFS('Barang Keluar'!$E:$E,'Barang Keluar'!$A:$A,M8317,'Barang Keluar'!$C:$C,N8317))</f>
        <v>0</v>
      </c>
    </row>
    <row r="8318" spans="13:16">
      <c r="M8318" s="49">
        <f>IF($A$4+83&gt;$B$4,"",$A$4+83)</f>
        <v>46106</v>
      </c>
      <c r="N8318" t="str">
        <f>IF(M8318="","",'Master Barang'!A12)</f>
        <v>PRL-011</v>
      </c>
      <c r="O8318" t="str">
        <f>IF(N8318="","",'Master Barang'!B12)</f>
        <v>kanebo kecil</v>
      </c>
      <c r="P8318">
        <f>IF(OR(M8318="",N8318=""),"",SUMIFS('Barang Keluar'!$E:$E,'Barang Keluar'!$A:$A,M8318,'Barang Keluar'!$C:$C,N8318))</f>
        <v>0</v>
      </c>
    </row>
    <row r="8319" spans="13:16">
      <c r="M8319" s="49">
        <f>IF($A$4+83&gt;$B$4,"",$A$4+83)</f>
        <v>46106</v>
      </c>
      <c r="N8319" t="str">
        <f>IF(M8319="","",'Master Barang'!A13)</f>
        <v>PRL-012</v>
      </c>
      <c r="O8319" t="str">
        <f>IF(N8319="","",'Master Barang'!B13)</f>
        <v>plastik 1/4kg joyoboyo 100 lembar</v>
      </c>
      <c r="P8319">
        <f>IF(OR(M8319="",N8319=""),"",SUMIFS('Barang Keluar'!$E:$E,'Barang Keluar'!$A:$A,M8319,'Barang Keluar'!$C:$C,N8319))</f>
        <v>0</v>
      </c>
    </row>
    <row r="8320" spans="13:16">
      <c r="M8320" s="49">
        <f>IF($A$4+83&gt;$B$4,"",$A$4+83)</f>
        <v>46106</v>
      </c>
      <c r="N8320" t="str">
        <f>IF(M8320="","",'Master Barang'!A14)</f>
        <v>PRL-013</v>
      </c>
      <c r="O8320" t="str">
        <f>IF(N8320="","",'Master Barang'!B14)</f>
        <v>sarung tangan plastik kaka 100 pcs</v>
      </c>
      <c r="P8320">
        <f>IF(OR(M8320="",N8320=""),"",SUMIFS('Barang Keluar'!$E:$E,'Barang Keluar'!$A:$A,M8320,'Barang Keluar'!$C:$C,N8320))</f>
        <v>0</v>
      </c>
    </row>
    <row r="8321" spans="13:16">
      <c r="M8321" s="49">
        <f>IF($A$4+83&gt;$B$4,"",$A$4+83)</f>
        <v>46106</v>
      </c>
      <c r="N8321" t="str">
        <f>IF(M8321="","",'Master Barang'!A15)</f>
        <v>PRL-014</v>
      </c>
      <c r="O8321" t="str">
        <f>IF(N8321="","",'Master Barang'!B15)</f>
        <v>optima trashbag 80x100</v>
      </c>
      <c r="P8321">
        <f>IF(OR(M8321="",N8321=""),"",SUMIFS('Barang Keluar'!$E:$E,'Barang Keluar'!$A:$A,M8321,'Barang Keluar'!$C:$C,N8321))</f>
        <v>0</v>
      </c>
    </row>
    <row r="8322" spans="13:16">
      <c r="M8322" s="49">
        <f>IF($A$4+83&gt;$B$4,"",$A$4+83)</f>
        <v>46106</v>
      </c>
      <c r="N8322" t="str">
        <f>IF(M8322="","",'Master Barang'!A16)</f>
        <v>PRL-015</v>
      </c>
      <c r="O8322" t="str">
        <f>IF(N8322="","",'Master Barang'!B16)</f>
        <v>optima trashbag 60x100</v>
      </c>
      <c r="P8322">
        <f>IF(OR(M8322="",N8322=""),"",SUMIFS('Barang Keluar'!$E:$E,'Barang Keluar'!$A:$A,M8322,'Barang Keluar'!$C:$C,N8322))</f>
        <v>0</v>
      </c>
    </row>
    <row r="8323" spans="13:16">
      <c r="M8323" s="49">
        <f>IF($A$4+83&gt;$B$4,"",$A$4+83)</f>
        <v>46106</v>
      </c>
      <c r="N8323" t="str">
        <f>IF(M8323="","",'Master Barang'!A17)</f>
        <v>PRL-016</v>
      </c>
      <c r="O8323" t="str">
        <f>IF(N8323="","",'Master Barang'!B17)</f>
        <v>rajawali trashbag 30x40</v>
      </c>
      <c r="P8323">
        <f>IF(OR(M8323="",N8323=""),"",SUMIFS('Barang Keluar'!$E:$E,'Barang Keluar'!$A:$A,M8323,'Barang Keluar'!$C:$C,N8323))</f>
        <v>0</v>
      </c>
    </row>
    <row r="8324" spans="13:16">
      <c r="M8324" s="49">
        <f>IF($A$4+83&gt;$B$4,"",$A$4+83)</f>
        <v>46106</v>
      </c>
      <c r="N8324" t="str">
        <f>IF(M8324="","",'Master Barang'!A18)</f>
        <v>PRL-017</v>
      </c>
      <c r="O8324" t="str">
        <f>IF(N8324="","",'Master Barang'!B18)</f>
        <v>onemed masker biru 3 play 50 pcs</v>
      </c>
      <c r="P8324">
        <f>IF(OR(M8324="",N8324=""),"",SUMIFS('Barang Keluar'!$E:$E,'Barang Keluar'!$A:$A,M8324,'Barang Keluar'!$C:$C,N8324))</f>
        <v>0</v>
      </c>
    </row>
    <row r="8325" spans="13:16">
      <c r="M8325" s="49">
        <f>IF($A$4+83&gt;$B$4,"",$A$4+83)</f>
        <v>46106</v>
      </c>
      <c r="N8325" t="str">
        <f>IF(M8325="","",'Master Barang'!A19)</f>
        <v>PRL-018</v>
      </c>
      <c r="O8325" t="str">
        <f>IF(N8325="","",'Master Barang'!B19)</f>
        <v>onemed masker biru 3 play hijab 50 pcs</v>
      </c>
      <c r="P8325">
        <f>IF(OR(M8325="",N8325=""),"",SUMIFS('Barang Keluar'!$E:$E,'Barang Keluar'!$A:$A,M8325,'Barang Keluar'!$C:$C,N8325))</f>
        <v>0</v>
      </c>
    </row>
    <row r="8326" spans="13:16">
      <c r="M8326" s="49">
        <f>IF($A$4+83&gt;$B$4,"",$A$4+83)</f>
        <v>46106</v>
      </c>
      <c r="N8326" t="str">
        <f>IF(M8326="","",'Master Barang'!A20)</f>
        <v>PRL-019</v>
      </c>
      <c r="O8326" t="str">
        <f>IF(N8326="","",'Master Barang'!B20)</f>
        <v>neo health masker biru 3 play 50 pcs</v>
      </c>
      <c r="P8326">
        <f>IF(OR(M8326="",N8326=""),"",SUMIFS('Barang Keluar'!$E:$E,'Barang Keluar'!$A:$A,M8326,'Barang Keluar'!$C:$C,N8326))</f>
        <v>0</v>
      </c>
    </row>
    <row r="8327" spans="13:16">
      <c r="M8327" s="49">
        <f>IF($A$4+83&gt;$B$4,"",$A$4+83)</f>
        <v>46106</v>
      </c>
      <c r="N8327" t="str">
        <f>IF(M8327="","",'Master Barang'!A21)</f>
        <v>PRL-020</v>
      </c>
      <c r="O8327" t="str">
        <f>IF(N8327="","",'Master Barang'!B21)</f>
        <v>baymed masker hijau 3 play hijau 50 pcs</v>
      </c>
      <c r="P8327">
        <f>IF(OR(M8327="",N8327=""),"",SUMIFS('Barang Keluar'!$E:$E,'Barang Keluar'!$A:$A,M8327,'Barang Keluar'!$C:$C,N8327))</f>
        <v>0</v>
      </c>
    </row>
    <row r="8328" spans="13:16">
      <c r="M8328" s="49">
        <f>IF($A$4+83&gt;$B$4,"",$A$4+83)</f>
        <v>46106</v>
      </c>
      <c r="N8328" t="str">
        <f>IF(M8328="","",'Master Barang'!A22)</f>
        <v>PRL-021</v>
      </c>
      <c r="O8328" t="str">
        <f>IF(N8328="","",'Master Barang'!B22)</f>
        <v>altamed nurse cap penutup kepala 100 pcs</v>
      </c>
      <c r="P8328">
        <f>IF(OR(M8328="",N8328=""),"",SUMIFS('Barang Keluar'!$E:$E,'Barang Keluar'!$A:$A,M8328,'Barang Keluar'!$C:$C,N8328))</f>
        <v>0</v>
      </c>
    </row>
    <row r="8329" spans="13:16">
      <c r="M8329" s="49">
        <f>IF($A$4+83&gt;$B$4,"",$A$4+83)</f>
        <v>46106</v>
      </c>
      <c r="N8329" t="str">
        <f>IF(M8329="","",'Master Barang'!A23)</f>
        <v>PRL-022</v>
      </c>
      <c r="O8329" t="str">
        <f>IF(N8329="","",'Master Barang'!B23)</f>
        <v>sabun cuci tangan</v>
      </c>
      <c r="P8329">
        <f>IF(OR(M8329="",N8329=""),"",SUMIFS('Barang Keluar'!$E:$E,'Barang Keluar'!$A:$A,M8329,'Barang Keluar'!$C:$C,N8329))</f>
        <v>0</v>
      </c>
    </row>
    <row r="8330" spans="13:16">
      <c r="M8330" s="49">
        <f>IF($A$4+83&gt;$B$4,"",$A$4+83)</f>
        <v>46106</v>
      </c>
      <c r="N8330" t="str">
        <f>IF(M8330="","",'Master Barang'!A24)</f>
        <v>PRL-023</v>
      </c>
      <c r="O8330" t="str">
        <f>IF(N8330="","",'Master Barang'!B24)</f>
        <v>gayung kecil</v>
      </c>
      <c r="P8330">
        <f>IF(OR(M8330="",N8330=""),"",SUMIFS('Barang Keluar'!$E:$E,'Barang Keluar'!$A:$A,M8330,'Barang Keluar'!$C:$C,N8330))</f>
        <v>0</v>
      </c>
    </row>
    <row r="8331" spans="13:16">
      <c r="M8331" s="49">
        <f>IF($A$4+83&gt;$B$4,"",$A$4+83)</f>
        <v>46106</v>
      </c>
      <c r="N8331" t="str">
        <f>IF(M8331="","",'Master Barang'!A25)</f>
        <v>PRL-024</v>
      </c>
      <c r="O8331" t="str">
        <f>IF(N8331="","",'Master Barang'!B25)</f>
        <v>cikrak kecil</v>
      </c>
      <c r="P8331">
        <f>IF(OR(M8331="",N8331=""),"",SUMIFS('Barang Keluar'!$E:$E,'Barang Keluar'!$A:$A,M8331,'Barang Keluar'!$C:$C,N8331))</f>
        <v>0</v>
      </c>
    </row>
    <row r="8332" spans="13:16">
      <c r="M8332" s="49">
        <f>IF($A$4+83&gt;$B$4,"",$A$4+83)</f>
        <v>46106</v>
      </c>
      <c r="N8332" t="str">
        <f>IF(M8332="","",'Master Barang'!A26)</f>
        <v>PRL-025</v>
      </c>
      <c r="O8332" t="str">
        <f>IF(N8332="","",'Master Barang'!B26)</f>
        <v>petromax plastik kecil 12x24 100 lembar</v>
      </c>
      <c r="P8332">
        <f>IF(OR(M8332="",N8332=""),"",SUMIFS('Barang Keluar'!$E:$E,'Barang Keluar'!$A:$A,M8332,'Barang Keluar'!$C:$C,N8332))</f>
        <v>0</v>
      </c>
    </row>
    <row r="8333" spans="13:16">
      <c r="M8333" s="49">
        <f>IF($A$4+83&gt;$B$4,"",$A$4+83)</f>
        <v>46106</v>
      </c>
      <c r="N8333" t="str">
        <f>IF(M8333="","",'Master Barang'!A27)</f>
        <v>PRL-026</v>
      </c>
      <c r="O8333" t="str">
        <f>IF(N8333="","",'Master Barang'!B27)</f>
        <v>lancar kresek kecil bening </v>
      </c>
      <c r="P8333">
        <f>IF(OR(M8333="",N8333=""),"",SUMIFS('Barang Keluar'!$E:$E,'Barang Keluar'!$A:$A,M8333,'Barang Keluar'!$C:$C,N8333))</f>
        <v>0</v>
      </c>
    </row>
    <row r="8334" spans="13:16">
      <c r="M8334" s="49">
        <f>IF($A$4+83&gt;$B$4,"",$A$4+83)</f>
        <v>46106</v>
      </c>
      <c r="N8334" t="str">
        <f>IF(M8334="","",'Master Barang'!A28)</f>
        <v>PRL-027</v>
      </c>
      <c r="O8334" t="str">
        <f>IF(N8334="","",'Master Barang'!B28)</f>
        <v>kresek klin warna warni kecil</v>
      </c>
      <c r="P8334">
        <f>IF(OR(M8334="",N8334=""),"",SUMIFS('Barang Keluar'!$E:$E,'Barang Keluar'!$A:$A,M8334,'Barang Keluar'!$C:$C,N8334))</f>
        <v>0</v>
      </c>
    </row>
    <row r="8335" spans="13:16">
      <c r="M8335" s="49">
        <f>IF($A$4+83&gt;$B$4,"",$A$4+83)</f>
        <v>46106</v>
      </c>
      <c r="N8335" t="str">
        <f>IF(M8335="","",'Master Barang'!A29)</f>
        <v>PRL-028</v>
      </c>
      <c r="O8335" t="str">
        <f>IF(N8335="","",'Master Barang'!B29)</f>
        <v>ctik plastik 7x10 100 pcs</v>
      </c>
      <c r="P8335">
        <f>IF(OR(M8335="",N8335=""),"",SUMIFS('Barang Keluar'!$E:$E,'Barang Keluar'!$A:$A,M8335,'Barang Keluar'!$C:$C,N8335))</f>
        <v>0</v>
      </c>
    </row>
    <row r="8336" spans="13:16">
      <c r="M8336" s="49">
        <f>IF($A$4+83&gt;$B$4,"",$A$4+83)</f>
        <v>46106</v>
      </c>
      <c r="N8336" t="str">
        <f>IF(M8336="","",'Master Barang'!A30)</f>
        <v>PRL-029</v>
      </c>
      <c r="O8336" t="str">
        <f>IF(N8336="","",'Master Barang'!B30)</f>
        <v>ctik plastik 6x10 100 pcs</v>
      </c>
      <c r="P8336">
        <f>IF(OR(M8336="",N8336=""),"",SUMIFS('Barang Keluar'!$E:$E,'Barang Keluar'!$A:$A,M8336,'Barang Keluar'!$C:$C,N8336))</f>
        <v>0</v>
      </c>
    </row>
    <row r="8337" spans="13:16">
      <c r="M8337" s="49">
        <f>IF($A$4+83&gt;$B$4,"",$A$4+83)</f>
        <v>46106</v>
      </c>
      <c r="N8337" t="str">
        <f>IF(M8337="","",'Master Barang'!A31)</f>
        <v>PRL-030</v>
      </c>
      <c r="O8337" t="str">
        <f>IF(N8337="","",'Master Barang'!B31)</f>
        <v>klip plastik 25x16 100 pcs</v>
      </c>
      <c r="P8337">
        <f>IF(OR(M8337="",N8337=""),"",SUMIFS('Barang Keluar'!$E:$E,'Barang Keluar'!$A:$A,M8337,'Barang Keluar'!$C:$C,N8337))</f>
        <v>0</v>
      </c>
    </row>
    <row r="8338" spans="13:16">
      <c r="M8338" s="49">
        <f>IF($A$4+83&gt;$B$4,"",$A$4+83)</f>
        <v>46106</v>
      </c>
      <c r="N8338" t="str">
        <f>IF(M8338="","",'Master Barang'!A32)</f>
        <v>PRL-031</v>
      </c>
      <c r="O8338" t="str">
        <f>IF(N8338="","",'Master Barang'!B32)</f>
        <v>tempat saus 20 ml</v>
      </c>
      <c r="P8338">
        <f>IF(OR(M8338="",N8338=""),"",SUMIFS('Barang Keluar'!$E:$E,'Barang Keluar'!$A:$A,M8338,'Barang Keluar'!$C:$C,N8338))</f>
        <v>0</v>
      </c>
    </row>
    <row r="8339" spans="13:16">
      <c r="M8339" s="49">
        <f>IF($A$4+83&gt;$B$4,"",$A$4+83)</f>
        <v>46106</v>
      </c>
      <c r="N8339" t="str">
        <f>IF(M8339="","",'Master Barang'!A33)</f>
        <v>PRL-032</v>
      </c>
      <c r="O8339" t="str">
        <f>IF(N8339="","",'Master Barang'!B33)</f>
        <v>plastik packaging ag box uk sedang</v>
      </c>
      <c r="P8339">
        <f>IF(OR(M8339="",N8339=""),"",SUMIFS('Barang Keluar'!$E:$E,'Barang Keluar'!$A:$A,M8339,'Barang Keluar'!$C:$C,N8339))</f>
        <v>0</v>
      </c>
    </row>
    <row r="8340" spans="13:16">
      <c r="M8340" s="49">
        <f>IF($A$4+83&gt;$B$4,"",$A$4+83)</f>
        <v>46106</v>
      </c>
      <c r="N8340" t="str">
        <f>IF(M8340="","",'Master Barang'!A34)</f>
        <v>PRL-033</v>
      </c>
      <c r="O8340">
        <f>IF(N8340="","",'Master Barang'!B34)</f>
        <v>0</v>
      </c>
      <c r="P8340">
        <f>IF(OR(M8340="",N8340=""),"",SUMIFS('Barang Keluar'!$E:$E,'Barang Keluar'!$A:$A,M8340,'Barang Keluar'!$C:$C,N8340))</f>
        <v>0</v>
      </c>
    </row>
    <row r="8341" spans="13:16">
      <c r="M8341" s="49">
        <f>IF($A$4+83&gt;$B$4,"",$A$4+83)</f>
        <v>46106</v>
      </c>
      <c r="N8341">
        <f>IF(M8341="","",'Master Barang'!A35)</f>
        <v>0</v>
      </c>
      <c r="O8341">
        <f>IF(N8341="","",'Master Barang'!B35)</f>
        <v>0</v>
      </c>
      <c r="P8341">
        <f>IF(OR(M8341="",N8341=""),"",SUMIFS('Barang Keluar'!$E:$E,'Barang Keluar'!$A:$A,M8341,'Barang Keluar'!$C:$C,N8341))</f>
        <v>0</v>
      </c>
    </row>
    <row r="8342" spans="13:16">
      <c r="M8342" s="49">
        <f>IF($A$4+83&gt;$B$4,"",$A$4+83)</f>
        <v>46106</v>
      </c>
      <c r="N8342">
        <f>IF(M8342="","",'Master Barang'!A36)</f>
        <v>0</v>
      </c>
      <c r="O8342">
        <f>IF(N8342="","",'Master Barang'!B36)</f>
        <v>0</v>
      </c>
      <c r="P8342">
        <f>IF(OR(M8342="",N8342=""),"",SUMIFS('Barang Keluar'!$E:$E,'Barang Keluar'!$A:$A,M8342,'Barang Keluar'!$C:$C,N8342))</f>
        <v>0</v>
      </c>
    </row>
    <row r="8343" spans="13:16">
      <c r="M8343" s="49">
        <f>IF($A$4+83&gt;$B$4,"",$A$4+83)</f>
        <v>46106</v>
      </c>
      <c r="N8343">
        <f>IF(M8343="","",'Master Barang'!A37)</f>
        <v>0</v>
      </c>
      <c r="O8343">
        <f>IF(N8343="","",'Master Barang'!B37)</f>
        <v>0</v>
      </c>
      <c r="P8343">
        <f>IF(OR(M8343="",N8343=""),"",SUMIFS('Barang Keluar'!$E:$E,'Barang Keluar'!$A:$A,M8343,'Barang Keluar'!$C:$C,N8343))</f>
        <v>0</v>
      </c>
    </row>
    <row r="8344" spans="13:16">
      <c r="M8344" s="49">
        <f>IF($A$4+83&gt;$B$4,"",$A$4+83)</f>
        <v>46106</v>
      </c>
      <c r="N8344">
        <f>IF(M8344="","",'Master Barang'!A38)</f>
        <v>0</v>
      </c>
      <c r="O8344">
        <f>IF(N8344="","",'Master Barang'!B38)</f>
        <v>0</v>
      </c>
      <c r="P8344">
        <f>IF(OR(M8344="",N8344=""),"",SUMIFS('Barang Keluar'!$E:$E,'Barang Keluar'!$A:$A,M8344,'Barang Keluar'!$C:$C,N8344))</f>
        <v>0</v>
      </c>
    </row>
    <row r="8345" spans="13:16">
      <c r="M8345" s="49">
        <f>IF($A$4+83&gt;$B$4,"",$A$4+83)</f>
        <v>46106</v>
      </c>
      <c r="N8345">
        <f>IF(M8345="","",'Master Barang'!A39)</f>
        <v>0</v>
      </c>
      <c r="O8345">
        <f>IF(N8345="","",'Master Barang'!B39)</f>
        <v>0</v>
      </c>
      <c r="P8345">
        <f>IF(OR(M8345="",N8345=""),"",SUMIFS('Barang Keluar'!$E:$E,'Barang Keluar'!$A:$A,M8345,'Barang Keluar'!$C:$C,N8345))</f>
        <v>0</v>
      </c>
    </row>
    <row r="8346" spans="13:16">
      <c r="M8346" s="49">
        <f>IF($A$4+83&gt;$B$4,"",$A$4+83)</f>
        <v>46106</v>
      </c>
      <c r="N8346">
        <f>IF(M8346="","",'Master Barang'!A40)</f>
        <v>0</v>
      </c>
      <c r="O8346">
        <f>IF(N8346="","",'Master Barang'!B40)</f>
        <v>0</v>
      </c>
      <c r="P8346">
        <f>IF(OR(M8346="",N8346=""),"",SUMIFS('Barang Keluar'!$E:$E,'Barang Keluar'!$A:$A,M8346,'Barang Keluar'!$C:$C,N8346))</f>
        <v>0</v>
      </c>
    </row>
    <row r="8347" spans="13:16">
      <c r="M8347" s="49">
        <f>IF($A$4+83&gt;$B$4,"",$A$4+83)</f>
        <v>46106</v>
      </c>
      <c r="N8347">
        <f>IF(M8347="","",'Master Barang'!A41)</f>
        <v>0</v>
      </c>
      <c r="O8347">
        <f>IF(N8347="","",'Master Barang'!B41)</f>
        <v>0</v>
      </c>
      <c r="P8347">
        <f>IF(OR(M8347="",N8347=""),"",SUMIFS('Barang Keluar'!$E:$E,'Barang Keluar'!$A:$A,M8347,'Barang Keluar'!$C:$C,N8347))</f>
        <v>0</v>
      </c>
    </row>
    <row r="8348" spans="13:16">
      <c r="M8348" s="49">
        <f>IF($A$4+83&gt;$B$4,"",$A$4+83)</f>
        <v>46106</v>
      </c>
      <c r="N8348">
        <f>IF(M8348="","",'Master Barang'!A42)</f>
        <v>0</v>
      </c>
      <c r="O8348">
        <f>IF(N8348="","",'Master Barang'!B42)</f>
        <v>0</v>
      </c>
      <c r="P8348">
        <f>IF(OR(M8348="",N8348=""),"",SUMIFS('Barang Keluar'!$E:$E,'Barang Keluar'!$A:$A,M8348,'Barang Keluar'!$C:$C,N8348))</f>
        <v>0</v>
      </c>
    </row>
    <row r="8349" spans="13:16">
      <c r="M8349" s="49">
        <f>IF($A$4+83&gt;$B$4,"",$A$4+83)</f>
        <v>46106</v>
      </c>
      <c r="N8349">
        <f>IF(M8349="","",'Master Barang'!A43)</f>
        <v>0</v>
      </c>
      <c r="O8349">
        <f>IF(N8349="","",'Master Barang'!B43)</f>
        <v>0</v>
      </c>
      <c r="P8349">
        <f>IF(OR(M8349="",N8349=""),"",SUMIFS('Barang Keluar'!$E:$E,'Barang Keluar'!$A:$A,M8349,'Barang Keluar'!$C:$C,N8349))</f>
        <v>0</v>
      </c>
    </row>
    <row r="8350" spans="13:16">
      <c r="M8350" s="49">
        <f>IF($A$4+83&gt;$B$4,"",$A$4+83)</f>
        <v>46106</v>
      </c>
      <c r="N8350">
        <f>IF(M8350="","",'Master Barang'!A44)</f>
        <v>0</v>
      </c>
      <c r="O8350">
        <f>IF(N8350="","",'Master Barang'!B44)</f>
        <v>0</v>
      </c>
      <c r="P8350">
        <f>IF(OR(M8350="",N8350=""),"",SUMIFS('Barang Keluar'!$E:$E,'Barang Keluar'!$A:$A,M8350,'Barang Keluar'!$C:$C,N8350))</f>
        <v>0</v>
      </c>
    </row>
    <row r="8351" spans="13:16">
      <c r="M8351" s="49">
        <f>IF($A$4+83&gt;$B$4,"",$A$4+83)</f>
        <v>46106</v>
      </c>
      <c r="N8351">
        <f>IF(M8351="","",'Master Barang'!A45)</f>
        <v>0</v>
      </c>
      <c r="O8351">
        <f>IF(N8351="","",'Master Barang'!B45)</f>
        <v>0</v>
      </c>
      <c r="P8351">
        <f>IF(OR(M8351="",N8351=""),"",SUMIFS('Barang Keluar'!$E:$E,'Barang Keluar'!$A:$A,M8351,'Barang Keluar'!$C:$C,N8351))</f>
        <v>0</v>
      </c>
    </row>
    <row r="8352" spans="13:16">
      <c r="M8352" s="49">
        <f>IF($A$4+83&gt;$B$4,"",$A$4+83)</f>
        <v>46106</v>
      </c>
      <c r="N8352">
        <f>IF(M8352="","",'Master Barang'!A46)</f>
        <v>0</v>
      </c>
      <c r="O8352">
        <f>IF(N8352="","",'Master Barang'!B46)</f>
        <v>0</v>
      </c>
      <c r="P8352">
        <f>IF(OR(M8352="",N8352=""),"",SUMIFS('Barang Keluar'!$E:$E,'Barang Keluar'!$A:$A,M8352,'Barang Keluar'!$C:$C,N8352))</f>
        <v>0</v>
      </c>
    </row>
    <row r="8353" spans="13:16">
      <c r="M8353" s="49">
        <f>IF($A$4+83&gt;$B$4,"",$A$4+83)</f>
        <v>46106</v>
      </c>
      <c r="N8353">
        <f>IF(M8353="","",'Master Barang'!A47)</f>
        <v>0</v>
      </c>
      <c r="O8353">
        <f>IF(N8353="","",'Master Barang'!B47)</f>
        <v>0</v>
      </c>
      <c r="P8353">
        <f>IF(OR(M8353="",N8353=""),"",SUMIFS('Barang Keluar'!$E:$E,'Barang Keluar'!$A:$A,M8353,'Barang Keluar'!$C:$C,N8353))</f>
        <v>0</v>
      </c>
    </row>
    <row r="8354" spans="13:16">
      <c r="M8354" s="49">
        <f>IF($A$4+83&gt;$B$4,"",$A$4+83)</f>
        <v>46106</v>
      </c>
      <c r="N8354">
        <f>IF(M8354="","",'Master Barang'!A48)</f>
        <v>0</v>
      </c>
      <c r="O8354">
        <f>IF(N8354="","",'Master Barang'!B48)</f>
        <v>0</v>
      </c>
      <c r="P8354">
        <f>IF(OR(M8354="",N8354=""),"",SUMIFS('Barang Keluar'!$E:$E,'Barang Keluar'!$A:$A,M8354,'Barang Keluar'!$C:$C,N8354))</f>
        <v>0</v>
      </c>
    </row>
    <row r="8355" spans="13:16">
      <c r="M8355" s="49">
        <f>IF($A$4+83&gt;$B$4,"",$A$4+83)</f>
        <v>46106</v>
      </c>
      <c r="N8355">
        <f>IF(M8355="","",'Master Barang'!A49)</f>
        <v>0</v>
      </c>
      <c r="O8355">
        <f>IF(N8355="","",'Master Barang'!B49)</f>
        <v>0</v>
      </c>
      <c r="P8355">
        <f>IF(OR(M8355="",N8355=""),"",SUMIFS('Barang Keluar'!$E:$E,'Barang Keluar'!$A:$A,M8355,'Barang Keluar'!$C:$C,N8355))</f>
        <v>0</v>
      </c>
    </row>
    <row r="8356" spans="13:16">
      <c r="M8356" s="49">
        <f>IF($A$4+83&gt;$B$4,"",$A$4+83)</f>
        <v>46106</v>
      </c>
      <c r="N8356">
        <f>IF(M8356="","",'Master Barang'!A50)</f>
        <v>0</v>
      </c>
      <c r="O8356">
        <f>IF(N8356="","",'Master Barang'!B50)</f>
        <v>0</v>
      </c>
      <c r="P8356">
        <f>IF(OR(M8356="",N8356=""),"",SUMIFS('Barang Keluar'!$E:$E,'Barang Keluar'!$A:$A,M8356,'Barang Keluar'!$C:$C,N8356))</f>
        <v>0</v>
      </c>
    </row>
    <row r="8357" spans="13:16">
      <c r="M8357" s="49">
        <f>IF($A$4+83&gt;$B$4,"",$A$4+83)</f>
        <v>46106</v>
      </c>
      <c r="N8357">
        <f>IF(M8357="","",'Master Barang'!A51)</f>
        <v>0</v>
      </c>
      <c r="O8357">
        <f>IF(N8357="","",'Master Barang'!B51)</f>
        <v>0</v>
      </c>
      <c r="P8357">
        <f>IF(OR(M8357="",N8357=""),"",SUMIFS('Barang Keluar'!$E:$E,'Barang Keluar'!$A:$A,M8357,'Barang Keluar'!$C:$C,N8357))</f>
        <v>0</v>
      </c>
    </row>
    <row r="8358" spans="13:16">
      <c r="M8358" s="49">
        <f>IF($A$4+83&gt;$B$4,"",$A$4+83)</f>
        <v>46106</v>
      </c>
      <c r="N8358">
        <f>IF(M8358="","",'Master Barang'!A52)</f>
        <v>0</v>
      </c>
      <c r="O8358">
        <f>IF(N8358="","",'Master Barang'!B52)</f>
        <v>0</v>
      </c>
      <c r="P8358">
        <f>IF(OR(M8358="",N8358=""),"",SUMIFS('Barang Keluar'!$E:$E,'Barang Keluar'!$A:$A,M8358,'Barang Keluar'!$C:$C,N8358))</f>
        <v>0</v>
      </c>
    </row>
    <row r="8359" spans="13:16">
      <c r="M8359" s="49">
        <f>IF($A$4+83&gt;$B$4,"",$A$4+83)</f>
        <v>46106</v>
      </c>
      <c r="N8359">
        <f>IF(M8359="","",'Master Barang'!A53)</f>
        <v>0</v>
      </c>
      <c r="O8359">
        <f>IF(N8359="","",'Master Barang'!B53)</f>
        <v>0</v>
      </c>
      <c r="P8359">
        <f>IF(OR(M8359="",N8359=""),"",SUMIFS('Barang Keluar'!$E:$E,'Barang Keluar'!$A:$A,M8359,'Barang Keluar'!$C:$C,N8359))</f>
        <v>0</v>
      </c>
    </row>
    <row r="8360" spans="13:16">
      <c r="M8360" s="49">
        <f>IF($A$4+83&gt;$B$4,"",$A$4+83)</f>
        <v>46106</v>
      </c>
      <c r="N8360">
        <f>IF(M8360="","",'Master Barang'!A54)</f>
        <v>0</v>
      </c>
      <c r="O8360">
        <f>IF(N8360="","",'Master Barang'!B54)</f>
        <v>0</v>
      </c>
      <c r="P8360">
        <f>IF(OR(M8360="",N8360=""),"",SUMIFS('Barang Keluar'!$E:$E,'Barang Keluar'!$A:$A,M8360,'Barang Keluar'!$C:$C,N8360))</f>
        <v>0</v>
      </c>
    </row>
    <row r="8361" spans="13:16">
      <c r="M8361" s="49">
        <f>IF($A$4+83&gt;$B$4,"",$A$4+83)</f>
        <v>46106</v>
      </c>
      <c r="N8361">
        <f>IF(M8361="","",'Master Barang'!A55)</f>
        <v>0</v>
      </c>
      <c r="O8361">
        <f>IF(N8361="","",'Master Barang'!B55)</f>
        <v>0</v>
      </c>
      <c r="P8361">
        <f>IF(OR(M8361="",N8361=""),"",SUMIFS('Barang Keluar'!$E:$E,'Barang Keluar'!$A:$A,M8361,'Barang Keluar'!$C:$C,N8361))</f>
        <v>0</v>
      </c>
    </row>
    <row r="8362" spans="13:16">
      <c r="M8362" s="49">
        <f>IF($A$4+83&gt;$B$4,"",$A$4+83)</f>
        <v>46106</v>
      </c>
      <c r="N8362">
        <f>IF(M8362="","",'Master Barang'!A56)</f>
        <v>0</v>
      </c>
      <c r="O8362">
        <f>IF(N8362="","",'Master Barang'!B56)</f>
        <v>0</v>
      </c>
      <c r="P8362">
        <f>IF(OR(M8362="",N8362=""),"",SUMIFS('Barang Keluar'!$E:$E,'Barang Keluar'!$A:$A,M8362,'Barang Keluar'!$C:$C,N8362))</f>
        <v>0</v>
      </c>
    </row>
    <row r="8363" spans="13:16">
      <c r="M8363" s="49">
        <f>IF($A$4+83&gt;$B$4,"",$A$4+83)</f>
        <v>46106</v>
      </c>
      <c r="N8363">
        <f>IF(M8363="","",'Master Barang'!A57)</f>
        <v>0</v>
      </c>
      <c r="O8363">
        <f>IF(N8363="","",'Master Barang'!B57)</f>
        <v>0</v>
      </c>
      <c r="P8363">
        <f>IF(OR(M8363="",N8363=""),"",SUMIFS('Barang Keluar'!$E:$E,'Barang Keluar'!$A:$A,M8363,'Barang Keluar'!$C:$C,N8363))</f>
        <v>0</v>
      </c>
    </row>
    <row r="8364" spans="13:16">
      <c r="M8364" s="49">
        <f>IF($A$4+83&gt;$B$4,"",$A$4+83)</f>
        <v>46106</v>
      </c>
      <c r="N8364">
        <f>IF(M8364="","",'Master Barang'!A58)</f>
        <v>0</v>
      </c>
      <c r="O8364">
        <f>IF(N8364="","",'Master Barang'!B58)</f>
        <v>0</v>
      </c>
      <c r="P8364">
        <f>IF(OR(M8364="",N8364=""),"",SUMIFS('Barang Keluar'!$E:$E,'Barang Keluar'!$A:$A,M8364,'Barang Keluar'!$C:$C,N8364))</f>
        <v>0</v>
      </c>
    </row>
    <row r="8365" spans="13:16">
      <c r="M8365" s="49">
        <f>IF($A$4+83&gt;$B$4,"",$A$4+83)</f>
        <v>46106</v>
      </c>
      <c r="N8365">
        <f>IF(M8365="","",'Master Barang'!A59)</f>
        <v>0</v>
      </c>
      <c r="O8365">
        <f>IF(N8365="","",'Master Barang'!B59)</f>
        <v>0</v>
      </c>
      <c r="P8365">
        <f>IF(OR(M8365="",N8365=""),"",SUMIFS('Barang Keluar'!$E:$E,'Barang Keluar'!$A:$A,M8365,'Barang Keluar'!$C:$C,N8365))</f>
        <v>0</v>
      </c>
    </row>
    <row r="8366" spans="13:16">
      <c r="M8366" s="49">
        <f>IF($A$4+83&gt;$B$4,"",$A$4+83)</f>
        <v>46106</v>
      </c>
      <c r="N8366">
        <f>IF(M8366="","",'Master Barang'!A60)</f>
        <v>0</v>
      </c>
      <c r="O8366">
        <f>IF(N8366="","",'Master Barang'!B60)</f>
        <v>0</v>
      </c>
      <c r="P8366">
        <f>IF(OR(M8366="",N8366=""),"",SUMIFS('Barang Keluar'!$E:$E,'Barang Keluar'!$A:$A,M8366,'Barang Keluar'!$C:$C,N8366))</f>
        <v>0</v>
      </c>
    </row>
    <row r="8367" spans="13:16">
      <c r="M8367" s="49">
        <f>IF($A$4+83&gt;$B$4,"",$A$4+83)</f>
        <v>46106</v>
      </c>
      <c r="N8367">
        <f>IF(M8367="","",'Master Barang'!A61)</f>
        <v>0</v>
      </c>
      <c r="O8367">
        <f>IF(N8367="","",'Master Barang'!B61)</f>
        <v>0</v>
      </c>
      <c r="P8367">
        <f>IF(OR(M8367="",N8367=""),"",SUMIFS('Barang Keluar'!$E:$E,'Barang Keluar'!$A:$A,M8367,'Barang Keluar'!$C:$C,N8367))</f>
        <v>0</v>
      </c>
    </row>
    <row r="8368" spans="13:16">
      <c r="M8368" s="49">
        <f>IF($A$4+83&gt;$B$4,"",$A$4+83)</f>
        <v>46106</v>
      </c>
      <c r="N8368">
        <f>IF(M8368="","",'Master Barang'!A62)</f>
        <v>0</v>
      </c>
      <c r="O8368">
        <f>IF(N8368="","",'Master Barang'!B62)</f>
        <v>0</v>
      </c>
      <c r="P8368">
        <f>IF(OR(M8368="",N8368=""),"",SUMIFS('Barang Keluar'!$E:$E,'Barang Keluar'!$A:$A,M8368,'Barang Keluar'!$C:$C,N8368))</f>
        <v>0</v>
      </c>
    </row>
    <row r="8369" spans="13:16">
      <c r="M8369" s="49">
        <f>IF($A$4+83&gt;$B$4,"",$A$4+83)</f>
        <v>46106</v>
      </c>
      <c r="N8369">
        <f>IF(M8369="","",'Master Barang'!A63)</f>
        <v>0</v>
      </c>
      <c r="O8369">
        <f>IF(N8369="","",'Master Barang'!B63)</f>
        <v>0</v>
      </c>
      <c r="P8369">
        <f>IF(OR(M8369="",N8369=""),"",SUMIFS('Barang Keluar'!$E:$E,'Barang Keluar'!$A:$A,M8369,'Barang Keluar'!$C:$C,N8369))</f>
        <v>0</v>
      </c>
    </row>
    <row r="8370" spans="13:16">
      <c r="M8370" s="49">
        <f>IF($A$4+83&gt;$B$4,"",$A$4+83)</f>
        <v>46106</v>
      </c>
      <c r="N8370">
        <f>IF(M8370="","",'Master Barang'!A64)</f>
        <v>0</v>
      </c>
      <c r="O8370">
        <f>IF(N8370="","",'Master Barang'!B64)</f>
        <v>0</v>
      </c>
      <c r="P8370">
        <f>IF(OR(M8370="",N8370=""),"",SUMIFS('Barang Keluar'!$E:$E,'Barang Keluar'!$A:$A,M8370,'Barang Keluar'!$C:$C,N8370))</f>
        <v>0</v>
      </c>
    </row>
    <row r="8371" spans="13:16">
      <c r="M8371" s="49">
        <f>IF($A$4+83&gt;$B$4,"",$A$4+83)</f>
        <v>46106</v>
      </c>
      <c r="N8371">
        <f>IF(M8371="","",'Master Barang'!A65)</f>
        <v>0</v>
      </c>
      <c r="O8371">
        <f>IF(N8371="","",'Master Barang'!B65)</f>
        <v>0</v>
      </c>
      <c r="P8371">
        <f>IF(OR(M8371="",N8371=""),"",SUMIFS('Barang Keluar'!$E:$E,'Barang Keluar'!$A:$A,M8371,'Barang Keluar'!$C:$C,N8371))</f>
        <v>0</v>
      </c>
    </row>
    <row r="8372" spans="13:16">
      <c r="M8372" s="49">
        <f>IF($A$4+83&gt;$B$4,"",$A$4+83)</f>
        <v>46106</v>
      </c>
      <c r="N8372">
        <f>IF(M8372="","",'Master Barang'!A66)</f>
        <v>0</v>
      </c>
      <c r="O8372">
        <f>IF(N8372="","",'Master Barang'!B66)</f>
        <v>0</v>
      </c>
      <c r="P8372">
        <f>IF(OR(M8372="",N8372=""),"",SUMIFS('Barang Keluar'!$E:$E,'Barang Keluar'!$A:$A,M8372,'Barang Keluar'!$C:$C,N8372))</f>
        <v>0</v>
      </c>
    </row>
    <row r="8373" spans="13:16">
      <c r="M8373" s="49">
        <f>IF($A$4+83&gt;$B$4,"",$A$4+83)</f>
        <v>46106</v>
      </c>
      <c r="N8373">
        <f>IF(M8373="","",'Master Barang'!A67)</f>
        <v>0</v>
      </c>
      <c r="O8373">
        <f>IF(N8373="","",'Master Barang'!B67)</f>
        <v>0</v>
      </c>
      <c r="P8373">
        <f>IF(OR(M8373="",N8373=""),"",SUMIFS('Barang Keluar'!$E:$E,'Barang Keluar'!$A:$A,M8373,'Barang Keluar'!$C:$C,N8373))</f>
        <v>0</v>
      </c>
    </row>
    <row r="8374" spans="13:16">
      <c r="M8374" s="49">
        <f>IF($A$4+83&gt;$B$4,"",$A$4+83)</f>
        <v>46106</v>
      </c>
      <c r="N8374">
        <f>IF(M8374="","",'Master Barang'!A68)</f>
        <v>0</v>
      </c>
      <c r="O8374">
        <f>IF(N8374="","",'Master Barang'!B68)</f>
        <v>0</v>
      </c>
      <c r="P8374">
        <f>IF(OR(M8374="",N8374=""),"",SUMIFS('Barang Keluar'!$E:$E,'Barang Keluar'!$A:$A,M8374,'Barang Keluar'!$C:$C,N8374))</f>
        <v>0</v>
      </c>
    </row>
    <row r="8375" spans="13:16">
      <c r="M8375" s="49">
        <f>IF($A$4+83&gt;$B$4,"",$A$4+83)</f>
        <v>46106</v>
      </c>
      <c r="N8375">
        <f>IF(M8375="","",'Master Barang'!A69)</f>
        <v>0</v>
      </c>
      <c r="O8375">
        <f>IF(N8375="","",'Master Barang'!B69)</f>
        <v>0</v>
      </c>
      <c r="P8375">
        <f>IF(OR(M8375="",N8375=""),"",SUMIFS('Barang Keluar'!$E:$E,'Barang Keluar'!$A:$A,M8375,'Barang Keluar'!$C:$C,N8375))</f>
        <v>0</v>
      </c>
    </row>
    <row r="8376" spans="13:16">
      <c r="M8376" s="49">
        <f>IF($A$4+83&gt;$B$4,"",$A$4+83)</f>
        <v>46106</v>
      </c>
      <c r="N8376">
        <f>IF(M8376="","",'Master Barang'!A70)</f>
        <v>0</v>
      </c>
      <c r="O8376">
        <f>IF(N8376="","",'Master Barang'!B70)</f>
        <v>0</v>
      </c>
      <c r="P8376">
        <f>IF(OR(M8376="",N8376=""),"",SUMIFS('Barang Keluar'!$E:$E,'Barang Keluar'!$A:$A,M8376,'Barang Keluar'!$C:$C,N8376))</f>
        <v>0</v>
      </c>
    </row>
    <row r="8377" spans="13:16">
      <c r="M8377" s="49">
        <f>IF($A$4+83&gt;$B$4,"",$A$4+83)</f>
        <v>46106</v>
      </c>
      <c r="N8377">
        <f>IF(M8377="","",'Master Barang'!A71)</f>
        <v>0</v>
      </c>
      <c r="O8377">
        <f>IF(N8377="","",'Master Barang'!B71)</f>
        <v>0</v>
      </c>
      <c r="P8377">
        <f>IF(OR(M8377="",N8377=""),"",SUMIFS('Barang Keluar'!$E:$E,'Barang Keluar'!$A:$A,M8377,'Barang Keluar'!$C:$C,N8377))</f>
        <v>0</v>
      </c>
    </row>
    <row r="8378" spans="13:16">
      <c r="M8378" s="49">
        <f>IF($A$4+83&gt;$B$4,"",$A$4+83)</f>
        <v>46106</v>
      </c>
      <c r="N8378">
        <f>IF(M8378="","",'Master Barang'!A72)</f>
        <v>0</v>
      </c>
      <c r="O8378">
        <f>IF(N8378="","",'Master Barang'!B72)</f>
        <v>0</v>
      </c>
      <c r="P8378">
        <f>IF(OR(M8378="",N8378=""),"",SUMIFS('Barang Keluar'!$E:$E,'Barang Keluar'!$A:$A,M8378,'Barang Keluar'!$C:$C,N8378))</f>
        <v>0</v>
      </c>
    </row>
    <row r="8379" spans="13:16">
      <c r="M8379" s="49">
        <f>IF($A$4+83&gt;$B$4,"",$A$4+83)</f>
        <v>46106</v>
      </c>
      <c r="N8379">
        <f>IF(M8379="","",'Master Barang'!A73)</f>
        <v>0</v>
      </c>
      <c r="O8379">
        <f>IF(N8379="","",'Master Barang'!B73)</f>
        <v>0</v>
      </c>
      <c r="P8379">
        <f>IF(OR(M8379="",N8379=""),"",SUMIFS('Barang Keluar'!$E:$E,'Barang Keluar'!$A:$A,M8379,'Barang Keluar'!$C:$C,N8379))</f>
        <v>0</v>
      </c>
    </row>
    <row r="8380" spans="13:16">
      <c r="M8380" s="49">
        <f>IF($A$4+83&gt;$B$4,"",$A$4+83)</f>
        <v>46106</v>
      </c>
      <c r="N8380">
        <f>IF(M8380="","",'Master Barang'!A74)</f>
        <v>0</v>
      </c>
      <c r="O8380">
        <f>IF(N8380="","",'Master Barang'!B74)</f>
        <v>0</v>
      </c>
      <c r="P8380">
        <f>IF(OR(M8380="",N8380=""),"",SUMIFS('Barang Keluar'!$E:$E,'Barang Keluar'!$A:$A,M8380,'Barang Keluar'!$C:$C,N8380))</f>
        <v>0</v>
      </c>
    </row>
    <row r="8381" spans="13:16">
      <c r="M8381" s="49">
        <f>IF($A$4+83&gt;$B$4,"",$A$4+83)</f>
        <v>46106</v>
      </c>
      <c r="N8381">
        <f>IF(M8381="","",'Master Barang'!A75)</f>
        <v>0</v>
      </c>
      <c r="O8381">
        <f>IF(N8381="","",'Master Barang'!B75)</f>
        <v>0</v>
      </c>
      <c r="P8381">
        <f>IF(OR(M8381="",N8381=""),"",SUMIFS('Barang Keluar'!$E:$E,'Barang Keluar'!$A:$A,M8381,'Barang Keluar'!$C:$C,N8381))</f>
        <v>0</v>
      </c>
    </row>
    <row r="8382" spans="13:16">
      <c r="M8382" s="49">
        <f>IF($A$4+83&gt;$B$4,"",$A$4+83)</f>
        <v>46106</v>
      </c>
      <c r="N8382">
        <f>IF(M8382="","",'Master Barang'!A76)</f>
        <v>0</v>
      </c>
      <c r="O8382">
        <f>IF(N8382="","",'Master Barang'!B76)</f>
        <v>0</v>
      </c>
      <c r="P8382">
        <f>IF(OR(M8382="",N8382=""),"",SUMIFS('Barang Keluar'!$E:$E,'Barang Keluar'!$A:$A,M8382,'Barang Keluar'!$C:$C,N8382))</f>
        <v>0</v>
      </c>
    </row>
    <row r="8383" spans="13:16">
      <c r="M8383" s="49">
        <f>IF($A$4+83&gt;$B$4,"",$A$4+83)</f>
        <v>46106</v>
      </c>
      <c r="N8383">
        <f>IF(M8383="","",'Master Barang'!A77)</f>
        <v>0</v>
      </c>
      <c r="O8383">
        <f>IF(N8383="","",'Master Barang'!B77)</f>
        <v>0</v>
      </c>
      <c r="P8383">
        <f>IF(OR(M8383="",N8383=""),"",SUMIFS('Barang Keluar'!$E:$E,'Barang Keluar'!$A:$A,M8383,'Barang Keluar'!$C:$C,N8383))</f>
        <v>0</v>
      </c>
    </row>
    <row r="8384" spans="13:16">
      <c r="M8384" s="49">
        <f>IF($A$4+83&gt;$B$4,"",$A$4+83)</f>
        <v>46106</v>
      </c>
      <c r="N8384">
        <f>IF(M8384="","",'Master Barang'!A78)</f>
        <v>0</v>
      </c>
      <c r="O8384">
        <f>IF(N8384="","",'Master Barang'!B78)</f>
        <v>0</v>
      </c>
      <c r="P8384">
        <f>IF(OR(M8384="",N8384=""),"",SUMIFS('Barang Keluar'!$E:$E,'Barang Keluar'!$A:$A,M8384,'Barang Keluar'!$C:$C,N8384))</f>
        <v>0</v>
      </c>
    </row>
    <row r="8385" spans="13:16">
      <c r="M8385" s="49">
        <f>IF($A$4+83&gt;$B$4,"",$A$4+83)</f>
        <v>46106</v>
      </c>
      <c r="N8385">
        <f>IF(M8385="","",'Master Barang'!A79)</f>
        <v>0</v>
      </c>
      <c r="O8385">
        <f>IF(N8385="","",'Master Barang'!B79)</f>
        <v>0</v>
      </c>
      <c r="P8385">
        <f>IF(OR(M8385="",N8385=""),"",SUMIFS('Barang Keluar'!$E:$E,'Barang Keluar'!$A:$A,M8385,'Barang Keluar'!$C:$C,N8385))</f>
        <v>0</v>
      </c>
    </row>
    <row r="8386" spans="13:16">
      <c r="M8386" s="49">
        <f>IF($A$4+83&gt;$B$4,"",$A$4+83)</f>
        <v>46106</v>
      </c>
      <c r="N8386">
        <f>IF(M8386="","",'Master Barang'!A80)</f>
        <v>0</v>
      </c>
      <c r="O8386">
        <f>IF(N8386="","",'Master Barang'!B80)</f>
        <v>0</v>
      </c>
      <c r="P8386">
        <f>IF(OR(M8386="",N8386=""),"",SUMIFS('Barang Keluar'!$E:$E,'Barang Keluar'!$A:$A,M8386,'Barang Keluar'!$C:$C,N8386))</f>
        <v>0</v>
      </c>
    </row>
    <row r="8387" spans="13:16">
      <c r="M8387" s="49">
        <f>IF($A$4+83&gt;$B$4,"",$A$4+83)</f>
        <v>46106</v>
      </c>
      <c r="N8387">
        <f>IF(M8387="","",'Master Barang'!A81)</f>
        <v>0</v>
      </c>
      <c r="O8387">
        <f>IF(N8387="","",'Master Barang'!B81)</f>
        <v>0</v>
      </c>
      <c r="P8387">
        <f>IF(OR(M8387="",N8387=""),"",SUMIFS('Barang Keluar'!$E:$E,'Barang Keluar'!$A:$A,M8387,'Barang Keluar'!$C:$C,N8387))</f>
        <v>0</v>
      </c>
    </row>
    <row r="8388" spans="13:16">
      <c r="M8388" s="49">
        <f>IF($A$4+83&gt;$B$4,"",$A$4+83)</f>
        <v>46106</v>
      </c>
      <c r="N8388">
        <f>IF(M8388="","",'Master Barang'!A82)</f>
        <v>0</v>
      </c>
      <c r="O8388">
        <f>IF(N8388="","",'Master Barang'!B82)</f>
        <v>0</v>
      </c>
      <c r="P8388">
        <f>IF(OR(M8388="",N8388=""),"",SUMIFS('Barang Keluar'!$E:$E,'Barang Keluar'!$A:$A,M8388,'Barang Keluar'!$C:$C,N8388))</f>
        <v>0</v>
      </c>
    </row>
    <row r="8389" spans="13:16">
      <c r="M8389" s="49">
        <f>IF($A$4+83&gt;$B$4,"",$A$4+83)</f>
        <v>46106</v>
      </c>
      <c r="N8389">
        <f>IF(M8389="","",'Master Barang'!A83)</f>
        <v>0</v>
      </c>
      <c r="O8389">
        <f>IF(N8389="","",'Master Barang'!B83)</f>
        <v>0</v>
      </c>
      <c r="P8389">
        <f>IF(OR(M8389="",N8389=""),"",SUMIFS('Barang Keluar'!$E:$E,'Barang Keluar'!$A:$A,M8389,'Barang Keluar'!$C:$C,N8389))</f>
        <v>0</v>
      </c>
    </row>
    <row r="8390" spans="13:16">
      <c r="M8390" s="49">
        <f>IF($A$4+83&gt;$B$4,"",$A$4+83)</f>
        <v>46106</v>
      </c>
      <c r="N8390">
        <f>IF(M8390="","",'Master Barang'!A84)</f>
        <v>0</v>
      </c>
      <c r="O8390">
        <f>IF(N8390="","",'Master Barang'!B84)</f>
        <v>0</v>
      </c>
      <c r="P8390">
        <f>IF(OR(M8390="",N8390=""),"",SUMIFS('Barang Keluar'!$E:$E,'Barang Keluar'!$A:$A,M8390,'Barang Keluar'!$C:$C,N8390))</f>
        <v>0</v>
      </c>
    </row>
    <row r="8391" spans="13:16">
      <c r="M8391" s="49">
        <f>IF($A$4+83&gt;$B$4,"",$A$4+83)</f>
        <v>46106</v>
      </c>
      <c r="N8391">
        <f>IF(M8391="","",'Master Barang'!A85)</f>
        <v>0</v>
      </c>
      <c r="O8391">
        <f>IF(N8391="","",'Master Barang'!B85)</f>
        <v>0</v>
      </c>
      <c r="P8391">
        <f>IF(OR(M8391="",N8391=""),"",SUMIFS('Barang Keluar'!$E:$E,'Barang Keluar'!$A:$A,M8391,'Barang Keluar'!$C:$C,N8391))</f>
        <v>0</v>
      </c>
    </row>
    <row r="8392" spans="13:16">
      <c r="M8392" s="49">
        <f>IF($A$4+83&gt;$B$4,"",$A$4+83)</f>
        <v>46106</v>
      </c>
      <c r="N8392">
        <f>IF(M8392="","",'Master Barang'!A86)</f>
        <v>0</v>
      </c>
      <c r="O8392">
        <f>IF(N8392="","",'Master Barang'!B86)</f>
        <v>0</v>
      </c>
      <c r="P8392">
        <f>IF(OR(M8392="",N8392=""),"",SUMIFS('Barang Keluar'!$E:$E,'Barang Keluar'!$A:$A,M8392,'Barang Keluar'!$C:$C,N8392))</f>
        <v>0</v>
      </c>
    </row>
    <row r="8393" spans="13:16">
      <c r="M8393" s="49">
        <f>IF($A$4+83&gt;$B$4,"",$A$4+83)</f>
        <v>46106</v>
      </c>
      <c r="N8393">
        <f>IF(M8393="","",'Master Barang'!A87)</f>
        <v>0</v>
      </c>
      <c r="O8393">
        <f>IF(N8393="","",'Master Barang'!B87)</f>
        <v>0</v>
      </c>
      <c r="P8393">
        <f>IF(OR(M8393="",N8393=""),"",SUMIFS('Barang Keluar'!$E:$E,'Barang Keluar'!$A:$A,M8393,'Barang Keluar'!$C:$C,N8393))</f>
        <v>0</v>
      </c>
    </row>
    <row r="8394" spans="13:16">
      <c r="M8394" s="49">
        <f>IF($A$4+83&gt;$B$4,"",$A$4+83)</f>
        <v>46106</v>
      </c>
      <c r="N8394">
        <f>IF(M8394="","",'Master Barang'!A88)</f>
        <v>0</v>
      </c>
      <c r="O8394">
        <f>IF(N8394="","",'Master Barang'!B88)</f>
        <v>0</v>
      </c>
      <c r="P8394">
        <f>IF(OR(M8394="",N8394=""),"",SUMIFS('Barang Keluar'!$E:$E,'Barang Keluar'!$A:$A,M8394,'Barang Keluar'!$C:$C,N8394))</f>
        <v>0</v>
      </c>
    </row>
    <row r="8395" spans="13:16">
      <c r="M8395" s="49">
        <f>IF($A$4+83&gt;$B$4,"",$A$4+83)</f>
        <v>46106</v>
      </c>
      <c r="N8395">
        <f>IF(M8395="","",'Master Barang'!A89)</f>
        <v>0</v>
      </c>
      <c r="O8395">
        <f>IF(N8395="","",'Master Barang'!B89)</f>
        <v>0</v>
      </c>
      <c r="P8395">
        <f>IF(OR(M8395="",N8395=""),"",SUMIFS('Barang Keluar'!$E:$E,'Barang Keluar'!$A:$A,M8395,'Barang Keluar'!$C:$C,N8395))</f>
        <v>0</v>
      </c>
    </row>
    <row r="8396" spans="13:16">
      <c r="M8396" s="49">
        <f>IF($A$4+83&gt;$B$4,"",$A$4+83)</f>
        <v>46106</v>
      </c>
      <c r="N8396">
        <f>IF(M8396="","",'Master Barang'!A90)</f>
        <v>0</v>
      </c>
      <c r="O8396">
        <f>IF(N8396="","",'Master Barang'!B90)</f>
        <v>0</v>
      </c>
      <c r="P8396">
        <f>IF(OR(M8396="",N8396=""),"",SUMIFS('Barang Keluar'!$E:$E,'Barang Keluar'!$A:$A,M8396,'Barang Keluar'!$C:$C,N8396))</f>
        <v>0</v>
      </c>
    </row>
    <row r="8397" spans="13:16">
      <c r="M8397" s="49">
        <f>IF($A$4+83&gt;$B$4,"",$A$4+83)</f>
        <v>46106</v>
      </c>
      <c r="N8397">
        <f>IF(M8397="","",'Master Barang'!A91)</f>
        <v>0</v>
      </c>
      <c r="O8397">
        <f>IF(N8397="","",'Master Barang'!B91)</f>
        <v>0</v>
      </c>
      <c r="P8397">
        <f>IF(OR(M8397="",N8397=""),"",SUMIFS('Barang Keluar'!$E:$E,'Barang Keluar'!$A:$A,M8397,'Barang Keluar'!$C:$C,N8397))</f>
        <v>0</v>
      </c>
    </row>
    <row r="8398" spans="13:16">
      <c r="M8398" s="49">
        <f>IF($A$4+83&gt;$B$4,"",$A$4+83)</f>
        <v>46106</v>
      </c>
      <c r="N8398">
        <f>IF(M8398="","",'Master Barang'!A92)</f>
        <v>0</v>
      </c>
      <c r="O8398">
        <f>IF(N8398="","",'Master Barang'!B92)</f>
        <v>0</v>
      </c>
      <c r="P8398">
        <f>IF(OR(M8398="",N8398=""),"",SUMIFS('Barang Keluar'!$E:$E,'Barang Keluar'!$A:$A,M8398,'Barang Keluar'!$C:$C,N8398))</f>
        <v>0</v>
      </c>
    </row>
    <row r="8399" spans="13:16">
      <c r="M8399" s="49">
        <f>IF($A$4+83&gt;$B$4,"",$A$4+83)</f>
        <v>46106</v>
      </c>
      <c r="N8399">
        <f>IF(M8399="","",'Master Barang'!A93)</f>
        <v>0</v>
      </c>
      <c r="O8399">
        <f>IF(N8399="","",'Master Barang'!B93)</f>
        <v>0</v>
      </c>
      <c r="P8399">
        <f>IF(OR(M8399="",N8399=""),"",SUMIFS('Barang Keluar'!$E:$E,'Barang Keluar'!$A:$A,M8399,'Barang Keluar'!$C:$C,N8399))</f>
        <v>0</v>
      </c>
    </row>
    <row r="8400" spans="13:16">
      <c r="M8400" s="49">
        <f>IF($A$4+83&gt;$B$4,"",$A$4+83)</f>
        <v>46106</v>
      </c>
      <c r="N8400">
        <f>IF(M8400="","",'Master Barang'!A94)</f>
        <v>0</v>
      </c>
      <c r="O8400">
        <f>IF(N8400="","",'Master Barang'!B94)</f>
        <v>0</v>
      </c>
      <c r="P8400">
        <f>IF(OR(M8400="",N8400=""),"",SUMIFS('Barang Keluar'!$E:$E,'Barang Keluar'!$A:$A,M8400,'Barang Keluar'!$C:$C,N8400))</f>
        <v>0</v>
      </c>
    </row>
    <row r="8401" spans="13:16">
      <c r="M8401" s="49">
        <f>IF($A$4+83&gt;$B$4,"",$A$4+83)</f>
        <v>46106</v>
      </c>
      <c r="N8401">
        <f>IF(M8401="","",'Master Barang'!A95)</f>
        <v>0</v>
      </c>
      <c r="O8401">
        <f>IF(N8401="","",'Master Barang'!B95)</f>
        <v>0</v>
      </c>
      <c r="P8401">
        <f>IF(OR(M8401="",N8401=""),"",SUMIFS('Barang Keluar'!$E:$E,'Barang Keluar'!$A:$A,M8401,'Barang Keluar'!$C:$C,N8401))</f>
        <v>0</v>
      </c>
    </row>
    <row r="8402" spans="13:16">
      <c r="M8402" s="49">
        <f>IF($A$4+83&gt;$B$4,"",$A$4+83)</f>
        <v>46106</v>
      </c>
      <c r="N8402">
        <f>IF(M8402="","",'Master Barang'!A96)</f>
        <v>0</v>
      </c>
      <c r="O8402">
        <f>IF(N8402="","",'Master Barang'!B96)</f>
        <v>0</v>
      </c>
      <c r="P8402">
        <f>IF(OR(M8402="",N8402=""),"",SUMIFS('Barang Keluar'!$E:$E,'Barang Keluar'!$A:$A,M8402,'Barang Keluar'!$C:$C,N8402))</f>
        <v>0</v>
      </c>
    </row>
    <row r="8403" spans="13:16">
      <c r="M8403" s="49">
        <f>IF($A$4+83&gt;$B$4,"",$A$4+83)</f>
        <v>46106</v>
      </c>
      <c r="N8403">
        <f>IF(M8403="","",'Master Barang'!A97)</f>
        <v>0</v>
      </c>
      <c r="O8403">
        <f>IF(N8403="","",'Master Barang'!B97)</f>
        <v>0</v>
      </c>
      <c r="P8403">
        <f>IF(OR(M8403="",N8403=""),"",SUMIFS('Barang Keluar'!$E:$E,'Barang Keluar'!$A:$A,M8403,'Barang Keluar'!$C:$C,N8403))</f>
        <v>0</v>
      </c>
    </row>
    <row r="8404" spans="13:16">
      <c r="M8404" s="49">
        <f>IF($A$4+83&gt;$B$4,"",$A$4+83)</f>
        <v>46106</v>
      </c>
      <c r="N8404">
        <f>IF(M8404="","",'Master Barang'!A98)</f>
        <v>0</v>
      </c>
      <c r="O8404">
        <f>IF(N8404="","",'Master Barang'!B98)</f>
        <v>0</v>
      </c>
      <c r="P8404">
        <f>IF(OR(M8404="",N8404=""),"",SUMIFS('Barang Keluar'!$E:$E,'Barang Keluar'!$A:$A,M8404,'Barang Keluar'!$C:$C,N8404))</f>
        <v>0</v>
      </c>
    </row>
    <row r="8405" spans="13:16">
      <c r="M8405" s="49">
        <f>IF($A$4+83&gt;$B$4,"",$A$4+83)</f>
        <v>46106</v>
      </c>
      <c r="N8405">
        <f>IF(M8405="","",'Master Barang'!A99)</f>
        <v>0</v>
      </c>
      <c r="O8405">
        <f>IF(N8405="","",'Master Barang'!B99)</f>
        <v>0</v>
      </c>
      <c r="P8405">
        <f>IF(OR(M8405="",N8405=""),"",SUMIFS('Barang Keluar'!$E:$E,'Barang Keluar'!$A:$A,M8405,'Barang Keluar'!$C:$C,N8405))</f>
        <v>0</v>
      </c>
    </row>
    <row r="8406" spans="13:16">
      <c r="M8406" s="49">
        <f>IF($A$4+83&gt;$B$4,"",$A$4+83)</f>
        <v>46106</v>
      </c>
      <c r="N8406">
        <f>IF(M8406="","",'Master Barang'!A100)</f>
        <v>0</v>
      </c>
      <c r="O8406">
        <f>IF(N8406="","",'Master Barang'!B100)</f>
        <v>0</v>
      </c>
      <c r="P8406">
        <f>IF(OR(M8406="",N8406=""),"",SUMIFS('Barang Keluar'!$E:$E,'Barang Keluar'!$A:$A,M8406,'Barang Keluar'!$C:$C,N8406))</f>
        <v>0</v>
      </c>
    </row>
    <row r="8407" spans="13:16">
      <c r="M8407" s="49">
        <f>IF($A$4+83&gt;$B$4,"",$A$4+83)</f>
        <v>46106</v>
      </c>
      <c r="N8407">
        <f>IF(M8407="","",'Master Barang'!A101)</f>
        <v>0</v>
      </c>
      <c r="O8407">
        <f>IF(N8407="","",'Master Barang'!B101)</f>
        <v>0</v>
      </c>
      <c r="P8407">
        <f>IF(OR(M8407="",N8407=""),"",SUMIFS('Barang Keluar'!$E:$E,'Barang Keluar'!$A:$A,M8407,'Barang Keluar'!$C:$C,N8407))</f>
        <v>0</v>
      </c>
    </row>
    <row r="8408" spans="13:16">
      <c r="M8408" s="49">
        <f>IF($A$4+84&gt;$B$4,"",$A$4+84)</f>
        <v>46107</v>
      </c>
      <c r="N8408" t="str">
        <f>IF(M8408="","",'Master Barang'!A2)</f>
        <v>PRL-001</v>
      </c>
      <c r="O8408" t="str">
        <f>IF(N8408="","",'Master Barang'!B2)</f>
        <v>natura desinfectant food grade 5l</v>
      </c>
      <c r="P8408">
        <f>IF(OR(M8408="",N8408=""),"",SUMIFS('Barang Keluar'!$E:$E,'Barang Keluar'!$A:$A,M8408,'Barang Keluar'!$C:$C,N8408))</f>
        <v>0</v>
      </c>
    </row>
    <row r="8409" spans="13:16">
      <c r="M8409" s="49">
        <f>IF($A$4+84&gt;$B$4,"",$A$4+84)</f>
        <v>46107</v>
      </c>
      <c r="N8409" t="str">
        <f>IF(M8409="","",'Master Barang'!A3)</f>
        <v>PRL-002</v>
      </c>
      <c r="O8409" t="str">
        <f>IF(N8409="","",'Master Barang'!B3)</f>
        <v>sunlight cairan pencuci piring 5l</v>
      </c>
      <c r="P8409">
        <f>IF(OR(M8409="",N8409=""),"",SUMIFS('Barang Keluar'!$E:$E,'Barang Keluar'!$A:$A,M8409,'Barang Keluar'!$C:$C,N8409))</f>
        <v>0</v>
      </c>
    </row>
    <row r="8410" spans="13:16">
      <c r="M8410" s="49">
        <f>IF($A$4+84&gt;$B$4,"",$A$4+84)</f>
        <v>46107</v>
      </c>
      <c r="N8410" t="str">
        <f>IF(M8410="","",'Master Barang'!A4)</f>
        <v>PRL-003</v>
      </c>
      <c r="O8410" t="str">
        <f>IF(N8410="","",'Master Barang'!B4)</f>
        <v>oixs cleaner 1l</v>
      </c>
      <c r="P8410">
        <f>IF(OR(M8410="",N8410=""),"",SUMIFS('Barang Keluar'!$E:$E,'Barang Keluar'!$A:$A,M8410,'Barang Keluar'!$C:$C,N8410))</f>
        <v>0</v>
      </c>
    </row>
    <row r="8411" spans="13:16">
      <c r="M8411" s="49">
        <f>IF($A$4+84&gt;$B$4,"",$A$4+84)</f>
        <v>46107</v>
      </c>
      <c r="N8411" t="str">
        <f>IF(M8411="","",'Master Barang'!A5)</f>
        <v>PRL-004</v>
      </c>
      <c r="O8411" t="str">
        <f>IF(N8411="","",'Master Barang'!B5)</f>
        <v>be clean tissue serbaguna</v>
      </c>
      <c r="P8411">
        <f>IF(OR(M8411="",N8411=""),"",SUMIFS('Barang Keluar'!$E:$E,'Barang Keluar'!$A:$A,M8411,'Barang Keluar'!$C:$C,N8411))</f>
        <v>0</v>
      </c>
    </row>
    <row r="8412" spans="13:16">
      <c r="M8412" s="49">
        <f>IF($A$4+84&gt;$B$4,"",$A$4+84)</f>
        <v>46107</v>
      </c>
      <c r="N8412" t="str">
        <f>IF(M8412="","",'Master Barang'!A6)</f>
        <v>PRL-005</v>
      </c>
      <c r="O8412" t="str">
        <f>IF(N8412="","",'Master Barang'!B6)</f>
        <v>spons cuci hijau</v>
      </c>
      <c r="P8412">
        <f>IF(OR(M8412="",N8412=""),"",SUMIFS('Barang Keluar'!$E:$E,'Barang Keluar'!$A:$A,M8412,'Barang Keluar'!$C:$C,N8412))</f>
        <v>0</v>
      </c>
    </row>
    <row r="8413" spans="13:16">
      <c r="M8413" s="49">
        <f>IF($A$4+84&gt;$B$4,"",$A$4+84)</f>
        <v>46107</v>
      </c>
      <c r="N8413" t="str">
        <f>IF(M8413="","",'Master Barang'!A7)</f>
        <v>PRL-006</v>
      </c>
      <c r="O8413" t="str">
        <f>IF(N8413="","",'Master Barang'!B7)</f>
        <v>sabut cuci stainless</v>
      </c>
      <c r="P8413">
        <f>IF(OR(M8413="",N8413=""),"",SUMIFS('Barang Keluar'!$E:$E,'Barang Keluar'!$A:$A,M8413,'Barang Keluar'!$C:$C,N8413))</f>
        <v>0</v>
      </c>
    </row>
    <row r="8414" spans="13:16">
      <c r="M8414" s="49">
        <f>IF($A$4+84&gt;$B$4,"",$A$4+84)</f>
        <v>46107</v>
      </c>
      <c r="N8414" t="str">
        <f>IF(M8414="","",'Master Barang'!A8)</f>
        <v>PRL-007</v>
      </c>
      <c r="O8414" t="str">
        <f>IF(N8414="","",'Master Barang'!B8)</f>
        <v>plastik kresek besar merah 50pc</v>
      </c>
      <c r="P8414">
        <f>IF(OR(M8414="",N8414=""),"",SUMIFS('Barang Keluar'!$E:$E,'Barang Keluar'!$A:$A,M8414,'Barang Keluar'!$C:$C,N8414))</f>
        <v>0</v>
      </c>
    </row>
    <row r="8415" spans="13:16">
      <c r="M8415" s="49">
        <f>IF($A$4+84&gt;$B$4,"",$A$4+84)</f>
        <v>46107</v>
      </c>
      <c r="N8415" t="str">
        <f>IF(M8415="","",'Master Barang'!A9)</f>
        <v>PRL-008</v>
      </c>
      <c r="O8415" t="str">
        <f>IF(N8415="","",'Master Barang'!B9)</f>
        <v>lap besar</v>
      </c>
      <c r="P8415">
        <f>IF(OR(M8415="",N8415=""),"",SUMIFS('Barang Keluar'!$E:$E,'Barang Keluar'!$A:$A,M8415,'Barang Keluar'!$C:$C,N8415))</f>
        <v>0</v>
      </c>
    </row>
    <row r="8416" spans="13:16">
      <c r="M8416" s="49">
        <f>IF($A$4+84&gt;$B$4,"",$A$4+84)</f>
        <v>46107</v>
      </c>
      <c r="N8416" t="str">
        <f>IF(M8416="","",'Master Barang'!A10)</f>
        <v>PRL-009</v>
      </c>
      <c r="O8416" t="str">
        <f>IF(N8416="","",'Master Barang'!B10)</f>
        <v>lap microfiber</v>
      </c>
      <c r="P8416">
        <f>IF(OR(M8416="",N8416=""),"",SUMIFS('Barang Keluar'!$E:$E,'Barang Keluar'!$A:$A,M8416,'Barang Keluar'!$C:$C,N8416))</f>
        <v>0</v>
      </c>
    </row>
    <row r="8417" spans="13:16">
      <c r="M8417" s="49">
        <f>IF($A$4+84&gt;$B$4,"",$A$4+84)</f>
        <v>46107</v>
      </c>
      <c r="N8417" t="str">
        <f>IF(M8417="","",'Master Barang'!A11)</f>
        <v>PRL-010</v>
      </c>
      <c r="O8417" t="str">
        <f>IF(N8417="","",'Master Barang'!B11)</f>
        <v>lap kecil</v>
      </c>
      <c r="P8417">
        <f>IF(OR(M8417="",N8417=""),"",SUMIFS('Barang Keluar'!$E:$E,'Barang Keluar'!$A:$A,M8417,'Barang Keluar'!$C:$C,N8417))</f>
        <v>0</v>
      </c>
    </row>
    <row r="8418" spans="13:16">
      <c r="M8418" s="49">
        <f>IF($A$4+84&gt;$B$4,"",$A$4+84)</f>
        <v>46107</v>
      </c>
      <c r="N8418" t="str">
        <f>IF(M8418="","",'Master Barang'!A12)</f>
        <v>PRL-011</v>
      </c>
      <c r="O8418" t="str">
        <f>IF(N8418="","",'Master Barang'!B12)</f>
        <v>kanebo kecil</v>
      </c>
      <c r="P8418">
        <f>IF(OR(M8418="",N8418=""),"",SUMIFS('Barang Keluar'!$E:$E,'Barang Keluar'!$A:$A,M8418,'Barang Keluar'!$C:$C,N8418))</f>
        <v>0</v>
      </c>
    </row>
    <row r="8419" spans="13:16">
      <c r="M8419" s="49">
        <f>IF($A$4+84&gt;$B$4,"",$A$4+84)</f>
        <v>46107</v>
      </c>
      <c r="N8419" t="str">
        <f>IF(M8419="","",'Master Barang'!A13)</f>
        <v>PRL-012</v>
      </c>
      <c r="O8419" t="str">
        <f>IF(N8419="","",'Master Barang'!B13)</f>
        <v>plastik 1/4kg joyoboyo 100 lembar</v>
      </c>
      <c r="P8419">
        <f>IF(OR(M8419="",N8419=""),"",SUMIFS('Barang Keluar'!$E:$E,'Barang Keluar'!$A:$A,M8419,'Barang Keluar'!$C:$C,N8419))</f>
        <v>0</v>
      </c>
    </row>
    <row r="8420" spans="13:16">
      <c r="M8420" s="49">
        <f>IF($A$4+84&gt;$B$4,"",$A$4+84)</f>
        <v>46107</v>
      </c>
      <c r="N8420" t="str">
        <f>IF(M8420="","",'Master Barang'!A14)</f>
        <v>PRL-013</v>
      </c>
      <c r="O8420" t="str">
        <f>IF(N8420="","",'Master Barang'!B14)</f>
        <v>sarung tangan plastik kaka 100 pcs</v>
      </c>
      <c r="P8420">
        <f>IF(OR(M8420="",N8420=""),"",SUMIFS('Barang Keluar'!$E:$E,'Barang Keluar'!$A:$A,M8420,'Barang Keluar'!$C:$C,N8420))</f>
        <v>0</v>
      </c>
    </row>
    <row r="8421" spans="13:16">
      <c r="M8421" s="49">
        <f>IF($A$4+84&gt;$B$4,"",$A$4+84)</f>
        <v>46107</v>
      </c>
      <c r="N8421" t="str">
        <f>IF(M8421="","",'Master Barang'!A15)</f>
        <v>PRL-014</v>
      </c>
      <c r="O8421" t="str">
        <f>IF(N8421="","",'Master Barang'!B15)</f>
        <v>optima trashbag 80x100</v>
      </c>
      <c r="P8421">
        <f>IF(OR(M8421="",N8421=""),"",SUMIFS('Barang Keluar'!$E:$E,'Barang Keluar'!$A:$A,M8421,'Barang Keluar'!$C:$C,N8421))</f>
        <v>0</v>
      </c>
    </row>
    <row r="8422" spans="13:16">
      <c r="M8422" s="49">
        <f>IF($A$4+84&gt;$B$4,"",$A$4+84)</f>
        <v>46107</v>
      </c>
      <c r="N8422" t="str">
        <f>IF(M8422="","",'Master Barang'!A16)</f>
        <v>PRL-015</v>
      </c>
      <c r="O8422" t="str">
        <f>IF(N8422="","",'Master Barang'!B16)</f>
        <v>optima trashbag 60x100</v>
      </c>
      <c r="P8422">
        <f>IF(OR(M8422="",N8422=""),"",SUMIFS('Barang Keluar'!$E:$E,'Barang Keluar'!$A:$A,M8422,'Barang Keluar'!$C:$C,N8422))</f>
        <v>0</v>
      </c>
    </row>
    <row r="8423" spans="13:16">
      <c r="M8423" s="49">
        <f>IF($A$4+84&gt;$B$4,"",$A$4+84)</f>
        <v>46107</v>
      </c>
      <c r="N8423" t="str">
        <f>IF(M8423="","",'Master Barang'!A17)</f>
        <v>PRL-016</v>
      </c>
      <c r="O8423" t="str">
        <f>IF(N8423="","",'Master Barang'!B17)</f>
        <v>rajawali trashbag 30x40</v>
      </c>
      <c r="P8423">
        <f>IF(OR(M8423="",N8423=""),"",SUMIFS('Barang Keluar'!$E:$E,'Barang Keluar'!$A:$A,M8423,'Barang Keluar'!$C:$C,N8423))</f>
        <v>0</v>
      </c>
    </row>
    <row r="8424" spans="13:16">
      <c r="M8424" s="49">
        <f>IF($A$4+84&gt;$B$4,"",$A$4+84)</f>
        <v>46107</v>
      </c>
      <c r="N8424" t="str">
        <f>IF(M8424="","",'Master Barang'!A18)</f>
        <v>PRL-017</v>
      </c>
      <c r="O8424" t="str">
        <f>IF(N8424="","",'Master Barang'!B18)</f>
        <v>onemed masker biru 3 play 50 pcs</v>
      </c>
      <c r="P8424">
        <f>IF(OR(M8424="",N8424=""),"",SUMIFS('Barang Keluar'!$E:$E,'Barang Keluar'!$A:$A,M8424,'Barang Keluar'!$C:$C,N8424))</f>
        <v>0</v>
      </c>
    </row>
    <row r="8425" spans="13:16">
      <c r="M8425" s="49">
        <f>IF($A$4+84&gt;$B$4,"",$A$4+84)</f>
        <v>46107</v>
      </c>
      <c r="N8425" t="str">
        <f>IF(M8425="","",'Master Barang'!A19)</f>
        <v>PRL-018</v>
      </c>
      <c r="O8425" t="str">
        <f>IF(N8425="","",'Master Barang'!B19)</f>
        <v>onemed masker biru 3 play hijab 50 pcs</v>
      </c>
      <c r="P8425">
        <f>IF(OR(M8425="",N8425=""),"",SUMIFS('Barang Keluar'!$E:$E,'Barang Keluar'!$A:$A,M8425,'Barang Keluar'!$C:$C,N8425))</f>
        <v>0</v>
      </c>
    </row>
    <row r="8426" spans="13:16">
      <c r="M8426" s="49">
        <f>IF($A$4+84&gt;$B$4,"",$A$4+84)</f>
        <v>46107</v>
      </c>
      <c r="N8426" t="str">
        <f>IF(M8426="","",'Master Barang'!A20)</f>
        <v>PRL-019</v>
      </c>
      <c r="O8426" t="str">
        <f>IF(N8426="","",'Master Barang'!B20)</f>
        <v>neo health masker biru 3 play 50 pcs</v>
      </c>
      <c r="P8426">
        <f>IF(OR(M8426="",N8426=""),"",SUMIFS('Barang Keluar'!$E:$E,'Barang Keluar'!$A:$A,M8426,'Barang Keluar'!$C:$C,N8426))</f>
        <v>0</v>
      </c>
    </row>
    <row r="8427" spans="13:16">
      <c r="M8427" s="49">
        <f>IF($A$4+84&gt;$B$4,"",$A$4+84)</f>
        <v>46107</v>
      </c>
      <c r="N8427" t="str">
        <f>IF(M8427="","",'Master Barang'!A21)</f>
        <v>PRL-020</v>
      </c>
      <c r="O8427" t="str">
        <f>IF(N8427="","",'Master Barang'!B21)</f>
        <v>baymed masker hijau 3 play hijau 50 pcs</v>
      </c>
      <c r="P8427">
        <f>IF(OR(M8427="",N8427=""),"",SUMIFS('Barang Keluar'!$E:$E,'Barang Keluar'!$A:$A,M8427,'Barang Keluar'!$C:$C,N8427))</f>
        <v>0</v>
      </c>
    </row>
    <row r="8428" spans="13:16">
      <c r="M8428" s="49">
        <f>IF($A$4+84&gt;$B$4,"",$A$4+84)</f>
        <v>46107</v>
      </c>
      <c r="N8428" t="str">
        <f>IF(M8428="","",'Master Barang'!A22)</f>
        <v>PRL-021</v>
      </c>
      <c r="O8428" t="str">
        <f>IF(N8428="","",'Master Barang'!B22)</f>
        <v>altamed nurse cap penutup kepala 100 pcs</v>
      </c>
      <c r="P8428">
        <f>IF(OR(M8428="",N8428=""),"",SUMIFS('Barang Keluar'!$E:$E,'Barang Keluar'!$A:$A,M8428,'Barang Keluar'!$C:$C,N8428))</f>
        <v>0</v>
      </c>
    </row>
    <row r="8429" spans="13:16">
      <c r="M8429" s="49">
        <f>IF($A$4+84&gt;$B$4,"",$A$4+84)</f>
        <v>46107</v>
      </c>
      <c r="N8429" t="str">
        <f>IF(M8429="","",'Master Barang'!A23)</f>
        <v>PRL-022</v>
      </c>
      <c r="O8429" t="str">
        <f>IF(N8429="","",'Master Barang'!B23)</f>
        <v>sabun cuci tangan</v>
      </c>
      <c r="P8429">
        <f>IF(OR(M8429="",N8429=""),"",SUMIFS('Barang Keluar'!$E:$E,'Barang Keluar'!$A:$A,M8429,'Barang Keluar'!$C:$C,N8429))</f>
        <v>0</v>
      </c>
    </row>
    <row r="8430" spans="13:16">
      <c r="M8430" s="49">
        <f>IF($A$4+84&gt;$B$4,"",$A$4+84)</f>
        <v>46107</v>
      </c>
      <c r="N8430" t="str">
        <f>IF(M8430="","",'Master Barang'!A24)</f>
        <v>PRL-023</v>
      </c>
      <c r="O8430" t="str">
        <f>IF(N8430="","",'Master Barang'!B24)</f>
        <v>gayung kecil</v>
      </c>
      <c r="P8430">
        <f>IF(OR(M8430="",N8430=""),"",SUMIFS('Barang Keluar'!$E:$E,'Barang Keluar'!$A:$A,M8430,'Barang Keluar'!$C:$C,N8430))</f>
        <v>0</v>
      </c>
    </row>
    <row r="8431" spans="13:16">
      <c r="M8431" s="49">
        <f>IF($A$4+84&gt;$B$4,"",$A$4+84)</f>
        <v>46107</v>
      </c>
      <c r="N8431" t="str">
        <f>IF(M8431="","",'Master Barang'!A25)</f>
        <v>PRL-024</v>
      </c>
      <c r="O8431" t="str">
        <f>IF(N8431="","",'Master Barang'!B25)</f>
        <v>cikrak kecil</v>
      </c>
      <c r="P8431">
        <f>IF(OR(M8431="",N8431=""),"",SUMIFS('Barang Keluar'!$E:$E,'Barang Keluar'!$A:$A,M8431,'Barang Keluar'!$C:$C,N8431))</f>
        <v>0</v>
      </c>
    </row>
    <row r="8432" spans="13:16">
      <c r="M8432" s="49">
        <f>IF($A$4+84&gt;$B$4,"",$A$4+84)</f>
        <v>46107</v>
      </c>
      <c r="N8432" t="str">
        <f>IF(M8432="","",'Master Barang'!A26)</f>
        <v>PRL-025</v>
      </c>
      <c r="O8432" t="str">
        <f>IF(N8432="","",'Master Barang'!B26)</f>
        <v>petromax plastik kecil 12x24 100 lembar</v>
      </c>
      <c r="P8432">
        <f>IF(OR(M8432="",N8432=""),"",SUMIFS('Barang Keluar'!$E:$E,'Barang Keluar'!$A:$A,M8432,'Barang Keluar'!$C:$C,N8432))</f>
        <v>0</v>
      </c>
    </row>
    <row r="8433" spans="13:16">
      <c r="M8433" s="49">
        <f>IF($A$4+84&gt;$B$4,"",$A$4+84)</f>
        <v>46107</v>
      </c>
      <c r="N8433" t="str">
        <f>IF(M8433="","",'Master Barang'!A27)</f>
        <v>PRL-026</v>
      </c>
      <c r="O8433" t="str">
        <f>IF(N8433="","",'Master Barang'!B27)</f>
        <v>lancar kresek kecil bening </v>
      </c>
      <c r="P8433">
        <f>IF(OR(M8433="",N8433=""),"",SUMIFS('Barang Keluar'!$E:$E,'Barang Keluar'!$A:$A,M8433,'Barang Keluar'!$C:$C,N8433))</f>
        <v>0</v>
      </c>
    </row>
    <row r="8434" spans="13:16">
      <c r="M8434" s="49">
        <f>IF($A$4+84&gt;$B$4,"",$A$4+84)</f>
        <v>46107</v>
      </c>
      <c r="N8434" t="str">
        <f>IF(M8434="","",'Master Barang'!A28)</f>
        <v>PRL-027</v>
      </c>
      <c r="O8434" t="str">
        <f>IF(N8434="","",'Master Barang'!B28)</f>
        <v>kresek klin warna warni kecil</v>
      </c>
      <c r="P8434">
        <f>IF(OR(M8434="",N8434=""),"",SUMIFS('Barang Keluar'!$E:$E,'Barang Keluar'!$A:$A,M8434,'Barang Keluar'!$C:$C,N8434))</f>
        <v>0</v>
      </c>
    </row>
    <row r="8435" spans="13:16">
      <c r="M8435" s="49">
        <f>IF($A$4+84&gt;$B$4,"",$A$4+84)</f>
        <v>46107</v>
      </c>
      <c r="N8435" t="str">
        <f>IF(M8435="","",'Master Barang'!A29)</f>
        <v>PRL-028</v>
      </c>
      <c r="O8435" t="str">
        <f>IF(N8435="","",'Master Barang'!B29)</f>
        <v>ctik plastik 7x10 100 pcs</v>
      </c>
      <c r="P8435">
        <f>IF(OR(M8435="",N8435=""),"",SUMIFS('Barang Keluar'!$E:$E,'Barang Keluar'!$A:$A,M8435,'Barang Keluar'!$C:$C,N8435))</f>
        <v>0</v>
      </c>
    </row>
    <row r="8436" spans="13:16">
      <c r="M8436" s="49">
        <f>IF($A$4+84&gt;$B$4,"",$A$4+84)</f>
        <v>46107</v>
      </c>
      <c r="N8436" t="str">
        <f>IF(M8436="","",'Master Barang'!A30)</f>
        <v>PRL-029</v>
      </c>
      <c r="O8436" t="str">
        <f>IF(N8436="","",'Master Barang'!B30)</f>
        <v>ctik plastik 6x10 100 pcs</v>
      </c>
      <c r="P8436">
        <f>IF(OR(M8436="",N8436=""),"",SUMIFS('Barang Keluar'!$E:$E,'Barang Keluar'!$A:$A,M8436,'Barang Keluar'!$C:$C,N8436))</f>
        <v>0</v>
      </c>
    </row>
    <row r="8437" spans="13:16">
      <c r="M8437" s="49">
        <f>IF($A$4+84&gt;$B$4,"",$A$4+84)</f>
        <v>46107</v>
      </c>
      <c r="N8437" t="str">
        <f>IF(M8437="","",'Master Barang'!A31)</f>
        <v>PRL-030</v>
      </c>
      <c r="O8437" t="str">
        <f>IF(N8437="","",'Master Barang'!B31)</f>
        <v>klip plastik 25x16 100 pcs</v>
      </c>
      <c r="P8437">
        <f>IF(OR(M8437="",N8437=""),"",SUMIFS('Barang Keluar'!$E:$E,'Barang Keluar'!$A:$A,M8437,'Barang Keluar'!$C:$C,N8437))</f>
        <v>0</v>
      </c>
    </row>
    <row r="8438" spans="13:16">
      <c r="M8438" s="49">
        <f>IF($A$4+84&gt;$B$4,"",$A$4+84)</f>
        <v>46107</v>
      </c>
      <c r="N8438" t="str">
        <f>IF(M8438="","",'Master Barang'!A32)</f>
        <v>PRL-031</v>
      </c>
      <c r="O8438" t="str">
        <f>IF(N8438="","",'Master Barang'!B32)</f>
        <v>tempat saus 20 ml</v>
      </c>
      <c r="P8438">
        <f>IF(OR(M8438="",N8438=""),"",SUMIFS('Barang Keluar'!$E:$E,'Barang Keluar'!$A:$A,M8438,'Barang Keluar'!$C:$C,N8438))</f>
        <v>0</v>
      </c>
    </row>
    <row r="8439" spans="13:16">
      <c r="M8439" s="49">
        <f>IF($A$4+84&gt;$B$4,"",$A$4+84)</f>
        <v>46107</v>
      </c>
      <c r="N8439" t="str">
        <f>IF(M8439="","",'Master Barang'!A33)</f>
        <v>PRL-032</v>
      </c>
      <c r="O8439" t="str">
        <f>IF(N8439="","",'Master Barang'!B33)</f>
        <v>plastik packaging ag box uk sedang</v>
      </c>
      <c r="P8439">
        <f>IF(OR(M8439="",N8439=""),"",SUMIFS('Barang Keluar'!$E:$E,'Barang Keluar'!$A:$A,M8439,'Barang Keluar'!$C:$C,N8439))</f>
        <v>0</v>
      </c>
    </row>
    <row r="8440" spans="13:16">
      <c r="M8440" s="49">
        <f>IF($A$4+84&gt;$B$4,"",$A$4+84)</f>
        <v>46107</v>
      </c>
      <c r="N8440" t="str">
        <f>IF(M8440="","",'Master Barang'!A34)</f>
        <v>PRL-033</v>
      </c>
      <c r="O8440">
        <f>IF(N8440="","",'Master Barang'!B34)</f>
        <v>0</v>
      </c>
      <c r="P8440">
        <f>IF(OR(M8440="",N8440=""),"",SUMIFS('Barang Keluar'!$E:$E,'Barang Keluar'!$A:$A,M8440,'Barang Keluar'!$C:$C,N8440))</f>
        <v>0</v>
      </c>
    </row>
    <row r="8441" spans="13:16">
      <c r="M8441" s="49">
        <f>IF($A$4+84&gt;$B$4,"",$A$4+84)</f>
        <v>46107</v>
      </c>
      <c r="N8441">
        <f>IF(M8441="","",'Master Barang'!A35)</f>
        <v>0</v>
      </c>
      <c r="O8441">
        <f>IF(N8441="","",'Master Barang'!B35)</f>
        <v>0</v>
      </c>
      <c r="P8441">
        <f>IF(OR(M8441="",N8441=""),"",SUMIFS('Barang Keluar'!$E:$E,'Barang Keluar'!$A:$A,M8441,'Barang Keluar'!$C:$C,N8441))</f>
        <v>0</v>
      </c>
    </row>
    <row r="8442" spans="13:16">
      <c r="M8442" s="49">
        <f>IF($A$4+84&gt;$B$4,"",$A$4+84)</f>
        <v>46107</v>
      </c>
      <c r="N8442">
        <f>IF(M8442="","",'Master Barang'!A36)</f>
        <v>0</v>
      </c>
      <c r="O8442">
        <f>IF(N8442="","",'Master Barang'!B36)</f>
        <v>0</v>
      </c>
      <c r="P8442">
        <f>IF(OR(M8442="",N8442=""),"",SUMIFS('Barang Keluar'!$E:$E,'Barang Keluar'!$A:$A,M8442,'Barang Keluar'!$C:$C,N8442))</f>
        <v>0</v>
      </c>
    </row>
    <row r="8443" spans="13:16">
      <c r="M8443" s="49">
        <f>IF($A$4+84&gt;$B$4,"",$A$4+84)</f>
        <v>46107</v>
      </c>
      <c r="N8443">
        <f>IF(M8443="","",'Master Barang'!A37)</f>
        <v>0</v>
      </c>
      <c r="O8443">
        <f>IF(N8443="","",'Master Barang'!B37)</f>
        <v>0</v>
      </c>
      <c r="P8443">
        <f>IF(OR(M8443="",N8443=""),"",SUMIFS('Barang Keluar'!$E:$E,'Barang Keluar'!$A:$A,M8443,'Barang Keluar'!$C:$C,N8443))</f>
        <v>0</v>
      </c>
    </row>
    <row r="8444" spans="13:16">
      <c r="M8444" s="49">
        <f>IF($A$4+84&gt;$B$4,"",$A$4+84)</f>
        <v>46107</v>
      </c>
      <c r="N8444">
        <f>IF(M8444="","",'Master Barang'!A38)</f>
        <v>0</v>
      </c>
      <c r="O8444">
        <f>IF(N8444="","",'Master Barang'!B38)</f>
        <v>0</v>
      </c>
      <c r="P8444">
        <f>IF(OR(M8444="",N8444=""),"",SUMIFS('Barang Keluar'!$E:$E,'Barang Keluar'!$A:$A,M8444,'Barang Keluar'!$C:$C,N8444))</f>
        <v>0</v>
      </c>
    </row>
    <row r="8445" spans="13:16">
      <c r="M8445" s="49">
        <f>IF($A$4+84&gt;$B$4,"",$A$4+84)</f>
        <v>46107</v>
      </c>
      <c r="N8445">
        <f>IF(M8445="","",'Master Barang'!A39)</f>
        <v>0</v>
      </c>
      <c r="O8445">
        <f>IF(N8445="","",'Master Barang'!B39)</f>
        <v>0</v>
      </c>
      <c r="P8445">
        <f>IF(OR(M8445="",N8445=""),"",SUMIFS('Barang Keluar'!$E:$E,'Barang Keluar'!$A:$A,M8445,'Barang Keluar'!$C:$C,N8445))</f>
        <v>0</v>
      </c>
    </row>
    <row r="8446" spans="13:16">
      <c r="M8446" s="49">
        <f>IF($A$4+84&gt;$B$4,"",$A$4+84)</f>
        <v>46107</v>
      </c>
      <c r="N8446">
        <f>IF(M8446="","",'Master Barang'!A40)</f>
        <v>0</v>
      </c>
      <c r="O8446">
        <f>IF(N8446="","",'Master Barang'!B40)</f>
        <v>0</v>
      </c>
      <c r="P8446">
        <f>IF(OR(M8446="",N8446=""),"",SUMIFS('Barang Keluar'!$E:$E,'Barang Keluar'!$A:$A,M8446,'Barang Keluar'!$C:$C,N8446))</f>
        <v>0</v>
      </c>
    </row>
    <row r="8447" spans="13:16">
      <c r="M8447" s="49">
        <f>IF($A$4+84&gt;$B$4,"",$A$4+84)</f>
        <v>46107</v>
      </c>
      <c r="N8447">
        <f>IF(M8447="","",'Master Barang'!A41)</f>
        <v>0</v>
      </c>
      <c r="O8447">
        <f>IF(N8447="","",'Master Barang'!B41)</f>
        <v>0</v>
      </c>
      <c r="P8447">
        <f>IF(OR(M8447="",N8447=""),"",SUMIFS('Barang Keluar'!$E:$E,'Barang Keluar'!$A:$A,M8447,'Barang Keluar'!$C:$C,N8447))</f>
        <v>0</v>
      </c>
    </row>
    <row r="8448" spans="13:16">
      <c r="M8448" s="49">
        <f>IF($A$4+84&gt;$B$4,"",$A$4+84)</f>
        <v>46107</v>
      </c>
      <c r="N8448">
        <f>IF(M8448="","",'Master Barang'!A42)</f>
        <v>0</v>
      </c>
      <c r="O8448">
        <f>IF(N8448="","",'Master Barang'!B42)</f>
        <v>0</v>
      </c>
      <c r="P8448">
        <f>IF(OR(M8448="",N8448=""),"",SUMIFS('Barang Keluar'!$E:$E,'Barang Keluar'!$A:$A,M8448,'Barang Keluar'!$C:$C,N8448))</f>
        <v>0</v>
      </c>
    </row>
    <row r="8449" spans="13:16">
      <c r="M8449" s="49">
        <f>IF($A$4+84&gt;$B$4,"",$A$4+84)</f>
        <v>46107</v>
      </c>
      <c r="N8449">
        <f>IF(M8449="","",'Master Barang'!A43)</f>
        <v>0</v>
      </c>
      <c r="O8449">
        <f>IF(N8449="","",'Master Barang'!B43)</f>
        <v>0</v>
      </c>
      <c r="P8449">
        <f>IF(OR(M8449="",N8449=""),"",SUMIFS('Barang Keluar'!$E:$E,'Barang Keluar'!$A:$A,M8449,'Barang Keluar'!$C:$C,N8449))</f>
        <v>0</v>
      </c>
    </row>
    <row r="8450" spans="13:16">
      <c r="M8450" s="49">
        <f>IF($A$4+84&gt;$B$4,"",$A$4+84)</f>
        <v>46107</v>
      </c>
      <c r="N8450">
        <f>IF(M8450="","",'Master Barang'!A44)</f>
        <v>0</v>
      </c>
      <c r="O8450">
        <f>IF(N8450="","",'Master Barang'!B44)</f>
        <v>0</v>
      </c>
      <c r="P8450">
        <f>IF(OR(M8450="",N8450=""),"",SUMIFS('Barang Keluar'!$E:$E,'Barang Keluar'!$A:$A,M8450,'Barang Keluar'!$C:$C,N8450))</f>
        <v>0</v>
      </c>
    </row>
    <row r="8451" spans="13:16">
      <c r="M8451" s="49">
        <f>IF($A$4+84&gt;$B$4,"",$A$4+84)</f>
        <v>46107</v>
      </c>
      <c r="N8451">
        <f>IF(M8451="","",'Master Barang'!A45)</f>
        <v>0</v>
      </c>
      <c r="O8451">
        <f>IF(N8451="","",'Master Barang'!B45)</f>
        <v>0</v>
      </c>
      <c r="P8451">
        <f>IF(OR(M8451="",N8451=""),"",SUMIFS('Barang Keluar'!$E:$E,'Barang Keluar'!$A:$A,M8451,'Barang Keluar'!$C:$C,N8451))</f>
        <v>0</v>
      </c>
    </row>
    <row r="8452" spans="13:16">
      <c r="M8452" s="49">
        <f>IF($A$4+84&gt;$B$4,"",$A$4+84)</f>
        <v>46107</v>
      </c>
      <c r="N8452">
        <f>IF(M8452="","",'Master Barang'!A46)</f>
        <v>0</v>
      </c>
      <c r="O8452">
        <f>IF(N8452="","",'Master Barang'!B46)</f>
        <v>0</v>
      </c>
      <c r="P8452">
        <f>IF(OR(M8452="",N8452=""),"",SUMIFS('Barang Keluar'!$E:$E,'Barang Keluar'!$A:$A,M8452,'Barang Keluar'!$C:$C,N8452))</f>
        <v>0</v>
      </c>
    </row>
    <row r="8453" spans="13:16">
      <c r="M8453" s="49">
        <f>IF($A$4+84&gt;$B$4,"",$A$4+84)</f>
        <v>46107</v>
      </c>
      <c r="N8453">
        <f>IF(M8453="","",'Master Barang'!A47)</f>
        <v>0</v>
      </c>
      <c r="O8453">
        <f>IF(N8453="","",'Master Barang'!B47)</f>
        <v>0</v>
      </c>
      <c r="P8453">
        <f>IF(OR(M8453="",N8453=""),"",SUMIFS('Barang Keluar'!$E:$E,'Barang Keluar'!$A:$A,M8453,'Barang Keluar'!$C:$C,N8453))</f>
        <v>0</v>
      </c>
    </row>
    <row r="8454" spans="13:16">
      <c r="M8454" s="49">
        <f>IF($A$4+84&gt;$B$4,"",$A$4+84)</f>
        <v>46107</v>
      </c>
      <c r="N8454">
        <f>IF(M8454="","",'Master Barang'!A48)</f>
        <v>0</v>
      </c>
      <c r="O8454">
        <f>IF(N8454="","",'Master Barang'!B48)</f>
        <v>0</v>
      </c>
      <c r="P8454">
        <f>IF(OR(M8454="",N8454=""),"",SUMIFS('Barang Keluar'!$E:$E,'Barang Keluar'!$A:$A,M8454,'Barang Keluar'!$C:$C,N8454))</f>
        <v>0</v>
      </c>
    </row>
    <row r="8455" spans="13:16">
      <c r="M8455" s="49">
        <f>IF($A$4+84&gt;$B$4,"",$A$4+84)</f>
        <v>46107</v>
      </c>
      <c r="N8455">
        <f>IF(M8455="","",'Master Barang'!A49)</f>
        <v>0</v>
      </c>
      <c r="O8455">
        <f>IF(N8455="","",'Master Barang'!B49)</f>
        <v>0</v>
      </c>
      <c r="P8455">
        <f>IF(OR(M8455="",N8455=""),"",SUMIFS('Barang Keluar'!$E:$E,'Barang Keluar'!$A:$A,M8455,'Barang Keluar'!$C:$C,N8455))</f>
        <v>0</v>
      </c>
    </row>
    <row r="8456" spans="13:16">
      <c r="M8456" s="49">
        <f>IF($A$4+84&gt;$B$4,"",$A$4+84)</f>
        <v>46107</v>
      </c>
      <c r="N8456">
        <f>IF(M8456="","",'Master Barang'!A50)</f>
        <v>0</v>
      </c>
      <c r="O8456">
        <f>IF(N8456="","",'Master Barang'!B50)</f>
        <v>0</v>
      </c>
      <c r="P8456">
        <f>IF(OR(M8456="",N8456=""),"",SUMIFS('Barang Keluar'!$E:$E,'Barang Keluar'!$A:$A,M8456,'Barang Keluar'!$C:$C,N8456))</f>
        <v>0</v>
      </c>
    </row>
    <row r="8457" spans="13:16">
      <c r="M8457" s="49">
        <f>IF($A$4+84&gt;$B$4,"",$A$4+84)</f>
        <v>46107</v>
      </c>
      <c r="N8457">
        <f>IF(M8457="","",'Master Barang'!A51)</f>
        <v>0</v>
      </c>
      <c r="O8457">
        <f>IF(N8457="","",'Master Barang'!B51)</f>
        <v>0</v>
      </c>
      <c r="P8457">
        <f>IF(OR(M8457="",N8457=""),"",SUMIFS('Barang Keluar'!$E:$E,'Barang Keluar'!$A:$A,M8457,'Barang Keluar'!$C:$C,N8457))</f>
        <v>0</v>
      </c>
    </row>
    <row r="8458" spans="13:16">
      <c r="M8458" s="49">
        <f>IF($A$4+84&gt;$B$4,"",$A$4+84)</f>
        <v>46107</v>
      </c>
      <c r="N8458">
        <f>IF(M8458="","",'Master Barang'!A52)</f>
        <v>0</v>
      </c>
      <c r="O8458">
        <f>IF(N8458="","",'Master Barang'!B52)</f>
        <v>0</v>
      </c>
      <c r="P8458">
        <f>IF(OR(M8458="",N8458=""),"",SUMIFS('Barang Keluar'!$E:$E,'Barang Keluar'!$A:$A,M8458,'Barang Keluar'!$C:$C,N8458))</f>
        <v>0</v>
      </c>
    </row>
    <row r="8459" spans="13:16">
      <c r="M8459" s="49">
        <f>IF($A$4+84&gt;$B$4,"",$A$4+84)</f>
        <v>46107</v>
      </c>
      <c r="N8459">
        <f>IF(M8459="","",'Master Barang'!A53)</f>
        <v>0</v>
      </c>
      <c r="O8459">
        <f>IF(N8459="","",'Master Barang'!B53)</f>
        <v>0</v>
      </c>
      <c r="P8459">
        <f>IF(OR(M8459="",N8459=""),"",SUMIFS('Barang Keluar'!$E:$E,'Barang Keluar'!$A:$A,M8459,'Barang Keluar'!$C:$C,N8459))</f>
        <v>0</v>
      </c>
    </row>
    <row r="8460" spans="13:16">
      <c r="M8460" s="49">
        <f>IF($A$4+84&gt;$B$4,"",$A$4+84)</f>
        <v>46107</v>
      </c>
      <c r="N8460">
        <f>IF(M8460="","",'Master Barang'!A54)</f>
        <v>0</v>
      </c>
      <c r="O8460">
        <f>IF(N8460="","",'Master Barang'!B54)</f>
        <v>0</v>
      </c>
      <c r="P8460">
        <f>IF(OR(M8460="",N8460=""),"",SUMIFS('Barang Keluar'!$E:$E,'Barang Keluar'!$A:$A,M8460,'Barang Keluar'!$C:$C,N8460))</f>
        <v>0</v>
      </c>
    </row>
    <row r="8461" spans="13:16">
      <c r="M8461" s="49">
        <f>IF($A$4+84&gt;$B$4,"",$A$4+84)</f>
        <v>46107</v>
      </c>
      <c r="N8461">
        <f>IF(M8461="","",'Master Barang'!A55)</f>
        <v>0</v>
      </c>
      <c r="O8461">
        <f>IF(N8461="","",'Master Barang'!B55)</f>
        <v>0</v>
      </c>
      <c r="P8461">
        <f>IF(OR(M8461="",N8461=""),"",SUMIFS('Barang Keluar'!$E:$E,'Barang Keluar'!$A:$A,M8461,'Barang Keluar'!$C:$C,N8461))</f>
        <v>0</v>
      </c>
    </row>
    <row r="8462" spans="13:16">
      <c r="M8462" s="49">
        <f>IF($A$4+84&gt;$B$4,"",$A$4+84)</f>
        <v>46107</v>
      </c>
      <c r="N8462">
        <f>IF(M8462="","",'Master Barang'!A56)</f>
        <v>0</v>
      </c>
      <c r="O8462">
        <f>IF(N8462="","",'Master Barang'!B56)</f>
        <v>0</v>
      </c>
      <c r="P8462">
        <f>IF(OR(M8462="",N8462=""),"",SUMIFS('Barang Keluar'!$E:$E,'Barang Keluar'!$A:$A,M8462,'Barang Keluar'!$C:$C,N8462))</f>
        <v>0</v>
      </c>
    </row>
    <row r="8463" spans="13:16">
      <c r="M8463" s="49">
        <f>IF($A$4+84&gt;$B$4,"",$A$4+84)</f>
        <v>46107</v>
      </c>
      <c r="N8463">
        <f>IF(M8463="","",'Master Barang'!A57)</f>
        <v>0</v>
      </c>
      <c r="O8463">
        <f>IF(N8463="","",'Master Barang'!B57)</f>
        <v>0</v>
      </c>
      <c r="P8463">
        <f>IF(OR(M8463="",N8463=""),"",SUMIFS('Barang Keluar'!$E:$E,'Barang Keluar'!$A:$A,M8463,'Barang Keluar'!$C:$C,N8463))</f>
        <v>0</v>
      </c>
    </row>
    <row r="8464" spans="13:16">
      <c r="M8464" s="49">
        <f>IF($A$4+84&gt;$B$4,"",$A$4+84)</f>
        <v>46107</v>
      </c>
      <c r="N8464">
        <f>IF(M8464="","",'Master Barang'!A58)</f>
        <v>0</v>
      </c>
      <c r="O8464">
        <f>IF(N8464="","",'Master Barang'!B58)</f>
        <v>0</v>
      </c>
      <c r="P8464">
        <f>IF(OR(M8464="",N8464=""),"",SUMIFS('Barang Keluar'!$E:$E,'Barang Keluar'!$A:$A,M8464,'Barang Keluar'!$C:$C,N8464))</f>
        <v>0</v>
      </c>
    </row>
    <row r="8465" spans="13:16">
      <c r="M8465" s="49">
        <f>IF($A$4+84&gt;$B$4,"",$A$4+84)</f>
        <v>46107</v>
      </c>
      <c r="N8465">
        <f>IF(M8465="","",'Master Barang'!A59)</f>
        <v>0</v>
      </c>
      <c r="O8465">
        <f>IF(N8465="","",'Master Barang'!B59)</f>
        <v>0</v>
      </c>
      <c r="P8465">
        <f>IF(OR(M8465="",N8465=""),"",SUMIFS('Barang Keluar'!$E:$E,'Barang Keluar'!$A:$A,M8465,'Barang Keluar'!$C:$C,N8465))</f>
        <v>0</v>
      </c>
    </row>
    <row r="8466" spans="13:16">
      <c r="M8466" s="49">
        <f>IF($A$4+84&gt;$B$4,"",$A$4+84)</f>
        <v>46107</v>
      </c>
      <c r="N8466">
        <f>IF(M8466="","",'Master Barang'!A60)</f>
        <v>0</v>
      </c>
      <c r="O8466">
        <f>IF(N8466="","",'Master Barang'!B60)</f>
        <v>0</v>
      </c>
      <c r="P8466">
        <f>IF(OR(M8466="",N8466=""),"",SUMIFS('Barang Keluar'!$E:$E,'Barang Keluar'!$A:$A,M8466,'Barang Keluar'!$C:$C,N8466))</f>
        <v>0</v>
      </c>
    </row>
    <row r="8467" spans="13:16">
      <c r="M8467" s="49">
        <f>IF($A$4+84&gt;$B$4,"",$A$4+84)</f>
        <v>46107</v>
      </c>
      <c r="N8467">
        <f>IF(M8467="","",'Master Barang'!A61)</f>
        <v>0</v>
      </c>
      <c r="O8467">
        <f>IF(N8467="","",'Master Barang'!B61)</f>
        <v>0</v>
      </c>
      <c r="P8467">
        <f>IF(OR(M8467="",N8467=""),"",SUMIFS('Barang Keluar'!$E:$E,'Barang Keluar'!$A:$A,M8467,'Barang Keluar'!$C:$C,N8467))</f>
        <v>0</v>
      </c>
    </row>
    <row r="8468" spans="13:16">
      <c r="M8468" s="49">
        <f>IF($A$4+84&gt;$B$4,"",$A$4+84)</f>
        <v>46107</v>
      </c>
      <c r="N8468">
        <f>IF(M8468="","",'Master Barang'!A62)</f>
        <v>0</v>
      </c>
      <c r="O8468">
        <f>IF(N8468="","",'Master Barang'!B62)</f>
        <v>0</v>
      </c>
      <c r="P8468">
        <f>IF(OR(M8468="",N8468=""),"",SUMIFS('Barang Keluar'!$E:$E,'Barang Keluar'!$A:$A,M8468,'Barang Keluar'!$C:$C,N8468))</f>
        <v>0</v>
      </c>
    </row>
    <row r="8469" spans="13:16">
      <c r="M8469" s="49">
        <f>IF($A$4+84&gt;$B$4,"",$A$4+84)</f>
        <v>46107</v>
      </c>
      <c r="N8469">
        <f>IF(M8469="","",'Master Barang'!A63)</f>
        <v>0</v>
      </c>
      <c r="O8469">
        <f>IF(N8469="","",'Master Barang'!B63)</f>
        <v>0</v>
      </c>
      <c r="P8469">
        <f>IF(OR(M8469="",N8469=""),"",SUMIFS('Barang Keluar'!$E:$E,'Barang Keluar'!$A:$A,M8469,'Barang Keluar'!$C:$C,N8469))</f>
        <v>0</v>
      </c>
    </row>
    <row r="8470" spans="13:16">
      <c r="M8470" s="49">
        <f>IF($A$4+84&gt;$B$4,"",$A$4+84)</f>
        <v>46107</v>
      </c>
      <c r="N8470">
        <f>IF(M8470="","",'Master Barang'!A64)</f>
        <v>0</v>
      </c>
      <c r="O8470">
        <f>IF(N8470="","",'Master Barang'!B64)</f>
        <v>0</v>
      </c>
      <c r="P8470">
        <f>IF(OR(M8470="",N8470=""),"",SUMIFS('Barang Keluar'!$E:$E,'Barang Keluar'!$A:$A,M8470,'Barang Keluar'!$C:$C,N8470))</f>
        <v>0</v>
      </c>
    </row>
    <row r="8471" spans="13:16">
      <c r="M8471" s="49">
        <f>IF($A$4+84&gt;$B$4,"",$A$4+84)</f>
        <v>46107</v>
      </c>
      <c r="N8471">
        <f>IF(M8471="","",'Master Barang'!A65)</f>
        <v>0</v>
      </c>
      <c r="O8471">
        <f>IF(N8471="","",'Master Barang'!B65)</f>
        <v>0</v>
      </c>
      <c r="P8471">
        <f>IF(OR(M8471="",N8471=""),"",SUMIFS('Barang Keluar'!$E:$E,'Barang Keluar'!$A:$A,M8471,'Barang Keluar'!$C:$C,N8471))</f>
        <v>0</v>
      </c>
    </row>
    <row r="8472" spans="13:16">
      <c r="M8472" s="49">
        <f>IF($A$4+84&gt;$B$4,"",$A$4+84)</f>
        <v>46107</v>
      </c>
      <c r="N8472">
        <f>IF(M8472="","",'Master Barang'!A66)</f>
        <v>0</v>
      </c>
      <c r="O8472">
        <f>IF(N8472="","",'Master Barang'!B66)</f>
        <v>0</v>
      </c>
      <c r="P8472">
        <f>IF(OR(M8472="",N8472=""),"",SUMIFS('Barang Keluar'!$E:$E,'Barang Keluar'!$A:$A,M8472,'Barang Keluar'!$C:$C,N8472))</f>
        <v>0</v>
      </c>
    </row>
    <row r="8473" spans="13:16">
      <c r="M8473" s="49">
        <f>IF($A$4+84&gt;$B$4,"",$A$4+84)</f>
        <v>46107</v>
      </c>
      <c r="N8473">
        <f>IF(M8473="","",'Master Barang'!A67)</f>
        <v>0</v>
      </c>
      <c r="O8473">
        <f>IF(N8473="","",'Master Barang'!B67)</f>
        <v>0</v>
      </c>
      <c r="P8473">
        <f>IF(OR(M8473="",N8473=""),"",SUMIFS('Barang Keluar'!$E:$E,'Barang Keluar'!$A:$A,M8473,'Barang Keluar'!$C:$C,N8473))</f>
        <v>0</v>
      </c>
    </row>
    <row r="8474" spans="13:16">
      <c r="M8474" s="49">
        <f>IF($A$4+84&gt;$B$4,"",$A$4+84)</f>
        <v>46107</v>
      </c>
      <c r="N8474">
        <f>IF(M8474="","",'Master Barang'!A68)</f>
        <v>0</v>
      </c>
      <c r="O8474">
        <f>IF(N8474="","",'Master Barang'!B68)</f>
        <v>0</v>
      </c>
      <c r="P8474">
        <f>IF(OR(M8474="",N8474=""),"",SUMIFS('Barang Keluar'!$E:$E,'Barang Keluar'!$A:$A,M8474,'Barang Keluar'!$C:$C,N8474))</f>
        <v>0</v>
      </c>
    </row>
    <row r="8475" spans="13:16">
      <c r="M8475" s="49">
        <f>IF($A$4+84&gt;$B$4,"",$A$4+84)</f>
        <v>46107</v>
      </c>
      <c r="N8475">
        <f>IF(M8475="","",'Master Barang'!A69)</f>
        <v>0</v>
      </c>
      <c r="O8475">
        <f>IF(N8475="","",'Master Barang'!B69)</f>
        <v>0</v>
      </c>
      <c r="P8475">
        <f>IF(OR(M8475="",N8475=""),"",SUMIFS('Barang Keluar'!$E:$E,'Barang Keluar'!$A:$A,M8475,'Barang Keluar'!$C:$C,N8475))</f>
        <v>0</v>
      </c>
    </row>
    <row r="8476" spans="13:16">
      <c r="M8476" s="49">
        <f>IF($A$4+84&gt;$B$4,"",$A$4+84)</f>
        <v>46107</v>
      </c>
      <c r="N8476">
        <f>IF(M8476="","",'Master Barang'!A70)</f>
        <v>0</v>
      </c>
      <c r="O8476">
        <f>IF(N8476="","",'Master Barang'!B70)</f>
        <v>0</v>
      </c>
      <c r="P8476">
        <f>IF(OR(M8476="",N8476=""),"",SUMIFS('Barang Keluar'!$E:$E,'Barang Keluar'!$A:$A,M8476,'Barang Keluar'!$C:$C,N8476))</f>
        <v>0</v>
      </c>
    </row>
    <row r="8477" spans="13:16">
      <c r="M8477" s="49">
        <f>IF($A$4+84&gt;$B$4,"",$A$4+84)</f>
        <v>46107</v>
      </c>
      <c r="N8477">
        <f>IF(M8477="","",'Master Barang'!A71)</f>
        <v>0</v>
      </c>
      <c r="O8477">
        <f>IF(N8477="","",'Master Barang'!B71)</f>
        <v>0</v>
      </c>
      <c r="P8477">
        <f>IF(OR(M8477="",N8477=""),"",SUMIFS('Barang Keluar'!$E:$E,'Barang Keluar'!$A:$A,M8477,'Barang Keluar'!$C:$C,N8477))</f>
        <v>0</v>
      </c>
    </row>
    <row r="8478" spans="13:16">
      <c r="M8478" s="49">
        <f>IF($A$4+84&gt;$B$4,"",$A$4+84)</f>
        <v>46107</v>
      </c>
      <c r="N8478">
        <f>IF(M8478="","",'Master Barang'!A72)</f>
        <v>0</v>
      </c>
      <c r="O8478">
        <f>IF(N8478="","",'Master Barang'!B72)</f>
        <v>0</v>
      </c>
      <c r="P8478">
        <f>IF(OR(M8478="",N8478=""),"",SUMIFS('Barang Keluar'!$E:$E,'Barang Keluar'!$A:$A,M8478,'Barang Keluar'!$C:$C,N8478))</f>
        <v>0</v>
      </c>
    </row>
    <row r="8479" spans="13:16">
      <c r="M8479" s="49">
        <f>IF($A$4+84&gt;$B$4,"",$A$4+84)</f>
        <v>46107</v>
      </c>
      <c r="N8479">
        <f>IF(M8479="","",'Master Barang'!A73)</f>
        <v>0</v>
      </c>
      <c r="O8479">
        <f>IF(N8479="","",'Master Barang'!B73)</f>
        <v>0</v>
      </c>
      <c r="P8479">
        <f>IF(OR(M8479="",N8479=""),"",SUMIFS('Barang Keluar'!$E:$E,'Barang Keluar'!$A:$A,M8479,'Barang Keluar'!$C:$C,N8479))</f>
        <v>0</v>
      </c>
    </row>
    <row r="8480" spans="13:16">
      <c r="M8480" s="49">
        <f>IF($A$4+84&gt;$B$4,"",$A$4+84)</f>
        <v>46107</v>
      </c>
      <c r="N8480">
        <f>IF(M8480="","",'Master Barang'!A74)</f>
        <v>0</v>
      </c>
      <c r="O8480">
        <f>IF(N8480="","",'Master Barang'!B74)</f>
        <v>0</v>
      </c>
      <c r="P8480">
        <f>IF(OR(M8480="",N8480=""),"",SUMIFS('Barang Keluar'!$E:$E,'Barang Keluar'!$A:$A,M8480,'Barang Keluar'!$C:$C,N8480))</f>
        <v>0</v>
      </c>
    </row>
    <row r="8481" spans="13:16">
      <c r="M8481" s="49">
        <f>IF($A$4+84&gt;$B$4,"",$A$4+84)</f>
        <v>46107</v>
      </c>
      <c r="N8481">
        <f>IF(M8481="","",'Master Barang'!A75)</f>
        <v>0</v>
      </c>
      <c r="O8481">
        <f>IF(N8481="","",'Master Barang'!B75)</f>
        <v>0</v>
      </c>
      <c r="P8481">
        <f>IF(OR(M8481="",N8481=""),"",SUMIFS('Barang Keluar'!$E:$E,'Barang Keluar'!$A:$A,M8481,'Barang Keluar'!$C:$C,N8481))</f>
        <v>0</v>
      </c>
    </row>
    <row r="8482" spans="13:16">
      <c r="M8482" s="49">
        <f>IF($A$4+84&gt;$B$4,"",$A$4+84)</f>
        <v>46107</v>
      </c>
      <c r="N8482">
        <f>IF(M8482="","",'Master Barang'!A76)</f>
        <v>0</v>
      </c>
      <c r="O8482">
        <f>IF(N8482="","",'Master Barang'!B76)</f>
        <v>0</v>
      </c>
      <c r="P8482">
        <f>IF(OR(M8482="",N8482=""),"",SUMIFS('Barang Keluar'!$E:$E,'Barang Keluar'!$A:$A,M8482,'Barang Keluar'!$C:$C,N8482))</f>
        <v>0</v>
      </c>
    </row>
    <row r="8483" spans="13:16">
      <c r="M8483" s="49">
        <f>IF($A$4+84&gt;$B$4,"",$A$4+84)</f>
        <v>46107</v>
      </c>
      <c r="N8483">
        <f>IF(M8483="","",'Master Barang'!A77)</f>
        <v>0</v>
      </c>
      <c r="O8483">
        <f>IF(N8483="","",'Master Barang'!B77)</f>
        <v>0</v>
      </c>
      <c r="P8483">
        <f>IF(OR(M8483="",N8483=""),"",SUMIFS('Barang Keluar'!$E:$E,'Barang Keluar'!$A:$A,M8483,'Barang Keluar'!$C:$C,N8483))</f>
        <v>0</v>
      </c>
    </row>
    <row r="8484" spans="13:16">
      <c r="M8484" s="49">
        <f>IF($A$4+84&gt;$B$4,"",$A$4+84)</f>
        <v>46107</v>
      </c>
      <c r="N8484">
        <f>IF(M8484="","",'Master Barang'!A78)</f>
        <v>0</v>
      </c>
      <c r="O8484">
        <f>IF(N8484="","",'Master Barang'!B78)</f>
        <v>0</v>
      </c>
      <c r="P8484">
        <f>IF(OR(M8484="",N8484=""),"",SUMIFS('Barang Keluar'!$E:$E,'Barang Keluar'!$A:$A,M8484,'Barang Keluar'!$C:$C,N8484))</f>
        <v>0</v>
      </c>
    </row>
    <row r="8485" spans="13:16">
      <c r="M8485" s="49">
        <f>IF($A$4+84&gt;$B$4,"",$A$4+84)</f>
        <v>46107</v>
      </c>
      <c r="N8485">
        <f>IF(M8485="","",'Master Barang'!A79)</f>
        <v>0</v>
      </c>
      <c r="O8485">
        <f>IF(N8485="","",'Master Barang'!B79)</f>
        <v>0</v>
      </c>
      <c r="P8485">
        <f>IF(OR(M8485="",N8485=""),"",SUMIFS('Barang Keluar'!$E:$E,'Barang Keluar'!$A:$A,M8485,'Barang Keluar'!$C:$C,N8485))</f>
        <v>0</v>
      </c>
    </row>
    <row r="8486" spans="13:16">
      <c r="M8486" s="49">
        <f>IF($A$4+84&gt;$B$4,"",$A$4+84)</f>
        <v>46107</v>
      </c>
      <c r="N8486">
        <f>IF(M8486="","",'Master Barang'!A80)</f>
        <v>0</v>
      </c>
      <c r="O8486">
        <f>IF(N8486="","",'Master Barang'!B80)</f>
        <v>0</v>
      </c>
      <c r="P8486">
        <f>IF(OR(M8486="",N8486=""),"",SUMIFS('Barang Keluar'!$E:$E,'Barang Keluar'!$A:$A,M8486,'Barang Keluar'!$C:$C,N8486))</f>
        <v>0</v>
      </c>
    </row>
    <row r="8487" spans="13:16">
      <c r="M8487" s="49">
        <f>IF($A$4+84&gt;$B$4,"",$A$4+84)</f>
        <v>46107</v>
      </c>
      <c r="N8487">
        <f>IF(M8487="","",'Master Barang'!A81)</f>
        <v>0</v>
      </c>
      <c r="O8487">
        <f>IF(N8487="","",'Master Barang'!B81)</f>
        <v>0</v>
      </c>
      <c r="P8487">
        <f>IF(OR(M8487="",N8487=""),"",SUMIFS('Barang Keluar'!$E:$E,'Barang Keluar'!$A:$A,M8487,'Barang Keluar'!$C:$C,N8487))</f>
        <v>0</v>
      </c>
    </row>
    <row r="8488" spans="13:16">
      <c r="M8488" s="49">
        <f>IF($A$4+84&gt;$B$4,"",$A$4+84)</f>
        <v>46107</v>
      </c>
      <c r="N8488">
        <f>IF(M8488="","",'Master Barang'!A82)</f>
        <v>0</v>
      </c>
      <c r="O8488">
        <f>IF(N8488="","",'Master Barang'!B82)</f>
        <v>0</v>
      </c>
      <c r="P8488">
        <f>IF(OR(M8488="",N8488=""),"",SUMIFS('Barang Keluar'!$E:$E,'Barang Keluar'!$A:$A,M8488,'Barang Keluar'!$C:$C,N8488))</f>
        <v>0</v>
      </c>
    </row>
    <row r="8489" spans="13:16">
      <c r="M8489" s="49">
        <f>IF($A$4+84&gt;$B$4,"",$A$4+84)</f>
        <v>46107</v>
      </c>
      <c r="N8489">
        <f>IF(M8489="","",'Master Barang'!A83)</f>
        <v>0</v>
      </c>
      <c r="O8489">
        <f>IF(N8489="","",'Master Barang'!B83)</f>
        <v>0</v>
      </c>
      <c r="P8489">
        <f>IF(OR(M8489="",N8489=""),"",SUMIFS('Barang Keluar'!$E:$E,'Barang Keluar'!$A:$A,M8489,'Barang Keluar'!$C:$C,N8489))</f>
        <v>0</v>
      </c>
    </row>
    <row r="8490" spans="13:16">
      <c r="M8490" s="49">
        <f>IF($A$4+84&gt;$B$4,"",$A$4+84)</f>
        <v>46107</v>
      </c>
      <c r="N8490">
        <f>IF(M8490="","",'Master Barang'!A84)</f>
        <v>0</v>
      </c>
      <c r="O8490">
        <f>IF(N8490="","",'Master Barang'!B84)</f>
        <v>0</v>
      </c>
      <c r="P8490">
        <f>IF(OR(M8490="",N8490=""),"",SUMIFS('Barang Keluar'!$E:$E,'Barang Keluar'!$A:$A,M8490,'Barang Keluar'!$C:$C,N8490))</f>
        <v>0</v>
      </c>
    </row>
    <row r="8491" spans="13:16">
      <c r="M8491" s="49">
        <f>IF($A$4+84&gt;$B$4,"",$A$4+84)</f>
        <v>46107</v>
      </c>
      <c r="N8491">
        <f>IF(M8491="","",'Master Barang'!A85)</f>
        <v>0</v>
      </c>
      <c r="O8491">
        <f>IF(N8491="","",'Master Barang'!B85)</f>
        <v>0</v>
      </c>
      <c r="P8491">
        <f>IF(OR(M8491="",N8491=""),"",SUMIFS('Barang Keluar'!$E:$E,'Barang Keluar'!$A:$A,M8491,'Barang Keluar'!$C:$C,N8491))</f>
        <v>0</v>
      </c>
    </row>
    <row r="8492" spans="13:16">
      <c r="M8492" s="49">
        <f>IF($A$4+84&gt;$B$4,"",$A$4+84)</f>
        <v>46107</v>
      </c>
      <c r="N8492">
        <f>IF(M8492="","",'Master Barang'!A86)</f>
        <v>0</v>
      </c>
      <c r="O8492">
        <f>IF(N8492="","",'Master Barang'!B86)</f>
        <v>0</v>
      </c>
      <c r="P8492">
        <f>IF(OR(M8492="",N8492=""),"",SUMIFS('Barang Keluar'!$E:$E,'Barang Keluar'!$A:$A,M8492,'Barang Keluar'!$C:$C,N8492))</f>
        <v>0</v>
      </c>
    </row>
    <row r="8493" spans="13:16">
      <c r="M8493" s="49">
        <f>IF($A$4+84&gt;$B$4,"",$A$4+84)</f>
        <v>46107</v>
      </c>
      <c r="N8493">
        <f>IF(M8493="","",'Master Barang'!A87)</f>
        <v>0</v>
      </c>
      <c r="O8493">
        <f>IF(N8493="","",'Master Barang'!B87)</f>
        <v>0</v>
      </c>
      <c r="P8493">
        <f>IF(OR(M8493="",N8493=""),"",SUMIFS('Barang Keluar'!$E:$E,'Barang Keluar'!$A:$A,M8493,'Barang Keluar'!$C:$C,N8493))</f>
        <v>0</v>
      </c>
    </row>
    <row r="8494" spans="13:16">
      <c r="M8494" s="49">
        <f>IF($A$4+84&gt;$B$4,"",$A$4+84)</f>
        <v>46107</v>
      </c>
      <c r="N8494">
        <f>IF(M8494="","",'Master Barang'!A88)</f>
        <v>0</v>
      </c>
      <c r="O8494">
        <f>IF(N8494="","",'Master Barang'!B88)</f>
        <v>0</v>
      </c>
      <c r="P8494">
        <f>IF(OR(M8494="",N8494=""),"",SUMIFS('Barang Keluar'!$E:$E,'Barang Keluar'!$A:$A,M8494,'Barang Keluar'!$C:$C,N8494))</f>
        <v>0</v>
      </c>
    </row>
    <row r="8495" spans="13:16">
      <c r="M8495" s="49">
        <f>IF($A$4+84&gt;$B$4,"",$A$4+84)</f>
        <v>46107</v>
      </c>
      <c r="N8495">
        <f>IF(M8495="","",'Master Barang'!A89)</f>
        <v>0</v>
      </c>
      <c r="O8495">
        <f>IF(N8495="","",'Master Barang'!B89)</f>
        <v>0</v>
      </c>
      <c r="P8495">
        <f>IF(OR(M8495="",N8495=""),"",SUMIFS('Barang Keluar'!$E:$E,'Barang Keluar'!$A:$A,M8495,'Barang Keluar'!$C:$C,N8495))</f>
        <v>0</v>
      </c>
    </row>
    <row r="8496" spans="13:16">
      <c r="M8496" s="49">
        <f>IF($A$4+84&gt;$B$4,"",$A$4+84)</f>
        <v>46107</v>
      </c>
      <c r="N8496">
        <f>IF(M8496="","",'Master Barang'!A90)</f>
        <v>0</v>
      </c>
      <c r="O8496">
        <f>IF(N8496="","",'Master Barang'!B90)</f>
        <v>0</v>
      </c>
      <c r="P8496">
        <f>IF(OR(M8496="",N8496=""),"",SUMIFS('Barang Keluar'!$E:$E,'Barang Keluar'!$A:$A,M8496,'Barang Keluar'!$C:$C,N8496))</f>
        <v>0</v>
      </c>
    </row>
    <row r="8497" spans="13:16">
      <c r="M8497" s="49">
        <f>IF($A$4+84&gt;$B$4,"",$A$4+84)</f>
        <v>46107</v>
      </c>
      <c r="N8497">
        <f>IF(M8497="","",'Master Barang'!A91)</f>
        <v>0</v>
      </c>
      <c r="O8497">
        <f>IF(N8497="","",'Master Barang'!B91)</f>
        <v>0</v>
      </c>
      <c r="P8497">
        <f>IF(OR(M8497="",N8497=""),"",SUMIFS('Barang Keluar'!$E:$E,'Barang Keluar'!$A:$A,M8497,'Barang Keluar'!$C:$C,N8497))</f>
        <v>0</v>
      </c>
    </row>
    <row r="8498" spans="13:16">
      <c r="M8498" s="49">
        <f>IF($A$4+84&gt;$B$4,"",$A$4+84)</f>
        <v>46107</v>
      </c>
      <c r="N8498">
        <f>IF(M8498="","",'Master Barang'!A92)</f>
        <v>0</v>
      </c>
      <c r="O8498">
        <f>IF(N8498="","",'Master Barang'!B92)</f>
        <v>0</v>
      </c>
      <c r="P8498">
        <f>IF(OR(M8498="",N8498=""),"",SUMIFS('Barang Keluar'!$E:$E,'Barang Keluar'!$A:$A,M8498,'Barang Keluar'!$C:$C,N8498))</f>
        <v>0</v>
      </c>
    </row>
    <row r="8499" spans="13:16">
      <c r="M8499" s="49">
        <f>IF($A$4+84&gt;$B$4,"",$A$4+84)</f>
        <v>46107</v>
      </c>
      <c r="N8499">
        <f>IF(M8499="","",'Master Barang'!A93)</f>
        <v>0</v>
      </c>
      <c r="O8499">
        <f>IF(N8499="","",'Master Barang'!B93)</f>
        <v>0</v>
      </c>
      <c r="P8499">
        <f>IF(OR(M8499="",N8499=""),"",SUMIFS('Barang Keluar'!$E:$E,'Barang Keluar'!$A:$A,M8499,'Barang Keluar'!$C:$C,N8499))</f>
        <v>0</v>
      </c>
    </row>
    <row r="8500" spans="13:16">
      <c r="M8500" s="49">
        <f>IF($A$4+84&gt;$B$4,"",$A$4+84)</f>
        <v>46107</v>
      </c>
      <c r="N8500">
        <f>IF(M8500="","",'Master Barang'!A94)</f>
        <v>0</v>
      </c>
      <c r="O8500">
        <f>IF(N8500="","",'Master Barang'!B94)</f>
        <v>0</v>
      </c>
      <c r="P8500">
        <f>IF(OR(M8500="",N8500=""),"",SUMIFS('Barang Keluar'!$E:$E,'Barang Keluar'!$A:$A,M8500,'Barang Keluar'!$C:$C,N8500))</f>
        <v>0</v>
      </c>
    </row>
    <row r="8501" spans="13:16">
      <c r="M8501" s="49">
        <f>IF($A$4+84&gt;$B$4,"",$A$4+84)</f>
        <v>46107</v>
      </c>
      <c r="N8501">
        <f>IF(M8501="","",'Master Barang'!A95)</f>
        <v>0</v>
      </c>
      <c r="O8501">
        <f>IF(N8501="","",'Master Barang'!B95)</f>
        <v>0</v>
      </c>
      <c r="P8501">
        <f>IF(OR(M8501="",N8501=""),"",SUMIFS('Barang Keluar'!$E:$E,'Barang Keluar'!$A:$A,M8501,'Barang Keluar'!$C:$C,N8501))</f>
        <v>0</v>
      </c>
    </row>
    <row r="8502" spans="13:16">
      <c r="M8502" s="49">
        <f>IF($A$4+84&gt;$B$4,"",$A$4+84)</f>
        <v>46107</v>
      </c>
      <c r="N8502">
        <f>IF(M8502="","",'Master Barang'!A96)</f>
        <v>0</v>
      </c>
      <c r="O8502">
        <f>IF(N8502="","",'Master Barang'!B96)</f>
        <v>0</v>
      </c>
      <c r="P8502">
        <f>IF(OR(M8502="",N8502=""),"",SUMIFS('Barang Keluar'!$E:$E,'Barang Keluar'!$A:$A,M8502,'Barang Keluar'!$C:$C,N8502))</f>
        <v>0</v>
      </c>
    </row>
    <row r="8503" spans="13:16">
      <c r="M8503" s="49">
        <f>IF($A$4+84&gt;$B$4,"",$A$4+84)</f>
        <v>46107</v>
      </c>
      <c r="N8503">
        <f>IF(M8503="","",'Master Barang'!A97)</f>
        <v>0</v>
      </c>
      <c r="O8503">
        <f>IF(N8503="","",'Master Barang'!B97)</f>
        <v>0</v>
      </c>
      <c r="P8503">
        <f>IF(OR(M8503="",N8503=""),"",SUMIFS('Barang Keluar'!$E:$E,'Barang Keluar'!$A:$A,M8503,'Barang Keluar'!$C:$C,N8503))</f>
        <v>0</v>
      </c>
    </row>
    <row r="8504" spans="13:16">
      <c r="M8504" s="49">
        <f>IF($A$4+84&gt;$B$4,"",$A$4+84)</f>
        <v>46107</v>
      </c>
      <c r="N8504">
        <f>IF(M8504="","",'Master Barang'!A98)</f>
        <v>0</v>
      </c>
      <c r="O8504">
        <f>IF(N8504="","",'Master Barang'!B98)</f>
        <v>0</v>
      </c>
      <c r="P8504">
        <f>IF(OR(M8504="",N8504=""),"",SUMIFS('Barang Keluar'!$E:$E,'Barang Keluar'!$A:$A,M8504,'Barang Keluar'!$C:$C,N8504))</f>
        <v>0</v>
      </c>
    </row>
    <row r="8505" spans="13:16">
      <c r="M8505" s="49">
        <f>IF($A$4+84&gt;$B$4,"",$A$4+84)</f>
        <v>46107</v>
      </c>
      <c r="N8505">
        <f>IF(M8505="","",'Master Barang'!A99)</f>
        <v>0</v>
      </c>
      <c r="O8505">
        <f>IF(N8505="","",'Master Barang'!B99)</f>
        <v>0</v>
      </c>
      <c r="P8505">
        <f>IF(OR(M8505="",N8505=""),"",SUMIFS('Barang Keluar'!$E:$E,'Barang Keluar'!$A:$A,M8505,'Barang Keluar'!$C:$C,N8505))</f>
        <v>0</v>
      </c>
    </row>
    <row r="8506" spans="13:16">
      <c r="M8506" s="49">
        <f>IF($A$4+84&gt;$B$4,"",$A$4+84)</f>
        <v>46107</v>
      </c>
      <c r="N8506">
        <f>IF(M8506="","",'Master Barang'!A100)</f>
        <v>0</v>
      </c>
      <c r="O8506">
        <f>IF(N8506="","",'Master Barang'!B100)</f>
        <v>0</v>
      </c>
      <c r="P8506">
        <f>IF(OR(M8506="",N8506=""),"",SUMIFS('Barang Keluar'!$E:$E,'Barang Keluar'!$A:$A,M8506,'Barang Keluar'!$C:$C,N8506))</f>
        <v>0</v>
      </c>
    </row>
    <row r="8507" spans="13:16">
      <c r="M8507" s="49">
        <f>IF($A$4+84&gt;$B$4,"",$A$4+84)</f>
        <v>46107</v>
      </c>
      <c r="N8507">
        <f>IF(M8507="","",'Master Barang'!A101)</f>
        <v>0</v>
      </c>
      <c r="O8507">
        <f>IF(N8507="","",'Master Barang'!B101)</f>
        <v>0</v>
      </c>
      <c r="P8507">
        <f>IF(OR(M8507="",N8507=""),"",SUMIFS('Barang Keluar'!$E:$E,'Barang Keluar'!$A:$A,M8507,'Barang Keluar'!$C:$C,N8507))</f>
        <v>0</v>
      </c>
    </row>
    <row r="8508" spans="13:16">
      <c r="M8508" s="49">
        <f>IF($A$4+85&gt;$B$4,"",$A$4+85)</f>
        <v>46108</v>
      </c>
      <c r="N8508" t="str">
        <f>IF(M8508="","",'Master Barang'!A2)</f>
        <v>PRL-001</v>
      </c>
      <c r="O8508" t="str">
        <f>IF(N8508="","",'Master Barang'!B2)</f>
        <v>natura desinfectant food grade 5l</v>
      </c>
      <c r="P8508">
        <f>IF(OR(M8508="",N8508=""),"",SUMIFS('Barang Keluar'!$E:$E,'Barang Keluar'!$A:$A,M8508,'Barang Keluar'!$C:$C,N8508))</f>
        <v>0</v>
      </c>
    </row>
    <row r="8509" spans="13:16">
      <c r="M8509" s="49">
        <f>IF($A$4+85&gt;$B$4,"",$A$4+85)</f>
        <v>46108</v>
      </c>
      <c r="N8509" t="str">
        <f>IF(M8509="","",'Master Barang'!A3)</f>
        <v>PRL-002</v>
      </c>
      <c r="O8509" t="str">
        <f>IF(N8509="","",'Master Barang'!B3)</f>
        <v>sunlight cairan pencuci piring 5l</v>
      </c>
      <c r="P8509">
        <f>IF(OR(M8509="",N8509=""),"",SUMIFS('Barang Keluar'!$E:$E,'Barang Keluar'!$A:$A,M8509,'Barang Keluar'!$C:$C,N8509))</f>
        <v>0</v>
      </c>
    </row>
    <row r="8510" spans="13:16">
      <c r="M8510" s="49">
        <f>IF($A$4+85&gt;$B$4,"",$A$4+85)</f>
        <v>46108</v>
      </c>
      <c r="N8510" t="str">
        <f>IF(M8510="","",'Master Barang'!A4)</f>
        <v>PRL-003</v>
      </c>
      <c r="O8510" t="str">
        <f>IF(N8510="","",'Master Barang'!B4)</f>
        <v>oixs cleaner 1l</v>
      </c>
      <c r="P8510">
        <f>IF(OR(M8510="",N8510=""),"",SUMIFS('Barang Keluar'!$E:$E,'Barang Keluar'!$A:$A,M8510,'Barang Keluar'!$C:$C,N8510))</f>
        <v>0</v>
      </c>
    </row>
    <row r="8511" spans="13:16">
      <c r="M8511" s="49">
        <f>IF($A$4+85&gt;$B$4,"",$A$4+85)</f>
        <v>46108</v>
      </c>
      <c r="N8511" t="str">
        <f>IF(M8511="","",'Master Barang'!A5)</f>
        <v>PRL-004</v>
      </c>
      <c r="O8511" t="str">
        <f>IF(N8511="","",'Master Barang'!B5)</f>
        <v>be clean tissue serbaguna</v>
      </c>
      <c r="P8511">
        <f>IF(OR(M8511="",N8511=""),"",SUMIFS('Barang Keluar'!$E:$E,'Barang Keluar'!$A:$A,M8511,'Barang Keluar'!$C:$C,N8511))</f>
        <v>0</v>
      </c>
    </row>
    <row r="8512" spans="13:16">
      <c r="M8512" s="49">
        <f>IF($A$4+85&gt;$B$4,"",$A$4+85)</f>
        <v>46108</v>
      </c>
      <c r="N8512" t="str">
        <f>IF(M8512="","",'Master Barang'!A6)</f>
        <v>PRL-005</v>
      </c>
      <c r="O8512" t="str">
        <f>IF(N8512="","",'Master Barang'!B6)</f>
        <v>spons cuci hijau</v>
      </c>
      <c r="P8512">
        <f>IF(OR(M8512="",N8512=""),"",SUMIFS('Barang Keluar'!$E:$E,'Barang Keluar'!$A:$A,M8512,'Barang Keluar'!$C:$C,N8512))</f>
        <v>0</v>
      </c>
    </row>
    <row r="8513" spans="13:16">
      <c r="M8513" s="49">
        <f>IF($A$4+85&gt;$B$4,"",$A$4+85)</f>
        <v>46108</v>
      </c>
      <c r="N8513" t="str">
        <f>IF(M8513="","",'Master Barang'!A7)</f>
        <v>PRL-006</v>
      </c>
      <c r="O8513" t="str">
        <f>IF(N8513="","",'Master Barang'!B7)</f>
        <v>sabut cuci stainless</v>
      </c>
      <c r="P8513">
        <f>IF(OR(M8513="",N8513=""),"",SUMIFS('Barang Keluar'!$E:$E,'Barang Keluar'!$A:$A,M8513,'Barang Keluar'!$C:$C,N8513))</f>
        <v>0</v>
      </c>
    </row>
    <row r="8514" spans="13:16">
      <c r="M8514" s="49">
        <f>IF($A$4+85&gt;$B$4,"",$A$4+85)</f>
        <v>46108</v>
      </c>
      <c r="N8514" t="str">
        <f>IF(M8514="","",'Master Barang'!A8)</f>
        <v>PRL-007</v>
      </c>
      <c r="O8514" t="str">
        <f>IF(N8514="","",'Master Barang'!B8)</f>
        <v>plastik kresek besar merah 50pc</v>
      </c>
      <c r="P8514">
        <f>IF(OR(M8514="",N8514=""),"",SUMIFS('Barang Keluar'!$E:$E,'Barang Keluar'!$A:$A,M8514,'Barang Keluar'!$C:$C,N8514))</f>
        <v>0</v>
      </c>
    </row>
    <row r="8515" spans="13:16">
      <c r="M8515" s="49">
        <f>IF($A$4+85&gt;$B$4,"",$A$4+85)</f>
        <v>46108</v>
      </c>
      <c r="N8515" t="str">
        <f>IF(M8515="","",'Master Barang'!A9)</f>
        <v>PRL-008</v>
      </c>
      <c r="O8515" t="str">
        <f>IF(N8515="","",'Master Barang'!B9)</f>
        <v>lap besar</v>
      </c>
      <c r="P8515">
        <f>IF(OR(M8515="",N8515=""),"",SUMIFS('Barang Keluar'!$E:$E,'Barang Keluar'!$A:$A,M8515,'Barang Keluar'!$C:$C,N8515))</f>
        <v>0</v>
      </c>
    </row>
    <row r="8516" spans="13:16">
      <c r="M8516" s="49">
        <f>IF($A$4+85&gt;$B$4,"",$A$4+85)</f>
        <v>46108</v>
      </c>
      <c r="N8516" t="str">
        <f>IF(M8516="","",'Master Barang'!A10)</f>
        <v>PRL-009</v>
      </c>
      <c r="O8516" t="str">
        <f>IF(N8516="","",'Master Barang'!B10)</f>
        <v>lap microfiber</v>
      </c>
      <c r="P8516">
        <f>IF(OR(M8516="",N8516=""),"",SUMIFS('Barang Keluar'!$E:$E,'Barang Keluar'!$A:$A,M8516,'Barang Keluar'!$C:$C,N8516))</f>
        <v>0</v>
      </c>
    </row>
    <row r="8517" spans="13:16">
      <c r="M8517" s="49">
        <f>IF($A$4+85&gt;$B$4,"",$A$4+85)</f>
        <v>46108</v>
      </c>
      <c r="N8517" t="str">
        <f>IF(M8517="","",'Master Barang'!A11)</f>
        <v>PRL-010</v>
      </c>
      <c r="O8517" t="str">
        <f>IF(N8517="","",'Master Barang'!B11)</f>
        <v>lap kecil</v>
      </c>
      <c r="P8517">
        <f>IF(OR(M8517="",N8517=""),"",SUMIFS('Barang Keluar'!$E:$E,'Barang Keluar'!$A:$A,M8517,'Barang Keluar'!$C:$C,N8517))</f>
        <v>0</v>
      </c>
    </row>
    <row r="8518" spans="13:16">
      <c r="M8518" s="49">
        <f>IF($A$4+85&gt;$B$4,"",$A$4+85)</f>
        <v>46108</v>
      </c>
      <c r="N8518" t="str">
        <f>IF(M8518="","",'Master Barang'!A12)</f>
        <v>PRL-011</v>
      </c>
      <c r="O8518" t="str">
        <f>IF(N8518="","",'Master Barang'!B12)</f>
        <v>kanebo kecil</v>
      </c>
      <c r="P8518">
        <f>IF(OR(M8518="",N8518=""),"",SUMIFS('Barang Keluar'!$E:$E,'Barang Keluar'!$A:$A,M8518,'Barang Keluar'!$C:$C,N8518))</f>
        <v>0</v>
      </c>
    </row>
    <row r="8519" spans="13:16">
      <c r="M8519" s="49">
        <f>IF($A$4+85&gt;$B$4,"",$A$4+85)</f>
        <v>46108</v>
      </c>
      <c r="N8519" t="str">
        <f>IF(M8519="","",'Master Barang'!A13)</f>
        <v>PRL-012</v>
      </c>
      <c r="O8519" t="str">
        <f>IF(N8519="","",'Master Barang'!B13)</f>
        <v>plastik 1/4kg joyoboyo 100 lembar</v>
      </c>
      <c r="P8519">
        <f>IF(OR(M8519="",N8519=""),"",SUMIFS('Barang Keluar'!$E:$E,'Barang Keluar'!$A:$A,M8519,'Barang Keluar'!$C:$C,N8519))</f>
        <v>0</v>
      </c>
    </row>
    <row r="8520" spans="13:16">
      <c r="M8520" s="49">
        <f>IF($A$4+85&gt;$B$4,"",$A$4+85)</f>
        <v>46108</v>
      </c>
      <c r="N8520" t="str">
        <f>IF(M8520="","",'Master Barang'!A14)</f>
        <v>PRL-013</v>
      </c>
      <c r="O8520" t="str">
        <f>IF(N8520="","",'Master Barang'!B14)</f>
        <v>sarung tangan plastik kaka 100 pcs</v>
      </c>
      <c r="P8520">
        <f>IF(OR(M8520="",N8520=""),"",SUMIFS('Barang Keluar'!$E:$E,'Barang Keluar'!$A:$A,M8520,'Barang Keluar'!$C:$C,N8520))</f>
        <v>0</v>
      </c>
    </row>
    <row r="8521" spans="13:16">
      <c r="M8521" s="49">
        <f>IF($A$4+85&gt;$B$4,"",$A$4+85)</f>
        <v>46108</v>
      </c>
      <c r="N8521" t="str">
        <f>IF(M8521="","",'Master Barang'!A15)</f>
        <v>PRL-014</v>
      </c>
      <c r="O8521" t="str">
        <f>IF(N8521="","",'Master Barang'!B15)</f>
        <v>optima trashbag 80x100</v>
      </c>
      <c r="P8521">
        <f>IF(OR(M8521="",N8521=""),"",SUMIFS('Barang Keluar'!$E:$E,'Barang Keluar'!$A:$A,M8521,'Barang Keluar'!$C:$C,N8521))</f>
        <v>0</v>
      </c>
    </row>
    <row r="8522" spans="13:16">
      <c r="M8522" s="49">
        <f>IF($A$4+85&gt;$B$4,"",$A$4+85)</f>
        <v>46108</v>
      </c>
      <c r="N8522" t="str">
        <f>IF(M8522="","",'Master Barang'!A16)</f>
        <v>PRL-015</v>
      </c>
      <c r="O8522" t="str">
        <f>IF(N8522="","",'Master Barang'!B16)</f>
        <v>optima trashbag 60x100</v>
      </c>
      <c r="P8522">
        <f>IF(OR(M8522="",N8522=""),"",SUMIFS('Barang Keluar'!$E:$E,'Barang Keluar'!$A:$A,M8522,'Barang Keluar'!$C:$C,N8522))</f>
        <v>0</v>
      </c>
    </row>
    <row r="8523" spans="13:16">
      <c r="M8523" s="49">
        <f>IF($A$4+85&gt;$B$4,"",$A$4+85)</f>
        <v>46108</v>
      </c>
      <c r="N8523" t="str">
        <f>IF(M8523="","",'Master Barang'!A17)</f>
        <v>PRL-016</v>
      </c>
      <c r="O8523" t="str">
        <f>IF(N8523="","",'Master Barang'!B17)</f>
        <v>rajawali trashbag 30x40</v>
      </c>
      <c r="P8523">
        <f>IF(OR(M8523="",N8523=""),"",SUMIFS('Barang Keluar'!$E:$E,'Barang Keluar'!$A:$A,M8523,'Barang Keluar'!$C:$C,N8523))</f>
        <v>0</v>
      </c>
    </row>
    <row r="8524" spans="13:16">
      <c r="M8524" s="49">
        <f>IF($A$4+85&gt;$B$4,"",$A$4+85)</f>
        <v>46108</v>
      </c>
      <c r="N8524" t="str">
        <f>IF(M8524="","",'Master Barang'!A18)</f>
        <v>PRL-017</v>
      </c>
      <c r="O8524" t="str">
        <f>IF(N8524="","",'Master Barang'!B18)</f>
        <v>onemed masker biru 3 play 50 pcs</v>
      </c>
      <c r="P8524">
        <f>IF(OR(M8524="",N8524=""),"",SUMIFS('Barang Keluar'!$E:$E,'Barang Keluar'!$A:$A,M8524,'Barang Keluar'!$C:$C,N8524))</f>
        <v>0</v>
      </c>
    </row>
    <row r="8525" spans="13:16">
      <c r="M8525" s="49">
        <f>IF($A$4+85&gt;$B$4,"",$A$4+85)</f>
        <v>46108</v>
      </c>
      <c r="N8525" t="str">
        <f>IF(M8525="","",'Master Barang'!A19)</f>
        <v>PRL-018</v>
      </c>
      <c r="O8525" t="str">
        <f>IF(N8525="","",'Master Barang'!B19)</f>
        <v>onemed masker biru 3 play hijab 50 pcs</v>
      </c>
      <c r="P8525">
        <f>IF(OR(M8525="",N8525=""),"",SUMIFS('Barang Keluar'!$E:$E,'Barang Keluar'!$A:$A,M8525,'Barang Keluar'!$C:$C,N8525))</f>
        <v>0</v>
      </c>
    </row>
    <row r="8526" spans="13:16">
      <c r="M8526" s="49">
        <f>IF($A$4+85&gt;$B$4,"",$A$4+85)</f>
        <v>46108</v>
      </c>
      <c r="N8526" t="str">
        <f>IF(M8526="","",'Master Barang'!A20)</f>
        <v>PRL-019</v>
      </c>
      <c r="O8526" t="str">
        <f>IF(N8526="","",'Master Barang'!B20)</f>
        <v>neo health masker biru 3 play 50 pcs</v>
      </c>
      <c r="P8526">
        <f>IF(OR(M8526="",N8526=""),"",SUMIFS('Barang Keluar'!$E:$E,'Barang Keluar'!$A:$A,M8526,'Barang Keluar'!$C:$C,N8526))</f>
        <v>0</v>
      </c>
    </row>
    <row r="8527" spans="13:16">
      <c r="M8527" s="49">
        <f>IF($A$4+85&gt;$B$4,"",$A$4+85)</f>
        <v>46108</v>
      </c>
      <c r="N8527" t="str">
        <f>IF(M8527="","",'Master Barang'!A21)</f>
        <v>PRL-020</v>
      </c>
      <c r="O8527" t="str">
        <f>IF(N8527="","",'Master Barang'!B21)</f>
        <v>baymed masker hijau 3 play hijau 50 pcs</v>
      </c>
      <c r="P8527">
        <f>IF(OR(M8527="",N8527=""),"",SUMIFS('Barang Keluar'!$E:$E,'Barang Keluar'!$A:$A,M8527,'Barang Keluar'!$C:$C,N8527))</f>
        <v>0</v>
      </c>
    </row>
    <row r="8528" spans="13:16">
      <c r="M8528" s="49">
        <f>IF($A$4+85&gt;$B$4,"",$A$4+85)</f>
        <v>46108</v>
      </c>
      <c r="N8528" t="str">
        <f>IF(M8528="","",'Master Barang'!A22)</f>
        <v>PRL-021</v>
      </c>
      <c r="O8528" t="str">
        <f>IF(N8528="","",'Master Barang'!B22)</f>
        <v>altamed nurse cap penutup kepala 100 pcs</v>
      </c>
      <c r="P8528">
        <f>IF(OR(M8528="",N8528=""),"",SUMIFS('Barang Keluar'!$E:$E,'Barang Keluar'!$A:$A,M8528,'Barang Keluar'!$C:$C,N8528))</f>
        <v>0</v>
      </c>
    </row>
    <row r="8529" spans="13:16">
      <c r="M8529" s="49">
        <f>IF($A$4+85&gt;$B$4,"",$A$4+85)</f>
        <v>46108</v>
      </c>
      <c r="N8529" t="str">
        <f>IF(M8529="","",'Master Barang'!A23)</f>
        <v>PRL-022</v>
      </c>
      <c r="O8529" t="str">
        <f>IF(N8529="","",'Master Barang'!B23)</f>
        <v>sabun cuci tangan</v>
      </c>
      <c r="P8529">
        <f>IF(OR(M8529="",N8529=""),"",SUMIFS('Barang Keluar'!$E:$E,'Barang Keluar'!$A:$A,M8529,'Barang Keluar'!$C:$C,N8529))</f>
        <v>0</v>
      </c>
    </row>
    <row r="8530" spans="13:16">
      <c r="M8530" s="49">
        <f>IF($A$4+85&gt;$B$4,"",$A$4+85)</f>
        <v>46108</v>
      </c>
      <c r="N8530" t="str">
        <f>IF(M8530="","",'Master Barang'!A24)</f>
        <v>PRL-023</v>
      </c>
      <c r="O8530" t="str">
        <f>IF(N8530="","",'Master Barang'!B24)</f>
        <v>gayung kecil</v>
      </c>
      <c r="P8530">
        <f>IF(OR(M8530="",N8530=""),"",SUMIFS('Barang Keluar'!$E:$E,'Barang Keluar'!$A:$A,M8530,'Barang Keluar'!$C:$C,N8530))</f>
        <v>0</v>
      </c>
    </row>
    <row r="8531" spans="13:16">
      <c r="M8531" s="49">
        <f>IF($A$4+85&gt;$B$4,"",$A$4+85)</f>
        <v>46108</v>
      </c>
      <c r="N8531" t="str">
        <f>IF(M8531="","",'Master Barang'!A25)</f>
        <v>PRL-024</v>
      </c>
      <c r="O8531" t="str">
        <f>IF(N8531="","",'Master Barang'!B25)</f>
        <v>cikrak kecil</v>
      </c>
      <c r="P8531">
        <f>IF(OR(M8531="",N8531=""),"",SUMIFS('Barang Keluar'!$E:$E,'Barang Keluar'!$A:$A,M8531,'Barang Keluar'!$C:$C,N8531))</f>
        <v>0</v>
      </c>
    </row>
    <row r="8532" spans="13:16">
      <c r="M8532" s="49">
        <f>IF($A$4+85&gt;$B$4,"",$A$4+85)</f>
        <v>46108</v>
      </c>
      <c r="N8532" t="str">
        <f>IF(M8532="","",'Master Barang'!A26)</f>
        <v>PRL-025</v>
      </c>
      <c r="O8532" t="str">
        <f>IF(N8532="","",'Master Barang'!B26)</f>
        <v>petromax plastik kecil 12x24 100 lembar</v>
      </c>
      <c r="P8532">
        <f>IF(OR(M8532="",N8532=""),"",SUMIFS('Barang Keluar'!$E:$E,'Barang Keluar'!$A:$A,M8532,'Barang Keluar'!$C:$C,N8532))</f>
        <v>0</v>
      </c>
    </row>
    <row r="8533" spans="13:16">
      <c r="M8533" s="49">
        <f>IF($A$4+85&gt;$B$4,"",$A$4+85)</f>
        <v>46108</v>
      </c>
      <c r="N8533" t="str">
        <f>IF(M8533="","",'Master Barang'!A27)</f>
        <v>PRL-026</v>
      </c>
      <c r="O8533" t="str">
        <f>IF(N8533="","",'Master Barang'!B27)</f>
        <v>lancar kresek kecil bening </v>
      </c>
      <c r="P8533">
        <f>IF(OR(M8533="",N8533=""),"",SUMIFS('Barang Keluar'!$E:$E,'Barang Keluar'!$A:$A,M8533,'Barang Keluar'!$C:$C,N8533))</f>
        <v>0</v>
      </c>
    </row>
    <row r="8534" spans="13:16">
      <c r="M8534" s="49">
        <f>IF($A$4+85&gt;$B$4,"",$A$4+85)</f>
        <v>46108</v>
      </c>
      <c r="N8534" t="str">
        <f>IF(M8534="","",'Master Barang'!A28)</f>
        <v>PRL-027</v>
      </c>
      <c r="O8534" t="str">
        <f>IF(N8534="","",'Master Barang'!B28)</f>
        <v>kresek klin warna warni kecil</v>
      </c>
      <c r="P8534">
        <f>IF(OR(M8534="",N8534=""),"",SUMIFS('Barang Keluar'!$E:$E,'Barang Keluar'!$A:$A,M8534,'Barang Keluar'!$C:$C,N8534))</f>
        <v>0</v>
      </c>
    </row>
    <row r="8535" spans="13:16">
      <c r="M8535" s="49">
        <f>IF($A$4+85&gt;$B$4,"",$A$4+85)</f>
        <v>46108</v>
      </c>
      <c r="N8535" t="str">
        <f>IF(M8535="","",'Master Barang'!A29)</f>
        <v>PRL-028</v>
      </c>
      <c r="O8535" t="str">
        <f>IF(N8535="","",'Master Barang'!B29)</f>
        <v>ctik plastik 7x10 100 pcs</v>
      </c>
      <c r="P8535">
        <f>IF(OR(M8535="",N8535=""),"",SUMIFS('Barang Keluar'!$E:$E,'Barang Keluar'!$A:$A,M8535,'Barang Keluar'!$C:$C,N8535))</f>
        <v>0</v>
      </c>
    </row>
    <row r="8536" spans="13:16">
      <c r="M8536" s="49">
        <f>IF($A$4+85&gt;$B$4,"",$A$4+85)</f>
        <v>46108</v>
      </c>
      <c r="N8536" t="str">
        <f>IF(M8536="","",'Master Barang'!A30)</f>
        <v>PRL-029</v>
      </c>
      <c r="O8536" t="str">
        <f>IF(N8536="","",'Master Barang'!B30)</f>
        <v>ctik plastik 6x10 100 pcs</v>
      </c>
      <c r="P8536">
        <f>IF(OR(M8536="",N8536=""),"",SUMIFS('Barang Keluar'!$E:$E,'Barang Keluar'!$A:$A,M8536,'Barang Keluar'!$C:$C,N8536))</f>
        <v>0</v>
      </c>
    </row>
    <row r="8537" spans="13:16">
      <c r="M8537" s="49">
        <f>IF($A$4+85&gt;$B$4,"",$A$4+85)</f>
        <v>46108</v>
      </c>
      <c r="N8537" t="str">
        <f>IF(M8537="","",'Master Barang'!A31)</f>
        <v>PRL-030</v>
      </c>
      <c r="O8537" t="str">
        <f>IF(N8537="","",'Master Barang'!B31)</f>
        <v>klip plastik 25x16 100 pcs</v>
      </c>
      <c r="P8537">
        <f>IF(OR(M8537="",N8537=""),"",SUMIFS('Barang Keluar'!$E:$E,'Barang Keluar'!$A:$A,M8537,'Barang Keluar'!$C:$C,N8537))</f>
        <v>0</v>
      </c>
    </row>
    <row r="8538" spans="13:16">
      <c r="M8538" s="49">
        <f>IF($A$4+85&gt;$B$4,"",$A$4+85)</f>
        <v>46108</v>
      </c>
      <c r="N8538" t="str">
        <f>IF(M8538="","",'Master Barang'!A32)</f>
        <v>PRL-031</v>
      </c>
      <c r="O8538" t="str">
        <f>IF(N8538="","",'Master Barang'!B32)</f>
        <v>tempat saus 20 ml</v>
      </c>
      <c r="P8538">
        <f>IF(OR(M8538="",N8538=""),"",SUMIFS('Barang Keluar'!$E:$E,'Barang Keluar'!$A:$A,M8538,'Barang Keluar'!$C:$C,N8538))</f>
        <v>0</v>
      </c>
    </row>
    <row r="8539" spans="13:16">
      <c r="M8539" s="49">
        <f>IF($A$4+85&gt;$B$4,"",$A$4+85)</f>
        <v>46108</v>
      </c>
      <c r="N8539" t="str">
        <f>IF(M8539="","",'Master Barang'!A33)</f>
        <v>PRL-032</v>
      </c>
      <c r="O8539" t="str">
        <f>IF(N8539="","",'Master Barang'!B33)</f>
        <v>plastik packaging ag box uk sedang</v>
      </c>
      <c r="P8539">
        <f>IF(OR(M8539="",N8539=""),"",SUMIFS('Barang Keluar'!$E:$E,'Barang Keluar'!$A:$A,M8539,'Barang Keluar'!$C:$C,N8539))</f>
        <v>0</v>
      </c>
    </row>
    <row r="8540" spans="13:16">
      <c r="M8540" s="49">
        <f>IF($A$4+85&gt;$B$4,"",$A$4+85)</f>
        <v>46108</v>
      </c>
      <c r="N8540" t="str">
        <f>IF(M8540="","",'Master Barang'!A34)</f>
        <v>PRL-033</v>
      </c>
      <c r="O8540">
        <f>IF(N8540="","",'Master Barang'!B34)</f>
        <v>0</v>
      </c>
      <c r="P8540">
        <f>IF(OR(M8540="",N8540=""),"",SUMIFS('Barang Keluar'!$E:$E,'Barang Keluar'!$A:$A,M8540,'Barang Keluar'!$C:$C,N8540))</f>
        <v>0</v>
      </c>
    </row>
    <row r="8541" spans="13:16">
      <c r="M8541" s="49">
        <f>IF($A$4+85&gt;$B$4,"",$A$4+85)</f>
        <v>46108</v>
      </c>
      <c r="N8541">
        <f>IF(M8541="","",'Master Barang'!A35)</f>
        <v>0</v>
      </c>
      <c r="O8541">
        <f>IF(N8541="","",'Master Barang'!B35)</f>
        <v>0</v>
      </c>
      <c r="P8541">
        <f>IF(OR(M8541="",N8541=""),"",SUMIFS('Barang Keluar'!$E:$E,'Barang Keluar'!$A:$A,M8541,'Barang Keluar'!$C:$C,N8541))</f>
        <v>0</v>
      </c>
    </row>
    <row r="8542" spans="13:16">
      <c r="M8542" s="49">
        <f>IF($A$4+85&gt;$B$4,"",$A$4+85)</f>
        <v>46108</v>
      </c>
      <c r="N8542">
        <f>IF(M8542="","",'Master Barang'!A36)</f>
        <v>0</v>
      </c>
      <c r="O8542">
        <f>IF(N8542="","",'Master Barang'!B36)</f>
        <v>0</v>
      </c>
      <c r="P8542">
        <f>IF(OR(M8542="",N8542=""),"",SUMIFS('Barang Keluar'!$E:$E,'Barang Keluar'!$A:$A,M8542,'Barang Keluar'!$C:$C,N8542))</f>
        <v>0</v>
      </c>
    </row>
    <row r="8543" spans="13:16">
      <c r="M8543" s="49">
        <f>IF($A$4+85&gt;$B$4,"",$A$4+85)</f>
        <v>46108</v>
      </c>
      <c r="N8543">
        <f>IF(M8543="","",'Master Barang'!A37)</f>
        <v>0</v>
      </c>
      <c r="O8543">
        <f>IF(N8543="","",'Master Barang'!B37)</f>
        <v>0</v>
      </c>
      <c r="P8543">
        <f>IF(OR(M8543="",N8543=""),"",SUMIFS('Barang Keluar'!$E:$E,'Barang Keluar'!$A:$A,M8543,'Barang Keluar'!$C:$C,N8543))</f>
        <v>0</v>
      </c>
    </row>
    <row r="8544" spans="13:16">
      <c r="M8544" s="49">
        <f>IF($A$4+85&gt;$B$4,"",$A$4+85)</f>
        <v>46108</v>
      </c>
      <c r="N8544">
        <f>IF(M8544="","",'Master Barang'!A38)</f>
        <v>0</v>
      </c>
      <c r="O8544">
        <f>IF(N8544="","",'Master Barang'!B38)</f>
        <v>0</v>
      </c>
      <c r="P8544">
        <f>IF(OR(M8544="",N8544=""),"",SUMIFS('Barang Keluar'!$E:$E,'Barang Keluar'!$A:$A,M8544,'Barang Keluar'!$C:$C,N8544))</f>
        <v>0</v>
      </c>
    </row>
    <row r="8545" spans="13:16">
      <c r="M8545" s="49">
        <f>IF($A$4+85&gt;$B$4,"",$A$4+85)</f>
        <v>46108</v>
      </c>
      <c r="N8545">
        <f>IF(M8545="","",'Master Barang'!A39)</f>
        <v>0</v>
      </c>
      <c r="O8545">
        <f>IF(N8545="","",'Master Barang'!B39)</f>
        <v>0</v>
      </c>
      <c r="P8545">
        <f>IF(OR(M8545="",N8545=""),"",SUMIFS('Barang Keluar'!$E:$E,'Barang Keluar'!$A:$A,M8545,'Barang Keluar'!$C:$C,N8545))</f>
        <v>0</v>
      </c>
    </row>
    <row r="8546" spans="13:16">
      <c r="M8546" s="49">
        <f>IF($A$4+85&gt;$B$4,"",$A$4+85)</f>
        <v>46108</v>
      </c>
      <c r="N8546">
        <f>IF(M8546="","",'Master Barang'!A40)</f>
        <v>0</v>
      </c>
      <c r="O8546">
        <f>IF(N8546="","",'Master Barang'!B40)</f>
        <v>0</v>
      </c>
      <c r="P8546">
        <f>IF(OR(M8546="",N8546=""),"",SUMIFS('Barang Keluar'!$E:$E,'Barang Keluar'!$A:$A,M8546,'Barang Keluar'!$C:$C,N8546))</f>
        <v>0</v>
      </c>
    </row>
    <row r="8547" spans="13:16">
      <c r="M8547" s="49">
        <f>IF($A$4+85&gt;$B$4,"",$A$4+85)</f>
        <v>46108</v>
      </c>
      <c r="N8547">
        <f>IF(M8547="","",'Master Barang'!A41)</f>
        <v>0</v>
      </c>
      <c r="O8547">
        <f>IF(N8547="","",'Master Barang'!B41)</f>
        <v>0</v>
      </c>
      <c r="P8547">
        <f>IF(OR(M8547="",N8547=""),"",SUMIFS('Barang Keluar'!$E:$E,'Barang Keluar'!$A:$A,M8547,'Barang Keluar'!$C:$C,N8547))</f>
        <v>0</v>
      </c>
    </row>
    <row r="8548" spans="13:16">
      <c r="M8548" s="49">
        <f>IF($A$4+85&gt;$B$4,"",$A$4+85)</f>
        <v>46108</v>
      </c>
      <c r="N8548">
        <f>IF(M8548="","",'Master Barang'!A42)</f>
        <v>0</v>
      </c>
      <c r="O8548">
        <f>IF(N8548="","",'Master Barang'!B42)</f>
        <v>0</v>
      </c>
      <c r="P8548">
        <f>IF(OR(M8548="",N8548=""),"",SUMIFS('Barang Keluar'!$E:$E,'Barang Keluar'!$A:$A,M8548,'Barang Keluar'!$C:$C,N8548))</f>
        <v>0</v>
      </c>
    </row>
    <row r="8549" spans="13:16">
      <c r="M8549" s="49">
        <f>IF($A$4+85&gt;$B$4,"",$A$4+85)</f>
        <v>46108</v>
      </c>
      <c r="N8549">
        <f>IF(M8549="","",'Master Barang'!A43)</f>
        <v>0</v>
      </c>
      <c r="O8549">
        <f>IF(N8549="","",'Master Barang'!B43)</f>
        <v>0</v>
      </c>
      <c r="P8549">
        <f>IF(OR(M8549="",N8549=""),"",SUMIFS('Barang Keluar'!$E:$E,'Barang Keluar'!$A:$A,M8549,'Barang Keluar'!$C:$C,N8549))</f>
        <v>0</v>
      </c>
    </row>
    <row r="8550" spans="13:16">
      <c r="M8550" s="49">
        <f>IF($A$4+85&gt;$B$4,"",$A$4+85)</f>
        <v>46108</v>
      </c>
      <c r="N8550">
        <f>IF(M8550="","",'Master Barang'!A44)</f>
        <v>0</v>
      </c>
      <c r="O8550">
        <f>IF(N8550="","",'Master Barang'!B44)</f>
        <v>0</v>
      </c>
      <c r="P8550">
        <f>IF(OR(M8550="",N8550=""),"",SUMIFS('Barang Keluar'!$E:$E,'Barang Keluar'!$A:$A,M8550,'Barang Keluar'!$C:$C,N8550))</f>
        <v>0</v>
      </c>
    </row>
    <row r="8551" spans="13:16">
      <c r="M8551" s="49">
        <f>IF($A$4+85&gt;$B$4,"",$A$4+85)</f>
        <v>46108</v>
      </c>
      <c r="N8551">
        <f>IF(M8551="","",'Master Barang'!A45)</f>
        <v>0</v>
      </c>
      <c r="O8551">
        <f>IF(N8551="","",'Master Barang'!B45)</f>
        <v>0</v>
      </c>
      <c r="P8551">
        <f>IF(OR(M8551="",N8551=""),"",SUMIFS('Barang Keluar'!$E:$E,'Barang Keluar'!$A:$A,M8551,'Barang Keluar'!$C:$C,N8551))</f>
        <v>0</v>
      </c>
    </row>
    <row r="8552" spans="13:16">
      <c r="M8552" s="49">
        <f>IF($A$4+85&gt;$B$4,"",$A$4+85)</f>
        <v>46108</v>
      </c>
      <c r="N8552">
        <f>IF(M8552="","",'Master Barang'!A46)</f>
        <v>0</v>
      </c>
      <c r="O8552">
        <f>IF(N8552="","",'Master Barang'!B46)</f>
        <v>0</v>
      </c>
      <c r="P8552">
        <f>IF(OR(M8552="",N8552=""),"",SUMIFS('Barang Keluar'!$E:$E,'Barang Keluar'!$A:$A,M8552,'Barang Keluar'!$C:$C,N8552))</f>
        <v>0</v>
      </c>
    </row>
    <row r="8553" spans="13:16">
      <c r="M8553" s="49">
        <f>IF($A$4+85&gt;$B$4,"",$A$4+85)</f>
        <v>46108</v>
      </c>
      <c r="N8553">
        <f>IF(M8553="","",'Master Barang'!A47)</f>
        <v>0</v>
      </c>
      <c r="O8553">
        <f>IF(N8553="","",'Master Barang'!B47)</f>
        <v>0</v>
      </c>
      <c r="P8553">
        <f>IF(OR(M8553="",N8553=""),"",SUMIFS('Barang Keluar'!$E:$E,'Barang Keluar'!$A:$A,M8553,'Barang Keluar'!$C:$C,N8553))</f>
        <v>0</v>
      </c>
    </row>
    <row r="8554" spans="13:16">
      <c r="M8554" s="49">
        <f>IF($A$4+85&gt;$B$4,"",$A$4+85)</f>
        <v>46108</v>
      </c>
      <c r="N8554">
        <f>IF(M8554="","",'Master Barang'!A48)</f>
        <v>0</v>
      </c>
      <c r="O8554">
        <f>IF(N8554="","",'Master Barang'!B48)</f>
        <v>0</v>
      </c>
      <c r="P8554">
        <f>IF(OR(M8554="",N8554=""),"",SUMIFS('Barang Keluar'!$E:$E,'Barang Keluar'!$A:$A,M8554,'Barang Keluar'!$C:$C,N8554))</f>
        <v>0</v>
      </c>
    </row>
    <row r="8555" spans="13:16">
      <c r="M8555" s="49">
        <f>IF($A$4+85&gt;$B$4,"",$A$4+85)</f>
        <v>46108</v>
      </c>
      <c r="N8555">
        <f>IF(M8555="","",'Master Barang'!A49)</f>
        <v>0</v>
      </c>
      <c r="O8555">
        <f>IF(N8555="","",'Master Barang'!B49)</f>
        <v>0</v>
      </c>
      <c r="P8555">
        <f>IF(OR(M8555="",N8555=""),"",SUMIFS('Barang Keluar'!$E:$E,'Barang Keluar'!$A:$A,M8555,'Barang Keluar'!$C:$C,N8555))</f>
        <v>0</v>
      </c>
    </row>
    <row r="8556" spans="13:16">
      <c r="M8556" s="49">
        <f>IF($A$4+85&gt;$B$4,"",$A$4+85)</f>
        <v>46108</v>
      </c>
      <c r="N8556">
        <f>IF(M8556="","",'Master Barang'!A50)</f>
        <v>0</v>
      </c>
      <c r="O8556">
        <f>IF(N8556="","",'Master Barang'!B50)</f>
        <v>0</v>
      </c>
      <c r="P8556">
        <f>IF(OR(M8556="",N8556=""),"",SUMIFS('Barang Keluar'!$E:$E,'Barang Keluar'!$A:$A,M8556,'Barang Keluar'!$C:$C,N8556))</f>
        <v>0</v>
      </c>
    </row>
    <row r="8557" spans="13:16">
      <c r="M8557" s="49">
        <f>IF($A$4+85&gt;$B$4,"",$A$4+85)</f>
        <v>46108</v>
      </c>
      <c r="N8557">
        <f>IF(M8557="","",'Master Barang'!A51)</f>
        <v>0</v>
      </c>
      <c r="O8557">
        <f>IF(N8557="","",'Master Barang'!B51)</f>
        <v>0</v>
      </c>
      <c r="P8557">
        <f>IF(OR(M8557="",N8557=""),"",SUMIFS('Barang Keluar'!$E:$E,'Barang Keluar'!$A:$A,M8557,'Barang Keluar'!$C:$C,N8557))</f>
        <v>0</v>
      </c>
    </row>
    <row r="8558" spans="13:16">
      <c r="M8558" s="49">
        <f>IF($A$4+85&gt;$B$4,"",$A$4+85)</f>
        <v>46108</v>
      </c>
      <c r="N8558">
        <f>IF(M8558="","",'Master Barang'!A52)</f>
        <v>0</v>
      </c>
      <c r="O8558">
        <f>IF(N8558="","",'Master Barang'!B52)</f>
        <v>0</v>
      </c>
      <c r="P8558">
        <f>IF(OR(M8558="",N8558=""),"",SUMIFS('Barang Keluar'!$E:$E,'Barang Keluar'!$A:$A,M8558,'Barang Keluar'!$C:$C,N8558))</f>
        <v>0</v>
      </c>
    </row>
    <row r="8559" spans="13:16">
      <c r="M8559" s="49">
        <f>IF($A$4+85&gt;$B$4,"",$A$4+85)</f>
        <v>46108</v>
      </c>
      <c r="N8559">
        <f>IF(M8559="","",'Master Barang'!A53)</f>
        <v>0</v>
      </c>
      <c r="O8559">
        <f>IF(N8559="","",'Master Barang'!B53)</f>
        <v>0</v>
      </c>
      <c r="P8559">
        <f>IF(OR(M8559="",N8559=""),"",SUMIFS('Barang Keluar'!$E:$E,'Barang Keluar'!$A:$A,M8559,'Barang Keluar'!$C:$C,N8559))</f>
        <v>0</v>
      </c>
    </row>
    <row r="8560" spans="13:16">
      <c r="M8560" s="49">
        <f>IF($A$4+85&gt;$B$4,"",$A$4+85)</f>
        <v>46108</v>
      </c>
      <c r="N8560">
        <f>IF(M8560="","",'Master Barang'!A54)</f>
        <v>0</v>
      </c>
      <c r="O8560">
        <f>IF(N8560="","",'Master Barang'!B54)</f>
        <v>0</v>
      </c>
      <c r="P8560">
        <f>IF(OR(M8560="",N8560=""),"",SUMIFS('Barang Keluar'!$E:$E,'Barang Keluar'!$A:$A,M8560,'Barang Keluar'!$C:$C,N8560))</f>
        <v>0</v>
      </c>
    </row>
    <row r="8561" spans="13:16">
      <c r="M8561" s="49">
        <f>IF($A$4+85&gt;$B$4,"",$A$4+85)</f>
        <v>46108</v>
      </c>
      <c r="N8561">
        <f>IF(M8561="","",'Master Barang'!A55)</f>
        <v>0</v>
      </c>
      <c r="O8561">
        <f>IF(N8561="","",'Master Barang'!B55)</f>
        <v>0</v>
      </c>
      <c r="P8561">
        <f>IF(OR(M8561="",N8561=""),"",SUMIFS('Barang Keluar'!$E:$E,'Barang Keluar'!$A:$A,M8561,'Barang Keluar'!$C:$C,N8561))</f>
        <v>0</v>
      </c>
    </row>
    <row r="8562" spans="13:16">
      <c r="M8562" s="49">
        <f>IF($A$4+85&gt;$B$4,"",$A$4+85)</f>
        <v>46108</v>
      </c>
      <c r="N8562">
        <f>IF(M8562="","",'Master Barang'!A56)</f>
        <v>0</v>
      </c>
      <c r="O8562">
        <f>IF(N8562="","",'Master Barang'!B56)</f>
        <v>0</v>
      </c>
      <c r="P8562">
        <f>IF(OR(M8562="",N8562=""),"",SUMIFS('Barang Keluar'!$E:$E,'Barang Keluar'!$A:$A,M8562,'Barang Keluar'!$C:$C,N8562))</f>
        <v>0</v>
      </c>
    </row>
    <row r="8563" spans="13:16">
      <c r="M8563" s="49">
        <f>IF($A$4+85&gt;$B$4,"",$A$4+85)</f>
        <v>46108</v>
      </c>
      <c r="N8563">
        <f>IF(M8563="","",'Master Barang'!A57)</f>
        <v>0</v>
      </c>
      <c r="O8563">
        <f>IF(N8563="","",'Master Barang'!B57)</f>
        <v>0</v>
      </c>
      <c r="P8563">
        <f>IF(OR(M8563="",N8563=""),"",SUMIFS('Barang Keluar'!$E:$E,'Barang Keluar'!$A:$A,M8563,'Barang Keluar'!$C:$C,N8563))</f>
        <v>0</v>
      </c>
    </row>
    <row r="8564" spans="13:16">
      <c r="M8564" s="49">
        <f>IF($A$4+85&gt;$B$4,"",$A$4+85)</f>
        <v>46108</v>
      </c>
      <c r="N8564">
        <f>IF(M8564="","",'Master Barang'!A58)</f>
        <v>0</v>
      </c>
      <c r="O8564">
        <f>IF(N8564="","",'Master Barang'!B58)</f>
        <v>0</v>
      </c>
      <c r="P8564">
        <f>IF(OR(M8564="",N8564=""),"",SUMIFS('Barang Keluar'!$E:$E,'Barang Keluar'!$A:$A,M8564,'Barang Keluar'!$C:$C,N8564))</f>
        <v>0</v>
      </c>
    </row>
    <row r="8565" spans="13:16">
      <c r="M8565" s="49">
        <f>IF($A$4+85&gt;$B$4,"",$A$4+85)</f>
        <v>46108</v>
      </c>
      <c r="N8565">
        <f>IF(M8565="","",'Master Barang'!A59)</f>
        <v>0</v>
      </c>
      <c r="O8565">
        <f>IF(N8565="","",'Master Barang'!B59)</f>
        <v>0</v>
      </c>
      <c r="P8565">
        <f>IF(OR(M8565="",N8565=""),"",SUMIFS('Barang Keluar'!$E:$E,'Barang Keluar'!$A:$A,M8565,'Barang Keluar'!$C:$C,N8565))</f>
        <v>0</v>
      </c>
    </row>
    <row r="8566" spans="13:16">
      <c r="M8566" s="49">
        <f>IF($A$4+85&gt;$B$4,"",$A$4+85)</f>
        <v>46108</v>
      </c>
      <c r="N8566">
        <f>IF(M8566="","",'Master Barang'!A60)</f>
        <v>0</v>
      </c>
      <c r="O8566">
        <f>IF(N8566="","",'Master Barang'!B60)</f>
        <v>0</v>
      </c>
      <c r="P8566">
        <f>IF(OR(M8566="",N8566=""),"",SUMIFS('Barang Keluar'!$E:$E,'Barang Keluar'!$A:$A,M8566,'Barang Keluar'!$C:$C,N8566))</f>
        <v>0</v>
      </c>
    </row>
    <row r="8567" spans="13:16">
      <c r="M8567" s="49">
        <f>IF($A$4+85&gt;$B$4,"",$A$4+85)</f>
        <v>46108</v>
      </c>
      <c r="N8567">
        <f>IF(M8567="","",'Master Barang'!A61)</f>
        <v>0</v>
      </c>
      <c r="O8567">
        <f>IF(N8567="","",'Master Barang'!B61)</f>
        <v>0</v>
      </c>
      <c r="P8567">
        <f>IF(OR(M8567="",N8567=""),"",SUMIFS('Barang Keluar'!$E:$E,'Barang Keluar'!$A:$A,M8567,'Barang Keluar'!$C:$C,N8567))</f>
        <v>0</v>
      </c>
    </row>
    <row r="8568" spans="13:16">
      <c r="M8568" s="49">
        <f>IF($A$4+85&gt;$B$4,"",$A$4+85)</f>
        <v>46108</v>
      </c>
      <c r="N8568">
        <f>IF(M8568="","",'Master Barang'!A62)</f>
        <v>0</v>
      </c>
      <c r="O8568">
        <f>IF(N8568="","",'Master Barang'!B62)</f>
        <v>0</v>
      </c>
      <c r="P8568">
        <f>IF(OR(M8568="",N8568=""),"",SUMIFS('Barang Keluar'!$E:$E,'Barang Keluar'!$A:$A,M8568,'Barang Keluar'!$C:$C,N8568))</f>
        <v>0</v>
      </c>
    </row>
    <row r="8569" spans="13:16">
      <c r="M8569" s="49">
        <f>IF($A$4+85&gt;$B$4,"",$A$4+85)</f>
        <v>46108</v>
      </c>
      <c r="N8569">
        <f>IF(M8569="","",'Master Barang'!A63)</f>
        <v>0</v>
      </c>
      <c r="O8569">
        <f>IF(N8569="","",'Master Barang'!B63)</f>
        <v>0</v>
      </c>
      <c r="P8569">
        <f>IF(OR(M8569="",N8569=""),"",SUMIFS('Barang Keluar'!$E:$E,'Barang Keluar'!$A:$A,M8569,'Barang Keluar'!$C:$C,N8569))</f>
        <v>0</v>
      </c>
    </row>
    <row r="8570" spans="13:16">
      <c r="M8570" s="49">
        <f>IF($A$4+85&gt;$B$4,"",$A$4+85)</f>
        <v>46108</v>
      </c>
      <c r="N8570">
        <f>IF(M8570="","",'Master Barang'!A64)</f>
        <v>0</v>
      </c>
      <c r="O8570">
        <f>IF(N8570="","",'Master Barang'!B64)</f>
        <v>0</v>
      </c>
      <c r="P8570">
        <f>IF(OR(M8570="",N8570=""),"",SUMIFS('Barang Keluar'!$E:$E,'Barang Keluar'!$A:$A,M8570,'Barang Keluar'!$C:$C,N8570))</f>
        <v>0</v>
      </c>
    </row>
    <row r="8571" spans="13:16">
      <c r="M8571" s="49">
        <f>IF($A$4+85&gt;$B$4,"",$A$4+85)</f>
        <v>46108</v>
      </c>
      <c r="N8571">
        <f>IF(M8571="","",'Master Barang'!A65)</f>
        <v>0</v>
      </c>
      <c r="O8571">
        <f>IF(N8571="","",'Master Barang'!B65)</f>
        <v>0</v>
      </c>
      <c r="P8571">
        <f>IF(OR(M8571="",N8571=""),"",SUMIFS('Barang Keluar'!$E:$E,'Barang Keluar'!$A:$A,M8571,'Barang Keluar'!$C:$C,N8571))</f>
        <v>0</v>
      </c>
    </row>
    <row r="8572" spans="13:16">
      <c r="M8572" s="49">
        <f>IF($A$4+85&gt;$B$4,"",$A$4+85)</f>
        <v>46108</v>
      </c>
      <c r="N8572">
        <f>IF(M8572="","",'Master Barang'!A66)</f>
        <v>0</v>
      </c>
      <c r="O8572">
        <f>IF(N8572="","",'Master Barang'!B66)</f>
        <v>0</v>
      </c>
      <c r="P8572">
        <f>IF(OR(M8572="",N8572=""),"",SUMIFS('Barang Keluar'!$E:$E,'Barang Keluar'!$A:$A,M8572,'Barang Keluar'!$C:$C,N8572))</f>
        <v>0</v>
      </c>
    </row>
    <row r="8573" spans="13:16">
      <c r="M8573" s="49">
        <f>IF($A$4+85&gt;$B$4,"",$A$4+85)</f>
        <v>46108</v>
      </c>
      <c r="N8573">
        <f>IF(M8573="","",'Master Barang'!A67)</f>
        <v>0</v>
      </c>
      <c r="O8573">
        <f>IF(N8573="","",'Master Barang'!B67)</f>
        <v>0</v>
      </c>
      <c r="P8573">
        <f>IF(OR(M8573="",N8573=""),"",SUMIFS('Barang Keluar'!$E:$E,'Barang Keluar'!$A:$A,M8573,'Barang Keluar'!$C:$C,N8573))</f>
        <v>0</v>
      </c>
    </row>
    <row r="8574" spans="13:16">
      <c r="M8574" s="49">
        <f>IF($A$4+85&gt;$B$4,"",$A$4+85)</f>
        <v>46108</v>
      </c>
      <c r="N8574">
        <f>IF(M8574="","",'Master Barang'!A68)</f>
        <v>0</v>
      </c>
      <c r="O8574">
        <f>IF(N8574="","",'Master Barang'!B68)</f>
        <v>0</v>
      </c>
      <c r="P8574">
        <f>IF(OR(M8574="",N8574=""),"",SUMIFS('Barang Keluar'!$E:$E,'Barang Keluar'!$A:$A,M8574,'Barang Keluar'!$C:$C,N8574))</f>
        <v>0</v>
      </c>
    </row>
    <row r="8575" spans="13:16">
      <c r="M8575" s="49">
        <f>IF($A$4+85&gt;$B$4,"",$A$4+85)</f>
        <v>46108</v>
      </c>
      <c r="N8575">
        <f>IF(M8575="","",'Master Barang'!A69)</f>
        <v>0</v>
      </c>
      <c r="O8575">
        <f>IF(N8575="","",'Master Barang'!B69)</f>
        <v>0</v>
      </c>
      <c r="P8575">
        <f>IF(OR(M8575="",N8575=""),"",SUMIFS('Barang Keluar'!$E:$E,'Barang Keluar'!$A:$A,M8575,'Barang Keluar'!$C:$C,N8575))</f>
        <v>0</v>
      </c>
    </row>
    <row r="8576" spans="13:16">
      <c r="M8576" s="49">
        <f>IF($A$4+85&gt;$B$4,"",$A$4+85)</f>
        <v>46108</v>
      </c>
      <c r="N8576">
        <f>IF(M8576="","",'Master Barang'!A70)</f>
        <v>0</v>
      </c>
      <c r="O8576">
        <f>IF(N8576="","",'Master Barang'!B70)</f>
        <v>0</v>
      </c>
      <c r="P8576">
        <f>IF(OR(M8576="",N8576=""),"",SUMIFS('Barang Keluar'!$E:$E,'Barang Keluar'!$A:$A,M8576,'Barang Keluar'!$C:$C,N8576))</f>
        <v>0</v>
      </c>
    </row>
    <row r="8577" spans="13:16">
      <c r="M8577" s="49">
        <f>IF($A$4+85&gt;$B$4,"",$A$4+85)</f>
        <v>46108</v>
      </c>
      <c r="N8577">
        <f>IF(M8577="","",'Master Barang'!A71)</f>
        <v>0</v>
      </c>
      <c r="O8577">
        <f>IF(N8577="","",'Master Barang'!B71)</f>
        <v>0</v>
      </c>
      <c r="P8577">
        <f>IF(OR(M8577="",N8577=""),"",SUMIFS('Barang Keluar'!$E:$E,'Barang Keluar'!$A:$A,M8577,'Barang Keluar'!$C:$C,N8577))</f>
        <v>0</v>
      </c>
    </row>
    <row r="8578" spans="13:16">
      <c r="M8578" s="49">
        <f>IF($A$4+85&gt;$B$4,"",$A$4+85)</f>
        <v>46108</v>
      </c>
      <c r="N8578">
        <f>IF(M8578="","",'Master Barang'!A72)</f>
        <v>0</v>
      </c>
      <c r="O8578">
        <f>IF(N8578="","",'Master Barang'!B72)</f>
        <v>0</v>
      </c>
      <c r="P8578">
        <f>IF(OR(M8578="",N8578=""),"",SUMIFS('Barang Keluar'!$E:$E,'Barang Keluar'!$A:$A,M8578,'Barang Keluar'!$C:$C,N8578))</f>
        <v>0</v>
      </c>
    </row>
    <row r="8579" spans="13:16">
      <c r="M8579" s="49">
        <f>IF($A$4+85&gt;$B$4,"",$A$4+85)</f>
        <v>46108</v>
      </c>
      <c r="N8579">
        <f>IF(M8579="","",'Master Barang'!A73)</f>
        <v>0</v>
      </c>
      <c r="O8579">
        <f>IF(N8579="","",'Master Barang'!B73)</f>
        <v>0</v>
      </c>
      <c r="P8579">
        <f>IF(OR(M8579="",N8579=""),"",SUMIFS('Barang Keluar'!$E:$E,'Barang Keluar'!$A:$A,M8579,'Barang Keluar'!$C:$C,N8579))</f>
        <v>0</v>
      </c>
    </row>
    <row r="8580" spans="13:16">
      <c r="M8580" s="49">
        <f>IF($A$4+85&gt;$B$4,"",$A$4+85)</f>
        <v>46108</v>
      </c>
      <c r="N8580">
        <f>IF(M8580="","",'Master Barang'!A74)</f>
        <v>0</v>
      </c>
      <c r="O8580">
        <f>IF(N8580="","",'Master Barang'!B74)</f>
        <v>0</v>
      </c>
      <c r="P8580">
        <f>IF(OR(M8580="",N8580=""),"",SUMIFS('Barang Keluar'!$E:$E,'Barang Keluar'!$A:$A,M8580,'Barang Keluar'!$C:$C,N8580))</f>
        <v>0</v>
      </c>
    </row>
    <row r="8581" spans="13:16">
      <c r="M8581" s="49">
        <f>IF($A$4+85&gt;$B$4,"",$A$4+85)</f>
        <v>46108</v>
      </c>
      <c r="N8581">
        <f>IF(M8581="","",'Master Barang'!A75)</f>
        <v>0</v>
      </c>
      <c r="O8581">
        <f>IF(N8581="","",'Master Barang'!B75)</f>
        <v>0</v>
      </c>
      <c r="P8581">
        <f>IF(OR(M8581="",N8581=""),"",SUMIFS('Barang Keluar'!$E:$E,'Barang Keluar'!$A:$A,M8581,'Barang Keluar'!$C:$C,N8581))</f>
        <v>0</v>
      </c>
    </row>
    <row r="8582" spans="13:16">
      <c r="M8582" s="49">
        <f>IF($A$4+85&gt;$B$4,"",$A$4+85)</f>
        <v>46108</v>
      </c>
      <c r="N8582">
        <f>IF(M8582="","",'Master Barang'!A76)</f>
        <v>0</v>
      </c>
      <c r="O8582">
        <f>IF(N8582="","",'Master Barang'!B76)</f>
        <v>0</v>
      </c>
      <c r="P8582">
        <f>IF(OR(M8582="",N8582=""),"",SUMIFS('Barang Keluar'!$E:$E,'Barang Keluar'!$A:$A,M8582,'Barang Keluar'!$C:$C,N8582))</f>
        <v>0</v>
      </c>
    </row>
    <row r="8583" spans="13:16">
      <c r="M8583" s="49">
        <f>IF($A$4+85&gt;$B$4,"",$A$4+85)</f>
        <v>46108</v>
      </c>
      <c r="N8583">
        <f>IF(M8583="","",'Master Barang'!A77)</f>
        <v>0</v>
      </c>
      <c r="O8583">
        <f>IF(N8583="","",'Master Barang'!B77)</f>
        <v>0</v>
      </c>
      <c r="P8583">
        <f>IF(OR(M8583="",N8583=""),"",SUMIFS('Barang Keluar'!$E:$E,'Barang Keluar'!$A:$A,M8583,'Barang Keluar'!$C:$C,N8583))</f>
        <v>0</v>
      </c>
    </row>
    <row r="8584" spans="13:16">
      <c r="M8584" s="49">
        <f>IF($A$4+85&gt;$B$4,"",$A$4+85)</f>
        <v>46108</v>
      </c>
      <c r="N8584">
        <f>IF(M8584="","",'Master Barang'!A78)</f>
        <v>0</v>
      </c>
      <c r="O8584">
        <f>IF(N8584="","",'Master Barang'!B78)</f>
        <v>0</v>
      </c>
      <c r="P8584">
        <f>IF(OR(M8584="",N8584=""),"",SUMIFS('Barang Keluar'!$E:$E,'Barang Keluar'!$A:$A,M8584,'Barang Keluar'!$C:$C,N8584))</f>
        <v>0</v>
      </c>
    </row>
    <row r="8585" spans="13:16">
      <c r="M8585" s="49">
        <f>IF($A$4+85&gt;$B$4,"",$A$4+85)</f>
        <v>46108</v>
      </c>
      <c r="N8585">
        <f>IF(M8585="","",'Master Barang'!A79)</f>
        <v>0</v>
      </c>
      <c r="O8585">
        <f>IF(N8585="","",'Master Barang'!B79)</f>
        <v>0</v>
      </c>
      <c r="P8585">
        <f>IF(OR(M8585="",N8585=""),"",SUMIFS('Barang Keluar'!$E:$E,'Barang Keluar'!$A:$A,M8585,'Barang Keluar'!$C:$C,N8585))</f>
        <v>0</v>
      </c>
    </row>
    <row r="8586" spans="13:16">
      <c r="M8586" s="49">
        <f>IF($A$4+85&gt;$B$4,"",$A$4+85)</f>
        <v>46108</v>
      </c>
      <c r="N8586">
        <f>IF(M8586="","",'Master Barang'!A80)</f>
        <v>0</v>
      </c>
      <c r="O8586">
        <f>IF(N8586="","",'Master Barang'!B80)</f>
        <v>0</v>
      </c>
      <c r="P8586">
        <f>IF(OR(M8586="",N8586=""),"",SUMIFS('Barang Keluar'!$E:$E,'Barang Keluar'!$A:$A,M8586,'Barang Keluar'!$C:$C,N8586))</f>
        <v>0</v>
      </c>
    </row>
    <row r="8587" spans="13:16">
      <c r="M8587" s="49">
        <f>IF($A$4+85&gt;$B$4,"",$A$4+85)</f>
        <v>46108</v>
      </c>
      <c r="N8587">
        <f>IF(M8587="","",'Master Barang'!A81)</f>
        <v>0</v>
      </c>
      <c r="O8587">
        <f>IF(N8587="","",'Master Barang'!B81)</f>
        <v>0</v>
      </c>
      <c r="P8587">
        <f>IF(OR(M8587="",N8587=""),"",SUMIFS('Barang Keluar'!$E:$E,'Barang Keluar'!$A:$A,M8587,'Barang Keluar'!$C:$C,N8587))</f>
        <v>0</v>
      </c>
    </row>
    <row r="8588" spans="13:16">
      <c r="M8588" s="49">
        <f>IF($A$4+85&gt;$B$4,"",$A$4+85)</f>
        <v>46108</v>
      </c>
      <c r="N8588">
        <f>IF(M8588="","",'Master Barang'!A82)</f>
        <v>0</v>
      </c>
      <c r="O8588">
        <f>IF(N8588="","",'Master Barang'!B82)</f>
        <v>0</v>
      </c>
      <c r="P8588">
        <f>IF(OR(M8588="",N8588=""),"",SUMIFS('Barang Keluar'!$E:$E,'Barang Keluar'!$A:$A,M8588,'Barang Keluar'!$C:$C,N8588))</f>
        <v>0</v>
      </c>
    </row>
    <row r="8589" spans="13:16">
      <c r="M8589" s="49">
        <f>IF($A$4+85&gt;$B$4,"",$A$4+85)</f>
        <v>46108</v>
      </c>
      <c r="N8589">
        <f>IF(M8589="","",'Master Barang'!A83)</f>
        <v>0</v>
      </c>
      <c r="O8589">
        <f>IF(N8589="","",'Master Barang'!B83)</f>
        <v>0</v>
      </c>
      <c r="P8589">
        <f>IF(OR(M8589="",N8589=""),"",SUMIFS('Barang Keluar'!$E:$E,'Barang Keluar'!$A:$A,M8589,'Barang Keluar'!$C:$C,N8589))</f>
        <v>0</v>
      </c>
    </row>
    <row r="8590" spans="13:16">
      <c r="M8590" s="49">
        <f>IF($A$4+85&gt;$B$4,"",$A$4+85)</f>
        <v>46108</v>
      </c>
      <c r="N8590">
        <f>IF(M8590="","",'Master Barang'!A84)</f>
        <v>0</v>
      </c>
      <c r="O8590">
        <f>IF(N8590="","",'Master Barang'!B84)</f>
        <v>0</v>
      </c>
      <c r="P8590">
        <f>IF(OR(M8590="",N8590=""),"",SUMIFS('Barang Keluar'!$E:$E,'Barang Keluar'!$A:$A,M8590,'Barang Keluar'!$C:$C,N8590))</f>
        <v>0</v>
      </c>
    </row>
    <row r="8591" spans="13:16">
      <c r="M8591" s="49">
        <f>IF($A$4+85&gt;$B$4,"",$A$4+85)</f>
        <v>46108</v>
      </c>
      <c r="N8591">
        <f>IF(M8591="","",'Master Barang'!A85)</f>
        <v>0</v>
      </c>
      <c r="O8591">
        <f>IF(N8591="","",'Master Barang'!B85)</f>
        <v>0</v>
      </c>
      <c r="P8591">
        <f>IF(OR(M8591="",N8591=""),"",SUMIFS('Barang Keluar'!$E:$E,'Barang Keluar'!$A:$A,M8591,'Barang Keluar'!$C:$C,N8591))</f>
        <v>0</v>
      </c>
    </row>
    <row r="8592" spans="13:16">
      <c r="M8592" s="49">
        <f>IF($A$4+85&gt;$B$4,"",$A$4+85)</f>
        <v>46108</v>
      </c>
      <c r="N8592">
        <f>IF(M8592="","",'Master Barang'!A86)</f>
        <v>0</v>
      </c>
      <c r="O8592">
        <f>IF(N8592="","",'Master Barang'!B86)</f>
        <v>0</v>
      </c>
      <c r="P8592">
        <f>IF(OR(M8592="",N8592=""),"",SUMIFS('Barang Keluar'!$E:$E,'Barang Keluar'!$A:$A,M8592,'Barang Keluar'!$C:$C,N8592))</f>
        <v>0</v>
      </c>
    </row>
    <row r="8593" spans="13:16">
      <c r="M8593" s="49">
        <f>IF($A$4+85&gt;$B$4,"",$A$4+85)</f>
        <v>46108</v>
      </c>
      <c r="N8593">
        <f>IF(M8593="","",'Master Barang'!A87)</f>
        <v>0</v>
      </c>
      <c r="O8593">
        <f>IF(N8593="","",'Master Barang'!B87)</f>
        <v>0</v>
      </c>
      <c r="P8593">
        <f>IF(OR(M8593="",N8593=""),"",SUMIFS('Barang Keluar'!$E:$E,'Barang Keluar'!$A:$A,M8593,'Barang Keluar'!$C:$C,N8593))</f>
        <v>0</v>
      </c>
    </row>
    <row r="8594" spans="13:16">
      <c r="M8594" s="49">
        <f>IF($A$4+85&gt;$B$4,"",$A$4+85)</f>
        <v>46108</v>
      </c>
      <c r="N8594">
        <f>IF(M8594="","",'Master Barang'!A88)</f>
        <v>0</v>
      </c>
      <c r="O8594">
        <f>IF(N8594="","",'Master Barang'!B88)</f>
        <v>0</v>
      </c>
      <c r="P8594">
        <f>IF(OR(M8594="",N8594=""),"",SUMIFS('Barang Keluar'!$E:$E,'Barang Keluar'!$A:$A,M8594,'Barang Keluar'!$C:$C,N8594))</f>
        <v>0</v>
      </c>
    </row>
    <row r="8595" spans="13:16">
      <c r="M8595" s="49">
        <f>IF($A$4+85&gt;$B$4,"",$A$4+85)</f>
        <v>46108</v>
      </c>
      <c r="N8595">
        <f>IF(M8595="","",'Master Barang'!A89)</f>
        <v>0</v>
      </c>
      <c r="O8595">
        <f>IF(N8595="","",'Master Barang'!B89)</f>
        <v>0</v>
      </c>
      <c r="P8595">
        <f>IF(OR(M8595="",N8595=""),"",SUMIFS('Barang Keluar'!$E:$E,'Barang Keluar'!$A:$A,M8595,'Barang Keluar'!$C:$C,N8595))</f>
        <v>0</v>
      </c>
    </row>
    <row r="8596" spans="13:16">
      <c r="M8596" s="49">
        <f>IF($A$4+85&gt;$B$4,"",$A$4+85)</f>
        <v>46108</v>
      </c>
      <c r="N8596">
        <f>IF(M8596="","",'Master Barang'!A90)</f>
        <v>0</v>
      </c>
      <c r="O8596">
        <f>IF(N8596="","",'Master Barang'!B90)</f>
        <v>0</v>
      </c>
      <c r="P8596">
        <f>IF(OR(M8596="",N8596=""),"",SUMIFS('Barang Keluar'!$E:$E,'Barang Keluar'!$A:$A,M8596,'Barang Keluar'!$C:$C,N8596))</f>
        <v>0</v>
      </c>
    </row>
    <row r="8597" spans="13:16">
      <c r="M8597" s="49">
        <f>IF($A$4+85&gt;$B$4,"",$A$4+85)</f>
        <v>46108</v>
      </c>
      <c r="N8597">
        <f>IF(M8597="","",'Master Barang'!A91)</f>
        <v>0</v>
      </c>
      <c r="O8597">
        <f>IF(N8597="","",'Master Barang'!B91)</f>
        <v>0</v>
      </c>
      <c r="P8597">
        <f>IF(OR(M8597="",N8597=""),"",SUMIFS('Barang Keluar'!$E:$E,'Barang Keluar'!$A:$A,M8597,'Barang Keluar'!$C:$C,N8597))</f>
        <v>0</v>
      </c>
    </row>
    <row r="8598" spans="13:16">
      <c r="M8598" s="49">
        <f>IF($A$4+85&gt;$B$4,"",$A$4+85)</f>
        <v>46108</v>
      </c>
      <c r="N8598">
        <f>IF(M8598="","",'Master Barang'!A92)</f>
        <v>0</v>
      </c>
      <c r="O8598">
        <f>IF(N8598="","",'Master Barang'!B92)</f>
        <v>0</v>
      </c>
      <c r="P8598">
        <f>IF(OR(M8598="",N8598=""),"",SUMIFS('Barang Keluar'!$E:$E,'Barang Keluar'!$A:$A,M8598,'Barang Keluar'!$C:$C,N8598))</f>
        <v>0</v>
      </c>
    </row>
    <row r="8599" spans="13:16">
      <c r="M8599" s="49">
        <f>IF($A$4+85&gt;$B$4,"",$A$4+85)</f>
        <v>46108</v>
      </c>
      <c r="N8599">
        <f>IF(M8599="","",'Master Barang'!A93)</f>
        <v>0</v>
      </c>
      <c r="O8599">
        <f>IF(N8599="","",'Master Barang'!B93)</f>
        <v>0</v>
      </c>
      <c r="P8599">
        <f>IF(OR(M8599="",N8599=""),"",SUMIFS('Barang Keluar'!$E:$E,'Barang Keluar'!$A:$A,M8599,'Barang Keluar'!$C:$C,N8599))</f>
        <v>0</v>
      </c>
    </row>
    <row r="8600" spans="13:16">
      <c r="M8600" s="49">
        <f>IF($A$4+85&gt;$B$4,"",$A$4+85)</f>
        <v>46108</v>
      </c>
      <c r="N8600">
        <f>IF(M8600="","",'Master Barang'!A94)</f>
        <v>0</v>
      </c>
      <c r="O8600">
        <f>IF(N8600="","",'Master Barang'!B94)</f>
        <v>0</v>
      </c>
      <c r="P8600">
        <f>IF(OR(M8600="",N8600=""),"",SUMIFS('Barang Keluar'!$E:$E,'Barang Keluar'!$A:$A,M8600,'Barang Keluar'!$C:$C,N8600))</f>
        <v>0</v>
      </c>
    </row>
    <row r="8601" spans="13:16">
      <c r="M8601" s="49">
        <f>IF($A$4+85&gt;$B$4,"",$A$4+85)</f>
        <v>46108</v>
      </c>
      <c r="N8601">
        <f>IF(M8601="","",'Master Barang'!A95)</f>
        <v>0</v>
      </c>
      <c r="O8601">
        <f>IF(N8601="","",'Master Barang'!B95)</f>
        <v>0</v>
      </c>
      <c r="P8601">
        <f>IF(OR(M8601="",N8601=""),"",SUMIFS('Barang Keluar'!$E:$E,'Barang Keluar'!$A:$A,M8601,'Barang Keluar'!$C:$C,N8601))</f>
        <v>0</v>
      </c>
    </row>
    <row r="8602" spans="13:16">
      <c r="M8602" s="49">
        <f>IF($A$4+85&gt;$B$4,"",$A$4+85)</f>
        <v>46108</v>
      </c>
      <c r="N8602">
        <f>IF(M8602="","",'Master Barang'!A96)</f>
        <v>0</v>
      </c>
      <c r="O8602">
        <f>IF(N8602="","",'Master Barang'!B96)</f>
        <v>0</v>
      </c>
      <c r="P8602">
        <f>IF(OR(M8602="",N8602=""),"",SUMIFS('Barang Keluar'!$E:$E,'Barang Keluar'!$A:$A,M8602,'Barang Keluar'!$C:$C,N8602))</f>
        <v>0</v>
      </c>
    </row>
    <row r="8603" spans="13:16">
      <c r="M8603" s="49">
        <f>IF($A$4+85&gt;$B$4,"",$A$4+85)</f>
        <v>46108</v>
      </c>
      <c r="N8603">
        <f>IF(M8603="","",'Master Barang'!A97)</f>
        <v>0</v>
      </c>
      <c r="O8603">
        <f>IF(N8603="","",'Master Barang'!B97)</f>
        <v>0</v>
      </c>
      <c r="P8603">
        <f>IF(OR(M8603="",N8603=""),"",SUMIFS('Barang Keluar'!$E:$E,'Barang Keluar'!$A:$A,M8603,'Barang Keluar'!$C:$C,N8603))</f>
        <v>0</v>
      </c>
    </row>
    <row r="8604" spans="13:16">
      <c r="M8604" s="49">
        <f>IF($A$4+85&gt;$B$4,"",$A$4+85)</f>
        <v>46108</v>
      </c>
      <c r="N8604">
        <f>IF(M8604="","",'Master Barang'!A98)</f>
        <v>0</v>
      </c>
      <c r="O8604">
        <f>IF(N8604="","",'Master Barang'!B98)</f>
        <v>0</v>
      </c>
      <c r="P8604">
        <f>IF(OR(M8604="",N8604=""),"",SUMIFS('Barang Keluar'!$E:$E,'Barang Keluar'!$A:$A,M8604,'Barang Keluar'!$C:$C,N8604))</f>
        <v>0</v>
      </c>
    </row>
    <row r="8605" spans="13:16">
      <c r="M8605" s="49">
        <f>IF($A$4+85&gt;$B$4,"",$A$4+85)</f>
        <v>46108</v>
      </c>
      <c r="N8605">
        <f>IF(M8605="","",'Master Barang'!A99)</f>
        <v>0</v>
      </c>
      <c r="O8605">
        <f>IF(N8605="","",'Master Barang'!B99)</f>
        <v>0</v>
      </c>
      <c r="P8605">
        <f>IF(OR(M8605="",N8605=""),"",SUMIFS('Barang Keluar'!$E:$E,'Barang Keluar'!$A:$A,M8605,'Barang Keluar'!$C:$C,N8605))</f>
        <v>0</v>
      </c>
    </row>
    <row r="8606" spans="13:16">
      <c r="M8606" s="49">
        <f>IF($A$4+85&gt;$B$4,"",$A$4+85)</f>
        <v>46108</v>
      </c>
      <c r="N8606">
        <f>IF(M8606="","",'Master Barang'!A100)</f>
        <v>0</v>
      </c>
      <c r="O8606">
        <f>IF(N8606="","",'Master Barang'!B100)</f>
        <v>0</v>
      </c>
      <c r="P8606">
        <f>IF(OR(M8606="",N8606=""),"",SUMIFS('Barang Keluar'!$E:$E,'Barang Keluar'!$A:$A,M8606,'Barang Keluar'!$C:$C,N8606))</f>
        <v>0</v>
      </c>
    </row>
    <row r="8607" spans="13:16">
      <c r="M8607" s="49">
        <f>IF($A$4+85&gt;$B$4,"",$A$4+85)</f>
        <v>46108</v>
      </c>
      <c r="N8607">
        <f>IF(M8607="","",'Master Barang'!A101)</f>
        <v>0</v>
      </c>
      <c r="O8607">
        <f>IF(N8607="","",'Master Barang'!B101)</f>
        <v>0</v>
      </c>
      <c r="P8607">
        <f>IF(OR(M8607="",N8607=""),"",SUMIFS('Barang Keluar'!$E:$E,'Barang Keluar'!$A:$A,M8607,'Barang Keluar'!$C:$C,N8607))</f>
        <v>0</v>
      </c>
    </row>
    <row r="8608" spans="13:16">
      <c r="M8608" s="49">
        <f>IF($A$4+86&gt;$B$4,"",$A$4+86)</f>
        <v>46109</v>
      </c>
      <c r="N8608" t="str">
        <f>IF(M8608="","",'Master Barang'!A2)</f>
        <v>PRL-001</v>
      </c>
      <c r="O8608" t="str">
        <f>IF(N8608="","",'Master Barang'!B2)</f>
        <v>natura desinfectant food grade 5l</v>
      </c>
      <c r="P8608">
        <f>IF(OR(M8608="",N8608=""),"",SUMIFS('Barang Keluar'!$E:$E,'Barang Keluar'!$A:$A,M8608,'Barang Keluar'!$C:$C,N8608))</f>
        <v>0</v>
      </c>
    </row>
    <row r="8609" spans="13:16">
      <c r="M8609" s="49">
        <f>IF($A$4+86&gt;$B$4,"",$A$4+86)</f>
        <v>46109</v>
      </c>
      <c r="N8609" t="str">
        <f>IF(M8609="","",'Master Barang'!A3)</f>
        <v>PRL-002</v>
      </c>
      <c r="O8609" t="str">
        <f>IF(N8609="","",'Master Barang'!B3)</f>
        <v>sunlight cairan pencuci piring 5l</v>
      </c>
      <c r="P8609">
        <f>IF(OR(M8609="",N8609=""),"",SUMIFS('Barang Keluar'!$E:$E,'Barang Keluar'!$A:$A,M8609,'Barang Keluar'!$C:$C,N8609))</f>
        <v>0</v>
      </c>
    </row>
    <row r="8610" spans="13:16">
      <c r="M8610" s="49">
        <f>IF($A$4+86&gt;$B$4,"",$A$4+86)</f>
        <v>46109</v>
      </c>
      <c r="N8610" t="str">
        <f>IF(M8610="","",'Master Barang'!A4)</f>
        <v>PRL-003</v>
      </c>
      <c r="O8610" t="str">
        <f>IF(N8610="","",'Master Barang'!B4)</f>
        <v>oixs cleaner 1l</v>
      </c>
      <c r="P8610">
        <f>IF(OR(M8610="",N8610=""),"",SUMIFS('Barang Keluar'!$E:$E,'Barang Keluar'!$A:$A,M8610,'Barang Keluar'!$C:$C,N8610))</f>
        <v>0</v>
      </c>
    </row>
    <row r="8611" spans="13:16">
      <c r="M8611" s="49">
        <f>IF($A$4+86&gt;$B$4,"",$A$4+86)</f>
        <v>46109</v>
      </c>
      <c r="N8611" t="str">
        <f>IF(M8611="","",'Master Barang'!A5)</f>
        <v>PRL-004</v>
      </c>
      <c r="O8611" t="str">
        <f>IF(N8611="","",'Master Barang'!B5)</f>
        <v>be clean tissue serbaguna</v>
      </c>
      <c r="P8611">
        <f>IF(OR(M8611="",N8611=""),"",SUMIFS('Barang Keluar'!$E:$E,'Barang Keluar'!$A:$A,M8611,'Barang Keluar'!$C:$C,N8611))</f>
        <v>0</v>
      </c>
    </row>
    <row r="8612" spans="13:16">
      <c r="M8612" s="49">
        <f>IF($A$4+86&gt;$B$4,"",$A$4+86)</f>
        <v>46109</v>
      </c>
      <c r="N8612" t="str">
        <f>IF(M8612="","",'Master Barang'!A6)</f>
        <v>PRL-005</v>
      </c>
      <c r="O8612" t="str">
        <f>IF(N8612="","",'Master Barang'!B6)</f>
        <v>spons cuci hijau</v>
      </c>
      <c r="P8612">
        <f>IF(OR(M8612="",N8612=""),"",SUMIFS('Barang Keluar'!$E:$E,'Barang Keluar'!$A:$A,M8612,'Barang Keluar'!$C:$C,N8612))</f>
        <v>0</v>
      </c>
    </row>
    <row r="8613" spans="13:16">
      <c r="M8613" s="49">
        <f>IF($A$4+86&gt;$B$4,"",$A$4+86)</f>
        <v>46109</v>
      </c>
      <c r="N8613" t="str">
        <f>IF(M8613="","",'Master Barang'!A7)</f>
        <v>PRL-006</v>
      </c>
      <c r="O8613" t="str">
        <f>IF(N8613="","",'Master Barang'!B7)</f>
        <v>sabut cuci stainless</v>
      </c>
      <c r="P8613">
        <f>IF(OR(M8613="",N8613=""),"",SUMIFS('Barang Keluar'!$E:$E,'Barang Keluar'!$A:$A,M8613,'Barang Keluar'!$C:$C,N8613))</f>
        <v>0</v>
      </c>
    </row>
    <row r="8614" spans="13:16">
      <c r="M8614" s="49">
        <f>IF($A$4+86&gt;$B$4,"",$A$4+86)</f>
        <v>46109</v>
      </c>
      <c r="N8614" t="str">
        <f>IF(M8614="","",'Master Barang'!A8)</f>
        <v>PRL-007</v>
      </c>
      <c r="O8614" t="str">
        <f>IF(N8614="","",'Master Barang'!B8)</f>
        <v>plastik kresek besar merah 50pc</v>
      </c>
      <c r="P8614">
        <f>IF(OR(M8614="",N8614=""),"",SUMIFS('Barang Keluar'!$E:$E,'Barang Keluar'!$A:$A,M8614,'Barang Keluar'!$C:$C,N8614))</f>
        <v>0</v>
      </c>
    </row>
    <row r="8615" spans="13:16">
      <c r="M8615" s="49">
        <f>IF($A$4+86&gt;$B$4,"",$A$4+86)</f>
        <v>46109</v>
      </c>
      <c r="N8615" t="str">
        <f>IF(M8615="","",'Master Barang'!A9)</f>
        <v>PRL-008</v>
      </c>
      <c r="O8615" t="str">
        <f>IF(N8615="","",'Master Barang'!B9)</f>
        <v>lap besar</v>
      </c>
      <c r="P8615">
        <f>IF(OR(M8615="",N8615=""),"",SUMIFS('Barang Keluar'!$E:$E,'Barang Keluar'!$A:$A,M8615,'Barang Keluar'!$C:$C,N8615))</f>
        <v>0</v>
      </c>
    </row>
    <row r="8616" spans="13:16">
      <c r="M8616" s="49">
        <f>IF($A$4+86&gt;$B$4,"",$A$4+86)</f>
        <v>46109</v>
      </c>
      <c r="N8616" t="str">
        <f>IF(M8616="","",'Master Barang'!A10)</f>
        <v>PRL-009</v>
      </c>
      <c r="O8616" t="str">
        <f>IF(N8616="","",'Master Barang'!B10)</f>
        <v>lap microfiber</v>
      </c>
      <c r="P8616">
        <f>IF(OR(M8616="",N8616=""),"",SUMIFS('Barang Keluar'!$E:$E,'Barang Keluar'!$A:$A,M8616,'Barang Keluar'!$C:$C,N8616))</f>
        <v>0</v>
      </c>
    </row>
    <row r="8617" spans="13:16">
      <c r="M8617" s="49">
        <f>IF($A$4+86&gt;$B$4,"",$A$4+86)</f>
        <v>46109</v>
      </c>
      <c r="N8617" t="str">
        <f>IF(M8617="","",'Master Barang'!A11)</f>
        <v>PRL-010</v>
      </c>
      <c r="O8617" t="str">
        <f>IF(N8617="","",'Master Barang'!B11)</f>
        <v>lap kecil</v>
      </c>
      <c r="P8617">
        <f>IF(OR(M8617="",N8617=""),"",SUMIFS('Barang Keluar'!$E:$E,'Barang Keluar'!$A:$A,M8617,'Barang Keluar'!$C:$C,N8617))</f>
        <v>0</v>
      </c>
    </row>
    <row r="8618" spans="13:16">
      <c r="M8618" s="49">
        <f>IF($A$4+86&gt;$B$4,"",$A$4+86)</f>
        <v>46109</v>
      </c>
      <c r="N8618" t="str">
        <f>IF(M8618="","",'Master Barang'!A12)</f>
        <v>PRL-011</v>
      </c>
      <c r="O8618" t="str">
        <f>IF(N8618="","",'Master Barang'!B12)</f>
        <v>kanebo kecil</v>
      </c>
      <c r="P8618">
        <f>IF(OR(M8618="",N8618=""),"",SUMIFS('Barang Keluar'!$E:$E,'Barang Keluar'!$A:$A,M8618,'Barang Keluar'!$C:$C,N8618))</f>
        <v>0</v>
      </c>
    </row>
    <row r="8619" spans="13:16">
      <c r="M8619" s="49">
        <f>IF($A$4+86&gt;$B$4,"",$A$4+86)</f>
        <v>46109</v>
      </c>
      <c r="N8619" t="str">
        <f>IF(M8619="","",'Master Barang'!A13)</f>
        <v>PRL-012</v>
      </c>
      <c r="O8619" t="str">
        <f>IF(N8619="","",'Master Barang'!B13)</f>
        <v>plastik 1/4kg joyoboyo 100 lembar</v>
      </c>
      <c r="P8619">
        <f>IF(OR(M8619="",N8619=""),"",SUMIFS('Barang Keluar'!$E:$E,'Barang Keluar'!$A:$A,M8619,'Barang Keluar'!$C:$C,N8619))</f>
        <v>0</v>
      </c>
    </row>
    <row r="8620" spans="13:16">
      <c r="M8620" s="49">
        <f>IF($A$4+86&gt;$B$4,"",$A$4+86)</f>
        <v>46109</v>
      </c>
      <c r="N8620" t="str">
        <f>IF(M8620="","",'Master Barang'!A14)</f>
        <v>PRL-013</v>
      </c>
      <c r="O8620" t="str">
        <f>IF(N8620="","",'Master Barang'!B14)</f>
        <v>sarung tangan plastik kaka 100 pcs</v>
      </c>
      <c r="P8620">
        <f>IF(OR(M8620="",N8620=""),"",SUMIFS('Barang Keluar'!$E:$E,'Barang Keluar'!$A:$A,M8620,'Barang Keluar'!$C:$C,N8620))</f>
        <v>0</v>
      </c>
    </row>
    <row r="8621" spans="13:16">
      <c r="M8621" s="49">
        <f>IF($A$4+86&gt;$B$4,"",$A$4+86)</f>
        <v>46109</v>
      </c>
      <c r="N8621" t="str">
        <f>IF(M8621="","",'Master Barang'!A15)</f>
        <v>PRL-014</v>
      </c>
      <c r="O8621" t="str">
        <f>IF(N8621="","",'Master Barang'!B15)</f>
        <v>optima trashbag 80x100</v>
      </c>
      <c r="P8621">
        <f>IF(OR(M8621="",N8621=""),"",SUMIFS('Barang Keluar'!$E:$E,'Barang Keluar'!$A:$A,M8621,'Barang Keluar'!$C:$C,N8621))</f>
        <v>0</v>
      </c>
    </row>
    <row r="8622" spans="13:16">
      <c r="M8622" s="49">
        <f>IF($A$4+86&gt;$B$4,"",$A$4+86)</f>
        <v>46109</v>
      </c>
      <c r="N8622" t="str">
        <f>IF(M8622="","",'Master Barang'!A16)</f>
        <v>PRL-015</v>
      </c>
      <c r="O8622" t="str">
        <f>IF(N8622="","",'Master Barang'!B16)</f>
        <v>optima trashbag 60x100</v>
      </c>
      <c r="P8622">
        <f>IF(OR(M8622="",N8622=""),"",SUMIFS('Barang Keluar'!$E:$E,'Barang Keluar'!$A:$A,M8622,'Barang Keluar'!$C:$C,N8622))</f>
        <v>0</v>
      </c>
    </row>
    <row r="8623" spans="13:16">
      <c r="M8623" s="49">
        <f>IF($A$4+86&gt;$B$4,"",$A$4+86)</f>
        <v>46109</v>
      </c>
      <c r="N8623" t="str">
        <f>IF(M8623="","",'Master Barang'!A17)</f>
        <v>PRL-016</v>
      </c>
      <c r="O8623" t="str">
        <f>IF(N8623="","",'Master Barang'!B17)</f>
        <v>rajawali trashbag 30x40</v>
      </c>
      <c r="P8623">
        <f>IF(OR(M8623="",N8623=""),"",SUMIFS('Barang Keluar'!$E:$E,'Barang Keluar'!$A:$A,M8623,'Barang Keluar'!$C:$C,N8623))</f>
        <v>0</v>
      </c>
    </row>
    <row r="8624" spans="13:16">
      <c r="M8624" s="49">
        <f>IF($A$4+86&gt;$B$4,"",$A$4+86)</f>
        <v>46109</v>
      </c>
      <c r="N8624" t="str">
        <f>IF(M8624="","",'Master Barang'!A18)</f>
        <v>PRL-017</v>
      </c>
      <c r="O8624" t="str">
        <f>IF(N8624="","",'Master Barang'!B18)</f>
        <v>onemed masker biru 3 play 50 pcs</v>
      </c>
      <c r="P8624">
        <f>IF(OR(M8624="",N8624=""),"",SUMIFS('Barang Keluar'!$E:$E,'Barang Keluar'!$A:$A,M8624,'Barang Keluar'!$C:$C,N8624))</f>
        <v>0</v>
      </c>
    </row>
    <row r="8625" spans="13:16">
      <c r="M8625" s="49">
        <f>IF($A$4+86&gt;$B$4,"",$A$4+86)</f>
        <v>46109</v>
      </c>
      <c r="N8625" t="str">
        <f>IF(M8625="","",'Master Barang'!A19)</f>
        <v>PRL-018</v>
      </c>
      <c r="O8625" t="str">
        <f>IF(N8625="","",'Master Barang'!B19)</f>
        <v>onemed masker biru 3 play hijab 50 pcs</v>
      </c>
      <c r="P8625">
        <f>IF(OR(M8625="",N8625=""),"",SUMIFS('Barang Keluar'!$E:$E,'Barang Keluar'!$A:$A,M8625,'Barang Keluar'!$C:$C,N8625))</f>
        <v>0</v>
      </c>
    </row>
    <row r="8626" spans="13:16">
      <c r="M8626" s="49">
        <f>IF($A$4+86&gt;$B$4,"",$A$4+86)</f>
        <v>46109</v>
      </c>
      <c r="N8626" t="str">
        <f>IF(M8626="","",'Master Barang'!A20)</f>
        <v>PRL-019</v>
      </c>
      <c r="O8626" t="str">
        <f>IF(N8626="","",'Master Barang'!B20)</f>
        <v>neo health masker biru 3 play 50 pcs</v>
      </c>
      <c r="P8626">
        <f>IF(OR(M8626="",N8626=""),"",SUMIFS('Barang Keluar'!$E:$E,'Barang Keluar'!$A:$A,M8626,'Barang Keluar'!$C:$C,N8626))</f>
        <v>0</v>
      </c>
    </row>
    <row r="8627" spans="13:16">
      <c r="M8627" s="49">
        <f>IF($A$4+86&gt;$B$4,"",$A$4+86)</f>
        <v>46109</v>
      </c>
      <c r="N8627" t="str">
        <f>IF(M8627="","",'Master Barang'!A21)</f>
        <v>PRL-020</v>
      </c>
      <c r="O8627" t="str">
        <f>IF(N8627="","",'Master Barang'!B21)</f>
        <v>baymed masker hijau 3 play hijau 50 pcs</v>
      </c>
      <c r="P8627">
        <f>IF(OR(M8627="",N8627=""),"",SUMIFS('Barang Keluar'!$E:$E,'Barang Keluar'!$A:$A,M8627,'Barang Keluar'!$C:$C,N8627))</f>
        <v>0</v>
      </c>
    </row>
    <row r="8628" spans="13:16">
      <c r="M8628" s="49">
        <f>IF($A$4+86&gt;$B$4,"",$A$4+86)</f>
        <v>46109</v>
      </c>
      <c r="N8628" t="str">
        <f>IF(M8628="","",'Master Barang'!A22)</f>
        <v>PRL-021</v>
      </c>
      <c r="O8628" t="str">
        <f>IF(N8628="","",'Master Barang'!B22)</f>
        <v>altamed nurse cap penutup kepala 100 pcs</v>
      </c>
      <c r="P8628">
        <f>IF(OR(M8628="",N8628=""),"",SUMIFS('Barang Keluar'!$E:$E,'Barang Keluar'!$A:$A,M8628,'Barang Keluar'!$C:$C,N8628))</f>
        <v>0</v>
      </c>
    </row>
    <row r="8629" spans="13:16">
      <c r="M8629" s="49">
        <f>IF($A$4+86&gt;$B$4,"",$A$4+86)</f>
        <v>46109</v>
      </c>
      <c r="N8629" t="str">
        <f>IF(M8629="","",'Master Barang'!A23)</f>
        <v>PRL-022</v>
      </c>
      <c r="O8629" t="str">
        <f>IF(N8629="","",'Master Barang'!B23)</f>
        <v>sabun cuci tangan</v>
      </c>
      <c r="P8629">
        <f>IF(OR(M8629="",N8629=""),"",SUMIFS('Barang Keluar'!$E:$E,'Barang Keluar'!$A:$A,M8629,'Barang Keluar'!$C:$C,N8629))</f>
        <v>0</v>
      </c>
    </row>
    <row r="8630" spans="13:16">
      <c r="M8630" s="49">
        <f>IF($A$4+86&gt;$B$4,"",$A$4+86)</f>
        <v>46109</v>
      </c>
      <c r="N8630" t="str">
        <f>IF(M8630="","",'Master Barang'!A24)</f>
        <v>PRL-023</v>
      </c>
      <c r="O8630" t="str">
        <f>IF(N8630="","",'Master Barang'!B24)</f>
        <v>gayung kecil</v>
      </c>
      <c r="P8630">
        <f>IF(OR(M8630="",N8630=""),"",SUMIFS('Barang Keluar'!$E:$E,'Barang Keluar'!$A:$A,M8630,'Barang Keluar'!$C:$C,N8630))</f>
        <v>0</v>
      </c>
    </row>
    <row r="8631" spans="13:16">
      <c r="M8631" s="49">
        <f>IF($A$4+86&gt;$B$4,"",$A$4+86)</f>
        <v>46109</v>
      </c>
      <c r="N8631" t="str">
        <f>IF(M8631="","",'Master Barang'!A25)</f>
        <v>PRL-024</v>
      </c>
      <c r="O8631" t="str">
        <f>IF(N8631="","",'Master Barang'!B25)</f>
        <v>cikrak kecil</v>
      </c>
      <c r="P8631">
        <f>IF(OR(M8631="",N8631=""),"",SUMIFS('Barang Keluar'!$E:$E,'Barang Keluar'!$A:$A,M8631,'Barang Keluar'!$C:$C,N8631))</f>
        <v>0</v>
      </c>
    </row>
    <row r="8632" spans="13:16">
      <c r="M8632" s="49">
        <f>IF($A$4+86&gt;$B$4,"",$A$4+86)</f>
        <v>46109</v>
      </c>
      <c r="N8632" t="str">
        <f>IF(M8632="","",'Master Barang'!A26)</f>
        <v>PRL-025</v>
      </c>
      <c r="O8632" t="str">
        <f>IF(N8632="","",'Master Barang'!B26)</f>
        <v>petromax plastik kecil 12x24 100 lembar</v>
      </c>
      <c r="P8632">
        <f>IF(OR(M8632="",N8632=""),"",SUMIFS('Barang Keluar'!$E:$E,'Barang Keluar'!$A:$A,M8632,'Barang Keluar'!$C:$C,N8632))</f>
        <v>0</v>
      </c>
    </row>
    <row r="8633" spans="13:16">
      <c r="M8633" s="49">
        <f>IF($A$4+86&gt;$B$4,"",$A$4+86)</f>
        <v>46109</v>
      </c>
      <c r="N8633" t="str">
        <f>IF(M8633="","",'Master Barang'!A27)</f>
        <v>PRL-026</v>
      </c>
      <c r="O8633" t="str">
        <f>IF(N8633="","",'Master Barang'!B27)</f>
        <v>lancar kresek kecil bening </v>
      </c>
      <c r="P8633">
        <f>IF(OR(M8633="",N8633=""),"",SUMIFS('Barang Keluar'!$E:$E,'Barang Keluar'!$A:$A,M8633,'Barang Keluar'!$C:$C,N8633))</f>
        <v>0</v>
      </c>
    </row>
    <row r="8634" spans="13:16">
      <c r="M8634" s="49">
        <f>IF($A$4+86&gt;$B$4,"",$A$4+86)</f>
        <v>46109</v>
      </c>
      <c r="N8634" t="str">
        <f>IF(M8634="","",'Master Barang'!A28)</f>
        <v>PRL-027</v>
      </c>
      <c r="O8634" t="str">
        <f>IF(N8634="","",'Master Barang'!B28)</f>
        <v>kresek klin warna warni kecil</v>
      </c>
      <c r="P8634">
        <f>IF(OR(M8634="",N8634=""),"",SUMIFS('Barang Keluar'!$E:$E,'Barang Keluar'!$A:$A,M8634,'Barang Keluar'!$C:$C,N8634))</f>
        <v>0</v>
      </c>
    </row>
    <row r="8635" spans="13:16">
      <c r="M8635" s="49">
        <f>IF($A$4+86&gt;$B$4,"",$A$4+86)</f>
        <v>46109</v>
      </c>
      <c r="N8635" t="str">
        <f>IF(M8635="","",'Master Barang'!A29)</f>
        <v>PRL-028</v>
      </c>
      <c r="O8635" t="str">
        <f>IF(N8635="","",'Master Barang'!B29)</f>
        <v>ctik plastik 7x10 100 pcs</v>
      </c>
      <c r="P8635">
        <f>IF(OR(M8635="",N8635=""),"",SUMIFS('Barang Keluar'!$E:$E,'Barang Keluar'!$A:$A,M8635,'Barang Keluar'!$C:$C,N8635))</f>
        <v>0</v>
      </c>
    </row>
    <row r="8636" spans="13:16">
      <c r="M8636" s="49">
        <f>IF($A$4+86&gt;$B$4,"",$A$4+86)</f>
        <v>46109</v>
      </c>
      <c r="N8636" t="str">
        <f>IF(M8636="","",'Master Barang'!A30)</f>
        <v>PRL-029</v>
      </c>
      <c r="O8636" t="str">
        <f>IF(N8636="","",'Master Barang'!B30)</f>
        <v>ctik plastik 6x10 100 pcs</v>
      </c>
      <c r="P8636">
        <f>IF(OR(M8636="",N8636=""),"",SUMIFS('Barang Keluar'!$E:$E,'Barang Keluar'!$A:$A,M8636,'Barang Keluar'!$C:$C,N8636))</f>
        <v>0</v>
      </c>
    </row>
    <row r="8637" spans="13:16">
      <c r="M8637" s="49">
        <f>IF($A$4+86&gt;$B$4,"",$A$4+86)</f>
        <v>46109</v>
      </c>
      <c r="N8637" t="str">
        <f>IF(M8637="","",'Master Barang'!A31)</f>
        <v>PRL-030</v>
      </c>
      <c r="O8637" t="str">
        <f>IF(N8637="","",'Master Barang'!B31)</f>
        <v>klip plastik 25x16 100 pcs</v>
      </c>
      <c r="P8637">
        <f>IF(OR(M8637="",N8637=""),"",SUMIFS('Barang Keluar'!$E:$E,'Barang Keluar'!$A:$A,M8637,'Barang Keluar'!$C:$C,N8637))</f>
        <v>0</v>
      </c>
    </row>
    <row r="8638" spans="13:16">
      <c r="M8638" s="49">
        <f>IF($A$4+86&gt;$B$4,"",$A$4+86)</f>
        <v>46109</v>
      </c>
      <c r="N8638" t="str">
        <f>IF(M8638="","",'Master Barang'!A32)</f>
        <v>PRL-031</v>
      </c>
      <c r="O8638" t="str">
        <f>IF(N8638="","",'Master Barang'!B32)</f>
        <v>tempat saus 20 ml</v>
      </c>
      <c r="P8638">
        <f>IF(OR(M8638="",N8638=""),"",SUMIFS('Barang Keluar'!$E:$E,'Barang Keluar'!$A:$A,M8638,'Barang Keluar'!$C:$C,N8638))</f>
        <v>0</v>
      </c>
    </row>
    <row r="8639" spans="13:16">
      <c r="M8639" s="49">
        <f>IF($A$4+86&gt;$B$4,"",$A$4+86)</f>
        <v>46109</v>
      </c>
      <c r="N8639" t="str">
        <f>IF(M8639="","",'Master Barang'!A33)</f>
        <v>PRL-032</v>
      </c>
      <c r="O8639" t="str">
        <f>IF(N8639="","",'Master Barang'!B33)</f>
        <v>plastik packaging ag box uk sedang</v>
      </c>
      <c r="P8639">
        <f>IF(OR(M8639="",N8639=""),"",SUMIFS('Barang Keluar'!$E:$E,'Barang Keluar'!$A:$A,M8639,'Barang Keluar'!$C:$C,N8639))</f>
        <v>0</v>
      </c>
    </row>
    <row r="8640" spans="13:16">
      <c r="M8640" s="49">
        <f>IF($A$4+86&gt;$B$4,"",$A$4+86)</f>
        <v>46109</v>
      </c>
      <c r="N8640" t="str">
        <f>IF(M8640="","",'Master Barang'!A34)</f>
        <v>PRL-033</v>
      </c>
      <c r="O8640">
        <f>IF(N8640="","",'Master Barang'!B34)</f>
        <v>0</v>
      </c>
      <c r="P8640">
        <f>IF(OR(M8640="",N8640=""),"",SUMIFS('Barang Keluar'!$E:$E,'Barang Keluar'!$A:$A,M8640,'Barang Keluar'!$C:$C,N8640))</f>
        <v>0</v>
      </c>
    </row>
    <row r="8641" spans="13:16">
      <c r="M8641" s="49">
        <f>IF($A$4+86&gt;$B$4,"",$A$4+86)</f>
        <v>46109</v>
      </c>
      <c r="N8641">
        <f>IF(M8641="","",'Master Barang'!A35)</f>
        <v>0</v>
      </c>
      <c r="O8641">
        <f>IF(N8641="","",'Master Barang'!B35)</f>
        <v>0</v>
      </c>
      <c r="P8641">
        <f>IF(OR(M8641="",N8641=""),"",SUMIFS('Barang Keluar'!$E:$E,'Barang Keluar'!$A:$A,M8641,'Barang Keluar'!$C:$C,N8641))</f>
        <v>0</v>
      </c>
    </row>
    <row r="8642" spans="13:16">
      <c r="M8642" s="49">
        <f>IF($A$4+86&gt;$B$4,"",$A$4+86)</f>
        <v>46109</v>
      </c>
      <c r="N8642">
        <f>IF(M8642="","",'Master Barang'!A36)</f>
        <v>0</v>
      </c>
      <c r="O8642">
        <f>IF(N8642="","",'Master Barang'!B36)</f>
        <v>0</v>
      </c>
      <c r="P8642">
        <f>IF(OR(M8642="",N8642=""),"",SUMIFS('Barang Keluar'!$E:$E,'Barang Keluar'!$A:$A,M8642,'Barang Keluar'!$C:$C,N8642))</f>
        <v>0</v>
      </c>
    </row>
    <row r="8643" spans="13:16">
      <c r="M8643" s="49">
        <f>IF($A$4+86&gt;$B$4,"",$A$4+86)</f>
        <v>46109</v>
      </c>
      <c r="N8643">
        <f>IF(M8643="","",'Master Barang'!A37)</f>
        <v>0</v>
      </c>
      <c r="O8643">
        <f>IF(N8643="","",'Master Barang'!B37)</f>
        <v>0</v>
      </c>
      <c r="P8643">
        <f>IF(OR(M8643="",N8643=""),"",SUMIFS('Barang Keluar'!$E:$E,'Barang Keluar'!$A:$A,M8643,'Barang Keluar'!$C:$C,N8643))</f>
        <v>0</v>
      </c>
    </row>
    <row r="8644" spans="13:16">
      <c r="M8644" s="49">
        <f>IF($A$4+86&gt;$B$4,"",$A$4+86)</f>
        <v>46109</v>
      </c>
      <c r="N8644">
        <f>IF(M8644="","",'Master Barang'!A38)</f>
        <v>0</v>
      </c>
      <c r="O8644">
        <f>IF(N8644="","",'Master Barang'!B38)</f>
        <v>0</v>
      </c>
      <c r="P8644">
        <f>IF(OR(M8644="",N8644=""),"",SUMIFS('Barang Keluar'!$E:$E,'Barang Keluar'!$A:$A,M8644,'Barang Keluar'!$C:$C,N8644))</f>
        <v>0</v>
      </c>
    </row>
    <row r="8645" spans="13:16">
      <c r="M8645" s="49">
        <f>IF($A$4+86&gt;$B$4,"",$A$4+86)</f>
        <v>46109</v>
      </c>
      <c r="N8645">
        <f>IF(M8645="","",'Master Barang'!A39)</f>
        <v>0</v>
      </c>
      <c r="O8645">
        <f>IF(N8645="","",'Master Barang'!B39)</f>
        <v>0</v>
      </c>
      <c r="P8645">
        <f>IF(OR(M8645="",N8645=""),"",SUMIFS('Barang Keluar'!$E:$E,'Barang Keluar'!$A:$A,M8645,'Barang Keluar'!$C:$C,N8645))</f>
        <v>0</v>
      </c>
    </row>
    <row r="8646" spans="13:16">
      <c r="M8646" s="49">
        <f>IF($A$4+86&gt;$B$4,"",$A$4+86)</f>
        <v>46109</v>
      </c>
      <c r="N8646">
        <f>IF(M8646="","",'Master Barang'!A40)</f>
        <v>0</v>
      </c>
      <c r="O8646">
        <f>IF(N8646="","",'Master Barang'!B40)</f>
        <v>0</v>
      </c>
      <c r="P8646">
        <f>IF(OR(M8646="",N8646=""),"",SUMIFS('Barang Keluar'!$E:$E,'Barang Keluar'!$A:$A,M8646,'Barang Keluar'!$C:$C,N8646))</f>
        <v>0</v>
      </c>
    </row>
    <row r="8647" spans="13:16">
      <c r="M8647" s="49">
        <f>IF($A$4+86&gt;$B$4,"",$A$4+86)</f>
        <v>46109</v>
      </c>
      <c r="N8647">
        <f>IF(M8647="","",'Master Barang'!A41)</f>
        <v>0</v>
      </c>
      <c r="O8647">
        <f>IF(N8647="","",'Master Barang'!B41)</f>
        <v>0</v>
      </c>
      <c r="P8647">
        <f>IF(OR(M8647="",N8647=""),"",SUMIFS('Barang Keluar'!$E:$E,'Barang Keluar'!$A:$A,M8647,'Barang Keluar'!$C:$C,N8647))</f>
        <v>0</v>
      </c>
    </row>
    <row r="8648" spans="13:16">
      <c r="M8648" s="49">
        <f>IF($A$4+86&gt;$B$4,"",$A$4+86)</f>
        <v>46109</v>
      </c>
      <c r="N8648">
        <f>IF(M8648="","",'Master Barang'!A42)</f>
        <v>0</v>
      </c>
      <c r="O8648">
        <f>IF(N8648="","",'Master Barang'!B42)</f>
        <v>0</v>
      </c>
      <c r="P8648">
        <f>IF(OR(M8648="",N8648=""),"",SUMIFS('Barang Keluar'!$E:$E,'Barang Keluar'!$A:$A,M8648,'Barang Keluar'!$C:$C,N8648))</f>
        <v>0</v>
      </c>
    </row>
    <row r="8649" spans="13:16">
      <c r="M8649" s="49">
        <f>IF($A$4+86&gt;$B$4,"",$A$4+86)</f>
        <v>46109</v>
      </c>
      <c r="N8649">
        <f>IF(M8649="","",'Master Barang'!A43)</f>
        <v>0</v>
      </c>
      <c r="O8649">
        <f>IF(N8649="","",'Master Barang'!B43)</f>
        <v>0</v>
      </c>
      <c r="P8649">
        <f>IF(OR(M8649="",N8649=""),"",SUMIFS('Barang Keluar'!$E:$E,'Barang Keluar'!$A:$A,M8649,'Barang Keluar'!$C:$C,N8649))</f>
        <v>0</v>
      </c>
    </row>
    <row r="8650" spans="13:16">
      <c r="M8650" s="49">
        <f>IF($A$4+86&gt;$B$4,"",$A$4+86)</f>
        <v>46109</v>
      </c>
      <c r="N8650">
        <f>IF(M8650="","",'Master Barang'!A44)</f>
        <v>0</v>
      </c>
      <c r="O8650">
        <f>IF(N8650="","",'Master Barang'!B44)</f>
        <v>0</v>
      </c>
      <c r="P8650">
        <f>IF(OR(M8650="",N8650=""),"",SUMIFS('Barang Keluar'!$E:$E,'Barang Keluar'!$A:$A,M8650,'Barang Keluar'!$C:$C,N8650))</f>
        <v>0</v>
      </c>
    </row>
    <row r="8651" spans="13:16">
      <c r="M8651" s="49">
        <f>IF($A$4+86&gt;$B$4,"",$A$4+86)</f>
        <v>46109</v>
      </c>
      <c r="N8651">
        <f>IF(M8651="","",'Master Barang'!A45)</f>
        <v>0</v>
      </c>
      <c r="O8651">
        <f>IF(N8651="","",'Master Barang'!B45)</f>
        <v>0</v>
      </c>
      <c r="P8651">
        <f>IF(OR(M8651="",N8651=""),"",SUMIFS('Barang Keluar'!$E:$E,'Barang Keluar'!$A:$A,M8651,'Barang Keluar'!$C:$C,N8651))</f>
        <v>0</v>
      </c>
    </row>
    <row r="8652" spans="13:16">
      <c r="M8652" s="49">
        <f>IF($A$4+86&gt;$B$4,"",$A$4+86)</f>
        <v>46109</v>
      </c>
      <c r="N8652">
        <f>IF(M8652="","",'Master Barang'!A46)</f>
        <v>0</v>
      </c>
      <c r="O8652">
        <f>IF(N8652="","",'Master Barang'!B46)</f>
        <v>0</v>
      </c>
      <c r="P8652">
        <f>IF(OR(M8652="",N8652=""),"",SUMIFS('Barang Keluar'!$E:$E,'Barang Keluar'!$A:$A,M8652,'Barang Keluar'!$C:$C,N8652))</f>
        <v>0</v>
      </c>
    </row>
    <row r="8653" spans="13:16">
      <c r="M8653" s="49">
        <f>IF($A$4+86&gt;$B$4,"",$A$4+86)</f>
        <v>46109</v>
      </c>
      <c r="N8653">
        <f>IF(M8653="","",'Master Barang'!A47)</f>
        <v>0</v>
      </c>
      <c r="O8653">
        <f>IF(N8653="","",'Master Barang'!B47)</f>
        <v>0</v>
      </c>
      <c r="P8653">
        <f>IF(OR(M8653="",N8653=""),"",SUMIFS('Barang Keluar'!$E:$E,'Barang Keluar'!$A:$A,M8653,'Barang Keluar'!$C:$C,N8653))</f>
        <v>0</v>
      </c>
    </row>
    <row r="8654" spans="13:16">
      <c r="M8654" s="49">
        <f>IF($A$4+86&gt;$B$4,"",$A$4+86)</f>
        <v>46109</v>
      </c>
      <c r="N8654">
        <f>IF(M8654="","",'Master Barang'!A48)</f>
        <v>0</v>
      </c>
      <c r="O8654">
        <f>IF(N8654="","",'Master Barang'!B48)</f>
        <v>0</v>
      </c>
      <c r="P8654">
        <f>IF(OR(M8654="",N8654=""),"",SUMIFS('Barang Keluar'!$E:$E,'Barang Keluar'!$A:$A,M8654,'Barang Keluar'!$C:$C,N8654))</f>
        <v>0</v>
      </c>
    </row>
    <row r="8655" spans="13:16">
      <c r="M8655" s="49">
        <f>IF($A$4+86&gt;$B$4,"",$A$4+86)</f>
        <v>46109</v>
      </c>
      <c r="N8655">
        <f>IF(M8655="","",'Master Barang'!A49)</f>
        <v>0</v>
      </c>
      <c r="O8655">
        <f>IF(N8655="","",'Master Barang'!B49)</f>
        <v>0</v>
      </c>
      <c r="P8655">
        <f>IF(OR(M8655="",N8655=""),"",SUMIFS('Barang Keluar'!$E:$E,'Barang Keluar'!$A:$A,M8655,'Barang Keluar'!$C:$C,N8655))</f>
        <v>0</v>
      </c>
    </row>
    <row r="8656" spans="13:16">
      <c r="M8656" s="49">
        <f>IF($A$4+86&gt;$B$4,"",$A$4+86)</f>
        <v>46109</v>
      </c>
      <c r="N8656">
        <f>IF(M8656="","",'Master Barang'!A50)</f>
        <v>0</v>
      </c>
      <c r="O8656">
        <f>IF(N8656="","",'Master Barang'!B50)</f>
        <v>0</v>
      </c>
      <c r="P8656">
        <f>IF(OR(M8656="",N8656=""),"",SUMIFS('Barang Keluar'!$E:$E,'Barang Keluar'!$A:$A,M8656,'Barang Keluar'!$C:$C,N8656))</f>
        <v>0</v>
      </c>
    </row>
    <row r="8657" spans="13:16">
      <c r="M8657" s="49">
        <f>IF($A$4+86&gt;$B$4,"",$A$4+86)</f>
        <v>46109</v>
      </c>
      <c r="N8657">
        <f>IF(M8657="","",'Master Barang'!A51)</f>
        <v>0</v>
      </c>
      <c r="O8657">
        <f>IF(N8657="","",'Master Barang'!B51)</f>
        <v>0</v>
      </c>
      <c r="P8657">
        <f>IF(OR(M8657="",N8657=""),"",SUMIFS('Barang Keluar'!$E:$E,'Barang Keluar'!$A:$A,M8657,'Barang Keluar'!$C:$C,N8657))</f>
        <v>0</v>
      </c>
    </row>
    <row r="8658" spans="13:16">
      <c r="M8658" s="49">
        <f>IF($A$4+86&gt;$B$4,"",$A$4+86)</f>
        <v>46109</v>
      </c>
      <c r="N8658">
        <f>IF(M8658="","",'Master Barang'!A52)</f>
        <v>0</v>
      </c>
      <c r="O8658">
        <f>IF(N8658="","",'Master Barang'!B52)</f>
        <v>0</v>
      </c>
      <c r="P8658">
        <f>IF(OR(M8658="",N8658=""),"",SUMIFS('Barang Keluar'!$E:$E,'Barang Keluar'!$A:$A,M8658,'Barang Keluar'!$C:$C,N8658))</f>
        <v>0</v>
      </c>
    </row>
    <row r="8659" spans="13:16">
      <c r="M8659" s="49">
        <f>IF($A$4+86&gt;$B$4,"",$A$4+86)</f>
        <v>46109</v>
      </c>
      <c r="N8659">
        <f>IF(M8659="","",'Master Barang'!A53)</f>
        <v>0</v>
      </c>
      <c r="O8659">
        <f>IF(N8659="","",'Master Barang'!B53)</f>
        <v>0</v>
      </c>
      <c r="P8659">
        <f>IF(OR(M8659="",N8659=""),"",SUMIFS('Barang Keluar'!$E:$E,'Barang Keluar'!$A:$A,M8659,'Barang Keluar'!$C:$C,N8659))</f>
        <v>0</v>
      </c>
    </row>
    <row r="8660" spans="13:16">
      <c r="M8660" s="49">
        <f>IF($A$4+86&gt;$B$4,"",$A$4+86)</f>
        <v>46109</v>
      </c>
      <c r="N8660">
        <f>IF(M8660="","",'Master Barang'!A54)</f>
        <v>0</v>
      </c>
      <c r="O8660">
        <f>IF(N8660="","",'Master Barang'!B54)</f>
        <v>0</v>
      </c>
      <c r="P8660">
        <f>IF(OR(M8660="",N8660=""),"",SUMIFS('Barang Keluar'!$E:$E,'Barang Keluar'!$A:$A,M8660,'Barang Keluar'!$C:$C,N8660))</f>
        <v>0</v>
      </c>
    </row>
    <row r="8661" spans="13:16">
      <c r="M8661" s="49">
        <f>IF($A$4+86&gt;$B$4,"",$A$4+86)</f>
        <v>46109</v>
      </c>
      <c r="N8661">
        <f>IF(M8661="","",'Master Barang'!A55)</f>
        <v>0</v>
      </c>
      <c r="O8661">
        <f>IF(N8661="","",'Master Barang'!B55)</f>
        <v>0</v>
      </c>
      <c r="P8661">
        <f>IF(OR(M8661="",N8661=""),"",SUMIFS('Barang Keluar'!$E:$E,'Barang Keluar'!$A:$A,M8661,'Barang Keluar'!$C:$C,N8661))</f>
        <v>0</v>
      </c>
    </row>
    <row r="8662" spans="13:16">
      <c r="M8662" s="49">
        <f>IF($A$4+86&gt;$B$4,"",$A$4+86)</f>
        <v>46109</v>
      </c>
      <c r="N8662">
        <f>IF(M8662="","",'Master Barang'!A56)</f>
        <v>0</v>
      </c>
      <c r="O8662">
        <f>IF(N8662="","",'Master Barang'!B56)</f>
        <v>0</v>
      </c>
      <c r="P8662">
        <f>IF(OR(M8662="",N8662=""),"",SUMIFS('Barang Keluar'!$E:$E,'Barang Keluar'!$A:$A,M8662,'Barang Keluar'!$C:$C,N8662))</f>
        <v>0</v>
      </c>
    </row>
    <row r="8663" spans="13:16">
      <c r="M8663" s="49">
        <f>IF($A$4+86&gt;$B$4,"",$A$4+86)</f>
        <v>46109</v>
      </c>
      <c r="N8663">
        <f>IF(M8663="","",'Master Barang'!A57)</f>
        <v>0</v>
      </c>
      <c r="O8663">
        <f>IF(N8663="","",'Master Barang'!B57)</f>
        <v>0</v>
      </c>
      <c r="P8663">
        <f>IF(OR(M8663="",N8663=""),"",SUMIFS('Barang Keluar'!$E:$E,'Barang Keluar'!$A:$A,M8663,'Barang Keluar'!$C:$C,N8663))</f>
        <v>0</v>
      </c>
    </row>
    <row r="8664" spans="13:16">
      <c r="M8664" s="49">
        <f>IF($A$4+86&gt;$B$4,"",$A$4+86)</f>
        <v>46109</v>
      </c>
      <c r="N8664">
        <f>IF(M8664="","",'Master Barang'!A58)</f>
        <v>0</v>
      </c>
      <c r="O8664">
        <f>IF(N8664="","",'Master Barang'!B58)</f>
        <v>0</v>
      </c>
      <c r="P8664">
        <f>IF(OR(M8664="",N8664=""),"",SUMIFS('Barang Keluar'!$E:$E,'Barang Keluar'!$A:$A,M8664,'Barang Keluar'!$C:$C,N8664))</f>
        <v>0</v>
      </c>
    </row>
    <row r="8665" spans="13:16">
      <c r="M8665" s="49">
        <f>IF($A$4+86&gt;$B$4,"",$A$4+86)</f>
        <v>46109</v>
      </c>
      <c r="N8665">
        <f>IF(M8665="","",'Master Barang'!A59)</f>
        <v>0</v>
      </c>
      <c r="O8665">
        <f>IF(N8665="","",'Master Barang'!B59)</f>
        <v>0</v>
      </c>
      <c r="P8665">
        <f>IF(OR(M8665="",N8665=""),"",SUMIFS('Barang Keluar'!$E:$E,'Barang Keluar'!$A:$A,M8665,'Barang Keluar'!$C:$C,N8665))</f>
        <v>0</v>
      </c>
    </row>
    <row r="8666" spans="13:16">
      <c r="M8666" s="49">
        <f>IF($A$4+86&gt;$B$4,"",$A$4+86)</f>
        <v>46109</v>
      </c>
      <c r="N8666">
        <f>IF(M8666="","",'Master Barang'!A60)</f>
        <v>0</v>
      </c>
      <c r="O8666">
        <f>IF(N8666="","",'Master Barang'!B60)</f>
        <v>0</v>
      </c>
      <c r="P8666">
        <f>IF(OR(M8666="",N8666=""),"",SUMIFS('Barang Keluar'!$E:$E,'Barang Keluar'!$A:$A,M8666,'Barang Keluar'!$C:$C,N8666))</f>
        <v>0</v>
      </c>
    </row>
    <row r="8667" spans="13:16">
      <c r="M8667" s="49">
        <f>IF($A$4+86&gt;$B$4,"",$A$4+86)</f>
        <v>46109</v>
      </c>
      <c r="N8667">
        <f>IF(M8667="","",'Master Barang'!A61)</f>
        <v>0</v>
      </c>
      <c r="O8667">
        <f>IF(N8667="","",'Master Barang'!B61)</f>
        <v>0</v>
      </c>
      <c r="P8667">
        <f>IF(OR(M8667="",N8667=""),"",SUMIFS('Barang Keluar'!$E:$E,'Barang Keluar'!$A:$A,M8667,'Barang Keluar'!$C:$C,N8667))</f>
        <v>0</v>
      </c>
    </row>
    <row r="8668" spans="13:16">
      <c r="M8668" s="49">
        <f>IF($A$4+86&gt;$B$4,"",$A$4+86)</f>
        <v>46109</v>
      </c>
      <c r="N8668">
        <f>IF(M8668="","",'Master Barang'!A62)</f>
        <v>0</v>
      </c>
      <c r="O8668">
        <f>IF(N8668="","",'Master Barang'!B62)</f>
        <v>0</v>
      </c>
      <c r="P8668">
        <f>IF(OR(M8668="",N8668=""),"",SUMIFS('Barang Keluar'!$E:$E,'Barang Keluar'!$A:$A,M8668,'Barang Keluar'!$C:$C,N8668))</f>
        <v>0</v>
      </c>
    </row>
    <row r="8669" spans="13:16">
      <c r="M8669" s="49">
        <f>IF($A$4+86&gt;$B$4,"",$A$4+86)</f>
        <v>46109</v>
      </c>
      <c r="N8669">
        <f>IF(M8669="","",'Master Barang'!A63)</f>
        <v>0</v>
      </c>
      <c r="O8669">
        <f>IF(N8669="","",'Master Barang'!B63)</f>
        <v>0</v>
      </c>
      <c r="P8669">
        <f>IF(OR(M8669="",N8669=""),"",SUMIFS('Barang Keluar'!$E:$E,'Barang Keluar'!$A:$A,M8669,'Barang Keluar'!$C:$C,N8669))</f>
        <v>0</v>
      </c>
    </row>
    <row r="8670" spans="13:16">
      <c r="M8670" s="49">
        <f>IF($A$4+86&gt;$B$4,"",$A$4+86)</f>
        <v>46109</v>
      </c>
      <c r="N8670">
        <f>IF(M8670="","",'Master Barang'!A64)</f>
        <v>0</v>
      </c>
      <c r="O8670">
        <f>IF(N8670="","",'Master Barang'!B64)</f>
        <v>0</v>
      </c>
      <c r="P8670">
        <f>IF(OR(M8670="",N8670=""),"",SUMIFS('Barang Keluar'!$E:$E,'Barang Keluar'!$A:$A,M8670,'Barang Keluar'!$C:$C,N8670))</f>
        <v>0</v>
      </c>
    </row>
    <row r="8671" spans="13:16">
      <c r="M8671" s="49">
        <f>IF($A$4+86&gt;$B$4,"",$A$4+86)</f>
        <v>46109</v>
      </c>
      <c r="N8671">
        <f>IF(M8671="","",'Master Barang'!A65)</f>
        <v>0</v>
      </c>
      <c r="O8671">
        <f>IF(N8671="","",'Master Barang'!B65)</f>
        <v>0</v>
      </c>
      <c r="P8671">
        <f>IF(OR(M8671="",N8671=""),"",SUMIFS('Barang Keluar'!$E:$E,'Barang Keluar'!$A:$A,M8671,'Barang Keluar'!$C:$C,N8671))</f>
        <v>0</v>
      </c>
    </row>
    <row r="8672" spans="13:16">
      <c r="M8672" s="49">
        <f>IF($A$4+86&gt;$B$4,"",$A$4+86)</f>
        <v>46109</v>
      </c>
      <c r="N8672">
        <f>IF(M8672="","",'Master Barang'!A66)</f>
        <v>0</v>
      </c>
      <c r="O8672">
        <f>IF(N8672="","",'Master Barang'!B66)</f>
        <v>0</v>
      </c>
      <c r="P8672">
        <f>IF(OR(M8672="",N8672=""),"",SUMIFS('Barang Keluar'!$E:$E,'Barang Keluar'!$A:$A,M8672,'Barang Keluar'!$C:$C,N8672))</f>
        <v>0</v>
      </c>
    </row>
    <row r="8673" spans="13:16">
      <c r="M8673" s="49">
        <f>IF($A$4+86&gt;$B$4,"",$A$4+86)</f>
        <v>46109</v>
      </c>
      <c r="N8673">
        <f>IF(M8673="","",'Master Barang'!A67)</f>
        <v>0</v>
      </c>
      <c r="O8673">
        <f>IF(N8673="","",'Master Barang'!B67)</f>
        <v>0</v>
      </c>
      <c r="P8673">
        <f>IF(OR(M8673="",N8673=""),"",SUMIFS('Barang Keluar'!$E:$E,'Barang Keluar'!$A:$A,M8673,'Barang Keluar'!$C:$C,N8673))</f>
        <v>0</v>
      </c>
    </row>
    <row r="8674" spans="13:16">
      <c r="M8674" s="49">
        <f>IF($A$4+86&gt;$B$4,"",$A$4+86)</f>
        <v>46109</v>
      </c>
      <c r="N8674">
        <f>IF(M8674="","",'Master Barang'!A68)</f>
        <v>0</v>
      </c>
      <c r="O8674">
        <f>IF(N8674="","",'Master Barang'!B68)</f>
        <v>0</v>
      </c>
      <c r="P8674">
        <f>IF(OR(M8674="",N8674=""),"",SUMIFS('Barang Keluar'!$E:$E,'Barang Keluar'!$A:$A,M8674,'Barang Keluar'!$C:$C,N8674))</f>
        <v>0</v>
      </c>
    </row>
    <row r="8675" spans="13:16">
      <c r="M8675" s="49">
        <f>IF($A$4+86&gt;$B$4,"",$A$4+86)</f>
        <v>46109</v>
      </c>
      <c r="N8675">
        <f>IF(M8675="","",'Master Barang'!A69)</f>
        <v>0</v>
      </c>
      <c r="O8675">
        <f>IF(N8675="","",'Master Barang'!B69)</f>
        <v>0</v>
      </c>
      <c r="P8675">
        <f>IF(OR(M8675="",N8675=""),"",SUMIFS('Barang Keluar'!$E:$E,'Barang Keluar'!$A:$A,M8675,'Barang Keluar'!$C:$C,N8675))</f>
        <v>0</v>
      </c>
    </row>
    <row r="8676" spans="13:16">
      <c r="M8676" s="49">
        <f>IF($A$4+86&gt;$B$4,"",$A$4+86)</f>
        <v>46109</v>
      </c>
      <c r="N8676">
        <f>IF(M8676="","",'Master Barang'!A70)</f>
        <v>0</v>
      </c>
      <c r="O8676">
        <f>IF(N8676="","",'Master Barang'!B70)</f>
        <v>0</v>
      </c>
      <c r="P8676">
        <f>IF(OR(M8676="",N8676=""),"",SUMIFS('Barang Keluar'!$E:$E,'Barang Keluar'!$A:$A,M8676,'Barang Keluar'!$C:$C,N8676))</f>
        <v>0</v>
      </c>
    </row>
    <row r="8677" spans="13:16">
      <c r="M8677" s="49">
        <f>IF($A$4+86&gt;$B$4,"",$A$4+86)</f>
        <v>46109</v>
      </c>
      <c r="N8677">
        <f>IF(M8677="","",'Master Barang'!A71)</f>
        <v>0</v>
      </c>
      <c r="O8677">
        <f>IF(N8677="","",'Master Barang'!B71)</f>
        <v>0</v>
      </c>
      <c r="P8677">
        <f>IF(OR(M8677="",N8677=""),"",SUMIFS('Barang Keluar'!$E:$E,'Barang Keluar'!$A:$A,M8677,'Barang Keluar'!$C:$C,N8677))</f>
        <v>0</v>
      </c>
    </row>
    <row r="8678" spans="13:16">
      <c r="M8678" s="49">
        <f>IF($A$4+86&gt;$B$4,"",$A$4+86)</f>
        <v>46109</v>
      </c>
      <c r="N8678">
        <f>IF(M8678="","",'Master Barang'!A72)</f>
        <v>0</v>
      </c>
      <c r="O8678">
        <f>IF(N8678="","",'Master Barang'!B72)</f>
        <v>0</v>
      </c>
      <c r="P8678">
        <f>IF(OR(M8678="",N8678=""),"",SUMIFS('Barang Keluar'!$E:$E,'Barang Keluar'!$A:$A,M8678,'Barang Keluar'!$C:$C,N8678))</f>
        <v>0</v>
      </c>
    </row>
    <row r="8679" spans="13:16">
      <c r="M8679" s="49">
        <f>IF($A$4+86&gt;$B$4,"",$A$4+86)</f>
        <v>46109</v>
      </c>
      <c r="N8679">
        <f>IF(M8679="","",'Master Barang'!A73)</f>
        <v>0</v>
      </c>
      <c r="O8679">
        <f>IF(N8679="","",'Master Barang'!B73)</f>
        <v>0</v>
      </c>
      <c r="P8679">
        <f>IF(OR(M8679="",N8679=""),"",SUMIFS('Barang Keluar'!$E:$E,'Barang Keluar'!$A:$A,M8679,'Barang Keluar'!$C:$C,N8679))</f>
        <v>0</v>
      </c>
    </row>
    <row r="8680" spans="13:16">
      <c r="M8680" s="49">
        <f>IF($A$4+86&gt;$B$4,"",$A$4+86)</f>
        <v>46109</v>
      </c>
      <c r="N8680">
        <f>IF(M8680="","",'Master Barang'!A74)</f>
        <v>0</v>
      </c>
      <c r="O8680">
        <f>IF(N8680="","",'Master Barang'!B74)</f>
        <v>0</v>
      </c>
      <c r="P8680">
        <f>IF(OR(M8680="",N8680=""),"",SUMIFS('Barang Keluar'!$E:$E,'Barang Keluar'!$A:$A,M8680,'Barang Keluar'!$C:$C,N8680))</f>
        <v>0</v>
      </c>
    </row>
    <row r="8681" spans="13:16">
      <c r="M8681" s="49">
        <f>IF($A$4+86&gt;$B$4,"",$A$4+86)</f>
        <v>46109</v>
      </c>
      <c r="N8681">
        <f>IF(M8681="","",'Master Barang'!A75)</f>
        <v>0</v>
      </c>
      <c r="O8681">
        <f>IF(N8681="","",'Master Barang'!B75)</f>
        <v>0</v>
      </c>
      <c r="P8681">
        <f>IF(OR(M8681="",N8681=""),"",SUMIFS('Barang Keluar'!$E:$E,'Barang Keluar'!$A:$A,M8681,'Barang Keluar'!$C:$C,N8681))</f>
        <v>0</v>
      </c>
    </row>
    <row r="8682" spans="13:16">
      <c r="M8682" s="49">
        <f>IF($A$4+86&gt;$B$4,"",$A$4+86)</f>
        <v>46109</v>
      </c>
      <c r="N8682">
        <f>IF(M8682="","",'Master Barang'!A76)</f>
        <v>0</v>
      </c>
      <c r="O8682">
        <f>IF(N8682="","",'Master Barang'!B76)</f>
        <v>0</v>
      </c>
      <c r="P8682">
        <f>IF(OR(M8682="",N8682=""),"",SUMIFS('Barang Keluar'!$E:$E,'Barang Keluar'!$A:$A,M8682,'Barang Keluar'!$C:$C,N8682))</f>
        <v>0</v>
      </c>
    </row>
    <row r="8683" spans="13:16">
      <c r="M8683" s="49">
        <f>IF($A$4+86&gt;$B$4,"",$A$4+86)</f>
        <v>46109</v>
      </c>
      <c r="N8683">
        <f>IF(M8683="","",'Master Barang'!A77)</f>
        <v>0</v>
      </c>
      <c r="O8683">
        <f>IF(N8683="","",'Master Barang'!B77)</f>
        <v>0</v>
      </c>
      <c r="P8683">
        <f>IF(OR(M8683="",N8683=""),"",SUMIFS('Barang Keluar'!$E:$E,'Barang Keluar'!$A:$A,M8683,'Barang Keluar'!$C:$C,N8683))</f>
        <v>0</v>
      </c>
    </row>
    <row r="8684" spans="13:16">
      <c r="M8684" s="49">
        <f>IF($A$4+86&gt;$B$4,"",$A$4+86)</f>
        <v>46109</v>
      </c>
      <c r="N8684">
        <f>IF(M8684="","",'Master Barang'!A78)</f>
        <v>0</v>
      </c>
      <c r="O8684">
        <f>IF(N8684="","",'Master Barang'!B78)</f>
        <v>0</v>
      </c>
      <c r="P8684">
        <f>IF(OR(M8684="",N8684=""),"",SUMIFS('Barang Keluar'!$E:$E,'Barang Keluar'!$A:$A,M8684,'Barang Keluar'!$C:$C,N8684))</f>
        <v>0</v>
      </c>
    </row>
    <row r="8685" spans="13:16">
      <c r="M8685" s="49">
        <f>IF($A$4+86&gt;$B$4,"",$A$4+86)</f>
        <v>46109</v>
      </c>
      <c r="N8685">
        <f>IF(M8685="","",'Master Barang'!A79)</f>
        <v>0</v>
      </c>
      <c r="O8685">
        <f>IF(N8685="","",'Master Barang'!B79)</f>
        <v>0</v>
      </c>
      <c r="P8685">
        <f>IF(OR(M8685="",N8685=""),"",SUMIFS('Barang Keluar'!$E:$E,'Barang Keluar'!$A:$A,M8685,'Barang Keluar'!$C:$C,N8685))</f>
        <v>0</v>
      </c>
    </row>
    <row r="8686" spans="13:16">
      <c r="M8686" s="49">
        <f>IF($A$4+86&gt;$B$4,"",$A$4+86)</f>
        <v>46109</v>
      </c>
      <c r="N8686">
        <f>IF(M8686="","",'Master Barang'!A80)</f>
        <v>0</v>
      </c>
      <c r="O8686">
        <f>IF(N8686="","",'Master Barang'!B80)</f>
        <v>0</v>
      </c>
      <c r="P8686">
        <f>IF(OR(M8686="",N8686=""),"",SUMIFS('Barang Keluar'!$E:$E,'Barang Keluar'!$A:$A,M8686,'Barang Keluar'!$C:$C,N8686))</f>
        <v>0</v>
      </c>
    </row>
    <row r="8687" spans="13:16">
      <c r="M8687" s="49">
        <f>IF($A$4+86&gt;$B$4,"",$A$4+86)</f>
        <v>46109</v>
      </c>
      <c r="N8687">
        <f>IF(M8687="","",'Master Barang'!A81)</f>
        <v>0</v>
      </c>
      <c r="O8687">
        <f>IF(N8687="","",'Master Barang'!B81)</f>
        <v>0</v>
      </c>
      <c r="P8687">
        <f>IF(OR(M8687="",N8687=""),"",SUMIFS('Barang Keluar'!$E:$E,'Barang Keluar'!$A:$A,M8687,'Barang Keluar'!$C:$C,N8687))</f>
        <v>0</v>
      </c>
    </row>
    <row r="8688" spans="13:16">
      <c r="M8688" s="49">
        <f>IF($A$4+86&gt;$B$4,"",$A$4+86)</f>
        <v>46109</v>
      </c>
      <c r="N8688">
        <f>IF(M8688="","",'Master Barang'!A82)</f>
        <v>0</v>
      </c>
      <c r="O8688">
        <f>IF(N8688="","",'Master Barang'!B82)</f>
        <v>0</v>
      </c>
      <c r="P8688">
        <f>IF(OR(M8688="",N8688=""),"",SUMIFS('Barang Keluar'!$E:$E,'Barang Keluar'!$A:$A,M8688,'Barang Keluar'!$C:$C,N8688))</f>
        <v>0</v>
      </c>
    </row>
    <row r="8689" spans="13:16">
      <c r="M8689" s="49">
        <f>IF($A$4+86&gt;$B$4,"",$A$4+86)</f>
        <v>46109</v>
      </c>
      <c r="N8689">
        <f>IF(M8689="","",'Master Barang'!A83)</f>
        <v>0</v>
      </c>
      <c r="O8689">
        <f>IF(N8689="","",'Master Barang'!B83)</f>
        <v>0</v>
      </c>
      <c r="P8689">
        <f>IF(OR(M8689="",N8689=""),"",SUMIFS('Barang Keluar'!$E:$E,'Barang Keluar'!$A:$A,M8689,'Barang Keluar'!$C:$C,N8689))</f>
        <v>0</v>
      </c>
    </row>
    <row r="8690" spans="13:16">
      <c r="M8690" s="49">
        <f>IF($A$4+86&gt;$B$4,"",$A$4+86)</f>
        <v>46109</v>
      </c>
      <c r="N8690">
        <f>IF(M8690="","",'Master Barang'!A84)</f>
        <v>0</v>
      </c>
      <c r="O8690">
        <f>IF(N8690="","",'Master Barang'!B84)</f>
        <v>0</v>
      </c>
      <c r="P8690">
        <f>IF(OR(M8690="",N8690=""),"",SUMIFS('Barang Keluar'!$E:$E,'Barang Keluar'!$A:$A,M8690,'Barang Keluar'!$C:$C,N8690))</f>
        <v>0</v>
      </c>
    </row>
    <row r="8691" spans="13:16">
      <c r="M8691" s="49">
        <f>IF($A$4+86&gt;$B$4,"",$A$4+86)</f>
        <v>46109</v>
      </c>
      <c r="N8691">
        <f>IF(M8691="","",'Master Barang'!A85)</f>
        <v>0</v>
      </c>
      <c r="O8691">
        <f>IF(N8691="","",'Master Barang'!B85)</f>
        <v>0</v>
      </c>
      <c r="P8691">
        <f>IF(OR(M8691="",N8691=""),"",SUMIFS('Barang Keluar'!$E:$E,'Barang Keluar'!$A:$A,M8691,'Barang Keluar'!$C:$C,N8691))</f>
        <v>0</v>
      </c>
    </row>
    <row r="8692" spans="13:16">
      <c r="M8692" s="49">
        <f>IF($A$4+86&gt;$B$4,"",$A$4+86)</f>
        <v>46109</v>
      </c>
      <c r="N8692">
        <f>IF(M8692="","",'Master Barang'!A86)</f>
        <v>0</v>
      </c>
      <c r="O8692">
        <f>IF(N8692="","",'Master Barang'!B86)</f>
        <v>0</v>
      </c>
      <c r="P8692">
        <f>IF(OR(M8692="",N8692=""),"",SUMIFS('Barang Keluar'!$E:$E,'Barang Keluar'!$A:$A,M8692,'Barang Keluar'!$C:$C,N8692))</f>
        <v>0</v>
      </c>
    </row>
    <row r="8693" spans="13:16">
      <c r="M8693" s="49">
        <f>IF($A$4+86&gt;$B$4,"",$A$4+86)</f>
        <v>46109</v>
      </c>
      <c r="N8693">
        <f>IF(M8693="","",'Master Barang'!A87)</f>
        <v>0</v>
      </c>
      <c r="O8693">
        <f>IF(N8693="","",'Master Barang'!B87)</f>
        <v>0</v>
      </c>
      <c r="P8693">
        <f>IF(OR(M8693="",N8693=""),"",SUMIFS('Barang Keluar'!$E:$E,'Barang Keluar'!$A:$A,M8693,'Barang Keluar'!$C:$C,N8693))</f>
        <v>0</v>
      </c>
    </row>
    <row r="8694" spans="13:16">
      <c r="M8694" s="49">
        <f>IF($A$4+86&gt;$B$4,"",$A$4+86)</f>
        <v>46109</v>
      </c>
      <c r="N8694">
        <f>IF(M8694="","",'Master Barang'!A88)</f>
        <v>0</v>
      </c>
      <c r="O8694">
        <f>IF(N8694="","",'Master Barang'!B88)</f>
        <v>0</v>
      </c>
      <c r="P8694">
        <f>IF(OR(M8694="",N8694=""),"",SUMIFS('Barang Keluar'!$E:$E,'Barang Keluar'!$A:$A,M8694,'Barang Keluar'!$C:$C,N8694))</f>
        <v>0</v>
      </c>
    </row>
    <row r="8695" spans="13:16">
      <c r="M8695" s="49">
        <f>IF($A$4+86&gt;$B$4,"",$A$4+86)</f>
        <v>46109</v>
      </c>
      <c r="N8695">
        <f>IF(M8695="","",'Master Barang'!A89)</f>
        <v>0</v>
      </c>
      <c r="O8695">
        <f>IF(N8695="","",'Master Barang'!B89)</f>
        <v>0</v>
      </c>
      <c r="P8695">
        <f>IF(OR(M8695="",N8695=""),"",SUMIFS('Barang Keluar'!$E:$E,'Barang Keluar'!$A:$A,M8695,'Barang Keluar'!$C:$C,N8695))</f>
        <v>0</v>
      </c>
    </row>
    <row r="8696" spans="13:16">
      <c r="M8696" s="49">
        <f>IF($A$4+86&gt;$B$4,"",$A$4+86)</f>
        <v>46109</v>
      </c>
      <c r="N8696">
        <f>IF(M8696="","",'Master Barang'!A90)</f>
        <v>0</v>
      </c>
      <c r="O8696">
        <f>IF(N8696="","",'Master Barang'!B90)</f>
        <v>0</v>
      </c>
      <c r="P8696">
        <f>IF(OR(M8696="",N8696=""),"",SUMIFS('Barang Keluar'!$E:$E,'Barang Keluar'!$A:$A,M8696,'Barang Keluar'!$C:$C,N8696))</f>
        <v>0</v>
      </c>
    </row>
    <row r="8697" spans="13:16">
      <c r="M8697" s="49">
        <f>IF($A$4+86&gt;$B$4,"",$A$4+86)</f>
        <v>46109</v>
      </c>
      <c r="N8697">
        <f>IF(M8697="","",'Master Barang'!A91)</f>
        <v>0</v>
      </c>
      <c r="O8697">
        <f>IF(N8697="","",'Master Barang'!B91)</f>
        <v>0</v>
      </c>
      <c r="P8697">
        <f>IF(OR(M8697="",N8697=""),"",SUMIFS('Barang Keluar'!$E:$E,'Barang Keluar'!$A:$A,M8697,'Barang Keluar'!$C:$C,N8697))</f>
        <v>0</v>
      </c>
    </row>
    <row r="8698" spans="13:16">
      <c r="M8698" s="49">
        <f>IF($A$4+86&gt;$B$4,"",$A$4+86)</f>
        <v>46109</v>
      </c>
      <c r="N8698">
        <f>IF(M8698="","",'Master Barang'!A92)</f>
        <v>0</v>
      </c>
      <c r="O8698">
        <f>IF(N8698="","",'Master Barang'!B92)</f>
        <v>0</v>
      </c>
      <c r="P8698">
        <f>IF(OR(M8698="",N8698=""),"",SUMIFS('Barang Keluar'!$E:$E,'Barang Keluar'!$A:$A,M8698,'Barang Keluar'!$C:$C,N8698))</f>
        <v>0</v>
      </c>
    </row>
    <row r="8699" spans="13:16">
      <c r="M8699" s="49">
        <f>IF($A$4+86&gt;$B$4,"",$A$4+86)</f>
        <v>46109</v>
      </c>
      <c r="N8699">
        <f>IF(M8699="","",'Master Barang'!A93)</f>
        <v>0</v>
      </c>
      <c r="O8699">
        <f>IF(N8699="","",'Master Barang'!B93)</f>
        <v>0</v>
      </c>
      <c r="P8699">
        <f>IF(OR(M8699="",N8699=""),"",SUMIFS('Barang Keluar'!$E:$E,'Barang Keluar'!$A:$A,M8699,'Barang Keluar'!$C:$C,N8699))</f>
        <v>0</v>
      </c>
    </row>
    <row r="8700" spans="13:16">
      <c r="M8700" s="49">
        <f>IF($A$4+86&gt;$B$4,"",$A$4+86)</f>
        <v>46109</v>
      </c>
      <c r="N8700">
        <f>IF(M8700="","",'Master Barang'!A94)</f>
        <v>0</v>
      </c>
      <c r="O8700">
        <f>IF(N8700="","",'Master Barang'!B94)</f>
        <v>0</v>
      </c>
      <c r="P8700">
        <f>IF(OR(M8700="",N8700=""),"",SUMIFS('Barang Keluar'!$E:$E,'Barang Keluar'!$A:$A,M8700,'Barang Keluar'!$C:$C,N8700))</f>
        <v>0</v>
      </c>
    </row>
    <row r="8701" spans="13:16">
      <c r="M8701" s="49">
        <f>IF($A$4+86&gt;$B$4,"",$A$4+86)</f>
        <v>46109</v>
      </c>
      <c r="N8701">
        <f>IF(M8701="","",'Master Barang'!A95)</f>
        <v>0</v>
      </c>
      <c r="O8701">
        <f>IF(N8701="","",'Master Barang'!B95)</f>
        <v>0</v>
      </c>
      <c r="P8701">
        <f>IF(OR(M8701="",N8701=""),"",SUMIFS('Barang Keluar'!$E:$E,'Barang Keluar'!$A:$A,M8701,'Barang Keluar'!$C:$C,N8701))</f>
        <v>0</v>
      </c>
    </row>
    <row r="8702" spans="13:16">
      <c r="M8702" s="49">
        <f>IF($A$4+86&gt;$B$4,"",$A$4+86)</f>
        <v>46109</v>
      </c>
      <c r="N8702">
        <f>IF(M8702="","",'Master Barang'!A96)</f>
        <v>0</v>
      </c>
      <c r="O8702">
        <f>IF(N8702="","",'Master Barang'!B96)</f>
        <v>0</v>
      </c>
      <c r="P8702">
        <f>IF(OR(M8702="",N8702=""),"",SUMIFS('Barang Keluar'!$E:$E,'Barang Keluar'!$A:$A,M8702,'Barang Keluar'!$C:$C,N8702))</f>
        <v>0</v>
      </c>
    </row>
    <row r="8703" spans="13:16">
      <c r="M8703" s="49">
        <f>IF($A$4+86&gt;$B$4,"",$A$4+86)</f>
        <v>46109</v>
      </c>
      <c r="N8703">
        <f>IF(M8703="","",'Master Barang'!A97)</f>
        <v>0</v>
      </c>
      <c r="O8703">
        <f>IF(N8703="","",'Master Barang'!B97)</f>
        <v>0</v>
      </c>
      <c r="P8703">
        <f>IF(OR(M8703="",N8703=""),"",SUMIFS('Barang Keluar'!$E:$E,'Barang Keluar'!$A:$A,M8703,'Barang Keluar'!$C:$C,N8703))</f>
        <v>0</v>
      </c>
    </row>
    <row r="8704" spans="13:16">
      <c r="M8704" s="49">
        <f>IF($A$4+86&gt;$B$4,"",$A$4+86)</f>
        <v>46109</v>
      </c>
      <c r="N8704">
        <f>IF(M8704="","",'Master Barang'!A98)</f>
        <v>0</v>
      </c>
      <c r="O8704">
        <f>IF(N8704="","",'Master Barang'!B98)</f>
        <v>0</v>
      </c>
      <c r="P8704">
        <f>IF(OR(M8704="",N8704=""),"",SUMIFS('Barang Keluar'!$E:$E,'Barang Keluar'!$A:$A,M8704,'Barang Keluar'!$C:$C,N8704))</f>
        <v>0</v>
      </c>
    </row>
    <row r="8705" spans="13:16">
      <c r="M8705" s="49">
        <f>IF($A$4+86&gt;$B$4,"",$A$4+86)</f>
        <v>46109</v>
      </c>
      <c r="N8705">
        <f>IF(M8705="","",'Master Barang'!A99)</f>
        <v>0</v>
      </c>
      <c r="O8705">
        <f>IF(N8705="","",'Master Barang'!B99)</f>
        <v>0</v>
      </c>
      <c r="P8705">
        <f>IF(OR(M8705="",N8705=""),"",SUMIFS('Barang Keluar'!$E:$E,'Barang Keluar'!$A:$A,M8705,'Barang Keluar'!$C:$C,N8705))</f>
        <v>0</v>
      </c>
    </row>
    <row r="8706" spans="13:16">
      <c r="M8706" s="49">
        <f>IF($A$4+86&gt;$B$4,"",$A$4+86)</f>
        <v>46109</v>
      </c>
      <c r="N8706">
        <f>IF(M8706="","",'Master Barang'!A100)</f>
        <v>0</v>
      </c>
      <c r="O8706">
        <f>IF(N8706="","",'Master Barang'!B100)</f>
        <v>0</v>
      </c>
      <c r="P8706">
        <f>IF(OR(M8706="",N8706=""),"",SUMIFS('Barang Keluar'!$E:$E,'Barang Keluar'!$A:$A,M8706,'Barang Keluar'!$C:$C,N8706))</f>
        <v>0</v>
      </c>
    </row>
    <row r="8707" spans="13:16">
      <c r="M8707" s="49">
        <f>IF($A$4+86&gt;$B$4,"",$A$4+86)</f>
        <v>46109</v>
      </c>
      <c r="N8707">
        <f>IF(M8707="","",'Master Barang'!A101)</f>
        <v>0</v>
      </c>
      <c r="O8707">
        <f>IF(N8707="","",'Master Barang'!B101)</f>
        <v>0</v>
      </c>
      <c r="P8707">
        <f>IF(OR(M8707="",N8707=""),"",SUMIFS('Barang Keluar'!$E:$E,'Barang Keluar'!$A:$A,M8707,'Barang Keluar'!$C:$C,N8707))</f>
        <v>0</v>
      </c>
    </row>
    <row r="8708" spans="13:16">
      <c r="M8708" s="49">
        <f>IF($A$4+87&gt;$B$4,"",$A$4+87)</f>
        <v>46110</v>
      </c>
      <c r="N8708" t="str">
        <f>IF(M8708="","",'Master Barang'!A2)</f>
        <v>PRL-001</v>
      </c>
      <c r="O8708" t="str">
        <f>IF(N8708="","",'Master Barang'!B2)</f>
        <v>natura desinfectant food grade 5l</v>
      </c>
      <c r="P8708">
        <f>IF(OR(M8708="",N8708=""),"",SUMIFS('Barang Keluar'!$E:$E,'Barang Keluar'!$A:$A,M8708,'Barang Keluar'!$C:$C,N8708))</f>
        <v>0</v>
      </c>
    </row>
    <row r="8709" spans="13:16">
      <c r="M8709" s="49">
        <f>IF($A$4+87&gt;$B$4,"",$A$4+87)</f>
        <v>46110</v>
      </c>
      <c r="N8709" t="str">
        <f>IF(M8709="","",'Master Barang'!A3)</f>
        <v>PRL-002</v>
      </c>
      <c r="O8709" t="str">
        <f>IF(N8709="","",'Master Barang'!B3)</f>
        <v>sunlight cairan pencuci piring 5l</v>
      </c>
      <c r="P8709">
        <f>IF(OR(M8709="",N8709=""),"",SUMIFS('Barang Keluar'!$E:$E,'Barang Keluar'!$A:$A,M8709,'Barang Keluar'!$C:$C,N8709))</f>
        <v>0</v>
      </c>
    </row>
    <row r="8710" spans="13:16">
      <c r="M8710" s="49">
        <f>IF($A$4+87&gt;$B$4,"",$A$4+87)</f>
        <v>46110</v>
      </c>
      <c r="N8710" t="str">
        <f>IF(M8710="","",'Master Barang'!A4)</f>
        <v>PRL-003</v>
      </c>
      <c r="O8710" t="str">
        <f>IF(N8710="","",'Master Barang'!B4)</f>
        <v>oixs cleaner 1l</v>
      </c>
      <c r="P8710">
        <f>IF(OR(M8710="",N8710=""),"",SUMIFS('Barang Keluar'!$E:$E,'Barang Keluar'!$A:$A,M8710,'Barang Keluar'!$C:$C,N8710))</f>
        <v>0</v>
      </c>
    </row>
    <row r="8711" spans="13:16">
      <c r="M8711" s="49">
        <f>IF($A$4+87&gt;$B$4,"",$A$4+87)</f>
        <v>46110</v>
      </c>
      <c r="N8711" t="str">
        <f>IF(M8711="","",'Master Barang'!A5)</f>
        <v>PRL-004</v>
      </c>
      <c r="O8711" t="str">
        <f>IF(N8711="","",'Master Barang'!B5)</f>
        <v>be clean tissue serbaguna</v>
      </c>
      <c r="P8711">
        <f>IF(OR(M8711="",N8711=""),"",SUMIFS('Barang Keluar'!$E:$E,'Barang Keluar'!$A:$A,M8711,'Barang Keluar'!$C:$C,N8711))</f>
        <v>0</v>
      </c>
    </row>
    <row r="8712" spans="13:16">
      <c r="M8712" s="49">
        <f>IF($A$4+87&gt;$B$4,"",$A$4+87)</f>
        <v>46110</v>
      </c>
      <c r="N8712" t="str">
        <f>IF(M8712="","",'Master Barang'!A6)</f>
        <v>PRL-005</v>
      </c>
      <c r="O8712" t="str">
        <f>IF(N8712="","",'Master Barang'!B6)</f>
        <v>spons cuci hijau</v>
      </c>
      <c r="P8712">
        <f>IF(OR(M8712="",N8712=""),"",SUMIFS('Barang Keluar'!$E:$E,'Barang Keluar'!$A:$A,M8712,'Barang Keluar'!$C:$C,N8712))</f>
        <v>0</v>
      </c>
    </row>
    <row r="8713" spans="13:16">
      <c r="M8713" s="49">
        <f>IF($A$4+87&gt;$B$4,"",$A$4+87)</f>
        <v>46110</v>
      </c>
      <c r="N8713" t="str">
        <f>IF(M8713="","",'Master Barang'!A7)</f>
        <v>PRL-006</v>
      </c>
      <c r="O8713" t="str">
        <f>IF(N8713="","",'Master Barang'!B7)</f>
        <v>sabut cuci stainless</v>
      </c>
      <c r="P8713">
        <f>IF(OR(M8713="",N8713=""),"",SUMIFS('Barang Keluar'!$E:$E,'Barang Keluar'!$A:$A,M8713,'Barang Keluar'!$C:$C,N8713))</f>
        <v>0</v>
      </c>
    </row>
    <row r="8714" spans="13:16">
      <c r="M8714" s="49">
        <f>IF($A$4+87&gt;$B$4,"",$A$4+87)</f>
        <v>46110</v>
      </c>
      <c r="N8714" t="str">
        <f>IF(M8714="","",'Master Barang'!A8)</f>
        <v>PRL-007</v>
      </c>
      <c r="O8714" t="str">
        <f>IF(N8714="","",'Master Barang'!B8)</f>
        <v>plastik kresek besar merah 50pc</v>
      </c>
      <c r="P8714">
        <f>IF(OR(M8714="",N8714=""),"",SUMIFS('Barang Keluar'!$E:$E,'Barang Keluar'!$A:$A,M8714,'Barang Keluar'!$C:$C,N8714))</f>
        <v>0</v>
      </c>
    </row>
    <row r="8715" spans="13:16">
      <c r="M8715" s="49">
        <f>IF($A$4+87&gt;$B$4,"",$A$4+87)</f>
        <v>46110</v>
      </c>
      <c r="N8715" t="str">
        <f>IF(M8715="","",'Master Barang'!A9)</f>
        <v>PRL-008</v>
      </c>
      <c r="O8715" t="str">
        <f>IF(N8715="","",'Master Barang'!B9)</f>
        <v>lap besar</v>
      </c>
      <c r="P8715">
        <f>IF(OR(M8715="",N8715=""),"",SUMIFS('Barang Keluar'!$E:$E,'Barang Keluar'!$A:$A,M8715,'Barang Keluar'!$C:$C,N8715))</f>
        <v>0</v>
      </c>
    </row>
    <row r="8716" spans="13:16">
      <c r="M8716" s="49">
        <f>IF($A$4+87&gt;$B$4,"",$A$4+87)</f>
        <v>46110</v>
      </c>
      <c r="N8716" t="str">
        <f>IF(M8716="","",'Master Barang'!A10)</f>
        <v>PRL-009</v>
      </c>
      <c r="O8716" t="str">
        <f>IF(N8716="","",'Master Barang'!B10)</f>
        <v>lap microfiber</v>
      </c>
      <c r="P8716">
        <f>IF(OR(M8716="",N8716=""),"",SUMIFS('Barang Keluar'!$E:$E,'Barang Keluar'!$A:$A,M8716,'Barang Keluar'!$C:$C,N8716))</f>
        <v>0</v>
      </c>
    </row>
    <row r="8717" spans="13:16">
      <c r="M8717" s="49">
        <f>IF($A$4+87&gt;$B$4,"",$A$4+87)</f>
        <v>46110</v>
      </c>
      <c r="N8717" t="str">
        <f>IF(M8717="","",'Master Barang'!A11)</f>
        <v>PRL-010</v>
      </c>
      <c r="O8717" t="str">
        <f>IF(N8717="","",'Master Barang'!B11)</f>
        <v>lap kecil</v>
      </c>
      <c r="P8717">
        <f>IF(OR(M8717="",N8717=""),"",SUMIFS('Barang Keluar'!$E:$E,'Barang Keluar'!$A:$A,M8717,'Barang Keluar'!$C:$C,N8717))</f>
        <v>0</v>
      </c>
    </row>
    <row r="8718" spans="13:16">
      <c r="M8718" s="49">
        <f>IF($A$4+87&gt;$B$4,"",$A$4+87)</f>
        <v>46110</v>
      </c>
      <c r="N8718" t="str">
        <f>IF(M8718="","",'Master Barang'!A12)</f>
        <v>PRL-011</v>
      </c>
      <c r="O8718" t="str">
        <f>IF(N8718="","",'Master Barang'!B12)</f>
        <v>kanebo kecil</v>
      </c>
      <c r="P8718">
        <f>IF(OR(M8718="",N8718=""),"",SUMIFS('Barang Keluar'!$E:$E,'Barang Keluar'!$A:$A,M8718,'Barang Keluar'!$C:$C,N8718))</f>
        <v>0</v>
      </c>
    </row>
    <row r="8719" spans="13:16">
      <c r="M8719" s="49">
        <f>IF($A$4+87&gt;$B$4,"",$A$4+87)</f>
        <v>46110</v>
      </c>
      <c r="N8719" t="str">
        <f>IF(M8719="","",'Master Barang'!A13)</f>
        <v>PRL-012</v>
      </c>
      <c r="O8719" t="str">
        <f>IF(N8719="","",'Master Barang'!B13)</f>
        <v>plastik 1/4kg joyoboyo 100 lembar</v>
      </c>
      <c r="P8719">
        <f>IF(OR(M8719="",N8719=""),"",SUMIFS('Barang Keluar'!$E:$E,'Barang Keluar'!$A:$A,M8719,'Barang Keluar'!$C:$C,N8719))</f>
        <v>0</v>
      </c>
    </row>
    <row r="8720" spans="13:16">
      <c r="M8720" s="49">
        <f>IF($A$4+87&gt;$B$4,"",$A$4+87)</f>
        <v>46110</v>
      </c>
      <c r="N8720" t="str">
        <f>IF(M8720="","",'Master Barang'!A14)</f>
        <v>PRL-013</v>
      </c>
      <c r="O8720" t="str">
        <f>IF(N8720="","",'Master Barang'!B14)</f>
        <v>sarung tangan plastik kaka 100 pcs</v>
      </c>
      <c r="P8720">
        <f>IF(OR(M8720="",N8720=""),"",SUMIFS('Barang Keluar'!$E:$E,'Barang Keluar'!$A:$A,M8720,'Barang Keluar'!$C:$C,N8720))</f>
        <v>0</v>
      </c>
    </row>
    <row r="8721" spans="13:16">
      <c r="M8721" s="49">
        <f>IF($A$4+87&gt;$B$4,"",$A$4+87)</f>
        <v>46110</v>
      </c>
      <c r="N8721" t="str">
        <f>IF(M8721="","",'Master Barang'!A15)</f>
        <v>PRL-014</v>
      </c>
      <c r="O8721" t="str">
        <f>IF(N8721="","",'Master Barang'!B15)</f>
        <v>optima trashbag 80x100</v>
      </c>
      <c r="P8721">
        <f>IF(OR(M8721="",N8721=""),"",SUMIFS('Barang Keluar'!$E:$E,'Barang Keluar'!$A:$A,M8721,'Barang Keluar'!$C:$C,N8721))</f>
        <v>0</v>
      </c>
    </row>
    <row r="8722" spans="13:16">
      <c r="M8722" s="49">
        <f>IF($A$4+87&gt;$B$4,"",$A$4+87)</f>
        <v>46110</v>
      </c>
      <c r="N8722" t="str">
        <f>IF(M8722="","",'Master Barang'!A16)</f>
        <v>PRL-015</v>
      </c>
      <c r="O8722" t="str">
        <f>IF(N8722="","",'Master Barang'!B16)</f>
        <v>optima trashbag 60x100</v>
      </c>
      <c r="P8722">
        <f>IF(OR(M8722="",N8722=""),"",SUMIFS('Barang Keluar'!$E:$E,'Barang Keluar'!$A:$A,M8722,'Barang Keluar'!$C:$C,N8722))</f>
        <v>0</v>
      </c>
    </row>
    <row r="8723" spans="13:16">
      <c r="M8723" s="49">
        <f>IF($A$4+87&gt;$B$4,"",$A$4+87)</f>
        <v>46110</v>
      </c>
      <c r="N8723" t="str">
        <f>IF(M8723="","",'Master Barang'!A17)</f>
        <v>PRL-016</v>
      </c>
      <c r="O8723" t="str">
        <f>IF(N8723="","",'Master Barang'!B17)</f>
        <v>rajawali trashbag 30x40</v>
      </c>
      <c r="P8723">
        <f>IF(OR(M8723="",N8723=""),"",SUMIFS('Barang Keluar'!$E:$E,'Barang Keluar'!$A:$A,M8723,'Barang Keluar'!$C:$C,N8723))</f>
        <v>0</v>
      </c>
    </row>
    <row r="8724" spans="13:16">
      <c r="M8724" s="49">
        <f>IF($A$4+87&gt;$B$4,"",$A$4+87)</f>
        <v>46110</v>
      </c>
      <c r="N8724" t="str">
        <f>IF(M8724="","",'Master Barang'!A18)</f>
        <v>PRL-017</v>
      </c>
      <c r="O8724" t="str">
        <f>IF(N8724="","",'Master Barang'!B18)</f>
        <v>onemed masker biru 3 play 50 pcs</v>
      </c>
      <c r="P8724">
        <f>IF(OR(M8724="",N8724=""),"",SUMIFS('Barang Keluar'!$E:$E,'Barang Keluar'!$A:$A,M8724,'Barang Keluar'!$C:$C,N8724))</f>
        <v>0</v>
      </c>
    </row>
    <row r="8725" spans="13:16">
      <c r="M8725" s="49">
        <f>IF($A$4+87&gt;$B$4,"",$A$4+87)</f>
        <v>46110</v>
      </c>
      <c r="N8725" t="str">
        <f>IF(M8725="","",'Master Barang'!A19)</f>
        <v>PRL-018</v>
      </c>
      <c r="O8725" t="str">
        <f>IF(N8725="","",'Master Barang'!B19)</f>
        <v>onemed masker biru 3 play hijab 50 pcs</v>
      </c>
      <c r="P8725">
        <f>IF(OR(M8725="",N8725=""),"",SUMIFS('Barang Keluar'!$E:$E,'Barang Keluar'!$A:$A,M8725,'Barang Keluar'!$C:$C,N8725))</f>
        <v>0</v>
      </c>
    </row>
    <row r="8726" spans="13:16">
      <c r="M8726" s="49">
        <f>IF($A$4+87&gt;$B$4,"",$A$4+87)</f>
        <v>46110</v>
      </c>
      <c r="N8726" t="str">
        <f>IF(M8726="","",'Master Barang'!A20)</f>
        <v>PRL-019</v>
      </c>
      <c r="O8726" t="str">
        <f>IF(N8726="","",'Master Barang'!B20)</f>
        <v>neo health masker biru 3 play 50 pcs</v>
      </c>
      <c r="P8726">
        <f>IF(OR(M8726="",N8726=""),"",SUMIFS('Barang Keluar'!$E:$E,'Barang Keluar'!$A:$A,M8726,'Barang Keluar'!$C:$C,N8726))</f>
        <v>0</v>
      </c>
    </row>
    <row r="8727" spans="13:16">
      <c r="M8727" s="49">
        <f>IF($A$4+87&gt;$B$4,"",$A$4+87)</f>
        <v>46110</v>
      </c>
      <c r="N8727" t="str">
        <f>IF(M8727="","",'Master Barang'!A21)</f>
        <v>PRL-020</v>
      </c>
      <c r="O8727" t="str">
        <f>IF(N8727="","",'Master Barang'!B21)</f>
        <v>baymed masker hijau 3 play hijau 50 pcs</v>
      </c>
      <c r="P8727">
        <f>IF(OR(M8727="",N8727=""),"",SUMIFS('Barang Keluar'!$E:$E,'Barang Keluar'!$A:$A,M8727,'Barang Keluar'!$C:$C,N8727))</f>
        <v>0</v>
      </c>
    </row>
    <row r="8728" spans="13:16">
      <c r="M8728" s="49">
        <f>IF($A$4+87&gt;$B$4,"",$A$4+87)</f>
        <v>46110</v>
      </c>
      <c r="N8728" t="str">
        <f>IF(M8728="","",'Master Barang'!A22)</f>
        <v>PRL-021</v>
      </c>
      <c r="O8728" t="str">
        <f>IF(N8728="","",'Master Barang'!B22)</f>
        <v>altamed nurse cap penutup kepala 100 pcs</v>
      </c>
      <c r="P8728">
        <f>IF(OR(M8728="",N8728=""),"",SUMIFS('Barang Keluar'!$E:$E,'Barang Keluar'!$A:$A,M8728,'Barang Keluar'!$C:$C,N8728))</f>
        <v>0</v>
      </c>
    </row>
    <row r="8729" spans="13:16">
      <c r="M8729" s="49">
        <f>IF($A$4+87&gt;$B$4,"",$A$4+87)</f>
        <v>46110</v>
      </c>
      <c r="N8729" t="str">
        <f>IF(M8729="","",'Master Barang'!A23)</f>
        <v>PRL-022</v>
      </c>
      <c r="O8729" t="str">
        <f>IF(N8729="","",'Master Barang'!B23)</f>
        <v>sabun cuci tangan</v>
      </c>
      <c r="P8729">
        <f>IF(OR(M8729="",N8729=""),"",SUMIFS('Barang Keluar'!$E:$E,'Barang Keluar'!$A:$A,M8729,'Barang Keluar'!$C:$C,N8729))</f>
        <v>0</v>
      </c>
    </row>
    <row r="8730" spans="13:16">
      <c r="M8730" s="49">
        <f>IF($A$4+87&gt;$B$4,"",$A$4+87)</f>
        <v>46110</v>
      </c>
      <c r="N8730" t="str">
        <f>IF(M8730="","",'Master Barang'!A24)</f>
        <v>PRL-023</v>
      </c>
      <c r="O8730" t="str">
        <f>IF(N8730="","",'Master Barang'!B24)</f>
        <v>gayung kecil</v>
      </c>
      <c r="P8730">
        <f>IF(OR(M8730="",N8730=""),"",SUMIFS('Barang Keluar'!$E:$E,'Barang Keluar'!$A:$A,M8730,'Barang Keluar'!$C:$C,N8730))</f>
        <v>0</v>
      </c>
    </row>
    <row r="8731" spans="13:16">
      <c r="M8731" s="49">
        <f>IF($A$4+87&gt;$B$4,"",$A$4+87)</f>
        <v>46110</v>
      </c>
      <c r="N8731" t="str">
        <f>IF(M8731="","",'Master Barang'!A25)</f>
        <v>PRL-024</v>
      </c>
      <c r="O8731" t="str">
        <f>IF(N8731="","",'Master Barang'!B25)</f>
        <v>cikrak kecil</v>
      </c>
      <c r="P8731">
        <f>IF(OR(M8731="",N8731=""),"",SUMIFS('Barang Keluar'!$E:$E,'Barang Keluar'!$A:$A,M8731,'Barang Keluar'!$C:$C,N8731))</f>
        <v>0</v>
      </c>
    </row>
    <row r="8732" spans="13:16">
      <c r="M8732" s="49">
        <f>IF($A$4+87&gt;$B$4,"",$A$4+87)</f>
        <v>46110</v>
      </c>
      <c r="N8732" t="str">
        <f>IF(M8732="","",'Master Barang'!A26)</f>
        <v>PRL-025</v>
      </c>
      <c r="O8732" t="str">
        <f>IF(N8732="","",'Master Barang'!B26)</f>
        <v>petromax plastik kecil 12x24 100 lembar</v>
      </c>
      <c r="P8732">
        <f>IF(OR(M8732="",N8732=""),"",SUMIFS('Barang Keluar'!$E:$E,'Barang Keluar'!$A:$A,M8732,'Barang Keluar'!$C:$C,N8732))</f>
        <v>0</v>
      </c>
    </row>
    <row r="8733" spans="13:16">
      <c r="M8733" s="49">
        <f>IF($A$4+87&gt;$B$4,"",$A$4+87)</f>
        <v>46110</v>
      </c>
      <c r="N8733" t="str">
        <f>IF(M8733="","",'Master Barang'!A27)</f>
        <v>PRL-026</v>
      </c>
      <c r="O8733" t="str">
        <f>IF(N8733="","",'Master Barang'!B27)</f>
        <v>lancar kresek kecil bening </v>
      </c>
      <c r="P8733">
        <f>IF(OR(M8733="",N8733=""),"",SUMIFS('Barang Keluar'!$E:$E,'Barang Keluar'!$A:$A,M8733,'Barang Keluar'!$C:$C,N8733))</f>
        <v>0</v>
      </c>
    </row>
    <row r="8734" spans="13:16">
      <c r="M8734" s="49">
        <f>IF($A$4+87&gt;$B$4,"",$A$4+87)</f>
        <v>46110</v>
      </c>
      <c r="N8734" t="str">
        <f>IF(M8734="","",'Master Barang'!A28)</f>
        <v>PRL-027</v>
      </c>
      <c r="O8734" t="str">
        <f>IF(N8734="","",'Master Barang'!B28)</f>
        <v>kresek klin warna warni kecil</v>
      </c>
      <c r="P8734">
        <f>IF(OR(M8734="",N8734=""),"",SUMIFS('Barang Keluar'!$E:$E,'Barang Keluar'!$A:$A,M8734,'Barang Keluar'!$C:$C,N8734))</f>
        <v>0</v>
      </c>
    </row>
    <row r="8735" spans="13:16">
      <c r="M8735" s="49">
        <f>IF($A$4+87&gt;$B$4,"",$A$4+87)</f>
        <v>46110</v>
      </c>
      <c r="N8735" t="str">
        <f>IF(M8735="","",'Master Barang'!A29)</f>
        <v>PRL-028</v>
      </c>
      <c r="O8735" t="str">
        <f>IF(N8735="","",'Master Barang'!B29)</f>
        <v>ctik plastik 7x10 100 pcs</v>
      </c>
      <c r="P8735">
        <f>IF(OR(M8735="",N8735=""),"",SUMIFS('Barang Keluar'!$E:$E,'Barang Keluar'!$A:$A,M8735,'Barang Keluar'!$C:$C,N8735))</f>
        <v>0</v>
      </c>
    </row>
    <row r="8736" spans="13:16">
      <c r="M8736" s="49">
        <f>IF($A$4+87&gt;$B$4,"",$A$4+87)</f>
        <v>46110</v>
      </c>
      <c r="N8736" t="str">
        <f>IF(M8736="","",'Master Barang'!A30)</f>
        <v>PRL-029</v>
      </c>
      <c r="O8736" t="str">
        <f>IF(N8736="","",'Master Barang'!B30)</f>
        <v>ctik plastik 6x10 100 pcs</v>
      </c>
      <c r="P8736">
        <f>IF(OR(M8736="",N8736=""),"",SUMIFS('Barang Keluar'!$E:$E,'Barang Keluar'!$A:$A,M8736,'Barang Keluar'!$C:$C,N8736))</f>
        <v>0</v>
      </c>
    </row>
    <row r="8737" spans="13:16">
      <c r="M8737" s="49">
        <f>IF($A$4+87&gt;$B$4,"",$A$4+87)</f>
        <v>46110</v>
      </c>
      <c r="N8737" t="str">
        <f>IF(M8737="","",'Master Barang'!A31)</f>
        <v>PRL-030</v>
      </c>
      <c r="O8737" t="str">
        <f>IF(N8737="","",'Master Barang'!B31)</f>
        <v>klip plastik 25x16 100 pcs</v>
      </c>
      <c r="P8737">
        <f>IF(OR(M8737="",N8737=""),"",SUMIFS('Barang Keluar'!$E:$E,'Barang Keluar'!$A:$A,M8737,'Barang Keluar'!$C:$C,N8737))</f>
        <v>0</v>
      </c>
    </row>
    <row r="8738" spans="13:16">
      <c r="M8738" s="49">
        <f>IF($A$4+87&gt;$B$4,"",$A$4+87)</f>
        <v>46110</v>
      </c>
      <c r="N8738" t="str">
        <f>IF(M8738="","",'Master Barang'!A32)</f>
        <v>PRL-031</v>
      </c>
      <c r="O8738" t="str">
        <f>IF(N8738="","",'Master Barang'!B32)</f>
        <v>tempat saus 20 ml</v>
      </c>
      <c r="P8738">
        <f>IF(OR(M8738="",N8738=""),"",SUMIFS('Barang Keluar'!$E:$E,'Barang Keluar'!$A:$A,M8738,'Barang Keluar'!$C:$C,N8738))</f>
        <v>0</v>
      </c>
    </row>
    <row r="8739" spans="13:16">
      <c r="M8739" s="49">
        <f>IF($A$4+87&gt;$B$4,"",$A$4+87)</f>
        <v>46110</v>
      </c>
      <c r="N8739" t="str">
        <f>IF(M8739="","",'Master Barang'!A33)</f>
        <v>PRL-032</v>
      </c>
      <c r="O8739" t="str">
        <f>IF(N8739="","",'Master Barang'!B33)</f>
        <v>plastik packaging ag box uk sedang</v>
      </c>
      <c r="P8739">
        <f>IF(OR(M8739="",N8739=""),"",SUMIFS('Barang Keluar'!$E:$E,'Barang Keluar'!$A:$A,M8739,'Barang Keluar'!$C:$C,N8739))</f>
        <v>0</v>
      </c>
    </row>
    <row r="8740" spans="13:16">
      <c r="M8740" s="49">
        <f>IF($A$4+87&gt;$B$4,"",$A$4+87)</f>
        <v>46110</v>
      </c>
      <c r="N8740" t="str">
        <f>IF(M8740="","",'Master Barang'!A34)</f>
        <v>PRL-033</v>
      </c>
      <c r="O8740">
        <f>IF(N8740="","",'Master Barang'!B34)</f>
        <v>0</v>
      </c>
      <c r="P8740">
        <f>IF(OR(M8740="",N8740=""),"",SUMIFS('Barang Keluar'!$E:$E,'Barang Keluar'!$A:$A,M8740,'Barang Keluar'!$C:$C,N8740))</f>
        <v>0</v>
      </c>
    </row>
    <row r="8741" spans="13:16">
      <c r="M8741" s="49">
        <f>IF($A$4+87&gt;$B$4,"",$A$4+87)</f>
        <v>46110</v>
      </c>
      <c r="N8741">
        <f>IF(M8741="","",'Master Barang'!A35)</f>
        <v>0</v>
      </c>
      <c r="O8741">
        <f>IF(N8741="","",'Master Barang'!B35)</f>
        <v>0</v>
      </c>
      <c r="P8741">
        <f>IF(OR(M8741="",N8741=""),"",SUMIFS('Barang Keluar'!$E:$E,'Barang Keluar'!$A:$A,M8741,'Barang Keluar'!$C:$C,N8741))</f>
        <v>0</v>
      </c>
    </row>
    <row r="8742" spans="13:16">
      <c r="M8742" s="49">
        <f>IF($A$4+87&gt;$B$4,"",$A$4+87)</f>
        <v>46110</v>
      </c>
      <c r="N8742">
        <f>IF(M8742="","",'Master Barang'!A36)</f>
        <v>0</v>
      </c>
      <c r="O8742">
        <f>IF(N8742="","",'Master Barang'!B36)</f>
        <v>0</v>
      </c>
      <c r="P8742">
        <f>IF(OR(M8742="",N8742=""),"",SUMIFS('Barang Keluar'!$E:$E,'Barang Keluar'!$A:$A,M8742,'Barang Keluar'!$C:$C,N8742))</f>
        <v>0</v>
      </c>
    </row>
    <row r="8743" spans="13:16">
      <c r="M8743" s="49">
        <f>IF($A$4+87&gt;$B$4,"",$A$4+87)</f>
        <v>46110</v>
      </c>
      <c r="N8743">
        <f>IF(M8743="","",'Master Barang'!A37)</f>
        <v>0</v>
      </c>
      <c r="O8743">
        <f>IF(N8743="","",'Master Barang'!B37)</f>
        <v>0</v>
      </c>
      <c r="P8743">
        <f>IF(OR(M8743="",N8743=""),"",SUMIFS('Barang Keluar'!$E:$E,'Barang Keluar'!$A:$A,M8743,'Barang Keluar'!$C:$C,N8743))</f>
        <v>0</v>
      </c>
    </row>
    <row r="8744" spans="13:16">
      <c r="M8744" s="49">
        <f>IF($A$4+87&gt;$B$4,"",$A$4+87)</f>
        <v>46110</v>
      </c>
      <c r="N8744">
        <f>IF(M8744="","",'Master Barang'!A38)</f>
        <v>0</v>
      </c>
      <c r="O8744">
        <f>IF(N8744="","",'Master Barang'!B38)</f>
        <v>0</v>
      </c>
      <c r="P8744">
        <f>IF(OR(M8744="",N8744=""),"",SUMIFS('Barang Keluar'!$E:$E,'Barang Keluar'!$A:$A,M8744,'Barang Keluar'!$C:$C,N8744))</f>
        <v>0</v>
      </c>
    </row>
    <row r="8745" spans="13:16">
      <c r="M8745" s="49">
        <f>IF($A$4+87&gt;$B$4,"",$A$4+87)</f>
        <v>46110</v>
      </c>
      <c r="N8745">
        <f>IF(M8745="","",'Master Barang'!A39)</f>
        <v>0</v>
      </c>
      <c r="O8745">
        <f>IF(N8745="","",'Master Barang'!B39)</f>
        <v>0</v>
      </c>
      <c r="P8745">
        <f>IF(OR(M8745="",N8745=""),"",SUMIFS('Barang Keluar'!$E:$E,'Barang Keluar'!$A:$A,M8745,'Barang Keluar'!$C:$C,N8745))</f>
        <v>0</v>
      </c>
    </row>
    <row r="8746" spans="13:16">
      <c r="M8746" s="49">
        <f>IF($A$4+87&gt;$B$4,"",$A$4+87)</f>
        <v>46110</v>
      </c>
      <c r="N8746">
        <f>IF(M8746="","",'Master Barang'!A40)</f>
        <v>0</v>
      </c>
      <c r="O8746">
        <f>IF(N8746="","",'Master Barang'!B40)</f>
        <v>0</v>
      </c>
      <c r="P8746">
        <f>IF(OR(M8746="",N8746=""),"",SUMIFS('Barang Keluar'!$E:$E,'Barang Keluar'!$A:$A,M8746,'Barang Keluar'!$C:$C,N8746))</f>
        <v>0</v>
      </c>
    </row>
    <row r="8747" spans="13:16">
      <c r="M8747" s="49">
        <f>IF($A$4+87&gt;$B$4,"",$A$4+87)</f>
        <v>46110</v>
      </c>
      <c r="N8747">
        <f>IF(M8747="","",'Master Barang'!A41)</f>
        <v>0</v>
      </c>
      <c r="O8747">
        <f>IF(N8747="","",'Master Barang'!B41)</f>
        <v>0</v>
      </c>
      <c r="P8747">
        <f>IF(OR(M8747="",N8747=""),"",SUMIFS('Barang Keluar'!$E:$E,'Barang Keluar'!$A:$A,M8747,'Barang Keluar'!$C:$C,N8747))</f>
        <v>0</v>
      </c>
    </row>
    <row r="8748" spans="13:16">
      <c r="M8748" s="49">
        <f>IF($A$4+87&gt;$B$4,"",$A$4+87)</f>
        <v>46110</v>
      </c>
      <c r="N8748">
        <f>IF(M8748="","",'Master Barang'!A42)</f>
        <v>0</v>
      </c>
      <c r="O8748">
        <f>IF(N8748="","",'Master Barang'!B42)</f>
        <v>0</v>
      </c>
      <c r="P8748">
        <f>IF(OR(M8748="",N8748=""),"",SUMIFS('Barang Keluar'!$E:$E,'Barang Keluar'!$A:$A,M8748,'Barang Keluar'!$C:$C,N8748))</f>
        <v>0</v>
      </c>
    </row>
    <row r="8749" spans="13:16">
      <c r="M8749" s="49">
        <f>IF($A$4+87&gt;$B$4,"",$A$4+87)</f>
        <v>46110</v>
      </c>
      <c r="N8749">
        <f>IF(M8749="","",'Master Barang'!A43)</f>
        <v>0</v>
      </c>
      <c r="O8749">
        <f>IF(N8749="","",'Master Barang'!B43)</f>
        <v>0</v>
      </c>
      <c r="P8749">
        <f>IF(OR(M8749="",N8749=""),"",SUMIFS('Barang Keluar'!$E:$E,'Barang Keluar'!$A:$A,M8749,'Barang Keluar'!$C:$C,N8749))</f>
        <v>0</v>
      </c>
    </row>
    <row r="8750" spans="13:16">
      <c r="M8750" s="49">
        <f>IF($A$4+87&gt;$B$4,"",$A$4+87)</f>
        <v>46110</v>
      </c>
      <c r="N8750">
        <f>IF(M8750="","",'Master Barang'!A44)</f>
        <v>0</v>
      </c>
      <c r="O8750">
        <f>IF(N8750="","",'Master Barang'!B44)</f>
        <v>0</v>
      </c>
      <c r="P8750">
        <f>IF(OR(M8750="",N8750=""),"",SUMIFS('Barang Keluar'!$E:$E,'Barang Keluar'!$A:$A,M8750,'Barang Keluar'!$C:$C,N8750))</f>
        <v>0</v>
      </c>
    </row>
    <row r="8751" spans="13:16">
      <c r="M8751" s="49">
        <f>IF($A$4+87&gt;$B$4,"",$A$4+87)</f>
        <v>46110</v>
      </c>
      <c r="N8751">
        <f>IF(M8751="","",'Master Barang'!A45)</f>
        <v>0</v>
      </c>
      <c r="O8751">
        <f>IF(N8751="","",'Master Barang'!B45)</f>
        <v>0</v>
      </c>
      <c r="P8751">
        <f>IF(OR(M8751="",N8751=""),"",SUMIFS('Barang Keluar'!$E:$E,'Barang Keluar'!$A:$A,M8751,'Barang Keluar'!$C:$C,N8751))</f>
        <v>0</v>
      </c>
    </row>
    <row r="8752" spans="13:16">
      <c r="M8752" s="49">
        <f>IF($A$4+87&gt;$B$4,"",$A$4+87)</f>
        <v>46110</v>
      </c>
      <c r="N8752">
        <f>IF(M8752="","",'Master Barang'!A46)</f>
        <v>0</v>
      </c>
      <c r="O8752">
        <f>IF(N8752="","",'Master Barang'!B46)</f>
        <v>0</v>
      </c>
      <c r="P8752">
        <f>IF(OR(M8752="",N8752=""),"",SUMIFS('Barang Keluar'!$E:$E,'Barang Keluar'!$A:$A,M8752,'Barang Keluar'!$C:$C,N8752))</f>
        <v>0</v>
      </c>
    </row>
    <row r="8753" spans="13:16">
      <c r="M8753" s="49">
        <f>IF($A$4+87&gt;$B$4,"",$A$4+87)</f>
        <v>46110</v>
      </c>
      <c r="N8753">
        <f>IF(M8753="","",'Master Barang'!A47)</f>
        <v>0</v>
      </c>
      <c r="O8753">
        <f>IF(N8753="","",'Master Barang'!B47)</f>
        <v>0</v>
      </c>
      <c r="P8753">
        <f>IF(OR(M8753="",N8753=""),"",SUMIFS('Barang Keluar'!$E:$E,'Barang Keluar'!$A:$A,M8753,'Barang Keluar'!$C:$C,N8753))</f>
        <v>0</v>
      </c>
    </row>
    <row r="8754" spans="13:16">
      <c r="M8754" s="49">
        <f>IF($A$4+87&gt;$B$4,"",$A$4+87)</f>
        <v>46110</v>
      </c>
      <c r="N8754">
        <f>IF(M8754="","",'Master Barang'!A48)</f>
        <v>0</v>
      </c>
      <c r="O8754">
        <f>IF(N8754="","",'Master Barang'!B48)</f>
        <v>0</v>
      </c>
      <c r="P8754">
        <f>IF(OR(M8754="",N8754=""),"",SUMIFS('Barang Keluar'!$E:$E,'Barang Keluar'!$A:$A,M8754,'Barang Keluar'!$C:$C,N8754))</f>
        <v>0</v>
      </c>
    </row>
    <row r="8755" spans="13:16">
      <c r="M8755" s="49">
        <f>IF($A$4+87&gt;$B$4,"",$A$4+87)</f>
        <v>46110</v>
      </c>
      <c r="N8755">
        <f>IF(M8755="","",'Master Barang'!A49)</f>
        <v>0</v>
      </c>
      <c r="O8755">
        <f>IF(N8755="","",'Master Barang'!B49)</f>
        <v>0</v>
      </c>
      <c r="P8755">
        <f>IF(OR(M8755="",N8755=""),"",SUMIFS('Barang Keluar'!$E:$E,'Barang Keluar'!$A:$A,M8755,'Barang Keluar'!$C:$C,N8755))</f>
        <v>0</v>
      </c>
    </row>
    <row r="8756" spans="13:16">
      <c r="M8756" s="49">
        <f>IF($A$4+87&gt;$B$4,"",$A$4+87)</f>
        <v>46110</v>
      </c>
      <c r="N8756">
        <f>IF(M8756="","",'Master Barang'!A50)</f>
        <v>0</v>
      </c>
      <c r="O8756">
        <f>IF(N8756="","",'Master Barang'!B50)</f>
        <v>0</v>
      </c>
      <c r="P8756">
        <f>IF(OR(M8756="",N8756=""),"",SUMIFS('Barang Keluar'!$E:$E,'Barang Keluar'!$A:$A,M8756,'Barang Keluar'!$C:$C,N8756))</f>
        <v>0</v>
      </c>
    </row>
    <row r="8757" spans="13:16">
      <c r="M8757" s="49">
        <f>IF($A$4+87&gt;$B$4,"",$A$4+87)</f>
        <v>46110</v>
      </c>
      <c r="N8757">
        <f>IF(M8757="","",'Master Barang'!A51)</f>
        <v>0</v>
      </c>
      <c r="O8757">
        <f>IF(N8757="","",'Master Barang'!B51)</f>
        <v>0</v>
      </c>
      <c r="P8757">
        <f>IF(OR(M8757="",N8757=""),"",SUMIFS('Barang Keluar'!$E:$E,'Barang Keluar'!$A:$A,M8757,'Barang Keluar'!$C:$C,N8757))</f>
        <v>0</v>
      </c>
    </row>
    <row r="8758" spans="13:16">
      <c r="M8758" s="49">
        <f>IF($A$4+87&gt;$B$4,"",$A$4+87)</f>
        <v>46110</v>
      </c>
      <c r="N8758">
        <f>IF(M8758="","",'Master Barang'!A52)</f>
        <v>0</v>
      </c>
      <c r="O8758">
        <f>IF(N8758="","",'Master Barang'!B52)</f>
        <v>0</v>
      </c>
      <c r="P8758">
        <f>IF(OR(M8758="",N8758=""),"",SUMIFS('Barang Keluar'!$E:$E,'Barang Keluar'!$A:$A,M8758,'Barang Keluar'!$C:$C,N8758))</f>
        <v>0</v>
      </c>
    </row>
    <row r="8759" spans="13:16">
      <c r="M8759" s="49">
        <f>IF($A$4+87&gt;$B$4,"",$A$4+87)</f>
        <v>46110</v>
      </c>
      <c r="N8759">
        <f>IF(M8759="","",'Master Barang'!A53)</f>
        <v>0</v>
      </c>
      <c r="O8759">
        <f>IF(N8759="","",'Master Barang'!B53)</f>
        <v>0</v>
      </c>
      <c r="P8759">
        <f>IF(OR(M8759="",N8759=""),"",SUMIFS('Barang Keluar'!$E:$E,'Barang Keluar'!$A:$A,M8759,'Barang Keluar'!$C:$C,N8759))</f>
        <v>0</v>
      </c>
    </row>
    <row r="8760" spans="13:16">
      <c r="M8760" s="49">
        <f>IF($A$4+87&gt;$B$4,"",$A$4+87)</f>
        <v>46110</v>
      </c>
      <c r="N8760">
        <f>IF(M8760="","",'Master Barang'!A54)</f>
        <v>0</v>
      </c>
      <c r="O8760">
        <f>IF(N8760="","",'Master Barang'!B54)</f>
        <v>0</v>
      </c>
      <c r="P8760">
        <f>IF(OR(M8760="",N8760=""),"",SUMIFS('Barang Keluar'!$E:$E,'Barang Keluar'!$A:$A,M8760,'Barang Keluar'!$C:$C,N8760))</f>
        <v>0</v>
      </c>
    </row>
    <row r="8761" spans="13:16">
      <c r="M8761" s="49">
        <f>IF($A$4+87&gt;$B$4,"",$A$4+87)</f>
        <v>46110</v>
      </c>
      <c r="N8761">
        <f>IF(M8761="","",'Master Barang'!A55)</f>
        <v>0</v>
      </c>
      <c r="O8761">
        <f>IF(N8761="","",'Master Barang'!B55)</f>
        <v>0</v>
      </c>
      <c r="P8761">
        <f>IF(OR(M8761="",N8761=""),"",SUMIFS('Barang Keluar'!$E:$E,'Barang Keluar'!$A:$A,M8761,'Barang Keluar'!$C:$C,N8761))</f>
        <v>0</v>
      </c>
    </row>
    <row r="8762" spans="13:16">
      <c r="M8762" s="49">
        <f>IF($A$4+87&gt;$B$4,"",$A$4+87)</f>
        <v>46110</v>
      </c>
      <c r="N8762">
        <f>IF(M8762="","",'Master Barang'!A56)</f>
        <v>0</v>
      </c>
      <c r="O8762">
        <f>IF(N8762="","",'Master Barang'!B56)</f>
        <v>0</v>
      </c>
      <c r="P8762">
        <f>IF(OR(M8762="",N8762=""),"",SUMIFS('Barang Keluar'!$E:$E,'Barang Keluar'!$A:$A,M8762,'Barang Keluar'!$C:$C,N8762))</f>
        <v>0</v>
      </c>
    </row>
    <row r="8763" spans="13:16">
      <c r="M8763" s="49">
        <f>IF($A$4+87&gt;$B$4,"",$A$4+87)</f>
        <v>46110</v>
      </c>
      <c r="N8763">
        <f>IF(M8763="","",'Master Barang'!A57)</f>
        <v>0</v>
      </c>
      <c r="O8763">
        <f>IF(N8763="","",'Master Barang'!B57)</f>
        <v>0</v>
      </c>
      <c r="P8763">
        <f>IF(OR(M8763="",N8763=""),"",SUMIFS('Barang Keluar'!$E:$E,'Barang Keluar'!$A:$A,M8763,'Barang Keluar'!$C:$C,N8763))</f>
        <v>0</v>
      </c>
    </row>
    <row r="8764" spans="13:16">
      <c r="M8764" s="49">
        <f>IF($A$4+87&gt;$B$4,"",$A$4+87)</f>
        <v>46110</v>
      </c>
      <c r="N8764">
        <f>IF(M8764="","",'Master Barang'!A58)</f>
        <v>0</v>
      </c>
      <c r="O8764">
        <f>IF(N8764="","",'Master Barang'!B58)</f>
        <v>0</v>
      </c>
      <c r="P8764">
        <f>IF(OR(M8764="",N8764=""),"",SUMIFS('Barang Keluar'!$E:$E,'Barang Keluar'!$A:$A,M8764,'Barang Keluar'!$C:$C,N8764))</f>
        <v>0</v>
      </c>
    </row>
    <row r="8765" spans="13:16">
      <c r="M8765" s="49">
        <f>IF($A$4+87&gt;$B$4,"",$A$4+87)</f>
        <v>46110</v>
      </c>
      <c r="N8765">
        <f>IF(M8765="","",'Master Barang'!A59)</f>
        <v>0</v>
      </c>
      <c r="O8765">
        <f>IF(N8765="","",'Master Barang'!B59)</f>
        <v>0</v>
      </c>
      <c r="P8765">
        <f>IF(OR(M8765="",N8765=""),"",SUMIFS('Barang Keluar'!$E:$E,'Barang Keluar'!$A:$A,M8765,'Barang Keluar'!$C:$C,N8765))</f>
        <v>0</v>
      </c>
    </row>
    <row r="8766" spans="13:16">
      <c r="M8766" s="49">
        <f>IF($A$4+87&gt;$B$4,"",$A$4+87)</f>
        <v>46110</v>
      </c>
      <c r="N8766">
        <f>IF(M8766="","",'Master Barang'!A60)</f>
        <v>0</v>
      </c>
      <c r="O8766">
        <f>IF(N8766="","",'Master Barang'!B60)</f>
        <v>0</v>
      </c>
      <c r="P8766">
        <f>IF(OR(M8766="",N8766=""),"",SUMIFS('Barang Keluar'!$E:$E,'Barang Keluar'!$A:$A,M8766,'Barang Keluar'!$C:$C,N8766))</f>
        <v>0</v>
      </c>
    </row>
    <row r="8767" spans="13:16">
      <c r="M8767" s="49">
        <f>IF($A$4+87&gt;$B$4,"",$A$4+87)</f>
        <v>46110</v>
      </c>
      <c r="N8767">
        <f>IF(M8767="","",'Master Barang'!A61)</f>
        <v>0</v>
      </c>
      <c r="O8767">
        <f>IF(N8767="","",'Master Barang'!B61)</f>
        <v>0</v>
      </c>
      <c r="P8767">
        <f>IF(OR(M8767="",N8767=""),"",SUMIFS('Barang Keluar'!$E:$E,'Barang Keluar'!$A:$A,M8767,'Barang Keluar'!$C:$C,N8767))</f>
        <v>0</v>
      </c>
    </row>
    <row r="8768" spans="13:16">
      <c r="M8768" s="49">
        <f>IF($A$4+87&gt;$B$4,"",$A$4+87)</f>
        <v>46110</v>
      </c>
      <c r="N8768">
        <f>IF(M8768="","",'Master Barang'!A62)</f>
        <v>0</v>
      </c>
      <c r="O8768">
        <f>IF(N8768="","",'Master Barang'!B62)</f>
        <v>0</v>
      </c>
      <c r="P8768">
        <f>IF(OR(M8768="",N8768=""),"",SUMIFS('Barang Keluar'!$E:$E,'Barang Keluar'!$A:$A,M8768,'Barang Keluar'!$C:$C,N8768))</f>
        <v>0</v>
      </c>
    </row>
    <row r="8769" spans="13:16">
      <c r="M8769" s="49">
        <f>IF($A$4+87&gt;$B$4,"",$A$4+87)</f>
        <v>46110</v>
      </c>
      <c r="N8769">
        <f>IF(M8769="","",'Master Barang'!A63)</f>
        <v>0</v>
      </c>
      <c r="O8769">
        <f>IF(N8769="","",'Master Barang'!B63)</f>
        <v>0</v>
      </c>
      <c r="P8769">
        <f>IF(OR(M8769="",N8769=""),"",SUMIFS('Barang Keluar'!$E:$E,'Barang Keluar'!$A:$A,M8769,'Barang Keluar'!$C:$C,N8769))</f>
        <v>0</v>
      </c>
    </row>
    <row r="8770" spans="13:16">
      <c r="M8770" s="49">
        <f>IF($A$4+87&gt;$B$4,"",$A$4+87)</f>
        <v>46110</v>
      </c>
      <c r="N8770">
        <f>IF(M8770="","",'Master Barang'!A64)</f>
        <v>0</v>
      </c>
      <c r="O8770">
        <f>IF(N8770="","",'Master Barang'!B64)</f>
        <v>0</v>
      </c>
      <c r="P8770">
        <f>IF(OR(M8770="",N8770=""),"",SUMIFS('Barang Keluar'!$E:$E,'Barang Keluar'!$A:$A,M8770,'Barang Keluar'!$C:$C,N8770))</f>
        <v>0</v>
      </c>
    </row>
    <row r="8771" spans="13:16">
      <c r="M8771" s="49">
        <f>IF($A$4+87&gt;$B$4,"",$A$4+87)</f>
        <v>46110</v>
      </c>
      <c r="N8771">
        <f>IF(M8771="","",'Master Barang'!A65)</f>
        <v>0</v>
      </c>
      <c r="O8771">
        <f>IF(N8771="","",'Master Barang'!B65)</f>
        <v>0</v>
      </c>
      <c r="P8771">
        <f>IF(OR(M8771="",N8771=""),"",SUMIFS('Barang Keluar'!$E:$E,'Barang Keluar'!$A:$A,M8771,'Barang Keluar'!$C:$C,N8771))</f>
        <v>0</v>
      </c>
    </row>
    <row r="8772" spans="13:16">
      <c r="M8772" s="49">
        <f>IF($A$4+87&gt;$B$4,"",$A$4+87)</f>
        <v>46110</v>
      </c>
      <c r="N8772">
        <f>IF(M8772="","",'Master Barang'!A66)</f>
        <v>0</v>
      </c>
      <c r="O8772">
        <f>IF(N8772="","",'Master Barang'!B66)</f>
        <v>0</v>
      </c>
      <c r="P8772">
        <f>IF(OR(M8772="",N8772=""),"",SUMIFS('Barang Keluar'!$E:$E,'Barang Keluar'!$A:$A,M8772,'Barang Keluar'!$C:$C,N8772))</f>
        <v>0</v>
      </c>
    </row>
    <row r="8773" spans="13:16">
      <c r="M8773" s="49">
        <f>IF($A$4+87&gt;$B$4,"",$A$4+87)</f>
        <v>46110</v>
      </c>
      <c r="N8773">
        <f>IF(M8773="","",'Master Barang'!A67)</f>
        <v>0</v>
      </c>
      <c r="O8773">
        <f>IF(N8773="","",'Master Barang'!B67)</f>
        <v>0</v>
      </c>
      <c r="P8773">
        <f>IF(OR(M8773="",N8773=""),"",SUMIFS('Barang Keluar'!$E:$E,'Barang Keluar'!$A:$A,M8773,'Barang Keluar'!$C:$C,N8773))</f>
        <v>0</v>
      </c>
    </row>
    <row r="8774" spans="13:16">
      <c r="M8774" s="49">
        <f>IF($A$4+87&gt;$B$4,"",$A$4+87)</f>
        <v>46110</v>
      </c>
      <c r="N8774">
        <f>IF(M8774="","",'Master Barang'!A68)</f>
        <v>0</v>
      </c>
      <c r="O8774">
        <f>IF(N8774="","",'Master Barang'!B68)</f>
        <v>0</v>
      </c>
      <c r="P8774">
        <f>IF(OR(M8774="",N8774=""),"",SUMIFS('Barang Keluar'!$E:$E,'Barang Keluar'!$A:$A,M8774,'Barang Keluar'!$C:$C,N8774))</f>
        <v>0</v>
      </c>
    </row>
    <row r="8775" spans="13:16">
      <c r="M8775" s="49">
        <f>IF($A$4+87&gt;$B$4,"",$A$4+87)</f>
        <v>46110</v>
      </c>
      <c r="N8775">
        <f>IF(M8775="","",'Master Barang'!A69)</f>
        <v>0</v>
      </c>
      <c r="O8775">
        <f>IF(N8775="","",'Master Barang'!B69)</f>
        <v>0</v>
      </c>
      <c r="P8775">
        <f>IF(OR(M8775="",N8775=""),"",SUMIFS('Barang Keluar'!$E:$E,'Barang Keluar'!$A:$A,M8775,'Barang Keluar'!$C:$C,N8775))</f>
        <v>0</v>
      </c>
    </row>
    <row r="8776" spans="13:16">
      <c r="M8776" s="49">
        <f>IF($A$4+87&gt;$B$4,"",$A$4+87)</f>
        <v>46110</v>
      </c>
      <c r="N8776">
        <f>IF(M8776="","",'Master Barang'!A70)</f>
        <v>0</v>
      </c>
      <c r="O8776">
        <f>IF(N8776="","",'Master Barang'!B70)</f>
        <v>0</v>
      </c>
      <c r="P8776">
        <f>IF(OR(M8776="",N8776=""),"",SUMIFS('Barang Keluar'!$E:$E,'Barang Keluar'!$A:$A,M8776,'Barang Keluar'!$C:$C,N8776))</f>
        <v>0</v>
      </c>
    </row>
    <row r="8777" spans="13:16">
      <c r="M8777" s="49">
        <f>IF($A$4+87&gt;$B$4,"",$A$4+87)</f>
        <v>46110</v>
      </c>
      <c r="N8777">
        <f>IF(M8777="","",'Master Barang'!A71)</f>
        <v>0</v>
      </c>
      <c r="O8777">
        <f>IF(N8777="","",'Master Barang'!B71)</f>
        <v>0</v>
      </c>
      <c r="P8777">
        <f>IF(OR(M8777="",N8777=""),"",SUMIFS('Barang Keluar'!$E:$E,'Barang Keluar'!$A:$A,M8777,'Barang Keluar'!$C:$C,N8777))</f>
        <v>0</v>
      </c>
    </row>
    <row r="8778" spans="13:16">
      <c r="M8778" s="49">
        <f>IF($A$4+87&gt;$B$4,"",$A$4+87)</f>
        <v>46110</v>
      </c>
      <c r="N8778">
        <f>IF(M8778="","",'Master Barang'!A72)</f>
        <v>0</v>
      </c>
      <c r="O8778">
        <f>IF(N8778="","",'Master Barang'!B72)</f>
        <v>0</v>
      </c>
      <c r="P8778">
        <f>IF(OR(M8778="",N8778=""),"",SUMIFS('Barang Keluar'!$E:$E,'Barang Keluar'!$A:$A,M8778,'Barang Keluar'!$C:$C,N8778))</f>
        <v>0</v>
      </c>
    </row>
    <row r="8779" spans="13:16">
      <c r="M8779" s="49">
        <f>IF($A$4+87&gt;$B$4,"",$A$4+87)</f>
        <v>46110</v>
      </c>
      <c r="N8779">
        <f>IF(M8779="","",'Master Barang'!A73)</f>
        <v>0</v>
      </c>
      <c r="O8779">
        <f>IF(N8779="","",'Master Barang'!B73)</f>
        <v>0</v>
      </c>
      <c r="P8779">
        <f>IF(OR(M8779="",N8779=""),"",SUMIFS('Barang Keluar'!$E:$E,'Barang Keluar'!$A:$A,M8779,'Barang Keluar'!$C:$C,N8779))</f>
        <v>0</v>
      </c>
    </row>
    <row r="8780" spans="13:16">
      <c r="M8780" s="49">
        <f>IF($A$4+87&gt;$B$4,"",$A$4+87)</f>
        <v>46110</v>
      </c>
      <c r="N8780">
        <f>IF(M8780="","",'Master Barang'!A74)</f>
        <v>0</v>
      </c>
      <c r="O8780">
        <f>IF(N8780="","",'Master Barang'!B74)</f>
        <v>0</v>
      </c>
      <c r="P8780">
        <f>IF(OR(M8780="",N8780=""),"",SUMIFS('Barang Keluar'!$E:$E,'Barang Keluar'!$A:$A,M8780,'Barang Keluar'!$C:$C,N8780))</f>
        <v>0</v>
      </c>
    </row>
    <row r="8781" spans="13:16">
      <c r="M8781" s="49">
        <f>IF($A$4+87&gt;$B$4,"",$A$4+87)</f>
        <v>46110</v>
      </c>
      <c r="N8781">
        <f>IF(M8781="","",'Master Barang'!A75)</f>
        <v>0</v>
      </c>
      <c r="O8781">
        <f>IF(N8781="","",'Master Barang'!B75)</f>
        <v>0</v>
      </c>
      <c r="P8781">
        <f>IF(OR(M8781="",N8781=""),"",SUMIFS('Barang Keluar'!$E:$E,'Barang Keluar'!$A:$A,M8781,'Barang Keluar'!$C:$C,N8781))</f>
        <v>0</v>
      </c>
    </row>
    <row r="8782" spans="13:16">
      <c r="M8782" s="49">
        <f>IF($A$4+87&gt;$B$4,"",$A$4+87)</f>
        <v>46110</v>
      </c>
      <c r="N8782">
        <f>IF(M8782="","",'Master Barang'!A76)</f>
        <v>0</v>
      </c>
      <c r="O8782">
        <f>IF(N8782="","",'Master Barang'!B76)</f>
        <v>0</v>
      </c>
      <c r="P8782">
        <f>IF(OR(M8782="",N8782=""),"",SUMIFS('Barang Keluar'!$E:$E,'Barang Keluar'!$A:$A,M8782,'Barang Keluar'!$C:$C,N8782))</f>
        <v>0</v>
      </c>
    </row>
    <row r="8783" spans="13:16">
      <c r="M8783" s="49">
        <f>IF($A$4+87&gt;$B$4,"",$A$4+87)</f>
        <v>46110</v>
      </c>
      <c r="N8783">
        <f>IF(M8783="","",'Master Barang'!A77)</f>
        <v>0</v>
      </c>
      <c r="O8783">
        <f>IF(N8783="","",'Master Barang'!B77)</f>
        <v>0</v>
      </c>
      <c r="P8783">
        <f>IF(OR(M8783="",N8783=""),"",SUMIFS('Barang Keluar'!$E:$E,'Barang Keluar'!$A:$A,M8783,'Barang Keluar'!$C:$C,N8783))</f>
        <v>0</v>
      </c>
    </row>
    <row r="8784" spans="13:16">
      <c r="M8784" s="49">
        <f>IF($A$4+87&gt;$B$4,"",$A$4+87)</f>
        <v>46110</v>
      </c>
      <c r="N8784">
        <f>IF(M8784="","",'Master Barang'!A78)</f>
        <v>0</v>
      </c>
      <c r="O8784">
        <f>IF(N8784="","",'Master Barang'!B78)</f>
        <v>0</v>
      </c>
      <c r="P8784">
        <f>IF(OR(M8784="",N8784=""),"",SUMIFS('Barang Keluar'!$E:$E,'Barang Keluar'!$A:$A,M8784,'Barang Keluar'!$C:$C,N8784))</f>
        <v>0</v>
      </c>
    </row>
    <row r="8785" spans="13:16">
      <c r="M8785" s="49">
        <f>IF($A$4+87&gt;$B$4,"",$A$4+87)</f>
        <v>46110</v>
      </c>
      <c r="N8785">
        <f>IF(M8785="","",'Master Barang'!A79)</f>
        <v>0</v>
      </c>
      <c r="O8785">
        <f>IF(N8785="","",'Master Barang'!B79)</f>
        <v>0</v>
      </c>
      <c r="P8785">
        <f>IF(OR(M8785="",N8785=""),"",SUMIFS('Barang Keluar'!$E:$E,'Barang Keluar'!$A:$A,M8785,'Barang Keluar'!$C:$C,N8785))</f>
        <v>0</v>
      </c>
    </row>
    <row r="8786" spans="13:16">
      <c r="M8786" s="49">
        <f>IF($A$4+87&gt;$B$4,"",$A$4+87)</f>
        <v>46110</v>
      </c>
      <c r="N8786">
        <f>IF(M8786="","",'Master Barang'!A80)</f>
        <v>0</v>
      </c>
      <c r="O8786">
        <f>IF(N8786="","",'Master Barang'!B80)</f>
        <v>0</v>
      </c>
      <c r="P8786">
        <f>IF(OR(M8786="",N8786=""),"",SUMIFS('Barang Keluar'!$E:$E,'Barang Keluar'!$A:$A,M8786,'Barang Keluar'!$C:$C,N8786))</f>
        <v>0</v>
      </c>
    </row>
    <row r="8787" spans="13:16">
      <c r="M8787" s="49">
        <f>IF($A$4+87&gt;$B$4,"",$A$4+87)</f>
        <v>46110</v>
      </c>
      <c r="N8787">
        <f>IF(M8787="","",'Master Barang'!A81)</f>
        <v>0</v>
      </c>
      <c r="O8787">
        <f>IF(N8787="","",'Master Barang'!B81)</f>
        <v>0</v>
      </c>
      <c r="P8787">
        <f>IF(OR(M8787="",N8787=""),"",SUMIFS('Barang Keluar'!$E:$E,'Barang Keluar'!$A:$A,M8787,'Barang Keluar'!$C:$C,N8787))</f>
        <v>0</v>
      </c>
    </row>
    <row r="8788" spans="13:16">
      <c r="M8788" s="49">
        <f>IF($A$4+87&gt;$B$4,"",$A$4+87)</f>
        <v>46110</v>
      </c>
      <c r="N8788">
        <f>IF(M8788="","",'Master Barang'!A82)</f>
        <v>0</v>
      </c>
      <c r="O8788">
        <f>IF(N8788="","",'Master Barang'!B82)</f>
        <v>0</v>
      </c>
      <c r="P8788">
        <f>IF(OR(M8788="",N8788=""),"",SUMIFS('Barang Keluar'!$E:$E,'Barang Keluar'!$A:$A,M8788,'Barang Keluar'!$C:$C,N8788))</f>
        <v>0</v>
      </c>
    </row>
    <row r="8789" spans="13:16">
      <c r="M8789" s="49">
        <f>IF($A$4+87&gt;$B$4,"",$A$4+87)</f>
        <v>46110</v>
      </c>
      <c r="N8789">
        <f>IF(M8789="","",'Master Barang'!A83)</f>
        <v>0</v>
      </c>
      <c r="O8789">
        <f>IF(N8789="","",'Master Barang'!B83)</f>
        <v>0</v>
      </c>
      <c r="P8789">
        <f>IF(OR(M8789="",N8789=""),"",SUMIFS('Barang Keluar'!$E:$E,'Barang Keluar'!$A:$A,M8789,'Barang Keluar'!$C:$C,N8789))</f>
        <v>0</v>
      </c>
    </row>
    <row r="8790" spans="13:16">
      <c r="M8790" s="49">
        <f>IF($A$4+87&gt;$B$4,"",$A$4+87)</f>
        <v>46110</v>
      </c>
      <c r="N8790">
        <f>IF(M8790="","",'Master Barang'!A84)</f>
        <v>0</v>
      </c>
      <c r="O8790">
        <f>IF(N8790="","",'Master Barang'!B84)</f>
        <v>0</v>
      </c>
      <c r="P8790">
        <f>IF(OR(M8790="",N8790=""),"",SUMIFS('Barang Keluar'!$E:$E,'Barang Keluar'!$A:$A,M8790,'Barang Keluar'!$C:$C,N8790))</f>
        <v>0</v>
      </c>
    </row>
    <row r="8791" spans="13:16">
      <c r="M8791" s="49">
        <f>IF($A$4+87&gt;$B$4,"",$A$4+87)</f>
        <v>46110</v>
      </c>
      <c r="N8791">
        <f>IF(M8791="","",'Master Barang'!A85)</f>
        <v>0</v>
      </c>
      <c r="O8791">
        <f>IF(N8791="","",'Master Barang'!B85)</f>
        <v>0</v>
      </c>
      <c r="P8791">
        <f>IF(OR(M8791="",N8791=""),"",SUMIFS('Barang Keluar'!$E:$E,'Barang Keluar'!$A:$A,M8791,'Barang Keluar'!$C:$C,N8791))</f>
        <v>0</v>
      </c>
    </row>
    <row r="8792" spans="13:16">
      <c r="M8792" s="49">
        <f>IF($A$4+87&gt;$B$4,"",$A$4+87)</f>
        <v>46110</v>
      </c>
      <c r="N8792">
        <f>IF(M8792="","",'Master Barang'!A86)</f>
        <v>0</v>
      </c>
      <c r="O8792">
        <f>IF(N8792="","",'Master Barang'!B86)</f>
        <v>0</v>
      </c>
      <c r="P8792">
        <f>IF(OR(M8792="",N8792=""),"",SUMIFS('Barang Keluar'!$E:$E,'Barang Keluar'!$A:$A,M8792,'Barang Keluar'!$C:$C,N8792))</f>
        <v>0</v>
      </c>
    </row>
    <row r="8793" spans="13:16">
      <c r="M8793" s="49">
        <f>IF($A$4+87&gt;$B$4,"",$A$4+87)</f>
        <v>46110</v>
      </c>
      <c r="N8793">
        <f>IF(M8793="","",'Master Barang'!A87)</f>
        <v>0</v>
      </c>
      <c r="O8793">
        <f>IF(N8793="","",'Master Barang'!B87)</f>
        <v>0</v>
      </c>
      <c r="P8793">
        <f>IF(OR(M8793="",N8793=""),"",SUMIFS('Barang Keluar'!$E:$E,'Barang Keluar'!$A:$A,M8793,'Barang Keluar'!$C:$C,N8793))</f>
        <v>0</v>
      </c>
    </row>
    <row r="8794" spans="13:16">
      <c r="M8794" s="49">
        <f>IF($A$4+87&gt;$B$4,"",$A$4+87)</f>
        <v>46110</v>
      </c>
      <c r="N8794">
        <f>IF(M8794="","",'Master Barang'!A88)</f>
        <v>0</v>
      </c>
      <c r="O8794">
        <f>IF(N8794="","",'Master Barang'!B88)</f>
        <v>0</v>
      </c>
      <c r="P8794">
        <f>IF(OR(M8794="",N8794=""),"",SUMIFS('Barang Keluar'!$E:$E,'Barang Keluar'!$A:$A,M8794,'Barang Keluar'!$C:$C,N8794))</f>
        <v>0</v>
      </c>
    </row>
    <row r="8795" spans="13:16">
      <c r="M8795" s="49">
        <f>IF($A$4+87&gt;$B$4,"",$A$4+87)</f>
        <v>46110</v>
      </c>
      <c r="N8795">
        <f>IF(M8795="","",'Master Barang'!A89)</f>
        <v>0</v>
      </c>
      <c r="O8795">
        <f>IF(N8795="","",'Master Barang'!B89)</f>
        <v>0</v>
      </c>
      <c r="P8795">
        <f>IF(OR(M8795="",N8795=""),"",SUMIFS('Barang Keluar'!$E:$E,'Barang Keluar'!$A:$A,M8795,'Barang Keluar'!$C:$C,N8795))</f>
        <v>0</v>
      </c>
    </row>
    <row r="8796" spans="13:16">
      <c r="M8796" s="49">
        <f>IF($A$4+87&gt;$B$4,"",$A$4+87)</f>
        <v>46110</v>
      </c>
      <c r="N8796">
        <f>IF(M8796="","",'Master Barang'!A90)</f>
        <v>0</v>
      </c>
      <c r="O8796">
        <f>IF(N8796="","",'Master Barang'!B90)</f>
        <v>0</v>
      </c>
      <c r="P8796">
        <f>IF(OR(M8796="",N8796=""),"",SUMIFS('Barang Keluar'!$E:$E,'Barang Keluar'!$A:$A,M8796,'Barang Keluar'!$C:$C,N8796))</f>
        <v>0</v>
      </c>
    </row>
    <row r="8797" spans="13:16">
      <c r="M8797" s="49">
        <f>IF($A$4+87&gt;$B$4,"",$A$4+87)</f>
        <v>46110</v>
      </c>
      <c r="N8797">
        <f>IF(M8797="","",'Master Barang'!A91)</f>
        <v>0</v>
      </c>
      <c r="O8797">
        <f>IF(N8797="","",'Master Barang'!B91)</f>
        <v>0</v>
      </c>
      <c r="P8797">
        <f>IF(OR(M8797="",N8797=""),"",SUMIFS('Barang Keluar'!$E:$E,'Barang Keluar'!$A:$A,M8797,'Barang Keluar'!$C:$C,N8797))</f>
        <v>0</v>
      </c>
    </row>
    <row r="8798" spans="13:16">
      <c r="M8798" s="49">
        <f>IF($A$4+87&gt;$B$4,"",$A$4+87)</f>
        <v>46110</v>
      </c>
      <c r="N8798">
        <f>IF(M8798="","",'Master Barang'!A92)</f>
        <v>0</v>
      </c>
      <c r="O8798">
        <f>IF(N8798="","",'Master Barang'!B92)</f>
        <v>0</v>
      </c>
      <c r="P8798">
        <f>IF(OR(M8798="",N8798=""),"",SUMIFS('Barang Keluar'!$E:$E,'Barang Keluar'!$A:$A,M8798,'Barang Keluar'!$C:$C,N8798))</f>
        <v>0</v>
      </c>
    </row>
    <row r="8799" spans="13:16">
      <c r="M8799" s="49">
        <f>IF($A$4+87&gt;$B$4,"",$A$4+87)</f>
        <v>46110</v>
      </c>
      <c r="N8799">
        <f>IF(M8799="","",'Master Barang'!A93)</f>
        <v>0</v>
      </c>
      <c r="O8799">
        <f>IF(N8799="","",'Master Barang'!B93)</f>
        <v>0</v>
      </c>
      <c r="P8799">
        <f>IF(OR(M8799="",N8799=""),"",SUMIFS('Barang Keluar'!$E:$E,'Barang Keluar'!$A:$A,M8799,'Barang Keluar'!$C:$C,N8799))</f>
        <v>0</v>
      </c>
    </row>
    <row r="8800" spans="13:16">
      <c r="M8800" s="49">
        <f>IF($A$4+87&gt;$B$4,"",$A$4+87)</f>
        <v>46110</v>
      </c>
      <c r="N8800">
        <f>IF(M8800="","",'Master Barang'!A94)</f>
        <v>0</v>
      </c>
      <c r="O8800">
        <f>IF(N8800="","",'Master Barang'!B94)</f>
        <v>0</v>
      </c>
      <c r="P8800">
        <f>IF(OR(M8800="",N8800=""),"",SUMIFS('Barang Keluar'!$E:$E,'Barang Keluar'!$A:$A,M8800,'Barang Keluar'!$C:$C,N8800))</f>
        <v>0</v>
      </c>
    </row>
    <row r="8801" spans="13:16">
      <c r="M8801" s="49">
        <f>IF($A$4+87&gt;$B$4,"",$A$4+87)</f>
        <v>46110</v>
      </c>
      <c r="N8801">
        <f>IF(M8801="","",'Master Barang'!A95)</f>
        <v>0</v>
      </c>
      <c r="O8801">
        <f>IF(N8801="","",'Master Barang'!B95)</f>
        <v>0</v>
      </c>
      <c r="P8801">
        <f>IF(OR(M8801="",N8801=""),"",SUMIFS('Barang Keluar'!$E:$E,'Barang Keluar'!$A:$A,M8801,'Barang Keluar'!$C:$C,N8801))</f>
        <v>0</v>
      </c>
    </row>
    <row r="8802" spans="13:16">
      <c r="M8802" s="49">
        <f>IF($A$4+87&gt;$B$4,"",$A$4+87)</f>
        <v>46110</v>
      </c>
      <c r="N8802">
        <f>IF(M8802="","",'Master Barang'!A96)</f>
        <v>0</v>
      </c>
      <c r="O8802">
        <f>IF(N8802="","",'Master Barang'!B96)</f>
        <v>0</v>
      </c>
      <c r="P8802">
        <f>IF(OR(M8802="",N8802=""),"",SUMIFS('Barang Keluar'!$E:$E,'Barang Keluar'!$A:$A,M8802,'Barang Keluar'!$C:$C,N8802))</f>
        <v>0</v>
      </c>
    </row>
    <row r="8803" spans="13:16">
      <c r="M8803" s="49">
        <f>IF($A$4+87&gt;$B$4,"",$A$4+87)</f>
        <v>46110</v>
      </c>
      <c r="N8803">
        <f>IF(M8803="","",'Master Barang'!A97)</f>
        <v>0</v>
      </c>
      <c r="O8803">
        <f>IF(N8803="","",'Master Barang'!B97)</f>
        <v>0</v>
      </c>
      <c r="P8803">
        <f>IF(OR(M8803="",N8803=""),"",SUMIFS('Barang Keluar'!$E:$E,'Barang Keluar'!$A:$A,M8803,'Barang Keluar'!$C:$C,N8803))</f>
        <v>0</v>
      </c>
    </row>
    <row r="8804" spans="13:16">
      <c r="M8804" s="49">
        <f>IF($A$4+87&gt;$B$4,"",$A$4+87)</f>
        <v>46110</v>
      </c>
      <c r="N8804">
        <f>IF(M8804="","",'Master Barang'!A98)</f>
        <v>0</v>
      </c>
      <c r="O8804">
        <f>IF(N8804="","",'Master Barang'!B98)</f>
        <v>0</v>
      </c>
      <c r="P8804">
        <f>IF(OR(M8804="",N8804=""),"",SUMIFS('Barang Keluar'!$E:$E,'Barang Keluar'!$A:$A,M8804,'Barang Keluar'!$C:$C,N8804))</f>
        <v>0</v>
      </c>
    </row>
    <row r="8805" spans="13:16">
      <c r="M8805" s="49">
        <f>IF($A$4+87&gt;$B$4,"",$A$4+87)</f>
        <v>46110</v>
      </c>
      <c r="N8805">
        <f>IF(M8805="","",'Master Barang'!A99)</f>
        <v>0</v>
      </c>
      <c r="O8805">
        <f>IF(N8805="","",'Master Barang'!B99)</f>
        <v>0</v>
      </c>
      <c r="P8805">
        <f>IF(OR(M8805="",N8805=""),"",SUMIFS('Barang Keluar'!$E:$E,'Barang Keluar'!$A:$A,M8805,'Barang Keluar'!$C:$C,N8805))</f>
        <v>0</v>
      </c>
    </row>
    <row r="8806" spans="13:16">
      <c r="M8806" s="49">
        <f>IF($A$4+87&gt;$B$4,"",$A$4+87)</f>
        <v>46110</v>
      </c>
      <c r="N8806">
        <f>IF(M8806="","",'Master Barang'!A100)</f>
        <v>0</v>
      </c>
      <c r="O8806">
        <f>IF(N8806="","",'Master Barang'!B100)</f>
        <v>0</v>
      </c>
      <c r="P8806">
        <f>IF(OR(M8806="",N8806=""),"",SUMIFS('Barang Keluar'!$E:$E,'Barang Keluar'!$A:$A,M8806,'Barang Keluar'!$C:$C,N8806))</f>
        <v>0</v>
      </c>
    </row>
    <row r="8807" spans="13:16">
      <c r="M8807" s="49">
        <f>IF($A$4+87&gt;$B$4,"",$A$4+87)</f>
        <v>46110</v>
      </c>
      <c r="N8807">
        <f>IF(M8807="","",'Master Barang'!A101)</f>
        <v>0</v>
      </c>
      <c r="O8807">
        <f>IF(N8807="","",'Master Barang'!B101)</f>
        <v>0</v>
      </c>
      <c r="P8807">
        <f>IF(OR(M8807="",N8807=""),"",SUMIFS('Barang Keluar'!$E:$E,'Barang Keluar'!$A:$A,M8807,'Barang Keluar'!$C:$C,N8807))</f>
        <v>0</v>
      </c>
    </row>
    <row r="8808" spans="13:16">
      <c r="M8808" s="49">
        <f>IF($A$4+88&gt;$B$4,"",$A$4+88)</f>
        <v>46111</v>
      </c>
      <c r="N8808" t="str">
        <f>IF(M8808="","",'Master Barang'!A2)</f>
        <v>PRL-001</v>
      </c>
      <c r="O8808" t="str">
        <f>IF(N8808="","",'Master Barang'!B2)</f>
        <v>natura desinfectant food grade 5l</v>
      </c>
      <c r="P8808">
        <f>IF(OR(M8808="",N8808=""),"",SUMIFS('Barang Keluar'!$E:$E,'Barang Keluar'!$A:$A,M8808,'Barang Keluar'!$C:$C,N8808))</f>
        <v>0</v>
      </c>
    </row>
    <row r="8809" spans="13:16">
      <c r="M8809" s="49">
        <f>IF($A$4+88&gt;$B$4,"",$A$4+88)</f>
        <v>46111</v>
      </c>
      <c r="N8809" t="str">
        <f>IF(M8809="","",'Master Barang'!A3)</f>
        <v>PRL-002</v>
      </c>
      <c r="O8809" t="str">
        <f>IF(N8809="","",'Master Barang'!B3)</f>
        <v>sunlight cairan pencuci piring 5l</v>
      </c>
      <c r="P8809">
        <f>IF(OR(M8809="",N8809=""),"",SUMIFS('Barang Keluar'!$E:$E,'Barang Keluar'!$A:$A,M8809,'Barang Keluar'!$C:$C,N8809))</f>
        <v>0</v>
      </c>
    </row>
    <row r="8810" spans="13:16">
      <c r="M8810" s="49">
        <f>IF($A$4+88&gt;$B$4,"",$A$4+88)</f>
        <v>46111</v>
      </c>
      <c r="N8810" t="str">
        <f>IF(M8810="","",'Master Barang'!A4)</f>
        <v>PRL-003</v>
      </c>
      <c r="O8810" t="str">
        <f>IF(N8810="","",'Master Barang'!B4)</f>
        <v>oixs cleaner 1l</v>
      </c>
      <c r="P8810">
        <f>IF(OR(M8810="",N8810=""),"",SUMIFS('Barang Keluar'!$E:$E,'Barang Keluar'!$A:$A,M8810,'Barang Keluar'!$C:$C,N8810))</f>
        <v>0</v>
      </c>
    </row>
    <row r="8811" spans="13:16">
      <c r="M8811" s="49">
        <f>IF($A$4+88&gt;$B$4,"",$A$4+88)</f>
        <v>46111</v>
      </c>
      <c r="N8811" t="str">
        <f>IF(M8811="","",'Master Barang'!A5)</f>
        <v>PRL-004</v>
      </c>
      <c r="O8811" t="str">
        <f>IF(N8811="","",'Master Barang'!B5)</f>
        <v>be clean tissue serbaguna</v>
      </c>
      <c r="P8811">
        <f>IF(OR(M8811="",N8811=""),"",SUMIFS('Barang Keluar'!$E:$E,'Barang Keluar'!$A:$A,M8811,'Barang Keluar'!$C:$C,N8811))</f>
        <v>0</v>
      </c>
    </row>
    <row r="8812" spans="13:16">
      <c r="M8812" s="49">
        <f>IF($A$4+88&gt;$B$4,"",$A$4+88)</f>
        <v>46111</v>
      </c>
      <c r="N8812" t="str">
        <f>IF(M8812="","",'Master Barang'!A6)</f>
        <v>PRL-005</v>
      </c>
      <c r="O8812" t="str">
        <f>IF(N8812="","",'Master Barang'!B6)</f>
        <v>spons cuci hijau</v>
      </c>
      <c r="P8812">
        <f>IF(OR(M8812="",N8812=""),"",SUMIFS('Barang Keluar'!$E:$E,'Barang Keluar'!$A:$A,M8812,'Barang Keluar'!$C:$C,N8812))</f>
        <v>0</v>
      </c>
    </row>
    <row r="8813" spans="13:16">
      <c r="M8813" s="49">
        <f>IF($A$4+88&gt;$B$4,"",$A$4+88)</f>
        <v>46111</v>
      </c>
      <c r="N8813" t="str">
        <f>IF(M8813="","",'Master Barang'!A7)</f>
        <v>PRL-006</v>
      </c>
      <c r="O8813" t="str">
        <f>IF(N8813="","",'Master Barang'!B7)</f>
        <v>sabut cuci stainless</v>
      </c>
      <c r="P8813">
        <f>IF(OR(M8813="",N8813=""),"",SUMIFS('Barang Keluar'!$E:$E,'Barang Keluar'!$A:$A,M8813,'Barang Keluar'!$C:$C,N8813))</f>
        <v>0</v>
      </c>
    </row>
    <row r="8814" spans="13:16">
      <c r="M8814" s="49">
        <f>IF($A$4+88&gt;$B$4,"",$A$4+88)</f>
        <v>46111</v>
      </c>
      <c r="N8814" t="str">
        <f>IF(M8814="","",'Master Barang'!A8)</f>
        <v>PRL-007</v>
      </c>
      <c r="O8814" t="str">
        <f>IF(N8814="","",'Master Barang'!B8)</f>
        <v>plastik kresek besar merah 50pc</v>
      </c>
      <c r="P8814">
        <f>IF(OR(M8814="",N8814=""),"",SUMIFS('Barang Keluar'!$E:$E,'Barang Keluar'!$A:$A,M8814,'Barang Keluar'!$C:$C,N8814))</f>
        <v>0</v>
      </c>
    </row>
    <row r="8815" spans="13:16">
      <c r="M8815" s="49">
        <f>IF($A$4+88&gt;$B$4,"",$A$4+88)</f>
        <v>46111</v>
      </c>
      <c r="N8815" t="str">
        <f>IF(M8815="","",'Master Barang'!A9)</f>
        <v>PRL-008</v>
      </c>
      <c r="O8815" t="str">
        <f>IF(N8815="","",'Master Barang'!B9)</f>
        <v>lap besar</v>
      </c>
      <c r="P8815">
        <f>IF(OR(M8815="",N8815=""),"",SUMIFS('Barang Keluar'!$E:$E,'Barang Keluar'!$A:$A,M8815,'Barang Keluar'!$C:$C,N8815))</f>
        <v>0</v>
      </c>
    </row>
    <row r="8816" spans="13:16">
      <c r="M8816" s="49">
        <f>IF($A$4+88&gt;$B$4,"",$A$4+88)</f>
        <v>46111</v>
      </c>
      <c r="N8816" t="str">
        <f>IF(M8816="","",'Master Barang'!A10)</f>
        <v>PRL-009</v>
      </c>
      <c r="O8816" t="str">
        <f>IF(N8816="","",'Master Barang'!B10)</f>
        <v>lap microfiber</v>
      </c>
      <c r="P8816">
        <f>IF(OR(M8816="",N8816=""),"",SUMIFS('Barang Keluar'!$E:$E,'Barang Keluar'!$A:$A,M8816,'Barang Keluar'!$C:$C,N8816))</f>
        <v>0</v>
      </c>
    </row>
    <row r="8817" spans="13:16">
      <c r="M8817" s="49">
        <f>IF($A$4+88&gt;$B$4,"",$A$4+88)</f>
        <v>46111</v>
      </c>
      <c r="N8817" t="str">
        <f>IF(M8817="","",'Master Barang'!A11)</f>
        <v>PRL-010</v>
      </c>
      <c r="O8817" t="str">
        <f>IF(N8817="","",'Master Barang'!B11)</f>
        <v>lap kecil</v>
      </c>
      <c r="P8817">
        <f>IF(OR(M8817="",N8817=""),"",SUMIFS('Barang Keluar'!$E:$E,'Barang Keluar'!$A:$A,M8817,'Barang Keluar'!$C:$C,N8817))</f>
        <v>0</v>
      </c>
    </row>
    <row r="8818" spans="13:16">
      <c r="M8818" s="49">
        <f>IF($A$4+88&gt;$B$4,"",$A$4+88)</f>
        <v>46111</v>
      </c>
      <c r="N8818" t="str">
        <f>IF(M8818="","",'Master Barang'!A12)</f>
        <v>PRL-011</v>
      </c>
      <c r="O8818" t="str">
        <f>IF(N8818="","",'Master Barang'!B12)</f>
        <v>kanebo kecil</v>
      </c>
      <c r="P8818">
        <f>IF(OR(M8818="",N8818=""),"",SUMIFS('Barang Keluar'!$E:$E,'Barang Keluar'!$A:$A,M8818,'Barang Keluar'!$C:$C,N8818))</f>
        <v>0</v>
      </c>
    </row>
    <row r="8819" spans="13:16">
      <c r="M8819" s="49">
        <f>IF($A$4+88&gt;$B$4,"",$A$4+88)</f>
        <v>46111</v>
      </c>
      <c r="N8819" t="str">
        <f>IF(M8819="","",'Master Barang'!A13)</f>
        <v>PRL-012</v>
      </c>
      <c r="O8819" t="str">
        <f>IF(N8819="","",'Master Barang'!B13)</f>
        <v>plastik 1/4kg joyoboyo 100 lembar</v>
      </c>
      <c r="P8819">
        <f>IF(OR(M8819="",N8819=""),"",SUMIFS('Barang Keluar'!$E:$E,'Barang Keluar'!$A:$A,M8819,'Barang Keluar'!$C:$C,N8819))</f>
        <v>0</v>
      </c>
    </row>
    <row r="8820" spans="13:16">
      <c r="M8820" s="49">
        <f>IF($A$4+88&gt;$B$4,"",$A$4+88)</f>
        <v>46111</v>
      </c>
      <c r="N8820" t="str">
        <f>IF(M8820="","",'Master Barang'!A14)</f>
        <v>PRL-013</v>
      </c>
      <c r="O8820" t="str">
        <f>IF(N8820="","",'Master Barang'!B14)</f>
        <v>sarung tangan plastik kaka 100 pcs</v>
      </c>
      <c r="P8820">
        <f>IF(OR(M8820="",N8820=""),"",SUMIFS('Barang Keluar'!$E:$E,'Barang Keluar'!$A:$A,M8820,'Barang Keluar'!$C:$C,N8820))</f>
        <v>0</v>
      </c>
    </row>
    <row r="8821" spans="13:16">
      <c r="M8821" s="49">
        <f>IF($A$4+88&gt;$B$4,"",$A$4+88)</f>
        <v>46111</v>
      </c>
      <c r="N8821" t="str">
        <f>IF(M8821="","",'Master Barang'!A15)</f>
        <v>PRL-014</v>
      </c>
      <c r="O8821" t="str">
        <f>IF(N8821="","",'Master Barang'!B15)</f>
        <v>optima trashbag 80x100</v>
      </c>
      <c r="P8821">
        <f>IF(OR(M8821="",N8821=""),"",SUMIFS('Barang Keluar'!$E:$E,'Barang Keluar'!$A:$A,M8821,'Barang Keluar'!$C:$C,N8821))</f>
        <v>0</v>
      </c>
    </row>
    <row r="8822" spans="13:16">
      <c r="M8822" s="49">
        <f>IF($A$4+88&gt;$B$4,"",$A$4+88)</f>
        <v>46111</v>
      </c>
      <c r="N8822" t="str">
        <f>IF(M8822="","",'Master Barang'!A16)</f>
        <v>PRL-015</v>
      </c>
      <c r="O8822" t="str">
        <f>IF(N8822="","",'Master Barang'!B16)</f>
        <v>optima trashbag 60x100</v>
      </c>
      <c r="P8822">
        <f>IF(OR(M8822="",N8822=""),"",SUMIFS('Barang Keluar'!$E:$E,'Barang Keluar'!$A:$A,M8822,'Barang Keluar'!$C:$C,N8822))</f>
        <v>0</v>
      </c>
    </row>
    <row r="8823" spans="13:16">
      <c r="M8823" s="49">
        <f>IF($A$4+88&gt;$B$4,"",$A$4+88)</f>
        <v>46111</v>
      </c>
      <c r="N8823" t="str">
        <f>IF(M8823="","",'Master Barang'!A17)</f>
        <v>PRL-016</v>
      </c>
      <c r="O8823" t="str">
        <f>IF(N8823="","",'Master Barang'!B17)</f>
        <v>rajawali trashbag 30x40</v>
      </c>
      <c r="P8823">
        <f>IF(OR(M8823="",N8823=""),"",SUMIFS('Barang Keluar'!$E:$E,'Barang Keluar'!$A:$A,M8823,'Barang Keluar'!$C:$C,N8823))</f>
        <v>0</v>
      </c>
    </row>
    <row r="8824" spans="13:16">
      <c r="M8824" s="49">
        <f>IF($A$4+88&gt;$B$4,"",$A$4+88)</f>
        <v>46111</v>
      </c>
      <c r="N8824" t="str">
        <f>IF(M8824="","",'Master Barang'!A18)</f>
        <v>PRL-017</v>
      </c>
      <c r="O8824" t="str">
        <f>IF(N8824="","",'Master Barang'!B18)</f>
        <v>onemed masker biru 3 play 50 pcs</v>
      </c>
      <c r="P8824">
        <f>IF(OR(M8824="",N8824=""),"",SUMIFS('Barang Keluar'!$E:$E,'Barang Keluar'!$A:$A,M8824,'Barang Keluar'!$C:$C,N8824))</f>
        <v>0</v>
      </c>
    </row>
    <row r="8825" spans="13:16">
      <c r="M8825" s="49">
        <f>IF($A$4+88&gt;$B$4,"",$A$4+88)</f>
        <v>46111</v>
      </c>
      <c r="N8825" t="str">
        <f>IF(M8825="","",'Master Barang'!A19)</f>
        <v>PRL-018</v>
      </c>
      <c r="O8825" t="str">
        <f>IF(N8825="","",'Master Barang'!B19)</f>
        <v>onemed masker biru 3 play hijab 50 pcs</v>
      </c>
      <c r="P8825">
        <f>IF(OR(M8825="",N8825=""),"",SUMIFS('Barang Keluar'!$E:$E,'Barang Keluar'!$A:$A,M8825,'Barang Keluar'!$C:$C,N8825))</f>
        <v>0</v>
      </c>
    </row>
    <row r="8826" spans="13:16">
      <c r="M8826" s="49">
        <f>IF($A$4+88&gt;$B$4,"",$A$4+88)</f>
        <v>46111</v>
      </c>
      <c r="N8826" t="str">
        <f>IF(M8826="","",'Master Barang'!A20)</f>
        <v>PRL-019</v>
      </c>
      <c r="O8826" t="str">
        <f>IF(N8826="","",'Master Barang'!B20)</f>
        <v>neo health masker biru 3 play 50 pcs</v>
      </c>
      <c r="P8826">
        <f>IF(OR(M8826="",N8826=""),"",SUMIFS('Barang Keluar'!$E:$E,'Barang Keluar'!$A:$A,M8826,'Barang Keluar'!$C:$C,N8826))</f>
        <v>0</v>
      </c>
    </row>
    <row r="8827" spans="13:16">
      <c r="M8827" s="49">
        <f>IF($A$4+88&gt;$B$4,"",$A$4+88)</f>
        <v>46111</v>
      </c>
      <c r="N8827" t="str">
        <f>IF(M8827="","",'Master Barang'!A21)</f>
        <v>PRL-020</v>
      </c>
      <c r="O8827" t="str">
        <f>IF(N8827="","",'Master Barang'!B21)</f>
        <v>baymed masker hijau 3 play hijau 50 pcs</v>
      </c>
      <c r="P8827">
        <f>IF(OR(M8827="",N8827=""),"",SUMIFS('Barang Keluar'!$E:$E,'Barang Keluar'!$A:$A,M8827,'Barang Keluar'!$C:$C,N8827))</f>
        <v>0</v>
      </c>
    </row>
    <row r="8828" spans="13:16">
      <c r="M8828" s="49">
        <f>IF($A$4+88&gt;$B$4,"",$A$4+88)</f>
        <v>46111</v>
      </c>
      <c r="N8828" t="str">
        <f>IF(M8828="","",'Master Barang'!A22)</f>
        <v>PRL-021</v>
      </c>
      <c r="O8828" t="str">
        <f>IF(N8828="","",'Master Barang'!B22)</f>
        <v>altamed nurse cap penutup kepala 100 pcs</v>
      </c>
      <c r="P8828">
        <f>IF(OR(M8828="",N8828=""),"",SUMIFS('Barang Keluar'!$E:$E,'Barang Keluar'!$A:$A,M8828,'Barang Keluar'!$C:$C,N8828))</f>
        <v>0</v>
      </c>
    </row>
    <row r="8829" spans="13:16">
      <c r="M8829" s="49">
        <f>IF($A$4+88&gt;$B$4,"",$A$4+88)</f>
        <v>46111</v>
      </c>
      <c r="N8829" t="str">
        <f>IF(M8829="","",'Master Barang'!A23)</f>
        <v>PRL-022</v>
      </c>
      <c r="O8829" t="str">
        <f>IF(N8829="","",'Master Barang'!B23)</f>
        <v>sabun cuci tangan</v>
      </c>
      <c r="P8829">
        <f>IF(OR(M8829="",N8829=""),"",SUMIFS('Barang Keluar'!$E:$E,'Barang Keluar'!$A:$A,M8829,'Barang Keluar'!$C:$C,N8829))</f>
        <v>0</v>
      </c>
    </row>
    <row r="8830" spans="13:16">
      <c r="M8830" s="49">
        <f>IF($A$4+88&gt;$B$4,"",$A$4+88)</f>
        <v>46111</v>
      </c>
      <c r="N8830" t="str">
        <f>IF(M8830="","",'Master Barang'!A24)</f>
        <v>PRL-023</v>
      </c>
      <c r="O8830" t="str">
        <f>IF(N8830="","",'Master Barang'!B24)</f>
        <v>gayung kecil</v>
      </c>
      <c r="P8830">
        <f>IF(OR(M8830="",N8830=""),"",SUMIFS('Barang Keluar'!$E:$E,'Barang Keluar'!$A:$A,M8830,'Barang Keluar'!$C:$C,N8830))</f>
        <v>0</v>
      </c>
    </row>
    <row r="8831" spans="13:16">
      <c r="M8831" s="49">
        <f>IF($A$4+88&gt;$B$4,"",$A$4+88)</f>
        <v>46111</v>
      </c>
      <c r="N8831" t="str">
        <f>IF(M8831="","",'Master Barang'!A25)</f>
        <v>PRL-024</v>
      </c>
      <c r="O8831" t="str">
        <f>IF(N8831="","",'Master Barang'!B25)</f>
        <v>cikrak kecil</v>
      </c>
      <c r="P8831">
        <f>IF(OR(M8831="",N8831=""),"",SUMIFS('Barang Keluar'!$E:$E,'Barang Keluar'!$A:$A,M8831,'Barang Keluar'!$C:$C,N8831))</f>
        <v>0</v>
      </c>
    </row>
    <row r="8832" spans="13:16">
      <c r="M8832" s="49">
        <f>IF($A$4+88&gt;$B$4,"",$A$4+88)</f>
        <v>46111</v>
      </c>
      <c r="N8832" t="str">
        <f>IF(M8832="","",'Master Barang'!A26)</f>
        <v>PRL-025</v>
      </c>
      <c r="O8832" t="str">
        <f>IF(N8832="","",'Master Barang'!B26)</f>
        <v>petromax plastik kecil 12x24 100 lembar</v>
      </c>
      <c r="P8832">
        <f>IF(OR(M8832="",N8832=""),"",SUMIFS('Barang Keluar'!$E:$E,'Barang Keluar'!$A:$A,M8832,'Barang Keluar'!$C:$C,N8832))</f>
        <v>0</v>
      </c>
    </row>
    <row r="8833" spans="13:16">
      <c r="M8833" s="49">
        <f>IF($A$4+88&gt;$B$4,"",$A$4+88)</f>
        <v>46111</v>
      </c>
      <c r="N8833" t="str">
        <f>IF(M8833="","",'Master Barang'!A27)</f>
        <v>PRL-026</v>
      </c>
      <c r="O8833" t="str">
        <f>IF(N8833="","",'Master Barang'!B27)</f>
        <v>lancar kresek kecil bening </v>
      </c>
      <c r="P8833">
        <f>IF(OR(M8833="",N8833=""),"",SUMIFS('Barang Keluar'!$E:$E,'Barang Keluar'!$A:$A,M8833,'Barang Keluar'!$C:$C,N8833))</f>
        <v>0</v>
      </c>
    </row>
    <row r="8834" spans="13:16">
      <c r="M8834" s="49">
        <f>IF($A$4+88&gt;$B$4,"",$A$4+88)</f>
        <v>46111</v>
      </c>
      <c r="N8834" t="str">
        <f>IF(M8834="","",'Master Barang'!A28)</f>
        <v>PRL-027</v>
      </c>
      <c r="O8834" t="str">
        <f>IF(N8834="","",'Master Barang'!B28)</f>
        <v>kresek klin warna warni kecil</v>
      </c>
      <c r="P8834">
        <f>IF(OR(M8834="",N8834=""),"",SUMIFS('Barang Keluar'!$E:$E,'Barang Keluar'!$A:$A,M8834,'Barang Keluar'!$C:$C,N8834))</f>
        <v>0</v>
      </c>
    </row>
    <row r="8835" spans="13:16">
      <c r="M8835" s="49">
        <f>IF($A$4+88&gt;$B$4,"",$A$4+88)</f>
        <v>46111</v>
      </c>
      <c r="N8835" t="str">
        <f>IF(M8835="","",'Master Barang'!A29)</f>
        <v>PRL-028</v>
      </c>
      <c r="O8835" t="str">
        <f>IF(N8835="","",'Master Barang'!B29)</f>
        <v>ctik plastik 7x10 100 pcs</v>
      </c>
      <c r="P8835">
        <f>IF(OR(M8835="",N8835=""),"",SUMIFS('Barang Keluar'!$E:$E,'Barang Keluar'!$A:$A,M8835,'Barang Keluar'!$C:$C,N8835))</f>
        <v>0</v>
      </c>
    </row>
    <row r="8836" spans="13:16">
      <c r="M8836" s="49">
        <f>IF($A$4+88&gt;$B$4,"",$A$4+88)</f>
        <v>46111</v>
      </c>
      <c r="N8836" t="str">
        <f>IF(M8836="","",'Master Barang'!A30)</f>
        <v>PRL-029</v>
      </c>
      <c r="O8836" t="str">
        <f>IF(N8836="","",'Master Barang'!B30)</f>
        <v>ctik plastik 6x10 100 pcs</v>
      </c>
      <c r="P8836">
        <f>IF(OR(M8836="",N8836=""),"",SUMIFS('Barang Keluar'!$E:$E,'Barang Keluar'!$A:$A,M8836,'Barang Keluar'!$C:$C,N8836))</f>
        <v>0</v>
      </c>
    </row>
    <row r="8837" spans="13:16">
      <c r="M8837" s="49">
        <f>IF($A$4+88&gt;$B$4,"",$A$4+88)</f>
        <v>46111</v>
      </c>
      <c r="N8837" t="str">
        <f>IF(M8837="","",'Master Barang'!A31)</f>
        <v>PRL-030</v>
      </c>
      <c r="O8837" t="str">
        <f>IF(N8837="","",'Master Barang'!B31)</f>
        <v>klip plastik 25x16 100 pcs</v>
      </c>
      <c r="P8837">
        <f>IF(OR(M8837="",N8837=""),"",SUMIFS('Barang Keluar'!$E:$E,'Barang Keluar'!$A:$A,M8837,'Barang Keluar'!$C:$C,N8837))</f>
        <v>0</v>
      </c>
    </row>
    <row r="8838" spans="13:16">
      <c r="M8838" s="49">
        <f>IF($A$4+88&gt;$B$4,"",$A$4+88)</f>
        <v>46111</v>
      </c>
      <c r="N8838" t="str">
        <f>IF(M8838="","",'Master Barang'!A32)</f>
        <v>PRL-031</v>
      </c>
      <c r="O8838" t="str">
        <f>IF(N8838="","",'Master Barang'!B32)</f>
        <v>tempat saus 20 ml</v>
      </c>
      <c r="P8838">
        <f>IF(OR(M8838="",N8838=""),"",SUMIFS('Barang Keluar'!$E:$E,'Barang Keluar'!$A:$A,M8838,'Barang Keluar'!$C:$C,N8838))</f>
        <v>0</v>
      </c>
    </row>
    <row r="8839" spans="13:16">
      <c r="M8839" s="49">
        <f>IF($A$4+88&gt;$B$4,"",$A$4+88)</f>
        <v>46111</v>
      </c>
      <c r="N8839" t="str">
        <f>IF(M8839="","",'Master Barang'!A33)</f>
        <v>PRL-032</v>
      </c>
      <c r="O8839" t="str">
        <f>IF(N8839="","",'Master Barang'!B33)</f>
        <v>plastik packaging ag box uk sedang</v>
      </c>
      <c r="P8839">
        <f>IF(OR(M8839="",N8839=""),"",SUMIFS('Barang Keluar'!$E:$E,'Barang Keluar'!$A:$A,M8839,'Barang Keluar'!$C:$C,N8839))</f>
        <v>0</v>
      </c>
    </row>
    <row r="8840" spans="13:16">
      <c r="M8840" s="49">
        <f>IF($A$4+88&gt;$B$4,"",$A$4+88)</f>
        <v>46111</v>
      </c>
      <c r="N8840" t="str">
        <f>IF(M8840="","",'Master Barang'!A34)</f>
        <v>PRL-033</v>
      </c>
      <c r="O8840">
        <f>IF(N8840="","",'Master Barang'!B34)</f>
        <v>0</v>
      </c>
      <c r="P8840">
        <f>IF(OR(M8840="",N8840=""),"",SUMIFS('Barang Keluar'!$E:$E,'Barang Keluar'!$A:$A,M8840,'Barang Keluar'!$C:$C,N8840))</f>
        <v>0</v>
      </c>
    </row>
    <row r="8841" spans="13:16">
      <c r="M8841" s="49">
        <f>IF($A$4+88&gt;$B$4,"",$A$4+88)</f>
        <v>46111</v>
      </c>
      <c r="N8841">
        <f>IF(M8841="","",'Master Barang'!A35)</f>
        <v>0</v>
      </c>
      <c r="O8841">
        <f>IF(N8841="","",'Master Barang'!B35)</f>
        <v>0</v>
      </c>
      <c r="P8841">
        <f>IF(OR(M8841="",N8841=""),"",SUMIFS('Barang Keluar'!$E:$E,'Barang Keluar'!$A:$A,M8841,'Barang Keluar'!$C:$C,N8841))</f>
        <v>0</v>
      </c>
    </row>
    <row r="8842" spans="13:16">
      <c r="M8842" s="49">
        <f>IF($A$4+88&gt;$B$4,"",$A$4+88)</f>
        <v>46111</v>
      </c>
      <c r="N8842">
        <f>IF(M8842="","",'Master Barang'!A36)</f>
        <v>0</v>
      </c>
      <c r="O8842">
        <f>IF(N8842="","",'Master Barang'!B36)</f>
        <v>0</v>
      </c>
      <c r="P8842">
        <f>IF(OR(M8842="",N8842=""),"",SUMIFS('Barang Keluar'!$E:$E,'Barang Keluar'!$A:$A,M8842,'Barang Keluar'!$C:$C,N8842))</f>
        <v>0</v>
      </c>
    </row>
    <row r="8843" spans="13:16">
      <c r="M8843" s="49">
        <f>IF($A$4+88&gt;$B$4,"",$A$4+88)</f>
        <v>46111</v>
      </c>
      <c r="N8843">
        <f>IF(M8843="","",'Master Barang'!A37)</f>
        <v>0</v>
      </c>
      <c r="O8843">
        <f>IF(N8843="","",'Master Barang'!B37)</f>
        <v>0</v>
      </c>
      <c r="P8843">
        <f>IF(OR(M8843="",N8843=""),"",SUMIFS('Barang Keluar'!$E:$E,'Barang Keluar'!$A:$A,M8843,'Barang Keluar'!$C:$C,N8843))</f>
        <v>0</v>
      </c>
    </row>
    <row r="8844" spans="13:16">
      <c r="M8844" s="49">
        <f>IF($A$4+88&gt;$B$4,"",$A$4+88)</f>
        <v>46111</v>
      </c>
      <c r="N8844">
        <f>IF(M8844="","",'Master Barang'!A38)</f>
        <v>0</v>
      </c>
      <c r="O8844">
        <f>IF(N8844="","",'Master Barang'!B38)</f>
        <v>0</v>
      </c>
      <c r="P8844">
        <f>IF(OR(M8844="",N8844=""),"",SUMIFS('Barang Keluar'!$E:$E,'Barang Keluar'!$A:$A,M8844,'Barang Keluar'!$C:$C,N8844))</f>
        <v>0</v>
      </c>
    </row>
    <row r="8845" spans="13:16">
      <c r="M8845" s="49">
        <f>IF($A$4+88&gt;$B$4,"",$A$4+88)</f>
        <v>46111</v>
      </c>
      <c r="N8845">
        <f>IF(M8845="","",'Master Barang'!A39)</f>
        <v>0</v>
      </c>
      <c r="O8845">
        <f>IF(N8845="","",'Master Barang'!B39)</f>
        <v>0</v>
      </c>
      <c r="P8845">
        <f>IF(OR(M8845="",N8845=""),"",SUMIFS('Barang Keluar'!$E:$E,'Barang Keluar'!$A:$A,M8845,'Barang Keluar'!$C:$C,N8845))</f>
        <v>0</v>
      </c>
    </row>
    <row r="8846" spans="13:16">
      <c r="M8846" s="49">
        <f>IF($A$4+88&gt;$B$4,"",$A$4+88)</f>
        <v>46111</v>
      </c>
      <c r="N8846">
        <f>IF(M8846="","",'Master Barang'!A40)</f>
        <v>0</v>
      </c>
      <c r="O8846">
        <f>IF(N8846="","",'Master Barang'!B40)</f>
        <v>0</v>
      </c>
      <c r="P8846">
        <f>IF(OR(M8846="",N8846=""),"",SUMIFS('Barang Keluar'!$E:$E,'Barang Keluar'!$A:$A,M8846,'Barang Keluar'!$C:$C,N8846))</f>
        <v>0</v>
      </c>
    </row>
    <row r="8847" spans="13:16">
      <c r="M8847" s="49">
        <f>IF($A$4+88&gt;$B$4,"",$A$4+88)</f>
        <v>46111</v>
      </c>
      <c r="N8847">
        <f>IF(M8847="","",'Master Barang'!A41)</f>
        <v>0</v>
      </c>
      <c r="O8847">
        <f>IF(N8847="","",'Master Barang'!B41)</f>
        <v>0</v>
      </c>
      <c r="P8847">
        <f>IF(OR(M8847="",N8847=""),"",SUMIFS('Barang Keluar'!$E:$E,'Barang Keluar'!$A:$A,M8847,'Barang Keluar'!$C:$C,N8847))</f>
        <v>0</v>
      </c>
    </row>
    <row r="8848" spans="13:16">
      <c r="M8848" s="49">
        <f>IF($A$4+88&gt;$B$4,"",$A$4+88)</f>
        <v>46111</v>
      </c>
      <c r="N8848">
        <f>IF(M8848="","",'Master Barang'!A42)</f>
        <v>0</v>
      </c>
      <c r="O8848">
        <f>IF(N8848="","",'Master Barang'!B42)</f>
        <v>0</v>
      </c>
      <c r="P8848">
        <f>IF(OR(M8848="",N8848=""),"",SUMIFS('Barang Keluar'!$E:$E,'Barang Keluar'!$A:$A,M8848,'Barang Keluar'!$C:$C,N8848))</f>
        <v>0</v>
      </c>
    </row>
    <row r="8849" spans="13:16">
      <c r="M8849" s="49">
        <f>IF($A$4+88&gt;$B$4,"",$A$4+88)</f>
        <v>46111</v>
      </c>
      <c r="N8849">
        <f>IF(M8849="","",'Master Barang'!A43)</f>
        <v>0</v>
      </c>
      <c r="O8849">
        <f>IF(N8849="","",'Master Barang'!B43)</f>
        <v>0</v>
      </c>
      <c r="P8849">
        <f>IF(OR(M8849="",N8849=""),"",SUMIFS('Barang Keluar'!$E:$E,'Barang Keluar'!$A:$A,M8849,'Barang Keluar'!$C:$C,N8849))</f>
        <v>0</v>
      </c>
    </row>
    <row r="8850" spans="13:16">
      <c r="M8850" s="49">
        <f>IF($A$4+88&gt;$B$4,"",$A$4+88)</f>
        <v>46111</v>
      </c>
      <c r="N8850">
        <f>IF(M8850="","",'Master Barang'!A44)</f>
        <v>0</v>
      </c>
      <c r="O8850">
        <f>IF(N8850="","",'Master Barang'!B44)</f>
        <v>0</v>
      </c>
      <c r="P8850">
        <f>IF(OR(M8850="",N8850=""),"",SUMIFS('Barang Keluar'!$E:$E,'Barang Keluar'!$A:$A,M8850,'Barang Keluar'!$C:$C,N8850))</f>
        <v>0</v>
      </c>
    </row>
    <row r="8851" spans="13:16">
      <c r="M8851" s="49">
        <f>IF($A$4+88&gt;$B$4,"",$A$4+88)</f>
        <v>46111</v>
      </c>
      <c r="N8851">
        <f>IF(M8851="","",'Master Barang'!A45)</f>
        <v>0</v>
      </c>
      <c r="O8851">
        <f>IF(N8851="","",'Master Barang'!B45)</f>
        <v>0</v>
      </c>
      <c r="P8851">
        <f>IF(OR(M8851="",N8851=""),"",SUMIFS('Barang Keluar'!$E:$E,'Barang Keluar'!$A:$A,M8851,'Barang Keluar'!$C:$C,N8851))</f>
        <v>0</v>
      </c>
    </row>
    <row r="8852" spans="13:16">
      <c r="M8852" s="49">
        <f>IF($A$4+88&gt;$B$4,"",$A$4+88)</f>
        <v>46111</v>
      </c>
      <c r="N8852">
        <f>IF(M8852="","",'Master Barang'!A46)</f>
        <v>0</v>
      </c>
      <c r="O8852">
        <f>IF(N8852="","",'Master Barang'!B46)</f>
        <v>0</v>
      </c>
      <c r="P8852">
        <f>IF(OR(M8852="",N8852=""),"",SUMIFS('Barang Keluar'!$E:$E,'Barang Keluar'!$A:$A,M8852,'Barang Keluar'!$C:$C,N8852))</f>
        <v>0</v>
      </c>
    </row>
    <row r="8853" spans="13:16">
      <c r="M8853" s="49">
        <f>IF($A$4+88&gt;$B$4,"",$A$4+88)</f>
        <v>46111</v>
      </c>
      <c r="N8853">
        <f>IF(M8853="","",'Master Barang'!A47)</f>
        <v>0</v>
      </c>
      <c r="O8853">
        <f>IF(N8853="","",'Master Barang'!B47)</f>
        <v>0</v>
      </c>
      <c r="P8853">
        <f>IF(OR(M8853="",N8853=""),"",SUMIFS('Barang Keluar'!$E:$E,'Barang Keluar'!$A:$A,M8853,'Barang Keluar'!$C:$C,N8853))</f>
        <v>0</v>
      </c>
    </row>
    <row r="8854" spans="13:16">
      <c r="M8854" s="49">
        <f>IF($A$4+88&gt;$B$4,"",$A$4+88)</f>
        <v>46111</v>
      </c>
      <c r="N8854">
        <f>IF(M8854="","",'Master Barang'!A48)</f>
        <v>0</v>
      </c>
      <c r="O8854">
        <f>IF(N8854="","",'Master Barang'!B48)</f>
        <v>0</v>
      </c>
      <c r="P8854">
        <f>IF(OR(M8854="",N8854=""),"",SUMIFS('Barang Keluar'!$E:$E,'Barang Keluar'!$A:$A,M8854,'Barang Keluar'!$C:$C,N8854))</f>
        <v>0</v>
      </c>
    </row>
    <row r="8855" spans="13:16">
      <c r="M8855" s="49">
        <f>IF($A$4+88&gt;$B$4,"",$A$4+88)</f>
        <v>46111</v>
      </c>
      <c r="N8855">
        <f>IF(M8855="","",'Master Barang'!A49)</f>
        <v>0</v>
      </c>
      <c r="O8855">
        <f>IF(N8855="","",'Master Barang'!B49)</f>
        <v>0</v>
      </c>
      <c r="P8855">
        <f>IF(OR(M8855="",N8855=""),"",SUMIFS('Barang Keluar'!$E:$E,'Barang Keluar'!$A:$A,M8855,'Barang Keluar'!$C:$C,N8855))</f>
        <v>0</v>
      </c>
    </row>
    <row r="8856" spans="13:16">
      <c r="M8856" s="49">
        <f>IF($A$4+88&gt;$B$4,"",$A$4+88)</f>
        <v>46111</v>
      </c>
      <c r="N8856">
        <f>IF(M8856="","",'Master Barang'!A50)</f>
        <v>0</v>
      </c>
      <c r="O8856">
        <f>IF(N8856="","",'Master Barang'!B50)</f>
        <v>0</v>
      </c>
      <c r="P8856">
        <f>IF(OR(M8856="",N8856=""),"",SUMIFS('Barang Keluar'!$E:$E,'Barang Keluar'!$A:$A,M8856,'Barang Keluar'!$C:$C,N8856))</f>
        <v>0</v>
      </c>
    </row>
    <row r="8857" spans="13:16">
      <c r="M8857" s="49">
        <f>IF($A$4+88&gt;$B$4,"",$A$4+88)</f>
        <v>46111</v>
      </c>
      <c r="N8857">
        <f>IF(M8857="","",'Master Barang'!A51)</f>
        <v>0</v>
      </c>
      <c r="O8857">
        <f>IF(N8857="","",'Master Barang'!B51)</f>
        <v>0</v>
      </c>
      <c r="P8857">
        <f>IF(OR(M8857="",N8857=""),"",SUMIFS('Barang Keluar'!$E:$E,'Barang Keluar'!$A:$A,M8857,'Barang Keluar'!$C:$C,N8857))</f>
        <v>0</v>
      </c>
    </row>
    <row r="8858" spans="13:16">
      <c r="M8858" s="49">
        <f>IF($A$4+88&gt;$B$4,"",$A$4+88)</f>
        <v>46111</v>
      </c>
      <c r="N8858">
        <f>IF(M8858="","",'Master Barang'!A52)</f>
        <v>0</v>
      </c>
      <c r="O8858">
        <f>IF(N8858="","",'Master Barang'!B52)</f>
        <v>0</v>
      </c>
      <c r="P8858">
        <f>IF(OR(M8858="",N8858=""),"",SUMIFS('Barang Keluar'!$E:$E,'Barang Keluar'!$A:$A,M8858,'Barang Keluar'!$C:$C,N8858))</f>
        <v>0</v>
      </c>
    </row>
    <row r="8859" spans="13:16">
      <c r="M8859" s="49">
        <f>IF($A$4+88&gt;$B$4,"",$A$4+88)</f>
        <v>46111</v>
      </c>
      <c r="N8859">
        <f>IF(M8859="","",'Master Barang'!A53)</f>
        <v>0</v>
      </c>
      <c r="O8859">
        <f>IF(N8859="","",'Master Barang'!B53)</f>
        <v>0</v>
      </c>
      <c r="P8859">
        <f>IF(OR(M8859="",N8859=""),"",SUMIFS('Barang Keluar'!$E:$E,'Barang Keluar'!$A:$A,M8859,'Barang Keluar'!$C:$C,N8859))</f>
        <v>0</v>
      </c>
    </row>
    <row r="8860" spans="13:16">
      <c r="M8860" s="49">
        <f>IF($A$4+88&gt;$B$4,"",$A$4+88)</f>
        <v>46111</v>
      </c>
      <c r="N8860">
        <f>IF(M8860="","",'Master Barang'!A54)</f>
        <v>0</v>
      </c>
      <c r="O8860">
        <f>IF(N8860="","",'Master Barang'!B54)</f>
        <v>0</v>
      </c>
      <c r="P8860">
        <f>IF(OR(M8860="",N8860=""),"",SUMIFS('Barang Keluar'!$E:$E,'Barang Keluar'!$A:$A,M8860,'Barang Keluar'!$C:$C,N8860))</f>
        <v>0</v>
      </c>
    </row>
    <row r="8861" spans="13:16">
      <c r="M8861" s="49">
        <f>IF($A$4+88&gt;$B$4,"",$A$4+88)</f>
        <v>46111</v>
      </c>
      <c r="N8861">
        <f>IF(M8861="","",'Master Barang'!A55)</f>
        <v>0</v>
      </c>
      <c r="O8861">
        <f>IF(N8861="","",'Master Barang'!B55)</f>
        <v>0</v>
      </c>
      <c r="P8861">
        <f>IF(OR(M8861="",N8861=""),"",SUMIFS('Barang Keluar'!$E:$E,'Barang Keluar'!$A:$A,M8861,'Barang Keluar'!$C:$C,N8861))</f>
        <v>0</v>
      </c>
    </row>
    <row r="8862" spans="13:16">
      <c r="M8862" s="49">
        <f>IF($A$4+88&gt;$B$4,"",$A$4+88)</f>
        <v>46111</v>
      </c>
      <c r="N8862">
        <f>IF(M8862="","",'Master Barang'!A56)</f>
        <v>0</v>
      </c>
      <c r="O8862">
        <f>IF(N8862="","",'Master Barang'!B56)</f>
        <v>0</v>
      </c>
      <c r="P8862">
        <f>IF(OR(M8862="",N8862=""),"",SUMIFS('Barang Keluar'!$E:$E,'Barang Keluar'!$A:$A,M8862,'Barang Keluar'!$C:$C,N8862))</f>
        <v>0</v>
      </c>
    </row>
    <row r="8863" spans="13:16">
      <c r="M8863" s="49">
        <f>IF($A$4+88&gt;$B$4,"",$A$4+88)</f>
        <v>46111</v>
      </c>
      <c r="N8863">
        <f>IF(M8863="","",'Master Barang'!A57)</f>
        <v>0</v>
      </c>
      <c r="O8863">
        <f>IF(N8863="","",'Master Barang'!B57)</f>
        <v>0</v>
      </c>
      <c r="P8863">
        <f>IF(OR(M8863="",N8863=""),"",SUMIFS('Barang Keluar'!$E:$E,'Barang Keluar'!$A:$A,M8863,'Barang Keluar'!$C:$C,N8863))</f>
        <v>0</v>
      </c>
    </row>
    <row r="8864" spans="13:16">
      <c r="M8864" s="49">
        <f>IF($A$4+88&gt;$B$4,"",$A$4+88)</f>
        <v>46111</v>
      </c>
      <c r="N8864">
        <f>IF(M8864="","",'Master Barang'!A58)</f>
        <v>0</v>
      </c>
      <c r="O8864">
        <f>IF(N8864="","",'Master Barang'!B58)</f>
        <v>0</v>
      </c>
      <c r="P8864">
        <f>IF(OR(M8864="",N8864=""),"",SUMIFS('Barang Keluar'!$E:$E,'Barang Keluar'!$A:$A,M8864,'Barang Keluar'!$C:$C,N8864))</f>
        <v>0</v>
      </c>
    </row>
    <row r="8865" spans="13:16">
      <c r="M8865" s="49">
        <f>IF($A$4+88&gt;$B$4,"",$A$4+88)</f>
        <v>46111</v>
      </c>
      <c r="N8865">
        <f>IF(M8865="","",'Master Barang'!A59)</f>
        <v>0</v>
      </c>
      <c r="O8865">
        <f>IF(N8865="","",'Master Barang'!B59)</f>
        <v>0</v>
      </c>
      <c r="P8865">
        <f>IF(OR(M8865="",N8865=""),"",SUMIFS('Barang Keluar'!$E:$E,'Barang Keluar'!$A:$A,M8865,'Barang Keluar'!$C:$C,N8865))</f>
        <v>0</v>
      </c>
    </row>
    <row r="8866" spans="13:16">
      <c r="M8866" s="49">
        <f>IF($A$4+88&gt;$B$4,"",$A$4+88)</f>
        <v>46111</v>
      </c>
      <c r="N8866">
        <f>IF(M8866="","",'Master Barang'!A60)</f>
        <v>0</v>
      </c>
      <c r="O8866">
        <f>IF(N8866="","",'Master Barang'!B60)</f>
        <v>0</v>
      </c>
      <c r="P8866">
        <f>IF(OR(M8866="",N8866=""),"",SUMIFS('Barang Keluar'!$E:$E,'Barang Keluar'!$A:$A,M8866,'Barang Keluar'!$C:$C,N8866))</f>
        <v>0</v>
      </c>
    </row>
    <row r="8867" spans="13:16">
      <c r="M8867" s="49">
        <f>IF($A$4+88&gt;$B$4,"",$A$4+88)</f>
        <v>46111</v>
      </c>
      <c r="N8867">
        <f>IF(M8867="","",'Master Barang'!A61)</f>
        <v>0</v>
      </c>
      <c r="O8867">
        <f>IF(N8867="","",'Master Barang'!B61)</f>
        <v>0</v>
      </c>
      <c r="P8867">
        <f>IF(OR(M8867="",N8867=""),"",SUMIFS('Barang Keluar'!$E:$E,'Barang Keluar'!$A:$A,M8867,'Barang Keluar'!$C:$C,N8867))</f>
        <v>0</v>
      </c>
    </row>
    <row r="8868" spans="13:16">
      <c r="M8868" s="49">
        <f>IF($A$4+88&gt;$B$4,"",$A$4+88)</f>
        <v>46111</v>
      </c>
      <c r="N8868">
        <f>IF(M8868="","",'Master Barang'!A62)</f>
        <v>0</v>
      </c>
      <c r="O8868">
        <f>IF(N8868="","",'Master Barang'!B62)</f>
        <v>0</v>
      </c>
      <c r="P8868">
        <f>IF(OR(M8868="",N8868=""),"",SUMIFS('Barang Keluar'!$E:$E,'Barang Keluar'!$A:$A,M8868,'Barang Keluar'!$C:$C,N8868))</f>
        <v>0</v>
      </c>
    </row>
    <row r="8869" spans="13:16">
      <c r="M8869" s="49">
        <f>IF($A$4+88&gt;$B$4,"",$A$4+88)</f>
        <v>46111</v>
      </c>
      <c r="N8869">
        <f>IF(M8869="","",'Master Barang'!A63)</f>
        <v>0</v>
      </c>
      <c r="O8869">
        <f>IF(N8869="","",'Master Barang'!B63)</f>
        <v>0</v>
      </c>
      <c r="P8869">
        <f>IF(OR(M8869="",N8869=""),"",SUMIFS('Barang Keluar'!$E:$E,'Barang Keluar'!$A:$A,M8869,'Barang Keluar'!$C:$C,N8869))</f>
        <v>0</v>
      </c>
    </row>
    <row r="8870" spans="13:16">
      <c r="M8870" s="49">
        <f>IF($A$4+88&gt;$B$4,"",$A$4+88)</f>
        <v>46111</v>
      </c>
      <c r="N8870">
        <f>IF(M8870="","",'Master Barang'!A64)</f>
        <v>0</v>
      </c>
      <c r="O8870">
        <f>IF(N8870="","",'Master Barang'!B64)</f>
        <v>0</v>
      </c>
      <c r="P8870">
        <f>IF(OR(M8870="",N8870=""),"",SUMIFS('Barang Keluar'!$E:$E,'Barang Keluar'!$A:$A,M8870,'Barang Keluar'!$C:$C,N8870))</f>
        <v>0</v>
      </c>
    </row>
    <row r="8871" spans="13:16">
      <c r="M8871" s="49">
        <f>IF($A$4+88&gt;$B$4,"",$A$4+88)</f>
        <v>46111</v>
      </c>
      <c r="N8871">
        <f>IF(M8871="","",'Master Barang'!A65)</f>
        <v>0</v>
      </c>
      <c r="O8871">
        <f>IF(N8871="","",'Master Barang'!B65)</f>
        <v>0</v>
      </c>
      <c r="P8871">
        <f>IF(OR(M8871="",N8871=""),"",SUMIFS('Barang Keluar'!$E:$E,'Barang Keluar'!$A:$A,M8871,'Barang Keluar'!$C:$C,N8871))</f>
        <v>0</v>
      </c>
    </row>
    <row r="8872" spans="13:16">
      <c r="M8872" s="49">
        <f>IF($A$4+88&gt;$B$4,"",$A$4+88)</f>
        <v>46111</v>
      </c>
      <c r="N8872">
        <f>IF(M8872="","",'Master Barang'!A66)</f>
        <v>0</v>
      </c>
      <c r="O8872">
        <f>IF(N8872="","",'Master Barang'!B66)</f>
        <v>0</v>
      </c>
      <c r="P8872">
        <f>IF(OR(M8872="",N8872=""),"",SUMIFS('Barang Keluar'!$E:$E,'Barang Keluar'!$A:$A,M8872,'Barang Keluar'!$C:$C,N8872))</f>
        <v>0</v>
      </c>
    </row>
    <row r="8873" spans="13:16">
      <c r="M8873" s="49">
        <f>IF($A$4+88&gt;$B$4,"",$A$4+88)</f>
        <v>46111</v>
      </c>
      <c r="N8873">
        <f>IF(M8873="","",'Master Barang'!A67)</f>
        <v>0</v>
      </c>
      <c r="O8873">
        <f>IF(N8873="","",'Master Barang'!B67)</f>
        <v>0</v>
      </c>
      <c r="P8873">
        <f>IF(OR(M8873="",N8873=""),"",SUMIFS('Barang Keluar'!$E:$E,'Barang Keluar'!$A:$A,M8873,'Barang Keluar'!$C:$C,N8873))</f>
        <v>0</v>
      </c>
    </row>
    <row r="8874" spans="13:16">
      <c r="M8874" s="49">
        <f>IF($A$4+88&gt;$B$4,"",$A$4+88)</f>
        <v>46111</v>
      </c>
      <c r="N8874">
        <f>IF(M8874="","",'Master Barang'!A68)</f>
        <v>0</v>
      </c>
      <c r="O8874">
        <f>IF(N8874="","",'Master Barang'!B68)</f>
        <v>0</v>
      </c>
      <c r="P8874">
        <f>IF(OR(M8874="",N8874=""),"",SUMIFS('Barang Keluar'!$E:$E,'Barang Keluar'!$A:$A,M8874,'Barang Keluar'!$C:$C,N8874))</f>
        <v>0</v>
      </c>
    </row>
    <row r="8875" spans="13:16">
      <c r="M8875" s="49">
        <f>IF($A$4+88&gt;$B$4,"",$A$4+88)</f>
        <v>46111</v>
      </c>
      <c r="N8875">
        <f>IF(M8875="","",'Master Barang'!A69)</f>
        <v>0</v>
      </c>
      <c r="O8875">
        <f>IF(N8875="","",'Master Barang'!B69)</f>
        <v>0</v>
      </c>
      <c r="P8875">
        <f>IF(OR(M8875="",N8875=""),"",SUMIFS('Barang Keluar'!$E:$E,'Barang Keluar'!$A:$A,M8875,'Barang Keluar'!$C:$C,N8875))</f>
        <v>0</v>
      </c>
    </row>
    <row r="8876" spans="13:16">
      <c r="M8876" s="49">
        <f>IF($A$4+88&gt;$B$4,"",$A$4+88)</f>
        <v>46111</v>
      </c>
      <c r="N8876">
        <f>IF(M8876="","",'Master Barang'!A70)</f>
        <v>0</v>
      </c>
      <c r="O8876">
        <f>IF(N8876="","",'Master Barang'!B70)</f>
        <v>0</v>
      </c>
      <c r="P8876">
        <f>IF(OR(M8876="",N8876=""),"",SUMIFS('Barang Keluar'!$E:$E,'Barang Keluar'!$A:$A,M8876,'Barang Keluar'!$C:$C,N8876))</f>
        <v>0</v>
      </c>
    </row>
    <row r="8877" spans="13:16">
      <c r="M8877" s="49">
        <f>IF($A$4+88&gt;$B$4,"",$A$4+88)</f>
        <v>46111</v>
      </c>
      <c r="N8877">
        <f>IF(M8877="","",'Master Barang'!A71)</f>
        <v>0</v>
      </c>
      <c r="O8877">
        <f>IF(N8877="","",'Master Barang'!B71)</f>
        <v>0</v>
      </c>
      <c r="P8877">
        <f>IF(OR(M8877="",N8877=""),"",SUMIFS('Barang Keluar'!$E:$E,'Barang Keluar'!$A:$A,M8877,'Barang Keluar'!$C:$C,N8877))</f>
        <v>0</v>
      </c>
    </row>
    <row r="8878" spans="13:16">
      <c r="M8878" s="49">
        <f>IF($A$4+88&gt;$B$4,"",$A$4+88)</f>
        <v>46111</v>
      </c>
      <c r="N8878">
        <f>IF(M8878="","",'Master Barang'!A72)</f>
        <v>0</v>
      </c>
      <c r="O8878">
        <f>IF(N8878="","",'Master Barang'!B72)</f>
        <v>0</v>
      </c>
      <c r="P8878">
        <f>IF(OR(M8878="",N8878=""),"",SUMIFS('Barang Keluar'!$E:$E,'Barang Keluar'!$A:$A,M8878,'Barang Keluar'!$C:$C,N8878))</f>
        <v>0</v>
      </c>
    </row>
    <row r="8879" spans="13:16">
      <c r="M8879" s="49">
        <f>IF($A$4+88&gt;$B$4,"",$A$4+88)</f>
        <v>46111</v>
      </c>
      <c r="N8879">
        <f>IF(M8879="","",'Master Barang'!A73)</f>
        <v>0</v>
      </c>
      <c r="O8879">
        <f>IF(N8879="","",'Master Barang'!B73)</f>
        <v>0</v>
      </c>
      <c r="P8879">
        <f>IF(OR(M8879="",N8879=""),"",SUMIFS('Barang Keluar'!$E:$E,'Barang Keluar'!$A:$A,M8879,'Barang Keluar'!$C:$C,N8879))</f>
        <v>0</v>
      </c>
    </row>
    <row r="8880" spans="13:16">
      <c r="M8880" s="49">
        <f>IF($A$4+88&gt;$B$4,"",$A$4+88)</f>
        <v>46111</v>
      </c>
      <c r="N8880">
        <f>IF(M8880="","",'Master Barang'!A74)</f>
        <v>0</v>
      </c>
      <c r="O8880">
        <f>IF(N8880="","",'Master Barang'!B74)</f>
        <v>0</v>
      </c>
      <c r="P8880">
        <f>IF(OR(M8880="",N8880=""),"",SUMIFS('Barang Keluar'!$E:$E,'Barang Keluar'!$A:$A,M8880,'Barang Keluar'!$C:$C,N8880))</f>
        <v>0</v>
      </c>
    </row>
    <row r="8881" spans="13:16">
      <c r="M8881" s="49">
        <f>IF($A$4+88&gt;$B$4,"",$A$4+88)</f>
        <v>46111</v>
      </c>
      <c r="N8881">
        <f>IF(M8881="","",'Master Barang'!A75)</f>
        <v>0</v>
      </c>
      <c r="O8881">
        <f>IF(N8881="","",'Master Barang'!B75)</f>
        <v>0</v>
      </c>
      <c r="P8881">
        <f>IF(OR(M8881="",N8881=""),"",SUMIFS('Barang Keluar'!$E:$E,'Barang Keluar'!$A:$A,M8881,'Barang Keluar'!$C:$C,N8881))</f>
        <v>0</v>
      </c>
    </row>
    <row r="8882" spans="13:16">
      <c r="M8882" s="49">
        <f>IF($A$4+88&gt;$B$4,"",$A$4+88)</f>
        <v>46111</v>
      </c>
      <c r="N8882">
        <f>IF(M8882="","",'Master Barang'!A76)</f>
        <v>0</v>
      </c>
      <c r="O8882">
        <f>IF(N8882="","",'Master Barang'!B76)</f>
        <v>0</v>
      </c>
      <c r="P8882">
        <f>IF(OR(M8882="",N8882=""),"",SUMIFS('Barang Keluar'!$E:$E,'Barang Keluar'!$A:$A,M8882,'Barang Keluar'!$C:$C,N8882))</f>
        <v>0</v>
      </c>
    </row>
    <row r="8883" spans="13:16">
      <c r="M8883" s="49">
        <f>IF($A$4+88&gt;$B$4,"",$A$4+88)</f>
        <v>46111</v>
      </c>
      <c r="N8883">
        <f>IF(M8883="","",'Master Barang'!A77)</f>
        <v>0</v>
      </c>
      <c r="O8883">
        <f>IF(N8883="","",'Master Barang'!B77)</f>
        <v>0</v>
      </c>
      <c r="P8883">
        <f>IF(OR(M8883="",N8883=""),"",SUMIFS('Barang Keluar'!$E:$E,'Barang Keluar'!$A:$A,M8883,'Barang Keluar'!$C:$C,N8883))</f>
        <v>0</v>
      </c>
    </row>
    <row r="8884" spans="13:16">
      <c r="M8884" s="49">
        <f>IF($A$4+88&gt;$B$4,"",$A$4+88)</f>
        <v>46111</v>
      </c>
      <c r="N8884">
        <f>IF(M8884="","",'Master Barang'!A78)</f>
        <v>0</v>
      </c>
      <c r="O8884">
        <f>IF(N8884="","",'Master Barang'!B78)</f>
        <v>0</v>
      </c>
      <c r="P8884">
        <f>IF(OR(M8884="",N8884=""),"",SUMIFS('Barang Keluar'!$E:$E,'Barang Keluar'!$A:$A,M8884,'Barang Keluar'!$C:$C,N8884))</f>
        <v>0</v>
      </c>
    </row>
    <row r="8885" spans="13:16">
      <c r="M8885" s="49">
        <f>IF($A$4+88&gt;$B$4,"",$A$4+88)</f>
        <v>46111</v>
      </c>
      <c r="N8885">
        <f>IF(M8885="","",'Master Barang'!A79)</f>
        <v>0</v>
      </c>
      <c r="O8885">
        <f>IF(N8885="","",'Master Barang'!B79)</f>
        <v>0</v>
      </c>
      <c r="P8885">
        <f>IF(OR(M8885="",N8885=""),"",SUMIFS('Barang Keluar'!$E:$E,'Barang Keluar'!$A:$A,M8885,'Barang Keluar'!$C:$C,N8885))</f>
        <v>0</v>
      </c>
    </row>
    <row r="8886" spans="13:16">
      <c r="M8886" s="49">
        <f>IF($A$4+88&gt;$B$4,"",$A$4+88)</f>
        <v>46111</v>
      </c>
      <c r="N8886">
        <f>IF(M8886="","",'Master Barang'!A80)</f>
        <v>0</v>
      </c>
      <c r="O8886">
        <f>IF(N8886="","",'Master Barang'!B80)</f>
        <v>0</v>
      </c>
      <c r="P8886">
        <f>IF(OR(M8886="",N8886=""),"",SUMIFS('Barang Keluar'!$E:$E,'Barang Keluar'!$A:$A,M8886,'Barang Keluar'!$C:$C,N8886))</f>
        <v>0</v>
      </c>
    </row>
    <row r="8887" spans="13:16">
      <c r="M8887" s="49">
        <f>IF($A$4+88&gt;$B$4,"",$A$4+88)</f>
        <v>46111</v>
      </c>
      <c r="N8887">
        <f>IF(M8887="","",'Master Barang'!A81)</f>
        <v>0</v>
      </c>
      <c r="O8887">
        <f>IF(N8887="","",'Master Barang'!B81)</f>
        <v>0</v>
      </c>
      <c r="P8887">
        <f>IF(OR(M8887="",N8887=""),"",SUMIFS('Barang Keluar'!$E:$E,'Barang Keluar'!$A:$A,M8887,'Barang Keluar'!$C:$C,N8887))</f>
        <v>0</v>
      </c>
    </row>
    <row r="8888" spans="13:16">
      <c r="M8888" s="49">
        <f>IF($A$4+88&gt;$B$4,"",$A$4+88)</f>
        <v>46111</v>
      </c>
      <c r="N8888">
        <f>IF(M8888="","",'Master Barang'!A82)</f>
        <v>0</v>
      </c>
      <c r="O8888">
        <f>IF(N8888="","",'Master Barang'!B82)</f>
        <v>0</v>
      </c>
      <c r="P8888">
        <f>IF(OR(M8888="",N8888=""),"",SUMIFS('Barang Keluar'!$E:$E,'Barang Keluar'!$A:$A,M8888,'Barang Keluar'!$C:$C,N8888))</f>
        <v>0</v>
      </c>
    </row>
    <row r="8889" spans="13:16">
      <c r="M8889" s="49">
        <f>IF($A$4+88&gt;$B$4,"",$A$4+88)</f>
        <v>46111</v>
      </c>
      <c r="N8889">
        <f>IF(M8889="","",'Master Barang'!A83)</f>
        <v>0</v>
      </c>
      <c r="O8889">
        <f>IF(N8889="","",'Master Barang'!B83)</f>
        <v>0</v>
      </c>
      <c r="P8889">
        <f>IF(OR(M8889="",N8889=""),"",SUMIFS('Barang Keluar'!$E:$E,'Barang Keluar'!$A:$A,M8889,'Barang Keluar'!$C:$C,N8889))</f>
        <v>0</v>
      </c>
    </row>
    <row r="8890" spans="13:16">
      <c r="M8890" s="49">
        <f>IF($A$4+88&gt;$B$4,"",$A$4+88)</f>
        <v>46111</v>
      </c>
      <c r="N8890">
        <f>IF(M8890="","",'Master Barang'!A84)</f>
        <v>0</v>
      </c>
      <c r="O8890">
        <f>IF(N8890="","",'Master Barang'!B84)</f>
        <v>0</v>
      </c>
      <c r="P8890">
        <f>IF(OR(M8890="",N8890=""),"",SUMIFS('Barang Keluar'!$E:$E,'Barang Keluar'!$A:$A,M8890,'Barang Keluar'!$C:$C,N8890))</f>
        <v>0</v>
      </c>
    </row>
    <row r="8891" spans="13:16">
      <c r="M8891" s="49">
        <f>IF($A$4+88&gt;$B$4,"",$A$4+88)</f>
        <v>46111</v>
      </c>
      <c r="N8891">
        <f>IF(M8891="","",'Master Barang'!A85)</f>
        <v>0</v>
      </c>
      <c r="O8891">
        <f>IF(N8891="","",'Master Barang'!B85)</f>
        <v>0</v>
      </c>
      <c r="P8891">
        <f>IF(OR(M8891="",N8891=""),"",SUMIFS('Barang Keluar'!$E:$E,'Barang Keluar'!$A:$A,M8891,'Barang Keluar'!$C:$C,N8891))</f>
        <v>0</v>
      </c>
    </row>
    <row r="8892" spans="13:16">
      <c r="M8892" s="49">
        <f>IF($A$4+88&gt;$B$4,"",$A$4+88)</f>
        <v>46111</v>
      </c>
      <c r="N8892">
        <f>IF(M8892="","",'Master Barang'!A86)</f>
        <v>0</v>
      </c>
      <c r="O8892">
        <f>IF(N8892="","",'Master Barang'!B86)</f>
        <v>0</v>
      </c>
      <c r="P8892">
        <f>IF(OR(M8892="",N8892=""),"",SUMIFS('Barang Keluar'!$E:$E,'Barang Keluar'!$A:$A,M8892,'Barang Keluar'!$C:$C,N8892))</f>
        <v>0</v>
      </c>
    </row>
    <row r="8893" spans="13:16">
      <c r="M8893" s="49">
        <f>IF($A$4+88&gt;$B$4,"",$A$4+88)</f>
        <v>46111</v>
      </c>
      <c r="N8893">
        <f>IF(M8893="","",'Master Barang'!A87)</f>
        <v>0</v>
      </c>
      <c r="O8893">
        <f>IF(N8893="","",'Master Barang'!B87)</f>
        <v>0</v>
      </c>
      <c r="P8893">
        <f>IF(OR(M8893="",N8893=""),"",SUMIFS('Barang Keluar'!$E:$E,'Barang Keluar'!$A:$A,M8893,'Barang Keluar'!$C:$C,N8893))</f>
        <v>0</v>
      </c>
    </row>
    <row r="8894" spans="13:16">
      <c r="M8894" s="49">
        <f>IF($A$4+88&gt;$B$4,"",$A$4+88)</f>
        <v>46111</v>
      </c>
      <c r="N8894">
        <f>IF(M8894="","",'Master Barang'!A88)</f>
        <v>0</v>
      </c>
      <c r="O8894">
        <f>IF(N8894="","",'Master Barang'!B88)</f>
        <v>0</v>
      </c>
      <c r="P8894">
        <f>IF(OR(M8894="",N8894=""),"",SUMIFS('Barang Keluar'!$E:$E,'Barang Keluar'!$A:$A,M8894,'Barang Keluar'!$C:$C,N8894))</f>
        <v>0</v>
      </c>
    </row>
    <row r="8895" spans="13:16">
      <c r="M8895" s="49">
        <f>IF($A$4+88&gt;$B$4,"",$A$4+88)</f>
        <v>46111</v>
      </c>
      <c r="N8895">
        <f>IF(M8895="","",'Master Barang'!A89)</f>
        <v>0</v>
      </c>
      <c r="O8895">
        <f>IF(N8895="","",'Master Barang'!B89)</f>
        <v>0</v>
      </c>
      <c r="P8895">
        <f>IF(OR(M8895="",N8895=""),"",SUMIFS('Barang Keluar'!$E:$E,'Barang Keluar'!$A:$A,M8895,'Barang Keluar'!$C:$C,N8895))</f>
        <v>0</v>
      </c>
    </row>
    <row r="8896" spans="13:16">
      <c r="M8896" s="49">
        <f>IF($A$4+88&gt;$B$4,"",$A$4+88)</f>
        <v>46111</v>
      </c>
      <c r="N8896">
        <f>IF(M8896="","",'Master Barang'!A90)</f>
        <v>0</v>
      </c>
      <c r="O8896">
        <f>IF(N8896="","",'Master Barang'!B90)</f>
        <v>0</v>
      </c>
      <c r="P8896">
        <f>IF(OR(M8896="",N8896=""),"",SUMIFS('Barang Keluar'!$E:$E,'Barang Keluar'!$A:$A,M8896,'Barang Keluar'!$C:$C,N8896))</f>
        <v>0</v>
      </c>
    </row>
    <row r="8897" spans="13:16">
      <c r="M8897" s="49">
        <f>IF($A$4+88&gt;$B$4,"",$A$4+88)</f>
        <v>46111</v>
      </c>
      <c r="N8897">
        <f>IF(M8897="","",'Master Barang'!A91)</f>
        <v>0</v>
      </c>
      <c r="O8897">
        <f>IF(N8897="","",'Master Barang'!B91)</f>
        <v>0</v>
      </c>
      <c r="P8897">
        <f>IF(OR(M8897="",N8897=""),"",SUMIFS('Barang Keluar'!$E:$E,'Barang Keluar'!$A:$A,M8897,'Barang Keluar'!$C:$C,N8897))</f>
        <v>0</v>
      </c>
    </row>
    <row r="8898" spans="13:16">
      <c r="M8898" s="49">
        <f>IF($A$4+88&gt;$B$4,"",$A$4+88)</f>
        <v>46111</v>
      </c>
      <c r="N8898">
        <f>IF(M8898="","",'Master Barang'!A92)</f>
        <v>0</v>
      </c>
      <c r="O8898">
        <f>IF(N8898="","",'Master Barang'!B92)</f>
        <v>0</v>
      </c>
      <c r="P8898">
        <f>IF(OR(M8898="",N8898=""),"",SUMIFS('Barang Keluar'!$E:$E,'Barang Keluar'!$A:$A,M8898,'Barang Keluar'!$C:$C,N8898))</f>
        <v>0</v>
      </c>
    </row>
    <row r="8899" spans="13:16">
      <c r="M8899" s="49">
        <f>IF($A$4+88&gt;$B$4,"",$A$4+88)</f>
        <v>46111</v>
      </c>
      <c r="N8899">
        <f>IF(M8899="","",'Master Barang'!A93)</f>
        <v>0</v>
      </c>
      <c r="O8899">
        <f>IF(N8899="","",'Master Barang'!B93)</f>
        <v>0</v>
      </c>
      <c r="P8899">
        <f>IF(OR(M8899="",N8899=""),"",SUMIFS('Barang Keluar'!$E:$E,'Barang Keluar'!$A:$A,M8899,'Barang Keluar'!$C:$C,N8899))</f>
        <v>0</v>
      </c>
    </row>
    <row r="8900" spans="13:16">
      <c r="M8900" s="49">
        <f>IF($A$4+88&gt;$B$4,"",$A$4+88)</f>
        <v>46111</v>
      </c>
      <c r="N8900">
        <f>IF(M8900="","",'Master Barang'!A94)</f>
        <v>0</v>
      </c>
      <c r="O8900">
        <f>IF(N8900="","",'Master Barang'!B94)</f>
        <v>0</v>
      </c>
      <c r="P8900">
        <f>IF(OR(M8900="",N8900=""),"",SUMIFS('Barang Keluar'!$E:$E,'Barang Keluar'!$A:$A,M8900,'Barang Keluar'!$C:$C,N8900))</f>
        <v>0</v>
      </c>
    </row>
    <row r="8901" spans="13:16">
      <c r="M8901" s="49">
        <f>IF($A$4+88&gt;$B$4,"",$A$4+88)</f>
        <v>46111</v>
      </c>
      <c r="N8901">
        <f>IF(M8901="","",'Master Barang'!A95)</f>
        <v>0</v>
      </c>
      <c r="O8901">
        <f>IF(N8901="","",'Master Barang'!B95)</f>
        <v>0</v>
      </c>
      <c r="P8901">
        <f>IF(OR(M8901="",N8901=""),"",SUMIFS('Barang Keluar'!$E:$E,'Barang Keluar'!$A:$A,M8901,'Barang Keluar'!$C:$C,N8901))</f>
        <v>0</v>
      </c>
    </row>
    <row r="8902" spans="13:16">
      <c r="M8902" s="49">
        <f>IF($A$4+88&gt;$B$4,"",$A$4+88)</f>
        <v>46111</v>
      </c>
      <c r="N8902">
        <f>IF(M8902="","",'Master Barang'!A96)</f>
        <v>0</v>
      </c>
      <c r="O8902">
        <f>IF(N8902="","",'Master Barang'!B96)</f>
        <v>0</v>
      </c>
      <c r="P8902">
        <f>IF(OR(M8902="",N8902=""),"",SUMIFS('Barang Keluar'!$E:$E,'Barang Keluar'!$A:$A,M8902,'Barang Keluar'!$C:$C,N8902))</f>
        <v>0</v>
      </c>
    </row>
    <row r="8903" spans="13:16">
      <c r="M8903" s="49">
        <f>IF($A$4+88&gt;$B$4,"",$A$4+88)</f>
        <v>46111</v>
      </c>
      <c r="N8903">
        <f>IF(M8903="","",'Master Barang'!A97)</f>
        <v>0</v>
      </c>
      <c r="O8903">
        <f>IF(N8903="","",'Master Barang'!B97)</f>
        <v>0</v>
      </c>
      <c r="P8903">
        <f>IF(OR(M8903="",N8903=""),"",SUMIFS('Barang Keluar'!$E:$E,'Barang Keluar'!$A:$A,M8903,'Barang Keluar'!$C:$C,N8903))</f>
        <v>0</v>
      </c>
    </row>
    <row r="8904" spans="13:16">
      <c r="M8904" s="49">
        <f>IF($A$4+88&gt;$B$4,"",$A$4+88)</f>
        <v>46111</v>
      </c>
      <c r="N8904">
        <f>IF(M8904="","",'Master Barang'!A98)</f>
        <v>0</v>
      </c>
      <c r="O8904">
        <f>IF(N8904="","",'Master Barang'!B98)</f>
        <v>0</v>
      </c>
      <c r="P8904">
        <f>IF(OR(M8904="",N8904=""),"",SUMIFS('Barang Keluar'!$E:$E,'Barang Keluar'!$A:$A,M8904,'Barang Keluar'!$C:$C,N8904))</f>
        <v>0</v>
      </c>
    </row>
    <row r="8905" spans="13:16">
      <c r="M8905" s="49">
        <f>IF($A$4+88&gt;$B$4,"",$A$4+88)</f>
        <v>46111</v>
      </c>
      <c r="N8905">
        <f>IF(M8905="","",'Master Barang'!A99)</f>
        <v>0</v>
      </c>
      <c r="O8905">
        <f>IF(N8905="","",'Master Barang'!B99)</f>
        <v>0</v>
      </c>
      <c r="P8905">
        <f>IF(OR(M8905="",N8905=""),"",SUMIFS('Barang Keluar'!$E:$E,'Barang Keluar'!$A:$A,M8905,'Barang Keluar'!$C:$C,N8905))</f>
        <v>0</v>
      </c>
    </row>
    <row r="8906" spans="13:16">
      <c r="M8906" s="49">
        <f>IF($A$4+88&gt;$B$4,"",$A$4+88)</f>
        <v>46111</v>
      </c>
      <c r="N8906">
        <f>IF(M8906="","",'Master Barang'!A100)</f>
        <v>0</v>
      </c>
      <c r="O8906">
        <f>IF(N8906="","",'Master Barang'!B100)</f>
        <v>0</v>
      </c>
      <c r="P8906">
        <f>IF(OR(M8906="",N8906=""),"",SUMIFS('Barang Keluar'!$E:$E,'Barang Keluar'!$A:$A,M8906,'Barang Keluar'!$C:$C,N8906))</f>
        <v>0</v>
      </c>
    </row>
    <row r="8907" spans="13:16">
      <c r="M8907" s="49">
        <f>IF($A$4+88&gt;$B$4,"",$A$4+88)</f>
        <v>46111</v>
      </c>
      <c r="N8907">
        <f>IF(M8907="","",'Master Barang'!A101)</f>
        <v>0</v>
      </c>
      <c r="O8907">
        <f>IF(N8907="","",'Master Barang'!B101)</f>
        <v>0</v>
      </c>
      <c r="P8907">
        <f>IF(OR(M8907="",N8907=""),"",SUMIFS('Barang Keluar'!$E:$E,'Barang Keluar'!$A:$A,M8907,'Barang Keluar'!$C:$C,N8907))</f>
        <v>0</v>
      </c>
    </row>
    <row r="8908" spans="13:16">
      <c r="M8908" s="49">
        <f>IF($A$4+89&gt;$B$4,"",$A$4+89)</f>
        <v>46112</v>
      </c>
      <c r="N8908" t="str">
        <f>IF(M8908="","",'Master Barang'!A2)</f>
        <v>PRL-001</v>
      </c>
      <c r="O8908" t="str">
        <f>IF(N8908="","",'Master Barang'!B2)</f>
        <v>natura desinfectant food grade 5l</v>
      </c>
      <c r="P8908">
        <f>IF(OR(M8908="",N8908=""),"",SUMIFS('Barang Keluar'!$E:$E,'Barang Keluar'!$A:$A,M8908,'Barang Keluar'!$C:$C,N8908))</f>
        <v>0</v>
      </c>
    </row>
    <row r="8909" spans="13:16">
      <c r="M8909" s="49">
        <f>IF($A$4+89&gt;$B$4,"",$A$4+89)</f>
        <v>46112</v>
      </c>
      <c r="N8909" t="str">
        <f>IF(M8909="","",'Master Barang'!A3)</f>
        <v>PRL-002</v>
      </c>
      <c r="O8909" t="str">
        <f>IF(N8909="","",'Master Barang'!B3)</f>
        <v>sunlight cairan pencuci piring 5l</v>
      </c>
      <c r="P8909">
        <f>IF(OR(M8909="",N8909=""),"",SUMIFS('Barang Keluar'!$E:$E,'Barang Keluar'!$A:$A,M8909,'Barang Keluar'!$C:$C,N8909))</f>
        <v>0</v>
      </c>
    </row>
    <row r="8910" spans="13:16">
      <c r="M8910" s="49">
        <f>IF($A$4+89&gt;$B$4,"",$A$4+89)</f>
        <v>46112</v>
      </c>
      <c r="N8910" t="str">
        <f>IF(M8910="","",'Master Barang'!A4)</f>
        <v>PRL-003</v>
      </c>
      <c r="O8910" t="str">
        <f>IF(N8910="","",'Master Barang'!B4)</f>
        <v>oixs cleaner 1l</v>
      </c>
      <c r="P8910">
        <f>IF(OR(M8910="",N8910=""),"",SUMIFS('Barang Keluar'!$E:$E,'Barang Keluar'!$A:$A,M8910,'Barang Keluar'!$C:$C,N8910))</f>
        <v>0</v>
      </c>
    </row>
    <row r="8911" spans="13:16">
      <c r="M8911" s="49">
        <f>IF($A$4+89&gt;$B$4,"",$A$4+89)</f>
        <v>46112</v>
      </c>
      <c r="N8911" t="str">
        <f>IF(M8911="","",'Master Barang'!A5)</f>
        <v>PRL-004</v>
      </c>
      <c r="O8911" t="str">
        <f>IF(N8911="","",'Master Barang'!B5)</f>
        <v>be clean tissue serbaguna</v>
      </c>
      <c r="P8911">
        <f>IF(OR(M8911="",N8911=""),"",SUMIFS('Barang Keluar'!$E:$E,'Barang Keluar'!$A:$A,M8911,'Barang Keluar'!$C:$C,N8911))</f>
        <v>0</v>
      </c>
    </row>
    <row r="8912" spans="13:16">
      <c r="M8912" s="49">
        <f>IF($A$4+89&gt;$B$4,"",$A$4+89)</f>
        <v>46112</v>
      </c>
      <c r="N8912" t="str">
        <f>IF(M8912="","",'Master Barang'!A6)</f>
        <v>PRL-005</v>
      </c>
      <c r="O8912" t="str">
        <f>IF(N8912="","",'Master Barang'!B6)</f>
        <v>spons cuci hijau</v>
      </c>
      <c r="P8912">
        <f>IF(OR(M8912="",N8912=""),"",SUMIFS('Barang Keluar'!$E:$E,'Barang Keluar'!$A:$A,M8912,'Barang Keluar'!$C:$C,N8912))</f>
        <v>0</v>
      </c>
    </row>
    <row r="8913" spans="13:16">
      <c r="M8913" s="49">
        <f>IF($A$4+89&gt;$B$4,"",$A$4+89)</f>
        <v>46112</v>
      </c>
      <c r="N8913" t="str">
        <f>IF(M8913="","",'Master Barang'!A7)</f>
        <v>PRL-006</v>
      </c>
      <c r="O8913" t="str">
        <f>IF(N8913="","",'Master Barang'!B7)</f>
        <v>sabut cuci stainless</v>
      </c>
      <c r="P8913">
        <f>IF(OR(M8913="",N8913=""),"",SUMIFS('Barang Keluar'!$E:$E,'Barang Keluar'!$A:$A,M8913,'Barang Keluar'!$C:$C,N8913))</f>
        <v>0</v>
      </c>
    </row>
    <row r="8914" spans="13:16">
      <c r="M8914" s="49">
        <f>IF($A$4+89&gt;$B$4,"",$A$4+89)</f>
        <v>46112</v>
      </c>
      <c r="N8914" t="str">
        <f>IF(M8914="","",'Master Barang'!A8)</f>
        <v>PRL-007</v>
      </c>
      <c r="O8914" t="str">
        <f>IF(N8914="","",'Master Barang'!B8)</f>
        <v>plastik kresek besar merah 50pc</v>
      </c>
      <c r="P8914">
        <f>IF(OR(M8914="",N8914=""),"",SUMIFS('Barang Keluar'!$E:$E,'Barang Keluar'!$A:$A,M8914,'Barang Keluar'!$C:$C,N8914))</f>
        <v>0</v>
      </c>
    </row>
    <row r="8915" spans="13:16">
      <c r="M8915" s="49">
        <f>IF($A$4+89&gt;$B$4,"",$A$4+89)</f>
        <v>46112</v>
      </c>
      <c r="N8915" t="str">
        <f>IF(M8915="","",'Master Barang'!A9)</f>
        <v>PRL-008</v>
      </c>
      <c r="O8915" t="str">
        <f>IF(N8915="","",'Master Barang'!B9)</f>
        <v>lap besar</v>
      </c>
      <c r="P8915">
        <f>IF(OR(M8915="",N8915=""),"",SUMIFS('Barang Keluar'!$E:$E,'Barang Keluar'!$A:$A,M8915,'Barang Keluar'!$C:$C,N8915))</f>
        <v>0</v>
      </c>
    </row>
    <row r="8916" spans="13:16">
      <c r="M8916" s="49">
        <f>IF($A$4+89&gt;$B$4,"",$A$4+89)</f>
        <v>46112</v>
      </c>
      <c r="N8916" t="str">
        <f>IF(M8916="","",'Master Barang'!A10)</f>
        <v>PRL-009</v>
      </c>
      <c r="O8916" t="str">
        <f>IF(N8916="","",'Master Barang'!B10)</f>
        <v>lap microfiber</v>
      </c>
      <c r="P8916">
        <f>IF(OR(M8916="",N8916=""),"",SUMIFS('Barang Keluar'!$E:$E,'Barang Keluar'!$A:$A,M8916,'Barang Keluar'!$C:$C,N8916))</f>
        <v>0</v>
      </c>
    </row>
    <row r="8917" spans="13:16">
      <c r="M8917" s="49">
        <f>IF($A$4+89&gt;$B$4,"",$A$4+89)</f>
        <v>46112</v>
      </c>
      <c r="N8917" t="str">
        <f>IF(M8917="","",'Master Barang'!A11)</f>
        <v>PRL-010</v>
      </c>
      <c r="O8917" t="str">
        <f>IF(N8917="","",'Master Barang'!B11)</f>
        <v>lap kecil</v>
      </c>
      <c r="P8917">
        <f>IF(OR(M8917="",N8917=""),"",SUMIFS('Barang Keluar'!$E:$E,'Barang Keluar'!$A:$A,M8917,'Barang Keluar'!$C:$C,N8917))</f>
        <v>0</v>
      </c>
    </row>
    <row r="8918" spans="13:16">
      <c r="M8918" s="49">
        <f>IF($A$4+89&gt;$B$4,"",$A$4+89)</f>
        <v>46112</v>
      </c>
      <c r="N8918" t="str">
        <f>IF(M8918="","",'Master Barang'!A12)</f>
        <v>PRL-011</v>
      </c>
      <c r="O8918" t="str">
        <f>IF(N8918="","",'Master Barang'!B12)</f>
        <v>kanebo kecil</v>
      </c>
      <c r="P8918">
        <f>IF(OR(M8918="",N8918=""),"",SUMIFS('Barang Keluar'!$E:$E,'Barang Keluar'!$A:$A,M8918,'Barang Keluar'!$C:$C,N8918))</f>
        <v>0</v>
      </c>
    </row>
    <row r="8919" spans="13:16">
      <c r="M8919" s="49">
        <f>IF($A$4+89&gt;$B$4,"",$A$4+89)</f>
        <v>46112</v>
      </c>
      <c r="N8919" t="str">
        <f>IF(M8919="","",'Master Barang'!A13)</f>
        <v>PRL-012</v>
      </c>
      <c r="O8919" t="str">
        <f>IF(N8919="","",'Master Barang'!B13)</f>
        <v>plastik 1/4kg joyoboyo 100 lembar</v>
      </c>
      <c r="P8919">
        <f>IF(OR(M8919="",N8919=""),"",SUMIFS('Barang Keluar'!$E:$E,'Barang Keluar'!$A:$A,M8919,'Barang Keluar'!$C:$C,N8919))</f>
        <v>0</v>
      </c>
    </row>
    <row r="8920" spans="13:16">
      <c r="M8920" s="49">
        <f>IF($A$4+89&gt;$B$4,"",$A$4+89)</f>
        <v>46112</v>
      </c>
      <c r="N8920" t="str">
        <f>IF(M8920="","",'Master Barang'!A14)</f>
        <v>PRL-013</v>
      </c>
      <c r="O8920" t="str">
        <f>IF(N8920="","",'Master Barang'!B14)</f>
        <v>sarung tangan plastik kaka 100 pcs</v>
      </c>
      <c r="P8920">
        <f>IF(OR(M8920="",N8920=""),"",SUMIFS('Barang Keluar'!$E:$E,'Barang Keluar'!$A:$A,M8920,'Barang Keluar'!$C:$C,N8920))</f>
        <v>0</v>
      </c>
    </row>
    <row r="8921" spans="13:16">
      <c r="M8921" s="49">
        <f>IF($A$4+89&gt;$B$4,"",$A$4+89)</f>
        <v>46112</v>
      </c>
      <c r="N8921" t="str">
        <f>IF(M8921="","",'Master Barang'!A15)</f>
        <v>PRL-014</v>
      </c>
      <c r="O8921" t="str">
        <f>IF(N8921="","",'Master Barang'!B15)</f>
        <v>optima trashbag 80x100</v>
      </c>
      <c r="P8921">
        <f>IF(OR(M8921="",N8921=""),"",SUMIFS('Barang Keluar'!$E:$E,'Barang Keluar'!$A:$A,M8921,'Barang Keluar'!$C:$C,N8921))</f>
        <v>0</v>
      </c>
    </row>
    <row r="8922" spans="13:16">
      <c r="M8922" s="49">
        <f>IF($A$4+89&gt;$B$4,"",$A$4+89)</f>
        <v>46112</v>
      </c>
      <c r="N8922" t="str">
        <f>IF(M8922="","",'Master Barang'!A16)</f>
        <v>PRL-015</v>
      </c>
      <c r="O8922" t="str">
        <f>IF(N8922="","",'Master Barang'!B16)</f>
        <v>optima trashbag 60x100</v>
      </c>
      <c r="P8922">
        <f>IF(OR(M8922="",N8922=""),"",SUMIFS('Barang Keluar'!$E:$E,'Barang Keluar'!$A:$A,M8922,'Barang Keluar'!$C:$C,N8922))</f>
        <v>0</v>
      </c>
    </row>
    <row r="8923" spans="13:16">
      <c r="M8923" s="49">
        <f>IF($A$4+89&gt;$B$4,"",$A$4+89)</f>
        <v>46112</v>
      </c>
      <c r="N8923" t="str">
        <f>IF(M8923="","",'Master Barang'!A17)</f>
        <v>PRL-016</v>
      </c>
      <c r="O8923" t="str">
        <f>IF(N8923="","",'Master Barang'!B17)</f>
        <v>rajawali trashbag 30x40</v>
      </c>
      <c r="P8923">
        <f>IF(OR(M8923="",N8923=""),"",SUMIFS('Barang Keluar'!$E:$E,'Barang Keluar'!$A:$A,M8923,'Barang Keluar'!$C:$C,N8923))</f>
        <v>0</v>
      </c>
    </row>
    <row r="8924" spans="13:16">
      <c r="M8924" s="49">
        <f>IF($A$4+89&gt;$B$4,"",$A$4+89)</f>
        <v>46112</v>
      </c>
      <c r="N8924" t="str">
        <f>IF(M8924="","",'Master Barang'!A18)</f>
        <v>PRL-017</v>
      </c>
      <c r="O8924" t="str">
        <f>IF(N8924="","",'Master Barang'!B18)</f>
        <v>onemed masker biru 3 play 50 pcs</v>
      </c>
      <c r="P8924">
        <f>IF(OR(M8924="",N8924=""),"",SUMIFS('Barang Keluar'!$E:$E,'Barang Keluar'!$A:$A,M8924,'Barang Keluar'!$C:$C,N8924))</f>
        <v>0</v>
      </c>
    </row>
    <row r="8925" spans="13:16">
      <c r="M8925" s="49">
        <f>IF($A$4+89&gt;$B$4,"",$A$4+89)</f>
        <v>46112</v>
      </c>
      <c r="N8925" t="str">
        <f>IF(M8925="","",'Master Barang'!A19)</f>
        <v>PRL-018</v>
      </c>
      <c r="O8925" t="str">
        <f>IF(N8925="","",'Master Barang'!B19)</f>
        <v>onemed masker biru 3 play hijab 50 pcs</v>
      </c>
      <c r="P8925">
        <f>IF(OR(M8925="",N8925=""),"",SUMIFS('Barang Keluar'!$E:$E,'Barang Keluar'!$A:$A,M8925,'Barang Keluar'!$C:$C,N8925))</f>
        <v>0</v>
      </c>
    </row>
    <row r="8926" spans="13:16">
      <c r="M8926" s="49">
        <f>IF($A$4+89&gt;$B$4,"",$A$4+89)</f>
        <v>46112</v>
      </c>
      <c r="N8926" t="str">
        <f>IF(M8926="","",'Master Barang'!A20)</f>
        <v>PRL-019</v>
      </c>
      <c r="O8926" t="str">
        <f>IF(N8926="","",'Master Barang'!B20)</f>
        <v>neo health masker biru 3 play 50 pcs</v>
      </c>
      <c r="P8926">
        <f>IF(OR(M8926="",N8926=""),"",SUMIFS('Barang Keluar'!$E:$E,'Barang Keluar'!$A:$A,M8926,'Barang Keluar'!$C:$C,N8926))</f>
        <v>0</v>
      </c>
    </row>
    <row r="8927" spans="13:16">
      <c r="M8927" s="49">
        <f>IF($A$4+89&gt;$B$4,"",$A$4+89)</f>
        <v>46112</v>
      </c>
      <c r="N8927" t="str">
        <f>IF(M8927="","",'Master Barang'!A21)</f>
        <v>PRL-020</v>
      </c>
      <c r="O8927" t="str">
        <f>IF(N8927="","",'Master Barang'!B21)</f>
        <v>baymed masker hijau 3 play hijau 50 pcs</v>
      </c>
      <c r="P8927">
        <f>IF(OR(M8927="",N8927=""),"",SUMIFS('Barang Keluar'!$E:$E,'Barang Keluar'!$A:$A,M8927,'Barang Keluar'!$C:$C,N8927))</f>
        <v>0</v>
      </c>
    </row>
    <row r="8928" spans="13:16">
      <c r="M8928" s="49">
        <f>IF($A$4+89&gt;$B$4,"",$A$4+89)</f>
        <v>46112</v>
      </c>
      <c r="N8928" t="str">
        <f>IF(M8928="","",'Master Barang'!A22)</f>
        <v>PRL-021</v>
      </c>
      <c r="O8928" t="str">
        <f>IF(N8928="","",'Master Barang'!B22)</f>
        <v>altamed nurse cap penutup kepala 100 pcs</v>
      </c>
      <c r="P8928">
        <f>IF(OR(M8928="",N8928=""),"",SUMIFS('Barang Keluar'!$E:$E,'Barang Keluar'!$A:$A,M8928,'Barang Keluar'!$C:$C,N8928))</f>
        <v>0</v>
      </c>
    </row>
    <row r="8929" spans="13:16">
      <c r="M8929" s="49">
        <f>IF($A$4+89&gt;$B$4,"",$A$4+89)</f>
        <v>46112</v>
      </c>
      <c r="N8929" t="str">
        <f>IF(M8929="","",'Master Barang'!A23)</f>
        <v>PRL-022</v>
      </c>
      <c r="O8929" t="str">
        <f>IF(N8929="","",'Master Barang'!B23)</f>
        <v>sabun cuci tangan</v>
      </c>
      <c r="P8929">
        <f>IF(OR(M8929="",N8929=""),"",SUMIFS('Barang Keluar'!$E:$E,'Barang Keluar'!$A:$A,M8929,'Barang Keluar'!$C:$C,N8929))</f>
        <v>0</v>
      </c>
    </row>
    <row r="8930" spans="13:16">
      <c r="M8930" s="49">
        <f>IF($A$4+89&gt;$B$4,"",$A$4+89)</f>
        <v>46112</v>
      </c>
      <c r="N8930" t="str">
        <f>IF(M8930="","",'Master Barang'!A24)</f>
        <v>PRL-023</v>
      </c>
      <c r="O8930" t="str">
        <f>IF(N8930="","",'Master Barang'!B24)</f>
        <v>gayung kecil</v>
      </c>
      <c r="P8930">
        <f>IF(OR(M8930="",N8930=""),"",SUMIFS('Barang Keluar'!$E:$E,'Barang Keluar'!$A:$A,M8930,'Barang Keluar'!$C:$C,N8930))</f>
        <v>0</v>
      </c>
    </row>
    <row r="8931" spans="13:16">
      <c r="M8931" s="49">
        <f>IF($A$4+89&gt;$B$4,"",$A$4+89)</f>
        <v>46112</v>
      </c>
      <c r="N8931" t="str">
        <f>IF(M8931="","",'Master Barang'!A25)</f>
        <v>PRL-024</v>
      </c>
      <c r="O8931" t="str">
        <f>IF(N8931="","",'Master Barang'!B25)</f>
        <v>cikrak kecil</v>
      </c>
      <c r="P8931">
        <f>IF(OR(M8931="",N8931=""),"",SUMIFS('Barang Keluar'!$E:$E,'Barang Keluar'!$A:$A,M8931,'Barang Keluar'!$C:$C,N8931))</f>
        <v>0</v>
      </c>
    </row>
    <row r="8932" spans="13:16">
      <c r="M8932" s="49">
        <f>IF($A$4+89&gt;$B$4,"",$A$4+89)</f>
        <v>46112</v>
      </c>
      <c r="N8932" t="str">
        <f>IF(M8932="","",'Master Barang'!A26)</f>
        <v>PRL-025</v>
      </c>
      <c r="O8932" t="str">
        <f>IF(N8932="","",'Master Barang'!B26)</f>
        <v>petromax plastik kecil 12x24 100 lembar</v>
      </c>
      <c r="P8932">
        <f>IF(OR(M8932="",N8932=""),"",SUMIFS('Barang Keluar'!$E:$E,'Barang Keluar'!$A:$A,M8932,'Barang Keluar'!$C:$C,N8932))</f>
        <v>0</v>
      </c>
    </row>
    <row r="8933" spans="13:16">
      <c r="M8933" s="49">
        <f>IF($A$4+89&gt;$B$4,"",$A$4+89)</f>
        <v>46112</v>
      </c>
      <c r="N8933" t="str">
        <f>IF(M8933="","",'Master Barang'!A27)</f>
        <v>PRL-026</v>
      </c>
      <c r="O8933" t="str">
        <f>IF(N8933="","",'Master Barang'!B27)</f>
        <v>lancar kresek kecil bening </v>
      </c>
      <c r="P8933">
        <f>IF(OR(M8933="",N8933=""),"",SUMIFS('Barang Keluar'!$E:$E,'Barang Keluar'!$A:$A,M8933,'Barang Keluar'!$C:$C,N8933))</f>
        <v>0</v>
      </c>
    </row>
    <row r="8934" spans="13:16">
      <c r="M8934" s="49">
        <f>IF($A$4+89&gt;$B$4,"",$A$4+89)</f>
        <v>46112</v>
      </c>
      <c r="N8934" t="str">
        <f>IF(M8934="","",'Master Barang'!A28)</f>
        <v>PRL-027</v>
      </c>
      <c r="O8934" t="str">
        <f>IF(N8934="","",'Master Barang'!B28)</f>
        <v>kresek klin warna warni kecil</v>
      </c>
      <c r="P8934">
        <f>IF(OR(M8934="",N8934=""),"",SUMIFS('Barang Keluar'!$E:$E,'Barang Keluar'!$A:$A,M8934,'Barang Keluar'!$C:$C,N8934))</f>
        <v>0</v>
      </c>
    </row>
    <row r="8935" spans="13:16">
      <c r="M8935" s="49">
        <f>IF($A$4+89&gt;$B$4,"",$A$4+89)</f>
        <v>46112</v>
      </c>
      <c r="N8935" t="str">
        <f>IF(M8935="","",'Master Barang'!A29)</f>
        <v>PRL-028</v>
      </c>
      <c r="O8935" t="str">
        <f>IF(N8935="","",'Master Barang'!B29)</f>
        <v>ctik plastik 7x10 100 pcs</v>
      </c>
      <c r="P8935">
        <f>IF(OR(M8935="",N8935=""),"",SUMIFS('Barang Keluar'!$E:$E,'Barang Keluar'!$A:$A,M8935,'Barang Keluar'!$C:$C,N8935))</f>
        <v>0</v>
      </c>
    </row>
    <row r="8936" spans="13:16">
      <c r="M8936" s="49">
        <f>IF($A$4+89&gt;$B$4,"",$A$4+89)</f>
        <v>46112</v>
      </c>
      <c r="N8936" t="str">
        <f>IF(M8936="","",'Master Barang'!A30)</f>
        <v>PRL-029</v>
      </c>
      <c r="O8936" t="str">
        <f>IF(N8936="","",'Master Barang'!B30)</f>
        <v>ctik plastik 6x10 100 pcs</v>
      </c>
      <c r="P8936">
        <f>IF(OR(M8936="",N8936=""),"",SUMIFS('Barang Keluar'!$E:$E,'Barang Keluar'!$A:$A,M8936,'Barang Keluar'!$C:$C,N8936))</f>
        <v>0</v>
      </c>
    </row>
    <row r="8937" spans="13:16">
      <c r="M8937" s="49">
        <f>IF($A$4+89&gt;$B$4,"",$A$4+89)</f>
        <v>46112</v>
      </c>
      <c r="N8937" t="str">
        <f>IF(M8937="","",'Master Barang'!A31)</f>
        <v>PRL-030</v>
      </c>
      <c r="O8937" t="str">
        <f>IF(N8937="","",'Master Barang'!B31)</f>
        <v>klip plastik 25x16 100 pcs</v>
      </c>
      <c r="P8937">
        <f>IF(OR(M8937="",N8937=""),"",SUMIFS('Barang Keluar'!$E:$E,'Barang Keluar'!$A:$A,M8937,'Barang Keluar'!$C:$C,N8937))</f>
        <v>0</v>
      </c>
    </row>
    <row r="8938" spans="13:16">
      <c r="M8938" s="49">
        <f>IF($A$4+89&gt;$B$4,"",$A$4+89)</f>
        <v>46112</v>
      </c>
      <c r="N8938" t="str">
        <f>IF(M8938="","",'Master Barang'!A32)</f>
        <v>PRL-031</v>
      </c>
      <c r="O8938" t="str">
        <f>IF(N8938="","",'Master Barang'!B32)</f>
        <v>tempat saus 20 ml</v>
      </c>
      <c r="P8938">
        <f>IF(OR(M8938="",N8938=""),"",SUMIFS('Barang Keluar'!$E:$E,'Barang Keluar'!$A:$A,M8938,'Barang Keluar'!$C:$C,N8938))</f>
        <v>0</v>
      </c>
    </row>
    <row r="8939" spans="13:16">
      <c r="M8939" s="49">
        <f>IF($A$4+89&gt;$B$4,"",$A$4+89)</f>
        <v>46112</v>
      </c>
      <c r="N8939" t="str">
        <f>IF(M8939="","",'Master Barang'!A33)</f>
        <v>PRL-032</v>
      </c>
      <c r="O8939" t="str">
        <f>IF(N8939="","",'Master Barang'!B33)</f>
        <v>plastik packaging ag box uk sedang</v>
      </c>
      <c r="P8939">
        <f>IF(OR(M8939="",N8939=""),"",SUMIFS('Barang Keluar'!$E:$E,'Barang Keluar'!$A:$A,M8939,'Barang Keluar'!$C:$C,N8939))</f>
        <v>0</v>
      </c>
    </row>
    <row r="8940" spans="13:16">
      <c r="M8940" s="49">
        <f>IF($A$4+89&gt;$B$4,"",$A$4+89)</f>
        <v>46112</v>
      </c>
      <c r="N8940" t="str">
        <f>IF(M8940="","",'Master Barang'!A34)</f>
        <v>PRL-033</v>
      </c>
      <c r="O8940">
        <f>IF(N8940="","",'Master Barang'!B34)</f>
        <v>0</v>
      </c>
      <c r="P8940">
        <f>IF(OR(M8940="",N8940=""),"",SUMIFS('Barang Keluar'!$E:$E,'Barang Keluar'!$A:$A,M8940,'Barang Keluar'!$C:$C,N8940))</f>
        <v>0</v>
      </c>
    </row>
    <row r="8941" spans="13:16">
      <c r="M8941" s="49">
        <f>IF($A$4+89&gt;$B$4,"",$A$4+89)</f>
        <v>46112</v>
      </c>
      <c r="N8941">
        <f>IF(M8941="","",'Master Barang'!A35)</f>
        <v>0</v>
      </c>
      <c r="O8941">
        <f>IF(N8941="","",'Master Barang'!B35)</f>
        <v>0</v>
      </c>
      <c r="P8941">
        <f>IF(OR(M8941="",N8941=""),"",SUMIFS('Barang Keluar'!$E:$E,'Barang Keluar'!$A:$A,M8941,'Barang Keluar'!$C:$C,N8941))</f>
        <v>0</v>
      </c>
    </row>
    <row r="8942" spans="13:16">
      <c r="M8942" s="49">
        <f>IF($A$4+89&gt;$B$4,"",$A$4+89)</f>
        <v>46112</v>
      </c>
      <c r="N8942">
        <f>IF(M8942="","",'Master Barang'!A36)</f>
        <v>0</v>
      </c>
      <c r="O8942">
        <f>IF(N8942="","",'Master Barang'!B36)</f>
        <v>0</v>
      </c>
      <c r="P8942">
        <f>IF(OR(M8942="",N8942=""),"",SUMIFS('Barang Keluar'!$E:$E,'Barang Keluar'!$A:$A,M8942,'Barang Keluar'!$C:$C,N8942))</f>
        <v>0</v>
      </c>
    </row>
    <row r="8943" spans="13:16">
      <c r="M8943" s="49">
        <f>IF($A$4+89&gt;$B$4,"",$A$4+89)</f>
        <v>46112</v>
      </c>
      <c r="N8943">
        <f>IF(M8943="","",'Master Barang'!A37)</f>
        <v>0</v>
      </c>
      <c r="O8943">
        <f>IF(N8943="","",'Master Barang'!B37)</f>
        <v>0</v>
      </c>
      <c r="P8943">
        <f>IF(OR(M8943="",N8943=""),"",SUMIFS('Barang Keluar'!$E:$E,'Barang Keluar'!$A:$A,M8943,'Barang Keluar'!$C:$C,N8943))</f>
        <v>0</v>
      </c>
    </row>
    <row r="8944" spans="13:16">
      <c r="M8944" s="49">
        <f>IF($A$4+89&gt;$B$4,"",$A$4+89)</f>
        <v>46112</v>
      </c>
      <c r="N8944">
        <f>IF(M8944="","",'Master Barang'!A38)</f>
        <v>0</v>
      </c>
      <c r="O8944">
        <f>IF(N8944="","",'Master Barang'!B38)</f>
        <v>0</v>
      </c>
      <c r="P8944">
        <f>IF(OR(M8944="",N8944=""),"",SUMIFS('Barang Keluar'!$E:$E,'Barang Keluar'!$A:$A,M8944,'Barang Keluar'!$C:$C,N8944))</f>
        <v>0</v>
      </c>
    </row>
    <row r="8945" spans="13:16">
      <c r="M8945" s="49">
        <f>IF($A$4+89&gt;$B$4,"",$A$4+89)</f>
        <v>46112</v>
      </c>
      <c r="N8945">
        <f>IF(M8945="","",'Master Barang'!A39)</f>
        <v>0</v>
      </c>
      <c r="O8945">
        <f>IF(N8945="","",'Master Barang'!B39)</f>
        <v>0</v>
      </c>
      <c r="P8945">
        <f>IF(OR(M8945="",N8945=""),"",SUMIFS('Barang Keluar'!$E:$E,'Barang Keluar'!$A:$A,M8945,'Barang Keluar'!$C:$C,N8945))</f>
        <v>0</v>
      </c>
    </row>
    <row r="8946" spans="13:16">
      <c r="M8946" s="49">
        <f>IF($A$4+89&gt;$B$4,"",$A$4+89)</f>
        <v>46112</v>
      </c>
      <c r="N8946">
        <f>IF(M8946="","",'Master Barang'!A40)</f>
        <v>0</v>
      </c>
      <c r="O8946">
        <f>IF(N8946="","",'Master Barang'!B40)</f>
        <v>0</v>
      </c>
      <c r="P8946">
        <f>IF(OR(M8946="",N8946=""),"",SUMIFS('Barang Keluar'!$E:$E,'Barang Keluar'!$A:$A,M8946,'Barang Keluar'!$C:$C,N8946))</f>
        <v>0</v>
      </c>
    </row>
    <row r="8947" spans="13:16">
      <c r="M8947" s="49">
        <f>IF($A$4+89&gt;$B$4,"",$A$4+89)</f>
        <v>46112</v>
      </c>
      <c r="N8947">
        <f>IF(M8947="","",'Master Barang'!A41)</f>
        <v>0</v>
      </c>
      <c r="O8947">
        <f>IF(N8947="","",'Master Barang'!B41)</f>
        <v>0</v>
      </c>
      <c r="P8947">
        <f>IF(OR(M8947="",N8947=""),"",SUMIFS('Barang Keluar'!$E:$E,'Barang Keluar'!$A:$A,M8947,'Barang Keluar'!$C:$C,N8947))</f>
        <v>0</v>
      </c>
    </row>
    <row r="8948" spans="13:16">
      <c r="M8948" s="49">
        <f>IF($A$4+89&gt;$B$4,"",$A$4+89)</f>
        <v>46112</v>
      </c>
      <c r="N8948">
        <f>IF(M8948="","",'Master Barang'!A42)</f>
        <v>0</v>
      </c>
      <c r="O8948">
        <f>IF(N8948="","",'Master Barang'!B42)</f>
        <v>0</v>
      </c>
      <c r="P8948">
        <f>IF(OR(M8948="",N8948=""),"",SUMIFS('Barang Keluar'!$E:$E,'Barang Keluar'!$A:$A,M8948,'Barang Keluar'!$C:$C,N8948))</f>
        <v>0</v>
      </c>
    </row>
    <row r="8949" spans="13:16">
      <c r="M8949" s="49">
        <f>IF($A$4+89&gt;$B$4,"",$A$4+89)</f>
        <v>46112</v>
      </c>
      <c r="N8949">
        <f>IF(M8949="","",'Master Barang'!A43)</f>
        <v>0</v>
      </c>
      <c r="O8949">
        <f>IF(N8949="","",'Master Barang'!B43)</f>
        <v>0</v>
      </c>
      <c r="P8949">
        <f>IF(OR(M8949="",N8949=""),"",SUMIFS('Barang Keluar'!$E:$E,'Barang Keluar'!$A:$A,M8949,'Barang Keluar'!$C:$C,N8949))</f>
        <v>0</v>
      </c>
    </row>
    <row r="8950" spans="13:16">
      <c r="M8950" s="49">
        <f>IF($A$4+89&gt;$B$4,"",$A$4+89)</f>
        <v>46112</v>
      </c>
      <c r="N8950">
        <f>IF(M8950="","",'Master Barang'!A44)</f>
        <v>0</v>
      </c>
      <c r="O8950">
        <f>IF(N8950="","",'Master Barang'!B44)</f>
        <v>0</v>
      </c>
      <c r="P8950">
        <f>IF(OR(M8950="",N8950=""),"",SUMIFS('Barang Keluar'!$E:$E,'Barang Keluar'!$A:$A,M8950,'Barang Keluar'!$C:$C,N8950))</f>
        <v>0</v>
      </c>
    </row>
    <row r="8951" spans="13:16">
      <c r="M8951" s="49">
        <f>IF($A$4+89&gt;$B$4,"",$A$4+89)</f>
        <v>46112</v>
      </c>
      <c r="N8951">
        <f>IF(M8951="","",'Master Barang'!A45)</f>
        <v>0</v>
      </c>
      <c r="O8951">
        <f>IF(N8951="","",'Master Barang'!B45)</f>
        <v>0</v>
      </c>
      <c r="P8951">
        <f>IF(OR(M8951="",N8951=""),"",SUMIFS('Barang Keluar'!$E:$E,'Barang Keluar'!$A:$A,M8951,'Barang Keluar'!$C:$C,N8951))</f>
        <v>0</v>
      </c>
    </row>
    <row r="8952" spans="13:16">
      <c r="M8952" s="49">
        <f>IF($A$4+89&gt;$B$4,"",$A$4+89)</f>
        <v>46112</v>
      </c>
      <c r="N8952">
        <f>IF(M8952="","",'Master Barang'!A46)</f>
        <v>0</v>
      </c>
      <c r="O8952">
        <f>IF(N8952="","",'Master Barang'!B46)</f>
        <v>0</v>
      </c>
      <c r="P8952">
        <f>IF(OR(M8952="",N8952=""),"",SUMIFS('Barang Keluar'!$E:$E,'Barang Keluar'!$A:$A,M8952,'Barang Keluar'!$C:$C,N8952))</f>
        <v>0</v>
      </c>
    </row>
    <row r="8953" spans="13:16">
      <c r="M8953" s="49">
        <f>IF($A$4+89&gt;$B$4,"",$A$4+89)</f>
        <v>46112</v>
      </c>
      <c r="N8953">
        <f>IF(M8953="","",'Master Barang'!A47)</f>
        <v>0</v>
      </c>
      <c r="O8953">
        <f>IF(N8953="","",'Master Barang'!B47)</f>
        <v>0</v>
      </c>
      <c r="P8953">
        <f>IF(OR(M8953="",N8953=""),"",SUMIFS('Barang Keluar'!$E:$E,'Barang Keluar'!$A:$A,M8953,'Barang Keluar'!$C:$C,N8953))</f>
        <v>0</v>
      </c>
    </row>
    <row r="8954" spans="13:16">
      <c r="M8954" s="49">
        <f>IF($A$4+89&gt;$B$4,"",$A$4+89)</f>
        <v>46112</v>
      </c>
      <c r="N8954">
        <f>IF(M8954="","",'Master Barang'!A48)</f>
        <v>0</v>
      </c>
      <c r="O8954">
        <f>IF(N8954="","",'Master Barang'!B48)</f>
        <v>0</v>
      </c>
      <c r="P8954">
        <f>IF(OR(M8954="",N8954=""),"",SUMIFS('Barang Keluar'!$E:$E,'Barang Keluar'!$A:$A,M8954,'Barang Keluar'!$C:$C,N8954))</f>
        <v>0</v>
      </c>
    </row>
    <row r="8955" spans="13:16">
      <c r="M8955" s="49">
        <f>IF($A$4+89&gt;$B$4,"",$A$4+89)</f>
        <v>46112</v>
      </c>
      <c r="N8955">
        <f>IF(M8955="","",'Master Barang'!A49)</f>
        <v>0</v>
      </c>
      <c r="O8955">
        <f>IF(N8955="","",'Master Barang'!B49)</f>
        <v>0</v>
      </c>
      <c r="P8955">
        <f>IF(OR(M8955="",N8955=""),"",SUMIFS('Barang Keluar'!$E:$E,'Barang Keluar'!$A:$A,M8955,'Barang Keluar'!$C:$C,N8955))</f>
        <v>0</v>
      </c>
    </row>
    <row r="8956" spans="13:16">
      <c r="M8956" s="49">
        <f>IF($A$4+89&gt;$B$4,"",$A$4+89)</f>
        <v>46112</v>
      </c>
      <c r="N8956">
        <f>IF(M8956="","",'Master Barang'!A50)</f>
        <v>0</v>
      </c>
      <c r="O8956">
        <f>IF(N8956="","",'Master Barang'!B50)</f>
        <v>0</v>
      </c>
      <c r="P8956">
        <f>IF(OR(M8956="",N8956=""),"",SUMIFS('Barang Keluar'!$E:$E,'Barang Keluar'!$A:$A,M8956,'Barang Keluar'!$C:$C,N8956))</f>
        <v>0</v>
      </c>
    </row>
    <row r="8957" spans="13:16">
      <c r="M8957" s="49">
        <f>IF($A$4+89&gt;$B$4,"",$A$4+89)</f>
        <v>46112</v>
      </c>
      <c r="N8957">
        <f>IF(M8957="","",'Master Barang'!A51)</f>
        <v>0</v>
      </c>
      <c r="O8957">
        <f>IF(N8957="","",'Master Barang'!B51)</f>
        <v>0</v>
      </c>
      <c r="P8957">
        <f>IF(OR(M8957="",N8957=""),"",SUMIFS('Barang Keluar'!$E:$E,'Barang Keluar'!$A:$A,M8957,'Barang Keluar'!$C:$C,N8957))</f>
        <v>0</v>
      </c>
    </row>
    <row r="8958" spans="13:16">
      <c r="M8958" s="49">
        <f>IF($A$4+89&gt;$B$4,"",$A$4+89)</f>
        <v>46112</v>
      </c>
      <c r="N8958">
        <f>IF(M8958="","",'Master Barang'!A52)</f>
        <v>0</v>
      </c>
      <c r="O8958">
        <f>IF(N8958="","",'Master Barang'!B52)</f>
        <v>0</v>
      </c>
      <c r="P8958">
        <f>IF(OR(M8958="",N8958=""),"",SUMIFS('Barang Keluar'!$E:$E,'Barang Keluar'!$A:$A,M8958,'Barang Keluar'!$C:$C,N8958))</f>
        <v>0</v>
      </c>
    </row>
    <row r="8959" spans="13:16">
      <c r="M8959" s="49">
        <f>IF($A$4+89&gt;$B$4,"",$A$4+89)</f>
        <v>46112</v>
      </c>
      <c r="N8959">
        <f>IF(M8959="","",'Master Barang'!A53)</f>
        <v>0</v>
      </c>
      <c r="O8959">
        <f>IF(N8959="","",'Master Barang'!B53)</f>
        <v>0</v>
      </c>
      <c r="P8959">
        <f>IF(OR(M8959="",N8959=""),"",SUMIFS('Barang Keluar'!$E:$E,'Barang Keluar'!$A:$A,M8959,'Barang Keluar'!$C:$C,N8959))</f>
        <v>0</v>
      </c>
    </row>
    <row r="8960" spans="13:16">
      <c r="M8960" s="49">
        <f>IF($A$4+89&gt;$B$4,"",$A$4+89)</f>
        <v>46112</v>
      </c>
      <c r="N8960">
        <f>IF(M8960="","",'Master Barang'!A54)</f>
        <v>0</v>
      </c>
      <c r="O8960">
        <f>IF(N8960="","",'Master Barang'!B54)</f>
        <v>0</v>
      </c>
      <c r="P8960">
        <f>IF(OR(M8960="",N8960=""),"",SUMIFS('Barang Keluar'!$E:$E,'Barang Keluar'!$A:$A,M8960,'Barang Keluar'!$C:$C,N8960))</f>
        <v>0</v>
      </c>
    </row>
    <row r="8961" spans="13:16">
      <c r="M8961" s="49">
        <f>IF($A$4+89&gt;$B$4,"",$A$4+89)</f>
        <v>46112</v>
      </c>
      <c r="N8961">
        <f>IF(M8961="","",'Master Barang'!A55)</f>
        <v>0</v>
      </c>
      <c r="O8961">
        <f>IF(N8961="","",'Master Barang'!B55)</f>
        <v>0</v>
      </c>
      <c r="P8961">
        <f>IF(OR(M8961="",N8961=""),"",SUMIFS('Barang Keluar'!$E:$E,'Barang Keluar'!$A:$A,M8961,'Barang Keluar'!$C:$C,N8961))</f>
        <v>0</v>
      </c>
    </row>
    <row r="8962" spans="13:16">
      <c r="M8962" s="49">
        <f>IF($A$4+89&gt;$B$4,"",$A$4+89)</f>
        <v>46112</v>
      </c>
      <c r="N8962">
        <f>IF(M8962="","",'Master Barang'!A56)</f>
        <v>0</v>
      </c>
      <c r="O8962">
        <f>IF(N8962="","",'Master Barang'!B56)</f>
        <v>0</v>
      </c>
      <c r="P8962">
        <f>IF(OR(M8962="",N8962=""),"",SUMIFS('Barang Keluar'!$E:$E,'Barang Keluar'!$A:$A,M8962,'Barang Keluar'!$C:$C,N8962))</f>
        <v>0</v>
      </c>
    </row>
    <row r="8963" spans="13:16">
      <c r="M8963" s="49">
        <f>IF($A$4+89&gt;$B$4,"",$A$4+89)</f>
        <v>46112</v>
      </c>
      <c r="N8963">
        <f>IF(M8963="","",'Master Barang'!A57)</f>
        <v>0</v>
      </c>
      <c r="O8963">
        <f>IF(N8963="","",'Master Barang'!B57)</f>
        <v>0</v>
      </c>
      <c r="P8963">
        <f>IF(OR(M8963="",N8963=""),"",SUMIFS('Barang Keluar'!$E:$E,'Barang Keluar'!$A:$A,M8963,'Barang Keluar'!$C:$C,N8963))</f>
        <v>0</v>
      </c>
    </row>
    <row r="8964" spans="13:16">
      <c r="M8964" s="49">
        <f>IF($A$4+89&gt;$B$4,"",$A$4+89)</f>
        <v>46112</v>
      </c>
      <c r="N8964">
        <f>IF(M8964="","",'Master Barang'!A58)</f>
        <v>0</v>
      </c>
      <c r="O8964">
        <f>IF(N8964="","",'Master Barang'!B58)</f>
        <v>0</v>
      </c>
      <c r="P8964">
        <f>IF(OR(M8964="",N8964=""),"",SUMIFS('Barang Keluar'!$E:$E,'Barang Keluar'!$A:$A,M8964,'Barang Keluar'!$C:$C,N8964))</f>
        <v>0</v>
      </c>
    </row>
    <row r="8965" spans="13:16">
      <c r="M8965" s="49">
        <f>IF($A$4+89&gt;$B$4,"",$A$4+89)</f>
        <v>46112</v>
      </c>
      <c r="N8965">
        <f>IF(M8965="","",'Master Barang'!A59)</f>
        <v>0</v>
      </c>
      <c r="O8965">
        <f>IF(N8965="","",'Master Barang'!B59)</f>
        <v>0</v>
      </c>
      <c r="P8965">
        <f>IF(OR(M8965="",N8965=""),"",SUMIFS('Barang Keluar'!$E:$E,'Barang Keluar'!$A:$A,M8965,'Barang Keluar'!$C:$C,N8965))</f>
        <v>0</v>
      </c>
    </row>
    <row r="8966" spans="13:16">
      <c r="M8966" s="49">
        <f>IF($A$4+89&gt;$B$4,"",$A$4+89)</f>
        <v>46112</v>
      </c>
      <c r="N8966">
        <f>IF(M8966="","",'Master Barang'!A60)</f>
        <v>0</v>
      </c>
      <c r="O8966">
        <f>IF(N8966="","",'Master Barang'!B60)</f>
        <v>0</v>
      </c>
      <c r="P8966">
        <f>IF(OR(M8966="",N8966=""),"",SUMIFS('Barang Keluar'!$E:$E,'Barang Keluar'!$A:$A,M8966,'Barang Keluar'!$C:$C,N8966))</f>
        <v>0</v>
      </c>
    </row>
    <row r="8967" spans="13:16">
      <c r="M8967" s="49">
        <f>IF($A$4+89&gt;$B$4,"",$A$4+89)</f>
        <v>46112</v>
      </c>
      <c r="N8967">
        <f>IF(M8967="","",'Master Barang'!A61)</f>
        <v>0</v>
      </c>
      <c r="O8967">
        <f>IF(N8967="","",'Master Barang'!B61)</f>
        <v>0</v>
      </c>
      <c r="P8967">
        <f>IF(OR(M8967="",N8967=""),"",SUMIFS('Barang Keluar'!$E:$E,'Barang Keluar'!$A:$A,M8967,'Barang Keluar'!$C:$C,N8967))</f>
        <v>0</v>
      </c>
    </row>
    <row r="8968" spans="13:16">
      <c r="M8968" s="49">
        <f>IF($A$4+89&gt;$B$4,"",$A$4+89)</f>
        <v>46112</v>
      </c>
      <c r="N8968">
        <f>IF(M8968="","",'Master Barang'!A62)</f>
        <v>0</v>
      </c>
      <c r="O8968">
        <f>IF(N8968="","",'Master Barang'!B62)</f>
        <v>0</v>
      </c>
      <c r="P8968">
        <f>IF(OR(M8968="",N8968=""),"",SUMIFS('Barang Keluar'!$E:$E,'Barang Keluar'!$A:$A,M8968,'Barang Keluar'!$C:$C,N8968))</f>
        <v>0</v>
      </c>
    </row>
    <row r="8969" spans="13:16">
      <c r="M8969" s="49">
        <f>IF($A$4+89&gt;$B$4,"",$A$4+89)</f>
        <v>46112</v>
      </c>
      <c r="N8969">
        <f>IF(M8969="","",'Master Barang'!A63)</f>
        <v>0</v>
      </c>
      <c r="O8969">
        <f>IF(N8969="","",'Master Barang'!B63)</f>
        <v>0</v>
      </c>
      <c r="P8969">
        <f>IF(OR(M8969="",N8969=""),"",SUMIFS('Barang Keluar'!$E:$E,'Barang Keluar'!$A:$A,M8969,'Barang Keluar'!$C:$C,N8969))</f>
        <v>0</v>
      </c>
    </row>
    <row r="8970" spans="13:16">
      <c r="M8970" s="49">
        <f>IF($A$4+89&gt;$B$4,"",$A$4+89)</f>
        <v>46112</v>
      </c>
      <c r="N8970">
        <f>IF(M8970="","",'Master Barang'!A64)</f>
        <v>0</v>
      </c>
      <c r="O8970">
        <f>IF(N8970="","",'Master Barang'!B64)</f>
        <v>0</v>
      </c>
      <c r="P8970">
        <f>IF(OR(M8970="",N8970=""),"",SUMIFS('Barang Keluar'!$E:$E,'Barang Keluar'!$A:$A,M8970,'Barang Keluar'!$C:$C,N8970))</f>
        <v>0</v>
      </c>
    </row>
    <row r="8971" spans="13:16">
      <c r="M8971" s="49">
        <f>IF($A$4+89&gt;$B$4,"",$A$4+89)</f>
        <v>46112</v>
      </c>
      <c r="N8971">
        <f>IF(M8971="","",'Master Barang'!A65)</f>
        <v>0</v>
      </c>
      <c r="O8971">
        <f>IF(N8971="","",'Master Barang'!B65)</f>
        <v>0</v>
      </c>
      <c r="P8971">
        <f>IF(OR(M8971="",N8971=""),"",SUMIFS('Barang Keluar'!$E:$E,'Barang Keluar'!$A:$A,M8971,'Barang Keluar'!$C:$C,N8971))</f>
        <v>0</v>
      </c>
    </row>
    <row r="8972" spans="13:16">
      <c r="M8972" s="49">
        <f>IF($A$4+89&gt;$B$4,"",$A$4+89)</f>
        <v>46112</v>
      </c>
      <c r="N8972">
        <f>IF(M8972="","",'Master Barang'!A66)</f>
        <v>0</v>
      </c>
      <c r="O8972">
        <f>IF(N8972="","",'Master Barang'!B66)</f>
        <v>0</v>
      </c>
      <c r="P8972">
        <f>IF(OR(M8972="",N8972=""),"",SUMIFS('Barang Keluar'!$E:$E,'Barang Keluar'!$A:$A,M8972,'Barang Keluar'!$C:$C,N8972))</f>
        <v>0</v>
      </c>
    </row>
    <row r="8973" spans="13:16">
      <c r="M8973" s="49">
        <f>IF($A$4+89&gt;$B$4,"",$A$4+89)</f>
        <v>46112</v>
      </c>
      <c r="N8973">
        <f>IF(M8973="","",'Master Barang'!A67)</f>
        <v>0</v>
      </c>
      <c r="O8973">
        <f>IF(N8973="","",'Master Barang'!B67)</f>
        <v>0</v>
      </c>
      <c r="P8973">
        <f>IF(OR(M8973="",N8973=""),"",SUMIFS('Barang Keluar'!$E:$E,'Barang Keluar'!$A:$A,M8973,'Barang Keluar'!$C:$C,N8973))</f>
        <v>0</v>
      </c>
    </row>
    <row r="8974" spans="13:16">
      <c r="M8974" s="49">
        <f>IF($A$4+89&gt;$B$4,"",$A$4+89)</f>
        <v>46112</v>
      </c>
      <c r="N8974">
        <f>IF(M8974="","",'Master Barang'!A68)</f>
        <v>0</v>
      </c>
      <c r="O8974">
        <f>IF(N8974="","",'Master Barang'!B68)</f>
        <v>0</v>
      </c>
      <c r="P8974">
        <f>IF(OR(M8974="",N8974=""),"",SUMIFS('Barang Keluar'!$E:$E,'Barang Keluar'!$A:$A,M8974,'Barang Keluar'!$C:$C,N8974))</f>
        <v>0</v>
      </c>
    </row>
    <row r="8975" spans="13:16">
      <c r="M8975" s="49">
        <f>IF($A$4+89&gt;$B$4,"",$A$4+89)</f>
        <v>46112</v>
      </c>
      <c r="N8975">
        <f>IF(M8975="","",'Master Barang'!A69)</f>
        <v>0</v>
      </c>
      <c r="O8975">
        <f>IF(N8975="","",'Master Barang'!B69)</f>
        <v>0</v>
      </c>
      <c r="P8975">
        <f>IF(OR(M8975="",N8975=""),"",SUMIFS('Barang Keluar'!$E:$E,'Barang Keluar'!$A:$A,M8975,'Barang Keluar'!$C:$C,N8975))</f>
        <v>0</v>
      </c>
    </row>
    <row r="8976" spans="13:16">
      <c r="M8976" s="49">
        <f>IF($A$4+89&gt;$B$4,"",$A$4+89)</f>
        <v>46112</v>
      </c>
      <c r="N8976">
        <f>IF(M8976="","",'Master Barang'!A70)</f>
        <v>0</v>
      </c>
      <c r="O8976">
        <f>IF(N8976="","",'Master Barang'!B70)</f>
        <v>0</v>
      </c>
      <c r="P8976">
        <f>IF(OR(M8976="",N8976=""),"",SUMIFS('Barang Keluar'!$E:$E,'Barang Keluar'!$A:$A,M8976,'Barang Keluar'!$C:$C,N8976))</f>
        <v>0</v>
      </c>
    </row>
    <row r="8977" spans="13:16">
      <c r="M8977" s="49">
        <f>IF($A$4+89&gt;$B$4,"",$A$4+89)</f>
        <v>46112</v>
      </c>
      <c r="N8977">
        <f>IF(M8977="","",'Master Barang'!A71)</f>
        <v>0</v>
      </c>
      <c r="O8977">
        <f>IF(N8977="","",'Master Barang'!B71)</f>
        <v>0</v>
      </c>
      <c r="P8977">
        <f>IF(OR(M8977="",N8977=""),"",SUMIFS('Barang Keluar'!$E:$E,'Barang Keluar'!$A:$A,M8977,'Barang Keluar'!$C:$C,N8977))</f>
        <v>0</v>
      </c>
    </row>
    <row r="8978" spans="13:16">
      <c r="M8978" s="49">
        <f>IF($A$4+89&gt;$B$4,"",$A$4+89)</f>
        <v>46112</v>
      </c>
      <c r="N8978">
        <f>IF(M8978="","",'Master Barang'!A72)</f>
        <v>0</v>
      </c>
      <c r="O8978">
        <f>IF(N8978="","",'Master Barang'!B72)</f>
        <v>0</v>
      </c>
      <c r="P8978">
        <f>IF(OR(M8978="",N8978=""),"",SUMIFS('Barang Keluar'!$E:$E,'Barang Keluar'!$A:$A,M8978,'Barang Keluar'!$C:$C,N8978))</f>
        <v>0</v>
      </c>
    </row>
    <row r="8979" spans="13:16">
      <c r="M8979" s="49">
        <f>IF($A$4+89&gt;$B$4,"",$A$4+89)</f>
        <v>46112</v>
      </c>
      <c r="N8979">
        <f>IF(M8979="","",'Master Barang'!A73)</f>
        <v>0</v>
      </c>
      <c r="O8979">
        <f>IF(N8979="","",'Master Barang'!B73)</f>
        <v>0</v>
      </c>
      <c r="P8979">
        <f>IF(OR(M8979="",N8979=""),"",SUMIFS('Barang Keluar'!$E:$E,'Barang Keluar'!$A:$A,M8979,'Barang Keluar'!$C:$C,N8979))</f>
        <v>0</v>
      </c>
    </row>
    <row r="8980" spans="13:16">
      <c r="M8980" s="49">
        <f>IF($A$4+89&gt;$B$4,"",$A$4+89)</f>
        <v>46112</v>
      </c>
      <c r="N8980">
        <f>IF(M8980="","",'Master Barang'!A74)</f>
        <v>0</v>
      </c>
      <c r="O8980">
        <f>IF(N8980="","",'Master Barang'!B74)</f>
        <v>0</v>
      </c>
      <c r="P8980">
        <f>IF(OR(M8980="",N8980=""),"",SUMIFS('Barang Keluar'!$E:$E,'Barang Keluar'!$A:$A,M8980,'Barang Keluar'!$C:$C,N8980))</f>
        <v>0</v>
      </c>
    </row>
    <row r="8981" spans="13:16">
      <c r="M8981" s="49">
        <f>IF($A$4+89&gt;$B$4,"",$A$4+89)</f>
        <v>46112</v>
      </c>
      <c r="N8981">
        <f>IF(M8981="","",'Master Barang'!A75)</f>
        <v>0</v>
      </c>
      <c r="O8981">
        <f>IF(N8981="","",'Master Barang'!B75)</f>
        <v>0</v>
      </c>
      <c r="P8981">
        <f>IF(OR(M8981="",N8981=""),"",SUMIFS('Barang Keluar'!$E:$E,'Barang Keluar'!$A:$A,M8981,'Barang Keluar'!$C:$C,N8981))</f>
        <v>0</v>
      </c>
    </row>
    <row r="8982" spans="13:16">
      <c r="M8982" s="49">
        <f>IF($A$4+89&gt;$B$4,"",$A$4+89)</f>
        <v>46112</v>
      </c>
      <c r="N8982">
        <f>IF(M8982="","",'Master Barang'!A76)</f>
        <v>0</v>
      </c>
      <c r="O8982">
        <f>IF(N8982="","",'Master Barang'!B76)</f>
        <v>0</v>
      </c>
      <c r="P8982">
        <f>IF(OR(M8982="",N8982=""),"",SUMIFS('Barang Keluar'!$E:$E,'Barang Keluar'!$A:$A,M8982,'Barang Keluar'!$C:$C,N8982))</f>
        <v>0</v>
      </c>
    </row>
    <row r="8983" spans="13:16">
      <c r="M8983" s="49">
        <f>IF($A$4+89&gt;$B$4,"",$A$4+89)</f>
        <v>46112</v>
      </c>
      <c r="N8983">
        <f>IF(M8983="","",'Master Barang'!A77)</f>
        <v>0</v>
      </c>
      <c r="O8983">
        <f>IF(N8983="","",'Master Barang'!B77)</f>
        <v>0</v>
      </c>
      <c r="P8983">
        <f>IF(OR(M8983="",N8983=""),"",SUMIFS('Barang Keluar'!$E:$E,'Barang Keluar'!$A:$A,M8983,'Barang Keluar'!$C:$C,N8983))</f>
        <v>0</v>
      </c>
    </row>
    <row r="8984" spans="13:16">
      <c r="M8984" s="49">
        <f>IF($A$4+89&gt;$B$4,"",$A$4+89)</f>
        <v>46112</v>
      </c>
      <c r="N8984">
        <f>IF(M8984="","",'Master Barang'!A78)</f>
        <v>0</v>
      </c>
      <c r="O8984">
        <f>IF(N8984="","",'Master Barang'!B78)</f>
        <v>0</v>
      </c>
      <c r="P8984">
        <f>IF(OR(M8984="",N8984=""),"",SUMIFS('Barang Keluar'!$E:$E,'Barang Keluar'!$A:$A,M8984,'Barang Keluar'!$C:$C,N8984))</f>
        <v>0</v>
      </c>
    </row>
    <row r="8985" spans="13:16">
      <c r="M8985" s="49">
        <f>IF($A$4+89&gt;$B$4,"",$A$4+89)</f>
        <v>46112</v>
      </c>
      <c r="N8985">
        <f>IF(M8985="","",'Master Barang'!A79)</f>
        <v>0</v>
      </c>
      <c r="O8985">
        <f>IF(N8985="","",'Master Barang'!B79)</f>
        <v>0</v>
      </c>
      <c r="P8985">
        <f>IF(OR(M8985="",N8985=""),"",SUMIFS('Barang Keluar'!$E:$E,'Barang Keluar'!$A:$A,M8985,'Barang Keluar'!$C:$C,N8985))</f>
        <v>0</v>
      </c>
    </row>
    <row r="8986" spans="13:16">
      <c r="M8986" s="49">
        <f>IF($A$4+89&gt;$B$4,"",$A$4+89)</f>
        <v>46112</v>
      </c>
      <c r="N8986">
        <f>IF(M8986="","",'Master Barang'!A80)</f>
        <v>0</v>
      </c>
      <c r="O8986">
        <f>IF(N8986="","",'Master Barang'!B80)</f>
        <v>0</v>
      </c>
      <c r="P8986">
        <f>IF(OR(M8986="",N8986=""),"",SUMIFS('Barang Keluar'!$E:$E,'Barang Keluar'!$A:$A,M8986,'Barang Keluar'!$C:$C,N8986))</f>
        <v>0</v>
      </c>
    </row>
    <row r="8987" spans="13:16">
      <c r="M8987" s="49">
        <f>IF($A$4+89&gt;$B$4,"",$A$4+89)</f>
        <v>46112</v>
      </c>
      <c r="N8987">
        <f>IF(M8987="","",'Master Barang'!A81)</f>
        <v>0</v>
      </c>
      <c r="O8987">
        <f>IF(N8987="","",'Master Barang'!B81)</f>
        <v>0</v>
      </c>
      <c r="P8987">
        <f>IF(OR(M8987="",N8987=""),"",SUMIFS('Barang Keluar'!$E:$E,'Barang Keluar'!$A:$A,M8987,'Barang Keluar'!$C:$C,N8987))</f>
        <v>0</v>
      </c>
    </row>
    <row r="8988" spans="13:16">
      <c r="M8988" s="49">
        <f>IF($A$4+89&gt;$B$4,"",$A$4+89)</f>
        <v>46112</v>
      </c>
      <c r="N8988">
        <f>IF(M8988="","",'Master Barang'!A82)</f>
        <v>0</v>
      </c>
      <c r="O8988">
        <f>IF(N8988="","",'Master Barang'!B82)</f>
        <v>0</v>
      </c>
      <c r="P8988">
        <f>IF(OR(M8988="",N8988=""),"",SUMIFS('Barang Keluar'!$E:$E,'Barang Keluar'!$A:$A,M8988,'Barang Keluar'!$C:$C,N8988))</f>
        <v>0</v>
      </c>
    </row>
    <row r="8989" spans="13:16">
      <c r="M8989" s="49">
        <f>IF($A$4+89&gt;$B$4,"",$A$4+89)</f>
        <v>46112</v>
      </c>
      <c r="N8989">
        <f>IF(M8989="","",'Master Barang'!A83)</f>
        <v>0</v>
      </c>
      <c r="O8989">
        <f>IF(N8989="","",'Master Barang'!B83)</f>
        <v>0</v>
      </c>
      <c r="P8989">
        <f>IF(OR(M8989="",N8989=""),"",SUMIFS('Barang Keluar'!$E:$E,'Barang Keluar'!$A:$A,M8989,'Barang Keluar'!$C:$C,N8989))</f>
        <v>0</v>
      </c>
    </row>
    <row r="8990" spans="13:16">
      <c r="M8990" s="49">
        <f>IF($A$4+89&gt;$B$4,"",$A$4+89)</f>
        <v>46112</v>
      </c>
      <c r="N8990">
        <f>IF(M8990="","",'Master Barang'!A84)</f>
        <v>0</v>
      </c>
      <c r="O8990">
        <f>IF(N8990="","",'Master Barang'!B84)</f>
        <v>0</v>
      </c>
      <c r="P8990">
        <f>IF(OR(M8990="",N8990=""),"",SUMIFS('Barang Keluar'!$E:$E,'Barang Keluar'!$A:$A,M8990,'Barang Keluar'!$C:$C,N8990))</f>
        <v>0</v>
      </c>
    </row>
    <row r="8991" spans="13:16">
      <c r="M8991" s="49">
        <f>IF($A$4+89&gt;$B$4,"",$A$4+89)</f>
        <v>46112</v>
      </c>
      <c r="N8991">
        <f>IF(M8991="","",'Master Barang'!A85)</f>
        <v>0</v>
      </c>
      <c r="O8991">
        <f>IF(N8991="","",'Master Barang'!B85)</f>
        <v>0</v>
      </c>
      <c r="P8991">
        <f>IF(OR(M8991="",N8991=""),"",SUMIFS('Barang Keluar'!$E:$E,'Barang Keluar'!$A:$A,M8991,'Barang Keluar'!$C:$C,N8991))</f>
        <v>0</v>
      </c>
    </row>
    <row r="8992" spans="13:16">
      <c r="M8992" s="49">
        <f>IF($A$4+89&gt;$B$4,"",$A$4+89)</f>
        <v>46112</v>
      </c>
      <c r="N8992">
        <f>IF(M8992="","",'Master Barang'!A86)</f>
        <v>0</v>
      </c>
      <c r="O8992">
        <f>IF(N8992="","",'Master Barang'!B86)</f>
        <v>0</v>
      </c>
      <c r="P8992">
        <f>IF(OR(M8992="",N8992=""),"",SUMIFS('Barang Keluar'!$E:$E,'Barang Keluar'!$A:$A,M8992,'Barang Keluar'!$C:$C,N8992))</f>
        <v>0</v>
      </c>
    </row>
    <row r="8993" spans="13:16">
      <c r="M8993" s="49">
        <f>IF($A$4+89&gt;$B$4,"",$A$4+89)</f>
        <v>46112</v>
      </c>
      <c r="N8993">
        <f>IF(M8993="","",'Master Barang'!A87)</f>
        <v>0</v>
      </c>
      <c r="O8993">
        <f>IF(N8993="","",'Master Barang'!B87)</f>
        <v>0</v>
      </c>
      <c r="P8993">
        <f>IF(OR(M8993="",N8993=""),"",SUMIFS('Barang Keluar'!$E:$E,'Barang Keluar'!$A:$A,M8993,'Barang Keluar'!$C:$C,N8993))</f>
        <v>0</v>
      </c>
    </row>
    <row r="8994" spans="13:16">
      <c r="M8994" s="49">
        <f>IF($A$4+89&gt;$B$4,"",$A$4+89)</f>
        <v>46112</v>
      </c>
      <c r="N8994">
        <f>IF(M8994="","",'Master Barang'!A88)</f>
        <v>0</v>
      </c>
      <c r="O8994">
        <f>IF(N8994="","",'Master Barang'!B88)</f>
        <v>0</v>
      </c>
      <c r="P8994">
        <f>IF(OR(M8994="",N8994=""),"",SUMIFS('Barang Keluar'!$E:$E,'Barang Keluar'!$A:$A,M8994,'Barang Keluar'!$C:$C,N8994))</f>
        <v>0</v>
      </c>
    </row>
    <row r="8995" spans="13:16">
      <c r="M8995" s="49">
        <f>IF($A$4+89&gt;$B$4,"",$A$4+89)</f>
        <v>46112</v>
      </c>
      <c r="N8995">
        <f>IF(M8995="","",'Master Barang'!A89)</f>
        <v>0</v>
      </c>
      <c r="O8995">
        <f>IF(N8995="","",'Master Barang'!B89)</f>
        <v>0</v>
      </c>
      <c r="P8995">
        <f>IF(OR(M8995="",N8995=""),"",SUMIFS('Barang Keluar'!$E:$E,'Barang Keluar'!$A:$A,M8995,'Barang Keluar'!$C:$C,N8995))</f>
        <v>0</v>
      </c>
    </row>
    <row r="8996" spans="13:16">
      <c r="M8996" s="49">
        <f>IF($A$4+89&gt;$B$4,"",$A$4+89)</f>
        <v>46112</v>
      </c>
      <c r="N8996">
        <f>IF(M8996="","",'Master Barang'!A90)</f>
        <v>0</v>
      </c>
      <c r="O8996">
        <f>IF(N8996="","",'Master Barang'!B90)</f>
        <v>0</v>
      </c>
      <c r="P8996">
        <f>IF(OR(M8996="",N8996=""),"",SUMIFS('Barang Keluar'!$E:$E,'Barang Keluar'!$A:$A,M8996,'Barang Keluar'!$C:$C,N8996))</f>
        <v>0</v>
      </c>
    </row>
    <row r="8997" spans="13:16">
      <c r="M8997" s="49">
        <f>IF($A$4+89&gt;$B$4,"",$A$4+89)</f>
        <v>46112</v>
      </c>
      <c r="N8997">
        <f>IF(M8997="","",'Master Barang'!A91)</f>
        <v>0</v>
      </c>
      <c r="O8997">
        <f>IF(N8997="","",'Master Barang'!B91)</f>
        <v>0</v>
      </c>
      <c r="P8997">
        <f>IF(OR(M8997="",N8997=""),"",SUMIFS('Barang Keluar'!$E:$E,'Barang Keluar'!$A:$A,M8997,'Barang Keluar'!$C:$C,N8997))</f>
        <v>0</v>
      </c>
    </row>
    <row r="8998" spans="13:16">
      <c r="M8998" s="49">
        <f>IF($A$4+89&gt;$B$4,"",$A$4+89)</f>
        <v>46112</v>
      </c>
      <c r="N8998">
        <f>IF(M8998="","",'Master Barang'!A92)</f>
        <v>0</v>
      </c>
      <c r="O8998">
        <f>IF(N8998="","",'Master Barang'!B92)</f>
        <v>0</v>
      </c>
      <c r="P8998">
        <f>IF(OR(M8998="",N8998=""),"",SUMIFS('Barang Keluar'!$E:$E,'Barang Keluar'!$A:$A,M8998,'Barang Keluar'!$C:$C,N8998))</f>
        <v>0</v>
      </c>
    </row>
    <row r="8999" spans="13:16">
      <c r="M8999" s="49">
        <f>IF($A$4+89&gt;$B$4,"",$A$4+89)</f>
        <v>46112</v>
      </c>
      <c r="N8999">
        <f>IF(M8999="","",'Master Barang'!A93)</f>
        <v>0</v>
      </c>
      <c r="O8999">
        <f>IF(N8999="","",'Master Barang'!B93)</f>
        <v>0</v>
      </c>
      <c r="P8999">
        <f>IF(OR(M8999="",N8999=""),"",SUMIFS('Barang Keluar'!$E:$E,'Barang Keluar'!$A:$A,M8999,'Barang Keluar'!$C:$C,N8999))</f>
        <v>0</v>
      </c>
    </row>
    <row r="9000" spans="13:16">
      <c r="M9000" s="49">
        <f>IF($A$4+89&gt;$B$4,"",$A$4+89)</f>
        <v>46112</v>
      </c>
      <c r="N9000">
        <f>IF(M9000="","",'Master Barang'!A94)</f>
        <v>0</v>
      </c>
      <c r="O9000">
        <f>IF(N9000="","",'Master Barang'!B94)</f>
        <v>0</v>
      </c>
      <c r="P9000">
        <f>IF(OR(M9000="",N9000=""),"",SUMIFS('Barang Keluar'!$E:$E,'Barang Keluar'!$A:$A,M9000,'Barang Keluar'!$C:$C,N9000))</f>
        <v>0</v>
      </c>
    </row>
    <row r="9001" spans="13:16">
      <c r="M9001" s="49">
        <f>IF($A$4+89&gt;$B$4,"",$A$4+89)</f>
        <v>46112</v>
      </c>
      <c r="N9001">
        <f>IF(M9001="","",'Master Barang'!A95)</f>
        <v>0</v>
      </c>
      <c r="O9001">
        <f>IF(N9001="","",'Master Barang'!B95)</f>
        <v>0</v>
      </c>
      <c r="P9001">
        <f>IF(OR(M9001="",N9001=""),"",SUMIFS('Barang Keluar'!$E:$E,'Barang Keluar'!$A:$A,M9001,'Barang Keluar'!$C:$C,N9001))</f>
        <v>0</v>
      </c>
    </row>
    <row r="9002" spans="13:16">
      <c r="M9002" s="49">
        <f>IF($A$4+89&gt;$B$4,"",$A$4+89)</f>
        <v>46112</v>
      </c>
      <c r="N9002">
        <f>IF(M9002="","",'Master Barang'!A96)</f>
        <v>0</v>
      </c>
      <c r="O9002">
        <f>IF(N9002="","",'Master Barang'!B96)</f>
        <v>0</v>
      </c>
      <c r="P9002">
        <f>IF(OR(M9002="",N9002=""),"",SUMIFS('Barang Keluar'!$E:$E,'Barang Keluar'!$A:$A,M9002,'Barang Keluar'!$C:$C,N9002))</f>
        <v>0</v>
      </c>
    </row>
    <row r="9003" spans="13:16">
      <c r="M9003" s="49">
        <f>IF($A$4+89&gt;$B$4,"",$A$4+89)</f>
        <v>46112</v>
      </c>
      <c r="N9003">
        <f>IF(M9003="","",'Master Barang'!A97)</f>
        <v>0</v>
      </c>
      <c r="O9003">
        <f>IF(N9003="","",'Master Barang'!B97)</f>
        <v>0</v>
      </c>
      <c r="P9003">
        <f>IF(OR(M9003="",N9003=""),"",SUMIFS('Barang Keluar'!$E:$E,'Barang Keluar'!$A:$A,M9003,'Barang Keluar'!$C:$C,N9003))</f>
        <v>0</v>
      </c>
    </row>
    <row r="9004" spans="13:16">
      <c r="M9004" s="49">
        <f>IF($A$4+89&gt;$B$4,"",$A$4+89)</f>
        <v>46112</v>
      </c>
      <c r="N9004">
        <f>IF(M9004="","",'Master Barang'!A98)</f>
        <v>0</v>
      </c>
      <c r="O9004">
        <f>IF(N9004="","",'Master Barang'!B98)</f>
        <v>0</v>
      </c>
      <c r="P9004">
        <f>IF(OR(M9004="",N9004=""),"",SUMIFS('Barang Keluar'!$E:$E,'Barang Keluar'!$A:$A,M9004,'Barang Keluar'!$C:$C,N9004))</f>
        <v>0</v>
      </c>
    </row>
    <row r="9005" spans="13:16">
      <c r="M9005" s="49">
        <f>IF($A$4+89&gt;$B$4,"",$A$4+89)</f>
        <v>46112</v>
      </c>
      <c r="N9005">
        <f>IF(M9005="","",'Master Barang'!A99)</f>
        <v>0</v>
      </c>
      <c r="O9005">
        <f>IF(N9005="","",'Master Barang'!B99)</f>
        <v>0</v>
      </c>
      <c r="P9005">
        <f>IF(OR(M9005="",N9005=""),"",SUMIFS('Barang Keluar'!$E:$E,'Barang Keluar'!$A:$A,M9005,'Barang Keluar'!$C:$C,N9005))</f>
        <v>0</v>
      </c>
    </row>
    <row r="9006" spans="13:16">
      <c r="M9006" s="49">
        <f>IF($A$4+89&gt;$B$4,"",$A$4+89)</f>
        <v>46112</v>
      </c>
      <c r="N9006">
        <f>IF(M9006="","",'Master Barang'!A100)</f>
        <v>0</v>
      </c>
      <c r="O9006">
        <f>IF(N9006="","",'Master Barang'!B100)</f>
        <v>0</v>
      </c>
      <c r="P9006">
        <f>IF(OR(M9006="",N9006=""),"",SUMIFS('Barang Keluar'!$E:$E,'Barang Keluar'!$A:$A,M9006,'Barang Keluar'!$C:$C,N9006))</f>
        <v>0</v>
      </c>
    </row>
    <row r="9007" spans="13:16">
      <c r="M9007" s="49">
        <f>IF($A$4+89&gt;$B$4,"",$A$4+89)</f>
        <v>46112</v>
      </c>
      <c r="N9007">
        <f>IF(M9007="","",'Master Barang'!A101)</f>
        <v>0</v>
      </c>
      <c r="O9007">
        <f>IF(N9007="","",'Master Barang'!B101)</f>
        <v>0</v>
      </c>
      <c r="P9007">
        <f>IF(OR(M9007="",N9007=""),"",SUMIFS('Barang Keluar'!$E:$E,'Barang Keluar'!$A:$A,M9007,'Barang Keluar'!$C:$C,N9007))</f>
        <v>0</v>
      </c>
    </row>
    <row r="9008" spans="13:16">
      <c r="M9008" s="49">
        <f>IF($A$4+90&gt;$B$4,"",$A$4+90)</f>
        <v>46113</v>
      </c>
      <c r="N9008" t="str">
        <f>IF(M9008="","",'Master Barang'!A2)</f>
        <v>PRL-001</v>
      </c>
      <c r="O9008" t="str">
        <f>IF(N9008="","",'Master Barang'!B2)</f>
        <v>natura desinfectant food grade 5l</v>
      </c>
      <c r="P9008">
        <f>IF(OR(M9008="",N9008=""),"",SUMIFS('Barang Keluar'!$E:$E,'Barang Keluar'!$A:$A,M9008,'Barang Keluar'!$C:$C,N9008))</f>
        <v>0</v>
      </c>
    </row>
    <row r="9009" spans="13:16">
      <c r="M9009" s="49">
        <f>IF($A$4+90&gt;$B$4,"",$A$4+90)</f>
        <v>46113</v>
      </c>
      <c r="N9009" t="str">
        <f>IF(M9009="","",'Master Barang'!A3)</f>
        <v>PRL-002</v>
      </c>
      <c r="O9009" t="str">
        <f>IF(N9009="","",'Master Barang'!B3)</f>
        <v>sunlight cairan pencuci piring 5l</v>
      </c>
      <c r="P9009">
        <f>IF(OR(M9009="",N9009=""),"",SUMIFS('Barang Keluar'!$E:$E,'Barang Keluar'!$A:$A,M9009,'Barang Keluar'!$C:$C,N9009))</f>
        <v>0</v>
      </c>
    </row>
    <row r="9010" spans="13:16">
      <c r="M9010" s="49">
        <f>IF($A$4+90&gt;$B$4,"",$A$4+90)</f>
        <v>46113</v>
      </c>
      <c r="N9010" t="str">
        <f>IF(M9010="","",'Master Barang'!A4)</f>
        <v>PRL-003</v>
      </c>
      <c r="O9010" t="str">
        <f>IF(N9010="","",'Master Barang'!B4)</f>
        <v>oixs cleaner 1l</v>
      </c>
      <c r="P9010">
        <f>IF(OR(M9010="",N9010=""),"",SUMIFS('Barang Keluar'!$E:$E,'Barang Keluar'!$A:$A,M9010,'Barang Keluar'!$C:$C,N9010))</f>
        <v>0</v>
      </c>
    </row>
    <row r="9011" spans="13:16">
      <c r="M9011" s="49">
        <f>IF($A$4+90&gt;$B$4,"",$A$4+90)</f>
        <v>46113</v>
      </c>
      <c r="N9011" t="str">
        <f>IF(M9011="","",'Master Barang'!A5)</f>
        <v>PRL-004</v>
      </c>
      <c r="O9011" t="str">
        <f>IF(N9011="","",'Master Barang'!B5)</f>
        <v>be clean tissue serbaguna</v>
      </c>
      <c r="P9011">
        <f>IF(OR(M9011="",N9011=""),"",SUMIFS('Barang Keluar'!$E:$E,'Barang Keluar'!$A:$A,M9011,'Barang Keluar'!$C:$C,N9011))</f>
        <v>0</v>
      </c>
    </row>
    <row r="9012" spans="13:16">
      <c r="M9012" s="49">
        <f>IF($A$4+90&gt;$B$4,"",$A$4+90)</f>
        <v>46113</v>
      </c>
      <c r="N9012" t="str">
        <f>IF(M9012="","",'Master Barang'!A6)</f>
        <v>PRL-005</v>
      </c>
      <c r="O9012" t="str">
        <f>IF(N9012="","",'Master Barang'!B6)</f>
        <v>spons cuci hijau</v>
      </c>
      <c r="P9012">
        <f>IF(OR(M9012="",N9012=""),"",SUMIFS('Barang Keluar'!$E:$E,'Barang Keluar'!$A:$A,M9012,'Barang Keluar'!$C:$C,N9012))</f>
        <v>0</v>
      </c>
    </row>
    <row r="9013" spans="13:16">
      <c r="M9013" s="49">
        <f>IF($A$4+90&gt;$B$4,"",$A$4+90)</f>
        <v>46113</v>
      </c>
      <c r="N9013" t="str">
        <f>IF(M9013="","",'Master Barang'!A7)</f>
        <v>PRL-006</v>
      </c>
      <c r="O9013" t="str">
        <f>IF(N9013="","",'Master Barang'!B7)</f>
        <v>sabut cuci stainless</v>
      </c>
      <c r="P9013">
        <f>IF(OR(M9013="",N9013=""),"",SUMIFS('Barang Keluar'!$E:$E,'Barang Keluar'!$A:$A,M9013,'Barang Keluar'!$C:$C,N9013))</f>
        <v>0</v>
      </c>
    </row>
    <row r="9014" spans="13:16">
      <c r="M9014" s="49">
        <f>IF($A$4+90&gt;$B$4,"",$A$4+90)</f>
        <v>46113</v>
      </c>
      <c r="N9014" t="str">
        <f>IF(M9014="","",'Master Barang'!A8)</f>
        <v>PRL-007</v>
      </c>
      <c r="O9014" t="str">
        <f>IF(N9014="","",'Master Barang'!B8)</f>
        <v>plastik kresek besar merah 50pc</v>
      </c>
      <c r="P9014">
        <f>IF(OR(M9014="",N9014=""),"",SUMIFS('Barang Keluar'!$E:$E,'Barang Keluar'!$A:$A,M9014,'Barang Keluar'!$C:$C,N9014))</f>
        <v>0</v>
      </c>
    </row>
    <row r="9015" spans="13:16">
      <c r="M9015" s="49">
        <f>IF($A$4+90&gt;$B$4,"",$A$4+90)</f>
        <v>46113</v>
      </c>
      <c r="N9015" t="str">
        <f>IF(M9015="","",'Master Barang'!A9)</f>
        <v>PRL-008</v>
      </c>
      <c r="O9015" t="str">
        <f>IF(N9015="","",'Master Barang'!B9)</f>
        <v>lap besar</v>
      </c>
      <c r="P9015">
        <f>IF(OR(M9015="",N9015=""),"",SUMIFS('Barang Keluar'!$E:$E,'Barang Keluar'!$A:$A,M9015,'Barang Keluar'!$C:$C,N9015))</f>
        <v>0</v>
      </c>
    </row>
    <row r="9016" spans="13:16">
      <c r="M9016" s="49">
        <f>IF($A$4+90&gt;$B$4,"",$A$4+90)</f>
        <v>46113</v>
      </c>
      <c r="N9016" t="str">
        <f>IF(M9016="","",'Master Barang'!A10)</f>
        <v>PRL-009</v>
      </c>
      <c r="O9016" t="str">
        <f>IF(N9016="","",'Master Barang'!B10)</f>
        <v>lap microfiber</v>
      </c>
      <c r="P9016">
        <f>IF(OR(M9016="",N9016=""),"",SUMIFS('Barang Keluar'!$E:$E,'Barang Keluar'!$A:$A,M9016,'Barang Keluar'!$C:$C,N9016))</f>
        <v>0</v>
      </c>
    </row>
    <row r="9017" spans="13:16">
      <c r="M9017" s="49">
        <f>IF($A$4+90&gt;$B$4,"",$A$4+90)</f>
        <v>46113</v>
      </c>
      <c r="N9017" t="str">
        <f>IF(M9017="","",'Master Barang'!A11)</f>
        <v>PRL-010</v>
      </c>
      <c r="O9017" t="str">
        <f>IF(N9017="","",'Master Barang'!B11)</f>
        <v>lap kecil</v>
      </c>
      <c r="P9017">
        <f>IF(OR(M9017="",N9017=""),"",SUMIFS('Barang Keluar'!$E:$E,'Barang Keluar'!$A:$A,M9017,'Barang Keluar'!$C:$C,N9017))</f>
        <v>0</v>
      </c>
    </row>
    <row r="9018" spans="13:16">
      <c r="M9018" s="49">
        <f>IF($A$4+90&gt;$B$4,"",$A$4+90)</f>
        <v>46113</v>
      </c>
      <c r="N9018" t="str">
        <f>IF(M9018="","",'Master Barang'!A12)</f>
        <v>PRL-011</v>
      </c>
      <c r="O9018" t="str">
        <f>IF(N9018="","",'Master Barang'!B12)</f>
        <v>kanebo kecil</v>
      </c>
      <c r="P9018">
        <f>IF(OR(M9018="",N9018=""),"",SUMIFS('Barang Keluar'!$E:$E,'Barang Keluar'!$A:$A,M9018,'Barang Keluar'!$C:$C,N9018))</f>
        <v>0</v>
      </c>
    </row>
    <row r="9019" spans="13:16">
      <c r="M9019" s="49">
        <f>IF($A$4+90&gt;$B$4,"",$A$4+90)</f>
        <v>46113</v>
      </c>
      <c r="N9019" t="str">
        <f>IF(M9019="","",'Master Barang'!A13)</f>
        <v>PRL-012</v>
      </c>
      <c r="O9019" t="str">
        <f>IF(N9019="","",'Master Barang'!B13)</f>
        <v>plastik 1/4kg joyoboyo 100 lembar</v>
      </c>
      <c r="P9019">
        <f>IF(OR(M9019="",N9019=""),"",SUMIFS('Barang Keluar'!$E:$E,'Barang Keluar'!$A:$A,M9019,'Barang Keluar'!$C:$C,N9019))</f>
        <v>0</v>
      </c>
    </row>
    <row r="9020" spans="13:16">
      <c r="M9020" s="49">
        <f>IF($A$4+90&gt;$B$4,"",$A$4+90)</f>
        <v>46113</v>
      </c>
      <c r="N9020" t="str">
        <f>IF(M9020="","",'Master Barang'!A14)</f>
        <v>PRL-013</v>
      </c>
      <c r="O9020" t="str">
        <f>IF(N9020="","",'Master Barang'!B14)</f>
        <v>sarung tangan plastik kaka 100 pcs</v>
      </c>
      <c r="P9020">
        <f>IF(OR(M9020="",N9020=""),"",SUMIFS('Barang Keluar'!$E:$E,'Barang Keluar'!$A:$A,M9020,'Barang Keluar'!$C:$C,N9020))</f>
        <v>0</v>
      </c>
    </row>
    <row r="9021" spans="13:16">
      <c r="M9021" s="49">
        <f>IF($A$4+90&gt;$B$4,"",$A$4+90)</f>
        <v>46113</v>
      </c>
      <c r="N9021" t="str">
        <f>IF(M9021="","",'Master Barang'!A15)</f>
        <v>PRL-014</v>
      </c>
      <c r="O9021" t="str">
        <f>IF(N9021="","",'Master Barang'!B15)</f>
        <v>optima trashbag 80x100</v>
      </c>
      <c r="P9021">
        <f>IF(OR(M9021="",N9021=""),"",SUMIFS('Barang Keluar'!$E:$E,'Barang Keluar'!$A:$A,M9021,'Barang Keluar'!$C:$C,N9021))</f>
        <v>0</v>
      </c>
    </row>
    <row r="9022" spans="13:16">
      <c r="M9022" s="49">
        <f>IF($A$4+90&gt;$B$4,"",$A$4+90)</f>
        <v>46113</v>
      </c>
      <c r="N9022" t="str">
        <f>IF(M9022="","",'Master Barang'!A16)</f>
        <v>PRL-015</v>
      </c>
      <c r="O9022" t="str">
        <f>IF(N9022="","",'Master Barang'!B16)</f>
        <v>optima trashbag 60x100</v>
      </c>
      <c r="P9022">
        <f>IF(OR(M9022="",N9022=""),"",SUMIFS('Barang Keluar'!$E:$E,'Barang Keluar'!$A:$A,M9022,'Barang Keluar'!$C:$C,N9022))</f>
        <v>0</v>
      </c>
    </row>
    <row r="9023" spans="13:16">
      <c r="M9023" s="49">
        <f>IF($A$4+90&gt;$B$4,"",$A$4+90)</f>
        <v>46113</v>
      </c>
      <c r="N9023" t="str">
        <f>IF(M9023="","",'Master Barang'!A17)</f>
        <v>PRL-016</v>
      </c>
      <c r="O9023" t="str">
        <f>IF(N9023="","",'Master Barang'!B17)</f>
        <v>rajawali trashbag 30x40</v>
      </c>
      <c r="P9023">
        <f>IF(OR(M9023="",N9023=""),"",SUMIFS('Barang Keluar'!$E:$E,'Barang Keluar'!$A:$A,M9023,'Barang Keluar'!$C:$C,N9023))</f>
        <v>0</v>
      </c>
    </row>
    <row r="9024" spans="13:16">
      <c r="M9024" s="49">
        <f>IF($A$4+90&gt;$B$4,"",$A$4+90)</f>
        <v>46113</v>
      </c>
      <c r="N9024" t="str">
        <f>IF(M9024="","",'Master Barang'!A18)</f>
        <v>PRL-017</v>
      </c>
      <c r="O9024" t="str">
        <f>IF(N9024="","",'Master Barang'!B18)</f>
        <v>onemed masker biru 3 play 50 pcs</v>
      </c>
      <c r="P9024">
        <f>IF(OR(M9024="",N9024=""),"",SUMIFS('Barang Keluar'!$E:$E,'Barang Keluar'!$A:$A,M9024,'Barang Keluar'!$C:$C,N9024))</f>
        <v>0</v>
      </c>
    </row>
    <row r="9025" spans="13:16">
      <c r="M9025" s="49">
        <f>IF($A$4+90&gt;$B$4,"",$A$4+90)</f>
        <v>46113</v>
      </c>
      <c r="N9025" t="str">
        <f>IF(M9025="","",'Master Barang'!A19)</f>
        <v>PRL-018</v>
      </c>
      <c r="O9025" t="str">
        <f>IF(N9025="","",'Master Barang'!B19)</f>
        <v>onemed masker biru 3 play hijab 50 pcs</v>
      </c>
      <c r="P9025">
        <f>IF(OR(M9025="",N9025=""),"",SUMIFS('Barang Keluar'!$E:$E,'Barang Keluar'!$A:$A,M9025,'Barang Keluar'!$C:$C,N9025))</f>
        <v>0</v>
      </c>
    </row>
    <row r="9026" spans="13:16">
      <c r="M9026" s="49">
        <f>IF($A$4+90&gt;$B$4,"",$A$4+90)</f>
        <v>46113</v>
      </c>
      <c r="N9026" t="str">
        <f>IF(M9026="","",'Master Barang'!A20)</f>
        <v>PRL-019</v>
      </c>
      <c r="O9026" t="str">
        <f>IF(N9026="","",'Master Barang'!B20)</f>
        <v>neo health masker biru 3 play 50 pcs</v>
      </c>
      <c r="P9026">
        <f>IF(OR(M9026="",N9026=""),"",SUMIFS('Barang Keluar'!$E:$E,'Barang Keluar'!$A:$A,M9026,'Barang Keluar'!$C:$C,N9026))</f>
        <v>0</v>
      </c>
    </row>
    <row r="9027" spans="13:16">
      <c r="M9027" s="49">
        <f>IF($A$4+90&gt;$B$4,"",$A$4+90)</f>
        <v>46113</v>
      </c>
      <c r="N9027" t="str">
        <f>IF(M9027="","",'Master Barang'!A21)</f>
        <v>PRL-020</v>
      </c>
      <c r="O9027" t="str">
        <f>IF(N9027="","",'Master Barang'!B21)</f>
        <v>baymed masker hijau 3 play hijau 50 pcs</v>
      </c>
      <c r="P9027">
        <f>IF(OR(M9027="",N9027=""),"",SUMIFS('Barang Keluar'!$E:$E,'Barang Keluar'!$A:$A,M9027,'Barang Keluar'!$C:$C,N9027))</f>
        <v>0</v>
      </c>
    </row>
    <row r="9028" spans="13:16">
      <c r="M9028" s="49">
        <f>IF($A$4+90&gt;$B$4,"",$A$4+90)</f>
        <v>46113</v>
      </c>
      <c r="N9028" t="str">
        <f>IF(M9028="","",'Master Barang'!A22)</f>
        <v>PRL-021</v>
      </c>
      <c r="O9028" t="str">
        <f>IF(N9028="","",'Master Barang'!B22)</f>
        <v>altamed nurse cap penutup kepala 100 pcs</v>
      </c>
      <c r="P9028">
        <f>IF(OR(M9028="",N9028=""),"",SUMIFS('Barang Keluar'!$E:$E,'Barang Keluar'!$A:$A,M9028,'Barang Keluar'!$C:$C,N9028))</f>
        <v>0</v>
      </c>
    </row>
    <row r="9029" spans="13:16">
      <c r="M9029" s="49">
        <f>IF($A$4+90&gt;$B$4,"",$A$4+90)</f>
        <v>46113</v>
      </c>
      <c r="N9029" t="str">
        <f>IF(M9029="","",'Master Barang'!A23)</f>
        <v>PRL-022</v>
      </c>
      <c r="O9029" t="str">
        <f>IF(N9029="","",'Master Barang'!B23)</f>
        <v>sabun cuci tangan</v>
      </c>
      <c r="P9029">
        <f>IF(OR(M9029="",N9029=""),"",SUMIFS('Barang Keluar'!$E:$E,'Barang Keluar'!$A:$A,M9029,'Barang Keluar'!$C:$C,N9029))</f>
        <v>0</v>
      </c>
    </row>
    <row r="9030" spans="13:16">
      <c r="M9030" s="49">
        <f>IF($A$4+90&gt;$B$4,"",$A$4+90)</f>
        <v>46113</v>
      </c>
      <c r="N9030" t="str">
        <f>IF(M9030="","",'Master Barang'!A24)</f>
        <v>PRL-023</v>
      </c>
      <c r="O9030" t="str">
        <f>IF(N9030="","",'Master Barang'!B24)</f>
        <v>gayung kecil</v>
      </c>
      <c r="P9030">
        <f>IF(OR(M9030="",N9030=""),"",SUMIFS('Barang Keluar'!$E:$E,'Barang Keluar'!$A:$A,M9030,'Barang Keluar'!$C:$C,N9030))</f>
        <v>0</v>
      </c>
    </row>
    <row r="9031" spans="13:16">
      <c r="M9031" s="49">
        <f>IF($A$4+90&gt;$B$4,"",$A$4+90)</f>
        <v>46113</v>
      </c>
      <c r="N9031" t="str">
        <f>IF(M9031="","",'Master Barang'!A25)</f>
        <v>PRL-024</v>
      </c>
      <c r="O9031" t="str">
        <f>IF(N9031="","",'Master Barang'!B25)</f>
        <v>cikrak kecil</v>
      </c>
      <c r="P9031">
        <f>IF(OR(M9031="",N9031=""),"",SUMIFS('Barang Keluar'!$E:$E,'Barang Keluar'!$A:$A,M9031,'Barang Keluar'!$C:$C,N9031))</f>
        <v>0</v>
      </c>
    </row>
    <row r="9032" spans="13:16">
      <c r="M9032" s="49">
        <f>IF($A$4+90&gt;$B$4,"",$A$4+90)</f>
        <v>46113</v>
      </c>
      <c r="N9032" t="str">
        <f>IF(M9032="","",'Master Barang'!A26)</f>
        <v>PRL-025</v>
      </c>
      <c r="O9032" t="str">
        <f>IF(N9032="","",'Master Barang'!B26)</f>
        <v>petromax plastik kecil 12x24 100 lembar</v>
      </c>
      <c r="P9032">
        <f>IF(OR(M9032="",N9032=""),"",SUMIFS('Barang Keluar'!$E:$E,'Barang Keluar'!$A:$A,M9032,'Barang Keluar'!$C:$C,N9032))</f>
        <v>0</v>
      </c>
    </row>
    <row r="9033" spans="13:16">
      <c r="M9033" s="49">
        <f>IF($A$4+90&gt;$B$4,"",$A$4+90)</f>
        <v>46113</v>
      </c>
      <c r="N9033" t="str">
        <f>IF(M9033="","",'Master Barang'!A27)</f>
        <v>PRL-026</v>
      </c>
      <c r="O9033" t="str">
        <f>IF(N9033="","",'Master Barang'!B27)</f>
        <v>lancar kresek kecil bening </v>
      </c>
      <c r="P9033">
        <f>IF(OR(M9033="",N9033=""),"",SUMIFS('Barang Keluar'!$E:$E,'Barang Keluar'!$A:$A,M9033,'Barang Keluar'!$C:$C,N9033))</f>
        <v>0</v>
      </c>
    </row>
    <row r="9034" spans="13:16">
      <c r="M9034" s="49">
        <f>IF($A$4+90&gt;$B$4,"",$A$4+90)</f>
        <v>46113</v>
      </c>
      <c r="N9034" t="str">
        <f>IF(M9034="","",'Master Barang'!A28)</f>
        <v>PRL-027</v>
      </c>
      <c r="O9034" t="str">
        <f>IF(N9034="","",'Master Barang'!B28)</f>
        <v>kresek klin warna warni kecil</v>
      </c>
      <c r="P9034">
        <f>IF(OR(M9034="",N9034=""),"",SUMIFS('Barang Keluar'!$E:$E,'Barang Keluar'!$A:$A,M9034,'Barang Keluar'!$C:$C,N9034))</f>
        <v>0</v>
      </c>
    </row>
    <row r="9035" spans="13:16">
      <c r="M9035" s="49">
        <f>IF($A$4+90&gt;$B$4,"",$A$4+90)</f>
        <v>46113</v>
      </c>
      <c r="N9035" t="str">
        <f>IF(M9035="","",'Master Barang'!A29)</f>
        <v>PRL-028</v>
      </c>
      <c r="O9035" t="str">
        <f>IF(N9035="","",'Master Barang'!B29)</f>
        <v>ctik plastik 7x10 100 pcs</v>
      </c>
      <c r="P9035">
        <f>IF(OR(M9035="",N9035=""),"",SUMIFS('Barang Keluar'!$E:$E,'Barang Keluar'!$A:$A,M9035,'Barang Keluar'!$C:$C,N9035))</f>
        <v>0</v>
      </c>
    </row>
    <row r="9036" spans="13:16">
      <c r="M9036" s="49">
        <f>IF($A$4+90&gt;$B$4,"",$A$4+90)</f>
        <v>46113</v>
      </c>
      <c r="N9036" t="str">
        <f>IF(M9036="","",'Master Barang'!A30)</f>
        <v>PRL-029</v>
      </c>
      <c r="O9036" t="str">
        <f>IF(N9036="","",'Master Barang'!B30)</f>
        <v>ctik plastik 6x10 100 pcs</v>
      </c>
      <c r="P9036">
        <f>IF(OR(M9036="",N9036=""),"",SUMIFS('Barang Keluar'!$E:$E,'Barang Keluar'!$A:$A,M9036,'Barang Keluar'!$C:$C,N9036))</f>
        <v>0</v>
      </c>
    </row>
    <row r="9037" spans="13:16">
      <c r="M9037" s="49">
        <f>IF($A$4+90&gt;$B$4,"",$A$4+90)</f>
        <v>46113</v>
      </c>
      <c r="N9037" t="str">
        <f>IF(M9037="","",'Master Barang'!A31)</f>
        <v>PRL-030</v>
      </c>
      <c r="O9037" t="str">
        <f>IF(N9037="","",'Master Barang'!B31)</f>
        <v>klip plastik 25x16 100 pcs</v>
      </c>
      <c r="P9037">
        <f>IF(OR(M9037="",N9037=""),"",SUMIFS('Barang Keluar'!$E:$E,'Barang Keluar'!$A:$A,M9037,'Barang Keluar'!$C:$C,N9037))</f>
        <v>0</v>
      </c>
    </row>
    <row r="9038" spans="13:16">
      <c r="M9038" s="49">
        <f>IF($A$4+90&gt;$B$4,"",$A$4+90)</f>
        <v>46113</v>
      </c>
      <c r="N9038" t="str">
        <f>IF(M9038="","",'Master Barang'!A32)</f>
        <v>PRL-031</v>
      </c>
      <c r="O9038" t="str">
        <f>IF(N9038="","",'Master Barang'!B32)</f>
        <v>tempat saus 20 ml</v>
      </c>
      <c r="P9038">
        <f>IF(OR(M9038="",N9038=""),"",SUMIFS('Barang Keluar'!$E:$E,'Barang Keluar'!$A:$A,M9038,'Barang Keluar'!$C:$C,N9038))</f>
        <v>0</v>
      </c>
    </row>
    <row r="9039" spans="13:16">
      <c r="M9039" s="49">
        <f>IF($A$4+90&gt;$B$4,"",$A$4+90)</f>
        <v>46113</v>
      </c>
      <c r="N9039" t="str">
        <f>IF(M9039="","",'Master Barang'!A33)</f>
        <v>PRL-032</v>
      </c>
      <c r="O9039" t="str">
        <f>IF(N9039="","",'Master Barang'!B33)</f>
        <v>plastik packaging ag box uk sedang</v>
      </c>
      <c r="P9039">
        <f>IF(OR(M9039="",N9039=""),"",SUMIFS('Barang Keluar'!$E:$E,'Barang Keluar'!$A:$A,M9039,'Barang Keluar'!$C:$C,N9039))</f>
        <v>0</v>
      </c>
    </row>
    <row r="9040" spans="13:16">
      <c r="M9040" s="49">
        <f>IF($A$4+90&gt;$B$4,"",$A$4+90)</f>
        <v>46113</v>
      </c>
      <c r="N9040" t="str">
        <f>IF(M9040="","",'Master Barang'!A34)</f>
        <v>PRL-033</v>
      </c>
      <c r="O9040">
        <f>IF(N9040="","",'Master Barang'!B34)</f>
        <v>0</v>
      </c>
      <c r="P9040">
        <f>IF(OR(M9040="",N9040=""),"",SUMIFS('Barang Keluar'!$E:$E,'Barang Keluar'!$A:$A,M9040,'Barang Keluar'!$C:$C,N9040))</f>
        <v>0</v>
      </c>
    </row>
    <row r="9041" spans="13:16">
      <c r="M9041" s="49">
        <f>IF($A$4+90&gt;$B$4,"",$A$4+90)</f>
        <v>46113</v>
      </c>
      <c r="N9041">
        <f>IF(M9041="","",'Master Barang'!A35)</f>
        <v>0</v>
      </c>
      <c r="O9041">
        <f>IF(N9041="","",'Master Barang'!B35)</f>
        <v>0</v>
      </c>
      <c r="P9041">
        <f>IF(OR(M9041="",N9041=""),"",SUMIFS('Barang Keluar'!$E:$E,'Barang Keluar'!$A:$A,M9041,'Barang Keluar'!$C:$C,N9041))</f>
        <v>0</v>
      </c>
    </row>
    <row r="9042" spans="13:16">
      <c r="M9042" s="49">
        <f>IF($A$4+90&gt;$B$4,"",$A$4+90)</f>
        <v>46113</v>
      </c>
      <c r="N9042">
        <f>IF(M9042="","",'Master Barang'!A36)</f>
        <v>0</v>
      </c>
      <c r="O9042">
        <f>IF(N9042="","",'Master Barang'!B36)</f>
        <v>0</v>
      </c>
      <c r="P9042">
        <f>IF(OR(M9042="",N9042=""),"",SUMIFS('Barang Keluar'!$E:$E,'Barang Keluar'!$A:$A,M9042,'Barang Keluar'!$C:$C,N9042))</f>
        <v>0</v>
      </c>
    </row>
    <row r="9043" spans="13:16">
      <c r="M9043" s="49">
        <f>IF($A$4+90&gt;$B$4,"",$A$4+90)</f>
        <v>46113</v>
      </c>
      <c r="N9043">
        <f>IF(M9043="","",'Master Barang'!A37)</f>
        <v>0</v>
      </c>
      <c r="O9043">
        <f>IF(N9043="","",'Master Barang'!B37)</f>
        <v>0</v>
      </c>
      <c r="P9043">
        <f>IF(OR(M9043="",N9043=""),"",SUMIFS('Barang Keluar'!$E:$E,'Barang Keluar'!$A:$A,M9043,'Barang Keluar'!$C:$C,N9043))</f>
        <v>0</v>
      </c>
    </row>
    <row r="9044" spans="13:16">
      <c r="M9044" s="49">
        <f>IF($A$4+90&gt;$B$4,"",$A$4+90)</f>
        <v>46113</v>
      </c>
      <c r="N9044">
        <f>IF(M9044="","",'Master Barang'!A38)</f>
        <v>0</v>
      </c>
      <c r="O9044">
        <f>IF(N9044="","",'Master Barang'!B38)</f>
        <v>0</v>
      </c>
      <c r="P9044">
        <f>IF(OR(M9044="",N9044=""),"",SUMIFS('Barang Keluar'!$E:$E,'Barang Keluar'!$A:$A,M9044,'Barang Keluar'!$C:$C,N9044))</f>
        <v>0</v>
      </c>
    </row>
    <row r="9045" spans="13:16">
      <c r="M9045" s="49">
        <f>IF($A$4+90&gt;$B$4,"",$A$4+90)</f>
        <v>46113</v>
      </c>
      <c r="N9045">
        <f>IF(M9045="","",'Master Barang'!A39)</f>
        <v>0</v>
      </c>
      <c r="O9045">
        <f>IF(N9045="","",'Master Barang'!B39)</f>
        <v>0</v>
      </c>
      <c r="P9045">
        <f>IF(OR(M9045="",N9045=""),"",SUMIFS('Barang Keluar'!$E:$E,'Barang Keluar'!$A:$A,M9045,'Barang Keluar'!$C:$C,N9045))</f>
        <v>0</v>
      </c>
    </row>
    <row r="9046" spans="13:16">
      <c r="M9046" s="49">
        <f>IF($A$4+90&gt;$B$4,"",$A$4+90)</f>
        <v>46113</v>
      </c>
      <c r="N9046">
        <f>IF(M9046="","",'Master Barang'!A40)</f>
        <v>0</v>
      </c>
      <c r="O9046">
        <f>IF(N9046="","",'Master Barang'!B40)</f>
        <v>0</v>
      </c>
      <c r="P9046">
        <f>IF(OR(M9046="",N9046=""),"",SUMIFS('Barang Keluar'!$E:$E,'Barang Keluar'!$A:$A,M9046,'Barang Keluar'!$C:$C,N9046))</f>
        <v>0</v>
      </c>
    </row>
    <row r="9047" spans="13:16">
      <c r="M9047" s="49">
        <f>IF($A$4+90&gt;$B$4,"",$A$4+90)</f>
        <v>46113</v>
      </c>
      <c r="N9047">
        <f>IF(M9047="","",'Master Barang'!A41)</f>
        <v>0</v>
      </c>
      <c r="O9047">
        <f>IF(N9047="","",'Master Barang'!B41)</f>
        <v>0</v>
      </c>
      <c r="P9047">
        <f>IF(OR(M9047="",N9047=""),"",SUMIFS('Barang Keluar'!$E:$E,'Barang Keluar'!$A:$A,M9047,'Barang Keluar'!$C:$C,N9047))</f>
        <v>0</v>
      </c>
    </row>
    <row r="9048" spans="13:16">
      <c r="M9048" s="49">
        <f>IF($A$4+90&gt;$B$4,"",$A$4+90)</f>
        <v>46113</v>
      </c>
      <c r="N9048">
        <f>IF(M9048="","",'Master Barang'!A42)</f>
        <v>0</v>
      </c>
      <c r="O9048">
        <f>IF(N9048="","",'Master Barang'!B42)</f>
        <v>0</v>
      </c>
      <c r="P9048">
        <f>IF(OR(M9048="",N9048=""),"",SUMIFS('Barang Keluar'!$E:$E,'Barang Keluar'!$A:$A,M9048,'Barang Keluar'!$C:$C,N9048))</f>
        <v>0</v>
      </c>
    </row>
    <row r="9049" spans="13:16">
      <c r="M9049" s="49">
        <f>IF($A$4+90&gt;$B$4,"",$A$4+90)</f>
        <v>46113</v>
      </c>
      <c r="N9049">
        <f>IF(M9049="","",'Master Barang'!A43)</f>
        <v>0</v>
      </c>
      <c r="O9049">
        <f>IF(N9049="","",'Master Barang'!B43)</f>
        <v>0</v>
      </c>
      <c r="P9049">
        <f>IF(OR(M9049="",N9049=""),"",SUMIFS('Barang Keluar'!$E:$E,'Barang Keluar'!$A:$A,M9049,'Barang Keluar'!$C:$C,N9049))</f>
        <v>0</v>
      </c>
    </row>
    <row r="9050" spans="13:16">
      <c r="M9050" s="49">
        <f>IF($A$4+90&gt;$B$4,"",$A$4+90)</f>
        <v>46113</v>
      </c>
      <c r="N9050">
        <f>IF(M9050="","",'Master Barang'!A44)</f>
        <v>0</v>
      </c>
      <c r="O9050">
        <f>IF(N9050="","",'Master Barang'!B44)</f>
        <v>0</v>
      </c>
      <c r="P9050">
        <f>IF(OR(M9050="",N9050=""),"",SUMIFS('Barang Keluar'!$E:$E,'Barang Keluar'!$A:$A,M9050,'Barang Keluar'!$C:$C,N9050))</f>
        <v>0</v>
      </c>
    </row>
    <row r="9051" spans="13:16">
      <c r="M9051" s="49">
        <f>IF($A$4+90&gt;$B$4,"",$A$4+90)</f>
        <v>46113</v>
      </c>
      <c r="N9051">
        <f>IF(M9051="","",'Master Barang'!A45)</f>
        <v>0</v>
      </c>
      <c r="O9051">
        <f>IF(N9051="","",'Master Barang'!B45)</f>
        <v>0</v>
      </c>
      <c r="P9051">
        <f>IF(OR(M9051="",N9051=""),"",SUMIFS('Barang Keluar'!$E:$E,'Barang Keluar'!$A:$A,M9051,'Barang Keluar'!$C:$C,N9051))</f>
        <v>0</v>
      </c>
    </row>
    <row r="9052" spans="13:16">
      <c r="M9052" s="49">
        <f>IF($A$4+90&gt;$B$4,"",$A$4+90)</f>
        <v>46113</v>
      </c>
      <c r="N9052">
        <f>IF(M9052="","",'Master Barang'!A46)</f>
        <v>0</v>
      </c>
      <c r="O9052">
        <f>IF(N9052="","",'Master Barang'!B46)</f>
        <v>0</v>
      </c>
      <c r="P9052">
        <f>IF(OR(M9052="",N9052=""),"",SUMIFS('Barang Keluar'!$E:$E,'Barang Keluar'!$A:$A,M9052,'Barang Keluar'!$C:$C,N9052))</f>
        <v>0</v>
      </c>
    </row>
    <row r="9053" spans="13:16">
      <c r="M9053" s="49">
        <f>IF($A$4+90&gt;$B$4,"",$A$4+90)</f>
        <v>46113</v>
      </c>
      <c r="N9053">
        <f>IF(M9053="","",'Master Barang'!A47)</f>
        <v>0</v>
      </c>
      <c r="O9053">
        <f>IF(N9053="","",'Master Barang'!B47)</f>
        <v>0</v>
      </c>
      <c r="P9053">
        <f>IF(OR(M9053="",N9053=""),"",SUMIFS('Barang Keluar'!$E:$E,'Barang Keluar'!$A:$A,M9053,'Barang Keluar'!$C:$C,N9053))</f>
        <v>0</v>
      </c>
    </row>
    <row r="9054" spans="13:16">
      <c r="M9054" s="49">
        <f>IF($A$4+90&gt;$B$4,"",$A$4+90)</f>
        <v>46113</v>
      </c>
      <c r="N9054">
        <f>IF(M9054="","",'Master Barang'!A48)</f>
        <v>0</v>
      </c>
      <c r="O9054">
        <f>IF(N9054="","",'Master Barang'!B48)</f>
        <v>0</v>
      </c>
      <c r="P9054">
        <f>IF(OR(M9054="",N9054=""),"",SUMIFS('Barang Keluar'!$E:$E,'Barang Keluar'!$A:$A,M9054,'Barang Keluar'!$C:$C,N9054))</f>
        <v>0</v>
      </c>
    </row>
    <row r="9055" spans="13:16">
      <c r="M9055" s="49">
        <f>IF($A$4+90&gt;$B$4,"",$A$4+90)</f>
        <v>46113</v>
      </c>
      <c r="N9055">
        <f>IF(M9055="","",'Master Barang'!A49)</f>
        <v>0</v>
      </c>
      <c r="O9055">
        <f>IF(N9055="","",'Master Barang'!B49)</f>
        <v>0</v>
      </c>
      <c r="P9055">
        <f>IF(OR(M9055="",N9055=""),"",SUMIFS('Barang Keluar'!$E:$E,'Barang Keluar'!$A:$A,M9055,'Barang Keluar'!$C:$C,N9055))</f>
        <v>0</v>
      </c>
    </row>
    <row r="9056" spans="13:16">
      <c r="M9056" s="49">
        <f>IF($A$4+90&gt;$B$4,"",$A$4+90)</f>
        <v>46113</v>
      </c>
      <c r="N9056">
        <f>IF(M9056="","",'Master Barang'!A50)</f>
        <v>0</v>
      </c>
      <c r="O9056">
        <f>IF(N9056="","",'Master Barang'!B50)</f>
        <v>0</v>
      </c>
      <c r="P9056">
        <f>IF(OR(M9056="",N9056=""),"",SUMIFS('Barang Keluar'!$E:$E,'Barang Keluar'!$A:$A,M9056,'Barang Keluar'!$C:$C,N9056))</f>
        <v>0</v>
      </c>
    </row>
    <row r="9057" spans="13:16">
      <c r="M9057" s="49">
        <f>IF($A$4+90&gt;$B$4,"",$A$4+90)</f>
        <v>46113</v>
      </c>
      <c r="N9057">
        <f>IF(M9057="","",'Master Barang'!A51)</f>
        <v>0</v>
      </c>
      <c r="O9057">
        <f>IF(N9057="","",'Master Barang'!B51)</f>
        <v>0</v>
      </c>
      <c r="P9057">
        <f>IF(OR(M9057="",N9057=""),"",SUMIFS('Barang Keluar'!$E:$E,'Barang Keluar'!$A:$A,M9057,'Barang Keluar'!$C:$C,N9057))</f>
        <v>0</v>
      </c>
    </row>
    <row r="9058" spans="13:16">
      <c r="M9058" s="49">
        <f>IF($A$4+90&gt;$B$4,"",$A$4+90)</f>
        <v>46113</v>
      </c>
      <c r="N9058">
        <f>IF(M9058="","",'Master Barang'!A52)</f>
        <v>0</v>
      </c>
      <c r="O9058">
        <f>IF(N9058="","",'Master Barang'!B52)</f>
        <v>0</v>
      </c>
      <c r="P9058">
        <f>IF(OR(M9058="",N9058=""),"",SUMIFS('Barang Keluar'!$E:$E,'Barang Keluar'!$A:$A,M9058,'Barang Keluar'!$C:$C,N9058))</f>
        <v>0</v>
      </c>
    </row>
    <row r="9059" spans="13:16">
      <c r="M9059" s="49">
        <f>IF($A$4+90&gt;$B$4,"",$A$4+90)</f>
        <v>46113</v>
      </c>
      <c r="N9059">
        <f>IF(M9059="","",'Master Barang'!A53)</f>
        <v>0</v>
      </c>
      <c r="O9059">
        <f>IF(N9059="","",'Master Barang'!B53)</f>
        <v>0</v>
      </c>
      <c r="P9059">
        <f>IF(OR(M9059="",N9059=""),"",SUMIFS('Barang Keluar'!$E:$E,'Barang Keluar'!$A:$A,M9059,'Barang Keluar'!$C:$C,N9059))</f>
        <v>0</v>
      </c>
    </row>
    <row r="9060" spans="13:16">
      <c r="M9060" s="49">
        <f>IF($A$4+90&gt;$B$4,"",$A$4+90)</f>
        <v>46113</v>
      </c>
      <c r="N9060">
        <f>IF(M9060="","",'Master Barang'!A54)</f>
        <v>0</v>
      </c>
      <c r="O9060">
        <f>IF(N9060="","",'Master Barang'!B54)</f>
        <v>0</v>
      </c>
      <c r="P9060">
        <f>IF(OR(M9060="",N9060=""),"",SUMIFS('Barang Keluar'!$E:$E,'Barang Keluar'!$A:$A,M9060,'Barang Keluar'!$C:$C,N9060))</f>
        <v>0</v>
      </c>
    </row>
    <row r="9061" spans="13:16">
      <c r="M9061" s="49">
        <f>IF($A$4+90&gt;$B$4,"",$A$4+90)</f>
        <v>46113</v>
      </c>
      <c r="N9061">
        <f>IF(M9061="","",'Master Barang'!A55)</f>
        <v>0</v>
      </c>
      <c r="O9061">
        <f>IF(N9061="","",'Master Barang'!B55)</f>
        <v>0</v>
      </c>
      <c r="P9061">
        <f>IF(OR(M9061="",N9061=""),"",SUMIFS('Barang Keluar'!$E:$E,'Barang Keluar'!$A:$A,M9061,'Barang Keluar'!$C:$C,N9061))</f>
        <v>0</v>
      </c>
    </row>
    <row r="9062" spans="13:16">
      <c r="M9062" s="49">
        <f>IF($A$4+90&gt;$B$4,"",$A$4+90)</f>
        <v>46113</v>
      </c>
      <c r="N9062">
        <f>IF(M9062="","",'Master Barang'!A56)</f>
        <v>0</v>
      </c>
      <c r="O9062">
        <f>IF(N9062="","",'Master Barang'!B56)</f>
        <v>0</v>
      </c>
      <c r="P9062">
        <f>IF(OR(M9062="",N9062=""),"",SUMIFS('Barang Keluar'!$E:$E,'Barang Keluar'!$A:$A,M9062,'Barang Keluar'!$C:$C,N9062))</f>
        <v>0</v>
      </c>
    </row>
    <row r="9063" spans="13:16">
      <c r="M9063" s="49">
        <f>IF($A$4+90&gt;$B$4,"",$A$4+90)</f>
        <v>46113</v>
      </c>
      <c r="N9063">
        <f>IF(M9063="","",'Master Barang'!A57)</f>
        <v>0</v>
      </c>
      <c r="O9063">
        <f>IF(N9063="","",'Master Barang'!B57)</f>
        <v>0</v>
      </c>
      <c r="P9063">
        <f>IF(OR(M9063="",N9063=""),"",SUMIFS('Barang Keluar'!$E:$E,'Barang Keluar'!$A:$A,M9063,'Barang Keluar'!$C:$C,N9063))</f>
        <v>0</v>
      </c>
    </row>
    <row r="9064" spans="13:16">
      <c r="M9064" s="49">
        <f>IF($A$4+90&gt;$B$4,"",$A$4+90)</f>
        <v>46113</v>
      </c>
      <c r="N9064">
        <f>IF(M9064="","",'Master Barang'!A58)</f>
        <v>0</v>
      </c>
      <c r="O9064">
        <f>IF(N9064="","",'Master Barang'!B58)</f>
        <v>0</v>
      </c>
      <c r="P9064">
        <f>IF(OR(M9064="",N9064=""),"",SUMIFS('Barang Keluar'!$E:$E,'Barang Keluar'!$A:$A,M9064,'Barang Keluar'!$C:$C,N9064))</f>
        <v>0</v>
      </c>
    </row>
    <row r="9065" spans="13:16">
      <c r="M9065" s="49">
        <f>IF($A$4+90&gt;$B$4,"",$A$4+90)</f>
        <v>46113</v>
      </c>
      <c r="N9065">
        <f>IF(M9065="","",'Master Barang'!A59)</f>
        <v>0</v>
      </c>
      <c r="O9065">
        <f>IF(N9065="","",'Master Barang'!B59)</f>
        <v>0</v>
      </c>
      <c r="P9065">
        <f>IF(OR(M9065="",N9065=""),"",SUMIFS('Barang Keluar'!$E:$E,'Barang Keluar'!$A:$A,M9065,'Barang Keluar'!$C:$C,N9065))</f>
        <v>0</v>
      </c>
    </row>
    <row r="9066" spans="13:16">
      <c r="M9066" s="49">
        <f>IF($A$4+90&gt;$B$4,"",$A$4+90)</f>
        <v>46113</v>
      </c>
      <c r="N9066">
        <f>IF(M9066="","",'Master Barang'!A60)</f>
        <v>0</v>
      </c>
      <c r="O9066">
        <f>IF(N9066="","",'Master Barang'!B60)</f>
        <v>0</v>
      </c>
      <c r="P9066">
        <f>IF(OR(M9066="",N9066=""),"",SUMIFS('Barang Keluar'!$E:$E,'Barang Keluar'!$A:$A,M9066,'Barang Keluar'!$C:$C,N9066))</f>
        <v>0</v>
      </c>
    </row>
    <row r="9067" spans="13:16">
      <c r="M9067" s="49">
        <f>IF($A$4+90&gt;$B$4,"",$A$4+90)</f>
        <v>46113</v>
      </c>
      <c r="N9067">
        <f>IF(M9067="","",'Master Barang'!A61)</f>
        <v>0</v>
      </c>
      <c r="O9067">
        <f>IF(N9067="","",'Master Barang'!B61)</f>
        <v>0</v>
      </c>
      <c r="P9067">
        <f>IF(OR(M9067="",N9067=""),"",SUMIFS('Barang Keluar'!$E:$E,'Barang Keluar'!$A:$A,M9067,'Barang Keluar'!$C:$C,N9067))</f>
        <v>0</v>
      </c>
    </row>
    <row r="9068" spans="13:16">
      <c r="M9068" s="49">
        <f>IF($A$4+90&gt;$B$4,"",$A$4+90)</f>
        <v>46113</v>
      </c>
      <c r="N9068">
        <f>IF(M9068="","",'Master Barang'!A62)</f>
        <v>0</v>
      </c>
      <c r="O9068">
        <f>IF(N9068="","",'Master Barang'!B62)</f>
        <v>0</v>
      </c>
      <c r="P9068">
        <f>IF(OR(M9068="",N9068=""),"",SUMIFS('Barang Keluar'!$E:$E,'Barang Keluar'!$A:$A,M9068,'Barang Keluar'!$C:$C,N9068))</f>
        <v>0</v>
      </c>
    </row>
    <row r="9069" spans="13:16">
      <c r="M9069" s="49">
        <f>IF($A$4+90&gt;$B$4,"",$A$4+90)</f>
        <v>46113</v>
      </c>
      <c r="N9069">
        <f>IF(M9069="","",'Master Barang'!A63)</f>
        <v>0</v>
      </c>
      <c r="O9069">
        <f>IF(N9069="","",'Master Barang'!B63)</f>
        <v>0</v>
      </c>
      <c r="P9069">
        <f>IF(OR(M9069="",N9069=""),"",SUMIFS('Barang Keluar'!$E:$E,'Barang Keluar'!$A:$A,M9069,'Barang Keluar'!$C:$C,N9069))</f>
        <v>0</v>
      </c>
    </row>
    <row r="9070" spans="13:16">
      <c r="M9070" s="49">
        <f>IF($A$4+90&gt;$B$4,"",$A$4+90)</f>
        <v>46113</v>
      </c>
      <c r="N9070">
        <f>IF(M9070="","",'Master Barang'!A64)</f>
        <v>0</v>
      </c>
      <c r="O9070">
        <f>IF(N9070="","",'Master Barang'!B64)</f>
        <v>0</v>
      </c>
      <c r="P9070">
        <f>IF(OR(M9070="",N9070=""),"",SUMIFS('Barang Keluar'!$E:$E,'Barang Keluar'!$A:$A,M9070,'Barang Keluar'!$C:$C,N9070))</f>
        <v>0</v>
      </c>
    </row>
    <row r="9071" spans="13:16">
      <c r="M9071" s="49">
        <f>IF($A$4+90&gt;$B$4,"",$A$4+90)</f>
        <v>46113</v>
      </c>
      <c r="N9071">
        <f>IF(M9071="","",'Master Barang'!A65)</f>
        <v>0</v>
      </c>
      <c r="O9071">
        <f>IF(N9071="","",'Master Barang'!B65)</f>
        <v>0</v>
      </c>
      <c r="P9071">
        <f>IF(OR(M9071="",N9071=""),"",SUMIFS('Barang Keluar'!$E:$E,'Barang Keluar'!$A:$A,M9071,'Barang Keluar'!$C:$C,N9071))</f>
        <v>0</v>
      </c>
    </row>
    <row r="9072" spans="13:16">
      <c r="M9072" s="49">
        <f>IF($A$4+90&gt;$B$4,"",$A$4+90)</f>
        <v>46113</v>
      </c>
      <c r="N9072">
        <f>IF(M9072="","",'Master Barang'!A66)</f>
        <v>0</v>
      </c>
      <c r="O9072">
        <f>IF(N9072="","",'Master Barang'!B66)</f>
        <v>0</v>
      </c>
      <c r="P9072">
        <f>IF(OR(M9072="",N9072=""),"",SUMIFS('Barang Keluar'!$E:$E,'Barang Keluar'!$A:$A,M9072,'Barang Keluar'!$C:$C,N9072))</f>
        <v>0</v>
      </c>
    </row>
    <row r="9073" spans="13:16">
      <c r="M9073" s="49">
        <f>IF($A$4+90&gt;$B$4,"",$A$4+90)</f>
        <v>46113</v>
      </c>
      <c r="N9073">
        <f>IF(M9073="","",'Master Barang'!A67)</f>
        <v>0</v>
      </c>
      <c r="O9073">
        <f>IF(N9073="","",'Master Barang'!B67)</f>
        <v>0</v>
      </c>
      <c r="P9073">
        <f>IF(OR(M9073="",N9073=""),"",SUMIFS('Barang Keluar'!$E:$E,'Barang Keluar'!$A:$A,M9073,'Barang Keluar'!$C:$C,N9073))</f>
        <v>0</v>
      </c>
    </row>
    <row r="9074" spans="13:16">
      <c r="M9074" s="49">
        <f>IF($A$4+90&gt;$B$4,"",$A$4+90)</f>
        <v>46113</v>
      </c>
      <c r="N9074">
        <f>IF(M9074="","",'Master Barang'!A68)</f>
        <v>0</v>
      </c>
      <c r="O9074">
        <f>IF(N9074="","",'Master Barang'!B68)</f>
        <v>0</v>
      </c>
      <c r="P9074">
        <f>IF(OR(M9074="",N9074=""),"",SUMIFS('Barang Keluar'!$E:$E,'Barang Keluar'!$A:$A,M9074,'Barang Keluar'!$C:$C,N9074))</f>
        <v>0</v>
      </c>
    </row>
    <row r="9075" spans="13:16">
      <c r="M9075" s="49">
        <f>IF($A$4+90&gt;$B$4,"",$A$4+90)</f>
        <v>46113</v>
      </c>
      <c r="N9075">
        <f>IF(M9075="","",'Master Barang'!A69)</f>
        <v>0</v>
      </c>
      <c r="O9075">
        <f>IF(N9075="","",'Master Barang'!B69)</f>
        <v>0</v>
      </c>
      <c r="P9075">
        <f>IF(OR(M9075="",N9075=""),"",SUMIFS('Barang Keluar'!$E:$E,'Barang Keluar'!$A:$A,M9075,'Barang Keluar'!$C:$C,N9075))</f>
        <v>0</v>
      </c>
    </row>
    <row r="9076" spans="13:16">
      <c r="M9076" s="49">
        <f>IF($A$4+90&gt;$B$4,"",$A$4+90)</f>
        <v>46113</v>
      </c>
      <c r="N9076">
        <f>IF(M9076="","",'Master Barang'!A70)</f>
        <v>0</v>
      </c>
      <c r="O9076">
        <f>IF(N9076="","",'Master Barang'!B70)</f>
        <v>0</v>
      </c>
      <c r="P9076">
        <f>IF(OR(M9076="",N9076=""),"",SUMIFS('Barang Keluar'!$E:$E,'Barang Keluar'!$A:$A,M9076,'Barang Keluar'!$C:$C,N9076))</f>
        <v>0</v>
      </c>
    </row>
    <row r="9077" spans="13:16">
      <c r="M9077" s="49">
        <f>IF($A$4+90&gt;$B$4,"",$A$4+90)</f>
        <v>46113</v>
      </c>
      <c r="N9077">
        <f>IF(M9077="","",'Master Barang'!A71)</f>
        <v>0</v>
      </c>
      <c r="O9077">
        <f>IF(N9077="","",'Master Barang'!B71)</f>
        <v>0</v>
      </c>
      <c r="P9077">
        <f>IF(OR(M9077="",N9077=""),"",SUMIFS('Barang Keluar'!$E:$E,'Barang Keluar'!$A:$A,M9077,'Barang Keluar'!$C:$C,N9077))</f>
        <v>0</v>
      </c>
    </row>
    <row r="9078" spans="13:16">
      <c r="M9078" s="49">
        <f>IF($A$4+90&gt;$B$4,"",$A$4+90)</f>
        <v>46113</v>
      </c>
      <c r="N9078">
        <f>IF(M9078="","",'Master Barang'!A72)</f>
        <v>0</v>
      </c>
      <c r="O9078">
        <f>IF(N9078="","",'Master Barang'!B72)</f>
        <v>0</v>
      </c>
      <c r="P9078">
        <f>IF(OR(M9078="",N9078=""),"",SUMIFS('Barang Keluar'!$E:$E,'Barang Keluar'!$A:$A,M9078,'Barang Keluar'!$C:$C,N9078))</f>
        <v>0</v>
      </c>
    </row>
    <row r="9079" spans="13:16">
      <c r="M9079" s="49">
        <f>IF($A$4+90&gt;$B$4,"",$A$4+90)</f>
        <v>46113</v>
      </c>
      <c r="N9079">
        <f>IF(M9079="","",'Master Barang'!A73)</f>
        <v>0</v>
      </c>
      <c r="O9079">
        <f>IF(N9079="","",'Master Barang'!B73)</f>
        <v>0</v>
      </c>
      <c r="P9079">
        <f>IF(OR(M9079="",N9079=""),"",SUMIFS('Barang Keluar'!$E:$E,'Barang Keluar'!$A:$A,M9079,'Barang Keluar'!$C:$C,N9079))</f>
        <v>0</v>
      </c>
    </row>
    <row r="9080" spans="13:16">
      <c r="M9080" s="49">
        <f>IF($A$4+90&gt;$B$4,"",$A$4+90)</f>
        <v>46113</v>
      </c>
      <c r="N9080">
        <f>IF(M9080="","",'Master Barang'!A74)</f>
        <v>0</v>
      </c>
      <c r="O9080">
        <f>IF(N9080="","",'Master Barang'!B74)</f>
        <v>0</v>
      </c>
      <c r="P9080">
        <f>IF(OR(M9080="",N9080=""),"",SUMIFS('Barang Keluar'!$E:$E,'Barang Keluar'!$A:$A,M9080,'Barang Keluar'!$C:$C,N9080))</f>
        <v>0</v>
      </c>
    </row>
    <row r="9081" spans="13:16">
      <c r="M9081" s="49">
        <f>IF($A$4+90&gt;$B$4,"",$A$4+90)</f>
        <v>46113</v>
      </c>
      <c r="N9081">
        <f>IF(M9081="","",'Master Barang'!A75)</f>
        <v>0</v>
      </c>
      <c r="O9081">
        <f>IF(N9081="","",'Master Barang'!B75)</f>
        <v>0</v>
      </c>
      <c r="P9081">
        <f>IF(OR(M9081="",N9081=""),"",SUMIFS('Barang Keluar'!$E:$E,'Barang Keluar'!$A:$A,M9081,'Barang Keluar'!$C:$C,N9081))</f>
        <v>0</v>
      </c>
    </row>
    <row r="9082" spans="13:16">
      <c r="M9082" s="49">
        <f>IF($A$4+90&gt;$B$4,"",$A$4+90)</f>
        <v>46113</v>
      </c>
      <c r="N9082">
        <f>IF(M9082="","",'Master Barang'!A76)</f>
        <v>0</v>
      </c>
      <c r="O9082">
        <f>IF(N9082="","",'Master Barang'!B76)</f>
        <v>0</v>
      </c>
      <c r="P9082">
        <f>IF(OR(M9082="",N9082=""),"",SUMIFS('Barang Keluar'!$E:$E,'Barang Keluar'!$A:$A,M9082,'Barang Keluar'!$C:$C,N9082))</f>
        <v>0</v>
      </c>
    </row>
    <row r="9083" spans="13:16">
      <c r="M9083" s="49">
        <f>IF($A$4+90&gt;$B$4,"",$A$4+90)</f>
        <v>46113</v>
      </c>
      <c r="N9083">
        <f>IF(M9083="","",'Master Barang'!A77)</f>
        <v>0</v>
      </c>
      <c r="O9083">
        <f>IF(N9083="","",'Master Barang'!B77)</f>
        <v>0</v>
      </c>
      <c r="P9083">
        <f>IF(OR(M9083="",N9083=""),"",SUMIFS('Barang Keluar'!$E:$E,'Barang Keluar'!$A:$A,M9083,'Barang Keluar'!$C:$C,N9083))</f>
        <v>0</v>
      </c>
    </row>
    <row r="9084" spans="13:16">
      <c r="M9084" s="49">
        <f>IF($A$4+90&gt;$B$4,"",$A$4+90)</f>
        <v>46113</v>
      </c>
      <c r="N9084">
        <f>IF(M9084="","",'Master Barang'!A78)</f>
        <v>0</v>
      </c>
      <c r="O9084">
        <f>IF(N9084="","",'Master Barang'!B78)</f>
        <v>0</v>
      </c>
      <c r="P9084">
        <f>IF(OR(M9084="",N9084=""),"",SUMIFS('Barang Keluar'!$E:$E,'Barang Keluar'!$A:$A,M9084,'Barang Keluar'!$C:$C,N9084))</f>
        <v>0</v>
      </c>
    </row>
    <row r="9085" spans="13:16">
      <c r="M9085" s="49">
        <f>IF($A$4+90&gt;$B$4,"",$A$4+90)</f>
        <v>46113</v>
      </c>
      <c r="N9085">
        <f>IF(M9085="","",'Master Barang'!A79)</f>
        <v>0</v>
      </c>
      <c r="O9085">
        <f>IF(N9085="","",'Master Barang'!B79)</f>
        <v>0</v>
      </c>
      <c r="P9085">
        <f>IF(OR(M9085="",N9085=""),"",SUMIFS('Barang Keluar'!$E:$E,'Barang Keluar'!$A:$A,M9085,'Barang Keluar'!$C:$C,N9085))</f>
        <v>0</v>
      </c>
    </row>
    <row r="9086" spans="13:16">
      <c r="M9086" s="49">
        <f>IF($A$4+90&gt;$B$4,"",$A$4+90)</f>
        <v>46113</v>
      </c>
      <c r="N9086">
        <f>IF(M9086="","",'Master Barang'!A80)</f>
        <v>0</v>
      </c>
      <c r="O9086">
        <f>IF(N9086="","",'Master Barang'!B80)</f>
        <v>0</v>
      </c>
      <c r="P9086">
        <f>IF(OR(M9086="",N9086=""),"",SUMIFS('Barang Keluar'!$E:$E,'Barang Keluar'!$A:$A,M9086,'Barang Keluar'!$C:$C,N9086))</f>
        <v>0</v>
      </c>
    </row>
    <row r="9087" spans="13:16">
      <c r="M9087" s="49">
        <f>IF($A$4+90&gt;$B$4,"",$A$4+90)</f>
        <v>46113</v>
      </c>
      <c r="N9087">
        <f>IF(M9087="","",'Master Barang'!A81)</f>
        <v>0</v>
      </c>
      <c r="O9087">
        <f>IF(N9087="","",'Master Barang'!B81)</f>
        <v>0</v>
      </c>
      <c r="P9087">
        <f>IF(OR(M9087="",N9087=""),"",SUMIFS('Barang Keluar'!$E:$E,'Barang Keluar'!$A:$A,M9087,'Barang Keluar'!$C:$C,N9087))</f>
        <v>0</v>
      </c>
    </row>
    <row r="9088" spans="13:16">
      <c r="M9088" s="49">
        <f>IF($A$4+90&gt;$B$4,"",$A$4+90)</f>
        <v>46113</v>
      </c>
      <c r="N9088">
        <f>IF(M9088="","",'Master Barang'!A82)</f>
        <v>0</v>
      </c>
      <c r="O9088">
        <f>IF(N9088="","",'Master Barang'!B82)</f>
        <v>0</v>
      </c>
      <c r="P9088">
        <f>IF(OR(M9088="",N9088=""),"",SUMIFS('Barang Keluar'!$E:$E,'Barang Keluar'!$A:$A,M9088,'Barang Keluar'!$C:$C,N9088))</f>
        <v>0</v>
      </c>
    </row>
    <row r="9089" spans="13:16">
      <c r="M9089" s="49">
        <f>IF($A$4+90&gt;$B$4,"",$A$4+90)</f>
        <v>46113</v>
      </c>
      <c r="N9089">
        <f>IF(M9089="","",'Master Barang'!A83)</f>
        <v>0</v>
      </c>
      <c r="O9089">
        <f>IF(N9089="","",'Master Barang'!B83)</f>
        <v>0</v>
      </c>
      <c r="P9089">
        <f>IF(OR(M9089="",N9089=""),"",SUMIFS('Barang Keluar'!$E:$E,'Barang Keluar'!$A:$A,M9089,'Barang Keluar'!$C:$C,N9089))</f>
        <v>0</v>
      </c>
    </row>
    <row r="9090" spans="13:16">
      <c r="M9090" s="49">
        <f>IF($A$4+90&gt;$B$4,"",$A$4+90)</f>
        <v>46113</v>
      </c>
      <c r="N9090">
        <f>IF(M9090="","",'Master Barang'!A84)</f>
        <v>0</v>
      </c>
      <c r="O9090">
        <f>IF(N9090="","",'Master Barang'!B84)</f>
        <v>0</v>
      </c>
      <c r="P9090">
        <f>IF(OR(M9090="",N9090=""),"",SUMIFS('Barang Keluar'!$E:$E,'Barang Keluar'!$A:$A,M9090,'Barang Keluar'!$C:$C,N9090))</f>
        <v>0</v>
      </c>
    </row>
    <row r="9091" spans="13:16">
      <c r="M9091" s="49">
        <f>IF($A$4+90&gt;$B$4,"",$A$4+90)</f>
        <v>46113</v>
      </c>
      <c r="N9091">
        <f>IF(M9091="","",'Master Barang'!A85)</f>
        <v>0</v>
      </c>
      <c r="O9091">
        <f>IF(N9091="","",'Master Barang'!B85)</f>
        <v>0</v>
      </c>
      <c r="P9091">
        <f>IF(OR(M9091="",N9091=""),"",SUMIFS('Barang Keluar'!$E:$E,'Barang Keluar'!$A:$A,M9091,'Barang Keluar'!$C:$C,N9091))</f>
        <v>0</v>
      </c>
    </row>
    <row r="9092" spans="13:16">
      <c r="M9092" s="49">
        <f>IF($A$4+90&gt;$B$4,"",$A$4+90)</f>
        <v>46113</v>
      </c>
      <c r="N9092">
        <f>IF(M9092="","",'Master Barang'!A86)</f>
        <v>0</v>
      </c>
      <c r="O9092">
        <f>IF(N9092="","",'Master Barang'!B86)</f>
        <v>0</v>
      </c>
      <c r="P9092">
        <f>IF(OR(M9092="",N9092=""),"",SUMIFS('Barang Keluar'!$E:$E,'Barang Keluar'!$A:$A,M9092,'Barang Keluar'!$C:$C,N9092))</f>
        <v>0</v>
      </c>
    </row>
    <row r="9093" spans="13:16">
      <c r="M9093" s="49">
        <f>IF($A$4+90&gt;$B$4,"",$A$4+90)</f>
        <v>46113</v>
      </c>
      <c r="N9093">
        <f>IF(M9093="","",'Master Barang'!A87)</f>
        <v>0</v>
      </c>
      <c r="O9093">
        <f>IF(N9093="","",'Master Barang'!B87)</f>
        <v>0</v>
      </c>
      <c r="P9093">
        <f>IF(OR(M9093="",N9093=""),"",SUMIFS('Barang Keluar'!$E:$E,'Barang Keluar'!$A:$A,M9093,'Barang Keluar'!$C:$C,N9093))</f>
        <v>0</v>
      </c>
    </row>
    <row r="9094" spans="13:16">
      <c r="M9094" s="49">
        <f>IF($A$4+90&gt;$B$4,"",$A$4+90)</f>
        <v>46113</v>
      </c>
      <c r="N9094">
        <f>IF(M9094="","",'Master Barang'!A88)</f>
        <v>0</v>
      </c>
      <c r="O9094">
        <f>IF(N9094="","",'Master Barang'!B88)</f>
        <v>0</v>
      </c>
      <c r="P9094">
        <f>IF(OR(M9094="",N9094=""),"",SUMIFS('Barang Keluar'!$E:$E,'Barang Keluar'!$A:$A,M9094,'Barang Keluar'!$C:$C,N9094))</f>
        <v>0</v>
      </c>
    </row>
    <row r="9095" spans="13:16">
      <c r="M9095" s="49">
        <f>IF($A$4+90&gt;$B$4,"",$A$4+90)</f>
        <v>46113</v>
      </c>
      <c r="N9095">
        <f>IF(M9095="","",'Master Barang'!A89)</f>
        <v>0</v>
      </c>
      <c r="O9095">
        <f>IF(N9095="","",'Master Barang'!B89)</f>
        <v>0</v>
      </c>
      <c r="P9095">
        <f>IF(OR(M9095="",N9095=""),"",SUMIFS('Barang Keluar'!$E:$E,'Barang Keluar'!$A:$A,M9095,'Barang Keluar'!$C:$C,N9095))</f>
        <v>0</v>
      </c>
    </row>
    <row r="9096" spans="13:16">
      <c r="M9096" s="49">
        <f>IF($A$4+90&gt;$B$4,"",$A$4+90)</f>
        <v>46113</v>
      </c>
      <c r="N9096">
        <f>IF(M9096="","",'Master Barang'!A90)</f>
        <v>0</v>
      </c>
      <c r="O9096">
        <f>IF(N9096="","",'Master Barang'!B90)</f>
        <v>0</v>
      </c>
      <c r="P9096">
        <f>IF(OR(M9096="",N9096=""),"",SUMIFS('Barang Keluar'!$E:$E,'Barang Keluar'!$A:$A,M9096,'Barang Keluar'!$C:$C,N9096))</f>
        <v>0</v>
      </c>
    </row>
    <row r="9097" spans="13:16">
      <c r="M9097" s="49">
        <f>IF($A$4+90&gt;$B$4,"",$A$4+90)</f>
        <v>46113</v>
      </c>
      <c r="N9097">
        <f>IF(M9097="","",'Master Barang'!A91)</f>
        <v>0</v>
      </c>
      <c r="O9097">
        <f>IF(N9097="","",'Master Barang'!B91)</f>
        <v>0</v>
      </c>
      <c r="P9097">
        <f>IF(OR(M9097="",N9097=""),"",SUMIFS('Barang Keluar'!$E:$E,'Barang Keluar'!$A:$A,M9097,'Barang Keluar'!$C:$C,N9097))</f>
        <v>0</v>
      </c>
    </row>
    <row r="9098" spans="13:16">
      <c r="M9098" s="49">
        <f>IF($A$4+90&gt;$B$4,"",$A$4+90)</f>
        <v>46113</v>
      </c>
      <c r="N9098">
        <f>IF(M9098="","",'Master Barang'!A92)</f>
        <v>0</v>
      </c>
      <c r="O9098">
        <f>IF(N9098="","",'Master Barang'!B92)</f>
        <v>0</v>
      </c>
      <c r="P9098">
        <f>IF(OR(M9098="",N9098=""),"",SUMIFS('Barang Keluar'!$E:$E,'Barang Keluar'!$A:$A,M9098,'Barang Keluar'!$C:$C,N9098))</f>
        <v>0</v>
      </c>
    </row>
    <row r="9099" spans="13:16">
      <c r="M9099" s="49">
        <f>IF($A$4+90&gt;$B$4,"",$A$4+90)</f>
        <v>46113</v>
      </c>
      <c r="N9099">
        <f>IF(M9099="","",'Master Barang'!A93)</f>
        <v>0</v>
      </c>
      <c r="O9099">
        <f>IF(N9099="","",'Master Barang'!B93)</f>
        <v>0</v>
      </c>
      <c r="P9099">
        <f>IF(OR(M9099="",N9099=""),"",SUMIFS('Barang Keluar'!$E:$E,'Barang Keluar'!$A:$A,M9099,'Barang Keluar'!$C:$C,N9099))</f>
        <v>0</v>
      </c>
    </row>
    <row r="9100" spans="13:16">
      <c r="M9100" s="49">
        <f>IF($A$4+90&gt;$B$4,"",$A$4+90)</f>
        <v>46113</v>
      </c>
      <c r="N9100">
        <f>IF(M9100="","",'Master Barang'!A94)</f>
        <v>0</v>
      </c>
      <c r="O9100">
        <f>IF(N9100="","",'Master Barang'!B94)</f>
        <v>0</v>
      </c>
      <c r="P9100">
        <f>IF(OR(M9100="",N9100=""),"",SUMIFS('Barang Keluar'!$E:$E,'Barang Keluar'!$A:$A,M9100,'Barang Keluar'!$C:$C,N9100))</f>
        <v>0</v>
      </c>
    </row>
    <row r="9101" spans="13:16">
      <c r="M9101" s="49">
        <f>IF($A$4+90&gt;$B$4,"",$A$4+90)</f>
        <v>46113</v>
      </c>
      <c r="N9101">
        <f>IF(M9101="","",'Master Barang'!A95)</f>
        <v>0</v>
      </c>
      <c r="O9101">
        <f>IF(N9101="","",'Master Barang'!B95)</f>
        <v>0</v>
      </c>
      <c r="P9101">
        <f>IF(OR(M9101="",N9101=""),"",SUMIFS('Barang Keluar'!$E:$E,'Barang Keluar'!$A:$A,M9101,'Barang Keluar'!$C:$C,N9101))</f>
        <v>0</v>
      </c>
    </row>
    <row r="9102" spans="13:16">
      <c r="M9102" s="49">
        <f>IF($A$4+90&gt;$B$4,"",$A$4+90)</f>
        <v>46113</v>
      </c>
      <c r="N9102">
        <f>IF(M9102="","",'Master Barang'!A96)</f>
        <v>0</v>
      </c>
      <c r="O9102">
        <f>IF(N9102="","",'Master Barang'!B96)</f>
        <v>0</v>
      </c>
      <c r="P9102">
        <f>IF(OR(M9102="",N9102=""),"",SUMIFS('Barang Keluar'!$E:$E,'Barang Keluar'!$A:$A,M9102,'Barang Keluar'!$C:$C,N9102))</f>
        <v>0</v>
      </c>
    </row>
    <row r="9103" spans="13:16">
      <c r="M9103" s="49">
        <f>IF($A$4+90&gt;$B$4,"",$A$4+90)</f>
        <v>46113</v>
      </c>
      <c r="N9103">
        <f>IF(M9103="","",'Master Barang'!A97)</f>
        <v>0</v>
      </c>
      <c r="O9103">
        <f>IF(N9103="","",'Master Barang'!B97)</f>
        <v>0</v>
      </c>
      <c r="P9103">
        <f>IF(OR(M9103="",N9103=""),"",SUMIFS('Barang Keluar'!$E:$E,'Barang Keluar'!$A:$A,M9103,'Barang Keluar'!$C:$C,N9103))</f>
        <v>0</v>
      </c>
    </row>
    <row r="9104" spans="13:16">
      <c r="M9104" s="49">
        <f>IF($A$4+90&gt;$B$4,"",$A$4+90)</f>
        <v>46113</v>
      </c>
      <c r="N9104">
        <f>IF(M9104="","",'Master Barang'!A98)</f>
        <v>0</v>
      </c>
      <c r="O9104">
        <f>IF(N9104="","",'Master Barang'!B98)</f>
        <v>0</v>
      </c>
      <c r="P9104">
        <f>IF(OR(M9104="",N9104=""),"",SUMIFS('Barang Keluar'!$E:$E,'Barang Keluar'!$A:$A,M9104,'Barang Keluar'!$C:$C,N9104))</f>
        <v>0</v>
      </c>
    </row>
    <row r="9105" spans="13:16">
      <c r="M9105" s="49">
        <f>IF($A$4+90&gt;$B$4,"",$A$4+90)</f>
        <v>46113</v>
      </c>
      <c r="N9105">
        <f>IF(M9105="","",'Master Barang'!A99)</f>
        <v>0</v>
      </c>
      <c r="O9105">
        <f>IF(N9105="","",'Master Barang'!B99)</f>
        <v>0</v>
      </c>
      <c r="P9105">
        <f>IF(OR(M9105="",N9105=""),"",SUMIFS('Barang Keluar'!$E:$E,'Barang Keluar'!$A:$A,M9105,'Barang Keluar'!$C:$C,N9105))</f>
        <v>0</v>
      </c>
    </row>
    <row r="9106" spans="13:16">
      <c r="M9106" s="49">
        <f>IF($A$4+90&gt;$B$4,"",$A$4+90)</f>
        <v>46113</v>
      </c>
      <c r="N9106">
        <f>IF(M9106="","",'Master Barang'!A100)</f>
        <v>0</v>
      </c>
      <c r="O9106">
        <f>IF(N9106="","",'Master Barang'!B100)</f>
        <v>0</v>
      </c>
      <c r="P9106">
        <f>IF(OR(M9106="",N9106=""),"",SUMIFS('Barang Keluar'!$E:$E,'Barang Keluar'!$A:$A,M9106,'Barang Keluar'!$C:$C,N9106))</f>
        <v>0</v>
      </c>
    </row>
    <row r="9107" spans="13:16">
      <c r="M9107" s="49">
        <f>IF($A$4+90&gt;$B$4,"",$A$4+90)</f>
        <v>46113</v>
      </c>
      <c r="N9107">
        <f>IF(M9107="","",'Master Barang'!A101)</f>
        <v>0</v>
      </c>
      <c r="O9107">
        <f>IF(N9107="","",'Master Barang'!B101)</f>
        <v>0</v>
      </c>
      <c r="P9107">
        <f>IF(OR(M9107="",N9107=""),"",SUMIFS('Barang Keluar'!$E:$E,'Barang Keluar'!$A:$A,M9107,'Barang Keluar'!$C:$C,N9107))</f>
        <v>0</v>
      </c>
    </row>
    <row r="9108" spans="13:16">
      <c r="M9108" s="49">
        <f>IF($A$4+91&gt;$B$4,"",$A$4+91)</f>
        <v>46114</v>
      </c>
      <c r="N9108" t="str">
        <f>IF(M9108="","",'Master Barang'!A2)</f>
        <v>PRL-001</v>
      </c>
      <c r="O9108" t="str">
        <f>IF(N9108="","",'Master Barang'!B2)</f>
        <v>natura desinfectant food grade 5l</v>
      </c>
      <c r="P9108">
        <f>IF(OR(M9108="",N9108=""),"",SUMIFS('Barang Keluar'!$E:$E,'Barang Keluar'!$A:$A,M9108,'Barang Keluar'!$C:$C,N9108))</f>
        <v>0</v>
      </c>
    </row>
    <row r="9109" spans="13:16">
      <c r="M9109" s="49">
        <f>IF($A$4+91&gt;$B$4,"",$A$4+91)</f>
        <v>46114</v>
      </c>
      <c r="N9109" t="str">
        <f>IF(M9109="","",'Master Barang'!A3)</f>
        <v>PRL-002</v>
      </c>
      <c r="O9109" t="str">
        <f>IF(N9109="","",'Master Barang'!B3)</f>
        <v>sunlight cairan pencuci piring 5l</v>
      </c>
      <c r="P9109">
        <f>IF(OR(M9109="",N9109=""),"",SUMIFS('Barang Keluar'!$E:$E,'Barang Keluar'!$A:$A,M9109,'Barang Keluar'!$C:$C,N9109))</f>
        <v>0</v>
      </c>
    </row>
    <row r="9110" spans="13:16">
      <c r="M9110" s="49">
        <f>IF($A$4+91&gt;$B$4,"",$A$4+91)</f>
        <v>46114</v>
      </c>
      <c r="N9110" t="str">
        <f>IF(M9110="","",'Master Barang'!A4)</f>
        <v>PRL-003</v>
      </c>
      <c r="O9110" t="str">
        <f>IF(N9110="","",'Master Barang'!B4)</f>
        <v>oixs cleaner 1l</v>
      </c>
      <c r="P9110">
        <f>IF(OR(M9110="",N9110=""),"",SUMIFS('Barang Keluar'!$E:$E,'Barang Keluar'!$A:$A,M9110,'Barang Keluar'!$C:$C,N9110))</f>
        <v>0</v>
      </c>
    </row>
    <row r="9111" spans="13:16">
      <c r="M9111" s="49">
        <f>IF($A$4+91&gt;$B$4,"",$A$4+91)</f>
        <v>46114</v>
      </c>
      <c r="N9111" t="str">
        <f>IF(M9111="","",'Master Barang'!A5)</f>
        <v>PRL-004</v>
      </c>
      <c r="O9111" t="str">
        <f>IF(N9111="","",'Master Barang'!B5)</f>
        <v>be clean tissue serbaguna</v>
      </c>
      <c r="P9111">
        <f>IF(OR(M9111="",N9111=""),"",SUMIFS('Barang Keluar'!$E:$E,'Barang Keluar'!$A:$A,M9111,'Barang Keluar'!$C:$C,N9111))</f>
        <v>0</v>
      </c>
    </row>
    <row r="9112" spans="13:16">
      <c r="M9112" s="49">
        <f>IF($A$4+91&gt;$B$4,"",$A$4+91)</f>
        <v>46114</v>
      </c>
      <c r="N9112" t="str">
        <f>IF(M9112="","",'Master Barang'!A6)</f>
        <v>PRL-005</v>
      </c>
      <c r="O9112" t="str">
        <f>IF(N9112="","",'Master Barang'!B6)</f>
        <v>spons cuci hijau</v>
      </c>
      <c r="P9112">
        <f>IF(OR(M9112="",N9112=""),"",SUMIFS('Barang Keluar'!$E:$E,'Barang Keluar'!$A:$A,M9112,'Barang Keluar'!$C:$C,N9112))</f>
        <v>0</v>
      </c>
    </row>
    <row r="9113" spans="13:16">
      <c r="M9113" s="49">
        <f>IF($A$4+91&gt;$B$4,"",$A$4+91)</f>
        <v>46114</v>
      </c>
      <c r="N9113" t="str">
        <f>IF(M9113="","",'Master Barang'!A7)</f>
        <v>PRL-006</v>
      </c>
      <c r="O9113" t="str">
        <f>IF(N9113="","",'Master Barang'!B7)</f>
        <v>sabut cuci stainless</v>
      </c>
      <c r="P9113">
        <f>IF(OR(M9113="",N9113=""),"",SUMIFS('Barang Keluar'!$E:$E,'Barang Keluar'!$A:$A,M9113,'Barang Keluar'!$C:$C,N9113))</f>
        <v>0</v>
      </c>
    </row>
    <row r="9114" spans="13:16">
      <c r="M9114" s="49">
        <f>IF($A$4+91&gt;$B$4,"",$A$4+91)</f>
        <v>46114</v>
      </c>
      <c r="N9114" t="str">
        <f>IF(M9114="","",'Master Barang'!A8)</f>
        <v>PRL-007</v>
      </c>
      <c r="O9114" t="str">
        <f>IF(N9114="","",'Master Barang'!B8)</f>
        <v>plastik kresek besar merah 50pc</v>
      </c>
      <c r="P9114">
        <f>IF(OR(M9114="",N9114=""),"",SUMIFS('Barang Keluar'!$E:$E,'Barang Keluar'!$A:$A,M9114,'Barang Keluar'!$C:$C,N9114))</f>
        <v>0</v>
      </c>
    </row>
    <row r="9115" spans="13:16">
      <c r="M9115" s="49">
        <f>IF($A$4+91&gt;$B$4,"",$A$4+91)</f>
        <v>46114</v>
      </c>
      <c r="N9115" t="str">
        <f>IF(M9115="","",'Master Barang'!A9)</f>
        <v>PRL-008</v>
      </c>
      <c r="O9115" t="str">
        <f>IF(N9115="","",'Master Barang'!B9)</f>
        <v>lap besar</v>
      </c>
      <c r="P9115">
        <f>IF(OR(M9115="",N9115=""),"",SUMIFS('Barang Keluar'!$E:$E,'Barang Keluar'!$A:$A,M9115,'Barang Keluar'!$C:$C,N9115))</f>
        <v>0</v>
      </c>
    </row>
    <row r="9116" spans="13:16">
      <c r="M9116" s="49">
        <f>IF($A$4+91&gt;$B$4,"",$A$4+91)</f>
        <v>46114</v>
      </c>
      <c r="N9116" t="str">
        <f>IF(M9116="","",'Master Barang'!A10)</f>
        <v>PRL-009</v>
      </c>
      <c r="O9116" t="str">
        <f>IF(N9116="","",'Master Barang'!B10)</f>
        <v>lap microfiber</v>
      </c>
      <c r="P9116">
        <f>IF(OR(M9116="",N9116=""),"",SUMIFS('Barang Keluar'!$E:$E,'Barang Keluar'!$A:$A,M9116,'Barang Keluar'!$C:$C,N9116))</f>
        <v>0</v>
      </c>
    </row>
    <row r="9117" spans="13:16">
      <c r="M9117" s="49">
        <f>IF($A$4+91&gt;$B$4,"",$A$4+91)</f>
        <v>46114</v>
      </c>
      <c r="N9117" t="str">
        <f>IF(M9117="","",'Master Barang'!A11)</f>
        <v>PRL-010</v>
      </c>
      <c r="O9117" t="str">
        <f>IF(N9117="","",'Master Barang'!B11)</f>
        <v>lap kecil</v>
      </c>
      <c r="P9117">
        <f>IF(OR(M9117="",N9117=""),"",SUMIFS('Barang Keluar'!$E:$E,'Barang Keluar'!$A:$A,M9117,'Barang Keluar'!$C:$C,N9117))</f>
        <v>0</v>
      </c>
    </row>
    <row r="9118" spans="13:16">
      <c r="M9118" s="49">
        <f>IF($A$4+91&gt;$B$4,"",$A$4+91)</f>
        <v>46114</v>
      </c>
      <c r="N9118" t="str">
        <f>IF(M9118="","",'Master Barang'!A12)</f>
        <v>PRL-011</v>
      </c>
      <c r="O9118" t="str">
        <f>IF(N9118="","",'Master Barang'!B12)</f>
        <v>kanebo kecil</v>
      </c>
      <c r="P9118">
        <f>IF(OR(M9118="",N9118=""),"",SUMIFS('Barang Keluar'!$E:$E,'Barang Keluar'!$A:$A,M9118,'Barang Keluar'!$C:$C,N9118))</f>
        <v>0</v>
      </c>
    </row>
    <row r="9119" spans="13:16">
      <c r="M9119" s="49">
        <f>IF($A$4+91&gt;$B$4,"",$A$4+91)</f>
        <v>46114</v>
      </c>
      <c r="N9119" t="str">
        <f>IF(M9119="","",'Master Barang'!A13)</f>
        <v>PRL-012</v>
      </c>
      <c r="O9119" t="str">
        <f>IF(N9119="","",'Master Barang'!B13)</f>
        <v>plastik 1/4kg joyoboyo 100 lembar</v>
      </c>
      <c r="P9119">
        <f>IF(OR(M9119="",N9119=""),"",SUMIFS('Barang Keluar'!$E:$E,'Barang Keluar'!$A:$A,M9119,'Barang Keluar'!$C:$C,N9119))</f>
        <v>0</v>
      </c>
    </row>
    <row r="9120" spans="13:16">
      <c r="M9120" s="49">
        <f>IF($A$4+91&gt;$B$4,"",$A$4+91)</f>
        <v>46114</v>
      </c>
      <c r="N9120" t="str">
        <f>IF(M9120="","",'Master Barang'!A14)</f>
        <v>PRL-013</v>
      </c>
      <c r="O9120" t="str">
        <f>IF(N9120="","",'Master Barang'!B14)</f>
        <v>sarung tangan plastik kaka 100 pcs</v>
      </c>
      <c r="P9120">
        <f>IF(OR(M9120="",N9120=""),"",SUMIFS('Barang Keluar'!$E:$E,'Barang Keluar'!$A:$A,M9120,'Barang Keluar'!$C:$C,N9120))</f>
        <v>0</v>
      </c>
    </row>
    <row r="9121" spans="13:16">
      <c r="M9121" s="49">
        <f>IF($A$4+91&gt;$B$4,"",$A$4+91)</f>
        <v>46114</v>
      </c>
      <c r="N9121" t="str">
        <f>IF(M9121="","",'Master Barang'!A15)</f>
        <v>PRL-014</v>
      </c>
      <c r="O9121" t="str">
        <f>IF(N9121="","",'Master Barang'!B15)</f>
        <v>optima trashbag 80x100</v>
      </c>
      <c r="P9121">
        <f>IF(OR(M9121="",N9121=""),"",SUMIFS('Barang Keluar'!$E:$E,'Barang Keluar'!$A:$A,M9121,'Barang Keluar'!$C:$C,N9121))</f>
        <v>0</v>
      </c>
    </row>
    <row r="9122" spans="13:16">
      <c r="M9122" s="49">
        <f>IF($A$4+91&gt;$B$4,"",$A$4+91)</f>
        <v>46114</v>
      </c>
      <c r="N9122" t="str">
        <f>IF(M9122="","",'Master Barang'!A16)</f>
        <v>PRL-015</v>
      </c>
      <c r="O9122" t="str">
        <f>IF(N9122="","",'Master Barang'!B16)</f>
        <v>optima trashbag 60x100</v>
      </c>
      <c r="P9122">
        <f>IF(OR(M9122="",N9122=""),"",SUMIFS('Barang Keluar'!$E:$E,'Barang Keluar'!$A:$A,M9122,'Barang Keluar'!$C:$C,N9122))</f>
        <v>0</v>
      </c>
    </row>
    <row r="9123" spans="13:16">
      <c r="M9123" s="49">
        <f>IF($A$4+91&gt;$B$4,"",$A$4+91)</f>
        <v>46114</v>
      </c>
      <c r="N9123" t="str">
        <f>IF(M9123="","",'Master Barang'!A17)</f>
        <v>PRL-016</v>
      </c>
      <c r="O9123" t="str">
        <f>IF(N9123="","",'Master Barang'!B17)</f>
        <v>rajawali trashbag 30x40</v>
      </c>
      <c r="P9123">
        <f>IF(OR(M9123="",N9123=""),"",SUMIFS('Barang Keluar'!$E:$E,'Barang Keluar'!$A:$A,M9123,'Barang Keluar'!$C:$C,N9123))</f>
        <v>0</v>
      </c>
    </row>
    <row r="9124" spans="13:16">
      <c r="M9124" s="49">
        <f>IF($A$4+91&gt;$B$4,"",$A$4+91)</f>
        <v>46114</v>
      </c>
      <c r="N9124" t="str">
        <f>IF(M9124="","",'Master Barang'!A18)</f>
        <v>PRL-017</v>
      </c>
      <c r="O9124" t="str">
        <f>IF(N9124="","",'Master Barang'!B18)</f>
        <v>onemed masker biru 3 play 50 pcs</v>
      </c>
      <c r="P9124">
        <f>IF(OR(M9124="",N9124=""),"",SUMIFS('Barang Keluar'!$E:$E,'Barang Keluar'!$A:$A,M9124,'Barang Keluar'!$C:$C,N9124))</f>
        <v>0</v>
      </c>
    </row>
    <row r="9125" spans="13:16">
      <c r="M9125" s="49">
        <f>IF($A$4+91&gt;$B$4,"",$A$4+91)</f>
        <v>46114</v>
      </c>
      <c r="N9125" t="str">
        <f>IF(M9125="","",'Master Barang'!A19)</f>
        <v>PRL-018</v>
      </c>
      <c r="O9125" t="str">
        <f>IF(N9125="","",'Master Barang'!B19)</f>
        <v>onemed masker biru 3 play hijab 50 pcs</v>
      </c>
      <c r="P9125">
        <f>IF(OR(M9125="",N9125=""),"",SUMIFS('Barang Keluar'!$E:$E,'Barang Keluar'!$A:$A,M9125,'Barang Keluar'!$C:$C,N9125))</f>
        <v>0</v>
      </c>
    </row>
    <row r="9126" spans="13:16">
      <c r="M9126" s="49">
        <f>IF($A$4+91&gt;$B$4,"",$A$4+91)</f>
        <v>46114</v>
      </c>
      <c r="N9126" t="str">
        <f>IF(M9126="","",'Master Barang'!A20)</f>
        <v>PRL-019</v>
      </c>
      <c r="O9126" t="str">
        <f>IF(N9126="","",'Master Barang'!B20)</f>
        <v>neo health masker biru 3 play 50 pcs</v>
      </c>
      <c r="P9126">
        <f>IF(OR(M9126="",N9126=""),"",SUMIFS('Barang Keluar'!$E:$E,'Barang Keluar'!$A:$A,M9126,'Barang Keluar'!$C:$C,N9126))</f>
        <v>0</v>
      </c>
    </row>
    <row r="9127" spans="13:16">
      <c r="M9127" s="49">
        <f>IF($A$4+91&gt;$B$4,"",$A$4+91)</f>
        <v>46114</v>
      </c>
      <c r="N9127" t="str">
        <f>IF(M9127="","",'Master Barang'!A21)</f>
        <v>PRL-020</v>
      </c>
      <c r="O9127" t="str">
        <f>IF(N9127="","",'Master Barang'!B21)</f>
        <v>baymed masker hijau 3 play hijau 50 pcs</v>
      </c>
      <c r="P9127">
        <f>IF(OR(M9127="",N9127=""),"",SUMIFS('Barang Keluar'!$E:$E,'Barang Keluar'!$A:$A,M9127,'Barang Keluar'!$C:$C,N9127))</f>
        <v>0</v>
      </c>
    </row>
    <row r="9128" spans="13:16">
      <c r="M9128" s="49">
        <f>IF($A$4+91&gt;$B$4,"",$A$4+91)</f>
        <v>46114</v>
      </c>
      <c r="N9128" t="str">
        <f>IF(M9128="","",'Master Barang'!A22)</f>
        <v>PRL-021</v>
      </c>
      <c r="O9128" t="str">
        <f>IF(N9128="","",'Master Barang'!B22)</f>
        <v>altamed nurse cap penutup kepala 100 pcs</v>
      </c>
      <c r="P9128">
        <f>IF(OR(M9128="",N9128=""),"",SUMIFS('Barang Keluar'!$E:$E,'Barang Keluar'!$A:$A,M9128,'Barang Keluar'!$C:$C,N9128))</f>
        <v>0</v>
      </c>
    </row>
    <row r="9129" spans="13:16">
      <c r="M9129" s="49">
        <f>IF($A$4+91&gt;$B$4,"",$A$4+91)</f>
        <v>46114</v>
      </c>
      <c r="N9129" t="str">
        <f>IF(M9129="","",'Master Barang'!A23)</f>
        <v>PRL-022</v>
      </c>
      <c r="O9129" t="str">
        <f>IF(N9129="","",'Master Barang'!B23)</f>
        <v>sabun cuci tangan</v>
      </c>
      <c r="P9129">
        <f>IF(OR(M9129="",N9129=""),"",SUMIFS('Barang Keluar'!$E:$E,'Barang Keluar'!$A:$A,M9129,'Barang Keluar'!$C:$C,N9129))</f>
        <v>0</v>
      </c>
    </row>
    <row r="9130" spans="13:16">
      <c r="M9130" s="49">
        <f>IF($A$4+91&gt;$B$4,"",$A$4+91)</f>
        <v>46114</v>
      </c>
      <c r="N9130" t="str">
        <f>IF(M9130="","",'Master Barang'!A24)</f>
        <v>PRL-023</v>
      </c>
      <c r="O9130" t="str">
        <f>IF(N9130="","",'Master Barang'!B24)</f>
        <v>gayung kecil</v>
      </c>
      <c r="P9130">
        <f>IF(OR(M9130="",N9130=""),"",SUMIFS('Barang Keluar'!$E:$E,'Barang Keluar'!$A:$A,M9130,'Barang Keluar'!$C:$C,N9130))</f>
        <v>0</v>
      </c>
    </row>
    <row r="9131" spans="13:16">
      <c r="M9131" s="49">
        <f>IF($A$4+91&gt;$B$4,"",$A$4+91)</f>
        <v>46114</v>
      </c>
      <c r="N9131" t="str">
        <f>IF(M9131="","",'Master Barang'!A25)</f>
        <v>PRL-024</v>
      </c>
      <c r="O9131" t="str">
        <f>IF(N9131="","",'Master Barang'!B25)</f>
        <v>cikrak kecil</v>
      </c>
      <c r="P9131">
        <f>IF(OR(M9131="",N9131=""),"",SUMIFS('Barang Keluar'!$E:$E,'Barang Keluar'!$A:$A,M9131,'Barang Keluar'!$C:$C,N9131))</f>
        <v>0</v>
      </c>
    </row>
    <row r="9132" spans="13:16">
      <c r="M9132" s="49">
        <f>IF($A$4+91&gt;$B$4,"",$A$4+91)</f>
        <v>46114</v>
      </c>
      <c r="N9132" t="str">
        <f>IF(M9132="","",'Master Barang'!A26)</f>
        <v>PRL-025</v>
      </c>
      <c r="O9132" t="str">
        <f>IF(N9132="","",'Master Barang'!B26)</f>
        <v>petromax plastik kecil 12x24 100 lembar</v>
      </c>
      <c r="P9132">
        <f>IF(OR(M9132="",N9132=""),"",SUMIFS('Barang Keluar'!$E:$E,'Barang Keluar'!$A:$A,M9132,'Barang Keluar'!$C:$C,N9132))</f>
        <v>0</v>
      </c>
    </row>
    <row r="9133" spans="13:16">
      <c r="M9133" s="49">
        <f>IF($A$4+91&gt;$B$4,"",$A$4+91)</f>
        <v>46114</v>
      </c>
      <c r="N9133" t="str">
        <f>IF(M9133="","",'Master Barang'!A27)</f>
        <v>PRL-026</v>
      </c>
      <c r="O9133" t="str">
        <f>IF(N9133="","",'Master Barang'!B27)</f>
        <v>lancar kresek kecil bening </v>
      </c>
      <c r="P9133">
        <f>IF(OR(M9133="",N9133=""),"",SUMIFS('Barang Keluar'!$E:$E,'Barang Keluar'!$A:$A,M9133,'Barang Keluar'!$C:$C,N9133))</f>
        <v>0</v>
      </c>
    </row>
    <row r="9134" spans="13:16">
      <c r="M9134" s="49">
        <f>IF($A$4+91&gt;$B$4,"",$A$4+91)</f>
        <v>46114</v>
      </c>
      <c r="N9134" t="str">
        <f>IF(M9134="","",'Master Barang'!A28)</f>
        <v>PRL-027</v>
      </c>
      <c r="O9134" t="str">
        <f>IF(N9134="","",'Master Barang'!B28)</f>
        <v>kresek klin warna warni kecil</v>
      </c>
      <c r="P9134">
        <f>IF(OR(M9134="",N9134=""),"",SUMIFS('Barang Keluar'!$E:$E,'Barang Keluar'!$A:$A,M9134,'Barang Keluar'!$C:$C,N9134))</f>
        <v>0</v>
      </c>
    </row>
    <row r="9135" spans="13:16">
      <c r="M9135" s="49">
        <f>IF($A$4+91&gt;$B$4,"",$A$4+91)</f>
        <v>46114</v>
      </c>
      <c r="N9135" t="str">
        <f>IF(M9135="","",'Master Barang'!A29)</f>
        <v>PRL-028</v>
      </c>
      <c r="O9135" t="str">
        <f>IF(N9135="","",'Master Barang'!B29)</f>
        <v>ctik plastik 7x10 100 pcs</v>
      </c>
      <c r="P9135">
        <f>IF(OR(M9135="",N9135=""),"",SUMIFS('Barang Keluar'!$E:$E,'Barang Keluar'!$A:$A,M9135,'Barang Keluar'!$C:$C,N9135))</f>
        <v>0</v>
      </c>
    </row>
    <row r="9136" spans="13:16">
      <c r="M9136" s="49">
        <f>IF($A$4+91&gt;$B$4,"",$A$4+91)</f>
        <v>46114</v>
      </c>
      <c r="N9136" t="str">
        <f>IF(M9136="","",'Master Barang'!A30)</f>
        <v>PRL-029</v>
      </c>
      <c r="O9136" t="str">
        <f>IF(N9136="","",'Master Barang'!B30)</f>
        <v>ctik plastik 6x10 100 pcs</v>
      </c>
      <c r="P9136">
        <f>IF(OR(M9136="",N9136=""),"",SUMIFS('Barang Keluar'!$E:$E,'Barang Keluar'!$A:$A,M9136,'Barang Keluar'!$C:$C,N9136))</f>
        <v>0</v>
      </c>
    </row>
    <row r="9137" spans="13:16">
      <c r="M9137" s="49">
        <f>IF($A$4+91&gt;$B$4,"",$A$4+91)</f>
        <v>46114</v>
      </c>
      <c r="N9137" t="str">
        <f>IF(M9137="","",'Master Barang'!A31)</f>
        <v>PRL-030</v>
      </c>
      <c r="O9137" t="str">
        <f>IF(N9137="","",'Master Barang'!B31)</f>
        <v>klip plastik 25x16 100 pcs</v>
      </c>
      <c r="P9137">
        <f>IF(OR(M9137="",N9137=""),"",SUMIFS('Barang Keluar'!$E:$E,'Barang Keluar'!$A:$A,M9137,'Barang Keluar'!$C:$C,N9137))</f>
        <v>0</v>
      </c>
    </row>
    <row r="9138" spans="13:16">
      <c r="M9138" s="49">
        <f>IF($A$4+91&gt;$B$4,"",$A$4+91)</f>
        <v>46114</v>
      </c>
      <c r="N9138" t="str">
        <f>IF(M9138="","",'Master Barang'!A32)</f>
        <v>PRL-031</v>
      </c>
      <c r="O9138" t="str">
        <f>IF(N9138="","",'Master Barang'!B32)</f>
        <v>tempat saus 20 ml</v>
      </c>
      <c r="P9138">
        <f>IF(OR(M9138="",N9138=""),"",SUMIFS('Barang Keluar'!$E:$E,'Barang Keluar'!$A:$A,M9138,'Barang Keluar'!$C:$C,N9138))</f>
        <v>0</v>
      </c>
    </row>
    <row r="9139" spans="13:16">
      <c r="M9139" s="49">
        <f>IF($A$4+91&gt;$B$4,"",$A$4+91)</f>
        <v>46114</v>
      </c>
      <c r="N9139" t="str">
        <f>IF(M9139="","",'Master Barang'!A33)</f>
        <v>PRL-032</v>
      </c>
      <c r="O9139" t="str">
        <f>IF(N9139="","",'Master Barang'!B33)</f>
        <v>plastik packaging ag box uk sedang</v>
      </c>
      <c r="P9139">
        <f>IF(OR(M9139="",N9139=""),"",SUMIFS('Barang Keluar'!$E:$E,'Barang Keluar'!$A:$A,M9139,'Barang Keluar'!$C:$C,N9139))</f>
        <v>0</v>
      </c>
    </row>
    <row r="9140" spans="13:16">
      <c r="M9140" s="49">
        <f>IF($A$4+91&gt;$B$4,"",$A$4+91)</f>
        <v>46114</v>
      </c>
      <c r="N9140" t="str">
        <f>IF(M9140="","",'Master Barang'!A34)</f>
        <v>PRL-033</v>
      </c>
      <c r="O9140">
        <f>IF(N9140="","",'Master Barang'!B34)</f>
        <v>0</v>
      </c>
      <c r="P9140">
        <f>IF(OR(M9140="",N9140=""),"",SUMIFS('Barang Keluar'!$E:$E,'Barang Keluar'!$A:$A,M9140,'Barang Keluar'!$C:$C,N9140))</f>
        <v>0</v>
      </c>
    </row>
    <row r="9141" spans="13:16">
      <c r="M9141" s="49">
        <f>IF($A$4+91&gt;$B$4,"",$A$4+91)</f>
        <v>46114</v>
      </c>
      <c r="N9141">
        <f>IF(M9141="","",'Master Barang'!A35)</f>
        <v>0</v>
      </c>
      <c r="O9141">
        <f>IF(N9141="","",'Master Barang'!B35)</f>
        <v>0</v>
      </c>
      <c r="P9141">
        <f>IF(OR(M9141="",N9141=""),"",SUMIFS('Barang Keluar'!$E:$E,'Barang Keluar'!$A:$A,M9141,'Barang Keluar'!$C:$C,N9141))</f>
        <v>0</v>
      </c>
    </row>
    <row r="9142" spans="13:16">
      <c r="M9142" s="49">
        <f>IF($A$4+91&gt;$B$4,"",$A$4+91)</f>
        <v>46114</v>
      </c>
      <c r="N9142">
        <f>IF(M9142="","",'Master Barang'!A36)</f>
        <v>0</v>
      </c>
      <c r="O9142">
        <f>IF(N9142="","",'Master Barang'!B36)</f>
        <v>0</v>
      </c>
      <c r="P9142">
        <f>IF(OR(M9142="",N9142=""),"",SUMIFS('Barang Keluar'!$E:$E,'Barang Keluar'!$A:$A,M9142,'Barang Keluar'!$C:$C,N9142))</f>
        <v>0</v>
      </c>
    </row>
    <row r="9143" spans="13:16">
      <c r="M9143" s="49">
        <f>IF($A$4+91&gt;$B$4,"",$A$4+91)</f>
        <v>46114</v>
      </c>
      <c r="N9143">
        <f>IF(M9143="","",'Master Barang'!A37)</f>
        <v>0</v>
      </c>
      <c r="O9143">
        <f>IF(N9143="","",'Master Barang'!B37)</f>
        <v>0</v>
      </c>
      <c r="P9143">
        <f>IF(OR(M9143="",N9143=""),"",SUMIFS('Barang Keluar'!$E:$E,'Barang Keluar'!$A:$A,M9143,'Barang Keluar'!$C:$C,N9143))</f>
        <v>0</v>
      </c>
    </row>
    <row r="9144" spans="13:16">
      <c r="M9144" s="49">
        <f>IF($A$4+91&gt;$B$4,"",$A$4+91)</f>
        <v>46114</v>
      </c>
      <c r="N9144">
        <f>IF(M9144="","",'Master Barang'!A38)</f>
        <v>0</v>
      </c>
      <c r="O9144">
        <f>IF(N9144="","",'Master Barang'!B38)</f>
        <v>0</v>
      </c>
      <c r="P9144">
        <f>IF(OR(M9144="",N9144=""),"",SUMIFS('Barang Keluar'!$E:$E,'Barang Keluar'!$A:$A,M9144,'Barang Keluar'!$C:$C,N9144))</f>
        <v>0</v>
      </c>
    </row>
    <row r="9145" spans="13:16">
      <c r="M9145" s="49">
        <f>IF($A$4+91&gt;$B$4,"",$A$4+91)</f>
        <v>46114</v>
      </c>
      <c r="N9145">
        <f>IF(M9145="","",'Master Barang'!A39)</f>
        <v>0</v>
      </c>
      <c r="O9145">
        <f>IF(N9145="","",'Master Barang'!B39)</f>
        <v>0</v>
      </c>
      <c r="P9145">
        <f>IF(OR(M9145="",N9145=""),"",SUMIFS('Barang Keluar'!$E:$E,'Barang Keluar'!$A:$A,M9145,'Barang Keluar'!$C:$C,N9145))</f>
        <v>0</v>
      </c>
    </row>
    <row r="9146" spans="13:16">
      <c r="M9146" s="49">
        <f>IF($A$4+91&gt;$B$4,"",$A$4+91)</f>
        <v>46114</v>
      </c>
      <c r="N9146">
        <f>IF(M9146="","",'Master Barang'!A40)</f>
        <v>0</v>
      </c>
      <c r="O9146">
        <f>IF(N9146="","",'Master Barang'!B40)</f>
        <v>0</v>
      </c>
      <c r="P9146">
        <f>IF(OR(M9146="",N9146=""),"",SUMIFS('Barang Keluar'!$E:$E,'Barang Keluar'!$A:$A,M9146,'Barang Keluar'!$C:$C,N9146))</f>
        <v>0</v>
      </c>
    </row>
    <row r="9147" spans="13:16">
      <c r="M9147" s="49">
        <f>IF($A$4+91&gt;$B$4,"",$A$4+91)</f>
        <v>46114</v>
      </c>
      <c r="N9147">
        <f>IF(M9147="","",'Master Barang'!A41)</f>
        <v>0</v>
      </c>
      <c r="O9147">
        <f>IF(N9147="","",'Master Barang'!B41)</f>
        <v>0</v>
      </c>
      <c r="P9147">
        <f>IF(OR(M9147="",N9147=""),"",SUMIFS('Barang Keluar'!$E:$E,'Barang Keluar'!$A:$A,M9147,'Barang Keluar'!$C:$C,N9147))</f>
        <v>0</v>
      </c>
    </row>
    <row r="9148" spans="13:16">
      <c r="M9148" s="49">
        <f>IF($A$4+91&gt;$B$4,"",$A$4+91)</f>
        <v>46114</v>
      </c>
      <c r="N9148">
        <f>IF(M9148="","",'Master Barang'!A42)</f>
        <v>0</v>
      </c>
      <c r="O9148">
        <f>IF(N9148="","",'Master Barang'!B42)</f>
        <v>0</v>
      </c>
      <c r="P9148">
        <f>IF(OR(M9148="",N9148=""),"",SUMIFS('Barang Keluar'!$E:$E,'Barang Keluar'!$A:$A,M9148,'Barang Keluar'!$C:$C,N9148))</f>
        <v>0</v>
      </c>
    </row>
    <row r="9149" spans="13:16">
      <c r="M9149" s="49">
        <f>IF($A$4+91&gt;$B$4,"",$A$4+91)</f>
        <v>46114</v>
      </c>
      <c r="N9149">
        <f>IF(M9149="","",'Master Barang'!A43)</f>
        <v>0</v>
      </c>
      <c r="O9149">
        <f>IF(N9149="","",'Master Barang'!B43)</f>
        <v>0</v>
      </c>
      <c r="P9149">
        <f>IF(OR(M9149="",N9149=""),"",SUMIFS('Barang Keluar'!$E:$E,'Barang Keluar'!$A:$A,M9149,'Barang Keluar'!$C:$C,N9149))</f>
        <v>0</v>
      </c>
    </row>
    <row r="9150" spans="13:16">
      <c r="M9150" s="49">
        <f>IF($A$4+91&gt;$B$4,"",$A$4+91)</f>
        <v>46114</v>
      </c>
      <c r="N9150">
        <f>IF(M9150="","",'Master Barang'!A44)</f>
        <v>0</v>
      </c>
      <c r="O9150">
        <f>IF(N9150="","",'Master Barang'!B44)</f>
        <v>0</v>
      </c>
      <c r="P9150">
        <f>IF(OR(M9150="",N9150=""),"",SUMIFS('Barang Keluar'!$E:$E,'Barang Keluar'!$A:$A,M9150,'Barang Keluar'!$C:$C,N9150))</f>
        <v>0</v>
      </c>
    </row>
    <row r="9151" spans="13:16">
      <c r="M9151" s="49">
        <f>IF($A$4+91&gt;$B$4,"",$A$4+91)</f>
        <v>46114</v>
      </c>
      <c r="N9151">
        <f>IF(M9151="","",'Master Barang'!A45)</f>
        <v>0</v>
      </c>
      <c r="O9151">
        <f>IF(N9151="","",'Master Barang'!B45)</f>
        <v>0</v>
      </c>
      <c r="P9151">
        <f>IF(OR(M9151="",N9151=""),"",SUMIFS('Barang Keluar'!$E:$E,'Barang Keluar'!$A:$A,M9151,'Barang Keluar'!$C:$C,N9151))</f>
        <v>0</v>
      </c>
    </row>
    <row r="9152" spans="13:16">
      <c r="M9152" s="49">
        <f>IF($A$4+91&gt;$B$4,"",$A$4+91)</f>
        <v>46114</v>
      </c>
      <c r="N9152">
        <f>IF(M9152="","",'Master Barang'!A46)</f>
        <v>0</v>
      </c>
      <c r="O9152">
        <f>IF(N9152="","",'Master Barang'!B46)</f>
        <v>0</v>
      </c>
      <c r="P9152">
        <f>IF(OR(M9152="",N9152=""),"",SUMIFS('Barang Keluar'!$E:$E,'Barang Keluar'!$A:$A,M9152,'Barang Keluar'!$C:$C,N9152))</f>
        <v>0</v>
      </c>
    </row>
    <row r="9153" spans="13:16">
      <c r="M9153" s="49">
        <f>IF($A$4+91&gt;$B$4,"",$A$4+91)</f>
        <v>46114</v>
      </c>
      <c r="N9153">
        <f>IF(M9153="","",'Master Barang'!A47)</f>
        <v>0</v>
      </c>
      <c r="O9153">
        <f>IF(N9153="","",'Master Barang'!B47)</f>
        <v>0</v>
      </c>
      <c r="P9153">
        <f>IF(OR(M9153="",N9153=""),"",SUMIFS('Barang Keluar'!$E:$E,'Barang Keluar'!$A:$A,M9153,'Barang Keluar'!$C:$C,N9153))</f>
        <v>0</v>
      </c>
    </row>
    <row r="9154" spans="13:16">
      <c r="M9154" s="49">
        <f>IF($A$4+91&gt;$B$4,"",$A$4+91)</f>
        <v>46114</v>
      </c>
      <c r="N9154">
        <f>IF(M9154="","",'Master Barang'!A48)</f>
        <v>0</v>
      </c>
      <c r="O9154">
        <f>IF(N9154="","",'Master Barang'!B48)</f>
        <v>0</v>
      </c>
      <c r="P9154">
        <f>IF(OR(M9154="",N9154=""),"",SUMIFS('Barang Keluar'!$E:$E,'Barang Keluar'!$A:$A,M9154,'Barang Keluar'!$C:$C,N9154))</f>
        <v>0</v>
      </c>
    </row>
    <row r="9155" spans="13:16">
      <c r="M9155" s="49">
        <f>IF($A$4+91&gt;$B$4,"",$A$4+91)</f>
        <v>46114</v>
      </c>
      <c r="N9155">
        <f>IF(M9155="","",'Master Barang'!A49)</f>
        <v>0</v>
      </c>
      <c r="O9155">
        <f>IF(N9155="","",'Master Barang'!B49)</f>
        <v>0</v>
      </c>
      <c r="P9155">
        <f>IF(OR(M9155="",N9155=""),"",SUMIFS('Barang Keluar'!$E:$E,'Barang Keluar'!$A:$A,M9155,'Barang Keluar'!$C:$C,N9155))</f>
        <v>0</v>
      </c>
    </row>
    <row r="9156" spans="13:16">
      <c r="M9156" s="49">
        <f>IF($A$4+91&gt;$B$4,"",$A$4+91)</f>
        <v>46114</v>
      </c>
      <c r="N9156">
        <f>IF(M9156="","",'Master Barang'!A50)</f>
        <v>0</v>
      </c>
      <c r="O9156">
        <f>IF(N9156="","",'Master Barang'!B50)</f>
        <v>0</v>
      </c>
      <c r="P9156">
        <f>IF(OR(M9156="",N9156=""),"",SUMIFS('Barang Keluar'!$E:$E,'Barang Keluar'!$A:$A,M9156,'Barang Keluar'!$C:$C,N9156))</f>
        <v>0</v>
      </c>
    </row>
    <row r="9157" spans="13:16">
      <c r="M9157" s="49">
        <f>IF($A$4+91&gt;$B$4,"",$A$4+91)</f>
        <v>46114</v>
      </c>
      <c r="N9157">
        <f>IF(M9157="","",'Master Barang'!A51)</f>
        <v>0</v>
      </c>
      <c r="O9157">
        <f>IF(N9157="","",'Master Barang'!B51)</f>
        <v>0</v>
      </c>
      <c r="P9157">
        <f>IF(OR(M9157="",N9157=""),"",SUMIFS('Barang Keluar'!$E:$E,'Barang Keluar'!$A:$A,M9157,'Barang Keluar'!$C:$C,N9157))</f>
        <v>0</v>
      </c>
    </row>
    <row r="9158" spans="13:16">
      <c r="M9158" s="49">
        <f>IF($A$4+91&gt;$B$4,"",$A$4+91)</f>
        <v>46114</v>
      </c>
      <c r="N9158">
        <f>IF(M9158="","",'Master Barang'!A52)</f>
        <v>0</v>
      </c>
      <c r="O9158">
        <f>IF(N9158="","",'Master Barang'!B52)</f>
        <v>0</v>
      </c>
      <c r="P9158">
        <f>IF(OR(M9158="",N9158=""),"",SUMIFS('Barang Keluar'!$E:$E,'Barang Keluar'!$A:$A,M9158,'Barang Keluar'!$C:$C,N9158))</f>
        <v>0</v>
      </c>
    </row>
    <row r="9159" spans="13:16">
      <c r="M9159" s="49">
        <f>IF($A$4+91&gt;$B$4,"",$A$4+91)</f>
        <v>46114</v>
      </c>
      <c r="N9159">
        <f>IF(M9159="","",'Master Barang'!A53)</f>
        <v>0</v>
      </c>
      <c r="O9159">
        <f>IF(N9159="","",'Master Barang'!B53)</f>
        <v>0</v>
      </c>
      <c r="P9159">
        <f>IF(OR(M9159="",N9159=""),"",SUMIFS('Barang Keluar'!$E:$E,'Barang Keluar'!$A:$A,M9159,'Barang Keluar'!$C:$C,N9159))</f>
        <v>0</v>
      </c>
    </row>
    <row r="9160" spans="13:16">
      <c r="M9160" s="49">
        <f>IF($A$4+91&gt;$B$4,"",$A$4+91)</f>
        <v>46114</v>
      </c>
      <c r="N9160">
        <f>IF(M9160="","",'Master Barang'!A54)</f>
        <v>0</v>
      </c>
      <c r="O9160">
        <f>IF(N9160="","",'Master Barang'!B54)</f>
        <v>0</v>
      </c>
      <c r="P9160">
        <f>IF(OR(M9160="",N9160=""),"",SUMIFS('Barang Keluar'!$E:$E,'Barang Keluar'!$A:$A,M9160,'Barang Keluar'!$C:$C,N9160))</f>
        <v>0</v>
      </c>
    </row>
    <row r="9161" spans="13:16">
      <c r="M9161" s="49">
        <f>IF($A$4+91&gt;$B$4,"",$A$4+91)</f>
        <v>46114</v>
      </c>
      <c r="N9161">
        <f>IF(M9161="","",'Master Barang'!A55)</f>
        <v>0</v>
      </c>
      <c r="O9161">
        <f>IF(N9161="","",'Master Barang'!B55)</f>
        <v>0</v>
      </c>
      <c r="P9161">
        <f>IF(OR(M9161="",N9161=""),"",SUMIFS('Barang Keluar'!$E:$E,'Barang Keluar'!$A:$A,M9161,'Barang Keluar'!$C:$C,N9161))</f>
        <v>0</v>
      </c>
    </row>
    <row r="9162" spans="13:16">
      <c r="M9162" s="49">
        <f>IF($A$4+91&gt;$B$4,"",$A$4+91)</f>
        <v>46114</v>
      </c>
      <c r="N9162">
        <f>IF(M9162="","",'Master Barang'!A56)</f>
        <v>0</v>
      </c>
      <c r="O9162">
        <f>IF(N9162="","",'Master Barang'!B56)</f>
        <v>0</v>
      </c>
      <c r="P9162">
        <f>IF(OR(M9162="",N9162=""),"",SUMIFS('Barang Keluar'!$E:$E,'Barang Keluar'!$A:$A,M9162,'Barang Keluar'!$C:$C,N9162))</f>
        <v>0</v>
      </c>
    </row>
    <row r="9163" spans="13:16">
      <c r="M9163" s="49">
        <f>IF($A$4+91&gt;$B$4,"",$A$4+91)</f>
        <v>46114</v>
      </c>
      <c r="N9163">
        <f>IF(M9163="","",'Master Barang'!A57)</f>
        <v>0</v>
      </c>
      <c r="O9163">
        <f>IF(N9163="","",'Master Barang'!B57)</f>
        <v>0</v>
      </c>
      <c r="P9163">
        <f>IF(OR(M9163="",N9163=""),"",SUMIFS('Barang Keluar'!$E:$E,'Barang Keluar'!$A:$A,M9163,'Barang Keluar'!$C:$C,N9163))</f>
        <v>0</v>
      </c>
    </row>
    <row r="9164" spans="13:16">
      <c r="M9164" s="49">
        <f>IF($A$4+91&gt;$B$4,"",$A$4+91)</f>
        <v>46114</v>
      </c>
      <c r="N9164">
        <f>IF(M9164="","",'Master Barang'!A58)</f>
        <v>0</v>
      </c>
      <c r="O9164">
        <f>IF(N9164="","",'Master Barang'!B58)</f>
        <v>0</v>
      </c>
      <c r="P9164">
        <f>IF(OR(M9164="",N9164=""),"",SUMIFS('Barang Keluar'!$E:$E,'Barang Keluar'!$A:$A,M9164,'Barang Keluar'!$C:$C,N9164))</f>
        <v>0</v>
      </c>
    </row>
    <row r="9165" spans="13:16">
      <c r="M9165" s="49">
        <f>IF($A$4+91&gt;$B$4,"",$A$4+91)</f>
        <v>46114</v>
      </c>
      <c r="N9165">
        <f>IF(M9165="","",'Master Barang'!A59)</f>
        <v>0</v>
      </c>
      <c r="O9165">
        <f>IF(N9165="","",'Master Barang'!B59)</f>
        <v>0</v>
      </c>
      <c r="P9165">
        <f>IF(OR(M9165="",N9165=""),"",SUMIFS('Barang Keluar'!$E:$E,'Barang Keluar'!$A:$A,M9165,'Barang Keluar'!$C:$C,N9165))</f>
        <v>0</v>
      </c>
    </row>
    <row r="9166" spans="13:16">
      <c r="M9166" s="49">
        <f>IF($A$4+91&gt;$B$4,"",$A$4+91)</f>
        <v>46114</v>
      </c>
      <c r="N9166">
        <f>IF(M9166="","",'Master Barang'!A60)</f>
        <v>0</v>
      </c>
      <c r="O9166">
        <f>IF(N9166="","",'Master Barang'!B60)</f>
        <v>0</v>
      </c>
      <c r="P9166">
        <f>IF(OR(M9166="",N9166=""),"",SUMIFS('Barang Keluar'!$E:$E,'Barang Keluar'!$A:$A,M9166,'Barang Keluar'!$C:$C,N9166))</f>
        <v>0</v>
      </c>
    </row>
    <row r="9167" spans="13:16">
      <c r="M9167" s="49">
        <f>IF($A$4+91&gt;$B$4,"",$A$4+91)</f>
        <v>46114</v>
      </c>
      <c r="N9167">
        <f>IF(M9167="","",'Master Barang'!A61)</f>
        <v>0</v>
      </c>
      <c r="O9167">
        <f>IF(N9167="","",'Master Barang'!B61)</f>
        <v>0</v>
      </c>
      <c r="P9167">
        <f>IF(OR(M9167="",N9167=""),"",SUMIFS('Barang Keluar'!$E:$E,'Barang Keluar'!$A:$A,M9167,'Barang Keluar'!$C:$C,N9167))</f>
        <v>0</v>
      </c>
    </row>
    <row r="9168" spans="13:16">
      <c r="M9168" s="49">
        <f>IF($A$4+91&gt;$B$4,"",$A$4+91)</f>
        <v>46114</v>
      </c>
      <c r="N9168">
        <f>IF(M9168="","",'Master Barang'!A62)</f>
        <v>0</v>
      </c>
      <c r="O9168">
        <f>IF(N9168="","",'Master Barang'!B62)</f>
        <v>0</v>
      </c>
      <c r="P9168">
        <f>IF(OR(M9168="",N9168=""),"",SUMIFS('Barang Keluar'!$E:$E,'Barang Keluar'!$A:$A,M9168,'Barang Keluar'!$C:$C,N9168))</f>
        <v>0</v>
      </c>
    </row>
    <row r="9169" spans="13:16">
      <c r="M9169" s="49">
        <f>IF($A$4+91&gt;$B$4,"",$A$4+91)</f>
        <v>46114</v>
      </c>
      <c r="N9169">
        <f>IF(M9169="","",'Master Barang'!A63)</f>
        <v>0</v>
      </c>
      <c r="O9169">
        <f>IF(N9169="","",'Master Barang'!B63)</f>
        <v>0</v>
      </c>
      <c r="P9169">
        <f>IF(OR(M9169="",N9169=""),"",SUMIFS('Barang Keluar'!$E:$E,'Barang Keluar'!$A:$A,M9169,'Barang Keluar'!$C:$C,N9169))</f>
        <v>0</v>
      </c>
    </row>
    <row r="9170" spans="13:16">
      <c r="M9170" s="49">
        <f>IF($A$4+91&gt;$B$4,"",$A$4+91)</f>
        <v>46114</v>
      </c>
      <c r="N9170">
        <f>IF(M9170="","",'Master Barang'!A64)</f>
        <v>0</v>
      </c>
      <c r="O9170">
        <f>IF(N9170="","",'Master Barang'!B64)</f>
        <v>0</v>
      </c>
      <c r="P9170">
        <f>IF(OR(M9170="",N9170=""),"",SUMIFS('Barang Keluar'!$E:$E,'Barang Keluar'!$A:$A,M9170,'Barang Keluar'!$C:$C,N9170))</f>
        <v>0</v>
      </c>
    </row>
    <row r="9171" spans="13:16">
      <c r="M9171" s="49">
        <f>IF($A$4+91&gt;$B$4,"",$A$4+91)</f>
        <v>46114</v>
      </c>
      <c r="N9171">
        <f>IF(M9171="","",'Master Barang'!A65)</f>
        <v>0</v>
      </c>
      <c r="O9171">
        <f>IF(N9171="","",'Master Barang'!B65)</f>
        <v>0</v>
      </c>
      <c r="P9171">
        <f>IF(OR(M9171="",N9171=""),"",SUMIFS('Barang Keluar'!$E:$E,'Barang Keluar'!$A:$A,M9171,'Barang Keluar'!$C:$C,N9171))</f>
        <v>0</v>
      </c>
    </row>
    <row r="9172" spans="13:16">
      <c r="M9172" s="49">
        <f>IF($A$4+91&gt;$B$4,"",$A$4+91)</f>
        <v>46114</v>
      </c>
      <c r="N9172">
        <f>IF(M9172="","",'Master Barang'!A66)</f>
        <v>0</v>
      </c>
      <c r="O9172">
        <f>IF(N9172="","",'Master Barang'!B66)</f>
        <v>0</v>
      </c>
      <c r="P9172">
        <f>IF(OR(M9172="",N9172=""),"",SUMIFS('Barang Keluar'!$E:$E,'Barang Keluar'!$A:$A,M9172,'Barang Keluar'!$C:$C,N9172))</f>
        <v>0</v>
      </c>
    </row>
    <row r="9173" spans="13:16">
      <c r="M9173" s="49">
        <f>IF($A$4+91&gt;$B$4,"",$A$4+91)</f>
        <v>46114</v>
      </c>
      <c r="N9173">
        <f>IF(M9173="","",'Master Barang'!A67)</f>
        <v>0</v>
      </c>
      <c r="O9173">
        <f>IF(N9173="","",'Master Barang'!B67)</f>
        <v>0</v>
      </c>
      <c r="P9173">
        <f>IF(OR(M9173="",N9173=""),"",SUMIFS('Barang Keluar'!$E:$E,'Barang Keluar'!$A:$A,M9173,'Barang Keluar'!$C:$C,N9173))</f>
        <v>0</v>
      </c>
    </row>
    <row r="9174" spans="13:16">
      <c r="M9174" s="49">
        <f>IF($A$4+91&gt;$B$4,"",$A$4+91)</f>
        <v>46114</v>
      </c>
      <c r="N9174">
        <f>IF(M9174="","",'Master Barang'!A68)</f>
        <v>0</v>
      </c>
      <c r="O9174">
        <f>IF(N9174="","",'Master Barang'!B68)</f>
        <v>0</v>
      </c>
      <c r="P9174">
        <f>IF(OR(M9174="",N9174=""),"",SUMIFS('Barang Keluar'!$E:$E,'Barang Keluar'!$A:$A,M9174,'Barang Keluar'!$C:$C,N9174))</f>
        <v>0</v>
      </c>
    </row>
    <row r="9175" spans="13:16">
      <c r="M9175" s="49">
        <f>IF($A$4+91&gt;$B$4,"",$A$4+91)</f>
        <v>46114</v>
      </c>
      <c r="N9175">
        <f>IF(M9175="","",'Master Barang'!A69)</f>
        <v>0</v>
      </c>
      <c r="O9175">
        <f>IF(N9175="","",'Master Barang'!B69)</f>
        <v>0</v>
      </c>
      <c r="P9175">
        <f>IF(OR(M9175="",N9175=""),"",SUMIFS('Barang Keluar'!$E:$E,'Barang Keluar'!$A:$A,M9175,'Barang Keluar'!$C:$C,N9175))</f>
        <v>0</v>
      </c>
    </row>
    <row r="9176" spans="13:16">
      <c r="M9176" s="49">
        <f>IF($A$4+91&gt;$B$4,"",$A$4+91)</f>
        <v>46114</v>
      </c>
      <c r="N9176">
        <f>IF(M9176="","",'Master Barang'!A70)</f>
        <v>0</v>
      </c>
      <c r="O9176">
        <f>IF(N9176="","",'Master Barang'!B70)</f>
        <v>0</v>
      </c>
      <c r="P9176">
        <f>IF(OR(M9176="",N9176=""),"",SUMIFS('Barang Keluar'!$E:$E,'Barang Keluar'!$A:$A,M9176,'Barang Keluar'!$C:$C,N9176))</f>
        <v>0</v>
      </c>
    </row>
    <row r="9177" spans="13:16">
      <c r="M9177" s="49">
        <f>IF($A$4+91&gt;$B$4,"",$A$4+91)</f>
        <v>46114</v>
      </c>
      <c r="N9177">
        <f>IF(M9177="","",'Master Barang'!A71)</f>
        <v>0</v>
      </c>
      <c r="O9177">
        <f>IF(N9177="","",'Master Barang'!B71)</f>
        <v>0</v>
      </c>
      <c r="P9177">
        <f>IF(OR(M9177="",N9177=""),"",SUMIFS('Barang Keluar'!$E:$E,'Barang Keluar'!$A:$A,M9177,'Barang Keluar'!$C:$C,N9177))</f>
        <v>0</v>
      </c>
    </row>
    <row r="9178" spans="13:16">
      <c r="M9178" s="49">
        <f>IF($A$4+91&gt;$B$4,"",$A$4+91)</f>
        <v>46114</v>
      </c>
      <c r="N9178">
        <f>IF(M9178="","",'Master Barang'!A72)</f>
        <v>0</v>
      </c>
      <c r="O9178">
        <f>IF(N9178="","",'Master Barang'!B72)</f>
        <v>0</v>
      </c>
      <c r="P9178">
        <f>IF(OR(M9178="",N9178=""),"",SUMIFS('Barang Keluar'!$E:$E,'Barang Keluar'!$A:$A,M9178,'Barang Keluar'!$C:$C,N9178))</f>
        <v>0</v>
      </c>
    </row>
    <row r="9179" spans="13:16">
      <c r="M9179" s="49">
        <f>IF($A$4+91&gt;$B$4,"",$A$4+91)</f>
        <v>46114</v>
      </c>
      <c r="N9179">
        <f>IF(M9179="","",'Master Barang'!A73)</f>
        <v>0</v>
      </c>
      <c r="O9179">
        <f>IF(N9179="","",'Master Barang'!B73)</f>
        <v>0</v>
      </c>
      <c r="P9179">
        <f>IF(OR(M9179="",N9179=""),"",SUMIFS('Barang Keluar'!$E:$E,'Barang Keluar'!$A:$A,M9179,'Barang Keluar'!$C:$C,N9179))</f>
        <v>0</v>
      </c>
    </row>
    <row r="9180" spans="13:16">
      <c r="M9180" s="49">
        <f>IF($A$4+91&gt;$B$4,"",$A$4+91)</f>
        <v>46114</v>
      </c>
      <c r="N9180">
        <f>IF(M9180="","",'Master Barang'!A74)</f>
        <v>0</v>
      </c>
      <c r="O9180">
        <f>IF(N9180="","",'Master Barang'!B74)</f>
        <v>0</v>
      </c>
      <c r="P9180">
        <f>IF(OR(M9180="",N9180=""),"",SUMIFS('Barang Keluar'!$E:$E,'Barang Keluar'!$A:$A,M9180,'Barang Keluar'!$C:$C,N9180))</f>
        <v>0</v>
      </c>
    </row>
    <row r="9181" spans="13:16">
      <c r="M9181" s="49">
        <f>IF($A$4+91&gt;$B$4,"",$A$4+91)</f>
        <v>46114</v>
      </c>
      <c r="N9181">
        <f>IF(M9181="","",'Master Barang'!A75)</f>
        <v>0</v>
      </c>
      <c r="O9181">
        <f>IF(N9181="","",'Master Barang'!B75)</f>
        <v>0</v>
      </c>
      <c r="P9181">
        <f>IF(OR(M9181="",N9181=""),"",SUMIFS('Barang Keluar'!$E:$E,'Barang Keluar'!$A:$A,M9181,'Barang Keluar'!$C:$C,N9181))</f>
        <v>0</v>
      </c>
    </row>
    <row r="9182" spans="13:16">
      <c r="M9182" s="49">
        <f>IF($A$4+91&gt;$B$4,"",$A$4+91)</f>
        <v>46114</v>
      </c>
      <c r="N9182">
        <f>IF(M9182="","",'Master Barang'!A76)</f>
        <v>0</v>
      </c>
      <c r="O9182">
        <f>IF(N9182="","",'Master Barang'!B76)</f>
        <v>0</v>
      </c>
      <c r="P9182">
        <f>IF(OR(M9182="",N9182=""),"",SUMIFS('Barang Keluar'!$E:$E,'Barang Keluar'!$A:$A,M9182,'Barang Keluar'!$C:$C,N9182))</f>
        <v>0</v>
      </c>
    </row>
    <row r="9183" spans="13:16">
      <c r="M9183" s="49">
        <f>IF($A$4+91&gt;$B$4,"",$A$4+91)</f>
        <v>46114</v>
      </c>
      <c r="N9183">
        <f>IF(M9183="","",'Master Barang'!A77)</f>
        <v>0</v>
      </c>
      <c r="O9183">
        <f>IF(N9183="","",'Master Barang'!B77)</f>
        <v>0</v>
      </c>
      <c r="P9183">
        <f>IF(OR(M9183="",N9183=""),"",SUMIFS('Barang Keluar'!$E:$E,'Barang Keluar'!$A:$A,M9183,'Barang Keluar'!$C:$C,N9183))</f>
        <v>0</v>
      </c>
    </row>
    <row r="9184" spans="13:16">
      <c r="M9184" s="49">
        <f>IF($A$4+91&gt;$B$4,"",$A$4+91)</f>
        <v>46114</v>
      </c>
      <c r="N9184">
        <f>IF(M9184="","",'Master Barang'!A78)</f>
        <v>0</v>
      </c>
      <c r="O9184">
        <f>IF(N9184="","",'Master Barang'!B78)</f>
        <v>0</v>
      </c>
      <c r="P9184">
        <f>IF(OR(M9184="",N9184=""),"",SUMIFS('Barang Keluar'!$E:$E,'Barang Keluar'!$A:$A,M9184,'Barang Keluar'!$C:$C,N9184))</f>
        <v>0</v>
      </c>
    </row>
    <row r="9185" spans="13:16">
      <c r="M9185" s="49">
        <f>IF($A$4+91&gt;$B$4,"",$A$4+91)</f>
        <v>46114</v>
      </c>
      <c r="N9185">
        <f>IF(M9185="","",'Master Barang'!A79)</f>
        <v>0</v>
      </c>
      <c r="O9185">
        <f>IF(N9185="","",'Master Barang'!B79)</f>
        <v>0</v>
      </c>
      <c r="P9185">
        <f>IF(OR(M9185="",N9185=""),"",SUMIFS('Barang Keluar'!$E:$E,'Barang Keluar'!$A:$A,M9185,'Barang Keluar'!$C:$C,N9185))</f>
        <v>0</v>
      </c>
    </row>
    <row r="9186" spans="13:16">
      <c r="M9186" s="49">
        <f>IF($A$4+91&gt;$B$4,"",$A$4+91)</f>
        <v>46114</v>
      </c>
      <c r="N9186">
        <f>IF(M9186="","",'Master Barang'!A80)</f>
        <v>0</v>
      </c>
      <c r="O9186">
        <f>IF(N9186="","",'Master Barang'!B80)</f>
        <v>0</v>
      </c>
      <c r="P9186">
        <f>IF(OR(M9186="",N9186=""),"",SUMIFS('Barang Keluar'!$E:$E,'Barang Keluar'!$A:$A,M9186,'Barang Keluar'!$C:$C,N9186))</f>
        <v>0</v>
      </c>
    </row>
    <row r="9187" spans="13:16">
      <c r="M9187" s="49">
        <f>IF($A$4+91&gt;$B$4,"",$A$4+91)</f>
        <v>46114</v>
      </c>
      <c r="N9187">
        <f>IF(M9187="","",'Master Barang'!A81)</f>
        <v>0</v>
      </c>
      <c r="O9187">
        <f>IF(N9187="","",'Master Barang'!B81)</f>
        <v>0</v>
      </c>
      <c r="P9187">
        <f>IF(OR(M9187="",N9187=""),"",SUMIFS('Barang Keluar'!$E:$E,'Barang Keluar'!$A:$A,M9187,'Barang Keluar'!$C:$C,N9187))</f>
        <v>0</v>
      </c>
    </row>
    <row r="9188" spans="13:16">
      <c r="M9188" s="49">
        <f>IF($A$4+91&gt;$B$4,"",$A$4+91)</f>
        <v>46114</v>
      </c>
      <c r="N9188">
        <f>IF(M9188="","",'Master Barang'!A82)</f>
        <v>0</v>
      </c>
      <c r="O9188">
        <f>IF(N9188="","",'Master Barang'!B82)</f>
        <v>0</v>
      </c>
      <c r="P9188">
        <f>IF(OR(M9188="",N9188=""),"",SUMIFS('Barang Keluar'!$E:$E,'Barang Keluar'!$A:$A,M9188,'Barang Keluar'!$C:$C,N9188))</f>
        <v>0</v>
      </c>
    </row>
    <row r="9189" spans="13:16">
      <c r="M9189" s="49">
        <f>IF($A$4+91&gt;$B$4,"",$A$4+91)</f>
        <v>46114</v>
      </c>
      <c r="N9189">
        <f>IF(M9189="","",'Master Barang'!A83)</f>
        <v>0</v>
      </c>
      <c r="O9189">
        <f>IF(N9189="","",'Master Barang'!B83)</f>
        <v>0</v>
      </c>
      <c r="P9189">
        <f>IF(OR(M9189="",N9189=""),"",SUMIFS('Barang Keluar'!$E:$E,'Barang Keluar'!$A:$A,M9189,'Barang Keluar'!$C:$C,N9189))</f>
        <v>0</v>
      </c>
    </row>
    <row r="9190" spans="13:16">
      <c r="M9190" s="49">
        <f>IF($A$4+91&gt;$B$4,"",$A$4+91)</f>
        <v>46114</v>
      </c>
      <c r="N9190">
        <f>IF(M9190="","",'Master Barang'!A84)</f>
        <v>0</v>
      </c>
      <c r="O9190">
        <f>IF(N9190="","",'Master Barang'!B84)</f>
        <v>0</v>
      </c>
      <c r="P9190">
        <f>IF(OR(M9190="",N9190=""),"",SUMIFS('Barang Keluar'!$E:$E,'Barang Keluar'!$A:$A,M9190,'Barang Keluar'!$C:$C,N9190))</f>
        <v>0</v>
      </c>
    </row>
    <row r="9191" spans="13:16">
      <c r="M9191" s="49">
        <f>IF($A$4+91&gt;$B$4,"",$A$4+91)</f>
        <v>46114</v>
      </c>
      <c r="N9191">
        <f>IF(M9191="","",'Master Barang'!A85)</f>
        <v>0</v>
      </c>
      <c r="O9191">
        <f>IF(N9191="","",'Master Barang'!B85)</f>
        <v>0</v>
      </c>
      <c r="P9191">
        <f>IF(OR(M9191="",N9191=""),"",SUMIFS('Barang Keluar'!$E:$E,'Barang Keluar'!$A:$A,M9191,'Barang Keluar'!$C:$C,N9191))</f>
        <v>0</v>
      </c>
    </row>
    <row r="9192" spans="13:16">
      <c r="M9192" s="49">
        <f>IF($A$4+91&gt;$B$4,"",$A$4+91)</f>
        <v>46114</v>
      </c>
      <c r="N9192">
        <f>IF(M9192="","",'Master Barang'!A86)</f>
        <v>0</v>
      </c>
      <c r="O9192">
        <f>IF(N9192="","",'Master Barang'!B86)</f>
        <v>0</v>
      </c>
      <c r="P9192">
        <f>IF(OR(M9192="",N9192=""),"",SUMIFS('Barang Keluar'!$E:$E,'Barang Keluar'!$A:$A,M9192,'Barang Keluar'!$C:$C,N9192))</f>
        <v>0</v>
      </c>
    </row>
    <row r="9193" spans="13:16">
      <c r="M9193" s="49">
        <f>IF($A$4+91&gt;$B$4,"",$A$4+91)</f>
        <v>46114</v>
      </c>
      <c r="N9193">
        <f>IF(M9193="","",'Master Barang'!A87)</f>
        <v>0</v>
      </c>
      <c r="O9193">
        <f>IF(N9193="","",'Master Barang'!B87)</f>
        <v>0</v>
      </c>
      <c r="P9193">
        <f>IF(OR(M9193="",N9193=""),"",SUMIFS('Barang Keluar'!$E:$E,'Barang Keluar'!$A:$A,M9193,'Barang Keluar'!$C:$C,N9193))</f>
        <v>0</v>
      </c>
    </row>
    <row r="9194" spans="13:16">
      <c r="M9194" s="49">
        <f>IF($A$4+91&gt;$B$4,"",$A$4+91)</f>
        <v>46114</v>
      </c>
      <c r="N9194">
        <f>IF(M9194="","",'Master Barang'!A88)</f>
        <v>0</v>
      </c>
      <c r="O9194">
        <f>IF(N9194="","",'Master Barang'!B88)</f>
        <v>0</v>
      </c>
      <c r="P9194">
        <f>IF(OR(M9194="",N9194=""),"",SUMIFS('Barang Keluar'!$E:$E,'Barang Keluar'!$A:$A,M9194,'Barang Keluar'!$C:$C,N9194))</f>
        <v>0</v>
      </c>
    </row>
    <row r="9195" spans="13:16">
      <c r="M9195" s="49">
        <f>IF($A$4+91&gt;$B$4,"",$A$4+91)</f>
        <v>46114</v>
      </c>
      <c r="N9195">
        <f>IF(M9195="","",'Master Barang'!A89)</f>
        <v>0</v>
      </c>
      <c r="O9195">
        <f>IF(N9195="","",'Master Barang'!B89)</f>
        <v>0</v>
      </c>
      <c r="P9195">
        <f>IF(OR(M9195="",N9195=""),"",SUMIFS('Barang Keluar'!$E:$E,'Barang Keluar'!$A:$A,M9195,'Barang Keluar'!$C:$C,N9195))</f>
        <v>0</v>
      </c>
    </row>
    <row r="9196" spans="13:16">
      <c r="M9196" s="49">
        <f>IF($A$4+91&gt;$B$4,"",$A$4+91)</f>
        <v>46114</v>
      </c>
      <c r="N9196">
        <f>IF(M9196="","",'Master Barang'!A90)</f>
        <v>0</v>
      </c>
      <c r="O9196">
        <f>IF(N9196="","",'Master Barang'!B90)</f>
        <v>0</v>
      </c>
      <c r="P9196">
        <f>IF(OR(M9196="",N9196=""),"",SUMIFS('Barang Keluar'!$E:$E,'Barang Keluar'!$A:$A,M9196,'Barang Keluar'!$C:$C,N9196))</f>
        <v>0</v>
      </c>
    </row>
    <row r="9197" spans="13:16">
      <c r="M9197" s="49">
        <f>IF($A$4+91&gt;$B$4,"",$A$4+91)</f>
        <v>46114</v>
      </c>
      <c r="N9197">
        <f>IF(M9197="","",'Master Barang'!A91)</f>
        <v>0</v>
      </c>
      <c r="O9197">
        <f>IF(N9197="","",'Master Barang'!B91)</f>
        <v>0</v>
      </c>
      <c r="P9197">
        <f>IF(OR(M9197="",N9197=""),"",SUMIFS('Barang Keluar'!$E:$E,'Barang Keluar'!$A:$A,M9197,'Barang Keluar'!$C:$C,N9197))</f>
        <v>0</v>
      </c>
    </row>
    <row r="9198" spans="13:16">
      <c r="M9198" s="49">
        <f>IF($A$4+91&gt;$B$4,"",$A$4+91)</f>
        <v>46114</v>
      </c>
      <c r="N9198">
        <f>IF(M9198="","",'Master Barang'!A92)</f>
        <v>0</v>
      </c>
      <c r="O9198">
        <f>IF(N9198="","",'Master Barang'!B92)</f>
        <v>0</v>
      </c>
      <c r="P9198">
        <f>IF(OR(M9198="",N9198=""),"",SUMIFS('Barang Keluar'!$E:$E,'Barang Keluar'!$A:$A,M9198,'Barang Keluar'!$C:$C,N9198))</f>
        <v>0</v>
      </c>
    </row>
    <row r="9199" spans="13:16">
      <c r="M9199" s="49">
        <f>IF($A$4+91&gt;$B$4,"",$A$4+91)</f>
        <v>46114</v>
      </c>
      <c r="N9199">
        <f>IF(M9199="","",'Master Barang'!A93)</f>
        <v>0</v>
      </c>
      <c r="O9199">
        <f>IF(N9199="","",'Master Barang'!B93)</f>
        <v>0</v>
      </c>
      <c r="P9199">
        <f>IF(OR(M9199="",N9199=""),"",SUMIFS('Barang Keluar'!$E:$E,'Barang Keluar'!$A:$A,M9199,'Barang Keluar'!$C:$C,N9199))</f>
        <v>0</v>
      </c>
    </row>
    <row r="9200" spans="13:16">
      <c r="M9200" s="49">
        <f>IF($A$4+91&gt;$B$4,"",$A$4+91)</f>
        <v>46114</v>
      </c>
      <c r="N9200">
        <f>IF(M9200="","",'Master Barang'!A94)</f>
        <v>0</v>
      </c>
      <c r="O9200">
        <f>IF(N9200="","",'Master Barang'!B94)</f>
        <v>0</v>
      </c>
      <c r="P9200">
        <f>IF(OR(M9200="",N9200=""),"",SUMIFS('Barang Keluar'!$E:$E,'Barang Keluar'!$A:$A,M9200,'Barang Keluar'!$C:$C,N9200))</f>
        <v>0</v>
      </c>
    </row>
    <row r="9201" spans="13:16">
      <c r="M9201" s="49">
        <f>IF($A$4+91&gt;$B$4,"",$A$4+91)</f>
        <v>46114</v>
      </c>
      <c r="N9201">
        <f>IF(M9201="","",'Master Barang'!A95)</f>
        <v>0</v>
      </c>
      <c r="O9201">
        <f>IF(N9201="","",'Master Barang'!B95)</f>
        <v>0</v>
      </c>
      <c r="P9201">
        <f>IF(OR(M9201="",N9201=""),"",SUMIFS('Barang Keluar'!$E:$E,'Barang Keluar'!$A:$A,M9201,'Barang Keluar'!$C:$C,N9201))</f>
        <v>0</v>
      </c>
    </row>
    <row r="9202" spans="13:16">
      <c r="M9202" s="49">
        <f>IF($A$4+91&gt;$B$4,"",$A$4+91)</f>
        <v>46114</v>
      </c>
      <c r="N9202">
        <f>IF(M9202="","",'Master Barang'!A96)</f>
        <v>0</v>
      </c>
      <c r="O9202">
        <f>IF(N9202="","",'Master Barang'!B96)</f>
        <v>0</v>
      </c>
      <c r="P9202">
        <f>IF(OR(M9202="",N9202=""),"",SUMIFS('Barang Keluar'!$E:$E,'Barang Keluar'!$A:$A,M9202,'Barang Keluar'!$C:$C,N9202))</f>
        <v>0</v>
      </c>
    </row>
    <row r="9203" spans="13:16">
      <c r="M9203" s="49">
        <f>IF($A$4+91&gt;$B$4,"",$A$4+91)</f>
        <v>46114</v>
      </c>
      <c r="N9203">
        <f>IF(M9203="","",'Master Barang'!A97)</f>
        <v>0</v>
      </c>
      <c r="O9203">
        <f>IF(N9203="","",'Master Barang'!B97)</f>
        <v>0</v>
      </c>
      <c r="P9203">
        <f>IF(OR(M9203="",N9203=""),"",SUMIFS('Barang Keluar'!$E:$E,'Barang Keluar'!$A:$A,M9203,'Barang Keluar'!$C:$C,N9203))</f>
        <v>0</v>
      </c>
    </row>
    <row r="9204" spans="13:16">
      <c r="M9204" s="49">
        <f>IF($A$4+91&gt;$B$4,"",$A$4+91)</f>
        <v>46114</v>
      </c>
      <c r="N9204">
        <f>IF(M9204="","",'Master Barang'!A98)</f>
        <v>0</v>
      </c>
      <c r="O9204">
        <f>IF(N9204="","",'Master Barang'!B98)</f>
        <v>0</v>
      </c>
      <c r="P9204">
        <f>IF(OR(M9204="",N9204=""),"",SUMIFS('Barang Keluar'!$E:$E,'Barang Keluar'!$A:$A,M9204,'Barang Keluar'!$C:$C,N9204))</f>
        <v>0</v>
      </c>
    </row>
    <row r="9205" spans="13:16">
      <c r="M9205" s="49">
        <f>IF($A$4+91&gt;$B$4,"",$A$4+91)</f>
        <v>46114</v>
      </c>
      <c r="N9205">
        <f>IF(M9205="","",'Master Barang'!A99)</f>
        <v>0</v>
      </c>
      <c r="O9205">
        <f>IF(N9205="","",'Master Barang'!B99)</f>
        <v>0</v>
      </c>
      <c r="P9205">
        <f>IF(OR(M9205="",N9205=""),"",SUMIFS('Barang Keluar'!$E:$E,'Barang Keluar'!$A:$A,M9205,'Barang Keluar'!$C:$C,N9205))</f>
        <v>0</v>
      </c>
    </row>
    <row r="9206" spans="13:16">
      <c r="M9206" s="49">
        <f>IF($A$4+91&gt;$B$4,"",$A$4+91)</f>
        <v>46114</v>
      </c>
      <c r="N9206">
        <f>IF(M9206="","",'Master Barang'!A100)</f>
        <v>0</v>
      </c>
      <c r="O9206">
        <f>IF(N9206="","",'Master Barang'!B100)</f>
        <v>0</v>
      </c>
      <c r="P9206">
        <f>IF(OR(M9206="",N9206=""),"",SUMIFS('Barang Keluar'!$E:$E,'Barang Keluar'!$A:$A,M9206,'Barang Keluar'!$C:$C,N9206))</f>
        <v>0</v>
      </c>
    </row>
    <row r="9207" spans="13:16">
      <c r="M9207" s="49">
        <f>IF($A$4+91&gt;$B$4,"",$A$4+91)</f>
        <v>46114</v>
      </c>
      <c r="N9207">
        <f>IF(M9207="","",'Master Barang'!A101)</f>
        <v>0</v>
      </c>
      <c r="O9207">
        <f>IF(N9207="","",'Master Barang'!B101)</f>
        <v>0</v>
      </c>
      <c r="P9207">
        <f>IF(OR(M9207="",N9207=""),"",SUMIFS('Barang Keluar'!$E:$E,'Barang Keluar'!$A:$A,M9207,'Barang Keluar'!$C:$C,N9207))</f>
        <v>0</v>
      </c>
    </row>
    <row r="9208" spans="13:16">
      <c r="M9208" s="49">
        <f>IF($A$4+92&gt;$B$4,"",$A$4+92)</f>
        <v>46115</v>
      </c>
      <c r="N9208" t="str">
        <f>IF(M9208="","",'Master Barang'!A2)</f>
        <v>PRL-001</v>
      </c>
      <c r="O9208" t="str">
        <f>IF(N9208="","",'Master Barang'!B2)</f>
        <v>natura desinfectant food grade 5l</v>
      </c>
      <c r="P9208">
        <f>IF(OR(M9208="",N9208=""),"",SUMIFS('Barang Keluar'!$E:$E,'Barang Keluar'!$A:$A,M9208,'Barang Keluar'!$C:$C,N9208))</f>
        <v>0</v>
      </c>
    </row>
    <row r="9209" spans="13:16">
      <c r="M9209" s="49">
        <f>IF($A$4+92&gt;$B$4,"",$A$4+92)</f>
        <v>46115</v>
      </c>
      <c r="N9209" t="str">
        <f>IF(M9209="","",'Master Barang'!A3)</f>
        <v>PRL-002</v>
      </c>
      <c r="O9209" t="str">
        <f>IF(N9209="","",'Master Barang'!B3)</f>
        <v>sunlight cairan pencuci piring 5l</v>
      </c>
      <c r="P9209">
        <f>IF(OR(M9209="",N9209=""),"",SUMIFS('Barang Keluar'!$E:$E,'Barang Keluar'!$A:$A,M9209,'Barang Keluar'!$C:$C,N9209))</f>
        <v>0</v>
      </c>
    </row>
    <row r="9210" spans="13:16">
      <c r="M9210" s="49">
        <f>IF($A$4+92&gt;$B$4,"",$A$4+92)</f>
        <v>46115</v>
      </c>
      <c r="N9210" t="str">
        <f>IF(M9210="","",'Master Barang'!A4)</f>
        <v>PRL-003</v>
      </c>
      <c r="O9210" t="str">
        <f>IF(N9210="","",'Master Barang'!B4)</f>
        <v>oixs cleaner 1l</v>
      </c>
      <c r="P9210">
        <f>IF(OR(M9210="",N9210=""),"",SUMIFS('Barang Keluar'!$E:$E,'Barang Keluar'!$A:$A,M9210,'Barang Keluar'!$C:$C,N9210))</f>
        <v>0</v>
      </c>
    </row>
    <row r="9211" spans="13:16">
      <c r="M9211" s="49">
        <f>IF($A$4+92&gt;$B$4,"",$A$4+92)</f>
        <v>46115</v>
      </c>
      <c r="N9211" t="str">
        <f>IF(M9211="","",'Master Barang'!A5)</f>
        <v>PRL-004</v>
      </c>
      <c r="O9211" t="str">
        <f>IF(N9211="","",'Master Barang'!B5)</f>
        <v>be clean tissue serbaguna</v>
      </c>
      <c r="P9211">
        <f>IF(OR(M9211="",N9211=""),"",SUMIFS('Barang Keluar'!$E:$E,'Barang Keluar'!$A:$A,M9211,'Barang Keluar'!$C:$C,N9211))</f>
        <v>0</v>
      </c>
    </row>
    <row r="9212" spans="13:16">
      <c r="M9212" s="49">
        <f>IF($A$4+92&gt;$B$4,"",$A$4+92)</f>
        <v>46115</v>
      </c>
      <c r="N9212" t="str">
        <f>IF(M9212="","",'Master Barang'!A6)</f>
        <v>PRL-005</v>
      </c>
      <c r="O9212" t="str">
        <f>IF(N9212="","",'Master Barang'!B6)</f>
        <v>spons cuci hijau</v>
      </c>
      <c r="P9212">
        <f>IF(OR(M9212="",N9212=""),"",SUMIFS('Barang Keluar'!$E:$E,'Barang Keluar'!$A:$A,M9212,'Barang Keluar'!$C:$C,N9212))</f>
        <v>0</v>
      </c>
    </row>
    <row r="9213" spans="13:16">
      <c r="M9213" s="49">
        <f>IF($A$4+92&gt;$B$4,"",$A$4+92)</f>
        <v>46115</v>
      </c>
      <c r="N9213" t="str">
        <f>IF(M9213="","",'Master Barang'!A7)</f>
        <v>PRL-006</v>
      </c>
      <c r="O9213" t="str">
        <f>IF(N9213="","",'Master Barang'!B7)</f>
        <v>sabut cuci stainless</v>
      </c>
      <c r="P9213">
        <f>IF(OR(M9213="",N9213=""),"",SUMIFS('Barang Keluar'!$E:$E,'Barang Keluar'!$A:$A,M9213,'Barang Keluar'!$C:$C,N9213))</f>
        <v>0</v>
      </c>
    </row>
    <row r="9214" spans="13:16">
      <c r="M9214" s="49">
        <f>IF($A$4+92&gt;$B$4,"",$A$4+92)</f>
        <v>46115</v>
      </c>
      <c r="N9214" t="str">
        <f>IF(M9214="","",'Master Barang'!A8)</f>
        <v>PRL-007</v>
      </c>
      <c r="O9214" t="str">
        <f>IF(N9214="","",'Master Barang'!B8)</f>
        <v>plastik kresek besar merah 50pc</v>
      </c>
      <c r="P9214">
        <f>IF(OR(M9214="",N9214=""),"",SUMIFS('Barang Keluar'!$E:$E,'Barang Keluar'!$A:$A,M9214,'Barang Keluar'!$C:$C,N9214))</f>
        <v>0</v>
      </c>
    </row>
    <row r="9215" spans="13:16">
      <c r="M9215" s="49">
        <f>IF($A$4+92&gt;$B$4,"",$A$4+92)</f>
        <v>46115</v>
      </c>
      <c r="N9215" t="str">
        <f>IF(M9215="","",'Master Barang'!A9)</f>
        <v>PRL-008</v>
      </c>
      <c r="O9215" t="str">
        <f>IF(N9215="","",'Master Barang'!B9)</f>
        <v>lap besar</v>
      </c>
      <c r="P9215">
        <f>IF(OR(M9215="",N9215=""),"",SUMIFS('Barang Keluar'!$E:$E,'Barang Keluar'!$A:$A,M9215,'Barang Keluar'!$C:$C,N9215))</f>
        <v>0</v>
      </c>
    </row>
    <row r="9216" spans="13:16">
      <c r="M9216" s="49">
        <f>IF($A$4+92&gt;$B$4,"",$A$4+92)</f>
        <v>46115</v>
      </c>
      <c r="N9216" t="str">
        <f>IF(M9216="","",'Master Barang'!A10)</f>
        <v>PRL-009</v>
      </c>
      <c r="O9216" t="str">
        <f>IF(N9216="","",'Master Barang'!B10)</f>
        <v>lap microfiber</v>
      </c>
      <c r="P9216">
        <f>IF(OR(M9216="",N9216=""),"",SUMIFS('Barang Keluar'!$E:$E,'Barang Keluar'!$A:$A,M9216,'Barang Keluar'!$C:$C,N9216))</f>
        <v>0</v>
      </c>
    </row>
    <row r="9217" spans="13:16">
      <c r="M9217" s="49">
        <f>IF($A$4+92&gt;$B$4,"",$A$4+92)</f>
        <v>46115</v>
      </c>
      <c r="N9217" t="str">
        <f>IF(M9217="","",'Master Barang'!A11)</f>
        <v>PRL-010</v>
      </c>
      <c r="O9217" t="str">
        <f>IF(N9217="","",'Master Barang'!B11)</f>
        <v>lap kecil</v>
      </c>
      <c r="P9217">
        <f>IF(OR(M9217="",N9217=""),"",SUMIFS('Barang Keluar'!$E:$E,'Barang Keluar'!$A:$A,M9217,'Barang Keluar'!$C:$C,N9217))</f>
        <v>0</v>
      </c>
    </row>
    <row r="9218" spans="13:16">
      <c r="M9218" s="49">
        <f>IF($A$4+92&gt;$B$4,"",$A$4+92)</f>
        <v>46115</v>
      </c>
      <c r="N9218" t="str">
        <f>IF(M9218="","",'Master Barang'!A12)</f>
        <v>PRL-011</v>
      </c>
      <c r="O9218" t="str">
        <f>IF(N9218="","",'Master Barang'!B12)</f>
        <v>kanebo kecil</v>
      </c>
      <c r="P9218">
        <f>IF(OR(M9218="",N9218=""),"",SUMIFS('Barang Keluar'!$E:$E,'Barang Keluar'!$A:$A,M9218,'Barang Keluar'!$C:$C,N9218))</f>
        <v>0</v>
      </c>
    </row>
    <row r="9219" spans="13:16">
      <c r="M9219" s="49">
        <f>IF($A$4+92&gt;$B$4,"",$A$4+92)</f>
        <v>46115</v>
      </c>
      <c r="N9219" t="str">
        <f>IF(M9219="","",'Master Barang'!A13)</f>
        <v>PRL-012</v>
      </c>
      <c r="O9219" t="str">
        <f>IF(N9219="","",'Master Barang'!B13)</f>
        <v>plastik 1/4kg joyoboyo 100 lembar</v>
      </c>
      <c r="P9219">
        <f>IF(OR(M9219="",N9219=""),"",SUMIFS('Barang Keluar'!$E:$E,'Barang Keluar'!$A:$A,M9219,'Barang Keluar'!$C:$C,N9219))</f>
        <v>0</v>
      </c>
    </row>
    <row r="9220" spans="13:16">
      <c r="M9220" s="49">
        <f>IF($A$4+92&gt;$B$4,"",$A$4+92)</f>
        <v>46115</v>
      </c>
      <c r="N9220" t="str">
        <f>IF(M9220="","",'Master Barang'!A14)</f>
        <v>PRL-013</v>
      </c>
      <c r="O9220" t="str">
        <f>IF(N9220="","",'Master Barang'!B14)</f>
        <v>sarung tangan plastik kaka 100 pcs</v>
      </c>
      <c r="P9220">
        <f>IF(OR(M9220="",N9220=""),"",SUMIFS('Barang Keluar'!$E:$E,'Barang Keluar'!$A:$A,M9220,'Barang Keluar'!$C:$C,N9220))</f>
        <v>0</v>
      </c>
    </row>
    <row r="9221" spans="13:16">
      <c r="M9221" s="49">
        <f>IF($A$4+92&gt;$B$4,"",$A$4+92)</f>
        <v>46115</v>
      </c>
      <c r="N9221" t="str">
        <f>IF(M9221="","",'Master Barang'!A15)</f>
        <v>PRL-014</v>
      </c>
      <c r="O9221" t="str">
        <f>IF(N9221="","",'Master Barang'!B15)</f>
        <v>optima trashbag 80x100</v>
      </c>
      <c r="P9221">
        <f>IF(OR(M9221="",N9221=""),"",SUMIFS('Barang Keluar'!$E:$E,'Barang Keluar'!$A:$A,M9221,'Barang Keluar'!$C:$C,N9221))</f>
        <v>0</v>
      </c>
    </row>
    <row r="9222" spans="13:16">
      <c r="M9222" s="49">
        <f>IF($A$4+92&gt;$B$4,"",$A$4+92)</f>
        <v>46115</v>
      </c>
      <c r="N9222" t="str">
        <f>IF(M9222="","",'Master Barang'!A16)</f>
        <v>PRL-015</v>
      </c>
      <c r="O9222" t="str">
        <f>IF(N9222="","",'Master Barang'!B16)</f>
        <v>optima trashbag 60x100</v>
      </c>
      <c r="P9222">
        <f>IF(OR(M9222="",N9222=""),"",SUMIFS('Barang Keluar'!$E:$E,'Barang Keluar'!$A:$A,M9222,'Barang Keluar'!$C:$C,N9222))</f>
        <v>0</v>
      </c>
    </row>
    <row r="9223" spans="13:16">
      <c r="M9223" s="49">
        <f>IF($A$4+92&gt;$B$4,"",$A$4+92)</f>
        <v>46115</v>
      </c>
      <c r="N9223" t="str">
        <f>IF(M9223="","",'Master Barang'!A17)</f>
        <v>PRL-016</v>
      </c>
      <c r="O9223" t="str">
        <f>IF(N9223="","",'Master Barang'!B17)</f>
        <v>rajawali trashbag 30x40</v>
      </c>
      <c r="P9223">
        <f>IF(OR(M9223="",N9223=""),"",SUMIFS('Barang Keluar'!$E:$E,'Barang Keluar'!$A:$A,M9223,'Barang Keluar'!$C:$C,N9223))</f>
        <v>0</v>
      </c>
    </row>
    <row r="9224" spans="13:16">
      <c r="M9224" s="49">
        <f>IF($A$4+92&gt;$B$4,"",$A$4+92)</f>
        <v>46115</v>
      </c>
      <c r="N9224" t="str">
        <f>IF(M9224="","",'Master Barang'!A18)</f>
        <v>PRL-017</v>
      </c>
      <c r="O9224" t="str">
        <f>IF(N9224="","",'Master Barang'!B18)</f>
        <v>onemed masker biru 3 play 50 pcs</v>
      </c>
      <c r="P9224">
        <f>IF(OR(M9224="",N9224=""),"",SUMIFS('Barang Keluar'!$E:$E,'Barang Keluar'!$A:$A,M9224,'Barang Keluar'!$C:$C,N9224))</f>
        <v>0</v>
      </c>
    </row>
    <row r="9225" spans="13:16">
      <c r="M9225" s="49">
        <f>IF($A$4+92&gt;$B$4,"",$A$4+92)</f>
        <v>46115</v>
      </c>
      <c r="N9225" t="str">
        <f>IF(M9225="","",'Master Barang'!A19)</f>
        <v>PRL-018</v>
      </c>
      <c r="O9225" t="str">
        <f>IF(N9225="","",'Master Barang'!B19)</f>
        <v>onemed masker biru 3 play hijab 50 pcs</v>
      </c>
      <c r="P9225">
        <f>IF(OR(M9225="",N9225=""),"",SUMIFS('Barang Keluar'!$E:$E,'Barang Keluar'!$A:$A,M9225,'Barang Keluar'!$C:$C,N9225))</f>
        <v>0</v>
      </c>
    </row>
    <row r="9226" spans="13:16">
      <c r="M9226" s="49">
        <f>IF($A$4+92&gt;$B$4,"",$A$4+92)</f>
        <v>46115</v>
      </c>
      <c r="N9226" t="str">
        <f>IF(M9226="","",'Master Barang'!A20)</f>
        <v>PRL-019</v>
      </c>
      <c r="O9226" t="str">
        <f>IF(N9226="","",'Master Barang'!B20)</f>
        <v>neo health masker biru 3 play 50 pcs</v>
      </c>
      <c r="P9226">
        <f>IF(OR(M9226="",N9226=""),"",SUMIFS('Barang Keluar'!$E:$E,'Barang Keluar'!$A:$A,M9226,'Barang Keluar'!$C:$C,N9226))</f>
        <v>0</v>
      </c>
    </row>
    <row r="9227" spans="13:16">
      <c r="M9227" s="49">
        <f>IF($A$4+92&gt;$B$4,"",$A$4+92)</f>
        <v>46115</v>
      </c>
      <c r="N9227" t="str">
        <f>IF(M9227="","",'Master Barang'!A21)</f>
        <v>PRL-020</v>
      </c>
      <c r="O9227" t="str">
        <f>IF(N9227="","",'Master Barang'!B21)</f>
        <v>baymed masker hijau 3 play hijau 50 pcs</v>
      </c>
      <c r="P9227">
        <f>IF(OR(M9227="",N9227=""),"",SUMIFS('Barang Keluar'!$E:$E,'Barang Keluar'!$A:$A,M9227,'Barang Keluar'!$C:$C,N9227))</f>
        <v>0</v>
      </c>
    </row>
    <row r="9228" spans="13:16">
      <c r="M9228" s="49">
        <f>IF($A$4+92&gt;$B$4,"",$A$4+92)</f>
        <v>46115</v>
      </c>
      <c r="N9228" t="str">
        <f>IF(M9228="","",'Master Barang'!A22)</f>
        <v>PRL-021</v>
      </c>
      <c r="O9228" t="str">
        <f>IF(N9228="","",'Master Barang'!B22)</f>
        <v>altamed nurse cap penutup kepala 100 pcs</v>
      </c>
      <c r="P9228">
        <f>IF(OR(M9228="",N9228=""),"",SUMIFS('Barang Keluar'!$E:$E,'Barang Keluar'!$A:$A,M9228,'Barang Keluar'!$C:$C,N9228))</f>
        <v>0</v>
      </c>
    </row>
    <row r="9229" spans="13:16">
      <c r="M9229" s="49">
        <f>IF($A$4+92&gt;$B$4,"",$A$4+92)</f>
        <v>46115</v>
      </c>
      <c r="N9229" t="str">
        <f>IF(M9229="","",'Master Barang'!A23)</f>
        <v>PRL-022</v>
      </c>
      <c r="O9229" t="str">
        <f>IF(N9229="","",'Master Barang'!B23)</f>
        <v>sabun cuci tangan</v>
      </c>
      <c r="P9229">
        <f>IF(OR(M9229="",N9229=""),"",SUMIFS('Barang Keluar'!$E:$E,'Barang Keluar'!$A:$A,M9229,'Barang Keluar'!$C:$C,N9229))</f>
        <v>0</v>
      </c>
    </row>
    <row r="9230" spans="13:16">
      <c r="M9230" s="49">
        <f>IF($A$4+92&gt;$B$4,"",$A$4+92)</f>
        <v>46115</v>
      </c>
      <c r="N9230" t="str">
        <f>IF(M9230="","",'Master Barang'!A24)</f>
        <v>PRL-023</v>
      </c>
      <c r="O9230" t="str">
        <f>IF(N9230="","",'Master Barang'!B24)</f>
        <v>gayung kecil</v>
      </c>
      <c r="P9230">
        <f>IF(OR(M9230="",N9230=""),"",SUMIFS('Barang Keluar'!$E:$E,'Barang Keluar'!$A:$A,M9230,'Barang Keluar'!$C:$C,N9230))</f>
        <v>0</v>
      </c>
    </row>
    <row r="9231" spans="13:16">
      <c r="M9231" s="49">
        <f>IF($A$4+92&gt;$B$4,"",$A$4+92)</f>
        <v>46115</v>
      </c>
      <c r="N9231" t="str">
        <f>IF(M9231="","",'Master Barang'!A25)</f>
        <v>PRL-024</v>
      </c>
      <c r="O9231" t="str">
        <f>IF(N9231="","",'Master Barang'!B25)</f>
        <v>cikrak kecil</v>
      </c>
      <c r="P9231">
        <f>IF(OR(M9231="",N9231=""),"",SUMIFS('Barang Keluar'!$E:$E,'Barang Keluar'!$A:$A,M9231,'Barang Keluar'!$C:$C,N9231))</f>
        <v>0</v>
      </c>
    </row>
    <row r="9232" spans="13:16">
      <c r="M9232" s="49">
        <f>IF($A$4+92&gt;$B$4,"",$A$4+92)</f>
        <v>46115</v>
      </c>
      <c r="N9232" t="str">
        <f>IF(M9232="","",'Master Barang'!A26)</f>
        <v>PRL-025</v>
      </c>
      <c r="O9232" t="str">
        <f>IF(N9232="","",'Master Barang'!B26)</f>
        <v>petromax plastik kecil 12x24 100 lembar</v>
      </c>
      <c r="P9232">
        <f>IF(OR(M9232="",N9232=""),"",SUMIFS('Barang Keluar'!$E:$E,'Barang Keluar'!$A:$A,M9232,'Barang Keluar'!$C:$C,N9232))</f>
        <v>0</v>
      </c>
    </row>
    <row r="9233" spans="13:16">
      <c r="M9233" s="49">
        <f>IF($A$4+92&gt;$B$4,"",$A$4+92)</f>
        <v>46115</v>
      </c>
      <c r="N9233" t="str">
        <f>IF(M9233="","",'Master Barang'!A27)</f>
        <v>PRL-026</v>
      </c>
      <c r="O9233" t="str">
        <f>IF(N9233="","",'Master Barang'!B27)</f>
        <v>lancar kresek kecil bening </v>
      </c>
      <c r="P9233">
        <f>IF(OR(M9233="",N9233=""),"",SUMIFS('Barang Keluar'!$E:$E,'Barang Keluar'!$A:$A,M9233,'Barang Keluar'!$C:$C,N9233))</f>
        <v>0</v>
      </c>
    </row>
    <row r="9234" spans="13:16">
      <c r="M9234" s="49">
        <f>IF($A$4+92&gt;$B$4,"",$A$4+92)</f>
        <v>46115</v>
      </c>
      <c r="N9234" t="str">
        <f>IF(M9234="","",'Master Barang'!A28)</f>
        <v>PRL-027</v>
      </c>
      <c r="O9234" t="str">
        <f>IF(N9234="","",'Master Barang'!B28)</f>
        <v>kresek klin warna warni kecil</v>
      </c>
      <c r="P9234">
        <f>IF(OR(M9234="",N9234=""),"",SUMIFS('Barang Keluar'!$E:$E,'Barang Keluar'!$A:$A,M9234,'Barang Keluar'!$C:$C,N9234))</f>
        <v>0</v>
      </c>
    </row>
    <row r="9235" spans="13:16">
      <c r="M9235" s="49">
        <f>IF($A$4+92&gt;$B$4,"",$A$4+92)</f>
        <v>46115</v>
      </c>
      <c r="N9235" t="str">
        <f>IF(M9235="","",'Master Barang'!A29)</f>
        <v>PRL-028</v>
      </c>
      <c r="O9235" t="str">
        <f>IF(N9235="","",'Master Barang'!B29)</f>
        <v>ctik plastik 7x10 100 pcs</v>
      </c>
      <c r="P9235">
        <f>IF(OR(M9235="",N9235=""),"",SUMIFS('Barang Keluar'!$E:$E,'Barang Keluar'!$A:$A,M9235,'Barang Keluar'!$C:$C,N9235))</f>
        <v>0</v>
      </c>
    </row>
    <row r="9236" spans="13:16">
      <c r="M9236" s="49">
        <f>IF($A$4+92&gt;$B$4,"",$A$4+92)</f>
        <v>46115</v>
      </c>
      <c r="N9236" t="str">
        <f>IF(M9236="","",'Master Barang'!A30)</f>
        <v>PRL-029</v>
      </c>
      <c r="O9236" t="str">
        <f>IF(N9236="","",'Master Barang'!B30)</f>
        <v>ctik plastik 6x10 100 pcs</v>
      </c>
      <c r="P9236">
        <f>IF(OR(M9236="",N9236=""),"",SUMIFS('Barang Keluar'!$E:$E,'Barang Keluar'!$A:$A,M9236,'Barang Keluar'!$C:$C,N9236))</f>
        <v>0</v>
      </c>
    </row>
    <row r="9237" spans="13:16">
      <c r="M9237" s="49">
        <f>IF($A$4+92&gt;$B$4,"",$A$4+92)</f>
        <v>46115</v>
      </c>
      <c r="N9237" t="str">
        <f>IF(M9237="","",'Master Barang'!A31)</f>
        <v>PRL-030</v>
      </c>
      <c r="O9237" t="str">
        <f>IF(N9237="","",'Master Barang'!B31)</f>
        <v>klip plastik 25x16 100 pcs</v>
      </c>
      <c r="P9237">
        <f>IF(OR(M9237="",N9237=""),"",SUMIFS('Barang Keluar'!$E:$E,'Barang Keluar'!$A:$A,M9237,'Barang Keluar'!$C:$C,N9237))</f>
        <v>0</v>
      </c>
    </row>
    <row r="9238" spans="13:16">
      <c r="M9238" s="49">
        <f>IF($A$4+92&gt;$B$4,"",$A$4+92)</f>
        <v>46115</v>
      </c>
      <c r="N9238" t="str">
        <f>IF(M9238="","",'Master Barang'!A32)</f>
        <v>PRL-031</v>
      </c>
      <c r="O9238" t="str">
        <f>IF(N9238="","",'Master Barang'!B32)</f>
        <v>tempat saus 20 ml</v>
      </c>
      <c r="P9238">
        <f>IF(OR(M9238="",N9238=""),"",SUMIFS('Barang Keluar'!$E:$E,'Barang Keluar'!$A:$A,M9238,'Barang Keluar'!$C:$C,N9238))</f>
        <v>0</v>
      </c>
    </row>
    <row r="9239" spans="13:16">
      <c r="M9239" s="49">
        <f>IF($A$4+92&gt;$B$4,"",$A$4+92)</f>
        <v>46115</v>
      </c>
      <c r="N9239" t="str">
        <f>IF(M9239="","",'Master Barang'!A33)</f>
        <v>PRL-032</v>
      </c>
      <c r="O9239" t="str">
        <f>IF(N9239="","",'Master Barang'!B33)</f>
        <v>plastik packaging ag box uk sedang</v>
      </c>
      <c r="P9239">
        <f>IF(OR(M9239="",N9239=""),"",SUMIFS('Barang Keluar'!$E:$E,'Barang Keluar'!$A:$A,M9239,'Barang Keluar'!$C:$C,N9239))</f>
        <v>0</v>
      </c>
    </row>
    <row r="9240" spans="13:16">
      <c r="M9240" s="49">
        <f>IF($A$4+92&gt;$B$4,"",$A$4+92)</f>
        <v>46115</v>
      </c>
      <c r="N9240" t="str">
        <f>IF(M9240="","",'Master Barang'!A34)</f>
        <v>PRL-033</v>
      </c>
      <c r="O9240">
        <f>IF(N9240="","",'Master Barang'!B34)</f>
        <v>0</v>
      </c>
      <c r="P9240">
        <f>IF(OR(M9240="",N9240=""),"",SUMIFS('Barang Keluar'!$E:$E,'Barang Keluar'!$A:$A,M9240,'Barang Keluar'!$C:$C,N9240))</f>
        <v>0</v>
      </c>
    </row>
    <row r="9241" spans="13:16">
      <c r="M9241" s="49">
        <f>IF($A$4+92&gt;$B$4,"",$A$4+92)</f>
        <v>46115</v>
      </c>
      <c r="N9241">
        <f>IF(M9241="","",'Master Barang'!A35)</f>
        <v>0</v>
      </c>
      <c r="O9241">
        <f>IF(N9241="","",'Master Barang'!B35)</f>
        <v>0</v>
      </c>
      <c r="P9241">
        <f>IF(OR(M9241="",N9241=""),"",SUMIFS('Barang Keluar'!$E:$E,'Barang Keluar'!$A:$A,M9241,'Barang Keluar'!$C:$C,N9241))</f>
        <v>0</v>
      </c>
    </row>
    <row r="9242" spans="13:16">
      <c r="M9242" s="49">
        <f>IF($A$4+92&gt;$B$4,"",$A$4+92)</f>
        <v>46115</v>
      </c>
      <c r="N9242">
        <f>IF(M9242="","",'Master Barang'!A36)</f>
        <v>0</v>
      </c>
      <c r="O9242">
        <f>IF(N9242="","",'Master Barang'!B36)</f>
        <v>0</v>
      </c>
      <c r="P9242">
        <f>IF(OR(M9242="",N9242=""),"",SUMIFS('Barang Keluar'!$E:$E,'Barang Keluar'!$A:$A,M9242,'Barang Keluar'!$C:$C,N9242))</f>
        <v>0</v>
      </c>
    </row>
    <row r="9243" spans="13:16">
      <c r="M9243" s="49">
        <f>IF($A$4+92&gt;$B$4,"",$A$4+92)</f>
        <v>46115</v>
      </c>
      <c r="N9243">
        <f>IF(M9243="","",'Master Barang'!A37)</f>
        <v>0</v>
      </c>
      <c r="O9243">
        <f>IF(N9243="","",'Master Barang'!B37)</f>
        <v>0</v>
      </c>
      <c r="P9243">
        <f>IF(OR(M9243="",N9243=""),"",SUMIFS('Barang Keluar'!$E:$E,'Barang Keluar'!$A:$A,M9243,'Barang Keluar'!$C:$C,N9243))</f>
        <v>0</v>
      </c>
    </row>
    <row r="9244" spans="13:16">
      <c r="M9244" s="49">
        <f>IF($A$4+92&gt;$B$4,"",$A$4+92)</f>
        <v>46115</v>
      </c>
      <c r="N9244">
        <f>IF(M9244="","",'Master Barang'!A38)</f>
        <v>0</v>
      </c>
      <c r="O9244">
        <f>IF(N9244="","",'Master Barang'!B38)</f>
        <v>0</v>
      </c>
      <c r="P9244">
        <f>IF(OR(M9244="",N9244=""),"",SUMIFS('Barang Keluar'!$E:$E,'Barang Keluar'!$A:$A,M9244,'Barang Keluar'!$C:$C,N9244))</f>
        <v>0</v>
      </c>
    </row>
    <row r="9245" spans="13:16">
      <c r="M9245" s="49">
        <f>IF($A$4+92&gt;$B$4,"",$A$4+92)</f>
        <v>46115</v>
      </c>
      <c r="N9245">
        <f>IF(M9245="","",'Master Barang'!A39)</f>
        <v>0</v>
      </c>
      <c r="O9245">
        <f>IF(N9245="","",'Master Barang'!B39)</f>
        <v>0</v>
      </c>
      <c r="P9245">
        <f>IF(OR(M9245="",N9245=""),"",SUMIFS('Barang Keluar'!$E:$E,'Barang Keluar'!$A:$A,M9245,'Barang Keluar'!$C:$C,N9245))</f>
        <v>0</v>
      </c>
    </row>
    <row r="9246" spans="13:16">
      <c r="M9246" s="49">
        <f>IF($A$4+92&gt;$B$4,"",$A$4+92)</f>
        <v>46115</v>
      </c>
      <c r="N9246">
        <f>IF(M9246="","",'Master Barang'!A40)</f>
        <v>0</v>
      </c>
      <c r="O9246">
        <f>IF(N9246="","",'Master Barang'!B40)</f>
        <v>0</v>
      </c>
      <c r="P9246">
        <f>IF(OR(M9246="",N9246=""),"",SUMIFS('Barang Keluar'!$E:$E,'Barang Keluar'!$A:$A,M9246,'Barang Keluar'!$C:$C,N9246))</f>
        <v>0</v>
      </c>
    </row>
    <row r="9247" spans="13:16">
      <c r="M9247" s="49">
        <f>IF($A$4+92&gt;$B$4,"",$A$4+92)</f>
        <v>46115</v>
      </c>
      <c r="N9247">
        <f>IF(M9247="","",'Master Barang'!A41)</f>
        <v>0</v>
      </c>
      <c r="O9247">
        <f>IF(N9247="","",'Master Barang'!B41)</f>
        <v>0</v>
      </c>
      <c r="P9247">
        <f>IF(OR(M9247="",N9247=""),"",SUMIFS('Barang Keluar'!$E:$E,'Barang Keluar'!$A:$A,M9247,'Barang Keluar'!$C:$C,N9247))</f>
        <v>0</v>
      </c>
    </row>
    <row r="9248" spans="13:16">
      <c r="M9248" s="49">
        <f>IF($A$4+92&gt;$B$4,"",$A$4+92)</f>
        <v>46115</v>
      </c>
      <c r="N9248">
        <f>IF(M9248="","",'Master Barang'!A42)</f>
        <v>0</v>
      </c>
      <c r="O9248">
        <f>IF(N9248="","",'Master Barang'!B42)</f>
        <v>0</v>
      </c>
      <c r="P9248">
        <f>IF(OR(M9248="",N9248=""),"",SUMIFS('Barang Keluar'!$E:$E,'Barang Keluar'!$A:$A,M9248,'Barang Keluar'!$C:$C,N9248))</f>
        <v>0</v>
      </c>
    </row>
    <row r="9249" spans="13:16">
      <c r="M9249" s="49">
        <f>IF($A$4+92&gt;$B$4,"",$A$4+92)</f>
        <v>46115</v>
      </c>
      <c r="N9249">
        <f>IF(M9249="","",'Master Barang'!A43)</f>
        <v>0</v>
      </c>
      <c r="O9249">
        <f>IF(N9249="","",'Master Barang'!B43)</f>
        <v>0</v>
      </c>
      <c r="P9249">
        <f>IF(OR(M9249="",N9249=""),"",SUMIFS('Barang Keluar'!$E:$E,'Barang Keluar'!$A:$A,M9249,'Barang Keluar'!$C:$C,N9249))</f>
        <v>0</v>
      </c>
    </row>
    <row r="9250" spans="13:16">
      <c r="M9250" s="49">
        <f>IF($A$4+92&gt;$B$4,"",$A$4+92)</f>
        <v>46115</v>
      </c>
      <c r="N9250">
        <f>IF(M9250="","",'Master Barang'!A44)</f>
        <v>0</v>
      </c>
      <c r="O9250">
        <f>IF(N9250="","",'Master Barang'!B44)</f>
        <v>0</v>
      </c>
      <c r="P9250">
        <f>IF(OR(M9250="",N9250=""),"",SUMIFS('Barang Keluar'!$E:$E,'Barang Keluar'!$A:$A,M9250,'Barang Keluar'!$C:$C,N9250))</f>
        <v>0</v>
      </c>
    </row>
    <row r="9251" spans="13:16">
      <c r="M9251" s="49">
        <f>IF($A$4+92&gt;$B$4,"",$A$4+92)</f>
        <v>46115</v>
      </c>
      <c r="N9251">
        <f>IF(M9251="","",'Master Barang'!A45)</f>
        <v>0</v>
      </c>
      <c r="O9251">
        <f>IF(N9251="","",'Master Barang'!B45)</f>
        <v>0</v>
      </c>
      <c r="P9251">
        <f>IF(OR(M9251="",N9251=""),"",SUMIFS('Barang Keluar'!$E:$E,'Barang Keluar'!$A:$A,M9251,'Barang Keluar'!$C:$C,N9251))</f>
        <v>0</v>
      </c>
    </row>
    <row r="9252" spans="13:16">
      <c r="M9252" s="49">
        <f>IF($A$4+92&gt;$B$4,"",$A$4+92)</f>
        <v>46115</v>
      </c>
      <c r="N9252">
        <f>IF(M9252="","",'Master Barang'!A46)</f>
        <v>0</v>
      </c>
      <c r="O9252">
        <f>IF(N9252="","",'Master Barang'!B46)</f>
        <v>0</v>
      </c>
      <c r="P9252">
        <f>IF(OR(M9252="",N9252=""),"",SUMIFS('Barang Keluar'!$E:$E,'Barang Keluar'!$A:$A,M9252,'Barang Keluar'!$C:$C,N9252))</f>
        <v>0</v>
      </c>
    </row>
    <row r="9253" spans="13:16">
      <c r="M9253" s="49">
        <f>IF($A$4+92&gt;$B$4,"",$A$4+92)</f>
        <v>46115</v>
      </c>
      <c r="N9253">
        <f>IF(M9253="","",'Master Barang'!A47)</f>
        <v>0</v>
      </c>
      <c r="O9253">
        <f>IF(N9253="","",'Master Barang'!B47)</f>
        <v>0</v>
      </c>
      <c r="P9253">
        <f>IF(OR(M9253="",N9253=""),"",SUMIFS('Barang Keluar'!$E:$E,'Barang Keluar'!$A:$A,M9253,'Barang Keluar'!$C:$C,N9253))</f>
        <v>0</v>
      </c>
    </row>
    <row r="9254" spans="13:16">
      <c r="M9254" s="49">
        <f>IF($A$4+92&gt;$B$4,"",$A$4+92)</f>
        <v>46115</v>
      </c>
      <c r="N9254">
        <f>IF(M9254="","",'Master Barang'!A48)</f>
        <v>0</v>
      </c>
      <c r="O9254">
        <f>IF(N9254="","",'Master Barang'!B48)</f>
        <v>0</v>
      </c>
      <c r="P9254">
        <f>IF(OR(M9254="",N9254=""),"",SUMIFS('Barang Keluar'!$E:$E,'Barang Keluar'!$A:$A,M9254,'Barang Keluar'!$C:$C,N9254))</f>
        <v>0</v>
      </c>
    </row>
    <row r="9255" spans="13:16">
      <c r="M9255" s="49">
        <f>IF($A$4+92&gt;$B$4,"",$A$4+92)</f>
        <v>46115</v>
      </c>
      <c r="N9255">
        <f>IF(M9255="","",'Master Barang'!A49)</f>
        <v>0</v>
      </c>
      <c r="O9255">
        <f>IF(N9255="","",'Master Barang'!B49)</f>
        <v>0</v>
      </c>
      <c r="P9255">
        <f>IF(OR(M9255="",N9255=""),"",SUMIFS('Barang Keluar'!$E:$E,'Barang Keluar'!$A:$A,M9255,'Barang Keluar'!$C:$C,N9255))</f>
        <v>0</v>
      </c>
    </row>
    <row r="9256" spans="13:16">
      <c r="M9256" s="49">
        <f>IF($A$4+92&gt;$B$4,"",$A$4+92)</f>
        <v>46115</v>
      </c>
      <c r="N9256">
        <f>IF(M9256="","",'Master Barang'!A50)</f>
        <v>0</v>
      </c>
      <c r="O9256">
        <f>IF(N9256="","",'Master Barang'!B50)</f>
        <v>0</v>
      </c>
      <c r="P9256">
        <f>IF(OR(M9256="",N9256=""),"",SUMIFS('Barang Keluar'!$E:$E,'Barang Keluar'!$A:$A,M9256,'Barang Keluar'!$C:$C,N9256))</f>
        <v>0</v>
      </c>
    </row>
    <row r="9257" spans="13:16">
      <c r="M9257" s="49">
        <f>IF($A$4+92&gt;$B$4,"",$A$4+92)</f>
        <v>46115</v>
      </c>
      <c r="N9257">
        <f>IF(M9257="","",'Master Barang'!A51)</f>
        <v>0</v>
      </c>
      <c r="O9257">
        <f>IF(N9257="","",'Master Barang'!B51)</f>
        <v>0</v>
      </c>
      <c r="P9257">
        <f>IF(OR(M9257="",N9257=""),"",SUMIFS('Barang Keluar'!$E:$E,'Barang Keluar'!$A:$A,M9257,'Barang Keluar'!$C:$C,N9257))</f>
        <v>0</v>
      </c>
    </row>
    <row r="9258" spans="13:16">
      <c r="M9258" s="49">
        <f>IF($A$4+92&gt;$B$4,"",$A$4+92)</f>
        <v>46115</v>
      </c>
      <c r="N9258">
        <f>IF(M9258="","",'Master Barang'!A52)</f>
        <v>0</v>
      </c>
      <c r="O9258">
        <f>IF(N9258="","",'Master Barang'!B52)</f>
        <v>0</v>
      </c>
      <c r="P9258">
        <f>IF(OR(M9258="",N9258=""),"",SUMIFS('Barang Keluar'!$E:$E,'Barang Keluar'!$A:$A,M9258,'Barang Keluar'!$C:$C,N9258))</f>
        <v>0</v>
      </c>
    </row>
    <row r="9259" spans="13:16">
      <c r="M9259" s="49">
        <f>IF($A$4+92&gt;$B$4,"",$A$4+92)</f>
        <v>46115</v>
      </c>
      <c r="N9259">
        <f>IF(M9259="","",'Master Barang'!A53)</f>
        <v>0</v>
      </c>
      <c r="O9259">
        <f>IF(N9259="","",'Master Barang'!B53)</f>
        <v>0</v>
      </c>
      <c r="P9259">
        <f>IF(OR(M9259="",N9259=""),"",SUMIFS('Barang Keluar'!$E:$E,'Barang Keluar'!$A:$A,M9259,'Barang Keluar'!$C:$C,N9259))</f>
        <v>0</v>
      </c>
    </row>
    <row r="9260" spans="13:16">
      <c r="M9260" s="49">
        <f>IF($A$4+92&gt;$B$4,"",$A$4+92)</f>
        <v>46115</v>
      </c>
      <c r="N9260">
        <f>IF(M9260="","",'Master Barang'!A54)</f>
        <v>0</v>
      </c>
      <c r="O9260">
        <f>IF(N9260="","",'Master Barang'!B54)</f>
        <v>0</v>
      </c>
      <c r="P9260">
        <f>IF(OR(M9260="",N9260=""),"",SUMIFS('Barang Keluar'!$E:$E,'Barang Keluar'!$A:$A,M9260,'Barang Keluar'!$C:$C,N9260))</f>
        <v>0</v>
      </c>
    </row>
    <row r="9261" spans="13:16">
      <c r="M9261" s="49">
        <f>IF($A$4+92&gt;$B$4,"",$A$4+92)</f>
        <v>46115</v>
      </c>
      <c r="N9261">
        <f>IF(M9261="","",'Master Barang'!A55)</f>
        <v>0</v>
      </c>
      <c r="O9261">
        <f>IF(N9261="","",'Master Barang'!B55)</f>
        <v>0</v>
      </c>
      <c r="P9261">
        <f>IF(OR(M9261="",N9261=""),"",SUMIFS('Barang Keluar'!$E:$E,'Barang Keluar'!$A:$A,M9261,'Barang Keluar'!$C:$C,N9261))</f>
        <v>0</v>
      </c>
    </row>
    <row r="9262" spans="13:16">
      <c r="M9262" s="49">
        <f>IF($A$4+92&gt;$B$4,"",$A$4+92)</f>
        <v>46115</v>
      </c>
      <c r="N9262">
        <f>IF(M9262="","",'Master Barang'!A56)</f>
        <v>0</v>
      </c>
      <c r="O9262">
        <f>IF(N9262="","",'Master Barang'!B56)</f>
        <v>0</v>
      </c>
      <c r="P9262">
        <f>IF(OR(M9262="",N9262=""),"",SUMIFS('Barang Keluar'!$E:$E,'Barang Keluar'!$A:$A,M9262,'Barang Keluar'!$C:$C,N9262))</f>
        <v>0</v>
      </c>
    </row>
    <row r="9263" spans="13:16">
      <c r="M9263" s="49">
        <f>IF($A$4+92&gt;$B$4,"",$A$4+92)</f>
        <v>46115</v>
      </c>
      <c r="N9263">
        <f>IF(M9263="","",'Master Barang'!A57)</f>
        <v>0</v>
      </c>
      <c r="O9263">
        <f>IF(N9263="","",'Master Barang'!B57)</f>
        <v>0</v>
      </c>
      <c r="P9263">
        <f>IF(OR(M9263="",N9263=""),"",SUMIFS('Barang Keluar'!$E:$E,'Barang Keluar'!$A:$A,M9263,'Barang Keluar'!$C:$C,N9263))</f>
        <v>0</v>
      </c>
    </row>
    <row r="9264" spans="13:16">
      <c r="M9264" s="49">
        <f>IF($A$4+92&gt;$B$4,"",$A$4+92)</f>
        <v>46115</v>
      </c>
      <c r="N9264">
        <f>IF(M9264="","",'Master Barang'!A58)</f>
        <v>0</v>
      </c>
      <c r="O9264">
        <f>IF(N9264="","",'Master Barang'!B58)</f>
        <v>0</v>
      </c>
      <c r="P9264">
        <f>IF(OR(M9264="",N9264=""),"",SUMIFS('Barang Keluar'!$E:$E,'Barang Keluar'!$A:$A,M9264,'Barang Keluar'!$C:$C,N9264))</f>
        <v>0</v>
      </c>
    </row>
    <row r="9265" spans="13:16">
      <c r="M9265" s="49">
        <f>IF($A$4+92&gt;$B$4,"",$A$4+92)</f>
        <v>46115</v>
      </c>
      <c r="N9265">
        <f>IF(M9265="","",'Master Barang'!A59)</f>
        <v>0</v>
      </c>
      <c r="O9265">
        <f>IF(N9265="","",'Master Barang'!B59)</f>
        <v>0</v>
      </c>
      <c r="P9265">
        <f>IF(OR(M9265="",N9265=""),"",SUMIFS('Barang Keluar'!$E:$E,'Barang Keluar'!$A:$A,M9265,'Barang Keluar'!$C:$C,N9265))</f>
        <v>0</v>
      </c>
    </row>
    <row r="9266" spans="13:16">
      <c r="M9266" s="49">
        <f>IF($A$4+92&gt;$B$4,"",$A$4+92)</f>
        <v>46115</v>
      </c>
      <c r="N9266">
        <f>IF(M9266="","",'Master Barang'!A60)</f>
        <v>0</v>
      </c>
      <c r="O9266">
        <f>IF(N9266="","",'Master Barang'!B60)</f>
        <v>0</v>
      </c>
      <c r="P9266">
        <f>IF(OR(M9266="",N9266=""),"",SUMIFS('Barang Keluar'!$E:$E,'Barang Keluar'!$A:$A,M9266,'Barang Keluar'!$C:$C,N9266))</f>
        <v>0</v>
      </c>
    </row>
    <row r="9267" spans="13:16">
      <c r="M9267" s="49">
        <f>IF($A$4+92&gt;$B$4,"",$A$4+92)</f>
        <v>46115</v>
      </c>
      <c r="N9267">
        <f>IF(M9267="","",'Master Barang'!A61)</f>
        <v>0</v>
      </c>
      <c r="O9267">
        <f>IF(N9267="","",'Master Barang'!B61)</f>
        <v>0</v>
      </c>
      <c r="P9267">
        <f>IF(OR(M9267="",N9267=""),"",SUMIFS('Barang Keluar'!$E:$E,'Barang Keluar'!$A:$A,M9267,'Barang Keluar'!$C:$C,N9267))</f>
        <v>0</v>
      </c>
    </row>
    <row r="9268" spans="13:16">
      <c r="M9268" s="49">
        <f>IF($A$4+92&gt;$B$4,"",$A$4+92)</f>
        <v>46115</v>
      </c>
      <c r="N9268">
        <f>IF(M9268="","",'Master Barang'!A62)</f>
        <v>0</v>
      </c>
      <c r="O9268">
        <f>IF(N9268="","",'Master Barang'!B62)</f>
        <v>0</v>
      </c>
      <c r="P9268">
        <f>IF(OR(M9268="",N9268=""),"",SUMIFS('Barang Keluar'!$E:$E,'Barang Keluar'!$A:$A,M9268,'Barang Keluar'!$C:$C,N9268))</f>
        <v>0</v>
      </c>
    </row>
    <row r="9269" spans="13:16">
      <c r="M9269" s="49">
        <f>IF($A$4+92&gt;$B$4,"",$A$4+92)</f>
        <v>46115</v>
      </c>
      <c r="N9269">
        <f>IF(M9269="","",'Master Barang'!A63)</f>
        <v>0</v>
      </c>
      <c r="O9269">
        <f>IF(N9269="","",'Master Barang'!B63)</f>
        <v>0</v>
      </c>
      <c r="P9269">
        <f>IF(OR(M9269="",N9269=""),"",SUMIFS('Barang Keluar'!$E:$E,'Barang Keluar'!$A:$A,M9269,'Barang Keluar'!$C:$C,N9269))</f>
        <v>0</v>
      </c>
    </row>
    <row r="9270" spans="13:16">
      <c r="M9270" s="49">
        <f>IF($A$4+92&gt;$B$4,"",$A$4+92)</f>
        <v>46115</v>
      </c>
      <c r="N9270">
        <f>IF(M9270="","",'Master Barang'!A64)</f>
        <v>0</v>
      </c>
      <c r="O9270">
        <f>IF(N9270="","",'Master Barang'!B64)</f>
        <v>0</v>
      </c>
      <c r="P9270">
        <f>IF(OR(M9270="",N9270=""),"",SUMIFS('Barang Keluar'!$E:$E,'Barang Keluar'!$A:$A,M9270,'Barang Keluar'!$C:$C,N9270))</f>
        <v>0</v>
      </c>
    </row>
    <row r="9271" spans="13:16">
      <c r="M9271" s="49">
        <f>IF($A$4+92&gt;$B$4,"",$A$4+92)</f>
        <v>46115</v>
      </c>
      <c r="N9271">
        <f>IF(M9271="","",'Master Barang'!A65)</f>
        <v>0</v>
      </c>
      <c r="O9271">
        <f>IF(N9271="","",'Master Barang'!B65)</f>
        <v>0</v>
      </c>
      <c r="P9271">
        <f>IF(OR(M9271="",N9271=""),"",SUMIFS('Barang Keluar'!$E:$E,'Barang Keluar'!$A:$A,M9271,'Barang Keluar'!$C:$C,N9271))</f>
        <v>0</v>
      </c>
    </row>
    <row r="9272" spans="13:16">
      <c r="M9272" s="49">
        <f>IF($A$4+92&gt;$B$4,"",$A$4+92)</f>
        <v>46115</v>
      </c>
      <c r="N9272">
        <f>IF(M9272="","",'Master Barang'!A66)</f>
        <v>0</v>
      </c>
      <c r="O9272">
        <f>IF(N9272="","",'Master Barang'!B66)</f>
        <v>0</v>
      </c>
      <c r="P9272">
        <f>IF(OR(M9272="",N9272=""),"",SUMIFS('Barang Keluar'!$E:$E,'Barang Keluar'!$A:$A,M9272,'Barang Keluar'!$C:$C,N9272))</f>
        <v>0</v>
      </c>
    </row>
    <row r="9273" spans="13:16">
      <c r="M9273" s="49">
        <f>IF($A$4+92&gt;$B$4,"",$A$4+92)</f>
        <v>46115</v>
      </c>
      <c r="N9273">
        <f>IF(M9273="","",'Master Barang'!A67)</f>
        <v>0</v>
      </c>
      <c r="O9273">
        <f>IF(N9273="","",'Master Barang'!B67)</f>
        <v>0</v>
      </c>
      <c r="P9273">
        <f>IF(OR(M9273="",N9273=""),"",SUMIFS('Barang Keluar'!$E:$E,'Barang Keluar'!$A:$A,M9273,'Barang Keluar'!$C:$C,N9273))</f>
        <v>0</v>
      </c>
    </row>
    <row r="9274" spans="13:16">
      <c r="M9274" s="49">
        <f>IF($A$4+92&gt;$B$4,"",$A$4+92)</f>
        <v>46115</v>
      </c>
      <c r="N9274">
        <f>IF(M9274="","",'Master Barang'!A68)</f>
        <v>0</v>
      </c>
      <c r="O9274">
        <f>IF(N9274="","",'Master Barang'!B68)</f>
        <v>0</v>
      </c>
      <c r="P9274">
        <f>IF(OR(M9274="",N9274=""),"",SUMIFS('Barang Keluar'!$E:$E,'Barang Keluar'!$A:$A,M9274,'Barang Keluar'!$C:$C,N9274))</f>
        <v>0</v>
      </c>
    </row>
    <row r="9275" spans="13:16">
      <c r="M9275" s="49">
        <f>IF($A$4+92&gt;$B$4,"",$A$4+92)</f>
        <v>46115</v>
      </c>
      <c r="N9275">
        <f>IF(M9275="","",'Master Barang'!A69)</f>
        <v>0</v>
      </c>
      <c r="O9275">
        <f>IF(N9275="","",'Master Barang'!B69)</f>
        <v>0</v>
      </c>
      <c r="P9275">
        <f>IF(OR(M9275="",N9275=""),"",SUMIFS('Barang Keluar'!$E:$E,'Barang Keluar'!$A:$A,M9275,'Barang Keluar'!$C:$C,N9275))</f>
        <v>0</v>
      </c>
    </row>
    <row r="9276" spans="13:16">
      <c r="M9276" s="49">
        <f>IF($A$4+92&gt;$B$4,"",$A$4+92)</f>
        <v>46115</v>
      </c>
      <c r="N9276">
        <f>IF(M9276="","",'Master Barang'!A70)</f>
        <v>0</v>
      </c>
      <c r="O9276">
        <f>IF(N9276="","",'Master Barang'!B70)</f>
        <v>0</v>
      </c>
      <c r="P9276">
        <f>IF(OR(M9276="",N9276=""),"",SUMIFS('Barang Keluar'!$E:$E,'Barang Keluar'!$A:$A,M9276,'Barang Keluar'!$C:$C,N9276))</f>
        <v>0</v>
      </c>
    </row>
    <row r="9277" spans="13:16">
      <c r="M9277" s="49">
        <f>IF($A$4+92&gt;$B$4,"",$A$4+92)</f>
        <v>46115</v>
      </c>
      <c r="N9277">
        <f>IF(M9277="","",'Master Barang'!A71)</f>
        <v>0</v>
      </c>
      <c r="O9277">
        <f>IF(N9277="","",'Master Barang'!B71)</f>
        <v>0</v>
      </c>
      <c r="P9277">
        <f>IF(OR(M9277="",N9277=""),"",SUMIFS('Barang Keluar'!$E:$E,'Barang Keluar'!$A:$A,M9277,'Barang Keluar'!$C:$C,N9277))</f>
        <v>0</v>
      </c>
    </row>
    <row r="9278" spans="13:16">
      <c r="M9278" s="49">
        <f>IF($A$4+92&gt;$B$4,"",$A$4+92)</f>
        <v>46115</v>
      </c>
      <c r="N9278">
        <f>IF(M9278="","",'Master Barang'!A72)</f>
        <v>0</v>
      </c>
      <c r="O9278">
        <f>IF(N9278="","",'Master Barang'!B72)</f>
        <v>0</v>
      </c>
      <c r="P9278">
        <f>IF(OR(M9278="",N9278=""),"",SUMIFS('Barang Keluar'!$E:$E,'Barang Keluar'!$A:$A,M9278,'Barang Keluar'!$C:$C,N9278))</f>
        <v>0</v>
      </c>
    </row>
    <row r="9279" spans="13:16">
      <c r="M9279" s="49">
        <f>IF($A$4+92&gt;$B$4,"",$A$4+92)</f>
        <v>46115</v>
      </c>
      <c r="N9279">
        <f>IF(M9279="","",'Master Barang'!A73)</f>
        <v>0</v>
      </c>
      <c r="O9279">
        <f>IF(N9279="","",'Master Barang'!B73)</f>
        <v>0</v>
      </c>
      <c r="P9279">
        <f>IF(OR(M9279="",N9279=""),"",SUMIFS('Barang Keluar'!$E:$E,'Barang Keluar'!$A:$A,M9279,'Barang Keluar'!$C:$C,N9279))</f>
        <v>0</v>
      </c>
    </row>
    <row r="9280" spans="13:16">
      <c r="M9280" s="49">
        <f>IF($A$4+92&gt;$B$4,"",$A$4+92)</f>
        <v>46115</v>
      </c>
      <c r="N9280">
        <f>IF(M9280="","",'Master Barang'!A74)</f>
        <v>0</v>
      </c>
      <c r="O9280">
        <f>IF(N9280="","",'Master Barang'!B74)</f>
        <v>0</v>
      </c>
      <c r="P9280">
        <f>IF(OR(M9280="",N9280=""),"",SUMIFS('Barang Keluar'!$E:$E,'Barang Keluar'!$A:$A,M9280,'Barang Keluar'!$C:$C,N9280))</f>
        <v>0</v>
      </c>
    </row>
    <row r="9281" spans="13:16">
      <c r="M9281" s="49">
        <f>IF($A$4+92&gt;$B$4,"",$A$4+92)</f>
        <v>46115</v>
      </c>
      <c r="N9281">
        <f>IF(M9281="","",'Master Barang'!A75)</f>
        <v>0</v>
      </c>
      <c r="O9281">
        <f>IF(N9281="","",'Master Barang'!B75)</f>
        <v>0</v>
      </c>
      <c r="P9281">
        <f>IF(OR(M9281="",N9281=""),"",SUMIFS('Barang Keluar'!$E:$E,'Barang Keluar'!$A:$A,M9281,'Barang Keluar'!$C:$C,N9281))</f>
        <v>0</v>
      </c>
    </row>
    <row r="9282" spans="13:16">
      <c r="M9282" s="49">
        <f>IF($A$4+92&gt;$B$4,"",$A$4+92)</f>
        <v>46115</v>
      </c>
      <c r="N9282">
        <f>IF(M9282="","",'Master Barang'!A76)</f>
        <v>0</v>
      </c>
      <c r="O9282">
        <f>IF(N9282="","",'Master Barang'!B76)</f>
        <v>0</v>
      </c>
      <c r="P9282">
        <f>IF(OR(M9282="",N9282=""),"",SUMIFS('Barang Keluar'!$E:$E,'Barang Keluar'!$A:$A,M9282,'Barang Keluar'!$C:$C,N9282))</f>
        <v>0</v>
      </c>
    </row>
    <row r="9283" spans="13:16">
      <c r="M9283" s="49">
        <f>IF($A$4+92&gt;$B$4,"",$A$4+92)</f>
        <v>46115</v>
      </c>
      <c r="N9283">
        <f>IF(M9283="","",'Master Barang'!A77)</f>
        <v>0</v>
      </c>
      <c r="O9283">
        <f>IF(N9283="","",'Master Barang'!B77)</f>
        <v>0</v>
      </c>
      <c r="P9283">
        <f>IF(OR(M9283="",N9283=""),"",SUMIFS('Barang Keluar'!$E:$E,'Barang Keluar'!$A:$A,M9283,'Barang Keluar'!$C:$C,N9283))</f>
        <v>0</v>
      </c>
    </row>
    <row r="9284" spans="13:16">
      <c r="M9284" s="49">
        <f>IF($A$4+92&gt;$B$4,"",$A$4+92)</f>
        <v>46115</v>
      </c>
      <c r="N9284">
        <f>IF(M9284="","",'Master Barang'!A78)</f>
        <v>0</v>
      </c>
      <c r="O9284">
        <f>IF(N9284="","",'Master Barang'!B78)</f>
        <v>0</v>
      </c>
      <c r="P9284">
        <f>IF(OR(M9284="",N9284=""),"",SUMIFS('Barang Keluar'!$E:$E,'Barang Keluar'!$A:$A,M9284,'Barang Keluar'!$C:$C,N9284))</f>
        <v>0</v>
      </c>
    </row>
    <row r="9285" spans="13:16">
      <c r="M9285" s="49">
        <f>IF($A$4+92&gt;$B$4,"",$A$4+92)</f>
        <v>46115</v>
      </c>
      <c r="N9285">
        <f>IF(M9285="","",'Master Barang'!A79)</f>
        <v>0</v>
      </c>
      <c r="O9285">
        <f>IF(N9285="","",'Master Barang'!B79)</f>
        <v>0</v>
      </c>
      <c r="P9285">
        <f>IF(OR(M9285="",N9285=""),"",SUMIFS('Barang Keluar'!$E:$E,'Barang Keluar'!$A:$A,M9285,'Barang Keluar'!$C:$C,N9285))</f>
        <v>0</v>
      </c>
    </row>
    <row r="9286" spans="13:16">
      <c r="M9286" s="49">
        <f>IF($A$4+92&gt;$B$4,"",$A$4+92)</f>
        <v>46115</v>
      </c>
      <c r="N9286">
        <f>IF(M9286="","",'Master Barang'!A80)</f>
        <v>0</v>
      </c>
      <c r="O9286">
        <f>IF(N9286="","",'Master Barang'!B80)</f>
        <v>0</v>
      </c>
      <c r="P9286">
        <f>IF(OR(M9286="",N9286=""),"",SUMIFS('Barang Keluar'!$E:$E,'Barang Keluar'!$A:$A,M9286,'Barang Keluar'!$C:$C,N9286))</f>
        <v>0</v>
      </c>
    </row>
    <row r="9287" spans="13:16">
      <c r="M9287" s="49">
        <f>IF($A$4+92&gt;$B$4,"",$A$4+92)</f>
        <v>46115</v>
      </c>
      <c r="N9287">
        <f>IF(M9287="","",'Master Barang'!A81)</f>
        <v>0</v>
      </c>
      <c r="O9287">
        <f>IF(N9287="","",'Master Barang'!B81)</f>
        <v>0</v>
      </c>
      <c r="P9287">
        <f>IF(OR(M9287="",N9287=""),"",SUMIFS('Barang Keluar'!$E:$E,'Barang Keluar'!$A:$A,M9287,'Barang Keluar'!$C:$C,N9287))</f>
        <v>0</v>
      </c>
    </row>
    <row r="9288" spans="13:16">
      <c r="M9288" s="49">
        <f>IF($A$4+92&gt;$B$4,"",$A$4+92)</f>
        <v>46115</v>
      </c>
      <c r="N9288">
        <f>IF(M9288="","",'Master Barang'!A82)</f>
        <v>0</v>
      </c>
      <c r="O9288">
        <f>IF(N9288="","",'Master Barang'!B82)</f>
        <v>0</v>
      </c>
      <c r="P9288">
        <f>IF(OR(M9288="",N9288=""),"",SUMIFS('Barang Keluar'!$E:$E,'Barang Keluar'!$A:$A,M9288,'Barang Keluar'!$C:$C,N9288))</f>
        <v>0</v>
      </c>
    </row>
    <row r="9289" spans="13:16">
      <c r="M9289" s="49">
        <f>IF($A$4+92&gt;$B$4,"",$A$4+92)</f>
        <v>46115</v>
      </c>
      <c r="N9289">
        <f>IF(M9289="","",'Master Barang'!A83)</f>
        <v>0</v>
      </c>
      <c r="O9289">
        <f>IF(N9289="","",'Master Barang'!B83)</f>
        <v>0</v>
      </c>
      <c r="P9289">
        <f>IF(OR(M9289="",N9289=""),"",SUMIFS('Barang Keluar'!$E:$E,'Barang Keluar'!$A:$A,M9289,'Barang Keluar'!$C:$C,N9289))</f>
        <v>0</v>
      </c>
    </row>
    <row r="9290" spans="13:16">
      <c r="M9290" s="49">
        <f>IF($A$4+92&gt;$B$4,"",$A$4+92)</f>
        <v>46115</v>
      </c>
      <c r="N9290">
        <f>IF(M9290="","",'Master Barang'!A84)</f>
        <v>0</v>
      </c>
      <c r="O9290">
        <f>IF(N9290="","",'Master Barang'!B84)</f>
        <v>0</v>
      </c>
      <c r="P9290">
        <f>IF(OR(M9290="",N9290=""),"",SUMIFS('Barang Keluar'!$E:$E,'Barang Keluar'!$A:$A,M9290,'Barang Keluar'!$C:$C,N9290))</f>
        <v>0</v>
      </c>
    </row>
    <row r="9291" spans="13:16">
      <c r="M9291" s="49">
        <f>IF($A$4+92&gt;$B$4,"",$A$4+92)</f>
        <v>46115</v>
      </c>
      <c r="N9291">
        <f>IF(M9291="","",'Master Barang'!A85)</f>
        <v>0</v>
      </c>
      <c r="O9291">
        <f>IF(N9291="","",'Master Barang'!B85)</f>
        <v>0</v>
      </c>
      <c r="P9291">
        <f>IF(OR(M9291="",N9291=""),"",SUMIFS('Barang Keluar'!$E:$E,'Barang Keluar'!$A:$A,M9291,'Barang Keluar'!$C:$C,N9291))</f>
        <v>0</v>
      </c>
    </row>
    <row r="9292" spans="13:16">
      <c r="M9292" s="49">
        <f>IF($A$4+92&gt;$B$4,"",$A$4+92)</f>
        <v>46115</v>
      </c>
      <c r="N9292">
        <f>IF(M9292="","",'Master Barang'!A86)</f>
        <v>0</v>
      </c>
      <c r="O9292">
        <f>IF(N9292="","",'Master Barang'!B86)</f>
        <v>0</v>
      </c>
      <c r="P9292">
        <f>IF(OR(M9292="",N9292=""),"",SUMIFS('Barang Keluar'!$E:$E,'Barang Keluar'!$A:$A,M9292,'Barang Keluar'!$C:$C,N9292))</f>
        <v>0</v>
      </c>
    </row>
    <row r="9293" spans="13:16">
      <c r="M9293" s="49">
        <f>IF($A$4+92&gt;$B$4,"",$A$4+92)</f>
        <v>46115</v>
      </c>
      <c r="N9293">
        <f>IF(M9293="","",'Master Barang'!A87)</f>
        <v>0</v>
      </c>
      <c r="O9293">
        <f>IF(N9293="","",'Master Barang'!B87)</f>
        <v>0</v>
      </c>
      <c r="P9293">
        <f>IF(OR(M9293="",N9293=""),"",SUMIFS('Barang Keluar'!$E:$E,'Barang Keluar'!$A:$A,M9293,'Barang Keluar'!$C:$C,N9293))</f>
        <v>0</v>
      </c>
    </row>
    <row r="9294" spans="13:16">
      <c r="M9294" s="49">
        <f>IF($A$4+92&gt;$B$4,"",$A$4+92)</f>
        <v>46115</v>
      </c>
      <c r="N9294">
        <f>IF(M9294="","",'Master Barang'!A88)</f>
        <v>0</v>
      </c>
      <c r="O9294">
        <f>IF(N9294="","",'Master Barang'!B88)</f>
        <v>0</v>
      </c>
      <c r="P9294">
        <f>IF(OR(M9294="",N9294=""),"",SUMIFS('Barang Keluar'!$E:$E,'Barang Keluar'!$A:$A,M9294,'Barang Keluar'!$C:$C,N9294))</f>
        <v>0</v>
      </c>
    </row>
    <row r="9295" spans="13:16">
      <c r="M9295" s="49">
        <f>IF($A$4+92&gt;$B$4,"",$A$4+92)</f>
        <v>46115</v>
      </c>
      <c r="N9295">
        <f>IF(M9295="","",'Master Barang'!A89)</f>
        <v>0</v>
      </c>
      <c r="O9295">
        <f>IF(N9295="","",'Master Barang'!B89)</f>
        <v>0</v>
      </c>
      <c r="P9295">
        <f>IF(OR(M9295="",N9295=""),"",SUMIFS('Barang Keluar'!$E:$E,'Barang Keluar'!$A:$A,M9295,'Barang Keluar'!$C:$C,N9295))</f>
        <v>0</v>
      </c>
    </row>
    <row r="9296" spans="13:16">
      <c r="M9296" s="49">
        <f>IF($A$4+92&gt;$B$4,"",$A$4+92)</f>
        <v>46115</v>
      </c>
      <c r="N9296">
        <f>IF(M9296="","",'Master Barang'!A90)</f>
        <v>0</v>
      </c>
      <c r="O9296">
        <f>IF(N9296="","",'Master Barang'!B90)</f>
        <v>0</v>
      </c>
      <c r="P9296">
        <f>IF(OR(M9296="",N9296=""),"",SUMIFS('Barang Keluar'!$E:$E,'Barang Keluar'!$A:$A,M9296,'Barang Keluar'!$C:$C,N9296))</f>
        <v>0</v>
      </c>
    </row>
    <row r="9297" spans="13:16">
      <c r="M9297" s="49">
        <f>IF($A$4+92&gt;$B$4,"",$A$4+92)</f>
        <v>46115</v>
      </c>
      <c r="N9297">
        <f>IF(M9297="","",'Master Barang'!A91)</f>
        <v>0</v>
      </c>
      <c r="O9297">
        <f>IF(N9297="","",'Master Barang'!B91)</f>
        <v>0</v>
      </c>
      <c r="P9297">
        <f>IF(OR(M9297="",N9297=""),"",SUMIFS('Barang Keluar'!$E:$E,'Barang Keluar'!$A:$A,M9297,'Barang Keluar'!$C:$C,N9297))</f>
        <v>0</v>
      </c>
    </row>
    <row r="9298" spans="13:16">
      <c r="M9298" s="49">
        <f>IF($A$4+92&gt;$B$4,"",$A$4+92)</f>
        <v>46115</v>
      </c>
      <c r="N9298">
        <f>IF(M9298="","",'Master Barang'!A92)</f>
        <v>0</v>
      </c>
      <c r="O9298">
        <f>IF(N9298="","",'Master Barang'!B92)</f>
        <v>0</v>
      </c>
      <c r="P9298">
        <f>IF(OR(M9298="",N9298=""),"",SUMIFS('Barang Keluar'!$E:$E,'Barang Keluar'!$A:$A,M9298,'Barang Keluar'!$C:$C,N9298))</f>
        <v>0</v>
      </c>
    </row>
    <row r="9299" spans="13:16">
      <c r="M9299" s="49">
        <f>IF($A$4+92&gt;$B$4,"",$A$4+92)</f>
        <v>46115</v>
      </c>
      <c r="N9299">
        <f>IF(M9299="","",'Master Barang'!A93)</f>
        <v>0</v>
      </c>
      <c r="O9299">
        <f>IF(N9299="","",'Master Barang'!B93)</f>
        <v>0</v>
      </c>
      <c r="P9299">
        <f>IF(OR(M9299="",N9299=""),"",SUMIFS('Barang Keluar'!$E:$E,'Barang Keluar'!$A:$A,M9299,'Barang Keluar'!$C:$C,N9299))</f>
        <v>0</v>
      </c>
    </row>
    <row r="9300" spans="13:16">
      <c r="M9300" s="49">
        <f>IF($A$4+92&gt;$B$4,"",$A$4+92)</f>
        <v>46115</v>
      </c>
      <c r="N9300">
        <f>IF(M9300="","",'Master Barang'!A94)</f>
        <v>0</v>
      </c>
      <c r="O9300">
        <f>IF(N9300="","",'Master Barang'!B94)</f>
        <v>0</v>
      </c>
      <c r="P9300">
        <f>IF(OR(M9300="",N9300=""),"",SUMIFS('Barang Keluar'!$E:$E,'Barang Keluar'!$A:$A,M9300,'Barang Keluar'!$C:$C,N9300))</f>
        <v>0</v>
      </c>
    </row>
    <row r="9301" spans="13:16">
      <c r="M9301" s="49">
        <f>IF($A$4+92&gt;$B$4,"",$A$4+92)</f>
        <v>46115</v>
      </c>
      <c r="N9301">
        <f>IF(M9301="","",'Master Barang'!A95)</f>
        <v>0</v>
      </c>
      <c r="O9301">
        <f>IF(N9301="","",'Master Barang'!B95)</f>
        <v>0</v>
      </c>
      <c r="P9301">
        <f>IF(OR(M9301="",N9301=""),"",SUMIFS('Barang Keluar'!$E:$E,'Barang Keluar'!$A:$A,M9301,'Barang Keluar'!$C:$C,N9301))</f>
        <v>0</v>
      </c>
    </row>
    <row r="9302" spans="13:16">
      <c r="M9302" s="49">
        <f>IF($A$4+92&gt;$B$4,"",$A$4+92)</f>
        <v>46115</v>
      </c>
      <c r="N9302">
        <f>IF(M9302="","",'Master Barang'!A96)</f>
        <v>0</v>
      </c>
      <c r="O9302">
        <f>IF(N9302="","",'Master Barang'!B96)</f>
        <v>0</v>
      </c>
      <c r="P9302">
        <f>IF(OR(M9302="",N9302=""),"",SUMIFS('Barang Keluar'!$E:$E,'Barang Keluar'!$A:$A,M9302,'Barang Keluar'!$C:$C,N9302))</f>
        <v>0</v>
      </c>
    </row>
    <row r="9303" spans="13:16">
      <c r="M9303" s="49">
        <f>IF($A$4+92&gt;$B$4,"",$A$4+92)</f>
        <v>46115</v>
      </c>
      <c r="N9303">
        <f>IF(M9303="","",'Master Barang'!A97)</f>
        <v>0</v>
      </c>
      <c r="O9303">
        <f>IF(N9303="","",'Master Barang'!B97)</f>
        <v>0</v>
      </c>
      <c r="P9303">
        <f>IF(OR(M9303="",N9303=""),"",SUMIFS('Barang Keluar'!$E:$E,'Barang Keluar'!$A:$A,M9303,'Barang Keluar'!$C:$C,N9303))</f>
        <v>0</v>
      </c>
    </row>
    <row r="9304" spans="13:16">
      <c r="M9304" s="49">
        <f>IF($A$4+92&gt;$B$4,"",$A$4+92)</f>
        <v>46115</v>
      </c>
      <c r="N9304">
        <f>IF(M9304="","",'Master Barang'!A98)</f>
        <v>0</v>
      </c>
      <c r="O9304">
        <f>IF(N9304="","",'Master Barang'!B98)</f>
        <v>0</v>
      </c>
      <c r="P9304">
        <f>IF(OR(M9304="",N9304=""),"",SUMIFS('Barang Keluar'!$E:$E,'Barang Keluar'!$A:$A,M9304,'Barang Keluar'!$C:$C,N9304))</f>
        <v>0</v>
      </c>
    </row>
    <row r="9305" spans="13:16">
      <c r="M9305" s="49">
        <f>IF($A$4+92&gt;$B$4,"",$A$4+92)</f>
        <v>46115</v>
      </c>
      <c r="N9305">
        <f>IF(M9305="","",'Master Barang'!A99)</f>
        <v>0</v>
      </c>
      <c r="O9305">
        <f>IF(N9305="","",'Master Barang'!B99)</f>
        <v>0</v>
      </c>
      <c r="P9305">
        <f>IF(OR(M9305="",N9305=""),"",SUMIFS('Barang Keluar'!$E:$E,'Barang Keluar'!$A:$A,M9305,'Barang Keluar'!$C:$C,N9305))</f>
        <v>0</v>
      </c>
    </row>
    <row r="9306" spans="13:16">
      <c r="M9306" s="49">
        <f>IF($A$4+92&gt;$B$4,"",$A$4+92)</f>
        <v>46115</v>
      </c>
      <c r="N9306">
        <f>IF(M9306="","",'Master Barang'!A100)</f>
        <v>0</v>
      </c>
      <c r="O9306">
        <f>IF(N9306="","",'Master Barang'!B100)</f>
        <v>0</v>
      </c>
      <c r="P9306">
        <f>IF(OR(M9306="",N9306=""),"",SUMIFS('Barang Keluar'!$E:$E,'Barang Keluar'!$A:$A,M9306,'Barang Keluar'!$C:$C,N9306))</f>
        <v>0</v>
      </c>
    </row>
    <row r="9307" spans="13:16">
      <c r="M9307" s="49">
        <f>IF($A$4+92&gt;$B$4,"",$A$4+92)</f>
        <v>46115</v>
      </c>
      <c r="N9307">
        <f>IF(M9307="","",'Master Barang'!A101)</f>
        <v>0</v>
      </c>
      <c r="O9307">
        <f>IF(N9307="","",'Master Barang'!B101)</f>
        <v>0</v>
      </c>
      <c r="P9307">
        <f>IF(OR(M9307="",N9307=""),"",SUMIFS('Barang Keluar'!$E:$E,'Barang Keluar'!$A:$A,M9307,'Barang Keluar'!$C:$C,N9307))</f>
        <v>0</v>
      </c>
    </row>
    <row r="9308" spans="13:16">
      <c r="M9308" s="49">
        <f>IF($A$4+93&gt;$B$4,"",$A$4+93)</f>
        <v>46116</v>
      </c>
      <c r="N9308" t="str">
        <f>IF(M9308="","",'Master Barang'!A2)</f>
        <v>PRL-001</v>
      </c>
      <c r="O9308" t="str">
        <f>IF(N9308="","",'Master Barang'!B2)</f>
        <v>natura desinfectant food grade 5l</v>
      </c>
      <c r="P9308">
        <f>IF(OR(M9308="",N9308=""),"",SUMIFS('Barang Keluar'!$E:$E,'Barang Keluar'!$A:$A,M9308,'Barang Keluar'!$C:$C,N9308))</f>
        <v>0</v>
      </c>
    </row>
    <row r="9309" spans="13:16">
      <c r="M9309" s="49">
        <f>IF($A$4+93&gt;$B$4,"",$A$4+93)</f>
        <v>46116</v>
      </c>
      <c r="N9309" t="str">
        <f>IF(M9309="","",'Master Barang'!A3)</f>
        <v>PRL-002</v>
      </c>
      <c r="O9309" t="str">
        <f>IF(N9309="","",'Master Barang'!B3)</f>
        <v>sunlight cairan pencuci piring 5l</v>
      </c>
      <c r="P9309">
        <f>IF(OR(M9309="",N9309=""),"",SUMIFS('Barang Keluar'!$E:$E,'Barang Keluar'!$A:$A,M9309,'Barang Keluar'!$C:$C,N9309))</f>
        <v>0</v>
      </c>
    </row>
    <row r="9310" spans="13:16">
      <c r="M9310" s="49">
        <f>IF($A$4+93&gt;$B$4,"",$A$4+93)</f>
        <v>46116</v>
      </c>
      <c r="N9310" t="str">
        <f>IF(M9310="","",'Master Barang'!A4)</f>
        <v>PRL-003</v>
      </c>
      <c r="O9310" t="str">
        <f>IF(N9310="","",'Master Barang'!B4)</f>
        <v>oixs cleaner 1l</v>
      </c>
      <c r="P9310">
        <f>IF(OR(M9310="",N9310=""),"",SUMIFS('Barang Keluar'!$E:$E,'Barang Keluar'!$A:$A,M9310,'Barang Keluar'!$C:$C,N9310))</f>
        <v>0</v>
      </c>
    </row>
    <row r="9311" spans="13:16">
      <c r="M9311" s="49">
        <f>IF($A$4+93&gt;$B$4,"",$A$4+93)</f>
        <v>46116</v>
      </c>
      <c r="N9311" t="str">
        <f>IF(M9311="","",'Master Barang'!A5)</f>
        <v>PRL-004</v>
      </c>
      <c r="O9311" t="str">
        <f>IF(N9311="","",'Master Barang'!B5)</f>
        <v>be clean tissue serbaguna</v>
      </c>
      <c r="P9311">
        <f>IF(OR(M9311="",N9311=""),"",SUMIFS('Barang Keluar'!$E:$E,'Barang Keluar'!$A:$A,M9311,'Barang Keluar'!$C:$C,N9311))</f>
        <v>0</v>
      </c>
    </row>
    <row r="9312" spans="13:16">
      <c r="M9312" s="49">
        <f>IF($A$4+93&gt;$B$4,"",$A$4+93)</f>
        <v>46116</v>
      </c>
      <c r="N9312" t="str">
        <f>IF(M9312="","",'Master Barang'!A6)</f>
        <v>PRL-005</v>
      </c>
      <c r="O9312" t="str">
        <f>IF(N9312="","",'Master Barang'!B6)</f>
        <v>spons cuci hijau</v>
      </c>
      <c r="P9312">
        <f>IF(OR(M9312="",N9312=""),"",SUMIFS('Barang Keluar'!$E:$E,'Barang Keluar'!$A:$A,M9312,'Barang Keluar'!$C:$C,N9312))</f>
        <v>0</v>
      </c>
    </row>
    <row r="9313" spans="13:16">
      <c r="M9313" s="49">
        <f>IF($A$4+93&gt;$B$4,"",$A$4+93)</f>
        <v>46116</v>
      </c>
      <c r="N9313" t="str">
        <f>IF(M9313="","",'Master Barang'!A7)</f>
        <v>PRL-006</v>
      </c>
      <c r="O9313" t="str">
        <f>IF(N9313="","",'Master Barang'!B7)</f>
        <v>sabut cuci stainless</v>
      </c>
      <c r="P9313">
        <f>IF(OR(M9313="",N9313=""),"",SUMIFS('Barang Keluar'!$E:$E,'Barang Keluar'!$A:$A,M9313,'Barang Keluar'!$C:$C,N9313))</f>
        <v>0</v>
      </c>
    </row>
    <row r="9314" spans="13:16">
      <c r="M9314" s="49">
        <f>IF($A$4+93&gt;$B$4,"",$A$4+93)</f>
        <v>46116</v>
      </c>
      <c r="N9314" t="str">
        <f>IF(M9314="","",'Master Barang'!A8)</f>
        <v>PRL-007</v>
      </c>
      <c r="O9314" t="str">
        <f>IF(N9314="","",'Master Barang'!B8)</f>
        <v>plastik kresek besar merah 50pc</v>
      </c>
      <c r="P9314">
        <f>IF(OR(M9314="",N9314=""),"",SUMIFS('Barang Keluar'!$E:$E,'Barang Keluar'!$A:$A,M9314,'Barang Keluar'!$C:$C,N9314))</f>
        <v>0</v>
      </c>
    </row>
    <row r="9315" spans="13:16">
      <c r="M9315" s="49">
        <f>IF($A$4+93&gt;$B$4,"",$A$4+93)</f>
        <v>46116</v>
      </c>
      <c r="N9315" t="str">
        <f>IF(M9315="","",'Master Barang'!A9)</f>
        <v>PRL-008</v>
      </c>
      <c r="O9315" t="str">
        <f>IF(N9315="","",'Master Barang'!B9)</f>
        <v>lap besar</v>
      </c>
      <c r="P9315">
        <f>IF(OR(M9315="",N9315=""),"",SUMIFS('Barang Keluar'!$E:$E,'Barang Keluar'!$A:$A,M9315,'Barang Keluar'!$C:$C,N9315))</f>
        <v>0</v>
      </c>
    </row>
    <row r="9316" spans="13:16">
      <c r="M9316" s="49">
        <f>IF($A$4+93&gt;$B$4,"",$A$4+93)</f>
        <v>46116</v>
      </c>
      <c r="N9316" t="str">
        <f>IF(M9316="","",'Master Barang'!A10)</f>
        <v>PRL-009</v>
      </c>
      <c r="O9316" t="str">
        <f>IF(N9316="","",'Master Barang'!B10)</f>
        <v>lap microfiber</v>
      </c>
      <c r="P9316">
        <f>IF(OR(M9316="",N9316=""),"",SUMIFS('Barang Keluar'!$E:$E,'Barang Keluar'!$A:$A,M9316,'Barang Keluar'!$C:$C,N9316))</f>
        <v>0</v>
      </c>
    </row>
    <row r="9317" spans="13:16">
      <c r="M9317" s="49">
        <f>IF($A$4+93&gt;$B$4,"",$A$4+93)</f>
        <v>46116</v>
      </c>
      <c r="N9317" t="str">
        <f>IF(M9317="","",'Master Barang'!A11)</f>
        <v>PRL-010</v>
      </c>
      <c r="O9317" t="str">
        <f>IF(N9317="","",'Master Barang'!B11)</f>
        <v>lap kecil</v>
      </c>
      <c r="P9317">
        <f>IF(OR(M9317="",N9317=""),"",SUMIFS('Barang Keluar'!$E:$E,'Barang Keluar'!$A:$A,M9317,'Barang Keluar'!$C:$C,N9317))</f>
        <v>0</v>
      </c>
    </row>
    <row r="9318" spans="13:16">
      <c r="M9318" s="49">
        <f>IF($A$4+93&gt;$B$4,"",$A$4+93)</f>
        <v>46116</v>
      </c>
      <c r="N9318" t="str">
        <f>IF(M9318="","",'Master Barang'!A12)</f>
        <v>PRL-011</v>
      </c>
      <c r="O9318" t="str">
        <f>IF(N9318="","",'Master Barang'!B12)</f>
        <v>kanebo kecil</v>
      </c>
      <c r="P9318">
        <f>IF(OR(M9318="",N9318=""),"",SUMIFS('Barang Keluar'!$E:$E,'Barang Keluar'!$A:$A,M9318,'Barang Keluar'!$C:$C,N9318))</f>
        <v>0</v>
      </c>
    </row>
    <row r="9319" spans="13:16">
      <c r="M9319" s="49">
        <f>IF($A$4+93&gt;$B$4,"",$A$4+93)</f>
        <v>46116</v>
      </c>
      <c r="N9319" t="str">
        <f>IF(M9319="","",'Master Barang'!A13)</f>
        <v>PRL-012</v>
      </c>
      <c r="O9319" t="str">
        <f>IF(N9319="","",'Master Barang'!B13)</f>
        <v>plastik 1/4kg joyoboyo 100 lembar</v>
      </c>
      <c r="P9319">
        <f>IF(OR(M9319="",N9319=""),"",SUMIFS('Barang Keluar'!$E:$E,'Barang Keluar'!$A:$A,M9319,'Barang Keluar'!$C:$C,N9319))</f>
        <v>0</v>
      </c>
    </row>
    <row r="9320" spans="13:16">
      <c r="M9320" s="49">
        <f>IF($A$4+93&gt;$B$4,"",$A$4+93)</f>
        <v>46116</v>
      </c>
      <c r="N9320" t="str">
        <f>IF(M9320="","",'Master Barang'!A14)</f>
        <v>PRL-013</v>
      </c>
      <c r="O9320" t="str">
        <f>IF(N9320="","",'Master Barang'!B14)</f>
        <v>sarung tangan plastik kaka 100 pcs</v>
      </c>
      <c r="P9320">
        <f>IF(OR(M9320="",N9320=""),"",SUMIFS('Barang Keluar'!$E:$E,'Barang Keluar'!$A:$A,M9320,'Barang Keluar'!$C:$C,N9320))</f>
        <v>0</v>
      </c>
    </row>
    <row r="9321" spans="13:16">
      <c r="M9321" s="49">
        <f>IF($A$4+93&gt;$B$4,"",$A$4+93)</f>
        <v>46116</v>
      </c>
      <c r="N9321" t="str">
        <f>IF(M9321="","",'Master Barang'!A15)</f>
        <v>PRL-014</v>
      </c>
      <c r="O9321" t="str">
        <f>IF(N9321="","",'Master Barang'!B15)</f>
        <v>optima trashbag 80x100</v>
      </c>
      <c r="P9321">
        <f>IF(OR(M9321="",N9321=""),"",SUMIFS('Barang Keluar'!$E:$E,'Barang Keluar'!$A:$A,M9321,'Barang Keluar'!$C:$C,N9321))</f>
        <v>0</v>
      </c>
    </row>
    <row r="9322" spans="13:16">
      <c r="M9322" s="49">
        <f>IF($A$4+93&gt;$B$4,"",$A$4+93)</f>
        <v>46116</v>
      </c>
      <c r="N9322" t="str">
        <f>IF(M9322="","",'Master Barang'!A16)</f>
        <v>PRL-015</v>
      </c>
      <c r="O9322" t="str">
        <f>IF(N9322="","",'Master Barang'!B16)</f>
        <v>optima trashbag 60x100</v>
      </c>
      <c r="P9322">
        <f>IF(OR(M9322="",N9322=""),"",SUMIFS('Barang Keluar'!$E:$E,'Barang Keluar'!$A:$A,M9322,'Barang Keluar'!$C:$C,N9322))</f>
        <v>0</v>
      </c>
    </row>
    <row r="9323" spans="13:16">
      <c r="M9323" s="49">
        <f>IF($A$4+93&gt;$B$4,"",$A$4+93)</f>
        <v>46116</v>
      </c>
      <c r="N9323" t="str">
        <f>IF(M9323="","",'Master Barang'!A17)</f>
        <v>PRL-016</v>
      </c>
      <c r="O9323" t="str">
        <f>IF(N9323="","",'Master Barang'!B17)</f>
        <v>rajawali trashbag 30x40</v>
      </c>
      <c r="P9323">
        <f>IF(OR(M9323="",N9323=""),"",SUMIFS('Barang Keluar'!$E:$E,'Barang Keluar'!$A:$A,M9323,'Barang Keluar'!$C:$C,N9323))</f>
        <v>0</v>
      </c>
    </row>
    <row r="9324" spans="13:16">
      <c r="M9324" s="49">
        <f>IF($A$4+93&gt;$B$4,"",$A$4+93)</f>
        <v>46116</v>
      </c>
      <c r="N9324" t="str">
        <f>IF(M9324="","",'Master Barang'!A18)</f>
        <v>PRL-017</v>
      </c>
      <c r="O9324" t="str">
        <f>IF(N9324="","",'Master Barang'!B18)</f>
        <v>onemed masker biru 3 play 50 pcs</v>
      </c>
      <c r="P9324">
        <f>IF(OR(M9324="",N9324=""),"",SUMIFS('Barang Keluar'!$E:$E,'Barang Keluar'!$A:$A,M9324,'Barang Keluar'!$C:$C,N9324))</f>
        <v>0</v>
      </c>
    </row>
    <row r="9325" spans="13:16">
      <c r="M9325" s="49">
        <f>IF($A$4+93&gt;$B$4,"",$A$4+93)</f>
        <v>46116</v>
      </c>
      <c r="N9325" t="str">
        <f>IF(M9325="","",'Master Barang'!A19)</f>
        <v>PRL-018</v>
      </c>
      <c r="O9325" t="str">
        <f>IF(N9325="","",'Master Barang'!B19)</f>
        <v>onemed masker biru 3 play hijab 50 pcs</v>
      </c>
      <c r="P9325">
        <f>IF(OR(M9325="",N9325=""),"",SUMIFS('Barang Keluar'!$E:$E,'Barang Keluar'!$A:$A,M9325,'Barang Keluar'!$C:$C,N9325))</f>
        <v>0</v>
      </c>
    </row>
    <row r="9326" spans="13:16">
      <c r="M9326" s="49">
        <f>IF($A$4+93&gt;$B$4,"",$A$4+93)</f>
        <v>46116</v>
      </c>
      <c r="N9326" t="str">
        <f>IF(M9326="","",'Master Barang'!A20)</f>
        <v>PRL-019</v>
      </c>
      <c r="O9326" t="str">
        <f>IF(N9326="","",'Master Barang'!B20)</f>
        <v>neo health masker biru 3 play 50 pcs</v>
      </c>
      <c r="P9326">
        <f>IF(OR(M9326="",N9326=""),"",SUMIFS('Barang Keluar'!$E:$E,'Barang Keluar'!$A:$A,M9326,'Barang Keluar'!$C:$C,N9326))</f>
        <v>0</v>
      </c>
    </row>
    <row r="9327" spans="13:16">
      <c r="M9327" s="49">
        <f>IF($A$4+93&gt;$B$4,"",$A$4+93)</f>
        <v>46116</v>
      </c>
      <c r="N9327" t="str">
        <f>IF(M9327="","",'Master Barang'!A21)</f>
        <v>PRL-020</v>
      </c>
      <c r="O9327" t="str">
        <f>IF(N9327="","",'Master Barang'!B21)</f>
        <v>baymed masker hijau 3 play hijau 50 pcs</v>
      </c>
      <c r="P9327">
        <f>IF(OR(M9327="",N9327=""),"",SUMIFS('Barang Keluar'!$E:$E,'Barang Keluar'!$A:$A,M9327,'Barang Keluar'!$C:$C,N9327))</f>
        <v>0</v>
      </c>
    </row>
    <row r="9328" spans="13:16">
      <c r="M9328" s="49">
        <f>IF($A$4+93&gt;$B$4,"",$A$4+93)</f>
        <v>46116</v>
      </c>
      <c r="N9328" t="str">
        <f>IF(M9328="","",'Master Barang'!A22)</f>
        <v>PRL-021</v>
      </c>
      <c r="O9328" t="str">
        <f>IF(N9328="","",'Master Barang'!B22)</f>
        <v>altamed nurse cap penutup kepala 100 pcs</v>
      </c>
      <c r="P9328">
        <f>IF(OR(M9328="",N9328=""),"",SUMIFS('Barang Keluar'!$E:$E,'Barang Keluar'!$A:$A,M9328,'Barang Keluar'!$C:$C,N9328))</f>
        <v>0</v>
      </c>
    </row>
    <row r="9329" spans="13:16">
      <c r="M9329" s="49">
        <f>IF($A$4+93&gt;$B$4,"",$A$4+93)</f>
        <v>46116</v>
      </c>
      <c r="N9329" t="str">
        <f>IF(M9329="","",'Master Barang'!A23)</f>
        <v>PRL-022</v>
      </c>
      <c r="O9329" t="str">
        <f>IF(N9329="","",'Master Barang'!B23)</f>
        <v>sabun cuci tangan</v>
      </c>
      <c r="P9329">
        <f>IF(OR(M9329="",N9329=""),"",SUMIFS('Barang Keluar'!$E:$E,'Barang Keluar'!$A:$A,M9329,'Barang Keluar'!$C:$C,N9329))</f>
        <v>0</v>
      </c>
    </row>
    <row r="9330" spans="13:16">
      <c r="M9330" s="49">
        <f>IF($A$4+93&gt;$B$4,"",$A$4+93)</f>
        <v>46116</v>
      </c>
      <c r="N9330" t="str">
        <f>IF(M9330="","",'Master Barang'!A24)</f>
        <v>PRL-023</v>
      </c>
      <c r="O9330" t="str">
        <f>IF(N9330="","",'Master Barang'!B24)</f>
        <v>gayung kecil</v>
      </c>
      <c r="P9330">
        <f>IF(OR(M9330="",N9330=""),"",SUMIFS('Barang Keluar'!$E:$E,'Barang Keluar'!$A:$A,M9330,'Barang Keluar'!$C:$C,N9330))</f>
        <v>0</v>
      </c>
    </row>
    <row r="9331" spans="13:16">
      <c r="M9331" s="49">
        <f>IF($A$4+93&gt;$B$4,"",$A$4+93)</f>
        <v>46116</v>
      </c>
      <c r="N9331" t="str">
        <f>IF(M9331="","",'Master Barang'!A25)</f>
        <v>PRL-024</v>
      </c>
      <c r="O9331" t="str">
        <f>IF(N9331="","",'Master Barang'!B25)</f>
        <v>cikrak kecil</v>
      </c>
      <c r="P9331">
        <f>IF(OR(M9331="",N9331=""),"",SUMIFS('Barang Keluar'!$E:$E,'Barang Keluar'!$A:$A,M9331,'Barang Keluar'!$C:$C,N9331))</f>
        <v>0</v>
      </c>
    </row>
    <row r="9332" spans="13:16">
      <c r="M9332" s="49">
        <f>IF($A$4+93&gt;$B$4,"",$A$4+93)</f>
        <v>46116</v>
      </c>
      <c r="N9332" t="str">
        <f>IF(M9332="","",'Master Barang'!A26)</f>
        <v>PRL-025</v>
      </c>
      <c r="O9332" t="str">
        <f>IF(N9332="","",'Master Barang'!B26)</f>
        <v>petromax plastik kecil 12x24 100 lembar</v>
      </c>
      <c r="P9332">
        <f>IF(OR(M9332="",N9332=""),"",SUMIFS('Barang Keluar'!$E:$E,'Barang Keluar'!$A:$A,M9332,'Barang Keluar'!$C:$C,N9332))</f>
        <v>0</v>
      </c>
    </row>
    <row r="9333" spans="13:16">
      <c r="M9333" s="49">
        <f>IF($A$4+93&gt;$B$4,"",$A$4+93)</f>
        <v>46116</v>
      </c>
      <c r="N9333" t="str">
        <f>IF(M9333="","",'Master Barang'!A27)</f>
        <v>PRL-026</v>
      </c>
      <c r="O9333" t="str">
        <f>IF(N9333="","",'Master Barang'!B27)</f>
        <v>lancar kresek kecil bening </v>
      </c>
      <c r="P9333">
        <f>IF(OR(M9333="",N9333=""),"",SUMIFS('Barang Keluar'!$E:$E,'Barang Keluar'!$A:$A,M9333,'Barang Keluar'!$C:$C,N9333))</f>
        <v>0</v>
      </c>
    </row>
    <row r="9334" spans="13:16">
      <c r="M9334" s="49">
        <f>IF($A$4+93&gt;$B$4,"",$A$4+93)</f>
        <v>46116</v>
      </c>
      <c r="N9334" t="str">
        <f>IF(M9334="","",'Master Barang'!A28)</f>
        <v>PRL-027</v>
      </c>
      <c r="O9334" t="str">
        <f>IF(N9334="","",'Master Barang'!B28)</f>
        <v>kresek klin warna warni kecil</v>
      </c>
      <c r="P9334">
        <f>IF(OR(M9334="",N9334=""),"",SUMIFS('Barang Keluar'!$E:$E,'Barang Keluar'!$A:$A,M9334,'Barang Keluar'!$C:$C,N9334))</f>
        <v>0</v>
      </c>
    </row>
    <row r="9335" spans="13:16">
      <c r="M9335" s="49">
        <f>IF($A$4+93&gt;$B$4,"",$A$4+93)</f>
        <v>46116</v>
      </c>
      <c r="N9335" t="str">
        <f>IF(M9335="","",'Master Barang'!A29)</f>
        <v>PRL-028</v>
      </c>
      <c r="O9335" t="str">
        <f>IF(N9335="","",'Master Barang'!B29)</f>
        <v>ctik plastik 7x10 100 pcs</v>
      </c>
      <c r="P9335">
        <f>IF(OR(M9335="",N9335=""),"",SUMIFS('Barang Keluar'!$E:$E,'Barang Keluar'!$A:$A,M9335,'Barang Keluar'!$C:$C,N9335))</f>
        <v>0</v>
      </c>
    </row>
    <row r="9336" spans="13:16">
      <c r="M9336" s="49">
        <f>IF($A$4+93&gt;$B$4,"",$A$4+93)</f>
        <v>46116</v>
      </c>
      <c r="N9336" t="str">
        <f>IF(M9336="","",'Master Barang'!A30)</f>
        <v>PRL-029</v>
      </c>
      <c r="O9336" t="str">
        <f>IF(N9336="","",'Master Barang'!B30)</f>
        <v>ctik plastik 6x10 100 pcs</v>
      </c>
      <c r="P9336">
        <f>IF(OR(M9336="",N9336=""),"",SUMIFS('Barang Keluar'!$E:$E,'Barang Keluar'!$A:$A,M9336,'Barang Keluar'!$C:$C,N9336))</f>
        <v>0</v>
      </c>
    </row>
    <row r="9337" spans="13:16">
      <c r="M9337" s="49">
        <f>IF($A$4+93&gt;$B$4,"",$A$4+93)</f>
        <v>46116</v>
      </c>
      <c r="N9337" t="str">
        <f>IF(M9337="","",'Master Barang'!A31)</f>
        <v>PRL-030</v>
      </c>
      <c r="O9337" t="str">
        <f>IF(N9337="","",'Master Barang'!B31)</f>
        <v>klip plastik 25x16 100 pcs</v>
      </c>
      <c r="P9337">
        <f>IF(OR(M9337="",N9337=""),"",SUMIFS('Barang Keluar'!$E:$E,'Barang Keluar'!$A:$A,M9337,'Barang Keluar'!$C:$C,N9337))</f>
        <v>0</v>
      </c>
    </row>
    <row r="9338" spans="13:16">
      <c r="M9338" s="49">
        <f>IF($A$4+93&gt;$B$4,"",$A$4+93)</f>
        <v>46116</v>
      </c>
      <c r="N9338" t="str">
        <f>IF(M9338="","",'Master Barang'!A32)</f>
        <v>PRL-031</v>
      </c>
      <c r="O9338" t="str">
        <f>IF(N9338="","",'Master Barang'!B32)</f>
        <v>tempat saus 20 ml</v>
      </c>
      <c r="P9338">
        <f>IF(OR(M9338="",N9338=""),"",SUMIFS('Barang Keluar'!$E:$E,'Barang Keluar'!$A:$A,M9338,'Barang Keluar'!$C:$C,N9338))</f>
        <v>0</v>
      </c>
    </row>
    <row r="9339" spans="13:16">
      <c r="M9339" s="49">
        <f>IF($A$4+93&gt;$B$4,"",$A$4+93)</f>
        <v>46116</v>
      </c>
      <c r="N9339" t="str">
        <f>IF(M9339="","",'Master Barang'!A33)</f>
        <v>PRL-032</v>
      </c>
      <c r="O9339" t="str">
        <f>IF(N9339="","",'Master Barang'!B33)</f>
        <v>plastik packaging ag box uk sedang</v>
      </c>
      <c r="P9339">
        <f>IF(OR(M9339="",N9339=""),"",SUMIFS('Barang Keluar'!$E:$E,'Barang Keluar'!$A:$A,M9339,'Barang Keluar'!$C:$C,N9339))</f>
        <v>0</v>
      </c>
    </row>
    <row r="9340" spans="13:16">
      <c r="M9340" s="49">
        <f>IF($A$4+93&gt;$B$4,"",$A$4+93)</f>
        <v>46116</v>
      </c>
      <c r="N9340" t="str">
        <f>IF(M9340="","",'Master Barang'!A34)</f>
        <v>PRL-033</v>
      </c>
      <c r="O9340">
        <f>IF(N9340="","",'Master Barang'!B34)</f>
        <v>0</v>
      </c>
      <c r="P9340">
        <f>IF(OR(M9340="",N9340=""),"",SUMIFS('Barang Keluar'!$E:$E,'Barang Keluar'!$A:$A,M9340,'Barang Keluar'!$C:$C,N9340))</f>
        <v>0</v>
      </c>
    </row>
    <row r="9341" spans="13:16">
      <c r="M9341" s="49">
        <f>IF($A$4+93&gt;$B$4,"",$A$4+93)</f>
        <v>46116</v>
      </c>
      <c r="N9341">
        <f>IF(M9341="","",'Master Barang'!A35)</f>
        <v>0</v>
      </c>
      <c r="O9341">
        <f>IF(N9341="","",'Master Barang'!B35)</f>
        <v>0</v>
      </c>
      <c r="P9341">
        <f>IF(OR(M9341="",N9341=""),"",SUMIFS('Barang Keluar'!$E:$E,'Barang Keluar'!$A:$A,M9341,'Barang Keluar'!$C:$C,N9341))</f>
        <v>0</v>
      </c>
    </row>
    <row r="9342" spans="13:16">
      <c r="M9342" s="49">
        <f>IF($A$4+93&gt;$B$4,"",$A$4+93)</f>
        <v>46116</v>
      </c>
      <c r="N9342">
        <f>IF(M9342="","",'Master Barang'!A36)</f>
        <v>0</v>
      </c>
      <c r="O9342">
        <f>IF(N9342="","",'Master Barang'!B36)</f>
        <v>0</v>
      </c>
      <c r="P9342">
        <f>IF(OR(M9342="",N9342=""),"",SUMIFS('Barang Keluar'!$E:$E,'Barang Keluar'!$A:$A,M9342,'Barang Keluar'!$C:$C,N9342))</f>
        <v>0</v>
      </c>
    </row>
    <row r="9343" spans="13:16">
      <c r="M9343" s="49">
        <f>IF($A$4+93&gt;$B$4,"",$A$4+93)</f>
        <v>46116</v>
      </c>
      <c r="N9343">
        <f>IF(M9343="","",'Master Barang'!A37)</f>
        <v>0</v>
      </c>
      <c r="O9343">
        <f>IF(N9343="","",'Master Barang'!B37)</f>
        <v>0</v>
      </c>
      <c r="P9343">
        <f>IF(OR(M9343="",N9343=""),"",SUMIFS('Barang Keluar'!$E:$E,'Barang Keluar'!$A:$A,M9343,'Barang Keluar'!$C:$C,N9343))</f>
        <v>0</v>
      </c>
    </row>
    <row r="9344" spans="13:16">
      <c r="M9344" s="49">
        <f>IF($A$4+93&gt;$B$4,"",$A$4+93)</f>
        <v>46116</v>
      </c>
      <c r="N9344">
        <f>IF(M9344="","",'Master Barang'!A38)</f>
        <v>0</v>
      </c>
      <c r="O9344">
        <f>IF(N9344="","",'Master Barang'!B38)</f>
        <v>0</v>
      </c>
      <c r="P9344">
        <f>IF(OR(M9344="",N9344=""),"",SUMIFS('Barang Keluar'!$E:$E,'Barang Keluar'!$A:$A,M9344,'Barang Keluar'!$C:$C,N9344))</f>
        <v>0</v>
      </c>
    </row>
    <row r="9345" spans="13:16">
      <c r="M9345" s="49">
        <f>IF($A$4+93&gt;$B$4,"",$A$4+93)</f>
        <v>46116</v>
      </c>
      <c r="N9345">
        <f>IF(M9345="","",'Master Barang'!A39)</f>
        <v>0</v>
      </c>
      <c r="O9345">
        <f>IF(N9345="","",'Master Barang'!B39)</f>
        <v>0</v>
      </c>
      <c r="P9345">
        <f>IF(OR(M9345="",N9345=""),"",SUMIFS('Barang Keluar'!$E:$E,'Barang Keluar'!$A:$A,M9345,'Barang Keluar'!$C:$C,N9345))</f>
        <v>0</v>
      </c>
    </row>
    <row r="9346" spans="13:16">
      <c r="M9346" s="49">
        <f>IF($A$4+93&gt;$B$4,"",$A$4+93)</f>
        <v>46116</v>
      </c>
      <c r="N9346">
        <f>IF(M9346="","",'Master Barang'!A40)</f>
        <v>0</v>
      </c>
      <c r="O9346">
        <f>IF(N9346="","",'Master Barang'!B40)</f>
        <v>0</v>
      </c>
      <c r="P9346">
        <f>IF(OR(M9346="",N9346=""),"",SUMIFS('Barang Keluar'!$E:$E,'Barang Keluar'!$A:$A,M9346,'Barang Keluar'!$C:$C,N9346))</f>
        <v>0</v>
      </c>
    </row>
    <row r="9347" spans="13:16">
      <c r="M9347" s="49">
        <f>IF($A$4+93&gt;$B$4,"",$A$4+93)</f>
        <v>46116</v>
      </c>
      <c r="N9347">
        <f>IF(M9347="","",'Master Barang'!A41)</f>
        <v>0</v>
      </c>
      <c r="O9347">
        <f>IF(N9347="","",'Master Barang'!B41)</f>
        <v>0</v>
      </c>
      <c r="P9347">
        <f>IF(OR(M9347="",N9347=""),"",SUMIFS('Barang Keluar'!$E:$E,'Barang Keluar'!$A:$A,M9347,'Barang Keluar'!$C:$C,N9347))</f>
        <v>0</v>
      </c>
    </row>
    <row r="9348" spans="13:16">
      <c r="M9348" s="49">
        <f>IF($A$4+93&gt;$B$4,"",$A$4+93)</f>
        <v>46116</v>
      </c>
      <c r="N9348">
        <f>IF(M9348="","",'Master Barang'!A42)</f>
        <v>0</v>
      </c>
      <c r="O9348">
        <f>IF(N9348="","",'Master Barang'!B42)</f>
        <v>0</v>
      </c>
      <c r="P9348">
        <f>IF(OR(M9348="",N9348=""),"",SUMIFS('Barang Keluar'!$E:$E,'Barang Keluar'!$A:$A,M9348,'Barang Keluar'!$C:$C,N9348))</f>
        <v>0</v>
      </c>
    </row>
    <row r="9349" spans="13:16">
      <c r="M9349" s="49">
        <f>IF($A$4+93&gt;$B$4,"",$A$4+93)</f>
        <v>46116</v>
      </c>
      <c r="N9349">
        <f>IF(M9349="","",'Master Barang'!A43)</f>
        <v>0</v>
      </c>
      <c r="O9349">
        <f>IF(N9349="","",'Master Barang'!B43)</f>
        <v>0</v>
      </c>
      <c r="P9349">
        <f>IF(OR(M9349="",N9349=""),"",SUMIFS('Barang Keluar'!$E:$E,'Barang Keluar'!$A:$A,M9349,'Barang Keluar'!$C:$C,N9349))</f>
        <v>0</v>
      </c>
    </row>
    <row r="9350" spans="13:16">
      <c r="M9350" s="49">
        <f>IF($A$4+93&gt;$B$4,"",$A$4+93)</f>
        <v>46116</v>
      </c>
      <c r="N9350">
        <f>IF(M9350="","",'Master Barang'!A44)</f>
        <v>0</v>
      </c>
      <c r="O9350">
        <f>IF(N9350="","",'Master Barang'!B44)</f>
        <v>0</v>
      </c>
      <c r="P9350">
        <f>IF(OR(M9350="",N9350=""),"",SUMIFS('Barang Keluar'!$E:$E,'Barang Keluar'!$A:$A,M9350,'Barang Keluar'!$C:$C,N9350))</f>
        <v>0</v>
      </c>
    </row>
    <row r="9351" spans="13:16">
      <c r="M9351" s="49">
        <f>IF($A$4+93&gt;$B$4,"",$A$4+93)</f>
        <v>46116</v>
      </c>
      <c r="N9351">
        <f>IF(M9351="","",'Master Barang'!A45)</f>
        <v>0</v>
      </c>
      <c r="O9351">
        <f>IF(N9351="","",'Master Barang'!B45)</f>
        <v>0</v>
      </c>
      <c r="P9351">
        <f>IF(OR(M9351="",N9351=""),"",SUMIFS('Barang Keluar'!$E:$E,'Barang Keluar'!$A:$A,M9351,'Barang Keluar'!$C:$C,N9351))</f>
        <v>0</v>
      </c>
    </row>
    <row r="9352" spans="13:16">
      <c r="M9352" s="49">
        <f>IF($A$4+93&gt;$B$4,"",$A$4+93)</f>
        <v>46116</v>
      </c>
      <c r="N9352">
        <f>IF(M9352="","",'Master Barang'!A46)</f>
        <v>0</v>
      </c>
      <c r="O9352">
        <f>IF(N9352="","",'Master Barang'!B46)</f>
        <v>0</v>
      </c>
      <c r="P9352">
        <f>IF(OR(M9352="",N9352=""),"",SUMIFS('Barang Keluar'!$E:$E,'Barang Keluar'!$A:$A,M9352,'Barang Keluar'!$C:$C,N9352))</f>
        <v>0</v>
      </c>
    </row>
    <row r="9353" spans="13:16">
      <c r="M9353" s="49">
        <f>IF($A$4+93&gt;$B$4,"",$A$4+93)</f>
        <v>46116</v>
      </c>
      <c r="N9353">
        <f>IF(M9353="","",'Master Barang'!A47)</f>
        <v>0</v>
      </c>
      <c r="O9353">
        <f>IF(N9353="","",'Master Barang'!B47)</f>
        <v>0</v>
      </c>
      <c r="P9353">
        <f>IF(OR(M9353="",N9353=""),"",SUMIFS('Barang Keluar'!$E:$E,'Barang Keluar'!$A:$A,M9353,'Barang Keluar'!$C:$C,N9353))</f>
        <v>0</v>
      </c>
    </row>
    <row r="9354" spans="13:16">
      <c r="M9354" s="49">
        <f>IF($A$4+93&gt;$B$4,"",$A$4+93)</f>
        <v>46116</v>
      </c>
      <c r="N9354">
        <f>IF(M9354="","",'Master Barang'!A48)</f>
        <v>0</v>
      </c>
      <c r="O9354">
        <f>IF(N9354="","",'Master Barang'!B48)</f>
        <v>0</v>
      </c>
      <c r="P9354">
        <f>IF(OR(M9354="",N9354=""),"",SUMIFS('Barang Keluar'!$E:$E,'Barang Keluar'!$A:$A,M9354,'Barang Keluar'!$C:$C,N9354))</f>
        <v>0</v>
      </c>
    </row>
    <row r="9355" spans="13:16">
      <c r="M9355" s="49">
        <f>IF($A$4+93&gt;$B$4,"",$A$4+93)</f>
        <v>46116</v>
      </c>
      <c r="N9355">
        <f>IF(M9355="","",'Master Barang'!A49)</f>
        <v>0</v>
      </c>
      <c r="O9355">
        <f>IF(N9355="","",'Master Barang'!B49)</f>
        <v>0</v>
      </c>
      <c r="P9355">
        <f>IF(OR(M9355="",N9355=""),"",SUMIFS('Barang Keluar'!$E:$E,'Barang Keluar'!$A:$A,M9355,'Barang Keluar'!$C:$C,N9355))</f>
        <v>0</v>
      </c>
    </row>
    <row r="9356" spans="13:16">
      <c r="M9356" s="49">
        <f>IF($A$4+93&gt;$B$4,"",$A$4+93)</f>
        <v>46116</v>
      </c>
      <c r="N9356">
        <f>IF(M9356="","",'Master Barang'!A50)</f>
        <v>0</v>
      </c>
      <c r="O9356">
        <f>IF(N9356="","",'Master Barang'!B50)</f>
        <v>0</v>
      </c>
      <c r="P9356">
        <f>IF(OR(M9356="",N9356=""),"",SUMIFS('Barang Keluar'!$E:$E,'Barang Keluar'!$A:$A,M9356,'Barang Keluar'!$C:$C,N9356))</f>
        <v>0</v>
      </c>
    </row>
    <row r="9357" spans="13:16">
      <c r="M9357" s="49">
        <f>IF($A$4+93&gt;$B$4,"",$A$4+93)</f>
        <v>46116</v>
      </c>
      <c r="N9357">
        <f>IF(M9357="","",'Master Barang'!A51)</f>
        <v>0</v>
      </c>
      <c r="O9357">
        <f>IF(N9357="","",'Master Barang'!B51)</f>
        <v>0</v>
      </c>
      <c r="P9357">
        <f>IF(OR(M9357="",N9357=""),"",SUMIFS('Barang Keluar'!$E:$E,'Barang Keluar'!$A:$A,M9357,'Barang Keluar'!$C:$C,N9357))</f>
        <v>0</v>
      </c>
    </row>
    <row r="9358" spans="13:16">
      <c r="M9358" s="49">
        <f>IF($A$4+93&gt;$B$4,"",$A$4+93)</f>
        <v>46116</v>
      </c>
      <c r="N9358">
        <f>IF(M9358="","",'Master Barang'!A52)</f>
        <v>0</v>
      </c>
      <c r="O9358">
        <f>IF(N9358="","",'Master Barang'!B52)</f>
        <v>0</v>
      </c>
      <c r="P9358">
        <f>IF(OR(M9358="",N9358=""),"",SUMIFS('Barang Keluar'!$E:$E,'Barang Keluar'!$A:$A,M9358,'Barang Keluar'!$C:$C,N9358))</f>
        <v>0</v>
      </c>
    </row>
    <row r="9359" spans="13:16">
      <c r="M9359" s="49">
        <f>IF($A$4+93&gt;$B$4,"",$A$4+93)</f>
        <v>46116</v>
      </c>
      <c r="N9359">
        <f>IF(M9359="","",'Master Barang'!A53)</f>
        <v>0</v>
      </c>
      <c r="O9359">
        <f>IF(N9359="","",'Master Barang'!B53)</f>
        <v>0</v>
      </c>
      <c r="P9359">
        <f>IF(OR(M9359="",N9359=""),"",SUMIFS('Barang Keluar'!$E:$E,'Barang Keluar'!$A:$A,M9359,'Barang Keluar'!$C:$C,N9359))</f>
        <v>0</v>
      </c>
    </row>
    <row r="9360" spans="13:16">
      <c r="M9360" s="49">
        <f>IF($A$4+93&gt;$B$4,"",$A$4+93)</f>
        <v>46116</v>
      </c>
      <c r="N9360">
        <f>IF(M9360="","",'Master Barang'!A54)</f>
        <v>0</v>
      </c>
      <c r="O9360">
        <f>IF(N9360="","",'Master Barang'!B54)</f>
        <v>0</v>
      </c>
      <c r="P9360">
        <f>IF(OR(M9360="",N9360=""),"",SUMIFS('Barang Keluar'!$E:$E,'Barang Keluar'!$A:$A,M9360,'Barang Keluar'!$C:$C,N9360))</f>
        <v>0</v>
      </c>
    </row>
    <row r="9361" spans="13:16">
      <c r="M9361" s="49">
        <f>IF($A$4+93&gt;$B$4,"",$A$4+93)</f>
        <v>46116</v>
      </c>
      <c r="N9361">
        <f>IF(M9361="","",'Master Barang'!A55)</f>
        <v>0</v>
      </c>
      <c r="O9361">
        <f>IF(N9361="","",'Master Barang'!B55)</f>
        <v>0</v>
      </c>
      <c r="P9361">
        <f>IF(OR(M9361="",N9361=""),"",SUMIFS('Barang Keluar'!$E:$E,'Barang Keluar'!$A:$A,M9361,'Barang Keluar'!$C:$C,N9361))</f>
        <v>0</v>
      </c>
    </row>
    <row r="9362" spans="13:16">
      <c r="M9362" s="49">
        <f>IF($A$4+93&gt;$B$4,"",$A$4+93)</f>
        <v>46116</v>
      </c>
      <c r="N9362">
        <f>IF(M9362="","",'Master Barang'!A56)</f>
        <v>0</v>
      </c>
      <c r="O9362">
        <f>IF(N9362="","",'Master Barang'!B56)</f>
        <v>0</v>
      </c>
      <c r="P9362">
        <f>IF(OR(M9362="",N9362=""),"",SUMIFS('Barang Keluar'!$E:$E,'Barang Keluar'!$A:$A,M9362,'Barang Keluar'!$C:$C,N9362))</f>
        <v>0</v>
      </c>
    </row>
    <row r="9363" spans="13:16">
      <c r="M9363" s="49">
        <f>IF($A$4+93&gt;$B$4,"",$A$4+93)</f>
        <v>46116</v>
      </c>
      <c r="N9363">
        <f>IF(M9363="","",'Master Barang'!A57)</f>
        <v>0</v>
      </c>
      <c r="O9363">
        <f>IF(N9363="","",'Master Barang'!B57)</f>
        <v>0</v>
      </c>
      <c r="P9363">
        <f>IF(OR(M9363="",N9363=""),"",SUMIFS('Barang Keluar'!$E:$E,'Barang Keluar'!$A:$A,M9363,'Barang Keluar'!$C:$C,N9363))</f>
        <v>0</v>
      </c>
    </row>
    <row r="9364" spans="13:16">
      <c r="M9364" s="49">
        <f>IF($A$4+93&gt;$B$4,"",$A$4+93)</f>
        <v>46116</v>
      </c>
      <c r="N9364">
        <f>IF(M9364="","",'Master Barang'!A58)</f>
        <v>0</v>
      </c>
      <c r="O9364">
        <f>IF(N9364="","",'Master Barang'!B58)</f>
        <v>0</v>
      </c>
      <c r="P9364">
        <f>IF(OR(M9364="",N9364=""),"",SUMIFS('Barang Keluar'!$E:$E,'Barang Keluar'!$A:$A,M9364,'Barang Keluar'!$C:$C,N9364))</f>
        <v>0</v>
      </c>
    </row>
    <row r="9365" spans="13:16">
      <c r="M9365" s="49">
        <f>IF($A$4+93&gt;$B$4,"",$A$4+93)</f>
        <v>46116</v>
      </c>
      <c r="N9365">
        <f>IF(M9365="","",'Master Barang'!A59)</f>
        <v>0</v>
      </c>
      <c r="O9365">
        <f>IF(N9365="","",'Master Barang'!B59)</f>
        <v>0</v>
      </c>
      <c r="P9365">
        <f>IF(OR(M9365="",N9365=""),"",SUMIFS('Barang Keluar'!$E:$E,'Barang Keluar'!$A:$A,M9365,'Barang Keluar'!$C:$C,N9365))</f>
        <v>0</v>
      </c>
    </row>
    <row r="9366" spans="13:16">
      <c r="M9366" s="49">
        <f>IF($A$4+93&gt;$B$4,"",$A$4+93)</f>
        <v>46116</v>
      </c>
      <c r="N9366">
        <f>IF(M9366="","",'Master Barang'!A60)</f>
        <v>0</v>
      </c>
      <c r="O9366">
        <f>IF(N9366="","",'Master Barang'!B60)</f>
        <v>0</v>
      </c>
      <c r="P9366">
        <f>IF(OR(M9366="",N9366=""),"",SUMIFS('Barang Keluar'!$E:$E,'Barang Keluar'!$A:$A,M9366,'Barang Keluar'!$C:$C,N9366))</f>
        <v>0</v>
      </c>
    </row>
    <row r="9367" spans="13:16">
      <c r="M9367" s="49">
        <f>IF($A$4+93&gt;$B$4,"",$A$4+93)</f>
        <v>46116</v>
      </c>
      <c r="N9367">
        <f>IF(M9367="","",'Master Barang'!A61)</f>
        <v>0</v>
      </c>
      <c r="O9367">
        <f>IF(N9367="","",'Master Barang'!B61)</f>
        <v>0</v>
      </c>
      <c r="P9367">
        <f>IF(OR(M9367="",N9367=""),"",SUMIFS('Barang Keluar'!$E:$E,'Barang Keluar'!$A:$A,M9367,'Barang Keluar'!$C:$C,N9367))</f>
        <v>0</v>
      </c>
    </row>
    <row r="9368" spans="13:16">
      <c r="M9368" s="49">
        <f>IF($A$4+93&gt;$B$4,"",$A$4+93)</f>
        <v>46116</v>
      </c>
      <c r="N9368">
        <f>IF(M9368="","",'Master Barang'!A62)</f>
        <v>0</v>
      </c>
      <c r="O9368">
        <f>IF(N9368="","",'Master Barang'!B62)</f>
        <v>0</v>
      </c>
      <c r="P9368">
        <f>IF(OR(M9368="",N9368=""),"",SUMIFS('Barang Keluar'!$E:$E,'Barang Keluar'!$A:$A,M9368,'Barang Keluar'!$C:$C,N9368))</f>
        <v>0</v>
      </c>
    </row>
    <row r="9369" spans="13:16">
      <c r="M9369" s="49">
        <f>IF($A$4+93&gt;$B$4,"",$A$4+93)</f>
        <v>46116</v>
      </c>
      <c r="N9369">
        <f>IF(M9369="","",'Master Barang'!A63)</f>
        <v>0</v>
      </c>
      <c r="O9369">
        <f>IF(N9369="","",'Master Barang'!B63)</f>
        <v>0</v>
      </c>
      <c r="P9369">
        <f>IF(OR(M9369="",N9369=""),"",SUMIFS('Barang Keluar'!$E:$E,'Barang Keluar'!$A:$A,M9369,'Barang Keluar'!$C:$C,N9369))</f>
        <v>0</v>
      </c>
    </row>
    <row r="9370" spans="13:16">
      <c r="M9370" s="49">
        <f>IF($A$4+93&gt;$B$4,"",$A$4+93)</f>
        <v>46116</v>
      </c>
      <c r="N9370">
        <f>IF(M9370="","",'Master Barang'!A64)</f>
        <v>0</v>
      </c>
      <c r="O9370">
        <f>IF(N9370="","",'Master Barang'!B64)</f>
        <v>0</v>
      </c>
      <c r="P9370">
        <f>IF(OR(M9370="",N9370=""),"",SUMIFS('Barang Keluar'!$E:$E,'Barang Keluar'!$A:$A,M9370,'Barang Keluar'!$C:$C,N9370))</f>
        <v>0</v>
      </c>
    </row>
    <row r="9371" spans="13:16">
      <c r="M9371" s="49">
        <f>IF($A$4+93&gt;$B$4,"",$A$4+93)</f>
        <v>46116</v>
      </c>
      <c r="N9371">
        <f>IF(M9371="","",'Master Barang'!A65)</f>
        <v>0</v>
      </c>
      <c r="O9371">
        <f>IF(N9371="","",'Master Barang'!B65)</f>
        <v>0</v>
      </c>
      <c r="P9371">
        <f>IF(OR(M9371="",N9371=""),"",SUMIFS('Barang Keluar'!$E:$E,'Barang Keluar'!$A:$A,M9371,'Barang Keluar'!$C:$C,N9371))</f>
        <v>0</v>
      </c>
    </row>
    <row r="9372" spans="13:16">
      <c r="M9372" s="49">
        <f>IF($A$4+93&gt;$B$4,"",$A$4+93)</f>
        <v>46116</v>
      </c>
      <c r="N9372">
        <f>IF(M9372="","",'Master Barang'!A66)</f>
        <v>0</v>
      </c>
      <c r="O9372">
        <f>IF(N9372="","",'Master Barang'!B66)</f>
        <v>0</v>
      </c>
      <c r="P9372">
        <f>IF(OR(M9372="",N9372=""),"",SUMIFS('Barang Keluar'!$E:$E,'Barang Keluar'!$A:$A,M9372,'Barang Keluar'!$C:$C,N9372))</f>
        <v>0</v>
      </c>
    </row>
    <row r="9373" spans="13:16">
      <c r="M9373" s="49">
        <f>IF($A$4+93&gt;$B$4,"",$A$4+93)</f>
        <v>46116</v>
      </c>
      <c r="N9373">
        <f>IF(M9373="","",'Master Barang'!A67)</f>
        <v>0</v>
      </c>
      <c r="O9373">
        <f>IF(N9373="","",'Master Barang'!B67)</f>
        <v>0</v>
      </c>
      <c r="P9373">
        <f>IF(OR(M9373="",N9373=""),"",SUMIFS('Barang Keluar'!$E:$E,'Barang Keluar'!$A:$A,M9373,'Barang Keluar'!$C:$C,N9373))</f>
        <v>0</v>
      </c>
    </row>
    <row r="9374" spans="13:16">
      <c r="M9374" s="49">
        <f>IF($A$4+93&gt;$B$4,"",$A$4+93)</f>
        <v>46116</v>
      </c>
      <c r="N9374">
        <f>IF(M9374="","",'Master Barang'!A68)</f>
        <v>0</v>
      </c>
      <c r="O9374">
        <f>IF(N9374="","",'Master Barang'!B68)</f>
        <v>0</v>
      </c>
      <c r="P9374">
        <f>IF(OR(M9374="",N9374=""),"",SUMIFS('Barang Keluar'!$E:$E,'Barang Keluar'!$A:$A,M9374,'Barang Keluar'!$C:$C,N9374))</f>
        <v>0</v>
      </c>
    </row>
    <row r="9375" spans="13:16">
      <c r="M9375" s="49">
        <f>IF($A$4+93&gt;$B$4,"",$A$4+93)</f>
        <v>46116</v>
      </c>
      <c r="N9375">
        <f>IF(M9375="","",'Master Barang'!A69)</f>
        <v>0</v>
      </c>
      <c r="O9375">
        <f>IF(N9375="","",'Master Barang'!B69)</f>
        <v>0</v>
      </c>
      <c r="P9375">
        <f>IF(OR(M9375="",N9375=""),"",SUMIFS('Barang Keluar'!$E:$E,'Barang Keluar'!$A:$A,M9375,'Barang Keluar'!$C:$C,N9375))</f>
        <v>0</v>
      </c>
    </row>
    <row r="9376" spans="13:16">
      <c r="M9376" s="49">
        <f>IF($A$4+93&gt;$B$4,"",$A$4+93)</f>
        <v>46116</v>
      </c>
      <c r="N9376">
        <f>IF(M9376="","",'Master Barang'!A70)</f>
        <v>0</v>
      </c>
      <c r="O9376">
        <f>IF(N9376="","",'Master Barang'!B70)</f>
        <v>0</v>
      </c>
      <c r="P9376">
        <f>IF(OR(M9376="",N9376=""),"",SUMIFS('Barang Keluar'!$E:$E,'Barang Keluar'!$A:$A,M9376,'Barang Keluar'!$C:$C,N9376))</f>
        <v>0</v>
      </c>
    </row>
    <row r="9377" spans="13:16">
      <c r="M9377" s="49">
        <f>IF($A$4+93&gt;$B$4,"",$A$4+93)</f>
        <v>46116</v>
      </c>
      <c r="N9377">
        <f>IF(M9377="","",'Master Barang'!A71)</f>
        <v>0</v>
      </c>
      <c r="O9377">
        <f>IF(N9377="","",'Master Barang'!B71)</f>
        <v>0</v>
      </c>
      <c r="P9377">
        <f>IF(OR(M9377="",N9377=""),"",SUMIFS('Barang Keluar'!$E:$E,'Barang Keluar'!$A:$A,M9377,'Barang Keluar'!$C:$C,N9377))</f>
        <v>0</v>
      </c>
    </row>
    <row r="9378" spans="13:16">
      <c r="M9378" s="49">
        <f>IF($A$4+93&gt;$B$4,"",$A$4+93)</f>
        <v>46116</v>
      </c>
      <c r="N9378">
        <f>IF(M9378="","",'Master Barang'!A72)</f>
        <v>0</v>
      </c>
      <c r="O9378">
        <f>IF(N9378="","",'Master Barang'!B72)</f>
        <v>0</v>
      </c>
      <c r="P9378">
        <f>IF(OR(M9378="",N9378=""),"",SUMIFS('Barang Keluar'!$E:$E,'Barang Keluar'!$A:$A,M9378,'Barang Keluar'!$C:$C,N9378))</f>
        <v>0</v>
      </c>
    </row>
    <row r="9379" spans="13:16">
      <c r="M9379" s="49">
        <f>IF($A$4+93&gt;$B$4,"",$A$4+93)</f>
        <v>46116</v>
      </c>
      <c r="N9379">
        <f>IF(M9379="","",'Master Barang'!A73)</f>
        <v>0</v>
      </c>
      <c r="O9379">
        <f>IF(N9379="","",'Master Barang'!B73)</f>
        <v>0</v>
      </c>
      <c r="P9379">
        <f>IF(OR(M9379="",N9379=""),"",SUMIFS('Barang Keluar'!$E:$E,'Barang Keluar'!$A:$A,M9379,'Barang Keluar'!$C:$C,N9379))</f>
        <v>0</v>
      </c>
    </row>
    <row r="9380" spans="13:16">
      <c r="M9380" s="49">
        <f>IF($A$4+93&gt;$B$4,"",$A$4+93)</f>
        <v>46116</v>
      </c>
      <c r="N9380">
        <f>IF(M9380="","",'Master Barang'!A74)</f>
        <v>0</v>
      </c>
      <c r="O9380">
        <f>IF(N9380="","",'Master Barang'!B74)</f>
        <v>0</v>
      </c>
      <c r="P9380">
        <f>IF(OR(M9380="",N9380=""),"",SUMIFS('Barang Keluar'!$E:$E,'Barang Keluar'!$A:$A,M9380,'Barang Keluar'!$C:$C,N9380))</f>
        <v>0</v>
      </c>
    </row>
    <row r="9381" spans="13:16">
      <c r="M9381" s="49">
        <f>IF($A$4+93&gt;$B$4,"",$A$4+93)</f>
        <v>46116</v>
      </c>
      <c r="N9381">
        <f>IF(M9381="","",'Master Barang'!A75)</f>
        <v>0</v>
      </c>
      <c r="O9381">
        <f>IF(N9381="","",'Master Barang'!B75)</f>
        <v>0</v>
      </c>
      <c r="P9381">
        <f>IF(OR(M9381="",N9381=""),"",SUMIFS('Barang Keluar'!$E:$E,'Barang Keluar'!$A:$A,M9381,'Barang Keluar'!$C:$C,N9381))</f>
        <v>0</v>
      </c>
    </row>
    <row r="9382" spans="13:16">
      <c r="M9382" s="49">
        <f>IF($A$4+93&gt;$B$4,"",$A$4+93)</f>
        <v>46116</v>
      </c>
      <c r="N9382">
        <f>IF(M9382="","",'Master Barang'!A76)</f>
        <v>0</v>
      </c>
      <c r="O9382">
        <f>IF(N9382="","",'Master Barang'!B76)</f>
        <v>0</v>
      </c>
      <c r="P9382">
        <f>IF(OR(M9382="",N9382=""),"",SUMIFS('Barang Keluar'!$E:$E,'Barang Keluar'!$A:$A,M9382,'Barang Keluar'!$C:$C,N9382))</f>
        <v>0</v>
      </c>
    </row>
    <row r="9383" spans="13:16">
      <c r="M9383" s="49">
        <f>IF($A$4+93&gt;$B$4,"",$A$4+93)</f>
        <v>46116</v>
      </c>
      <c r="N9383">
        <f>IF(M9383="","",'Master Barang'!A77)</f>
        <v>0</v>
      </c>
      <c r="O9383">
        <f>IF(N9383="","",'Master Barang'!B77)</f>
        <v>0</v>
      </c>
      <c r="P9383">
        <f>IF(OR(M9383="",N9383=""),"",SUMIFS('Barang Keluar'!$E:$E,'Barang Keluar'!$A:$A,M9383,'Barang Keluar'!$C:$C,N9383))</f>
        <v>0</v>
      </c>
    </row>
    <row r="9384" spans="13:16">
      <c r="M9384" s="49">
        <f>IF($A$4+93&gt;$B$4,"",$A$4+93)</f>
        <v>46116</v>
      </c>
      <c r="N9384">
        <f>IF(M9384="","",'Master Barang'!A78)</f>
        <v>0</v>
      </c>
      <c r="O9384">
        <f>IF(N9384="","",'Master Barang'!B78)</f>
        <v>0</v>
      </c>
      <c r="P9384">
        <f>IF(OR(M9384="",N9384=""),"",SUMIFS('Barang Keluar'!$E:$E,'Barang Keluar'!$A:$A,M9384,'Barang Keluar'!$C:$C,N9384))</f>
        <v>0</v>
      </c>
    </row>
    <row r="9385" spans="13:16">
      <c r="M9385" s="49">
        <f>IF($A$4+93&gt;$B$4,"",$A$4+93)</f>
        <v>46116</v>
      </c>
      <c r="N9385">
        <f>IF(M9385="","",'Master Barang'!A79)</f>
        <v>0</v>
      </c>
      <c r="O9385">
        <f>IF(N9385="","",'Master Barang'!B79)</f>
        <v>0</v>
      </c>
      <c r="P9385">
        <f>IF(OR(M9385="",N9385=""),"",SUMIFS('Barang Keluar'!$E:$E,'Barang Keluar'!$A:$A,M9385,'Barang Keluar'!$C:$C,N9385))</f>
        <v>0</v>
      </c>
    </row>
    <row r="9386" spans="13:16">
      <c r="M9386" s="49">
        <f>IF($A$4+93&gt;$B$4,"",$A$4+93)</f>
        <v>46116</v>
      </c>
      <c r="N9386">
        <f>IF(M9386="","",'Master Barang'!A80)</f>
        <v>0</v>
      </c>
      <c r="O9386">
        <f>IF(N9386="","",'Master Barang'!B80)</f>
        <v>0</v>
      </c>
      <c r="P9386">
        <f>IF(OR(M9386="",N9386=""),"",SUMIFS('Barang Keluar'!$E:$E,'Barang Keluar'!$A:$A,M9386,'Barang Keluar'!$C:$C,N9386))</f>
        <v>0</v>
      </c>
    </row>
    <row r="9387" spans="13:16">
      <c r="M9387" s="49">
        <f>IF($A$4+93&gt;$B$4,"",$A$4+93)</f>
        <v>46116</v>
      </c>
      <c r="N9387">
        <f>IF(M9387="","",'Master Barang'!A81)</f>
        <v>0</v>
      </c>
      <c r="O9387">
        <f>IF(N9387="","",'Master Barang'!B81)</f>
        <v>0</v>
      </c>
      <c r="P9387">
        <f>IF(OR(M9387="",N9387=""),"",SUMIFS('Barang Keluar'!$E:$E,'Barang Keluar'!$A:$A,M9387,'Barang Keluar'!$C:$C,N9387))</f>
        <v>0</v>
      </c>
    </row>
    <row r="9388" spans="13:16">
      <c r="M9388" s="49">
        <f>IF($A$4+93&gt;$B$4,"",$A$4+93)</f>
        <v>46116</v>
      </c>
      <c r="N9388">
        <f>IF(M9388="","",'Master Barang'!A82)</f>
        <v>0</v>
      </c>
      <c r="O9388">
        <f>IF(N9388="","",'Master Barang'!B82)</f>
        <v>0</v>
      </c>
      <c r="P9388">
        <f>IF(OR(M9388="",N9388=""),"",SUMIFS('Barang Keluar'!$E:$E,'Barang Keluar'!$A:$A,M9388,'Barang Keluar'!$C:$C,N9388))</f>
        <v>0</v>
      </c>
    </row>
    <row r="9389" spans="13:16">
      <c r="M9389" s="49">
        <f>IF($A$4+93&gt;$B$4,"",$A$4+93)</f>
        <v>46116</v>
      </c>
      <c r="N9389">
        <f>IF(M9389="","",'Master Barang'!A83)</f>
        <v>0</v>
      </c>
      <c r="O9389">
        <f>IF(N9389="","",'Master Barang'!B83)</f>
        <v>0</v>
      </c>
      <c r="P9389">
        <f>IF(OR(M9389="",N9389=""),"",SUMIFS('Barang Keluar'!$E:$E,'Barang Keluar'!$A:$A,M9389,'Barang Keluar'!$C:$C,N9389))</f>
        <v>0</v>
      </c>
    </row>
    <row r="9390" spans="13:16">
      <c r="M9390" s="49">
        <f>IF($A$4+93&gt;$B$4,"",$A$4+93)</f>
        <v>46116</v>
      </c>
      <c r="N9390">
        <f>IF(M9390="","",'Master Barang'!A84)</f>
        <v>0</v>
      </c>
      <c r="O9390">
        <f>IF(N9390="","",'Master Barang'!B84)</f>
        <v>0</v>
      </c>
      <c r="P9390">
        <f>IF(OR(M9390="",N9390=""),"",SUMIFS('Barang Keluar'!$E:$E,'Barang Keluar'!$A:$A,M9390,'Barang Keluar'!$C:$C,N9390))</f>
        <v>0</v>
      </c>
    </row>
    <row r="9391" spans="13:16">
      <c r="M9391" s="49">
        <f>IF($A$4+93&gt;$B$4,"",$A$4+93)</f>
        <v>46116</v>
      </c>
      <c r="N9391">
        <f>IF(M9391="","",'Master Barang'!A85)</f>
        <v>0</v>
      </c>
      <c r="O9391">
        <f>IF(N9391="","",'Master Barang'!B85)</f>
        <v>0</v>
      </c>
      <c r="P9391">
        <f>IF(OR(M9391="",N9391=""),"",SUMIFS('Barang Keluar'!$E:$E,'Barang Keluar'!$A:$A,M9391,'Barang Keluar'!$C:$C,N9391))</f>
        <v>0</v>
      </c>
    </row>
    <row r="9392" spans="13:16">
      <c r="M9392" s="49">
        <f>IF($A$4+93&gt;$B$4,"",$A$4+93)</f>
        <v>46116</v>
      </c>
      <c r="N9392">
        <f>IF(M9392="","",'Master Barang'!A86)</f>
        <v>0</v>
      </c>
      <c r="O9392">
        <f>IF(N9392="","",'Master Barang'!B86)</f>
        <v>0</v>
      </c>
      <c r="P9392">
        <f>IF(OR(M9392="",N9392=""),"",SUMIFS('Barang Keluar'!$E:$E,'Barang Keluar'!$A:$A,M9392,'Barang Keluar'!$C:$C,N9392))</f>
        <v>0</v>
      </c>
    </row>
    <row r="9393" spans="13:16">
      <c r="M9393" s="49">
        <f>IF($A$4+93&gt;$B$4,"",$A$4+93)</f>
        <v>46116</v>
      </c>
      <c r="N9393">
        <f>IF(M9393="","",'Master Barang'!A87)</f>
        <v>0</v>
      </c>
      <c r="O9393">
        <f>IF(N9393="","",'Master Barang'!B87)</f>
        <v>0</v>
      </c>
      <c r="P9393">
        <f>IF(OR(M9393="",N9393=""),"",SUMIFS('Barang Keluar'!$E:$E,'Barang Keluar'!$A:$A,M9393,'Barang Keluar'!$C:$C,N9393))</f>
        <v>0</v>
      </c>
    </row>
    <row r="9394" spans="13:16">
      <c r="M9394" s="49">
        <f>IF($A$4+93&gt;$B$4,"",$A$4+93)</f>
        <v>46116</v>
      </c>
      <c r="N9394">
        <f>IF(M9394="","",'Master Barang'!A88)</f>
        <v>0</v>
      </c>
      <c r="O9394">
        <f>IF(N9394="","",'Master Barang'!B88)</f>
        <v>0</v>
      </c>
      <c r="P9394">
        <f>IF(OR(M9394="",N9394=""),"",SUMIFS('Barang Keluar'!$E:$E,'Barang Keluar'!$A:$A,M9394,'Barang Keluar'!$C:$C,N9394))</f>
        <v>0</v>
      </c>
    </row>
    <row r="9395" spans="13:16">
      <c r="M9395" s="49">
        <f>IF($A$4+93&gt;$B$4,"",$A$4+93)</f>
        <v>46116</v>
      </c>
      <c r="N9395">
        <f>IF(M9395="","",'Master Barang'!A89)</f>
        <v>0</v>
      </c>
      <c r="O9395">
        <f>IF(N9395="","",'Master Barang'!B89)</f>
        <v>0</v>
      </c>
      <c r="P9395">
        <f>IF(OR(M9395="",N9395=""),"",SUMIFS('Barang Keluar'!$E:$E,'Barang Keluar'!$A:$A,M9395,'Barang Keluar'!$C:$C,N9395))</f>
        <v>0</v>
      </c>
    </row>
    <row r="9396" spans="13:16">
      <c r="M9396" s="49">
        <f>IF($A$4+93&gt;$B$4,"",$A$4+93)</f>
        <v>46116</v>
      </c>
      <c r="N9396">
        <f>IF(M9396="","",'Master Barang'!A90)</f>
        <v>0</v>
      </c>
      <c r="O9396">
        <f>IF(N9396="","",'Master Barang'!B90)</f>
        <v>0</v>
      </c>
      <c r="P9396">
        <f>IF(OR(M9396="",N9396=""),"",SUMIFS('Barang Keluar'!$E:$E,'Barang Keluar'!$A:$A,M9396,'Barang Keluar'!$C:$C,N9396))</f>
        <v>0</v>
      </c>
    </row>
    <row r="9397" spans="13:16">
      <c r="M9397" s="49">
        <f>IF($A$4+93&gt;$B$4,"",$A$4+93)</f>
        <v>46116</v>
      </c>
      <c r="N9397">
        <f>IF(M9397="","",'Master Barang'!A91)</f>
        <v>0</v>
      </c>
      <c r="O9397">
        <f>IF(N9397="","",'Master Barang'!B91)</f>
        <v>0</v>
      </c>
      <c r="P9397">
        <f>IF(OR(M9397="",N9397=""),"",SUMIFS('Barang Keluar'!$E:$E,'Barang Keluar'!$A:$A,M9397,'Barang Keluar'!$C:$C,N9397))</f>
        <v>0</v>
      </c>
    </row>
    <row r="9398" spans="13:16">
      <c r="M9398" s="49">
        <f>IF($A$4+93&gt;$B$4,"",$A$4+93)</f>
        <v>46116</v>
      </c>
      <c r="N9398">
        <f>IF(M9398="","",'Master Barang'!A92)</f>
        <v>0</v>
      </c>
      <c r="O9398">
        <f>IF(N9398="","",'Master Barang'!B92)</f>
        <v>0</v>
      </c>
      <c r="P9398">
        <f>IF(OR(M9398="",N9398=""),"",SUMIFS('Barang Keluar'!$E:$E,'Barang Keluar'!$A:$A,M9398,'Barang Keluar'!$C:$C,N9398))</f>
        <v>0</v>
      </c>
    </row>
    <row r="9399" spans="13:16">
      <c r="M9399" s="49">
        <f>IF($A$4+93&gt;$B$4,"",$A$4+93)</f>
        <v>46116</v>
      </c>
      <c r="N9399">
        <f>IF(M9399="","",'Master Barang'!A93)</f>
        <v>0</v>
      </c>
      <c r="O9399">
        <f>IF(N9399="","",'Master Barang'!B93)</f>
        <v>0</v>
      </c>
      <c r="P9399">
        <f>IF(OR(M9399="",N9399=""),"",SUMIFS('Barang Keluar'!$E:$E,'Barang Keluar'!$A:$A,M9399,'Barang Keluar'!$C:$C,N9399))</f>
        <v>0</v>
      </c>
    </row>
    <row r="9400" spans="13:16">
      <c r="M9400" s="49">
        <f>IF($A$4+93&gt;$B$4,"",$A$4+93)</f>
        <v>46116</v>
      </c>
      <c r="N9400">
        <f>IF(M9400="","",'Master Barang'!A94)</f>
        <v>0</v>
      </c>
      <c r="O9400">
        <f>IF(N9400="","",'Master Barang'!B94)</f>
        <v>0</v>
      </c>
      <c r="P9400">
        <f>IF(OR(M9400="",N9400=""),"",SUMIFS('Barang Keluar'!$E:$E,'Barang Keluar'!$A:$A,M9400,'Barang Keluar'!$C:$C,N9400))</f>
        <v>0</v>
      </c>
    </row>
    <row r="9401" spans="13:16">
      <c r="M9401" s="49">
        <f>IF($A$4+93&gt;$B$4,"",$A$4+93)</f>
        <v>46116</v>
      </c>
      <c r="N9401">
        <f>IF(M9401="","",'Master Barang'!A95)</f>
        <v>0</v>
      </c>
      <c r="O9401">
        <f>IF(N9401="","",'Master Barang'!B95)</f>
        <v>0</v>
      </c>
      <c r="P9401">
        <f>IF(OR(M9401="",N9401=""),"",SUMIFS('Barang Keluar'!$E:$E,'Barang Keluar'!$A:$A,M9401,'Barang Keluar'!$C:$C,N9401))</f>
        <v>0</v>
      </c>
    </row>
    <row r="9402" spans="13:16">
      <c r="M9402" s="49">
        <f>IF($A$4+93&gt;$B$4,"",$A$4+93)</f>
        <v>46116</v>
      </c>
      <c r="N9402">
        <f>IF(M9402="","",'Master Barang'!A96)</f>
        <v>0</v>
      </c>
      <c r="O9402">
        <f>IF(N9402="","",'Master Barang'!B96)</f>
        <v>0</v>
      </c>
      <c r="P9402">
        <f>IF(OR(M9402="",N9402=""),"",SUMIFS('Barang Keluar'!$E:$E,'Barang Keluar'!$A:$A,M9402,'Barang Keluar'!$C:$C,N9402))</f>
        <v>0</v>
      </c>
    </row>
    <row r="9403" spans="13:16">
      <c r="M9403" s="49">
        <f>IF($A$4+93&gt;$B$4,"",$A$4+93)</f>
        <v>46116</v>
      </c>
      <c r="N9403">
        <f>IF(M9403="","",'Master Barang'!A97)</f>
        <v>0</v>
      </c>
      <c r="O9403">
        <f>IF(N9403="","",'Master Barang'!B97)</f>
        <v>0</v>
      </c>
      <c r="P9403">
        <f>IF(OR(M9403="",N9403=""),"",SUMIFS('Barang Keluar'!$E:$E,'Barang Keluar'!$A:$A,M9403,'Barang Keluar'!$C:$C,N9403))</f>
        <v>0</v>
      </c>
    </row>
    <row r="9404" spans="13:16">
      <c r="M9404" s="49">
        <f>IF($A$4+93&gt;$B$4,"",$A$4+93)</f>
        <v>46116</v>
      </c>
      <c r="N9404">
        <f>IF(M9404="","",'Master Barang'!A98)</f>
        <v>0</v>
      </c>
      <c r="O9404">
        <f>IF(N9404="","",'Master Barang'!B98)</f>
        <v>0</v>
      </c>
      <c r="P9404">
        <f>IF(OR(M9404="",N9404=""),"",SUMIFS('Barang Keluar'!$E:$E,'Barang Keluar'!$A:$A,M9404,'Barang Keluar'!$C:$C,N9404))</f>
        <v>0</v>
      </c>
    </row>
    <row r="9405" spans="13:16">
      <c r="M9405" s="49">
        <f>IF($A$4+93&gt;$B$4,"",$A$4+93)</f>
        <v>46116</v>
      </c>
      <c r="N9405">
        <f>IF(M9405="","",'Master Barang'!A99)</f>
        <v>0</v>
      </c>
      <c r="O9405">
        <f>IF(N9405="","",'Master Barang'!B99)</f>
        <v>0</v>
      </c>
      <c r="P9405">
        <f>IF(OR(M9405="",N9405=""),"",SUMIFS('Barang Keluar'!$E:$E,'Barang Keluar'!$A:$A,M9405,'Barang Keluar'!$C:$C,N9405))</f>
        <v>0</v>
      </c>
    </row>
    <row r="9406" spans="13:16">
      <c r="M9406" s="49">
        <f>IF($A$4+93&gt;$B$4,"",$A$4+93)</f>
        <v>46116</v>
      </c>
      <c r="N9406">
        <f>IF(M9406="","",'Master Barang'!A100)</f>
        <v>0</v>
      </c>
      <c r="O9406">
        <f>IF(N9406="","",'Master Barang'!B100)</f>
        <v>0</v>
      </c>
      <c r="P9406">
        <f>IF(OR(M9406="",N9406=""),"",SUMIFS('Barang Keluar'!$E:$E,'Barang Keluar'!$A:$A,M9406,'Barang Keluar'!$C:$C,N9406))</f>
        <v>0</v>
      </c>
    </row>
    <row r="9407" spans="13:16">
      <c r="M9407" s="49">
        <f>IF($A$4+93&gt;$B$4,"",$A$4+93)</f>
        <v>46116</v>
      </c>
      <c r="N9407">
        <f>IF(M9407="","",'Master Barang'!A101)</f>
        <v>0</v>
      </c>
      <c r="O9407">
        <f>IF(N9407="","",'Master Barang'!B101)</f>
        <v>0</v>
      </c>
      <c r="P9407">
        <f>IF(OR(M9407="",N9407=""),"",SUMIFS('Barang Keluar'!$E:$E,'Barang Keluar'!$A:$A,M9407,'Barang Keluar'!$C:$C,N9407))</f>
        <v>0</v>
      </c>
    </row>
    <row r="9408" spans="13:16">
      <c r="M9408" s="49">
        <f>IF($A$4+94&gt;$B$4,"",$A$4+94)</f>
        <v>46117</v>
      </c>
      <c r="N9408" t="str">
        <f>IF(M9408="","",'Master Barang'!A2)</f>
        <v>PRL-001</v>
      </c>
      <c r="O9408" t="str">
        <f>IF(N9408="","",'Master Barang'!B2)</f>
        <v>natura desinfectant food grade 5l</v>
      </c>
      <c r="P9408">
        <f>IF(OR(M9408="",N9408=""),"",SUMIFS('Barang Keluar'!$E:$E,'Barang Keluar'!$A:$A,M9408,'Barang Keluar'!$C:$C,N9408))</f>
        <v>0</v>
      </c>
    </row>
    <row r="9409" spans="13:16">
      <c r="M9409" s="49">
        <f>IF($A$4+94&gt;$B$4,"",$A$4+94)</f>
        <v>46117</v>
      </c>
      <c r="N9409" t="str">
        <f>IF(M9409="","",'Master Barang'!A3)</f>
        <v>PRL-002</v>
      </c>
      <c r="O9409" t="str">
        <f>IF(N9409="","",'Master Barang'!B3)</f>
        <v>sunlight cairan pencuci piring 5l</v>
      </c>
      <c r="P9409">
        <f>IF(OR(M9409="",N9409=""),"",SUMIFS('Barang Keluar'!$E:$E,'Barang Keluar'!$A:$A,M9409,'Barang Keluar'!$C:$C,N9409))</f>
        <v>0</v>
      </c>
    </row>
    <row r="9410" spans="13:16">
      <c r="M9410" s="49">
        <f>IF($A$4+94&gt;$B$4,"",$A$4+94)</f>
        <v>46117</v>
      </c>
      <c r="N9410" t="str">
        <f>IF(M9410="","",'Master Barang'!A4)</f>
        <v>PRL-003</v>
      </c>
      <c r="O9410" t="str">
        <f>IF(N9410="","",'Master Barang'!B4)</f>
        <v>oixs cleaner 1l</v>
      </c>
      <c r="P9410">
        <f>IF(OR(M9410="",N9410=""),"",SUMIFS('Barang Keluar'!$E:$E,'Barang Keluar'!$A:$A,M9410,'Barang Keluar'!$C:$C,N9410))</f>
        <v>0</v>
      </c>
    </row>
    <row r="9411" spans="13:16">
      <c r="M9411" s="49">
        <f>IF($A$4+94&gt;$B$4,"",$A$4+94)</f>
        <v>46117</v>
      </c>
      <c r="N9411" t="str">
        <f>IF(M9411="","",'Master Barang'!A5)</f>
        <v>PRL-004</v>
      </c>
      <c r="O9411" t="str">
        <f>IF(N9411="","",'Master Barang'!B5)</f>
        <v>be clean tissue serbaguna</v>
      </c>
      <c r="P9411">
        <f>IF(OR(M9411="",N9411=""),"",SUMIFS('Barang Keluar'!$E:$E,'Barang Keluar'!$A:$A,M9411,'Barang Keluar'!$C:$C,N9411))</f>
        <v>0</v>
      </c>
    </row>
    <row r="9412" spans="13:16">
      <c r="M9412" s="49">
        <f>IF($A$4+94&gt;$B$4,"",$A$4+94)</f>
        <v>46117</v>
      </c>
      <c r="N9412" t="str">
        <f>IF(M9412="","",'Master Barang'!A6)</f>
        <v>PRL-005</v>
      </c>
      <c r="O9412" t="str">
        <f>IF(N9412="","",'Master Barang'!B6)</f>
        <v>spons cuci hijau</v>
      </c>
      <c r="P9412">
        <f>IF(OR(M9412="",N9412=""),"",SUMIFS('Barang Keluar'!$E:$E,'Barang Keluar'!$A:$A,M9412,'Barang Keluar'!$C:$C,N9412))</f>
        <v>0</v>
      </c>
    </row>
    <row r="9413" spans="13:16">
      <c r="M9413" s="49">
        <f>IF($A$4+94&gt;$B$4,"",$A$4+94)</f>
        <v>46117</v>
      </c>
      <c r="N9413" t="str">
        <f>IF(M9413="","",'Master Barang'!A7)</f>
        <v>PRL-006</v>
      </c>
      <c r="O9413" t="str">
        <f>IF(N9413="","",'Master Barang'!B7)</f>
        <v>sabut cuci stainless</v>
      </c>
      <c r="P9413">
        <f>IF(OR(M9413="",N9413=""),"",SUMIFS('Barang Keluar'!$E:$E,'Barang Keluar'!$A:$A,M9413,'Barang Keluar'!$C:$C,N9413))</f>
        <v>0</v>
      </c>
    </row>
    <row r="9414" spans="13:16">
      <c r="M9414" s="49">
        <f>IF($A$4+94&gt;$B$4,"",$A$4+94)</f>
        <v>46117</v>
      </c>
      <c r="N9414" t="str">
        <f>IF(M9414="","",'Master Barang'!A8)</f>
        <v>PRL-007</v>
      </c>
      <c r="O9414" t="str">
        <f>IF(N9414="","",'Master Barang'!B8)</f>
        <v>plastik kresek besar merah 50pc</v>
      </c>
      <c r="P9414">
        <f>IF(OR(M9414="",N9414=""),"",SUMIFS('Barang Keluar'!$E:$E,'Barang Keluar'!$A:$A,M9414,'Barang Keluar'!$C:$C,N9414))</f>
        <v>0</v>
      </c>
    </row>
    <row r="9415" spans="13:16">
      <c r="M9415" s="49">
        <f>IF($A$4+94&gt;$B$4,"",$A$4+94)</f>
        <v>46117</v>
      </c>
      <c r="N9415" t="str">
        <f>IF(M9415="","",'Master Barang'!A9)</f>
        <v>PRL-008</v>
      </c>
      <c r="O9415" t="str">
        <f>IF(N9415="","",'Master Barang'!B9)</f>
        <v>lap besar</v>
      </c>
      <c r="P9415">
        <f>IF(OR(M9415="",N9415=""),"",SUMIFS('Barang Keluar'!$E:$E,'Barang Keluar'!$A:$A,M9415,'Barang Keluar'!$C:$C,N9415))</f>
        <v>0</v>
      </c>
    </row>
    <row r="9416" spans="13:16">
      <c r="M9416" s="49">
        <f>IF($A$4+94&gt;$B$4,"",$A$4+94)</f>
        <v>46117</v>
      </c>
      <c r="N9416" t="str">
        <f>IF(M9416="","",'Master Barang'!A10)</f>
        <v>PRL-009</v>
      </c>
      <c r="O9416" t="str">
        <f>IF(N9416="","",'Master Barang'!B10)</f>
        <v>lap microfiber</v>
      </c>
      <c r="P9416">
        <f>IF(OR(M9416="",N9416=""),"",SUMIFS('Barang Keluar'!$E:$E,'Barang Keluar'!$A:$A,M9416,'Barang Keluar'!$C:$C,N9416))</f>
        <v>0</v>
      </c>
    </row>
    <row r="9417" spans="13:16">
      <c r="M9417" s="49">
        <f>IF($A$4+94&gt;$B$4,"",$A$4+94)</f>
        <v>46117</v>
      </c>
      <c r="N9417" t="str">
        <f>IF(M9417="","",'Master Barang'!A11)</f>
        <v>PRL-010</v>
      </c>
      <c r="O9417" t="str">
        <f>IF(N9417="","",'Master Barang'!B11)</f>
        <v>lap kecil</v>
      </c>
      <c r="P9417">
        <f>IF(OR(M9417="",N9417=""),"",SUMIFS('Barang Keluar'!$E:$E,'Barang Keluar'!$A:$A,M9417,'Barang Keluar'!$C:$C,N9417))</f>
        <v>0</v>
      </c>
    </row>
    <row r="9418" spans="13:16">
      <c r="M9418" s="49">
        <f>IF($A$4+94&gt;$B$4,"",$A$4+94)</f>
        <v>46117</v>
      </c>
      <c r="N9418" t="str">
        <f>IF(M9418="","",'Master Barang'!A12)</f>
        <v>PRL-011</v>
      </c>
      <c r="O9418" t="str">
        <f>IF(N9418="","",'Master Barang'!B12)</f>
        <v>kanebo kecil</v>
      </c>
      <c r="P9418">
        <f>IF(OR(M9418="",N9418=""),"",SUMIFS('Barang Keluar'!$E:$E,'Barang Keluar'!$A:$A,M9418,'Barang Keluar'!$C:$C,N9418))</f>
        <v>0</v>
      </c>
    </row>
    <row r="9419" spans="13:16">
      <c r="M9419" s="49">
        <f>IF($A$4+94&gt;$B$4,"",$A$4+94)</f>
        <v>46117</v>
      </c>
      <c r="N9419" t="str">
        <f>IF(M9419="","",'Master Barang'!A13)</f>
        <v>PRL-012</v>
      </c>
      <c r="O9419" t="str">
        <f>IF(N9419="","",'Master Barang'!B13)</f>
        <v>plastik 1/4kg joyoboyo 100 lembar</v>
      </c>
      <c r="P9419">
        <f>IF(OR(M9419="",N9419=""),"",SUMIFS('Barang Keluar'!$E:$E,'Barang Keluar'!$A:$A,M9419,'Barang Keluar'!$C:$C,N9419))</f>
        <v>0</v>
      </c>
    </row>
    <row r="9420" spans="13:16">
      <c r="M9420" s="49">
        <f>IF($A$4+94&gt;$B$4,"",$A$4+94)</f>
        <v>46117</v>
      </c>
      <c r="N9420" t="str">
        <f>IF(M9420="","",'Master Barang'!A14)</f>
        <v>PRL-013</v>
      </c>
      <c r="O9420" t="str">
        <f>IF(N9420="","",'Master Barang'!B14)</f>
        <v>sarung tangan plastik kaka 100 pcs</v>
      </c>
      <c r="P9420">
        <f>IF(OR(M9420="",N9420=""),"",SUMIFS('Barang Keluar'!$E:$E,'Barang Keluar'!$A:$A,M9420,'Barang Keluar'!$C:$C,N9420))</f>
        <v>0</v>
      </c>
    </row>
    <row r="9421" spans="13:16">
      <c r="M9421" s="49">
        <f>IF($A$4+94&gt;$B$4,"",$A$4+94)</f>
        <v>46117</v>
      </c>
      <c r="N9421" t="str">
        <f>IF(M9421="","",'Master Barang'!A15)</f>
        <v>PRL-014</v>
      </c>
      <c r="O9421" t="str">
        <f>IF(N9421="","",'Master Barang'!B15)</f>
        <v>optima trashbag 80x100</v>
      </c>
      <c r="P9421">
        <f>IF(OR(M9421="",N9421=""),"",SUMIFS('Barang Keluar'!$E:$E,'Barang Keluar'!$A:$A,M9421,'Barang Keluar'!$C:$C,N9421))</f>
        <v>0</v>
      </c>
    </row>
    <row r="9422" spans="13:16">
      <c r="M9422" s="49">
        <f>IF($A$4+94&gt;$B$4,"",$A$4+94)</f>
        <v>46117</v>
      </c>
      <c r="N9422" t="str">
        <f>IF(M9422="","",'Master Barang'!A16)</f>
        <v>PRL-015</v>
      </c>
      <c r="O9422" t="str">
        <f>IF(N9422="","",'Master Barang'!B16)</f>
        <v>optima trashbag 60x100</v>
      </c>
      <c r="P9422">
        <f>IF(OR(M9422="",N9422=""),"",SUMIFS('Barang Keluar'!$E:$E,'Barang Keluar'!$A:$A,M9422,'Barang Keluar'!$C:$C,N9422))</f>
        <v>0</v>
      </c>
    </row>
    <row r="9423" spans="13:16">
      <c r="M9423" s="49">
        <f>IF($A$4+94&gt;$B$4,"",$A$4+94)</f>
        <v>46117</v>
      </c>
      <c r="N9423" t="str">
        <f>IF(M9423="","",'Master Barang'!A17)</f>
        <v>PRL-016</v>
      </c>
      <c r="O9423" t="str">
        <f>IF(N9423="","",'Master Barang'!B17)</f>
        <v>rajawali trashbag 30x40</v>
      </c>
      <c r="P9423">
        <f>IF(OR(M9423="",N9423=""),"",SUMIFS('Barang Keluar'!$E:$E,'Barang Keluar'!$A:$A,M9423,'Barang Keluar'!$C:$C,N9423))</f>
        <v>0</v>
      </c>
    </row>
    <row r="9424" spans="13:16">
      <c r="M9424" s="49">
        <f>IF($A$4+94&gt;$B$4,"",$A$4+94)</f>
        <v>46117</v>
      </c>
      <c r="N9424" t="str">
        <f>IF(M9424="","",'Master Barang'!A18)</f>
        <v>PRL-017</v>
      </c>
      <c r="O9424" t="str">
        <f>IF(N9424="","",'Master Barang'!B18)</f>
        <v>onemed masker biru 3 play 50 pcs</v>
      </c>
      <c r="P9424">
        <f>IF(OR(M9424="",N9424=""),"",SUMIFS('Barang Keluar'!$E:$E,'Barang Keluar'!$A:$A,M9424,'Barang Keluar'!$C:$C,N9424))</f>
        <v>0</v>
      </c>
    </row>
    <row r="9425" spans="13:16">
      <c r="M9425" s="49">
        <f>IF($A$4+94&gt;$B$4,"",$A$4+94)</f>
        <v>46117</v>
      </c>
      <c r="N9425" t="str">
        <f>IF(M9425="","",'Master Barang'!A19)</f>
        <v>PRL-018</v>
      </c>
      <c r="O9425" t="str">
        <f>IF(N9425="","",'Master Barang'!B19)</f>
        <v>onemed masker biru 3 play hijab 50 pcs</v>
      </c>
      <c r="P9425">
        <f>IF(OR(M9425="",N9425=""),"",SUMIFS('Barang Keluar'!$E:$E,'Barang Keluar'!$A:$A,M9425,'Barang Keluar'!$C:$C,N9425))</f>
        <v>0</v>
      </c>
    </row>
    <row r="9426" spans="13:16">
      <c r="M9426" s="49">
        <f>IF($A$4+94&gt;$B$4,"",$A$4+94)</f>
        <v>46117</v>
      </c>
      <c r="N9426" t="str">
        <f>IF(M9426="","",'Master Barang'!A20)</f>
        <v>PRL-019</v>
      </c>
      <c r="O9426" t="str">
        <f>IF(N9426="","",'Master Barang'!B20)</f>
        <v>neo health masker biru 3 play 50 pcs</v>
      </c>
      <c r="P9426">
        <f>IF(OR(M9426="",N9426=""),"",SUMIFS('Barang Keluar'!$E:$E,'Barang Keluar'!$A:$A,M9426,'Barang Keluar'!$C:$C,N9426))</f>
        <v>0</v>
      </c>
    </row>
    <row r="9427" spans="13:16">
      <c r="M9427" s="49">
        <f>IF($A$4+94&gt;$B$4,"",$A$4+94)</f>
        <v>46117</v>
      </c>
      <c r="N9427" t="str">
        <f>IF(M9427="","",'Master Barang'!A21)</f>
        <v>PRL-020</v>
      </c>
      <c r="O9427" t="str">
        <f>IF(N9427="","",'Master Barang'!B21)</f>
        <v>baymed masker hijau 3 play hijau 50 pcs</v>
      </c>
      <c r="P9427">
        <f>IF(OR(M9427="",N9427=""),"",SUMIFS('Barang Keluar'!$E:$E,'Barang Keluar'!$A:$A,M9427,'Barang Keluar'!$C:$C,N9427))</f>
        <v>0</v>
      </c>
    </row>
    <row r="9428" spans="13:16">
      <c r="M9428" s="49">
        <f>IF($A$4+94&gt;$B$4,"",$A$4+94)</f>
        <v>46117</v>
      </c>
      <c r="N9428" t="str">
        <f>IF(M9428="","",'Master Barang'!A22)</f>
        <v>PRL-021</v>
      </c>
      <c r="O9428" t="str">
        <f>IF(N9428="","",'Master Barang'!B22)</f>
        <v>altamed nurse cap penutup kepala 100 pcs</v>
      </c>
      <c r="P9428">
        <f>IF(OR(M9428="",N9428=""),"",SUMIFS('Barang Keluar'!$E:$E,'Barang Keluar'!$A:$A,M9428,'Barang Keluar'!$C:$C,N9428))</f>
        <v>0</v>
      </c>
    </row>
    <row r="9429" spans="13:16">
      <c r="M9429" s="49">
        <f>IF($A$4+94&gt;$B$4,"",$A$4+94)</f>
        <v>46117</v>
      </c>
      <c r="N9429" t="str">
        <f>IF(M9429="","",'Master Barang'!A23)</f>
        <v>PRL-022</v>
      </c>
      <c r="O9429" t="str">
        <f>IF(N9429="","",'Master Barang'!B23)</f>
        <v>sabun cuci tangan</v>
      </c>
      <c r="P9429">
        <f>IF(OR(M9429="",N9429=""),"",SUMIFS('Barang Keluar'!$E:$E,'Barang Keluar'!$A:$A,M9429,'Barang Keluar'!$C:$C,N9429))</f>
        <v>0</v>
      </c>
    </row>
    <row r="9430" spans="13:16">
      <c r="M9430" s="49">
        <f>IF($A$4+94&gt;$B$4,"",$A$4+94)</f>
        <v>46117</v>
      </c>
      <c r="N9430" t="str">
        <f>IF(M9430="","",'Master Barang'!A24)</f>
        <v>PRL-023</v>
      </c>
      <c r="O9430" t="str">
        <f>IF(N9430="","",'Master Barang'!B24)</f>
        <v>gayung kecil</v>
      </c>
      <c r="P9430">
        <f>IF(OR(M9430="",N9430=""),"",SUMIFS('Barang Keluar'!$E:$E,'Barang Keluar'!$A:$A,M9430,'Barang Keluar'!$C:$C,N9430))</f>
        <v>0</v>
      </c>
    </row>
    <row r="9431" spans="13:16">
      <c r="M9431" s="49">
        <f>IF($A$4+94&gt;$B$4,"",$A$4+94)</f>
        <v>46117</v>
      </c>
      <c r="N9431" t="str">
        <f>IF(M9431="","",'Master Barang'!A25)</f>
        <v>PRL-024</v>
      </c>
      <c r="O9431" t="str">
        <f>IF(N9431="","",'Master Barang'!B25)</f>
        <v>cikrak kecil</v>
      </c>
      <c r="P9431">
        <f>IF(OR(M9431="",N9431=""),"",SUMIFS('Barang Keluar'!$E:$E,'Barang Keluar'!$A:$A,M9431,'Barang Keluar'!$C:$C,N9431))</f>
        <v>0</v>
      </c>
    </row>
    <row r="9432" spans="13:16">
      <c r="M9432" s="49">
        <f>IF($A$4+94&gt;$B$4,"",$A$4+94)</f>
        <v>46117</v>
      </c>
      <c r="N9432" t="str">
        <f>IF(M9432="","",'Master Barang'!A26)</f>
        <v>PRL-025</v>
      </c>
      <c r="O9432" t="str">
        <f>IF(N9432="","",'Master Barang'!B26)</f>
        <v>petromax plastik kecil 12x24 100 lembar</v>
      </c>
      <c r="P9432">
        <f>IF(OR(M9432="",N9432=""),"",SUMIFS('Barang Keluar'!$E:$E,'Barang Keluar'!$A:$A,M9432,'Barang Keluar'!$C:$C,N9432))</f>
        <v>0</v>
      </c>
    </row>
    <row r="9433" spans="13:16">
      <c r="M9433" s="49">
        <f>IF($A$4+94&gt;$B$4,"",$A$4+94)</f>
        <v>46117</v>
      </c>
      <c r="N9433" t="str">
        <f>IF(M9433="","",'Master Barang'!A27)</f>
        <v>PRL-026</v>
      </c>
      <c r="O9433" t="str">
        <f>IF(N9433="","",'Master Barang'!B27)</f>
        <v>lancar kresek kecil bening </v>
      </c>
      <c r="P9433">
        <f>IF(OR(M9433="",N9433=""),"",SUMIFS('Barang Keluar'!$E:$E,'Barang Keluar'!$A:$A,M9433,'Barang Keluar'!$C:$C,N9433))</f>
        <v>0</v>
      </c>
    </row>
    <row r="9434" spans="13:16">
      <c r="M9434" s="49">
        <f>IF($A$4+94&gt;$B$4,"",$A$4+94)</f>
        <v>46117</v>
      </c>
      <c r="N9434" t="str">
        <f>IF(M9434="","",'Master Barang'!A28)</f>
        <v>PRL-027</v>
      </c>
      <c r="O9434" t="str">
        <f>IF(N9434="","",'Master Barang'!B28)</f>
        <v>kresek klin warna warni kecil</v>
      </c>
      <c r="P9434">
        <f>IF(OR(M9434="",N9434=""),"",SUMIFS('Barang Keluar'!$E:$E,'Barang Keluar'!$A:$A,M9434,'Barang Keluar'!$C:$C,N9434))</f>
        <v>0</v>
      </c>
    </row>
    <row r="9435" spans="13:16">
      <c r="M9435" s="49">
        <f>IF($A$4+94&gt;$B$4,"",$A$4+94)</f>
        <v>46117</v>
      </c>
      <c r="N9435" t="str">
        <f>IF(M9435="","",'Master Barang'!A29)</f>
        <v>PRL-028</v>
      </c>
      <c r="O9435" t="str">
        <f>IF(N9435="","",'Master Barang'!B29)</f>
        <v>ctik plastik 7x10 100 pcs</v>
      </c>
      <c r="P9435">
        <f>IF(OR(M9435="",N9435=""),"",SUMIFS('Barang Keluar'!$E:$E,'Barang Keluar'!$A:$A,M9435,'Barang Keluar'!$C:$C,N9435))</f>
        <v>0</v>
      </c>
    </row>
    <row r="9436" spans="13:16">
      <c r="M9436" s="49">
        <f>IF($A$4+94&gt;$B$4,"",$A$4+94)</f>
        <v>46117</v>
      </c>
      <c r="N9436" t="str">
        <f>IF(M9436="","",'Master Barang'!A30)</f>
        <v>PRL-029</v>
      </c>
      <c r="O9436" t="str">
        <f>IF(N9436="","",'Master Barang'!B30)</f>
        <v>ctik plastik 6x10 100 pcs</v>
      </c>
      <c r="P9436">
        <f>IF(OR(M9436="",N9436=""),"",SUMIFS('Barang Keluar'!$E:$E,'Barang Keluar'!$A:$A,M9436,'Barang Keluar'!$C:$C,N9436))</f>
        <v>0</v>
      </c>
    </row>
    <row r="9437" spans="13:16">
      <c r="M9437" s="49">
        <f>IF($A$4+94&gt;$B$4,"",$A$4+94)</f>
        <v>46117</v>
      </c>
      <c r="N9437" t="str">
        <f>IF(M9437="","",'Master Barang'!A31)</f>
        <v>PRL-030</v>
      </c>
      <c r="O9437" t="str">
        <f>IF(N9437="","",'Master Barang'!B31)</f>
        <v>klip plastik 25x16 100 pcs</v>
      </c>
      <c r="P9437">
        <f>IF(OR(M9437="",N9437=""),"",SUMIFS('Barang Keluar'!$E:$E,'Barang Keluar'!$A:$A,M9437,'Barang Keluar'!$C:$C,N9437))</f>
        <v>0</v>
      </c>
    </row>
    <row r="9438" spans="13:16">
      <c r="M9438" s="49">
        <f>IF($A$4+94&gt;$B$4,"",$A$4+94)</f>
        <v>46117</v>
      </c>
      <c r="N9438" t="str">
        <f>IF(M9438="","",'Master Barang'!A32)</f>
        <v>PRL-031</v>
      </c>
      <c r="O9438" t="str">
        <f>IF(N9438="","",'Master Barang'!B32)</f>
        <v>tempat saus 20 ml</v>
      </c>
      <c r="P9438">
        <f>IF(OR(M9438="",N9438=""),"",SUMIFS('Barang Keluar'!$E:$E,'Barang Keluar'!$A:$A,M9438,'Barang Keluar'!$C:$C,N9438))</f>
        <v>0</v>
      </c>
    </row>
    <row r="9439" spans="13:16">
      <c r="M9439" s="49">
        <f>IF($A$4+94&gt;$B$4,"",$A$4+94)</f>
        <v>46117</v>
      </c>
      <c r="N9439" t="str">
        <f>IF(M9439="","",'Master Barang'!A33)</f>
        <v>PRL-032</v>
      </c>
      <c r="O9439" t="str">
        <f>IF(N9439="","",'Master Barang'!B33)</f>
        <v>plastik packaging ag box uk sedang</v>
      </c>
      <c r="P9439">
        <f>IF(OR(M9439="",N9439=""),"",SUMIFS('Barang Keluar'!$E:$E,'Barang Keluar'!$A:$A,M9439,'Barang Keluar'!$C:$C,N9439))</f>
        <v>0</v>
      </c>
    </row>
    <row r="9440" spans="13:16">
      <c r="M9440" s="49">
        <f>IF($A$4+94&gt;$B$4,"",$A$4+94)</f>
        <v>46117</v>
      </c>
      <c r="N9440" t="str">
        <f>IF(M9440="","",'Master Barang'!A34)</f>
        <v>PRL-033</v>
      </c>
      <c r="O9440">
        <f>IF(N9440="","",'Master Barang'!B34)</f>
        <v>0</v>
      </c>
      <c r="P9440">
        <f>IF(OR(M9440="",N9440=""),"",SUMIFS('Barang Keluar'!$E:$E,'Barang Keluar'!$A:$A,M9440,'Barang Keluar'!$C:$C,N9440))</f>
        <v>0</v>
      </c>
    </row>
    <row r="9441" spans="13:16">
      <c r="M9441" s="49">
        <f>IF($A$4+94&gt;$B$4,"",$A$4+94)</f>
        <v>46117</v>
      </c>
      <c r="N9441">
        <f>IF(M9441="","",'Master Barang'!A35)</f>
        <v>0</v>
      </c>
      <c r="O9441">
        <f>IF(N9441="","",'Master Barang'!B35)</f>
        <v>0</v>
      </c>
      <c r="P9441">
        <f>IF(OR(M9441="",N9441=""),"",SUMIFS('Barang Keluar'!$E:$E,'Barang Keluar'!$A:$A,M9441,'Barang Keluar'!$C:$C,N9441))</f>
        <v>0</v>
      </c>
    </row>
    <row r="9442" spans="13:16">
      <c r="M9442" s="49">
        <f>IF($A$4+94&gt;$B$4,"",$A$4+94)</f>
        <v>46117</v>
      </c>
      <c r="N9442">
        <f>IF(M9442="","",'Master Barang'!A36)</f>
        <v>0</v>
      </c>
      <c r="O9442">
        <f>IF(N9442="","",'Master Barang'!B36)</f>
        <v>0</v>
      </c>
      <c r="P9442">
        <f>IF(OR(M9442="",N9442=""),"",SUMIFS('Barang Keluar'!$E:$E,'Barang Keluar'!$A:$A,M9442,'Barang Keluar'!$C:$C,N9442))</f>
        <v>0</v>
      </c>
    </row>
    <row r="9443" spans="13:16">
      <c r="M9443" s="49">
        <f>IF($A$4+94&gt;$B$4,"",$A$4+94)</f>
        <v>46117</v>
      </c>
      <c r="N9443">
        <f>IF(M9443="","",'Master Barang'!A37)</f>
        <v>0</v>
      </c>
      <c r="O9443">
        <f>IF(N9443="","",'Master Barang'!B37)</f>
        <v>0</v>
      </c>
      <c r="P9443">
        <f>IF(OR(M9443="",N9443=""),"",SUMIFS('Barang Keluar'!$E:$E,'Barang Keluar'!$A:$A,M9443,'Barang Keluar'!$C:$C,N9443))</f>
        <v>0</v>
      </c>
    </row>
    <row r="9444" spans="13:16">
      <c r="M9444" s="49">
        <f>IF($A$4+94&gt;$B$4,"",$A$4+94)</f>
        <v>46117</v>
      </c>
      <c r="N9444">
        <f>IF(M9444="","",'Master Barang'!A38)</f>
        <v>0</v>
      </c>
      <c r="O9444">
        <f>IF(N9444="","",'Master Barang'!B38)</f>
        <v>0</v>
      </c>
      <c r="P9444">
        <f>IF(OR(M9444="",N9444=""),"",SUMIFS('Barang Keluar'!$E:$E,'Barang Keluar'!$A:$A,M9444,'Barang Keluar'!$C:$C,N9444))</f>
        <v>0</v>
      </c>
    </row>
    <row r="9445" spans="13:16">
      <c r="M9445" s="49">
        <f>IF($A$4+94&gt;$B$4,"",$A$4+94)</f>
        <v>46117</v>
      </c>
      <c r="N9445">
        <f>IF(M9445="","",'Master Barang'!A39)</f>
        <v>0</v>
      </c>
      <c r="O9445">
        <f>IF(N9445="","",'Master Barang'!B39)</f>
        <v>0</v>
      </c>
      <c r="P9445">
        <f>IF(OR(M9445="",N9445=""),"",SUMIFS('Barang Keluar'!$E:$E,'Barang Keluar'!$A:$A,M9445,'Barang Keluar'!$C:$C,N9445))</f>
        <v>0</v>
      </c>
    </row>
    <row r="9446" spans="13:16">
      <c r="M9446" s="49">
        <f>IF($A$4+94&gt;$B$4,"",$A$4+94)</f>
        <v>46117</v>
      </c>
      <c r="N9446">
        <f>IF(M9446="","",'Master Barang'!A40)</f>
        <v>0</v>
      </c>
      <c r="O9446">
        <f>IF(N9446="","",'Master Barang'!B40)</f>
        <v>0</v>
      </c>
      <c r="P9446">
        <f>IF(OR(M9446="",N9446=""),"",SUMIFS('Barang Keluar'!$E:$E,'Barang Keluar'!$A:$A,M9446,'Barang Keluar'!$C:$C,N9446))</f>
        <v>0</v>
      </c>
    </row>
    <row r="9447" spans="13:16">
      <c r="M9447" s="49">
        <f>IF($A$4+94&gt;$B$4,"",$A$4+94)</f>
        <v>46117</v>
      </c>
      <c r="N9447">
        <f>IF(M9447="","",'Master Barang'!A41)</f>
        <v>0</v>
      </c>
      <c r="O9447">
        <f>IF(N9447="","",'Master Barang'!B41)</f>
        <v>0</v>
      </c>
      <c r="P9447">
        <f>IF(OR(M9447="",N9447=""),"",SUMIFS('Barang Keluar'!$E:$E,'Barang Keluar'!$A:$A,M9447,'Barang Keluar'!$C:$C,N9447))</f>
        <v>0</v>
      </c>
    </row>
    <row r="9448" spans="13:16">
      <c r="M9448" s="49">
        <f>IF($A$4+94&gt;$B$4,"",$A$4+94)</f>
        <v>46117</v>
      </c>
      <c r="N9448">
        <f>IF(M9448="","",'Master Barang'!A42)</f>
        <v>0</v>
      </c>
      <c r="O9448">
        <f>IF(N9448="","",'Master Barang'!B42)</f>
        <v>0</v>
      </c>
      <c r="P9448">
        <f>IF(OR(M9448="",N9448=""),"",SUMIFS('Barang Keluar'!$E:$E,'Barang Keluar'!$A:$A,M9448,'Barang Keluar'!$C:$C,N9448))</f>
        <v>0</v>
      </c>
    </row>
    <row r="9449" spans="13:16">
      <c r="M9449" s="49">
        <f>IF($A$4+94&gt;$B$4,"",$A$4+94)</f>
        <v>46117</v>
      </c>
      <c r="N9449">
        <f>IF(M9449="","",'Master Barang'!A43)</f>
        <v>0</v>
      </c>
      <c r="O9449">
        <f>IF(N9449="","",'Master Barang'!B43)</f>
        <v>0</v>
      </c>
      <c r="P9449">
        <f>IF(OR(M9449="",N9449=""),"",SUMIFS('Barang Keluar'!$E:$E,'Barang Keluar'!$A:$A,M9449,'Barang Keluar'!$C:$C,N9449))</f>
        <v>0</v>
      </c>
    </row>
    <row r="9450" spans="13:16">
      <c r="M9450" s="49">
        <f>IF($A$4+94&gt;$B$4,"",$A$4+94)</f>
        <v>46117</v>
      </c>
      <c r="N9450">
        <f>IF(M9450="","",'Master Barang'!A44)</f>
        <v>0</v>
      </c>
      <c r="O9450">
        <f>IF(N9450="","",'Master Barang'!B44)</f>
        <v>0</v>
      </c>
      <c r="P9450">
        <f>IF(OR(M9450="",N9450=""),"",SUMIFS('Barang Keluar'!$E:$E,'Barang Keluar'!$A:$A,M9450,'Barang Keluar'!$C:$C,N9450))</f>
        <v>0</v>
      </c>
    </row>
    <row r="9451" spans="13:16">
      <c r="M9451" s="49">
        <f>IF($A$4+94&gt;$B$4,"",$A$4+94)</f>
        <v>46117</v>
      </c>
      <c r="N9451">
        <f>IF(M9451="","",'Master Barang'!A45)</f>
        <v>0</v>
      </c>
      <c r="O9451">
        <f>IF(N9451="","",'Master Barang'!B45)</f>
        <v>0</v>
      </c>
      <c r="P9451">
        <f>IF(OR(M9451="",N9451=""),"",SUMIFS('Barang Keluar'!$E:$E,'Barang Keluar'!$A:$A,M9451,'Barang Keluar'!$C:$C,N9451))</f>
        <v>0</v>
      </c>
    </row>
    <row r="9452" spans="13:16">
      <c r="M9452" s="49">
        <f>IF($A$4+94&gt;$B$4,"",$A$4+94)</f>
        <v>46117</v>
      </c>
      <c r="N9452">
        <f>IF(M9452="","",'Master Barang'!A46)</f>
        <v>0</v>
      </c>
      <c r="O9452">
        <f>IF(N9452="","",'Master Barang'!B46)</f>
        <v>0</v>
      </c>
      <c r="P9452">
        <f>IF(OR(M9452="",N9452=""),"",SUMIFS('Barang Keluar'!$E:$E,'Barang Keluar'!$A:$A,M9452,'Barang Keluar'!$C:$C,N9452))</f>
        <v>0</v>
      </c>
    </row>
    <row r="9453" spans="13:16">
      <c r="M9453" s="49">
        <f>IF($A$4+94&gt;$B$4,"",$A$4+94)</f>
        <v>46117</v>
      </c>
      <c r="N9453">
        <f>IF(M9453="","",'Master Barang'!A47)</f>
        <v>0</v>
      </c>
      <c r="O9453">
        <f>IF(N9453="","",'Master Barang'!B47)</f>
        <v>0</v>
      </c>
      <c r="P9453">
        <f>IF(OR(M9453="",N9453=""),"",SUMIFS('Barang Keluar'!$E:$E,'Barang Keluar'!$A:$A,M9453,'Barang Keluar'!$C:$C,N9453))</f>
        <v>0</v>
      </c>
    </row>
    <row r="9454" spans="13:16">
      <c r="M9454" s="49">
        <f>IF($A$4+94&gt;$B$4,"",$A$4+94)</f>
        <v>46117</v>
      </c>
      <c r="N9454">
        <f>IF(M9454="","",'Master Barang'!A48)</f>
        <v>0</v>
      </c>
      <c r="O9454">
        <f>IF(N9454="","",'Master Barang'!B48)</f>
        <v>0</v>
      </c>
      <c r="P9454">
        <f>IF(OR(M9454="",N9454=""),"",SUMIFS('Barang Keluar'!$E:$E,'Barang Keluar'!$A:$A,M9454,'Barang Keluar'!$C:$C,N9454))</f>
        <v>0</v>
      </c>
    </row>
    <row r="9455" spans="13:16">
      <c r="M9455" s="49">
        <f>IF($A$4+94&gt;$B$4,"",$A$4+94)</f>
        <v>46117</v>
      </c>
      <c r="N9455">
        <f>IF(M9455="","",'Master Barang'!A49)</f>
        <v>0</v>
      </c>
      <c r="O9455">
        <f>IF(N9455="","",'Master Barang'!B49)</f>
        <v>0</v>
      </c>
      <c r="P9455">
        <f>IF(OR(M9455="",N9455=""),"",SUMIFS('Barang Keluar'!$E:$E,'Barang Keluar'!$A:$A,M9455,'Barang Keluar'!$C:$C,N9455))</f>
        <v>0</v>
      </c>
    </row>
    <row r="9456" spans="13:16">
      <c r="M9456" s="49">
        <f>IF($A$4+94&gt;$B$4,"",$A$4+94)</f>
        <v>46117</v>
      </c>
      <c r="N9456">
        <f>IF(M9456="","",'Master Barang'!A50)</f>
        <v>0</v>
      </c>
      <c r="O9456">
        <f>IF(N9456="","",'Master Barang'!B50)</f>
        <v>0</v>
      </c>
      <c r="P9456">
        <f>IF(OR(M9456="",N9456=""),"",SUMIFS('Barang Keluar'!$E:$E,'Barang Keluar'!$A:$A,M9456,'Barang Keluar'!$C:$C,N9456))</f>
        <v>0</v>
      </c>
    </row>
    <row r="9457" spans="13:16">
      <c r="M9457" s="49">
        <f>IF($A$4+94&gt;$B$4,"",$A$4+94)</f>
        <v>46117</v>
      </c>
      <c r="N9457">
        <f>IF(M9457="","",'Master Barang'!A51)</f>
        <v>0</v>
      </c>
      <c r="O9457">
        <f>IF(N9457="","",'Master Barang'!B51)</f>
        <v>0</v>
      </c>
      <c r="P9457">
        <f>IF(OR(M9457="",N9457=""),"",SUMIFS('Barang Keluar'!$E:$E,'Barang Keluar'!$A:$A,M9457,'Barang Keluar'!$C:$C,N9457))</f>
        <v>0</v>
      </c>
    </row>
    <row r="9458" spans="13:16">
      <c r="M9458" s="49">
        <f>IF($A$4+94&gt;$B$4,"",$A$4+94)</f>
        <v>46117</v>
      </c>
      <c r="N9458">
        <f>IF(M9458="","",'Master Barang'!A52)</f>
        <v>0</v>
      </c>
      <c r="O9458">
        <f>IF(N9458="","",'Master Barang'!B52)</f>
        <v>0</v>
      </c>
      <c r="P9458">
        <f>IF(OR(M9458="",N9458=""),"",SUMIFS('Barang Keluar'!$E:$E,'Barang Keluar'!$A:$A,M9458,'Barang Keluar'!$C:$C,N9458))</f>
        <v>0</v>
      </c>
    </row>
    <row r="9459" spans="13:16">
      <c r="M9459" s="49">
        <f>IF($A$4+94&gt;$B$4,"",$A$4+94)</f>
        <v>46117</v>
      </c>
      <c r="N9459">
        <f>IF(M9459="","",'Master Barang'!A53)</f>
        <v>0</v>
      </c>
      <c r="O9459">
        <f>IF(N9459="","",'Master Barang'!B53)</f>
        <v>0</v>
      </c>
      <c r="P9459">
        <f>IF(OR(M9459="",N9459=""),"",SUMIFS('Barang Keluar'!$E:$E,'Barang Keluar'!$A:$A,M9459,'Barang Keluar'!$C:$C,N9459))</f>
        <v>0</v>
      </c>
    </row>
    <row r="9460" spans="13:16">
      <c r="M9460" s="49">
        <f>IF($A$4+94&gt;$B$4,"",$A$4+94)</f>
        <v>46117</v>
      </c>
      <c r="N9460">
        <f>IF(M9460="","",'Master Barang'!A54)</f>
        <v>0</v>
      </c>
      <c r="O9460">
        <f>IF(N9460="","",'Master Barang'!B54)</f>
        <v>0</v>
      </c>
      <c r="P9460">
        <f>IF(OR(M9460="",N9460=""),"",SUMIFS('Barang Keluar'!$E:$E,'Barang Keluar'!$A:$A,M9460,'Barang Keluar'!$C:$C,N9460))</f>
        <v>0</v>
      </c>
    </row>
    <row r="9461" spans="13:16">
      <c r="M9461" s="49">
        <f>IF($A$4+94&gt;$B$4,"",$A$4+94)</f>
        <v>46117</v>
      </c>
      <c r="N9461">
        <f>IF(M9461="","",'Master Barang'!A55)</f>
        <v>0</v>
      </c>
      <c r="O9461">
        <f>IF(N9461="","",'Master Barang'!B55)</f>
        <v>0</v>
      </c>
      <c r="P9461">
        <f>IF(OR(M9461="",N9461=""),"",SUMIFS('Barang Keluar'!$E:$E,'Barang Keluar'!$A:$A,M9461,'Barang Keluar'!$C:$C,N9461))</f>
        <v>0</v>
      </c>
    </row>
    <row r="9462" spans="13:16">
      <c r="M9462" s="49">
        <f>IF($A$4+94&gt;$B$4,"",$A$4+94)</f>
        <v>46117</v>
      </c>
      <c r="N9462">
        <f>IF(M9462="","",'Master Barang'!A56)</f>
        <v>0</v>
      </c>
      <c r="O9462">
        <f>IF(N9462="","",'Master Barang'!B56)</f>
        <v>0</v>
      </c>
      <c r="P9462">
        <f>IF(OR(M9462="",N9462=""),"",SUMIFS('Barang Keluar'!$E:$E,'Barang Keluar'!$A:$A,M9462,'Barang Keluar'!$C:$C,N9462))</f>
        <v>0</v>
      </c>
    </row>
    <row r="9463" spans="13:16">
      <c r="M9463" s="49">
        <f>IF($A$4+94&gt;$B$4,"",$A$4+94)</f>
        <v>46117</v>
      </c>
      <c r="N9463">
        <f>IF(M9463="","",'Master Barang'!A57)</f>
        <v>0</v>
      </c>
      <c r="O9463">
        <f>IF(N9463="","",'Master Barang'!B57)</f>
        <v>0</v>
      </c>
      <c r="P9463">
        <f>IF(OR(M9463="",N9463=""),"",SUMIFS('Barang Keluar'!$E:$E,'Barang Keluar'!$A:$A,M9463,'Barang Keluar'!$C:$C,N9463))</f>
        <v>0</v>
      </c>
    </row>
    <row r="9464" spans="13:16">
      <c r="M9464" s="49">
        <f>IF($A$4+94&gt;$B$4,"",$A$4+94)</f>
        <v>46117</v>
      </c>
      <c r="N9464">
        <f>IF(M9464="","",'Master Barang'!A58)</f>
        <v>0</v>
      </c>
      <c r="O9464">
        <f>IF(N9464="","",'Master Barang'!B58)</f>
        <v>0</v>
      </c>
      <c r="P9464">
        <f>IF(OR(M9464="",N9464=""),"",SUMIFS('Barang Keluar'!$E:$E,'Barang Keluar'!$A:$A,M9464,'Barang Keluar'!$C:$C,N9464))</f>
        <v>0</v>
      </c>
    </row>
    <row r="9465" spans="13:16">
      <c r="M9465" s="49">
        <f>IF($A$4+94&gt;$B$4,"",$A$4+94)</f>
        <v>46117</v>
      </c>
      <c r="N9465">
        <f>IF(M9465="","",'Master Barang'!A59)</f>
        <v>0</v>
      </c>
      <c r="O9465">
        <f>IF(N9465="","",'Master Barang'!B59)</f>
        <v>0</v>
      </c>
      <c r="P9465">
        <f>IF(OR(M9465="",N9465=""),"",SUMIFS('Barang Keluar'!$E:$E,'Barang Keluar'!$A:$A,M9465,'Barang Keluar'!$C:$C,N9465))</f>
        <v>0</v>
      </c>
    </row>
    <row r="9466" spans="13:16">
      <c r="M9466" s="49">
        <f>IF($A$4+94&gt;$B$4,"",$A$4+94)</f>
        <v>46117</v>
      </c>
      <c r="N9466">
        <f>IF(M9466="","",'Master Barang'!A60)</f>
        <v>0</v>
      </c>
      <c r="O9466">
        <f>IF(N9466="","",'Master Barang'!B60)</f>
        <v>0</v>
      </c>
      <c r="P9466">
        <f>IF(OR(M9466="",N9466=""),"",SUMIFS('Barang Keluar'!$E:$E,'Barang Keluar'!$A:$A,M9466,'Barang Keluar'!$C:$C,N9466))</f>
        <v>0</v>
      </c>
    </row>
    <row r="9467" spans="13:16">
      <c r="M9467" s="49">
        <f>IF($A$4+94&gt;$B$4,"",$A$4+94)</f>
        <v>46117</v>
      </c>
      <c r="N9467">
        <f>IF(M9467="","",'Master Barang'!A61)</f>
        <v>0</v>
      </c>
      <c r="O9467">
        <f>IF(N9467="","",'Master Barang'!B61)</f>
        <v>0</v>
      </c>
      <c r="P9467">
        <f>IF(OR(M9467="",N9467=""),"",SUMIFS('Barang Keluar'!$E:$E,'Barang Keluar'!$A:$A,M9467,'Barang Keluar'!$C:$C,N9467))</f>
        <v>0</v>
      </c>
    </row>
    <row r="9468" spans="13:16">
      <c r="M9468" s="49">
        <f>IF($A$4+94&gt;$B$4,"",$A$4+94)</f>
        <v>46117</v>
      </c>
      <c r="N9468">
        <f>IF(M9468="","",'Master Barang'!A62)</f>
        <v>0</v>
      </c>
      <c r="O9468">
        <f>IF(N9468="","",'Master Barang'!B62)</f>
        <v>0</v>
      </c>
      <c r="P9468">
        <f>IF(OR(M9468="",N9468=""),"",SUMIFS('Barang Keluar'!$E:$E,'Barang Keluar'!$A:$A,M9468,'Barang Keluar'!$C:$C,N9468))</f>
        <v>0</v>
      </c>
    </row>
    <row r="9469" spans="13:16">
      <c r="M9469" s="49">
        <f>IF($A$4+94&gt;$B$4,"",$A$4+94)</f>
        <v>46117</v>
      </c>
      <c r="N9469">
        <f>IF(M9469="","",'Master Barang'!A63)</f>
        <v>0</v>
      </c>
      <c r="O9469">
        <f>IF(N9469="","",'Master Barang'!B63)</f>
        <v>0</v>
      </c>
      <c r="P9469">
        <f>IF(OR(M9469="",N9469=""),"",SUMIFS('Barang Keluar'!$E:$E,'Barang Keluar'!$A:$A,M9469,'Barang Keluar'!$C:$C,N9469))</f>
        <v>0</v>
      </c>
    </row>
    <row r="9470" spans="13:16">
      <c r="M9470" s="49">
        <f>IF($A$4+94&gt;$B$4,"",$A$4+94)</f>
        <v>46117</v>
      </c>
      <c r="N9470">
        <f>IF(M9470="","",'Master Barang'!A64)</f>
        <v>0</v>
      </c>
      <c r="O9470">
        <f>IF(N9470="","",'Master Barang'!B64)</f>
        <v>0</v>
      </c>
      <c r="P9470">
        <f>IF(OR(M9470="",N9470=""),"",SUMIFS('Barang Keluar'!$E:$E,'Barang Keluar'!$A:$A,M9470,'Barang Keluar'!$C:$C,N9470))</f>
        <v>0</v>
      </c>
    </row>
    <row r="9471" spans="13:16">
      <c r="M9471" s="49">
        <f>IF($A$4+94&gt;$B$4,"",$A$4+94)</f>
        <v>46117</v>
      </c>
      <c r="N9471">
        <f>IF(M9471="","",'Master Barang'!A65)</f>
        <v>0</v>
      </c>
      <c r="O9471">
        <f>IF(N9471="","",'Master Barang'!B65)</f>
        <v>0</v>
      </c>
      <c r="P9471">
        <f>IF(OR(M9471="",N9471=""),"",SUMIFS('Barang Keluar'!$E:$E,'Barang Keluar'!$A:$A,M9471,'Barang Keluar'!$C:$C,N9471))</f>
        <v>0</v>
      </c>
    </row>
    <row r="9472" spans="13:16">
      <c r="M9472" s="49">
        <f>IF($A$4+94&gt;$B$4,"",$A$4+94)</f>
        <v>46117</v>
      </c>
      <c r="N9472">
        <f>IF(M9472="","",'Master Barang'!A66)</f>
        <v>0</v>
      </c>
      <c r="O9472">
        <f>IF(N9472="","",'Master Barang'!B66)</f>
        <v>0</v>
      </c>
      <c r="P9472">
        <f>IF(OR(M9472="",N9472=""),"",SUMIFS('Barang Keluar'!$E:$E,'Barang Keluar'!$A:$A,M9472,'Barang Keluar'!$C:$C,N9472))</f>
        <v>0</v>
      </c>
    </row>
    <row r="9473" spans="13:16">
      <c r="M9473" s="49">
        <f>IF($A$4+94&gt;$B$4,"",$A$4+94)</f>
        <v>46117</v>
      </c>
      <c r="N9473">
        <f>IF(M9473="","",'Master Barang'!A67)</f>
        <v>0</v>
      </c>
      <c r="O9473">
        <f>IF(N9473="","",'Master Barang'!B67)</f>
        <v>0</v>
      </c>
      <c r="P9473">
        <f>IF(OR(M9473="",N9473=""),"",SUMIFS('Barang Keluar'!$E:$E,'Barang Keluar'!$A:$A,M9473,'Barang Keluar'!$C:$C,N9473))</f>
        <v>0</v>
      </c>
    </row>
    <row r="9474" spans="13:16">
      <c r="M9474" s="49">
        <f>IF($A$4+94&gt;$B$4,"",$A$4+94)</f>
        <v>46117</v>
      </c>
      <c r="N9474">
        <f>IF(M9474="","",'Master Barang'!A68)</f>
        <v>0</v>
      </c>
      <c r="O9474">
        <f>IF(N9474="","",'Master Barang'!B68)</f>
        <v>0</v>
      </c>
      <c r="P9474">
        <f>IF(OR(M9474="",N9474=""),"",SUMIFS('Barang Keluar'!$E:$E,'Barang Keluar'!$A:$A,M9474,'Barang Keluar'!$C:$C,N9474))</f>
        <v>0</v>
      </c>
    </row>
    <row r="9475" spans="13:16">
      <c r="M9475" s="49">
        <f>IF($A$4+94&gt;$B$4,"",$A$4+94)</f>
        <v>46117</v>
      </c>
      <c r="N9475">
        <f>IF(M9475="","",'Master Barang'!A69)</f>
        <v>0</v>
      </c>
      <c r="O9475">
        <f>IF(N9475="","",'Master Barang'!B69)</f>
        <v>0</v>
      </c>
      <c r="P9475">
        <f>IF(OR(M9475="",N9475=""),"",SUMIFS('Barang Keluar'!$E:$E,'Barang Keluar'!$A:$A,M9475,'Barang Keluar'!$C:$C,N9475))</f>
        <v>0</v>
      </c>
    </row>
    <row r="9476" spans="13:16">
      <c r="M9476" s="49">
        <f>IF($A$4+94&gt;$B$4,"",$A$4+94)</f>
        <v>46117</v>
      </c>
      <c r="N9476">
        <f>IF(M9476="","",'Master Barang'!A70)</f>
        <v>0</v>
      </c>
      <c r="O9476">
        <f>IF(N9476="","",'Master Barang'!B70)</f>
        <v>0</v>
      </c>
      <c r="P9476">
        <f>IF(OR(M9476="",N9476=""),"",SUMIFS('Barang Keluar'!$E:$E,'Barang Keluar'!$A:$A,M9476,'Barang Keluar'!$C:$C,N9476))</f>
        <v>0</v>
      </c>
    </row>
    <row r="9477" spans="13:16">
      <c r="M9477" s="49">
        <f>IF($A$4+94&gt;$B$4,"",$A$4+94)</f>
        <v>46117</v>
      </c>
      <c r="N9477">
        <f>IF(M9477="","",'Master Barang'!A71)</f>
        <v>0</v>
      </c>
      <c r="O9477">
        <f>IF(N9477="","",'Master Barang'!B71)</f>
        <v>0</v>
      </c>
      <c r="P9477">
        <f>IF(OR(M9477="",N9477=""),"",SUMIFS('Barang Keluar'!$E:$E,'Barang Keluar'!$A:$A,M9477,'Barang Keluar'!$C:$C,N9477))</f>
        <v>0</v>
      </c>
    </row>
    <row r="9478" spans="13:16">
      <c r="M9478" s="49">
        <f>IF($A$4+94&gt;$B$4,"",$A$4+94)</f>
        <v>46117</v>
      </c>
      <c r="N9478">
        <f>IF(M9478="","",'Master Barang'!A72)</f>
        <v>0</v>
      </c>
      <c r="O9478">
        <f>IF(N9478="","",'Master Barang'!B72)</f>
        <v>0</v>
      </c>
      <c r="P9478">
        <f>IF(OR(M9478="",N9478=""),"",SUMIFS('Barang Keluar'!$E:$E,'Barang Keluar'!$A:$A,M9478,'Barang Keluar'!$C:$C,N9478))</f>
        <v>0</v>
      </c>
    </row>
    <row r="9479" spans="13:16">
      <c r="M9479" s="49">
        <f>IF($A$4+94&gt;$B$4,"",$A$4+94)</f>
        <v>46117</v>
      </c>
      <c r="N9479">
        <f>IF(M9479="","",'Master Barang'!A73)</f>
        <v>0</v>
      </c>
      <c r="O9479">
        <f>IF(N9479="","",'Master Barang'!B73)</f>
        <v>0</v>
      </c>
      <c r="P9479">
        <f>IF(OR(M9479="",N9479=""),"",SUMIFS('Barang Keluar'!$E:$E,'Barang Keluar'!$A:$A,M9479,'Barang Keluar'!$C:$C,N9479))</f>
        <v>0</v>
      </c>
    </row>
    <row r="9480" spans="13:16">
      <c r="M9480" s="49">
        <f>IF($A$4+94&gt;$B$4,"",$A$4+94)</f>
        <v>46117</v>
      </c>
      <c r="N9480">
        <f>IF(M9480="","",'Master Barang'!A74)</f>
        <v>0</v>
      </c>
      <c r="O9480">
        <f>IF(N9480="","",'Master Barang'!B74)</f>
        <v>0</v>
      </c>
      <c r="P9480">
        <f>IF(OR(M9480="",N9480=""),"",SUMIFS('Barang Keluar'!$E:$E,'Barang Keluar'!$A:$A,M9480,'Barang Keluar'!$C:$C,N9480))</f>
        <v>0</v>
      </c>
    </row>
    <row r="9481" spans="13:16">
      <c r="M9481" s="49">
        <f>IF($A$4+94&gt;$B$4,"",$A$4+94)</f>
        <v>46117</v>
      </c>
      <c r="N9481">
        <f>IF(M9481="","",'Master Barang'!A75)</f>
        <v>0</v>
      </c>
      <c r="O9481">
        <f>IF(N9481="","",'Master Barang'!B75)</f>
        <v>0</v>
      </c>
      <c r="P9481">
        <f>IF(OR(M9481="",N9481=""),"",SUMIFS('Barang Keluar'!$E:$E,'Barang Keluar'!$A:$A,M9481,'Barang Keluar'!$C:$C,N9481))</f>
        <v>0</v>
      </c>
    </row>
    <row r="9482" spans="13:16">
      <c r="M9482" s="49">
        <f>IF($A$4+94&gt;$B$4,"",$A$4+94)</f>
        <v>46117</v>
      </c>
      <c r="N9482">
        <f>IF(M9482="","",'Master Barang'!A76)</f>
        <v>0</v>
      </c>
      <c r="O9482">
        <f>IF(N9482="","",'Master Barang'!B76)</f>
        <v>0</v>
      </c>
      <c r="P9482">
        <f>IF(OR(M9482="",N9482=""),"",SUMIFS('Barang Keluar'!$E:$E,'Barang Keluar'!$A:$A,M9482,'Barang Keluar'!$C:$C,N9482))</f>
        <v>0</v>
      </c>
    </row>
    <row r="9483" spans="13:16">
      <c r="M9483" s="49">
        <f>IF($A$4+94&gt;$B$4,"",$A$4+94)</f>
        <v>46117</v>
      </c>
      <c r="N9483">
        <f>IF(M9483="","",'Master Barang'!A77)</f>
        <v>0</v>
      </c>
      <c r="O9483">
        <f>IF(N9483="","",'Master Barang'!B77)</f>
        <v>0</v>
      </c>
      <c r="P9483">
        <f>IF(OR(M9483="",N9483=""),"",SUMIFS('Barang Keluar'!$E:$E,'Barang Keluar'!$A:$A,M9483,'Barang Keluar'!$C:$C,N9483))</f>
        <v>0</v>
      </c>
    </row>
    <row r="9484" spans="13:16">
      <c r="M9484" s="49">
        <f>IF($A$4+94&gt;$B$4,"",$A$4+94)</f>
        <v>46117</v>
      </c>
      <c r="N9484">
        <f>IF(M9484="","",'Master Barang'!A78)</f>
        <v>0</v>
      </c>
      <c r="O9484">
        <f>IF(N9484="","",'Master Barang'!B78)</f>
        <v>0</v>
      </c>
      <c r="P9484">
        <f>IF(OR(M9484="",N9484=""),"",SUMIFS('Barang Keluar'!$E:$E,'Barang Keluar'!$A:$A,M9484,'Barang Keluar'!$C:$C,N9484))</f>
        <v>0</v>
      </c>
    </row>
    <row r="9485" spans="13:16">
      <c r="M9485" s="49">
        <f>IF($A$4+94&gt;$B$4,"",$A$4+94)</f>
        <v>46117</v>
      </c>
      <c r="N9485">
        <f>IF(M9485="","",'Master Barang'!A79)</f>
        <v>0</v>
      </c>
      <c r="O9485">
        <f>IF(N9485="","",'Master Barang'!B79)</f>
        <v>0</v>
      </c>
      <c r="P9485">
        <f>IF(OR(M9485="",N9485=""),"",SUMIFS('Barang Keluar'!$E:$E,'Barang Keluar'!$A:$A,M9485,'Barang Keluar'!$C:$C,N9485))</f>
        <v>0</v>
      </c>
    </row>
    <row r="9486" spans="13:16">
      <c r="M9486" s="49">
        <f>IF($A$4+94&gt;$B$4,"",$A$4+94)</f>
        <v>46117</v>
      </c>
      <c r="N9486">
        <f>IF(M9486="","",'Master Barang'!A80)</f>
        <v>0</v>
      </c>
      <c r="O9486">
        <f>IF(N9486="","",'Master Barang'!B80)</f>
        <v>0</v>
      </c>
      <c r="P9486">
        <f>IF(OR(M9486="",N9486=""),"",SUMIFS('Barang Keluar'!$E:$E,'Barang Keluar'!$A:$A,M9486,'Barang Keluar'!$C:$C,N9486))</f>
        <v>0</v>
      </c>
    </row>
    <row r="9487" spans="13:16">
      <c r="M9487" s="49">
        <f>IF($A$4+94&gt;$B$4,"",$A$4+94)</f>
        <v>46117</v>
      </c>
      <c r="N9487">
        <f>IF(M9487="","",'Master Barang'!A81)</f>
        <v>0</v>
      </c>
      <c r="O9487">
        <f>IF(N9487="","",'Master Barang'!B81)</f>
        <v>0</v>
      </c>
      <c r="P9487">
        <f>IF(OR(M9487="",N9487=""),"",SUMIFS('Barang Keluar'!$E:$E,'Barang Keluar'!$A:$A,M9487,'Barang Keluar'!$C:$C,N9487))</f>
        <v>0</v>
      </c>
    </row>
    <row r="9488" spans="13:16">
      <c r="M9488" s="49">
        <f>IF($A$4+94&gt;$B$4,"",$A$4+94)</f>
        <v>46117</v>
      </c>
      <c r="N9488">
        <f>IF(M9488="","",'Master Barang'!A82)</f>
        <v>0</v>
      </c>
      <c r="O9488">
        <f>IF(N9488="","",'Master Barang'!B82)</f>
        <v>0</v>
      </c>
      <c r="P9488">
        <f>IF(OR(M9488="",N9488=""),"",SUMIFS('Barang Keluar'!$E:$E,'Barang Keluar'!$A:$A,M9488,'Barang Keluar'!$C:$C,N9488))</f>
        <v>0</v>
      </c>
    </row>
    <row r="9489" spans="13:16">
      <c r="M9489" s="49">
        <f>IF($A$4+94&gt;$B$4,"",$A$4+94)</f>
        <v>46117</v>
      </c>
      <c r="N9489">
        <f>IF(M9489="","",'Master Barang'!A83)</f>
        <v>0</v>
      </c>
      <c r="O9489">
        <f>IF(N9489="","",'Master Barang'!B83)</f>
        <v>0</v>
      </c>
      <c r="P9489">
        <f>IF(OR(M9489="",N9489=""),"",SUMIFS('Barang Keluar'!$E:$E,'Barang Keluar'!$A:$A,M9489,'Barang Keluar'!$C:$C,N9489))</f>
        <v>0</v>
      </c>
    </row>
    <row r="9490" spans="13:16">
      <c r="M9490" s="49">
        <f>IF($A$4+94&gt;$B$4,"",$A$4+94)</f>
        <v>46117</v>
      </c>
      <c r="N9490">
        <f>IF(M9490="","",'Master Barang'!A84)</f>
        <v>0</v>
      </c>
      <c r="O9490">
        <f>IF(N9490="","",'Master Barang'!B84)</f>
        <v>0</v>
      </c>
      <c r="P9490">
        <f>IF(OR(M9490="",N9490=""),"",SUMIFS('Barang Keluar'!$E:$E,'Barang Keluar'!$A:$A,M9490,'Barang Keluar'!$C:$C,N9490))</f>
        <v>0</v>
      </c>
    </row>
    <row r="9491" spans="13:16">
      <c r="M9491" s="49">
        <f>IF($A$4+94&gt;$B$4,"",$A$4+94)</f>
        <v>46117</v>
      </c>
      <c r="N9491">
        <f>IF(M9491="","",'Master Barang'!A85)</f>
        <v>0</v>
      </c>
      <c r="O9491">
        <f>IF(N9491="","",'Master Barang'!B85)</f>
        <v>0</v>
      </c>
      <c r="P9491">
        <f>IF(OR(M9491="",N9491=""),"",SUMIFS('Barang Keluar'!$E:$E,'Barang Keluar'!$A:$A,M9491,'Barang Keluar'!$C:$C,N9491))</f>
        <v>0</v>
      </c>
    </row>
    <row r="9492" spans="13:16">
      <c r="M9492" s="49">
        <f>IF($A$4+94&gt;$B$4,"",$A$4+94)</f>
        <v>46117</v>
      </c>
      <c r="N9492">
        <f>IF(M9492="","",'Master Barang'!A86)</f>
        <v>0</v>
      </c>
      <c r="O9492">
        <f>IF(N9492="","",'Master Barang'!B86)</f>
        <v>0</v>
      </c>
      <c r="P9492">
        <f>IF(OR(M9492="",N9492=""),"",SUMIFS('Barang Keluar'!$E:$E,'Barang Keluar'!$A:$A,M9492,'Barang Keluar'!$C:$C,N9492))</f>
        <v>0</v>
      </c>
    </row>
    <row r="9493" spans="13:16">
      <c r="M9493" s="49">
        <f>IF($A$4+94&gt;$B$4,"",$A$4+94)</f>
        <v>46117</v>
      </c>
      <c r="N9493">
        <f>IF(M9493="","",'Master Barang'!A87)</f>
        <v>0</v>
      </c>
      <c r="O9493">
        <f>IF(N9493="","",'Master Barang'!B87)</f>
        <v>0</v>
      </c>
      <c r="P9493">
        <f>IF(OR(M9493="",N9493=""),"",SUMIFS('Barang Keluar'!$E:$E,'Barang Keluar'!$A:$A,M9493,'Barang Keluar'!$C:$C,N9493))</f>
        <v>0</v>
      </c>
    </row>
    <row r="9494" spans="13:16">
      <c r="M9494" s="49">
        <f>IF($A$4+94&gt;$B$4,"",$A$4+94)</f>
        <v>46117</v>
      </c>
      <c r="N9494">
        <f>IF(M9494="","",'Master Barang'!A88)</f>
        <v>0</v>
      </c>
      <c r="O9494">
        <f>IF(N9494="","",'Master Barang'!B88)</f>
        <v>0</v>
      </c>
      <c r="P9494">
        <f>IF(OR(M9494="",N9494=""),"",SUMIFS('Barang Keluar'!$E:$E,'Barang Keluar'!$A:$A,M9494,'Barang Keluar'!$C:$C,N9494))</f>
        <v>0</v>
      </c>
    </row>
    <row r="9495" spans="13:16">
      <c r="M9495" s="49">
        <f>IF($A$4+94&gt;$B$4,"",$A$4+94)</f>
        <v>46117</v>
      </c>
      <c r="N9495">
        <f>IF(M9495="","",'Master Barang'!A89)</f>
        <v>0</v>
      </c>
      <c r="O9495">
        <f>IF(N9495="","",'Master Barang'!B89)</f>
        <v>0</v>
      </c>
      <c r="P9495">
        <f>IF(OR(M9495="",N9495=""),"",SUMIFS('Barang Keluar'!$E:$E,'Barang Keluar'!$A:$A,M9495,'Barang Keluar'!$C:$C,N9495))</f>
        <v>0</v>
      </c>
    </row>
    <row r="9496" spans="13:16">
      <c r="M9496" s="49">
        <f>IF($A$4+94&gt;$B$4,"",$A$4+94)</f>
        <v>46117</v>
      </c>
      <c r="N9496">
        <f>IF(M9496="","",'Master Barang'!A90)</f>
        <v>0</v>
      </c>
      <c r="O9496">
        <f>IF(N9496="","",'Master Barang'!B90)</f>
        <v>0</v>
      </c>
      <c r="P9496">
        <f>IF(OR(M9496="",N9496=""),"",SUMIFS('Barang Keluar'!$E:$E,'Barang Keluar'!$A:$A,M9496,'Barang Keluar'!$C:$C,N9496))</f>
        <v>0</v>
      </c>
    </row>
    <row r="9497" spans="13:16">
      <c r="M9497" s="49">
        <f>IF($A$4+94&gt;$B$4,"",$A$4+94)</f>
        <v>46117</v>
      </c>
      <c r="N9497">
        <f>IF(M9497="","",'Master Barang'!A91)</f>
        <v>0</v>
      </c>
      <c r="O9497">
        <f>IF(N9497="","",'Master Barang'!B91)</f>
        <v>0</v>
      </c>
      <c r="P9497">
        <f>IF(OR(M9497="",N9497=""),"",SUMIFS('Barang Keluar'!$E:$E,'Barang Keluar'!$A:$A,M9497,'Barang Keluar'!$C:$C,N9497))</f>
        <v>0</v>
      </c>
    </row>
    <row r="9498" spans="13:16">
      <c r="M9498" s="49">
        <f>IF($A$4+94&gt;$B$4,"",$A$4+94)</f>
        <v>46117</v>
      </c>
      <c r="N9498">
        <f>IF(M9498="","",'Master Barang'!A92)</f>
        <v>0</v>
      </c>
      <c r="O9498">
        <f>IF(N9498="","",'Master Barang'!B92)</f>
        <v>0</v>
      </c>
      <c r="P9498">
        <f>IF(OR(M9498="",N9498=""),"",SUMIFS('Barang Keluar'!$E:$E,'Barang Keluar'!$A:$A,M9498,'Barang Keluar'!$C:$C,N9498))</f>
        <v>0</v>
      </c>
    </row>
    <row r="9499" spans="13:16">
      <c r="M9499" s="49">
        <f>IF($A$4+94&gt;$B$4,"",$A$4+94)</f>
        <v>46117</v>
      </c>
      <c r="N9499">
        <f>IF(M9499="","",'Master Barang'!A93)</f>
        <v>0</v>
      </c>
      <c r="O9499">
        <f>IF(N9499="","",'Master Barang'!B93)</f>
        <v>0</v>
      </c>
      <c r="P9499">
        <f>IF(OR(M9499="",N9499=""),"",SUMIFS('Barang Keluar'!$E:$E,'Barang Keluar'!$A:$A,M9499,'Barang Keluar'!$C:$C,N9499))</f>
        <v>0</v>
      </c>
    </row>
    <row r="9500" spans="13:16">
      <c r="M9500" s="49">
        <f>IF($A$4+94&gt;$B$4,"",$A$4+94)</f>
        <v>46117</v>
      </c>
      <c r="N9500">
        <f>IF(M9500="","",'Master Barang'!A94)</f>
        <v>0</v>
      </c>
      <c r="O9500">
        <f>IF(N9500="","",'Master Barang'!B94)</f>
        <v>0</v>
      </c>
      <c r="P9500">
        <f>IF(OR(M9500="",N9500=""),"",SUMIFS('Barang Keluar'!$E:$E,'Barang Keluar'!$A:$A,M9500,'Barang Keluar'!$C:$C,N9500))</f>
        <v>0</v>
      </c>
    </row>
    <row r="9501" spans="13:16">
      <c r="M9501" s="49">
        <f>IF($A$4+94&gt;$B$4,"",$A$4+94)</f>
        <v>46117</v>
      </c>
      <c r="N9501">
        <f>IF(M9501="","",'Master Barang'!A95)</f>
        <v>0</v>
      </c>
      <c r="O9501">
        <f>IF(N9501="","",'Master Barang'!B95)</f>
        <v>0</v>
      </c>
      <c r="P9501">
        <f>IF(OR(M9501="",N9501=""),"",SUMIFS('Barang Keluar'!$E:$E,'Barang Keluar'!$A:$A,M9501,'Barang Keluar'!$C:$C,N9501))</f>
        <v>0</v>
      </c>
    </row>
    <row r="9502" spans="13:16">
      <c r="M9502" s="49">
        <f>IF($A$4+94&gt;$B$4,"",$A$4+94)</f>
        <v>46117</v>
      </c>
      <c r="N9502">
        <f>IF(M9502="","",'Master Barang'!A96)</f>
        <v>0</v>
      </c>
      <c r="O9502">
        <f>IF(N9502="","",'Master Barang'!B96)</f>
        <v>0</v>
      </c>
      <c r="P9502">
        <f>IF(OR(M9502="",N9502=""),"",SUMIFS('Barang Keluar'!$E:$E,'Barang Keluar'!$A:$A,M9502,'Barang Keluar'!$C:$C,N9502))</f>
        <v>0</v>
      </c>
    </row>
    <row r="9503" spans="13:16">
      <c r="M9503" s="49">
        <f>IF($A$4+94&gt;$B$4,"",$A$4+94)</f>
        <v>46117</v>
      </c>
      <c r="N9503">
        <f>IF(M9503="","",'Master Barang'!A97)</f>
        <v>0</v>
      </c>
      <c r="O9503">
        <f>IF(N9503="","",'Master Barang'!B97)</f>
        <v>0</v>
      </c>
      <c r="P9503">
        <f>IF(OR(M9503="",N9503=""),"",SUMIFS('Barang Keluar'!$E:$E,'Barang Keluar'!$A:$A,M9503,'Barang Keluar'!$C:$C,N9503))</f>
        <v>0</v>
      </c>
    </row>
    <row r="9504" spans="13:16">
      <c r="M9504" s="49">
        <f>IF($A$4+94&gt;$B$4,"",$A$4+94)</f>
        <v>46117</v>
      </c>
      <c r="N9504">
        <f>IF(M9504="","",'Master Barang'!A98)</f>
        <v>0</v>
      </c>
      <c r="O9504">
        <f>IF(N9504="","",'Master Barang'!B98)</f>
        <v>0</v>
      </c>
      <c r="P9504">
        <f>IF(OR(M9504="",N9504=""),"",SUMIFS('Barang Keluar'!$E:$E,'Barang Keluar'!$A:$A,M9504,'Barang Keluar'!$C:$C,N9504))</f>
        <v>0</v>
      </c>
    </row>
    <row r="9505" spans="13:16">
      <c r="M9505" s="49">
        <f>IF($A$4+94&gt;$B$4,"",$A$4+94)</f>
        <v>46117</v>
      </c>
      <c r="N9505">
        <f>IF(M9505="","",'Master Barang'!A99)</f>
        <v>0</v>
      </c>
      <c r="O9505">
        <f>IF(N9505="","",'Master Barang'!B99)</f>
        <v>0</v>
      </c>
      <c r="P9505">
        <f>IF(OR(M9505="",N9505=""),"",SUMIFS('Barang Keluar'!$E:$E,'Barang Keluar'!$A:$A,M9505,'Barang Keluar'!$C:$C,N9505))</f>
        <v>0</v>
      </c>
    </row>
    <row r="9506" spans="13:16">
      <c r="M9506" s="49">
        <f>IF($A$4+94&gt;$B$4,"",$A$4+94)</f>
        <v>46117</v>
      </c>
      <c r="N9506">
        <f>IF(M9506="","",'Master Barang'!A100)</f>
        <v>0</v>
      </c>
      <c r="O9506">
        <f>IF(N9506="","",'Master Barang'!B100)</f>
        <v>0</v>
      </c>
      <c r="P9506">
        <f>IF(OR(M9506="",N9506=""),"",SUMIFS('Barang Keluar'!$E:$E,'Barang Keluar'!$A:$A,M9506,'Barang Keluar'!$C:$C,N9506))</f>
        <v>0</v>
      </c>
    </row>
    <row r="9507" spans="13:16">
      <c r="M9507" s="49">
        <f>IF($A$4+94&gt;$B$4,"",$A$4+94)</f>
        <v>46117</v>
      </c>
      <c r="N9507">
        <f>IF(M9507="","",'Master Barang'!A101)</f>
        <v>0</v>
      </c>
      <c r="O9507">
        <f>IF(N9507="","",'Master Barang'!B101)</f>
        <v>0</v>
      </c>
      <c r="P9507">
        <f>IF(OR(M9507="",N9507=""),"",SUMIFS('Barang Keluar'!$E:$E,'Barang Keluar'!$A:$A,M9507,'Barang Keluar'!$C:$C,N9507))</f>
        <v>0</v>
      </c>
    </row>
    <row r="9508" spans="13:16">
      <c r="M9508" s="49">
        <f>IF($A$4+95&gt;$B$4,"",$A$4+95)</f>
        <v>46118</v>
      </c>
      <c r="N9508" t="str">
        <f>IF(M9508="","",'Master Barang'!A2)</f>
        <v>PRL-001</v>
      </c>
      <c r="O9508" t="str">
        <f>IF(N9508="","",'Master Barang'!B2)</f>
        <v>natura desinfectant food grade 5l</v>
      </c>
      <c r="P9508">
        <f>IF(OR(M9508="",N9508=""),"",SUMIFS('Barang Keluar'!$E:$E,'Barang Keluar'!$A:$A,M9508,'Barang Keluar'!$C:$C,N9508))</f>
        <v>0</v>
      </c>
    </row>
    <row r="9509" spans="13:16">
      <c r="M9509" s="49">
        <f>IF($A$4+95&gt;$B$4,"",$A$4+95)</f>
        <v>46118</v>
      </c>
      <c r="N9509" t="str">
        <f>IF(M9509="","",'Master Barang'!A3)</f>
        <v>PRL-002</v>
      </c>
      <c r="O9509" t="str">
        <f>IF(N9509="","",'Master Barang'!B3)</f>
        <v>sunlight cairan pencuci piring 5l</v>
      </c>
      <c r="P9509">
        <f>IF(OR(M9509="",N9509=""),"",SUMIFS('Barang Keluar'!$E:$E,'Barang Keluar'!$A:$A,M9509,'Barang Keluar'!$C:$C,N9509))</f>
        <v>0</v>
      </c>
    </row>
    <row r="9510" spans="13:16">
      <c r="M9510" s="49">
        <f>IF($A$4+95&gt;$B$4,"",$A$4+95)</f>
        <v>46118</v>
      </c>
      <c r="N9510" t="str">
        <f>IF(M9510="","",'Master Barang'!A4)</f>
        <v>PRL-003</v>
      </c>
      <c r="O9510" t="str">
        <f>IF(N9510="","",'Master Barang'!B4)</f>
        <v>oixs cleaner 1l</v>
      </c>
      <c r="P9510">
        <f>IF(OR(M9510="",N9510=""),"",SUMIFS('Barang Keluar'!$E:$E,'Barang Keluar'!$A:$A,M9510,'Barang Keluar'!$C:$C,N9510))</f>
        <v>0</v>
      </c>
    </row>
    <row r="9511" spans="13:16">
      <c r="M9511" s="49">
        <f>IF($A$4+95&gt;$B$4,"",$A$4+95)</f>
        <v>46118</v>
      </c>
      <c r="N9511" t="str">
        <f>IF(M9511="","",'Master Barang'!A5)</f>
        <v>PRL-004</v>
      </c>
      <c r="O9511" t="str">
        <f>IF(N9511="","",'Master Barang'!B5)</f>
        <v>be clean tissue serbaguna</v>
      </c>
      <c r="P9511">
        <f>IF(OR(M9511="",N9511=""),"",SUMIFS('Barang Keluar'!$E:$E,'Barang Keluar'!$A:$A,M9511,'Barang Keluar'!$C:$C,N9511))</f>
        <v>0</v>
      </c>
    </row>
    <row r="9512" spans="13:16">
      <c r="M9512" s="49">
        <f>IF($A$4+95&gt;$B$4,"",$A$4+95)</f>
        <v>46118</v>
      </c>
      <c r="N9512" t="str">
        <f>IF(M9512="","",'Master Barang'!A6)</f>
        <v>PRL-005</v>
      </c>
      <c r="O9512" t="str">
        <f>IF(N9512="","",'Master Barang'!B6)</f>
        <v>spons cuci hijau</v>
      </c>
      <c r="P9512">
        <f>IF(OR(M9512="",N9512=""),"",SUMIFS('Barang Keluar'!$E:$E,'Barang Keluar'!$A:$A,M9512,'Barang Keluar'!$C:$C,N9512))</f>
        <v>0</v>
      </c>
    </row>
    <row r="9513" spans="13:16">
      <c r="M9513" s="49">
        <f>IF($A$4+95&gt;$B$4,"",$A$4+95)</f>
        <v>46118</v>
      </c>
      <c r="N9513" t="str">
        <f>IF(M9513="","",'Master Barang'!A7)</f>
        <v>PRL-006</v>
      </c>
      <c r="O9513" t="str">
        <f>IF(N9513="","",'Master Barang'!B7)</f>
        <v>sabut cuci stainless</v>
      </c>
      <c r="P9513">
        <f>IF(OR(M9513="",N9513=""),"",SUMIFS('Barang Keluar'!$E:$E,'Barang Keluar'!$A:$A,M9513,'Barang Keluar'!$C:$C,N9513))</f>
        <v>0</v>
      </c>
    </row>
    <row r="9514" spans="13:16">
      <c r="M9514" s="49">
        <f>IF($A$4+95&gt;$B$4,"",$A$4+95)</f>
        <v>46118</v>
      </c>
      <c r="N9514" t="str">
        <f>IF(M9514="","",'Master Barang'!A8)</f>
        <v>PRL-007</v>
      </c>
      <c r="O9514" t="str">
        <f>IF(N9514="","",'Master Barang'!B8)</f>
        <v>plastik kresek besar merah 50pc</v>
      </c>
      <c r="P9514">
        <f>IF(OR(M9514="",N9514=""),"",SUMIFS('Barang Keluar'!$E:$E,'Barang Keluar'!$A:$A,M9514,'Barang Keluar'!$C:$C,N9514))</f>
        <v>0</v>
      </c>
    </row>
    <row r="9515" spans="13:16">
      <c r="M9515" s="49">
        <f>IF($A$4+95&gt;$B$4,"",$A$4+95)</f>
        <v>46118</v>
      </c>
      <c r="N9515" t="str">
        <f>IF(M9515="","",'Master Barang'!A9)</f>
        <v>PRL-008</v>
      </c>
      <c r="O9515" t="str">
        <f>IF(N9515="","",'Master Barang'!B9)</f>
        <v>lap besar</v>
      </c>
      <c r="P9515">
        <f>IF(OR(M9515="",N9515=""),"",SUMIFS('Barang Keluar'!$E:$E,'Barang Keluar'!$A:$A,M9515,'Barang Keluar'!$C:$C,N9515))</f>
        <v>0</v>
      </c>
    </row>
    <row r="9516" spans="13:16">
      <c r="M9516" s="49">
        <f>IF($A$4+95&gt;$B$4,"",$A$4+95)</f>
        <v>46118</v>
      </c>
      <c r="N9516" t="str">
        <f>IF(M9516="","",'Master Barang'!A10)</f>
        <v>PRL-009</v>
      </c>
      <c r="O9516" t="str">
        <f>IF(N9516="","",'Master Barang'!B10)</f>
        <v>lap microfiber</v>
      </c>
      <c r="P9516">
        <f>IF(OR(M9516="",N9516=""),"",SUMIFS('Barang Keluar'!$E:$E,'Barang Keluar'!$A:$A,M9516,'Barang Keluar'!$C:$C,N9516))</f>
        <v>0</v>
      </c>
    </row>
    <row r="9517" spans="13:16">
      <c r="M9517" s="49">
        <f>IF($A$4+95&gt;$B$4,"",$A$4+95)</f>
        <v>46118</v>
      </c>
      <c r="N9517" t="str">
        <f>IF(M9517="","",'Master Barang'!A11)</f>
        <v>PRL-010</v>
      </c>
      <c r="O9517" t="str">
        <f>IF(N9517="","",'Master Barang'!B11)</f>
        <v>lap kecil</v>
      </c>
      <c r="P9517">
        <f>IF(OR(M9517="",N9517=""),"",SUMIFS('Barang Keluar'!$E:$E,'Barang Keluar'!$A:$A,M9517,'Barang Keluar'!$C:$C,N9517))</f>
        <v>0</v>
      </c>
    </row>
    <row r="9518" spans="13:16">
      <c r="M9518" s="49">
        <f>IF($A$4+95&gt;$B$4,"",$A$4+95)</f>
        <v>46118</v>
      </c>
      <c r="N9518" t="str">
        <f>IF(M9518="","",'Master Barang'!A12)</f>
        <v>PRL-011</v>
      </c>
      <c r="O9518" t="str">
        <f>IF(N9518="","",'Master Barang'!B12)</f>
        <v>kanebo kecil</v>
      </c>
      <c r="P9518">
        <f>IF(OR(M9518="",N9518=""),"",SUMIFS('Barang Keluar'!$E:$E,'Barang Keluar'!$A:$A,M9518,'Barang Keluar'!$C:$C,N9518))</f>
        <v>0</v>
      </c>
    </row>
    <row r="9519" spans="13:16">
      <c r="M9519" s="49">
        <f>IF($A$4+95&gt;$B$4,"",$A$4+95)</f>
        <v>46118</v>
      </c>
      <c r="N9519" t="str">
        <f>IF(M9519="","",'Master Barang'!A13)</f>
        <v>PRL-012</v>
      </c>
      <c r="O9519" t="str">
        <f>IF(N9519="","",'Master Barang'!B13)</f>
        <v>plastik 1/4kg joyoboyo 100 lembar</v>
      </c>
      <c r="P9519">
        <f>IF(OR(M9519="",N9519=""),"",SUMIFS('Barang Keluar'!$E:$E,'Barang Keluar'!$A:$A,M9519,'Barang Keluar'!$C:$C,N9519))</f>
        <v>0</v>
      </c>
    </row>
    <row r="9520" spans="13:16">
      <c r="M9520" s="49">
        <f>IF($A$4+95&gt;$B$4,"",$A$4+95)</f>
        <v>46118</v>
      </c>
      <c r="N9520" t="str">
        <f>IF(M9520="","",'Master Barang'!A14)</f>
        <v>PRL-013</v>
      </c>
      <c r="O9520" t="str">
        <f>IF(N9520="","",'Master Barang'!B14)</f>
        <v>sarung tangan plastik kaka 100 pcs</v>
      </c>
      <c r="P9520">
        <f>IF(OR(M9520="",N9520=""),"",SUMIFS('Barang Keluar'!$E:$E,'Barang Keluar'!$A:$A,M9520,'Barang Keluar'!$C:$C,N9520))</f>
        <v>0</v>
      </c>
    </row>
    <row r="9521" spans="13:16">
      <c r="M9521" s="49">
        <f>IF($A$4+95&gt;$B$4,"",$A$4+95)</f>
        <v>46118</v>
      </c>
      <c r="N9521" t="str">
        <f>IF(M9521="","",'Master Barang'!A15)</f>
        <v>PRL-014</v>
      </c>
      <c r="O9521" t="str">
        <f>IF(N9521="","",'Master Barang'!B15)</f>
        <v>optima trashbag 80x100</v>
      </c>
      <c r="P9521">
        <f>IF(OR(M9521="",N9521=""),"",SUMIFS('Barang Keluar'!$E:$E,'Barang Keluar'!$A:$A,M9521,'Barang Keluar'!$C:$C,N9521))</f>
        <v>0</v>
      </c>
    </row>
    <row r="9522" spans="13:16">
      <c r="M9522" s="49">
        <f>IF($A$4+95&gt;$B$4,"",$A$4+95)</f>
        <v>46118</v>
      </c>
      <c r="N9522" t="str">
        <f>IF(M9522="","",'Master Barang'!A16)</f>
        <v>PRL-015</v>
      </c>
      <c r="O9522" t="str">
        <f>IF(N9522="","",'Master Barang'!B16)</f>
        <v>optima trashbag 60x100</v>
      </c>
      <c r="P9522">
        <f>IF(OR(M9522="",N9522=""),"",SUMIFS('Barang Keluar'!$E:$E,'Barang Keluar'!$A:$A,M9522,'Barang Keluar'!$C:$C,N9522))</f>
        <v>0</v>
      </c>
    </row>
    <row r="9523" spans="13:16">
      <c r="M9523" s="49">
        <f>IF($A$4+95&gt;$B$4,"",$A$4+95)</f>
        <v>46118</v>
      </c>
      <c r="N9523" t="str">
        <f>IF(M9523="","",'Master Barang'!A17)</f>
        <v>PRL-016</v>
      </c>
      <c r="O9523" t="str">
        <f>IF(N9523="","",'Master Barang'!B17)</f>
        <v>rajawali trashbag 30x40</v>
      </c>
      <c r="P9523">
        <f>IF(OR(M9523="",N9523=""),"",SUMIFS('Barang Keluar'!$E:$E,'Barang Keluar'!$A:$A,M9523,'Barang Keluar'!$C:$C,N9523))</f>
        <v>0</v>
      </c>
    </row>
    <row r="9524" spans="13:16">
      <c r="M9524" s="49">
        <f>IF($A$4+95&gt;$B$4,"",$A$4+95)</f>
        <v>46118</v>
      </c>
      <c r="N9524" t="str">
        <f>IF(M9524="","",'Master Barang'!A18)</f>
        <v>PRL-017</v>
      </c>
      <c r="O9524" t="str">
        <f>IF(N9524="","",'Master Barang'!B18)</f>
        <v>onemed masker biru 3 play 50 pcs</v>
      </c>
      <c r="P9524">
        <f>IF(OR(M9524="",N9524=""),"",SUMIFS('Barang Keluar'!$E:$E,'Barang Keluar'!$A:$A,M9524,'Barang Keluar'!$C:$C,N9524))</f>
        <v>0</v>
      </c>
    </row>
    <row r="9525" spans="13:16">
      <c r="M9525" s="49">
        <f>IF($A$4+95&gt;$B$4,"",$A$4+95)</f>
        <v>46118</v>
      </c>
      <c r="N9525" t="str">
        <f>IF(M9525="","",'Master Barang'!A19)</f>
        <v>PRL-018</v>
      </c>
      <c r="O9525" t="str">
        <f>IF(N9525="","",'Master Barang'!B19)</f>
        <v>onemed masker biru 3 play hijab 50 pcs</v>
      </c>
      <c r="P9525">
        <f>IF(OR(M9525="",N9525=""),"",SUMIFS('Barang Keluar'!$E:$E,'Barang Keluar'!$A:$A,M9525,'Barang Keluar'!$C:$C,N9525))</f>
        <v>0</v>
      </c>
    </row>
    <row r="9526" spans="13:16">
      <c r="M9526" s="49">
        <f>IF($A$4+95&gt;$B$4,"",$A$4+95)</f>
        <v>46118</v>
      </c>
      <c r="N9526" t="str">
        <f>IF(M9526="","",'Master Barang'!A20)</f>
        <v>PRL-019</v>
      </c>
      <c r="O9526" t="str">
        <f>IF(N9526="","",'Master Barang'!B20)</f>
        <v>neo health masker biru 3 play 50 pcs</v>
      </c>
      <c r="P9526">
        <f>IF(OR(M9526="",N9526=""),"",SUMIFS('Barang Keluar'!$E:$E,'Barang Keluar'!$A:$A,M9526,'Barang Keluar'!$C:$C,N9526))</f>
        <v>0</v>
      </c>
    </row>
    <row r="9527" spans="13:16">
      <c r="M9527" s="49">
        <f>IF($A$4+95&gt;$B$4,"",$A$4+95)</f>
        <v>46118</v>
      </c>
      <c r="N9527" t="str">
        <f>IF(M9527="","",'Master Barang'!A21)</f>
        <v>PRL-020</v>
      </c>
      <c r="O9527" t="str">
        <f>IF(N9527="","",'Master Barang'!B21)</f>
        <v>baymed masker hijau 3 play hijau 50 pcs</v>
      </c>
      <c r="P9527">
        <f>IF(OR(M9527="",N9527=""),"",SUMIFS('Barang Keluar'!$E:$E,'Barang Keluar'!$A:$A,M9527,'Barang Keluar'!$C:$C,N9527))</f>
        <v>0</v>
      </c>
    </row>
    <row r="9528" spans="13:16">
      <c r="M9528" s="49">
        <f>IF($A$4+95&gt;$B$4,"",$A$4+95)</f>
        <v>46118</v>
      </c>
      <c r="N9528" t="str">
        <f>IF(M9528="","",'Master Barang'!A22)</f>
        <v>PRL-021</v>
      </c>
      <c r="O9528" t="str">
        <f>IF(N9528="","",'Master Barang'!B22)</f>
        <v>altamed nurse cap penutup kepala 100 pcs</v>
      </c>
      <c r="P9528">
        <f>IF(OR(M9528="",N9528=""),"",SUMIFS('Barang Keluar'!$E:$E,'Barang Keluar'!$A:$A,M9528,'Barang Keluar'!$C:$C,N9528))</f>
        <v>0</v>
      </c>
    </row>
    <row r="9529" spans="13:16">
      <c r="M9529" s="49">
        <f>IF($A$4+95&gt;$B$4,"",$A$4+95)</f>
        <v>46118</v>
      </c>
      <c r="N9529" t="str">
        <f>IF(M9529="","",'Master Barang'!A23)</f>
        <v>PRL-022</v>
      </c>
      <c r="O9529" t="str">
        <f>IF(N9529="","",'Master Barang'!B23)</f>
        <v>sabun cuci tangan</v>
      </c>
      <c r="P9529">
        <f>IF(OR(M9529="",N9529=""),"",SUMIFS('Barang Keluar'!$E:$E,'Barang Keluar'!$A:$A,M9529,'Barang Keluar'!$C:$C,N9529))</f>
        <v>0</v>
      </c>
    </row>
    <row r="9530" spans="13:16">
      <c r="M9530" s="49">
        <f>IF($A$4+95&gt;$B$4,"",$A$4+95)</f>
        <v>46118</v>
      </c>
      <c r="N9530" t="str">
        <f>IF(M9530="","",'Master Barang'!A24)</f>
        <v>PRL-023</v>
      </c>
      <c r="O9530" t="str">
        <f>IF(N9530="","",'Master Barang'!B24)</f>
        <v>gayung kecil</v>
      </c>
      <c r="P9530">
        <f>IF(OR(M9530="",N9530=""),"",SUMIFS('Barang Keluar'!$E:$E,'Barang Keluar'!$A:$A,M9530,'Barang Keluar'!$C:$C,N9530))</f>
        <v>0</v>
      </c>
    </row>
    <row r="9531" spans="13:16">
      <c r="M9531" s="49">
        <f>IF($A$4+95&gt;$B$4,"",$A$4+95)</f>
        <v>46118</v>
      </c>
      <c r="N9531" t="str">
        <f>IF(M9531="","",'Master Barang'!A25)</f>
        <v>PRL-024</v>
      </c>
      <c r="O9531" t="str">
        <f>IF(N9531="","",'Master Barang'!B25)</f>
        <v>cikrak kecil</v>
      </c>
      <c r="P9531">
        <f>IF(OR(M9531="",N9531=""),"",SUMIFS('Barang Keluar'!$E:$E,'Barang Keluar'!$A:$A,M9531,'Barang Keluar'!$C:$C,N9531))</f>
        <v>0</v>
      </c>
    </row>
    <row r="9532" spans="13:16">
      <c r="M9532" s="49">
        <f>IF($A$4+95&gt;$B$4,"",$A$4+95)</f>
        <v>46118</v>
      </c>
      <c r="N9532" t="str">
        <f>IF(M9532="","",'Master Barang'!A26)</f>
        <v>PRL-025</v>
      </c>
      <c r="O9532" t="str">
        <f>IF(N9532="","",'Master Barang'!B26)</f>
        <v>petromax plastik kecil 12x24 100 lembar</v>
      </c>
      <c r="P9532">
        <f>IF(OR(M9532="",N9532=""),"",SUMIFS('Barang Keluar'!$E:$E,'Barang Keluar'!$A:$A,M9532,'Barang Keluar'!$C:$C,N9532))</f>
        <v>0</v>
      </c>
    </row>
    <row r="9533" spans="13:16">
      <c r="M9533" s="49">
        <f>IF($A$4+95&gt;$B$4,"",$A$4+95)</f>
        <v>46118</v>
      </c>
      <c r="N9533" t="str">
        <f>IF(M9533="","",'Master Barang'!A27)</f>
        <v>PRL-026</v>
      </c>
      <c r="O9533" t="str">
        <f>IF(N9533="","",'Master Barang'!B27)</f>
        <v>lancar kresek kecil bening </v>
      </c>
      <c r="P9533">
        <f>IF(OR(M9533="",N9533=""),"",SUMIFS('Barang Keluar'!$E:$E,'Barang Keluar'!$A:$A,M9533,'Barang Keluar'!$C:$C,N9533))</f>
        <v>0</v>
      </c>
    </row>
    <row r="9534" spans="13:16">
      <c r="M9534" s="49">
        <f>IF($A$4+95&gt;$B$4,"",$A$4+95)</f>
        <v>46118</v>
      </c>
      <c r="N9534" t="str">
        <f>IF(M9534="","",'Master Barang'!A28)</f>
        <v>PRL-027</v>
      </c>
      <c r="O9534" t="str">
        <f>IF(N9534="","",'Master Barang'!B28)</f>
        <v>kresek klin warna warni kecil</v>
      </c>
      <c r="P9534">
        <f>IF(OR(M9534="",N9534=""),"",SUMIFS('Barang Keluar'!$E:$E,'Barang Keluar'!$A:$A,M9534,'Barang Keluar'!$C:$C,N9534))</f>
        <v>0</v>
      </c>
    </row>
    <row r="9535" spans="13:16">
      <c r="M9535" s="49">
        <f>IF($A$4+95&gt;$B$4,"",$A$4+95)</f>
        <v>46118</v>
      </c>
      <c r="N9535" t="str">
        <f>IF(M9535="","",'Master Barang'!A29)</f>
        <v>PRL-028</v>
      </c>
      <c r="O9535" t="str">
        <f>IF(N9535="","",'Master Barang'!B29)</f>
        <v>ctik plastik 7x10 100 pcs</v>
      </c>
      <c r="P9535">
        <f>IF(OR(M9535="",N9535=""),"",SUMIFS('Barang Keluar'!$E:$E,'Barang Keluar'!$A:$A,M9535,'Barang Keluar'!$C:$C,N9535))</f>
        <v>0</v>
      </c>
    </row>
    <row r="9536" spans="13:16">
      <c r="M9536" s="49">
        <f>IF($A$4+95&gt;$B$4,"",$A$4+95)</f>
        <v>46118</v>
      </c>
      <c r="N9536" t="str">
        <f>IF(M9536="","",'Master Barang'!A30)</f>
        <v>PRL-029</v>
      </c>
      <c r="O9536" t="str">
        <f>IF(N9536="","",'Master Barang'!B30)</f>
        <v>ctik plastik 6x10 100 pcs</v>
      </c>
      <c r="P9536">
        <f>IF(OR(M9536="",N9536=""),"",SUMIFS('Barang Keluar'!$E:$E,'Barang Keluar'!$A:$A,M9536,'Barang Keluar'!$C:$C,N9536))</f>
        <v>0</v>
      </c>
    </row>
    <row r="9537" spans="13:16">
      <c r="M9537" s="49">
        <f>IF($A$4+95&gt;$B$4,"",$A$4+95)</f>
        <v>46118</v>
      </c>
      <c r="N9537" t="str">
        <f>IF(M9537="","",'Master Barang'!A31)</f>
        <v>PRL-030</v>
      </c>
      <c r="O9537" t="str">
        <f>IF(N9537="","",'Master Barang'!B31)</f>
        <v>klip plastik 25x16 100 pcs</v>
      </c>
      <c r="P9537">
        <f>IF(OR(M9537="",N9537=""),"",SUMIFS('Barang Keluar'!$E:$E,'Barang Keluar'!$A:$A,M9537,'Barang Keluar'!$C:$C,N9537))</f>
        <v>0</v>
      </c>
    </row>
    <row r="9538" spans="13:16">
      <c r="M9538" s="49">
        <f>IF($A$4+95&gt;$B$4,"",$A$4+95)</f>
        <v>46118</v>
      </c>
      <c r="N9538" t="str">
        <f>IF(M9538="","",'Master Barang'!A32)</f>
        <v>PRL-031</v>
      </c>
      <c r="O9538" t="str">
        <f>IF(N9538="","",'Master Barang'!B32)</f>
        <v>tempat saus 20 ml</v>
      </c>
      <c r="P9538">
        <f>IF(OR(M9538="",N9538=""),"",SUMIFS('Barang Keluar'!$E:$E,'Barang Keluar'!$A:$A,M9538,'Barang Keluar'!$C:$C,N9538))</f>
        <v>0</v>
      </c>
    </row>
    <row r="9539" spans="13:16">
      <c r="M9539" s="49">
        <f>IF($A$4+95&gt;$B$4,"",$A$4+95)</f>
        <v>46118</v>
      </c>
      <c r="N9539" t="str">
        <f>IF(M9539="","",'Master Barang'!A33)</f>
        <v>PRL-032</v>
      </c>
      <c r="O9539" t="str">
        <f>IF(N9539="","",'Master Barang'!B33)</f>
        <v>plastik packaging ag box uk sedang</v>
      </c>
      <c r="P9539">
        <f>IF(OR(M9539="",N9539=""),"",SUMIFS('Barang Keluar'!$E:$E,'Barang Keluar'!$A:$A,M9539,'Barang Keluar'!$C:$C,N9539))</f>
        <v>0</v>
      </c>
    </row>
    <row r="9540" spans="13:16">
      <c r="M9540" s="49">
        <f>IF($A$4+95&gt;$B$4,"",$A$4+95)</f>
        <v>46118</v>
      </c>
      <c r="N9540" t="str">
        <f>IF(M9540="","",'Master Barang'!A34)</f>
        <v>PRL-033</v>
      </c>
      <c r="O9540">
        <f>IF(N9540="","",'Master Barang'!B34)</f>
        <v>0</v>
      </c>
      <c r="P9540">
        <f>IF(OR(M9540="",N9540=""),"",SUMIFS('Barang Keluar'!$E:$E,'Barang Keluar'!$A:$A,M9540,'Barang Keluar'!$C:$C,N9540))</f>
        <v>0</v>
      </c>
    </row>
    <row r="9541" spans="13:16">
      <c r="M9541" s="49">
        <f>IF($A$4+95&gt;$B$4,"",$A$4+95)</f>
        <v>46118</v>
      </c>
      <c r="N9541">
        <f>IF(M9541="","",'Master Barang'!A35)</f>
        <v>0</v>
      </c>
      <c r="O9541">
        <f>IF(N9541="","",'Master Barang'!B35)</f>
        <v>0</v>
      </c>
      <c r="P9541">
        <f>IF(OR(M9541="",N9541=""),"",SUMIFS('Barang Keluar'!$E:$E,'Barang Keluar'!$A:$A,M9541,'Barang Keluar'!$C:$C,N9541))</f>
        <v>0</v>
      </c>
    </row>
    <row r="9542" spans="13:16">
      <c r="M9542" s="49">
        <f>IF($A$4+95&gt;$B$4,"",$A$4+95)</f>
        <v>46118</v>
      </c>
      <c r="N9542">
        <f>IF(M9542="","",'Master Barang'!A36)</f>
        <v>0</v>
      </c>
      <c r="O9542">
        <f>IF(N9542="","",'Master Barang'!B36)</f>
        <v>0</v>
      </c>
      <c r="P9542">
        <f>IF(OR(M9542="",N9542=""),"",SUMIFS('Barang Keluar'!$E:$E,'Barang Keluar'!$A:$A,M9542,'Barang Keluar'!$C:$C,N9542))</f>
        <v>0</v>
      </c>
    </row>
    <row r="9543" spans="13:16">
      <c r="M9543" s="49">
        <f>IF($A$4+95&gt;$B$4,"",$A$4+95)</f>
        <v>46118</v>
      </c>
      <c r="N9543">
        <f>IF(M9543="","",'Master Barang'!A37)</f>
        <v>0</v>
      </c>
      <c r="O9543">
        <f>IF(N9543="","",'Master Barang'!B37)</f>
        <v>0</v>
      </c>
      <c r="P9543">
        <f>IF(OR(M9543="",N9543=""),"",SUMIFS('Barang Keluar'!$E:$E,'Barang Keluar'!$A:$A,M9543,'Barang Keluar'!$C:$C,N9543))</f>
        <v>0</v>
      </c>
    </row>
    <row r="9544" spans="13:16">
      <c r="M9544" s="49">
        <f>IF($A$4+95&gt;$B$4,"",$A$4+95)</f>
        <v>46118</v>
      </c>
      <c r="N9544">
        <f>IF(M9544="","",'Master Barang'!A38)</f>
        <v>0</v>
      </c>
      <c r="O9544">
        <f>IF(N9544="","",'Master Barang'!B38)</f>
        <v>0</v>
      </c>
      <c r="P9544">
        <f>IF(OR(M9544="",N9544=""),"",SUMIFS('Barang Keluar'!$E:$E,'Barang Keluar'!$A:$A,M9544,'Barang Keluar'!$C:$C,N9544))</f>
        <v>0</v>
      </c>
    </row>
    <row r="9545" spans="13:16">
      <c r="M9545" s="49">
        <f>IF($A$4+95&gt;$B$4,"",$A$4+95)</f>
        <v>46118</v>
      </c>
      <c r="N9545">
        <f>IF(M9545="","",'Master Barang'!A39)</f>
        <v>0</v>
      </c>
      <c r="O9545">
        <f>IF(N9545="","",'Master Barang'!B39)</f>
        <v>0</v>
      </c>
      <c r="P9545">
        <f>IF(OR(M9545="",N9545=""),"",SUMIFS('Barang Keluar'!$E:$E,'Barang Keluar'!$A:$A,M9545,'Barang Keluar'!$C:$C,N9545))</f>
        <v>0</v>
      </c>
    </row>
    <row r="9546" spans="13:16">
      <c r="M9546" s="49">
        <f>IF($A$4+95&gt;$B$4,"",$A$4+95)</f>
        <v>46118</v>
      </c>
      <c r="N9546">
        <f>IF(M9546="","",'Master Barang'!A40)</f>
        <v>0</v>
      </c>
      <c r="O9546">
        <f>IF(N9546="","",'Master Barang'!B40)</f>
        <v>0</v>
      </c>
      <c r="P9546">
        <f>IF(OR(M9546="",N9546=""),"",SUMIFS('Barang Keluar'!$E:$E,'Barang Keluar'!$A:$A,M9546,'Barang Keluar'!$C:$C,N9546))</f>
        <v>0</v>
      </c>
    </row>
    <row r="9547" spans="13:16">
      <c r="M9547" s="49">
        <f>IF($A$4+95&gt;$B$4,"",$A$4+95)</f>
        <v>46118</v>
      </c>
      <c r="N9547">
        <f>IF(M9547="","",'Master Barang'!A41)</f>
        <v>0</v>
      </c>
      <c r="O9547">
        <f>IF(N9547="","",'Master Barang'!B41)</f>
        <v>0</v>
      </c>
      <c r="P9547">
        <f>IF(OR(M9547="",N9547=""),"",SUMIFS('Barang Keluar'!$E:$E,'Barang Keluar'!$A:$A,M9547,'Barang Keluar'!$C:$C,N9547))</f>
        <v>0</v>
      </c>
    </row>
    <row r="9548" spans="13:16">
      <c r="M9548" s="49">
        <f>IF($A$4+95&gt;$B$4,"",$A$4+95)</f>
        <v>46118</v>
      </c>
      <c r="N9548">
        <f>IF(M9548="","",'Master Barang'!A42)</f>
        <v>0</v>
      </c>
      <c r="O9548">
        <f>IF(N9548="","",'Master Barang'!B42)</f>
        <v>0</v>
      </c>
      <c r="P9548">
        <f>IF(OR(M9548="",N9548=""),"",SUMIFS('Barang Keluar'!$E:$E,'Barang Keluar'!$A:$A,M9548,'Barang Keluar'!$C:$C,N9548))</f>
        <v>0</v>
      </c>
    </row>
    <row r="9549" spans="13:16">
      <c r="M9549" s="49">
        <f>IF($A$4+95&gt;$B$4,"",$A$4+95)</f>
        <v>46118</v>
      </c>
      <c r="N9549">
        <f>IF(M9549="","",'Master Barang'!A43)</f>
        <v>0</v>
      </c>
      <c r="O9549">
        <f>IF(N9549="","",'Master Barang'!B43)</f>
        <v>0</v>
      </c>
      <c r="P9549">
        <f>IF(OR(M9549="",N9549=""),"",SUMIFS('Barang Keluar'!$E:$E,'Barang Keluar'!$A:$A,M9549,'Barang Keluar'!$C:$C,N9549))</f>
        <v>0</v>
      </c>
    </row>
    <row r="9550" spans="13:16">
      <c r="M9550" s="49">
        <f>IF($A$4+95&gt;$B$4,"",$A$4+95)</f>
        <v>46118</v>
      </c>
      <c r="N9550">
        <f>IF(M9550="","",'Master Barang'!A44)</f>
        <v>0</v>
      </c>
      <c r="O9550">
        <f>IF(N9550="","",'Master Barang'!B44)</f>
        <v>0</v>
      </c>
      <c r="P9550">
        <f>IF(OR(M9550="",N9550=""),"",SUMIFS('Barang Keluar'!$E:$E,'Barang Keluar'!$A:$A,M9550,'Barang Keluar'!$C:$C,N9550))</f>
        <v>0</v>
      </c>
    </row>
    <row r="9551" spans="13:16">
      <c r="M9551" s="49">
        <f>IF($A$4+95&gt;$B$4,"",$A$4+95)</f>
        <v>46118</v>
      </c>
      <c r="N9551">
        <f>IF(M9551="","",'Master Barang'!A45)</f>
        <v>0</v>
      </c>
      <c r="O9551">
        <f>IF(N9551="","",'Master Barang'!B45)</f>
        <v>0</v>
      </c>
      <c r="P9551">
        <f>IF(OR(M9551="",N9551=""),"",SUMIFS('Barang Keluar'!$E:$E,'Barang Keluar'!$A:$A,M9551,'Barang Keluar'!$C:$C,N9551))</f>
        <v>0</v>
      </c>
    </row>
    <row r="9552" spans="13:16">
      <c r="M9552" s="49">
        <f>IF($A$4+95&gt;$B$4,"",$A$4+95)</f>
        <v>46118</v>
      </c>
      <c r="N9552">
        <f>IF(M9552="","",'Master Barang'!A46)</f>
        <v>0</v>
      </c>
      <c r="O9552">
        <f>IF(N9552="","",'Master Barang'!B46)</f>
        <v>0</v>
      </c>
      <c r="P9552">
        <f>IF(OR(M9552="",N9552=""),"",SUMIFS('Barang Keluar'!$E:$E,'Barang Keluar'!$A:$A,M9552,'Barang Keluar'!$C:$C,N9552))</f>
        <v>0</v>
      </c>
    </row>
    <row r="9553" spans="13:16">
      <c r="M9553" s="49">
        <f>IF($A$4+95&gt;$B$4,"",$A$4+95)</f>
        <v>46118</v>
      </c>
      <c r="N9553">
        <f>IF(M9553="","",'Master Barang'!A47)</f>
        <v>0</v>
      </c>
      <c r="O9553">
        <f>IF(N9553="","",'Master Barang'!B47)</f>
        <v>0</v>
      </c>
      <c r="P9553">
        <f>IF(OR(M9553="",N9553=""),"",SUMIFS('Barang Keluar'!$E:$E,'Barang Keluar'!$A:$A,M9553,'Barang Keluar'!$C:$C,N9553))</f>
        <v>0</v>
      </c>
    </row>
    <row r="9554" spans="13:16">
      <c r="M9554" s="49">
        <f>IF($A$4+95&gt;$B$4,"",$A$4+95)</f>
        <v>46118</v>
      </c>
      <c r="N9554">
        <f>IF(M9554="","",'Master Barang'!A48)</f>
        <v>0</v>
      </c>
      <c r="O9554">
        <f>IF(N9554="","",'Master Barang'!B48)</f>
        <v>0</v>
      </c>
      <c r="P9554">
        <f>IF(OR(M9554="",N9554=""),"",SUMIFS('Barang Keluar'!$E:$E,'Barang Keluar'!$A:$A,M9554,'Barang Keluar'!$C:$C,N9554))</f>
        <v>0</v>
      </c>
    </row>
    <row r="9555" spans="13:16">
      <c r="M9555" s="49">
        <f>IF($A$4+95&gt;$B$4,"",$A$4+95)</f>
        <v>46118</v>
      </c>
      <c r="N9555">
        <f>IF(M9555="","",'Master Barang'!A49)</f>
        <v>0</v>
      </c>
      <c r="O9555">
        <f>IF(N9555="","",'Master Barang'!B49)</f>
        <v>0</v>
      </c>
      <c r="P9555">
        <f>IF(OR(M9555="",N9555=""),"",SUMIFS('Barang Keluar'!$E:$E,'Barang Keluar'!$A:$A,M9555,'Barang Keluar'!$C:$C,N9555))</f>
        <v>0</v>
      </c>
    </row>
    <row r="9556" spans="13:16">
      <c r="M9556" s="49">
        <f>IF($A$4+95&gt;$B$4,"",$A$4+95)</f>
        <v>46118</v>
      </c>
      <c r="N9556">
        <f>IF(M9556="","",'Master Barang'!A50)</f>
        <v>0</v>
      </c>
      <c r="O9556">
        <f>IF(N9556="","",'Master Barang'!B50)</f>
        <v>0</v>
      </c>
      <c r="P9556">
        <f>IF(OR(M9556="",N9556=""),"",SUMIFS('Barang Keluar'!$E:$E,'Barang Keluar'!$A:$A,M9556,'Barang Keluar'!$C:$C,N9556))</f>
        <v>0</v>
      </c>
    </row>
    <row r="9557" spans="13:16">
      <c r="M9557" s="49">
        <f>IF($A$4+95&gt;$B$4,"",$A$4+95)</f>
        <v>46118</v>
      </c>
      <c r="N9557">
        <f>IF(M9557="","",'Master Barang'!A51)</f>
        <v>0</v>
      </c>
      <c r="O9557">
        <f>IF(N9557="","",'Master Barang'!B51)</f>
        <v>0</v>
      </c>
      <c r="P9557">
        <f>IF(OR(M9557="",N9557=""),"",SUMIFS('Barang Keluar'!$E:$E,'Barang Keluar'!$A:$A,M9557,'Barang Keluar'!$C:$C,N9557))</f>
        <v>0</v>
      </c>
    </row>
    <row r="9558" spans="13:16">
      <c r="M9558" s="49">
        <f>IF($A$4+95&gt;$B$4,"",$A$4+95)</f>
        <v>46118</v>
      </c>
      <c r="N9558">
        <f>IF(M9558="","",'Master Barang'!A52)</f>
        <v>0</v>
      </c>
      <c r="O9558">
        <f>IF(N9558="","",'Master Barang'!B52)</f>
        <v>0</v>
      </c>
      <c r="P9558">
        <f>IF(OR(M9558="",N9558=""),"",SUMIFS('Barang Keluar'!$E:$E,'Barang Keluar'!$A:$A,M9558,'Barang Keluar'!$C:$C,N9558))</f>
        <v>0</v>
      </c>
    </row>
    <row r="9559" spans="13:16">
      <c r="M9559" s="49">
        <f>IF($A$4+95&gt;$B$4,"",$A$4+95)</f>
        <v>46118</v>
      </c>
      <c r="N9559">
        <f>IF(M9559="","",'Master Barang'!A53)</f>
        <v>0</v>
      </c>
      <c r="O9559">
        <f>IF(N9559="","",'Master Barang'!B53)</f>
        <v>0</v>
      </c>
      <c r="P9559">
        <f>IF(OR(M9559="",N9559=""),"",SUMIFS('Barang Keluar'!$E:$E,'Barang Keluar'!$A:$A,M9559,'Barang Keluar'!$C:$C,N9559))</f>
        <v>0</v>
      </c>
    </row>
    <row r="9560" spans="13:16">
      <c r="M9560" s="49">
        <f>IF($A$4+95&gt;$B$4,"",$A$4+95)</f>
        <v>46118</v>
      </c>
      <c r="N9560">
        <f>IF(M9560="","",'Master Barang'!A54)</f>
        <v>0</v>
      </c>
      <c r="O9560">
        <f>IF(N9560="","",'Master Barang'!B54)</f>
        <v>0</v>
      </c>
      <c r="P9560">
        <f>IF(OR(M9560="",N9560=""),"",SUMIFS('Barang Keluar'!$E:$E,'Barang Keluar'!$A:$A,M9560,'Barang Keluar'!$C:$C,N9560))</f>
        <v>0</v>
      </c>
    </row>
    <row r="9561" spans="13:16">
      <c r="M9561" s="49">
        <f>IF($A$4+95&gt;$B$4,"",$A$4+95)</f>
        <v>46118</v>
      </c>
      <c r="N9561">
        <f>IF(M9561="","",'Master Barang'!A55)</f>
        <v>0</v>
      </c>
      <c r="O9561">
        <f>IF(N9561="","",'Master Barang'!B55)</f>
        <v>0</v>
      </c>
      <c r="P9561">
        <f>IF(OR(M9561="",N9561=""),"",SUMIFS('Barang Keluar'!$E:$E,'Barang Keluar'!$A:$A,M9561,'Barang Keluar'!$C:$C,N9561))</f>
        <v>0</v>
      </c>
    </row>
    <row r="9562" spans="13:16">
      <c r="M9562" s="49">
        <f>IF($A$4+95&gt;$B$4,"",$A$4+95)</f>
        <v>46118</v>
      </c>
      <c r="N9562">
        <f>IF(M9562="","",'Master Barang'!A56)</f>
        <v>0</v>
      </c>
      <c r="O9562">
        <f>IF(N9562="","",'Master Barang'!B56)</f>
        <v>0</v>
      </c>
      <c r="P9562">
        <f>IF(OR(M9562="",N9562=""),"",SUMIFS('Barang Keluar'!$E:$E,'Barang Keluar'!$A:$A,M9562,'Barang Keluar'!$C:$C,N9562))</f>
        <v>0</v>
      </c>
    </row>
    <row r="9563" spans="13:16">
      <c r="M9563" s="49">
        <f>IF($A$4+95&gt;$B$4,"",$A$4+95)</f>
        <v>46118</v>
      </c>
      <c r="N9563">
        <f>IF(M9563="","",'Master Barang'!A57)</f>
        <v>0</v>
      </c>
      <c r="O9563">
        <f>IF(N9563="","",'Master Barang'!B57)</f>
        <v>0</v>
      </c>
      <c r="P9563">
        <f>IF(OR(M9563="",N9563=""),"",SUMIFS('Barang Keluar'!$E:$E,'Barang Keluar'!$A:$A,M9563,'Barang Keluar'!$C:$C,N9563))</f>
        <v>0</v>
      </c>
    </row>
    <row r="9564" spans="13:16">
      <c r="M9564" s="49">
        <f>IF($A$4+95&gt;$B$4,"",$A$4+95)</f>
        <v>46118</v>
      </c>
      <c r="N9564">
        <f>IF(M9564="","",'Master Barang'!A58)</f>
        <v>0</v>
      </c>
      <c r="O9564">
        <f>IF(N9564="","",'Master Barang'!B58)</f>
        <v>0</v>
      </c>
      <c r="P9564">
        <f>IF(OR(M9564="",N9564=""),"",SUMIFS('Barang Keluar'!$E:$E,'Barang Keluar'!$A:$A,M9564,'Barang Keluar'!$C:$C,N9564))</f>
        <v>0</v>
      </c>
    </row>
    <row r="9565" spans="13:16">
      <c r="M9565" s="49">
        <f>IF($A$4+95&gt;$B$4,"",$A$4+95)</f>
        <v>46118</v>
      </c>
      <c r="N9565">
        <f>IF(M9565="","",'Master Barang'!A59)</f>
        <v>0</v>
      </c>
      <c r="O9565">
        <f>IF(N9565="","",'Master Barang'!B59)</f>
        <v>0</v>
      </c>
      <c r="P9565">
        <f>IF(OR(M9565="",N9565=""),"",SUMIFS('Barang Keluar'!$E:$E,'Barang Keluar'!$A:$A,M9565,'Barang Keluar'!$C:$C,N9565))</f>
        <v>0</v>
      </c>
    </row>
    <row r="9566" spans="13:16">
      <c r="M9566" s="49">
        <f>IF($A$4+95&gt;$B$4,"",$A$4+95)</f>
        <v>46118</v>
      </c>
      <c r="N9566">
        <f>IF(M9566="","",'Master Barang'!A60)</f>
        <v>0</v>
      </c>
      <c r="O9566">
        <f>IF(N9566="","",'Master Barang'!B60)</f>
        <v>0</v>
      </c>
      <c r="P9566">
        <f>IF(OR(M9566="",N9566=""),"",SUMIFS('Barang Keluar'!$E:$E,'Barang Keluar'!$A:$A,M9566,'Barang Keluar'!$C:$C,N9566))</f>
        <v>0</v>
      </c>
    </row>
    <row r="9567" spans="13:16">
      <c r="M9567" s="49">
        <f>IF($A$4+95&gt;$B$4,"",$A$4+95)</f>
        <v>46118</v>
      </c>
      <c r="N9567">
        <f>IF(M9567="","",'Master Barang'!A61)</f>
        <v>0</v>
      </c>
      <c r="O9567">
        <f>IF(N9567="","",'Master Barang'!B61)</f>
        <v>0</v>
      </c>
      <c r="P9567">
        <f>IF(OR(M9567="",N9567=""),"",SUMIFS('Barang Keluar'!$E:$E,'Barang Keluar'!$A:$A,M9567,'Barang Keluar'!$C:$C,N9567))</f>
        <v>0</v>
      </c>
    </row>
    <row r="9568" spans="13:16">
      <c r="M9568" s="49">
        <f>IF($A$4+95&gt;$B$4,"",$A$4+95)</f>
        <v>46118</v>
      </c>
      <c r="N9568">
        <f>IF(M9568="","",'Master Barang'!A62)</f>
        <v>0</v>
      </c>
      <c r="O9568">
        <f>IF(N9568="","",'Master Barang'!B62)</f>
        <v>0</v>
      </c>
      <c r="P9568">
        <f>IF(OR(M9568="",N9568=""),"",SUMIFS('Barang Keluar'!$E:$E,'Barang Keluar'!$A:$A,M9568,'Barang Keluar'!$C:$C,N9568))</f>
        <v>0</v>
      </c>
    </row>
    <row r="9569" spans="13:16">
      <c r="M9569" s="49">
        <f>IF($A$4+95&gt;$B$4,"",$A$4+95)</f>
        <v>46118</v>
      </c>
      <c r="N9569">
        <f>IF(M9569="","",'Master Barang'!A63)</f>
        <v>0</v>
      </c>
      <c r="O9569">
        <f>IF(N9569="","",'Master Barang'!B63)</f>
        <v>0</v>
      </c>
      <c r="P9569">
        <f>IF(OR(M9569="",N9569=""),"",SUMIFS('Barang Keluar'!$E:$E,'Barang Keluar'!$A:$A,M9569,'Barang Keluar'!$C:$C,N9569))</f>
        <v>0</v>
      </c>
    </row>
    <row r="9570" spans="13:16">
      <c r="M9570" s="49">
        <f>IF($A$4+95&gt;$B$4,"",$A$4+95)</f>
        <v>46118</v>
      </c>
      <c r="N9570">
        <f>IF(M9570="","",'Master Barang'!A64)</f>
        <v>0</v>
      </c>
      <c r="O9570">
        <f>IF(N9570="","",'Master Barang'!B64)</f>
        <v>0</v>
      </c>
      <c r="P9570">
        <f>IF(OR(M9570="",N9570=""),"",SUMIFS('Barang Keluar'!$E:$E,'Barang Keluar'!$A:$A,M9570,'Barang Keluar'!$C:$C,N9570))</f>
        <v>0</v>
      </c>
    </row>
    <row r="9571" spans="13:16">
      <c r="M9571" s="49">
        <f>IF($A$4+95&gt;$B$4,"",$A$4+95)</f>
        <v>46118</v>
      </c>
      <c r="N9571">
        <f>IF(M9571="","",'Master Barang'!A65)</f>
        <v>0</v>
      </c>
      <c r="O9571">
        <f>IF(N9571="","",'Master Barang'!B65)</f>
        <v>0</v>
      </c>
      <c r="P9571">
        <f>IF(OR(M9571="",N9571=""),"",SUMIFS('Barang Keluar'!$E:$E,'Barang Keluar'!$A:$A,M9571,'Barang Keluar'!$C:$C,N9571))</f>
        <v>0</v>
      </c>
    </row>
    <row r="9572" spans="13:16">
      <c r="M9572" s="49">
        <f>IF($A$4+95&gt;$B$4,"",$A$4+95)</f>
        <v>46118</v>
      </c>
      <c r="N9572">
        <f>IF(M9572="","",'Master Barang'!A66)</f>
        <v>0</v>
      </c>
      <c r="O9572">
        <f>IF(N9572="","",'Master Barang'!B66)</f>
        <v>0</v>
      </c>
      <c r="P9572">
        <f>IF(OR(M9572="",N9572=""),"",SUMIFS('Barang Keluar'!$E:$E,'Barang Keluar'!$A:$A,M9572,'Barang Keluar'!$C:$C,N9572))</f>
        <v>0</v>
      </c>
    </row>
    <row r="9573" spans="13:16">
      <c r="M9573" s="49">
        <f>IF($A$4+95&gt;$B$4,"",$A$4+95)</f>
        <v>46118</v>
      </c>
      <c r="N9573">
        <f>IF(M9573="","",'Master Barang'!A67)</f>
        <v>0</v>
      </c>
      <c r="O9573">
        <f>IF(N9573="","",'Master Barang'!B67)</f>
        <v>0</v>
      </c>
      <c r="P9573">
        <f>IF(OR(M9573="",N9573=""),"",SUMIFS('Barang Keluar'!$E:$E,'Barang Keluar'!$A:$A,M9573,'Barang Keluar'!$C:$C,N9573))</f>
        <v>0</v>
      </c>
    </row>
    <row r="9574" spans="13:16">
      <c r="M9574" s="49">
        <f>IF($A$4+95&gt;$B$4,"",$A$4+95)</f>
        <v>46118</v>
      </c>
      <c r="N9574">
        <f>IF(M9574="","",'Master Barang'!A68)</f>
        <v>0</v>
      </c>
      <c r="O9574">
        <f>IF(N9574="","",'Master Barang'!B68)</f>
        <v>0</v>
      </c>
      <c r="P9574">
        <f>IF(OR(M9574="",N9574=""),"",SUMIFS('Barang Keluar'!$E:$E,'Barang Keluar'!$A:$A,M9574,'Barang Keluar'!$C:$C,N9574))</f>
        <v>0</v>
      </c>
    </row>
    <row r="9575" spans="13:16">
      <c r="M9575" s="49">
        <f>IF($A$4+95&gt;$B$4,"",$A$4+95)</f>
        <v>46118</v>
      </c>
      <c r="N9575">
        <f>IF(M9575="","",'Master Barang'!A69)</f>
        <v>0</v>
      </c>
      <c r="O9575">
        <f>IF(N9575="","",'Master Barang'!B69)</f>
        <v>0</v>
      </c>
      <c r="P9575">
        <f>IF(OR(M9575="",N9575=""),"",SUMIFS('Barang Keluar'!$E:$E,'Barang Keluar'!$A:$A,M9575,'Barang Keluar'!$C:$C,N9575))</f>
        <v>0</v>
      </c>
    </row>
    <row r="9576" spans="13:16">
      <c r="M9576" s="49">
        <f>IF($A$4+95&gt;$B$4,"",$A$4+95)</f>
        <v>46118</v>
      </c>
      <c r="N9576">
        <f>IF(M9576="","",'Master Barang'!A70)</f>
        <v>0</v>
      </c>
      <c r="O9576">
        <f>IF(N9576="","",'Master Barang'!B70)</f>
        <v>0</v>
      </c>
      <c r="P9576">
        <f>IF(OR(M9576="",N9576=""),"",SUMIFS('Barang Keluar'!$E:$E,'Barang Keluar'!$A:$A,M9576,'Barang Keluar'!$C:$C,N9576))</f>
        <v>0</v>
      </c>
    </row>
    <row r="9577" spans="13:16">
      <c r="M9577" s="49">
        <f>IF($A$4+95&gt;$B$4,"",$A$4+95)</f>
        <v>46118</v>
      </c>
      <c r="N9577">
        <f>IF(M9577="","",'Master Barang'!A71)</f>
        <v>0</v>
      </c>
      <c r="O9577">
        <f>IF(N9577="","",'Master Barang'!B71)</f>
        <v>0</v>
      </c>
      <c r="P9577">
        <f>IF(OR(M9577="",N9577=""),"",SUMIFS('Barang Keluar'!$E:$E,'Barang Keluar'!$A:$A,M9577,'Barang Keluar'!$C:$C,N9577))</f>
        <v>0</v>
      </c>
    </row>
    <row r="9578" spans="13:16">
      <c r="M9578" s="49">
        <f>IF($A$4+95&gt;$B$4,"",$A$4+95)</f>
        <v>46118</v>
      </c>
      <c r="N9578">
        <f>IF(M9578="","",'Master Barang'!A72)</f>
        <v>0</v>
      </c>
      <c r="O9578">
        <f>IF(N9578="","",'Master Barang'!B72)</f>
        <v>0</v>
      </c>
      <c r="P9578">
        <f>IF(OR(M9578="",N9578=""),"",SUMIFS('Barang Keluar'!$E:$E,'Barang Keluar'!$A:$A,M9578,'Barang Keluar'!$C:$C,N9578))</f>
        <v>0</v>
      </c>
    </row>
    <row r="9579" spans="13:16">
      <c r="M9579" s="49">
        <f>IF($A$4+95&gt;$B$4,"",$A$4+95)</f>
        <v>46118</v>
      </c>
      <c r="N9579">
        <f>IF(M9579="","",'Master Barang'!A73)</f>
        <v>0</v>
      </c>
      <c r="O9579">
        <f>IF(N9579="","",'Master Barang'!B73)</f>
        <v>0</v>
      </c>
      <c r="P9579">
        <f>IF(OR(M9579="",N9579=""),"",SUMIFS('Barang Keluar'!$E:$E,'Barang Keluar'!$A:$A,M9579,'Barang Keluar'!$C:$C,N9579))</f>
        <v>0</v>
      </c>
    </row>
    <row r="9580" spans="13:16">
      <c r="M9580" s="49">
        <f>IF($A$4+95&gt;$B$4,"",$A$4+95)</f>
        <v>46118</v>
      </c>
      <c r="N9580">
        <f>IF(M9580="","",'Master Barang'!A74)</f>
        <v>0</v>
      </c>
      <c r="O9580">
        <f>IF(N9580="","",'Master Barang'!B74)</f>
        <v>0</v>
      </c>
      <c r="P9580">
        <f>IF(OR(M9580="",N9580=""),"",SUMIFS('Barang Keluar'!$E:$E,'Barang Keluar'!$A:$A,M9580,'Barang Keluar'!$C:$C,N9580))</f>
        <v>0</v>
      </c>
    </row>
    <row r="9581" spans="13:16">
      <c r="M9581" s="49">
        <f>IF($A$4+95&gt;$B$4,"",$A$4+95)</f>
        <v>46118</v>
      </c>
      <c r="N9581">
        <f>IF(M9581="","",'Master Barang'!A75)</f>
        <v>0</v>
      </c>
      <c r="O9581">
        <f>IF(N9581="","",'Master Barang'!B75)</f>
        <v>0</v>
      </c>
      <c r="P9581">
        <f>IF(OR(M9581="",N9581=""),"",SUMIFS('Barang Keluar'!$E:$E,'Barang Keluar'!$A:$A,M9581,'Barang Keluar'!$C:$C,N9581))</f>
        <v>0</v>
      </c>
    </row>
    <row r="9582" spans="13:16">
      <c r="M9582" s="49">
        <f>IF($A$4+95&gt;$B$4,"",$A$4+95)</f>
        <v>46118</v>
      </c>
      <c r="N9582">
        <f>IF(M9582="","",'Master Barang'!A76)</f>
        <v>0</v>
      </c>
      <c r="O9582">
        <f>IF(N9582="","",'Master Barang'!B76)</f>
        <v>0</v>
      </c>
      <c r="P9582">
        <f>IF(OR(M9582="",N9582=""),"",SUMIFS('Barang Keluar'!$E:$E,'Barang Keluar'!$A:$A,M9582,'Barang Keluar'!$C:$C,N9582))</f>
        <v>0</v>
      </c>
    </row>
    <row r="9583" spans="13:16">
      <c r="M9583" s="49">
        <f>IF($A$4+95&gt;$B$4,"",$A$4+95)</f>
        <v>46118</v>
      </c>
      <c r="N9583">
        <f>IF(M9583="","",'Master Barang'!A77)</f>
        <v>0</v>
      </c>
      <c r="O9583">
        <f>IF(N9583="","",'Master Barang'!B77)</f>
        <v>0</v>
      </c>
      <c r="P9583">
        <f>IF(OR(M9583="",N9583=""),"",SUMIFS('Barang Keluar'!$E:$E,'Barang Keluar'!$A:$A,M9583,'Barang Keluar'!$C:$C,N9583))</f>
        <v>0</v>
      </c>
    </row>
    <row r="9584" spans="13:16">
      <c r="M9584" s="49">
        <f>IF($A$4+95&gt;$B$4,"",$A$4+95)</f>
        <v>46118</v>
      </c>
      <c r="N9584">
        <f>IF(M9584="","",'Master Barang'!A78)</f>
        <v>0</v>
      </c>
      <c r="O9584">
        <f>IF(N9584="","",'Master Barang'!B78)</f>
        <v>0</v>
      </c>
      <c r="P9584">
        <f>IF(OR(M9584="",N9584=""),"",SUMIFS('Barang Keluar'!$E:$E,'Barang Keluar'!$A:$A,M9584,'Barang Keluar'!$C:$C,N9584))</f>
        <v>0</v>
      </c>
    </row>
    <row r="9585" spans="13:16">
      <c r="M9585" s="49">
        <f>IF($A$4+95&gt;$B$4,"",$A$4+95)</f>
        <v>46118</v>
      </c>
      <c r="N9585">
        <f>IF(M9585="","",'Master Barang'!A79)</f>
        <v>0</v>
      </c>
      <c r="O9585">
        <f>IF(N9585="","",'Master Barang'!B79)</f>
        <v>0</v>
      </c>
      <c r="P9585">
        <f>IF(OR(M9585="",N9585=""),"",SUMIFS('Barang Keluar'!$E:$E,'Barang Keluar'!$A:$A,M9585,'Barang Keluar'!$C:$C,N9585))</f>
        <v>0</v>
      </c>
    </row>
    <row r="9586" spans="13:16">
      <c r="M9586" s="49">
        <f>IF($A$4+95&gt;$B$4,"",$A$4+95)</f>
        <v>46118</v>
      </c>
      <c r="N9586">
        <f>IF(M9586="","",'Master Barang'!A80)</f>
        <v>0</v>
      </c>
      <c r="O9586">
        <f>IF(N9586="","",'Master Barang'!B80)</f>
        <v>0</v>
      </c>
      <c r="P9586">
        <f>IF(OR(M9586="",N9586=""),"",SUMIFS('Barang Keluar'!$E:$E,'Barang Keluar'!$A:$A,M9586,'Barang Keluar'!$C:$C,N9586))</f>
        <v>0</v>
      </c>
    </row>
    <row r="9587" spans="13:16">
      <c r="M9587" s="49">
        <f>IF($A$4+95&gt;$B$4,"",$A$4+95)</f>
        <v>46118</v>
      </c>
      <c r="N9587">
        <f>IF(M9587="","",'Master Barang'!A81)</f>
        <v>0</v>
      </c>
      <c r="O9587">
        <f>IF(N9587="","",'Master Barang'!B81)</f>
        <v>0</v>
      </c>
      <c r="P9587">
        <f>IF(OR(M9587="",N9587=""),"",SUMIFS('Barang Keluar'!$E:$E,'Barang Keluar'!$A:$A,M9587,'Barang Keluar'!$C:$C,N9587))</f>
        <v>0</v>
      </c>
    </row>
    <row r="9588" spans="13:16">
      <c r="M9588" s="49">
        <f>IF($A$4+95&gt;$B$4,"",$A$4+95)</f>
        <v>46118</v>
      </c>
      <c r="N9588">
        <f>IF(M9588="","",'Master Barang'!A82)</f>
        <v>0</v>
      </c>
      <c r="O9588">
        <f>IF(N9588="","",'Master Barang'!B82)</f>
        <v>0</v>
      </c>
      <c r="P9588">
        <f>IF(OR(M9588="",N9588=""),"",SUMIFS('Barang Keluar'!$E:$E,'Barang Keluar'!$A:$A,M9588,'Barang Keluar'!$C:$C,N9588))</f>
        <v>0</v>
      </c>
    </row>
    <row r="9589" spans="13:16">
      <c r="M9589" s="49">
        <f>IF($A$4+95&gt;$B$4,"",$A$4+95)</f>
        <v>46118</v>
      </c>
      <c r="N9589">
        <f>IF(M9589="","",'Master Barang'!A83)</f>
        <v>0</v>
      </c>
      <c r="O9589">
        <f>IF(N9589="","",'Master Barang'!B83)</f>
        <v>0</v>
      </c>
      <c r="P9589">
        <f>IF(OR(M9589="",N9589=""),"",SUMIFS('Barang Keluar'!$E:$E,'Barang Keluar'!$A:$A,M9589,'Barang Keluar'!$C:$C,N9589))</f>
        <v>0</v>
      </c>
    </row>
    <row r="9590" spans="13:16">
      <c r="M9590" s="49">
        <f>IF($A$4+95&gt;$B$4,"",$A$4+95)</f>
        <v>46118</v>
      </c>
      <c r="N9590">
        <f>IF(M9590="","",'Master Barang'!A84)</f>
        <v>0</v>
      </c>
      <c r="O9590">
        <f>IF(N9590="","",'Master Barang'!B84)</f>
        <v>0</v>
      </c>
      <c r="P9590">
        <f>IF(OR(M9590="",N9590=""),"",SUMIFS('Barang Keluar'!$E:$E,'Barang Keluar'!$A:$A,M9590,'Barang Keluar'!$C:$C,N9590))</f>
        <v>0</v>
      </c>
    </row>
    <row r="9591" spans="13:16">
      <c r="M9591" s="49">
        <f>IF($A$4+95&gt;$B$4,"",$A$4+95)</f>
        <v>46118</v>
      </c>
      <c r="N9591">
        <f>IF(M9591="","",'Master Barang'!A85)</f>
        <v>0</v>
      </c>
      <c r="O9591">
        <f>IF(N9591="","",'Master Barang'!B85)</f>
        <v>0</v>
      </c>
      <c r="P9591">
        <f>IF(OR(M9591="",N9591=""),"",SUMIFS('Barang Keluar'!$E:$E,'Barang Keluar'!$A:$A,M9591,'Barang Keluar'!$C:$C,N9591))</f>
        <v>0</v>
      </c>
    </row>
    <row r="9592" spans="13:16">
      <c r="M9592" s="49">
        <f>IF($A$4+95&gt;$B$4,"",$A$4+95)</f>
        <v>46118</v>
      </c>
      <c r="N9592">
        <f>IF(M9592="","",'Master Barang'!A86)</f>
        <v>0</v>
      </c>
      <c r="O9592">
        <f>IF(N9592="","",'Master Barang'!B86)</f>
        <v>0</v>
      </c>
      <c r="P9592">
        <f>IF(OR(M9592="",N9592=""),"",SUMIFS('Barang Keluar'!$E:$E,'Barang Keluar'!$A:$A,M9592,'Barang Keluar'!$C:$C,N9592))</f>
        <v>0</v>
      </c>
    </row>
    <row r="9593" spans="13:16">
      <c r="M9593" s="49">
        <f>IF($A$4+95&gt;$B$4,"",$A$4+95)</f>
        <v>46118</v>
      </c>
      <c r="N9593">
        <f>IF(M9593="","",'Master Barang'!A87)</f>
        <v>0</v>
      </c>
      <c r="O9593">
        <f>IF(N9593="","",'Master Barang'!B87)</f>
        <v>0</v>
      </c>
      <c r="P9593">
        <f>IF(OR(M9593="",N9593=""),"",SUMIFS('Barang Keluar'!$E:$E,'Barang Keluar'!$A:$A,M9593,'Barang Keluar'!$C:$C,N9593))</f>
        <v>0</v>
      </c>
    </row>
    <row r="9594" spans="13:16">
      <c r="M9594" s="49">
        <f>IF($A$4+95&gt;$B$4,"",$A$4+95)</f>
        <v>46118</v>
      </c>
      <c r="N9594">
        <f>IF(M9594="","",'Master Barang'!A88)</f>
        <v>0</v>
      </c>
      <c r="O9594">
        <f>IF(N9594="","",'Master Barang'!B88)</f>
        <v>0</v>
      </c>
      <c r="P9594">
        <f>IF(OR(M9594="",N9594=""),"",SUMIFS('Barang Keluar'!$E:$E,'Barang Keluar'!$A:$A,M9594,'Barang Keluar'!$C:$C,N9594))</f>
        <v>0</v>
      </c>
    </row>
    <row r="9595" spans="13:16">
      <c r="M9595" s="49">
        <f>IF($A$4+95&gt;$B$4,"",$A$4+95)</f>
        <v>46118</v>
      </c>
      <c r="N9595">
        <f>IF(M9595="","",'Master Barang'!A89)</f>
        <v>0</v>
      </c>
      <c r="O9595">
        <f>IF(N9595="","",'Master Barang'!B89)</f>
        <v>0</v>
      </c>
      <c r="P9595">
        <f>IF(OR(M9595="",N9595=""),"",SUMIFS('Barang Keluar'!$E:$E,'Barang Keluar'!$A:$A,M9595,'Barang Keluar'!$C:$C,N9595))</f>
        <v>0</v>
      </c>
    </row>
    <row r="9596" spans="13:16">
      <c r="M9596" s="49">
        <f>IF($A$4+95&gt;$B$4,"",$A$4+95)</f>
        <v>46118</v>
      </c>
      <c r="N9596">
        <f>IF(M9596="","",'Master Barang'!A90)</f>
        <v>0</v>
      </c>
      <c r="O9596">
        <f>IF(N9596="","",'Master Barang'!B90)</f>
        <v>0</v>
      </c>
      <c r="P9596">
        <f>IF(OR(M9596="",N9596=""),"",SUMIFS('Barang Keluar'!$E:$E,'Barang Keluar'!$A:$A,M9596,'Barang Keluar'!$C:$C,N9596))</f>
        <v>0</v>
      </c>
    </row>
    <row r="9597" spans="13:16">
      <c r="M9597" s="49">
        <f>IF($A$4+95&gt;$B$4,"",$A$4+95)</f>
        <v>46118</v>
      </c>
      <c r="N9597">
        <f>IF(M9597="","",'Master Barang'!A91)</f>
        <v>0</v>
      </c>
      <c r="O9597">
        <f>IF(N9597="","",'Master Barang'!B91)</f>
        <v>0</v>
      </c>
      <c r="P9597">
        <f>IF(OR(M9597="",N9597=""),"",SUMIFS('Barang Keluar'!$E:$E,'Barang Keluar'!$A:$A,M9597,'Barang Keluar'!$C:$C,N9597))</f>
        <v>0</v>
      </c>
    </row>
    <row r="9598" spans="13:16">
      <c r="M9598" s="49">
        <f>IF($A$4+95&gt;$B$4,"",$A$4+95)</f>
        <v>46118</v>
      </c>
      <c r="N9598">
        <f>IF(M9598="","",'Master Barang'!A92)</f>
        <v>0</v>
      </c>
      <c r="O9598">
        <f>IF(N9598="","",'Master Barang'!B92)</f>
        <v>0</v>
      </c>
      <c r="P9598">
        <f>IF(OR(M9598="",N9598=""),"",SUMIFS('Barang Keluar'!$E:$E,'Barang Keluar'!$A:$A,M9598,'Barang Keluar'!$C:$C,N9598))</f>
        <v>0</v>
      </c>
    </row>
    <row r="9599" spans="13:16">
      <c r="M9599" s="49">
        <f>IF($A$4+95&gt;$B$4,"",$A$4+95)</f>
        <v>46118</v>
      </c>
      <c r="N9599">
        <f>IF(M9599="","",'Master Barang'!A93)</f>
        <v>0</v>
      </c>
      <c r="O9599">
        <f>IF(N9599="","",'Master Barang'!B93)</f>
        <v>0</v>
      </c>
      <c r="P9599">
        <f>IF(OR(M9599="",N9599=""),"",SUMIFS('Barang Keluar'!$E:$E,'Barang Keluar'!$A:$A,M9599,'Barang Keluar'!$C:$C,N9599))</f>
        <v>0</v>
      </c>
    </row>
    <row r="9600" spans="13:16">
      <c r="M9600" s="49">
        <f>IF($A$4+95&gt;$B$4,"",$A$4+95)</f>
        <v>46118</v>
      </c>
      <c r="N9600">
        <f>IF(M9600="","",'Master Barang'!A94)</f>
        <v>0</v>
      </c>
      <c r="O9600">
        <f>IF(N9600="","",'Master Barang'!B94)</f>
        <v>0</v>
      </c>
      <c r="P9600">
        <f>IF(OR(M9600="",N9600=""),"",SUMIFS('Barang Keluar'!$E:$E,'Barang Keluar'!$A:$A,M9600,'Barang Keluar'!$C:$C,N9600))</f>
        <v>0</v>
      </c>
    </row>
    <row r="9601" spans="13:16">
      <c r="M9601" s="49">
        <f>IF($A$4+95&gt;$B$4,"",$A$4+95)</f>
        <v>46118</v>
      </c>
      <c r="N9601">
        <f>IF(M9601="","",'Master Barang'!A95)</f>
        <v>0</v>
      </c>
      <c r="O9601">
        <f>IF(N9601="","",'Master Barang'!B95)</f>
        <v>0</v>
      </c>
      <c r="P9601">
        <f>IF(OR(M9601="",N9601=""),"",SUMIFS('Barang Keluar'!$E:$E,'Barang Keluar'!$A:$A,M9601,'Barang Keluar'!$C:$C,N9601))</f>
        <v>0</v>
      </c>
    </row>
    <row r="9602" spans="13:16">
      <c r="M9602" s="49">
        <f>IF($A$4+95&gt;$B$4,"",$A$4+95)</f>
        <v>46118</v>
      </c>
      <c r="N9602">
        <f>IF(M9602="","",'Master Barang'!A96)</f>
        <v>0</v>
      </c>
      <c r="O9602">
        <f>IF(N9602="","",'Master Barang'!B96)</f>
        <v>0</v>
      </c>
      <c r="P9602">
        <f>IF(OR(M9602="",N9602=""),"",SUMIFS('Barang Keluar'!$E:$E,'Barang Keluar'!$A:$A,M9602,'Barang Keluar'!$C:$C,N9602))</f>
        <v>0</v>
      </c>
    </row>
    <row r="9603" spans="13:16">
      <c r="M9603" s="49">
        <f>IF($A$4+95&gt;$B$4,"",$A$4+95)</f>
        <v>46118</v>
      </c>
      <c r="N9603">
        <f>IF(M9603="","",'Master Barang'!A97)</f>
        <v>0</v>
      </c>
      <c r="O9603">
        <f>IF(N9603="","",'Master Barang'!B97)</f>
        <v>0</v>
      </c>
      <c r="P9603">
        <f>IF(OR(M9603="",N9603=""),"",SUMIFS('Barang Keluar'!$E:$E,'Barang Keluar'!$A:$A,M9603,'Barang Keluar'!$C:$C,N9603))</f>
        <v>0</v>
      </c>
    </row>
    <row r="9604" spans="13:16">
      <c r="M9604" s="49">
        <f>IF($A$4+95&gt;$B$4,"",$A$4+95)</f>
        <v>46118</v>
      </c>
      <c r="N9604">
        <f>IF(M9604="","",'Master Barang'!A98)</f>
        <v>0</v>
      </c>
      <c r="O9604">
        <f>IF(N9604="","",'Master Barang'!B98)</f>
        <v>0</v>
      </c>
      <c r="P9604">
        <f>IF(OR(M9604="",N9604=""),"",SUMIFS('Barang Keluar'!$E:$E,'Barang Keluar'!$A:$A,M9604,'Barang Keluar'!$C:$C,N9604))</f>
        <v>0</v>
      </c>
    </row>
    <row r="9605" spans="13:16">
      <c r="M9605" s="49">
        <f>IF($A$4+95&gt;$B$4,"",$A$4+95)</f>
        <v>46118</v>
      </c>
      <c r="N9605">
        <f>IF(M9605="","",'Master Barang'!A99)</f>
        <v>0</v>
      </c>
      <c r="O9605">
        <f>IF(N9605="","",'Master Barang'!B99)</f>
        <v>0</v>
      </c>
      <c r="P9605">
        <f>IF(OR(M9605="",N9605=""),"",SUMIFS('Barang Keluar'!$E:$E,'Barang Keluar'!$A:$A,M9605,'Barang Keluar'!$C:$C,N9605))</f>
        <v>0</v>
      </c>
    </row>
    <row r="9606" spans="13:16">
      <c r="M9606" s="49">
        <f>IF($A$4+95&gt;$B$4,"",$A$4+95)</f>
        <v>46118</v>
      </c>
      <c r="N9606">
        <f>IF(M9606="","",'Master Barang'!A100)</f>
        <v>0</v>
      </c>
      <c r="O9606">
        <f>IF(N9606="","",'Master Barang'!B100)</f>
        <v>0</v>
      </c>
      <c r="P9606">
        <f>IF(OR(M9606="",N9606=""),"",SUMIFS('Barang Keluar'!$E:$E,'Barang Keluar'!$A:$A,M9606,'Barang Keluar'!$C:$C,N9606))</f>
        <v>0</v>
      </c>
    </row>
    <row r="9607" spans="13:16">
      <c r="M9607" s="49">
        <f>IF($A$4+95&gt;$B$4,"",$A$4+95)</f>
        <v>46118</v>
      </c>
      <c r="N9607">
        <f>IF(M9607="","",'Master Barang'!A101)</f>
        <v>0</v>
      </c>
      <c r="O9607">
        <f>IF(N9607="","",'Master Barang'!B101)</f>
        <v>0</v>
      </c>
      <c r="P9607">
        <f>IF(OR(M9607="",N9607=""),"",SUMIFS('Barang Keluar'!$E:$E,'Barang Keluar'!$A:$A,M9607,'Barang Keluar'!$C:$C,N9607))</f>
        <v>0</v>
      </c>
    </row>
    <row r="9608" spans="13:16">
      <c r="M9608" s="49">
        <f>IF($A$4+96&gt;$B$4,"",$A$4+96)</f>
        <v>46119</v>
      </c>
      <c r="N9608" t="str">
        <f>IF(M9608="","",'Master Barang'!A2)</f>
        <v>PRL-001</v>
      </c>
      <c r="O9608" t="str">
        <f>IF(N9608="","",'Master Barang'!B2)</f>
        <v>natura desinfectant food grade 5l</v>
      </c>
      <c r="P9608">
        <f>IF(OR(M9608="",N9608=""),"",SUMIFS('Barang Keluar'!$E:$E,'Barang Keluar'!$A:$A,M9608,'Barang Keluar'!$C:$C,N9608))</f>
        <v>0</v>
      </c>
    </row>
    <row r="9609" spans="13:16">
      <c r="M9609" s="49">
        <f>IF($A$4+96&gt;$B$4,"",$A$4+96)</f>
        <v>46119</v>
      </c>
      <c r="N9609" t="str">
        <f>IF(M9609="","",'Master Barang'!A3)</f>
        <v>PRL-002</v>
      </c>
      <c r="O9609" t="str">
        <f>IF(N9609="","",'Master Barang'!B3)</f>
        <v>sunlight cairan pencuci piring 5l</v>
      </c>
      <c r="P9609">
        <f>IF(OR(M9609="",N9609=""),"",SUMIFS('Barang Keluar'!$E:$E,'Barang Keluar'!$A:$A,M9609,'Barang Keluar'!$C:$C,N9609))</f>
        <v>0</v>
      </c>
    </row>
    <row r="9610" spans="13:16">
      <c r="M9610" s="49">
        <f>IF($A$4+96&gt;$B$4,"",$A$4+96)</f>
        <v>46119</v>
      </c>
      <c r="N9610" t="str">
        <f>IF(M9610="","",'Master Barang'!A4)</f>
        <v>PRL-003</v>
      </c>
      <c r="O9610" t="str">
        <f>IF(N9610="","",'Master Barang'!B4)</f>
        <v>oixs cleaner 1l</v>
      </c>
      <c r="P9610">
        <f>IF(OR(M9610="",N9610=""),"",SUMIFS('Barang Keluar'!$E:$E,'Barang Keluar'!$A:$A,M9610,'Barang Keluar'!$C:$C,N9610))</f>
        <v>0</v>
      </c>
    </row>
    <row r="9611" spans="13:16">
      <c r="M9611" s="49">
        <f>IF($A$4+96&gt;$B$4,"",$A$4+96)</f>
        <v>46119</v>
      </c>
      <c r="N9611" t="str">
        <f>IF(M9611="","",'Master Barang'!A5)</f>
        <v>PRL-004</v>
      </c>
      <c r="O9611" t="str">
        <f>IF(N9611="","",'Master Barang'!B5)</f>
        <v>be clean tissue serbaguna</v>
      </c>
      <c r="P9611">
        <f>IF(OR(M9611="",N9611=""),"",SUMIFS('Barang Keluar'!$E:$E,'Barang Keluar'!$A:$A,M9611,'Barang Keluar'!$C:$C,N9611))</f>
        <v>0</v>
      </c>
    </row>
    <row r="9612" spans="13:16">
      <c r="M9612" s="49">
        <f>IF($A$4+96&gt;$B$4,"",$A$4+96)</f>
        <v>46119</v>
      </c>
      <c r="N9612" t="str">
        <f>IF(M9612="","",'Master Barang'!A6)</f>
        <v>PRL-005</v>
      </c>
      <c r="O9612" t="str">
        <f>IF(N9612="","",'Master Barang'!B6)</f>
        <v>spons cuci hijau</v>
      </c>
      <c r="P9612">
        <f>IF(OR(M9612="",N9612=""),"",SUMIFS('Barang Keluar'!$E:$E,'Barang Keluar'!$A:$A,M9612,'Barang Keluar'!$C:$C,N9612))</f>
        <v>0</v>
      </c>
    </row>
    <row r="9613" spans="13:16">
      <c r="M9613" s="49">
        <f>IF($A$4+96&gt;$B$4,"",$A$4+96)</f>
        <v>46119</v>
      </c>
      <c r="N9613" t="str">
        <f>IF(M9613="","",'Master Barang'!A7)</f>
        <v>PRL-006</v>
      </c>
      <c r="O9613" t="str">
        <f>IF(N9613="","",'Master Barang'!B7)</f>
        <v>sabut cuci stainless</v>
      </c>
      <c r="P9613">
        <f>IF(OR(M9613="",N9613=""),"",SUMIFS('Barang Keluar'!$E:$E,'Barang Keluar'!$A:$A,M9613,'Barang Keluar'!$C:$C,N9613))</f>
        <v>0</v>
      </c>
    </row>
    <row r="9614" spans="13:16">
      <c r="M9614" s="49">
        <f>IF($A$4+96&gt;$B$4,"",$A$4+96)</f>
        <v>46119</v>
      </c>
      <c r="N9614" t="str">
        <f>IF(M9614="","",'Master Barang'!A8)</f>
        <v>PRL-007</v>
      </c>
      <c r="O9614" t="str">
        <f>IF(N9614="","",'Master Barang'!B8)</f>
        <v>plastik kresek besar merah 50pc</v>
      </c>
      <c r="P9614">
        <f>IF(OR(M9614="",N9614=""),"",SUMIFS('Barang Keluar'!$E:$E,'Barang Keluar'!$A:$A,M9614,'Barang Keluar'!$C:$C,N9614))</f>
        <v>0</v>
      </c>
    </row>
    <row r="9615" spans="13:16">
      <c r="M9615" s="49">
        <f>IF($A$4+96&gt;$B$4,"",$A$4+96)</f>
        <v>46119</v>
      </c>
      <c r="N9615" t="str">
        <f>IF(M9615="","",'Master Barang'!A9)</f>
        <v>PRL-008</v>
      </c>
      <c r="O9615" t="str">
        <f>IF(N9615="","",'Master Barang'!B9)</f>
        <v>lap besar</v>
      </c>
      <c r="P9615">
        <f>IF(OR(M9615="",N9615=""),"",SUMIFS('Barang Keluar'!$E:$E,'Barang Keluar'!$A:$A,M9615,'Barang Keluar'!$C:$C,N9615))</f>
        <v>0</v>
      </c>
    </row>
    <row r="9616" spans="13:16">
      <c r="M9616" s="49">
        <f>IF($A$4+96&gt;$B$4,"",$A$4+96)</f>
        <v>46119</v>
      </c>
      <c r="N9616" t="str">
        <f>IF(M9616="","",'Master Barang'!A10)</f>
        <v>PRL-009</v>
      </c>
      <c r="O9616" t="str">
        <f>IF(N9616="","",'Master Barang'!B10)</f>
        <v>lap microfiber</v>
      </c>
      <c r="P9616">
        <f>IF(OR(M9616="",N9616=""),"",SUMIFS('Barang Keluar'!$E:$E,'Barang Keluar'!$A:$A,M9616,'Barang Keluar'!$C:$C,N9616))</f>
        <v>0</v>
      </c>
    </row>
    <row r="9617" spans="13:16">
      <c r="M9617" s="49">
        <f>IF($A$4+96&gt;$B$4,"",$A$4+96)</f>
        <v>46119</v>
      </c>
      <c r="N9617" t="str">
        <f>IF(M9617="","",'Master Barang'!A11)</f>
        <v>PRL-010</v>
      </c>
      <c r="O9617" t="str">
        <f>IF(N9617="","",'Master Barang'!B11)</f>
        <v>lap kecil</v>
      </c>
      <c r="P9617">
        <f>IF(OR(M9617="",N9617=""),"",SUMIFS('Barang Keluar'!$E:$E,'Barang Keluar'!$A:$A,M9617,'Barang Keluar'!$C:$C,N9617))</f>
        <v>0</v>
      </c>
    </row>
    <row r="9618" spans="13:16">
      <c r="M9618" s="49">
        <f>IF($A$4+96&gt;$B$4,"",$A$4+96)</f>
        <v>46119</v>
      </c>
      <c r="N9618" t="str">
        <f>IF(M9618="","",'Master Barang'!A12)</f>
        <v>PRL-011</v>
      </c>
      <c r="O9618" t="str">
        <f>IF(N9618="","",'Master Barang'!B12)</f>
        <v>kanebo kecil</v>
      </c>
      <c r="P9618">
        <f>IF(OR(M9618="",N9618=""),"",SUMIFS('Barang Keluar'!$E:$E,'Barang Keluar'!$A:$A,M9618,'Barang Keluar'!$C:$C,N9618))</f>
        <v>0</v>
      </c>
    </row>
    <row r="9619" spans="13:16">
      <c r="M9619" s="49">
        <f>IF($A$4+96&gt;$B$4,"",$A$4+96)</f>
        <v>46119</v>
      </c>
      <c r="N9619" t="str">
        <f>IF(M9619="","",'Master Barang'!A13)</f>
        <v>PRL-012</v>
      </c>
      <c r="O9619" t="str">
        <f>IF(N9619="","",'Master Barang'!B13)</f>
        <v>plastik 1/4kg joyoboyo 100 lembar</v>
      </c>
      <c r="P9619">
        <f>IF(OR(M9619="",N9619=""),"",SUMIFS('Barang Keluar'!$E:$E,'Barang Keluar'!$A:$A,M9619,'Barang Keluar'!$C:$C,N9619))</f>
        <v>0</v>
      </c>
    </row>
    <row r="9620" spans="13:16">
      <c r="M9620" s="49">
        <f>IF($A$4+96&gt;$B$4,"",$A$4+96)</f>
        <v>46119</v>
      </c>
      <c r="N9620" t="str">
        <f>IF(M9620="","",'Master Barang'!A14)</f>
        <v>PRL-013</v>
      </c>
      <c r="O9620" t="str">
        <f>IF(N9620="","",'Master Barang'!B14)</f>
        <v>sarung tangan plastik kaka 100 pcs</v>
      </c>
      <c r="P9620">
        <f>IF(OR(M9620="",N9620=""),"",SUMIFS('Barang Keluar'!$E:$E,'Barang Keluar'!$A:$A,M9620,'Barang Keluar'!$C:$C,N9620))</f>
        <v>0</v>
      </c>
    </row>
    <row r="9621" spans="13:16">
      <c r="M9621" s="49">
        <f>IF($A$4+96&gt;$B$4,"",$A$4+96)</f>
        <v>46119</v>
      </c>
      <c r="N9621" t="str">
        <f>IF(M9621="","",'Master Barang'!A15)</f>
        <v>PRL-014</v>
      </c>
      <c r="O9621" t="str">
        <f>IF(N9621="","",'Master Barang'!B15)</f>
        <v>optima trashbag 80x100</v>
      </c>
      <c r="P9621">
        <f>IF(OR(M9621="",N9621=""),"",SUMIFS('Barang Keluar'!$E:$E,'Barang Keluar'!$A:$A,M9621,'Barang Keluar'!$C:$C,N9621))</f>
        <v>0</v>
      </c>
    </row>
    <row r="9622" spans="13:16">
      <c r="M9622" s="49">
        <f>IF($A$4+96&gt;$B$4,"",$A$4+96)</f>
        <v>46119</v>
      </c>
      <c r="N9622" t="str">
        <f>IF(M9622="","",'Master Barang'!A16)</f>
        <v>PRL-015</v>
      </c>
      <c r="O9622" t="str">
        <f>IF(N9622="","",'Master Barang'!B16)</f>
        <v>optima trashbag 60x100</v>
      </c>
      <c r="P9622">
        <f>IF(OR(M9622="",N9622=""),"",SUMIFS('Barang Keluar'!$E:$E,'Barang Keluar'!$A:$A,M9622,'Barang Keluar'!$C:$C,N9622))</f>
        <v>0</v>
      </c>
    </row>
    <row r="9623" spans="13:16">
      <c r="M9623" s="49">
        <f>IF($A$4+96&gt;$B$4,"",$A$4+96)</f>
        <v>46119</v>
      </c>
      <c r="N9623" t="str">
        <f>IF(M9623="","",'Master Barang'!A17)</f>
        <v>PRL-016</v>
      </c>
      <c r="O9623" t="str">
        <f>IF(N9623="","",'Master Barang'!B17)</f>
        <v>rajawali trashbag 30x40</v>
      </c>
      <c r="P9623">
        <f>IF(OR(M9623="",N9623=""),"",SUMIFS('Barang Keluar'!$E:$E,'Barang Keluar'!$A:$A,M9623,'Barang Keluar'!$C:$C,N9623))</f>
        <v>0</v>
      </c>
    </row>
    <row r="9624" spans="13:16">
      <c r="M9624" s="49">
        <f>IF($A$4+96&gt;$B$4,"",$A$4+96)</f>
        <v>46119</v>
      </c>
      <c r="N9624" t="str">
        <f>IF(M9624="","",'Master Barang'!A18)</f>
        <v>PRL-017</v>
      </c>
      <c r="O9624" t="str">
        <f>IF(N9624="","",'Master Barang'!B18)</f>
        <v>onemed masker biru 3 play 50 pcs</v>
      </c>
      <c r="P9624">
        <f>IF(OR(M9624="",N9624=""),"",SUMIFS('Barang Keluar'!$E:$E,'Barang Keluar'!$A:$A,M9624,'Barang Keluar'!$C:$C,N9624))</f>
        <v>0</v>
      </c>
    </row>
    <row r="9625" spans="13:16">
      <c r="M9625" s="49">
        <f>IF($A$4+96&gt;$B$4,"",$A$4+96)</f>
        <v>46119</v>
      </c>
      <c r="N9625" t="str">
        <f>IF(M9625="","",'Master Barang'!A19)</f>
        <v>PRL-018</v>
      </c>
      <c r="O9625" t="str">
        <f>IF(N9625="","",'Master Barang'!B19)</f>
        <v>onemed masker biru 3 play hijab 50 pcs</v>
      </c>
      <c r="P9625">
        <f>IF(OR(M9625="",N9625=""),"",SUMIFS('Barang Keluar'!$E:$E,'Barang Keluar'!$A:$A,M9625,'Barang Keluar'!$C:$C,N9625))</f>
        <v>0</v>
      </c>
    </row>
    <row r="9626" spans="13:16">
      <c r="M9626" s="49">
        <f>IF($A$4+96&gt;$B$4,"",$A$4+96)</f>
        <v>46119</v>
      </c>
      <c r="N9626" t="str">
        <f>IF(M9626="","",'Master Barang'!A20)</f>
        <v>PRL-019</v>
      </c>
      <c r="O9626" t="str">
        <f>IF(N9626="","",'Master Barang'!B20)</f>
        <v>neo health masker biru 3 play 50 pcs</v>
      </c>
      <c r="P9626">
        <f>IF(OR(M9626="",N9626=""),"",SUMIFS('Barang Keluar'!$E:$E,'Barang Keluar'!$A:$A,M9626,'Barang Keluar'!$C:$C,N9626))</f>
        <v>0</v>
      </c>
    </row>
    <row r="9627" spans="13:16">
      <c r="M9627" s="49">
        <f>IF($A$4+96&gt;$B$4,"",$A$4+96)</f>
        <v>46119</v>
      </c>
      <c r="N9627" t="str">
        <f>IF(M9627="","",'Master Barang'!A21)</f>
        <v>PRL-020</v>
      </c>
      <c r="O9627" t="str">
        <f>IF(N9627="","",'Master Barang'!B21)</f>
        <v>baymed masker hijau 3 play hijau 50 pcs</v>
      </c>
      <c r="P9627">
        <f>IF(OR(M9627="",N9627=""),"",SUMIFS('Barang Keluar'!$E:$E,'Barang Keluar'!$A:$A,M9627,'Barang Keluar'!$C:$C,N9627))</f>
        <v>0</v>
      </c>
    </row>
    <row r="9628" spans="13:16">
      <c r="M9628" s="49">
        <f>IF($A$4+96&gt;$B$4,"",$A$4+96)</f>
        <v>46119</v>
      </c>
      <c r="N9628" t="str">
        <f>IF(M9628="","",'Master Barang'!A22)</f>
        <v>PRL-021</v>
      </c>
      <c r="O9628" t="str">
        <f>IF(N9628="","",'Master Barang'!B22)</f>
        <v>altamed nurse cap penutup kepala 100 pcs</v>
      </c>
      <c r="P9628">
        <f>IF(OR(M9628="",N9628=""),"",SUMIFS('Barang Keluar'!$E:$E,'Barang Keluar'!$A:$A,M9628,'Barang Keluar'!$C:$C,N9628))</f>
        <v>0</v>
      </c>
    </row>
    <row r="9629" spans="13:16">
      <c r="M9629" s="49">
        <f>IF($A$4+96&gt;$B$4,"",$A$4+96)</f>
        <v>46119</v>
      </c>
      <c r="N9629" t="str">
        <f>IF(M9629="","",'Master Barang'!A23)</f>
        <v>PRL-022</v>
      </c>
      <c r="O9629" t="str">
        <f>IF(N9629="","",'Master Barang'!B23)</f>
        <v>sabun cuci tangan</v>
      </c>
      <c r="P9629">
        <f>IF(OR(M9629="",N9629=""),"",SUMIFS('Barang Keluar'!$E:$E,'Barang Keluar'!$A:$A,M9629,'Barang Keluar'!$C:$C,N9629))</f>
        <v>0</v>
      </c>
    </row>
    <row r="9630" spans="13:16">
      <c r="M9630" s="49">
        <f>IF($A$4+96&gt;$B$4,"",$A$4+96)</f>
        <v>46119</v>
      </c>
      <c r="N9630" t="str">
        <f>IF(M9630="","",'Master Barang'!A24)</f>
        <v>PRL-023</v>
      </c>
      <c r="O9630" t="str">
        <f>IF(N9630="","",'Master Barang'!B24)</f>
        <v>gayung kecil</v>
      </c>
      <c r="P9630">
        <f>IF(OR(M9630="",N9630=""),"",SUMIFS('Barang Keluar'!$E:$E,'Barang Keluar'!$A:$A,M9630,'Barang Keluar'!$C:$C,N9630))</f>
        <v>0</v>
      </c>
    </row>
    <row r="9631" spans="13:16">
      <c r="M9631" s="49">
        <f>IF($A$4+96&gt;$B$4,"",$A$4+96)</f>
        <v>46119</v>
      </c>
      <c r="N9631" t="str">
        <f>IF(M9631="","",'Master Barang'!A25)</f>
        <v>PRL-024</v>
      </c>
      <c r="O9631" t="str">
        <f>IF(N9631="","",'Master Barang'!B25)</f>
        <v>cikrak kecil</v>
      </c>
      <c r="P9631">
        <f>IF(OR(M9631="",N9631=""),"",SUMIFS('Barang Keluar'!$E:$E,'Barang Keluar'!$A:$A,M9631,'Barang Keluar'!$C:$C,N9631))</f>
        <v>0</v>
      </c>
    </row>
    <row r="9632" spans="13:16">
      <c r="M9632" s="49">
        <f>IF($A$4+96&gt;$B$4,"",$A$4+96)</f>
        <v>46119</v>
      </c>
      <c r="N9632" t="str">
        <f>IF(M9632="","",'Master Barang'!A26)</f>
        <v>PRL-025</v>
      </c>
      <c r="O9632" t="str">
        <f>IF(N9632="","",'Master Barang'!B26)</f>
        <v>petromax plastik kecil 12x24 100 lembar</v>
      </c>
      <c r="P9632">
        <f>IF(OR(M9632="",N9632=""),"",SUMIFS('Barang Keluar'!$E:$E,'Barang Keluar'!$A:$A,M9632,'Barang Keluar'!$C:$C,N9632))</f>
        <v>0</v>
      </c>
    </row>
    <row r="9633" spans="13:16">
      <c r="M9633" s="49">
        <f>IF($A$4+96&gt;$B$4,"",$A$4+96)</f>
        <v>46119</v>
      </c>
      <c r="N9633" t="str">
        <f>IF(M9633="","",'Master Barang'!A27)</f>
        <v>PRL-026</v>
      </c>
      <c r="O9633" t="str">
        <f>IF(N9633="","",'Master Barang'!B27)</f>
        <v>lancar kresek kecil bening </v>
      </c>
      <c r="P9633">
        <f>IF(OR(M9633="",N9633=""),"",SUMIFS('Barang Keluar'!$E:$E,'Barang Keluar'!$A:$A,M9633,'Barang Keluar'!$C:$C,N9633))</f>
        <v>0</v>
      </c>
    </row>
    <row r="9634" spans="13:16">
      <c r="M9634" s="49">
        <f>IF($A$4+96&gt;$B$4,"",$A$4+96)</f>
        <v>46119</v>
      </c>
      <c r="N9634" t="str">
        <f>IF(M9634="","",'Master Barang'!A28)</f>
        <v>PRL-027</v>
      </c>
      <c r="O9634" t="str">
        <f>IF(N9634="","",'Master Barang'!B28)</f>
        <v>kresek klin warna warni kecil</v>
      </c>
      <c r="P9634">
        <f>IF(OR(M9634="",N9634=""),"",SUMIFS('Barang Keluar'!$E:$E,'Barang Keluar'!$A:$A,M9634,'Barang Keluar'!$C:$C,N9634))</f>
        <v>0</v>
      </c>
    </row>
    <row r="9635" spans="13:16">
      <c r="M9635" s="49">
        <f>IF($A$4+96&gt;$B$4,"",$A$4+96)</f>
        <v>46119</v>
      </c>
      <c r="N9635" t="str">
        <f>IF(M9635="","",'Master Barang'!A29)</f>
        <v>PRL-028</v>
      </c>
      <c r="O9635" t="str">
        <f>IF(N9635="","",'Master Barang'!B29)</f>
        <v>ctik plastik 7x10 100 pcs</v>
      </c>
      <c r="P9635">
        <f>IF(OR(M9635="",N9635=""),"",SUMIFS('Barang Keluar'!$E:$E,'Barang Keluar'!$A:$A,M9635,'Barang Keluar'!$C:$C,N9635))</f>
        <v>0</v>
      </c>
    </row>
    <row r="9636" spans="13:16">
      <c r="M9636" s="49">
        <f>IF($A$4+96&gt;$B$4,"",$A$4+96)</f>
        <v>46119</v>
      </c>
      <c r="N9636" t="str">
        <f>IF(M9636="","",'Master Barang'!A30)</f>
        <v>PRL-029</v>
      </c>
      <c r="O9636" t="str">
        <f>IF(N9636="","",'Master Barang'!B30)</f>
        <v>ctik plastik 6x10 100 pcs</v>
      </c>
      <c r="P9636">
        <f>IF(OR(M9636="",N9636=""),"",SUMIFS('Barang Keluar'!$E:$E,'Barang Keluar'!$A:$A,M9636,'Barang Keluar'!$C:$C,N9636))</f>
        <v>0</v>
      </c>
    </row>
    <row r="9637" spans="13:16">
      <c r="M9637" s="49">
        <f>IF($A$4+96&gt;$B$4,"",$A$4+96)</f>
        <v>46119</v>
      </c>
      <c r="N9637" t="str">
        <f>IF(M9637="","",'Master Barang'!A31)</f>
        <v>PRL-030</v>
      </c>
      <c r="O9637" t="str">
        <f>IF(N9637="","",'Master Barang'!B31)</f>
        <v>klip plastik 25x16 100 pcs</v>
      </c>
      <c r="P9637">
        <f>IF(OR(M9637="",N9637=""),"",SUMIFS('Barang Keluar'!$E:$E,'Barang Keluar'!$A:$A,M9637,'Barang Keluar'!$C:$C,N9637))</f>
        <v>0</v>
      </c>
    </row>
    <row r="9638" spans="13:16">
      <c r="M9638" s="49">
        <f>IF($A$4+96&gt;$B$4,"",$A$4+96)</f>
        <v>46119</v>
      </c>
      <c r="N9638" t="str">
        <f>IF(M9638="","",'Master Barang'!A32)</f>
        <v>PRL-031</v>
      </c>
      <c r="O9638" t="str">
        <f>IF(N9638="","",'Master Barang'!B32)</f>
        <v>tempat saus 20 ml</v>
      </c>
      <c r="P9638">
        <f>IF(OR(M9638="",N9638=""),"",SUMIFS('Barang Keluar'!$E:$E,'Barang Keluar'!$A:$A,M9638,'Barang Keluar'!$C:$C,N9638))</f>
        <v>0</v>
      </c>
    </row>
    <row r="9639" spans="13:16">
      <c r="M9639" s="49">
        <f>IF($A$4+96&gt;$B$4,"",$A$4+96)</f>
        <v>46119</v>
      </c>
      <c r="N9639" t="str">
        <f>IF(M9639="","",'Master Barang'!A33)</f>
        <v>PRL-032</v>
      </c>
      <c r="O9639" t="str">
        <f>IF(N9639="","",'Master Barang'!B33)</f>
        <v>plastik packaging ag box uk sedang</v>
      </c>
      <c r="P9639">
        <f>IF(OR(M9639="",N9639=""),"",SUMIFS('Barang Keluar'!$E:$E,'Barang Keluar'!$A:$A,M9639,'Barang Keluar'!$C:$C,N9639))</f>
        <v>0</v>
      </c>
    </row>
    <row r="9640" spans="13:16">
      <c r="M9640" s="49">
        <f>IF($A$4+96&gt;$B$4,"",$A$4+96)</f>
        <v>46119</v>
      </c>
      <c r="N9640" t="str">
        <f>IF(M9640="","",'Master Barang'!A34)</f>
        <v>PRL-033</v>
      </c>
      <c r="O9640">
        <f>IF(N9640="","",'Master Barang'!B34)</f>
        <v>0</v>
      </c>
      <c r="P9640">
        <f>IF(OR(M9640="",N9640=""),"",SUMIFS('Barang Keluar'!$E:$E,'Barang Keluar'!$A:$A,M9640,'Barang Keluar'!$C:$C,N9640))</f>
        <v>0</v>
      </c>
    </row>
    <row r="9641" spans="13:16">
      <c r="M9641" s="49">
        <f>IF($A$4+96&gt;$B$4,"",$A$4+96)</f>
        <v>46119</v>
      </c>
      <c r="N9641">
        <f>IF(M9641="","",'Master Barang'!A35)</f>
        <v>0</v>
      </c>
      <c r="O9641">
        <f>IF(N9641="","",'Master Barang'!B35)</f>
        <v>0</v>
      </c>
      <c r="P9641">
        <f>IF(OR(M9641="",N9641=""),"",SUMIFS('Barang Keluar'!$E:$E,'Barang Keluar'!$A:$A,M9641,'Barang Keluar'!$C:$C,N9641))</f>
        <v>0</v>
      </c>
    </row>
    <row r="9642" spans="13:16">
      <c r="M9642" s="49">
        <f>IF($A$4+96&gt;$B$4,"",$A$4+96)</f>
        <v>46119</v>
      </c>
      <c r="N9642">
        <f>IF(M9642="","",'Master Barang'!A36)</f>
        <v>0</v>
      </c>
      <c r="O9642">
        <f>IF(N9642="","",'Master Barang'!B36)</f>
        <v>0</v>
      </c>
      <c r="P9642">
        <f>IF(OR(M9642="",N9642=""),"",SUMIFS('Barang Keluar'!$E:$E,'Barang Keluar'!$A:$A,M9642,'Barang Keluar'!$C:$C,N9642))</f>
        <v>0</v>
      </c>
    </row>
    <row r="9643" spans="13:16">
      <c r="M9643" s="49">
        <f>IF($A$4+96&gt;$B$4,"",$A$4+96)</f>
        <v>46119</v>
      </c>
      <c r="N9643">
        <f>IF(M9643="","",'Master Barang'!A37)</f>
        <v>0</v>
      </c>
      <c r="O9643">
        <f>IF(N9643="","",'Master Barang'!B37)</f>
        <v>0</v>
      </c>
      <c r="P9643">
        <f>IF(OR(M9643="",N9643=""),"",SUMIFS('Barang Keluar'!$E:$E,'Barang Keluar'!$A:$A,M9643,'Barang Keluar'!$C:$C,N9643))</f>
        <v>0</v>
      </c>
    </row>
    <row r="9644" spans="13:16">
      <c r="M9644" s="49">
        <f>IF($A$4+96&gt;$B$4,"",$A$4+96)</f>
        <v>46119</v>
      </c>
      <c r="N9644">
        <f>IF(M9644="","",'Master Barang'!A38)</f>
        <v>0</v>
      </c>
      <c r="O9644">
        <f>IF(N9644="","",'Master Barang'!B38)</f>
        <v>0</v>
      </c>
      <c r="P9644">
        <f>IF(OR(M9644="",N9644=""),"",SUMIFS('Barang Keluar'!$E:$E,'Barang Keluar'!$A:$A,M9644,'Barang Keluar'!$C:$C,N9644))</f>
        <v>0</v>
      </c>
    </row>
    <row r="9645" spans="13:16">
      <c r="M9645" s="49">
        <f>IF($A$4+96&gt;$B$4,"",$A$4+96)</f>
        <v>46119</v>
      </c>
      <c r="N9645">
        <f>IF(M9645="","",'Master Barang'!A39)</f>
        <v>0</v>
      </c>
      <c r="O9645">
        <f>IF(N9645="","",'Master Barang'!B39)</f>
        <v>0</v>
      </c>
      <c r="P9645">
        <f>IF(OR(M9645="",N9645=""),"",SUMIFS('Barang Keluar'!$E:$E,'Barang Keluar'!$A:$A,M9645,'Barang Keluar'!$C:$C,N9645))</f>
        <v>0</v>
      </c>
    </row>
    <row r="9646" spans="13:16">
      <c r="M9646" s="49">
        <f>IF($A$4+96&gt;$B$4,"",$A$4+96)</f>
        <v>46119</v>
      </c>
      <c r="N9646">
        <f>IF(M9646="","",'Master Barang'!A40)</f>
        <v>0</v>
      </c>
      <c r="O9646">
        <f>IF(N9646="","",'Master Barang'!B40)</f>
        <v>0</v>
      </c>
      <c r="P9646">
        <f>IF(OR(M9646="",N9646=""),"",SUMIFS('Barang Keluar'!$E:$E,'Barang Keluar'!$A:$A,M9646,'Barang Keluar'!$C:$C,N9646))</f>
        <v>0</v>
      </c>
    </row>
    <row r="9647" spans="13:16">
      <c r="M9647" s="49">
        <f>IF($A$4+96&gt;$B$4,"",$A$4+96)</f>
        <v>46119</v>
      </c>
      <c r="N9647">
        <f>IF(M9647="","",'Master Barang'!A41)</f>
        <v>0</v>
      </c>
      <c r="O9647">
        <f>IF(N9647="","",'Master Barang'!B41)</f>
        <v>0</v>
      </c>
      <c r="P9647">
        <f>IF(OR(M9647="",N9647=""),"",SUMIFS('Barang Keluar'!$E:$E,'Barang Keluar'!$A:$A,M9647,'Barang Keluar'!$C:$C,N9647))</f>
        <v>0</v>
      </c>
    </row>
    <row r="9648" spans="13:16">
      <c r="M9648" s="49">
        <f>IF($A$4+96&gt;$B$4,"",$A$4+96)</f>
        <v>46119</v>
      </c>
      <c r="N9648">
        <f>IF(M9648="","",'Master Barang'!A42)</f>
        <v>0</v>
      </c>
      <c r="O9648">
        <f>IF(N9648="","",'Master Barang'!B42)</f>
        <v>0</v>
      </c>
      <c r="P9648">
        <f>IF(OR(M9648="",N9648=""),"",SUMIFS('Barang Keluar'!$E:$E,'Barang Keluar'!$A:$A,M9648,'Barang Keluar'!$C:$C,N9648))</f>
        <v>0</v>
      </c>
    </row>
    <row r="9649" spans="13:16">
      <c r="M9649" s="49">
        <f>IF($A$4+96&gt;$B$4,"",$A$4+96)</f>
        <v>46119</v>
      </c>
      <c r="N9649">
        <f>IF(M9649="","",'Master Barang'!A43)</f>
        <v>0</v>
      </c>
      <c r="O9649">
        <f>IF(N9649="","",'Master Barang'!B43)</f>
        <v>0</v>
      </c>
      <c r="P9649">
        <f>IF(OR(M9649="",N9649=""),"",SUMIFS('Barang Keluar'!$E:$E,'Barang Keluar'!$A:$A,M9649,'Barang Keluar'!$C:$C,N9649))</f>
        <v>0</v>
      </c>
    </row>
    <row r="9650" spans="13:16">
      <c r="M9650" s="49">
        <f>IF($A$4+96&gt;$B$4,"",$A$4+96)</f>
        <v>46119</v>
      </c>
      <c r="N9650">
        <f>IF(M9650="","",'Master Barang'!A44)</f>
        <v>0</v>
      </c>
      <c r="O9650">
        <f>IF(N9650="","",'Master Barang'!B44)</f>
        <v>0</v>
      </c>
      <c r="P9650">
        <f>IF(OR(M9650="",N9650=""),"",SUMIFS('Barang Keluar'!$E:$E,'Barang Keluar'!$A:$A,M9650,'Barang Keluar'!$C:$C,N9650))</f>
        <v>0</v>
      </c>
    </row>
    <row r="9651" spans="13:16">
      <c r="M9651" s="49">
        <f>IF($A$4+96&gt;$B$4,"",$A$4+96)</f>
        <v>46119</v>
      </c>
      <c r="N9651">
        <f>IF(M9651="","",'Master Barang'!A45)</f>
        <v>0</v>
      </c>
      <c r="O9651">
        <f>IF(N9651="","",'Master Barang'!B45)</f>
        <v>0</v>
      </c>
      <c r="P9651">
        <f>IF(OR(M9651="",N9651=""),"",SUMIFS('Barang Keluar'!$E:$E,'Barang Keluar'!$A:$A,M9651,'Barang Keluar'!$C:$C,N9651))</f>
        <v>0</v>
      </c>
    </row>
    <row r="9652" spans="13:16">
      <c r="M9652" s="49">
        <f>IF($A$4+96&gt;$B$4,"",$A$4+96)</f>
        <v>46119</v>
      </c>
      <c r="N9652">
        <f>IF(M9652="","",'Master Barang'!A46)</f>
        <v>0</v>
      </c>
      <c r="O9652">
        <f>IF(N9652="","",'Master Barang'!B46)</f>
        <v>0</v>
      </c>
      <c r="P9652">
        <f>IF(OR(M9652="",N9652=""),"",SUMIFS('Barang Keluar'!$E:$E,'Barang Keluar'!$A:$A,M9652,'Barang Keluar'!$C:$C,N9652))</f>
        <v>0</v>
      </c>
    </row>
    <row r="9653" spans="13:16">
      <c r="M9653" s="49">
        <f>IF($A$4+96&gt;$B$4,"",$A$4+96)</f>
        <v>46119</v>
      </c>
      <c r="N9653">
        <f>IF(M9653="","",'Master Barang'!A47)</f>
        <v>0</v>
      </c>
      <c r="O9653">
        <f>IF(N9653="","",'Master Barang'!B47)</f>
        <v>0</v>
      </c>
      <c r="P9653">
        <f>IF(OR(M9653="",N9653=""),"",SUMIFS('Barang Keluar'!$E:$E,'Barang Keluar'!$A:$A,M9653,'Barang Keluar'!$C:$C,N9653))</f>
        <v>0</v>
      </c>
    </row>
    <row r="9654" spans="13:16">
      <c r="M9654" s="49">
        <f>IF($A$4+96&gt;$B$4,"",$A$4+96)</f>
        <v>46119</v>
      </c>
      <c r="N9654">
        <f>IF(M9654="","",'Master Barang'!A48)</f>
        <v>0</v>
      </c>
      <c r="O9654">
        <f>IF(N9654="","",'Master Barang'!B48)</f>
        <v>0</v>
      </c>
      <c r="P9654">
        <f>IF(OR(M9654="",N9654=""),"",SUMIFS('Barang Keluar'!$E:$E,'Barang Keluar'!$A:$A,M9654,'Barang Keluar'!$C:$C,N9654))</f>
        <v>0</v>
      </c>
    </row>
    <row r="9655" spans="13:16">
      <c r="M9655" s="49">
        <f>IF($A$4+96&gt;$B$4,"",$A$4+96)</f>
        <v>46119</v>
      </c>
      <c r="N9655">
        <f>IF(M9655="","",'Master Barang'!A49)</f>
        <v>0</v>
      </c>
      <c r="O9655">
        <f>IF(N9655="","",'Master Barang'!B49)</f>
        <v>0</v>
      </c>
      <c r="P9655">
        <f>IF(OR(M9655="",N9655=""),"",SUMIFS('Barang Keluar'!$E:$E,'Barang Keluar'!$A:$A,M9655,'Barang Keluar'!$C:$C,N9655))</f>
        <v>0</v>
      </c>
    </row>
    <row r="9656" spans="13:16">
      <c r="M9656" s="49">
        <f>IF($A$4+96&gt;$B$4,"",$A$4+96)</f>
        <v>46119</v>
      </c>
      <c r="N9656">
        <f>IF(M9656="","",'Master Barang'!A50)</f>
        <v>0</v>
      </c>
      <c r="O9656">
        <f>IF(N9656="","",'Master Barang'!B50)</f>
        <v>0</v>
      </c>
      <c r="P9656">
        <f>IF(OR(M9656="",N9656=""),"",SUMIFS('Barang Keluar'!$E:$E,'Barang Keluar'!$A:$A,M9656,'Barang Keluar'!$C:$C,N9656))</f>
        <v>0</v>
      </c>
    </row>
    <row r="9657" spans="13:16">
      <c r="M9657" s="49">
        <f>IF($A$4+96&gt;$B$4,"",$A$4+96)</f>
        <v>46119</v>
      </c>
      <c r="N9657">
        <f>IF(M9657="","",'Master Barang'!A51)</f>
        <v>0</v>
      </c>
      <c r="O9657">
        <f>IF(N9657="","",'Master Barang'!B51)</f>
        <v>0</v>
      </c>
      <c r="P9657">
        <f>IF(OR(M9657="",N9657=""),"",SUMIFS('Barang Keluar'!$E:$E,'Barang Keluar'!$A:$A,M9657,'Barang Keluar'!$C:$C,N9657))</f>
        <v>0</v>
      </c>
    </row>
    <row r="9658" spans="13:16">
      <c r="M9658" s="49">
        <f>IF($A$4+96&gt;$B$4,"",$A$4+96)</f>
        <v>46119</v>
      </c>
      <c r="N9658">
        <f>IF(M9658="","",'Master Barang'!A52)</f>
        <v>0</v>
      </c>
      <c r="O9658">
        <f>IF(N9658="","",'Master Barang'!B52)</f>
        <v>0</v>
      </c>
      <c r="P9658">
        <f>IF(OR(M9658="",N9658=""),"",SUMIFS('Barang Keluar'!$E:$E,'Barang Keluar'!$A:$A,M9658,'Barang Keluar'!$C:$C,N9658))</f>
        <v>0</v>
      </c>
    </row>
    <row r="9659" spans="13:16">
      <c r="M9659" s="49">
        <f>IF($A$4+96&gt;$B$4,"",$A$4+96)</f>
        <v>46119</v>
      </c>
      <c r="N9659">
        <f>IF(M9659="","",'Master Barang'!A53)</f>
        <v>0</v>
      </c>
      <c r="O9659">
        <f>IF(N9659="","",'Master Barang'!B53)</f>
        <v>0</v>
      </c>
      <c r="P9659">
        <f>IF(OR(M9659="",N9659=""),"",SUMIFS('Barang Keluar'!$E:$E,'Barang Keluar'!$A:$A,M9659,'Barang Keluar'!$C:$C,N9659))</f>
        <v>0</v>
      </c>
    </row>
    <row r="9660" spans="13:16">
      <c r="M9660" s="49">
        <f>IF($A$4+96&gt;$B$4,"",$A$4+96)</f>
        <v>46119</v>
      </c>
      <c r="N9660">
        <f>IF(M9660="","",'Master Barang'!A54)</f>
        <v>0</v>
      </c>
      <c r="O9660">
        <f>IF(N9660="","",'Master Barang'!B54)</f>
        <v>0</v>
      </c>
      <c r="P9660">
        <f>IF(OR(M9660="",N9660=""),"",SUMIFS('Barang Keluar'!$E:$E,'Barang Keluar'!$A:$A,M9660,'Barang Keluar'!$C:$C,N9660))</f>
        <v>0</v>
      </c>
    </row>
    <row r="9661" spans="13:16">
      <c r="M9661" s="49">
        <f>IF($A$4+96&gt;$B$4,"",$A$4+96)</f>
        <v>46119</v>
      </c>
      <c r="N9661">
        <f>IF(M9661="","",'Master Barang'!A55)</f>
        <v>0</v>
      </c>
      <c r="O9661">
        <f>IF(N9661="","",'Master Barang'!B55)</f>
        <v>0</v>
      </c>
      <c r="P9661">
        <f>IF(OR(M9661="",N9661=""),"",SUMIFS('Barang Keluar'!$E:$E,'Barang Keluar'!$A:$A,M9661,'Barang Keluar'!$C:$C,N9661))</f>
        <v>0</v>
      </c>
    </row>
    <row r="9662" spans="13:16">
      <c r="M9662" s="49">
        <f>IF($A$4+96&gt;$B$4,"",$A$4+96)</f>
        <v>46119</v>
      </c>
      <c r="N9662">
        <f>IF(M9662="","",'Master Barang'!A56)</f>
        <v>0</v>
      </c>
      <c r="O9662">
        <f>IF(N9662="","",'Master Barang'!B56)</f>
        <v>0</v>
      </c>
      <c r="P9662">
        <f>IF(OR(M9662="",N9662=""),"",SUMIFS('Barang Keluar'!$E:$E,'Barang Keluar'!$A:$A,M9662,'Barang Keluar'!$C:$C,N9662))</f>
        <v>0</v>
      </c>
    </row>
    <row r="9663" spans="13:16">
      <c r="M9663" s="49">
        <f>IF($A$4+96&gt;$B$4,"",$A$4+96)</f>
        <v>46119</v>
      </c>
      <c r="N9663">
        <f>IF(M9663="","",'Master Barang'!A57)</f>
        <v>0</v>
      </c>
      <c r="O9663">
        <f>IF(N9663="","",'Master Barang'!B57)</f>
        <v>0</v>
      </c>
      <c r="P9663">
        <f>IF(OR(M9663="",N9663=""),"",SUMIFS('Barang Keluar'!$E:$E,'Barang Keluar'!$A:$A,M9663,'Barang Keluar'!$C:$C,N9663))</f>
        <v>0</v>
      </c>
    </row>
    <row r="9664" spans="13:16">
      <c r="M9664" s="49">
        <f>IF($A$4+96&gt;$B$4,"",$A$4+96)</f>
        <v>46119</v>
      </c>
      <c r="N9664">
        <f>IF(M9664="","",'Master Barang'!A58)</f>
        <v>0</v>
      </c>
      <c r="O9664">
        <f>IF(N9664="","",'Master Barang'!B58)</f>
        <v>0</v>
      </c>
      <c r="P9664">
        <f>IF(OR(M9664="",N9664=""),"",SUMIFS('Barang Keluar'!$E:$E,'Barang Keluar'!$A:$A,M9664,'Barang Keluar'!$C:$C,N9664))</f>
        <v>0</v>
      </c>
    </row>
    <row r="9665" spans="13:16">
      <c r="M9665" s="49">
        <f>IF($A$4+96&gt;$B$4,"",$A$4+96)</f>
        <v>46119</v>
      </c>
      <c r="N9665">
        <f>IF(M9665="","",'Master Barang'!A59)</f>
        <v>0</v>
      </c>
      <c r="O9665">
        <f>IF(N9665="","",'Master Barang'!B59)</f>
        <v>0</v>
      </c>
      <c r="P9665">
        <f>IF(OR(M9665="",N9665=""),"",SUMIFS('Barang Keluar'!$E:$E,'Barang Keluar'!$A:$A,M9665,'Barang Keluar'!$C:$C,N9665))</f>
        <v>0</v>
      </c>
    </row>
    <row r="9666" spans="13:16">
      <c r="M9666" s="49">
        <f>IF($A$4+96&gt;$B$4,"",$A$4+96)</f>
        <v>46119</v>
      </c>
      <c r="N9666">
        <f>IF(M9666="","",'Master Barang'!A60)</f>
        <v>0</v>
      </c>
      <c r="O9666">
        <f>IF(N9666="","",'Master Barang'!B60)</f>
        <v>0</v>
      </c>
      <c r="P9666">
        <f>IF(OR(M9666="",N9666=""),"",SUMIFS('Barang Keluar'!$E:$E,'Barang Keluar'!$A:$A,M9666,'Barang Keluar'!$C:$C,N9666))</f>
        <v>0</v>
      </c>
    </row>
    <row r="9667" spans="13:16">
      <c r="M9667" s="49">
        <f>IF($A$4+96&gt;$B$4,"",$A$4+96)</f>
        <v>46119</v>
      </c>
      <c r="N9667">
        <f>IF(M9667="","",'Master Barang'!A61)</f>
        <v>0</v>
      </c>
      <c r="O9667">
        <f>IF(N9667="","",'Master Barang'!B61)</f>
        <v>0</v>
      </c>
      <c r="P9667">
        <f>IF(OR(M9667="",N9667=""),"",SUMIFS('Barang Keluar'!$E:$E,'Barang Keluar'!$A:$A,M9667,'Barang Keluar'!$C:$C,N9667))</f>
        <v>0</v>
      </c>
    </row>
    <row r="9668" spans="13:16">
      <c r="M9668" s="49">
        <f>IF($A$4+96&gt;$B$4,"",$A$4+96)</f>
        <v>46119</v>
      </c>
      <c r="N9668">
        <f>IF(M9668="","",'Master Barang'!A62)</f>
        <v>0</v>
      </c>
      <c r="O9668">
        <f>IF(N9668="","",'Master Barang'!B62)</f>
        <v>0</v>
      </c>
      <c r="P9668">
        <f>IF(OR(M9668="",N9668=""),"",SUMIFS('Barang Keluar'!$E:$E,'Barang Keluar'!$A:$A,M9668,'Barang Keluar'!$C:$C,N9668))</f>
        <v>0</v>
      </c>
    </row>
    <row r="9669" spans="13:16">
      <c r="M9669" s="49">
        <f>IF($A$4+96&gt;$B$4,"",$A$4+96)</f>
        <v>46119</v>
      </c>
      <c r="N9669">
        <f>IF(M9669="","",'Master Barang'!A63)</f>
        <v>0</v>
      </c>
      <c r="O9669">
        <f>IF(N9669="","",'Master Barang'!B63)</f>
        <v>0</v>
      </c>
      <c r="P9669">
        <f>IF(OR(M9669="",N9669=""),"",SUMIFS('Barang Keluar'!$E:$E,'Barang Keluar'!$A:$A,M9669,'Barang Keluar'!$C:$C,N9669))</f>
        <v>0</v>
      </c>
    </row>
    <row r="9670" spans="13:16">
      <c r="M9670" s="49">
        <f>IF($A$4+96&gt;$B$4,"",$A$4+96)</f>
        <v>46119</v>
      </c>
      <c r="N9670">
        <f>IF(M9670="","",'Master Barang'!A64)</f>
        <v>0</v>
      </c>
      <c r="O9670">
        <f>IF(N9670="","",'Master Barang'!B64)</f>
        <v>0</v>
      </c>
      <c r="P9670">
        <f>IF(OR(M9670="",N9670=""),"",SUMIFS('Barang Keluar'!$E:$E,'Barang Keluar'!$A:$A,M9670,'Barang Keluar'!$C:$C,N9670))</f>
        <v>0</v>
      </c>
    </row>
    <row r="9671" spans="13:16">
      <c r="M9671" s="49">
        <f>IF($A$4+96&gt;$B$4,"",$A$4+96)</f>
        <v>46119</v>
      </c>
      <c r="N9671">
        <f>IF(M9671="","",'Master Barang'!A65)</f>
        <v>0</v>
      </c>
      <c r="O9671">
        <f>IF(N9671="","",'Master Barang'!B65)</f>
        <v>0</v>
      </c>
      <c r="P9671">
        <f>IF(OR(M9671="",N9671=""),"",SUMIFS('Barang Keluar'!$E:$E,'Barang Keluar'!$A:$A,M9671,'Barang Keluar'!$C:$C,N9671))</f>
        <v>0</v>
      </c>
    </row>
    <row r="9672" spans="13:16">
      <c r="M9672" s="49">
        <f>IF($A$4+96&gt;$B$4,"",$A$4+96)</f>
        <v>46119</v>
      </c>
      <c r="N9672">
        <f>IF(M9672="","",'Master Barang'!A66)</f>
        <v>0</v>
      </c>
      <c r="O9672">
        <f>IF(N9672="","",'Master Barang'!B66)</f>
        <v>0</v>
      </c>
      <c r="P9672">
        <f>IF(OR(M9672="",N9672=""),"",SUMIFS('Barang Keluar'!$E:$E,'Barang Keluar'!$A:$A,M9672,'Barang Keluar'!$C:$C,N9672))</f>
        <v>0</v>
      </c>
    </row>
    <row r="9673" spans="13:16">
      <c r="M9673" s="49">
        <f>IF($A$4+96&gt;$B$4,"",$A$4+96)</f>
        <v>46119</v>
      </c>
      <c r="N9673">
        <f>IF(M9673="","",'Master Barang'!A67)</f>
        <v>0</v>
      </c>
      <c r="O9673">
        <f>IF(N9673="","",'Master Barang'!B67)</f>
        <v>0</v>
      </c>
      <c r="P9673">
        <f>IF(OR(M9673="",N9673=""),"",SUMIFS('Barang Keluar'!$E:$E,'Barang Keluar'!$A:$A,M9673,'Barang Keluar'!$C:$C,N9673))</f>
        <v>0</v>
      </c>
    </row>
    <row r="9674" spans="13:16">
      <c r="M9674" s="49">
        <f>IF($A$4+96&gt;$B$4,"",$A$4+96)</f>
        <v>46119</v>
      </c>
      <c r="N9674">
        <f>IF(M9674="","",'Master Barang'!A68)</f>
        <v>0</v>
      </c>
      <c r="O9674">
        <f>IF(N9674="","",'Master Barang'!B68)</f>
        <v>0</v>
      </c>
      <c r="P9674">
        <f>IF(OR(M9674="",N9674=""),"",SUMIFS('Barang Keluar'!$E:$E,'Barang Keluar'!$A:$A,M9674,'Barang Keluar'!$C:$C,N9674))</f>
        <v>0</v>
      </c>
    </row>
    <row r="9675" spans="13:16">
      <c r="M9675" s="49">
        <f>IF($A$4+96&gt;$B$4,"",$A$4+96)</f>
        <v>46119</v>
      </c>
      <c r="N9675">
        <f>IF(M9675="","",'Master Barang'!A69)</f>
        <v>0</v>
      </c>
      <c r="O9675">
        <f>IF(N9675="","",'Master Barang'!B69)</f>
        <v>0</v>
      </c>
      <c r="P9675">
        <f>IF(OR(M9675="",N9675=""),"",SUMIFS('Barang Keluar'!$E:$E,'Barang Keluar'!$A:$A,M9675,'Barang Keluar'!$C:$C,N9675))</f>
        <v>0</v>
      </c>
    </row>
    <row r="9676" spans="13:16">
      <c r="M9676" s="49">
        <f>IF($A$4+96&gt;$B$4,"",$A$4+96)</f>
        <v>46119</v>
      </c>
      <c r="N9676">
        <f>IF(M9676="","",'Master Barang'!A70)</f>
        <v>0</v>
      </c>
      <c r="O9676">
        <f>IF(N9676="","",'Master Barang'!B70)</f>
        <v>0</v>
      </c>
      <c r="P9676">
        <f>IF(OR(M9676="",N9676=""),"",SUMIFS('Barang Keluar'!$E:$E,'Barang Keluar'!$A:$A,M9676,'Barang Keluar'!$C:$C,N9676))</f>
        <v>0</v>
      </c>
    </row>
    <row r="9677" spans="13:16">
      <c r="M9677" s="49">
        <f>IF($A$4+96&gt;$B$4,"",$A$4+96)</f>
        <v>46119</v>
      </c>
      <c r="N9677">
        <f>IF(M9677="","",'Master Barang'!A71)</f>
        <v>0</v>
      </c>
      <c r="O9677">
        <f>IF(N9677="","",'Master Barang'!B71)</f>
        <v>0</v>
      </c>
      <c r="P9677">
        <f>IF(OR(M9677="",N9677=""),"",SUMIFS('Barang Keluar'!$E:$E,'Barang Keluar'!$A:$A,M9677,'Barang Keluar'!$C:$C,N9677))</f>
        <v>0</v>
      </c>
    </row>
    <row r="9678" spans="13:16">
      <c r="M9678" s="49">
        <f>IF($A$4+96&gt;$B$4,"",$A$4+96)</f>
        <v>46119</v>
      </c>
      <c r="N9678">
        <f>IF(M9678="","",'Master Barang'!A72)</f>
        <v>0</v>
      </c>
      <c r="O9678">
        <f>IF(N9678="","",'Master Barang'!B72)</f>
        <v>0</v>
      </c>
      <c r="P9678">
        <f>IF(OR(M9678="",N9678=""),"",SUMIFS('Barang Keluar'!$E:$E,'Barang Keluar'!$A:$A,M9678,'Barang Keluar'!$C:$C,N9678))</f>
        <v>0</v>
      </c>
    </row>
    <row r="9679" spans="13:16">
      <c r="M9679" s="49">
        <f>IF($A$4+96&gt;$B$4,"",$A$4+96)</f>
        <v>46119</v>
      </c>
      <c r="N9679">
        <f>IF(M9679="","",'Master Barang'!A73)</f>
        <v>0</v>
      </c>
      <c r="O9679">
        <f>IF(N9679="","",'Master Barang'!B73)</f>
        <v>0</v>
      </c>
      <c r="P9679">
        <f>IF(OR(M9679="",N9679=""),"",SUMIFS('Barang Keluar'!$E:$E,'Barang Keluar'!$A:$A,M9679,'Barang Keluar'!$C:$C,N9679))</f>
        <v>0</v>
      </c>
    </row>
    <row r="9680" spans="13:16">
      <c r="M9680" s="49">
        <f>IF($A$4+96&gt;$B$4,"",$A$4+96)</f>
        <v>46119</v>
      </c>
      <c r="N9680">
        <f>IF(M9680="","",'Master Barang'!A74)</f>
        <v>0</v>
      </c>
      <c r="O9680">
        <f>IF(N9680="","",'Master Barang'!B74)</f>
        <v>0</v>
      </c>
      <c r="P9680">
        <f>IF(OR(M9680="",N9680=""),"",SUMIFS('Barang Keluar'!$E:$E,'Barang Keluar'!$A:$A,M9680,'Barang Keluar'!$C:$C,N9680))</f>
        <v>0</v>
      </c>
    </row>
    <row r="9681" spans="13:16">
      <c r="M9681" s="49">
        <f>IF($A$4+96&gt;$B$4,"",$A$4+96)</f>
        <v>46119</v>
      </c>
      <c r="N9681">
        <f>IF(M9681="","",'Master Barang'!A75)</f>
        <v>0</v>
      </c>
      <c r="O9681">
        <f>IF(N9681="","",'Master Barang'!B75)</f>
        <v>0</v>
      </c>
      <c r="P9681">
        <f>IF(OR(M9681="",N9681=""),"",SUMIFS('Barang Keluar'!$E:$E,'Barang Keluar'!$A:$A,M9681,'Barang Keluar'!$C:$C,N9681))</f>
        <v>0</v>
      </c>
    </row>
    <row r="9682" spans="13:16">
      <c r="M9682" s="49">
        <f>IF($A$4+96&gt;$B$4,"",$A$4+96)</f>
        <v>46119</v>
      </c>
      <c r="N9682">
        <f>IF(M9682="","",'Master Barang'!A76)</f>
        <v>0</v>
      </c>
      <c r="O9682">
        <f>IF(N9682="","",'Master Barang'!B76)</f>
        <v>0</v>
      </c>
      <c r="P9682">
        <f>IF(OR(M9682="",N9682=""),"",SUMIFS('Barang Keluar'!$E:$E,'Barang Keluar'!$A:$A,M9682,'Barang Keluar'!$C:$C,N9682))</f>
        <v>0</v>
      </c>
    </row>
    <row r="9683" spans="13:16">
      <c r="M9683" s="49">
        <f>IF($A$4+96&gt;$B$4,"",$A$4+96)</f>
        <v>46119</v>
      </c>
      <c r="N9683">
        <f>IF(M9683="","",'Master Barang'!A77)</f>
        <v>0</v>
      </c>
      <c r="O9683">
        <f>IF(N9683="","",'Master Barang'!B77)</f>
        <v>0</v>
      </c>
      <c r="P9683">
        <f>IF(OR(M9683="",N9683=""),"",SUMIFS('Barang Keluar'!$E:$E,'Barang Keluar'!$A:$A,M9683,'Barang Keluar'!$C:$C,N9683))</f>
        <v>0</v>
      </c>
    </row>
    <row r="9684" spans="13:16">
      <c r="M9684" s="49">
        <f>IF($A$4+96&gt;$B$4,"",$A$4+96)</f>
        <v>46119</v>
      </c>
      <c r="N9684">
        <f>IF(M9684="","",'Master Barang'!A78)</f>
        <v>0</v>
      </c>
      <c r="O9684">
        <f>IF(N9684="","",'Master Barang'!B78)</f>
        <v>0</v>
      </c>
      <c r="P9684">
        <f>IF(OR(M9684="",N9684=""),"",SUMIFS('Barang Keluar'!$E:$E,'Barang Keluar'!$A:$A,M9684,'Barang Keluar'!$C:$C,N9684))</f>
        <v>0</v>
      </c>
    </row>
    <row r="9685" spans="13:16">
      <c r="M9685" s="49">
        <f>IF($A$4+96&gt;$B$4,"",$A$4+96)</f>
        <v>46119</v>
      </c>
      <c r="N9685">
        <f>IF(M9685="","",'Master Barang'!A79)</f>
        <v>0</v>
      </c>
      <c r="O9685">
        <f>IF(N9685="","",'Master Barang'!B79)</f>
        <v>0</v>
      </c>
      <c r="P9685">
        <f>IF(OR(M9685="",N9685=""),"",SUMIFS('Barang Keluar'!$E:$E,'Barang Keluar'!$A:$A,M9685,'Barang Keluar'!$C:$C,N9685))</f>
        <v>0</v>
      </c>
    </row>
    <row r="9686" spans="13:16">
      <c r="M9686" s="49">
        <f>IF($A$4+96&gt;$B$4,"",$A$4+96)</f>
        <v>46119</v>
      </c>
      <c r="N9686">
        <f>IF(M9686="","",'Master Barang'!A80)</f>
        <v>0</v>
      </c>
      <c r="O9686">
        <f>IF(N9686="","",'Master Barang'!B80)</f>
        <v>0</v>
      </c>
      <c r="P9686">
        <f>IF(OR(M9686="",N9686=""),"",SUMIFS('Barang Keluar'!$E:$E,'Barang Keluar'!$A:$A,M9686,'Barang Keluar'!$C:$C,N9686))</f>
        <v>0</v>
      </c>
    </row>
    <row r="9687" spans="13:16">
      <c r="M9687" s="49">
        <f>IF($A$4+96&gt;$B$4,"",$A$4+96)</f>
        <v>46119</v>
      </c>
      <c r="N9687">
        <f>IF(M9687="","",'Master Barang'!A81)</f>
        <v>0</v>
      </c>
      <c r="O9687">
        <f>IF(N9687="","",'Master Barang'!B81)</f>
        <v>0</v>
      </c>
      <c r="P9687">
        <f>IF(OR(M9687="",N9687=""),"",SUMIFS('Barang Keluar'!$E:$E,'Barang Keluar'!$A:$A,M9687,'Barang Keluar'!$C:$C,N9687))</f>
        <v>0</v>
      </c>
    </row>
    <row r="9688" spans="13:16">
      <c r="M9688" s="49">
        <f>IF($A$4+96&gt;$B$4,"",$A$4+96)</f>
        <v>46119</v>
      </c>
      <c r="N9688">
        <f>IF(M9688="","",'Master Barang'!A82)</f>
        <v>0</v>
      </c>
      <c r="O9688">
        <f>IF(N9688="","",'Master Barang'!B82)</f>
        <v>0</v>
      </c>
      <c r="P9688">
        <f>IF(OR(M9688="",N9688=""),"",SUMIFS('Barang Keluar'!$E:$E,'Barang Keluar'!$A:$A,M9688,'Barang Keluar'!$C:$C,N9688))</f>
        <v>0</v>
      </c>
    </row>
    <row r="9689" spans="13:16">
      <c r="M9689" s="49">
        <f>IF($A$4+96&gt;$B$4,"",$A$4+96)</f>
        <v>46119</v>
      </c>
      <c r="N9689">
        <f>IF(M9689="","",'Master Barang'!A83)</f>
        <v>0</v>
      </c>
      <c r="O9689">
        <f>IF(N9689="","",'Master Barang'!B83)</f>
        <v>0</v>
      </c>
      <c r="P9689">
        <f>IF(OR(M9689="",N9689=""),"",SUMIFS('Barang Keluar'!$E:$E,'Barang Keluar'!$A:$A,M9689,'Barang Keluar'!$C:$C,N9689))</f>
        <v>0</v>
      </c>
    </row>
    <row r="9690" spans="13:16">
      <c r="M9690" s="49">
        <f>IF($A$4+96&gt;$B$4,"",$A$4+96)</f>
        <v>46119</v>
      </c>
      <c r="N9690">
        <f>IF(M9690="","",'Master Barang'!A84)</f>
        <v>0</v>
      </c>
      <c r="O9690">
        <f>IF(N9690="","",'Master Barang'!B84)</f>
        <v>0</v>
      </c>
      <c r="P9690">
        <f>IF(OR(M9690="",N9690=""),"",SUMIFS('Barang Keluar'!$E:$E,'Barang Keluar'!$A:$A,M9690,'Barang Keluar'!$C:$C,N9690))</f>
        <v>0</v>
      </c>
    </row>
    <row r="9691" spans="13:16">
      <c r="M9691" s="49">
        <f>IF($A$4+96&gt;$B$4,"",$A$4+96)</f>
        <v>46119</v>
      </c>
      <c r="N9691">
        <f>IF(M9691="","",'Master Barang'!A85)</f>
        <v>0</v>
      </c>
      <c r="O9691">
        <f>IF(N9691="","",'Master Barang'!B85)</f>
        <v>0</v>
      </c>
      <c r="P9691">
        <f>IF(OR(M9691="",N9691=""),"",SUMIFS('Barang Keluar'!$E:$E,'Barang Keluar'!$A:$A,M9691,'Barang Keluar'!$C:$C,N9691))</f>
        <v>0</v>
      </c>
    </row>
    <row r="9692" spans="13:16">
      <c r="M9692" s="49">
        <f>IF($A$4+96&gt;$B$4,"",$A$4+96)</f>
        <v>46119</v>
      </c>
      <c r="N9692">
        <f>IF(M9692="","",'Master Barang'!A86)</f>
        <v>0</v>
      </c>
      <c r="O9692">
        <f>IF(N9692="","",'Master Barang'!B86)</f>
        <v>0</v>
      </c>
      <c r="P9692">
        <f>IF(OR(M9692="",N9692=""),"",SUMIFS('Barang Keluar'!$E:$E,'Barang Keluar'!$A:$A,M9692,'Barang Keluar'!$C:$C,N9692))</f>
        <v>0</v>
      </c>
    </row>
    <row r="9693" spans="13:16">
      <c r="M9693" s="49">
        <f>IF($A$4+96&gt;$B$4,"",$A$4+96)</f>
        <v>46119</v>
      </c>
      <c r="N9693">
        <f>IF(M9693="","",'Master Barang'!A87)</f>
        <v>0</v>
      </c>
      <c r="O9693">
        <f>IF(N9693="","",'Master Barang'!B87)</f>
        <v>0</v>
      </c>
      <c r="P9693">
        <f>IF(OR(M9693="",N9693=""),"",SUMIFS('Barang Keluar'!$E:$E,'Barang Keluar'!$A:$A,M9693,'Barang Keluar'!$C:$C,N9693))</f>
        <v>0</v>
      </c>
    </row>
    <row r="9694" spans="13:16">
      <c r="M9694" s="49">
        <f>IF($A$4+96&gt;$B$4,"",$A$4+96)</f>
        <v>46119</v>
      </c>
      <c r="N9694">
        <f>IF(M9694="","",'Master Barang'!A88)</f>
        <v>0</v>
      </c>
      <c r="O9694">
        <f>IF(N9694="","",'Master Barang'!B88)</f>
        <v>0</v>
      </c>
      <c r="P9694">
        <f>IF(OR(M9694="",N9694=""),"",SUMIFS('Barang Keluar'!$E:$E,'Barang Keluar'!$A:$A,M9694,'Barang Keluar'!$C:$C,N9694))</f>
        <v>0</v>
      </c>
    </row>
    <row r="9695" spans="13:16">
      <c r="M9695" s="49">
        <f>IF($A$4+96&gt;$B$4,"",$A$4+96)</f>
        <v>46119</v>
      </c>
      <c r="N9695">
        <f>IF(M9695="","",'Master Barang'!A89)</f>
        <v>0</v>
      </c>
      <c r="O9695">
        <f>IF(N9695="","",'Master Barang'!B89)</f>
        <v>0</v>
      </c>
      <c r="P9695">
        <f>IF(OR(M9695="",N9695=""),"",SUMIFS('Barang Keluar'!$E:$E,'Barang Keluar'!$A:$A,M9695,'Barang Keluar'!$C:$C,N9695))</f>
        <v>0</v>
      </c>
    </row>
    <row r="9696" spans="13:16">
      <c r="M9696" s="49">
        <f>IF($A$4+96&gt;$B$4,"",$A$4+96)</f>
        <v>46119</v>
      </c>
      <c r="N9696">
        <f>IF(M9696="","",'Master Barang'!A90)</f>
        <v>0</v>
      </c>
      <c r="O9696">
        <f>IF(N9696="","",'Master Barang'!B90)</f>
        <v>0</v>
      </c>
      <c r="P9696">
        <f>IF(OR(M9696="",N9696=""),"",SUMIFS('Barang Keluar'!$E:$E,'Barang Keluar'!$A:$A,M9696,'Barang Keluar'!$C:$C,N9696))</f>
        <v>0</v>
      </c>
    </row>
    <row r="9697" spans="13:16">
      <c r="M9697" s="49">
        <f>IF($A$4+96&gt;$B$4,"",$A$4+96)</f>
        <v>46119</v>
      </c>
      <c r="N9697">
        <f>IF(M9697="","",'Master Barang'!A91)</f>
        <v>0</v>
      </c>
      <c r="O9697">
        <f>IF(N9697="","",'Master Barang'!B91)</f>
        <v>0</v>
      </c>
      <c r="P9697">
        <f>IF(OR(M9697="",N9697=""),"",SUMIFS('Barang Keluar'!$E:$E,'Barang Keluar'!$A:$A,M9697,'Barang Keluar'!$C:$C,N9697))</f>
        <v>0</v>
      </c>
    </row>
    <row r="9698" spans="13:16">
      <c r="M9698" s="49">
        <f>IF($A$4+96&gt;$B$4,"",$A$4+96)</f>
        <v>46119</v>
      </c>
      <c r="N9698">
        <f>IF(M9698="","",'Master Barang'!A92)</f>
        <v>0</v>
      </c>
      <c r="O9698">
        <f>IF(N9698="","",'Master Barang'!B92)</f>
        <v>0</v>
      </c>
      <c r="P9698">
        <f>IF(OR(M9698="",N9698=""),"",SUMIFS('Barang Keluar'!$E:$E,'Barang Keluar'!$A:$A,M9698,'Barang Keluar'!$C:$C,N9698))</f>
        <v>0</v>
      </c>
    </row>
    <row r="9699" spans="13:16">
      <c r="M9699" s="49">
        <f>IF($A$4+96&gt;$B$4,"",$A$4+96)</f>
        <v>46119</v>
      </c>
      <c r="N9699">
        <f>IF(M9699="","",'Master Barang'!A93)</f>
        <v>0</v>
      </c>
      <c r="O9699">
        <f>IF(N9699="","",'Master Barang'!B93)</f>
        <v>0</v>
      </c>
      <c r="P9699">
        <f>IF(OR(M9699="",N9699=""),"",SUMIFS('Barang Keluar'!$E:$E,'Barang Keluar'!$A:$A,M9699,'Barang Keluar'!$C:$C,N9699))</f>
        <v>0</v>
      </c>
    </row>
    <row r="9700" spans="13:16">
      <c r="M9700" s="49">
        <f>IF($A$4+96&gt;$B$4,"",$A$4+96)</f>
        <v>46119</v>
      </c>
      <c r="N9700">
        <f>IF(M9700="","",'Master Barang'!A94)</f>
        <v>0</v>
      </c>
      <c r="O9700">
        <f>IF(N9700="","",'Master Barang'!B94)</f>
        <v>0</v>
      </c>
      <c r="P9700">
        <f>IF(OR(M9700="",N9700=""),"",SUMIFS('Barang Keluar'!$E:$E,'Barang Keluar'!$A:$A,M9700,'Barang Keluar'!$C:$C,N9700))</f>
        <v>0</v>
      </c>
    </row>
    <row r="9701" spans="13:16">
      <c r="M9701" s="49">
        <f>IF($A$4+96&gt;$B$4,"",$A$4+96)</f>
        <v>46119</v>
      </c>
      <c r="N9701">
        <f>IF(M9701="","",'Master Barang'!A95)</f>
        <v>0</v>
      </c>
      <c r="O9701">
        <f>IF(N9701="","",'Master Barang'!B95)</f>
        <v>0</v>
      </c>
      <c r="P9701">
        <f>IF(OR(M9701="",N9701=""),"",SUMIFS('Barang Keluar'!$E:$E,'Barang Keluar'!$A:$A,M9701,'Barang Keluar'!$C:$C,N9701))</f>
        <v>0</v>
      </c>
    </row>
    <row r="9702" spans="13:16">
      <c r="M9702" s="49">
        <f>IF($A$4+96&gt;$B$4,"",$A$4+96)</f>
        <v>46119</v>
      </c>
      <c r="N9702">
        <f>IF(M9702="","",'Master Barang'!A96)</f>
        <v>0</v>
      </c>
      <c r="O9702">
        <f>IF(N9702="","",'Master Barang'!B96)</f>
        <v>0</v>
      </c>
      <c r="P9702">
        <f>IF(OR(M9702="",N9702=""),"",SUMIFS('Barang Keluar'!$E:$E,'Barang Keluar'!$A:$A,M9702,'Barang Keluar'!$C:$C,N9702))</f>
        <v>0</v>
      </c>
    </row>
    <row r="9703" spans="13:16">
      <c r="M9703" s="49">
        <f>IF($A$4+96&gt;$B$4,"",$A$4+96)</f>
        <v>46119</v>
      </c>
      <c r="N9703">
        <f>IF(M9703="","",'Master Barang'!A97)</f>
        <v>0</v>
      </c>
      <c r="O9703">
        <f>IF(N9703="","",'Master Barang'!B97)</f>
        <v>0</v>
      </c>
      <c r="P9703">
        <f>IF(OR(M9703="",N9703=""),"",SUMIFS('Barang Keluar'!$E:$E,'Barang Keluar'!$A:$A,M9703,'Barang Keluar'!$C:$C,N9703))</f>
        <v>0</v>
      </c>
    </row>
    <row r="9704" spans="13:16">
      <c r="M9704" s="49">
        <f>IF($A$4+96&gt;$B$4,"",$A$4+96)</f>
        <v>46119</v>
      </c>
      <c r="N9704">
        <f>IF(M9704="","",'Master Barang'!A98)</f>
        <v>0</v>
      </c>
      <c r="O9704">
        <f>IF(N9704="","",'Master Barang'!B98)</f>
        <v>0</v>
      </c>
      <c r="P9704">
        <f>IF(OR(M9704="",N9704=""),"",SUMIFS('Barang Keluar'!$E:$E,'Barang Keluar'!$A:$A,M9704,'Barang Keluar'!$C:$C,N9704))</f>
        <v>0</v>
      </c>
    </row>
    <row r="9705" spans="13:16">
      <c r="M9705" s="49">
        <f>IF($A$4+96&gt;$B$4,"",$A$4+96)</f>
        <v>46119</v>
      </c>
      <c r="N9705">
        <f>IF(M9705="","",'Master Barang'!A99)</f>
        <v>0</v>
      </c>
      <c r="O9705">
        <f>IF(N9705="","",'Master Barang'!B99)</f>
        <v>0</v>
      </c>
      <c r="P9705">
        <f>IF(OR(M9705="",N9705=""),"",SUMIFS('Barang Keluar'!$E:$E,'Barang Keluar'!$A:$A,M9705,'Barang Keluar'!$C:$C,N9705))</f>
        <v>0</v>
      </c>
    </row>
    <row r="9706" spans="13:16">
      <c r="M9706" s="49">
        <f>IF($A$4+96&gt;$B$4,"",$A$4+96)</f>
        <v>46119</v>
      </c>
      <c r="N9706">
        <f>IF(M9706="","",'Master Barang'!A100)</f>
        <v>0</v>
      </c>
      <c r="O9706">
        <f>IF(N9706="","",'Master Barang'!B100)</f>
        <v>0</v>
      </c>
      <c r="P9706">
        <f>IF(OR(M9706="",N9706=""),"",SUMIFS('Barang Keluar'!$E:$E,'Barang Keluar'!$A:$A,M9706,'Barang Keluar'!$C:$C,N9706))</f>
        <v>0</v>
      </c>
    </row>
    <row r="9707" spans="13:16">
      <c r="M9707" s="49">
        <f>IF($A$4+96&gt;$B$4,"",$A$4+96)</f>
        <v>46119</v>
      </c>
      <c r="N9707">
        <f>IF(M9707="","",'Master Barang'!A101)</f>
        <v>0</v>
      </c>
      <c r="O9707">
        <f>IF(N9707="","",'Master Barang'!B101)</f>
        <v>0</v>
      </c>
      <c r="P9707">
        <f>IF(OR(M9707="",N9707=""),"",SUMIFS('Barang Keluar'!$E:$E,'Barang Keluar'!$A:$A,M9707,'Barang Keluar'!$C:$C,N9707))</f>
        <v>0</v>
      </c>
    </row>
    <row r="9708" spans="13:16">
      <c r="M9708" s="49">
        <f>IF($A$4+97&gt;$B$4,"",$A$4+97)</f>
        <v>46120</v>
      </c>
      <c r="N9708" t="str">
        <f>IF(M9708="","",'Master Barang'!A2)</f>
        <v>PRL-001</v>
      </c>
      <c r="O9708" t="str">
        <f>IF(N9708="","",'Master Barang'!B2)</f>
        <v>natura desinfectant food grade 5l</v>
      </c>
      <c r="P9708">
        <f>IF(OR(M9708="",N9708=""),"",SUMIFS('Barang Keluar'!$E:$E,'Barang Keluar'!$A:$A,M9708,'Barang Keluar'!$C:$C,N9708))</f>
        <v>0</v>
      </c>
    </row>
    <row r="9709" spans="13:16">
      <c r="M9709" s="49">
        <f>IF($A$4+97&gt;$B$4,"",$A$4+97)</f>
        <v>46120</v>
      </c>
      <c r="N9709" t="str">
        <f>IF(M9709="","",'Master Barang'!A3)</f>
        <v>PRL-002</v>
      </c>
      <c r="O9709" t="str">
        <f>IF(N9709="","",'Master Barang'!B3)</f>
        <v>sunlight cairan pencuci piring 5l</v>
      </c>
      <c r="P9709">
        <f>IF(OR(M9709="",N9709=""),"",SUMIFS('Barang Keluar'!$E:$E,'Barang Keluar'!$A:$A,M9709,'Barang Keluar'!$C:$C,N9709))</f>
        <v>0</v>
      </c>
    </row>
    <row r="9710" spans="13:16">
      <c r="M9710" s="49">
        <f>IF($A$4+97&gt;$B$4,"",$A$4+97)</f>
        <v>46120</v>
      </c>
      <c r="N9710" t="str">
        <f>IF(M9710="","",'Master Barang'!A4)</f>
        <v>PRL-003</v>
      </c>
      <c r="O9710" t="str">
        <f>IF(N9710="","",'Master Barang'!B4)</f>
        <v>oixs cleaner 1l</v>
      </c>
      <c r="P9710">
        <f>IF(OR(M9710="",N9710=""),"",SUMIFS('Barang Keluar'!$E:$E,'Barang Keluar'!$A:$A,M9710,'Barang Keluar'!$C:$C,N9710))</f>
        <v>0</v>
      </c>
    </row>
    <row r="9711" spans="13:16">
      <c r="M9711" s="49">
        <f>IF($A$4+97&gt;$B$4,"",$A$4+97)</f>
        <v>46120</v>
      </c>
      <c r="N9711" t="str">
        <f>IF(M9711="","",'Master Barang'!A5)</f>
        <v>PRL-004</v>
      </c>
      <c r="O9711" t="str">
        <f>IF(N9711="","",'Master Barang'!B5)</f>
        <v>be clean tissue serbaguna</v>
      </c>
      <c r="P9711">
        <f>IF(OR(M9711="",N9711=""),"",SUMIFS('Barang Keluar'!$E:$E,'Barang Keluar'!$A:$A,M9711,'Barang Keluar'!$C:$C,N9711))</f>
        <v>0</v>
      </c>
    </row>
    <row r="9712" spans="13:16">
      <c r="M9712" s="49">
        <f>IF($A$4+97&gt;$B$4,"",$A$4+97)</f>
        <v>46120</v>
      </c>
      <c r="N9712" t="str">
        <f>IF(M9712="","",'Master Barang'!A6)</f>
        <v>PRL-005</v>
      </c>
      <c r="O9712" t="str">
        <f>IF(N9712="","",'Master Barang'!B6)</f>
        <v>spons cuci hijau</v>
      </c>
      <c r="P9712">
        <f>IF(OR(M9712="",N9712=""),"",SUMIFS('Barang Keluar'!$E:$E,'Barang Keluar'!$A:$A,M9712,'Barang Keluar'!$C:$C,N9712))</f>
        <v>0</v>
      </c>
    </row>
    <row r="9713" spans="13:16">
      <c r="M9713" s="49">
        <f>IF($A$4+97&gt;$B$4,"",$A$4+97)</f>
        <v>46120</v>
      </c>
      <c r="N9713" t="str">
        <f>IF(M9713="","",'Master Barang'!A7)</f>
        <v>PRL-006</v>
      </c>
      <c r="O9713" t="str">
        <f>IF(N9713="","",'Master Barang'!B7)</f>
        <v>sabut cuci stainless</v>
      </c>
      <c r="P9713">
        <f>IF(OR(M9713="",N9713=""),"",SUMIFS('Barang Keluar'!$E:$E,'Barang Keluar'!$A:$A,M9713,'Barang Keluar'!$C:$C,N9713))</f>
        <v>0</v>
      </c>
    </row>
    <row r="9714" spans="13:16">
      <c r="M9714" s="49">
        <f>IF($A$4+97&gt;$B$4,"",$A$4+97)</f>
        <v>46120</v>
      </c>
      <c r="N9714" t="str">
        <f>IF(M9714="","",'Master Barang'!A8)</f>
        <v>PRL-007</v>
      </c>
      <c r="O9714" t="str">
        <f>IF(N9714="","",'Master Barang'!B8)</f>
        <v>plastik kresek besar merah 50pc</v>
      </c>
      <c r="P9714">
        <f>IF(OR(M9714="",N9714=""),"",SUMIFS('Barang Keluar'!$E:$E,'Barang Keluar'!$A:$A,M9714,'Barang Keluar'!$C:$C,N9714))</f>
        <v>0</v>
      </c>
    </row>
    <row r="9715" spans="13:16">
      <c r="M9715" s="49">
        <f>IF($A$4+97&gt;$B$4,"",$A$4+97)</f>
        <v>46120</v>
      </c>
      <c r="N9715" t="str">
        <f>IF(M9715="","",'Master Barang'!A9)</f>
        <v>PRL-008</v>
      </c>
      <c r="O9715" t="str">
        <f>IF(N9715="","",'Master Barang'!B9)</f>
        <v>lap besar</v>
      </c>
      <c r="P9715">
        <f>IF(OR(M9715="",N9715=""),"",SUMIFS('Barang Keluar'!$E:$E,'Barang Keluar'!$A:$A,M9715,'Barang Keluar'!$C:$C,N9715))</f>
        <v>0</v>
      </c>
    </row>
    <row r="9716" spans="13:16">
      <c r="M9716" s="49">
        <f>IF($A$4+97&gt;$B$4,"",$A$4+97)</f>
        <v>46120</v>
      </c>
      <c r="N9716" t="str">
        <f>IF(M9716="","",'Master Barang'!A10)</f>
        <v>PRL-009</v>
      </c>
      <c r="O9716" t="str">
        <f>IF(N9716="","",'Master Barang'!B10)</f>
        <v>lap microfiber</v>
      </c>
      <c r="P9716">
        <f>IF(OR(M9716="",N9716=""),"",SUMIFS('Barang Keluar'!$E:$E,'Barang Keluar'!$A:$A,M9716,'Barang Keluar'!$C:$C,N9716))</f>
        <v>0</v>
      </c>
    </row>
    <row r="9717" spans="13:16">
      <c r="M9717" s="49">
        <f>IF($A$4+97&gt;$B$4,"",$A$4+97)</f>
        <v>46120</v>
      </c>
      <c r="N9717" t="str">
        <f>IF(M9717="","",'Master Barang'!A11)</f>
        <v>PRL-010</v>
      </c>
      <c r="O9717" t="str">
        <f>IF(N9717="","",'Master Barang'!B11)</f>
        <v>lap kecil</v>
      </c>
      <c r="P9717">
        <f>IF(OR(M9717="",N9717=""),"",SUMIFS('Barang Keluar'!$E:$E,'Barang Keluar'!$A:$A,M9717,'Barang Keluar'!$C:$C,N9717))</f>
        <v>0</v>
      </c>
    </row>
    <row r="9718" spans="13:16">
      <c r="M9718" s="49">
        <f>IF($A$4+97&gt;$B$4,"",$A$4+97)</f>
        <v>46120</v>
      </c>
      <c r="N9718" t="str">
        <f>IF(M9718="","",'Master Barang'!A12)</f>
        <v>PRL-011</v>
      </c>
      <c r="O9718" t="str">
        <f>IF(N9718="","",'Master Barang'!B12)</f>
        <v>kanebo kecil</v>
      </c>
      <c r="P9718">
        <f>IF(OR(M9718="",N9718=""),"",SUMIFS('Barang Keluar'!$E:$E,'Barang Keluar'!$A:$A,M9718,'Barang Keluar'!$C:$C,N9718))</f>
        <v>0</v>
      </c>
    </row>
    <row r="9719" spans="13:16">
      <c r="M9719" s="49">
        <f>IF($A$4+97&gt;$B$4,"",$A$4+97)</f>
        <v>46120</v>
      </c>
      <c r="N9719" t="str">
        <f>IF(M9719="","",'Master Barang'!A13)</f>
        <v>PRL-012</v>
      </c>
      <c r="O9719" t="str">
        <f>IF(N9719="","",'Master Barang'!B13)</f>
        <v>plastik 1/4kg joyoboyo 100 lembar</v>
      </c>
      <c r="P9719">
        <f>IF(OR(M9719="",N9719=""),"",SUMIFS('Barang Keluar'!$E:$E,'Barang Keluar'!$A:$A,M9719,'Barang Keluar'!$C:$C,N9719))</f>
        <v>0</v>
      </c>
    </row>
    <row r="9720" spans="13:16">
      <c r="M9720" s="49">
        <f>IF($A$4+97&gt;$B$4,"",$A$4+97)</f>
        <v>46120</v>
      </c>
      <c r="N9720" t="str">
        <f>IF(M9720="","",'Master Barang'!A14)</f>
        <v>PRL-013</v>
      </c>
      <c r="O9720" t="str">
        <f>IF(N9720="","",'Master Barang'!B14)</f>
        <v>sarung tangan plastik kaka 100 pcs</v>
      </c>
      <c r="P9720">
        <f>IF(OR(M9720="",N9720=""),"",SUMIFS('Barang Keluar'!$E:$E,'Barang Keluar'!$A:$A,M9720,'Barang Keluar'!$C:$C,N9720))</f>
        <v>0</v>
      </c>
    </row>
    <row r="9721" spans="13:16">
      <c r="M9721" s="49">
        <f>IF($A$4+97&gt;$B$4,"",$A$4+97)</f>
        <v>46120</v>
      </c>
      <c r="N9721" t="str">
        <f>IF(M9721="","",'Master Barang'!A15)</f>
        <v>PRL-014</v>
      </c>
      <c r="O9721" t="str">
        <f>IF(N9721="","",'Master Barang'!B15)</f>
        <v>optima trashbag 80x100</v>
      </c>
      <c r="P9721">
        <f>IF(OR(M9721="",N9721=""),"",SUMIFS('Barang Keluar'!$E:$E,'Barang Keluar'!$A:$A,M9721,'Barang Keluar'!$C:$C,N9721))</f>
        <v>0</v>
      </c>
    </row>
    <row r="9722" spans="13:16">
      <c r="M9722" s="49">
        <f>IF($A$4+97&gt;$B$4,"",$A$4+97)</f>
        <v>46120</v>
      </c>
      <c r="N9722" t="str">
        <f>IF(M9722="","",'Master Barang'!A16)</f>
        <v>PRL-015</v>
      </c>
      <c r="O9722" t="str">
        <f>IF(N9722="","",'Master Barang'!B16)</f>
        <v>optima trashbag 60x100</v>
      </c>
      <c r="P9722">
        <f>IF(OR(M9722="",N9722=""),"",SUMIFS('Barang Keluar'!$E:$E,'Barang Keluar'!$A:$A,M9722,'Barang Keluar'!$C:$C,N9722))</f>
        <v>0</v>
      </c>
    </row>
    <row r="9723" spans="13:16">
      <c r="M9723" s="49">
        <f>IF($A$4+97&gt;$B$4,"",$A$4+97)</f>
        <v>46120</v>
      </c>
      <c r="N9723" t="str">
        <f>IF(M9723="","",'Master Barang'!A17)</f>
        <v>PRL-016</v>
      </c>
      <c r="O9723" t="str">
        <f>IF(N9723="","",'Master Barang'!B17)</f>
        <v>rajawali trashbag 30x40</v>
      </c>
      <c r="P9723">
        <f>IF(OR(M9723="",N9723=""),"",SUMIFS('Barang Keluar'!$E:$E,'Barang Keluar'!$A:$A,M9723,'Barang Keluar'!$C:$C,N9723))</f>
        <v>0</v>
      </c>
    </row>
    <row r="9724" spans="13:16">
      <c r="M9724" s="49">
        <f>IF($A$4+97&gt;$B$4,"",$A$4+97)</f>
        <v>46120</v>
      </c>
      <c r="N9724" t="str">
        <f>IF(M9724="","",'Master Barang'!A18)</f>
        <v>PRL-017</v>
      </c>
      <c r="O9724" t="str">
        <f>IF(N9724="","",'Master Barang'!B18)</f>
        <v>onemed masker biru 3 play 50 pcs</v>
      </c>
      <c r="P9724">
        <f>IF(OR(M9724="",N9724=""),"",SUMIFS('Barang Keluar'!$E:$E,'Barang Keluar'!$A:$A,M9724,'Barang Keluar'!$C:$C,N9724))</f>
        <v>0</v>
      </c>
    </row>
    <row r="9725" spans="13:16">
      <c r="M9725" s="49">
        <f>IF($A$4+97&gt;$B$4,"",$A$4+97)</f>
        <v>46120</v>
      </c>
      <c r="N9725" t="str">
        <f>IF(M9725="","",'Master Barang'!A19)</f>
        <v>PRL-018</v>
      </c>
      <c r="O9725" t="str">
        <f>IF(N9725="","",'Master Barang'!B19)</f>
        <v>onemed masker biru 3 play hijab 50 pcs</v>
      </c>
      <c r="P9725">
        <f>IF(OR(M9725="",N9725=""),"",SUMIFS('Barang Keluar'!$E:$E,'Barang Keluar'!$A:$A,M9725,'Barang Keluar'!$C:$C,N9725))</f>
        <v>0</v>
      </c>
    </row>
    <row r="9726" spans="13:16">
      <c r="M9726" s="49">
        <f>IF($A$4+97&gt;$B$4,"",$A$4+97)</f>
        <v>46120</v>
      </c>
      <c r="N9726" t="str">
        <f>IF(M9726="","",'Master Barang'!A20)</f>
        <v>PRL-019</v>
      </c>
      <c r="O9726" t="str">
        <f>IF(N9726="","",'Master Barang'!B20)</f>
        <v>neo health masker biru 3 play 50 pcs</v>
      </c>
      <c r="P9726">
        <f>IF(OR(M9726="",N9726=""),"",SUMIFS('Barang Keluar'!$E:$E,'Barang Keluar'!$A:$A,M9726,'Barang Keluar'!$C:$C,N9726))</f>
        <v>0</v>
      </c>
    </row>
    <row r="9727" spans="13:16">
      <c r="M9727" s="49">
        <f>IF($A$4+97&gt;$B$4,"",$A$4+97)</f>
        <v>46120</v>
      </c>
      <c r="N9727" t="str">
        <f>IF(M9727="","",'Master Barang'!A21)</f>
        <v>PRL-020</v>
      </c>
      <c r="O9727" t="str">
        <f>IF(N9727="","",'Master Barang'!B21)</f>
        <v>baymed masker hijau 3 play hijau 50 pcs</v>
      </c>
      <c r="P9727">
        <f>IF(OR(M9727="",N9727=""),"",SUMIFS('Barang Keluar'!$E:$E,'Barang Keluar'!$A:$A,M9727,'Barang Keluar'!$C:$C,N9727))</f>
        <v>0</v>
      </c>
    </row>
    <row r="9728" spans="13:16">
      <c r="M9728" s="49">
        <f>IF($A$4+97&gt;$B$4,"",$A$4+97)</f>
        <v>46120</v>
      </c>
      <c r="N9728" t="str">
        <f>IF(M9728="","",'Master Barang'!A22)</f>
        <v>PRL-021</v>
      </c>
      <c r="O9728" t="str">
        <f>IF(N9728="","",'Master Barang'!B22)</f>
        <v>altamed nurse cap penutup kepala 100 pcs</v>
      </c>
      <c r="P9728">
        <f>IF(OR(M9728="",N9728=""),"",SUMIFS('Barang Keluar'!$E:$E,'Barang Keluar'!$A:$A,M9728,'Barang Keluar'!$C:$C,N9728))</f>
        <v>0</v>
      </c>
    </row>
    <row r="9729" spans="13:16">
      <c r="M9729" s="49">
        <f>IF($A$4+97&gt;$B$4,"",$A$4+97)</f>
        <v>46120</v>
      </c>
      <c r="N9729" t="str">
        <f>IF(M9729="","",'Master Barang'!A23)</f>
        <v>PRL-022</v>
      </c>
      <c r="O9729" t="str">
        <f>IF(N9729="","",'Master Barang'!B23)</f>
        <v>sabun cuci tangan</v>
      </c>
      <c r="P9729">
        <f>IF(OR(M9729="",N9729=""),"",SUMIFS('Barang Keluar'!$E:$E,'Barang Keluar'!$A:$A,M9729,'Barang Keluar'!$C:$C,N9729))</f>
        <v>0</v>
      </c>
    </row>
    <row r="9730" spans="13:16">
      <c r="M9730" s="49">
        <f>IF($A$4+97&gt;$B$4,"",$A$4+97)</f>
        <v>46120</v>
      </c>
      <c r="N9730" t="str">
        <f>IF(M9730="","",'Master Barang'!A24)</f>
        <v>PRL-023</v>
      </c>
      <c r="O9730" t="str">
        <f>IF(N9730="","",'Master Barang'!B24)</f>
        <v>gayung kecil</v>
      </c>
      <c r="P9730">
        <f>IF(OR(M9730="",N9730=""),"",SUMIFS('Barang Keluar'!$E:$E,'Barang Keluar'!$A:$A,M9730,'Barang Keluar'!$C:$C,N9730))</f>
        <v>0</v>
      </c>
    </row>
    <row r="9731" spans="13:16">
      <c r="M9731" s="49">
        <f>IF($A$4+97&gt;$B$4,"",$A$4+97)</f>
        <v>46120</v>
      </c>
      <c r="N9731" t="str">
        <f>IF(M9731="","",'Master Barang'!A25)</f>
        <v>PRL-024</v>
      </c>
      <c r="O9731" t="str">
        <f>IF(N9731="","",'Master Barang'!B25)</f>
        <v>cikrak kecil</v>
      </c>
      <c r="P9731">
        <f>IF(OR(M9731="",N9731=""),"",SUMIFS('Barang Keluar'!$E:$E,'Barang Keluar'!$A:$A,M9731,'Barang Keluar'!$C:$C,N9731))</f>
        <v>0</v>
      </c>
    </row>
    <row r="9732" spans="13:16">
      <c r="M9732" s="49">
        <f>IF($A$4+97&gt;$B$4,"",$A$4+97)</f>
        <v>46120</v>
      </c>
      <c r="N9732" t="str">
        <f>IF(M9732="","",'Master Barang'!A26)</f>
        <v>PRL-025</v>
      </c>
      <c r="O9732" t="str">
        <f>IF(N9732="","",'Master Barang'!B26)</f>
        <v>petromax plastik kecil 12x24 100 lembar</v>
      </c>
      <c r="P9732">
        <f>IF(OR(M9732="",N9732=""),"",SUMIFS('Barang Keluar'!$E:$E,'Barang Keluar'!$A:$A,M9732,'Barang Keluar'!$C:$C,N9732))</f>
        <v>0</v>
      </c>
    </row>
    <row r="9733" spans="13:16">
      <c r="M9733" s="49">
        <f>IF($A$4+97&gt;$B$4,"",$A$4+97)</f>
        <v>46120</v>
      </c>
      <c r="N9733" t="str">
        <f>IF(M9733="","",'Master Barang'!A27)</f>
        <v>PRL-026</v>
      </c>
      <c r="O9733" t="str">
        <f>IF(N9733="","",'Master Barang'!B27)</f>
        <v>lancar kresek kecil bening </v>
      </c>
      <c r="P9733">
        <f>IF(OR(M9733="",N9733=""),"",SUMIFS('Barang Keluar'!$E:$E,'Barang Keluar'!$A:$A,M9733,'Barang Keluar'!$C:$C,N9733))</f>
        <v>0</v>
      </c>
    </row>
    <row r="9734" spans="13:16">
      <c r="M9734" s="49">
        <f>IF($A$4+97&gt;$B$4,"",$A$4+97)</f>
        <v>46120</v>
      </c>
      <c r="N9734" t="str">
        <f>IF(M9734="","",'Master Barang'!A28)</f>
        <v>PRL-027</v>
      </c>
      <c r="O9734" t="str">
        <f>IF(N9734="","",'Master Barang'!B28)</f>
        <v>kresek klin warna warni kecil</v>
      </c>
      <c r="P9734">
        <f>IF(OR(M9734="",N9734=""),"",SUMIFS('Barang Keluar'!$E:$E,'Barang Keluar'!$A:$A,M9734,'Barang Keluar'!$C:$C,N9734))</f>
        <v>0</v>
      </c>
    </row>
    <row r="9735" spans="13:16">
      <c r="M9735" s="49">
        <f>IF($A$4+97&gt;$B$4,"",$A$4+97)</f>
        <v>46120</v>
      </c>
      <c r="N9735" t="str">
        <f>IF(M9735="","",'Master Barang'!A29)</f>
        <v>PRL-028</v>
      </c>
      <c r="O9735" t="str">
        <f>IF(N9735="","",'Master Barang'!B29)</f>
        <v>ctik plastik 7x10 100 pcs</v>
      </c>
      <c r="P9735">
        <f>IF(OR(M9735="",N9735=""),"",SUMIFS('Barang Keluar'!$E:$E,'Barang Keluar'!$A:$A,M9735,'Barang Keluar'!$C:$C,N9735))</f>
        <v>0</v>
      </c>
    </row>
    <row r="9736" spans="13:16">
      <c r="M9736" s="49">
        <f>IF($A$4+97&gt;$B$4,"",$A$4+97)</f>
        <v>46120</v>
      </c>
      <c r="N9736" t="str">
        <f>IF(M9736="","",'Master Barang'!A30)</f>
        <v>PRL-029</v>
      </c>
      <c r="O9736" t="str">
        <f>IF(N9736="","",'Master Barang'!B30)</f>
        <v>ctik plastik 6x10 100 pcs</v>
      </c>
      <c r="P9736">
        <f>IF(OR(M9736="",N9736=""),"",SUMIFS('Barang Keluar'!$E:$E,'Barang Keluar'!$A:$A,M9736,'Barang Keluar'!$C:$C,N9736))</f>
        <v>0</v>
      </c>
    </row>
    <row r="9737" spans="13:16">
      <c r="M9737" s="49">
        <f>IF($A$4+97&gt;$B$4,"",$A$4+97)</f>
        <v>46120</v>
      </c>
      <c r="N9737" t="str">
        <f>IF(M9737="","",'Master Barang'!A31)</f>
        <v>PRL-030</v>
      </c>
      <c r="O9737" t="str">
        <f>IF(N9737="","",'Master Barang'!B31)</f>
        <v>klip plastik 25x16 100 pcs</v>
      </c>
      <c r="P9737">
        <f>IF(OR(M9737="",N9737=""),"",SUMIFS('Barang Keluar'!$E:$E,'Barang Keluar'!$A:$A,M9737,'Barang Keluar'!$C:$C,N9737))</f>
        <v>0</v>
      </c>
    </row>
    <row r="9738" spans="13:16">
      <c r="M9738" s="49">
        <f>IF($A$4+97&gt;$B$4,"",$A$4+97)</f>
        <v>46120</v>
      </c>
      <c r="N9738" t="str">
        <f>IF(M9738="","",'Master Barang'!A32)</f>
        <v>PRL-031</v>
      </c>
      <c r="O9738" t="str">
        <f>IF(N9738="","",'Master Barang'!B32)</f>
        <v>tempat saus 20 ml</v>
      </c>
      <c r="P9738">
        <f>IF(OR(M9738="",N9738=""),"",SUMIFS('Barang Keluar'!$E:$E,'Barang Keluar'!$A:$A,M9738,'Barang Keluar'!$C:$C,N9738))</f>
        <v>0</v>
      </c>
    </row>
    <row r="9739" spans="13:16">
      <c r="M9739" s="49">
        <f>IF($A$4+97&gt;$B$4,"",$A$4+97)</f>
        <v>46120</v>
      </c>
      <c r="N9739" t="str">
        <f>IF(M9739="","",'Master Barang'!A33)</f>
        <v>PRL-032</v>
      </c>
      <c r="O9739" t="str">
        <f>IF(N9739="","",'Master Barang'!B33)</f>
        <v>plastik packaging ag box uk sedang</v>
      </c>
      <c r="P9739">
        <f>IF(OR(M9739="",N9739=""),"",SUMIFS('Barang Keluar'!$E:$E,'Barang Keluar'!$A:$A,M9739,'Barang Keluar'!$C:$C,N9739))</f>
        <v>0</v>
      </c>
    </row>
    <row r="9740" spans="13:16">
      <c r="M9740" s="49">
        <f>IF($A$4+97&gt;$B$4,"",$A$4+97)</f>
        <v>46120</v>
      </c>
      <c r="N9740" t="str">
        <f>IF(M9740="","",'Master Barang'!A34)</f>
        <v>PRL-033</v>
      </c>
      <c r="O9740">
        <f>IF(N9740="","",'Master Barang'!B34)</f>
        <v>0</v>
      </c>
      <c r="P9740">
        <f>IF(OR(M9740="",N9740=""),"",SUMIFS('Barang Keluar'!$E:$E,'Barang Keluar'!$A:$A,M9740,'Barang Keluar'!$C:$C,N9740))</f>
        <v>0</v>
      </c>
    </row>
    <row r="9741" spans="13:16">
      <c r="M9741" s="49">
        <f>IF($A$4+97&gt;$B$4,"",$A$4+97)</f>
        <v>46120</v>
      </c>
      <c r="N9741">
        <f>IF(M9741="","",'Master Barang'!A35)</f>
        <v>0</v>
      </c>
      <c r="O9741">
        <f>IF(N9741="","",'Master Barang'!B35)</f>
        <v>0</v>
      </c>
      <c r="P9741">
        <f>IF(OR(M9741="",N9741=""),"",SUMIFS('Barang Keluar'!$E:$E,'Barang Keluar'!$A:$A,M9741,'Barang Keluar'!$C:$C,N9741))</f>
        <v>0</v>
      </c>
    </row>
    <row r="9742" spans="13:16">
      <c r="M9742" s="49">
        <f>IF($A$4+97&gt;$B$4,"",$A$4+97)</f>
        <v>46120</v>
      </c>
      <c r="N9742">
        <f>IF(M9742="","",'Master Barang'!A36)</f>
        <v>0</v>
      </c>
      <c r="O9742">
        <f>IF(N9742="","",'Master Barang'!B36)</f>
        <v>0</v>
      </c>
      <c r="P9742">
        <f>IF(OR(M9742="",N9742=""),"",SUMIFS('Barang Keluar'!$E:$E,'Barang Keluar'!$A:$A,M9742,'Barang Keluar'!$C:$C,N9742))</f>
        <v>0</v>
      </c>
    </row>
    <row r="9743" spans="13:16">
      <c r="M9743" s="49">
        <f>IF($A$4+97&gt;$B$4,"",$A$4+97)</f>
        <v>46120</v>
      </c>
      <c r="N9743">
        <f>IF(M9743="","",'Master Barang'!A37)</f>
        <v>0</v>
      </c>
      <c r="O9743">
        <f>IF(N9743="","",'Master Barang'!B37)</f>
        <v>0</v>
      </c>
      <c r="P9743">
        <f>IF(OR(M9743="",N9743=""),"",SUMIFS('Barang Keluar'!$E:$E,'Barang Keluar'!$A:$A,M9743,'Barang Keluar'!$C:$C,N9743))</f>
        <v>0</v>
      </c>
    </row>
    <row r="9744" spans="13:16">
      <c r="M9744" s="49">
        <f>IF($A$4+97&gt;$B$4,"",$A$4+97)</f>
        <v>46120</v>
      </c>
      <c r="N9744">
        <f>IF(M9744="","",'Master Barang'!A38)</f>
        <v>0</v>
      </c>
      <c r="O9744">
        <f>IF(N9744="","",'Master Barang'!B38)</f>
        <v>0</v>
      </c>
      <c r="P9744">
        <f>IF(OR(M9744="",N9744=""),"",SUMIFS('Barang Keluar'!$E:$E,'Barang Keluar'!$A:$A,M9744,'Barang Keluar'!$C:$C,N9744))</f>
        <v>0</v>
      </c>
    </row>
    <row r="9745" spans="13:16">
      <c r="M9745" s="49">
        <f>IF($A$4+97&gt;$B$4,"",$A$4+97)</f>
        <v>46120</v>
      </c>
      <c r="N9745">
        <f>IF(M9745="","",'Master Barang'!A39)</f>
        <v>0</v>
      </c>
      <c r="O9745">
        <f>IF(N9745="","",'Master Barang'!B39)</f>
        <v>0</v>
      </c>
      <c r="P9745">
        <f>IF(OR(M9745="",N9745=""),"",SUMIFS('Barang Keluar'!$E:$E,'Barang Keluar'!$A:$A,M9745,'Barang Keluar'!$C:$C,N9745))</f>
        <v>0</v>
      </c>
    </row>
    <row r="9746" spans="13:16">
      <c r="M9746" s="49">
        <f>IF($A$4+97&gt;$B$4,"",$A$4+97)</f>
        <v>46120</v>
      </c>
      <c r="N9746">
        <f>IF(M9746="","",'Master Barang'!A40)</f>
        <v>0</v>
      </c>
      <c r="O9746">
        <f>IF(N9746="","",'Master Barang'!B40)</f>
        <v>0</v>
      </c>
      <c r="P9746">
        <f>IF(OR(M9746="",N9746=""),"",SUMIFS('Barang Keluar'!$E:$E,'Barang Keluar'!$A:$A,M9746,'Barang Keluar'!$C:$C,N9746))</f>
        <v>0</v>
      </c>
    </row>
    <row r="9747" spans="13:16">
      <c r="M9747" s="49">
        <f>IF($A$4+97&gt;$B$4,"",$A$4+97)</f>
        <v>46120</v>
      </c>
      <c r="N9747">
        <f>IF(M9747="","",'Master Barang'!A41)</f>
        <v>0</v>
      </c>
      <c r="O9747">
        <f>IF(N9747="","",'Master Barang'!B41)</f>
        <v>0</v>
      </c>
      <c r="P9747">
        <f>IF(OR(M9747="",N9747=""),"",SUMIFS('Barang Keluar'!$E:$E,'Barang Keluar'!$A:$A,M9747,'Barang Keluar'!$C:$C,N9747))</f>
        <v>0</v>
      </c>
    </row>
    <row r="9748" spans="13:16">
      <c r="M9748" s="49">
        <f>IF($A$4+97&gt;$B$4,"",$A$4+97)</f>
        <v>46120</v>
      </c>
      <c r="N9748">
        <f>IF(M9748="","",'Master Barang'!A42)</f>
        <v>0</v>
      </c>
      <c r="O9748">
        <f>IF(N9748="","",'Master Barang'!B42)</f>
        <v>0</v>
      </c>
      <c r="P9748">
        <f>IF(OR(M9748="",N9748=""),"",SUMIFS('Barang Keluar'!$E:$E,'Barang Keluar'!$A:$A,M9748,'Barang Keluar'!$C:$C,N9748))</f>
        <v>0</v>
      </c>
    </row>
    <row r="9749" spans="13:16">
      <c r="M9749" s="49">
        <f>IF($A$4+97&gt;$B$4,"",$A$4+97)</f>
        <v>46120</v>
      </c>
      <c r="N9749">
        <f>IF(M9749="","",'Master Barang'!A43)</f>
        <v>0</v>
      </c>
      <c r="O9749">
        <f>IF(N9749="","",'Master Barang'!B43)</f>
        <v>0</v>
      </c>
      <c r="P9749">
        <f>IF(OR(M9749="",N9749=""),"",SUMIFS('Barang Keluar'!$E:$E,'Barang Keluar'!$A:$A,M9749,'Barang Keluar'!$C:$C,N9749))</f>
        <v>0</v>
      </c>
    </row>
    <row r="9750" spans="13:16">
      <c r="M9750" s="49">
        <f>IF($A$4+97&gt;$B$4,"",$A$4+97)</f>
        <v>46120</v>
      </c>
      <c r="N9750">
        <f>IF(M9750="","",'Master Barang'!A44)</f>
        <v>0</v>
      </c>
      <c r="O9750">
        <f>IF(N9750="","",'Master Barang'!B44)</f>
        <v>0</v>
      </c>
      <c r="P9750">
        <f>IF(OR(M9750="",N9750=""),"",SUMIFS('Barang Keluar'!$E:$E,'Barang Keluar'!$A:$A,M9750,'Barang Keluar'!$C:$C,N9750))</f>
        <v>0</v>
      </c>
    </row>
    <row r="9751" spans="13:16">
      <c r="M9751" s="49">
        <f>IF($A$4+97&gt;$B$4,"",$A$4+97)</f>
        <v>46120</v>
      </c>
      <c r="N9751">
        <f>IF(M9751="","",'Master Barang'!A45)</f>
        <v>0</v>
      </c>
      <c r="O9751">
        <f>IF(N9751="","",'Master Barang'!B45)</f>
        <v>0</v>
      </c>
      <c r="P9751">
        <f>IF(OR(M9751="",N9751=""),"",SUMIFS('Barang Keluar'!$E:$E,'Barang Keluar'!$A:$A,M9751,'Barang Keluar'!$C:$C,N9751))</f>
        <v>0</v>
      </c>
    </row>
    <row r="9752" spans="13:16">
      <c r="M9752" s="49">
        <f>IF($A$4+97&gt;$B$4,"",$A$4+97)</f>
        <v>46120</v>
      </c>
      <c r="N9752">
        <f>IF(M9752="","",'Master Barang'!A46)</f>
        <v>0</v>
      </c>
      <c r="O9752">
        <f>IF(N9752="","",'Master Barang'!B46)</f>
        <v>0</v>
      </c>
      <c r="P9752">
        <f>IF(OR(M9752="",N9752=""),"",SUMIFS('Barang Keluar'!$E:$E,'Barang Keluar'!$A:$A,M9752,'Barang Keluar'!$C:$C,N9752))</f>
        <v>0</v>
      </c>
    </row>
    <row r="9753" spans="13:16">
      <c r="M9753" s="49">
        <f>IF($A$4+97&gt;$B$4,"",$A$4+97)</f>
        <v>46120</v>
      </c>
      <c r="N9753">
        <f>IF(M9753="","",'Master Barang'!A47)</f>
        <v>0</v>
      </c>
      <c r="O9753">
        <f>IF(N9753="","",'Master Barang'!B47)</f>
        <v>0</v>
      </c>
      <c r="P9753">
        <f>IF(OR(M9753="",N9753=""),"",SUMIFS('Barang Keluar'!$E:$E,'Barang Keluar'!$A:$A,M9753,'Barang Keluar'!$C:$C,N9753))</f>
        <v>0</v>
      </c>
    </row>
    <row r="9754" spans="13:16">
      <c r="M9754" s="49">
        <f>IF($A$4+97&gt;$B$4,"",$A$4+97)</f>
        <v>46120</v>
      </c>
      <c r="N9754">
        <f>IF(M9754="","",'Master Barang'!A48)</f>
        <v>0</v>
      </c>
      <c r="O9754">
        <f>IF(N9754="","",'Master Barang'!B48)</f>
        <v>0</v>
      </c>
      <c r="P9754">
        <f>IF(OR(M9754="",N9754=""),"",SUMIFS('Barang Keluar'!$E:$E,'Barang Keluar'!$A:$A,M9754,'Barang Keluar'!$C:$C,N9754))</f>
        <v>0</v>
      </c>
    </row>
    <row r="9755" spans="13:16">
      <c r="M9755" s="49">
        <f>IF($A$4+97&gt;$B$4,"",$A$4+97)</f>
        <v>46120</v>
      </c>
      <c r="N9755">
        <f>IF(M9755="","",'Master Barang'!A49)</f>
        <v>0</v>
      </c>
      <c r="O9755">
        <f>IF(N9755="","",'Master Barang'!B49)</f>
        <v>0</v>
      </c>
      <c r="P9755">
        <f>IF(OR(M9755="",N9755=""),"",SUMIFS('Barang Keluar'!$E:$E,'Barang Keluar'!$A:$A,M9755,'Barang Keluar'!$C:$C,N9755))</f>
        <v>0</v>
      </c>
    </row>
    <row r="9756" spans="13:16">
      <c r="M9756" s="49">
        <f>IF($A$4+97&gt;$B$4,"",$A$4+97)</f>
        <v>46120</v>
      </c>
      <c r="N9756">
        <f>IF(M9756="","",'Master Barang'!A50)</f>
        <v>0</v>
      </c>
      <c r="O9756">
        <f>IF(N9756="","",'Master Barang'!B50)</f>
        <v>0</v>
      </c>
      <c r="P9756">
        <f>IF(OR(M9756="",N9756=""),"",SUMIFS('Barang Keluar'!$E:$E,'Barang Keluar'!$A:$A,M9756,'Barang Keluar'!$C:$C,N9756))</f>
        <v>0</v>
      </c>
    </row>
    <row r="9757" spans="13:16">
      <c r="M9757" s="49">
        <f>IF($A$4+97&gt;$B$4,"",$A$4+97)</f>
        <v>46120</v>
      </c>
      <c r="N9757">
        <f>IF(M9757="","",'Master Barang'!A51)</f>
        <v>0</v>
      </c>
      <c r="O9757">
        <f>IF(N9757="","",'Master Barang'!B51)</f>
        <v>0</v>
      </c>
      <c r="P9757">
        <f>IF(OR(M9757="",N9757=""),"",SUMIFS('Barang Keluar'!$E:$E,'Barang Keluar'!$A:$A,M9757,'Barang Keluar'!$C:$C,N9757))</f>
        <v>0</v>
      </c>
    </row>
    <row r="9758" spans="13:16">
      <c r="M9758" s="49">
        <f>IF($A$4+97&gt;$B$4,"",$A$4+97)</f>
        <v>46120</v>
      </c>
      <c r="N9758">
        <f>IF(M9758="","",'Master Barang'!A52)</f>
        <v>0</v>
      </c>
      <c r="O9758">
        <f>IF(N9758="","",'Master Barang'!B52)</f>
        <v>0</v>
      </c>
      <c r="P9758">
        <f>IF(OR(M9758="",N9758=""),"",SUMIFS('Barang Keluar'!$E:$E,'Barang Keluar'!$A:$A,M9758,'Barang Keluar'!$C:$C,N9758))</f>
        <v>0</v>
      </c>
    </row>
    <row r="9759" spans="13:16">
      <c r="M9759" s="49">
        <f>IF($A$4+97&gt;$B$4,"",$A$4+97)</f>
        <v>46120</v>
      </c>
      <c r="N9759">
        <f>IF(M9759="","",'Master Barang'!A53)</f>
        <v>0</v>
      </c>
      <c r="O9759">
        <f>IF(N9759="","",'Master Barang'!B53)</f>
        <v>0</v>
      </c>
      <c r="P9759">
        <f>IF(OR(M9759="",N9759=""),"",SUMIFS('Barang Keluar'!$E:$E,'Barang Keluar'!$A:$A,M9759,'Barang Keluar'!$C:$C,N9759))</f>
        <v>0</v>
      </c>
    </row>
    <row r="9760" spans="13:16">
      <c r="M9760" s="49">
        <f>IF($A$4+97&gt;$B$4,"",$A$4+97)</f>
        <v>46120</v>
      </c>
      <c r="N9760">
        <f>IF(M9760="","",'Master Barang'!A54)</f>
        <v>0</v>
      </c>
      <c r="O9760">
        <f>IF(N9760="","",'Master Barang'!B54)</f>
        <v>0</v>
      </c>
      <c r="P9760">
        <f>IF(OR(M9760="",N9760=""),"",SUMIFS('Barang Keluar'!$E:$E,'Barang Keluar'!$A:$A,M9760,'Barang Keluar'!$C:$C,N9760))</f>
        <v>0</v>
      </c>
    </row>
    <row r="9761" spans="13:16">
      <c r="M9761" s="49">
        <f>IF($A$4+97&gt;$B$4,"",$A$4+97)</f>
        <v>46120</v>
      </c>
      <c r="N9761">
        <f>IF(M9761="","",'Master Barang'!A55)</f>
        <v>0</v>
      </c>
      <c r="O9761">
        <f>IF(N9761="","",'Master Barang'!B55)</f>
        <v>0</v>
      </c>
      <c r="P9761">
        <f>IF(OR(M9761="",N9761=""),"",SUMIFS('Barang Keluar'!$E:$E,'Barang Keluar'!$A:$A,M9761,'Barang Keluar'!$C:$C,N9761))</f>
        <v>0</v>
      </c>
    </row>
    <row r="9762" spans="13:16">
      <c r="M9762" s="49">
        <f>IF($A$4+97&gt;$B$4,"",$A$4+97)</f>
        <v>46120</v>
      </c>
      <c r="N9762">
        <f>IF(M9762="","",'Master Barang'!A56)</f>
        <v>0</v>
      </c>
      <c r="O9762">
        <f>IF(N9762="","",'Master Barang'!B56)</f>
        <v>0</v>
      </c>
      <c r="P9762">
        <f>IF(OR(M9762="",N9762=""),"",SUMIFS('Barang Keluar'!$E:$E,'Barang Keluar'!$A:$A,M9762,'Barang Keluar'!$C:$C,N9762))</f>
        <v>0</v>
      </c>
    </row>
    <row r="9763" spans="13:16">
      <c r="M9763" s="49">
        <f>IF($A$4+97&gt;$B$4,"",$A$4+97)</f>
        <v>46120</v>
      </c>
      <c r="N9763">
        <f>IF(M9763="","",'Master Barang'!A57)</f>
        <v>0</v>
      </c>
      <c r="O9763">
        <f>IF(N9763="","",'Master Barang'!B57)</f>
        <v>0</v>
      </c>
      <c r="P9763">
        <f>IF(OR(M9763="",N9763=""),"",SUMIFS('Barang Keluar'!$E:$E,'Barang Keluar'!$A:$A,M9763,'Barang Keluar'!$C:$C,N9763))</f>
        <v>0</v>
      </c>
    </row>
    <row r="9764" spans="13:16">
      <c r="M9764" s="49">
        <f>IF($A$4+97&gt;$B$4,"",$A$4+97)</f>
        <v>46120</v>
      </c>
      <c r="N9764">
        <f>IF(M9764="","",'Master Barang'!A58)</f>
        <v>0</v>
      </c>
      <c r="O9764">
        <f>IF(N9764="","",'Master Barang'!B58)</f>
        <v>0</v>
      </c>
      <c r="P9764">
        <f>IF(OR(M9764="",N9764=""),"",SUMIFS('Barang Keluar'!$E:$E,'Barang Keluar'!$A:$A,M9764,'Barang Keluar'!$C:$C,N9764))</f>
        <v>0</v>
      </c>
    </row>
    <row r="9765" spans="13:16">
      <c r="M9765" s="49">
        <f>IF($A$4+97&gt;$B$4,"",$A$4+97)</f>
        <v>46120</v>
      </c>
      <c r="N9765">
        <f>IF(M9765="","",'Master Barang'!A59)</f>
        <v>0</v>
      </c>
      <c r="O9765">
        <f>IF(N9765="","",'Master Barang'!B59)</f>
        <v>0</v>
      </c>
      <c r="P9765">
        <f>IF(OR(M9765="",N9765=""),"",SUMIFS('Barang Keluar'!$E:$E,'Barang Keluar'!$A:$A,M9765,'Barang Keluar'!$C:$C,N9765))</f>
        <v>0</v>
      </c>
    </row>
    <row r="9766" spans="13:16">
      <c r="M9766" s="49">
        <f>IF($A$4+97&gt;$B$4,"",$A$4+97)</f>
        <v>46120</v>
      </c>
      <c r="N9766">
        <f>IF(M9766="","",'Master Barang'!A60)</f>
        <v>0</v>
      </c>
      <c r="O9766">
        <f>IF(N9766="","",'Master Barang'!B60)</f>
        <v>0</v>
      </c>
      <c r="P9766">
        <f>IF(OR(M9766="",N9766=""),"",SUMIFS('Barang Keluar'!$E:$E,'Barang Keluar'!$A:$A,M9766,'Barang Keluar'!$C:$C,N9766))</f>
        <v>0</v>
      </c>
    </row>
    <row r="9767" spans="13:16">
      <c r="M9767" s="49">
        <f>IF($A$4+97&gt;$B$4,"",$A$4+97)</f>
        <v>46120</v>
      </c>
      <c r="N9767">
        <f>IF(M9767="","",'Master Barang'!A61)</f>
        <v>0</v>
      </c>
      <c r="O9767">
        <f>IF(N9767="","",'Master Barang'!B61)</f>
        <v>0</v>
      </c>
      <c r="P9767">
        <f>IF(OR(M9767="",N9767=""),"",SUMIFS('Barang Keluar'!$E:$E,'Barang Keluar'!$A:$A,M9767,'Barang Keluar'!$C:$C,N9767))</f>
        <v>0</v>
      </c>
    </row>
    <row r="9768" spans="13:16">
      <c r="M9768" s="49">
        <f>IF($A$4+97&gt;$B$4,"",$A$4+97)</f>
        <v>46120</v>
      </c>
      <c r="N9768">
        <f>IF(M9768="","",'Master Barang'!A62)</f>
        <v>0</v>
      </c>
      <c r="O9768">
        <f>IF(N9768="","",'Master Barang'!B62)</f>
        <v>0</v>
      </c>
      <c r="P9768">
        <f>IF(OR(M9768="",N9768=""),"",SUMIFS('Barang Keluar'!$E:$E,'Barang Keluar'!$A:$A,M9768,'Barang Keluar'!$C:$C,N9768))</f>
        <v>0</v>
      </c>
    </row>
    <row r="9769" spans="13:16">
      <c r="M9769" s="49">
        <f>IF($A$4+97&gt;$B$4,"",$A$4+97)</f>
        <v>46120</v>
      </c>
      <c r="N9769">
        <f>IF(M9769="","",'Master Barang'!A63)</f>
        <v>0</v>
      </c>
      <c r="O9769">
        <f>IF(N9769="","",'Master Barang'!B63)</f>
        <v>0</v>
      </c>
      <c r="P9769">
        <f>IF(OR(M9769="",N9769=""),"",SUMIFS('Barang Keluar'!$E:$E,'Barang Keluar'!$A:$A,M9769,'Barang Keluar'!$C:$C,N9769))</f>
        <v>0</v>
      </c>
    </row>
    <row r="9770" spans="13:16">
      <c r="M9770" s="49">
        <f>IF($A$4+97&gt;$B$4,"",$A$4+97)</f>
        <v>46120</v>
      </c>
      <c r="N9770">
        <f>IF(M9770="","",'Master Barang'!A64)</f>
        <v>0</v>
      </c>
      <c r="O9770">
        <f>IF(N9770="","",'Master Barang'!B64)</f>
        <v>0</v>
      </c>
      <c r="P9770">
        <f>IF(OR(M9770="",N9770=""),"",SUMIFS('Barang Keluar'!$E:$E,'Barang Keluar'!$A:$A,M9770,'Barang Keluar'!$C:$C,N9770))</f>
        <v>0</v>
      </c>
    </row>
    <row r="9771" spans="13:16">
      <c r="M9771" s="49">
        <f>IF($A$4+97&gt;$B$4,"",$A$4+97)</f>
        <v>46120</v>
      </c>
      <c r="N9771">
        <f>IF(M9771="","",'Master Barang'!A65)</f>
        <v>0</v>
      </c>
      <c r="O9771">
        <f>IF(N9771="","",'Master Barang'!B65)</f>
        <v>0</v>
      </c>
      <c r="P9771">
        <f>IF(OR(M9771="",N9771=""),"",SUMIFS('Barang Keluar'!$E:$E,'Barang Keluar'!$A:$A,M9771,'Barang Keluar'!$C:$C,N9771))</f>
        <v>0</v>
      </c>
    </row>
    <row r="9772" spans="13:16">
      <c r="M9772" s="49">
        <f>IF($A$4+97&gt;$B$4,"",$A$4+97)</f>
        <v>46120</v>
      </c>
      <c r="N9772">
        <f>IF(M9772="","",'Master Barang'!A66)</f>
        <v>0</v>
      </c>
      <c r="O9772">
        <f>IF(N9772="","",'Master Barang'!B66)</f>
        <v>0</v>
      </c>
      <c r="P9772">
        <f>IF(OR(M9772="",N9772=""),"",SUMIFS('Barang Keluar'!$E:$E,'Barang Keluar'!$A:$A,M9772,'Barang Keluar'!$C:$C,N9772))</f>
        <v>0</v>
      </c>
    </row>
    <row r="9773" spans="13:16">
      <c r="M9773" s="49">
        <f>IF($A$4+97&gt;$B$4,"",$A$4+97)</f>
        <v>46120</v>
      </c>
      <c r="N9773">
        <f>IF(M9773="","",'Master Barang'!A67)</f>
        <v>0</v>
      </c>
      <c r="O9773">
        <f>IF(N9773="","",'Master Barang'!B67)</f>
        <v>0</v>
      </c>
      <c r="P9773">
        <f>IF(OR(M9773="",N9773=""),"",SUMIFS('Barang Keluar'!$E:$E,'Barang Keluar'!$A:$A,M9773,'Barang Keluar'!$C:$C,N9773))</f>
        <v>0</v>
      </c>
    </row>
    <row r="9774" spans="13:16">
      <c r="M9774" s="49">
        <f>IF($A$4+97&gt;$B$4,"",$A$4+97)</f>
        <v>46120</v>
      </c>
      <c r="N9774">
        <f>IF(M9774="","",'Master Barang'!A68)</f>
        <v>0</v>
      </c>
      <c r="O9774">
        <f>IF(N9774="","",'Master Barang'!B68)</f>
        <v>0</v>
      </c>
      <c r="P9774">
        <f>IF(OR(M9774="",N9774=""),"",SUMIFS('Barang Keluar'!$E:$E,'Barang Keluar'!$A:$A,M9774,'Barang Keluar'!$C:$C,N9774))</f>
        <v>0</v>
      </c>
    </row>
    <row r="9775" spans="13:16">
      <c r="M9775" s="49">
        <f>IF($A$4+97&gt;$B$4,"",$A$4+97)</f>
        <v>46120</v>
      </c>
      <c r="N9775">
        <f>IF(M9775="","",'Master Barang'!A69)</f>
        <v>0</v>
      </c>
      <c r="O9775">
        <f>IF(N9775="","",'Master Barang'!B69)</f>
        <v>0</v>
      </c>
      <c r="P9775">
        <f>IF(OR(M9775="",N9775=""),"",SUMIFS('Barang Keluar'!$E:$E,'Barang Keluar'!$A:$A,M9775,'Barang Keluar'!$C:$C,N9775))</f>
        <v>0</v>
      </c>
    </row>
    <row r="9776" spans="13:16">
      <c r="M9776" s="49">
        <f>IF($A$4+97&gt;$B$4,"",$A$4+97)</f>
        <v>46120</v>
      </c>
      <c r="N9776">
        <f>IF(M9776="","",'Master Barang'!A70)</f>
        <v>0</v>
      </c>
      <c r="O9776">
        <f>IF(N9776="","",'Master Barang'!B70)</f>
        <v>0</v>
      </c>
      <c r="P9776">
        <f>IF(OR(M9776="",N9776=""),"",SUMIFS('Barang Keluar'!$E:$E,'Barang Keluar'!$A:$A,M9776,'Barang Keluar'!$C:$C,N9776))</f>
        <v>0</v>
      </c>
    </row>
    <row r="9777" spans="13:16">
      <c r="M9777" s="49">
        <f>IF($A$4+97&gt;$B$4,"",$A$4+97)</f>
        <v>46120</v>
      </c>
      <c r="N9777">
        <f>IF(M9777="","",'Master Barang'!A71)</f>
        <v>0</v>
      </c>
      <c r="O9777">
        <f>IF(N9777="","",'Master Barang'!B71)</f>
        <v>0</v>
      </c>
      <c r="P9777">
        <f>IF(OR(M9777="",N9777=""),"",SUMIFS('Barang Keluar'!$E:$E,'Barang Keluar'!$A:$A,M9777,'Barang Keluar'!$C:$C,N9777))</f>
        <v>0</v>
      </c>
    </row>
    <row r="9778" spans="13:16">
      <c r="M9778" s="49">
        <f>IF($A$4+97&gt;$B$4,"",$A$4+97)</f>
        <v>46120</v>
      </c>
      <c r="N9778">
        <f>IF(M9778="","",'Master Barang'!A72)</f>
        <v>0</v>
      </c>
      <c r="O9778">
        <f>IF(N9778="","",'Master Barang'!B72)</f>
        <v>0</v>
      </c>
      <c r="P9778">
        <f>IF(OR(M9778="",N9778=""),"",SUMIFS('Barang Keluar'!$E:$E,'Barang Keluar'!$A:$A,M9778,'Barang Keluar'!$C:$C,N9778))</f>
        <v>0</v>
      </c>
    </row>
    <row r="9779" spans="13:16">
      <c r="M9779" s="49">
        <f>IF($A$4+97&gt;$B$4,"",$A$4+97)</f>
        <v>46120</v>
      </c>
      <c r="N9779">
        <f>IF(M9779="","",'Master Barang'!A73)</f>
        <v>0</v>
      </c>
      <c r="O9779">
        <f>IF(N9779="","",'Master Barang'!B73)</f>
        <v>0</v>
      </c>
      <c r="P9779">
        <f>IF(OR(M9779="",N9779=""),"",SUMIFS('Barang Keluar'!$E:$E,'Barang Keluar'!$A:$A,M9779,'Barang Keluar'!$C:$C,N9779))</f>
        <v>0</v>
      </c>
    </row>
    <row r="9780" spans="13:16">
      <c r="M9780" s="49">
        <f>IF($A$4+97&gt;$B$4,"",$A$4+97)</f>
        <v>46120</v>
      </c>
      <c r="N9780">
        <f>IF(M9780="","",'Master Barang'!A74)</f>
        <v>0</v>
      </c>
      <c r="O9780">
        <f>IF(N9780="","",'Master Barang'!B74)</f>
        <v>0</v>
      </c>
      <c r="P9780">
        <f>IF(OR(M9780="",N9780=""),"",SUMIFS('Barang Keluar'!$E:$E,'Barang Keluar'!$A:$A,M9780,'Barang Keluar'!$C:$C,N9780))</f>
        <v>0</v>
      </c>
    </row>
    <row r="9781" spans="13:16">
      <c r="M9781" s="49">
        <f>IF($A$4+97&gt;$B$4,"",$A$4+97)</f>
        <v>46120</v>
      </c>
      <c r="N9781">
        <f>IF(M9781="","",'Master Barang'!A75)</f>
        <v>0</v>
      </c>
      <c r="O9781">
        <f>IF(N9781="","",'Master Barang'!B75)</f>
        <v>0</v>
      </c>
      <c r="P9781">
        <f>IF(OR(M9781="",N9781=""),"",SUMIFS('Barang Keluar'!$E:$E,'Barang Keluar'!$A:$A,M9781,'Barang Keluar'!$C:$C,N9781))</f>
        <v>0</v>
      </c>
    </row>
    <row r="9782" spans="13:16">
      <c r="M9782" s="49">
        <f>IF($A$4+97&gt;$B$4,"",$A$4+97)</f>
        <v>46120</v>
      </c>
      <c r="N9782">
        <f>IF(M9782="","",'Master Barang'!A76)</f>
        <v>0</v>
      </c>
      <c r="O9782">
        <f>IF(N9782="","",'Master Barang'!B76)</f>
        <v>0</v>
      </c>
      <c r="P9782">
        <f>IF(OR(M9782="",N9782=""),"",SUMIFS('Barang Keluar'!$E:$E,'Barang Keluar'!$A:$A,M9782,'Barang Keluar'!$C:$C,N9782))</f>
        <v>0</v>
      </c>
    </row>
    <row r="9783" spans="13:16">
      <c r="M9783" s="49">
        <f>IF($A$4+97&gt;$B$4,"",$A$4+97)</f>
        <v>46120</v>
      </c>
      <c r="N9783">
        <f>IF(M9783="","",'Master Barang'!A77)</f>
        <v>0</v>
      </c>
      <c r="O9783">
        <f>IF(N9783="","",'Master Barang'!B77)</f>
        <v>0</v>
      </c>
      <c r="P9783">
        <f>IF(OR(M9783="",N9783=""),"",SUMIFS('Barang Keluar'!$E:$E,'Barang Keluar'!$A:$A,M9783,'Barang Keluar'!$C:$C,N9783))</f>
        <v>0</v>
      </c>
    </row>
    <row r="9784" spans="13:16">
      <c r="M9784" s="49">
        <f>IF($A$4+97&gt;$B$4,"",$A$4+97)</f>
        <v>46120</v>
      </c>
      <c r="N9784">
        <f>IF(M9784="","",'Master Barang'!A78)</f>
        <v>0</v>
      </c>
      <c r="O9784">
        <f>IF(N9784="","",'Master Barang'!B78)</f>
        <v>0</v>
      </c>
      <c r="P9784">
        <f>IF(OR(M9784="",N9784=""),"",SUMIFS('Barang Keluar'!$E:$E,'Barang Keluar'!$A:$A,M9784,'Barang Keluar'!$C:$C,N9784))</f>
        <v>0</v>
      </c>
    </row>
    <row r="9785" spans="13:16">
      <c r="M9785" s="49">
        <f>IF($A$4+97&gt;$B$4,"",$A$4+97)</f>
        <v>46120</v>
      </c>
      <c r="N9785">
        <f>IF(M9785="","",'Master Barang'!A79)</f>
        <v>0</v>
      </c>
      <c r="O9785">
        <f>IF(N9785="","",'Master Barang'!B79)</f>
        <v>0</v>
      </c>
      <c r="P9785">
        <f>IF(OR(M9785="",N9785=""),"",SUMIFS('Barang Keluar'!$E:$E,'Barang Keluar'!$A:$A,M9785,'Barang Keluar'!$C:$C,N9785))</f>
        <v>0</v>
      </c>
    </row>
    <row r="9786" spans="13:16">
      <c r="M9786" s="49">
        <f>IF($A$4+97&gt;$B$4,"",$A$4+97)</f>
        <v>46120</v>
      </c>
      <c r="N9786">
        <f>IF(M9786="","",'Master Barang'!A80)</f>
        <v>0</v>
      </c>
      <c r="O9786">
        <f>IF(N9786="","",'Master Barang'!B80)</f>
        <v>0</v>
      </c>
      <c r="P9786">
        <f>IF(OR(M9786="",N9786=""),"",SUMIFS('Barang Keluar'!$E:$E,'Barang Keluar'!$A:$A,M9786,'Barang Keluar'!$C:$C,N9786))</f>
        <v>0</v>
      </c>
    </row>
    <row r="9787" spans="13:16">
      <c r="M9787" s="49">
        <f>IF($A$4+97&gt;$B$4,"",$A$4+97)</f>
        <v>46120</v>
      </c>
      <c r="N9787">
        <f>IF(M9787="","",'Master Barang'!A81)</f>
        <v>0</v>
      </c>
      <c r="O9787">
        <f>IF(N9787="","",'Master Barang'!B81)</f>
        <v>0</v>
      </c>
      <c r="P9787">
        <f>IF(OR(M9787="",N9787=""),"",SUMIFS('Barang Keluar'!$E:$E,'Barang Keluar'!$A:$A,M9787,'Barang Keluar'!$C:$C,N9787))</f>
        <v>0</v>
      </c>
    </row>
    <row r="9788" spans="13:16">
      <c r="M9788" s="49">
        <f>IF($A$4+97&gt;$B$4,"",$A$4+97)</f>
        <v>46120</v>
      </c>
      <c r="N9788">
        <f>IF(M9788="","",'Master Barang'!A82)</f>
        <v>0</v>
      </c>
      <c r="O9788">
        <f>IF(N9788="","",'Master Barang'!B82)</f>
        <v>0</v>
      </c>
      <c r="P9788">
        <f>IF(OR(M9788="",N9788=""),"",SUMIFS('Barang Keluar'!$E:$E,'Barang Keluar'!$A:$A,M9788,'Barang Keluar'!$C:$C,N9788))</f>
        <v>0</v>
      </c>
    </row>
    <row r="9789" spans="13:16">
      <c r="M9789" s="49">
        <f>IF($A$4+97&gt;$B$4,"",$A$4+97)</f>
        <v>46120</v>
      </c>
      <c r="N9789">
        <f>IF(M9789="","",'Master Barang'!A83)</f>
        <v>0</v>
      </c>
      <c r="O9789">
        <f>IF(N9789="","",'Master Barang'!B83)</f>
        <v>0</v>
      </c>
      <c r="P9789">
        <f>IF(OR(M9789="",N9789=""),"",SUMIFS('Barang Keluar'!$E:$E,'Barang Keluar'!$A:$A,M9789,'Barang Keluar'!$C:$C,N9789))</f>
        <v>0</v>
      </c>
    </row>
    <row r="9790" spans="13:16">
      <c r="M9790" s="49">
        <f>IF($A$4+97&gt;$B$4,"",$A$4+97)</f>
        <v>46120</v>
      </c>
      <c r="N9790">
        <f>IF(M9790="","",'Master Barang'!A84)</f>
        <v>0</v>
      </c>
      <c r="O9790">
        <f>IF(N9790="","",'Master Barang'!B84)</f>
        <v>0</v>
      </c>
      <c r="P9790">
        <f>IF(OR(M9790="",N9790=""),"",SUMIFS('Barang Keluar'!$E:$E,'Barang Keluar'!$A:$A,M9790,'Barang Keluar'!$C:$C,N9790))</f>
        <v>0</v>
      </c>
    </row>
    <row r="9791" spans="13:16">
      <c r="M9791" s="49">
        <f>IF($A$4+97&gt;$B$4,"",$A$4+97)</f>
        <v>46120</v>
      </c>
      <c r="N9791">
        <f>IF(M9791="","",'Master Barang'!A85)</f>
        <v>0</v>
      </c>
      <c r="O9791">
        <f>IF(N9791="","",'Master Barang'!B85)</f>
        <v>0</v>
      </c>
      <c r="P9791">
        <f>IF(OR(M9791="",N9791=""),"",SUMIFS('Barang Keluar'!$E:$E,'Barang Keluar'!$A:$A,M9791,'Barang Keluar'!$C:$C,N9791))</f>
        <v>0</v>
      </c>
    </row>
    <row r="9792" spans="13:16">
      <c r="M9792" s="49">
        <f>IF($A$4+97&gt;$B$4,"",$A$4+97)</f>
        <v>46120</v>
      </c>
      <c r="N9792">
        <f>IF(M9792="","",'Master Barang'!A86)</f>
        <v>0</v>
      </c>
      <c r="O9792">
        <f>IF(N9792="","",'Master Barang'!B86)</f>
        <v>0</v>
      </c>
      <c r="P9792">
        <f>IF(OR(M9792="",N9792=""),"",SUMIFS('Barang Keluar'!$E:$E,'Barang Keluar'!$A:$A,M9792,'Barang Keluar'!$C:$C,N9792))</f>
        <v>0</v>
      </c>
    </row>
    <row r="9793" spans="13:16">
      <c r="M9793" s="49">
        <f>IF($A$4+97&gt;$B$4,"",$A$4+97)</f>
        <v>46120</v>
      </c>
      <c r="N9793">
        <f>IF(M9793="","",'Master Barang'!A87)</f>
        <v>0</v>
      </c>
      <c r="O9793">
        <f>IF(N9793="","",'Master Barang'!B87)</f>
        <v>0</v>
      </c>
      <c r="P9793">
        <f>IF(OR(M9793="",N9793=""),"",SUMIFS('Barang Keluar'!$E:$E,'Barang Keluar'!$A:$A,M9793,'Barang Keluar'!$C:$C,N9793))</f>
        <v>0</v>
      </c>
    </row>
    <row r="9794" spans="13:16">
      <c r="M9794" s="49">
        <f>IF($A$4+97&gt;$B$4,"",$A$4+97)</f>
        <v>46120</v>
      </c>
      <c r="N9794">
        <f>IF(M9794="","",'Master Barang'!A88)</f>
        <v>0</v>
      </c>
      <c r="O9794">
        <f>IF(N9794="","",'Master Barang'!B88)</f>
        <v>0</v>
      </c>
      <c r="P9794">
        <f>IF(OR(M9794="",N9794=""),"",SUMIFS('Barang Keluar'!$E:$E,'Barang Keluar'!$A:$A,M9794,'Barang Keluar'!$C:$C,N9794))</f>
        <v>0</v>
      </c>
    </row>
    <row r="9795" spans="13:16">
      <c r="M9795" s="49">
        <f>IF($A$4+97&gt;$B$4,"",$A$4+97)</f>
        <v>46120</v>
      </c>
      <c r="N9795">
        <f>IF(M9795="","",'Master Barang'!A89)</f>
        <v>0</v>
      </c>
      <c r="O9795">
        <f>IF(N9795="","",'Master Barang'!B89)</f>
        <v>0</v>
      </c>
      <c r="P9795">
        <f>IF(OR(M9795="",N9795=""),"",SUMIFS('Barang Keluar'!$E:$E,'Barang Keluar'!$A:$A,M9795,'Barang Keluar'!$C:$C,N9795))</f>
        <v>0</v>
      </c>
    </row>
    <row r="9796" spans="13:16">
      <c r="M9796" s="49">
        <f>IF($A$4+97&gt;$B$4,"",$A$4+97)</f>
        <v>46120</v>
      </c>
      <c r="N9796">
        <f>IF(M9796="","",'Master Barang'!A90)</f>
        <v>0</v>
      </c>
      <c r="O9796">
        <f>IF(N9796="","",'Master Barang'!B90)</f>
        <v>0</v>
      </c>
      <c r="P9796">
        <f>IF(OR(M9796="",N9796=""),"",SUMIFS('Barang Keluar'!$E:$E,'Barang Keluar'!$A:$A,M9796,'Barang Keluar'!$C:$C,N9796))</f>
        <v>0</v>
      </c>
    </row>
    <row r="9797" spans="13:16">
      <c r="M9797" s="49">
        <f>IF($A$4+97&gt;$B$4,"",$A$4+97)</f>
        <v>46120</v>
      </c>
      <c r="N9797">
        <f>IF(M9797="","",'Master Barang'!A91)</f>
        <v>0</v>
      </c>
      <c r="O9797">
        <f>IF(N9797="","",'Master Barang'!B91)</f>
        <v>0</v>
      </c>
      <c r="P9797">
        <f>IF(OR(M9797="",N9797=""),"",SUMIFS('Barang Keluar'!$E:$E,'Barang Keluar'!$A:$A,M9797,'Barang Keluar'!$C:$C,N9797))</f>
        <v>0</v>
      </c>
    </row>
    <row r="9798" spans="13:16">
      <c r="M9798" s="49">
        <f>IF($A$4+97&gt;$B$4,"",$A$4+97)</f>
        <v>46120</v>
      </c>
      <c r="N9798">
        <f>IF(M9798="","",'Master Barang'!A92)</f>
        <v>0</v>
      </c>
      <c r="O9798">
        <f>IF(N9798="","",'Master Barang'!B92)</f>
        <v>0</v>
      </c>
      <c r="P9798">
        <f>IF(OR(M9798="",N9798=""),"",SUMIFS('Barang Keluar'!$E:$E,'Barang Keluar'!$A:$A,M9798,'Barang Keluar'!$C:$C,N9798))</f>
        <v>0</v>
      </c>
    </row>
    <row r="9799" spans="13:16">
      <c r="M9799" s="49">
        <f>IF($A$4+97&gt;$B$4,"",$A$4+97)</f>
        <v>46120</v>
      </c>
      <c r="N9799">
        <f>IF(M9799="","",'Master Barang'!A93)</f>
        <v>0</v>
      </c>
      <c r="O9799">
        <f>IF(N9799="","",'Master Barang'!B93)</f>
        <v>0</v>
      </c>
      <c r="P9799">
        <f>IF(OR(M9799="",N9799=""),"",SUMIFS('Barang Keluar'!$E:$E,'Barang Keluar'!$A:$A,M9799,'Barang Keluar'!$C:$C,N9799))</f>
        <v>0</v>
      </c>
    </row>
    <row r="9800" spans="13:16">
      <c r="M9800" s="49">
        <f>IF($A$4+97&gt;$B$4,"",$A$4+97)</f>
        <v>46120</v>
      </c>
      <c r="N9800">
        <f>IF(M9800="","",'Master Barang'!A94)</f>
        <v>0</v>
      </c>
      <c r="O9800">
        <f>IF(N9800="","",'Master Barang'!B94)</f>
        <v>0</v>
      </c>
      <c r="P9800">
        <f>IF(OR(M9800="",N9800=""),"",SUMIFS('Barang Keluar'!$E:$E,'Barang Keluar'!$A:$A,M9800,'Barang Keluar'!$C:$C,N9800))</f>
        <v>0</v>
      </c>
    </row>
    <row r="9801" spans="13:16">
      <c r="M9801" s="49">
        <f>IF($A$4+97&gt;$B$4,"",$A$4+97)</f>
        <v>46120</v>
      </c>
      <c r="N9801">
        <f>IF(M9801="","",'Master Barang'!A95)</f>
        <v>0</v>
      </c>
      <c r="O9801">
        <f>IF(N9801="","",'Master Barang'!B95)</f>
        <v>0</v>
      </c>
      <c r="P9801">
        <f>IF(OR(M9801="",N9801=""),"",SUMIFS('Barang Keluar'!$E:$E,'Barang Keluar'!$A:$A,M9801,'Barang Keluar'!$C:$C,N9801))</f>
        <v>0</v>
      </c>
    </row>
    <row r="9802" spans="13:16">
      <c r="M9802" s="49">
        <f>IF($A$4+97&gt;$B$4,"",$A$4+97)</f>
        <v>46120</v>
      </c>
      <c r="N9802">
        <f>IF(M9802="","",'Master Barang'!A96)</f>
        <v>0</v>
      </c>
      <c r="O9802">
        <f>IF(N9802="","",'Master Barang'!B96)</f>
        <v>0</v>
      </c>
      <c r="P9802">
        <f>IF(OR(M9802="",N9802=""),"",SUMIFS('Barang Keluar'!$E:$E,'Barang Keluar'!$A:$A,M9802,'Barang Keluar'!$C:$C,N9802))</f>
        <v>0</v>
      </c>
    </row>
    <row r="9803" spans="13:16">
      <c r="M9803" s="49">
        <f>IF($A$4+97&gt;$B$4,"",$A$4+97)</f>
        <v>46120</v>
      </c>
      <c r="N9803">
        <f>IF(M9803="","",'Master Barang'!A97)</f>
        <v>0</v>
      </c>
      <c r="O9803">
        <f>IF(N9803="","",'Master Barang'!B97)</f>
        <v>0</v>
      </c>
      <c r="P9803">
        <f>IF(OR(M9803="",N9803=""),"",SUMIFS('Barang Keluar'!$E:$E,'Barang Keluar'!$A:$A,M9803,'Barang Keluar'!$C:$C,N9803))</f>
        <v>0</v>
      </c>
    </row>
    <row r="9804" spans="13:16">
      <c r="M9804" s="49">
        <f>IF($A$4+97&gt;$B$4,"",$A$4+97)</f>
        <v>46120</v>
      </c>
      <c r="N9804">
        <f>IF(M9804="","",'Master Barang'!A98)</f>
        <v>0</v>
      </c>
      <c r="O9804">
        <f>IF(N9804="","",'Master Barang'!B98)</f>
        <v>0</v>
      </c>
      <c r="P9804">
        <f>IF(OR(M9804="",N9804=""),"",SUMIFS('Barang Keluar'!$E:$E,'Barang Keluar'!$A:$A,M9804,'Barang Keluar'!$C:$C,N9804))</f>
        <v>0</v>
      </c>
    </row>
    <row r="9805" spans="13:16">
      <c r="M9805" s="49">
        <f>IF($A$4+97&gt;$B$4,"",$A$4+97)</f>
        <v>46120</v>
      </c>
      <c r="N9805">
        <f>IF(M9805="","",'Master Barang'!A99)</f>
        <v>0</v>
      </c>
      <c r="O9805">
        <f>IF(N9805="","",'Master Barang'!B99)</f>
        <v>0</v>
      </c>
      <c r="P9805">
        <f>IF(OR(M9805="",N9805=""),"",SUMIFS('Barang Keluar'!$E:$E,'Barang Keluar'!$A:$A,M9805,'Barang Keluar'!$C:$C,N9805))</f>
        <v>0</v>
      </c>
    </row>
    <row r="9806" spans="13:16">
      <c r="M9806" s="49">
        <f>IF($A$4+97&gt;$B$4,"",$A$4+97)</f>
        <v>46120</v>
      </c>
      <c r="N9806">
        <f>IF(M9806="","",'Master Barang'!A100)</f>
        <v>0</v>
      </c>
      <c r="O9806">
        <f>IF(N9806="","",'Master Barang'!B100)</f>
        <v>0</v>
      </c>
      <c r="P9806">
        <f>IF(OR(M9806="",N9806=""),"",SUMIFS('Barang Keluar'!$E:$E,'Barang Keluar'!$A:$A,M9806,'Barang Keluar'!$C:$C,N9806))</f>
        <v>0</v>
      </c>
    </row>
    <row r="9807" spans="13:16">
      <c r="M9807" s="49">
        <f>IF($A$4+97&gt;$B$4,"",$A$4+97)</f>
        <v>46120</v>
      </c>
      <c r="N9807">
        <f>IF(M9807="","",'Master Barang'!A101)</f>
        <v>0</v>
      </c>
      <c r="O9807">
        <f>IF(N9807="","",'Master Barang'!B101)</f>
        <v>0</v>
      </c>
      <c r="P9807">
        <f>IF(OR(M9807="",N9807=""),"",SUMIFS('Barang Keluar'!$E:$E,'Barang Keluar'!$A:$A,M9807,'Barang Keluar'!$C:$C,N9807))</f>
        <v>0</v>
      </c>
    </row>
    <row r="9808" spans="13:16">
      <c r="M9808" s="49">
        <f>IF($A$4+98&gt;$B$4,"",$A$4+98)</f>
        <v>46121</v>
      </c>
      <c r="N9808" t="str">
        <f>IF(M9808="","",'Master Barang'!A2)</f>
        <v>PRL-001</v>
      </c>
      <c r="O9808" t="str">
        <f>IF(N9808="","",'Master Barang'!B2)</f>
        <v>natura desinfectant food grade 5l</v>
      </c>
      <c r="P9808">
        <f>IF(OR(M9808="",N9808=""),"",SUMIFS('Barang Keluar'!$E:$E,'Barang Keluar'!$A:$A,M9808,'Barang Keluar'!$C:$C,N9808))</f>
        <v>0</v>
      </c>
    </row>
    <row r="9809" spans="13:16">
      <c r="M9809" s="49">
        <f>IF($A$4+98&gt;$B$4,"",$A$4+98)</f>
        <v>46121</v>
      </c>
      <c r="N9809" t="str">
        <f>IF(M9809="","",'Master Barang'!A3)</f>
        <v>PRL-002</v>
      </c>
      <c r="O9809" t="str">
        <f>IF(N9809="","",'Master Barang'!B3)</f>
        <v>sunlight cairan pencuci piring 5l</v>
      </c>
      <c r="P9809">
        <f>IF(OR(M9809="",N9809=""),"",SUMIFS('Barang Keluar'!$E:$E,'Barang Keluar'!$A:$A,M9809,'Barang Keluar'!$C:$C,N9809))</f>
        <v>0</v>
      </c>
    </row>
    <row r="9810" spans="13:16">
      <c r="M9810" s="49">
        <f>IF($A$4+98&gt;$B$4,"",$A$4+98)</f>
        <v>46121</v>
      </c>
      <c r="N9810" t="str">
        <f>IF(M9810="","",'Master Barang'!A4)</f>
        <v>PRL-003</v>
      </c>
      <c r="O9810" t="str">
        <f>IF(N9810="","",'Master Barang'!B4)</f>
        <v>oixs cleaner 1l</v>
      </c>
      <c r="P9810">
        <f>IF(OR(M9810="",N9810=""),"",SUMIFS('Barang Keluar'!$E:$E,'Barang Keluar'!$A:$A,M9810,'Barang Keluar'!$C:$C,N9810))</f>
        <v>0</v>
      </c>
    </row>
    <row r="9811" spans="13:16">
      <c r="M9811" s="49">
        <f>IF($A$4+98&gt;$B$4,"",$A$4+98)</f>
        <v>46121</v>
      </c>
      <c r="N9811" t="str">
        <f>IF(M9811="","",'Master Barang'!A5)</f>
        <v>PRL-004</v>
      </c>
      <c r="O9811" t="str">
        <f>IF(N9811="","",'Master Barang'!B5)</f>
        <v>be clean tissue serbaguna</v>
      </c>
      <c r="P9811">
        <f>IF(OR(M9811="",N9811=""),"",SUMIFS('Barang Keluar'!$E:$E,'Barang Keluar'!$A:$A,M9811,'Barang Keluar'!$C:$C,N9811))</f>
        <v>0</v>
      </c>
    </row>
    <row r="9812" spans="13:16">
      <c r="M9812" s="49">
        <f>IF($A$4+98&gt;$B$4,"",$A$4+98)</f>
        <v>46121</v>
      </c>
      <c r="N9812" t="str">
        <f>IF(M9812="","",'Master Barang'!A6)</f>
        <v>PRL-005</v>
      </c>
      <c r="O9812" t="str">
        <f>IF(N9812="","",'Master Barang'!B6)</f>
        <v>spons cuci hijau</v>
      </c>
      <c r="P9812">
        <f>IF(OR(M9812="",N9812=""),"",SUMIFS('Barang Keluar'!$E:$E,'Barang Keluar'!$A:$A,M9812,'Barang Keluar'!$C:$C,N9812))</f>
        <v>0</v>
      </c>
    </row>
    <row r="9813" spans="13:16">
      <c r="M9813" s="49">
        <f>IF($A$4+98&gt;$B$4,"",$A$4+98)</f>
        <v>46121</v>
      </c>
      <c r="N9813" t="str">
        <f>IF(M9813="","",'Master Barang'!A7)</f>
        <v>PRL-006</v>
      </c>
      <c r="O9813" t="str">
        <f>IF(N9813="","",'Master Barang'!B7)</f>
        <v>sabut cuci stainless</v>
      </c>
      <c r="P9813">
        <f>IF(OR(M9813="",N9813=""),"",SUMIFS('Barang Keluar'!$E:$E,'Barang Keluar'!$A:$A,M9813,'Barang Keluar'!$C:$C,N9813))</f>
        <v>0</v>
      </c>
    </row>
    <row r="9814" spans="13:16">
      <c r="M9814" s="49">
        <f>IF($A$4+98&gt;$B$4,"",$A$4+98)</f>
        <v>46121</v>
      </c>
      <c r="N9814" t="str">
        <f>IF(M9814="","",'Master Barang'!A8)</f>
        <v>PRL-007</v>
      </c>
      <c r="O9814" t="str">
        <f>IF(N9814="","",'Master Barang'!B8)</f>
        <v>plastik kresek besar merah 50pc</v>
      </c>
      <c r="P9814">
        <f>IF(OR(M9814="",N9814=""),"",SUMIFS('Barang Keluar'!$E:$E,'Barang Keluar'!$A:$A,M9814,'Barang Keluar'!$C:$C,N9814))</f>
        <v>0</v>
      </c>
    </row>
    <row r="9815" spans="13:16">
      <c r="M9815" s="49">
        <f>IF($A$4+98&gt;$B$4,"",$A$4+98)</f>
        <v>46121</v>
      </c>
      <c r="N9815" t="str">
        <f>IF(M9815="","",'Master Barang'!A9)</f>
        <v>PRL-008</v>
      </c>
      <c r="O9815" t="str">
        <f>IF(N9815="","",'Master Barang'!B9)</f>
        <v>lap besar</v>
      </c>
      <c r="P9815">
        <f>IF(OR(M9815="",N9815=""),"",SUMIFS('Barang Keluar'!$E:$E,'Barang Keluar'!$A:$A,M9815,'Barang Keluar'!$C:$C,N9815))</f>
        <v>0</v>
      </c>
    </row>
    <row r="9816" spans="13:16">
      <c r="M9816" s="49">
        <f>IF($A$4+98&gt;$B$4,"",$A$4+98)</f>
        <v>46121</v>
      </c>
      <c r="N9816" t="str">
        <f>IF(M9816="","",'Master Barang'!A10)</f>
        <v>PRL-009</v>
      </c>
      <c r="O9816" t="str">
        <f>IF(N9816="","",'Master Barang'!B10)</f>
        <v>lap microfiber</v>
      </c>
      <c r="P9816">
        <f>IF(OR(M9816="",N9816=""),"",SUMIFS('Barang Keluar'!$E:$E,'Barang Keluar'!$A:$A,M9816,'Barang Keluar'!$C:$C,N9816))</f>
        <v>0</v>
      </c>
    </row>
    <row r="9817" spans="13:16">
      <c r="M9817" s="49">
        <f>IF($A$4+98&gt;$B$4,"",$A$4+98)</f>
        <v>46121</v>
      </c>
      <c r="N9817" t="str">
        <f>IF(M9817="","",'Master Barang'!A11)</f>
        <v>PRL-010</v>
      </c>
      <c r="O9817" t="str">
        <f>IF(N9817="","",'Master Barang'!B11)</f>
        <v>lap kecil</v>
      </c>
      <c r="P9817">
        <f>IF(OR(M9817="",N9817=""),"",SUMIFS('Barang Keluar'!$E:$E,'Barang Keluar'!$A:$A,M9817,'Barang Keluar'!$C:$C,N9817))</f>
        <v>0</v>
      </c>
    </row>
    <row r="9818" spans="13:16">
      <c r="M9818" s="49">
        <f>IF($A$4+98&gt;$B$4,"",$A$4+98)</f>
        <v>46121</v>
      </c>
      <c r="N9818" t="str">
        <f>IF(M9818="","",'Master Barang'!A12)</f>
        <v>PRL-011</v>
      </c>
      <c r="O9818" t="str">
        <f>IF(N9818="","",'Master Barang'!B12)</f>
        <v>kanebo kecil</v>
      </c>
      <c r="P9818">
        <f>IF(OR(M9818="",N9818=""),"",SUMIFS('Barang Keluar'!$E:$E,'Barang Keluar'!$A:$A,M9818,'Barang Keluar'!$C:$C,N9818))</f>
        <v>0</v>
      </c>
    </row>
    <row r="9819" spans="13:16">
      <c r="M9819" s="49">
        <f>IF($A$4+98&gt;$B$4,"",$A$4+98)</f>
        <v>46121</v>
      </c>
      <c r="N9819" t="str">
        <f>IF(M9819="","",'Master Barang'!A13)</f>
        <v>PRL-012</v>
      </c>
      <c r="O9819" t="str">
        <f>IF(N9819="","",'Master Barang'!B13)</f>
        <v>plastik 1/4kg joyoboyo 100 lembar</v>
      </c>
      <c r="P9819">
        <f>IF(OR(M9819="",N9819=""),"",SUMIFS('Barang Keluar'!$E:$E,'Barang Keluar'!$A:$A,M9819,'Barang Keluar'!$C:$C,N9819))</f>
        <v>0</v>
      </c>
    </row>
    <row r="9820" spans="13:16">
      <c r="M9820" s="49">
        <f>IF($A$4+98&gt;$B$4,"",$A$4+98)</f>
        <v>46121</v>
      </c>
      <c r="N9820" t="str">
        <f>IF(M9820="","",'Master Barang'!A14)</f>
        <v>PRL-013</v>
      </c>
      <c r="O9820" t="str">
        <f>IF(N9820="","",'Master Barang'!B14)</f>
        <v>sarung tangan plastik kaka 100 pcs</v>
      </c>
      <c r="P9820">
        <f>IF(OR(M9820="",N9820=""),"",SUMIFS('Barang Keluar'!$E:$E,'Barang Keluar'!$A:$A,M9820,'Barang Keluar'!$C:$C,N9820))</f>
        <v>0</v>
      </c>
    </row>
    <row r="9821" spans="13:16">
      <c r="M9821" s="49">
        <f>IF($A$4+98&gt;$B$4,"",$A$4+98)</f>
        <v>46121</v>
      </c>
      <c r="N9821" t="str">
        <f>IF(M9821="","",'Master Barang'!A15)</f>
        <v>PRL-014</v>
      </c>
      <c r="O9821" t="str">
        <f>IF(N9821="","",'Master Barang'!B15)</f>
        <v>optima trashbag 80x100</v>
      </c>
      <c r="P9821">
        <f>IF(OR(M9821="",N9821=""),"",SUMIFS('Barang Keluar'!$E:$E,'Barang Keluar'!$A:$A,M9821,'Barang Keluar'!$C:$C,N9821))</f>
        <v>0</v>
      </c>
    </row>
    <row r="9822" spans="13:16">
      <c r="M9822" s="49">
        <f>IF($A$4+98&gt;$B$4,"",$A$4+98)</f>
        <v>46121</v>
      </c>
      <c r="N9822" t="str">
        <f>IF(M9822="","",'Master Barang'!A16)</f>
        <v>PRL-015</v>
      </c>
      <c r="O9822" t="str">
        <f>IF(N9822="","",'Master Barang'!B16)</f>
        <v>optima trashbag 60x100</v>
      </c>
      <c r="P9822">
        <f>IF(OR(M9822="",N9822=""),"",SUMIFS('Barang Keluar'!$E:$E,'Barang Keluar'!$A:$A,M9822,'Barang Keluar'!$C:$C,N9822))</f>
        <v>0</v>
      </c>
    </row>
    <row r="9823" spans="13:16">
      <c r="M9823" s="49">
        <f>IF($A$4+98&gt;$B$4,"",$A$4+98)</f>
        <v>46121</v>
      </c>
      <c r="N9823" t="str">
        <f>IF(M9823="","",'Master Barang'!A17)</f>
        <v>PRL-016</v>
      </c>
      <c r="O9823" t="str">
        <f>IF(N9823="","",'Master Barang'!B17)</f>
        <v>rajawali trashbag 30x40</v>
      </c>
      <c r="P9823">
        <f>IF(OR(M9823="",N9823=""),"",SUMIFS('Barang Keluar'!$E:$E,'Barang Keluar'!$A:$A,M9823,'Barang Keluar'!$C:$C,N9823))</f>
        <v>0</v>
      </c>
    </row>
    <row r="9824" spans="13:16">
      <c r="M9824" s="49">
        <f>IF($A$4+98&gt;$B$4,"",$A$4+98)</f>
        <v>46121</v>
      </c>
      <c r="N9824" t="str">
        <f>IF(M9824="","",'Master Barang'!A18)</f>
        <v>PRL-017</v>
      </c>
      <c r="O9824" t="str">
        <f>IF(N9824="","",'Master Barang'!B18)</f>
        <v>onemed masker biru 3 play 50 pcs</v>
      </c>
      <c r="P9824">
        <f>IF(OR(M9824="",N9824=""),"",SUMIFS('Barang Keluar'!$E:$E,'Barang Keluar'!$A:$A,M9824,'Barang Keluar'!$C:$C,N9824))</f>
        <v>0</v>
      </c>
    </row>
    <row r="9825" spans="13:16">
      <c r="M9825" s="49">
        <f>IF($A$4+98&gt;$B$4,"",$A$4+98)</f>
        <v>46121</v>
      </c>
      <c r="N9825" t="str">
        <f>IF(M9825="","",'Master Barang'!A19)</f>
        <v>PRL-018</v>
      </c>
      <c r="O9825" t="str">
        <f>IF(N9825="","",'Master Barang'!B19)</f>
        <v>onemed masker biru 3 play hijab 50 pcs</v>
      </c>
      <c r="P9825">
        <f>IF(OR(M9825="",N9825=""),"",SUMIFS('Barang Keluar'!$E:$E,'Barang Keluar'!$A:$A,M9825,'Barang Keluar'!$C:$C,N9825))</f>
        <v>0</v>
      </c>
    </row>
    <row r="9826" spans="13:16">
      <c r="M9826" s="49">
        <f>IF($A$4+98&gt;$B$4,"",$A$4+98)</f>
        <v>46121</v>
      </c>
      <c r="N9826" t="str">
        <f>IF(M9826="","",'Master Barang'!A20)</f>
        <v>PRL-019</v>
      </c>
      <c r="O9826" t="str">
        <f>IF(N9826="","",'Master Barang'!B20)</f>
        <v>neo health masker biru 3 play 50 pcs</v>
      </c>
      <c r="P9826">
        <f>IF(OR(M9826="",N9826=""),"",SUMIFS('Barang Keluar'!$E:$E,'Barang Keluar'!$A:$A,M9826,'Barang Keluar'!$C:$C,N9826))</f>
        <v>0</v>
      </c>
    </row>
    <row r="9827" spans="13:16">
      <c r="M9827" s="49">
        <f>IF($A$4+98&gt;$B$4,"",$A$4+98)</f>
        <v>46121</v>
      </c>
      <c r="N9827" t="str">
        <f>IF(M9827="","",'Master Barang'!A21)</f>
        <v>PRL-020</v>
      </c>
      <c r="O9827" t="str">
        <f>IF(N9827="","",'Master Barang'!B21)</f>
        <v>baymed masker hijau 3 play hijau 50 pcs</v>
      </c>
      <c r="P9827">
        <f>IF(OR(M9827="",N9827=""),"",SUMIFS('Barang Keluar'!$E:$E,'Barang Keluar'!$A:$A,M9827,'Barang Keluar'!$C:$C,N9827))</f>
        <v>0</v>
      </c>
    </row>
    <row r="9828" spans="13:16">
      <c r="M9828" s="49">
        <f>IF($A$4+98&gt;$B$4,"",$A$4+98)</f>
        <v>46121</v>
      </c>
      <c r="N9828" t="str">
        <f>IF(M9828="","",'Master Barang'!A22)</f>
        <v>PRL-021</v>
      </c>
      <c r="O9828" t="str">
        <f>IF(N9828="","",'Master Barang'!B22)</f>
        <v>altamed nurse cap penutup kepala 100 pcs</v>
      </c>
      <c r="P9828">
        <f>IF(OR(M9828="",N9828=""),"",SUMIFS('Barang Keluar'!$E:$E,'Barang Keluar'!$A:$A,M9828,'Barang Keluar'!$C:$C,N9828))</f>
        <v>0</v>
      </c>
    </row>
    <row r="9829" spans="13:16">
      <c r="M9829" s="49">
        <f>IF($A$4+98&gt;$B$4,"",$A$4+98)</f>
        <v>46121</v>
      </c>
      <c r="N9829" t="str">
        <f>IF(M9829="","",'Master Barang'!A23)</f>
        <v>PRL-022</v>
      </c>
      <c r="O9829" t="str">
        <f>IF(N9829="","",'Master Barang'!B23)</f>
        <v>sabun cuci tangan</v>
      </c>
      <c r="P9829">
        <f>IF(OR(M9829="",N9829=""),"",SUMIFS('Barang Keluar'!$E:$E,'Barang Keluar'!$A:$A,M9829,'Barang Keluar'!$C:$C,N9829))</f>
        <v>0</v>
      </c>
    </row>
    <row r="9830" spans="13:16">
      <c r="M9830" s="49">
        <f>IF($A$4+98&gt;$B$4,"",$A$4+98)</f>
        <v>46121</v>
      </c>
      <c r="N9830" t="str">
        <f>IF(M9830="","",'Master Barang'!A24)</f>
        <v>PRL-023</v>
      </c>
      <c r="O9830" t="str">
        <f>IF(N9830="","",'Master Barang'!B24)</f>
        <v>gayung kecil</v>
      </c>
      <c r="P9830">
        <f>IF(OR(M9830="",N9830=""),"",SUMIFS('Barang Keluar'!$E:$E,'Barang Keluar'!$A:$A,M9830,'Barang Keluar'!$C:$C,N9830))</f>
        <v>0</v>
      </c>
    </row>
    <row r="9831" spans="13:16">
      <c r="M9831" s="49">
        <f>IF($A$4+98&gt;$B$4,"",$A$4+98)</f>
        <v>46121</v>
      </c>
      <c r="N9831" t="str">
        <f>IF(M9831="","",'Master Barang'!A25)</f>
        <v>PRL-024</v>
      </c>
      <c r="O9831" t="str">
        <f>IF(N9831="","",'Master Barang'!B25)</f>
        <v>cikrak kecil</v>
      </c>
      <c r="P9831">
        <f>IF(OR(M9831="",N9831=""),"",SUMIFS('Barang Keluar'!$E:$E,'Barang Keluar'!$A:$A,M9831,'Barang Keluar'!$C:$C,N9831))</f>
        <v>0</v>
      </c>
    </row>
    <row r="9832" spans="13:16">
      <c r="M9832" s="49">
        <f>IF($A$4+98&gt;$B$4,"",$A$4+98)</f>
        <v>46121</v>
      </c>
      <c r="N9832" t="str">
        <f>IF(M9832="","",'Master Barang'!A26)</f>
        <v>PRL-025</v>
      </c>
      <c r="O9832" t="str">
        <f>IF(N9832="","",'Master Barang'!B26)</f>
        <v>petromax plastik kecil 12x24 100 lembar</v>
      </c>
      <c r="P9832">
        <f>IF(OR(M9832="",N9832=""),"",SUMIFS('Barang Keluar'!$E:$E,'Barang Keluar'!$A:$A,M9832,'Barang Keluar'!$C:$C,N9832))</f>
        <v>0</v>
      </c>
    </row>
    <row r="9833" spans="13:16">
      <c r="M9833" s="49">
        <f>IF($A$4+98&gt;$B$4,"",$A$4+98)</f>
        <v>46121</v>
      </c>
      <c r="N9833" t="str">
        <f>IF(M9833="","",'Master Barang'!A27)</f>
        <v>PRL-026</v>
      </c>
      <c r="O9833" t="str">
        <f>IF(N9833="","",'Master Barang'!B27)</f>
        <v>lancar kresek kecil bening </v>
      </c>
      <c r="P9833">
        <f>IF(OR(M9833="",N9833=""),"",SUMIFS('Barang Keluar'!$E:$E,'Barang Keluar'!$A:$A,M9833,'Barang Keluar'!$C:$C,N9833))</f>
        <v>0</v>
      </c>
    </row>
    <row r="9834" spans="13:16">
      <c r="M9834" s="49">
        <f>IF($A$4+98&gt;$B$4,"",$A$4+98)</f>
        <v>46121</v>
      </c>
      <c r="N9834" t="str">
        <f>IF(M9834="","",'Master Barang'!A28)</f>
        <v>PRL-027</v>
      </c>
      <c r="O9834" t="str">
        <f>IF(N9834="","",'Master Barang'!B28)</f>
        <v>kresek klin warna warni kecil</v>
      </c>
      <c r="P9834">
        <f>IF(OR(M9834="",N9834=""),"",SUMIFS('Barang Keluar'!$E:$E,'Barang Keluar'!$A:$A,M9834,'Barang Keluar'!$C:$C,N9834))</f>
        <v>0</v>
      </c>
    </row>
    <row r="9835" spans="13:16">
      <c r="M9835" s="49">
        <f>IF($A$4+98&gt;$B$4,"",$A$4+98)</f>
        <v>46121</v>
      </c>
      <c r="N9835" t="str">
        <f>IF(M9835="","",'Master Barang'!A29)</f>
        <v>PRL-028</v>
      </c>
      <c r="O9835" t="str">
        <f>IF(N9835="","",'Master Barang'!B29)</f>
        <v>ctik plastik 7x10 100 pcs</v>
      </c>
      <c r="P9835">
        <f>IF(OR(M9835="",N9835=""),"",SUMIFS('Barang Keluar'!$E:$E,'Barang Keluar'!$A:$A,M9835,'Barang Keluar'!$C:$C,N9835))</f>
        <v>0</v>
      </c>
    </row>
    <row r="9836" spans="13:16">
      <c r="M9836" s="49">
        <f>IF($A$4+98&gt;$B$4,"",$A$4+98)</f>
        <v>46121</v>
      </c>
      <c r="N9836" t="str">
        <f>IF(M9836="","",'Master Barang'!A30)</f>
        <v>PRL-029</v>
      </c>
      <c r="O9836" t="str">
        <f>IF(N9836="","",'Master Barang'!B30)</f>
        <v>ctik plastik 6x10 100 pcs</v>
      </c>
      <c r="P9836">
        <f>IF(OR(M9836="",N9836=""),"",SUMIFS('Barang Keluar'!$E:$E,'Barang Keluar'!$A:$A,M9836,'Barang Keluar'!$C:$C,N9836))</f>
        <v>0</v>
      </c>
    </row>
    <row r="9837" spans="13:16">
      <c r="M9837" s="49">
        <f>IF($A$4+98&gt;$B$4,"",$A$4+98)</f>
        <v>46121</v>
      </c>
      <c r="N9837" t="str">
        <f>IF(M9837="","",'Master Barang'!A31)</f>
        <v>PRL-030</v>
      </c>
      <c r="O9837" t="str">
        <f>IF(N9837="","",'Master Barang'!B31)</f>
        <v>klip plastik 25x16 100 pcs</v>
      </c>
      <c r="P9837">
        <f>IF(OR(M9837="",N9837=""),"",SUMIFS('Barang Keluar'!$E:$E,'Barang Keluar'!$A:$A,M9837,'Barang Keluar'!$C:$C,N9837))</f>
        <v>0</v>
      </c>
    </row>
    <row r="9838" spans="13:16">
      <c r="M9838" s="49">
        <f>IF($A$4+98&gt;$B$4,"",$A$4+98)</f>
        <v>46121</v>
      </c>
      <c r="N9838" t="str">
        <f>IF(M9838="","",'Master Barang'!A32)</f>
        <v>PRL-031</v>
      </c>
      <c r="O9838" t="str">
        <f>IF(N9838="","",'Master Barang'!B32)</f>
        <v>tempat saus 20 ml</v>
      </c>
      <c r="P9838">
        <f>IF(OR(M9838="",N9838=""),"",SUMIFS('Barang Keluar'!$E:$E,'Barang Keluar'!$A:$A,M9838,'Barang Keluar'!$C:$C,N9838))</f>
        <v>0</v>
      </c>
    </row>
    <row r="9839" spans="13:16">
      <c r="M9839" s="49">
        <f>IF($A$4+98&gt;$B$4,"",$A$4+98)</f>
        <v>46121</v>
      </c>
      <c r="N9839" t="str">
        <f>IF(M9839="","",'Master Barang'!A33)</f>
        <v>PRL-032</v>
      </c>
      <c r="O9839" t="str">
        <f>IF(N9839="","",'Master Barang'!B33)</f>
        <v>plastik packaging ag box uk sedang</v>
      </c>
      <c r="P9839">
        <f>IF(OR(M9839="",N9839=""),"",SUMIFS('Barang Keluar'!$E:$E,'Barang Keluar'!$A:$A,M9839,'Barang Keluar'!$C:$C,N9839))</f>
        <v>0</v>
      </c>
    </row>
    <row r="9840" spans="13:16">
      <c r="M9840" s="49">
        <f>IF($A$4+98&gt;$B$4,"",$A$4+98)</f>
        <v>46121</v>
      </c>
      <c r="N9840" t="str">
        <f>IF(M9840="","",'Master Barang'!A34)</f>
        <v>PRL-033</v>
      </c>
      <c r="O9840">
        <f>IF(N9840="","",'Master Barang'!B34)</f>
        <v>0</v>
      </c>
      <c r="P9840">
        <f>IF(OR(M9840="",N9840=""),"",SUMIFS('Barang Keluar'!$E:$E,'Barang Keluar'!$A:$A,M9840,'Barang Keluar'!$C:$C,N9840))</f>
        <v>0</v>
      </c>
    </row>
    <row r="9841" spans="13:16">
      <c r="M9841" s="49">
        <f>IF($A$4+98&gt;$B$4,"",$A$4+98)</f>
        <v>46121</v>
      </c>
      <c r="N9841">
        <f>IF(M9841="","",'Master Barang'!A35)</f>
        <v>0</v>
      </c>
      <c r="O9841">
        <f>IF(N9841="","",'Master Barang'!B35)</f>
        <v>0</v>
      </c>
      <c r="P9841">
        <f>IF(OR(M9841="",N9841=""),"",SUMIFS('Barang Keluar'!$E:$E,'Barang Keluar'!$A:$A,M9841,'Barang Keluar'!$C:$C,N9841))</f>
        <v>0</v>
      </c>
    </row>
    <row r="9842" spans="13:16">
      <c r="M9842" s="49">
        <f>IF($A$4+98&gt;$B$4,"",$A$4+98)</f>
        <v>46121</v>
      </c>
      <c r="N9842">
        <f>IF(M9842="","",'Master Barang'!A36)</f>
        <v>0</v>
      </c>
      <c r="O9842">
        <f>IF(N9842="","",'Master Barang'!B36)</f>
        <v>0</v>
      </c>
      <c r="P9842">
        <f>IF(OR(M9842="",N9842=""),"",SUMIFS('Barang Keluar'!$E:$E,'Barang Keluar'!$A:$A,M9842,'Barang Keluar'!$C:$C,N9842))</f>
        <v>0</v>
      </c>
    </row>
    <row r="9843" spans="13:16">
      <c r="M9843" s="49">
        <f>IF($A$4+98&gt;$B$4,"",$A$4+98)</f>
        <v>46121</v>
      </c>
      <c r="N9843">
        <f>IF(M9843="","",'Master Barang'!A37)</f>
        <v>0</v>
      </c>
      <c r="O9843">
        <f>IF(N9843="","",'Master Barang'!B37)</f>
        <v>0</v>
      </c>
      <c r="P9843">
        <f>IF(OR(M9843="",N9843=""),"",SUMIFS('Barang Keluar'!$E:$E,'Barang Keluar'!$A:$A,M9843,'Barang Keluar'!$C:$C,N9843))</f>
        <v>0</v>
      </c>
    </row>
    <row r="9844" spans="13:16">
      <c r="M9844" s="49">
        <f>IF($A$4+98&gt;$B$4,"",$A$4+98)</f>
        <v>46121</v>
      </c>
      <c r="N9844">
        <f>IF(M9844="","",'Master Barang'!A38)</f>
        <v>0</v>
      </c>
      <c r="O9844">
        <f>IF(N9844="","",'Master Barang'!B38)</f>
        <v>0</v>
      </c>
      <c r="P9844">
        <f>IF(OR(M9844="",N9844=""),"",SUMIFS('Barang Keluar'!$E:$E,'Barang Keluar'!$A:$A,M9844,'Barang Keluar'!$C:$C,N9844))</f>
        <v>0</v>
      </c>
    </row>
    <row r="9845" spans="13:16">
      <c r="M9845" s="49">
        <f>IF($A$4+98&gt;$B$4,"",$A$4+98)</f>
        <v>46121</v>
      </c>
      <c r="N9845">
        <f>IF(M9845="","",'Master Barang'!A39)</f>
        <v>0</v>
      </c>
      <c r="O9845">
        <f>IF(N9845="","",'Master Barang'!B39)</f>
        <v>0</v>
      </c>
      <c r="P9845">
        <f>IF(OR(M9845="",N9845=""),"",SUMIFS('Barang Keluar'!$E:$E,'Barang Keluar'!$A:$A,M9845,'Barang Keluar'!$C:$C,N9845))</f>
        <v>0</v>
      </c>
    </row>
    <row r="9846" spans="13:16">
      <c r="M9846" s="49">
        <f>IF($A$4+98&gt;$B$4,"",$A$4+98)</f>
        <v>46121</v>
      </c>
      <c r="N9846">
        <f>IF(M9846="","",'Master Barang'!A40)</f>
        <v>0</v>
      </c>
      <c r="O9846">
        <f>IF(N9846="","",'Master Barang'!B40)</f>
        <v>0</v>
      </c>
      <c r="P9846">
        <f>IF(OR(M9846="",N9846=""),"",SUMIFS('Barang Keluar'!$E:$E,'Barang Keluar'!$A:$A,M9846,'Barang Keluar'!$C:$C,N9846))</f>
        <v>0</v>
      </c>
    </row>
    <row r="9847" spans="13:16">
      <c r="M9847" s="49">
        <f>IF($A$4+98&gt;$B$4,"",$A$4+98)</f>
        <v>46121</v>
      </c>
      <c r="N9847">
        <f>IF(M9847="","",'Master Barang'!A41)</f>
        <v>0</v>
      </c>
      <c r="O9847">
        <f>IF(N9847="","",'Master Barang'!B41)</f>
        <v>0</v>
      </c>
      <c r="P9847">
        <f>IF(OR(M9847="",N9847=""),"",SUMIFS('Barang Keluar'!$E:$E,'Barang Keluar'!$A:$A,M9847,'Barang Keluar'!$C:$C,N9847))</f>
        <v>0</v>
      </c>
    </row>
    <row r="9848" spans="13:16">
      <c r="M9848" s="49">
        <f>IF($A$4+98&gt;$B$4,"",$A$4+98)</f>
        <v>46121</v>
      </c>
      <c r="N9848">
        <f>IF(M9848="","",'Master Barang'!A42)</f>
        <v>0</v>
      </c>
      <c r="O9848">
        <f>IF(N9848="","",'Master Barang'!B42)</f>
        <v>0</v>
      </c>
      <c r="P9848">
        <f>IF(OR(M9848="",N9848=""),"",SUMIFS('Barang Keluar'!$E:$E,'Barang Keluar'!$A:$A,M9848,'Barang Keluar'!$C:$C,N9848))</f>
        <v>0</v>
      </c>
    </row>
    <row r="9849" spans="13:16">
      <c r="M9849" s="49">
        <f>IF($A$4+98&gt;$B$4,"",$A$4+98)</f>
        <v>46121</v>
      </c>
      <c r="N9849">
        <f>IF(M9849="","",'Master Barang'!A43)</f>
        <v>0</v>
      </c>
      <c r="O9849">
        <f>IF(N9849="","",'Master Barang'!B43)</f>
        <v>0</v>
      </c>
      <c r="P9849">
        <f>IF(OR(M9849="",N9849=""),"",SUMIFS('Barang Keluar'!$E:$E,'Barang Keluar'!$A:$A,M9849,'Barang Keluar'!$C:$C,N9849))</f>
        <v>0</v>
      </c>
    </row>
    <row r="9850" spans="13:16">
      <c r="M9850" s="49">
        <f>IF($A$4+98&gt;$B$4,"",$A$4+98)</f>
        <v>46121</v>
      </c>
      <c r="N9850">
        <f>IF(M9850="","",'Master Barang'!A44)</f>
        <v>0</v>
      </c>
      <c r="O9850">
        <f>IF(N9850="","",'Master Barang'!B44)</f>
        <v>0</v>
      </c>
      <c r="P9850">
        <f>IF(OR(M9850="",N9850=""),"",SUMIFS('Barang Keluar'!$E:$E,'Barang Keluar'!$A:$A,M9850,'Barang Keluar'!$C:$C,N9850))</f>
        <v>0</v>
      </c>
    </row>
    <row r="9851" spans="13:16">
      <c r="M9851" s="49">
        <f>IF($A$4+98&gt;$B$4,"",$A$4+98)</f>
        <v>46121</v>
      </c>
      <c r="N9851">
        <f>IF(M9851="","",'Master Barang'!A45)</f>
        <v>0</v>
      </c>
      <c r="O9851">
        <f>IF(N9851="","",'Master Barang'!B45)</f>
        <v>0</v>
      </c>
      <c r="P9851">
        <f>IF(OR(M9851="",N9851=""),"",SUMIFS('Barang Keluar'!$E:$E,'Barang Keluar'!$A:$A,M9851,'Barang Keluar'!$C:$C,N9851))</f>
        <v>0</v>
      </c>
    </row>
    <row r="9852" spans="13:16">
      <c r="M9852" s="49">
        <f>IF($A$4+98&gt;$B$4,"",$A$4+98)</f>
        <v>46121</v>
      </c>
      <c r="N9852">
        <f>IF(M9852="","",'Master Barang'!A46)</f>
        <v>0</v>
      </c>
      <c r="O9852">
        <f>IF(N9852="","",'Master Barang'!B46)</f>
        <v>0</v>
      </c>
      <c r="P9852">
        <f>IF(OR(M9852="",N9852=""),"",SUMIFS('Barang Keluar'!$E:$E,'Barang Keluar'!$A:$A,M9852,'Barang Keluar'!$C:$C,N9852))</f>
        <v>0</v>
      </c>
    </row>
    <row r="9853" spans="13:16">
      <c r="M9853" s="49">
        <f>IF($A$4+98&gt;$B$4,"",$A$4+98)</f>
        <v>46121</v>
      </c>
      <c r="N9853">
        <f>IF(M9853="","",'Master Barang'!A47)</f>
        <v>0</v>
      </c>
      <c r="O9853">
        <f>IF(N9853="","",'Master Barang'!B47)</f>
        <v>0</v>
      </c>
      <c r="P9853">
        <f>IF(OR(M9853="",N9853=""),"",SUMIFS('Barang Keluar'!$E:$E,'Barang Keluar'!$A:$A,M9853,'Barang Keluar'!$C:$C,N9853))</f>
        <v>0</v>
      </c>
    </row>
    <row r="9854" spans="13:16">
      <c r="M9854" s="49">
        <f>IF($A$4+98&gt;$B$4,"",$A$4+98)</f>
        <v>46121</v>
      </c>
      <c r="N9854">
        <f>IF(M9854="","",'Master Barang'!A48)</f>
        <v>0</v>
      </c>
      <c r="O9854">
        <f>IF(N9854="","",'Master Barang'!B48)</f>
        <v>0</v>
      </c>
      <c r="P9854">
        <f>IF(OR(M9854="",N9854=""),"",SUMIFS('Barang Keluar'!$E:$E,'Barang Keluar'!$A:$A,M9854,'Barang Keluar'!$C:$C,N9854))</f>
        <v>0</v>
      </c>
    </row>
    <row r="9855" spans="13:16">
      <c r="M9855" s="49">
        <f>IF($A$4+98&gt;$B$4,"",$A$4+98)</f>
        <v>46121</v>
      </c>
      <c r="N9855">
        <f>IF(M9855="","",'Master Barang'!A49)</f>
        <v>0</v>
      </c>
      <c r="O9855">
        <f>IF(N9855="","",'Master Barang'!B49)</f>
        <v>0</v>
      </c>
      <c r="P9855">
        <f>IF(OR(M9855="",N9855=""),"",SUMIFS('Barang Keluar'!$E:$E,'Barang Keluar'!$A:$A,M9855,'Barang Keluar'!$C:$C,N9855))</f>
        <v>0</v>
      </c>
    </row>
    <row r="9856" spans="13:16">
      <c r="M9856" s="49">
        <f>IF($A$4+98&gt;$B$4,"",$A$4+98)</f>
        <v>46121</v>
      </c>
      <c r="N9856">
        <f>IF(M9856="","",'Master Barang'!A50)</f>
        <v>0</v>
      </c>
      <c r="O9856">
        <f>IF(N9856="","",'Master Barang'!B50)</f>
        <v>0</v>
      </c>
      <c r="P9856">
        <f>IF(OR(M9856="",N9856=""),"",SUMIFS('Barang Keluar'!$E:$E,'Barang Keluar'!$A:$A,M9856,'Barang Keluar'!$C:$C,N9856))</f>
        <v>0</v>
      </c>
    </row>
    <row r="9857" spans="13:16">
      <c r="M9857" s="49">
        <f>IF($A$4+98&gt;$B$4,"",$A$4+98)</f>
        <v>46121</v>
      </c>
      <c r="N9857">
        <f>IF(M9857="","",'Master Barang'!A51)</f>
        <v>0</v>
      </c>
      <c r="O9857">
        <f>IF(N9857="","",'Master Barang'!B51)</f>
        <v>0</v>
      </c>
      <c r="P9857">
        <f>IF(OR(M9857="",N9857=""),"",SUMIFS('Barang Keluar'!$E:$E,'Barang Keluar'!$A:$A,M9857,'Barang Keluar'!$C:$C,N9857))</f>
        <v>0</v>
      </c>
    </row>
    <row r="9858" spans="13:16">
      <c r="M9858" s="49">
        <f>IF($A$4+98&gt;$B$4,"",$A$4+98)</f>
        <v>46121</v>
      </c>
      <c r="N9858">
        <f>IF(M9858="","",'Master Barang'!A52)</f>
        <v>0</v>
      </c>
      <c r="O9858">
        <f>IF(N9858="","",'Master Barang'!B52)</f>
        <v>0</v>
      </c>
      <c r="P9858">
        <f>IF(OR(M9858="",N9858=""),"",SUMIFS('Barang Keluar'!$E:$E,'Barang Keluar'!$A:$A,M9858,'Barang Keluar'!$C:$C,N9858))</f>
        <v>0</v>
      </c>
    </row>
    <row r="9859" spans="13:16">
      <c r="M9859" s="49">
        <f>IF($A$4+98&gt;$B$4,"",$A$4+98)</f>
        <v>46121</v>
      </c>
      <c r="N9859">
        <f>IF(M9859="","",'Master Barang'!A53)</f>
        <v>0</v>
      </c>
      <c r="O9859">
        <f>IF(N9859="","",'Master Barang'!B53)</f>
        <v>0</v>
      </c>
      <c r="P9859">
        <f>IF(OR(M9859="",N9859=""),"",SUMIFS('Barang Keluar'!$E:$E,'Barang Keluar'!$A:$A,M9859,'Barang Keluar'!$C:$C,N9859))</f>
        <v>0</v>
      </c>
    </row>
    <row r="9860" spans="13:16">
      <c r="M9860" s="49">
        <f>IF($A$4+98&gt;$B$4,"",$A$4+98)</f>
        <v>46121</v>
      </c>
      <c r="N9860">
        <f>IF(M9860="","",'Master Barang'!A54)</f>
        <v>0</v>
      </c>
      <c r="O9860">
        <f>IF(N9860="","",'Master Barang'!B54)</f>
        <v>0</v>
      </c>
      <c r="P9860">
        <f>IF(OR(M9860="",N9860=""),"",SUMIFS('Barang Keluar'!$E:$E,'Barang Keluar'!$A:$A,M9860,'Barang Keluar'!$C:$C,N9860))</f>
        <v>0</v>
      </c>
    </row>
    <row r="9861" spans="13:16">
      <c r="M9861" s="49">
        <f>IF($A$4+98&gt;$B$4,"",$A$4+98)</f>
        <v>46121</v>
      </c>
      <c r="N9861">
        <f>IF(M9861="","",'Master Barang'!A55)</f>
        <v>0</v>
      </c>
      <c r="O9861">
        <f>IF(N9861="","",'Master Barang'!B55)</f>
        <v>0</v>
      </c>
      <c r="P9861">
        <f>IF(OR(M9861="",N9861=""),"",SUMIFS('Barang Keluar'!$E:$E,'Barang Keluar'!$A:$A,M9861,'Barang Keluar'!$C:$C,N9861))</f>
        <v>0</v>
      </c>
    </row>
    <row r="9862" spans="13:16">
      <c r="M9862" s="49">
        <f>IF($A$4+98&gt;$B$4,"",$A$4+98)</f>
        <v>46121</v>
      </c>
      <c r="N9862">
        <f>IF(M9862="","",'Master Barang'!A56)</f>
        <v>0</v>
      </c>
      <c r="O9862">
        <f>IF(N9862="","",'Master Barang'!B56)</f>
        <v>0</v>
      </c>
      <c r="P9862">
        <f>IF(OR(M9862="",N9862=""),"",SUMIFS('Barang Keluar'!$E:$E,'Barang Keluar'!$A:$A,M9862,'Barang Keluar'!$C:$C,N9862))</f>
        <v>0</v>
      </c>
    </row>
    <row r="9863" spans="13:16">
      <c r="M9863" s="49">
        <f>IF($A$4+98&gt;$B$4,"",$A$4+98)</f>
        <v>46121</v>
      </c>
      <c r="N9863">
        <f>IF(M9863="","",'Master Barang'!A57)</f>
        <v>0</v>
      </c>
      <c r="O9863">
        <f>IF(N9863="","",'Master Barang'!B57)</f>
        <v>0</v>
      </c>
      <c r="P9863">
        <f>IF(OR(M9863="",N9863=""),"",SUMIFS('Barang Keluar'!$E:$E,'Barang Keluar'!$A:$A,M9863,'Barang Keluar'!$C:$C,N9863))</f>
        <v>0</v>
      </c>
    </row>
    <row r="9864" spans="13:16">
      <c r="M9864" s="49">
        <f>IF($A$4+98&gt;$B$4,"",$A$4+98)</f>
        <v>46121</v>
      </c>
      <c r="N9864">
        <f>IF(M9864="","",'Master Barang'!A58)</f>
        <v>0</v>
      </c>
      <c r="O9864">
        <f>IF(N9864="","",'Master Barang'!B58)</f>
        <v>0</v>
      </c>
      <c r="P9864">
        <f>IF(OR(M9864="",N9864=""),"",SUMIFS('Barang Keluar'!$E:$E,'Barang Keluar'!$A:$A,M9864,'Barang Keluar'!$C:$C,N9864))</f>
        <v>0</v>
      </c>
    </row>
    <row r="9865" spans="13:16">
      <c r="M9865" s="49">
        <f>IF($A$4+98&gt;$B$4,"",$A$4+98)</f>
        <v>46121</v>
      </c>
      <c r="N9865">
        <f>IF(M9865="","",'Master Barang'!A59)</f>
        <v>0</v>
      </c>
      <c r="O9865">
        <f>IF(N9865="","",'Master Barang'!B59)</f>
        <v>0</v>
      </c>
      <c r="P9865">
        <f>IF(OR(M9865="",N9865=""),"",SUMIFS('Barang Keluar'!$E:$E,'Barang Keluar'!$A:$A,M9865,'Barang Keluar'!$C:$C,N9865))</f>
        <v>0</v>
      </c>
    </row>
    <row r="9866" spans="13:16">
      <c r="M9866" s="49">
        <f>IF($A$4+98&gt;$B$4,"",$A$4+98)</f>
        <v>46121</v>
      </c>
      <c r="N9866">
        <f>IF(M9866="","",'Master Barang'!A60)</f>
        <v>0</v>
      </c>
      <c r="O9866">
        <f>IF(N9866="","",'Master Barang'!B60)</f>
        <v>0</v>
      </c>
      <c r="P9866">
        <f>IF(OR(M9866="",N9866=""),"",SUMIFS('Barang Keluar'!$E:$E,'Barang Keluar'!$A:$A,M9866,'Barang Keluar'!$C:$C,N9866))</f>
        <v>0</v>
      </c>
    </row>
    <row r="9867" spans="13:16">
      <c r="M9867" s="49">
        <f>IF($A$4+98&gt;$B$4,"",$A$4+98)</f>
        <v>46121</v>
      </c>
      <c r="N9867">
        <f>IF(M9867="","",'Master Barang'!A61)</f>
        <v>0</v>
      </c>
      <c r="O9867">
        <f>IF(N9867="","",'Master Barang'!B61)</f>
        <v>0</v>
      </c>
      <c r="P9867">
        <f>IF(OR(M9867="",N9867=""),"",SUMIFS('Barang Keluar'!$E:$E,'Barang Keluar'!$A:$A,M9867,'Barang Keluar'!$C:$C,N9867))</f>
        <v>0</v>
      </c>
    </row>
    <row r="9868" spans="13:16">
      <c r="M9868" s="49">
        <f>IF($A$4+98&gt;$B$4,"",$A$4+98)</f>
        <v>46121</v>
      </c>
      <c r="N9868">
        <f>IF(M9868="","",'Master Barang'!A62)</f>
        <v>0</v>
      </c>
      <c r="O9868">
        <f>IF(N9868="","",'Master Barang'!B62)</f>
        <v>0</v>
      </c>
      <c r="P9868">
        <f>IF(OR(M9868="",N9868=""),"",SUMIFS('Barang Keluar'!$E:$E,'Barang Keluar'!$A:$A,M9868,'Barang Keluar'!$C:$C,N9868))</f>
        <v>0</v>
      </c>
    </row>
    <row r="9869" spans="13:16">
      <c r="M9869" s="49">
        <f>IF($A$4+98&gt;$B$4,"",$A$4+98)</f>
        <v>46121</v>
      </c>
      <c r="N9869">
        <f>IF(M9869="","",'Master Barang'!A63)</f>
        <v>0</v>
      </c>
      <c r="O9869">
        <f>IF(N9869="","",'Master Barang'!B63)</f>
        <v>0</v>
      </c>
      <c r="P9869">
        <f>IF(OR(M9869="",N9869=""),"",SUMIFS('Barang Keluar'!$E:$E,'Barang Keluar'!$A:$A,M9869,'Barang Keluar'!$C:$C,N9869))</f>
        <v>0</v>
      </c>
    </row>
    <row r="9870" spans="13:16">
      <c r="M9870" s="49">
        <f>IF($A$4+98&gt;$B$4,"",$A$4+98)</f>
        <v>46121</v>
      </c>
      <c r="N9870">
        <f>IF(M9870="","",'Master Barang'!A64)</f>
        <v>0</v>
      </c>
      <c r="O9870">
        <f>IF(N9870="","",'Master Barang'!B64)</f>
        <v>0</v>
      </c>
      <c r="P9870">
        <f>IF(OR(M9870="",N9870=""),"",SUMIFS('Barang Keluar'!$E:$E,'Barang Keluar'!$A:$A,M9870,'Barang Keluar'!$C:$C,N9870))</f>
        <v>0</v>
      </c>
    </row>
    <row r="9871" spans="13:16">
      <c r="M9871" s="49">
        <f>IF($A$4+98&gt;$B$4,"",$A$4+98)</f>
        <v>46121</v>
      </c>
      <c r="N9871">
        <f>IF(M9871="","",'Master Barang'!A65)</f>
        <v>0</v>
      </c>
      <c r="O9871">
        <f>IF(N9871="","",'Master Barang'!B65)</f>
        <v>0</v>
      </c>
      <c r="P9871">
        <f>IF(OR(M9871="",N9871=""),"",SUMIFS('Barang Keluar'!$E:$E,'Barang Keluar'!$A:$A,M9871,'Barang Keluar'!$C:$C,N9871))</f>
        <v>0</v>
      </c>
    </row>
    <row r="9872" spans="13:16">
      <c r="M9872" s="49">
        <f>IF($A$4+98&gt;$B$4,"",$A$4+98)</f>
        <v>46121</v>
      </c>
      <c r="N9872">
        <f>IF(M9872="","",'Master Barang'!A66)</f>
        <v>0</v>
      </c>
      <c r="O9872">
        <f>IF(N9872="","",'Master Barang'!B66)</f>
        <v>0</v>
      </c>
      <c r="P9872">
        <f>IF(OR(M9872="",N9872=""),"",SUMIFS('Barang Keluar'!$E:$E,'Barang Keluar'!$A:$A,M9872,'Barang Keluar'!$C:$C,N9872))</f>
        <v>0</v>
      </c>
    </row>
    <row r="9873" spans="13:16">
      <c r="M9873" s="49">
        <f>IF($A$4+98&gt;$B$4,"",$A$4+98)</f>
        <v>46121</v>
      </c>
      <c r="N9873">
        <f>IF(M9873="","",'Master Barang'!A67)</f>
        <v>0</v>
      </c>
      <c r="O9873">
        <f>IF(N9873="","",'Master Barang'!B67)</f>
        <v>0</v>
      </c>
      <c r="P9873">
        <f>IF(OR(M9873="",N9873=""),"",SUMIFS('Barang Keluar'!$E:$E,'Barang Keluar'!$A:$A,M9873,'Barang Keluar'!$C:$C,N9873))</f>
        <v>0</v>
      </c>
    </row>
    <row r="9874" spans="13:16">
      <c r="M9874" s="49">
        <f>IF($A$4+98&gt;$B$4,"",$A$4+98)</f>
        <v>46121</v>
      </c>
      <c r="N9874">
        <f>IF(M9874="","",'Master Barang'!A68)</f>
        <v>0</v>
      </c>
      <c r="O9874">
        <f>IF(N9874="","",'Master Barang'!B68)</f>
        <v>0</v>
      </c>
      <c r="P9874">
        <f>IF(OR(M9874="",N9874=""),"",SUMIFS('Barang Keluar'!$E:$E,'Barang Keluar'!$A:$A,M9874,'Barang Keluar'!$C:$C,N9874))</f>
        <v>0</v>
      </c>
    </row>
    <row r="9875" spans="13:16">
      <c r="M9875" s="49">
        <f>IF($A$4+98&gt;$B$4,"",$A$4+98)</f>
        <v>46121</v>
      </c>
      <c r="N9875">
        <f>IF(M9875="","",'Master Barang'!A69)</f>
        <v>0</v>
      </c>
      <c r="O9875">
        <f>IF(N9875="","",'Master Barang'!B69)</f>
        <v>0</v>
      </c>
      <c r="P9875">
        <f>IF(OR(M9875="",N9875=""),"",SUMIFS('Barang Keluar'!$E:$E,'Barang Keluar'!$A:$A,M9875,'Barang Keluar'!$C:$C,N9875))</f>
        <v>0</v>
      </c>
    </row>
    <row r="9876" spans="13:16">
      <c r="M9876" s="49">
        <f>IF($A$4+98&gt;$B$4,"",$A$4+98)</f>
        <v>46121</v>
      </c>
      <c r="N9876">
        <f>IF(M9876="","",'Master Barang'!A70)</f>
        <v>0</v>
      </c>
      <c r="O9876">
        <f>IF(N9876="","",'Master Barang'!B70)</f>
        <v>0</v>
      </c>
      <c r="P9876">
        <f>IF(OR(M9876="",N9876=""),"",SUMIFS('Barang Keluar'!$E:$E,'Barang Keluar'!$A:$A,M9876,'Barang Keluar'!$C:$C,N9876))</f>
        <v>0</v>
      </c>
    </row>
    <row r="9877" spans="13:16">
      <c r="M9877" s="49">
        <f>IF($A$4+98&gt;$B$4,"",$A$4+98)</f>
        <v>46121</v>
      </c>
      <c r="N9877">
        <f>IF(M9877="","",'Master Barang'!A71)</f>
        <v>0</v>
      </c>
      <c r="O9877">
        <f>IF(N9877="","",'Master Barang'!B71)</f>
        <v>0</v>
      </c>
      <c r="P9877">
        <f>IF(OR(M9877="",N9877=""),"",SUMIFS('Barang Keluar'!$E:$E,'Barang Keluar'!$A:$A,M9877,'Barang Keluar'!$C:$C,N9877))</f>
        <v>0</v>
      </c>
    </row>
    <row r="9878" spans="13:16">
      <c r="M9878" s="49">
        <f>IF($A$4+98&gt;$B$4,"",$A$4+98)</f>
        <v>46121</v>
      </c>
      <c r="N9878">
        <f>IF(M9878="","",'Master Barang'!A72)</f>
        <v>0</v>
      </c>
      <c r="O9878">
        <f>IF(N9878="","",'Master Barang'!B72)</f>
        <v>0</v>
      </c>
      <c r="P9878">
        <f>IF(OR(M9878="",N9878=""),"",SUMIFS('Barang Keluar'!$E:$E,'Barang Keluar'!$A:$A,M9878,'Barang Keluar'!$C:$C,N9878))</f>
        <v>0</v>
      </c>
    </row>
    <row r="9879" spans="13:16">
      <c r="M9879" s="49">
        <f>IF($A$4+98&gt;$B$4,"",$A$4+98)</f>
        <v>46121</v>
      </c>
      <c r="N9879">
        <f>IF(M9879="","",'Master Barang'!A73)</f>
        <v>0</v>
      </c>
      <c r="O9879">
        <f>IF(N9879="","",'Master Barang'!B73)</f>
        <v>0</v>
      </c>
      <c r="P9879">
        <f>IF(OR(M9879="",N9879=""),"",SUMIFS('Barang Keluar'!$E:$E,'Barang Keluar'!$A:$A,M9879,'Barang Keluar'!$C:$C,N9879))</f>
        <v>0</v>
      </c>
    </row>
    <row r="9880" spans="13:16">
      <c r="M9880" s="49">
        <f>IF($A$4+98&gt;$B$4,"",$A$4+98)</f>
        <v>46121</v>
      </c>
      <c r="N9880">
        <f>IF(M9880="","",'Master Barang'!A74)</f>
        <v>0</v>
      </c>
      <c r="O9880">
        <f>IF(N9880="","",'Master Barang'!B74)</f>
        <v>0</v>
      </c>
      <c r="P9880">
        <f>IF(OR(M9880="",N9880=""),"",SUMIFS('Barang Keluar'!$E:$E,'Barang Keluar'!$A:$A,M9880,'Barang Keluar'!$C:$C,N9880))</f>
        <v>0</v>
      </c>
    </row>
    <row r="9881" spans="13:16">
      <c r="M9881" s="49">
        <f>IF($A$4+98&gt;$B$4,"",$A$4+98)</f>
        <v>46121</v>
      </c>
      <c r="N9881">
        <f>IF(M9881="","",'Master Barang'!A75)</f>
        <v>0</v>
      </c>
      <c r="O9881">
        <f>IF(N9881="","",'Master Barang'!B75)</f>
        <v>0</v>
      </c>
      <c r="P9881">
        <f>IF(OR(M9881="",N9881=""),"",SUMIFS('Barang Keluar'!$E:$E,'Barang Keluar'!$A:$A,M9881,'Barang Keluar'!$C:$C,N9881))</f>
        <v>0</v>
      </c>
    </row>
    <row r="9882" spans="13:16">
      <c r="M9882" s="49">
        <f>IF($A$4+98&gt;$B$4,"",$A$4+98)</f>
        <v>46121</v>
      </c>
      <c r="N9882">
        <f>IF(M9882="","",'Master Barang'!A76)</f>
        <v>0</v>
      </c>
      <c r="O9882">
        <f>IF(N9882="","",'Master Barang'!B76)</f>
        <v>0</v>
      </c>
      <c r="P9882">
        <f>IF(OR(M9882="",N9882=""),"",SUMIFS('Barang Keluar'!$E:$E,'Barang Keluar'!$A:$A,M9882,'Barang Keluar'!$C:$C,N9882))</f>
        <v>0</v>
      </c>
    </row>
    <row r="9883" spans="13:16">
      <c r="M9883" s="49">
        <f>IF($A$4+98&gt;$B$4,"",$A$4+98)</f>
        <v>46121</v>
      </c>
      <c r="N9883">
        <f>IF(M9883="","",'Master Barang'!A77)</f>
        <v>0</v>
      </c>
      <c r="O9883">
        <f>IF(N9883="","",'Master Barang'!B77)</f>
        <v>0</v>
      </c>
      <c r="P9883">
        <f>IF(OR(M9883="",N9883=""),"",SUMIFS('Barang Keluar'!$E:$E,'Barang Keluar'!$A:$A,M9883,'Barang Keluar'!$C:$C,N9883))</f>
        <v>0</v>
      </c>
    </row>
    <row r="9884" spans="13:16">
      <c r="M9884" s="49">
        <f>IF($A$4+98&gt;$B$4,"",$A$4+98)</f>
        <v>46121</v>
      </c>
      <c r="N9884">
        <f>IF(M9884="","",'Master Barang'!A78)</f>
        <v>0</v>
      </c>
      <c r="O9884">
        <f>IF(N9884="","",'Master Barang'!B78)</f>
        <v>0</v>
      </c>
      <c r="P9884">
        <f>IF(OR(M9884="",N9884=""),"",SUMIFS('Barang Keluar'!$E:$E,'Barang Keluar'!$A:$A,M9884,'Barang Keluar'!$C:$C,N9884))</f>
        <v>0</v>
      </c>
    </row>
    <row r="9885" spans="13:16">
      <c r="M9885" s="49">
        <f>IF($A$4+98&gt;$B$4,"",$A$4+98)</f>
        <v>46121</v>
      </c>
      <c r="N9885">
        <f>IF(M9885="","",'Master Barang'!A79)</f>
        <v>0</v>
      </c>
      <c r="O9885">
        <f>IF(N9885="","",'Master Barang'!B79)</f>
        <v>0</v>
      </c>
      <c r="P9885">
        <f>IF(OR(M9885="",N9885=""),"",SUMIFS('Barang Keluar'!$E:$E,'Barang Keluar'!$A:$A,M9885,'Barang Keluar'!$C:$C,N9885))</f>
        <v>0</v>
      </c>
    </row>
    <row r="9886" spans="13:16">
      <c r="M9886" s="49">
        <f>IF($A$4+98&gt;$B$4,"",$A$4+98)</f>
        <v>46121</v>
      </c>
      <c r="N9886">
        <f>IF(M9886="","",'Master Barang'!A80)</f>
        <v>0</v>
      </c>
      <c r="O9886">
        <f>IF(N9886="","",'Master Barang'!B80)</f>
        <v>0</v>
      </c>
      <c r="P9886">
        <f>IF(OR(M9886="",N9886=""),"",SUMIFS('Barang Keluar'!$E:$E,'Barang Keluar'!$A:$A,M9886,'Barang Keluar'!$C:$C,N9886))</f>
        <v>0</v>
      </c>
    </row>
    <row r="9887" spans="13:16">
      <c r="M9887" s="49">
        <f>IF($A$4+98&gt;$B$4,"",$A$4+98)</f>
        <v>46121</v>
      </c>
      <c r="N9887">
        <f>IF(M9887="","",'Master Barang'!A81)</f>
        <v>0</v>
      </c>
      <c r="O9887">
        <f>IF(N9887="","",'Master Barang'!B81)</f>
        <v>0</v>
      </c>
      <c r="P9887">
        <f>IF(OR(M9887="",N9887=""),"",SUMIFS('Barang Keluar'!$E:$E,'Barang Keluar'!$A:$A,M9887,'Barang Keluar'!$C:$C,N9887))</f>
        <v>0</v>
      </c>
    </row>
    <row r="9888" spans="13:16">
      <c r="M9888" s="49">
        <f>IF($A$4+98&gt;$B$4,"",$A$4+98)</f>
        <v>46121</v>
      </c>
      <c r="N9888">
        <f>IF(M9888="","",'Master Barang'!A82)</f>
        <v>0</v>
      </c>
      <c r="O9888">
        <f>IF(N9888="","",'Master Barang'!B82)</f>
        <v>0</v>
      </c>
      <c r="P9888">
        <f>IF(OR(M9888="",N9888=""),"",SUMIFS('Barang Keluar'!$E:$E,'Barang Keluar'!$A:$A,M9888,'Barang Keluar'!$C:$C,N9888))</f>
        <v>0</v>
      </c>
    </row>
    <row r="9889" spans="13:16">
      <c r="M9889" s="49">
        <f>IF($A$4+98&gt;$B$4,"",$A$4+98)</f>
        <v>46121</v>
      </c>
      <c r="N9889">
        <f>IF(M9889="","",'Master Barang'!A83)</f>
        <v>0</v>
      </c>
      <c r="O9889">
        <f>IF(N9889="","",'Master Barang'!B83)</f>
        <v>0</v>
      </c>
      <c r="P9889">
        <f>IF(OR(M9889="",N9889=""),"",SUMIFS('Barang Keluar'!$E:$E,'Barang Keluar'!$A:$A,M9889,'Barang Keluar'!$C:$C,N9889))</f>
        <v>0</v>
      </c>
    </row>
    <row r="9890" spans="13:16">
      <c r="M9890" s="49">
        <f>IF($A$4+98&gt;$B$4,"",$A$4+98)</f>
        <v>46121</v>
      </c>
      <c r="N9890">
        <f>IF(M9890="","",'Master Barang'!A84)</f>
        <v>0</v>
      </c>
      <c r="O9890">
        <f>IF(N9890="","",'Master Barang'!B84)</f>
        <v>0</v>
      </c>
      <c r="P9890">
        <f>IF(OR(M9890="",N9890=""),"",SUMIFS('Barang Keluar'!$E:$E,'Barang Keluar'!$A:$A,M9890,'Barang Keluar'!$C:$C,N9890))</f>
        <v>0</v>
      </c>
    </row>
    <row r="9891" spans="13:16">
      <c r="M9891" s="49">
        <f>IF($A$4+98&gt;$B$4,"",$A$4+98)</f>
        <v>46121</v>
      </c>
      <c r="N9891">
        <f>IF(M9891="","",'Master Barang'!A85)</f>
        <v>0</v>
      </c>
      <c r="O9891">
        <f>IF(N9891="","",'Master Barang'!B85)</f>
        <v>0</v>
      </c>
      <c r="P9891">
        <f>IF(OR(M9891="",N9891=""),"",SUMIFS('Barang Keluar'!$E:$E,'Barang Keluar'!$A:$A,M9891,'Barang Keluar'!$C:$C,N9891))</f>
        <v>0</v>
      </c>
    </row>
    <row r="9892" spans="13:16">
      <c r="M9892" s="49">
        <f>IF($A$4+98&gt;$B$4,"",$A$4+98)</f>
        <v>46121</v>
      </c>
      <c r="N9892">
        <f>IF(M9892="","",'Master Barang'!A86)</f>
        <v>0</v>
      </c>
      <c r="O9892">
        <f>IF(N9892="","",'Master Barang'!B86)</f>
        <v>0</v>
      </c>
      <c r="P9892">
        <f>IF(OR(M9892="",N9892=""),"",SUMIFS('Barang Keluar'!$E:$E,'Barang Keluar'!$A:$A,M9892,'Barang Keluar'!$C:$C,N9892))</f>
        <v>0</v>
      </c>
    </row>
    <row r="9893" spans="13:16">
      <c r="M9893" s="49">
        <f>IF($A$4+98&gt;$B$4,"",$A$4+98)</f>
        <v>46121</v>
      </c>
      <c r="N9893">
        <f>IF(M9893="","",'Master Barang'!A87)</f>
        <v>0</v>
      </c>
      <c r="O9893">
        <f>IF(N9893="","",'Master Barang'!B87)</f>
        <v>0</v>
      </c>
      <c r="P9893">
        <f>IF(OR(M9893="",N9893=""),"",SUMIFS('Barang Keluar'!$E:$E,'Barang Keluar'!$A:$A,M9893,'Barang Keluar'!$C:$C,N9893))</f>
        <v>0</v>
      </c>
    </row>
    <row r="9894" spans="13:16">
      <c r="M9894" s="49">
        <f>IF($A$4+98&gt;$B$4,"",$A$4+98)</f>
        <v>46121</v>
      </c>
      <c r="N9894">
        <f>IF(M9894="","",'Master Barang'!A88)</f>
        <v>0</v>
      </c>
      <c r="O9894">
        <f>IF(N9894="","",'Master Barang'!B88)</f>
        <v>0</v>
      </c>
      <c r="P9894">
        <f>IF(OR(M9894="",N9894=""),"",SUMIFS('Barang Keluar'!$E:$E,'Barang Keluar'!$A:$A,M9894,'Barang Keluar'!$C:$C,N9894))</f>
        <v>0</v>
      </c>
    </row>
    <row r="9895" spans="13:16">
      <c r="M9895" s="49">
        <f>IF($A$4+98&gt;$B$4,"",$A$4+98)</f>
        <v>46121</v>
      </c>
      <c r="N9895">
        <f>IF(M9895="","",'Master Barang'!A89)</f>
        <v>0</v>
      </c>
      <c r="O9895">
        <f>IF(N9895="","",'Master Barang'!B89)</f>
        <v>0</v>
      </c>
      <c r="P9895">
        <f>IF(OR(M9895="",N9895=""),"",SUMIFS('Barang Keluar'!$E:$E,'Barang Keluar'!$A:$A,M9895,'Barang Keluar'!$C:$C,N9895))</f>
        <v>0</v>
      </c>
    </row>
    <row r="9896" spans="13:16">
      <c r="M9896" s="49">
        <f>IF($A$4+98&gt;$B$4,"",$A$4+98)</f>
        <v>46121</v>
      </c>
      <c r="N9896">
        <f>IF(M9896="","",'Master Barang'!A90)</f>
        <v>0</v>
      </c>
      <c r="O9896">
        <f>IF(N9896="","",'Master Barang'!B90)</f>
        <v>0</v>
      </c>
      <c r="P9896">
        <f>IF(OR(M9896="",N9896=""),"",SUMIFS('Barang Keluar'!$E:$E,'Barang Keluar'!$A:$A,M9896,'Barang Keluar'!$C:$C,N9896))</f>
        <v>0</v>
      </c>
    </row>
    <row r="9897" spans="13:16">
      <c r="M9897" s="49">
        <f>IF($A$4+98&gt;$B$4,"",$A$4+98)</f>
        <v>46121</v>
      </c>
      <c r="N9897">
        <f>IF(M9897="","",'Master Barang'!A91)</f>
        <v>0</v>
      </c>
      <c r="O9897">
        <f>IF(N9897="","",'Master Barang'!B91)</f>
        <v>0</v>
      </c>
      <c r="P9897">
        <f>IF(OR(M9897="",N9897=""),"",SUMIFS('Barang Keluar'!$E:$E,'Barang Keluar'!$A:$A,M9897,'Barang Keluar'!$C:$C,N9897))</f>
        <v>0</v>
      </c>
    </row>
    <row r="9898" spans="13:16">
      <c r="M9898" s="49">
        <f>IF($A$4+98&gt;$B$4,"",$A$4+98)</f>
        <v>46121</v>
      </c>
      <c r="N9898">
        <f>IF(M9898="","",'Master Barang'!A92)</f>
        <v>0</v>
      </c>
      <c r="O9898">
        <f>IF(N9898="","",'Master Barang'!B92)</f>
        <v>0</v>
      </c>
      <c r="P9898">
        <f>IF(OR(M9898="",N9898=""),"",SUMIFS('Barang Keluar'!$E:$E,'Barang Keluar'!$A:$A,M9898,'Barang Keluar'!$C:$C,N9898))</f>
        <v>0</v>
      </c>
    </row>
    <row r="9899" spans="13:16">
      <c r="M9899" s="49">
        <f>IF($A$4+98&gt;$B$4,"",$A$4+98)</f>
        <v>46121</v>
      </c>
      <c r="N9899">
        <f>IF(M9899="","",'Master Barang'!A93)</f>
        <v>0</v>
      </c>
      <c r="O9899">
        <f>IF(N9899="","",'Master Barang'!B93)</f>
        <v>0</v>
      </c>
      <c r="P9899">
        <f>IF(OR(M9899="",N9899=""),"",SUMIFS('Barang Keluar'!$E:$E,'Barang Keluar'!$A:$A,M9899,'Barang Keluar'!$C:$C,N9899))</f>
        <v>0</v>
      </c>
    </row>
    <row r="9900" spans="13:16">
      <c r="M9900" s="49">
        <f>IF($A$4+98&gt;$B$4,"",$A$4+98)</f>
        <v>46121</v>
      </c>
      <c r="N9900">
        <f>IF(M9900="","",'Master Barang'!A94)</f>
        <v>0</v>
      </c>
      <c r="O9900">
        <f>IF(N9900="","",'Master Barang'!B94)</f>
        <v>0</v>
      </c>
      <c r="P9900">
        <f>IF(OR(M9900="",N9900=""),"",SUMIFS('Barang Keluar'!$E:$E,'Barang Keluar'!$A:$A,M9900,'Barang Keluar'!$C:$C,N9900))</f>
        <v>0</v>
      </c>
    </row>
    <row r="9901" spans="13:16">
      <c r="M9901" s="49">
        <f>IF($A$4+98&gt;$B$4,"",$A$4+98)</f>
        <v>46121</v>
      </c>
      <c r="N9901">
        <f>IF(M9901="","",'Master Barang'!A95)</f>
        <v>0</v>
      </c>
      <c r="O9901">
        <f>IF(N9901="","",'Master Barang'!B95)</f>
        <v>0</v>
      </c>
      <c r="P9901">
        <f>IF(OR(M9901="",N9901=""),"",SUMIFS('Barang Keluar'!$E:$E,'Barang Keluar'!$A:$A,M9901,'Barang Keluar'!$C:$C,N9901))</f>
        <v>0</v>
      </c>
    </row>
    <row r="9902" spans="13:16">
      <c r="M9902" s="49">
        <f>IF($A$4+98&gt;$B$4,"",$A$4+98)</f>
        <v>46121</v>
      </c>
      <c r="N9902">
        <f>IF(M9902="","",'Master Barang'!A96)</f>
        <v>0</v>
      </c>
      <c r="O9902">
        <f>IF(N9902="","",'Master Barang'!B96)</f>
        <v>0</v>
      </c>
      <c r="P9902">
        <f>IF(OR(M9902="",N9902=""),"",SUMIFS('Barang Keluar'!$E:$E,'Barang Keluar'!$A:$A,M9902,'Barang Keluar'!$C:$C,N9902))</f>
        <v>0</v>
      </c>
    </row>
    <row r="9903" spans="13:16">
      <c r="M9903" s="49">
        <f>IF($A$4+98&gt;$B$4,"",$A$4+98)</f>
        <v>46121</v>
      </c>
      <c r="N9903">
        <f>IF(M9903="","",'Master Barang'!A97)</f>
        <v>0</v>
      </c>
      <c r="O9903">
        <f>IF(N9903="","",'Master Barang'!B97)</f>
        <v>0</v>
      </c>
      <c r="P9903">
        <f>IF(OR(M9903="",N9903=""),"",SUMIFS('Barang Keluar'!$E:$E,'Barang Keluar'!$A:$A,M9903,'Barang Keluar'!$C:$C,N9903))</f>
        <v>0</v>
      </c>
    </row>
    <row r="9904" spans="13:16">
      <c r="M9904" s="49">
        <f>IF($A$4+98&gt;$B$4,"",$A$4+98)</f>
        <v>46121</v>
      </c>
      <c r="N9904">
        <f>IF(M9904="","",'Master Barang'!A98)</f>
        <v>0</v>
      </c>
      <c r="O9904">
        <f>IF(N9904="","",'Master Barang'!B98)</f>
        <v>0</v>
      </c>
      <c r="P9904">
        <f>IF(OR(M9904="",N9904=""),"",SUMIFS('Barang Keluar'!$E:$E,'Barang Keluar'!$A:$A,M9904,'Barang Keluar'!$C:$C,N9904))</f>
        <v>0</v>
      </c>
    </row>
    <row r="9905" spans="13:16">
      <c r="M9905" s="49">
        <f>IF($A$4+98&gt;$B$4,"",$A$4+98)</f>
        <v>46121</v>
      </c>
      <c r="N9905">
        <f>IF(M9905="","",'Master Barang'!A99)</f>
        <v>0</v>
      </c>
      <c r="O9905">
        <f>IF(N9905="","",'Master Barang'!B99)</f>
        <v>0</v>
      </c>
      <c r="P9905">
        <f>IF(OR(M9905="",N9905=""),"",SUMIFS('Barang Keluar'!$E:$E,'Barang Keluar'!$A:$A,M9905,'Barang Keluar'!$C:$C,N9905))</f>
        <v>0</v>
      </c>
    </row>
    <row r="9906" spans="13:16">
      <c r="M9906" s="49">
        <f>IF($A$4+98&gt;$B$4,"",$A$4+98)</f>
        <v>46121</v>
      </c>
      <c r="N9906">
        <f>IF(M9906="","",'Master Barang'!A100)</f>
        <v>0</v>
      </c>
      <c r="O9906">
        <f>IF(N9906="","",'Master Barang'!B100)</f>
        <v>0</v>
      </c>
      <c r="P9906">
        <f>IF(OR(M9906="",N9906=""),"",SUMIFS('Barang Keluar'!$E:$E,'Barang Keluar'!$A:$A,M9906,'Barang Keluar'!$C:$C,N9906))</f>
        <v>0</v>
      </c>
    </row>
    <row r="9907" spans="13:16">
      <c r="M9907" s="49">
        <f>IF($A$4+98&gt;$B$4,"",$A$4+98)</f>
        <v>46121</v>
      </c>
      <c r="N9907">
        <f>IF(M9907="","",'Master Barang'!A101)</f>
        <v>0</v>
      </c>
      <c r="O9907">
        <f>IF(N9907="","",'Master Barang'!B101)</f>
        <v>0</v>
      </c>
      <c r="P9907">
        <f>IF(OR(M9907="",N9907=""),"",SUMIFS('Barang Keluar'!$E:$E,'Barang Keluar'!$A:$A,M9907,'Barang Keluar'!$C:$C,N9907))</f>
        <v>0</v>
      </c>
    </row>
    <row r="9908" spans="13:16">
      <c r="M9908" s="49">
        <f>IF($A$4+99&gt;$B$4,"",$A$4+99)</f>
        <v>46122</v>
      </c>
      <c r="N9908" t="str">
        <f>IF(M9908="","",'Master Barang'!A2)</f>
        <v>PRL-001</v>
      </c>
      <c r="O9908" t="str">
        <f>IF(N9908="","",'Master Barang'!B2)</f>
        <v>natura desinfectant food grade 5l</v>
      </c>
      <c r="P9908">
        <f>IF(OR(M9908="",N9908=""),"",SUMIFS('Barang Keluar'!$E:$E,'Barang Keluar'!$A:$A,M9908,'Barang Keluar'!$C:$C,N9908))</f>
        <v>0</v>
      </c>
    </row>
    <row r="9909" spans="13:16">
      <c r="M9909" s="49">
        <f>IF($A$4+99&gt;$B$4,"",$A$4+99)</f>
        <v>46122</v>
      </c>
      <c r="N9909" t="str">
        <f>IF(M9909="","",'Master Barang'!A3)</f>
        <v>PRL-002</v>
      </c>
      <c r="O9909" t="str">
        <f>IF(N9909="","",'Master Barang'!B3)</f>
        <v>sunlight cairan pencuci piring 5l</v>
      </c>
      <c r="P9909">
        <f>IF(OR(M9909="",N9909=""),"",SUMIFS('Barang Keluar'!$E:$E,'Barang Keluar'!$A:$A,M9909,'Barang Keluar'!$C:$C,N9909))</f>
        <v>0</v>
      </c>
    </row>
    <row r="9910" spans="13:16">
      <c r="M9910" s="49">
        <f>IF($A$4+99&gt;$B$4,"",$A$4+99)</f>
        <v>46122</v>
      </c>
      <c r="N9910" t="str">
        <f>IF(M9910="","",'Master Barang'!A4)</f>
        <v>PRL-003</v>
      </c>
      <c r="O9910" t="str">
        <f>IF(N9910="","",'Master Barang'!B4)</f>
        <v>oixs cleaner 1l</v>
      </c>
      <c r="P9910">
        <f>IF(OR(M9910="",N9910=""),"",SUMIFS('Barang Keluar'!$E:$E,'Barang Keluar'!$A:$A,M9910,'Barang Keluar'!$C:$C,N9910))</f>
        <v>0</v>
      </c>
    </row>
    <row r="9911" spans="13:16">
      <c r="M9911" s="49">
        <f>IF($A$4+99&gt;$B$4,"",$A$4+99)</f>
        <v>46122</v>
      </c>
      <c r="N9911" t="str">
        <f>IF(M9911="","",'Master Barang'!A5)</f>
        <v>PRL-004</v>
      </c>
      <c r="O9911" t="str">
        <f>IF(N9911="","",'Master Barang'!B5)</f>
        <v>be clean tissue serbaguna</v>
      </c>
      <c r="P9911">
        <f>IF(OR(M9911="",N9911=""),"",SUMIFS('Barang Keluar'!$E:$E,'Barang Keluar'!$A:$A,M9911,'Barang Keluar'!$C:$C,N9911))</f>
        <v>0</v>
      </c>
    </row>
    <row r="9912" spans="13:16">
      <c r="M9912" s="49">
        <f>IF($A$4+99&gt;$B$4,"",$A$4+99)</f>
        <v>46122</v>
      </c>
      <c r="N9912" t="str">
        <f>IF(M9912="","",'Master Barang'!A6)</f>
        <v>PRL-005</v>
      </c>
      <c r="O9912" t="str">
        <f>IF(N9912="","",'Master Barang'!B6)</f>
        <v>spons cuci hijau</v>
      </c>
      <c r="P9912">
        <f>IF(OR(M9912="",N9912=""),"",SUMIFS('Barang Keluar'!$E:$E,'Barang Keluar'!$A:$A,M9912,'Barang Keluar'!$C:$C,N9912))</f>
        <v>0</v>
      </c>
    </row>
    <row r="9913" spans="13:16">
      <c r="M9913" s="49">
        <f>IF($A$4+99&gt;$B$4,"",$A$4+99)</f>
        <v>46122</v>
      </c>
      <c r="N9913" t="str">
        <f>IF(M9913="","",'Master Barang'!A7)</f>
        <v>PRL-006</v>
      </c>
      <c r="O9913" t="str">
        <f>IF(N9913="","",'Master Barang'!B7)</f>
        <v>sabut cuci stainless</v>
      </c>
      <c r="P9913">
        <f>IF(OR(M9913="",N9913=""),"",SUMIFS('Barang Keluar'!$E:$E,'Barang Keluar'!$A:$A,M9913,'Barang Keluar'!$C:$C,N9913))</f>
        <v>0</v>
      </c>
    </row>
    <row r="9914" spans="13:16">
      <c r="M9914" s="49">
        <f>IF($A$4+99&gt;$B$4,"",$A$4+99)</f>
        <v>46122</v>
      </c>
      <c r="N9914" t="str">
        <f>IF(M9914="","",'Master Barang'!A8)</f>
        <v>PRL-007</v>
      </c>
      <c r="O9914" t="str">
        <f>IF(N9914="","",'Master Barang'!B8)</f>
        <v>plastik kresek besar merah 50pc</v>
      </c>
      <c r="P9914">
        <f>IF(OR(M9914="",N9914=""),"",SUMIFS('Barang Keluar'!$E:$E,'Barang Keluar'!$A:$A,M9914,'Barang Keluar'!$C:$C,N9914))</f>
        <v>0</v>
      </c>
    </row>
    <row r="9915" spans="13:16">
      <c r="M9915" s="49">
        <f>IF($A$4+99&gt;$B$4,"",$A$4+99)</f>
        <v>46122</v>
      </c>
      <c r="N9915" t="str">
        <f>IF(M9915="","",'Master Barang'!A9)</f>
        <v>PRL-008</v>
      </c>
      <c r="O9915" t="str">
        <f>IF(N9915="","",'Master Barang'!B9)</f>
        <v>lap besar</v>
      </c>
      <c r="P9915">
        <f>IF(OR(M9915="",N9915=""),"",SUMIFS('Barang Keluar'!$E:$E,'Barang Keluar'!$A:$A,M9915,'Barang Keluar'!$C:$C,N9915))</f>
        <v>0</v>
      </c>
    </row>
    <row r="9916" spans="13:16">
      <c r="M9916" s="49">
        <f>IF($A$4+99&gt;$B$4,"",$A$4+99)</f>
        <v>46122</v>
      </c>
      <c r="N9916" t="str">
        <f>IF(M9916="","",'Master Barang'!A10)</f>
        <v>PRL-009</v>
      </c>
      <c r="O9916" t="str">
        <f>IF(N9916="","",'Master Barang'!B10)</f>
        <v>lap microfiber</v>
      </c>
      <c r="P9916">
        <f>IF(OR(M9916="",N9916=""),"",SUMIFS('Barang Keluar'!$E:$E,'Barang Keluar'!$A:$A,M9916,'Barang Keluar'!$C:$C,N9916))</f>
        <v>0</v>
      </c>
    </row>
    <row r="9917" spans="13:16">
      <c r="M9917" s="49">
        <f>IF($A$4+99&gt;$B$4,"",$A$4+99)</f>
        <v>46122</v>
      </c>
      <c r="N9917" t="str">
        <f>IF(M9917="","",'Master Barang'!A11)</f>
        <v>PRL-010</v>
      </c>
      <c r="O9917" t="str">
        <f>IF(N9917="","",'Master Barang'!B11)</f>
        <v>lap kecil</v>
      </c>
      <c r="P9917">
        <f>IF(OR(M9917="",N9917=""),"",SUMIFS('Barang Keluar'!$E:$E,'Barang Keluar'!$A:$A,M9917,'Barang Keluar'!$C:$C,N9917))</f>
        <v>0</v>
      </c>
    </row>
    <row r="9918" spans="13:16">
      <c r="M9918" s="49">
        <f>IF($A$4+99&gt;$B$4,"",$A$4+99)</f>
        <v>46122</v>
      </c>
      <c r="N9918" t="str">
        <f>IF(M9918="","",'Master Barang'!A12)</f>
        <v>PRL-011</v>
      </c>
      <c r="O9918" t="str">
        <f>IF(N9918="","",'Master Barang'!B12)</f>
        <v>kanebo kecil</v>
      </c>
      <c r="P9918">
        <f>IF(OR(M9918="",N9918=""),"",SUMIFS('Barang Keluar'!$E:$E,'Barang Keluar'!$A:$A,M9918,'Barang Keluar'!$C:$C,N9918))</f>
        <v>0</v>
      </c>
    </row>
    <row r="9919" spans="13:16">
      <c r="M9919" s="49">
        <f>IF($A$4+99&gt;$B$4,"",$A$4+99)</f>
        <v>46122</v>
      </c>
      <c r="N9919" t="str">
        <f>IF(M9919="","",'Master Barang'!A13)</f>
        <v>PRL-012</v>
      </c>
      <c r="O9919" t="str">
        <f>IF(N9919="","",'Master Barang'!B13)</f>
        <v>plastik 1/4kg joyoboyo 100 lembar</v>
      </c>
      <c r="P9919">
        <f>IF(OR(M9919="",N9919=""),"",SUMIFS('Barang Keluar'!$E:$E,'Barang Keluar'!$A:$A,M9919,'Barang Keluar'!$C:$C,N9919))</f>
        <v>0</v>
      </c>
    </row>
    <row r="9920" spans="13:16">
      <c r="M9920" s="49">
        <f>IF($A$4+99&gt;$B$4,"",$A$4+99)</f>
        <v>46122</v>
      </c>
      <c r="N9920" t="str">
        <f>IF(M9920="","",'Master Barang'!A14)</f>
        <v>PRL-013</v>
      </c>
      <c r="O9920" t="str">
        <f>IF(N9920="","",'Master Barang'!B14)</f>
        <v>sarung tangan plastik kaka 100 pcs</v>
      </c>
      <c r="P9920">
        <f>IF(OR(M9920="",N9920=""),"",SUMIFS('Barang Keluar'!$E:$E,'Barang Keluar'!$A:$A,M9920,'Barang Keluar'!$C:$C,N9920))</f>
        <v>0</v>
      </c>
    </row>
    <row r="9921" spans="13:16">
      <c r="M9921" s="49">
        <f>IF($A$4+99&gt;$B$4,"",$A$4+99)</f>
        <v>46122</v>
      </c>
      <c r="N9921" t="str">
        <f>IF(M9921="","",'Master Barang'!A15)</f>
        <v>PRL-014</v>
      </c>
      <c r="O9921" t="str">
        <f>IF(N9921="","",'Master Barang'!B15)</f>
        <v>optima trashbag 80x100</v>
      </c>
      <c r="P9921">
        <f>IF(OR(M9921="",N9921=""),"",SUMIFS('Barang Keluar'!$E:$E,'Barang Keluar'!$A:$A,M9921,'Barang Keluar'!$C:$C,N9921))</f>
        <v>0</v>
      </c>
    </row>
    <row r="9922" spans="13:16">
      <c r="M9922" s="49">
        <f>IF($A$4+99&gt;$B$4,"",$A$4+99)</f>
        <v>46122</v>
      </c>
      <c r="N9922" t="str">
        <f>IF(M9922="","",'Master Barang'!A16)</f>
        <v>PRL-015</v>
      </c>
      <c r="O9922" t="str">
        <f>IF(N9922="","",'Master Barang'!B16)</f>
        <v>optima trashbag 60x100</v>
      </c>
      <c r="P9922">
        <f>IF(OR(M9922="",N9922=""),"",SUMIFS('Barang Keluar'!$E:$E,'Barang Keluar'!$A:$A,M9922,'Barang Keluar'!$C:$C,N9922))</f>
        <v>0</v>
      </c>
    </row>
    <row r="9923" spans="13:16">
      <c r="M9923" s="49">
        <f>IF($A$4+99&gt;$B$4,"",$A$4+99)</f>
        <v>46122</v>
      </c>
      <c r="N9923" t="str">
        <f>IF(M9923="","",'Master Barang'!A17)</f>
        <v>PRL-016</v>
      </c>
      <c r="O9923" t="str">
        <f>IF(N9923="","",'Master Barang'!B17)</f>
        <v>rajawali trashbag 30x40</v>
      </c>
      <c r="P9923">
        <f>IF(OR(M9923="",N9923=""),"",SUMIFS('Barang Keluar'!$E:$E,'Barang Keluar'!$A:$A,M9923,'Barang Keluar'!$C:$C,N9923))</f>
        <v>0</v>
      </c>
    </row>
    <row r="9924" spans="13:16">
      <c r="M9924" s="49">
        <f>IF($A$4+99&gt;$B$4,"",$A$4+99)</f>
        <v>46122</v>
      </c>
      <c r="N9924" t="str">
        <f>IF(M9924="","",'Master Barang'!A18)</f>
        <v>PRL-017</v>
      </c>
      <c r="O9924" t="str">
        <f>IF(N9924="","",'Master Barang'!B18)</f>
        <v>onemed masker biru 3 play 50 pcs</v>
      </c>
      <c r="P9924">
        <f>IF(OR(M9924="",N9924=""),"",SUMIFS('Barang Keluar'!$E:$E,'Barang Keluar'!$A:$A,M9924,'Barang Keluar'!$C:$C,N9924))</f>
        <v>0</v>
      </c>
    </row>
    <row r="9925" spans="13:16">
      <c r="M9925" s="49">
        <f>IF($A$4+99&gt;$B$4,"",$A$4+99)</f>
        <v>46122</v>
      </c>
      <c r="N9925" t="str">
        <f>IF(M9925="","",'Master Barang'!A19)</f>
        <v>PRL-018</v>
      </c>
      <c r="O9925" t="str">
        <f>IF(N9925="","",'Master Barang'!B19)</f>
        <v>onemed masker biru 3 play hijab 50 pcs</v>
      </c>
      <c r="P9925">
        <f>IF(OR(M9925="",N9925=""),"",SUMIFS('Barang Keluar'!$E:$E,'Barang Keluar'!$A:$A,M9925,'Barang Keluar'!$C:$C,N9925))</f>
        <v>0</v>
      </c>
    </row>
    <row r="9926" spans="13:16">
      <c r="M9926" s="49">
        <f>IF($A$4+99&gt;$B$4,"",$A$4+99)</f>
        <v>46122</v>
      </c>
      <c r="N9926" t="str">
        <f>IF(M9926="","",'Master Barang'!A20)</f>
        <v>PRL-019</v>
      </c>
      <c r="O9926" t="str">
        <f>IF(N9926="","",'Master Barang'!B20)</f>
        <v>neo health masker biru 3 play 50 pcs</v>
      </c>
      <c r="P9926">
        <f>IF(OR(M9926="",N9926=""),"",SUMIFS('Barang Keluar'!$E:$E,'Barang Keluar'!$A:$A,M9926,'Barang Keluar'!$C:$C,N9926))</f>
        <v>0</v>
      </c>
    </row>
    <row r="9927" spans="13:16">
      <c r="M9927" s="49">
        <f>IF($A$4+99&gt;$B$4,"",$A$4+99)</f>
        <v>46122</v>
      </c>
      <c r="N9927" t="str">
        <f>IF(M9927="","",'Master Barang'!A21)</f>
        <v>PRL-020</v>
      </c>
      <c r="O9927" t="str">
        <f>IF(N9927="","",'Master Barang'!B21)</f>
        <v>baymed masker hijau 3 play hijau 50 pcs</v>
      </c>
      <c r="P9927">
        <f>IF(OR(M9927="",N9927=""),"",SUMIFS('Barang Keluar'!$E:$E,'Barang Keluar'!$A:$A,M9927,'Barang Keluar'!$C:$C,N9927))</f>
        <v>0</v>
      </c>
    </row>
    <row r="9928" spans="13:16">
      <c r="M9928" s="49">
        <f>IF($A$4+99&gt;$B$4,"",$A$4+99)</f>
        <v>46122</v>
      </c>
      <c r="N9928" t="str">
        <f>IF(M9928="","",'Master Barang'!A22)</f>
        <v>PRL-021</v>
      </c>
      <c r="O9928" t="str">
        <f>IF(N9928="","",'Master Barang'!B22)</f>
        <v>altamed nurse cap penutup kepala 100 pcs</v>
      </c>
      <c r="P9928">
        <f>IF(OR(M9928="",N9928=""),"",SUMIFS('Barang Keluar'!$E:$E,'Barang Keluar'!$A:$A,M9928,'Barang Keluar'!$C:$C,N9928))</f>
        <v>0</v>
      </c>
    </row>
    <row r="9929" spans="13:16">
      <c r="M9929" s="49">
        <f>IF($A$4+99&gt;$B$4,"",$A$4+99)</f>
        <v>46122</v>
      </c>
      <c r="N9929" t="str">
        <f>IF(M9929="","",'Master Barang'!A23)</f>
        <v>PRL-022</v>
      </c>
      <c r="O9929" t="str">
        <f>IF(N9929="","",'Master Barang'!B23)</f>
        <v>sabun cuci tangan</v>
      </c>
      <c r="P9929">
        <f>IF(OR(M9929="",N9929=""),"",SUMIFS('Barang Keluar'!$E:$E,'Barang Keluar'!$A:$A,M9929,'Barang Keluar'!$C:$C,N9929))</f>
        <v>0</v>
      </c>
    </row>
    <row r="9930" spans="13:16">
      <c r="M9930" s="49">
        <f>IF($A$4+99&gt;$B$4,"",$A$4+99)</f>
        <v>46122</v>
      </c>
      <c r="N9930" t="str">
        <f>IF(M9930="","",'Master Barang'!A24)</f>
        <v>PRL-023</v>
      </c>
      <c r="O9930" t="str">
        <f>IF(N9930="","",'Master Barang'!B24)</f>
        <v>gayung kecil</v>
      </c>
      <c r="P9930">
        <f>IF(OR(M9930="",N9930=""),"",SUMIFS('Barang Keluar'!$E:$E,'Barang Keluar'!$A:$A,M9930,'Barang Keluar'!$C:$C,N9930))</f>
        <v>0</v>
      </c>
    </row>
    <row r="9931" spans="13:16">
      <c r="M9931" s="49">
        <f>IF($A$4+99&gt;$B$4,"",$A$4+99)</f>
        <v>46122</v>
      </c>
      <c r="N9931" t="str">
        <f>IF(M9931="","",'Master Barang'!A25)</f>
        <v>PRL-024</v>
      </c>
      <c r="O9931" t="str">
        <f>IF(N9931="","",'Master Barang'!B25)</f>
        <v>cikrak kecil</v>
      </c>
      <c r="P9931">
        <f>IF(OR(M9931="",N9931=""),"",SUMIFS('Barang Keluar'!$E:$E,'Barang Keluar'!$A:$A,M9931,'Barang Keluar'!$C:$C,N9931))</f>
        <v>0</v>
      </c>
    </row>
    <row r="9932" spans="13:16">
      <c r="M9932" s="49">
        <f>IF($A$4+99&gt;$B$4,"",$A$4+99)</f>
        <v>46122</v>
      </c>
      <c r="N9932" t="str">
        <f>IF(M9932="","",'Master Barang'!A26)</f>
        <v>PRL-025</v>
      </c>
      <c r="O9932" t="str">
        <f>IF(N9932="","",'Master Barang'!B26)</f>
        <v>petromax plastik kecil 12x24 100 lembar</v>
      </c>
      <c r="P9932">
        <f>IF(OR(M9932="",N9932=""),"",SUMIFS('Barang Keluar'!$E:$E,'Barang Keluar'!$A:$A,M9932,'Barang Keluar'!$C:$C,N9932))</f>
        <v>0</v>
      </c>
    </row>
    <row r="9933" spans="13:16">
      <c r="M9933" s="49">
        <f>IF($A$4+99&gt;$B$4,"",$A$4+99)</f>
        <v>46122</v>
      </c>
      <c r="N9933" t="str">
        <f>IF(M9933="","",'Master Barang'!A27)</f>
        <v>PRL-026</v>
      </c>
      <c r="O9933" t="str">
        <f>IF(N9933="","",'Master Barang'!B27)</f>
        <v>lancar kresek kecil bening </v>
      </c>
      <c r="P9933">
        <f>IF(OR(M9933="",N9933=""),"",SUMIFS('Barang Keluar'!$E:$E,'Barang Keluar'!$A:$A,M9933,'Barang Keluar'!$C:$C,N9933))</f>
        <v>0</v>
      </c>
    </row>
    <row r="9934" spans="13:16">
      <c r="M9934" s="49">
        <f>IF($A$4+99&gt;$B$4,"",$A$4+99)</f>
        <v>46122</v>
      </c>
      <c r="N9934" t="str">
        <f>IF(M9934="","",'Master Barang'!A28)</f>
        <v>PRL-027</v>
      </c>
      <c r="O9934" t="str">
        <f>IF(N9934="","",'Master Barang'!B28)</f>
        <v>kresek klin warna warni kecil</v>
      </c>
      <c r="P9934">
        <f>IF(OR(M9934="",N9934=""),"",SUMIFS('Barang Keluar'!$E:$E,'Barang Keluar'!$A:$A,M9934,'Barang Keluar'!$C:$C,N9934))</f>
        <v>0</v>
      </c>
    </row>
    <row r="9935" spans="13:16">
      <c r="M9935" s="49">
        <f>IF($A$4+99&gt;$B$4,"",$A$4+99)</f>
        <v>46122</v>
      </c>
      <c r="N9935" t="str">
        <f>IF(M9935="","",'Master Barang'!A29)</f>
        <v>PRL-028</v>
      </c>
      <c r="O9935" t="str">
        <f>IF(N9935="","",'Master Barang'!B29)</f>
        <v>ctik plastik 7x10 100 pcs</v>
      </c>
      <c r="P9935">
        <f>IF(OR(M9935="",N9935=""),"",SUMIFS('Barang Keluar'!$E:$E,'Barang Keluar'!$A:$A,M9935,'Barang Keluar'!$C:$C,N9935))</f>
        <v>0</v>
      </c>
    </row>
    <row r="9936" spans="13:16">
      <c r="M9936" s="49">
        <f>IF($A$4+99&gt;$B$4,"",$A$4+99)</f>
        <v>46122</v>
      </c>
      <c r="N9936" t="str">
        <f>IF(M9936="","",'Master Barang'!A30)</f>
        <v>PRL-029</v>
      </c>
      <c r="O9936" t="str">
        <f>IF(N9936="","",'Master Barang'!B30)</f>
        <v>ctik plastik 6x10 100 pcs</v>
      </c>
      <c r="P9936">
        <f>IF(OR(M9936="",N9936=""),"",SUMIFS('Barang Keluar'!$E:$E,'Barang Keluar'!$A:$A,M9936,'Barang Keluar'!$C:$C,N9936))</f>
        <v>0</v>
      </c>
    </row>
    <row r="9937" spans="13:16">
      <c r="M9937" s="49">
        <f>IF($A$4+99&gt;$B$4,"",$A$4+99)</f>
        <v>46122</v>
      </c>
      <c r="N9937" t="str">
        <f>IF(M9937="","",'Master Barang'!A31)</f>
        <v>PRL-030</v>
      </c>
      <c r="O9937" t="str">
        <f>IF(N9937="","",'Master Barang'!B31)</f>
        <v>klip plastik 25x16 100 pcs</v>
      </c>
      <c r="P9937">
        <f>IF(OR(M9937="",N9937=""),"",SUMIFS('Barang Keluar'!$E:$E,'Barang Keluar'!$A:$A,M9937,'Barang Keluar'!$C:$C,N9937))</f>
        <v>0</v>
      </c>
    </row>
    <row r="9938" spans="13:16">
      <c r="M9938" s="49">
        <f>IF($A$4+99&gt;$B$4,"",$A$4+99)</f>
        <v>46122</v>
      </c>
      <c r="N9938" t="str">
        <f>IF(M9938="","",'Master Barang'!A32)</f>
        <v>PRL-031</v>
      </c>
      <c r="O9938" t="str">
        <f>IF(N9938="","",'Master Barang'!B32)</f>
        <v>tempat saus 20 ml</v>
      </c>
      <c r="P9938">
        <f>IF(OR(M9938="",N9938=""),"",SUMIFS('Barang Keluar'!$E:$E,'Barang Keluar'!$A:$A,M9938,'Barang Keluar'!$C:$C,N9938))</f>
        <v>0</v>
      </c>
    </row>
    <row r="9939" spans="13:16">
      <c r="M9939" s="49">
        <f>IF($A$4+99&gt;$B$4,"",$A$4+99)</f>
        <v>46122</v>
      </c>
      <c r="N9939" t="str">
        <f>IF(M9939="","",'Master Barang'!A33)</f>
        <v>PRL-032</v>
      </c>
      <c r="O9939" t="str">
        <f>IF(N9939="","",'Master Barang'!B33)</f>
        <v>plastik packaging ag box uk sedang</v>
      </c>
      <c r="P9939">
        <f>IF(OR(M9939="",N9939=""),"",SUMIFS('Barang Keluar'!$E:$E,'Barang Keluar'!$A:$A,M9939,'Barang Keluar'!$C:$C,N9939))</f>
        <v>0</v>
      </c>
    </row>
    <row r="9940" spans="13:16">
      <c r="M9940" s="49">
        <f>IF($A$4+99&gt;$B$4,"",$A$4+99)</f>
        <v>46122</v>
      </c>
      <c r="N9940" t="str">
        <f>IF(M9940="","",'Master Barang'!A34)</f>
        <v>PRL-033</v>
      </c>
      <c r="O9940">
        <f>IF(N9940="","",'Master Barang'!B34)</f>
        <v>0</v>
      </c>
      <c r="P9940">
        <f>IF(OR(M9940="",N9940=""),"",SUMIFS('Barang Keluar'!$E:$E,'Barang Keluar'!$A:$A,M9940,'Barang Keluar'!$C:$C,N9940))</f>
        <v>0</v>
      </c>
    </row>
    <row r="9941" spans="13:16">
      <c r="M9941" s="49">
        <f>IF($A$4+99&gt;$B$4,"",$A$4+99)</f>
        <v>46122</v>
      </c>
      <c r="N9941">
        <f>IF(M9941="","",'Master Barang'!A35)</f>
        <v>0</v>
      </c>
      <c r="O9941">
        <f>IF(N9941="","",'Master Barang'!B35)</f>
        <v>0</v>
      </c>
      <c r="P9941">
        <f>IF(OR(M9941="",N9941=""),"",SUMIFS('Barang Keluar'!$E:$E,'Barang Keluar'!$A:$A,M9941,'Barang Keluar'!$C:$C,N9941))</f>
        <v>0</v>
      </c>
    </row>
    <row r="9942" spans="13:16">
      <c r="M9942" s="49">
        <f>IF($A$4+99&gt;$B$4,"",$A$4+99)</f>
        <v>46122</v>
      </c>
      <c r="N9942">
        <f>IF(M9942="","",'Master Barang'!A36)</f>
        <v>0</v>
      </c>
      <c r="O9942">
        <f>IF(N9942="","",'Master Barang'!B36)</f>
        <v>0</v>
      </c>
      <c r="P9942">
        <f>IF(OR(M9942="",N9942=""),"",SUMIFS('Barang Keluar'!$E:$E,'Barang Keluar'!$A:$A,M9942,'Barang Keluar'!$C:$C,N9942))</f>
        <v>0</v>
      </c>
    </row>
    <row r="9943" spans="13:16">
      <c r="M9943" s="49">
        <f>IF($A$4+99&gt;$B$4,"",$A$4+99)</f>
        <v>46122</v>
      </c>
      <c r="N9943">
        <f>IF(M9943="","",'Master Barang'!A37)</f>
        <v>0</v>
      </c>
      <c r="O9943">
        <f>IF(N9943="","",'Master Barang'!B37)</f>
        <v>0</v>
      </c>
      <c r="P9943">
        <f>IF(OR(M9943="",N9943=""),"",SUMIFS('Barang Keluar'!$E:$E,'Barang Keluar'!$A:$A,M9943,'Barang Keluar'!$C:$C,N9943))</f>
        <v>0</v>
      </c>
    </row>
    <row r="9944" spans="13:16">
      <c r="M9944" s="49">
        <f>IF($A$4+99&gt;$B$4,"",$A$4+99)</f>
        <v>46122</v>
      </c>
      <c r="N9944">
        <f>IF(M9944="","",'Master Barang'!A38)</f>
        <v>0</v>
      </c>
      <c r="O9944">
        <f>IF(N9944="","",'Master Barang'!B38)</f>
        <v>0</v>
      </c>
      <c r="P9944">
        <f>IF(OR(M9944="",N9944=""),"",SUMIFS('Barang Keluar'!$E:$E,'Barang Keluar'!$A:$A,M9944,'Barang Keluar'!$C:$C,N9944))</f>
        <v>0</v>
      </c>
    </row>
    <row r="9945" spans="13:16">
      <c r="M9945" s="49">
        <f>IF($A$4+99&gt;$B$4,"",$A$4+99)</f>
        <v>46122</v>
      </c>
      <c r="N9945">
        <f>IF(M9945="","",'Master Barang'!A39)</f>
        <v>0</v>
      </c>
      <c r="O9945">
        <f>IF(N9945="","",'Master Barang'!B39)</f>
        <v>0</v>
      </c>
      <c r="P9945">
        <f>IF(OR(M9945="",N9945=""),"",SUMIFS('Barang Keluar'!$E:$E,'Barang Keluar'!$A:$A,M9945,'Barang Keluar'!$C:$C,N9945))</f>
        <v>0</v>
      </c>
    </row>
    <row r="9946" spans="13:16">
      <c r="M9946" s="49">
        <f>IF($A$4+99&gt;$B$4,"",$A$4+99)</f>
        <v>46122</v>
      </c>
      <c r="N9946">
        <f>IF(M9946="","",'Master Barang'!A40)</f>
        <v>0</v>
      </c>
      <c r="O9946">
        <f>IF(N9946="","",'Master Barang'!B40)</f>
        <v>0</v>
      </c>
      <c r="P9946">
        <f>IF(OR(M9946="",N9946=""),"",SUMIFS('Barang Keluar'!$E:$E,'Barang Keluar'!$A:$A,M9946,'Barang Keluar'!$C:$C,N9946))</f>
        <v>0</v>
      </c>
    </row>
    <row r="9947" spans="13:16">
      <c r="M9947" s="49">
        <f>IF($A$4+99&gt;$B$4,"",$A$4+99)</f>
        <v>46122</v>
      </c>
      <c r="N9947">
        <f>IF(M9947="","",'Master Barang'!A41)</f>
        <v>0</v>
      </c>
      <c r="O9947">
        <f>IF(N9947="","",'Master Barang'!B41)</f>
        <v>0</v>
      </c>
      <c r="P9947">
        <f>IF(OR(M9947="",N9947=""),"",SUMIFS('Barang Keluar'!$E:$E,'Barang Keluar'!$A:$A,M9947,'Barang Keluar'!$C:$C,N9947))</f>
        <v>0</v>
      </c>
    </row>
    <row r="9948" spans="13:16">
      <c r="M9948" s="49">
        <f>IF($A$4+99&gt;$B$4,"",$A$4+99)</f>
        <v>46122</v>
      </c>
      <c r="N9948">
        <f>IF(M9948="","",'Master Barang'!A42)</f>
        <v>0</v>
      </c>
      <c r="O9948">
        <f>IF(N9948="","",'Master Barang'!B42)</f>
        <v>0</v>
      </c>
      <c r="P9948">
        <f>IF(OR(M9948="",N9948=""),"",SUMIFS('Barang Keluar'!$E:$E,'Barang Keluar'!$A:$A,M9948,'Barang Keluar'!$C:$C,N9948))</f>
        <v>0</v>
      </c>
    </row>
    <row r="9949" spans="13:16">
      <c r="M9949" s="49">
        <f>IF($A$4+99&gt;$B$4,"",$A$4+99)</f>
        <v>46122</v>
      </c>
      <c r="N9949">
        <f>IF(M9949="","",'Master Barang'!A43)</f>
        <v>0</v>
      </c>
      <c r="O9949">
        <f>IF(N9949="","",'Master Barang'!B43)</f>
        <v>0</v>
      </c>
      <c r="P9949">
        <f>IF(OR(M9949="",N9949=""),"",SUMIFS('Barang Keluar'!$E:$E,'Barang Keluar'!$A:$A,M9949,'Barang Keluar'!$C:$C,N9949))</f>
        <v>0</v>
      </c>
    </row>
    <row r="9950" spans="13:16">
      <c r="M9950" s="49">
        <f>IF($A$4+99&gt;$B$4,"",$A$4+99)</f>
        <v>46122</v>
      </c>
      <c r="N9950">
        <f>IF(M9950="","",'Master Barang'!A44)</f>
        <v>0</v>
      </c>
      <c r="O9950">
        <f>IF(N9950="","",'Master Barang'!B44)</f>
        <v>0</v>
      </c>
      <c r="P9950">
        <f>IF(OR(M9950="",N9950=""),"",SUMIFS('Barang Keluar'!$E:$E,'Barang Keluar'!$A:$A,M9950,'Barang Keluar'!$C:$C,N9950))</f>
        <v>0</v>
      </c>
    </row>
    <row r="9951" spans="13:16">
      <c r="M9951" s="49">
        <f>IF($A$4+99&gt;$B$4,"",$A$4+99)</f>
        <v>46122</v>
      </c>
      <c r="N9951">
        <f>IF(M9951="","",'Master Barang'!A45)</f>
        <v>0</v>
      </c>
      <c r="O9951">
        <f>IF(N9951="","",'Master Barang'!B45)</f>
        <v>0</v>
      </c>
      <c r="P9951">
        <f>IF(OR(M9951="",N9951=""),"",SUMIFS('Barang Keluar'!$E:$E,'Barang Keluar'!$A:$A,M9951,'Barang Keluar'!$C:$C,N9951))</f>
        <v>0</v>
      </c>
    </row>
    <row r="9952" spans="13:16">
      <c r="M9952" s="49">
        <f>IF($A$4+99&gt;$B$4,"",$A$4+99)</f>
        <v>46122</v>
      </c>
      <c r="N9952">
        <f>IF(M9952="","",'Master Barang'!A46)</f>
        <v>0</v>
      </c>
      <c r="O9952">
        <f>IF(N9952="","",'Master Barang'!B46)</f>
        <v>0</v>
      </c>
      <c r="P9952">
        <f>IF(OR(M9952="",N9952=""),"",SUMIFS('Barang Keluar'!$E:$E,'Barang Keluar'!$A:$A,M9952,'Barang Keluar'!$C:$C,N9952))</f>
        <v>0</v>
      </c>
    </row>
    <row r="9953" spans="13:16">
      <c r="M9953" s="49">
        <f>IF($A$4+99&gt;$B$4,"",$A$4+99)</f>
        <v>46122</v>
      </c>
      <c r="N9953">
        <f>IF(M9953="","",'Master Barang'!A47)</f>
        <v>0</v>
      </c>
      <c r="O9953">
        <f>IF(N9953="","",'Master Barang'!B47)</f>
        <v>0</v>
      </c>
      <c r="P9953">
        <f>IF(OR(M9953="",N9953=""),"",SUMIFS('Barang Keluar'!$E:$E,'Barang Keluar'!$A:$A,M9953,'Barang Keluar'!$C:$C,N9953))</f>
        <v>0</v>
      </c>
    </row>
    <row r="9954" spans="13:16">
      <c r="M9954" s="49">
        <f>IF($A$4+99&gt;$B$4,"",$A$4+99)</f>
        <v>46122</v>
      </c>
      <c r="N9954">
        <f>IF(M9954="","",'Master Barang'!A48)</f>
        <v>0</v>
      </c>
      <c r="O9954">
        <f>IF(N9954="","",'Master Barang'!B48)</f>
        <v>0</v>
      </c>
      <c r="P9954">
        <f>IF(OR(M9954="",N9954=""),"",SUMIFS('Barang Keluar'!$E:$E,'Barang Keluar'!$A:$A,M9954,'Barang Keluar'!$C:$C,N9954))</f>
        <v>0</v>
      </c>
    </row>
    <row r="9955" spans="13:16">
      <c r="M9955" s="49">
        <f>IF($A$4+99&gt;$B$4,"",$A$4+99)</f>
        <v>46122</v>
      </c>
      <c r="N9955">
        <f>IF(M9955="","",'Master Barang'!A49)</f>
        <v>0</v>
      </c>
      <c r="O9955">
        <f>IF(N9955="","",'Master Barang'!B49)</f>
        <v>0</v>
      </c>
      <c r="P9955">
        <f>IF(OR(M9955="",N9955=""),"",SUMIFS('Barang Keluar'!$E:$E,'Barang Keluar'!$A:$A,M9955,'Barang Keluar'!$C:$C,N9955))</f>
        <v>0</v>
      </c>
    </row>
    <row r="9956" spans="13:16">
      <c r="M9956" s="49">
        <f>IF($A$4+99&gt;$B$4,"",$A$4+99)</f>
        <v>46122</v>
      </c>
      <c r="N9956">
        <f>IF(M9956="","",'Master Barang'!A50)</f>
        <v>0</v>
      </c>
      <c r="O9956">
        <f>IF(N9956="","",'Master Barang'!B50)</f>
        <v>0</v>
      </c>
      <c r="P9956">
        <f>IF(OR(M9956="",N9956=""),"",SUMIFS('Barang Keluar'!$E:$E,'Barang Keluar'!$A:$A,M9956,'Barang Keluar'!$C:$C,N9956))</f>
        <v>0</v>
      </c>
    </row>
    <row r="9957" spans="13:16">
      <c r="M9957" s="49">
        <f>IF($A$4+99&gt;$B$4,"",$A$4+99)</f>
        <v>46122</v>
      </c>
      <c r="N9957">
        <f>IF(M9957="","",'Master Barang'!A51)</f>
        <v>0</v>
      </c>
      <c r="O9957">
        <f>IF(N9957="","",'Master Barang'!B51)</f>
        <v>0</v>
      </c>
      <c r="P9957">
        <f>IF(OR(M9957="",N9957=""),"",SUMIFS('Barang Keluar'!$E:$E,'Barang Keluar'!$A:$A,M9957,'Barang Keluar'!$C:$C,N9957))</f>
        <v>0</v>
      </c>
    </row>
    <row r="9958" spans="13:16">
      <c r="M9958" s="49">
        <f>IF($A$4+99&gt;$B$4,"",$A$4+99)</f>
        <v>46122</v>
      </c>
      <c r="N9958">
        <f>IF(M9958="","",'Master Barang'!A52)</f>
        <v>0</v>
      </c>
      <c r="O9958">
        <f>IF(N9958="","",'Master Barang'!B52)</f>
        <v>0</v>
      </c>
      <c r="P9958">
        <f>IF(OR(M9958="",N9958=""),"",SUMIFS('Barang Keluar'!$E:$E,'Barang Keluar'!$A:$A,M9958,'Barang Keluar'!$C:$C,N9958))</f>
        <v>0</v>
      </c>
    </row>
    <row r="9959" spans="13:16">
      <c r="M9959" s="49">
        <f>IF($A$4+99&gt;$B$4,"",$A$4+99)</f>
        <v>46122</v>
      </c>
      <c r="N9959">
        <f>IF(M9959="","",'Master Barang'!A53)</f>
        <v>0</v>
      </c>
      <c r="O9959">
        <f>IF(N9959="","",'Master Barang'!B53)</f>
        <v>0</v>
      </c>
      <c r="P9959">
        <f>IF(OR(M9959="",N9959=""),"",SUMIFS('Barang Keluar'!$E:$E,'Barang Keluar'!$A:$A,M9959,'Barang Keluar'!$C:$C,N9959))</f>
        <v>0</v>
      </c>
    </row>
    <row r="9960" spans="13:16">
      <c r="M9960" s="49">
        <f>IF($A$4+99&gt;$B$4,"",$A$4+99)</f>
        <v>46122</v>
      </c>
      <c r="N9960">
        <f>IF(M9960="","",'Master Barang'!A54)</f>
        <v>0</v>
      </c>
      <c r="O9960">
        <f>IF(N9960="","",'Master Barang'!B54)</f>
        <v>0</v>
      </c>
      <c r="P9960">
        <f>IF(OR(M9960="",N9960=""),"",SUMIFS('Barang Keluar'!$E:$E,'Barang Keluar'!$A:$A,M9960,'Barang Keluar'!$C:$C,N9960))</f>
        <v>0</v>
      </c>
    </row>
    <row r="9961" spans="13:16">
      <c r="M9961" s="49">
        <f>IF($A$4+99&gt;$B$4,"",$A$4+99)</f>
        <v>46122</v>
      </c>
      <c r="N9961">
        <f>IF(M9961="","",'Master Barang'!A55)</f>
        <v>0</v>
      </c>
      <c r="O9961">
        <f>IF(N9961="","",'Master Barang'!B55)</f>
        <v>0</v>
      </c>
      <c r="P9961">
        <f>IF(OR(M9961="",N9961=""),"",SUMIFS('Barang Keluar'!$E:$E,'Barang Keluar'!$A:$A,M9961,'Barang Keluar'!$C:$C,N9961))</f>
        <v>0</v>
      </c>
    </row>
    <row r="9962" spans="13:16">
      <c r="M9962" s="49">
        <f>IF($A$4+99&gt;$B$4,"",$A$4+99)</f>
        <v>46122</v>
      </c>
      <c r="N9962">
        <f>IF(M9962="","",'Master Barang'!A56)</f>
        <v>0</v>
      </c>
      <c r="O9962">
        <f>IF(N9962="","",'Master Barang'!B56)</f>
        <v>0</v>
      </c>
      <c r="P9962">
        <f>IF(OR(M9962="",N9962=""),"",SUMIFS('Barang Keluar'!$E:$E,'Barang Keluar'!$A:$A,M9962,'Barang Keluar'!$C:$C,N9962))</f>
        <v>0</v>
      </c>
    </row>
    <row r="9963" spans="13:16">
      <c r="M9963" s="49">
        <f>IF($A$4+99&gt;$B$4,"",$A$4+99)</f>
        <v>46122</v>
      </c>
      <c r="N9963">
        <f>IF(M9963="","",'Master Barang'!A57)</f>
        <v>0</v>
      </c>
      <c r="O9963">
        <f>IF(N9963="","",'Master Barang'!B57)</f>
        <v>0</v>
      </c>
      <c r="P9963">
        <f>IF(OR(M9963="",N9963=""),"",SUMIFS('Barang Keluar'!$E:$E,'Barang Keluar'!$A:$A,M9963,'Barang Keluar'!$C:$C,N9963))</f>
        <v>0</v>
      </c>
    </row>
    <row r="9964" spans="13:16">
      <c r="M9964" s="49">
        <f>IF($A$4+99&gt;$B$4,"",$A$4+99)</f>
        <v>46122</v>
      </c>
      <c r="N9964">
        <f>IF(M9964="","",'Master Barang'!A58)</f>
        <v>0</v>
      </c>
      <c r="O9964">
        <f>IF(N9964="","",'Master Barang'!B58)</f>
        <v>0</v>
      </c>
      <c r="P9964">
        <f>IF(OR(M9964="",N9964=""),"",SUMIFS('Barang Keluar'!$E:$E,'Barang Keluar'!$A:$A,M9964,'Barang Keluar'!$C:$C,N9964))</f>
        <v>0</v>
      </c>
    </row>
    <row r="9965" spans="13:16">
      <c r="M9965" s="49">
        <f>IF($A$4+99&gt;$B$4,"",$A$4+99)</f>
        <v>46122</v>
      </c>
      <c r="N9965">
        <f>IF(M9965="","",'Master Barang'!A59)</f>
        <v>0</v>
      </c>
      <c r="O9965">
        <f>IF(N9965="","",'Master Barang'!B59)</f>
        <v>0</v>
      </c>
      <c r="P9965">
        <f>IF(OR(M9965="",N9965=""),"",SUMIFS('Barang Keluar'!$E:$E,'Barang Keluar'!$A:$A,M9965,'Barang Keluar'!$C:$C,N9965))</f>
        <v>0</v>
      </c>
    </row>
    <row r="9966" spans="13:16">
      <c r="M9966" s="49">
        <f>IF($A$4+99&gt;$B$4,"",$A$4+99)</f>
        <v>46122</v>
      </c>
      <c r="N9966">
        <f>IF(M9966="","",'Master Barang'!A60)</f>
        <v>0</v>
      </c>
      <c r="O9966">
        <f>IF(N9966="","",'Master Barang'!B60)</f>
        <v>0</v>
      </c>
      <c r="P9966">
        <f>IF(OR(M9966="",N9966=""),"",SUMIFS('Barang Keluar'!$E:$E,'Barang Keluar'!$A:$A,M9966,'Barang Keluar'!$C:$C,N9966))</f>
        <v>0</v>
      </c>
    </row>
    <row r="9967" spans="13:16">
      <c r="M9967" s="49">
        <f>IF($A$4+99&gt;$B$4,"",$A$4+99)</f>
        <v>46122</v>
      </c>
      <c r="N9967">
        <f>IF(M9967="","",'Master Barang'!A61)</f>
        <v>0</v>
      </c>
      <c r="O9967">
        <f>IF(N9967="","",'Master Barang'!B61)</f>
        <v>0</v>
      </c>
      <c r="P9967">
        <f>IF(OR(M9967="",N9967=""),"",SUMIFS('Barang Keluar'!$E:$E,'Barang Keluar'!$A:$A,M9967,'Barang Keluar'!$C:$C,N9967))</f>
        <v>0</v>
      </c>
    </row>
    <row r="9968" spans="13:16">
      <c r="M9968" s="49">
        <f>IF($A$4+99&gt;$B$4,"",$A$4+99)</f>
        <v>46122</v>
      </c>
      <c r="N9968">
        <f>IF(M9968="","",'Master Barang'!A62)</f>
        <v>0</v>
      </c>
      <c r="O9968">
        <f>IF(N9968="","",'Master Barang'!B62)</f>
        <v>0</v>
      </c>
      <c r="P9968">
        <f>IF(OR(M9968="",N9968=""),"",SUMIFS('Barang Keluar'!$E:$E,'Barang Keluar'!$A:$A,M9968,'Barang Keluar'!$C:$C,N9968))</f>
        <v>0</v>
      </c>
    </row>
    <row r="9969" spans="13:16">
      <c r="M9969" s="49">
        <f>IF($A$4+99&gt;$B$4,"",$A$4+99)</f>
        <v>46122</v>
      </c>
      <c r="N9969">
        <f>IF(M9969="","",'Master Barang'!A63)</f>
        <v>0</v>
      </c>
      <c r="O9969">
        <f>IF(N9969="","",'Master Barang'!B63)</f>
        <v>0</v>
      </c>
      <c r="P9969">
        <f>IF(OR(M9969="",N9969=""),"",SUMIFS('Barang Keluar'!$E:$E,'Barang Keluar'!$A:$A,M9969,'Barang Keluar'!$C:$C,N9969))</f>
        <v>0</v>
      </c>
    </row>
    <row r="9970" spans="13:16">
      <c r="M9970" s="49">
        <f>IF($A$4+99&gt;$B$4,"",$A$4+99)</f>
        <v>46122</v>
      </c>
      <c r="N9970">
        <f>IF(M9970="","",'Master Barang'!A64)</f>
        <v>0</v>
      </c>
      <c r="O9970">
        <f>IF(N9970="","",'Master Barang'!B64)</f>
        <v>0</v>
      </c>
      <c r="P9970">
        <f>IF(OR(M9970="",N9970=""),"",SUMIFS('Barang Keluar'!$E:$E,'Barang Keluar'!$A:$A,M9970,'Barang Keluar'!$C:$C,N9970))</f>
        <v>0</v>
      </c>
    </row>
    <row r="9971" spans="13:16">
      <c r="M9971" s="49">
        <f>IF($A$4+99&gt;$B$4,"",$A$4+99)</f>
        <v>46122</v>
      </c>
      <c r="N9971">
        <f>IF(M9971="","",'Master Barang'!A65)</f>
        <v>0</v>
      </c>
      <c r="O9971">
        <f>IF(N9971="","",'Master Barang'!B65)</f>
        <v>0</v>
      </c>
      <c r="P9971">
        <f>IF(OR(M9971="",N9971=""),"",SUMIFS('Barang Keluar'!$E:$E,'Barang Keluar'!$A:$A,M9971,'Barang Keluar'!$C:$C,N9971))</f>
        <v>0</v>
      </c>
    </row>
    <row r="9972" spans="13:16">
      <c r="M9972" s="49">
        <f>IF($A$4+99&gt;$B$4,"",$A$4+99)</f>
        <v>46122</v>
      </c>
      <c r="N9972">
        <f>IF(M9972="","",'Master Barang'!A66)</f>
        <v>0</v>
      </c>
      <c r="O9972">
        <f>IF(N9972="","",'Master Barang'!B66)</f>
        <v>0</v>
      </c>
      <c r="P9972">
        <f>IF(OR(M9972="",N9972=""),"",SUMIFS('Barang Keluar'!$E:$E,'Barang Keluar'!$A:$A,M9972,'Barang Keluar'!$C:$C,N9972))</f>
        <v>0</v>
      </c>
    </row>
    <row r="9973" spans="13:16">
      <c r="M9973" s="49">
        <f>IF($A$4+99&gt;$B$4,"",$A$4+99)</f>
        <v>46122</v>
      </c>
      <c r="N9973">
        <f>IF(M9973="","",'Master Barang'!A67)</f>
        <v>0</v>
      </c>
      <c r="O9973">
        <f>IF(N9973="","",'Master Barang'!B67)</f>
        <v>0</v>
      </c>
      <c r="P9973">
        <f>IF(OR(M9973="",N9973=""),"",SUMIFS('Barang Keluar'!$E:$E,'Barang Keluar'!$A:$A,M9973,'Barang Keluar'!$C:$C,N9973))</f>
        <v>0</v>
      </c>
    </row>
    <row r="9974" spans="13:16">
      <c r="M9974" s="49">
        <f>IF($A$4+99&gt;$B$4,"",$A$4+99)</f>
        <v>46122</v>
      </c>
      <c r="N9974">
        <f>IF(M9974="","",'Master Barang'!A68)</f>
        <v>0</v>
      </c>
      <c r="O9974">
        <f>IF(N9974="","",'Master Barang'!B68)</f>
        <v>0</v>
      </c>
      <c r="P9974">
        <f>IF(OR(M9974="",N9974=""),"",SUMIFS('Barang Keluar'!$E:$E,'Barang Keluar'!$A:$A,M9974,'Barang Keluar'!$C:$C,N9974))</f>
        <v>0</v>
      </c>
    </row>
    <row r="9975" spans="13:16">
      <c r="M9975" s="49">
        <f>IF($A$4+99&gt;$B$4,"",$A$4+99)</f>
        <v>46122</v>
      </c>
      <c r="N9975">
        <f>IF(M9975="","",'Master Barang'!A69)</f>
        <v>0</v>
      </c>
      <c r="O9975">
        <f>IF(N9975="","",'Master Barang'!B69)</f>
        <v>0</v>
      </c>
      <c r="P9975">
        <f>IF(OR(M9975="",N9975=""),"",SUMIFS('Barang Keluar'!$E:$E,'Barang Keluar'!$A:$A,M9975,'Barang Keluar'!$C:$C,N9975))</f>
        <v>0</v>
      </c>
    </row>
    <row r="9976" spans="13:16">
      <c r="M9976" s="49">
        <f>IF($A$4+99&gt;$B$4,"",$A$4+99)</f>
        <v>46122</v>
      </c>
      <c r="N9976">
        <f>IF(M9976="","",'Master Barang'!A70)</f>
        <v>0</v>
      </c>
      <c r="O9976">
        <f>IF(N9976="","",'Master Barang'!B70)</f>
        <v>0</v>
      </c>
      <c r="P9976">
        <f>IF(OR(M9976="",N9976=""),"",SUMIFS('Barang Keluar'!$E:$E,'Barang Keluar'!$A:$A,M9976,'Barang Keluar'!$C:$C,N9976))</f>
        <v>0</v>
      </c>
    </row>
    <row r="9977" spans="13:16">
      <c r="M9977" s="49">
        <f>IF($A$4+99&gt;$B$4,"",$A$4+99)</f>
        <v>46122</v>
      </c>
      <c r="N9977">
        <f>IF(M9977="","",'Master Barang'!A71)</f>
        <v>0</v>
      </c>
      <c r="O9977">
        <f>IF(N9977="","",'Master Barang'!B71)</f>
        <v>0</v>
      </c>
      <c r="P9977">
        <f>IF(OR(M9977="",N9977=""),"",SUMIFS('Barang Keluar'!$E:$E,'Barang Keluar'!$A:$A,M9977,'Barang Keluar'!$C:$C,N9977))</f>
        <v>0</v>
      </c>
    </row>
    <row r="9978" spans="13:16">
      <c r="M9978" s="49">
        <f>IF($A$4+99&gt;$B$4,"",$A$4+99)</f>
        <v>46122</v>
      </c>
      <c r="N9978">
        <f>IF(M9978="","",'Master Barang'!A72)</f>
        <v>0</v>
      </c>
      <c r="O9978">
        <f>IF(N9978="","",'Master Barang'!B72)</f>
        <v>0</v>
      </c>
      <c r="P9978">
        <f>IF(OR(M9978="",N9978=""),"",SUMIFS('Barang Keluar'!$E:$E,'Barang Keluar'!$A:$A,M9978,'Barang Keluar'!$C:$C,N9978))</f>
        <v>0</v>
      </c>
    </row>
    <row r="9979" spans="13:16">
      <c r="M9979" s="49">
        <f>IF($A$4+99&gt;$B$4,"",$A$4+99)</f>
        <v>46122</v>
      </c>
      <c r="N9979">
        <f>IF(M9979="","",'Master Barang'!A73)</f>
        <v>0</v>
      </c>
      <c r="O9979">
        <f>IF(N9979="","",'Master Barang'!B73)</f>
        <v>0</v>
      </c>
      <c r="P9979">
        <f>IF(OR(M9979="",N9979=""),"",SUMIFS('Barang Keluar'!$E:$E,'Barang Keluar'!$A:$A,M9979,'Barang Keluar'!$C:$C,N9979))</f>
        <v>0</v>
      </c>
    </row>
    <row r="9980" spans="13:16">
      <c r="M9980" s="49">
        <f>IF($A$4+99&gt;$B$4,"",$A$4+99)</f>
        <v>46122</v>
      </c>
      <c r="N9980">
        <f>IF(M9980="","",'Master Barang'!A74)</f>
        <v>0</v>
      </c>
      <c r="O9980">
        <f>IF(N9980="","",'Master Barang'!B74)</f>
        <v>0</v>
      </c>
      <c r="P9980">
        <f>IF(OR(M9980="",N9980=""),"",SUMIFS('Barang Keluar'!$E:$E,'Barang Keluar'!$A:$A,M9980,'Barang Keluar'!$C:$C,N9980))</f>
        <v>0</v>
      </c>
    </row>
    <row r="9981" spans="13:16">
      <c r="M9981" s="49">
        <f>IF($A$4+99&gt;$B$4,"",$A$4+99)</f>
        <v>46122</v>
      </c>
      <c r="N9981">
        <f>IF(M9981="","",'Master Barang'!A75)</f>
        <v>0</v>
      </c>
      <c r="O9981">
        <f>IF(N9981="","",'Master Barang'!B75)</f>
        <v>0</v>
      </c>
      <c r="P9981">
        <f>IF(OR(M9981="",N9981=""),"",SUMIFS('Barang Keluar'!$E:$E,'Barang Keluar'!$A:$A,M9981,'Barang Keluar'!$C:$C,N9981))</f>
        <v>0</v>
      </c>
    </row>
    <row r="9982" spans="13:16">
      <c r="M9982" s="49">
        <f>IF($A$4+99&gt;$B$4,"",$A$4+99)</f>
        <v>46122</v>
      </c>
      <c r="N9982">
        <f>IF(M9982="","",'Master Barang'!A76)</f>
        <v>0</v>
      </c>
      <c r="O9982">
        <f>IF(N9982="","",'Master Barang'!B76)</f>
        <v>0</v>
      </c>
      <c r="P9982">
        <f>IF(OR(M9982="",N9982=""),"",SUMIFS('Barang Keluar'!$E:$E,'Barang Keluar'!$A:$A,M9982,'Barang Keluar'!$C:$C,N9982))</f>
        <v>0</v>
      </c>
    </row>
    <row r="9983" spans="13:16">
      <c r="M9983" s="49">
        <f>IF($A$4+99&gt;$B$4,"",$A$4+99)</f>
        <v>46122</v>
      </c>
      <c r="N9983">
        <f>IF(M9983="","",'Master Barang'!A77)</f>
        <v>0</v>
      </c>
      <c r="O9983">
        <f>IF(N9983="","",'Master Barang'!B77)</f>
        <v>0</v>
      </c>
      <c r="P9983">
        <f>IF(OR(M9983="",N9983=""),"",SUMIFS('Barang Keluar'!$E:$E,'Barang Keluar'!$A:$A,M9983,'Barang Keluar'!$C:$C,N9983))</f>
        <v>0</v>
      </c>
    </row>
    <row r="9984" spans="13:16">
      <c r="M9984" s="49">
        <f>IF($A$4+99&gt;$B$4,"",$A$4+99)</f>
        <v>46122</v>
      </c>
      <c r="N9984">
        <f>IF(M9984="","",'Master Barang'!A78)</f>
        <v>0</v>
      </c>
      <c r="O9984">
        <f>IF(N9984="","",'Master Barang'!B78)</f>
        <v>0</v>
      </c>
      <c r="P9984">
        <f>IF(OR(M9984="",N9984=""),"",SUMIFS('Barang Keluar'!$E:$E,'Barang Keluar'!$A:$A,M9984,'Barang Keluar'!$C:$C,N9984))</f>
        <v>0</v>
      </c>
    </row>
    <row r="9985" spans="13:16">
      <c r="M9985" s="49">
        <f>IF($A$4+99&gt;$B$4,"",$A$4+99)</f>
        <v>46122</v>
      </c>
      <c r="N9985">
        <f>IF(M9985="","",'Master Barang'!A79)</f>
        <v>0</v>
      </c>
      <c r="O9985">
        <f>IF(N9985="","",'Master Barang'!B79)</f>
        <v>0</v>
      </c>
      <c r="P9985">
        <f>IF(OR(M9985="",N9985=""),"",SUMIFS('Barang Keluar'!$E:$E,'Barang Keluar'!$A:$A,M9985,'Barang Keluar'!$C:$C,N9985))</f>
        <v>0</v>
      </c>
    </row>
    <row r="9986" spans="13:16">
      <c r="M9986" s="49">
        <f>IF($A$4+99&gt;$B$4,"",$A$4+99)</f>
        <v>46122</v>
      </c>
      <c r="N9986">
        <f>IF(M9986="","",'Master Barang'!A80)</f>
        <v>0</v>
      </c>
      <c r="O9986">
        <f>IF(N9986="","",'Master Barang'!B80)</f>
        <v>0</v>
      </c>
      <c r="P9986">
        <f>IF(OR(M9986="",N9986=""),"",SUMIFS('Barang Keluar'!$E:$E,'Barang Keluar'!$A:$A,M9986,'Barang Keluar'!$C:$C,N9986))</f>
        <v>0</v>
      </c>
    </row>
    <row r="9987" spans="13:16">
      <c r="M9987" s="49">
        <f>IF($A$4+99&gt;$B$4,"",$A$4+99)</f>
        <v>46122</v>
      </c>
      <c r="N9987">
        <f>IF(M9987="","",'Master Barang'!A81)</f>
        <v>0</v>
      </c>
      <c r="O9987">
        <f>IF(N9987="","",'Master Barang'!B81)</f>
        <v>0</v>
      </c>
      <c r="P9987">
        <f>IF(OR(M9987="",N9987=""),"",SUMIFS('Barang Keluar'!$E:$E,'Barang Keluar'!$A:$A,M9987,'Barang Keluar'!$C:$C,N9987))</f>
        <v>0</v>
      </c>
    </row>
    <row r="9988" spans="13:16">
      <c r="M9988" s="49">
        <f>IF($A$4+99&gt;$B$4,"",$A$4+99)</f>
        <v>46122</v>
      </c>
      <c r="N9988">
        <f>IF(M9988="","",'Master Barang'!A82)</f>
        <v>0</v>
      </c>
      <c r="O9988">
        <f>IF(N9988="","",'Master Barang'!B82)</f>
        <v>0</v>
      </c>
      <c r="P9988">
        <f>IF(OR(M9988="",N9988=""),"",SUMIFS('Barang Keluar'!$E:$E,'Barang Keluar'!$A:$A,M9988,'Barang Keluar'!$C:$C,N9988))</f>
        <v>0</v>
      </c>
    </row>
    <row r="9989" spans="13:16">
      <c r="M9989" s="49">
        <f>IF($A$4+99&gt;$B$4,"",$A$4+99)</f>
        <v>46122</v>
      </c>
      <c r="N9989">
        <f>IF(M9989="","",'Master Barang'!A83)</f>
        <v>0</v>
      </c>
      <c r="O9989">
        <f>IF(N9989="","",'Master Barang'!B83)</f>
        <v>0</v>
      </c>
      <c r="P9989">
        <f>IF(OR(M9989="",N9989=""),"",SUMIFS('Barang Keluar'!$E:$E,'Barang Keluar'!$A:$A,M9989,'Barang Keluar'!$C:$C,N9989))</f>
        <v>0</v>
      </c>
    </row>
    <row r="9990" spans="13:16">
      <c r="M9990" s="49">
        <f>IF($A$4+99&gt;$B$4,"",$A$4+99)</f>
        <v>46122</v>
      </c>
      <c r="N9990">
        <f>IF(M9990="","",'Master Barang'!A84)</f>
        <v>0</v>
      </c>
      <c r="O9990">
        <f>IF(N9990="","",'Master Barang'!B84)</f>
        <v>0</v>
      </c>
      <c r="P9990">
        <f>IF(OR(M9990="",N9990=""),"",SUMIFS('Barang Keluar'!$E:$E,'Barang Keluar'!$A:$A,M9990,'Barang Keluar'!$C:$C,N9990))</f>
        <v>0</v>
      </c>
    </row>
    <row r="9991" spans="13:16">
      <c r="M9991" s="49">
        <f>IF($A$4+99&gt;$B$4,"",$A$4+99)</f>
        <v>46122</v>
      </c>
      <c r="N9991">
        <f>IF(M9991="","",'Master Barang'!A85)</f>
        <v>0</v>
      </c>
      <c r="O9991">
        <f>IF(N9991="","",'Master Barang'!B85)</f>
        <v>0</v>
      </c>
      <c r="P9991">
        <f>IF(OR(M9991="",N9991=""),"",SUMIFS('Barang Keluar'!$E:$E,'Barang Keluar'!$A:$A,M9991,'Barang Keluar'!$C:$C,N9991))</f>
        <v>0</v>
      </c>
    </row>
    <row r="9992" spans="13:16">
      <c r="M9992" s="49">
        <f>IF($A$4+99&gt;$B$4,"",$A$4+99)</f>
        <v>46122</v>
      </c>
      <c r="N9992">
        <f>IF(M9992="","",'Master Barang'!A86)</f>
        <v>0</v>
      </c>
      <c r="O9992">
        <f>IF(N9992="","",'Master Barang'!B86)</f>
        <v>0</v>
      </c>
      <c r="P9992">
        <f>IF(OR(M9992="",N9992=""),"",SUMIFS('Barang Keluar'!$E:$E,'Barang Keluar'!$A:$A,M9992,'Barang Keluar'!$C:$C,N9992))</f>
        <v>0</v>
      </c>
    </row>
    <row r="9993" spans="13:16">
      <c r="M9993" s="49">
        <f>IF($A$4+99&gt;$B$4,"",$A$4+99)</f>
        <v>46122</v>
      </c>
      <c r="N9993">
        <f>IF(M9993="","",'Master Barang'!A87)</f>
        <v>0</v>
      </c>
      <c r="O9993">
        <f>IF(N9993="","",'Master Barang'!B87)</f>
        <v>0</v>
      </c>
      <c r="P9993">
        <f>IF(OR(M9993="",N9993=""),"",SUMIFS('Barang Keluar'!$E:$E,'Barang Keluar'!$A:$A,M9993,'Barang Keluar'!$C:$C,N9993))</f>
        <v>0</v>
      </c>
    </row>
    <row r="9994" spans="13:16">
      <c r="M9994" s="49">
        <f>IF($A$4+99&gt;$B$4,"",$A$4+99)</f>
        <v>46122</v>
      </c>
      <c r="N9994">
        <f>IF(M9994="","",'Master Barang'!A88)</f>
        <v>0</v>
      </c>
      <c r="O9994">
        <f>IF(N9994="","",'Master Barang'!B88)</f>
        <v>0</v>
      </c>
      <c r="P9994">
        <f>IF(OR(M9994="",N9994=""),"",SUMIFS('Barang Keluar'!$E:$E,'Barang Keluar'!$A:$A,M9994,'Barang Keluar'!$C:$C,N9994))</f>
        <v>0</v>
      </c>
    </row>
    <row r="9995" spans="13:16">
      <c r="M9995" s="49">
        <f>IF($A$4+99&gt;$B$4,"",$A$4+99)</f>
        <v>46122</v>
      </c>
      <c r="N9995">
        <f>IF(M9995="","",'Master Barang'!A89)</f>
        <v>0</v>
      </c>
      <c r="O9995">
        <f>IF(N9995="","",'Master Barang'!B89)</f>
        <v>0</v>
      </c>
      <c r="P9995">
        <f>IF(OR(M9995="",N9995=""),"",SUMIFS('Barang Keluar'!$E:$E,'Barang Keluar'!$A:$A,M9995,'Barang Keluar'!$C:$C,N9995))</f>
        <v>0</v>
      </c>
    </row>
    <row r="9996" spans="13:16">
      <c r="M9996" s="49">
        <f>IF($A$4+99&gt;$B$4,"",$A$4+99)</f>
        <v>46122</v>
      </c>
      <c r="N9996">
        <f>IF(M9996="","",'Master Barang'!A90)</f>
        <v>0</v>
      </c>
      <c r="O9996">
        <f>IF(N9996="","",'Master Barang'!B90)</f>
        <v>0</v>
      </c>
      <c r="P9996">
        <f>IF(OR(M9996="",N9996=""),"",SUMIFS('Barang Keluar'!$E:$E,'Barang Keluar'!$A:$A,M9996,'Barang Keluar'!$C:$C,N9996))</f>
        <v>0</v>
      </c>
    </row>
    <row r="9997" spans="13:16">
      <c r="M9997" s="49">
        <f>IF($A$4+99&gt;$B$4,"",$A$4+99)</f>
        <v>46122</v>
      </c>
      <c r="N9997">
        <f>IF(M9997="","",'Master Barang'!A91)</f>
        <v>0</v>
      </c>
      <c r="O9997">
        <f>IF(N9997="","",'Master Barang'!B91)</f>
        <v>0</v>
      </c>
      <c r="P9997">
        <f>IF(OR(M9997="",N9997=""),"",SUMIFS('Barang Keluar'!$E:$E,'Barang Keluar'!$A:$A,M9997,'Barang Keluar'!$C:$C,N9997))</f>
        <v>0</v>
      </c>
    </row>
    <row r="9998" spans="13:16">
      <c r="M9998" s="49">
        <f>IF($A$4+99&gt;$B$4,"",$A$4+99)</f>
        <v>46122</v>
      </c>
      <c r="N9998">
        <f>IF(M9998="","",'Master Barang'!A92)</f>
        <v>0</v>
      </c>
      <c r="O9998">
        <f>IF(N9998="","",'Master Barang'!B92)</f>
        <v>0</v>
      </c>
      <c r="P9998">
        <f>IF(OR(M9998="",N9998=""),"",SUMIFS('Barang Keluar'!$E:$E,'Barang Keluar'!$A:$A,M9998,'Barang Keluar'!$C:$C,N9998))</f>
        <v>0</v>
      </c>
    </row>
    <row r="9999" spans="13:16">
      <c r="M9999" s="49">
        <f>IF($A$4+99&gt;$B$4,"",$A$4+99)</f>
        <v>46122</v>
      </c>
      <c r="N9999">
        <f>IF(M9999="","",'Master Barang'!A93)</f>
        <v>0</v>
      </c>
      <c r="O9999">
        <f>IF(N9999="","",'Master Barang'!B93)</f>
        <v>0</v>
      </c>
      <c r="P9999">
        <f>IF(OR(M9999="",N9999=""),"",SUMIFS('Barang Keluar'!$E:$E,'Barang Keluar'!$A:$A,M9999,'Barang Keluar'!$C:$C,N9999))</f>
        <v>0</v>
      </c>
    </row>
    <row r="10000" spans="13:16">
      <c r="M10000" s="49">
        <f>IF($A$4+99&gt;$B$4,"",$A$4+99)</f>
        <v>46122</v>
      </c>
      <c r="N10000">
        <f>IF(M10000="","",'Master Barang'!A94)</f>
        <v>0</v>
      </c>
      <c r="O10000">
        <f>IF(N10000="","",'Master Barang'!B94)</f>
        <v>0</v>
      </c>
      <c r="P10000">
        <f>IF(OR(M10000="",N10000=""),"",SUMIFS('Barang Keluar'!$E:$E,'Barang Keluar'!$A:$A,M10000,'Barang Keluar'!$C:$C,N10000))</f>
        <v>0</v>
      </c>
    </row>
    <row r="10001" spans="13:16">
      <c r="M10001" s="49">
        <f>IF($A$4+99&gt;$B$4,"",$A$4+99)</f>
        <v>46122</v>
      </c>
      <c r="N10001">
        <f>IF(M10001="","",'Master Barang'!A95)</f>
        <v>0</v>
      </c>
      <c r="O10001">
        <f>IF(N10001="","",'Master Barang'!B95)</f>
        <v>0</v>
      </c>
      <c r="P10001">
        <f>IF(OR(M10001="",N10001=""),"",SUMIFS('Barang Keluar'!$E:$E,'Barang Keluar'!$A:$A,M10001,'Barang Keluar'!$C:$C,N10001))</f>
        <v>0</v>
      </c>
    </row>
    <row r="10002" spans="13:16">
      <c r="M10002" s="49">
        <f>IF($A$4+99&gt;$B$4,"",$A$4+99)</f>
        <v>46122</v>
      </c>
      <c r="N10002">
        <f>IF(M10002="","",'Master Barang'!A96)</f>
        <v>0</v>
      </c>
      <c r="O10002">
        <f>IF(N10002="","",'Master Barang'!B96)</f>
        <v>0</v>
      </c>
      <c r="P10002">
        <f>IF(OR(M10002="",N10002=""),"",SUMIFS('Barang Keluar'!$E:$E,'Barang Keluar'!$A:$A,M10002,'Barang Keluar'!$C:$C,N10002))</f>
        <v>0</v>
      </c>
    </row>
    <row r="10003" spans="13:16">
      <c r="M10003" s="49">
        <f>IF($A$4+99&gt;$B$4,"",$A$4+99)</f>
        <v>46122</v>
      </c>
      <c r="N10003">
        <f>IF(M10003="","",'Master Barang'!A97)</f>
        <v>0</v>
      </c>
      <c r="O10003">
        <f>IF(N10003="","",'Master Barang'!B97)</f>
        <v>0</v>
      </c>
      <c r="P10003">
        <f>IF(OR(M10003="",N10003=""),"",SUMIFS('Barang Keluar'!$E:$E,'Barang Keluar'!$A:$A,M10003,'Barang Keluar'!$C:$C,N10003))</f>
        <v>0</v>
      </c>
    </row>
    <row r="10004" spans="13:16">
      <c r="M10004" s="49">
        <f>IF($A$4+99&gt;$B$4,"",$A$4+99)</f>
        <v>46122</v>
      </c>
      <c r="N10004">
        <f>IF(M10004="","",'Master Barang'!A98)</f>
        <v>0</v>
      </c>
      <c r="O10004">
        <f>IF(N10004="","",'Master Barang'!B98)</f>
        <v>0</v>
      </c>
      <c r="P10004">
        <f>IF(OR(M10004="",N10004=""),"",SUMIFS('Barang Keluar'!$E:$E,'Barang Keluar'!$A:$A,M10004,'Barang Keluar'!$C:$C,N10004))</f>
        <v>0</v>
      </c>
    </row>
    <row r="10005" spans="13:16">
      <c r="M10005" s="49">
        <f>IF($A$4+99&gt;$B$4,"",$A$4+99)</f>
        <v>46122</v>
      </c>
      <c r="N10005">
        <f>IF(M10005="","",'Master Barang'!A99)</f>
        <v>0</v>
      </c>
      <c r="O10005">
        <f>IF(N10005="","",'Master Barang'!B99)</f>
        <v>0</v>
      </c>
      <c r="P10005">
        <f>IF(OR(M10005="",N10005=""),"",SUMIFS('Barang Keluar'!$E:$E,'Barang Keluar'!$A:$A,M10005,'Barang Keluar'!$C:$C,N10005))</f>
        <v>0</v>
      </c>
    </row>
    <row r="10006" spans="13:16">
      <c r="M10006" s="49">
        <f>IF($A$4+99&gt;$B$4,"",$A$4+99)</f>
        <v>46122</v>
      </c>
      <c r="N10006">
        <f>IF(M10006="","",'Master Barang'!A100)</f>
        <v>0</v>
      </c>
      <c r="O10006">
        <f>IF(N10006="","",'Master Barang'!B100)</f>
        <v>0</v>
      </c>
      <c r="P10006">
        <f>IF(OR(M10006="",N10006=""),"",SUMIFS('Barang Keluar'!$E:$E,'Barang Keluar'!$A:$A,M10006,'Barang Keluar'!$C:$C,N10006))</f>
        <v>0</v>
      </c>
    </row>
    <row r="10007" spans="13:16">
      <c r="M10007" s="49">
        <f>IF($A$4+99&gt;$B$4,"",$A$4+99)</f>
        <v>46122</v>
      </c>
      <c r="N10007">
        <f>IF(M10007="","",'Master Barang'!A101)</f>
        <v>0</v>
      </c>
      <c r="O10007">
        <f>IF(N10007="","",'Master Barang'!B101)</f>
        <v>0</v>
      </c>
      <c r="P10007">
        <f>IF(OR(M10007="",N10007=""),"",SUMIFS('Barang Keluar'!$E:$E,'Barang Keluar'!$A:$A,M10007,'Barang Keluar'!$C:$C,N10007))</f>
        <v>0</v>
      </c>
    </row>
    <row r="10008" spans="13:16">
      <c r="M10008" s="49">
        <f>IF($A$4+100&gt;$B$4,"",$A$4+100)</f>
        <v>46123</v>
      </c>
      <c r="N10008" t="str">
        <f>IF(M10008="","",'Master Barang'!A2)</f>
        <v>PRL-001</v>
      </c>
      <c r="O10008" t="str">
        <f>IF(N10008="","",'Master Barang'!B2)</f>
        <v>natura desinfectant food grade 5l</v>
      </c>
      <c r="P10008">
        <f>IF(OR(M10008="",N10008=""),"",SUMIFS('Barang Keluar'!$E:$E,'Barang Keluar'!$A:$A,M10008,'Barang Keluar'!$C:$C,N10008))</f>
        <v>0</v>
      </c>
    </row>
    <row r="10009" spans="13:16">
      <c r="M10009" s="49">
        <f>IF($A$4+100&gt;$B$4,"",$A$4+100)</f>
        <v>46123</v>
      </c>
      <c r="N10009" t="str">
        <f>IF(M10009="","",'Master Barang'!A3)</f>
        <v>PRL-002</v>
      </c>
      <c r="O10009" t="str">
        <f>IF(N10009="","",'Master Barang'!B3)</f>
        <v>sunlight cairan pencuci piring 5l</v>
      </c>
      <c r="P10009">
        <f>IF(OR(M10009="",N10009=""),"",SUMIFS('Barang Keluar'!$E:$E,'Barang Keluar'!$A:$A,M10009,'Barang Keluar'!$C:$C,N10009))</f>
        <v>0</v>
      </c>
    </row>
    <row r="10010" spans="13:16">
      <c r="M10010" s="49">
        <f>IF($A$4+100&gt;$B$4,"",$A$4+100)</f>
        <v>46123</v>
      </c>
      <c r="N10010" t="str">
        <f>IF(M10010="","",'Master Barang'!A4)</f>
        <v>PRL-003</v>
      </c>
      <c r="O10010" t="str">
        <f>IF(N10010="","",'Master Barang'!B4)</f>
        <v>oixs cleaner 1l</v>
      </c>
      <c r="P10010">
        <f>IF(OR(M10010="",N10010=""),"",SUMIFS('Barang Keluar'!$E:$E,'Barang Keluar'!$A:$A,M10010,'Barang Keluar'!$C:$C,N10010))</f>
        <v>0</v>
      </c>
    </row>
    <row r="10011" spans="13:16">
      <c r="M10011" s="49">
        <f>IF($A$4+100&gt;$B$4,"",$A$4+100)</f>
        <v>46123</v>
      </c>
      <c r="N10011" t="str">
        <f>IF(M10011="","",'Master Barang'!A5)</f>
        <v>PRL-004</v>
      </c>
      <c r="O10011" t="str">
        <f>IF(N10011="","",'Master Barang'!B5)</f>
        <v>be clean tissue serbaguna</v>
      </c>
      <c r="P10011">
        <f>IF(OR(M10011="",N10011=""),"",SUMIFS('Barang Keluar'!$E:$E,'Barang Keluar'!$A:$A,M10011,'Barang Keluar'!$C:$C,N10011))</f>
        <v>0</v>
      </c>
    </row>
    <row r="10012" spans="13:16">
      <c r="M10012" s="49">
        <f>IF($A$4+100&gt;$B$4,"",$A$4+100)</f>
        <v>46123</v>
      </c>
      <c r="N10012" t="str">
        <f>IF(M10012="","",'Master Barang'!A6)</f>
        <v>PRL-005</v>
      </c>
      <c r="O10012" t="str">
        <f>IF(N10012="","",'Master Barang'!B6)</f>
        <v>spons cuci hijau</v>
      </c>
      <c r="P10012">
        <f>IF(OR(M10012="",N10012=""),"",SUMIFS('Barang Keluar'!$E:$E,'Barang Keluar'!$A:$A,M10012,'Barang Keluar'!$C:$C,N10012))</f>
        <v>0</v>
      </c>
    </row>
    <row r="10013" spans="13:16">
      <c r="M10013" s="49">
        <f>IF($A$4+100&gt;$B$4,"",$A$4+100)</f>
        <v>46123</v>
      </c>
      <c r="N10013" t="str">
        <f>IF(M10013="","",'Master Barang'!A7)</f>
        <v>PRL-006</v>
      </c>
      <c r="O10013" t="str">
        <f>IF(N10013="","",'Master Barang'!B7)</f>
        <v>sabut cuci stainless</v>
      </c>
      <c r="P10013">
        <f>IF(OR(M10013="",N10013=""),"",SUMIFS('Barang Keluar'!$E:$E,'Barang Keluar'!$A:$A,M10013,'Barang Keluar'!$C:$C,N10013))</f>
        <v>0</v>
      </c>
    </row>
    <row r="10014" spans="13:16">
      <c r="M10014" s="49">
        <f>IF($A$4+100&gt;$B$4,"",$A$4+100)</f>
        <v>46123</v>
      </c>
      <c r="N10014" t="str">
        <f>IF(M10014="","",'Master Barang'!A8)</f>
        <v>PRL-007</v>
      </c>
      <c r="O10014" t="str">
        <f>IF(N10014="","",'Master Barang'!B8)</f>
        <v>plastik kresek besar merah 50pc</v>
      </c>
      <c r="P10014">
        <f>IF(OR(M10014="",N10014=""),"",SUMIFS('Barang Keluar'!$E:$E,'Barang Keluar'!$A:$A,M10014,'Barang Keluar'!$C:$C,N10014))</f>
        <v>0</v>
      </c>
    </row>
    <row r="10015" spans="13:16">
      <c r="M10015" s="49">
        <f>IF($A$4+100&gt;$B$4,"",$A$4+100)</f>
        <v>46123</v>
      </c>
      <c r="N10015" t="str">
        <f>IF(M10015="","",'Master Barang'!A9)</f>
        <v>PRL-008</v>
      </c>
      <c r="O10015" t="str">
        <f>IF(N10015="","",'Master Barang'!B9)</f>
        <v>lap besar</v>
      </c>
      <c r="P10015">
        <f>IF(OR(M10015="",N10015=""),"",SUMIFS('Barang Keluar'!$E:$E,'Barang Keluar'!$A:$A,M10015,'Barang Keluar'!$C:$C,N10015))</f>
        <v>0</v>
      </c>
    </row>
    <row r="10016" spans="13:16">
      <c r="M10016" s="49">
        <f>IF($A$4+100&gt;$B$4,"",$A$4+100)</f>
        <v>46123</v>
      </c>
      <c r="N10016" t="str">
        <f>IF(M10016="","",'Master Barang'!A10)</f>
        <v>PRL-009</v>
      </c>
      <c r="O10016" t="str">
        <f>IF(N10016="","",'Master Barang'!B10)</f>
        <v>lap microfiber</v>
      </c>
      <c r="P10016">
        <f>IF(OR(M10016="",N10016=""),"",SUMIFS('Barang Keluar'!$E:$E,'Barang Keluar'!$A:$A,M10016,'Barang Keluar'!$C:$C,N10016))</f>
        <v>0</v>
      </c>
    </row>
    <row r="10017" spans="13:16">
      <c r="M10017" s="49">
        <f>IF($A$4+100&gt;$B$4,"",$A$4+100)</f>
        <v>46123</v>
      </c>
      <c r="N10017" t="str">
        <f>IF(M10017="","",'Master Barang'!A11)</f>
        <v>PRL-010</v>
      </c>
      <c r="O10017" t="str">
        <f>IF(N10017="","",'Master Barang'!B11)</f>
        <v>lap kecil</v>
      </c>
      <c r="P10017">
        <f>IF(OR(M10017="",N10017=""),"",SUMIFS('Barang Keluar'!$E:$E,'Barang Keluar'!$A:$A,M10017,'Barang Keluar'!$C:$C,N10017))</f>
        <v>0</v>
      </c>
    </row>
    <row r="10018" spans="13:16">
      <c r="M10018" s="49">
        <f>IF($A$4+100&gt;$B$4,"",$A$4+100)</f>
        <v>46123</v>
      </c>
      <c r="N10018" t="str">
        <f>IF(M10018="","",'Master Barang'!A12)</f>
        <v>PRL-011</v>
      </c>
      <c r="O10018" t="str">
        <f>IF(N10018="","",'Master Barang'!B12)</f>
        <v>kanebo kecil</v>
      </c>
      <c r="P10018">
        <f>IF(OR(M10018="",N10018=""),"",SUMIFS('Barang Keluar'!$E:$E,'Barang Keluar'!$A:$A,M10018,'Barang Keluar'!$C:$C,N10018))</f>
        <v>0</v>
      </c>
    </row>
    <row r="10019" spans="13:16">
      <c r="M10019" s="49">
        <f>IF($A$4+100&gt;$B$4,"",$A$4+100)</f>
        <v>46123</v>
      </c>
      <c r="N10019" t="str">
        <f>IF(M10019="","",'Master Barang'!A13)</f>
        <v>PRL-012</v>
      </c>
      <c r="O10019" t="str">
        <f>IF(N10019="","",'Master Barang'!B13)</f>
        <v>plastik 1/4kg joyoboyo 100 lembar</v>
      </c>
      <c r="P10019">
        <f>IF(OR(M10019="",N10019=""),"",SUMIFS('Barang Keluar'!$E:$E,'Barang Keluar'!$A:$A,M10019,'Barang Keluar'!$C:$C,N10019))</f>
        <v>0</v>
      </c>
    </row>
    <row r="10020" spans="13:16">
      <c r="M10020" s="49">
        <f>IF($A$4+100&gt;$B$4,"",$A$4+100)</f>
        <v>46123</v>
      </c>
      <c r="N10020" t="str">
        <f>IF(M10020="","",'Master Barang'!A14)</f>
        <v>PRL-013</v>
      </c>
      <c r="O10020" t="str">
        <f>IF(N10020="","",'Master Barang'!B14)</f>
        <v>sarung tangan plastik kaka 100 pcs</v>
      </c>
      <c r="P10020">
        <f>IF(OR(M10020="",N10020=""),"",SUMIFS('Barang Keluar'!$E:$E,'Barang Keluar'!$A:$A,M10020,'Barang Keluar'!$C:$C,N10020))</f>
        <v>0</v>
      </c>
    </row>
    <row r="10021" spans="13:16">
      <c r="M10021" s="49">
        <f>IF($A$4+100&gt;$B$4,"",$A$4+100)</f>
        <v>46123</v>
      </c>
      <c r="N10021" t="str">
        <f>IF(M10021="","",'Master Barang'!A15)</f>
        <v>PRL-014</v>
      </c>
      <c r="O10021" t="str">
        <f>IF(N10021="","",'Master Barang'!B15)</f>
        <v>optima trashbag 80x100</v>
      </c>
      <c r="P10021">
        <f>IF(OR(M10021="",N10021=""),"",SUMIFS('Barang Keluar'!$E:$E,'Barang Keluar'!$A:$A,M10021,'Barang Keluar'!$C:$C,N10021))</f>
        <v>0</v>
      </c>
    </row>
    <row r="10022" spans="13:16">
      <c r="M10022" s="49">
        <f>IF($A$4+100&gt;$B$4,"",$A$4+100)</f>
        <v>46123</v>
      </c>
      <c r="N10022" t="str">
        <f>IF(M10022="","",'Master Barang'!A16)</f>
        <v>PRL-015</v>
      </c>
      <c r="O10022" t="str">
        <f>IF(N10022="","",'Master Barang'!B16)</f>
        <v>optima trashbag 60x100</v>
      </c>
      <c r="P10022">
        <f>IF(OR(M10022="",N10022=""),"",SUMIFS('Barang Keluar'!$E:$E,'Barang Keluar'!$A:$A,M10022,'Barang Keluar'!$C:$C,N10022))</f>
        <v>0</v>
      </c>
    </row>
    <row r="10023" spans="13:16">
      <c r="M10023" s="49">
        <f>IF($A$4+100&gt;$B$4,"",$A$4+100)</f>
        <v>46123</v>
      </c>
      <c r="N10023" t="str">
        <f>IF(M10023="","",'Master Barang'!A17)</f>
        <v>PRL-016</v>
      </c>
      <c r="O10023" t="str">
        <f>IF(N10023="","",'Master Barang'!B17)</f>
        <v>rajawali trashbag 30x40</v>
      </c>
      <c r="P10023">
        <f>IF(OR(M10023="",N10023=""),"",SUMIFS('Barang Keluar'!$E:$E,'Barang Keluar'!$A:$A,M10023,'Barang Keluar'!$C:$C,N10023))</f>
        <v>0</v>
      </c>
    </row>
    <row r="10024" spans="13:16">
      <c r="M10024" s="49">
        <f>IF($A$4+100&gt;$B$4,"",$A$4+100)</f>
        <v>46123</v>
      </c>
      <c r="N10024" t="str">
        <f>IF(M10024="","",'Master Barang'!A18)</f>
        <v>PRL-017</v>
      </c>
      <c r="O10024" t="str">
        <f>IF(N10024="","",'Master Barang'!B18)</f>
        <v>onemed masker biru 3 play 50 pcs</v>
      </c>
      <c r="P10024">
        <f>IF(OR(M10024="",N10024=""),"",SUMIFS('Barang Keluar'!$E:$E,'Barang Keluar'!$A:$A,M10024,'Barang Keluar'!$C:$C,N10024))</f>
        <v>0</v>
      </c>
    </row>
    <row r="10025" spans="13:16">
      <c r="M10025" s="49">
        <f>IF($A$4+100&gt;$B$4,"",$A$4+100)</f>
        <v>46123</v>
      </c>
      <c r="N10025" t="str">
        <f>IF(M10025="","",'Master Barang'!A19)</f>
        <v>PRL-018</v>
      </c>
      <c r="O10025" t="str">
        <f>IF(N10025="","",'Master Barang'!B19)</f>
        <v>onemed masker biru 3 play hijab 50 pcs</v>
      </c>
      <c r="P10025">
        <f>IF(OR(M10025="",N10025=""),"",SUMIFS('Barang Keluar'!$E:$E,'Barang Keluar'!$A:$A,M10025,'Barang Keluar'!$C:$C,N10025))</f>
        <v>0</v>
      </c>
    </row>
    <row r="10026" spans="13:16">
      <c r="M10026" s="49">
        <f>IF($A$4+100&gt;$B$4,"",$A$4+100)</f>
        <v>46123</v>
      </c>
      <c r="N10026" t="str">
        <f>IF(M10026="","",'Master Barang'!A20)</f>
        <v>PRL-019</v>
      </c>
      <c r="O10026" t="str">
        <f>IF(N10026="","",'Master Barang'!B20)</f>
        <v>neo health masker biru 3 play 50 pcs</v>
      </c>
      <c r="P10026">
        <f>IF(OR(M10026="",N10026=""),"",SUMIFS('Barang Keluar'!$E:$E,'Barang Keluar'!$A:$A,M10026,'Barang Keluar'!$C:$C,N10026))</f>
        <v>0</v>
      </c>
    </row>
    <row r="10027" spans="13:16">
      <c r="M10027" s="49">
        <f>IF($A$4+100&gt;$B$4,"",$A$4+100)</f>
        <v>46123</v>
      </c>
      <c r="N10027" t="str">
        <f>IF(M10027="","",'Master Barang'!A21)</f>
        <v>PRL-020</v>
      </c>
      <c r="O10027" t="str">
        <f>IF(N10027="","",'Master Barang'!B21)</f>
        <v>baymed masker hijau 3 play hijau 50 pcs</v>
      </c>
      <c r="P10027">
        <f>IF(OR(M10027="",N10027=""),"",SUMIFS('Barang Keluar'!$E:$E,'Barang Keluar'!$A:$A,M10027,'Barang Keluar'!$C:$C,N10027))</f>
        <v>0</v>
      </c>
    </row>
    <row r="10028" spans="13:16">
      <c r="M10028" s="49">
        <f>IF($A$4+100&gt;$B$4,"",$A$4+100)</f>
        <v>46123</v>
      </c>
      <c r="N10028" t="str">
        <f>IF(M10028="","",'Master Barang'!A22)</f>
        <v>PRL-021</v>
      </c>
      <c r="O10028" t="str">
        <f>IF(N10028="","",'Master Barang'!B22)</f>
        <v>altamed nurse cap penutup kepala 100 pcs</v>
      </c>
      <c r="P10028">
        <f>IF(OR(M10028="",N10028=""),"",SUMIFS('Barang Keluar'!$E:$E,'Barang Keluar'!$A:$A,M10028,'Barang Keluar'!$C:$C,N10028))</f>
        <v>0</v>
      </c>
    </row>
    <row r="10029" spans="13:16">
      <c r="M10029" s="49">
        <f>IF($A$4+100&gt;$B$4,"",$A$4+100)</f>
        <v>46123</v>
      </c>
      <c r="N10029" t="str">
        <f>IF(M10029="","",'Master Barang'!A23)</f>
        <v>PRL-022</v>
      </c>
      <c r="O10029" t="str">
        <f>IF(N10029="","",'Master Barang'!B23)</f>
        <v>sabun cuci tangan</v>
      </c>
      <c r="P10029">
        <f>IF(OR(M10029="",N10029=""),"",SUMIFS('Barang Keluar'!$E:$E,'Barang Keluar'!$A:$A,M10029,'Barang Keluar'!$C:$C,N10029))</f>
        <v>0</v>
      </c>
    </row>
    <row r="10030" spans="13:16">
      <c r="M10030" s="49">
        <f>IF($A$4+100&gt;$B$4,"",$A$4+100)</f>
        <v>46123</v>
      </c>
      <c r="N10030" t="str">
        <f>IF(M10030="","",'Master Barang'!A24)</f>
        <v>PRL-023</v>
      </c>
      <c r="O10030" t="str">
        <f>IF(N10030="","",'Master Barang'!B24)</f>
        <v>gayung kecil</v>
      </c>
      <c r="P10030">
        <f>IF(OR(M10030="",N10030=""),"",SUMIFS('Barang Keluar'!$E:$E,'Barang Keluar'!$A:$A,M10030,'Barang Keluar'!$C:$C,N10030))</f>
        <v>0</v>
      </c>
    </row>
    <row r="10031" spans="13:16">
      <c r="M10031" s="49">
        <f>IF($A$4+100&gt;$B$4,"",$A$4+100)</f>
        <v>46123</v>
      </c>
      <c r="N10031" t="str">
        <f>IF(M10031="","",'Master Barang'!A25)</f>
        <v>PRL-024</v>
      </c>
      <c r="O10031" t="str">
        <f>IF(N10031="","",'Master Barang'!B25)</f>
        <v>cikrak kecil</v>
      </c>
      <c r="P10031">
        <f>IF(OR(M10031="",N10031=""),"",SUMIFS('Barang Keluar'!$E:$E,'Barang Keluar'!$A:$A,M10031,'Barang Keluar'!$C:$C,N10031))</f>
        <v>0</v>
      </c>
    </row>
    <row r="10032" spans="13:16">
      <c r="M10032" s="49">
        <f>IF($A$4+100&gt;$B$4,"",$A$4+100)</f>
        <v>46123</v>
      </c>
      <c r="N10032" t="str">
        <f>IF(M10032="","",'Master Barang'!A26)</f>
        <v>PRL-025</v>
      </c>
      <c r="O10032" t="str">
        <f>IF(N10032="","",'Master Barang'!B26)</f>
        <v>petromax plastik kecil 12x24 100 lembar</v>
      </c>
      <c r="P10032">
        <f>IF(OR(M10032="",N10032=""),"",SUMIFS('Barang Keluar'!$E:$E,'Barang Keluar'!$A:$A,M10032,'Barang Keluar'!$C:$C,N10032))</f>
        <v>0</v>
      </c>
    </row>
    <row r="10033" spans="13:16">
      <c r="M10033" s="49">
        <f>IF($A$4+100&gt;$B$4,"",$A$4+100)</f>
        <v>46123</v>
      </c>
      <c r="N10033" t="str">
        <f>IF(M10033="","",'Master Barang'!A27)</f>
        <v>PRL-026</v>
      </c>
      <c r="O10033" t="str">
        <f>IF(N10033="","",'Master Barang'!B27)</f>
        <v>lancar kresek kecil bening </v>
      </c>
      <c r="P10033">
        <f>IF(OR(M10033="",N10033=""),"",SUMIFS('Barang Keluar'!$E:$E,'Barang Keluar'!$A:$A,M10033,'Barang Keluar'!$C:$C,N10033))</f>
        <v>0</v>
      </c>
    </row>
    <row r="10034" spans="13:16">
      <c r="M10034" s="49">
        <f>IF($A$4+100&gt;$B$4,"",$A$4+100)</f>
        <v>46123</v>
      </c>
      <c r="N10034" t="str">
        <f>IF(M10034="","",'Master Barang'!A28)</f>
        <v>PRL-027</v>
      </c>
      <c r="O10034" t="str">
        <f>IF(N10034="","",'Master Barang'!B28)</f>
        <v>kresek klin warna warni kecil</v>
      </c>
      <c r="P10034">
        <f>IF(OR(M10034="",N10034=""),"",SUMIFS('Barang Keluar'!$E:$E,'Barang Keluar'!$A:$A,M10034,'Barang Keluar'!$C:$C,N10034))</f>
        <v>0</v>
      </c>
    </row>
    <row r="10035" spans="13:16">
      <c r="M10035" s="49">
        <f>IF($A$4+100&gt;$B$4,"",$A$4+100)</f>
        <v>46123</v>
      </c>
      <c r="N10035" t="str">
        <f>IF(M10035="","",'Master Barang'!A29)</f>
        <v>PRL-028</v>
      </c>
      <c r="O10035" t="str">
        <f>IF(N10035="","",'Master Barang'!B29)</f>
        <v>ctik plastik 7x10 100 pcs</v>
      </c>
      <c r="P10035">
        <f>IF(OR(M10035="",N10035=""),"",SUMIFS('Barang Keluar'!$E:$E,'Barang Keluar'!$A:$A,M10035,'Barang Keluar'!$C:$C,N10035))</f>
        <v>0</v>
      </c>
    </row>
    <row r="10036" spans="13:16">
      <c r="M10036" s="49">
        <f>IF($A$4+100&gt;$B$4,"",$A$4+100)</f>
        <v>46123</v>
      </c>
      <c r="N10036" t="str">
        <f>IF(M10036="","",'Master Barang'!A30)</f>
        <v>PRL-029</v>
      </c>
      <c r="O10036" t="str">
        <f>IF(N10036="","",'Master Barang'!B30)</f>
        <v>ctik plastik 6x10 100 pcs</v>
      </c>
      <c r="P10036">
        <f>IF(OR(M10036="",N10036=""),"",SUMIFS('Barang Keluar'!$E:$E,'Barang Keluar'!$A:$A,M10036,'Barang Keluar'!$C:$C,N10036))</f>
        <v>0</v>
      </c>
    </row>
    <row r="10037" spans="13:16">
      <c r="M10037" s="49">
        <f>IF($A$4+100&gt;$B$4,"",$A$4+100)</f>
        <v>46123</v>
      </c>
      <c r="N10037" t="str">
        <f>IF(M10037="","",'Master Barang'!A31)</f>
        <v>PRL-030</v>
      </c>
      <c r="O10037" t="str">
        <f>IF(N10037="","",'Master Barang'!B31)</f>
        <v>klip plastik 25x16 100 pcs</v>
      </c>
      <c r="P10037">
        <f>IF(OR(M10037="",N10037=""),"",SUMIFS('Barang Keluar'!$E:$E,'Barang Keluar'!$A:$A,M10037,'Barang Keluar'!$C:$C,N10037))</f>
        <v>0</v>
      </c>
    </row>
    <row r="10038" spans="13:16">
      <c r="M10038" s="49">
        <f>IF($A$4+100&gt;$B$4,"",$A$4+100)</f>
        <v>46123</v>
      </c>
      <c r="N10038" t="str">
        <f>IF(M10038="","",'Master Barang'!A32)</f>
        <v>PRL-031</v>
      </c>
      <c r="O10038" t="str">
        <f>IF(N10038="","",'Master Barang'!B32)</f>
        <v>tempat saus 20 ml</v>
      </c>
      <c r="P10038">
        <f>IF(OR(M10038="",N10038=""),"",SUMIFS('Barang Keluar'!$E:$E,'Barang Keluar'!$A:$A,M10038,'Barang Keluar'!$C:$C,N10038))</f>
        <v>0</v>
      </c>
    </row>
    <row r="10039" spans="13:16">
      <c r="M10039" s="49">
        <f>IF($A$4+100&gt;$B$4,"",$A$4+100)</f>
        <v>46123</v>
      </c>
      <c r="N10039" t="str">
        <f>IF(M10039="","",'Master Barang'!A33)</f>
        <v>PRL-032</v>
      </c>
      <c r="O10039" t="str">
        <f>IF(N10039="","",'Master Barang'!B33)</f>
        <v>plastik packaging ag box uk sedang</v>
      </c>
      <c r="P10039">
        <f>IF(OR(M10039="",N10039=""),"",SUMIFS('Barang Keluar'!$E:$E,'Barang Keluar'!$A:$A,M10039,'Barang Keluar'!$C:$C,N10039))</f>
        <v>0</v>
      </c>
    </row>
    <row r="10040" spans="13:16">
      <c r="M10040" s="49">
        <f>IF($A$4+100&gt;$B$4,"",$A$4+100)</f>
        <v>46123</v>
      </c>
      <c r="N10040" t="str">
        <f>IF(M10040="","",'Master Barang'!A34)</f>
        <v>PRL-033</v>
      </c>
      <c r="O10040">
        <f>IF(N10040="","",'Master Barang'!B34)</f>
        <v>0</v>
      </c>
      <c r="P10040">
        <f>IF(OR(M10040="",N10040=""),"",SUMIFS('Barang Keluar'!$E:$E,'Barang Keluar'!$A:$A,M10040,'Barang Keluar'!$C:$C,N10040))</f>
        <v>0</v>
      </c>
    </row>
    <row r="10041" spans="13:16">
      <c r="M10041" s="49">
        <f>IF($A$4+100&gt;$B$4,"",$A$4+100)</f>
        <v>46123</v>
      </c>
      <c r="N10041">
        <f>IF(M10041="","",'Master Barang'!A35)</f>
        <v>0</v>
      </c>
      <c r="O10041">
        <f>IF(N10041="","",'Master Barang'!B35)</f>
        <v>0</v>
      </c>
      <c r="P10041">
        <f>IF(OR(M10041="",N10041=""),"",SUMIFS('Barang Keluar'!$E:$E,'Barang Keluar'!$A:$A,M10041,'Barang Keluar'!$C:$C,N10041))</f>
        <v>0</v>
      </c>
    </row>
    <row r="10042" spans="13:16">
      <c r="M10042" s="49">
        <f>IF($A$4+100&gt;$B$4,"",$A$4+100)</f>
        <v>46123</v>
      </c>
      <c r="N10042">
        <f>IF(M10042="","",'Master Barang'!A36)</f>
        <v>0</v>
      </c>
      <c r="O10042">
        <f>IF(N10042="","",'Master Barang'!B36)</f>
        <v>0</v>
      </c>
      <c r="P10042">
        <f>IF(OR(M10042="",N10042=""),"",SUMIFS('Barang Keluar'!$E:$E,'Barang Keluar'!$A:$A,M10042,'Barang Keluar'!$C:$C,N10042))</f>
        <v>0</v>
      </c>
    </row>
    <row r="10043" spans="13:16">
      <c r="M10043" s="49">
        <f>IF($A$4+100&gt;$B$4,"",$A$4+100)</f>
        <v>46123</v>
      </c>
      <c r="N10043">
        <f>IF(M10043="","",'Master Barang'!A37)</f>
        <v>0</v>
      </c>
      <c r="O10043">
        <f>IF(N10043="","",'Master Barang'!B37)</f>
        <v>0</v>
      </c>
      <c r="P10043">
        <f>IF(OR(M10043="",N10043=""),"",SUMIFS('Barang Keluar'!$E:$E,'Barang Keluar'!$A:$A,M10043,'Barang Keluar'!$C:$C,N10043))</f>
        <v>0</v>
      </c>
    </row>
    <row r="10044" spans="13:16">
      <c r="M10044" s="49">
        <f>IF($A$4+100&gt;$B$4,"",$A$4+100)</f>
        <v>46123</v>
      </c>
      <c r="N10044">
        <f>IF(M10044="","",'Master Barang'!A38)</f>
        <v>0</v>
      </c>
      <c r="O10044">
        <f>IF(N10044="","",'Master Barang'!B38)</f>
        <v>0</v>
      </c>
      <c r="P10044">
        <f>IF(OR(M10044="",N10044=""),"",SUMIFS('Barang Keluar'!$E:$E,'Barang Keluar'!$A:$A,M10044,'Barang Keluar'!$C:$C,N10044))</f>
        <v>0</v>
      </c>
    </row>
    <row r="10045" spans="13:16">
      <c r="M10045" s="49">
        <f>IF($A$4+100&gt;$B$4,"",$A$4+100)</f>
        <v>46123</v>
      </c>
      <c r="N10045">
        <f>IF(M10045="","",'Master Barang'!A39)</f>
        <v>0</v>
      </c>
      <c r="O10045">
        <f>IF(N10045="","",'Master Barang'!B39)</f>
        <v>0</v>
      </c>
      <c r="P10045">
        <f>IF(OR(M10045="",N10045=""),"",SUMIFS('Barang Keluar'!$E:$E,'Barang Keluar'!$A:$A,M10045,'Barang Keluar'!$C:$C,N10045))</f>
        <v>0</v>
      </c>
    </row>
    <row r="10046" spans="13:16">
      <c r="M10046" s="49">
        <f>IF($A$4+100&gt;$B$4,"",$A$4+100)</f>
        <v>46123</v>
      </c>
      <c r="N10046">
        <f>IF(M10046="","",'Master Barang'!A40)</f>
        <v>0</v>
      </c>
      <c r="O10046">
        <f>IF(N10046="","",'Master Barang'!B40)</f>
        <v>0</v>
      </c>
      <c r="P10046">
        <f>IF(OR(M10046="",N10046=""),"",SUMIFS('Barang Keluar'!$E:$E,'Barang Keluar'!$A:$A,M10046,'Barang Keluar'!$C:$C,N10046))</f>
        <v>0</v>
      </c>
    </row>
    <row r="10047" spans="13:16">
      <c r="M10047" s="49">
        <f>IF($A$4+100&gt;$B$4,"",$A$4+100)</f>
        <v>46123</v>
      </c>
      <c r="N10047">
        <f>IF(M10047="","",'Master Barang'!A41)</f>
        <v>0</v>
      </c>
      <c r="O10047">
        <f>IF(N10047="","",'Master Barang'!B41)</f>
        <v>0</v>
      </c>
      <c r="P10047">
        <f>IF(OR(M10047="",N10047=""),"",SUMIFS('Barang Keluar'!$E:$E,'Barang Keluar'!$A:$A,M10047,'Barang Keluar'!$C:$C,N10047))</f>
        <v>0</v>
      </c>
    </row>
    <row r="10048" spans="13:16">
      <c r="M10048" s="49">
        <f>IF($A$4+100&gt;$B$4,"",$A$4+100)</f>
        <v>46123</v>
      </c>
      <c r="N10048">
        <f>IF(M10048="","",'Master Barang'!A42)</f>
        <v>0</v>
      </c>
      <c r="O10048">
        <f>IF(N10048="","",'Master Barang'!B42)</f>
        <v>0</v>
      </c>
      <c r="P10048">
        <f>IF(OR(M10048="",N10048=""),"",SUMIFS('Barang Keluar'!$E:$E,'Barang Keluar'!$A:$A,M10048,'Barang Keluar'!$C:$C,N10048))</f>
        <v>0</v>
      </c>
    </row>
    <row r="10049" spans="13:16">
      <c r="M10049" s="49">
        <f>IF($A$4+100&gt;$B$4,"",$A$4+100)</f>
        <v>46123</v>
      </c>
      <c r="N10049">
        <f>IF(M10049="","",'Master Barang'!A43)</f>
        <v>0</v>
      </c>
      <c r="O10049">
        <f>IF(N10049="","",'Master Barang'!B43)</f>
        <v>0</v>
      </c>
      <c r="P10049">
        <f>IF(OR(M10049="",N10049=""),"",SUMIFS('Barang Keluar'!$E:$E,'Barang Keluar'!$A:$A,M10049,'Barang Keluar'!$C:$C,N10049))</f>
        <v>0</v>
      </c>
    </row>
    <row r="10050" spans="13:16">
      <c r="M10050" s="49">
        <f>IF($A$4+100&gt;$B$4,"",$A$4+100)</f>
        <v>46123</v>
      </c>
      <c r="N10050">
        <f>IF(M10050="","",'Master Barang'!A44)</f>
        <v>0</v>
      </c>
      <c r="O10050">
        <f>IF(N10050="","",'Master Barang'!B44)</f>
        <v>0</v>
      </c>
      <c r="P10050">
        <f>IF(OR(M10050="",N10050=""),"",SUMIFS('Barang Keluar'!$E:$E,'Barang Keluar'!$A:$A,M10050,'Barang Keluar'!$C:$C,N10050))</f>
        <v>0</v>
      </c>
    </row>
    <row r="10051" spans="13:16">
      <c r="M10051" s="49">
        <f>IF($A$4+100&gt;$B$4,"",$A$4+100)</f>
        <v>46123</v>
      </c>
      <c r="N10051">
        <f>IF(M10051="","",'Master Barang'!A45)</f>
        <v>0</v>
      </c>
      <c r="O10051">
        <f>IF(N10051="","",'Master Barang'!B45)</f>
        <v>0</v>
      </c>
      <c r="P10051">
        <f>IF(OR(M10051="",N10051=""),"",SUMIFS('Barang Keluar'!$E:$E,'Barang Keluar'!$A:$A,M10051,'Barang Keluar'!$C:$C,N10051))</f>
        <v>0</v>
      </c>
    </row>
    <row r="10052" spans="13:16">
      <c r="M10052" s="49">
        <f>IF($A$4+100&gt;$B$4,"",$A$4+100)</f>
        <v>46123</v>
      </c>
      <c r="N10052">
        <f>IF(M10052="","",'Master Barang'!A46)</f>
        <v>0</v>
      </c>
      <c r="O10052">
        <f>IF(N10052="","",'Master Barang'!B46)</f>
        <v>0</v>
      </c>
      <c r="P10052">
        <f>IF(OR(M10052="",N10052=""),"",SUMIFS('Barang Keluar'!$E:$E,'Barang Keluar'!$A:$A,M10052,'Barang Keluar'!$C:$C,N10052))</f>
        <v>0</v>
      </c>
    </row>
    <row r="10053" spans="13:16">
      <c r="M10053" s="49">
        <f>IF($A$4+100&gt;$B$4,"",$A$4+100)</f>
        <v>46123</v>
      </c>
      <c r="N10053">
        <f>IF(M10053="","",'Master Barang'!A47)</f>
        <v>0</v>
      </c>
      <c r="O10053">
        <f>IF(N10053="","",'Master Barang'!B47)</f>
        <v>0</v>
      </c>
      <c r="P10053">
        <f>IF(OR(M10053="",N10053=""),"",SUMIFS('Barang Keluar'!$E:$E,'Barang Keluar'!$A:$A,M10053,'Barang Keluar'!$C:$C,N10053))</f>
        <v>0</v>
      </c>
    </row>
    <row r="10054" spans="13:16">
      <c r="M10054" s="49">
        <f>IF($A$4+100&gt;$B$4,"",$A$4+100)</f>
        <v>46123</v>
      </c>
      <c r="N10054">
        <f>IF(M10054="","",'Master Barang'!A48)</f>
        <v>0</v>
      </c>
      <c r="O10054">
        <f>IF(N10054="","",'Master Barang'!B48)</f>
        <v>0</v>
      </c>
      <c r="P10054">
        <f>IF(OR(M10054="",N10054=""),"",SUMIFS('Barang Keluar'!$E:$E,'Barang Keluar'!$A:$A,M10054,'Barang Keluar'!$C:$C,N10054))</f>
        <v>0</v>
      </c>
    </row>
    <row r="10055" spans="13:16">
      <c r="M10055" s="49">
        <f>IF($A$4+100&gt;$B$4,"",$A$4+100)</f>
        <v>46123</v>
      </c>
      <c r="N10055">
        <f>IF(M10055="","",'Master Barang'!A49)</f>
        <v>0</v>
      </c>
      <c r="O10055">
        <f>IF(N10055="","",'Master Barang'!B49)</f>
        <v>0</v>
      </c>
      <c r="P10055">
        <f>IF(OR(M10055="",N10055=""),"",SUMIFS('Barang Keluar'!$E:$E,'Barang Keluar'!$A:$A,M10055,'Barang Keluar'!$C:$C,N10055))</f>
        <v>0</v>
      </c>
    </row>
    <row r="10056" spans="13:16">
      <c r="M10056" s="49">
        <f>IF($A$4+100&gt;$B$4,"",$A$4+100)</f>
        <v>46123</v>
      </c>
      <c r="N10056">
        <f>IF(M10056="","",'Master Barang'!A50)</f>
        <v>0</v>
      </c>
      <c r="O10056">
        <f>IF(N10056="","",'Master Barang'!B50)</f>
        <v>0</v>
      </c>
      <c r="P10056">
        <f>IF(OR(M10056="",N10056=""),"",SUMIFS('Barang Keluar'!$E:$E,'Barang Keluar'!$A:$A,M10056,'Barang Keluar'!$C:$C,N10056))</f>
        <v>0</v>
      </c>
    </row>
    <row r="10057" spans="13:16">
      <c r="M10057" s="49">
        <f>IF($A$4+100&gt;$B$4,"",$A$4+100)</f>
        <v>46123</v>
      </c>
      <c r="N10057">
        <f>IF(M10057="","",'Master Barang'!A51)</f>
        <v>0</v>
      </c>
      <c r="O10057">
        <f>IF(N10057="","",'Master Barang'!B51)</f>
        <v>0</v>
      </c>
      <c r="P10057">
        <f>IF(OR(M10057="",N10057=""),"",SUMIFS('Barang Keluar'!$E:$E,'Barang Keluar'!$A:$A,M10057,'Barang Keluar'!$C:$C,N10057))</f>
        <v>0</v>
      </c>
    </row>
    <row r="10058" spans="13:16">
      <c r="M10058" s="49">
        <f>IF($A$4+100&gt;$B$4,"",$A$4+100)</f>
        <v>46123</v>
      </c>
      <c r="N10058">
        <f>IF(M10058="","",'Master Barang'!A52)</f>
        <v>0</v>
      </c>
      <c r="O10058">
        <f>IF(N10058="","",'Master Barang'!B52)</f>
        <v>0</v>
      </c>
      <c r="P10058">
        <f>IF(OR(M10058="",N10058=""),"",SUMIFS('Barang Keluar'!$E:$E,'Barang Keluar'!$A:$A,M10058,'Barang Keluar'!$C:$C,N10058))</f>
        <v>0</v>
      </c>
    </row>
    <row r="10059" spans="13:16">
      <c r="M10059" s="49">
        <f>IF($A$4+100&gt;$B$4,"",$A$4+100)</f>
        <v>46123</v>
      </c>
      <c r="N10059">
        <f>IF(M10059="","",'Master Barang'!A53)</f>
        <v>0</v>
      </c>
      <c r="O10059">
        <f>IF(N10059="","",'Master Barang'!B53)</f>
        <v>0</v>
      </c>
      <c r="P10059">
        <f>IF(OR(M10059="",N10059=""),"",SUMIFS('Barang Keluar'!$E:$E,'Barang Keluar'!$A:$A,M10059,'Barang Keluar'!$C:$C,N10059))</f>
        <v>0</v>
      </c>
    </row>
    <row r="10060" spans="13:16">
      <c r="M10060" s="49">
        <f>IF($A$4+100&gt;$B$4,"",$A$4+100)</f>
        <v>46123</v>
      </c>
      <c r="N10060">
        <f>IF(M10060="","",'Master Barang'!A54)</f>
        <v>0</v>
      </c>
      <c r="O10060">
        <f>IF(N10060="","",'Master Barang'!B54)</f>
        <v>0</v>
      </c>
      <c r="P10060">
        <f>IF(OR(M10060="",N10060=""),"",SUMIFS('Barang Keluar'!$E:$E,'Barang Keluar'!$A:$A,M10060,'Barang Keluar'!$C:$C,N10060))</f>
        <v>0</v>
      </c>
    </row>
    <row r="10061" spans="13:16">
      <c r="M10061" s="49">
        <f>IF($A$4+100&gt;$B$4,"",$A$4+100)</f>
        <v>46123</v>
      </c>
      <c r="N10061">
        <f>IF(M10061="","",'Master Barang'!A55)</f>
        <v>0</v>
      </c>
      <c r="O10061">
        <f>IF(N10061="","",'Master Barang'!B55)</f>
        <v>0</v>
      </c>
      <c r="P10061">
        <f>IF(OR(M10061="",N10061=""),"",SUMIFS('Barang Keluar'!$E:$E,'Barang Keluar'!$A:$A,M10061,'Barang Keluar'!$C:$C,N10061))</f>
        <v>0</v>
      </c>
    </row>
    <row r="10062" spans="13:16">
      <c r="M10062" s="49">
        <f>IF($A$4+100&gt;$B$4,"",$A$4+100)</f>
        <v>46123</v>
      </c>
      <c r="N10062">
        <f>IF(M10062="","",'Master Barang'!A56)</f>
        <v>0</v>
      </c>
      <c r="O10062">
        <f>IF(N10062="","",'Master Barang'!B56)</f>
        <v>0</v>
      </c>
      <c r="P10062">
        <f>IF(OR(M10062="",N10062=""),"",SUMIFS('Barang Keluar'!$E:$E,'Barang Keluar'!$A:$A,M10062,'Barang Keluar'!$C:$C,N10062))</f>
        <v>0</v>
      </c>
    </row>
    <row r="10063" spans="13:16">
      <c r="M10063" s="49">
        <f>IF($A$4+100&gt;$B$4,"",$A$4+100)</f>
        <v>46123</v>
      </c>
      <c r="N10063">
        <f>IF(M10063="","",'Master Barang'!A57)</f>
        <v>0</v>
      </c>
      <c r="O10063">
        <f>IF(N10063="","",'Master Barang'!B57)</f>
        <v>0</v>
      </c>
      <c r="P10063">
        <f>IF(OR(M10063="",N10063=""),"",SUMIFS('Barang Keluar'!$E:$E,'Barang Keluar'!$A:$A,M10063,'Barang Keluar'!$C:$C,N10063))</f>
        <v>0</v>
      </c>
    </row>
    <row r="10064" spans="13:16">
      <c r="M10064" s="49">
        <f>IF($A$4+100&gt;$B$4,"",$A$4+100)</f>
        <v>46123</v>
      </c>
      <c r="N10064">
        <f>IF(M10064="","",'Master Barang'!A58)</f>
        <v>0</v>
      </c>
      <c r="O10064">
        <f>IF(N10064="","",'Master Barang'!B58)</f>
        <v>0</v>
      </c>
      <c r="P10064">
        <f>IF(OR(M10064="",N10064=""),"",SUMIFS('Barang Keluar'!$E:$E,'Barang Keluar'!$A:$A,M10064,'Barang Keluar'!$C:$C,N10064))</f>
        <v>0</v>
      </c>
    </row>
    <row r="10065" spans="13:16">
      <c r="M10065" s="49">
        <f>IF($A$4+100&gt;$B$4,"",$A$4+100)</f>
        <v>46123</v>
      </c>
      <c r="N10065">
        <f>IF(M10065="","",'Master Barang'!A59)</f>
        <v>0</v>
      </c>
      <c r="O10065">
        <f>IF(N10065="","",'Master Barang'!B59)</f>
        <v>0</v>
      </c>
      <c r="P10065">
        <f>IF(OR(M10065="",N10065=""),"",SUMIFS('Barang Keluar'!$E:$E,'Barang Keluar'!$A:$A,M10065,'Barang Keluar'!$C:$C,N10065))</f>
        <v>0</v>
      </c>
    </row>
    <row r="10066" spans="13:16">
      <c r="M10066" s="49">
        <f>IF($A$4+100&gt;$B$4,"",$A$4+100)</f>
        <v>46123</v>
      </c>
      <c r="N10066">
        <f>IF(M10066="","",'Master Barang'!A60)</f>
        <v>0</v>
      </c>
      <c r="O10066">
        <f>IF(N10066="","",'Master Barang'!B60)</f>
        <v>0</v>
      </c>
      <c r="P10066">
        <f>IF(OR(M10066="",N10066=""),"",SUMIFS('Barang Keluar'!$E:$E,'Barang Keluar'!$A:$A,M10066,'Barang Keluar'!$C:$C,N10066))</f>
        <v>0</v>
      </c>
    </row>
    <row r="10067" spans="13:16">
      <c r="M10067" s="49">
        <f>IF($A$4+100&gt;$B$4,"",$A$4+100)</f>
        <v>46123</v>
      </c>
      <c r="N10067">
        <f>IF(M10067="","",'Master Barang'!A61)</f>
        <v>0</v>
      </c>
      <c r="O10067">
        <f>IF(N10067="","",'Master Barang'!B61)</f>
        <v>0</v>
      </c>
      <c r="P10067">
        <f>IF(OR(M10067="",N10067=""),"",SUMIFS('Barang Keluar'!$E:$E,'Barang Keluar'!$A:$A,M10067,'Barang Keluar'!$C:$C,N10067))</f>
        <v>0</v>
      </c>
    </row>
    <row r="10068" spans="13:16">
      <c r="M10068" s="49">
        <f>IF($A$4+100&gt;$B$4,"",$A$4+100)</f>
        <v>46123</v>
      </c>
      <c r="N10068">
        <f>IF(M10068="","",'Master Barang'!A62)</f>
        <v>0</v>
      </c>
      <c r="O10068">
        <f>IF(N10068="","",'Master Barang'!B62)</f>
        <v>0</v>
      </c>
      <c r="P10068">
        <f>IF(OR(M10068="",N10068=""),"",SUMIFS('Barang Keluar'!$E:$E,'Barang Keluar'!$A:$A,M10068,'Barang Keluar'!$C:$C,N10068))</f>
        <v>0</v>
      </c>
    </row>
    <row r="10069" spans="13:16">
      <c r="M10069" s="49">
        <f>IF($A$4+100&gt;$B$4,"",$A$4+100)</f>
        <v>46123</v>
      </c>
      <c r="N10069">
        <f>IF(M10069="","",'Master Barang'!A63)</f>
        <v>0</v>
      </c>
      <c r="O10069">
        <f>IF(N10069="","",'Master Barang'!B63)</f>
        <v>0</v>
      </c>
      <c r="P10069">
        <f>IF(OR(M10069="",N10069=""),"",SUMIFS('Barang Keluar'!$E:$E,'Barang Keluar'!$A:$A,M10069,'Barang Keluar'!$C:$C,N10069))</f>
        <v>0</v>
      </c>
    </row>
    <row r="10070" spans="13:16">
      <c r="M10070" s="49">
        <f>IF($A$4+100&gt;$B$4,"",$A$4+100)</f>
        <v>46123</v>
      </c>
      <c r="N10070">
        <f>IF(M10070="","",'Master Barang'!A64)</f>
        <v>0</v>
      </c>
      <c r="O10070">
        <f>IF(N10070="","",'Master Barang'!B64)</f>
        <v>0</v>
      </c>
      <c r="P10070">
        <f>IF(OR(M10070="",N10070=""),"",SUMIFS('Barang Keluar'!$E:$E,'Barang Keluar'!$A:$A,M10070,'Barang Keluar'!$C:$C,N10070))</f>
        <v>0</v>
      </c>
    </row>
    <row r="10071" spans="13:16">
      <c r="M10071" s="49">
        <f>IF($A$4+100&gt;$B$4,"",$A$4+100)</f>
        <v>46123</v>
      </c>
      <c r="N10071">
        <f>IF(M10071="","",'Master Barang'!A65)</f>
        <v>0</v>
      </c>
      <c r="O10071">
        <f>IF(N10071="","",'Master Barang'!B65)</f>
        <v>0</v>
      </c>
      <c r="P10071">
        <f>IF(OR(M10071="",N10071=""),"",SUMIFS('Barang Keluar'!$E:$E,'Barang Keluar'!$A:$A,M10071,'Barang Keluar'!$C:$C,N10071))</f>
        <v>0</v>
      </c>
    </row>
    <row r="10072" spans="13:16">
      <c r="M10072" s="49">
        <f>IF($A$4+100&gt;$B$4,"",$A$4+100)</f>
        <v>46123</v>
      </c>
      <c r="N10072">
        <f>IF(M10072="","",'Master Barang'!A66)</f>
        <v>0</v>
      </c>
      <c r="O10072">
        <f>IF(N10072="","",'Master Barang'!B66)</f>
        <v>0</v>
      </c>
      <c r="P10072">
        <f>IF(OR(M10072="",N10072=""),"",SUMIFS('Barang Keluar'!$E:$E,'Barang Keluar'!$A:$A,M10072,'Barang Keluar'!$C:$C,N10072))</f>
        <v>0</v>
      </c>
    </row>
    <row r="10073" spans="13:16">
      <c r="M10073" s="49">
        <f>IF($A$4+100&gt;$B$4,"",$A$4+100)</f>
        <v>46123</v>
      </c>
      <c r="N10073">
        <f>IF(M10073="","",'Master Barang'!A67)</f>
        <v>0</v>
      </c>
      <c r="O10073">
        <f>IF(N10073="","",'Master Barang'!B67)</f>
        <v>0</v>
      </c>
      <c r="P10073">
        <f>IF(OR(M10073="",N10073=""),"",SUMIFS('Barang Keluar'!$E:$E,'Barang Keluar'!$A:$A,M10073,'Barang Keluar'!$C:$C,N10073))</f>
        <v>0</v>
      </c>
    </row>
    <row r="10074" spans="13:16">
      <c r="M10074" s="49">
        <f>IF($A$4+100&gt;$B$4,"",$A$4+100)</f>
        <v>46123</v>
      </c>
      <c r="N10074">
        <f>IF(M10074="","",'Master Barang'!A68)</f>
        <v>0</v>
      </c>
      <c r="O10074">
        <f>IF(N10074="","",'Master Barang'!B68)</f>
        <v>0</v>
      </c>
      <c r="P10074">
        <f>IF(OR(M10074="",N10074=""),"",SUMIFS('Barang Keluar'!$E:$E,'Barang Keluar'!$A:$A,M10074,'Barang Keluar'!$C:$C,N10074))</f>
        <v>0</v>
      </c>
    </row>
    <row r="10075" spans="13:16">
      <c r="M10075" s="49">
        <f>IF($A$4+100&gt;$B$4,"",$A$4+100)</f>
        <v>46123</v>
      </c>
      <c r="N10075">
        <f>IF(M10075="","",'Master Barang'!A69)</f>
        <v>0</v>
      </c>
      <c r="O10075">
        <f>IF(N10075="","",'Master Barang'!B69)</f>
        <v>0</v>
      </c>
      <c r="P10075">
        <f>IF(OR(M10075="",N10075=""),"",SUMIFS('Barang Keluar'!$E:$E,'Barang Keluar'!$A:$A,M10075,'Barang Keluar'!$C:$C,N10075))</f>
        <v>0</v>
      </c>
    </row>
    <row r="10076" spans="13:16">
      <c r="M10076" s="49">
        <f>IF($A$4+100&gt;$B$4,"",$A$4+100)</f>
        <v>46123</v>
      </c>
      <c r="N10076">
        <f>IF(M10076="","",'Master Barang'!A70)</f>
        <v>0</v>
      </c>
      <c r="O10076">
        <f>IF(N10076="","",'Master Barang'!B70)</f>
        <v>0</v>
      </c>
      <c r="P10076">
        <f>IF(OR(M10076="",N10076=""),"",SUMIFS('Barang Keluar'!$E:$E,'Barang Keluar'!$A:$A,M10076,'Barang Keluar'!$C:$C,N10076))</f>
        <v>0</v>
      </c>
    </row>
    <row r="10077" spans="13:16">
      <c r="M10077" s="49">
        <f>IF($A$4+100&gt;$B$4,"",$A$4+100)</f>
        <v>46123</v>
      </c>
      <c r="N10077">
        <f>IF(M10077="","",'Master Barang'!A71)</f>
        <v>0</v>
      </c>
      <c r="O10077">
        <f>IF(N10077="","",'Master Barang'!B71)</f>
        <v>0</v>
      </c>
      <c r="P10077">
        <f>IF(OR(M10077="",N10077=""),"",SUMIFS('Barang Keluar'!$E:$E,'Barang Keluar'!$A:$A,M10077,'Barang Keluar'!$C:$C,N10077))</f>
        <v>0</v>
      </c>
    </row>
    <row r="10078" spans="13:16">
      <c r="M10078" s="49">
        <f>IF($A$4+100&gt;$B$4,"",$A$4+100)</f>
        <v>46123</v>
      </c>
      <c r="N10078">
        <f>IF(M10078="","",'Master Barang'!A72)</f>
        <v>0</v>
      </c>
      <c r="O10078">
        <f>IF(N10078="","",'Master Barang'!B72)</f>
        <v>0</v>
      </c>
      <c r="P10078">
        <f>IF(OR(M10078="",N10078=""),"",SUMIFS('Barang Keluar'!$E:$E,'Barang Keluar'!$A:$A,M10078,'Barang Keluar'!$C:$C,N10078))</f>
        <v>0</v>
      </c>
    </row>
    <row r="10079" spans="13:16">
      <c r="M10079" s="49">
        <f>IF($A$4+100&gt;$B$4,"",$A$4+100)</f>
        <v>46123</v>
      </c>
      <c r="N10079">
        <f>IF(M10079="","",'Master Barang'!A73)</f>
        <v>0</v>
      </c>
      <c r="O10079">
        <f>IF(N10079="","",'Master Barang'!B73)</f>
        <v>0</v>
      </c>
      <c r="P10079">
        <f>IF(OR(M10079="",N10079=""),"",SUMIFS('Barang Keluar'!$E:$E,'Barang Keluar'!$A:$A,M10079,'Barang Keluar'!$C:$C,N10079))</f>
        <v>0</v>
      </c>
    </row>
    <row r="10080" spans="13:16">
      <c r="M10080" s="49">
        <f>IF($A$4+100&gt;$B$4,"",$A$4+100)</f>
        <v>46123</v>
      </c>
      <c r="N10080">
        <f>IF(M10080="","",'Master Barang'!A74)</f>
        <v>0</v>
      </c>
      <c r="O10080">
        <f>IF(N10080="","",'Master Barang'!B74)</f>
        <v>0</v>
      </c>
      <c r="P10080">
        <f>IF(OR(M10080="",N10080=""),"",SUMIFS('Barang Keluar'!$E:$E,'Barang Keluar'!$A:$A,M10080,'Barang Keluar'!$C:$C,N10080))</f>
        <v>0</v>
      </c>
    </row>
    <row r="10081" spans="13:16">
      <c r="M10081" s="49">
        <f>IF($A$4+100&gt;$B$4,"",$A$4+100)</f>
        <v>46123</v>
      </c>
      <c r="N10081">
        <f>IF(M10081="","",'Master Barang'!A75)</f>
        <v>0</v>
      </c>
      <c r="O10081">
        <f>IF(N10081="","",'Master Barang'!B75)</f>
        <v>0</v>
      </c>
      <c r="P10081">
        <f>IF(OR(M10081="",N10081=""),"",SUMIFS('Barang Keluar'!$E:$E,'Barang Keluar'!$A:$A,M10081,'Barang Keluar'!$C:$C,N10081))</f>
        <v>0</v>
      </c>
    </row>
    <row r="10082" spans="13:16">
      <c r="M10082" s="49">
        <f>IF($A$4+100&gt;$B$4,"",$A$4+100)</f>
        <v>46123</v>
      </c>
      <c r="N10082">
        <f>IF(M10082="","",'Master Barang'!A76)</f>
        <v>0</v>
      </c>
      <c r="O10082">
        <f>IF(N10082="","",'Master Barang'!B76)</f>
        <v>0</v>
      </c>
      <c r="P10082">
        <f>IF(OR(M10082="",N10082=""),"",SUMIFS('Barang Keluar'!$E:$E,'Barang Keluar'!$A:$A,M10082,'Barang Keluar'!$C:$C,N10082))</f>
        <v>0</v>
      </c>
    </row>
    <row r="10083" spans="13:16">
      <c r="M10083" s="49">
        <f>IF($A$4+100&gt;$B$4,"",$A$4+100)</f>
        <v>46123</v>
      </c>
      <c r="N10083">
        <f>IF(M10083="","",'Master Barang'!A77)</f>
        <v>0</v>
      </c>
      <c r="O10083">
        <f>IF(N10083="","",'Master Barang'!B77)</f>
        <v>0</v>
      </c>
      <c r="P10083">
        <f>IF(OR(M10083="",N10083=""),"",SUMIFS('Barang Keluar'!$E:$E,'Barang Keluar'!$A:$A,M10083,'Barang Keluar'!$C:$C,N10083))</f>
        <v>0</v>
      </c>
    </row>
    <row r="10084" spans="13:16">
      <c r="M10084" s="49">
        <f>IF($A$4+100&gt;$B$4,"",$A$4+100)</f>
        <v>46123</v>
      </c>
      <c r="N10084">
        <f>IF(M10084="","",'Master Barang'!A78)</f>
        <v>0</v>
      </c>
      <c r="O10084">
        <f>IF(N10084="","",'Master Barang'!B78)</f>
        <v>0</v>
      </c>
      <c r="P10084">
        <f>IF(OR(M10084="",N10084=""),"",SUMIFS('Barang Keluar'!$E:$E,'Barang Keluar'!$A:$A,M10084,'Barang Keluar'!$C:$C,N10084))</f>
        <v>0</v>
      </c>
    </row>
    <row r="10085" spans="13:16">
      <c r="M10085" s="49">
        <f>IF($A$4+100&gt;$B$4,"",$A$4+100)</f>
        <v>46123</v>
      </c>
      <c r="N10085">
        <f>IF(M10085="","",'Master Barang'!A79)</f>
        <v>0</v>
      </c>
      <c r="O10085">
        <f>IF(N10085="","",'Master Barang'!B79)</f>
        <v>0</v>
      </c>
      <c r="P10085">
        <f>IF(OR(M10085="",N10085=""),"",SUMIFS('Barang Keluar'!$E:$E,'Barang Keluar'!$A:$A,M10085,'Barang Keluar'!$C:$C,N10085))</f>
        <v>0</v>
      </c>
    </row>
    <row r="10086" spans="13:16">
      <c r="M10086" s="49">
        <f>IF($A$4+100&gt;$B$4,"",$A$4+100)</f>
        <v>46123</v>
      </c>
      <c r="N10086">
        <f>IF(M10086="","",'Master Barang'!A80)</f>
        <v>0</v>
      </c>
      <c r="O10086">
        <f>IF(N10086="","",'Master Barang'!B80)</f>
        <v>0</v>
      </c>
      <c r="P10086">
        <f>IF(OR(M10086="",N10086=""),"",SUMIFS('Barang Keluar'!$E:$E,'Barang Keluar'!$A:$A,M10086,'Barang Keluar'!$C:$C,N10086))</f>
        <v>0</v>
      </c>
    </row>
    <row r="10087" spans="13:16">
      <c r="M10087" s="49">
        <f>IF($A$4+100&gt;$B$4,"",$A$4+100)</f>
        <v>46123</v>
      </c>
      <c r="N10087">
        <f>IF(M10087="","",'Master Barang'!A81)</f>
        <v>0</v>
      </c>
      <c r="O10087">
        <f>IF(N10087="","",'Master Barang'!B81)</f>
        <v>0</v>
      </c>
      <c r="P10087">
        <f>IF(OR(M10087="",N10087=""),"",SUMIFS('Barang Keluar'!$E:$E,'Barang Keluar'!$A:$A,M10087,'Barang Keluar'!$C:$C,N10087))</f>
        <v>0</v>
      </c>
    </row>
    <row r="10088" spans="13:16">
      <c r="M10088" s="49">
        <f>IF($A$4+100&gt;$B$4,"",$A$4+100)</f>
        <v>46123</v>
      </c>
      <c r="N10088">
        <f>IF(M10088="","",'Master Barang'!A82)</f>
        <v>0</v>
      </c>
      <c r="O10088">
        <f>IF(N10088="","",'Master Barang'!B82)</f>
        <v>0</v>
      </c>
      <c r="P10088">
        <f>IF(OR(M10088="",N10088=""),"",SUMIFS('Barang Keluar'!$E:$E,'Barang Keluar'!$A:$A,M10088,'Barang Keluar'!$C:$C,N10088))</f>
        <v>0</v>
      </c>
    </row>
    <row r="10089" spans="13:16">
      <c r="M10089" s="49">
        <f>IF($A$4+100&gt;$B$4,"",$A$4+100)</f>
        <v>46123</v>
      </c>
      <c r="N10089">
        <f>IF(M10089="","",'Master Barang'!A83)</f>
        <v>0</v>
      </c>
      <c r="O10089">
        <f>IF(N10089="","",'Master Barang'!B83)</f>
        <v>0</v>
      </c>
      <c r="P10089">
        <f>IF(OR(M10089="",N10089=""),"",SUMIFS('Barang Keluar'!$E:$E,'Barang Keluar'!$A:$A,M10089,'Barang Keluar'!$C:$C,N10089))</f>
        <v>0</v>
      </c>
    </row>
    <row r="10090" spans="13:16">
      <c r="M10090" s="49">
        <f>IF($A$4+100&gt;$B$4,"",$A$4+100)</f>
        <v>46123</v>
      </c>
      <c r="N10090">
        <f>IF(M10090="","",'Master Barang'!A84)</f>
        <v>0</v>
      </c>
      <c r="O10090">
        <f>IF(N10090="","",'Master Barang'!B84)</f>
        <v>0</v>
      </c>
      <c r="P10090">
        <f>IF(OR(M10090="",N10090=""),"",SUMIFS('Barang Keluar'!$E:$E,'Barang Keluar'!$A:$A,M10090,'Barang Keluar'!$C:$C,N10090))</f>
        <v>0</v>
      </c>
    </row>
    <row r="10091" spans="13:16">
      <c r="M10091" s="49">
        <f>IF($A$4+100&gt;$B$4,"",$A$4+100)</f>
        <v>46123</v>
      </c>
      <c r="N10091">
        <f>IF(M10091="","",'Master Barang'!A85)</f>
        <v>0</v>
      </c>
      <c r="O10091">
        <f>IF(N10091="","",'Master Barang'!B85)</f>
        <v>0</v>
      </c>
      <c r="P10091">
        <f>IF(OR(M10091="",N10091=""),"",SUMIFS('Barang Keluar'!$E:$E,'Barang Keluar'!$A:$A,M10091,'Barang Keluar'!$C:$C,N10091))</f>
        <v>0</v>
      </c>
    </row>
    <row r="10092" spans="13:16">
      <c r="M10092" s="49">
        <f>IF($A$4+100&gt;$B$4,"",$A$4+100)</f>
        <v>46123</v>
      </c>
      <c r="N10092">
        <f>IF(M10092="","",'Master Barang'!A86)</f>
        <v>0</v>
      </c>
      <c r="O10092">
        <f>IF(N10092="","",'Master Barang'!B86)</f>
        <v>0</v>
      </c>
      <c r="P10092">
        <f>IF(OR(M10092="",N10092=""),"",SUMIFS('Barang Keluar'!$E:$E,'Barang Keluar'!$A:$A,M10092,'Barang Keluar'!$C:$C,N10092))</f>
        <v>0</v>
      </c>
    </row>
    <row r="10093" spans="13:16">
      <c r="M10093" s="49">
        <f>IF($A$4+100&gt;$B$4,"",$A$4+100)</f>
        <v>46123</v>
      </c>
      <c r="N10093">
        <f>IF(M10093="","",'Master Barang'!A87)</f>
        <v>0</v>
      </c>
      <c r="O10093">
        <f>IF(N10093="","",'Master Barang'!B87)</f>
        <v>0</v>
      </c>
      <c r="P10093">
        <f>IF(OR(M10093="",N10093=""),"",SUMIFS('Barang Keluar'!$E:$E,'Barang Keluar'!$A:$A,M10093,'Barang Keluar'!$C:$C,N10093))</f>
        <v>0</v>
      </c>
    </row>
    <row r="10094" spans="13:16">
      <c r="M10094" s="49">
        <f>IF($A$4+100&gt;$B$4,"",$A$4+100)</f>
        <v>46123</v>
      </c>
      <c r="N10094">
        <f>IF(M10094="","",'Master Barang'!A88)</f>
        <v>0</v>
      </c>
      <c r="O10094">
        <f>IF(N10094="","",'Master Barang'!B88)</f>
        <v>0</v>
      </c>
      <c r="P10094">
        <f>IF(OR(M10094="",N10094=""),"",SUMIFS('Barang Keluar'!$E:$E,'Barang Keluar'!$A:$A,M10094,'Barang Keluar'!$C:$C,N10094))</f>
        <v>0</v>
      </c>
    </row>
    <row r="10095" spans="13:16">
      <c r="M10095" s="49">
        <f>IF($A$4+100&gt;$B$4,"",$A$4+100)</f>
        <v>46123</v>
      </c>
      <c r="N10095">
        <f>IF(M10095="","",'Master Barang'!A89)</f>
        <v>0</v>
      </c>
      <c r="O10095">
        <f>IF(N10095="","",'Master Barang'!B89)</f>
        <v>0</v>
      </c>
      <c r="P10095">
        <f>IF(OR(M10095="",N10095=""),"",SUMIFS('Barang Keluar'!$E:$E,'Barang Keluar'!$A:$A,M10095,'Barang Keluar'!$C:$C,N10095))</f>
        <v>0</v>
      </c>
    </row>
    <row r="10096" spans="13:16">
      <c r="M10096" s="49">
        <f>IF($A$4+100&gt;$B$4,"",$A$4+100)</f>
        <v>46123</v>
      </c>
      <c r="N10096">
        <f>IF(M10096="","",'Master Barang'!A90)</f>
        <v>0</v>
      </c>
      <c r="O10096">
        <f>IF(N10096="","",'Master Barang'!B90)</f>
        <v>0</v>
      </c>
      <c r="P10096">
        <f>IF(OR(M10096="",N10096=""),"",SUMIFS('Barang Keluar'!$E:$E,'Barang Keluar'!$A:$A,M10096,'Barang Keluar'!$C:$C,N10096))</f>
        <v>0</v>
      </c>
    </row>
    <row r="10097" spans="13:16">
      <c r="M10097" s="49">
        <f>IF($A$4+100&gt;$B$4,"",$A$4+100)</f>
        <v>46123</v>
      </c>
      <c r="N10097">
        <f>IF(M10097="","",'Master Barang'!A91)</f>
        <v>0</v>
      </c>
      <c r="O10097">
        <f>IF(N10097="","",'Master Barang'!B91)</f>
        <v>0</v>
      </c>
      <c r="P10097">
        <f>IF(OR(M10097="",N10097=""),"",SUMIFS('Barang Keluar'!$E:$E,'Barang Keluar'!$A:$A,M10097,'Barang Keluar'!$C:$C,N10097))</f>
        <v>0</v>
      </c>
    </row>
    <row r="10098" spans="13:16">
      <c r="M10098" s="49">
        <f>IF($A$4+100&gt;$B$4,"",$A$4+100)</f>
        <v>46123</v>
      </c>
      <c r="N10098">
        <f>IF(M10098="","",'Master Barang'!A92)</f>
        <v>0</v>
      </c>
      <c r="O10098">
        <f>IF(N10098="","",'Master Barang'!B92)</f>
        <v>0</v>
      </c>
      <c r="P10098">
        <f>IF(OR(M10098="",N10098=""),"",SUMIFS('Barang Keluar'!$E:$E,'Barang Keluar'!$A:$A,M10098,'Barang Keluar'!$C:$C,N10098))</f>
        <v>0</v>
      </c>
    </row>
    <row r="10099" spans="13:16">
      <c r="M10099" s="49">
        <f>IF($A$4+100&gt;$B$4,"",$A$4+100)</f>
        <v>46123</v>
      </c>
      <c r="N10099">
        <f>IF(M10099="","",'Master Barang'!A93)</f>
        <v>0</v>
      </c>
      <c r="O10099">
        <f>IF(N10099="","",'Master Barang'!B93)</f>
        <v>0</v>
      </c>
      <c r="P10099">
        <f>IF(OR(M10099="",N10099=""),"",SUMIFS('Barang Keluar'!$E:$E,'Barang Keluar'!$A:$A,M10099,'Barang Keluar'!$C:$C,N10099))</f>
        <v>0</v>
      </c>
    </row>
    <row r="10100" spans="13:16">
      <c r="M10100" s="49">
        <f>IF($A$4+100&gt;$B$4,"",$A$4+100)</f>
        <v>46123</v>
      </c>
      <c r="N10100">
        <f>IF(M10100="","",'Master Barang'!A94)</f>
        <v>0</v>
      </c>
      <c r="O10100">
        <f>IF(N10100="","",'Master Barang'!B94)</f>
        <v>0</v>
      </c>
      <c r="P10100">
        <f>IF(OR(M10100="",N10100=""),"",SUMIFS('Barang Keluar'!$E:$E,'Barang Keluar'!$A:$A,M10100,'Barang Keluar'!$C:$C,N10100))</f>
        <v>0</v>
      </c>
    </row>
    <row r="10101" spans="13:16">
      <c r="M10101" s="49">
        <f>IF($A$4+100&gt;$B$4,"",$A$4+100)</f>
        <v>46123</v>
      </c>
      <c r="N10101">
        <f>IF(M10101="","",'Master Barang'!A95)</f>
        <v>0</v>
      </c>
      <c r="O10101">
        <f>IF(N10101="","",'Master Barang'!B95)</f>
        <v>0</v>
      </c>
      <c r="P10101">
        <f>IF(OR(M10101="",N10101=""),"",SUMIFS('Barang Keluar'!$E:$E,'Barang Keluar'!$A:$A,M10101,'Barang Keluar'!$C:$C,N10101))</f>
        <v>0</v>
      </c>
    </row>
    <row r="10102" spans="13:16">
      <c r="M10102" s="49">
        <f>IF($A$4+100&gt;$B$4,"",$A$4+100)</f>
        <v>46123</v>
      </c>
      <c r="N10102">
        <f>IF(M10102="","",'Master Barang'!A96)</f>
        <v>0</v>
      </c>
      <c r="O10102">
        <f>IF(N10102="","",'Master Barang'!B96)</f>
        <v>0</v>
      </c>
      <c r="P10102">
        <f>IF(OR(M10102="",N10102=""),"",SUMIFS('Barang Keluar'!$E:$E,'Barang Keluar'!$A:$A,M10102,'Barang Keluar'!$C:$C,N10102))</f>
        <v>0</v>
      </c>
    </row>
    <row r="10103" spans="13:16">
      <c r="M10103" s="49">
        <f>IF($A$4+100&gt;$B$4,"",$A$4+100)</f>
        <v>46123</v>
      </c>
      <c r="N10103">
        <f>IF(M10103="","",'Master Barang'!A97)</f>
        <v>0</v>
      </c>
      <c r="O10103">
        <f>IF(N10103="","",'Master Barang'!B97)</f>
        <v>0</v>
      </c>
      <c r="P10103">
        <f>IF(OR(M10103="",N10103=""),"",SUMIFS('Barang Keluar'!$E:$E,'Barang Keluar'!$A:$A,M10103,'Barang Keluar'!$C:$C,N10103))</f>
        <v>0</v>
      </c>
    </row>
    <row r="10104" spans="13:16">
      <c r="M10104" s="49">
        <f>IF($A$4+100&gt;$B$4,"",$A$4+100)</f>
        <v>46123</v>
      </c>
      <c r="N10104">
        <f>IF(M10104="","",'Master Barang'!A98)</f>
        <v>0</v>
      </c>
      <c r="O10104">
        <f>IF(N10104="","",'Master Barang'!B98)</f>
        <v>0</v>
      </c>
      <c r="P10104">
        <f>IF(OR(M10104="",N10104=""),"",SUMIFS('Barang Keluar'!$E:$E,'Barang Keluar'!$A:$A,M10104,'Barang Keluar'!$C:$C,N10104))</f>
        <v>0</v>
      </c>
    </row>
    <row r="10105" spans="13:16">
      <c r="M10105" s="49">
        <f>IF($A$4+100&gt;$B$4,"",$A$4+100)</f>
        <v>46123</v>
      </c>
      <c r="N10105">
        <f>IF(M10105="","",'Master Barang'!A99)</f>
        <v>0</v>
      </c>
      <c r="O10105">
        <f>IF(N10105="","",'Master Barang'!B99)</f>
        <v>0</v>
      </c>
      <c r="P10105">
        <f>IF(OR(M10105="",N10105=""),"",SUMIFS('Barang Keluar'!$E:$E,'Barang Keluar'!$A:$A,M10105,'Barang Keluar'!$C:$C,N10105))</f>
        <v>0</v>
      </c>
    </row>
    <row r="10106" spans="13:16">
      <c r="M10106" s="49">
        <f>IF($A$4+100&gt;$B$4,"",$A$4+100)</f>
        <v>46123</v>
      </c>
      <c r="N10106">
        <f>IF(M10106="","",'Master Barang'!A100)</f>
        <v>0</v>
      </c>
      <c r="O10106">
        <f>IF(N10106="","",'Master Barang'!B100)</f>
        <v>0</v>
      </c>
      <c r="P10106">
        <f>IF(OR(M10106="",N10106=""),"",SUMIFS('Barang Keluar'!$E:$E,'Barang Keluar'!$A:$A,M10106,'Barang Keluar'!$C:$C,N10106))</f>
        <v>0</v>
      </c>
    </row>
    <row r="10107" spans="13:16">
      <c r="M10107" s="49">
        <f>IF($A$4+100&gt;$B$4,"",$A$4+100)</f>
        <v>46123</v>
      </c>
      <c r="N10107">
        <f>IF(M10107="","",'Master Barang'!A101)</f>
        <v>0</v>
      </c>
      <c r="O10107">
        <f>IF(N10107="","",'Master Barang'!B101)</f>
        <v>0</v>
      </c>
      <c r="P10107">
        <f>IF(OR(M10107="",N10107=""),"",SUMIFS('Barang Keluar'!$E:$E,'Barang Keluar'!$A:$A,M10107,'Barang Keluar'!$C:$C,N10107))</f>
        <v>0</v>
      </c>
    </row>
    <row r="10108" spans="13:16">
      <c r="M10108" s="49">
        <f>IF($A$4+101&gt;$B$4,"",$A$4+101)</f>
        <v>46124</v>
      </c>
      <c r="N10108" t="str">
        <f>IF(M10108="","",'Master Barang'!A2)</f>
        <v>PRL-001</v>
      </c>
      <c r="O10108" t="str">
        <f>IF(N10108="","",'Master Barang'!B2)</f>
        <v>natura desinfectant food grade 5l</v>
      </c>
      <c r="P10108">
        <f>IF(OR(M10108="",N10108=""),"",SUMIFS('Barang Keluar'!$E:$E,'Barang Keluar'!$A:$A,M10108,'Barang Keluar'!$C:$C,N10108))</f>
        <v>0</v>
      </c>
    </row>
    <row r="10109" spans="13:16">
      <c r="M10109" s="49">
        <f>IF($A$4+101&gt;$B$4,"",$A$4+101)</f>
        <v>46124</v>
      </c>
      <c r="N10109" t="str">
        <f>IF(M10109="","",'Master Barang'!A3)</f>
        <v>PRL-002</v>
      </c>
      <c r="O10109" t="str">
        <f>IF(N10109="","",'Master Barang'!B3)</f>
        <v>sunlight cairan pencuci piring 5l</v>
      </c>
      <c r="P10109">
        <f>IF(OR(M10109="",N10109=""),"",SUMIFS('Barang Keluar'!$E:$E,'Barang Keluar'!$A:$A,M10109,'Barang Keluar'!$C:$C,N10109))</f>
        <v>0</v>
      </c>
    </row>
    <row r="10110" spans="13:16">
      <c r="M10110" s="49">
        <f>IF($A$4+101&gt;$B$4,"",$A$4+101)</f>
        <v>46124</v>
      </c>
      <c r="N10110" t="str">
        <f>IF(M10110="","",'Master Barang'!A4)</f>
        <v>PRL-003</v>
      </c>
      <c r="O10110" t="str">
        <f>IF(N10110="","",'Master Barang'!B4)</f>
        <v>oixs cleaner 1l</v>
      </c>
      <c r="P10110">
        <f>IF(OR(M10110="",N10110=""),"",SUMIFS('Barang Keluar'!$E:$E,'Barang Keluar'!$A:$A,M10110,'Barang Keluar'!$C:$C,N10110))</f>
        <v>0</v>
      </c>
    </row>
    <row r="10111" spans="13:16">
      <c r="M10111" s="49">
        <f>IF($A$4+101&gt;$B$4,"",$A$4+101)</f>
        <v>46124</v>
      </c>
      <c r="N10111" t="str">
        <f>IF(M10111="","",'Master Barang'!A5)</f>
        <v>PRL-004</v>
      </c>
      <c r="O10111" t="str">
        <f>IF(N10111="","",'Master Barang'!B5)</f>
        <v>be clean tissue serbaguna</v>
      </c>
      <c r="P10111">
        <f>IF(OR(M10111="",N10111=""),"",SUMIFS('Barang Keluar'!$E:$E,'Barang Keluar'!$A:$A,M10111,'Barang Keluar'!$C:$C,N10111))</f>
        <v>0</v>
      </c>
    </row>
    <row r="10112" spans="13:16">
      <c r="M10112" s="49">
        <f>IF($A$4+101&gt;$B$4,"",$A$4+101)</f>
        <v>46124</v>
      </c>
      <c r="N10112" t="str">
        <f>IF(M10112="","",'Master Barang'!A6)</f>
        <v>PRL-005</v>
      </c>
      <c r="O10112" t="str">
        <f>IF(N10112="","",'Master Barang'!B6)</f>
        <v>spons cuci hijau</v>
      </c>
      <c r="P10112">
        <f>IF(OR(M10112="",N10112=""),"",SUMIFS('Barang Keluar'!$E:$E,'Barang Keluar'!$A:$A,M10112,'Barang Keluar'!$C:$C,N10112))</f>
        <v>0</v>
      </c>
    </row>
    <row r="10113" spans="13:16">
      <c r="M10113" s="49">
        <f>IF($A$4+101&gt;$B$4,"",$A$4+101)</f>
        <v>46124</v>
      </c>
      <c r="N10113" t="str">
        <f>IF(M10113="","",'Master Barang'!A7)</f>
        <v>PRL-006</v>
      </c>
      <c r="O10113" t="str">
        <f>IF(N10113="","",'Master Barang'!B7)</f>
        <v>sabut cuci stainless</v>
      </c>
      <c r="P10113">
        <f>IF(OR(M10113="",N10113=""),"",SUMIFS('Barang Keluar'!$E:$E,'Barang Keluar'!$A:$A,M10113,'Barang Keluar'!$C:$C,N10113))</f>
        <v>0</v>
      </c>
    </row>
    <row r="10114" spans="13:16">
      <c r="M10114" s="49">
        <f>IF($A$4+101&gt;$B$4,"",$A$4+101)</f>
        <v>46124</v>
      </c>
      <c r="N10114" t="str">
        <f>IF(M10114="","",'Master Barang'!A8)</f>
        <v>PRL-007</v>
      </c>
      <c r="O10114" t="str">
        <f>IF(N10114="","",'Master Barang'!B8)</f>
        <v>plastik kresek besar merah 50pc</v>
      </c>
      <c r="P10114">
        <f>IF(OR(M10114="",N10114=""),"",SUMIFS('Barang Keluar'!$E:$E,'Barang Keluar'!$A:$A,M10114,'Barang Keluar'!$C:$C,N10114))</f>
        <v>0</v>
      </c>
    </row>
    <row r="10115" spans="13:16">
      <c r="M10115" s="49">
        <f>IF($A$4+101&gt;$B$4,"",$A$4+101)</f>
        <v>46124</v>
      </c>
      <c r="N10115" t="str">
        <f>IF(M10115="","",'Master Barang'!A9)</f>
        <v>PRL-008</v>
      </c>
      <c r="O10115" t="str">
        <f>IF(N10115="","",'Master Barang'!B9)</f>
        <v>lap besar</v>
      </c>
      <c r="P10115">
        <f>IF(OR(M10115="",N10115=""),"",SUMIFS('Barang Keluar'!$E:$E,'Barang Keluar'!$A:$A,M10115,'Barang Keluar'!$C:$C,N10115))</f>
        <v>0</v>
      </c>
    </row>
    <row r="10116" spans="13:16">
      <c r="M10116" s="49">
        <f>IF($A$4+101&gt;$B$4,"",$A$4+101)</f>
        <v>46124</v>
      </c>
      <c r="N10116" t="str">
        <f>IF(M10116="","",'Master Barang'!A10)</f>
        <v>PRL-009</v>
      </c>
      <c r="O10116" t="str">
        <f>IF(N10116="","",'Master Barang'!B10)</f>
        <v>lap microfiber</v>
      </c>
      <c r="P10116">
        <f>IF(OR(M10116="",N10116=""),"",SUMIFS('Barang Keluar'!$E:$E,'Barang Keluar'!$A:$A,M10116,'Barang Keluar'!$C:$C,N10116))</f>
        <v>0</v>
      </c>
    </row>
    <row r="10117" spans="13:16">
      <c r="M10117" s="49">
        <f>IF($A$4+101&gt;$B$4,"",$A$4+101)</f>
        <v>46124</v>
      </c>
      <c r="N10117" t="str">
        <f>IF(M10117="","",'Master Barang'!A11)</f>
        <v>PRL-010</v>
      </c>
      <c r="O10117" t="str">
        <f>IF(N10117="","",'Master Barang'!B11)</f>
        <v>lap kecil</v>
      </c>
      <c r="P10117">
        <f>IF(OR(M10117="",N10117=""),"",SUMIFS('Barang Keluar'!$E:$E,'Barang Keluar'!$A:$A,M10117,'Barang Keluar'!$C:$C,N10117))</f>
        <v>0</v>
      </c>
    </row>
    <row r="10118" spans="13:16">
      <c r="M10118" s="49">
        <f>IF($A$4+101&gt;$B$4,"",$A$4+101)</f>
        <v>46124</v>
      </c>
      <c r="N10118" t="str">
        <f>IF(M10118="","",'Master Barang'!A12)</f>
        <v>PRL-011</v>
      </c>
      <c r="O10118" t="str">
        <f>IF(N10118="","",'Master Barang'!B12)</f>
        <v>kanebo kecil</v>
      </c>
      <c r="P10118">
        <f>IF(OR(M10118="",N10118=""),"",SUMIFS('Barang Keluar'!$E:$E,'Barang Keluar'!$A:$A,M10118,'Barang Keluar'!$C:$C,N10118))</f>
        <v>0</v>
      </c>
    </row>
    <row r="10119" spans="13:16">
      <c r="M10119" s="49">
        <f>IF($A$4+101&gt;$B$4,"",$A$4+101)</f>
        <v>46124</v>
      </c>
      <c r="N10119" t="str">
        <f>IF(M10119="","",'Master Barang'!A13)</f>
        <v>PRL-012</v>
      </c>
      <c r="O10119" t="str">
        <f>IF(N10119="","",'Master Barang'!B13)</f>
        <v>plastik 1/4kg joyoboyo 100 lembar</v>
      </c>
      <c r="P10119">
        <f>IF(OR(M10119="",N10119=""),"",SUMIFS('Barang Keluar'!$E:$E,'Barang Keluar'!$A:$A,M10119,'Barang Keluar'!$C:$C,N10119))</f>
        <v>0</v>
      </c>
    </row>
    <row r="10120" spans="13:16">
      <c r="M10120" s="49">
        <f>IF($A$4+101&gt;$B$4,"",$A$4+101)</f>
        <v>46124</v>
      </c>
      <c r="N10120" t="str">
        <f>IF(M10120="","",'Master Barang'!A14)</f>
        <v>PRL-013</v>
      </c>
      <c r="O10120" t="str">
        <f>IF(N10120="","",'Master Barang'!B14)</f>
        <v>sarung tangan plastik kaka 100 pcs</v>
      </c>
      <c r="P10120">
        <f>IF(OR(M10120="",N10120=""),"",SUMIFS('Barang Keluar'!$E:$E,'Barang Keluar'!$A:$A,M10120,'Barang Keluar'!$C:$C,N10120))</f>
        <v>0</v>
      </c>
    </row>
    <row r="10121" spans="13:16">
      <c r="M10121" s="49">
        <f>IF($A$4+101&gt;$B$4,"",$A$4+101)</f>
        <v>46124</v>
      </c>
      <c r="N10121" t="str">
        <f>IF(M10121="","",'Master Barang'!A15)</f>
        <v>PRL-014</v>
      </c>
      <c r="O10121" t="str">
        <f>IF(N10121="","",'Master Barang'!B15)</f>
        <v>optima trashbag 80x100</v>
      </c>
      <c r="P10121">
        <f>IF(OR(M10121="",N10121=""),"",SUMIFS('Barang Keluar'!$E:$E,'Barang Keluar'!$A:$A,M10121,'Barang Keluar'!$C:$C,N10121))</f>
        <v>0</v>
      </c>
    </row>
    <row r="10122" spans="13:16">
      <c r="M10122" s="49">
        <f>IF($A$4+101&gt;$B$4,"",$A$4+101)</f>
        <v>46124</v>
      </c>
      <c r="N10122" t="str">
        <f>IF(M10122="","",'Master Barang'!A16)</f>
        <v>PRL-015</v>
      </c>
      <c r="O10122" t="str">
        <f>IF(N10122="","",'Master Barang'!B16)</f>
        <v>optima trashbag 60x100</v>
      </c>
      <c r="P10122">
        <f>IF(OR(M10122="",N10122=""),"",SUMIFS('Barang Keluar'!$E:$E,'Barang Keluar'!$A:$A,M10122,'Barang Keluar'!$C:$C,N10122))</f>
        <v>0</v>
      </c>
    </row>
    <row r="10123" spans="13:16">
      <c r="M10123" s="49">
        <f>IF($A$4+101&gt;$B$4,"",$A$4+101)</f>
        <v>46124</v>
      </c>
      <c r="N10123" t="str">
        <f>IF(M10123="","",'Master Barang'!A17)</f>
        <v>PRL-016</v>
      </c>
      <c r="O10123" t="str">
        <f>IF(N10123="","",'Master Barang'!B17)</f>
        <v>rajawali trashbag 30x40</v>
      </c>
      <c r="P10123">
        <f>IF(OR(M10123="",N10123=""),"",SUMIFS('Barang Keluar'!$E:$E,'Barang Keluar'!$A:$A,M10123,'Barang Keluar'!$C:$C,N10123))</f>
        <v>0</v>
      </c>
    </row>
    <row r="10124" spans="13:16">
      <c r="M10124" s="49">
        <f>IF($A$4+101&gt;$B$4,"",$A$4+101)</f>
        <v>46124</v>
      </c>
      <c r="N10124" t="str">
        <f>IF(M10124="","",'Master Barang'!A18)</f>
        <v>PRL-017</v>
      </c>
      <c r="O10124" t="str">
        <f>IF(N10124="","",'Master Barang'!B18)</f>
        <v>onemed masker biru 3 play 50 pcs</v>
      </c>
      <c r="P10124">
        <f>IF(OR(M10124="",N10124=""),"",SUMIFS('Barang Keluar'!$E:$E,'Barang Keluar'!$A:$A,M10124,'Barang Keluar'!$C:$C,N10124))</f>
        <v>0</v>
      </c>
    </row>
    <row r="10125" spans="13:16">
      <c r="M10125" s="49">
        <f>IF($A$4+101&gt;$B$4,"",$A$4+101)</f>
        <v>46124</v>
      </c>
      <c r="N10125" t="str">
        <f>IF(M10125="","",'Master Barang'!A19)</f>
        <v>PRL-018</v>
      </c>
      <c r="O10125" t="str">
        <f>IF(N10125="","",'Master Barang'!B19)</f>
        <v>onemed masker biru 3 play hijab 50 pcs</v>
      </c>
      <c r="P10125">
        <f>IF(OR(M10125="",N10125=""),"",SUMIFS('Barang Keluar'!$E:$E,'Barang Keluar'!$A:$A,M10125,'Barang Keluar'!$C:$C,N10125))</f>
        <v>0</v>
      </c>
    </row>
    <row r="10126" spans="13:16">
      <c r="M10126" s="49">
        <f>IF($A$4+101&gt;$B$4,"",$A$4+101)</f>
        <v>46124</v>
      </c>
      <c r="N10126" t="str">
        <f>IF(M10126="","",'Master Barang'!A20)</f>
        <v>PRL-019</v>
      </c>
      <c r="O10126" t="str">
        <f>IF(N10126="","",'Master Barang'!B20)</f>
        <v>neo health masker biru 3 play 50 pcs</v>
      </c>
      <c r="P10126">
        <f>IF(OR(M10126="",N10126=""),"",SUMIFS('Barang Keluar'!$E:$E,'Barang Keluar'!$A:$A,M10126,'Barang Keluar'!$C:$C,N10126))</f>
        <v>0</v>
      </c>
    </row>
    <row r="10127" spans="13:16">
      <c r="M10127" s="49">
        <f>IF($A$4+101&gt;$B$4,"",$A$4+101)</f>
        <v>46124</v>
      </c>
      <c r="N10127" t="str">
        <f>IF(M10127="","",'Master Barang'!A21)</f>
        <v>PRL-020</v>
      </c>
      <c r="O10127" t="str">
        <f>IF(N10127="","",'Master Barang'!B21)</f>
        <v>baymed masker hijau 3 play hijau 50 pcs</v>
      </c>
      <c r="P10127">
        <f>IF(OR(M10127="",N10127=""),"",SUMIFS('Barang Keluar'!$E:$E,'Barang Keluar'!$A:$A,M10127,'Barang Keluar'!$C:$C,N10127))</f>
        <v>0</v>
      </c>
    </row>
    <row r="10128" spans="13:16">
      <c r="M10128" s="49">
        <f>IF($A$4+101&gt;$B$4,"",$A$4+101)</f>
        <v>46124</v>
      </c>
      <c r="N10128" t="str">
        <f>IF(M10128="","",'Master Barang'!A22)</f>
        <v>PRL-021</v>
      </c>
      <c r="O10128" t="str">
        <f>IF(N10128="","",'Master Barang'!B22)</f>
        <v>altamed nurse cap penutup kepala 100 pcs</v>
      </c>
      <c r="P10128">
        <f>IF(OR(M10128="",N10128=""),"",SUMIFS('Barang Keluar'!$E:$E,'Barang Keluar'!$A:$A,M10128,'Barang Keluar'!$C:$C,N10128))</f>
        <v>0</v>
      </c>
    </row>
    <row r="10129" spans="13:16">
      <c r="M10129" s="49">
        <f>IF($A$4+101&gt;$B$4,"",$A$4+101)</f>
        <v>46124</v>
      </c>
      <c r="N10129" t="str">
        <f>IF(M10129="","",'Master Barang'!A23)</f>
        <v>PRL-022</v>
      </c>
      <c r="O10129" t="str">
        <f>IF(N10129="","",'Master Barang'!B23)</f>
        <v>sabun cuci tangan</v>
      </c>
      <c r="P10129">
        <f>IF(OR(M10129="",N10129=""),"",SUMIFS('Barang Keluar'!$E:$E,'Barang Keluar'!$A:$A,M10129,'Barang Keluar'!$C:$C,N10129))</f>
        <v>0</v>
      </c>
    </row>
    <row r="10130" spans="13:16">
      <c r="M10130" s="49">
        <f>IF($A$4+101&gt;$B$4,"",$A$4+101)</f>
        <v>46124</v>
      </c>
      <c r="N10130" t="str">
        <f>IF(M10130="","",'Master Barang'!A24)</f>
        <v>PRL-023</v>
      </c>
      <c r="O10130" t="str">
        <f>IF(N10130="","",'Master Barang'!B24)</f>
        <v>gayung kecil</v>
      </c>
      <c r="P10130">
        <f>IF(OR(M10130="",N10130=""),"",SUMIFS('Barang Keluar'!$E:$E,'Barang Keluar'!$A:$A,M10130,'Barang Keluar'!$C:$C,N10130))</f>
        <v>0</v>
      </c>
    </row>
    <row r="10131" spans="13:16">
      <c r="M10131" s="49">
        <f>IF($A$4+101&gt;$B$4,"",$A$4+101)</f>
        <v>46124</v>
      </c>
      <c r="N10131" t="str">
        <f>IF(M10131="","",'Master Barang'!A25)</f>
        <v>PRL-024</v>
      </c>
      <c r="O10131" t="str">
        <f>IF(N10131="","",'Master Barang'!B25)</f>
        <v>cikrak kecil</v>
      </c>
      <c r="P10131">
        <f>IF(OR(M10131="",N10131=""),"",SUMIFS('Barang Keluar'!$E:$E,'Barang Keluar'!$A:$A,M10131,'Barang Keluar'!$C:$C,N10131))</f>
        <v>0</v>
      </c>
    </row>
    <row r="10132" spans="13:16">
      <c r="M10132" s="49">
        <f>IF($A$4+101&gt;$B$4,"",$A$4+101)</f>
        <v>46124</v>
      </c>
      <c r="N10132" t="str">
        <f>IF(M10132="","",'Master Barang'!A26)</f>
        <v>PRL-025</v>
      </c>
      <c r="O10132" t="str">
        <f>IF(N10132="","",'Master Barang'!B26)</f>
        <v>petromax plastik kecil 12x24 100 lembar</v>
      </c>
      <c r="P10132">
        <f>IF(OR(M10132="",N10132=""),"",SUMIFS('Barang Keluar'!$E:$E,'Barang Keluar'!$A:$A,M10132,'Barang Keluar'!$C:$C,N10132))</f>
        <v>0</v>
      </c>
    </row>
    <row r="10133" spans="13:16">
      <c r="M10133" s="49">
        <f>IF($A$4+101&gt;$B$4,"",$A$4+101)</f>
        <v>46124</v>
      </c>
      <c r="N10133" t="str">
        <f>IF(M10133="","",'Master Barang'!A27)</f>
        <v>PRL-026</v>
      </c>
      <c r="O10133" t="str">
        <f>IF(N10133="","",'Master Barang'!B27)</f>
        <v>lancar kresek kecil bening </v>
      </c>
      <c r="P10133">
        <f>IF(OR(M10133="",N10133=""),"",SUMIFS('Barang Keluar'!$E:$E,'Barang Keluar'!$A:$A,M10133,'Barang Keluar'!$C:$C,N10133))</f>
        <v>0</v>
      </c>
    </row>
    <row r="10134" spans="13:16">
      <c r="M10134" s="49">
        <f>IF($A$4+101&gt;$B$4,"",$A$4+101)</f>
        <v>46124</v>
      </c>
      <c r="N10134" t="str">
        <f>IF(M10134="","",'Master Barang'!A28)</f>
        <v>PRL-027</v>
      </c>
      <c r="O10134" t="str">
        <f>IF(N10134="","",'Master Barang'!B28)</f>
        <v>kresek klin warna warni kecil</v>
      </c>
      <c r="P10134">
        <f>IF(OR(M10134="",N10134=""),"",SUMIFS('Barang Keluar'!$E:$E,'Barang Keluar'!$A:$A,M10134,'Barang Keluar'!$C:$C,N10134))</f>
        <v>0</v>
      </c>
    </row>
    <row r="10135" spans="13:16">
      <c r="M10135" s="49">
        <f>IF($A$4+101&gt;$B$4,"",$A$4+101)</f>
        <v>46124</v>
      </c>
      <c r="N10135" t="str">
        <f>IF(M10135="","",'Master Barang'!A29)</f>
        <v>PRL-028</v>
      </c>
      <c r="O10135" t="str">
        <f>IF(N10135="","",'Master Barang'!B29)</f>
        <v>ctik plastik 7x10 100 pcs</v>
      </c>
      <c r="P10135">
        <f>IF(OR(M10135="",N10135=""),"",SUMIFS('Barang Keluar'!$E:$E,'Barang Keluar'!$A:$A,M10135,'Barang Keluar'!$C:$C,N10135))</f>
        <v>0</v>
      </c>
    </row>
    <row r="10136" spans="13:16">
      <c r="M10136" s="49">
        <f>IF($A$4+101&gt;$B$4,"",$A$4+101)</f>
        <v>46124</v>
      </c>
      <c r="N10136" t="str">
        <f>IF(M10136="","",'Master Barang'!A30)</f>
        <v>PRL-029</v>
      </c>
      <c r="O10136" t="str">
        <f>IF(N10136="","",'Master Barang'!B30)</f>
        <v>ctik plastik 6x10 100 pcs</v>
      </c>
      <c r="P10136">
        <f>IF(OR(M10136="",N10136=""),"",SUMIFS('Barang Keluar'!$E:$E,'Barang Keluar'!$A:$A,M10136,'Barang Keluar'!$C:$C,N10136))</f>
        <v>0</v>
      </c>
    </row>
    <row r="10137" spans="13:16">
      <c r="M10137" s="49">
        <f>IF($A$4+101&gt;$B$4,"",$A$4+101)</f>
        <v>46124</v>
      </c>
      <c r="N10137" t="str">
        <f>IF(M10137="","",'Master Barang'!A31)</f>
        <v>PRL-030</v>
      </c>
      <c r="O10137" t="str">
        <f>IF(N10137="","",'Master Barang'!B31)</f>
        <v>klip plastik 25x16 100 pcs</v>
      </c>
      <c r="P10137">
        <f>IF(OR(M10137="",N10137=""),"",SUMIFS('Barang Keluar'!$E:$E,'Barang Keluar'!$A:$A,M10137,'Barang Keluar'!$C:$C,N10137))</f>
        <v>0</v>
      </c>
    </row>
    <row r="10138" spans="13:16">
      <c r="M10138" s="49">
        <f>IF($A$4+101&gt;$B$4,"",$A$4+101)</f>
        <v>46124</v>
      </c>
      <c r="N10138" t="str">
        <f>IF(M10138="","",'Master Barang'!A32)</f>
        <v>PRL-031</v>
      </c>
      <c r="O10138" t="str">
        <f>IF(N10138="","",'Master Barang'!B32)</f>
        <v>tempat saus 20 ml</v>
      </c>
      <c r="P10138">
        <f>IF(OR(M10138="",N10138=""),"",SUMIFS('Barang Keluar'!$E:$E,'Barang Keluar'!$A:$A,M10138,'Barang Keluar'!$C:$C,N10138))</f>
        <v>0</v>
      </c>
    </row>
    <row r="10139" spans="13:16">
      <c r="M10139" s="49">
        <f>IF($A$4+101&gt;$B$4,"",$A$4+101)</f>
        <v>46124</v>
      </c>
      <c r="N10139" t="str">
        <f>IF(M10139="","",'Master Barang'!A33)</f>
        <v>PRL-032</v>
      </c>
      <c r="O10139" t="str">
        <f>IF(N10139="","",'Master Barang'!B33)</f>
        <v>plastik packaging ag box uk sedang</v>
      </c>
      <c r="P10139">
        <f>IF(OR(M10139="",N10139=""),"",SUMIFS('Barang Keluar'!$E:$E,'Barang Keluar'!$A:$A,M10139,'Barang Keluar'!$C:$C,N10139))</f>
        <v>0</v>
      </c>
    </row>
    <row r="10140" spans="13:16">
      <c r="M10140" s="49">
        <f>IF($A$4+101&gt;$B$4,"",$A$4+101)</f>
        <v>46124</v>
      </c>
      <c r="N10140" t="str">
        <f>IF(M10140="","",'Master Barang'!A34)</f>
        <v>PRL-033</v>
      </c>
      <c r="O10140">
        <f>IF(N10140="","",'Master Barang'!B34)</f>
        <v>0</v>
      </c>
      <c r="P10140">
        <f>IF(OR(M10140="",N10140=""),"",SUMIFS('Barang Keluar'!$E:$E,'Barang Keluar'!$A:$A,M10140,'Barang Keluar'!$C:$C,N10140))</f>
        <v>0</v>
      </c>
    </row>
    <row r="10141" spans="13:16">
      <c r="M10141" s="49">
        <f>IF($A$4+101&gt;$B$4,"",$A$4+101)</f>
        <v>46124</v>
      </c>
      <c r="N10141">
        <f>IF(M10141="","",'Master Barang'!A35)</f>
        <v>0</v>
      </c>
      <c r="O10141">
        <f>IF(N10141="","",'Master Barang'!B35)</f>
        <v>0</v>
      </c>
      <c r="P10141">
        <f>IF(OR(M10141="",N10141=""),"",SUMIFS('Barang Keluar'!$E:$E,'Barang Keluar'!$A:$A,M10141,'Barang Keluar'!$C:$C,N10141))</f>
        <v>0</v>
      </c>
    </row>
    <row r="10142" spans="13:16">
      <c r="M10142" s="49">
        <f>IF($A$4+101&gt;$B$4,"",$A$4+101)</f>
        <v>46124</v>
      </c>
      <c r="N10142">
        <f>IF(M10142="","",'Master Barang'!A36)</f>
        <v>0</v>
      </c>
      <c r="O10142">
        <f>IF(N10142="","",'Master Barang'!B36)</f>
        <v>0</v>
      </c>
      <c r="P10142">
        <f>IF(OR(M10142="",N10142=""),"",SUMIFS('Barang Keluar'!$E:$E,'Barang Keluar'!$A:$A,M10142,'Barang Keluar'!$C:$C,N10142))</f>
        <v>0</v>
      </c>
    </row>
    <row r="10143" spans="13:16">
      <c r="M10143" s="49">
        <f>IF($A$4+101&gt;$B$4,"",$A$4+101)</f>
        <v>46124</v>
      </c>
      <c r="N10143">
        <f>IF(M10143="","",'Master Barang'!A37)</f>
        <v>0</v>
      </c>
      <c r="O10143">
        <f>IF(N10143="","",'Master Barang'!B37)</f>
        <v>0</v>
      </c>
      <c r="P10143">
        <f>IF(OR(M10143="",N10143=""),"",SUMIFS('Barang Keluar'!$E:$E,'Barang Keluar'!$A:$A,M10143,'Barang Keluar'!$C:$C,N10143))</f>
        <v>0</v>
      </c>
    </row>
    <row r="10144" spans="13:16">
      <c r="M10144" s="49">
        <f>IF($A$4+101&gt;$B$4,"",$A$4+101)</f>
        <v>46124</v>
      </c>
      <c r="N10144">
        <f>IF(M10144="","",'Master Barang'!A38)</f>
        <v>0</v>
      </c>
      <c r="O10144">
        <f>IF(N10144="","",'Master Barang'!B38)</f>
        <v>0</v>
      </c>
      <c r="P10144">
        <f>IF(OR(M10144="",N10144=""),"",SUMIFS('Barang Keluar'!$E:$E,'Barang Keluar'!$A:$A,M10144,'Barang Keluar'!$C:$C,N10144))</f>
        <v>0</v>
      </c>
    </row>
    <row r="10145" spans="13:16">
      <c r="M10145" s="49">
        <f>IF($A$4+101&gt;$B$4,"",$A$4+101)</f>
        <v>46124</v>
      </c>
      <c r="N10145">
        <f>IF(M10145="","",'Master Barang'!A39)</f>
        <v>0</v>
      </c>
      <c r="O10145">
        <f>IF(N10145="","",'Master Barang'!B39)</f>
        <v>0</v>
      </c>
      <c r="P10145">
        <f>IF(OR(M10145="",N10145=""),"",SUMIFS('Barang Keluar'!$E:$E,'Barang Keluar'!$A:$A,M10145,'Barang Keluar'!$C:$C,N10145))</f>
        <v>0</v>
      </c>
    </row>
    <row r="10146" spans="13:16">
      <c r="M10146" s="49">
        <f>IF($A$4+101&gt;$B$4,"",$A$4+101)</f>
        <v>46124</v>
      </c>
      <c r="N10146">
        <f>IF(M10146="","",'Master Barang'!A40)</f>
        <v>0</v>
      </c>
      <c r="O10146">
        <f>IF(N10146="","",'Master Barang'!B40)</f>
        <v>0</v>
      </c>
      <c r="P10146">
        <f>IF(OR(M10146="",N10146=""),"",SUMIFS('Barang Keluar'!$E:$E,'Barang Keluar'!$A:$A,M10146,'Barang Keluar'!$C:$C,N10146))</f>
        <v>0</v>
      </c>
    </row>
    <row r="10147" spans="13:16">
      <c r="M10147" s="49">
        <f>IF($A$4+101&gt;$B$4,"",$A$4+101)</f>
        <v>46124</v>
      </c>
      <c r="N10147">
        <f>IF(M10147="","",'Master Barang'!A41)</f>
        <v>0</v>
      </c>
      <c r="O10147">
        <f>IF(N10147="","",'Master Barang'!B41)</f>
        <v>0</v>
      </c>
      <c r="P10147">
        <f>IF(OR(M10147="",N10147=""),"",SUMIFS('Barang Keluar'!$E:$E,'Barang Keluar'!$A:$A,M10147,'Barang Keluar'!$C:$C,N10147))</f>
        <v>0</v>
      </c>
    </row>
    <row r="10148" spans="13:16">
      <c r="M10148" s="49">
        <f>IF($A$4+101&gt;$B$4,"",$A$4+101)</f>
        <v>46124</v>
      </c>
      <c r="N10148">
        <f>IF(M10148="","",'Master Barang'!A42)</f>
        <v>0</v>
      </c>
      <c r="O10148">
        <f>IF(N10148="","",'Master Barang'!B42)</f>
        <v>0</v>
      </c>
      <c r="P10148">
        <f>IF(OR(M10148="",N10148=""),"",SUMIFS('Barang Keluar'!$E:$E,'Barang Keluar'!$A:$A,M10148,'Barang Keluar'!$C:$C,N10148))</f>
        <v>0</v>
      </c>
    </row>
    <row r="10149" spans="13:16">
      <c r="M10149" s="49">
        <f>IF($A$4+101&gt;$B$4,"",$A$4+101)</f>
        <v>46124</v>
      </c>
      <c r="N10149">
        <f>IF(M10149="","",'Master Barang'!A43)</f>
        <v>0</v>
      </c>
      <c r="O10149">
        <f>IF(N10149="","",'Master Barang'!B43)</f>
        <v>0</v>
      </c>
      <c r="P10149">
        <f>IF(OR(M10149="",N10149=""),"",SUMIFS('Barang Keluar'!$E:$E,'Barang Keluar'!$A:$A,M10149,'Barang Keluar'!$C:$C,N10149))</f>
        <v>0</v>
      </c>
    </row>
    <row r="10150" spans="13:16">
      <c r="M10150" s="49">
        <f>IF($A$4+101&gt;$B$4,"",$A$4+101)</f>
        <v>46124</v>
      </c>
      <c r="N10150">
        <f>IF(M10150="","",'Master Barang'!A44)</f>
        <v>0</v>
      </c>
      <c r="O10150">
        <f>IF(N10150="","",'Master Barang'!B44)</f>
        <v>0</v>
      </c>
      <c r="P10150">
        <f>IF(OR(M10150="",N10150=""),"",SUMIFS('Barang Keluar'!$E:$E,'Barang Keluar'!$A:$A,M10150,'Barang Keluar'!$C:$C,N10150))</f>
        <v>0</v>
      </c>
    </row>
    <row r="10151" spans="13:16">
      <c r="M10151" s="49">
        <f>IF($A$4+101&gt;$B$4,"",$A$4+101)</f>
        <v>46124</v>
      </c>
      <c r="N10151">
        <f>IF(M10151="","",'Master Barang'!A45)</f>
        <v>0</v>
      </c>
      <c r="O10151">
        <f>IF(N10151="","",'Master Barang'!B45)</f>
        <v>0</v>
      </c>
      <c r="P10151">
        <f>IF(OR(M10151="",N10151=""),"",SUMIFS('Barang Keluar'!$E:$E,'Barang Keluar'!$A:$A,M10151,'Barang Keluar'!$C:$C,N10151))</f>
        <v>0</v>
      </c>
    </row>
    <row r="10152" spans="13:16">
      <c r="M10152" s="49">
        <f>IF($A$4+101&gt;$B$4,"",$A$4+101)</f>
        <v>46124</v>
      </c>
      <c r="N10152">
        <f>IF(M10152="","",'Master Barang'!A46)</f>
        <v>0</v>
      </c>
      <c r="O10152">
        <f>IF(N10152="","",'Master Barang'!B46)</f>
        <v>0</v>
      </c>
      <c r="P10152">
        <f>IF(OR(M10152="",N10152=""),"",SUMIFS('Barang Keluar'!$E:$E,'Barang Keluar'!$A:$A,M10152,'Barang Keluar'!$C:$C,N10152))</f>
        <v>0</v>
      </c>
    </row>
    <row r="10153" spans="13:16">
      <c r="M10153" s="49">
        <f>IF($A$4+101&gt;$B$4,"",$A$4+101)</f>
        <v>46124</v>
      </c>
      <c r="N10153">
        <f>IF(M10153="","",'Master Barang'!A47)</f>
        <v>0</v>
      </c>
      <c r="O10153">
        <f>IF(N10153="","",'Master Barang'!B47)</f>
        <v>0</v>
      </c>
      <c r="P10153">
        <f>IF(OR(M10153="",N10153=""),"",SUMIFS('Barang Keluar'!$E:$E,'Barang Keluar'!$A:$A,M10153,'Barang Keluar'!$C:$C,N10153))</f>
        <v>0</v>
      </c>
    </row>
    <row r="10154" spans="13:16">
      <c r="M10154" s="49">
        <f>IF($A$4+101&gt;$B$4,"",$A$4+101)</f>
        <v>46124</v>
      </c>
      <c r="N10154">
        <f>IF(M10154="","",'Master Barang'!A48)</f>
        <v>0</v>
      </c>
      <c r="O10154">
        <f>IF(N10154="","",'Master Barang'!B48)</f>
        <v>0</v>
      </c>
      <c r="P10154">
        <f>IF(OR(M10154="",N10154=""),"",SUMIFS('Barang Keluar'!$E:$E,'Barang Keluar'!$A:$A,M10154,'Barang Keluar'!$C:$C,N10154))</f>
        <v>0</v>
      </c>
    </row>
    <row r="10155" spans="13:16">
      <c r="M10155" s="49">
        <f>IF($A$4+101&gt;$B$4,"",$A$4+101)</f>
        <v>46124</v>
      </c>
      <c r="N10155">
        <f>IF(M10155="","",'Master Barang'!A49)</f>
        <v>0</v>
      </c>
      <c r="O10155">
        <f>IF(N10155="","",'Master Barang'!B49)</f>
        <v>0</v>
      </c>
      <c r="P10155">
        <f>IF(OR(M10155="",N10155=""),"",SUMIFS('Barang Keluar'!$E:$E,'Barang Keluar'!$A:$A,M10155,'Barang Keluar'!$C:$C,N10155))</f>
        <v>0</v>
      </c>
    </row>
    <row r="10156" spans="13:16">
      <c r="M10156" s="49">
        <f>IF($A$4+101&gt;$B$4,"",$A$4+101)</f>
        <v>46124</v>
      </c>
      <c r="N10156">
        <f>IF(M10156="","",'Master Barang'!A50)</f>
        <v>0</v>
      </c>
      <c r="O10156">
        <f>IF(N10156="","",'Master Barang'!B50)</f>
        <v>0</v>
      </c>
      <c r="P10156">
        <f>IF(OR(M10156="",N10156=""),"",SUMIFS('Barang Keluar'!$E:$E,'Barang Keluar'!$A:$A,M10156,'Barang Keluar'!$C:$C,N10156))</f>
        <v>0</v>
      </c>
    </row>
    <row r="10157" spans="13:16">
      <c r="M10157" s="49">
        <f>IF($A$4+101&gt;$B$4,"",$A$4+101)</f>
        <v>46124</v>
      </c>
      <c r="N10157">
        <f>IF(M10157="","",'Master Barang'!A51)</f>
        <v>0</v>
      </c>
      <c r="O10157">
        <f>IF(N10157="","",'Master Barang'!B51)</f>
        <v>0</v>
      </c>
      <c r="P10157">
        <f>IF(OR(M10157="",N10157=""),"",SUMIFS('Barang Keluar'!$E:$E,'Barang Keluar'!$A:$A,M10157,'Barang Keluar'!$C:$C,N10157))</f>
        <v>0</v>
      </c>
    </row>
    <row r="10158" spans="13:16">
      <c r="M10158" s="49">
        <f>IF($A$4+101&gt;$B$4,"",$A$4+101)</f>
        <v>46124</v>
      </c>
      <c r="N10158">
        <f>IF(M10158="","",'Master Barang'!A52)</f>
        <v>0</v>
      </c>
      <c r="O10158">
        <f>IF(N10158="","",'Master Barang'!B52)</f>
        <v>0</v>
      </c>
      <c r="P10158">
        <f>IF(OR(M10158="",N10158=""),"",SUMIFS('Barang Keluar'!$E:$E,'Barang Keluar'!$A:$A,M10158,'Barang Keluar'!$C:$C,N10158))</f>
        <v>0</v>
      </c>
    </row>
    <row r="10159" spans="13:16">
      <c r="M10159" s="49">
        <f>IF($A$4+101&gt;$B$4,"",$A$4+101)</f>
        <v>46124</v>
      </c>
      <c r="N10159">
        <f>IF(M10159="","",'Master Barang'!A53)</f>
        <v>0</v>
      </c>
      <c r="O10159">
        <f>IF(N10159="","",'Master Barang'!B53)</f>
        <v>0</v>
      </c>
      <c r="P10159">
        <f>IF(OR(M10159="",N10159=""),"",SUMIFS('Barang Keluar'!$E:$E,'Barang Keluar'!$A:$A,M10159,'Barang Keluar'!$C:$C,N10159))</f>
        <v>0</v>
      </c>
    </row>
    <row r="10160" spans="13:16">
      <c r="M10160" s="49">
        <f>IF($A$4+101&gt;$B$4,"",$A$4+101)</f>
        <v>46124</v>
      </c>
      <c r="N10160">
        <f>IF(M10160="","",'Master Barang'!A54)</f>
        <v>0</v>
      </c>
      <c r="O10160">
        <f>IF(N10160="","",'Master Barang'!B54)</f>
        <v>0</v>
      </c>
      <c r="P10160">
        <f>IF(OR(M10160="",N10160=""),"",SUMIFS('Barang Keluar'!$E:$E,'Barang Keluar'!$A:$A,M10160,'Barang Keluar'!$C:$C,N10160))</f>
        <v>0</v>
      </c>
    </row>
    <row r="10161" spans="13:16">
      <c r="M10161" s="49">
        <f>IF($A$4+101&gt;$B$4,"",$A$4+101)</f>
        <v>46124</v>
      </c>
      <c r="N10161">
        <f>IF(M10161="","",'Master Barang'!A55)</f>
        <v>0</v>
      </c>
      <c r="O10161">
        <f>IF(N10161="","",'Master Barang'!B55)</f>
        <v>0</v>
      </c>
      <c r="P10161">
        <f>IF(OR(M10161="",N10161=""),"",SUMIFS('Barang Keluar'!$E:$E,'Barang Keluar'!$A:$A,M10161,'Barang Keluar'!$C:$C,N10161))</f>
        <v>0</v>
      </c>
    </row>
    <row r="10162" spans="13:16">
      <c r="M10162" s="49">
        <f>IF($A$4+101&gt;$B$4,"",$A$4+101)</f>
        <v>46124</v>
      </c>
      <c r="N10162">
        <f>IF(M10162="","",'Master Barang'!A56)</f>
        <v>0</v>
      </c>
      <c r="O10162">
        <f>IF(N10162="","",'Master Barang'!B56)</f>
        <v>0</v>
      </c>
      <c r="P10162">
        <f>IF(OR(M10162="",N10162=""),"",SUMIFS('Barang Keluar'!$E:$E,'Barang Keluar'!$A:$A,M10162,'Barang Keluar'!$C:$C,N10162))</f>
        <v>0</v>
      </c>
    </row>
    <row r="10163" spans="13:16">
      <c r="M10163" s="49">
        <f>IF($A$4+101&gt;$B$4,"",$A$4+101)</f>
        <v>46124</v>
      </c>
      <c r="N10163">
        <f>IF(M10163="","",'Master Barang'!A57)</f>
        <v>0</v>
      </c>
      <c r="O10163">
        <f>IF(N10163="","",'Master Barang'!B57)</f>
        <v>0</v>
      </c>
      <c r="P10163">
        <f>IF(OR(M10163="",N10163=""),"",SUMIFS('Barang Keluar'!$E:$E,'Barang Keluar'!$A:$A,M10163,'Barang Keluar'!$C:$C,N10163))</f>
        <v>0</v>
      </c>
    </row>
    <row r="10164" spans="13:16">
      <c r="M10164" s="49">
        <f>IF($A$4+101&gt;$B$4,"",$A$4+101)</f>
        <v>46124</v>
      </c>
      <c r="N10164">
        <f>IF(M10164="","",'Master Barang'!A58)</f>
        <v>0</v>
      </c>
      <c r="O10164">
        <f>IF(N10164="","",'Master Barang'!B58)</f>
        <v>0</v>
      </c>
      <c r="P10164">
        <f>IF(OR(M10164="",N10164=""),"",SUMIFS('Barang Keluar'!$E:$E,'Barang Keluar'!$A:$A,M10164,'Barang Keluar'!$C:$C,N10164))</f>
        <v>0</v>
      </c>
    </row>
    <row r="10165" spans="13:16">
      <c r="M10165" s="49">
        <f>IF($A$4+101&gt;$B$4,"",$A$4+101)</f>
        <v>46124</v>
      </c>
      <c r="N10165">
        <f>IF(M10165="","",'Master Barang'!A59)</f>
        <v>0</v>
      </c>
      <c r="O10165">
        <f>IF(N10165="","",'Master Barang'!B59)</f>
        <v>0</v>
      </c>
      <c r="P10165">
        <f>IF(OR(M10165="",N10165=""),"",SUMIFS('Barang Keluar'!$E:$E,'Barang Keluar'!$A:$A,M10165,'Barang Keluar'!$C:$C,N10165))</f>
        <v>0</v>
      </c>
    </row>
    <row r="10166" spans="13:16">
      <c r="M10166" s="49">
        <f>IF($A$4+101&gt;$B$4,"",$A$4+101)</f>
        <v>46124</v>
      </c>
      <c r="N10166">
        <f>IF(M10166="","",'Master Barang'!A60)</f>
        <v>0</v>
      </c>
      <c r="O10166">
        <f>IF(N10166="","",'Master Barang'!B60)</f>
        <v>0</v>
      </c>
      <c r="P10166">
        <f>IF(OR(M10166="",N10166=""),"",SUMIFS('Barang Keluar'!$E:$E,'Barang Keluar'!$A:$A,M10166,'Barang Keluar'!$C:$C,N10166))</f>
        <v>0</v>
      </c>
    </row>
    <row r="10167" spans="13:16">
      <c r="M10167" s="49">
        <f>IF($A$4+101&gt;$B$4,"",$A$4+101)</f>
        <v>46124</v>
      </c>
      <c r="N10167">
        <f>IF(M10167="","",'Master Barang'!A61)</f>
        <v>0</v>
      </c>
      <c r="O10167">
        <f>IF(N10167="","",'Master Barang'!B61)</f>
        <v>0</v>
      </c>
      <c r="P10167">
        <f>IF(OR(M10167="",N10167=""),"",SUMIFS('Barang Keluar'!$E:$E,'Barang Keluar'!$A:$A,M10167,'Barang Keluar'!$C:$C,N10167))</f>
        <v>0</v>
      </c>
    </row>
    <row r="10168" spans="13:16">
      <c r="M10168" s="49">
        <f>IF($A$4+101&gt;$B$4,"",$A$4+101)</f>
        <v>46124</v>
      </c>
      <c r="N10168">
        <f>IF(M10168="","",'Master Barang'!A62)</f>
        <v>0</v>
      </c>
      <c r="O10168">
        <f>IF(N10168="","",'Master Barang'!B62)</f>
        <v>0</v>
      </c>
      <c r="P10168">
        <f>IF(OR(M10168="",N10168=""),"",SUMIFS('Barang Keluar'!$E:$E,'Barang Keluar'!$A:$A,M10168,'Barang Keluar'!$C:$C,N10168))</f>
        <v>0</v>
      </c>
    </row>
    <row r="10169" spans="13:16">
      <c r="M10169" s="49">
        <f>IF($A$4+101&gt;$B$4,"",$A$4+101)</f>
        <v>46124</v>
      </c>
      <c r="N10169">
        <f>IF(M10169="","",'Master Barang'!A63)</f>
        <v>0</v>
      </c>
      <c r="O10169">
        <f>IF(N10169="","",'Master Barang'!B63)</f>
        <v>0</v>
      </c>
      <c r="P10169">
        <f>IF(OR(M10169="",N10169=""),"",SUMIFS('Barang Keluar'!$E:$E,'Barang Keluar'!$A:$A,M10169,'Barang Keluar'!$C:$C,N10169))</f>
        <v>0</v>
      </c>
    </row>
    <row r="10170" spans="13:16">
      <c r="M10170" s="49">
        <f>IF($A$4+101&gt;$B$4,"",$A$4+101)</f>
        <v>46124</v>
      </c>
      <c r="N10170">
        <f>IF(M10170="","",'Master Barang'!A64)</f>
        <v>0</v>
      </c>
      <c r="O10170">
        <f>IF(N10170="","",'Master Barang'!B64)</f>
        <v>0</v>
      </c>
      <c r="P10170">
        <f>IF(OR(M10170="",N10170=""),"",SUMIFS('Barang Keluar'!$E:$E,'Barang Keluar'!$A:$A,M10170,'Barang Keluar'!$C:$C,N10170))</f>
        <v>0</v>
      </c>
    </row>
    <row r="10171" spans="13:16">
      <c r="M10171" s="49">
        <f>IF($A$4+101&gt;$B$4,"",$A$4+101)</f>
        <v>46124</v>
      </c>
      <c r="N10171">
        <f>IF(M10171="","",'Master Barang'!A65)</f>
        <v>0</v>
      </c>
      <c r="O10171">
        <f>IF(N10171="","",'Master Barang'!B65)</f>
        <v>0</v>
      </c>
      <c r="P10171">
        <f>IF(OR(M10171="",N10171=""),"",SUMIFS('Barang Keluar'!$E:$E,'Barang Keluar'!$A:$A,M10171,'Barang Keluar'!$C:$C,N10171))</f>
        <v>0</v>
      </c>
    </row>
    <row r="10172" spans="13:16">
      <c r="M10172" s="49">
        <f>IF($A$4+101&gt;$B$4,"",$A$4+101)</f>
        <v>46124</v>
      </c>
      <c r="N10172">
        <f>IF(M10172="","",'Master Barang'!A66)</f>
        <v>0</v>
      </c>
      <c r="O10172">
        <f>IF(N10172="","",'Master Barang'!B66)</f>
        <v>0</v>
      </c>
      <c r="P10172">
        <f>IF(OR(M10172="",N10172=""),"",SUMIFS('Barang Keluar'!$E:$E,'Barang Keluar'!$A:$A,M10172,'Barang Keluar'!$C:$C,N10172))</f>
        <v>0</v>
      </c>
    </row>
    <row r="10173" spans="13:16">
      <c r="M10173" s="49">
        <f>IF($A$4+101&gt;$B$4,"",$A$4+101)</f>
        <v>46124</v>
      </c>
      <c r="N10173">
        <f>IF(M10173="","",'Master Barang'!A67)</f>
        <v>0</v>
      </c>
      <c r="O10173">
        <f>IF(N10173="","",'Master Barang'!B67)</f>
        <v>0</v>
      </c>
      <c r="P10173">
        <f>IF(OR(M10173="",N10173=""),"",SUMIFS('Barang Keluar'!$E:$E,'Barang Keluar'!$A:$A,M10173,'Barang Keluar'!$C:$C,N10173))</f>
        <v>0</v>
      </c>
    </row>
    <row r="10174" spans="13:16">
      <c r="M10174" s="49">
        <f>IF($A$4+101&gt;$B$4,"",$A$4+101)</f>
        <v>46124</v>
      </c>
      <c r="N10174">
        <f>IF(M10174="","",'Master Barang'!A68)</f>
        <v>0</v>
      </c>
      <c r="O10174">
        <f>IF(N10174="","",'Master Barang'!B68)</f>
        <v>0</v>
      </c>
      <c r="P10174">
        <f>IF(OR(M10174="",N10174=""),"",SUMIFS('Barang Keluar'!$E:$E,'Barang Keluar'!$A:$A,M10174,'Barang Keluar'!$C:$C,N10174))</f>
        <v>0</v>
      </c>
    </row>
    <row r="10175" spans="13:16">
      <c r="M10175" s="49">
        <f>IF($A$4+101&gt;$B$4,"",$A$4+101)</f>
        <v>46124</v>
      </c>
      <c r="N10175">
        <f>IF(M10175="","",'Master Barang'!A69)</f>
        <v>0</v>
      </c>
      <c r="O10175">
        <f>IF(N10175="","",'Master Barang'!B69)</f>
        <v>0</v>
      </c>
      <c r="P10175">
        <f>IF(OR(M10175="",N10175=""),"",SUMIFS('Barang Keluar'!$E:$E,'Barang Keluar'!$A:$A,M10175,'Barang Keluar'!$C:$C,N10175))</f>
        <v>0</v>
      </c>
    </row>
    <row r="10176" spans="13:16">
      <c r="M10176" s="49">
        <f>IF($A$4+101&gt;$B$4,"",$A$4+101)</f>
        <v>46124</v>
      </c>
      <c r="N10176">
        <f>IF(M10176="","",'Master Barang'!A70)</f>
        <v>0</v>
      </c>
      <c r="O10176">
        <f>IF(N10176="","",'Master Barang'!B70)</f>
        <v>0</v>
      </c>
      <c r="P10176">
        <f>IF(OR(M10176="",N10176=""),"",SUMIFS('Barang Keluar'!$E:$E,'Barang Keluar'!$A:$A,M10176,'Barang Keluar'!$C:$C,N10176))</f>
        <v>0</v>
      </c>
    </row>
    <row r="10177" spans="13:16">
      <c r="M10177" s="49">
        <f>IF($A$4+101&gt;$B$4,"",$A$4+101)</f>
        <v>46124</v>
      </c>
      <c r="N10177">
        <f>IF(M10177="","",'Master Barang'!A71)</f>
        <v>0</v>
      </c>
      <c r="O10177">
        <f>IF(N10177="","",'Master Barang'!B71)</f>
        <v>0</v>
      </c>
      <c r="P10177">
        <f>IF(OR(M10177="",N10177=""),"",SUMIFS('Barang Keluar'!$E:$E,'Barang Keluar'!$A:$A,M10177,'Barang Keluar'!$C:$C,N10177))</f>
        <v>0</v>
      </c>
    </row>
    <row r="10178" spans="13:16">
      <c r="M10178" s="49">
        <f>IF($A$4+101&gt;$B$4,"",$A$4+101)</f>
        <v>46124</v>
      </c>
      <c r="N10178">
        <f>IF(M10178="","",'Master Barang'!A72)</f>
        <v>0</v>
      </c>
      <c r="O10178">
        <f>IF(N10178="","",'Master Barang'!B72)</f>
        <v>0</v>
      </c>
      <c r="P10178">
        <f>IF(OR(M10178="",N10178=""),"",SUMIFS('Barang Keluar'!$E:$E,'Barang Keluar'!$A:$A,M10178,'Barang Keluar'!$C:$C,N10178))</f>
        <v>0</v>
      </c>
    </row>
    <row r="10179" spans="13:16">
      <c r="M10179" s="49">
        <f>IF($A$4+101&gt;$B$4,"",$A$4+101)</f>
        <v>46124</v>
      </c>
      <c r="N10179">
        <f>IF(M10179="","",'Master Barang'!A73)</f>
        <v>0</v>
      </c>
      <c r="O10179">
        <f>IF(N10179="","",'Master Barang'!B73)</f>
        <v>0</v>
      </c>
      <c r="P10179">
        <f>IF(OR(M10179="",N10179=""),"",SUMIFS('Barang Keluar'!$E:$E,'Barang Keluar'!$A:$A,M10179,'Barang Keluar'!$C:$C,N10179))</f>
        <v>0</v>
      </c>
    </row>
    <row r="10180" spans="13:16">
      <c r="M10180" s="49">
        <f>IF($A$4+101&gt;$B$4,"",$A$4+101)</f>
        <v>46124</v>
      </c>
      <c r="N10180">
        <f>IF(M10180="","",'Master Barang'!A74)</f>
        <v>0</v>
      </c>
      <c r="O10180">
        <f>IF(N10180="","",'Master Barang'!B74)</f>
        <v>0</v>
      </c>
      <c r="P10180">
        <f>IF(OR(M10180="",N10180=""),"",SUMIFS('Barang Keluar'!$E:$E,'Barang Keluar'!$A:$A,M10180,'Barang Keluar'!$C:$C,N10180))</f>
        <v>0</v>
      </c>
    </row>
    <row r="10181" spans="13:16">
      <c r="M10181" s="49">
        <f>IF($A$4+101&gt;$B$4,"",$A$4+101)</f>
        <v>46124</v>
      </c>
      <c r="N10181">
        <f>IF(M10181="","",'Master Barang'!A75)</f>
        <v>0</v>
      </c>
      <c r="O10181">
        <f>IF(N10181="","",'Master Barang'!B75)</f>
        <v>0</v>
      </c>
      <c r="P10181">
        <f>IF(OR(M10181="",N10181=""),"",SUMIFS('Barang Keluar'!$E:$E,'Barang Keluar'!$A:$A,M10181,'Barang Keluar'!$C:$C,N10181))</f>
        <v>0</v>
      </c>
    </row>
    <row r="10182" spans="13:16">
      <c r="M10182" s="49">
        <f>IF($A$4+101&gt;$B$4,"",$A$4+101)</f>
        <v>46124</v>
      </c>
      <c r="N10182">
        <f>IF(M10182="","",'Master Barang'!A76)</f>
        <v>0</v>
      </c>
      <c r="O10182">
        <f>IF(N10182="","",'Master Barang'!B76)</f>
        <v>0</v>
      </c>
      <c r="P10182">
        <f>IF(OR(M10182="",N10182=""),"",SUMIFS('Barang Keluar'!$E:$E,'Barang Keluar'!$A:$A,M10182,'Barang Keluar'!$C:$C,N10182))</f>
        <v>0</v>
      </c>
    </row>
    <row r="10183" spans="13:16">
      <c r="M10183" s="49">
        <f>IF($A$4+101&gt;$B$4,"",$A$4+101)</f>
        <v>46124</v>
      </c>
      <c r="N10183">
        <f>IF(M10183="","",'Master Barang'!A77)</f>
        <v>0</v>
      </c>
      <c r="O10183">
        <f>IF(N10183="","",'Master Barang'!B77)</f>
        <v>0</v>
      </c>
      <c r="P10183">
        <f>IF(OR(M10183="",N10183=""),"",SUMIFS('Barang Keluar'!$E:$E,'Barang Keluar'!$A:$A,M10183,'Barang Keluar'!$C:$C,N10183))</f>
        <v>0</v>
      </c>
    </row>
    <row r="10184" spans="13:16">
      <c r="M10184" s="49">
        <f>IF($A$4+101&gt;$B$4,"",$A$4+101)</f>
        <v>46124</v>
      </c>
      <c r="N10184">
        <f>IF(M10184="","",'Master Barang'!A78)</f>
        <v>0</v>
      </c>
      <c r="O10184">
        <f>IF(N10184="","",'Master Barang'!B78)</f>
        <v>0</v>
      </c>
      <c r="P10184">
        <f>IF(OR(M10184="",N10184=""),"",SUMIFS('Barang Keluar'!$E:$E,'Barang Keluar'!$A:$A,M10184,'Barang Keluar'!$C:$C,N10184))</f>
        <v>0</v>
      </c>
    </row>
    <row r="10185" spans="13:16">
      <c r="M10185" s="49">
        <f>IF($A$4+101&gt;$B$4,"",$A$4+101)</f>
        <v>46124</v>
      </c>
      <c r="N10185">
        <f>IF(M10185="","",'Master Barang'!A79)</f>
        <v>0</v>
      </c>
      <c r="O10185">
        <f>IF(N10185="","",'Master Barang'!B79)</f>
        <v>0</v>
      </c>
      <c r="P10185">
        <f>IF(OR(M10185="",N10185=""),"",SUMIFS('Barang Keluar'!$E:$E,'Barang Keluar'!$A:$A,M10185,'Barang Keluar'!$C:$C,N10185))</f>
        <v>0</v>
      </c>
    </row>
    <row r="10186" spans="13:16">
      <c r="M10186" s="49">
        <f>IF($A$4+101&gt;$B$4,"",$A$4+101)</f>
        <v>46124</v>
      </c>
      <c r="N10186">
        <f>IF(M10186="","",'Master Barang'!A80)</f>
        <v>0</v>
      </c>
      <c r="O10186">
        <f>IF(N10186="","",'Master Barang'!B80)</f>
        <v>0</v>
      </c>
      <c r="P10186">
        <f>IF(OR(M10186="",N10186=""),"",SUMIFS('Barang Keluar'!$E:$E,'Barang Keluar'!$A:$A,M10186,'Barang Keluar'!$C:$C,N10186))</f>
        <v>0</v>
      </c>
    </row>
    <row r="10187" spans="13:16">
      <c r="M10187" s="49">
        <f>IF($A$4+101&gt;$B$4,"",$A$4+101)</f>
        <v>46124</v>
      </c>
      <c r="N10187">
        <f>IF(M10187="","",'Master Barang'!A81)</f>
        <v>0</v>
      </c>
      <c r="O10187">
        <f>IF(N10187="","",'Master Barang'!B81)</f>
        <v>0</v>
      </c>
      <c r="P10187">
        <f>IF(OR(M10187="",N10187=""),"",SUMIFS('Barang Keluar'!$E:$E,'Barang Keluar'!$A:$A,M10187,'Barang Keluar'!$C:$C,N10187))</f>
        <v>0</v>
      </c>
    </row>
    <row r="10188" spans="13:16">
      <c r="M10188" s="49">
        <f>IF($A$4+101&gt;$B$4,"",$A$4+101)</f>
        <v>46124</v>
      </c>
      <c r="N10188">
        <f>IF(M10188="","",'Master Barang'!A82)</f>
        <v>0</v>
      </c>
      <c r="O10188">
        <f>IF(N10188="","",'Master Barang'!B82)</f>
        <v>0</v>
      </c>
      <c r="P10188">
        <f>IF(OR(M10188="",N10188=""),"",SUMIFS('Barang Keluar'!$E:$E,'Barang Keluar'!$A:$A,M10188,'Barang Keluar'!$C:$C,N10188))</f>
        <v>0</v>
      </c>
    </row>
    <row r="10189" spans="13:16">
      <c r="M10189" s="49">
        <f>IF($A$4+101&gt;$B$4,"",$A$4+101)</f>
        <v>46124</v>
      </c>
      <c r="N10189">
        <f>IF(M10189="","",'Master Barang'!A83)</f>
        <v>0</v>
      </c>
      <c r="O10189">
        <f>IF(N10189="","",'Master Barang'!B83)</f>
        <v>0</v>
      </c>
      <c r="P10189">
        <f>IF(OR(M10189="",N10189=""),"",SUMIFS('Barang Keluar'!$E:$E,'Barang Keluar'!$A:$A,M10189,'Barang Keluar'!$C:$C,N10189))</f>
        <v>0</v>
      </c>
    </row>
    <row r="10190" spans="13:16">
      <c r="M10190" s="49">
        <f>IF($A$4+101&gt;$B$4,"",$A$4+101)</f>
        <v>46124</v>
      </c>
      <c r="N10190">
        <f>IF(M10190="","",'Master Barang'!A84)</f>
        <v>0</v>
      </c>
      <c r="O10190">
        <f>IF(N10190="","",'Master Barang'!B84)</f>
        <v>0</v>
      </c>
      <c r="P10190">
        <f>IF(OR(M10190="",N10190=""),"",SUMIFS('Barang Keluar'!$E:$E,'Barang Keluar'!$A:$A,M10190,'Barang Keluar'!$C:$C,N10190))</f>
        <v>0</v>
      </c>
    </row>
    <row r="10191" spans="13:16">
      <c r="M10191" s="49">
        <f>IF($A$4+101&gt;$B$4,"",$A$4+101)</f>
        <v>46124</v>
      </c>
      <c r="N10191">
        <f>IF(M10191="","",'Master Barang'!A85)</f>
        <v>0</v>
      </c>
      <c r="O10191">
        <f>IF(N10191="","",'Master Barang'!B85)</f>
        <v>0</v>
      </c>
      <c r="P10191">
        <f>IF(OR(M10191="",N10191=""),"",SUMIFS('Barang Keluar'!$E:$E,'Barang Keluar'!$A:$A,M10191,'Barang Keluar'!$C:$C,N10191))</f>
        <v>0</v>
      </c>
    </row>
    <row r="10192" spans="13:16">
      <c r="M10192" s="49">
        <f>IF($A$4+101&gt;$B$4,"",$A$4+101)</f>
        <v>46124</v>
      </c>
      <c r="N10192">
        <f>IF(M10192="","",'Master Barang'!A86)</f>
        <v>0</v>
      </c>
      <c r="O10192">
        <f>IF(N10192="","",'Master Barang'!B86)</f>
        <v>0</v>
      </c>
      <c r="P10192">
        <f>IF(OR(M10192="",N10192=""),"",SUMIFS('Barang Keluar'!$E:$E,'Barang Keluar'!$A:$A,M10192,'Barang Keluar'!$C:$C,N10192))</f>
        <v>0</v>
      </c>
    </row>
    <row r="10193" spans="13:16">
      <c r="M10193" s="49">
        <f>IF($A$4+101&gt;$B$4,"",$A$4+101)</f>
        <v>46124</v>
      </c>
      <c r="N10193">
        <f>IF(M10193="","",'Master Barang'!A87)</f>
        <v>0</v>
      </c>
      <c r="O10193">
        <f>IF(N10193="","",'Master Barang'!B87)</f>
        <v>0</v>
      </c>
      <c r="P10193">
        <f>IF(OR(M10193="",N10193=""),"",SUMIFS('Barang Keluar'!$E:$E,'Barang Keluar'!$A:$A,M10193,'Barang Keluar'!$C:$C,N10193))</f>
        <v>0</v>
      </c>
    </row>
    <row r="10194" spans="13:16">
      <c r="M10194" s="49">
        <f>IF($A$4+101&gt;$B$4,"",$A$4+101)</f>
        <v>46124</v>
      </c>
      <c r="N10194">
        <f>IF(M10194="","",'Master Barang'!A88)</f>
        <v>0</v>
      </c>
      <c r="O10194">
        <f>IF(N10194="","",'Master Barang'!B88)</f>
        <v>0</v>
      </c>
      <c r="P10194">
        <f>IF(OR(M10194="",N10194=""),"",SUMIFS('Barang Keluar'!$E:$E,'Barang Keluar'!$A:$A,M10194,'Barang Keluar'!$C:$C,N10194))</f>
        <v>0</v>
      </c>
    </row>
    <row r="10195" spans="13:16">
      <c r="M10195" s="49">
        <f>IF($A$4+101&gt;$B$4,"",$A$4+101)</f>
        <v>46124</v>
      </c>
      <c r="N10195">
        <f>IF(M10195="","",'Master Barang'!A89)</f>
        <v>0</v>
      </c>
      <c r="O10195">
        <f>IF(N10195="","",'Master Barang'!B89)</f>
        <v>0</v>
      </c>
      <c r="P10195">
        <f>IF(OR(M10195="",N10195=""),"",SUMIFS('Barang Keluar'!$E:$E,'Barang Keluar'!$A:$A,M10195,'Barang Keluar'!$C:$C,N10195))</f>
        <v>0</v>
      </c>
    </row>
    <row r="10196" spans="13:16">
      <c r="M10196" s="49">
        <f>IF($A$4+101&gt;$B$4,"",$A$4+101)</f>
        <v>46124</v>
      </c>
      <c r="N10196">
        <f>IF(M10196="","",'Master Barang'!A90)</f>
        <v>0</v>
      </c>
      <c r="O10196">
        <f>IF(N10196="","",'Master Barang'!B90)</f>
        <v>0</v>
      </c>
      <c r="P10196">
        <f>IF(OR(M10196="",N10196=""),"",SUMIFS('Barang Keluar'!$E:$E,'Barang Keluar'!$A:$A,M10196,'Barang Keluar'!$C:$C,N10196))</f>
        <v>0</v>
      </c>
    </row>
    <row r="10197" spans="13:16">
      <c r="M10197" s="49">
        <f>IF($A$4+101&gt;$B$4,"",$A$4+101)</f>
        <v>46124</v>
      </c>
      <c r="N10197">
        <f>IF(M10197="","",'Master Barang'!A91)</f>
        <v>0</v>
      </c>
      <c r="O10197">
        <f>IF(N10197="","",'Master Barang'!B91)</f>
        <v>0</v>
      </c>
      <c r="P10197">
        <f>IF(OR(M10197="",N10197=""),"",SUMIFS('Barang Keluar'!$E:$E,'Barang Keluar'!$A:$A,M10197,'Barang Keluar'!$C:$C,N10197))</f>
        <v>0</v>
      </c>
    </row>
    <row r="10198" spans="13:16">
      <c r="M10198" s="49">
        <f>IF($A$4+101&gt;$B$4,"",$A$4+101)</f>
        <v>46124</v>
      </c>
      <c r="N10198">
        <f>IF(M10198="","",'Master Barang'!A92)</f>
        <v>0</v>
      </c>
      <c r="O10198">
        <f>IF(N10198="","",'Master Barang'!B92)</f>
        <v>0</v>
      </c>
      <c r="P10198">
        <f>IF(OR(M10198="",N10198=""),"",SUMIFS('Barang Keluar'!$E:$E,'Barang Keluar'!$A:$A,M10198,'Barang Keluar'!$C:$C,N10198))</f>
        <v>0</v>
      </c>
    </row>
    <row r="10199" spans="13:16">
      <c r="M10199" s="49">
        <f>IF($A$4+101&gt;$B$4,"",$A$4+101)</f>
        <v>46124</v>
      </c>
      <c r="N10199">
        <f>IF(M10199="","",'Master Barang'!A93)</f>
        <v>0</v>
      </c>
      <c r="O10199">
        <f>IF(N10199="","",'Master Barang'!B93)</f>
        <v>0</v>
      </c>
      <c r="P10199">
        <f>IF(OR(M10199="",N10199=""),"",SUMIFS('Barang Keluar'!$E:$E,'Barang Keluar'!$A:$A,M10199,'Barang Keluar'!$C:$C,N10199))</f>
        <v>0</v>
      </c>
    </row>
    <row r="10200" spans="13:16">
      <c r="M10200" s="49">
        <f>IF($A$4+101&gt;$B$4,"",$A$4+101)</f>
        <v>46124</v>
      </c>
      <c r="N10200">
        <f>IF(M10200="","",'Master Barang'!A94)</f>
        <v>0</v>
      </c>
      <c r="O10200">
        <f>IF(N10200="","",'Master Barang'!B94)</f>
        <v>0</v>
      </c>
      <c r="P10200">
        <f>IF(OR(M10200="",N10200=""),"",SUMIFS('Barang Keluar'!$E:$E,'Barang Keluar'!$A:$A,M10200,'Barang Keluar'!$C:$C,N10200))</f>
        <v>0</v>
      </c>
    </row>
    <row r="10201" spans="13:16">
      <c r="M10201" s="49">
        <f>IF($A$4+101&gt;$B$4,"",$A$4+101)</f>
        <v>46124</v>
      </c>
      <c r="N10201">
        <f>IF(M10201="","",'Master Barang'!A95)</f>
        <v>0</v>
      </c>
      <c r="O10201">
        <f>IF(N10201="","",'Master Barang'!B95)</f>
        <v>0</v>
      </c>
      <c r="P10201">
        <f>IF(OR(M10201="",N10201=""),"",SUMIFS('Barang Keluar'!$E:$E,'Barang Keluar'!$A:$A,M10201,'Barang Keluar'!$C:$C,N10201))</f>
        <v>0</v>
      </c>
    </row>
    <row r="10202" spans="13:16">
      <c r="M10202" s="49">
        <f>IF($A$4+101&gt;$B$4,"",$A$4+101)</f>
        <v>46124</v>
      </c>
      <c r="N10202">
        <f>IF(M10202="","",'Master Barang'!A96)</f>
        <v>0</v>
      </c>
      <c r="O10202">
        <f>IF(N10202="","",'Master Barang'!B96)</f>
        <v>0</v>
      </c>
      <c r="P10202">
        <f>IF(OR(M10202="",N10202=""),"",SUMIFS('Barang Keluar'!$E:$E,'Barang Keluar'!$A:$A,M10202,'Barang Keluar'!$C:$C,N10202))</f>
        <v>0</v>
      </c>
    </row>
    <row r="10203" spans="13:16">
      <c r="M10203" s="49">
        <f>IF($A$4+101&gt;$B$4,"",$A$4+101)</f>
        <v>46124</v>
      </c>
      <c r="N10203">
        <f>IF(M10203="","",'Master Barang'!A97)</f>
        <v>0</v>
      </c>
      <c r="O10203">
        <f>IF(N10203="","",'Master Barang'!B97)</f>
        <v>0</v>
      </c>
      <c r="P10203">
        <f>IF(OR(M10203="",N10203=""),"",SUMIFS('Barang Keluar'!$E:$E,'Barang Keluar'!$A:$A,M10203,'Barang Keluar'!$C:$C,N10203))</f>
        <v>0</v>
      </c>
    </row>
    <row r="10204" spans="13:16">
      <c r="M10204" s="49">
        <f>IF($A$4+101&gt;$B$4,"",$A$4+101)</f>
        <v>46124</v>
      </c>
      <c r="N10204">
        <f>IF(M10204="","",'Master Barang'!A98)</f>
        <v>0</v>
      </c>
      <c r="O10204">
        <f>IF(N10204="","",'Master Barang'!B98)</f>
        <v>0</v>
      </c>
      <c r="P10204">
        <f>IF(OR(M10204="",N10204=""),"",SUMIFS('Barang Keluar'!$E:$E,'Barang Keluar'!$A:$A,M10204,'Barang Keluar'!$C:$C,N10204))</f>
        <v>0</v>
      </c>
    </row>
    <row r="10205" spans="13:16">
      <c r="M10205" s="49">
        <f>IF($A$4+101&gt;$B$4,"",$A$4+101)</f>
        <v>46124</v>
      </c>
      <c r="N10205">
        <f>IF(M10205="","",'Master Barang'!A99)</f>
        <v>0</v>
      </c>
      <c r="O10205">
        <f>IF(N10205="","",'Master Barang'!B99)</f>
        <v>0</v>
      </c>
      <c r="P10205">
        <f>IF(OR(M10205="",N10205=""),"",SUMIFS('Barang Keluar'!$E:$E,'Barang Keluar'!$A:$A,M10205,'Barang Keluar'!$C:$C,N10205))</f>
        <v>0</v>
      </c>
    </row>
    <row r="10206" spans="13:16">
      <c r="M10206" s="49">
        <f>IF($A$4+101&gt;$B$4,"",$A$4+101)</f>
        <v>46124</v>
      </c>
      <c r="N10206">
        <f>IF(M10206="","",'Master Barang'!A100)</f>
        <v>0</v>
      </c>
      <c r="O10206">
        <f>IF(N10206="","",'Master Barang'!B100)</f>
        <v>0</v>
      </c>
      <c r="P10206">
        <f>IF(OR(M10206="",N10206=""),"",SUMIFS('Barang Keluar'!$E:$E,'Barang Keluar'!$A:$A,M10206,'Barang Keluar'!$C:$C,N10206))</f>
        <v>0</v>
      </c>
    </row>
    <row r="10207" spans="13:16">
      <c r="M10207" s="49">
        <f>IF($A$4+101&gt;$B$4,"",$A$4+101)</f>
        <v>46124</v>
      </c>
      <c r="N10207">
        <f>IF(M10207="","",'Master Barang'!A101)</f>
        <v>0</v>
      </c>
      <c r="O10207">
        <f>IF(N10207="","",'Master Barang'!B101)</f>
        <v>0</v>
      </c>
      <c r="P10207">
        <f>IF(OR(M10207="",N10207=""),"",SUMIFS('Barang Keluar'!$E:$E,'Barang Keluar'!$A:$A,M10207,'Barang Keluar'!$C:$C,N10207))</f>
        <v>0</v>
      </c>
    </row>
    <row r="10208" spans="13:16">
      <c r="M10208" s="49">
        <f>IF($A$4+102&gt;$B$4,"",$A$4+102)</f>
        <v>46125</v>
      </c>
      <c r="N10208" t="str">
        <f>IF(M10208="","",'Master Barang'!A2)</f>
        <v>PRL-001</v>
      </c>
      <c r="O10208" t="str">
        <f>IF(N10208="","",'Master Barang'!B2)</f>
        <v>natura desinfectant food grade 5l</v>
      </c>
      <c r="P10208">
        <f>IF(OR(M10208="",N10208=""),"",SUMIFS('Barang Keluar'!$E:$E,'Barang Keluar'!$A:$A,M10208,'Barang Keluar'!$C:$C,N10208))</f>
        <v>0</v>
      </c>
    </row>
    <row r="10209" spans="13:16">
      <c r="M10209" s="49">
        <f>IF($A$4+102&gt;$B$4,"",$A$4+102)</f>
        <v>46125</v>
      </c>
      <c r="N10209" t="str">
        <f>IF(M10209="","",'Master Barang'!A3)</f>
        <v>PRL-002</v>
      </c>
      <c r="O10209" t="str">
        <f>IF(N10209="","",'Master Barang'!B3)</f>
        <v>sunlight cairan pencuci piring 5l</v>
      </c>
      <c r="P10209">
        <f>IF(OR(M10209="",N10209=""),"",SUMIFS('Barang Keluar'!$E:$E,'Barang Keluar'!$A:$A,M10209,'Barang Keluar'!$C:$C,N10209))</f>
        <v>0</v>
      </c>
    </row>
    <row r="10210" spans="13:16">
      <c r="M10210" s="49">
        <f>IF($A$4+102&gt;$B$4,"",$A$4+102)</f>
        <v>46125</v>
      </c>
      <c r="N10210" t="str">
        <f>IF(M10210="","",'Master Barang'!A4)</f>
        <v>PRL-003</v>
      </c>
      <c r="O10210" t="str">
        <f>IF(N10210="","",'Master Barang'!B4)</f>
        <v>oixs cleaner 1l</v>
      </c>
      <c r="P10210">
        <f>IF(OR(M10210="",N10210=""),"",SUMIFS('Barang Keluar'!$E:$E,'Barang Keluar'!$A:$A,M10210,'Barang Keluar'!$C:$C,N10210))</f>
        <v>0</v>
      </c>
    </row>
    <row r="10211" spans="13:16">
      <c r="M10211" s="49">
        <f>IF($A$4+102&gt;$B$4,"",$A$4+102)</f>
        <v>46125</v>
      </c>
      <c r="N10211" t="str">
        <f>IF(M10211="","",'Master Barang'!A5)</f>
        <v>PRL-004</v>
      </c>
      <c r="O10211" t="str">
        <f>IF(N10211="","",'Master Barang'!B5)</f>
        <v>be clean tissue serbaguna</v>
      </c>
      <c r="P10211">
        <f>IF(OR(M10211="",N10211=""),"",SUMIFS('Barang Keluar'!$E:$E,'Barang Keluar'!$A:$A,M10211,'Barang Keluar'!$C:$C,N10211))</f>
        <v>0</v>
      </c>
    </row>
    <row r="10212" spans="13:16">
      <c r="M10212" s="49">
        <f>IF($A$4+102&gt;$B$4,"",$A$4+102)</f>
        <v>46125</v>
      </c>
      <c r="N10212" t="str">
        <f>IF(M10212="","",'Master Barang'!A6)</f>
        <v>PRL-005</v>
      </c>
      <c r="O10212" t="str">
        <f>IF(N10212="","",'Master Barang'!B6)</f>
        <v>spons cuci hijau</v>
      </c>
      <c r="P10212">
        <f>IF(OR(M10212="",N10212=""),"",SUMIFS('Barang Keluar'!$E:$E,'Barang Keluar'!$A:$A,M10212,'Barang Keluar'!$C:$C,N10212))</f>
        <v>0</v>
      </c>
    </row>
    <row r="10213" spans="13:16">
      <c r="M10213" s="49">
        <f>IF($A$4+102&gt;$B$4,"",$A$4+102)</f>
        <v>46125</v>
      </c>
      <c r="N10213" t="str">
        <f>IF(M10213="","",'Master Barang'!A7)</f>
        <v>PRL-006</v>
      </c>
      <c r="O10213" t="str">
        <f>IF(N10213="","",'Master Barang'!B7)</f>
        <v>sabut cuci stainless</v>
      </c>
      <c r="P10213">
        <f>IF(OR(M10213="",N10213=""),"",SUMIFS('Barang Keluar'!$E:$E,'Barang Keluar'!$A:$A,M10213,'Barang Keluar'!$C:$C,N10213))</f>
        <v>0</v>
      </c>
    </row>
    <row r="10214" spans="13:16">
      <c r="M10214" s="49">
        <f>IF($A$4+102&gt;$B$4,"",$A$4+102)</f>
        <v>46125</v>
      </c>
      <c r="N10214" t="str">
        <f>IF(M10214="","",'Master Barang'!A8)</f>
        <v>PRL-007</v>
      </c>
      <c r="O10214" t="str">
        <f>IF(N10214="","",'Master Barang'!B8)</f>
        <v>plastik kresek besar merah 50pc</v>
      </c>
      <c r="P10214">
        <f>IF(OR(M10214="",N10214=""),"",SUMIFS('Barang Keluar'!$E:$E,'Barang Keluar'!$A:$A,M10214,'Barang Keluar'!$C:$C,N10214))</f>
        <v>0</v>
      </c>
    </row>
    <row r="10215" spans="13:16">
      <c r="M10215" s="49">
        <f>IF($A$4+102&gt;$B$4,"",$A$4+102)</f>
        <v>46125</v>
      </c>
      <c r="N10215" t="str">
        <f>IF(M10215="","",'Master Barang'!A9)</f>
        <v>PRL-008</v>
      </c>
      <c r="O10215" t="str">
        <f>IF(N10215="","",'Master Barang'!B9)</f>
        <v>lap besar</v>
      </c>
      <c r="P10215">
        <f>IF(OR(M10215="",N10215=""),"",SUMIFS('Barang Keluar'!$E:$E,'Barang Keluar'!$A:$A,M10215,'Barang Keluar'!$C:$C,N10215))</f>
        <v>0</v>
      </c>
    </row>
    <row r="10216" spans="13:16">
      <c r="M10216" s="49">
        <f>IF($A$4+102&gt;$B$4,"",$A$4+102)</f>
        <v>46125</v>
      </c>
      <c r="N10216" t="str">
        <f>IF(M10216="","",'Master Barang'!A10)</f>
        <v>PRL-009</v>
      </c>
      <c r="O10216" t="str">
        <f>IF(N10216="","",'Master Barang'!B10)</f>
        <v>lap microfiber</v>
      </c>
      <c r="P10216">
        <f>IF(OR(M10216="",N10216=""),"",SUMIFS('Barang Keluar'!$E:$E,'Barang Keluar'!$A:$A,M10216,'Barang Keluar'!$C:$C,N10216))</f>
        <v>0</v>
      </c>
    </row>
    <row r="10217" spans="13:16">
      <c r="M10217" s="49">
        <f>IF($A$4+102&gt;$B$4,"",$A$4+102)</f>
        <v>46125</v>
      </c>
      <c r="N10217" t="str">
        <f>IF(M10217="","",'Master Barang'!A11)</f>
        <v>PRL-010</v>
      </c>
      <c r="O10217" t="str">
        <f>IF(N10217="","",'Master Barang'!B11)</f>
        <v>lap kecil</v>
      </c>
      <c r="P10217">
        <f>IF(OR(M10217="",N10217=""),"",SUMIFS('Barang Keluar'!$E:$E,'Barang Keluar'!$A:$A,M10217,'Barang Keluar'!$C:$C,N10217))</f>
        <v>0</v>
      </c>
    </row>
    <row r="10218" spans="13:16">
      <c r="M10218" s="49">
        <f>IF($A$4+102&gt;$B$4,"",$A$4+102)</f>
        <v>46125</v>
      </c>
      <c r="N10218" t="str">
        <f>IF(M10218="","",'Master Barang'!A12)</f>
        <v>PRL-011</v>
      </c>
      <c r="O10218" t="str">
        <f>IF(N10218="","",'Master Barang'!B12)</f>
        <v>kanebo kecil</v>
      </c>
      <c r="P10218">
        <f>IF(OR(M10218="",N10218=""),"",SUMIFS('Barang Keluar'!$E:$E,'Barang Keluar'!$A:$A,M10218,'Barang Keluar'!$C:$C,N10218))</f>
        <v>0</v>
      </c>
    </row>
    <row r="10219" spans="13:16">
      <c r="M10219" s="49">
        <f>IF($A$4+102&gt;$B$4,"",$A$4+102)</f>
        <v>46125</v>
      </c>
      <c r="N10219" t="str">
        <f>IF(M10219="","",'Master Barang'!A13)</f>
        <v>PRL-012</v>
      </c>
      <c r="O10219" t="str">
        <f>IF(N10219="","",'Master Barang'!B13)</f>
        <v>plastik 1/4kg joyoboyo 100 lembar</v>
      </c>
      <c r="P10219">
        <f>IF(OR(M10219="",N10219=""),"",SUMIFS('Barang Keluar'!$E:$E,'Barang Keluar'!$A:$A,M10219,'Barang Keluar'!$C:$C,N10219))</f>
        <v>0</v>
      </c>
    </row>
    <row r="10220" spans="13:16">
      <c r="M10220" s="49">
        <f>IF($A$4+102&gt;$B$4,"",$A$4+102)</f>
        <v>46125</v>
      </c>
      <c r="N10220" t="str">
        <f>IF(M10220="","",'Master Barang'!A14)</f>
        <v>PRL-013</v>
      </c>
      <c r="O10220" t="str">
        <f>IF(N10220="","",'Master Barang'!B14)</f>
        <v>sarung tangan plastik kaka 100 pcs</v>
      </c>
      <c r="P10220">
        <f>IF(OR(M10220="",N10220=""),"",SUMIFS('Barang Keluar'!$E:$E,'Barang Keluar'!$A:$A,M10220,'Barang Keluar'!$C:$C,N10220))</f>
        <v>0</v>
      </c>
    </row>
    <row r="10221" spans="13:16">
      <c r="M10221" s="49">
        <f>IF($A$4+102&gt;$B$4,"",$A$4+102)</f>
        <v>46125</v>
      </c>
      <c r="N10221" t="str">
        <f>IF(M10221="","",'Master Barang'!A15)</f>
        <v>PRL-014</v>
      </c>
      <c r="O10221" t="str">
        <f>IF(N10221="","",'Master Barang'!B15)</f>
        <v>optima trashbag 80x100</v>
      </c>
      <c r="P10221">
        <f>IF(OR(M10221="",N10221=""),"",SUMIFS('Barang Keluar'!$E:$E,'Barang Keluar'!$A:$A,M10221,'Barang Keluar'!$C:$C,N10221))</f>
        <v>0</v>
      </c>
    </row>
    <row r="10222" spans="13:16">
      <c r="M10222" s="49">
        <f>IF($A$4+102&gt;$B$4,"",$A$4+102)</f>
        <v>46125</v>
      </c>
      <c r="N10222" t="str">
        <f>IF(M10222="","",'Master Barang'!A16)</f>
        <v>PRL-015</v>
      </c>
      <c r="O10222" t="str">
        <f>IF(N10222="","",'Master Barang'!B16)</f>
        <v>optima trashbag 60x100</v>
      </c>
      <c r="P10222">
        <f>IF(OR(M10222="",N10222=""),"",SUMIFS('Barang Keluar'!$E:$E,'Barang Keluar'!$A:$A,M10222,'Barang Keluar'!$C:$C,N10222))</f>
        <v>0</v>
      </c>
    </row>
    <row r="10223" spans="13:16">
      <c r="M10223" s="49">
        <f>IF($A$4+102&gt;$B$4,"",$A$4+102)</f>
        <v>46125</v>
      </c>
      <c r="N10223" t="str">
        <f>IF(M10223="","",'Master Barang'!A17)</f>
        <v>PRL-016</v>
      </c>
      <c r="O10223" t="str">
        <f>IF(N10223="","",'Master Barang'!B17)</f>
        <v>rajawali trashbag 30x40</v>
      </c>
      <c r="P10223">
        <f>IF(OR(M10223="",N10223=""),"",SUMIFS('Barang Keluar'!$E:$E,'Barang Keluar'!$A:$A,M10223,'Barang Keluar'!$C:$C,N10223))</f>
        <v>0</v>
      </c>
    </row>
    <row r="10224" spans="13:16">
      <c r="M10224" s="49">
        <f>IF($A$4+102&gt;$B$4,"",$A$4+102)</f>
        <v>46125</v>
      </c>
      <c r="N10224" t="str">
        <f>IF(M10224="","",'Master Barang'!A18)</f>
        <v>PRL-017</v>
      </c>
      <c r="O10224" t="str">
        <f>IF(N10224="","",'Master Barang'!B18)</f>
        <v>onemed masker biru 3 play 50 pcs</v>
      </c>
      <c r="P10224">
        <f>IF(OR(M10224="",N10224=""),"",SUMIFS('Barang Keluar'!$E:$E,'Barang Keluar'!$A:$A,M10224,'Barang Keluar'!$C:$C,N10224))</f>
        <v>0</v>
      </c>
    </row>
    <row r="10225" spans="13:16">
      <c r="M10225" s="49">
        <f>IF($A$4+102&gt;$B$4,"",$A$4+102)</f>
        <v>46125</v>
      </c>
      <c r="N10225" t="str">
        <f>IF(M10225="","",'Master Barang'!A19)</f>
        <v>PRL-018</v>
      </c>
      <c r="O10225" t="str">
        <f>IF(N10225="","",'Master Barang'!B19)</f>
        <v>onemed masker biru 3 play hijab 50 pcs</v>
      </c>
      <c r="P10225">
        <f>IF(OR(M10225="",N10225=""),"",SUMIFS('Barang Keluar'!$E:$E,'Barang Keluar'!$A:$A,M10225,'Barang Keluar'!$C:$C,N10225))</f>
        <v>0</v>
      </c>
    </row>
    <row r="10226" spans="13:16">
      <c r="M10226" s="49">
        <f>IF($A$4+102&gt;$B$4,"",$A$4+102)</f>
        <v>46125</v>
      </c>
      <c r="N10226" t="str">
        <f>IF(M10226="","",'Master Barang'!A20)</f>
        <v>PRL-019</v>
      </c>
      <c r="O10226" t="str">
        <f>IF(N10226="","",'Master Barang'!B20)</f>
        <v>neo health masker biru 3 play 50 pcs</v>
      </c>
      <c r="P10226">
        <f>IF(OR(M10226="",N10226=""),"",SUMIFS('Barang Keluar'!$E:$E,'Barang Keluar'!$A:$A,M10226,'Barang Keluar'!$C:$C,N10226))</f>
        <v>0</v>
      </c>
    </row>
    <row r="10227" spans="13:16">
      <c r="M10227" s="49">
        <f>IF($A$4+102&gt;$B$4,"",$A$4+102)</f>
        <v>46125</v>
      </c>
      <c r="N10227" t="str">
        <f>IF(M10227="","",'Master Barang'!A21)</f>
        <v>PRL-020</v>
      </c>
      <c r="O10227" t="str">
        <f>IF(N10227="","",'Master Barang'!B21)</f>
        <v>baymed masker hijau 3 play hijau 50 pcs</v>
      </c>
      <c r="P10227">
        <f>IF(OR(M10227="",N10227=""),"",SUMIFS('Barang Keluar'!$E:$E,'Barang Keluar'!$A:$A,M10227,'Barang Keluar'!$C:$C,N10227))</f>
        <v>0</v>
      </c>
    </row>
    <row r="10228" spans="13:16">
      <c r="M10228" s="49">
        <f>IF($A$4+102&gt;$B$4,"",$A$4+102)</f>
        <v>46125</v>
      </c>
      <c r="N10228" t="str">
        <f>IF(M10228="","",'Master Barang'!A22)</f>
        <v>PRL-021</v>
      </c>
      <c r="O10228" t="str">
        <f>IF(N10228="","",'Master Barang'!B22)</f>
        <v>altamed nurse cap penutup kepala 100 pcs</v>
      </c>
      <c r="P10228">
        <f>IF(OR(M10228="",N10228=""),"",SUMIFS('Barang Keluar'!$E:$E,'Barang Keluar'!$A:$A,M10228,'Barang Keluar'!$C:$C,N10228))</f>
        <v>0</v>
      </c>
    </row>
    <row r="10229" spans="13:16">
      <c r="M10229" s="49">
        <f>IF($A$4+102&gt;$B$4,"",$A$4+102)</f>
        <v>46125</v>
      </c>
      <c r="N10229" t="str">
        <f>IF(M10229="","",'Master Barang'!A23)</f>
        <v>PRL-022</v>
      </c>
      <c r="O10229" t="str">
        <f>IF(N10229="","",'Master Barang'!B23)</f>
        <v>sabun cuci tangan</v>
      </c>
      <c r="P10229">
        <f>IF(OR(M10229="",N10229=""),"",SUMIFS('Barang Keluar'!$E:$E,'Barang Keluar'!$A:$A,M10229,'Barang Keluar'!$C:$C,N10229))</f>
        <v>0</v>
      </c>
    </row>
    <row r="10230" spans="13:16">
      <c r="M10230" s="49">
        <f>IF($A$4+102&gt;$B$4,"",$A$4+102)</f>
        <v>46125</v>
      </c>
      <c r="N10230" t="str">
        <f>IF(M10230="","",'Master Barang'!A24)</f>
        <v>PRL-023</v>
      </c>
      <c r="O10230" t="str">
        <f>IF(N10230="","",'Master Barang'!B24)</f>
        <v>gayung kecil</v>
      </c>
      <c r="P10230">
        <f>IF(OR(M10230="",N10230=""),"",SUMIFS('Barang Keluar'!$E:$E,'Barang Keluar'!$A:$A,M10230,'Barang Keluar'!$C:$C,N10230))</f>
        <v>0</v>
      </c>
    </row>
    <row r="10231" spans="13:16">
      <c r="M10231" s="49">
        <f>IF($A$4+102&gt;$B$4,"",$A$4+102)</f>
        <v>46125</v>
      </c>
      <c r="N10231" t="str">
        <f>IF(M10231="","",'Master Barang'!A25)</f>
        <v>PRL-024</v>
      </c>
      <c r="O10231" t="str">
        <f>IF(N10231="","",'Master Barang'!B25)</f>
        <v>cikrak kecil</v>
      </c>
      <c r="P10231">
        <f>IF(OR(M10231="",N10231=""),"",SUMIFS('Barang Keluar'!$E:$E,'Barang Keluar'!$A:$A,M10231,'Barang Keluar'!$C:$C,N10231))</f>
        <v>0</v>
      </c>
    </row>
    <row r="10232" spans="13:16">
      <c r="M10232" s="49">
        <f>IF($A$4+102&gt;$B$4,"",$A$4+102)</f>
        <v>46125</v>
      </c>
      <c r="N10232" t="str">
        <f>IF(M10232="","",'Master Barang'!A26)</f>
        <v>PRL-025</v>
      </c>
      <c r="O10232" t="str">
        <f>IF(N10232="","",'Master Barang'!B26)</f>
        <v>petromax plastik kecil 12x24 100 lembar</v>
      </c>
      <c r="P10232">
        <f>IF(OR(M10232="",N10232=""),"",SUMIFS('Barang Keluar'!$E:$E,'Barang Keluar'!$A:$A,M10232,'Barang Keluar'!$C:$C,N10232))</f>
        <v>0</v>
      </c>
    </row>
    <row r="10233" spans="13:16">
      <c r="M10233" s="49">
        <f>IF($A$4+102&gt;$B$4,"",$A$4+102)</f>
        <v>46125</v>
      </c>
      <c r="N10233" t="str">
        <f>IF(M10233="","",'Master Barang'!A27)</f>
        <v>PRL-026</v>
      </c>
      <c r="O10233" t="str">
        <f>IF(N10233="","",'Master Barang'!B27)</f>
        <v>lancar kresek kecil bening </v>
      </c>
      <c r="P10233">
        <f>IF(OR(M10233="",N10233=""),"",SUMIFS('Barang Keluar'!$E:$E,'Barang Keluar'!$A:$A,M10233,'Barang Keluar'!$C:$C,N10233))</f>
        <v>0</v>
      </c>
    </row>
    <row r="10234" spans="13:16">
      <c r="M10234" s="49">
        <f>IF($A$4+102&gt;$B$4,"",$A$4+102)</f>
        <v>46125</v>
      </c>
      <c r="N10234" t="str">
        <f>IF(M10234="","",'Master Barang'!A28)</f>
        <v>PRL-027</v>
      </c>
      <c r="O10234" t="str">
        <f>IF(N10234="","",'Master Barang'!B28)</f>
        <v>kresek klin warna warni kecil</v>
      </c>
      <c r="P10234">
        <f>IF(OR(M10234="",N10234=""),"",SUMIFS('Barang Keluar'!$E:$E,'Barang Keluar'!$A:$A,M10234,'Barang Keluar'!$C:$C,N10234))</f>
        <v>0</v>
      </c>
    </row>
    <row r="10235" spans="13:16">
      <c r="M10235" s="49">
        <f>IF($A$4+102&gt;$B$4,"",$A$4+102)</f>
        <v>46125</v>
      </c>
      <c r="N10235" t="str">
        <f>IF(M10235="","",'Master Barang'!A29)</f>
        <v>PRL-028</v>
      </c>
      <c r="O10235" t="str">
        <f>IF(N10235="","",'Master Barang'!B29)</f>
        <v>ctik plastik 7x10 100 pcs</v>
      </c>
      <c r="P10235">
        <f>IF(OR(M10235="",N10235=""),"",SUMIFS('Barang Keluar'!$E:$E,'Barang Keluar'!$A:$A,M10235,'Barang Keluar'!$C:$C,N10235))</f>
        <v>0</v>
      </c>
    </row>
    <row r="10236" spans="13:16">
      <c r="M10236" s="49">
        <f>IF($A$4+102&gt;$B$4,"",$A$4+102)</f>
        <v>46125</v>
      </c>
      <c r="N10236" t="str">
        <f>IF(M10236="","",'Master Barang'!A30)</f>
        <v>PRL-029</v>
      </c>
      <c r="O10236" t="str">
        <f>IF(N10236="","",'Master Barang'!B30)</f>
        <v>ctik plastik 6x10 100 pcs</v>
      </c>
      <c r="P10236">
        <f>IF(OR(M10236="",N10236=""),"",SUMIFS('Barang Keluar'!$E:$E,'Barang Keluar'!$A:$A,M10236,'Barang Keluar'!$C:$C,N10236))</f>
        <v>0</v>
      </c>
    </row>
    <row r="10237" spans="13:16">
      <c r="M10237" s="49">
        <f>IF($A$4+102&gt;$B$4,"",$A$4+102)</f>
        <v>46125</v>
      </c>
      <c r="N10237" t="str">
        <f>IF(M10237="","",'Master Barang'!A31)</f>
        <v>PRL-030</v>
      </c>
      <c r="O10237" t="str">
        <f>IF(N10237="","",'Master Barang'!B31)</f>
        <v>klip plastik 25x16 100 pcs</v>
      </c>
      <c r="P10237">
        <f>IF(OR(M10237="",N10237=""),"",SUMIFS('Barang Keluar'!$E:$E,'Barang Keluar'!$A:$A,M10237,'Barang Keluar'!$C:$C,N10237))</f>
        <v>0</v>
      </c>
    </row>
    <row r="10238" spans="13:16">
      <c r="M10238" s="49">
        <f>IF($A$4+102&gt;$B$4,"",$A$4+102)</f>
        <v>46125</v>
      </c>
      <c r="N10238" t="str">
        <f>IF(M10238="","",'Master Barang'!A32)</f>
        <v>PRL-031</v>
      </c>
      <c r="O10238" t="str">
        <f>IF(N10238="","",'Master Barang'!B32)</f>
        <v>tempat saus 20 ml</v>
      </c>
      <c r="P10238">
        <f>IF(OR(M10238="",N10238=""),"",SUMIFS('Barang Keluar'!$E:$E,'Barang Keluar'!$A:$A,M10238,'Barang Keluar'!$C:$C,N10238))</f>
        <v>0</v>
      </c>
    </row>
    <row r="10239" spans="13:16">
      <c r="M10239" s="49">
        <f>IF($A$4+102&gt;$B$4,"",$A$4+102)</f>
        <v>46125</v>
      </c>
      <c r="N10239" t="str">
        <f>IF(M10239="","",'Master Barang'!A33)</f>
        <v>PRL-032</v>
      </c>
      <c r="O10239" t="str">
        <f>IF(N10239="","",'Master Barang'!B33)</f>
        <v>plastik packaging ag box uk sedang</v>
      </c>
      <c r="P10239">
        <f>IF(OR(M10239="",N10239=""),"",SUMIFS('Barang Keluar'!$E:$E,'Barang Keluar'!$A:$A,M10239,'Barang Keluar'!$C:$C,N10239))</f>
        <v>0</v>
      </c>
    </row>
    <row r="10240" spans="13:16">
      <c r="M10240" s="49">
        <f>IF($A$4+102&gt;$B$4,"",$A$4+102)</f>
        <v>46125</v>
      </c>
      <c r="N10240" t="str">
        <f>IF(M10240="","",'Master Barang'!A34)</f>
        <v>PRL-033</v>
      </c>
      <c r="O10240">
        <f>IF(N10240="","",'Master Barang'!B34)</f>
        <v>0</v>
      </c>
      <c r="P10240">
        <f>IF(OR(M10240="",N10240=""),"",SUMIFS('Barang Keluar'!$E:$E,'Barang Keluar'!$A:$A,M10240,'Barang Keluar'!$C:$C,N10240))</f>
        <v>0</v>
      </c>
    </row>
    <row r="10241" spans="13:16">
      <c r="M10241" s="49">
        <f>IF($A$4+102&gt;$B$4,"",$A$4+102)</f>
        <v>46125</v>
      </c>
      <c r="N10241">
        <f>IF(M10241="","",'Master Barang'!A35)</f>
        <v>0</v>
      </c>
      <c r="O10241">
        <f>IF(N10241="","",'Master Barang'!B35)</f>
        <v>0</v>
      </c>
      <c r="P10241">
        <f>IF(OR(M10241="",N10241=""),"",SUMIFS('Barang Keluar'!$E:$E,'Barang Keluar'!$A:$A,M10241,'Barang Keluar'!$C:$C,N10241))</f>
        <v>0</v>
      </c>
    </row>
    <row r="10242" spans="13:16">
      <c r="M10242" s="49">
        <f>IF($A$4+102&gt;$B$4,"",$A$4+102)</f>
        <v>46125</v>
      </c>
      <c r="N10242">
        <f>IF(M10242="","",'Master Barang'!A36)</f>
        <v>0</v>
      </c>
      <c r="O10242">
        <f>IF(N10242="","",'Master Barang'!B36)</f>
        <v>0</v>
      </c>
      <c r="P10242">
        <f>IF(OR(M10242="",N10242=""),"",SUMIFS('Barang Keluar'!$E:$E,'Barang Keluar'!$A:$A,M10242,'Barang Keluar'!$C:$C,N10242))</f>
        <v>0</v>
      </c>
    </row>
    <row r="10243" spans="13:16">
      <c r="M10243" s="49">
        <f>IF($A$4+102&gt;$B$4,"",$A$4+102)</f>
        <v>46125</v>
      </c>
      <c r="N10243">
        <f>IF(M10243="","",'Master Barang'!A37)</f>
        <v>0</v>
      </c>
      <c r="O10243">
        <f>IF(N10243="","",'Master Barang'!B37)</f>
        <v>0</v>
      </c>
      <c r="P10243">
        <f>IF(OR(M10243="",N10243=""),"",SUMIFS('Barang Keluar'!$E:$E,'Barang Keluar'!$A:$A,M10243,'Barang Keluar'!$C:$C,N10243))</f>
        <v>0</v>
      </c>
    </row>
    <row r="10244" spans="13:16">
      <c r="M10244" s="49">
        <f>IF($A$4+102&gt;$B$4,"",$A$4+102)</f>
        <v>46125</v>
      </c>
      <c r="N10244">
        <f>IF(M10244="","",'Master Barang'!A38)</f>
        <v>0</v>
      </c>
      <c r="O10244">
        <f>IF(N10244="","",'Master Barang'!B38)</f>
        <v>0</v>
      </c>
      <c r="P10244">
        <f>IF(OR(M10244="",N10244=""),"",SUMIFS('Barang Keluar'!$E:$E,'Barang Keluar'!$A:$A,M10244,'Barang Keluar'!$C:$C,N10244))</f>
        <v>0</v>
      </c>
    </row>
    <row r="10245" spans="13:16">
      <c r="M10245" s="49">
        <f>IF($A$4+102&gt;$B$4,"",$A$4+102)</f>
        <v>46125</v>
      </c>
      <c r="N10245">
        <f>IF(M10245="","",'Master Barang'!A39)</f>
        <v>0</v>
      </c>
      <c r="O10245">
        <f>IF(N10245="","",'Master Barang'!B39)</f>
        <v>0</v>
      </c>
      <c r="P10245">
        <f>IF(OR(M10245="",N10245=""),"",SUMIFS('Barang Keluar'!$E:$E,'Barang Keluar'!$A:$A,M10245,'Barang Keluar'!$C:$C,N10245))</f>
        <v>0</v>
      </c>
    </row>
    <row r="10246" spans="13:16">
      <c r="M10246" s="49">
        <f>IF($A$4+102&gt;$B$4,"",$A$4+102)</f>
        <v>46125</v>
      </c>
      <c r="N10246">
        <f>IF(M10246="","",'Master Barang'!A40)</f>
        <v>0</v>
      </c>
      <c r="O10246">
        <f>IF(N10246="","",'Master Barang'!B40)</f>
        <v>0</v>
      </c>
      <c r="P10246">
        <f>IF(OR(M10246="",N10246=""),"",SUMIFS('Barang Keluar'!$E:$E,'Barang Keluar'!$A:$A,M10246,'Barang Keluar'!$C:$C,N10246))</f>
        <v>0</v>
      </c>
    </row>
    <row r="10247" spans="13:16">
      <c r="M10247" s="49">
        <f>IF($A$4+102&gt;$B$4,"",$A$4+102)</f>
        <v>46125</v>
      </c>
      <c r="N10247">
        <f>IF(M10247="","",'Master Barang'!A41)</f>
        <v>0</v>
      </c>
      <c r="O10247">
        <f>IF(N10247="","",'Master Barang'!B41)</f>
        <v>0</v>
      </c>
      <c r="P10247">
        <f>IF(OR(M10247="",N10247=""),"",SUMIFS('Barang Keluar'!$E:$E,'Barang Keluar'!$A:$A,M10247,'Barang Keluar'!$C:$C,N10247))</f>
        <v>0</v>
      </c>
    </row>
    <row r="10248" spans="13:16">
      <c r="M10248" s="49">
        <f>IF($A$4+102&gt;$B$4,"",$A$4+102)</f>
        <v>46125</v>
      </c>
      <c r="N10248">
        <f>IF(M10248="","",'Master Barang'!A42)</f>
        <v>0</v>
      </c>
      <c r="O10248">
        <f>IF(N10248="","",'Master Barang'!B42)</f>
        <v>0</v>
      </c>
      <c r="P10248">
        <f>IF(OR(M10248="",N10248=""),"",SUMIFS('Barang Keluar'!$E:$E,'Barang Keluar'!$A:$A,M10248,'Barang Keluar'!$C:$C,N10248))</f>
        <v>0</v>
      </c>
    </row>
    <row r="10249" spans="13:16">
      <c r="M10249" s="49">
        <f>IF($A$4+102&gt;$B$4,"",$A$4+102)</f>
        <v>46125</v>
      </c>
      <c r="N10249">
        <f>IF(M10249="","",'Master Barang'!A43)</f>
        <v>0</v>
      </c>
      <c r="O10249">
        <f>IF(N10249="","",'Master Barang'!B43)</f>
        <v>0</v>
      </c>
      <c r="P10249">
        <f>IF(OR(M10249="",N10249=""),"",SUMIFS('Barang Keluar'!$E:$E,'Barang Keluar'!$A:$A,M10249,'Barang Keluar'!$C:$C,N10249))</f>
        <v>0</v>
      </c>
    </row>
    <row r="10250" spans="13:16">
      <c r="M10250" s="49">
        <f>IF($A$4+102&gt;$B$4,"",$A$4+102)</f>
        <v>46125</v>
      </c>
      <c r="N10250">
        <f>IF(M10250="","",'Master Barang'!A44)</f>
        <v>0</v>
      </c>
      <c r="O10250">
        <f>IF(N10250="","",'Master Barang'!B44)</f>
        <v>0</v>
      </c>
      <c r="P10250">
        <f>IF(OR(M10250="",N10250=""),"",SUMIFS('Barang Keluar'!$E:$E,'Barang Keluar'!$A:$A,M10250,'Barang Keluar'!$C:$C,N10250))</f>
        <v>0</v>
      </c>
    </row>
    <row r="10251" spans="13:16">
      <c r="M10251" s="49">
        <f>IF($A$4+102&gt;$B$4,"",$A$4+102)</f>
        <v>46125</v>
      </c>
      <c r="N10251">
        <f>IF(M10251="","",'Master Barang'!A45)</f>
        <v>0</v>
      </c>
      <c r="O10251">
        <f>IF(N10251="","",'Master Barang'!B45)</f>
        <v>0</v>
      </c>
      <c r="P10251">
        <f>IF(OR(M10251="",N10251=""),"",SUMIFS('Barang Keluar'!$E:$E,'Barang Keluar'!$A:$A,M10251,'Barang Keluar'!$C:$C,N10251))</f>
        <v>0</v>
      </c>
    </row>
    <row r="10252" spans="13:16">
      <c r="M10252" s="49">
        <f>IF($A$4+102&gt;$B$4,"",$A$4+102)</f>
        <v>46125</v>
      </c>
      <c r="N10252">
        <f>IF(M10252="","",'Master Barang'!A46)</f>
        <v>0</v>
      </c>
      <c r="O10252">
        <f>IF(N10252="","",'Master Barang'!B46)</f>
        <v>0</v>
      </c>
      <c r="P10252">
        <f>IF(OR(M10252="",N10252=""),"",SUMIFS('Barang Keluar'!$E:$E,'Barang Keluar'!$A:$A,M10252,'Barang Keluar'!$C:$C,N10252))</f>
        <v>0</v>
      </c>
    </row>
    <row r="10253" spans="13:16">
      <c r="M10253" s="49">
        <f>IF($A$4+102&gt;$B$4,"",$A$4+102)</f>
        <v>46125</v>
      </c>
      <c r="N10253">
        <f>IF(M10253="","",'Master Barang'!A47)</f>
        <v>0</v>
      </c>
      <c r="O10253">
        <f>IF(N10253="","",'Master Barang'!B47)</f>
        <v>0</v>
      </c>
      <c r="P10253">
        <f>IF(OR(M10253="",N10253=""),"",SUMIFS('Barang Keluar'!$E:$E,'Barang Keluar'!$A:$A,M10253,'Barang Keluar'!$C:$C,N10253))</f>
        <v>0</v>
      </c>
    </row>
    <row r="10254" spans="13:16">
      <c r="M10254" s="49">
        <f>IF($A$4+102&gt;$B$4,"",$A$4+102)</f>
        <v>46125</v>
      </c>
      <c r="N10254">
        <f>IF(M10254="","",'Master Barang'!A48)</f>
        <v>0</v>
      </c>
      <c r="O10254">
        <f>IF(N10254="","",'Master Barang'!B48)</f>
        <v>0</v>
      </c>
      <c r="P10254">
        <f>IF(OR(M10254="",N10254=""),"",SUMIFS('Barang Keluar'!$E:$E,'Barang Keluar'!$A:$A,M10254,'Barang Keluar'!$C:$C,N10254))</f>
        <v>0</v>
      </c>
    </row>
    <row r="10255" spans="13:16">
      <c r="M10255" s="49">
        <f>IF($A$4+102&gt;$B$4,"",$A$4+102)</f>
        <v>46125</v>
      </c>
      <c r="N10255">
        <f>IF(M10255="","",'Master Barang'!A49)</f>
        <v>0</v>
      </c>
      <c r="O10255">
        <f>IF(N10255="","",'Master Barang'!B49)</f>
        <v>0</v>
      </c>
      <c r="P10255">
        <f>IF(OR(M10255="",N10255=""),"",SUMIFS('Barang Keluar'!$E:$E,'Barang Keluar'!$A:$A,M10255,'Barang Keluar'!$C:$C,N10255))</f>
        <v>0</v>
      </c>
    </row>
    <row r="10256" spans="13:16">
      <c r="M10256" s="49">
        <f>IF($A$4+102&gt;$B$4,"",$A$4+102)</f>
        <v>46125</v>
      </c>
      <c r="N10256">
        <f>IF(M10256="","",'Master Barang'!A50)</f>
        <v>0</v>
      </c>
      <c r="O10256">
        <f>IF(N10256="","",'Master Barang'!B50)</f>
        <v>0</v>
      </c>
      <c r="P10256">
        <f>IF(OR(M10256="",N10256=""),"",SUMIFS('Barang Keluar'!$E:$E,'Barang Keluar'!$A:$A,M10256,'Barang Keluar'!$C:$C,N10256))</f>
        <v>0</v>
      </c>
    </row>
    <row r="10257" spans="13:16">
      <c r="M10257" s="49">
        <f>IF($A$4+102&gt;$B$4,"",$A$4+102)</f>
        <v>46125</v>
      </c>
      <c r="N10257">
        <f>IF(M10257="","",'Master Barang'!A51)</f>
        <v>0</v>
      </c>
      <c r="O10257">
        <f>IF(N10257="","",'Master Barang'!B51)</f>
        <v>0</v>
      </c>
      <c r="P10257">
        <f>IF(OR(M10257="",N10257=""),"",SUMIFS('Barang Keluar'!$E:$E,'Barang Keluar'!$A:$A,M10257,'Barang Keluar'!$C:$C,N10257))</f>
        <v>0</v>
      </c>
    </row>
    <row r="10258" spans="13:16">
      <c r="M10258" s="49">
        <f>IF($A$4+102&gt;$B$4,"",$A$4+102)</f>
        <v>46125</v>
      </c>
      <c r="N10258">
        <f>IF(M10258="","",'Master Barang'!A52)</f>
        <v>0</v>
      </c>
      <c r="O10258">
        <f>IF(N10258="","",'Master Barang'!B52)</f>
        <v>0</v>
      </c>
      <c r="P10258">
        <f>IF(OR(M10258="",N10258=""),"",SUMIFS('Barang Keluar'!$E:$E,'Barang Keluar'!$A:$A,M10258,'Barang Keluar'!$C:$C,N10258))</f>
        <v>0</v>
      </c>
    </row>
    <row r="10259" spans="13:16">
      <c r="M10259" s="49">
        <f>IF($A$4+102&gt;$B$4,"",$A$4+102)</f>
        <v>46125</v>
      </c>
      <c r="N10259">
        <f>IF(M10259="","",'Master Barang'!A53)</f>
        <v>0</v>
      </c>
      <c r="O10259">
        <f>IF(N10259="","",'Master Barang'!B53)</f>
        <v>0</v>
      </c>
      <c r="P10259">
        <f>IF(OR(M10259="",N10259=""),"",SUMIFS('Barang Keluar'!$E:$E,'Barang Keluar'!$A:$A,M10259,'Barang Keluar'!$C:$C,N10259))</f>
        <v>0</v>
      </c>
    </row>
    <row r="10260" spans="13:16">
      <c r="M10260" s="49">
        <f>IF($A$4+102&gt;$B$4,"",$A$4+102)</f>
        <v>46125</v>
      </c>
      <c r="N10260">
        <f>IF(M10260="","",'Master Barang'!A54)</f>
        <v>0</v>
      </c>
      <c r="O10260">
        <f>IF(N10260="","",'Master Barang'!B54)</f>
        <v>0</v>
      </c>
      <c r="P10260">
        <f>IF(OR(M10260="",N10260=""),"",SUMIFS('Barang Keluar'!$E:$E,'Barang Keluar'!$A:$A,M10260,'Barang Keluar'!$C:$C,N10260))</f>
        <v>0</v>
      </c>
    </row>
    <row r="10261" spans="13:16">
      <c r="M10261" s="49">
        <f>IF($A$4+102&gt;$B$4,"",$A$4+102)</f>
        <v>46125</v>
      </c>
      <c r="N10261">
        <f>IF(M10261="","",'Master Barang'!A55)</f>
        <v>0</v>
      </c>
      <c r="O10261">
        <f>IF(N10261="","",'Master Barang'!B55)</f>
        <v>0</v>
      </c>
      <c r="P10261">
        <f>IF(OR(M10261="",N10261=""),"",SUMIFS('Barang Keluar'!$E:$E,'Barang Keluar'!$A:$A,M10261,'Barang Keluar'!$C:$C,N10261))</f>
        <v>0</v>
      </c>
    </row>
    <row r="10262" spans="13:16">
      <c r="M10262" s="49">
        <f>IF($A$4+102&gt;$B$4,"",$A$4+102)</f>
        <v>46125</v>
      </c>
      <c r="N10262">
        <f>IF(M10262="","",'Master Barang'!A56)</f>
        <v>0</v>
      </c>
      <c r="O10262">
        <f>IF(N10262="","",'Master Barang'!B56)</f>
        <v>0</v>
      </c>
      <c r="P10262">
        <f>IF(OR(M10262="",N10262=""),"",SUMIFS('Barang Keluar'!$E:$E,'Barang Keluar'!$A:$A,M10262,'Barang Keluar'!$C:$C,N10262))</f>
        <v>0</v>
      </c>
    </row>
    <row r="10263" spans="13:16">
      <c r="M10263" s="49">
        <f>IF($A$4+102&gt;$B$4,"",$A$4+102)</f>
        <v>46125</v>
      </c>
      <c r="N10263">
        <f>IF(M10263="","",'Master Barang'!A57)</f>
        <v>0</v>
      </c>
      <c r="O10263">
        <f>IF(N10263="","",'Master Barang'!B57)</f>
        <v>0</v>
      </c>
      <c r="P10263">
        <f>IF(OR(M10263="",N10263=""),"",SUMIFS('Barang Keluar'!$E:$E,'Barang Keluar'!$A:$A,M10263,'Barang Keluar'!$C:$C,N10263))</f>
        <v>0</v>
      </c>
    </row>
    <row r="10264" spans="13:16">
      <c r="M10264" s="49">
        <f>IF($A$4+102&gt;$B$4,"",$A$4+102)</f>
        <v>46125</v>
      </c>
      <c r="N10264">
        <f>IF(M10264="","",'Master Barang'!A58)</f>
        <v>0</v>
      </c>
      <c r="O10264">
        <f>IF(N10264="","",'Master Barang'!B58)</f>
        <v>0</v>
      </c>
      <c r="P10264">
        <f>IF(OR(M10264="",N10264=""),"",SUMIFS('Barang Keluar'!$E:$E,'Barang Keluar'!$A:$A,M10264,'Barang Keluar'!$C:$C,N10264))</f>
        <v>0</v>
      </c>
    </row>
    <row r="10265" spans="13:16">
      <c r="M10265" s="49">
        <f>IF($A$4+102&gt;$B$4,"",$A$4+102)</f>
        <v>46125</v>
      </c>
      <c r="N10265">
        <f>IF(M10265="","",'Master Barang'!A59)</f>
        <v>0</v>
      </c>
      <c r="O10265">
        <f>IF(N10265="","",'Master Barang'!B59)</f>
        <v>0</v>
      </c>
      <c r="P10265">
        <f>IF(OR(M10265="",N10265=""),"",SUMIFS('Barang Keluar'!$E:$E,'Barang Keluar'!$A:$A,M10265,'Barang Keluar'!$C:$C,N10265))</f>
        <v>0</v>
      </c>
    </row>
    <row r="10266" spans="13:16">
      <c r="M10266" s="49">
        <f>IF($A$4+102&gt;$B$4,"",$A$4+102)</f>
        <v>46125</v>
      </c>
      <c r="N10266">
        <f>IF(M10266="","",'Master Barang'!A60)</f>
        <v>0</v>
      </c>
      <c r="O10266">
        <f>IF(N10266="","",'Master Barang'!B60)</f>
        <v>0</v>
      </c>
      <c r="P10266">
        <f>IF(OR(M10266="",N10266=""),"",SUMIFS('Barang Keluar'!$E:$E,'Barang Keluar'!$A:$A,M10266,'Barang Keluar'!$C:$C,N10266))</f>
        <v>0</v>
      </c>
    </row>
    <row r="10267" spans="13:16">
      <c r="M10267" s="49">
        <f>IF($A$4+102&gt;$B$4,"",$A$4+102)</f>
        <v>46125</v>
      </c>
      <c r="N10267">
        <f>IF(M10267="","",'Master Barang'!A61)</f>
        <v>0</v>
      </c>
      <c r="O10267">
        <f>IF(N10267="","",'Master Barang'!B61)</f>
        <v>0</v>
      </c>
      <c r="P10267">
        <f>IF(OR(M10267="",N10267=""),"",SUMIFS('Barang Keluar'!$E:$E,'Barang Keluar'!$A:$A,M10267,'Barang Keluar'!$C:$C,N10267))</f>
        <v>0</v>
      </c>
    </row>
    <row r="10268" spans="13:16">
      <c r="M10268" s="49">
        <f>IF($A$4+102&gt;$B$4,"",$A$4+102)</f>
        <v>46125</v>
      </c>
      <c r="N10268">
        <f>IF(M10268="","",'Master Barang'!A62)</f>
        <v>0</v>
      </c>
      <c r="O10268">
        <f>IF(N10268="","",'Master Barang'!B62)</f>
        <v>0</v>
      </c>
      <c r="P10268">
        <f>IF(OR(M10268="",N10268=""),"",SUMIFS('Barang Keluar'!$E:$E,'Barang Keluar'!$A:$A,M10268,'Barang Keluar'!$C:$C,N10268))</f>
        <v>0</v>
      </c>
    </row>
    <row r="10269" spans="13:16">
      <c r="M10269" s="49">
        <f>IF($A$4+102&gt;$B$4,"",$A$4+102)</f>
        <v>46125</v>
      </c>
      <c r="N10269">
        <f>IF(M10269="","",'Master Barang'!A63)</f>
        <v>0</v>
      </c>
      <c r="O10269">
        <f>IF(N10269="","",'Master Barang'!B63)</f>
        <v>0</v>
      </c>
      <c r="P10269">
        <f>IF(OR(M10269="",N10269=""),"",SUMIFS('Barang Keluar'!$E:$E,'Barang Keluar'!$A:$A,M10269,'Barang Keluar'!$C:$C,N10269))</f>
        <v>0</v>
      </c>
    </row>
    <row r="10270" spans="13:16">
      <c r="M10270" s="49">
        <f>IF($A$4+102&gt;$B$4,"",$A$4+102)</f>
        <v>46125</v>
      </c>
      <c r="N10270">
        <f>IF(M10270="","",'Master Barang'!A64)</f>
        <v>0</v>
      </c>
      <c r="O10270">
        <f>IF(N10270="","",'Master Barang'!B64)</f>
        <v>0</v>
      </c>
      <c r="P10270">
        <f>IF(OR(M10270="",N10270=""),"",SUMIFS('Barang Keluar'!$E:$E,'Barang Keluar'!$A:$A,M10270,'Barang Keluar'!$C:$C,N10270))</f>
        <v>0</v>
      </c>
    </row>
    <row r="10271" spans="13:16">
      <c r="M10271" s="49">
        <f>IF($A$4+102&gt;$B$4,"",$A$4+102)</f>
        <v>46125</v>
      </c>
      <c r="N10271">
        <f>IF(M10271="","",'Master Barang'!A65)</f>
        <v>0</v>
      </c>
      <c r="O10271">
        <f>IF(N10271="","",'Master Barang'!B65)</f>
        <v>0</v>
      </c>
      <c r="P10271">
        <f>IF(OR(M10271="",N10271=""),"",SUMIFS('Barang Keluar'!$E:$E,'Barang Keluar'!$A:$A,M10271,'Barang Keluar'!$C:$C,N10271))</f>
        <v>0</v>
      </c>
    </row>
    <row r="10272" spans="13:16">
      <c r="M10272" s="49">
        <f>IF($A$4+102&gt;$B$4,"",$A$4+102)</f>
        <v>46125</v>
      </c>
      <c r="N10272">
        <f>IF(M10272="","",'Master Barang'!A66)</f>
        <v>0</v>
      </c>
      <c r="O10272">
        <f>IF(N10272="","",'Master Barang'!B66)</f>
        <v>0</v>
      </c>
      <c r="P10272">
        <f>IF(OR(M10272="",N10272=""),"",SUMIFS('Barang Keluar'!$E:$E,'Barang Keluar'!$A:$A,M10272,'Barang Keluar'!$C:$C,N10272))</f>
        <v>0</v>
      </c>
    </row>
    <row r="10273" spans="13:16">
      <c r="M10273" s="49">
        <f>IF($A$4+102&gt;$B$4,"",$A$4+102)</f>
        <v>46125</v>
      </c>
      <c r="N10273">
        <f>IF(M10273="","",'Master Barang'!A67)</f>
        <v>0</v>
      </c>
      <c r="O10273">
        <f>IF(N10273="","",'Master Barang'!B67)</f>
        <v>0</v>
      </c>
      <c r="P10273">
        <f>IF(OR(M10273="",N10273=""),"",SUMIFS('Barang Keluar'!$E:$E,'Barang Keluar'!$A:$A,M10273,'Barang Keluar'!$C:$C,N10273))</f>
        <v>0</v>
      </c>
    </row>
    <row r="10274" spans="13:16">
      <c r="M10274" s="49">
        <f>IF($A$4+102&gt;$B$4,"",$A$4+102)</f>
        <v>46125</v>
      </c>
      <c r="N10274">
        <f>IF(M10274="","",'Master Barang'!A68)</f>
        <v>0</v>
      </c>
      <c r="O10274">
        <f>IF(N10274="","",'Master Barang'!B68)</f>
        <v>0</v>
      </c>
      <c r="P10274">
        <f>IF(OR(M10274="",N10274=""),"",SUMIFS('Barang Keluar'!$E:$E,'Barang Keluar'!$A:$A,M10274,'Barang Keluar'!$C:$C,N10274))</f>
        <v>0</v>
      </c>
    </row>
    <row r="10275" spans="13:16">
      <c r="M10275" s="49">
        <f>IF($A$4+102&gt;$B$4,"",$A$4+102)</f>
        <v>46125</v>
      </c>
      <c r="N10275">
        <f>IF(M10275="","",'Master Barang'!A69)</f>
        <v>0</v>
      </c>
      <c r="O10275">
        <f>IF(N10275="","",'Master Barang'!B69)</f>
        <v>0</v>
      </c>
      <c r="P10275">
        <f>IF(OR(M10275="",N10275=""),"",SUMIFS('Barang Keluar'!$E:$E,'Barang Keluar'!$A:$A,M10275,'Barang Keluar'!$C:$C,N10275))</f>
        <v>0</v>
      </c>
    </row>
    <row r="10276" spans="13:16">
      <c r="M10276" s="49">
        <f>IF($A$4+102&gt;$B$4,"",$A$4+102)</f>
        <v>46125</v>
      </c>
      <c r="N10276">
        <f>IF(M10276="","",'Master Barang'!A70)</f>
        <v>0</v>
      </c>
      <c r="O10276">
        <f>IF(N10276="","",'Master Barang'!B70)</f>
        <v>0</v>
      </c>
      <c r="P10276">
        <f>IF(OR(M10276="",N10276=""),"",SUMIFS('Barang Keluar'!$E:$E,'Barang Keluar'!$A:$A,M10276,'Barang Keluar'!$C:$C,N10276))</f>
        <v>0</v>
      </c>
    </row>
    <row r="10277" spans="13:16">
      <c r="M10277" s="49">
        <f>IF($A$4+102&gt;$B$4,"",$A$4+102)</f>
        <v>46125</v>
      </c>
      <c r="N10277">
        <f>IF(M10277="","",'Master Barang'!A71)</f>
        <v>0</v>
      </c>
      <c r="O10277">
        <f>IF(N10277="","",'Master Barang'!B71)</f>
        <v>0</v>
      </c>
      <c r="P10277">
        <f>IF(OR(M10277="",N10277=""),"",SUMIFS('Barang Keluar'!$E:$E,'Barang Keluar'!$A:$A,M10277,'Barang Keluar'!$C:$C,N10277))</f>
        <v>0</v>
      </c>
    </row>
    <row r="10278" spans="13:16">
      <c r="M10278" s="49">
        <f>IF($A$4+102&gt;$B$4,"",$A$4+102)</f>
        <v>46125</v>
      </c>
      <c r="N10278">
        <f>IF(M10278="","",'Master Barang'!A72)</f>
        <v>0</v>
      </c>
      <c r="O10278">
        <f>IF(N10278="","",'Master Barang'!B72)</f>
        <v>0</v>
      </c>
      <c r="P10278">
        <f>IF(OR(M10278="",N10278=""),"",SUMIFS('Barang Keluar'!$E:$E,'Barang Keluar'!$A:$A,M10278,'Barang Keluar'!$C:$C,N10278))</f>
        <v>0</v>
      </c>
    </row>
    <row r="10279" spans="13:16">
      <c r="M10279" s="49">
        <f>IF($A$4+102&gt;$B$4,"",$A$4+102)</f>
        <v>46125</v>
      </c>
      <c r="N10279">
        <f>IF(M10279="","",'Master Barang'!A73)</f>
        <v>0</v>
      </c>
      <c r="O10279">
        <f>IF(N10279="","",'Master Barang'!B73)</f>
        <v>0</v>
      </c>
      <c r="P10279">
        <f>IF(OR(M10279="",N10279=""),"",SUMIFS('Barang Keluar'!$E:$E,'Barang Keluar'!$A:$A,M10279,'Barang Keluar'!$C:$C,N10279))</f>
        <v>0</v>
      </c>
    </row>
    <row r="10280" spans="13:16">
      <c r="M10280" s="49">
        <f>IF($A$4+102&gt;$B$4,"",$A$4+102)</f>
        <v>46125</v>
      </c>
      <c r="N10280">
        <f>IF(M10280="","",'Master Barang'!A74)</f>
        <v>0</v>
      </c>
      <c r="O10280">
        <f>IF(N10280="","",'Master Barang'!B74)</f>
        <v>0</v>
      </c>
      <c r="P10280">
        <f>IF(OR(M10280="",N10280=""),"",SUMIFS('Barang Keluar'!$E:$E,'Barang Keluar'!$A:$A,M10280,'Barang Keluar'!$C:$C,N10280))</f>
        <v>0</v>
      </c>
    </row>
    <row r="10281" spans="13:16">
      <c r="M10281" s="49">
        <f>IF($A$4+102&gt;$B$4,"",$A$4+102)</f>
        <v>46125</v>
      </c>
      <c r="N10281">
        <f>IF(M10281="","",'Master Barang'!A75)</f>
        <v>0</v>
      </c>
      <c r="O10281">
        <f>IF(N10281="","",'Master Barang'!B75)</f>
        <v>0</v>
      </c>
      <c r="P10281">
        <f>IF(OR(M10281="",N10281=""),"",SUMIFS('Barang Keluar'!$E:$E,'Barang Keluar'!$A:$A,M10281,'Barang Keluar'!$C:$C,N10281))</f>
        <v>0</v>
      </c>
    </row>
    <row r="10282" spans="13:16">
      <c r="M10282" s="49">
        <f>IF($A$4+102&gt;$B$4,"",$A$4+102)</f>
        <v>46125</v>
      </c>
      <c r="N10282">
        <f>IF(M10282="","",'Master Barang'!A76)</f>
        <v>0</v>
      </c>
      <c r="O10282">
        <f>IF(N10282="","",'Master Barang'!B76)</f>
        <v>0</v>
      </c>
      <c r="P10282">
        <f>IF(OR(M10282="",N10282=""),"",SUMIFS('Barang Keluar'!$E:$E,'Barang Keluar'!$A:$A,M10282,'Barang Keluar'!$C:$C,N10282))</f>
        <v>0</v>
      </c>
    </row>
    <row r="10283" spans="13:16">
      <c r="M10283" s="49">
        <f>IF($A$4+102&gt;$B$4,"",$A$4+102)</f>
        <v>46125</v>
      </c>
      <c r="N10283">
        <f>IF(M10283="","",'Master Barang'!A77)</f>
        <v>0</v>
      </c>
      <c r="O10283">
        <f>IF(N10283="","",'Master Barang'!B77)</f>
        <v>0</v>
      </c>
      <c r="P10283">
        <f>IF(OR(M10283="",N10283=""),"",SUMIFS('Barang Keluar'!$E:$E,'Barang Keluar'!$A:$A,M10283,'Barang Keluar'!$C:$C,N10283))</f>
        <v>0</v>
      </c>
    </row>
    <row r="10284" spans="13:16">
      <c r="M10284" s="49">
        <f>IF($A$4+102&gt;$B$4,"",$A$4+102)</f>
        <v>46125</v>
      </c>
      <c r="N10284">
        <f>IF(M10284="","",'Master Barang'!A78)</f>
        <v>0</v>
      </c>
      <c r="O10284">
        <f>IF(N10284="","",'Master Barang'!B78)</f>
        <v>0</v>
      </c>
      <c r="P10284">
        <f>IF(OR(M10284="",N10284=""),"",SUMIFS('Barang Keluar'!$E:$E,'Barang Keluar'!$A:$A,M10284,'Barang Keluar'!$C:$C,N10284))</f>
        <v>0</v>
      </c>
    </row>
    <row r="10285" spans="13:16">
      <c r="M10285" s="49">
        <f>IF($A$4+102&gt;$B$4,"",$A$4+102)</f>
        <v>46125</v>
      </c>
      <c r="N10285">
        <f>IF(M10285="","",'Master Barang'!A79)</f>
        <v>0</v>
      </c>
      <c r="O10285">
        <f>IF(N10285="","",'Master Barang'!B79)</f>
        <v>0</v>
      </c>
      <c r="P10285">
        <f>IF(OR(M10285="",N10285=""),"",SUMIFS('Barang Keluar'!$E:$E,'Barang Keluar'!$A:$A,M10285,'Barang Keluar'!$C:$C,N10285))</f>
        <v>0</v>
      </c>
    </row>
    <row r="10286" spans="13:16">
      <c r="M10286" s="49">
        <f>IF($A$4+102&gt;$B$4,"",$A$4+102)</f>
        <v>46125</v>
      </c>
      <c r="N10286">
        <f>IF(M10286="","",'Master Barang'!A80)</f>
        <v>0</v>
      </c>
      <c r="O10286">
        <f>IF(N10286="","",'Master Barang'!B80)</f>
        <v>0</v>
      </c>
      <c r="P10286">
        <f>IF(OR(M10286="",N10286=""),"",SUMIFS('Barang Keluar'!$E:$E,'Barang Keluar'!$A:$A,M10286,'Barang Keluar'!$C:$C,N10286))</f>
        <v>0</v>
      </c>
    </row>
    <row r="10287" spans="13:16">
      <c r="M10287" s="49">
        <f>IF($A$4+102&gt;$B$4,"",$A$4+102)</f>
        <v>46125</v>
      </c>
      <c r="N10287">
        <f>IF(M10287="","",'Master Barang'!A81)</f>
        <v>0</v>
      </c>
      <c r="O10287">
        <f>IF(N10287="","",'Master Barang'!B81)</f>
        <v>0</v>
      </c>
      <c r="P10287">
        <f>IF(OR(M10287="",N10287=""),"",SUMIFS('Barang Keluar'!$E:$E,'Barang Keluar'!$A:$A,M10287,'Barang Keluar'!$C:$C,N10287))</f>
        <v>0</v>
      </c>
    </row>
    <row r="10288" spans="13:16">
      <c r="M10288" s="49">
        <f>IF($A$4+102&gt;$B$4,"",$A$4+102)</f>
        <v>46125</v>
      </c>
      <c r="N10288">
        <f>IF(M10288="","",'Master Barang'!A82)</f>
        <v>0</v>
      </c>
      <c r="O10288">
        <f>IF(N10288="","",'Master Barang'!B82)</f>
        <v>0</v>
      </c>
      <c r="P10288">
        <f>IF(OR(M10288="",N10288=""),"",SUMIFS('Barang Keluar'!$E:$E,'Barang Keluar'!$A:$A,M10288,'Barang Keluar'!$C:$C,N10288))</f>
        <v>0</v>
      </c>
    </row>
    <row r="10289" spans="13:16">
      <c r="M10289" s="49">
        <f>IF($A$4+102&gt;$B$4,"",$A$4+102)</f>
        <v>46125</v>
      </c>
      <c r="N10289">
        <f>IF(M10289="","",'Master Barang'!A83)</f>
        <v>0</v>
      </c>
      <c r="O10289">
        <f>IF(N10289="","",'Master Barang'!B83)</f>
        <v>0</v>
      </c>
      <c r="P10289">
        <f>IF(OR(M10289="",N10289=""),"",SUMIFS('Barang Keluar'!$E:$E,'Barang Keluar'!$A:$A,M10289,'Barang Keluar'!$C:$C,N10289))</f>
        <v>0</v>
      </c>
    </row>
    <row r="10290" spans="13:16">
      <c r="M10290" s="49">
        <f>IF($A$4+102&gt;$B$4,"",$A$4+102)</f>
        <v>46125</v>
      </c>
      <c r="N10290">
        <f>IF(M10290="","",'Master Barang'!A84)</f>
        <v>0</v>
      </c>
      <c r="O10290">
        <f>IF(N10290="","",'Master Barang'!B84)</f>
        <v>0</v>
      </c>
      <c r="P10290">
        <f>IF(OR(M10290="",N10290=""),"",SUMIFS('Barang Keluar'!$E:$E,'Barang Keluar'!$A:$A,M10290,'Barang Keluar'!$C:$C,N10290))</f>
        <v>0</v>
      </c>
    </row>
    <row r="10291" spans="13:16">
      <c r="M10291" s="49">
        <f>IF($A$4+102&gt;$B$4,"",$A$4+102)</f>
        <v>46125</v>
      </c>
      <c r="N10291">
        <f>IF(M10291="","",'Master Barang'!A85)</f>
        <v>0</v>
      </c>
      <c r="O10291">
        <f>IF(N10291="","",'Master Barang'!B85)</f>
        <v>0</v>
      </c>
      <c r="P10291">
        <f>IF(OR(M10291="",N10291=""),"",SUMIFS('Barang Keluar'!$E:$E,'Barang Keluar'!$A:$A,M10291,'Barang Keluar'!$C:$C,N10291))</f>
        <v>0</v>
      </c>
    </row>
    <row r="10292" spans="13:16">
      <c r="M10292" s="49">
        <f>IF($A$4+102&gt;$B$4,"",$A$4+102)</f>
        <v>46125</v>
      </c>
      <c r="N10292">
        <f>IF(M10292="","",'Master Barang'!A86)</f>
        <v>0</v>
      </c>
      <c r="O10292">
        <f>IF(N10292="","",'Master Barang'!B86)</f>
        <v>0</v>
      </c>
      <c r="P10292">
        <f>IF(OR(M10292="",N10292=""),"",SUMIFS('Barang Keluar'!$E:$E,'Barang Keluar'!$A:$A,M10292,'Barang Keluar'!$C:$C,N10292))</f>
        <v>0</v>
      </c>
    </row>
    <row r="10293" spans="13:16">
      <c r="M10293" s="49">
        <f>IF($A$4+102&gt;$B$4,"",$A$4+102)</f>
        <v>46125</v>
      </c>
      <c r="N10293">
        <f>IF(M10293="","",'Master Barang'!A87)</f>
        <v>0</v>
      </c>
      <c r="O10293">
        <f>IF(N10293="","",'Master Barang'!B87)</f>
        <v>0</v>
      </c>
      <c r="P10293">
        <f>IF(OR(M10293="",N10293=""),"",SUMIFS('Barang Keluar'!$E:$E,'Barang Keluar'!$A:$A,M10293,'Barang Keluar'!$C:$C,N10293))</f>
        <v>0</v>
      </c>
    </row>
    <row r="10294" spans="13:16">
      <c r="M10294" s="49">
        <f>IF($A$4+102&gt;$B$4,"",$A$4+102)</f>
        <v>46125</v>
      </c>
      <c r="N10294">
        <f>IF(M10294="","",'Master Barang'!A88)</f>
        <v>0</v>
      </c>
      <c r="O10294">
        <f>IF(N10294="","",'Master Barang'!B88)</f>
        <v>0</v>
      </c>
      <c r="P10294">
        <f>IF(OR(M10294="",N10294=""),"",SUMIFS('Barang Keluar'!$E:$E,'Barang Keluar'!$A:$A,M10294,'Barang Keluar'!$C:$C,N10294))</f>
        <v>0</v>
      </c>
    </row>
    <row r="10295" spans="13:16">
      <c r="M10295" s="49">
        <f>IF($A$4+102&gt;$B$4,"",$A$4+102)</f>
        <v>46125</v>
      </c>
      <c r="N10295">
        <f>IF(M10295="","",'Master Barang'!A89)</f>
        <v>0</v>
      </c>
      <c r="O10295">
        <f>IF(N10295="","",'Master Barang'!B89)</f>
        <v>0</v>
      </c>
      <c r="P10295">
        <f>IF(OR(M10295="",N10295=""),"",SUMIFS('Barang Keluar'!$E:$E,'Barang Keluar'!$A:$A,M10295,'Barang Keluar'!$C:$C,N10295))</f>
        <v>0</v>
      </c>
    </row>
    <row r="10296" spans="13:16">
      <c r="M10296" s="49">
        <f>IF($A$4+102&gt;$B$4,"",$A$4+102)</f>
        <v>46125</v>
      </c>
      <c r="N10296">
        <f>IF(M10296="","",'Master Barang'!A90)</f>
        <v>0</v>
      </c>
      <c r="O10296">
        <f>IF(N10296="","",'Master Barang'!B90)</f>
        <v>0</v>
      </c>
      <c r="P10296">
        <f>IF(OR(M10296="",N10296=""),"",SUMIFS('Barang Keluar'!$E:$E,'Barang Keluar'!$A:$A,M10296,'Barang Keluar'!$C:$C,N10296))</f>
        <v>0</v>
      </c>
    </row>
    <row r="10297" spans="13:16">
      <c r="M10297" s="49">
        <f>IF($A$4+102&gt;$B$4,"",$A$4+102)</f>
        <v>46125</v>
      </c>
      <c r="N10297">
        <f>IF(M10297="","",'Master Barang'!A91)</f>
        <v>0</v>
      </c>
      <c r="O10297">
        <f>IF(N10297="","",'Master Barang'!B91)</f>
        <v>0</v>
      </c>
      <c r="P10297">
        <f>IF(OR(M10297="",N10297=""),"",SUMIFS('Barang Keluar'!$E:$E,'Barang Keluar'!$A:$A,M10297,'Barang Keluar'!$C:$C,N10297))</f>
        <v>0</v>
      </c>
    </row>
    <row r="10298" spans="13:16">
      <c r="M10298" s="49">
        <f>IF($A$4+102&gt;$B$4,"",$A$4+102)</f>
        <v>46125</v>
      </c>
      <c r="N10298">
        <f>IF(M10298="","",'Master Barang'!A92)</f>
        <v>0</v>
      </c>
      <c r="O10298">
        <f>IF(N10298="","",'Master Barang'!B92)</f>
        <v>0</v>
      </c>
      <c r="P10298">
        <f>IF(OR(M10298="",N10298=""),"",SUMIFS('Barang Keluar'!$E:$E,'Barang Keluar'!$A:$A,M10298,'Barang Keluar'!$C:$C,N10298))</f>
        <v>0</v>
      </c>
    </row>
    <row r="10299" spans="13:16">
      <c r="M10299" s="49">
        <f>IF($A$4+102&gt;$B$4,"",$A$4+102)</f>
        <v>46125</v>
      </c>
      <c r="N10299">
        <f>IF(M10299="","",'Master Barang'!A93)</f>
        <v>0</v>
      </c>
      <c r="O10299">
        <f>IF(N10299="","",'Master Barang'!B93)</f>
        <v>0</v>
      </c>
      <c r="P10299">
        <f>IF(OR(M10299="",N10299=""),"",SUMIFS('Barang Keluar'!$E:$E,'Barang Keluar'!$A:$A,M10299,'Barang Keluar'!$C:$C,N10299))</f>
        <v>0</v>
      </c>
    </row>
    <row r="10300" spans="13:16">
      <c r="M10300" s="49">
        <f>IF($A$4+102&gt;$B$4,"",$A$4+102)</f>
        <v>46125</v>
      </c>
      <c r="N10300">
        <f>IF(M10300="","",'Master Barang'!A94)</f>
        <v>0</v>
      </c>
      <c r="O10300">
        <f>IF(N10300="","",'Master Barang'!B94)</f>
        <v>0</v>
      </c>
      <c r="P10300">
        <f>IF(OR(M10300="",N10300=""),"",SUMIFS('Barang Keluar'!$E:$E,'Barang Keluar'!$A:$A,M10300,'Barang Keluar'!$C:$C,N10300))</f>
        <v>0</v>
      </c>
    </row>
    <row r="10301" spans="13:16">
      <c r="M10301" s="49">
        <f>IF($A$4+102&gt;$B$4,"",$A$4+102)</f>
        <v>46125</v>
      </c>
      <c r="N10301">
        <f>IF(M10301="","",'Master Barang'!A95)</f>
        <v>0</v>
      </c>
      <c r="O10301">
        <f>IF(N10301="","",'Master Barang'!B95)</f>
        <v>0</v>
      </c>
      <c r="P10301">
        <f>IF(OR(M10301="",N10301=""),"",SUMIFS('Barang Keluar'!$E:$E,'Barang Keluar'!$A:$A,M10301,'Barang Keluar'!$C:$C,N10301))</f>
        <v>0</v>
      </c>
    </row>
    <row r="10302" spans="13:16">
      <c r="M10302" s="49">
        <f>IF($A$4+102&gt;$B$4,"",$A$4+102)</f>
        <v>46125</v>
      </c>
      <c r="N10302">
        <f>IF(M10302="","",'Master Barang'!A96)</f>
        <v>0</v>
      </c>
      <c r="O10302">
        <f>IF(N10302="","",'Master Barang'!B96)</f>
        <v>0</v>
      </c>
      <c r="P10302">
        <f>IF(OR(M10302="",N10302=""),"",SUMIFS('Barang Keluar'!$E:$E,'Barang Keluar'!$A:$A,M10302,'Barang Keluar'!$C:$C,N10302))</f>
        <v>0</v>
      </c>
    </row>
    <row r="10303" spans="13:16">
      <c r="M10303" s="49">
        <f>IF($A$4+102&gt;$B$4,"",$A$4+102)</f>
        <v>46125</v>
      </c>
      <c r="N10303">
        <f>IF(M10303="","",'Master Barang'!A97)</f>
        <v>0</v>
      </c>
      <c r="O10303">
        <f>IF(N10303="","",'Master Barang'!B97)</f>
        <v>0</v>
      </c>
      <c r="P10303">
        <f>IF(OR(M10303="",N10303=""),"",SUMIFS('Barang Keluar'!$E:$E,'Barang Keluar'!$A:$A,M10303,'Barang Keluar'!$C:$C,N10303))</f>
        <v>0</v>
      </c>
    </row>
    <row r="10304" spans="13:16">
      <c r="M10304" s="49">
        <f>IF($A$4+102&gt;$B$4,"",$A$4+102)</f>
        <v>46125</v>
      </c>
      <c r="N10304">
        <f>IF(M10304="","",'Master Barang'!A98)</f>
        <v>0</v>
      </c>
      <c r="O10304">
        <f>IF(N10304="","",'Master Barang'!B98)</f>
        <v>0</v>
      </c>
      <c r="P10304">
        <f>IF(OR(M10304="",N10304=""),"",SUMIFS('Barang Keluar'!$E:$E,'Barang Keluar'!$A:$A,M10304,'Barang Keluar'!$C:$C,N10304))</f>
        <v>0</v>
      </c>
    </row>
    <row r="10305" spans="13:16">
      <c r="M10305" s="49">
        <f>IF($A$4+102&gt;$B$4,"",$A$4+102)</f>
        <v>46125</v>
      </c>
      <c r="N10305">
        <f>IF(M10305="","",'Master Barang'!A99)</f>
        <v>0</v>
      </c>
      <c r="O10305">
        <f>IF(N10305="","",'Master Barang'!B99)</f>
        <v>0</v>
      </c>
      <c r="P10305">
        <f>IF(OR(M10305="",N10305=""),"",SUMIFS('Barang Keluar'!$E:$E,'Barang Keluar'!$A:$A,M10305,'Barang Keluar'!$C:$C,N10305))</f>
        <v>0</v>
      </c>
    </row>
    <row r="10306" spans="13:16">
      <c r="M10306" s="49">
        <f>IF($A$4+102&gt;$B$4,"",$A$4+102)</f>
        <v>46125</v>
      </c>
      <c r="N10306">
        <f>IF(M10306="","",'Master Barang'!A100)</f>
        <v>0</v>
      </c>
      <c r="O10306">
        <f>IF(N10306="","",'Master Barang'!B100)</f>
        <v>0</v>
      </c>
      <c r="P10306">
        <f>IF(OR(M10306="",N10306=""),"",SUMIFS('Barang Keluar'!$E:$E,'Barang Keluar'!$A:$A,M10306,'Barang Keluar'!$C:$C,N10306))</f>
        <v>0</v>
      </c>
    </row>
    <row r="10307" spans="13:16">
      <c r="M10307" s="49">
        <f>IF($A$4+102&gt;$B$4,"",$A$4+102)</f>
        <v>46125</v>
      </c>
      <c r="N10307">
        <f>IF(M10307="","",'Master Barang'!A101)</f>
        <v>0</v>
      </c>
      <c r="O10307">
        <f>IF(N10307="","",'Master Barang'!B101)</f>
        <v>0</v>
      </c>
      <c r="P10307">
        <f>IF(OR(M10307="",N10307=""),"",SUMIFS('Barang Keluar'!$E:$E,'Barang Keluar'!$A:$A,M10307,'Barang Keluar'!$C:$C,N10307))</f>
        <v>0</v>
      </c>
    </row>
    <row r="10308" spans="13:16">
      <c r="M10308" s="49">
        <f>IF($A$4+103&gt;$B$4,"",$A$4+103)</f>
        <v>46126</v>
      </c>
      <c r="N10308" t="str">
        <f>IF(M10308="","",'Master Barang'!A2)</f>
        <v>PRL-001</v>
      </c>
      <c r="O10308" t="str">
        <f>IF(N10308="","",'Master Barang'!B2)</f>
        <v>natura desinfectant food grade 5l</v>
      </c>
      <c r="P10308">
        <f>IF(OR(M10308="",N10308=""),"",SUMIFS('Barang Keluar'!$E:$E,'Barang Keluar'!$A:$A,M10308,'Barang Keluar'!$C:$C,N10308))</f>
        <v>0</v>
      </c>
    </row>
    <row r="10309" spans="13:16">
      <c r="M10309" s="49">
        <f>IF($A$4+103&gt;$B$4,"",$A$4+103)</f>
        <v>46126</v>
      </c>
      <c r="N10309" t="str">
        <f>IF(M10309="","",'Master Barang'!A3)</f>
        <v>PRL-002</v>
      </c>
      <c r="O10309" t="str">
        <f>IF(N10309="","",'Master Barang'!B3)</f>
        <v>sunlight cairan pencuci piring 5l</v>
      </c>
      <c r="P10309">
        <f>IF(OR(M10309="",N10309=""),"",SUMIFS('Barang Keluar'!$E:$E,'Barang Keluar'!$A:$A,M10309,'Barang Keluar'!$C:$C,N10309))</f>
        <v>0</v>
      </c>
    </row>
    <row r="10310" spans="13:16">
      <c r="M10310" s="49">
        <f>IF($A$4+103&gt;$B$4,"",$A$4+103)</f>
        <v>46126</v>
      </c>
      <c r="N10310" t="str">
        <f>IF(M10310="","",'Master Barang'!A4)</f>
        <v>PRL-003</v>
      </c>
      <c r="O10310" t="str">
        <f>IF(N10310="","",'Master Barang'!B4)</f>
        <v>oixs cleaner 1l</v>
      </c>
      <c r="P10310">
        <f>IF(OR(M10310="",N10310=""),"",SUMIFS('Barang Keluar'!$E:$E,'Barang Keluar'!$A:$A,M10310,'Barang Keluar'!$C:$C,N10310))</f>
        <v>0</v>
      </c>
    </row>
    <row r="10311" spans="13:16">
      <c r="M10311" s="49">
        <f>IF($A$4+103&gt;$B$4,"",$A$4+103)</f>
        <v>46126</v>
      </c>
      <c r="N10311" t="str">
        <f>IF(M10311="","",'Master Barang'!A5)</f>
        <v>PRL-004</v>
      </c>
      <c r="O10311" t="str">
        <f>IF(N10311="","",'Master Barang'!B5)</f>
        <v>be clean tissue serbaguna</v>
      </c>
      <c r="P10311">
        <f>IF(OR(M10311="",N10311=""),"",SUMIFS('Barang Keluar'!$E:$E,'Barang Keluar'!$A:$A,M10311,'Barang Keluar'!$C:$C,N10311))</f>
        <v>0</v>
      </c>
    </row>
    <row r="10312" spans="13:16">
      <c r="M10312" s="49">
        <f>IF($A$4+103&gt;$B$4,"",$A$4+103)</f>
        <v>46126</v>
      </c>
      <c r="N10312" t="str">
        <f>IF(M10312="","",'Master Barang'!A6)</f>
        <v>PRL-005</v>
      </c>
      <c r="O10312" t="str">
        <f>IF(N10312="","",'Master Barang'!B6)</f>
        <v>spons cuci hijau</v>
      </c>
      <c r="P10312">
        <f>IF(OR(M10312="",N10312=""),"",SUMIFS('Barang Keluar'!$E:$E,'Barang Keluar'!$A:$A,M10312,'Barang Keluar'!$C:$C,N10312))</f>
        <v>0</v>
      </c>
    </row>
    <row r="10313" spans="13:16">
      <c r="M10313" s="49">
        <f>IF($A$4+103&gt;$B$4,"",$A$4+103)</f>
        <v>46126</v>
      </c>
      <c r="N10313" t="str">
        <f>IF(M10313="","",'Master Barang'!A7)</f>
        <v>PRL-006</v>
      </c>
      <c r="O10313" t="str">
        <f>IF(N10313="","",'Master Barang'!B7)</f>
        <v>sabut cuci stainless</v>
      </c>
      <c r="P10313">
        <f>IF(OR(M10313="",N10313=""),"",SUMIFS('Barang Keluar'!$E:$E,'Barang Keluar'!$A:$A,M10313,'Barang Keluar'!$C:$C,N10313))</f>
        <v>0</v>
      </c>
    </row>
    <row r="10314" spans="13:16">
      <c r="M10314" s="49">
        <f>IF($A$4+103&gt;$B$4,"",$A$4+103)</f>
        <v>46126</v>
      </c>
      <c r="N10314" t="str">
        <f>IF(M10314="","",'Master Barang'!A8)</f>
        <v>PRL-007</v>
      </c>
      <c r="O10314" t="str">
        <f>IF(N10314="","",'Master Barang'!B8)</f>
        <v>plastik kresek besar merah 50pc</v>
      </c>
      <c r="P10314">
        <f>IF(OR(M10314="",N10314=""),"",SUMIFS('Barang Keluar'!$E:$E,'Barang Keluar'!$A:$A,M10314,'Barang Keluar'!$C:$C,N10314))</f>
        <v>0</v>
      </c>
    </row>
    <row r="10315" spans="13:16">
      <c r="M10315" s="49">
        <f>IF($A$4+103&gt;$B$4,"",$A$4+103)</f>
        <v>46126</v>
      </c>
      <c r="N10315" t="str">
        <f>IF(M10315="","",'Master Barang'!A9)</f>
        <v>PRL-008</v>
      </c>
      <c r="O10315" t="str">
        <f>IF(N10315="","",'Master Barang'!B9)</f>
        <v>lap besar</v>
      </c>
      <c r="P10315">
        <f>IF(OR(M10315="",N10315=""),"",SUMIFS('Barang Keluar'!$E:$E,'Barang Keluar'!$A:$A,M10315,'Barang Keluar'!$C:$C,N10315))</f>
        <v>0</v>
      </c>
    </row>
    <row r="10316" spans="13:16">
      <c r="M10316" s="49">
        <f>IF($A$4+103&gt;$B$4,"",$A$4+103)</f>
        <v>46126</v>
      </c>
      <c r="N10316" t="str">
        <f>IF(M10316="","",'Master Barang'!A10)</f>
        <v>PRL-009</v>
      </c>
      <c r="O10316" t="str">
        <f>IF(N10316="","",'Master Barang'!B10)</f>
        <v>lap microfiber</v>
      </c>
      <c r="P10316">
        <f>IF(OR(M10316="",N10316=""),"",SUMIFS('Barang Keluar'!$E:$E,'Barang Keluar'!$A:$A,M10316,'Barang Keluar'!$C:$C,N10316))</f>
        <v>0</v>
      </c>
    </row>
    <row r="10317" spans="13:16">
      <c r="M10317" s="49">
        <f>IF($A$4+103&gt;$B$4,"",$A$4+103)</f>
        <v>46126</v>
      </c>
      <c r="N10317" t="str">
        <f>IF(M10317="","",'Master Barang'!A11)</f>
        <v>PRL-010</v>
      </c>
      <c r="O10317" t="str">
        <f>IF(N10317="","",'Master Barang'!B11)</f>
        <v>lap kecil</v>
      </c>
      <c r="P10317">
        <f>IF(OR(M10317="",N10317=""),"",SUMIFS('Barang Keluar'!$E:$E,'Barang Keluar'!$A:$A,M10317,'Barang Keluar'!$C:$C,N10317))</f>
        <v>0</v>
      </c>
    </row>
    <row r="10318" spans="13:16">
      <c r="M10318" s="49">
        <f>IF($A$4+103&gt;$B$4,"",$A$4+103)</f>
        <v>46126</v>
      </c>
      <c r="N10318" t="str">
        <f>IF(M10318="","",'Master Barang'!A12)</f>
        <v>PRL-011</v>
      </c>
      <c r="O10318" t="str">
        <f>IF(N10318="","",'Master Barang'!B12)</f>
        <v>kanebo kecil</v>
      </c>
      <c r="P10318">
        <f>IF(OR(M10318="",N10318=""),"",SUMIFS('Barang Keluar'!$E:$E,'Barang Keluar'!$A:$A,M10318,'Barang Keluar'!$C:$C,N10318))</f>
        <v>0</v>
      </c>
    </row>
    <row r="10319" spans="13:16">
      <c r="M10319" s="49">
        <f>IF($A$4+103&gt;$B$4,"",$A$4+103)</f>
        <v>46126</v>
      </c>
      <c r="N10319" t="str">
        <f>IF(M10319="","",'Master Barang'!A13)</f>
        <v>PRL-012</v>
      </c>
      <c r="O10319" t="str">
        <f>IF(N10319="","",'Master Barang'!B13)</f>
        <v>plastik 1/4kg joyoboyo 100 lembar</v>
      </c>
      <c r="P10319">
        <f>IF(OR(M10319="",N10319=""),"",SUMIFS('Barang Keluar'!$E:$E,'Barang Keluar'!$A:$A,M10319,'Barang Keluar'!$C:$C,N10319))</f>
        <v>0</v>
      </c>
    </row>
    <row r="10320" spans="13:16">
      <c r="M10320" s="49">
        <f>IF($A$4+103&gt;$B$4,"",$A$4+103)</f>
        <v>46126</v>
      </c>
      <c r="N10320" t="str">
        <f>IF(M10320="","",'Master Barang'!A14)</f>
        <v>PRL-013</v>
      </c>
      <c r="O10320" t="str">
        <f>IF(N10320="","",'Master Barang'!B14)</f>
        <v>sarung tangan plastik kaka 100 pcs</v>
      </c>
      <c r="P10320">
        <f>IF(OR(M10320="",N10320=""),"",SUMIFS('Barang Keluar'!$E:$E,'Barang Keluar'!$A:$A,M10320,'Barang Keluar'!$C:$C,N10320))</f>
        <v>0</v>
      </c>
    </row>
    <row r="10321" spans="13:16">
      <c r="M10321" s="49">
        <f>IF($A$4+103&gt;$B$4,"",$A$4+103)</f>
        <v>46126</v>
      </c>
      <c r="N10321" t="str">
        <f>IF(M10321="","",'Master Barang'!A15)</f>
        <v>PRL-014</v>
      </c>
      <c r="O10321" t="str">
        <f>IF(N10321="","",'Master Barang'!B15)</f>
        <v>optima trashbag 80x100</v>
      </c>
      <c r="P10321">
        <f>IF(OR(M10321="",N10321=""),"",SUMIFS('Barang Keluar'!$E:$E,'Barang Keluar'!$A:$A,M10321,'Barang Keluar'!$C:$C,N10321))</f>
        <v>0</v>
      </c>
    </row>
    <row r="10322" spans="13:16">
      <c r="M10322" s="49">
        <f>IF($A$4+103&gt;$B$4,"",$A$4+103)</f>
        <v>46126</v>
      </c>
      <c r="N10322" t="str">
        <f>IF(M10322="","",'Master Barang'!A16)</f>
        <v>PRL-015</v>
      </c>
      <c r="O10322" t="str">
        <f>IF(N10322="","",'Master Barang'!B16)</f>
        <v>optima trashbag 60x100</v>
      </c>
      <c r="P10322">
        <f>IF(OR(M10322="",N10322=""),"",SUMIFS('Barang Keluar'!$E:$E,'Barang Keluar'!$A:$A,M10322,'Barang Keluar'!$C:$C,N10322))</f>
        <v>0</v>
      </c>
    </row>
    <row r="10323" spans="13:16">
      <c r="M10323" s="49">
        <f>IF($A$4+103&gt;$B$4,"",$A$4+103)</f>
        <v>46126</v>
      </c>
      <c r="N10323" t="str">
        <f>IF(M10323="","",'Master Barang'!A17)</f>
        <v>PRL-016</v>
      </c>
      <c r="O10323" t="str">
        <f>IF(N10323="","",'Master Barang'!B17)</f>
        <v>rajawali trashbag 30x40</v>
      </c>
      <c r="P10323">
        <f>IF(OR(M10323="",N10323=""),"",SUMIFS('Barang Keluar'!$E:$E,'Barang Keluar'!$A:$A,M10323,'Barang Keluar'!$C:$C,N10323))</f>
        <v>0</v>
      </c>
    </row>
    <row r="10324" spans="13:16">
      <c r="M10324" s="49">
        <f>IF($A$4+103&gt;$B$4,"",$A$4+103)</f>
        <v>46126</v>
      </c>
      <c r="N10324" t="str">
        <f>IF(M10324="","",'Master Barang'!A18)</f>
        <v>PRL-017</v>
      </c>
      <c r="O10324" t="str">
        <f>IF(N10324="","",'Master Barang'!B18)</f>
        <v>onemed masker biru 3 play 50 pcs</v>
      </c>
      <c r="P10324">
        <f>IF(OR(M10324="",N10324=""),"",SUMIFS('Barang Keluar'!$E:$E,'Barang Keluar'!$A:$A,M10324,'Barang Keluar'!$C:$C,N10324))</f>
        <v>0</v>
      </c>
    </row>
    <row r="10325" spans="13:16">
      <c r="M10325" s="49">
        <f>IF($A$4+103&gt;$B$4,"",$A$4+103)</f>
        <v>46126</v>
      </c>
      <c r="N10325" t="str">
        <f>IF(M10325="","",'Master Barang'!A19)</f>
        <v>PRL-018</v>
      </c>
      <c r="O10325" t="str">
        <f>IF(N10325="","",'Master Barang'!B19)</f>
        <v>onemed masker biru 3 play hijab 50 pcs</v>
      </c>
      <c r="P10325">
        <f>IF(OR(M10325="",N10325=""),"",SUMIFS('Barang Keluar'!$E:$E,'Barang Keluar'!$A:$A,M10325,'Barang Keluar'!$C:$C,N10325))</f>
        <v>0</v>
      </c>
    </row>
    <row r="10326" spans="13:16">
      <c r="M10326" s="49">
        <f>IF($A$4+103&gt;$B$4,"",$A$4+103)</f>
        <v>46126</v>
      </c>
      <c r="N10326" t="str">
        <f>IF(M10326="","",'Master Barang'!A20)</f>
        <v>PRL-019</v>
      </c>
      <c r="O10326" t="str">
        <f>IF(N10326="","",'Master Barang'!B20)</f>
        <v>neo health masker biru 3 play 50 pcs</v>
      </c>
      <c r="P10326">
        <f>IF(OR(M10326="",N10326=""),"",SUMIFS('Barang Keluar'!$E:$E,'Barang Keluar'!$A:$A,M10326,'Barang Keluar'!$C:$C,N10326))</f>
        <v>0</v>
      </c>
    </row>
    <row r="10327" spans="13:16">
      <c r="M10327" s="49">
        <f>IF($A$4+103&gt;$B$4,"",$A$4+103)</f>
        <v>46126</v>
      </c>
      <c r="N10327" t="str">
        <f>IF(M10327="","",'Master Barang'!A21)</f>
        <v>PRL-020</v>
      </c>
      <c r="O10327" t="str">
        <f>IF(N10327="","",'Master Barang'!B21)</f>
        <v>baymed masker hijau 3 play hijau 50 pcs</v>
      </c>
      <c r="P10327">
        <f>IF(OR(M10327="",N10327=""),"",SUMIFS('Barang Keluar'!$E:$E,'Barang Keluar'!$A:$A,M10327,'Barang Keluar'!$C:$C,N10327))</f>
        <v>0</v>
      </c>
    </row>
    <row r="10328" spans="13:16">
      <c r="M10328" s="49">
        <f>IF($A$4+103&gt;$B$4,"",$A$4+103)</f>
        <v>46126</v>
      </c>
      <c r="N10328" t="str">
        <f>IF(M10328="","",'Master Barang'!A22)</f>
        <v>PRL-021</v>
      </c>
      <c r="O10328" t="str">
        <f>IF(N10328="","",'Master Barang'!B22)</f>
        <v>altamed nurse cap penutup kepala 100 pcs</v>
      </c>
      <c r="P10328">
        <f>IF(OR(M10328="",N10328=""),"",SUMIFS('Barang Keluar'!$E:$E,'Barang Keluar'!$A:$A,M10328,'Barang Keluar'!$C:$C,N10328))</f>
        <v>0</v>
      </c>
    </row>
    <row r="10329" spans="13:16">
      <c r="M10329" s="49">
        <f>IF($A$4+103&gt;$B$4,"",$A$4+103)</f>
        <v>46126</v>
      </c>
      <c r="N10329" t="str">
        <f>IF(M10329="","",'Master Barang'!A23)</f>
        <v>PRL-022</v>
      </c>
      <c r="O10329" t="str">
        <f>IF(N10329="","",'Master Barang'!B23)</f>
        <v>sabun cuci tangan</v>
      </c>
      <c r="P10329">
        <f>IF(OR(M10329="",N10329=""),"",SUMIFS('Barang Keluar'!$E:$E,'Barang Keluar'!$A:$A,M10329,'Barang Keluar'!$C:$C,N10329))</f>
        <v>0</v>
      </c>
    </row>
    <row r="10330" spans="13:16">
      <c r="M10330" s="49">
        <f>IF($A$4+103&gt;$B$4,"",$A$4+103)</f>
        <v>46126</v>
      </c>
      <c r="N10330" t="str">
        <f>IF(M10330="","",'Master Barang'!A24)</f>
        <v>PRL-023</v>
      </c>
      <c r="O10330" t="str">
        <f>IF(N10330="","",'Master Barang'!B24)</f>
        <v>gayung kecil</v>
      </c>
      <c r="P10330">
        <f>IF(OR(M10330="",N10330=""),"",SUMIFS('Barang Keluar'!$E:$E,'Barang Keluar'!$A:$A,M10330,'Barang Keluar'!$C:$C,N10330))</f>
        <v>0</v>
      </c>
    </row>
    <row r="10331" spans="13:16">
      <c r="M10331" s="49">
        <f>IF($A$4+103&gt;$B$4,"",$A$4+103)</f>
        <v>46126</v>
      </c>
      <c r="N10331" t="str">
        <f>IF(M10331="","",'Master Barang'!A25)</f>
        <v>PRL-024</v>
      </c>
      <c r="O10331" t="str">
        <f>IF(N10331="","",'Master Barang'!B25)</f>
        <v>cikrak kecil</v>
      </c>
      <c r="P10331">
        <f>IF(OR(M10331="",N10331=""),"",SUMIFS('Barang Keluar'!$E:$E,'Barang Keluar'!$A:$A,M10331,'Barang Keluar'!$C:$C,N10331))</f>
        <v>0</v>
      </c>
    </row>
    <row r="10332" spans="13:16">
      <c r="M10332" s="49">
        <f>IF($A$4+103&gt;$B$4,"",$A$4+103)</f>
        <v>46126</v>
      </c>
      <c r="N10332" t="str">
        <f>IF(M10332="","",'Master Barang'!A26)</f>
        <v>PRL-025</v>
      </c>
      <c r="O10332" t="str">
        <f>IF(N10332="","",'Master Barang'!B26)</f>
        <v>petromax plastik kecil 12x24 100 lembar</v>
      </c>
      <c r="P10332">
        <f>IF(OR(M10332="",N10332=""),"",SUMIFS('Barang Keluar'!$E:$E,'Barang Keluar'!$A:$A,M10332,'Barang Keluar'!$C:$C,N10332))</f>
        <v>0</v>
      </c>
    </row>
    <row r="10333" spans="13:16">
      <c r="M10333" s="49">
        <f>IF($A$4+103&gt;$B$4,"",$A$4+103)</f>
        <v>46126</v>
      </c>
      <c r="N10333" t="str">
        <f>IF(M10333="","",'Master Barang'!A27)</f>
        <v>PRL-026</v>
      </c>
      <c r="O10333" t="str">
        <f>IF(N10333="","",'Master Barang'!B27)</f>
        <v>lancar kresek kecil bening </v>
      </c>
      <c r="P10333">
        <f>IF(OR(M10333="",N10333=""),"",SUMIFS('Barang Keluar'!$E:$E,'Barang Keluar'!$A:$A,M10333,'Barang Keluar'!$C:$C,N10333))</f>
        <v>0</v>
      </c>
    </row>
    <row r="10334" spans="13:16">
      <c r="M10334" s="49">
        <f>IF($A$4+103&gt;$B$4,"",$A$4+103)</f>
        <v>46126</v>
      </c>
      <c r="N10334" t="str">
        <f>IF(M10334="","",'Master Barang'!A28)</f>
        <v>PRL-027</v>
      </c>
      <c r="O10334" t="str">
        <f>IF(N10334="","",'Master Barang'!B28)</f>
        <v>kresek klin warna warni kecil</v>
      </c>
      <c r="P10334">
        <f>IF(OR(M10334="",N10334=""),"",SUMIFS('Barang Keluar'!$E:$E,'Barang Keluar'!$A:$A,M10334,'Barang Keluar'!$C:$C,N10334))</f>
        <v>0</v>
      </c>
    </row>
    <row r="10335" spans="13:16">
      <c r="M10335" s="49">
        <f>IF($A$4+103&gt;$B$4,"",$A$4+103)</f>
        <v>46126</v>
      </c>
      <c r="N10335" t="str">
        <f>IF(M10335="","",'Master Barang'!A29)</f>
        <v>PRL-028</v>
      </c>
      <c r="O10335" t="str">
        <f>IF(N10335="","",'Master Barang'!B29)</f>
        <v>ctik plastik 7x10 100 pcs</v>
      </c>
      <c r="P10335">
        <f>IF(OR(M10335="",N10335=""),"",SUMIFS('Barang Keluar'!$E:$E,'Barang Keluar'!$A:$A,M10335,'Barang Keluar'!$C:$C,N10335))</f>
        <v>0</v>
      </c>
    </row>
    <row r="10336" spans="13:16">
      <c r="M10336" s="49">
        <f>IF($A$4+103&gt;$B$4,"",$A$4+103)</f>
        <v>46126</v>
      </c>
      <c r="N10336" t="str">
        <f>IF(M10336="","",'Master Barang'!A30)</f>
        <v>PRL-029</v>
      </c>
      <c r="O10336" t="str">
        <f>IF(N10336="","",'Master Barang'!B30)</f>
        <v>ctik plastik 6x10 100 pcs</v>
      </c>
      <c r="P10336">
        <f>IF(OR(M10336="",N10336=""),"",SUMIFS('Barang Keluar'!$E:$E,'Barang Keluar'!$A:$A,M10336,'Barang Keluar'!$C:$C,N10336))</f>
        <v>0</v>
      </c>
    </row>
    <row r="10337" spans="13:16">
      <c r="M10337" s="49">
        <f>IF($A$4+103&gt;$B$4,"",$A$4+103)</f>
        <v>46126</v>
      </c>
      <c r="N10337" t="str">
        <f>IF(M10337="","",'Master Barang'!A31)</f>
        <v>PRL-030</v>
      </c>
      <c r="O10337" t="str">
        <f>IF(N10337="","",'Master Barang'!B31)</f>
        <v>klip plastik 25x16 100 pcs</v>
      </c>
      <c r="P10337">
        <f>IF(OR(M10337="",N10337=""),"",SUMIFS('Barang Keluar'!$E:$E,'Barang Keluar'!$A:$A,M10337,'Barang Keluar'!$C:$C,N10337))</f>
        <v>0</v>
      </c>
    </row>
    <row r="10338" spans="13:16">
      <c r="M10338" s="49">
        <f>IF($A$4+103&gt;$B$4,"",$A$4+103)</f>
        <v>46126</v>
      </c>
      <c r="N10338" t="str">
        <f>IF(M10338="","",'Master Barang'!A32)</f>
        <v>PRL-031</v>
      </c>
      <c r="O10338" t="str">
        <f>IF(N10338="","",'Master Barang'!B32)</f>
        <v>tempat saus 20 ml</v>
      </c>
      <c r="P10338">
        <f>IF(OR(M10338="",N10338=""),"",SUMIFS('Barang Keluar'!$E:$E,'Barang Keluar'!$A:$A,M10338,'Barang Keluar'!$C:$C,N10338))</f>
        <v>0</v>
      </c>
    </row>
    <row r="10339" spans="13:16">
      <c r="M10339" s="49">
        <f>IF($A$4+103&gt;$B$4,"",$A$4+103)</f>
        <v>46126</v>
      </c>
      <c r="N10339" t="str">
        <f>IF(M10339="","",'Master Barang'!A33)</f>
        <v>PRL-032</v>
      </c>
      <c r="O10339" t="str">
        <f>IF(N10339="","",'Master Barang'!B33)</f>
        <v>plastik packaging ag box uk sedang</v>
      </c>
      <c r="P10339">
        <f>IF(OR(M10339="",N10339=""),"",SUMIFS('Barang Keluar'!$E:$E,'Barang Keluar'!$A:$A,M10339,'Barang Keluar'!$C:$C,N10339))</f>
        <v>0</v>
      </c>
    </row>
    <row r="10340" spans="13:16">
      <c r="M10340" s="49">
        <f>IF($A$4+103&gt;$B$4,"",$A$4+103)</f>
        <v>46126</v>
      </c>
      <c r="N10340" t="str">
        <f>IF(M10340="","",'Master Barang'!A34)</f>
        <v>PRL-033</v>
      </c>
      <c r="O10340">
        <f>IF(N10340="","",'Master Barang'!B34)</f>
        <v>0</v>
      </c>
      <c r="P10340">
        <f>IF(OR(M10340="",N10340=""),"",SUMIFS('Barang Keluar'!$E:$E,'Barang Keluar'!$A:$A,M10340,'Barang Keluar'!$C:$C,N10340))</f>
        <v>0</v>
      </c>
    </row>
    <row r="10341" spans="13:16">
      <c r="M10341" s="49">
        <f>IF($A$4+103&gt;$B$4,"",$A$4+103)</f>
        <v>46126</v>
      </c>
      <c r="N10341">
        <f>IF(M10341="","",'Master Barang'!A35)</f>
        <v>0</v>
      </c>
      <c r="O10341">
        <f>IF(N10341="","",'Master Barang'!B35)</f>
        <v>0</v>
      </c>
      <c r="P10341">
        <f>IF(OR(M10341="",N10341=""),"",SUMIFS('Barang Keluar'!$E:$E,'Barang Keluar'!$A:$A,M10341,'Barang Keluar'!$C:$C,N10341))</f>
        <v>0</v>
      </c>
    </row>
    <row r="10342" spans="13:16">
      <c r="M10342" s="49">
        <f>IF($A$4+103&gt;$B$4,"",$A$4+103)</f>
        <v>46126</v>
      </c>
      <c r="N10342">
        <f>IF(M10342="","",'Master Barang'!A36)</f>
        <v>0</v>
      </c>
      <c r="O10342">
        <f>IF(N10342="","",'Master Barang'!B36)</f>
        <v>0</v>
      </c>
      <c r="P10342">
        <f>IF(OR(M10342="",N10342=""),"",SUMIFS('Barang Keluar'!$E:$E,'Barang Keluar'!$A:$A,M10342,'Barang Keluar'!$C:$C,N10342))</f>
        <v>0</v>
      </c>
    </row>
    <row r="10343" spans="13:16">
      <c r="M10343" s="49">
        <f>IF($A$4+103&gt;$B$4,"",$A$4+103)</f>
        <v>46126</v>
      </c>
      <c r="N10343">
        <f>IF(M10343="","",'Master Barang'!A37)</f>
        <v>0</v>
      </c>
      <c r="O10343">
        <f>IF(N10343="","",'Master Barang'!B37)</f>
        <v>0</v>
      </c>
      <c r="P10343">
        <f>IF(OR(M10343="",N10343=""),"",SUMIFS('Barang Keluar'!$E:$E,'Barang Keluar'!$A:$A,M10343,'Barang Keluar'!$C:$C,N10343))</f>
        <v>0</v>
      </c>
    </row>
    <row r="10344" spans="13:16">
      <c r="M10344" s="49">
        <f>IF($A$4+103&gt;$B$4,"",$A$4+103)</f>
        <v>46126</v>
      </c>
      <c r="N10344">
        <f>IF(M10344="","",'Master Barang'!A38)</f>
        <v>0</v>
      </c>
      <c r="O10344">
        <f>IF(N10344="","",'Master Barang'!B38)</f>
        <v>0</v>
      </c>
      <c r="P10344">
        <f>IF(OR(M10344="",N10344=""),"",SUMIFS('Barang Keluar'!$E:$E,'Barang Keluar'!$A:$A,M10344,'Barang Keluar'!$C:$C,N10344))</f>
        <v>0</v>
      </c>
    </row>
    <row r="10345" spans="13:16">
      <c r="M10345" s="49">
        <f>IF($A$4+103&gt;$B$4,"",$A$4+103)</f>
        <v>46126</v>
      </c>
      <c r="N10345">
        <f>IF(M10345="","",'Master Barang'!A39)</f>
        <v>0</v>
      </c>
      <c r="O10345">
        <f>IF(N10345="","",'Master Barang'!B39)</f>
        <v>0</v>
      </c>
      <c r="P10345">
        <f>IF(OR(M10345="",N10345=""),"",SUMIFS('Barang Keluar'!$E:$E,'Barang Keluar'!$A:$A,M10345,'Barang Keluar'!$C:$C,N10345))</f>
        <v>0</v>
      </c>
    </row>
    <row r="10346" spans="13:16">
      <c r="M10346" s="49">
        <f>IF($A$4+103&gt;$B$4,"",$A$4+103)</f>
        <v>46126</v>
      </c>
      <c r="N10346">
        <f>IF(M10346="","",'Master Barang'!A40)</f>
        <v>0</v>
      </c>
      <c r="O10346">
        <f>IF(N10346="","",'Master Barang'!B40)</f>
        <v>0</v>
      </c>
      <c r="P10346">
        <f>IF(OR(M10346="",N10346=""),"",SUMIFS('Barang Keluar'!$E:$E,'Barang Keluar'!$A:$A,M10346,'Barang Keluar'!$C:$C,N10346))</f>
        <v>0</v>
      </c>
    </row>
    <row r="10347" spans="13:16">
      <c r="M10347" s="49">
        <f>IF($A$4+103&gt;$B$4,"",$A$4+103)</f>
        <v>46126</v>
      </c>
      <c r="N10347">
        <f>IF(M10347="","",'Master Barang'!A41)</f>
        <v>0</v>
      </c>
      <c r="O10347">
        <f>IF(N10347="","",'Master Barang'!B41)</f>
        <v>0</v>
      </c>
      <c r="P10347">
        <f>IF(OR(M10347="",N10347=""),"",SUMIFS('Barang Keluar'!$E:$E,'Barang Keluar'!$A:$A,M10347,'Barang Keluar'!$C:$C,N10347))</f>
        <v>0</v>
      </c>
    </row>
    <row r="10348" spans="13:16">
      <c r="M10348" s="49">
        <f>IF($A$4+103&gt;$B$4,"",$A$4+103)</f>
        <v>46126</v>
      </c>
      <c r="N10348">
        <f>IF(M10348="","",'Master Barang'!A42)</f>
        <v>0</v>
      </c>
      <c r="O10348">
        <f>IF(N10348="","",'Master Barang'!B42)</f>
        <v>0</v>
      </c>
      <c r="P10348">
        <f>IF(OR(M10348="",N10348=""),"",SUMIFS('Barang Keluar'!$E:$E,'Barang Keluar'!$A:$A,M10348,'Barang Keluar'!$C:$C,N10348))</f>
        <v>0</v>
      </c>
    </row>
    <row r="10349" spans="13:16">
      <c r="M10349" s="49">
        <f>IF($A$4+103&gt;$B$4,"",$A$4+103)</f>
        <v>46126</v>
      </c>
      <c r="N10349">
        <f>IF(M10349="","",'Master Barang'!A43)</f>
        <v>0</v>
      </c>
      <c r="O10349">
        <f>IF(N10349="","",'Master Barang'!B43)</f>
        <v>0</v>
      </c>
      <c r="P10349">
        <f>IF(OR(M10349="",N10349=""),"",SUMIFS('Barang Keluar'!$E:$E,'Barang Keluar'!$A:$A,M10349,'Barang Keluar'!$C:$C,N10349))</f>
        <v>0</v>
      </c>
    </row>
    <row r="10350" spans="13:16">
      <c r="M10350" s="49">
        <f>IF($A$4+103&gt;$B$4,"",$A$4+103)</f>
        <v>46126</v>
      </c>
      <c r="N10350">
        <f>IF(M10350="","",'Master Barang'!A44)</f>
        <v>0</v>
      </c>
      <c r="O10350">
        <f>IF(N10350="","",'Master Barang'!B44)</f>
        <v>0</v>
      </c>
      <c r="P10350">
        <f>IF(OR(M10350="",N10350=""),"",SUMIFS('Barang Keluar'!$E:$E,'Barang Keluar'!$A:$A,M10350,'Barang Keluar'!$C:$C,N10350))</f>
        <v>0</v>
      </c>
    </row>
    <row r="10351" spans="13:16">
      <c r="M10351" s="49">
        <f>IF($A$4+103&gt;$B$4,"",$A$4+103)</f>
        <v>46126</v>
      </c>
      <c r="N10351">
        <f>IF(M10351="","",'Master Barang'!A45)</f>
        <v>0</v>
      </c>
      <c r="O10351">
        <f>IF(N10351="","",'Master Barang'!B45)</f>
        <v>0</v>
      </c>
      <c r="P10351">
        <f>IF(OR(M10351="",N10351=""),"",SUMIFS('Barang Keluar'!$E:$E,'Barang Keluar'!$A:$A,M10351,'Barang Keluar'!$C:$C,N10351))</f>
        <v>0</v>
      </c>
    </row>
    <row r="10352" spans="13:16">
      <c r="M10352" s="49">
        <f>IF($A$4+103&gt;$B$4,"",$A$4+103)</f>
        <v>46126</v>
      </c>
      <c r="N10352">
        <f>IF(M10352="","",'Master Barang'!A46)</f>
        <v>0</v>
      </c>
      <c r="O10352">
        <f>IF(N10352="","",'Master Barang'!B46)</f>
        <v>0</v>
      </c>
      <c r="P10352">
        <f>IF(OR(M10352="",N10352=""),"",SUMIFS('Barang Keluar'!$E:$E,'Barang Keluar'!$A:$A,M10352,'Barang Keluar'!$C:$C,N10352))</f>
        <v>0</v>
      </c>
    </row>
    <row r="10353" spans="13:16">
      <c r="M10353" s="49">
        <f>IF($A$4+103&gt;$B$4,"",$A$4+103)</f>
        <v>46126</v>
      </c>
      <c r="N10353">
        <f>IF(M10353="","",'Master Barang'!A47)</f>
        <v>0</v>
      </c>
      <c r="O10353">
        <f>IF(N10353="","",'Master Barang'!B47)</f>
        <v>0</v>
      </c>
      <c r="P10353">
        <f>IF(OR(M10353="",N10353=""),"",SUMIFS('Barang Keluar'!$E:$E,'Barang Keluar'!$A:$A,M10353,'Barang Keluar'!$C:$C,N10353))</f>
        <v>0</v>
      </c>
    </row>
    <row r="10354" spans="13:16">
      <c r="M10354" s="49">
        <f>IF($A$4+103&gt;$B$4,"",$A$4+103)</f>
        <v>46126</v>
      </c>
      <c r="N10354">
        <f>IF(M10354="","",'Master Barang'!A48)</f>
        <v>0</v>
      </c>
      <c r="O10354">
        <f>IF(N10354="","",'Master Barang'!B48)</f>
        <v>0</v>
      </c>
      <c r="P10354">
        <f>IF(OR(M10354="",N10354=""),"",SUMIFS('Barang Keluar'!$E:$E,'Barang Keluar'!$A:$A,M10354,'Barang Keluar'!$C:$C,N10354))</f>
        <v>0</v>
      </c>
    </row>
    <row r="10355" spans="13:16">
      <c r="M10355" s="49">
        <f>IF($A$4+103&gt;$B$4,"",$A$4+103)</f>
        <v>46126</v>
      </c>
      <c r="N10355">
        <f>IF(M10355="","",'Master Barang'!A49)</f>
        <v>0</v>
      </c>
      <c r="O10355">
        <f>IF(N10355="","",'Master Barang'!B49)</f>
        <v>0</v>
      </c>
      <c r="P10355">
        <f>IF(OR(M10355="",N10355=""),"",SUMIFS('Barang Keluar'!$E:$E,'Barang Keluar'!$A:$A,M10355,'Barang Keluar'!$C:$C,N10355))</f>
        <v>0</v>
      </c>
    </row>
    <row r="10356" spans="13:16">
      <c r="M10356" s="49">
        <f>IF($A$4+103&gt;$B$4,"",$A$4+103)</f>
        <v>46126</v>
      </c>
      <c r="N10356">
        <f>IF(M10356="","",'Master Barang'!A50)</f>
        <v>0</v>
      </c>
      <c r="O10356">
        <f>IF(N10356="","",'Master Barang'!B50)</f>
        <v>0</v>
      </c>
      <c r="P10356">
        <f>IF(OR(M10356="",N10356=""),"",SUMIFS('Barang Keluar'!$E:$E,'Barang Keluar'!$A:$A,M10356,'Barang Keluar'!$C:$C,N10356))</f>
        <v>0</v>
      </c>
    </row>
    <row r="10357" spans="13:16">
      <c r="M10357" s="49">
        <f>IF($A$4+103&gt;$B$4,"",$A$4+103)</f>
        <v>46126</v>
      </c>
      <c r="N10357">
        <f>IF(M10357="","",'Master Barang'!A51)</f>
        <v>0</v>
      </c>
      <c r="O10357">
        <f>IF(N10357="","",'Master Barang'!B51)</f>
        <v>0</v>
      </c>
      <c r="P10357">
        <f>IF(OR(M10357="",N10357=""),"",SUMIFS('Barang Keluar'!$E:$E,'Barang Keluar'!$A:$A,M10357,'Barang Keluar'!$C:$C,N10357))</f>
        <v>0</v>
      </c>
    </row>
    <row r="10358" spans="13:16">
      <c r="M10358" s="49">
        <f>IF($A$4+103&gt;$B$4,"",$A$4+103)</f>
        <v>46126</v>
      </c>
      <c r="N10358">
        <f>IF(M10358="","",'Master Barang'!A52)</f>
        <v>0</v>
      </c>
      <c r="O10358">
        <f>IF(N10358="","",'Master Barang'!B52)</f>
        <v>0</v>
      </c>
      <c r="P10358">
        <f>IF(OR(M10358="",N10358=""),"",SUMIFS('Barang Keluar'!$E:$E,'Barang Keluar'!$A:$A,M10358,'Barang Keluar'!$C:$C,N10358))</f>
        <v>0</v>
      </c>
    </row>
    <row r="10359" spans="13:16">
      <c r="M10359" s="49">
        <f>IF($A$4+103&gt;$B$4,"",$A$4+103)</f>
        <v>46126</v>
      </c>
      <c r="N10359">
        <f>IF(M10359="","",'Master Barang'!A53)</f>
        <v>0</v>
      </c>
      <c r="O10359">
        <f>IF(N10359="","",'Master Barang'!B53)</f>
        <v>0</v>
      </c>
      <c r="P10359">
        <f>IF(OR(M10359="",N10359=""),"",SUMIFS('Barang Keluar'!$E:$E,'Barang Keluar'!$A:$A,M10359,'Barang Keluar'!$C:$C,N10359))</f>
        <v>0</v>
      </c>
    </row>
    <row r="10360" spans="13:16">
      <c r="M10360" s="49">
        <f>IF($A$4+103&gt;$B$4,"",$A$4+103)</f>
        <v>46126</v>
      </c>
      <c r="N10360">
        <f>IF(M10360="","",'Master Barang'!A54)</f>
        <v>0</v>
      </c>
      <c r="O10360">
        <f>IF(N10360="","",'Master Barang'!B54)</f>
        <v>0</v>
      </c>
      <c r="P10360">
        <f>IF(OR(M10360="",N10360=""),"",SUMIFS('Barang Keluar'!$E:$E,'Barang Keluar'!$A:$A,M10360,'Barang Keluar'!$C:$C,N10360))</f>
        <v>0</v>
      </c>
    </row>
    <row r="10361" spans="13:16">
      <c r="M10361" s="49">
        <f>IF($A$4+103&gt;$B$4,"",$A$4+103)</f>
        <v>46126</v>
      </c>
      <c r="N10361">
        <f>IF(M10361="","",'Master Barang'!A55)</f>
        <v>0</v>
      </c>
      <c r="O10361">
        <f>IF(N10361="","",'Master Barang'!B55)</f>
        <v>0</v>
      </c>
      <c r="P10361">
        <f>IF(OR(M10361="",N10361=""),"",SUMIFS('Barang Keluar'!$E:$E,'Barang Keluar'!$A:$A,M10361,'Barang Keluar'!$C:$C,N10361))</f>
        <v>0</v>
      </c>
    </row>
    <row r="10362" spans="13:16">
      <c r="M10362" s="49">
        <f>IF($A$4+103&gt;$B$4,"",$A$4+103)</f>
        <v>46126</v>
      </c>
      <c r="N10362">
        <f>IF(M10362="","",'Master Barang'!A56)</f>
        <v>0</v>
      </c>
      <c r="O10362">
        <f>IF(N10362="","",'Master Barang'!B56)</f>
        <v>0</v>
      </c>
      <c r="P10362">
        <f>IF(OR(M10362="",N10362=""),"",SUMIFS('Barang Keluar'!$E:$E,'Barang Keluar'!$A:$A,M10362,'Barang Keluar'!$C:$C,N10362))</f>
        <v>0</v>
      </c>
    </row>
    <row r="10363" spans="13:16">
      <c r="M10363" s="49">
        <f>IF($A$4+103&gt;$B$4,"",$A$4+103)</f>
        <v>46126</v>
      </c>
      <c r="N10363">
        <f>IF(M10363="","",'Master Barang'!A57)</f>
        <v>0</v>
      </c>
      <c r="O10363">
        <f>IF(N10363="","",'Master Barang'!B57)</f>
        <v>0</v>
      </c>
      <c r="P10363">
        <f>IF(OR(M10363="",N10363=""),"",SUMIFS('Barang Keluar'!$E:$E,'Barang Keluar'!$A:$A,M10363,'Barang Keluar'!$C:$C,N10363))</f>
        <v>0</v>
      </c>
    </row>
    <row r="10364" spans="13:16">
      <c r="M10364" s="49">
        <f>IF($A$4+103&gt;$B$4,"",$A$4+103)</f>
        <v>46126</v>
      </c>
      <c r="N10364">
        <f>IF(M10364="","",'Master Barang'!A58)</f>
        <v>0</v>
      </c>
      <c r="O10364">
        <f>IF(N10364="","",'Master Barang'!B58)</f>
        <v>0</v>
      </c>
      <c r="P10364">
        <f>IF(OR(M10364="",N10364=""),"",SUMIFS('Barang Keluar'!$E:$E,'Barang Keluar'!$A:$A,M10364,'Barang Keluar'!$C:$C,N10364))</f>
        <v>0</v>
      </c>
    </row>
    <row r="10365" spans="13:16">
      <c r="M10365" s="49">
        <f>IF($A$4+103&gt;$B$4,"",$A$4+103)</f>
        <v>46126</v>
      </c>
      <c r="N10365">
        <f>IF(M10365="","",'Master Barang'!A59)</f>
        <v>0</v>
      </c>
      <c r="O10365">
        <f>IF(N10365="","",'Master Barang'!B59)</f>
        <v>0</v>
      </c>
      <c r="P10365">
        <f>IF(OR(M10365="",N10365=""),"",SUMIFS('Barang Keluar'!$E:$E,'Barang Keluar'!$A:$A,M10365,'Barang Keluar'!$C:$C,N10365))</f>
        <v>0</v>
      </c>
    </row>
    <row r="10366" spans="13:16">
      <c r="M10366" s="49">
        <f>IF($A$4+103&gt;$B$4,"",$A$4+103)</f>
        <v>46126</v>
      </c>
      <c r="N10366">
        <f>IF(M10366="","",'Master Barang'!A60)</f>
        <v>0</v>
      </c>
      <c r="O10366">
        <f>IF(N10366="","",'Master Barang'!B60)</f>
        <v>0</v>
      </c>
      <c r="P10366">
        <f>IF(OR(M10366="",N10366=""),"",SUMIFS('Barang Keluar'!$E:$E,'Barang Keluar'!$A:$A,M10366,'Barang Keluar'!$C:$C,N10366))</f>
        <v>0</v>
      </c>
    </row>
    <row r="10367" spans="13:16">
      <c r="M10367" s="49">
        <f>IF($A$4+103&gt;$B$4,"",$A$4+103)</f>
        <v>46126</v>
      </c>
      <c r="N10367">
        <f>IF(M10367="","",'Master Barang'!A61)</f>
        <v>0</v>
      </c>
      <c r="O10367">
        <f>IF(N10367="","",'Master Barang'!B61)</f>
        <v>0</v>
      </c>
      <c r="P10367">
        <f>IF(OR(M10367="",N10367=""),"",SUMIFS('Barang Keluar'!$E:$E,'Barang Keluar'!$A:$A,M10367,'Barang Keluar'!$C:$C,N10367))</f>
        <v>0</v>
      </c>
    </row>
    <row r="10368" spans="13:16">
      <c r="M10368" s="49">
        <f>IF($A$4+103&gt;$B$4,"",$A$4+103)</f>
        <v>46126</v>
      </c>
      <c r="N10368">
        <f>IF(M10368="","",'Master Barang'!A62)</f>
        <v>0</v>
      </c>
      <c r="O10368">
        <f>IF(N10368="","",'Master Barang'!B62)</f>
        <v>0</v>
      </c>
      <c r="P10368">
        <f>IF(OR(M10368="",N10368=""),"",SUMIFS('Barang Keluar'!$E:$E,'Barang Keluar'!$A:$A,M10368,'Barang Keluar'!$C:$C,N10368))</f>
        <v>0</v>
      </c>
    </row>
    <row r="10369" spans="13:16">
      <c r="M10369" s="49">
        <f>IF($A$4+103&gt;$B$4,"",$A$4+103)</f>
        <v>46126</v>
      </c>
      <c r="N10369">
        <f>IF(M10369="","",'Master Barang'!A63)</f>
        <v>0</v>
      </c>
      <c r="O10369">
        <f>IF(N10369="","",'Master Barang'!B63)</f>
        <v>0</v>
      </c>
      <c r="P10369">
        <f>IF(OR(M10369="",N10369=""),"",SUMIFS('Barang Keluar'!$E:$E,'Barang Keluar'!$A:$A,M10369,'Barang Keluar'!$C:$C,N10369))</f>
        <v>0</v>
      </c>
    </row>
    <row r="10370" spans="13:16">
      <c r="M10370" s="49">
        <f>IF($A$4+103&gt;$B$4,"",$A$4+103)</f>
        <v>46126</v>
      </c>
      <c r="N10370">
        <f>IF(M10370="","",'Master Barang'!A64)</f>
        <v>0</v>
      </c>
      <c r="O10370">
        <f>IF(N10370="","",'Master Barang'!B64)</f>
        <v>0</v>
      </c>
      <c r="P10370">
        <f>IF(OR(M10370="",N10370=""),"",SUMIFS('Barang Keluar'!$E:$E,'Barang Keluar'!$A:$A,M10370,'Barang Keluar'!$C:$C,N10370))</f>
        <v>0</v>
      </c>
    </row>
    <row r="10371" spans="13:16">
      <c r="M10371" s="49">
        <f>IF($A$4+103&gt;$B$4,"",$A$4+103)</f>
        <v>46126</v>
      </c>
      <c r="N10371">
        <f>IF(M10371="","",'Master Barang'!A65)</f>
        <v>0</v>
      </c>
      <c r="O10371">
        <f>IF(N10371="","",'Master Barang'!B65)</f>
        <v>0</v>
      </c>
      <c r="P10371">
        <f>IF(OR(M10371="",N10371=""),"",SUMIFS('Barang Keluar'!$E:$E,'Barang Keluar'!$A:$A,M10371,'Barang Keluar'!$C:$C,N10371))</f>
        <v>0</v>
      </c>
    </row>
    <row r="10372" spans="13:16">
      <c r="M10372" s="49">
        <f>IF($A$4+103&gt;$B$4,"",$A$4+103)</f>
        <v>46126</v>
      </c>
      <c r="N10372">
        <f>IF(M10372="","",'Master Barang'!A66)</f>
        <v>0</v>
      </c>
      <c r="O10372">
        <f>IF(N10372="","",'Master Barang'!B66)</f>
        <v>0</v>
      </c>
      <c r="P10372">
        <f>IF(OR(M10372="",N10372=""),"",SUMIFS('Barang Keluar'!$E:$E,'Barang Keluar'!$A:$A,M10372,'Barang Keluar'!$C:$C,N10372))</f>
        <v>0</v>
      </c>
    </row>
    <row r="10373" spans="13:16">
      <c r="M10373" s="49">
        <f>IF($A$4+103&gt;$B$4,"",$A$4+103)</f>
        <v>46126</v>
      </c>
      <c r="N10373">
        <f>IF(M10373="","",'Master Barang'!A67)</f>
        <v>0</v>
      </c>
      <c r="O10373">
        <f>IF(N10373="","",'Master Barang'!B67)</f>
        <v>0</v>
      </c>
      <c r="P10373">
        <f>IF(OR(M10373="",N10373=""),"",SUMIFS('Barang Keluar'!$E:$E,'Barang Keluar'!$A:$A,M10373,'Barang Keluar'!$C:$C,N10373))</f>
        <v>0</v>
      </c>
    </row>
    <row r="10374" spans="13:16">
      <c r="M10374" s="49">
        <f>IF($A$4+103&gt;$B$4,"",$A$4+103)</f>
        <v>46126</v>
      </c>
      <c r="N10374">
        <f>IF(M10374="","",'Master Barang'!A68)</f>
        <v>0</v>
      </c>
      <c r="O10374">
        <f>IF(N10374="","",'Master Barang'!B68)</f>
        <v>0</v>
      </c>
      <c r="P10374">
        <f>IF(OR(M10374="",N10374=""),"",SUMIFS('Barang Keluar'!$E:$E,'Barang Keluar'!$A:$A,M10374,'Barang Keluar'!$C:$C,N10374))</f>
        <v>0</v>
      </c>
    </row>
    <row r="10375" spans="13:16">
      <c r="M10375" s="49">
        <f>IF($A$4+103&gt;$B$4,"",$A$4+103)</f>
        <v>46126</v>
      </c>
      <c r="N10375">
        <f>IF(M10375="","",'Master Barang'!A69)</f>
        <v>0</v>
      </c>
      <c r="O10375">
        <f>IF(N10375="","",'Master Barang'!B69)</f>
        <v>0</v>
      </c>
      <c r="P10375">
        <f>IF(OR(M10375="",N10375=""),"",SUMIFS('Barang Keluar'!$E:$E,'Barang Keluar'!$A:$A,M10375,'Barang Keluar'!$C:$C,N10375))</f>
        <v>0</v>
      </c>
    </row>
    <row r="10376" spans="13:16">
      <c r="M10376" s="49">
        <f>IF($A$4+103&gt;$B$4,"",$A$4+103)</f>
        <v>46126</v>
      </c>
      <c r="N10376">
        <f>IF(M10376="","",'Master Barang'!A70)</f>
        <v>0</v>
      </c>
      <c r="O10376">
        <f>IF(N10376="","",'Master Barang'!B70)</f>
        <v>0</v>
      </c>
      <c r="P10376">
        <f>IF(OR(M10376="",N10376=""),"",SUMIFS('Barang Keluar'!$E:$E,'Barang Keluar'!$A:$A,M10376,'Barang Keluar'!$C:$C,N10376))</f>
        <v>0</v>
      </c>
    </row>
    <row r="10377" spans="13:16">
      <c r="M10377" s="49">
        <f>IF($A$4+103&gt;$B$4,"",$A$4+103)</f>
        <v>46126</v>
      </c>
      <c r="N10377">
        <f>IF(M10377="","",'Master Barang'!A71)</f>
        <v>0</v>
      </c>
      <c r="O10377">
        <f>IF(N10377="","",'Master Barang'!B71)</f>
        <v>0</v>
      </c>
      <c r="P10377">
        <f>IF(OR(M10377="",N10377=""),"",SUMIFS('Barang Keluar'!$E:$E,'Barang Keluar'!$A:$A,M10377,'Barang Keluar'!$C:$C,N10377))</f>
        <v>0</v>
      </c>
    </row>
    <row r="10378" spans="13:16">
      <c r="M10378" s="49">
        <f>IF($A$4+103&gt;$B$4,"",$A$4+103)</f>
        <v>46126</v>
      </c>
      <c r="N10378">
        <f>IF(M10378="","",'Master Barang'!A72)</f>
        <v>0</v>
      </c>
      <c r="O10378">
        <f>IF(N10378="","",'Master Barang'!B72)</f>
        <v>0</v>
      </c>
      <c r="P10378">
        <f>IF(OR(M10378="",N10378=""),"",SUMIFS('Barang Keluar'!$E:$E,'Barang Keluar'!$A:$A,M10378,'Barang Keluar'!$C:$C,N10378))</f>
        <v>0</v>
      </c>
    </row>
    <row r="10379" spans="13:16">
      <c r="M10379" s="49">
        <f>IF($A$4+103&gt;$B$4,"",$A$4+103)</f>
        <v>46126</v>
      </c>
      <c r="N10379">
        <f>IF(M10379="","",'Master Barang'!A73)</f>
        <v>0</v>
      </c>
      <c r="O10379">
        <f>IF(N10379="","",'Master Barang'!B73)</f>
        <v>0</v>
      </c>
      <c r="P10379">
        <f>IF(OR(M10379="",N10379=""),"",SUMIFS('Barang Keluar'!$E:$E,'Barang Keluar'!$A:$A,M10379,'Barang Keluar'!$C:$C,N10379))</f>
        <v>0</v>
      </c>
    </row>
    <row r="10380" spans="13:16">
      <c r="M10380" s="49">
        <f>IF($A$4+103&gt;$B$4,"",$A$4+103)</f>
        <v>46126</v>
      </c>
      <c r="N10380">
        <f>IF(M10380="","",'Master Barang'!A74)</f>
        <v>0</v>
      </c>
      <c r="O10380">
        <f>IF(N10380="","",'Master Barang'!B74)</f>
        <v>0</v>
      </c>
      <c r="P10380">
        <f>IF(OR(M10380="",N10380=""),"",SUMIFS('Barang Keluar'!$E:$E,'Barang Keluar'!$A:$A,M10380,'Barang Keluar'!$C:$C,N10380))</f>
        <v>0</v>
      </c>
    </row>
    <row r="10381" spans="13:16">
      <c r="M10381" s="49">
        <f>IF($A$4+103&gt;$B$4,"",$A$4+103)</f>
        <v>46126</v>
      </c>
      <c r="N10381">
        <f>IF(M10381="","",'Master Barang'!A75)</f>
        <v>0</v>
      </c>
      <c r="O10381">
        <f>IF(N10381="","",'Master Barang'!B75)</f>
        <v>0</v>
      </c>
      <c r="P10381">
        <f>IF(OR(M10381="",N10381=""),"",SUMIFS('Barang Keluar'!$E:$E,'Barang Keluar'!$A:$A,M10381,'Barang Keluar'!$C:$C,N10381))</f>
        <v>0</v>
      </c>
    </row>
    <row r="10382" spans="13:16">
      <c r="M10382" s="49">
        <f>IF($A$4+103&gt;$B$4,"",$A$4+103)</f>
        <v>46126</v>
      </c>
      <c r="N10382">
        <f>IF(M10382="","",'Master Barang'!A76)</f>
        <v>0</v>
      </c>
      <c r="O10382">
        <f>IF(N10382="","",'Master Barang'!B76)</f>
        <v>0</v>
      </c>
      <c r="P10382">
        <f>IF(OR(M10382="",N10382=""),"",SUMIFS('Barang Keluar'!$E:$E,'Barang Keluar'!$A:$A,M10382,'Barang Keluar'!$C:$C,N10382))</f>
        <v>0</v>
      </c>
    </row>
    <row r="10383" spans="13:16">
      <c r="M10383" s="49">
        <f>IF($A$4+103&gt;$B$4,"",$A$4+103)</f>
        <v>46126</v>
      </c>
      <c r="N10383">
        <f>IF(M10383="","",'Master Barang'!A77)</f>
        <v>0</v>
      </c>
      <c r="O10383">
        <f>IF(N10383="","",'Master Barang'!B77)</f>
        <v>0</v>
      </c>
      <c r="P10383">
        <f>IF(OR(M10383="",N10383=""),"",SUMIFS('Barang Keluar'!$E:$E,'Barang Keluar'!$A:$A,M10383,'Barang Keluar'!$C:$C,N10383))</f>
        <v>0</v>
      </c>
    </row>
    <row r="10384" spans="13:16">
      <c r="M10384" s="49">
        <f>IF($A$4+103&gt;$B$4,"",$A$4+103)</f>
        <v>46126</v>
      </c>
      <c r="N10384">
        <f>IF(M10384="","",'Master Barang'!A78)</f>
        <v>0</v>
      </c>
      <c r="O10384">
        <f>IF(N10384="","",'Master Barang'!B78)</f>
        <v>0</v>
      </c>
      <c r="P10384">
        <f>IF(OR(M10384="",N10384=""),"",SUMIFS('Barang Keluar'!$E:$E,'Barang Keluar'!$A:$A,M10384,'Barang Keluar'!$C:$C,N10384))</f>
        <v>0</v>
      </c>
    </row>
    <row r="10385" spans="13:16">
      <c r="M10385" s="49">
        <f>IF($A$4+103&gt;$B$4,"",$A$4+103)</f>
        <v>46126</v>
      </c>
      <c r="N10385">
        <f>IF(M10385="","",'Master Barang'!A79)</f>
        <v>0</v>
      </c>
      <c r="O10385">
        <f>IF(N10385="","",'Master Barang'!B79)</f>
        <v>0</v>
      </c>
      <c r="P10385">
        <f>IF(OR(M10385="",N10385=""),"",SUMIFS('Barang Keluar'!$E:$E,'Barang Keluar'!$A:$A,M10385,'Barang Keluar'!$C:$C,N10385))</f>
        <v>0</v>
      </c>
    </row>
    <row r="10386" spans="13:16">
      <c r="M10386" s="49">
        <f>IF($A$4+103&gt;$B$4,"",$A$4+103)</f>
        <v>46126</v>
      </c>
      <c r="N10386">
        <f>IF(M10386="","",'Master Barang'!A80)</f>
        <v>0</v>
      </c>
      <c r="O10386">
        <f>IF(N10386="","",'Master Barang'!B80)</f>
        <v>0</v>
      </c>
      <c r="P10386">
        <f>IF(OR(M10386="",N10386=""),"",SUMIFS('Barang Keluar'!$E:$E,'Barang Keluar'!$A:$A,M10386,'Barang Keluar'!$C:$C,N10386))</f>
        <v>0</v>
      </c>
    </row>
    <row r="10387" spans="13:16">
      <c r="M10387" s="49">
        <f>IF($A$4+103&gt;$B$4,"",$A$4+103)</f>
        <v>46126</v>
      </c>
      <c r="N10387">
        <f>IF(M10387="","",'Master Barang'!A81)</f>
        <v>0</v>
      </c>
      <c r="O10387">
        <f>IF(N10387="","",'Master Barang'!B81)</f>
        <v>0</v>
      </c>
      <c r="P10387">
        <f>IF(OR(M10387="",N10387=""),"",SUMIFS('Barang Keluar'!$E:$E,'Barang Keluar'!$A:$A,M10387,'Barang Keluar'!$C:$C,N10387))</f>
        <v>0</v>
      </c>
    </row>
    <row r="10388" spans="13:16">
      <c r="M10388" s="49">
        <f>IF($A$4+103&gt;$B$4,"",$A$4+103)</f>
        <v>46126</v>
      </c>
      <c r="N10388">
        <f>IF(M10388="","",'Master Barang'!A82)</f>
        <v>0</v>
      </c>
      <c r="O10388">
        <f>IF(N10388="","",'Master Barang'!B82)</f>
        <v>0</v>
      </c>
      <c r="P10388">
        <f>IF(OR(M10388="",N10388=""),"",SUMIFS('Barang Keluar'!$E:$E,'Barang Keluar'!$A:$A,M10388,'Barang Keluar'!$C:$C,N10388))</f>
        <v>0</v>
      </c>
    </row>
    <row r="10389" spans="13:16">
      <c r="M10389" s="49">
        <f>IF($A$4+103&gt;$B$4,"",$A$4+103)</f>
        <v>46126</v>
      </c>
      <c r="N10389">
        <f>IF(M10389="","",'Master Barang'!A83)</f>
        <v>0</v>
      </c>
      <c r="O10389">
        <f>IF(N10389="","",'Master Barang'!B83)</f>
        <v>0</v>
      </c>
      <c r="P10389">
        <f>IF(OR(M10389="",N10389=""),"",SUMIFS('Barang Keluar'!$E:$E,'Barang Keluar'!$A:$A,M10389,'Barang Keluar'!$C:$C,N10389))</f>
        <v>0</v>
      </c>
    </row>
    <row r="10390" spans="13:16">
      <c r="M10390" s="49">
        <f>IF($A$4+103&gt;$B$4,"",$A$4+103)</f>
        <v>46126</v>
      </c>
      <c r="N10390">
        <f>IF(M10390="","",'Master Barang'!A84)</f>
        <v>0</v>
      </c>
      <c r="O10390">
        <f>IF(N10390="","",'Master Barang'!B84)</f>
        <v>0</v>
      </c>
      <c r="P10390">
        <f>IF(OR(M10390="",N10390=""),"",SUMIFS('Barang Keluar'!$E:$E,'Barang Keluar'!$A:$A,M10390,'Barang Keluar'!$C:$C,N10390))</f>
        <v>0</v>
      </c>
    </row>
    <row r="10391" spans="13:16">
      <c r="M10391" s="49">
        <f>IF($A$4+103&gt;$B$4,"",$A$4+103)</f>
        <v>46126</v>
      </c>
      <c r="N10391">
        <f>IF(M10391="","",'Master Barang'!A85)</f>
        <v>0</v>
      </c>
      <c r="O10391">
        <f>IF(N10391="","",'Master Barang'!B85)</f>
        <v>0</v>
      </c>
      <c r="P10391">
        <f>IF(OR(M10391="",N10391=""),"",SUMIFS('Barang Keluar'!$E:$E,'Barang Keluar'!$A:$A,M10391,'Barang Keluar'!$C:$C,N10391))</f>
        <v>0</v>
      </c>
    </row>
    <row r="10392" spans="13:16">
      <c r="M10392" s="49">
        <f>IF($A$4+103&gt;$B$4,"",$A$4+103)</f>
        <v>46126</v>
      </c>
      <c r="N10392">
        <f>IF(M10392="","",'Master Barang'!A86)</f>
        <v>0</v>
      </c>
      <c r="O10392">
        <f>IF(N10392="","",'Master Barang'!B86)</f>
        <v>0</v>
      </c>
      <c r="P10392">
        <f>IF(OR(M10392="",N10392=""),"",SUMIFS('Barang Keluar'!$E:$E,'Barang Keluar'!$A:$A,M10392,'Barang Keluar'!$C:$C,N10392))</f>
        <v>0</v>
      </c>
    </row>
    <row r="10393" spans="13:16">
      <c r="M10393" s="49">
        <f>IF($A$4+103&gt;$B$4,"",$A$4+103)</f>
        <v>46126</v>
      </c>
      <c r="N10393">
        <f>IF(M10393="","",'Master Barang'!A87)</f>
        <v>0</v>
      </c>
      <c r="O10393">
        <f>IF(N10393="","",'Master Barang'!B87)</f>
        <v>0</v>
      </c>
      <c r="P10393">
        <f>IF(OR(M10393="",N10393=""),"",SUMIFS('Barang Keluar'!$E:$E,'Barang Keluar'!$A:$A,M10393,'Barang Keluar'!$C:$C,N10393))</f>
        <v>0</v>
      </c>
    </row>
    <row r="10394" spans="13:16">
      <c r="M10394" s="49">
        <f>IF($A$4+103&gt;$B$4,"",$A$4+103)</f>
        <v>46126</v>
      </c>
      <c r="N10394">
        <f>IF(M10394="","",'Master Barang'!A88)</f>
        <v>0</v>
      </c>
      <c r="O10394">
        <f>IF(N10394="","",'Master Barang'!B88)</f>
        <v>0</v>
      </c>
      <c r="P10394">
        <f>IF(OR(M10394="",N10394=""),"",SUMIFS('Barang Keluar'!$E:$E,'Barang Keluar'!$A:$A,M10394,'Barang Keluar'!$C:$C,N10394))</f>
        <v>0</v>
      </c>
    </row>
    <row r="10395" spans="13:16">
      <c r="M10395" s="49">
        <f>IF($A$4+103&gt;$B$4,"",$A$4+103)</f>
        <v>46126</v>
      </c>
      <c r="N10395">
        <f>IF(M10395="","",'Master Barang'!A89)</f>
        <v>0</v>
      </c>
      <c r="O10395">
        <f>IF(N10395="","",'Master Barang'!B89)</f>
        <v>0</v>
      </c>
      <c r="P10395">
        <f>IF(OR(M10395="",N10395=""),"",SUMIFS('Barang Keluar'!$E:$E,'Barang Keluar'!$A:$A,M10395,'Barang Keluar'!$C:$C,N10395))</f>
        <v>0</v>
      </c>
    </row>
    <row r="10396" spans="13:16">
      <c r="M10396" s="49">
        <f>IF($A$4+103&gt;$B$4,"",$A$4+103)</f>
        <v>46126</v>
      </c>
      <c r="N10396">
        <f>IF(M10396="","",'Master Barang'!A90)</f>
        <v>0</v>
      </c>
      <c r="O10396">
        <f>IF(N10396="","",'Master Barang'!B90)</f>
        <v>0</v>
      </c>
      <c r="P10396">
        <f>IF(OR(M10396="",N10396=""),"",SUMIFS('Barang Keluar'!$E:$E,'Barang Keluar'!$A:$A,M10396,'Barang Keluar'!$C:$C,N10396))</f>
        <v>0</v>
      </c>
    </row>
    <row r="10397" spans="13:16">
      <c r="M10397" s="49">
        <f>IF($A$4+103&gt;$B$4,"",$A$4+103)</f>
        <v>46126</v>
      </c>
      <c r="N10397">
        <f>IF(M10397="","",'Master Barang'!A91)</f>
        <v>0</v>
      </c>
      <c r="O10397">
        <f>IF(N10397="","",'Master Barang'!B91)</f>
        <v>0</v>
      </c>
      <c r="P10397">
        <f>IF(OR(M10397="",N10397=""),"",SUMIFS('Barang Keluar'!$E:$E,'Barang Keluar'!$A:$A,M10397,'Barang Keluar'!$C:$C,N10397))</f>
        <v>0</v>
      </c>
    </row>
    <row r="10398" spans="13:16">
      <c r="M10398" s="49">
        <f>IF($A$4+103&gt;$B$4,"",$A$4+103)</f>
        <v>46126</v>
      </c>
      <c r="N10398">
        <f>IF(M10398="","",'Master Barang'!A92)</f>
        <v>0</v>
      </c>
      <c r="O10398">
        <f>IF(N10398="","",'Master Barang'!B92)</f>
        <v>0</v>
      </c>
      <c r="P10398">
        <f>IF(OR(M10398="",N10398=""),"",SUMIFS('Barang Keluar'!$E:$E,'Barang Keluar'!$A:$A,M10398,'Barang Keluar'!$C:$C,N10398))</f>
        <v>0</v>
      </c>
    </row>
    <row r="10399" spans="13:16">
      <c r="M10399" s="49">
        <f>IF($A$4+103&gt;$B$4,"",$A$4+103)</f>
        <v>46126</v>
      </c>
      <c r="N10399">
        <f>IF(M10399="","",'Master Barang'!A93)</f>
        <v>0</v>
      </c>
      <c r="O10399">
        <f>IF(N10399="","",'Master Barang'!B93)</f>
        <v>0</v>
      </c>
      <c r="P10399">
        <f>IF(OR(M10399="",N10399=""),"",SUMIFS('Barang Keluar'!$E:$E,'Barang Keluar'!$A:$A,M10399,'Barang Keluar'!$C:$C,N10399))</f>
        <v>0</v>
      </c>
    </row>
    <row r="10400" spans="13:16">
      <c r="M10400" s="49">
        <f>IF($A$4+103&gt;$B$4,"",$A$4+103)</f>
        <v>46126</v>
      </c>
      <c r="N10400">
        <f>IF(M10400="","",'Master Barang'!A94)</f>
        <v>0</v>
      </c>
      <c r="O10400">
        <f>IF(N10400="","",'Master Barang'!B94)</f>
        <v>0</v>
      </c>
      <c r="P10400">
        <f>IF(OR(M10400="",N10400=""),"",SUMIFS('Barang Keluar'!$E:$E,'Barang Keluar'!$A:$A,M10400,'Barang Keluar'!$C:$C,N10400))</f>
        <v>0</v>
      </c>
    </row>
    <row r="10401" spans="13:16">
      <c r="M10401" s="49">
        <f>IF($A$4+103&gt;$B$4,"",$A$4+103)</f>
        <v>46126</v>
      </c>
      <c r="N10401">
        <f>IF(M10401="","",'Master Barang'!A95)</f>
        <v>0</v>
      </c>
      <c r="O10401">
        <f>IF(N10401="","",'Master Barang'!B95)</f>
        <v>0</v>
      </c>
      <c r="P10401">
        <f>IF(OR(M10401="",N10401=""),"",SUMIFS('Barang Keluar'!$E:$E,'Barang Keluar'!$A:$A,M10401,'Barang Keluar'!$C:$C,N10401))</f>
        <v>0</v>
      </c>
    </row>
    <row r="10402" spans="13:16">
      <c r="M10402" s="49">
        <f>IF($A$4+103&gt;$B$4,"",$A$4+103)</f>
        <v>46126</v>
      </c>
      <c r="N10402">
        <f>IF(M10402="","",'Master Barang'!A96)</f>
        <v>0</v>
      </c>
      <c r="O10402">
        <f>IF(N10402="","",'Master Barang'!B96)</f>
        <v>0</v>
      </c>
      <c r="P10402">
        <f>IF(OR(M10402="",N10402=""),"",SUMIFS('Barang Keluar'!$E:$E,'Barang Keluar'!$A:$A,M10402,'Barang Keluar'!$C:$C,N10402))</f>
        <v>0</v>
      </c>
    </row>
    <row r="10403" spans="13:16">
      <c r="M10403" s="49">
        <f>IF($A$4+103&gt;$B$4,"",$A$4+103)</f>
        <v>46126</v>
      </c>
      <c r="N10403">
        <f>IF(M10403="","",'Master Barang'!A97)</f>
        <v>0</v>
      </c>
      <c r="O10403">
        <f>IF(N10403="","",'Master Barang'!B97)</f>
        <v>0</v>
      </c>
      <c r="P10403">
        <f>IF(OR(M10403="",N10403=""),"",SUMIFS('Barang Keluar'!$E:$E,'Barang Keluar'!$A:$A,M10403,'Barang Keluar'!$C:$C,N10403))</f>
        <v>0</v>
      </c>
    </row>
    <row r="10404" spans="13:16">
      <c r="M10404" s="49">
        <f>IF($A$4+103&gt;$B$4,"",$A$4+103)</f>
        <v>46126</v>
      </c>
      <c r="N10404">
        <f>IF(M10404="","",'Master Barang'!A98)</f>
        <v>0</v>
      </c>
      <c r="O10404">
        <f>IF(N10404="","",'Master Barang'!B98)</f>
        <v>0</v>
      </c>
      <c r="P10404">
        <f>IF(OR(M10404="",N10404=""),"",SUMIFS('Barang Keluar'!$E:$E,'Barang Keluar'!$A:$A,M10404,'Barang Keluar'!$C:$C,N10404))</f>
        <v>0</v>
      </c>
    </row>
    <row r="10405" spans="13:16">
      <c r="M10405" s="49">
        <f>IF($A$4+103&gt;$B$4,"",$A$4+103)</f>
        <v>46126</v>
      </c>
      <c r="N10405">
        <f>IF(M10405="","",'Master Barang'!A99)</f>
        <v>0</v>
      </c>
      <c r="O10405">
        <f>IF(N10405="","",'Master Barang'!B99)</f>
        <v>0</v>
      </c>
      <c r="P10405">
        <f>IF(OR(M10405="",N10405=""),"",SUMIFS('Barang Keluar'!$E:$E,'Barang Keluar'!$A:$A,M10405,'Barang Keluar'!$C:$C,N10405))</f>
        <v>0</v>
      </c>
    </row>
    <row r="10406" spans="13:16">
      <c r="M10406" s="49">
        <f>IF($A$4+103&gt;$B$4,"",$A$4+103)</f>
        <v>46126</v>
      </c>
      <c r="N10406">
        <f>IF(M10406="","",'Master Barang'!A100)</f>
        <v>0</v>
      </c>
      <c r="O10406">
        <f>IF(N10406="","",'Master Barang'!B100)</f>
        <v>0</v>
      </c>
      <c r="P10406">
        <f>IF(OR(M10406="",N10406=""),"",SUMIFS('Barang Keluar'!$E:$E,'Barang Keluar'!$A:$A,M10406,'Barang Keluar'!$C:$C,N10406))</f>
        <v>0</v>
      </c>
    </row>
    <row r="10407" spans="13:16">
      <c r="M10407" s="49">
        <f>IF($A$4+103&gt;$B$4,"",$A$4+103)</f>
        <v>46126</v>
      </c>
      <c r="N10407">
        <f>IF(M10407="","",'Master Barang'!A101)</f>
        <v>0</v>
      </c>
      <c r="O10407">
        <f>IF(N10407="","",'Master Barang'!B101)</f>
        <v>0</v>
      </c>
      <c r="P10407">
        <f>IF(OR(M10407="",N10407=""),"",SUMIFS('Barang Keluar'!$E:$E,'Barang Keluar'!$A:$A,M10407,'Barang Keluar'!$C:$C,N10407))</f>
        <v>0</v>
      </c>
    </row>
    <row r="10408" spans="13:16">
      <c r="M10408" s="49">
        <f>IF($A$4+104&gt;$B$4,"",$A$4+104)</f>
        <v>46127</v>
      </c>
      <c r="N10408" t="str">
        <f>IF(M10408="","",'Master Barang'!A2)</f>
        <v>PRL-001</v>
      </c>
      <c r="O10408" t="str">
        <f>IF(N10408="","",'Master Barang'!B2)</f>
        <v>natura desinfectant food grade 5l</v>
      </c>
      <c r="P10408">
        <f>IF(OR(M10408="",N10408=""),"",SUMIFS('Barang Keluar'!$E:$E,'Barang Keluar'!$A:$A,M10408,'Barang Keluar'!$C:$C,N10408))</f>
        <v>0</v>
      </c>
    </row>
    <row r="10409" spans="13:16">
      <c r="M10409" s="49">
        <f>IF($A$4+104&gt;$B$4,"",$A$4+104)</f>
        <v>46127</v>
      </c>
      <c r="N10409" t="str">
        <f>IF(M10409="","",'Master Barang'!A3)</f>
        <v>PRL-002</v>
      </c>
      <c r="O10409" t="str">
        <f>IF(N10409="","",'Master Barang'!B3)</f>
        <v>sunlight cairan pencuci piring 5l</v>
      </c>
      <c r="P10409">
        <f>IF(OR(M10409="",N10409=""),"",SUMIFS('Barang Keluar'!$E:$E,'Barang Keluar'!$A:$A,M10409,'Barang Keluar'!$C:$C,N10409))</f>
        <v>0</v>
      </c>
    </row>
    <row r="10410" spans="13:16">
      <c r="M10410" s="49">
        <f>IF($A$4+104&gt;$B$4,"",$A$4+104)</f>
        <v>46127</v>
      </c>
      <c r="N10410" t="str">
        <f>IF(M10410="","",'Master Barang'!A4)</f>
        <v>PRL-003</v>
      </c>
      <c r="O10410" t="str">
        <f>IF(N10410="","",'Master Barang'!B4)</f>
        <v>oixs cleaner 1l</v>
      </c>
      <c r="P10410">
        <f>IF(OR(M10410="",N10410=""),"",SUMIFS('Barang Keluar'!$E:$E,'Barang Keluar'!$A:$A,M10410,'Barang Keluar'!$C:$C,N10410))</f>
        <v>0</v>
      </c>
    </row>
    <row r="10411" spans="13:16">
      <c r="M10411" s="49">
        <f>IF($A$4+104&gt;$B$4,"",$A$4+104)</f>
        <v>46127</v>
      </c>
      <c r="N10411" t="str">
        <f>IF(M10411="","",'Master Barang'!A5)</f>
        <v>PRL-004</v>
      </c>
      <c r="O10411" t="str">
        <f>IF(N10411="","",'Master Barang'!B5)</f>
        <v>be clean tissue serbaguna</v>
      </c>
      <c r="P10411">
        <f>IF(OR(M10411="",N10411=""),"",SUMIFS('Barang Keluar'!$E:$E,'Barang Keluar'!$A:$A,M10411,'Barang Keluar'!$C:$C,N10411))</f>
        <v>0</v>
      </c>
    </row>
    <row r="10412" spans="13:16">
      <c r="M10412" s="49">
        <f>IF($A$4+104&gt;$B$4,"",$A$4+104)</f>
        <v>46127</v>
      </c>
      <c r="N10412" t="str">
        <f>IF(M10412="","",'Master Barang'!A6)</f>
        <v>PRL-005</v>
      </c>
      <c r="O10412" t="str">
        <f>IF(N10412="","",'Master Barang'!B6)</f>
        <v>spons cuci hijau</v>
      </c>
      <c r="P10412">
        <f>IF(OR(M10412="",N10412=""),"",SUMIFS('Barang Keluar'!$E:$E,'Barang Keluar'!$A:$A,M10412,'Barang Keluar'!$C:$C,N10412))</f>
        <v>0</v>
      </c>
    </row>
    <row r="10413" spans="13:16">
      <c r="M10413" s="49">
        <f>IF($A$4+104&gt;$B$4,"",$A$4+104)</f>
        <v>46127</v>
      </c>
      <c r="N10413" t="str">
        <f>IF(M10413="","",'Master Barang'!A7)</f>
        <v>PRL-006</v>
      </c>
      <c r="O10413" t="str">
        <f>IF(N10413="","",'Master Barang'!B7)</f>
        <v>sabut cuci stainless</v>
      </c>
      <c r="P10413">
        <f>IF(OR(M10413="",N10413=""),"",SUMIFS('Barang Keluar'!$E:$E,'Barang Keluar'!$A:$A,M10413,'Barang Keluar'!$C:$C,N10413))</f>
        <v>0</v>
      </c>
    </row>
    <row r="10414" spans="13:16">
      <c r="M10414" s="49">
        <f>IF($A$4+104&gt;$B$4,"",$A$4+104)</f>
        <v>46127</v>
      </c>
      <c r="N10414" t="str">
        <f>IF(M10414="","",'Master Barang'!A8)</f>
        <v>PRL-007</v>
      </c>
      <c r="O10414" t="str">
        <f>IF(N10414="","",'Master Barang'!B8)</f>
        <v>plastik kresek besar merah 50pc</v>
      </c>
      <c r="P10414">
        <f>IF(OR(M10414="",N10414=""),"",SUMIFS('Barang Keluar'!$E:$E,'Barang Keluar'!$A:$A,M10414,'Barang Keluar'!$C:$C,N10414))</f>
        <v>0</v>
      </c>
    </row>
    <row r="10415" spans="13:16">
      <c r="M10415" s="49">
        <f>IF($A$4+104&gt;$B$4,"",$A$4+104)</f>
        <v>46127</v>
      </c>
      <c r="N10415" t="str">
        <f>IF(M10415="","",'Master Barang'!A9)</f>
        <v>PRL-008</v>
      </c>
      <c r="O10415" t="str">
        <f>IF(N10415="","",'Master Barang'!B9)</f>
        <v>lap besar</v>
      </c>
      <c r="P10415">
        <f>IF(OR(M10415="",N10415=""),"",SUMIFS('Barang Keluar'!$E:$E,'Barang Keluar'!$A:$A,M10415,'Barang Keluar'!$C:$C,N10415))</f>
        <v>0</v>
      </c>
    </row>
    <row r="10416" spans="13:16">
      <c r="M10416" s="49">
        <f>IF($A$4+104&gt;$B$4,"",$A$4+104)</f>
        <v>46127</v>
      </c>
      <c r="N10416" t="str">
        <f>IF(M10416="","",'Master Barang'!A10)</f>
        <v>PRL-009</v>
      </c>
      <c r="O10416" t="str">
        <f>IF(N10416="","",'Master Barang'!B10)</f>
        <v>lap microfiber</v>
      </c>
      <c r="P10416">
        <f>IF(OR(M10416="",N10416=""),"",SUMIFS('Barang Keluar'!$E:$E,'Barang Keluar'!$A:$A,M10416,'Barang Keluar'!$C:$C,N10416))</f>
        <v>0</v>
      </c>
    </row>
    <row r="10417" spans="13:16">
      <c r="M10417" s="49">
        <f>IF($A$4+104&gt;$B$4,"",$A$4+104)</f>
        <v>46127</v>
      </c>
      <c r="N10417" t="str">
        <f>IF(M10417="","",'Master Barang'!A11)</f>
        <v>PRL-010</v>
      </c>
      <c r="O10417" t="str">
        <f>IF(N10417="","",'Master Barang'!B11)</f>
        <v>lap kecil</v>
      </c>
      <c r="P10417">
        <f>IF(OR(M10417="",N10417=""),"",SUMIFS('Barang Keluar'!$E:$E,'Barang Keluar'!$A:$A,M10417,'Barang Keluar'!$C:$C,N10417))</f>
        <v>0</v>
      </c>
    </row>
    <row r="10418" spans="13:16">
      <c r="M10418" s="49">
        <f>IF($A$4+104&gt;$B$4,"",$A$4+104)</f>
        <v>46127</v>
      </c>
      <c r="N10418" t="str">
        <f>IF(M10418="","",'Master Barang'!A12)</f>
        <v>PRL-011</v>
      </c>
      <c r="O10418" t="str">
        <f>IF(N10418="","",'Master Barang'!B12)</f>
        <v>kanebo kecil</v>
      </c>
      <c r="P10418">
        <f>IF(OR(M10418="",N10418=""),"",SUMIFS('Barang Keluar'!$E:$E,'Barang Keluar'!$A:$A,M10418,'Barang Keluar'!$C:$C,N10418))</f>
        <v>0</v>
      </c>
    </row>
    <row r="10419" spans="13:16">
      <c r="M10419" s="49">
        <f>IF($A$4+104&gt;$B$4,"",$A$4+104)</f>
        <v>46127</v>
      </c>
      <c r="N10419" t="str">
        <f>IF(M10419="","",'Master Barang'!A13)</f>
        <v>PRL-012</v>
      </c>
      <c r="O10419" t="str">
        <f>IF(N10419="","",'Master Barang'!B13)</f>
        <v>plastik 1/4kg joyoboyo 100 lembar</v>
      </c>
      <c r="P10419">
        <f>IF(OR(M10419="",N10419=""),"",SUMIFS('Barang Keluar'!$E:$E,'Barang Keluar'!$A:$A,M10419,'Barang Keluar'!$C:$C,N10419))</f>
        <v>0</v>
      </c>
    </row>
    <row r="10420" spans="13:16">
      <c r="M10420" s="49">
        <f>IF($A$4+104&gt;$B$4,"",$A$4+104)</f>
        <v>46127</v>
      </c>
      <c r="N10420" t="str">
        <f>IF(M10420="","",'Master Barang'!A14)</f>
        <v>PRL-013</v>
      </c>
      <c r="O10420" t="str">
        <f>IF(N10420="","",'Master Barang'!B14)</f>
        <v>sarung tangan plastik kaka 100 pcs</v>
      </c>
      <c r="P10420">
        <f>IF(OR(M10420="",N10420=""),"",SUMIFS('Barang Keluar'!$E:$E,'Barang Keluar'!$A:$A,M10420,'Barang Keluar'!$C:$C,N10420))</f>
        <v>0</v>
      </c>
    </row>
    <row r="10421" spans="13:16">
      <c r="M10421" s="49">
        <f>IF($A$4+104&gt;$B$4,"",$A$4+104)</f>
        <v>46127</v>
      </c>
      <c r="N10421" t="str">
        <f>IF(M10421="","",'Master Barang'!A15)</f>
        <v>PRL-014</v>
      </c>
      <c r="O10421" t="str">
        <f>IF(N10421="","",'Master Barang'!B15)</f>
        <v>optima trashbag 80x100</v>
      </c>
      <c r="P10421">
        <f>IF(OR(M10421="",N10421=""),"",SUMIFS('Barang Keluar'!$E:$E,'Barang Keluar'!$A:$A,M10421,'Barang Keluar'!$C:$C,N10421))</f>
        <v>0</v>
      </c>
    </row>
    <row r="10422" spans="13:16">
      <c r="M10422" s="49">
        <f>IF($A$4+104&gt;$B$4,"",$A$4+104)</f>
        <v>46127</v>
      </c>
      <c r="N10422" t="str">
        <f>IF(M10422="","",'Master Barang'!A16)</f>
        <v>PRL-015</v>
      </c>
      <c r="O10422" t="str">
        <f>IF(N10422="","",'Master Barang'!B16)</f>
        <v>optima trashbag 60x100</v>
      </c>
      <c r="P10422">
        <f>IF(OR(M10422="",N10422=""),"",SUMIFS('Barang Keluar'!$E:$E,'Barang Keluar'!$A:$A,M10422,'Barang Keluar'!$C:$C,N10422))</f>
        <v>0</v>
      </c>
    </row>
    <row r="10423" spans="13:16">
      <c r="M10423" s="49">
        <f>IF($A$4+104&gt;$B$4,"",$A$4+104)</f>
        <v>46127</v>
      </c>
      <c r="N10423" t="str">
        <f>IF(M10423="","",'Master Barang'!A17)</f>
        <v>PRL-016</v>
      </c>
      <c r="O10423" t="str">
        <f>IF(N10423="","",'Master Barang'!B17)</f>
        <v>rajawali trashbag 30x40</v>
      </c>
      <c r="P10423">
        <f>IF(OR(M10423="",N10423=""),"",SUMIFS('Barang Keluar'!$E:$E,'Barang Keluar'!$A:$A,M10423,'Barang Keluar'!$C:$C,N10423))</f>
        <v>0</v>
      </c>
    </row>
    <row r="10424" spans="13:16">
      <c r="M10424" s="49">
        <f>IF($A$4+104&gt;$B$4,"",$A$4+104)</f>
        <v>46127</v>
      </c>
      <c r="N10424" t="str">
        <f>IF(M10424="","",'Master Barang'!A18)</f>
        <v>PRL-017</v>
      </c>
      <c r="O10424" t="str">
        <f>IF(N10424="","",'Master Barang'!B18)</f>
        <v>onemed masker biru 3 play 50 pcs</v>
      </c>
      <c r="P10424">
        <f>IF(OR(M10424="",N10424=""),"",SUMIFS('Barang Keluar'!$E:$E,'Barang Keluar'!$A:$A,M10424,'Barang Keluar'!$C:$C,N10424))</f>
        <v>0</v>
      </c>
    </row>
    <row r="10425" spans="13:16">
      <c r="M10425" s="49">
        <f>IF($A$4+104&gt;$B$4,"",$A$4+104)</f>
        <v>46127</v>
      </c>
      <c r="N10425" t="str">
        <f>IF(M10425="","",'Master Barang'!A19)</f>
        <v>PRL-018</v>
      </c>
      <c r="O10425" t="str">
        <f>IF(N10425="","",'Master Barang'!B19)</f>
        <v>onemed masker biru 3 play hijab 50 pcs</v>
      </c>
      <c r="P10425">
        <f>IF(OR(M10425="",N10425=""),"",SUMIFS('Barang Keluar'!$E:$E,'Barang Keluar'!$A:$A,M10425,'Barang Keluar'!$C:$C,N10425))</f>
        <v>0</v>
      </c>
    </row>
    <row r="10426" spans="13:16">
      <c r="M10426" s="49">
        <f>IF($A$4+104&gt;$B$4,"",$A$4+104)</f>
        <v>46127</v>
      </c>
      <c r="N10426" t="str">
        <f>IF(M10426="","",'Master Barang'!A20)</f>
        <v>PRL-019</v>
      </c>
      <c r="O10426" t="str">
        <f>IF(N10426="","",'Master Barang'!B20)</f>
        <v>neo health masker biru 3 play 50 pcs</v>
      </c>
      <c r="P10426">
        <f>IF(OR(M10426="",N10426=""),"",SUMIFS('Barang Keluar'!$E:$E,'Barang Keluar'!$A:$A,M10426,'Barang Keluar'!$C:$C,N10426))</f>
        <v>0</v>
      </c>
    </row>
    <row r="10427" spans="13:16">
      <c r="M10427" s="49">
        <f>IF($A$4+104&gt;$B$4,"",$A$4+104)</f>
        <v>46127</v>
      </c>
      <c r="N10427" t="str">
        <f>IF(M10427="","",'Master Barang'!A21)</f>
        <v>PRL-020</v>
      </c>
      <c r="O10427" t="str">
        <f>IF(N10427="","",'Master Barang'!B21)</f>
        <v>baymed masker hijau 3 play hijau 50 pcs</v>
      </c>
      <c r="P10427">
        <f>IF(OR(M10427="",N10427=""),"",SUMIFS('Barang Keluar'!$E:$E,'Barang Keluar'!$A:$A,M10427,'Barang Keluar'!$C:$C,N10427))</f>
        <v>0</v>
      </c>
    </row>
    <row r="10428" spans="13:16">
      <c r="M10428" s="49">
        <f>IF($A$4+104&gt;$B$4,"",$A$4+104)</f>
        <v>46127</v>
      </c>
      <c r="N10428" t="str">
        <f>IF(M10428="","",'Master Barang'!A22)</f>
        <v>PRL-021</v>
      </c>
      <c r="O10428" t="str">
        <f>IF(N10428="","",'Master Barang'!B22)</f>
        <v>altamed nurse cap penutup kepala 100 pcs</v>
      </c>
      <c r="P10428">
        <f>IF(OR(M10428="",N10428=""),"",SUMIFS('Barang Keluar'!$E:$E,'Barang Keluar'!$A:$A,M10428,'Barang Keluar'!$C:$C,N10428))</f>
        <v>0</v>
      </c>
    </row>
    <row r="10429" spans="13:16">
      <c r="M10429" s="49">
        <f>IF($A$4+104&gt;$B$4,"",$A$4+104)</f>
        <v>46127</v>
      </c>
      <c r="N10429" t="str">
        <f>IF(M10429="","",'Master Barang'!A23)</f>
        <v>PRL-022</v>
      </c>
      <c r="O10429" t="str">
        <f>IF(N10429="","",'Master Barang'!B23)</f>
        <v>sabun cuci tangan</v>
      </c>
      <c r="P10429">
        <f>IF(OR(M10429="",N10429=""),"",SUMIFS('Barang Keluar'!$E:$E,'Barang Keluar'!$A:$A,M10429,'Barang Keluar'!$C:$C,N10429))</f>
        <v>0</v>
      </c>
    </row>
    <row r="10430" spans="13:16">
      <c r="M10430" s="49">
        <f>IF($A$4+104&gt;$B$4,"",$A$4+104)</f>
        <v>46127</v>
      </c>
      <c r="N10430" t="str">
        <f>IF(M10430="","",'Master Barang'!A24)</f>
        <v>PRL-023</v>
      </c>
      <c r="O10430" t="str">
        <f>IF(N10430="","",'Master Barang'!B24)</f>
        <v>gayung kecil</v>
      </c>
      <c r="P10430">
        <f>IF(OR(M10430="",N10430=""),"",SUMIFS('Barang Keluar'!$E:$E,'Barang Keluar'!$A:$A,M10430,'Barang Keluar'!$C:$C,N10430))</f>
        <v>0</v>
      </c>
    </row>
    <row r="10431" spans="13:16">
      <c r="M10431" s="49">
        <f>IF($A$4+104&gt;$B$4,"",$A$4+104)</f>
        <v>46127</v>
      </c>
      <c r="N10431" t="str">
        <f>IF(M10431="","",'Master Barang'!A25)</f>
        <v>PRL-024</v>
      </c>
      <c r="O10431" t="str">
        <f>IF(N10431="","",'Master Barang'!B25)</f>
        <v>cikrak kecil</v>
      </c>
      <c r="P10431">
        <f>IF(OR(M10431="",N10431=""),"",SUMIFS('Barang Keluar'!$E:$E,'Barang Keluar'!$A:$A,M10431,'Barang Keluar'!$C:$C,N10431))</f>
        <v>0</v>
      </c>
    </row>
    <row r="10432" spans="13:16">
      <c r="M10432" s="49">
        <f>IF($A$4+104&gt;$B$4,"",$A$4+104)</f>
        <v>46127</v>
      </c>
      <c r="N10432" t="str">
        <f>IF(M10432="","",'Master Barang'!A26)</f>
        <v>PRL-025</v>
      </c>
      <c r="O10432" t="str">
        <f>IF(N10432="","",'Master Barang'!B26)</f>
        <v>petromax plastik kecil 12x24 100 lembar</v>
      </c>
      <c r="P10432">
        <f>IF(OR(M10432="",N10432=""),"",SUMIFS('Barang Keluar'!$E:$E,'Barang Keluar'!$A:$A,M10432,'Barang Keluar'!$C:$C,N10432))</f>
        <v>0</v>
      </c>
    </row>
    <row r="10433" spans="13:16">
      <c r="M10433" s="49">
        <f>IF($A$4+104&gt;$B$4,"",$A$4+104)</f>
        <v>46127</v>
      </c>
      <c r="N10433" t="str">
        <f>IF(M10433="","",'Master Barang'!A27)</f>
        <v>PRL-026</v>
      </c>
      <c r="O10433" t="str">
        <f>IF(N10433="","",'Master Barang'!B27)</f>
        <v>lancar kresek kecil bening </v>
      </c>
      <c r="P10433">
        <f>IF(OR(M10433="",N10433=""),"",SUMIFS('Barang Keluar'!$E:$E,'Barang Keluar'!$A:$A,M10433,'Barang Keluar'!$C:$C,N10433))</f>
        <v>0</v>
      </c>
    </row>
    <row r="10434" spans="13:16">
      <c r="M10434" s="49">
        <f>IF($A$4+104&gt;$B$4,"",$A$4+104)</f>
        <v>46127</v>
      </c>
      <c r="N10434" t="str">
        <f>IF(M10434="","",'Master Barang'!A28)</f>
        <v>PRL-027</v>
      </c>
      <c r="O10434" t="str">
        <f>IF(N10434="","",'Master Barang'!B28)</f>
        <v>kresek klin warna warni kecil</v>
      </c>
      <c r="P10434">
        <f>IF(OR(M10434="",N10434=""),"",SUMIFS('Barang Keluar'!$E:$E,'Barang Keluar'!$A:$A,M10434,'Barang Keluar'!$C:$C,N10434))</f>
        <v>0</v>
      </c>
    </row>
    <row r="10435" spans="13:16">
      <c r="M10435" s="49">
        <f>IF($A$4+104&gt;$B$4,"",$A$4+104)</f>
        <v>46127</v>
      </c>
      <c r="N10435" t="str">
        <f>IF(M10435="","",'Master Barang'!A29)</f>
        <v>PRL-028</v>
      </c>
      <c r="O10435" t="str">
        <f>IF(N10435="","",'Master Barang'!B29)</f>
        <v>ctik plastik 7x10 100 pcs</v>
      </c>
      <c r="P10435">
        <f>IF(OR(M10435="",N10435=""),"",SUMIFS('Barang Keluar'!$E:$E,'Barang Keluar'!$A:$A,M10435,'Barang Keluar'!$C:$C,N10435))</f>
        <v>0</v>
      </c>
    </row>
    <row r="10436" spans="13:16">
      <c r="M10436" s="49">
        <f>IF($A$4+104&gt;$B$4,"",$A$4+104)</f>
        <v>46127</v>
      </c>
      <c r="N10436" t="str">
        <f>IF(M10436="","",'Master Barang'!A30)</f>
        <v>PRL-029</v>
      </c>
      <c r="O10436" t="str">
        <f>IF(N10436="","",'Master Barang'!B30)</f>
        <v>ctik plastik 6x10 100 pcs</v>
      </c>
      <c r="P10436">
        <f>IF(OR(M10436="",N10436=""),"",SUMIFS('Barang Keluar'!$E:$E,'Barang Keluar'!$A:$A,M10436,'Barang Keluar'!$C:$C,N10436))</f>
        <v>0</v>
      </c>
    </row>
    <row r="10437" spans="13:16">
      <c r="M10437" s="49">
        <f>IF($A$4+104&gt;$B$4,"",$A$4+104)</f>
        <v>46127</v>
      </c>
      <c r="N10437" t="str">
        <f>IF(M10437="","",'Master Barang'!A31)</f>
        <v>PRL-030</v>
      </c>
      <c r="O10437" t="str">
        <f>IF(N10437="","",'Master Barang'!B31)</f>
        <v>klip plastik 25x16 100 pcs</v>
      </c>
      <c r="P10437">
        <f>IF(OR(M10437="",N10437=""),"",SUMIFS('Barang Keluar'!$E:$E,'Barang Keluar'!$A:$A,M10437,'Barang Keluar'!$C:$C,N10437))</f>
        <v>0</v>
      </c>
    </row>
    <row r="10438" spans="13:16">
      <c r="M10438" s="49">
        <f>IF($A$4+104&gt;$B$4,"",$A$4+104)</f>
        <v>46127</v>
      </c>
      <c r="N10438" t="str">
        <f>IF(M10438="","",'Master Barang'!A32)</f>
        <v>PRL-031</v>
      </c>
      <c r="O10438" t="str">
        <f>IF(N10438="","",'Master Barang'!B32)</f>
        <v>tempat saus 20 ml</v>
      </c>
      <c r="P10438">
        <f>IF(OR(M10438="",N10438=""),"",SUMIFS('Barang Keluar'!$E:$E,'Barang Keluar'!$A:$A,M10438,'Barang Keluar'!$C:$C,N10438))</f>
        <v>0</v>
      </c>
    </row>
    <row r="10439" spans="13:16">
      <c r="M10439" s="49">
        <f>IF($A$4+104&gt;$B$4,"",$A$4+104)</f>
        <v>46127</v>
      </c>
      <c r="N10439" t="str">
        <f>IF(M10439="","",'Master Barang'!A33)</f>
        <v>PRL-032</v>
      </c>
      <c r="O10439" t="str">
        <f>IF(N10439="","",'Master Barang'!B33)</f>
        <v>plastik packaging ag box uk sedang</v>
      </c>
      <c r="P10439">
        <f>IF(OR(M10439="",N10439=""),"",SUMIFS('Barang Keluar'!$E:$E,'Barang Keluar'!$A:$A,M10439,'Barang Keluar'!$C:$C,N10439))</f>
        <v>0</v>
      </c>
    </row>
    <row r="10440" spans="13:16">
      <c r="M10440" s="49">
        <f>IF($A$4+104&gt;$B$4,"",$A$4+104)</f>
        <v>46127</v>
      </c>
      <c r="N10440" t="str">
        <f>IF(M10440="","",'Master Barang'!A34)</f>
        <v>PRL-033</v>
      </c>
      <c r="O10440">
        <f>IF(N10440="","",'Master Barang'!B34)</f>
        <v>0</v>
      </c>
      <c r="P10440">
        <f>IF(OR(M10440="",N10440=""),"",SUMIFS('Barang Keluar'!$E:$E,'Barang Keluar'!$A:$A,M10440,'Barang Keluar'!$C:$C,N10440))</f>
        <v>0</v>
      </c>
    </row>
    <row r="10441" spans="13:16">
      <c r="M10441" s="49">
        <f>IF($A$4+104&gt;$B$4,"",$A$4+104)</f>
        <v>46127</v>
      </c>
      <c r="N10441">
        <f>IF(M10441="","",'Master Barang'!A35)</f>
        <v>0</v>
      </c>
      <c r="O10441">
        <f>IF(N10441="","",'Master Barang'!B35)</f>
        <v>0</v>
      </c>
      <c r="P10441">
        <f>IF(OR(M10441="",N10441=""),"",SUMIFS('Barang Keluar'!$E:$E,'Barang Keluar'!$A:$A,M10441,'Barang Keluar'!$C:$C,N10441))</f>
        <v>0</v>
      </c>
    </row>
    <row r="10442" spans="13:16">
      <c r="M10442" s="49">
        <f>IF($A$4+104&gt;$B$4,"",$A$4+104)</f>
        <v>46127</v>
      </c>
      <c r="N10442">
        <f>IF(M10442="","",'Master Barang'!A36)</f>
        <v>0</v>
      </c>
      <c r="O10442">
        <f>IF(N10442="","",'Master Barang'!B36)</f>
        <v>0</v>
      </c>
      <c r="P10442">
        <f>IF(OR(M10442="",N10442=""),"",SUMIFS('Barang Keluar'!$E:$E,'Barang Keluar'!$A:$A,M10442,'Barang Keluar'!$C:$C,N10442))</f>
        <v>0</v>
      </c>
    </row>
    <row r="10443" spans="13:16">
      <c r="M10443" s="49">
        <f>IF($A$4+104&gt;$B$4,"",$A$4+104)</f>
        <v>46127</v>
      </c>
      <c r="N10443">
        <f>IF(M10443="","",'Master Barang'!A37)</f>
        <v>0</v>
      </c>
      <c r="O10443">
        <f>IF(N10443="","",'Master Barang'!B37)</f>
        <v>0</v>
      </c>
      <c r="P10443">
        <f>IF(OR(M10443="",N10443=""),"",SUMIFS('Barang Keluar'!$E:$E,'Barang Keluar'!$A:$A,M10443,'Barang Keluar'!$C:$C,N10443))</f>
        <v>0</v>
      </c>
    </row>
    <row r="10444" spans="13:16">
      <c r="M10444" s="49">
        <f>IF($A$4+104&gt;$B$4,"",$A$4+104)</f>
        <v>46127</v>
      </c>
      <c r="N10444">
        <f>IF(M10444="","",'Master Barang'!A38)</f>
        <v>0</v>
      </c>
      <c r="O10444">
        <f>IF(N10444="","",'Master Barang'!B38)</f>
        <v>0</v>
      </c>
      <c r="P10444">
        <f>IF(OR(M10444="",N10444=""),"",SUMIFS('Barang Keluar'!$E:$E,'Barang Keluar'!$A:$A,M10444,'Barang Keluar'!$C:$C,N10444))</f>
        <v>0</v>
      </c>
    </row>
    <row r="10445" spans="13:16">
      <c r="M10445" s="49">
        <f>IF($A$4+104&gt;$B$4,"",$A$4+104)</f>
        <v>46127</v>
      </c>
      <c r="N10445">
        <f>IF(M10445="","",'Master Barang'!A39)</f>
        <v>0</v>
      </c>
      <c r="O10445">
        <f>IF(N10445="","",'Master Barang'!B39)</f>
        <v>0</v>
      </c>
      <c r="P10445">
        <f>IF(OR(M10445="",N10445=""),"",SUMIFS('Barang Keluar'!$E:$E,'Barang Keluar'!$A:$A,M10445,'Barang Keluar'!$C:$C,N10445))</f>
        <v>0</v>
      </c>
    </row>
    <row r="10446" spans="13:16">
      <c r="M10446" s="49">
        <f>IF($A$4+104&gt;$B$4,"",$A$4+104)</f>
        <v>46127</v>
      </c>
      <c r="N10446">
        <f>IF(M10446="","",'Master Barang'!A40)</f>
        <v>0</v>
      </c>
      <c r="O10446">
        <f>IF(N10446="","",'Master Barang'!B40)</f>
        <v>0</v>
      </c>
      <c r="P10446">
        <f>IF(OR(M10446="",N10446=""),"",SUMIFS('Barang Keluar'!$E:$E,'Barang Keluar'!$A:$A,M10446,'Barang Keluar'!$C:$C,N10446))</f>
        <v>0</v>
      </c>
    </row>
    <row r="10447" spans="13:16">
      <c r="M10447" s="49">
        <f>IF($A$4+104&gt;$B$4,"",$A$4+104)</f>
        <v>46127</v>
      </c>
      <c r="N10447">
        <f>IF(M10447="","",'Master Barang'!A41)</f>
        <v>0</v>
      </c>
      <c r="O10447">
        <f>IF(N10447="","",'Master Barang'!B41)</f>
        <v>0</v>
      </c>
      <c r="P10447">
        <f>IF(OR(M10447="",N10447=""),"",SUMIFS('Barang Keluar'!$E:$E,'Barang Keluar'!$A:$A,M10447,'Barang Keluar'!$C:$C,N10447))</f>
        <v>0</v>
      </c>
    </row>
    <row r="10448" spans="13:16">
      <c r="M10448" s="49">
        <f>IF($A$4+104&gt;$B$4,"",$A$4+104)</f>
        <v>46127</v>
      </c>
      <c r="N10448">
        <f>IF(M10448="","",'Master Barang'!A42)</f>
        <v>0</v>
      </c>
      <c r="O10448">
        <f>IF(N10448="","",'Master Barang'!B42)</f>
        <v>0</v>
      </c>
      <c r="P10448">
        <f>IF(OR(M10448="",N10448=""),"",SUMIFS('Barang Keluar'!$E:$E,'Barang Keluar'!$A:$A,M10448,'Barang Keluar'!$C:$C,N10448))</f>
        <v>0</v>
      </c>
    </row>
    <row r="10449" spans="13:16">
      <c r="M10449" s="49">
        <f>IF($A$4+104&gt;$B$4,"",$A$4+104)</f>
        <v>46127</v>
      </c>
      <c r="N10449">
        <f>IF(M10449="","",'Master Barang'!A43)</f>
        <v>0</v>
      </c>
      <c r="O10449">
        <f>IF(N10449="","",'Master Barang'!B43)</f>
        <v>0</v>
      </c>
      <c r="P10449">
        <f>IF(OR(M10449="",N10449=""),"",SUMIFS('Barang Keluar'!$E:$E,'Barang Keluar'!$A:$A,M10449,'Barang Keluar'!$C:$C,N10449))</f>
        <v>0</v>
      </c>
    </row>
    <row r="10450" spans="13:16">
      <c r="M10450" s="49">
        <f>IF($A$4+104&gt;$B$4,"",$A$4+104)</f>
        <v>46127</v>
      </c>
      <c r="N10450">
        <f>IF(M10450="","",'Master Barang'!A44)</f>
        <v>0</v>
      </c>
      <c r="O10450">
        <f>IF(N10450="","",'Master Barang'!B44)</f>
        <v>0</v>
      </c>
      <c r="P10450">
        <f>IF(OR(M10450="",N10450=""),"",SUMIFS('Barang Keluar'!$E:$E,'Barang Keluar'!$A:$A,M10450,'Barang Keluar'!$C:$C,N10450))</f>
        <v>0</v>
      </c>
    </row>
    <row r="10451" spans="13:16">
      <c r="M10451" s="49">
        <f>IF($A$4+104&gt;$B$4,"",$A$4+104)</f>
        <v>46127</v>
      </c>
      <c r="N10451">
        <f>IF(M10451="","",'Master Barang'!A45)</f>
        <v>0</v>
      </c>
      <c r="O10451">
        <f>IF(N10451="","",'Master Barang'!B45)</f>
        <v>0</v>
      </c>
      <c r="P10451">
        <f>IF(OR(M10451="",N10451=""),"",SUMIFS('Barang Keluar'!$E:$E,'Barang Keluar'!$A:$A,M10451,'Barang Keluar'!$C:$C,N10451))</f>
        <v>0</v>
      </c>
    </row>
    <row r="10452" spans="13:16">
      <c r="M10452" s="49">
        <f>IF($A$4+104&gt;$B$4,"",$A$4+104)</f>
        <v>46127</v>
      </c>
      <c r="N10452">
        <f>IF(M10452="","",'Master Barang'!A46)</f>
        <v>0</v>
      </c>
      <c r="O10452">
        <f>IF(N10452="","",'Master Barang'!B46)</f>
        <v>0</v>
      </c>
      <c r="P10452">
        <f>IF(OR(M10452="",N10452=""),"",SUMIFS('Barang Keluar'!$E:$E,'Barang Keluar'!$A:$A,M10452,'Barang Keluar'!$C:$C,N10452))</f>
        <v>0</v>
      </c>
    </row>
    <row r="10453" spans="13:16">
      <c r="M10453" s="49">
        <f>IF($A$4+104&gt;$B$4,"",$A$4+104)</f>
        <v>46127</v>
      </c>
      <c r="N10453">
        <f>IF(M10453="","",'Master Barang'!A47)</f>
        <v>0</v>
      </c>
      <c r="O10453">
        <f>IF(N10453="","",'Master Barang'!B47)</f>
        <v>0</v>
      </c>
      <c r="P10453">
        <f>IF(OR(M10453="",N10453=""),"",SUMIFS('Barang Keluar'!$E:$E,'Barang Keluar'!$A:$A,M10453,'Barang Keluar'!$C:$C,N10453))</f>
        <v>0</v>
      </c>
    </row>
    <row r="10454" spans="13:16">
      <c r="M10454" s="49">
        <f>IF($A$4+104&gt;$B$4,"",$A$4+104)</f>
        <v>46127</v>
      </c>
      <c r="N10454">
        <f>IF(M10454="","",'Master Barang'!A48)</f>
        <v>0</v>
      </c>
      <c r="O10454">
        <f>IF(N10454="","",'Master Barang'!B48)</f>
        <v>0</v>
      </c>
      <c r="P10454">
        <f>IF(OR(M10454="",N10454=""),"",SUMIFS('Barang Keluar'!$E:$E,'Barang Keluar'!$A:$A,M10454,'Barang Keluar'!$C:$C,N10454))</f>
        <v>0</v>
      </c>
    </row>
    <row r="10455" spans="13:16">
      <c r="M10455" s="49">
        <f>IF($A$4+104&gt;$B$4,"",$A$4+104)</f>
        <v>46127</v>
      </c>
      <c r="N10455">
        <f>IF(M10455="","",'Master Barang'!A49)</f>
        <v>0</v>
      </c>
      <c r="O10455">
        <f>IF(N10455="","",'Master Barang'!B49)</f>
        <v>0</v>
      </c>
      <c r="P10455">
        <f>IF(OR(M10455="",N10455=""),"",SUMIFS('Barang Keluar'!$E:$E,'Barang Keluar'!$A:$A,M10455,'Barang Keluar'!$C:$C,N10455))</f>
        <v>0</v>
      </c>
    </row>
    <row r="10456" spans="13:16">
      <c r="M10456" s="49">
        <f>IF($A$4+104&gt;$B$4,"",$A$4+104)</f>
        <v>46127</v>
      </c>
      <c r="N10456">
        <f>IF(M10456="","",'Master Barang'!A50)</f>
        <v>0</v>
      </c>
      <c r="O10456">
        <f>IF(N10456="","",'Master Barang'!B50)</f>
        <v>0</v>
      </c>
      <c r="P10456">
        <f>IF(OR(M10456="",N10456=""),"",SUMIFS('Barang Keluar'!$E:$E,'Barang Keluar'!$A:$A,M10456,'Barang Keluar'!$C:$C,N10456))</f>
        <v>0</v>
      </c>
    </row>
    <row r="10457" spans="13:16">
      <c r="M10457" s="49">
        <f>IF($A$4+104&gt;$B$4,"",$A$4+104)</f>
        <v>46127</v>
      </c>
      <c r="N10457">
        <f>IF(M10457="","",'Master Barang'!A51)</f>
        <v>0</v>
      </c>
      <c r="O10457">
        <f>IF(N10457="","",'Master Barang'!B51)</f>
        <v>0</v>
      </c>
      <c r="P10457">
        <f>IF(OR(M10457="",N10457=""),"",SUMIFS('Barang Keluar'!$E:$E,'Barang Keluar'!$A:$A,M10457,'Barang Keluar'!$C:$C,N10457))</f>
        <v>0</v>
      </c>
    </row>
    <row r="10458" spans="13:16">
      <c r="M10458" s="49">
        <f>IF($A$4+104&gt;$B$4,"",$A$4+104)</f>
        <v>46127</v>
      </c>
      <c r="N10458">
        <f>IF(M10458="","",'Master Barang'!A52)</f>
        <v>0</v>
      </c>
      <c r="O10458">
        <f>IF(N10458="","",'Master Barang'!B52)</f>
        <v>0</v>
      </c>
      <c r="P10458">
        <f>IF(OR(M10458="",N10458=""),"",SUMIFS('Barang Keluar'!$E:$E,'Barang Keluar'!$A:$A,M10458,'Barang Keluar'!$C:$C,N10458))</f>
        <v>0</v>
      </c>
    </row>
    <row r="10459" spans="13:16">
      <c r="M10459" s="49">
        <f>IF($A$4+104&gt;$B$4,"",$A$4+104)</f>
        <v>46127</v>
      </c>
      <c r="N10459">
        <f>IF(M10459="","",'Master Barang'!A53)</f>
        <v>0</v>
      </c>
      <c r="O10459">
        <f>IF(N10459="","",'Master Barang'!B53)</f>
        <v>0</v>
      </c>
      <c r="P10459">
        <f>IF(OR(M10459="",N10459=""),"",SUMIFS('Barang Keluar'!$E:$E,'Barang Keluar'!$A:$A,M10459,'Barang Keluar'!$C:$C,N10459))</f>
        <v>0</v>
      </c>
    </row>
    <row r="10460" spans="13:16">
      <c r="M10460" s="49">
        <f>IF($A$4+104&gt;$B$4,"",$A$4+104)</f>
        <v>46127</v>
      </c>
      <c r="N10460">
        <f>IF(M10460="","",'Master Barang'!A54)</f>
        <v>0</v>
      </c>
      <c r="O10460">
        <f>IF(N10460="","",'Master Barang'!B54)</f>
        <v>0</v>
      </c>
      <c r="P10460">
        <f>IF(OR(M10460="",N10460=""),"",SUMIFS('Barang Keluar'!$E:$E,'Barang Keluar'!$A:$A,M10460,'Barang Keluar'!$C:$C,N10460))</f>
        <v>0</v>
      </c>
    </row>
    <row r="10461" spans="13:16">
      <c r="M10461" s="49">
        <f>IF($A$4+104&gt;$B$4,"",$A$4+104)</f>
        <v>46127</v>
      </c>
      <c r="N10461">
        <f>IF(M10461="","",'Master Barang'!A55)</f>
        <v>0</v>
      </c>
      <c r="O10461">
        <f>IF(N10461="","",'Master Barang'!B55)</f>
        <v>0</v>
      </c>
      <c r="P10461">
        <f>IF(OR(M10461="",N10461=""),"",SUMIFS('Barang Keluar'!$E:$E,'Barang Keluar'!$A:$A,M10461,'Barang Keluar'!$C:$C,N10461))</f>
        <v>0</v>
      </c>
    </row>
    <row r="10462" spans="13:16">
      <c r="M10462" s="49">
        <f>IF($A$4+104&gt;$B$4,"",$A$4+104)</f>
        <v>46127</v>
      </c>
      <c r="N10462">
        <f>IF(M10462="","",'Master Barang'!A56)</f>
        <v>0</v>
      </c>
      <c r="O10462">
        <f>IF(N10462="","",'Master Barang'!B56)</f>
        <v>0</v>
      </c>
      <c r="P10462">
        <f>IF(OR(M10462="",N10462=""),"",SUMIFS('Barang Keluar'!$E:$E,'Barang Keluar'!$A:$A,M10462,'Barang Keluar'!$C:$C,N10462))</f>
        <v>0</v>
      </c>
    </row>
    <row r="10463" spans="13:16">
      <c r="M10463" s="49">
        <f>IF($A$4+104&gt;$B$4,"",$A$4+104)</f>
        <v>46127</v>
      </c>
      <c r="N10463">
        <f>IF(M10463="","",'Master Barang'!A57)</f>
        <v>0</v>
      </c>
      <c r="O10463">
        <f>IF(N10463="","",'Master Barang'!B57)</f>
        <v>0</v>
      </c>
      <c r="P10463">
        <f>IF(OR(M10463="",N10463=""),"",SUMIFS('Barang Keluar'!$E:$E,'Barang Keluar'!$A:$A,M10463,'Barang Keluar'!$C:$C,N10463))</f>
        <v>0</v>
      </c>
    </row>
    <row r="10464" spans="13:16">
      <c r="M10464" s="49">
        <f>IF($A$4+104&gt;$B$4,"",$A$4+104)</f>
        <v>46127</v>
      </c>
      <c r="N10464">
        <f>IF(M10464="","",'Master Barang'!A58)</f>
        <v>0</v>
      </c>
      <c r="O10464">
        <f>IF(N10464="","",'Master Barang'!B58)</f>
        <v>0</v>
      </c>
      <c r="P10464">
        <f>IF(OR(M10464="",N10464=""),"",SUMIFS('Barang Keluar'!$E:$E,'Barang Keluar'!$A:$A,M10464,'Barang Keluar'!$C:$C,N10464))</f>
        <v>0</v>
      </c>
    </row>
    <row r="10465" spans="13:16">
      <c r="M10465" s="49">
        <f>IF($A$4+104&gt;$B$4,"",$A$4+104)</f>
        <v>46127</v>
      </c>
      <c r="N10465">
        <f>IF(M10465="","",'Master Barang'!A59)</f>
        <v>0</v>
      </c>
      <c r="O10465">
        <f>IF(N10465="","",'Master Barang'!B59)</f>
        <v>0</v>
      </c>
      <c r="P10465">
        <f>IF(OR(M10465="",N10465=""),"",SUMIFS('Barang Keluar'!$E:$E,'Barang Keluar'!$A:$A,M10465,'Barang Keluar'!$C:$C,N10465))</f>
        <v>0</v>
      </c>
    </row>
    <row r="10466" spans="13:16">
      <c r="M10466" s="49">
        <f>IF($A$4+104&gt;$B$4,"",$A$4+104)</f>
        <v>46127</v>
      </c>
      <c r="N10466">
        <f>IF(M10466="","",'Master Barang'!A60)</f>
        <v>0</v>
      </c>
      <c r="O10466">
        <f>IF(N10466="","",'Master Barang'!B60)</f>
        <v>0</v>
      </c>
      <c r="P10466">
        <f>IF(OR(M10466="",N10466=""),"",SUMIFS('Barang Keluar'!$E:$E,'Barang Keluar'!$A:$A,M10466,'Barang Keluar'!$C:$C,N10466))</f>
        <v>0</v>
      </c>
    </row>
    <row r="10467" spans="13:16">
      <c r="M10467" s="49">
        <f>IF($A$4+104&gt;$B$4,"",$A$4+104)</f>
        <v>46127</v>
      </c>
      <c r="N10467">
        <f>IF(M10467="","",'Master Barang'!A61)</f>
        <v>0</v>
      </c>
      <c r="O10467">
        <f>IF(N10467="","",'Master Barang'!B61)</f>
        <v>0</v>
      </c>
      <c r="P10467">
        <f>IF(OR(M10467="",N10467=""),"",SUMIFS('Barang Keluar'!$E:$E,'Barang Keluar'!$A:$A,M10467,'Barang Keluar'!$C:$C,N10467))</f>
        <v>0</v>
      </c>
    </row>
    <row r="10468" spans="13:16">
      <c r="M10468" s="49">
        <f>IF($A$4+104&gt;$B$4,"",$A$4+104)</f>
        <v>46127</v>
      </c>
      <c r="N10468">
        <f>IF(M10468="","",'Master Barang'!A62)</f>
        <v>0</v>
      </c>
      <c r="O10468">
        <f>IF(N10468="","",'Master Barang'!B62)</f>
        <v>0</v>
      </c>
      <c r="P10468">
        <f>IF(OR(M10468="",N10468=""),"",SUMIFS('Barang Keluar'!$E:$E,'Barang Keluar'!$A:$A,M10468,'Barang Keluar'!$C:$C,N10468))</f>
        <v>0</v>
      </c>
    </row>
    <row r="10469" spans="13:16">
      <c r="M10469" s="49">
        <f>IF($A$4+104&gt;$B$4,"",$A$4+104)</f>
        <v>46127</v>
      </c>
      <c r="N10469">
        <f>IF(M10469="","",'Master Barang'!A63)</f>
        <v>0</v>
      </c>
      <c r="O10469">
        <f>IF(N10469="","",'Master Barang'!B63)</f>
        <v>0</v>
      </c>
      <c r="P10469">
        <f>IF(OR(M10469="",N10469=""),"",SUMIFS('Barang Keluar'!$E:$E,'Barang Keluar'!$A:$A,M10469,'Barang Keluar'!$C:$C,N10469))</f>
        <v>0</v>
      </c>
    </row>
    <row r="10470" spans="13:16">
      <c r="M10470" s="49">
        <f>IF($A$4+104&gt;$B$4,"",$A$4+104)</f>
        <v>46127</v>
      </c>
      <c r="N10470">
        <f>IF(M10470="","",'Master Barang'!A64)</f>
        <v>0</v>
      </c>
      <c r="O10470">
        <f>IF(N10470="","",'Master Barang'!B64)</f>
        <v>0</v>
      </c>
      <c r="P10470">
        <f>IF(OR(M10470="",N10470=""),"",SUMIFS('Barang Keluar'!$E:$E,'Barang Keluar'!$A:$A,M10470,'Barang Keluar'!$C:$C,N10470))</f>
        <v>0</v>
      </c>
    </row>
    <row r="10471" spans="13:16">
      <c r="M10471" s="49">
        <f>IF($A$4+104&gt;$B$4,"",$A$4+104)</f>
        <v>46127</v>
      </c>
      <c r="N10471">
        <f>IF(M10471="","",'Master Barang'!A65)</f>
        <v>0</v>
      </c>
      <c r="O10471">
        <f>IF(N10471="","",'Master Barang'!B65)</f>
        <v>0</v>
      </c>
      <c r="P10471">
        <f>IF(OR(M10471="",N10471=""),"",SUMIFS('Barang Keluar'!$E:$E,'Barang Keluar'!$A:$A,M10471,'Barang Keluar'!$C:$C,N10471))</f>
        <v>0</v>
      </c>
    </row>
    <row r="10472" spans="13:16">
      <c r="M10472" s="49">
        <f>IF($A$4+104&gt;$B$4,"",$A$4+104)</f>
        <v>46127</v>
      </c>
      <c r="N10472">
        <f>IF(M10472="","",'Master Barang'!A66)</f>
        <v>0</v>
      </c>
      <c r="O10472">
        <f>IF(N10472="","",'Master Barang'!B66)</f>
        <v>0</v>
      </c>
      <c r="P10472">
        <f>IF(OR(M10472="",N10472=""),"",SUMIFS('Barang Keluar'!$E:$E,'Barang Keluar'!$A:$A,M10472,'Barang Keluar'!$C:$C,N10472))</f>
        <v>0</v>
      </c>
    </row>
    <row r="10473" spans="13:16">
      <c r="M10473" s="49">
        <f>IF($A$4+104&gt;$B$4,"",$A$4+104)</f>
        <v>46127</v>
      </c>
      <c r="N10473">
        <f>IF(M10473="","",'Master Barang'!A67)</f>
        <v>0</v>
      </c>
      <c r="O10473">
        <f>IF(N10473="","",'Master Barang'!B67)</f>
        <v>0</v>
      </c>
      <c r="P10473">
        <f>IF(OR(M10473="",N10473=""),"",SUMIFS('Barang Keluar'!$E:$E,'Barang Keluar'!$A:$A,M10473,'Barang Keluar'!$C:$C,N10473))</f>
        <v>0</v>
      </c>
    </row>
    <row r="10474" spans="13:16">
      <c r="M10474" s="49">
        <f>IF($A$4+104&gt;$B$4,"",$A$4+104)</f>
        <v>46127</v>
      </c>
      <c r="N10474">
        <f>IF(M10474="","",'Master Barang'!A68)</f>
        <v>0</v>
      </c>
      <c r="O10474">
        <f>IF(N10474="","",'Master Barang'!B68)</f>
        <v>0</v>
      </c>
      <c r="P10474">
        <f>IF(OR(M10474="",N10474=""),"",SUMIFS('Barang Keluar'!$E:$E,'Barang Keluar'!$A:$A,M10474,'Barang Keluar'!$C:$C,N10474))</f>
        <v>0</v>
      </c>
    </row>
    <row r="10475" spans="13:16">
      <c r="M10475" s="49">
        <f>IF($A$4+104&gt;$B$4,"",$A$4+104)</f>
        <v>46127</v>
      </c>
      <c r="N10475">
        <f>IF(M10475="","",'Master Barang'!A69)</f>
        <v>0</v>
      </c>
      <c r="O10475">
        <f>IF(N10475="","",'Master Barang'!B69)</f>
        <v>0</v>
      </c>
      <c r="P10475">
        <f>IF(OR(M10475="",N10475=""),"",SUMIFS('Barang Keluar'!$E:$E,'Barang Keluar'!$A:$A,M10475,'Barang Keluar'!$C:$C,N10475))</f>
        <v>0</v>
      </c>
    </row>
    <row r="10476" spans="13:16">
      <c r="M10476" s="49">
        <f>IF($A$4+104&gt;$B$4,"",$A$4+104)</f>
        <v>46127</v>
      </c>
      <c r="N10476">
        <f>IF(M10476="","",'Master Barang'!A70)</f>
        <v>0</v>
      </c>
      <c r="O10476">
        <f>IF(N10476="","",'Master Barang'!B70)</f>
        <v>0</v>
      </c>
      <c r="P10476">
        <f>IF(OR(M10476="",N10476=""),"",SUMIFS('Barang Keluar'!$E:$E,'Barang Keluar'!$A:$A,M10476,'Barang Keluar'!$C:$C,N10476))</f>
        <v>0</v>
      </c>
    </row>
    <row r="10477" spans="13:16">
      <c r="M10477" s="49">
        <f>IF($A$4+104&gt;$B$4,"",$A$4+104)</f>
        <v>46127</v>
      </c>
      <c r="N10477">
        <f>IF(M10477="","",'Master Barang'!A71)</f>
        <v>0</v>
      </c>
      <c r="O10477">
        <f>IF(N10477="","",'Master Barang'!B71)</f>
        <v>0</v>
      </c>
      <c r="P10477">
        <f>IF(OR(M10477="",N10477=""),"",SUMIFS('Barang Keluar'!$E:$E,'Barang Keluar'!$A:$A,M10477,'Barang Keluar'!$C:$C,N10477))</f>
        <v>0</v>
      </c>
    </row>
    <row r="10478" spans="13:16">
      <c r="M10478" s="49">
        <f>IF($A$4+104&gt;$B$4,"",$A$4+104)</f>
        <v>46127</v>
      </c>
      <c r="N10478">
        <f>IF(M10478="","",'Master Barang'!A72)</f>
        <v>0</v>
      </c>
      <c r="O10478">
        <f>IF(N10478="","",'Master Barang'!B72)</f>
        <v>0</v>
      </c>
      <c r="P10478">
        <f>IF(OR(M10478="",N10478=""),"",SUMIFS('Barang Keluar'!$E:$E,'Barang Keluar'!$A:$A,M10478,'Barang Keluar'!$C:$C,N10478))</f>
        <v>0</v>
      </c>
    </row>
    <row r="10479" spans="13:16">
      <c r="M10479" s="49">
        <f>IF($A$4+104&gt;$B$4,"",$A$4+104)</f>
        <v>46127</v>
      </c>
      <c r="N10479">
        <f>IF(M10479="","",'Master Barang'!A73)</f>
        <v>0</v>
      </c>
      <c r="O10479">
        <f>IF(N10479="","",'Master Barang'!B73)</f>
        <v>0</v>
      </c>
      <c r="P10479">
        <f>IF(OR(M10479="",N10479=""),"",SUMIFS('Barang Keluar'!$E:$E,'Barang Keluar'!$A:$A,M10479,'Barang Keluar'!$C:$C,N10479))</f>
        <v>0</v>
      </c>
    </row>
    <row r="10480" spans="13:16">
      <c r="M10480" s="49">
        <f>IF($A$4+104&gt;$B$4,"",$A$4+104)</f>
        <v>46127</v>
      </c>
      <c r="N10480">
        <f>IF(M10480="","",'Master Barang'!A74)</f>
        <v>0</v>
      </c>
      <c r="O10480">
        <f>IF(N10480="","",'Master Barang'!B74)</f>
        <v>0</v>
      </c>
      <c r="P10480">
        <f>IF(OR(M10480="",N10480=""),"",SUMIFS('Barang Keluar'!$E:$E,'Barang Keluar'!$A:$A,M10480,'Barang Keluar'!$C:$C,N10480))</f>
        <v>0</v>
      </c>
    </row>
    <row r="10481" spans="13:16">
      <c r="M10481" s="49">
        <f>IF($A$4+104&gt;$B$4,"",$A$4+104)</f>
        <v>46127</v>
      </c>
      <c r="N10481">
        <f>IF(M10481="","",'Master Barang'!A75)</f>
        <v>0</v>
      </c>
      <c r="O10481">
        <f>IF(N10481="","",'Master Barang'!B75)</f>
        <v>0</v>
      </c>
      <c r="P10481">
        <f>IF(OR(M10481="",N10481=""),"",SUMIFS('Barang Keluar'!$E:$E,'Barang Keluar'!$A:$A,M10481,'Barang Keluar'!$C:$C,N10481))</f>
        <v>0</v>
      </c>
    </row>
    <row r="10482" spans="13:16">
      <c r="M10482" s="49">
        <f>IF($A$4+104&gt;$B$4,"",$A$4+104)</f>
        <v>46127</v>
      </c>
      <c r="N10482">
        <f>IF(M10482="","",'Master Barang'!A76)</f>
        <v>0</v>
      </c>
      <c r="O10482">
        <f>IF(N10482="","",'Master Barang'!B76)</f>
        <v>0</v>
      </c>
      <c r="P10482">
        <f>IF(OR(M10482="",N10482=""),"",SUMIFS('Barang Keluar'!$E:$E,'Barang Keluar'!$A:$A,M10482,'Barang Keluar'!$C:$C,N10482))</f>
        <v>0</v>
      </c>
    </row>
    <row r="10483" spans="13:16">
      <c r="M10483" s="49">
        <f>IF($A$4+104&gt;$B$4,"",$A$4+104)</f>
        <v>46127</v>
      </c>
      <c r="N10483">
        <f>IF(M10483="","",'Master Barang'!A77)</f>
        <v>0</v>
      </c>
      <c r="O10483">
        <f>IF(N10483="","",'Master Barang'!B77)</f>
        <v>0</v>
      </c>
      <c r="P10483">
        <f>IF(OR(M10483="",N10483=""),"",SUMIFS('Barang Keluar'!$E:$E,'Barang Keluar'!$A:$A,M10483,'Barang Keluar'!$C:$C,N10483))</f>
        <v>0</v>
      </c>
    </row>
    <row r="10484" spans="13:16">
      <c r="M10484" s="49">
        <f>IF($A$4+104&gt;$B$4,"",$A$4+104)</f>
        <v>46127</v>
      </c>
      <c r="N10484">
        <f>IF(M10484="","",'Master Barang'!A78)</f>
        <v>0</v>
      </c>
      <c r="O10484">
        <f>IF(N10484="","",'Master Barang'!B78)</f>
        <v>0</v>
      </c>
      <c r="P10484">
        <f>IF(OR(M10484="",N10484=""),"",SUMIFS('Barang Keluar'!$E:$E,'Barang Keluar'!$A:$A,M10484,'Barang Keluar'!$C:$C,N10484))</f>
        <v>0</v>
      </c>
    </row>
    <row r="10485" spans="13:16">
      <c r="M10485" s="49">
        <f>IF($A$4+104&gt;$B$4,"",$A$4+104)</f>
        <v>46127</v>
      </c>
      <c r="N10485">
        <f>IF(M10485="","",'Master Barang'!A79)</f>
        <v>0</v>
      </c>
      <c r="O10485">
        <f>IF(N10485="","",'Master Barang'!B79)</f>
        <v>0</v>
      </c>
      <c r="P10485">
        <f>IF(OR(M10485="",N10485=""),"",SUMIFS('Barang Keluar'!$E:$E,'Barang Keluar'!$A:$A,M10485,'Barang Keluar'!$C:$C,N10485))</f>
        <v>0</v>
      </c>
    </row>
    <row r="10486" spans="13:16">
      <c r="M10486" s="49">
        <f>IF($A$4+104&gt;$B$4,"",$A$4+104)</f>
        <v>46127</v>
      </c>
      <c r="N10486">
        <f>IF(M10486="","",'Master Barang'!A80)</f>
        <v>0</v>
      </c>
      <c r="O10486">
        <f>IF(N10486="","",'Master Barang'!B80)</f>
        <v>0</v>
      </c>
      <c r="P10486">
        <f>IF(OR(M10486="",N10486=""),"",SUMIFS('Barang Keluar'!$E:$E,'Barang Keluar'!$A:$A,M10486,'Barang Keluar'!$C:$C,N10486))</f>
        <v>0</v>
      </c>
    </row>
    <row r="10487" spans="13:16">
      <c r="M10487" s="49">
        <f>IF($A$4+104&gt;$B$4,"",$A$4+104)</f>
        <v>46127</v>
      </c>
      <c r="N10487">
        <f>IF(M10487="","",'Master Barang'!A81)</f>
        <v>0</v>
      </c>
      <c r="O10487">
        <f>IF(N10487="","",'Master Barang'!B81)</f>
        <v>0</v>
      </c>
      <c r="P10487">
        <f>IF(OR(M10487="",N10487=""),"",SUMIFS('Barang Keluar'!$E:$E,'Barang Keluar'!$A:$A,M10487,'Barang Keluar'!$C:$C,N10487))</f>
        <v>0</v>
      </c>
    </row>
    <row r="10488" spans="13:16">
      <c r="M10488" s="49">
        <f>IF($A$4+104&gt;$B$4,"",$A$4+104)</f>
        <v>46127</v>
      </c>
      <c r="N10488">
        <f>IF(M10488="","",'Master Barang'!A82)</f>
        <v>0</v>
      </c>
      <c r="O10488">
        <f>IF(N10488="","",'Master Barang'!B82)</f>
        <v>0</v>
      </c>
      <c r="P10488">
        <f>IF(OR(M10488="",N10488=""),"",SUMIFS('Barang Keluar'!$E:$E,'Barang Keluar'!$A:$A,M10488,'Barang Keluar'!$C:$C,N10488))</f>
        <v>0</v>
      </c>
    </row>
    <row r="10489" spans="13:16">
      <c r="M10489" s="49">
        <f>IF($A$4+104&gt;$B$4,"",$A$4+104)</f>
        <v>46127</v>
      </c>
      <c r="N10489">
        <f>IF(M10489="","",'Master Barang'!A83)</f>
        <v>0</v>
      </c>
      <c r="O10489">
        <f>IF(N10489="","",'Master Barang'!B83)</f>
        <v>0</v>
      </c>
      <c r="P10489">
        <f>IF(OR(M10489="",N10489=""),"",SUMIFS('Barang Keluar'!$E:$E,'Barang Keluar'!$A:$A,M10489,'Barang Keluar'!$C:$C,N10489))</f>
        <v>0</v>
      </c>
    </row>
    <row r="10490" spans="13:16">
      <c r="M10490" s="49">
        <f>IF($A$4+104&gt;$B$4,"",$A$4+104)</f>
        <v>46127</v>
      </c>
      <c r="N10490">
        <f>IF(M10490="","",'Master Barang'!A84)</f>
        <v>0</v>
      </c>
      <c r="O10490">
        <f>IF(N10490="","",'Master Barang'!B84)</f>
        <v>0</v>
      </c>
      <c r="P10490">
        <f>IF(OR(M10490="",N10490=""),"",SUMIFS('Barang Keluar'!$E:$E,'Barang Keluar'!$A:$A,M10490,'Barang Keluar'!$C:$C,N10490))</f>
        <v>0</v>
      </c>
    </row>
    <row r="10491" spans="13:16">
      <c r="M10491" s="49">
        <f>IF($A$4+104&gt;$B$4,"",$A$4+104)</f>
        <v>46127</v>
      </c>
      <c r="N10491">
        <f>IF(M10491="","",'Master Barang'!A85)</f>
        <v>0</v>
      </c>
      <c r="O10491">
        <f>IF(N10491="","",'Master Barang'!B85)</f>
        <v>0</v>
      </c>
      <c r="P10491">
        <f>IF(OR(M10491="",N10491=""),"",SUMIFS('Barang Keluar'!$E:$E,'Barang Keluar'!$A:$A,M10491,'Barang Keluar'!$C:$C,N10491))</f>
        <v>0</v>
      </c>
    </row>
    <row r="10492" spans="13:16">
      <c r="M10492" s="49">
        <f>IF($A$4+104&gt;$B$4,"",$A$4+104)</f>
        <v>46127</v>
      </c>
      <c r="N10492">
        <f>IF(M10492="","",'Master Barang'!A86)</f>
        <v>0</v>
      </c>
      <c r="O10492">
        <f>IF(N10492="","",'Master Barang'!B86)</f>
        <v>0</v>
      </c>
      <c r="P10492">
        <f>IF(OR(M10492="",N10492=""),"",SUMIFS('Barang Keluar'!$E:$E,'Barang Keluar'!$A:$A,M10492,'Barang Keluar'!$C:$C,N10492))</f>
        <v>0</v>
      </c>
    </row>
    <row r="10493" spans="13:16">
      <c r="M10493" s="49">
        <f>IF($A$4+104&gt;$B$4,"",$A$4+104)</f>
        <v>46127</v>
      </c>
      <c r="N10493">
        <f>IF(M10493="","",'Master Barang'!A87)</f>
        <v>0</v>
      </c>
      <c r="O10493">
        <f>IF(N10493="","",'Master Barang'!B87)</f>
        <v>0</v>
      </c>
      <c r="P10493">
        <f>IF(OR(M10493="",N10493=""),"",SUMIFS('Barang Keluar'!$E:$E,'Barang Keluar'!$A:$A,M10493,'Barang Keluar'!$C:$C,N10493))</f>
        <v>0</v>
      </c>
    </row>
    <row r="10494" spans="13:16">
      <c r="M10494" s="49">
        <f>IF($A$4+104&gt;$B$4,"",$A$4+104)</f>
        <v>46127</v>
      </c>
      <c r="N10494">
        <f>IF(M10494="","",'Master Barang'!A88)</f>
        <v>0</v>
      </c>
      <c r="O10494">
        <f>IF(N10494="","",'Master Barang'!B88)</f>
        <v>0</v>
      </c>
      <c r="P10494">
        <f>IF(OR(M10494="",N10494=""),"",SUMIFS('Barang Keluar'!$E:$E,'Barang Keluar'!$A:$A,M10494,'Barang Keluar'!$C:$C,N10494))</f>
        <v>0</v>
      </c>
    </row>
    <row r="10495" spans="13:16">
      <c r="M10495" s="49">
        <f>IF($A$4+104&gt;$B$4,"",$A$4+104)</f>
        <v>46127</v>
      </c>
      <c r="N10495">
        <f>IF(M10495="","",'Master Barang'!A89)</f>
        <v>0</v>
      </c>
      <c r="O10495">
        <f>IF(N10495="","",'Master Barang'!B89)</f>
        <v>0</v>
      </c>
      <c r="P10495">
        <f>IF(OR(M10495="",N10495=""),"",SUMIFS('Barang Keluar'!$E:$E,'Barang Keluar'!$A:$A,M10495,'Barang Keluar'!$C:$C,N10495))</f>
        <v>0</v>
      </c>
    </row>
    <row r="10496" spans="13:16">
      <c r="M10496" s="49">
        <f>IF($A$4+104&gt;$B$4,"",$A$4+104)</f>
        <v>46127</v>
      </c>
      <c r="N10496">
        <f>IF(M10496="","",'Master Barang'!A90)</f>
        <v>0</v>
      </c>
      <c r="O10496">
        <f>IF(N10496="","",'Master Barang'!B90)</f>
        <v>0</v>
      </c>
      <c r="P10496">
        <f>IF(OR(M10496="",N10496=""),"",SUMIFS('Barang Keluar'!$E:$E,'Barang Keluar'!$A:$A,M10496,'Barang Keluar'!$C:$C,N10496))</f>
        <v>0</v>
      </c>
    </row>
    <row r="10497" spans="13:16">
      <c r="M10497" s="49">
        <f>IF($A$4+104&gt;$B$4,"",$A$4+104)</f>
        <v>46127</v>
      </c>
      <c r="N10497">
        <f>IF(M10497="","",'Master Barang'!A91)</f>
        <v>0</v>
      </c>
      <c r="O10497">
        <f>IF(N10497="","",'Master Barang'!B91)</f>
        <v>0</v>
      </c>
      <c r="P10497">
        <f>IF(OR(M10497="",N10497=""),"",SUMIFS('Barang Keluar'!$E:$E,'Barang Keluar'!$A:$A,M10497,'Barang Keluar'!$C:$C,N10497))</f>
        <v>0</v>
      </c>
    </row>
    <row r="10498" spans="13:16">
      <c r="M10498" s="49">
        <f>IF($A$4+104&gt;$B$4,"",$A$4+104)</f>
        <v>46127</v>
      </c>
      <c r="N10498">
        <f>IF(M10498="","",'Master Barang'!A92)</f>
        <v>0</v>
      </c>
      <c r="O10498">
        <f>IF(N10498="","",'Master Barang'!B92)</f>
        <v>0</v>
      </c>
      <c r="P10498">
        <f>IF(OR(M10498="",N10498=""),"",SUMIFS('Barang Keluar'!$E:$E,'Barang Keluar'!$A:$A,M10498,'Barang Keluar'!$C:$C,N10498))</f>
        <v>0</v>
      </c>
    </row>
    <row r="10499" spans="13:16">
      <c r="M10499" s="49">
        <f>IF($A$4+104&gt;$B$4,"",$A$4+104)</f>
        <v>46127</v>
      </c>
      <c r="N10499">
        <f>IF(M10499="","",'Master Barang'!A93)</f>
        <v>0</v>
      </c>
      <c r="O10499">
        <f>IF(N10499="","",'Master Barang'!B93)</f>
        <v>0</v>
      </c>
      <c r="P10499">
        <f>IF(OR(M10499="",N10499=""),"",SUMIFS('Barang Keluar'!$E:$E,'Barang Keluar'!$A:$A,M10499,'Barang Keluar'!$C:$C,N10499))</f>
        <v>0</v>
      </c>
    </row>
    <row r="10500" spans="13:16">
      <c r="M10500" s="49">
        <f>IF($A$4+104&gt;$B$4,"",$A$4+104)</f>
        <v>46127</v>
      </c>
      <c r="N10500">
        <f>IF(M10500="","",'Master Barang'!A94)</f>
        <v>0</v>
      </c>
      <c r="O10500">
        <f>IF(N10500="","",'Master Barang'!B94)</f>
        <v>0</v>
      </c>
      <c r="P10500">
        <f>IF(OR(M10500="",N10500=""),"",SUMIFS('Barang Keluar'!$E:$E,'Barang Keluar'!$A:$A,M10500,'Barang Keluar'!$C:$C,N10500))</f>
        <v>0</v>
      </c>
    </row>
    <row r="10501" spans="13:16">
      <c r="M10501" s="49">
        <f>IF($A$4+104&gt;$B$4,"",$A$4+104)</f>
        <v>46127</v>
      </c>
      <c r="N10501">
        <f>IF(M10501="","",'Master Barang'!A95)</f>
        <v>0</v>
      </c>
      <c r="O10501">
        <f>IF(N10501="","",'Master Barang'!B95)</f>
        <v>0</v>
      </c>
      <c r="P10501">
        <f>IF(OR(M10501="",N10501=""),"",SUMIFS('Barang Keluar'!$E:$E,'Barang Keluar'!$A:$A,M10501,'Barang Keluar'!$C:$C,N10501))</f>
        <v>0</v>
      </c>
    </row>
    <row r="10502" spans="13:16">
      <c r="M10502" s="49">
        <f>IF($A$4+104&gt;$B$4,"",$A$4+104)</f>
        <v>46127</v>
      </c>
      <c r="N10502">
        <f>IF(M10502="","",'Master Barang'!A96)</f>
        <v>0</v>
      </c>
      <c r="O10502">
        <f>IF(N10502="","",'Master Barang'!B96)</f>
        <v>0</v>
      </c>
      <c r="P10502">
        <f>IF(OR(M10502="",N10502=""),"",SUMIFS('Barang Keluar'!$E:$E,'Barang Keluar'!$A:$A,M10502,'Barang Keluar'!$C:$C,N10502))</f>
        <v>0</v>
      </c>
    </row>
    <row r="10503" spans="13:16">
      <c r="M10503" s="49">
        <f>IF($A$4+104&gt;$B$4,"",$A$4+104)</f>
        <v>46127</v>
      </c>
      <c r="N10503">
        <f>IF(M10503="","",'Master Barang'!A97)</f>
        <v>0</v>
      </c>
      <c r="O10503">
        <f>IF(N10503="","",'Master Barang'!B97)</f>
        <v>0</v>
      </c>
      <c r="P10503">
        <f>IF(OR(M10503="",N10503=""),"",SUMIFS('Barang Keluar'!$E:$E,'Barang Keluar'!$A:$A,M10503,'Barang Keluar'!$C:$C,N10503))</f>
        <v>0</v>
      </c>
    </row>
    <row r="10504" spans="13:16">
      <c r="M10504" s="49">
        <f>IF($A$4+104&gt;$B$4,"",$A$4+104)</f>
        <v>46127</v>
      </c>
      <c r="N10504">
        <f>IF(M10504="","",'Master Barang'!A98)</f>
        <v>0</v>
      </c>
      <c r="O10504">
        <f>IF(N10504="","",'Master Barang'!B98)</f>
        <v>0</v>
      </c>
      <c r="P10504">
        <f>IF(OR(M10504="",N10504=""),"",SUMIFS('Barang Keluar'!$E:$E,'Barang Keluar'!$A:$A,M10504,'Barang Keluar'!$C:$C,N10504))</f>
        <v>0</v>
      </c>
    </row>
    <row r="10505" spans="13:16">
      <c r="M10505" s="49">
        <f>IF($A$4+104&gt;$B$4,"",$A$4+104)</f>
        <v>46127</v>
      </c>
      <c r="N10505">
        <f>IF(M10505="","",'Master Barang'!A99)</f>
        <v>0</v>
      </c>
      <c r="O10505">
        <f>IF(N10505="","",'Master Barang'!B99)</f>
        <v>0</v>
      </c>
      <c r="P10505">
        <f>IF(OR(M10505="",N10505=""),"",SUMIFS('Barang Keluar'!$E:$E,'Barang Keluar'!$A:$A,M10505,'Barang Keluar'!$C:$C,N10505))</f>
        <v>0</v>
      </c>
    </row>
    <row r="10506" spans="13:16">
      <c r="M10506" s="49">
        <f>IF($A$4+104&gt;$B$4,"",$A$4+104)</f>
        <v>46127</v>
      </c>
      <c r="N10506">
        <f>IF(M10506="","",'Master Barang'!A100)</f>
        <v>0</v>
      </c>
      <c r="O10506">
        <f>IF(N10506="","",'Master Barang'!B100)</f>
        <v>0</v>
      </c>
      <c r="P10506">
        <f>IF(OR(M10506="",N10506=""),"",SUMIFS('Barang Keluar'!$E:$E,'Barang Keluar'!$A:$A,M10506,'Barang Keluar'!$C:$C,N10506))</f>
        <v>0</v>
      </c>
    </row>
    <row r="10507" spans="13:16">
      <c r="M10507" s="49">
        <f>IF($A$4+104&gt;$B$4,"",$A$4+104)</f>
        <v>46127</v>
      </c>
      <c r="N10507">
        <f>IF(M10507="","",'Master Barang'!A101)</f>
        <v>0</v>
      </c>
      <c r="O10507">
        <f>IF(N10507="","",'Master Barang'!B101)</f>
        <v>0</v>
      </c>
      <c r="P10507">
        <f>IF(OR(M10507="",N10507=""),"",SUMIFS('Barang Keluar'!$E:$E,'Barang Keluar'!$A:$A,M10507,'Barang Keluar'!$C:$C,N10507))</f>
        <v>0</v>
      </c>
    </row>
    <row r="10508" spans="13:16">
      <c r="M10508" s="49">
        <f>IF($A$4+105&gt;$B$4,"",$A$4+105)</f>
        <v>46128</v>
      </c>
      <c r="N10508" t="str">
        <f>IF(M10508="","",'Master Barang'!A2)</f>
        <v>PRL-001</v>
      </c>
      <c r="O10508" t="str">
        <f>IF(N10508="","",'Master Barang'!B2)</f>
        <v>natura desinfectant food grade 5l</v>
      </c>
      <c r="P10508">
        <f>IF(OR(M10508="",N10508=""),"",SUMIFS('Barang Keluar'!$E:$E,'Barang Keluar'!$A:$A,M10508,'Barang Keluar'!$C:$C,N10508))</f>
        <v>0</v>
      </c>
    </row>
    <row r="10509" spans="13:16">
      <c r="M10509" s="49">
        <f>IF($A$4+105&gt;$B$4,"",$A$4+105)</f>
        <v>46128</v>
      </c>
      <c r="N10509" t="str">
        <f>IF(M10509="","",'Master Barang'!A3)</f>
        <v>PRL-002</v>
      </c>
      <c r="O10509" t="str">
        <f>IF(N10509="","",'Master Barang'!B3)</f>
        <v>sunlight cairan pencuci piring 5l</v>
      </c>
      <c r="P10509">
        <f>IF(OR(M10509="",N10509=""),"",SUMIFS('Barang Keluar'!$E:$E,'Barang Keluar'!$A:$A,M10509,'Barang Keluar'!$C:$C,N10509))</f>
        <v>0</v>
      </c>
    </row>
    <row r="10510" spans="13:16">
      <c r="M10510" s="49">
        <f>IF($A$4+105&gt;$B$4,"",$A$4+105)</f>
        <v>46128</v>
      </c>
      <c r="N10510" t="str">
        <f>IF(M10510="","",'Master Barang'!A4)</f>
        <v>PRL-003</v>
      </c>
      <c r="O10510" t="str">
        <f>IF(N10510="","",'Master Barang'!B4)</f>
        <v>oixs cleaner 1l</v>
      </c>
      <c r="P10510">
        <f>IF(OR(M10510="",N10510=""),"",SUMIFS('Barang Keluar'!$E:$E,'Barang Keluar'!$A:$A,M10510,'Barang Keluar'!$C:$C,N10510))</f>
        <v>0</v>
      </c>
    </row>
    <row r="10511" spans="13:16">
      <c r="M10511" s="49">
        <f>IF($A$4+105&gt;$B$4,"",$A$4+105)</f>
        <v>46128</v>
      </c>
      <c r="N10511" t="str">
        <f>IF(M10511="","",'Master Barang'!A5)</f>
        <v>PRL-004</v>
      </c>
      <c r="O10511" t="str">
        <f>IF(N10511="","",'Master Barang'!B5)</f>
        <v>be clean tissue serbaguna</v>
      </c>
      <c r="P10511">
        <f>IF(OR(M10511="",N10511=""),"",SUMIFS('Barang Keluar'!$E:$E,'Barang Keluar'!$A:$A,M10511,'Barang Keluar'!$C:$C,N10511))</f>
        <v>0</v>
      </c>
    </row>
    <row r="10512" spans="13:16">
      <c r="M10512" s="49">
        <f>IF($A$4+105&gt;$B$4,"",$A$4+105)</f>
        <v>46128</v>
      </c>
      <c r="N10512" t="str">
        <f>IF(M10512="","",'Master Barang'!A6)</f>
        <v>PRL-005</v>
      </c>
      <c r="O10512" t="str">
        <f>IF(N10512="","",'Master Barang'!B6)</f>
        <v>spons cuci hijau</v>
      </c>
      <c r="P10512">
        <f>IF(OR(M10512="",N10512=""),"",SUMIFS('Barang Keluar'!$E:$E,'Barang Keluar'!$A:$A,M10512,'Barang Keluar'!$C:$C,N10512))</f>
        <v>0</v>
      </c>
    </row>
    <row r="10513" spans="13:16">
      <c r="M10513" s="49">
        <f>IF($A$4+105&gt;$B$4,"",$A$4+105)</f>
        <v>46128</v>
      </c>
      <c r="N10513" t="str">
        <f>IF(M10513="","",'Master Barang'!A7)</f>
        <v>PRL-006</v>
      </c>
      <c r="O10513" t="str">
        <f>IF(N10513="","",'Master Barang'!B7)</f>
        <v>sabut cuci stainless</v>
      </c>
      <c r="P10513">
        <f>IF(OR(M10513="",N10513=""),"",SUMIFS('Barang Keluar'!$E:$E,'Barang Keluar'!$A:$A,M10513,'Barang Keluar'!$C:$C,N10513))</f>
        <v>0</v>
      </c>
    </row>
    <row r="10514" spans="13:16">
      <c r="M10514" s="49">
        <f>IF($A$4+105&gt;$B$4,"",$A$4+105)</f>
        <v>46128</v>
      </c>
      <c r="N10514" t="str">
        <f>IF(M10514="","",'Master Barang'!A8)</f>
        <v>PRL-007</v>
      </c>
      <c r="O10514" t="str">
        <f>IF(N10514="","",'Master Barang'!B8)</f>
        <v>plastik kresek besar merah 50pc</v>
      </c>
      <c r="P10514">
        <f>IF(OR(M10514="",N10514=""),"",SUMIFS('Barang Keluar'!$E:$E,'Barang Keluar'!$A:$A,M10514,'Barang Keluar'!$C:$C,N10514))</f>
        <v>0</v>
      </c>
    </row>
    <row r="10515" spans="13:16">
      <c r="M10515" s="49">
        <f>IF($A$4+105&gt;$B$4,"",$A$4+105)</f>
        <v>46128</v>
      </c>
      <c r="N10515" t="str">
        <f>IF(M10515="","",'Master Barang'!A9)</f>
        <v>PRL-008</v>
      </c>
      <c r="O10515" t="str">
        <f>IF(N10515="","",'Master Barang'!B9)</f>
        <v>lap besar</v>
      </c>
      <c r="P10515">
        <f>IF(OR(M10515="",N10515=""),"",SUMIFS('Barang Keluar'!$E:$E,'Barang Keluar'!$A:$A,M10515,'Barang Keluar'!$C:$C,N10515))</f>
        <v>0</v>
      </c>
    </row>
    <row r="10516" spans="13:16">
      <c r="M10516" s="49">
        <f>IF($A$4+105&gt;$B$4,"",$A$4+105)</f>
        <v>46128</v>
      </c>
      <c r="N10516" t="str">
        <f>IF(M10516="","",'Master Barang'!A10)</f>
        <v>PRL-009</v>
      </c>
      <c r="O10516" t="str">
        <f>IF(N10516="","",'Master Barang'!B10)</f>
        <v>lap microfiber</v>
      </c>
      <c r="P10516">
        <f>IF(OR(M10516="",N10516=""),"",SUMIFS('Barang Keluar'!$E:$E,'Barang Keluar'!$A:$A,M10516,'Barang Keluar'!$C:$C,N10516))</f>
        <v>0</v>
      </c>
    </row>
    <row r="10517" spans="13:16">
      <c r="M10517" s="49">
        <f>IF($A$4+105&gt;$B$4,"",$A$4+105)</f>
        <v>46128</v>
      </c>
      <c r="N10517" t="str">
        <f>IF(M10517="","",'Master Barang'!A11)</f>
        <v>PRL-010</v>
      </c>
      <c r="O10517" t="str">
        <f>IF(N10517="","",'Master Barang'!B11)</f>
        <v>lap kecil</v>
      </c>
      <c r="P10517">
        <f>IF(OR(M10517="",N10517=""),"",SUMIFS('Barang Keluar'!$E:$E,'Barang Keluar'!$A:$A,M10517,'Barang Keluar'!$C:$C,N10517))</f>
        <v>0</v>
      </c>
    </row>
    <row r="10518" spans="13:16">
      <c r="M10518" s="49">
        <f>IF($A$4+105&gt;$B$4,"",$A$4+105)</f>
        <v>46128</v>
      </c>
      <c r="N10518" t="str">
        <f>IF(M10518="","",'Master Barang'!A12)</f>
        <v>PRL-011</v>
      </c>
      <c r="O10518" t="str">
        <f>IF(N10518="","",'Master Barang'!B12)</f>
        <v>kanebo kecil</v>
      </c>
      <c r="P10518">
        <f>IF(OR(M10518="",N10518=""),"",SUMIFS('Barang Keluar'!$E:$E,'Barang Keluar'!$A:$A,M10518,'Barang Keluar'!$C:$C,N10518))</f>
        <v>0</v>
      </c>
    </row>
    <row r="10519" spans="13:16">
      <c r="M10519" s="49">
        <f>IF($A$4+105&gt;$B$4,"",$A$4+105)</f>
        <v>46128</v>
      </c>
      <c r="N10519" t="str">
        <f>IF(M10519="","",'Master Barang'!A13)</f>
        <v>PRL-012</v>
      </c>
      <c r="O10519" t="str">
        <f>IF(N10519="","",'Master Barang'!B13)</f>
        <v>plastik 1/4kg joyoboyo 100 lembar</v>
      </c>
      <c r="P10519">
        <f>IF(OR(M10519="",N10519=""),"",SUMIFS('Barang Keluar'!$E:$E,'Barang Keluar'!$A:$A,M10519,'Barang Keluar'!$C:$C,N10519))</f>
        <v>0</v>
      </c>
    </row>
    <row r="10520" spans="13:16">
      <c r="M10520" s="49">
        <f>IF($A$4+105&gt;$B$4,"",$A$4+105)</f>
        <v>46128</v>
      </c>
      <c r="N10520" t="str">
        <f>IF(M10520="","",'Master Barang'!A14)</f>
        <v>PRL-013</v>
      </c>
      <c r="O10520" t="str">
        <f>IF(N10520="","",'Master Barang'!B14)</f>
        <v>sarung tangan plastik kaka 100 pcs</v>
      </c>
      <c r="P10520">
        <f>IF(OR(M10520="",N10520=""),"",SUMIFS('Barang Keluar'!$E:$E,'Barang Keluar'!$A:$A,M10520,'Barang Keluar'!$C:$C,N10520))</f>
        <v>0</v>
      </c>
    </row>
    <row r="10521" spans="13:16">
      <c r="M10521" s="49">
        <f>IF($A$4+105&gt;$B$4,"",$A$4+105)</f>
        <v>46128</v>
      </c>
      <c r="N10521" t="str">
        <f>IF(M10521="","",'Master Barang'!A15)</f>
        <v>PRL-014</v>
      </c>
      <c r="O10521" t="str">
        <f>IF(N10521="","",'Master Barang'!B15)</f>
        <v>optima trashbag 80x100</v>
      </c>
      <c r="P10521">
        <f>IF(OR(M10521="",N10521=""),"",SUMIFS('Barang Keluar'!$E:$E,'Barang Keluar'!$A:$A,M10521,'Barang Keluar'!$C:$C,N10521))</f>
        <v>0</v>
      </c>
    </row>
    <row r="10522" spans="13:16">
      <c r="M10522" s="49">
        <f>IF($A$4+105&gt;$B$4,"",$A$4+105)</f>
        <v>46128</v>
      </c>
      <c r="N10522" t="str">
        <f>IF(M10522="","",'Master Barang'!A16)</f>
        <v>PRL-015</v>
      </c>
      <c r="O10522" t="str">
        <f>IF(N10522="","",'Master Barang'!B16)</f>
        <v>optima trashbag 60x100</v>
      </c>
      <c r="P10522">
        <f>IF(OR(M10522="",N10522=""),"",SUMIFS('Barang Keluar'!$E:$E,'Barang Keluar'!$A:$A,M10522,'Barang Keluar'!$C:$C,N10522))</f>
        <v>0</v>
      </c>
    </row>
    <row r="10523" spans="13:16">
      <c r="M10523" s="49">
        <f>IF($A$4+105&gt;$B$4,"",$A$4+105)</f>
        <v>46128</v>
      </c>
      <c r="N10523" t="str">
        <f>IF(M10523="","",'Master Barang'!A17)</f>
        <v>PRL-016</v>
      </c>
      <c r="O10523" t="str">
        <f>IF(N10523="","",'Master Barang'!B17)</f>
        <v>rajawali trashbag 30x40</v>
      </c>
      <c r="P10523">
        <f>IF(OR(M10523="",N10523=""),"",SUMIFS('Barang Keluar'!$E:$E,'Barang Keluar'!$A:$A,M10523,'Barang Keluar'!$C:$C,N10523))</f>
        <v>0</v>
      </c>
    </row>
    <row r="10524" spans="13:16">
      <c r="M10524" s="49">
        <f>IF($A$4+105&gt;$B$4,"",$A$4+105)</f>
        <v>46128</v>
      </c>
      <c r="N10524" t="str">
        <f>IF(M10524="","",'Master Barang'!A18)</f>
        <v>PRL-017</v>
      </c>
      <c r="O10524" t="str">
        <f>IF(N10524="","",'Master Barang'!B18)</f>
        <v>onemed masker biru 3 play 50 pcs</v>
      </c>
      <c r="P10524">
        <f>IF(OR(M10524="",N10524=""),"",SUMIFS('Barang Keluar'!$E:$E,'Barang Keluar'!$A:$A,M10524,'Barang Keluar'!$C:$C,N10524))</f>
        <v>0</v>
      </c>
    </row>
    <row r="10525" spans="13:16">
      <c r="M10525" s="49">
        <f>IF($A$4+105&gt;$B$4,"",$A$4+105)</f>
        <v>46128</v>
      </c>
      <c r="N10525" t="str">
        <f>IF(M10525="","",'Master Barang'!A19)</f>
        <v>PRL-018</v>
      </c>
      <c r="O10525" t="str">
        <f>IF(N10525="","",'Master Barang'!B19)</f>
        <v>onemed masker biru 3 play hijab 50 pcs</v>
      </c>
      <c r="P10525">
        <f>IF(OR(M10525="",N10525=""),"",SUMIFS('Barang Keluar'!$E:$E,'Barang Keluar'!$A:$A,M10525,'Barang Keluar'!$C:$C,N10525))</f>
        <v>0</v>
      </c>
    </row>
    <row r="10526" spans="13:16">
      <c r="M10526" s="49">
        <f>IF($A$4+105&gt;$B$4,"",$A$4+105)</f>
        <v>46128</v>
      </c>
      <c r="N10526" t="str">
        <f>IF(M10526="","",'Master Barang'!A20)</f>
        <v>PRL-019</v>
      </c>
      <c r="O10526" t="str">
        <f>IF(N10526="","",'Master Barang'!B20)</f>
        <v>neo health masker biru 3 play 50 pcs</v>
      </c>
      <c r="P10526">
        <f>IF(OR(M10526="",N10526=""),"",SUMIFS('Barang Keluar'!$E:$E,'Barang Keluar'!$A:$A,M10526,'Barang Keluar'!$C:$C,N10526))</f>
        <v>0</v>
      </c>
    </row>
    <row r="10527" spans="13:16">
      <c r="M10527" s="49">
        <f>IF($A$4+105&gt;$B$4,"",$A$4+105)</f>
        <v>46128</v>
      </c>
      <c r="N10527" t="str">
        <f>IF(M10527="","",'Master Barang'!A21)</f>
        <v>PRL-020</v>
      </c>
      <c r="O10527" t="str">
        <f>IF(N10527="","",'Master Barang'!B21)</f>
        <v>baymed masker hijau 3 play hijau 50 pcs</v>
      </c>
      <c r="P10527">
        <f>IF(OR(M10527="",N10527=""),"",SUMIFS('Barang Keluar'!$E:$E,'Barang Keluar'!$A:$A,M10527,'Barang Keluar'!$C:$C,N10527))</f>
        <v>0</v>
      </c>
    </row>
    <row r="10528" spans="13:16">
      <c r="M10528" s="49">
        <f>IF($A$4+105&gt;$B$4,"",$A$4+105)</f>
        <v>46128</v>
      </c>
      <c r="N10528" t="str">
        <f>IF(M10528="","",'Master Barang'!A22)</f>
        <v>PRL-021</v>
      </c>
      <c r="O10528" t="str">
        <f>IF(N10528="","",'Master Barang'!B22)</f>
        <v>altamed nurse cap penutup kepala 100 pcs</v>
      </c>
      <c r="P10528">
        <f>IF(OR(M10528="",N10528=""),"",SUMIFS('Barang Keluar'!$E:$E,'Barang Keluar'!$A:$A,M10528,'Barang Keluar'!$C:$C,N10528))</f>
        <v>0</v>
      </c>
    </row>
    <row r="10529" spans="13:16">
      <c r="M10529" s="49">
        <f>IF($A$4+105&gt;$B$4,"",$A$4+105)</f>
        <v>46128</v>
      </c>
      <c r="N10529" t="str">
        <f>IF(M10529="","",'Master Barang'!A23)</f>
        <v>PRL-022</v>
      </c>
      <c r="O10529" t="str">
        <f>IF(N10529="","",'Master Barang'!B23)</f>
        <v>sabun cuci tangan</v>
      </c>
      <c r="P10529">
        <f>IF(OR(M10529="",N10529=""),"",SUMIFS('Barang Keluar'!$E:$E,'Barang Keluar'!$A:$A,M10529,'Barang Keluar'!$C:$C,N10529))</f>
        <v>0</v>
      </c>
    </row>
    <row r="10530" spans="13:16">
      <c r="M10530" s="49">
        <f>IF($A$4+105&gt;$B$4,"",$A$4+105)</f>
        <v>46128</v>
      </c>
      <c r="N10530" t="str">
        <f>IF(M10530="","",'Master Barang'!A24)</f>
        <v>PRL-023</v>
      </c>
      <c r="O10530" t="str">
        <f>IF(N10530="","",'Master Barang'!B24)</f>
        <v>gayung kecil</v>
      </c>
      <c r="P10530">
        <f>IF(OR(M10530="",N10530=""),"",SUMIFS('Barang Keluar'!$E:$E,'Barang Keluar'!$A:$A,M10530,'Barang Keluar'!$C:$C,N10530))</f>
        <v>0</v>
      </c>
    </row>
    <row r="10531" spans="13:16">
      <c r="M10531" s="49">
        <f>IF($A$4+105&gt;$B$4,"",$A$4+105)</f>
        <v>46128</v>
      </c>
      <c r="N10531" t="str">
        <f>IF(M10531="","",'Master Barang'!A25)</f>
        <v>PRL-024</v>
      </c>
      <c r="O10531" t="str">
        <f>IF(N10531="","",'Master Barang'!B25)</f>
        <v>cikrak kecil</v>
      </c>
      <c r="P10531">
        <f>IF(OR(M10531="",N10531=""),"",SUMIFS('Barang Keluar'!$E:$E,'Barang Keluar'!$A:$A,M10531,'Barang Keluar'!$C:$C,N10531))</f>
        <v>0</v>
      </c>
    </row>
    <row r="10532" spans="13:16">
      <c r="M10532" s="49">
        <f>IF($A$4+105&gt;$B$4,"",$A$4+105)</f>
        <v>46128</v>
      </c>
      <c r="N10532" t="str">
        <f>IF(M10532="","",'Master Barang'!A26)</f>
        <v>PRL-025</v>
      </c>
      <c r="O10532" t="str">
        <f>IF(N10532="","",'Master Barang'!B26)</f>
        <v>petromax plastik kecil 12x24 100 lembar</v>
      </c>
      <c r="P10532">
        <f>IF(OR(M10532="",N10532=""),"",SUMIFS('Barang Keluar'!$E:$E,'Barang Keluar'!$A:$A,M10532,'Barang Keluar'!$C:$C,N10532))</f>
        <v>0</v>
      </c>
    </row>
    <row r="10533" spans="13:16">
      <c r="M10533" s="49">
        <f>IF($A$4+105&gt;$B$4,"",$A$4+105)</f>
        <v>46128</v>
      </c>
      <c r="N10533" t="str">
        <f>IF(M10533="","",'Master Barang'!A27)</f>
        <v>PRL-026</v>
      </c>
      <c r="O10533" t="str">
        <f>IF(N10533="","",'Master Barang'!B27)</f>
        <v>lancar kresek kecil bening </v>
      </c>
      <c r="P10533">
        <f>IF(OR(M10533="",N10533=""),"",SUMIFS('Barang Keluar'!$E:$E,'Barang Keluar'!$A:$A,M10533,'Barang Keluar'!$C:$C,N10533))</f>
        <v>0</v>
      </c>
    </row>
    <row r="10534" spans="13:16">
      <c r="M10534" s="49">
        <f>IF($A$4+105&gt;$B$4,"",$A$4+105)</f>
        <v>46128</v>
      </c>
      <c r="N10534" t="str">
        <f>IF(M10534="","",'Master Barang'!A28)</f>
        <v>PRL-027</v>
      </c>
      <c r="O10534" t="str">
        <f>IF(N10534="","",'Master Barang'!B28)</f>
        <v>kresek klin warna warni kecil</v>
      </c>
      <c r="P10534">
        <f>IF(OR(M10534="",N10534=""),"",SUMIFS('Barang Keluar'!$E:$E,'Barang Keluar'!$A:$A,M10534,'Barang Keluar'!$C:$C,N10534))</f>
        <v>0</v>
      </c>
    </row>
    <row r="10535" spans="13:16">
      <c r="M10535" s="49">
        <f>IF($A$4+105&gt;$B$4,"",$A$4+105)</f>
        <v>46128</v>
      </c>
      <c r="N10535" t="str">
        <f>IF(M10535="","",'Master Barang'!A29)</f>
        <v>PRL-028</v>
      </c>
      <c r="O10535" t="str">
        <f>IF(N10535="","",'Master Barang'!B29)</f>
        <v>ctik plastik 7x10 100 pcs</v>
      </c>
      <c r="P10535">
        <f>IF(OR(M10535="",N10535=""),"",SUMIFS('Barang Keluar'!$E:$E,'Barang Keluar'!$A:$A,M10535,'Barang Keluar'!$C:$C,N10535))</f>
        <v>0</v>
      </c>
    </row>
    <row r="10536" spans="13:16">
      <c r="M10536" s="49">
        <f>IF($A$4+105&gt;$B$4,"",$A$4+105)</f>
        <v>46128</v>
      </c>
      <c r="N10536" t="str">
        <f>IF(M10536="","",'Master Barang'!A30)</f>
        <v>PRL-029</v>
      </c>
      <c r="O10536" t="str">
        <f>IF(N10536="","",'Master Barang'!B30)</f>
        <v>ctik plastik 6x10 100 pcs</v>
      </c>
      <c r="P10536">
        <f>IF(OR(M10536="",N10536=""),"",SUMIFS('Barang Keluar'!$E:$E,'Barang Keluar'!$A:$A,M10536,'Barang Keluar'!$C:$C,N10536))</f>
        <v>0</v>
      </c>
    </row>
    <row r="10537" spans="13:16">
      <c r="M10537" s="49">
        <f>IF($A$4+105&gt;$B$4,"",$A$4+105)</f>
        <v>46128</v>
      </c>
      <c r="N10537" t="str">
        <f>IF(M10537="","",'Master Barang'!A31)</f>
        <v>PRL-030</v>
      </c>
      <c r="O10537" t="str">
        <f>IF(N10537="","",'Master Barang'!B31)</f>
        <v>klip plastik 25x16 100 pcs</v>
      </c>
      <c r="P10537">
        <f>IF(OR(M10537="",N10537=""),"",SUMIFS('Barang Keluar'!$E:$E,'Barang Keluar'!$A:$A,M10537,'Barang Keluar'!$C:$C,N10537))</f>
        <v>0</v>
      </c>
    </row>
    <row r="10538" spans="13:16">
      <c r="M10538" s="49">
        <f>IF($A$4+105&gt;$B$4,"",$A$4+105)</f>
        <v>46128</v>
      </c>
      <c r="N10538" t="str">
        <f>IF(M10538="","",'Master Barang'!A32)</f>
        <v>PRL-031</v>
      </c>
      <c r="O10538" t="str">
        <f>IF(N10538="","",'Master Barang'!B32)</f>
        <v>tempat saus 20 ml</v>
      </c>
      <c r="P10538">
        <f>IF(OR(M10538="",N10538=""),"",SUMIFS('Barang Keluar'!$E:$E,'Barang Keluar'!$A:$A,M10538,'Barang Keluar'!$C:$C,N10538))</f>
        <v>0</v>
      </c>
    </row>
    <row r="10539" spans="13:16">
      <c r="M10539" s="49">
        <f>IF($A$4+105&gt;$B$4,"",$A$4+105)</f>
        <v>46128</v>
      </c>
      <c r="N10539" t="str">
        <f>IF(M10539="","",'Master Barang'!A33)</f>
        <v>PRL-032</v>
      </c>
      <c r="O10539" t="str">
        <f>IF(N10539="","",'Master Barang'!B33)</f>
        <v>plastik packaging ag box uk sedang</v>
      </c>
      <c r="P10539">
        <f>IF(OR(M10539="",N10539=""),"",SUMIFS('Barang Keluar'!$E:$E,'Barang Keluar'!$A:$A,M10539,'Barang Keluar'!$C:$C,N10539))</f>
        <v>0</v>
      </c>
    </row>
    <row r="10540" spans="13:16">
      <c r="M10540" s="49">
        <f>IF($A$4+105&gt;$B$4,"",$A$4+105)</f>
        <v>46128</v>
      </c>
      <c r="N10540" t="str">
        <f>IF(M10540="","",'Master Barang'!A34)</f>
        <v>PRL-033</v>
      </c>
      <c r="O10540">
        <f>IF(N10540="","",'Master Barang'!B34)</f>
        <v>0</v>
      </c>
      <c r="P10540">
        <f>IF(OR(M10540="",N10540=""),"",SUMIFS('Barang Keluar'!$E:$E,'Barang Keluar'!$A:$A,M10540,'Barang Keluar'!$C:$C,N10540))</f>
        <v>0</v>
      </c>
    </row>
    <row r="10541" spans="13:16">
      <c r="M10541" s="49">
        <f>IF($A$4+105&gt;$B$4,"",$A$4+105)</f>
        <v>46128</v>
      </c>
      <c r="N10541">
        <f>IF(M10541="","",'Master Barang'!A35)</f>
        <v>0</v>
      </c>
      <c r="O10541">
        <f>IF(N10541="","",'Master Barang'!B35)</f>
        <v>0</v>
      </c>
      <c r="P10541">
        <f>IF(OR(M10541="",N10541=""),"",SUMIFS('Barang Keluar'!$E:$E,'Barang Keluar'!$A:$A,M10541,'Barang Keluar'!$C:$C,N10541))</f>
        <v>0</v>
      </c>
    </row>
    <row r="10542" spans="13:16">
      <c r="M10542" s="49">
        <f>IF($A$4+105&gt;$B$4,"",$A$4+105)</f>
        <v>46128</v>
      </c>
      <c r="N10542">
        <f>IF(M10542="","",'Master Barang'!A36)</f>
        <v>0</v>
      </c>
      <c r="O10542">
        <f>IF(N10542="","",'Master Barang'!B36)</f>
        <v>0</v>
      </c>
      <c r="P10542">
        <f>IF(OR(M10542="",N10542=""),"",SUMIFS('Barang Keluar'!$E:$E,'Barang Keluar'!$A:$A,M10542,'Barang Keluar'!$C:$C,N10542))</f>
        <v>0</v>
      </c>
    </row>
    <row r="10543" spans="13:16">
      <c r="M10543" s="49">
        <f>IF($A$4+105&gt;$B$4,"",$A$4+105)</f>
        <v>46128</v>
      </c>
      <c r="N10543">
        <f>IF(M10543="","",'Master Barang'!A37)</f>
        <v>0</v>
      </c>
      <c r="O10543">
        <f>IF(N10543="","",'Master Barang'!B37)</f>
        <v>0</v>
      </c>
      <c r="P10543">
        <f>IF(OR(M10543="",N10543=""),"",SUMIFS('Barang Keluar'!$E:$E,'Barang Keluar'!$A:$A,M10543,'Barang Keluar'!$C:$C,N10543))</f>
        <v>0</v>
      </c>
    </row>
    <row r="10544" spans="13:16">
      <c r="M10544" s="49">
        <f>IF($A$4+105&gt;$B$4,"",$A$4+105)</f>
        <v>46128</v>
      </c>
      <c r="N10544">
        <f>IF(M10544="","",'Master Barang'!A38)</f>
        <v>0</v>
      </c>
      <c r="O10544">
        <f>IF(N10544="","",'Master Barang'!B38)</f>
        <v>0</v>
      </c>
      <c r="P10544">
        <f>IF(OR(M10544="",N10544=""),"",SUMIFS('Barang Keluar'!$E:$E,'Barang Keluar'!$A:$A,M10544,'Barang Keluar'!$C:$C,N10544))</f>
        <v>0</v>
      </c>
    </row>
    <row r="10545" spans="13:16">
      <c r="M10545" s="49">
        <f>IF($A$4+105&gt;$B$4,"",$A$4+105)</f>
        <v>46128</v>
      </c>
      <c r="N10545">
        <f>IF(M10545="","",'Master Barang'!A39)</f>
        <v>0</v>
      </c>
      <c r="O10545">
        <f>IF(N10545="","",'Master Barang'!B39)</f>
        <v>0</v>
      </c>
      <c r="P10545">
        <f>IF(OR(M10545="",N10545=""),"",SUMIFS('Barang Keluar'!$E:$E,'Barang Keluar'!$A:$A,M10545,'Barang Keluar'!$C:$C,N10545))</f>
        <v>0</v>
      </c>
    </row>
    <row r="10546" spans="13:16">
      <c r="M10546" s="49">
        <f>IF($A$4+105&gt;$B$4,"",$A$4+105)</f>
        <v>46128</v>
      </c>
      <c r="N10546">
        <f>IF(M10546="","",'Master Barang'!A40)</f>
        <v>0</v>
      </c>
      <c r="O10546">
        <f>IF(N10546="","",'Master Barang'!B40)</f>
        <v>0</v>
      </c>
      <c r="P10546">
        <f>IF(OR(M10546="",N10546=""),"",SUMIFS('Barang Keluar'!$E:$E,'Barang Keluar'!$A:$A,M10546,'Barang Keluar'!$C:$C,N10546))</f>
        <v>0</v>
      </c>
    </row>
    <row r="10547" spans="13:16">
      <c r="M10547" s="49">
        <f>IF($A$4+105&gt;$B$4,"",$A$4+105)</f>
        <v>46128</v>
      </c>
      <c r="N10547">
        <f>IF(M10547="","",'Master Barang'!A41)</f>
        <v>0</v>
      </c>
      <c r="O10547">
        <f>IF(N10547="","",'Master Barang'!B41)</f>
        <v>0</v>
      </c>
      <c r="P10547">
        <f>IF(OR(M10547="",N10547=""),"",SUMIFS('Barang Keluar'!$E:$E,'Barang Keluar'!$A:$A,M10547,'Barang Keluar'!$C:$C,N10547))</f>
        <v>0</v>
      </c>
    </row>
    <row r="10548" spans="13:16">
      <c r="M10548" s="49">
        <f>IF($A$4+105&gt;$B$4,"",$A$4+105)</f>
        <v>46128</v>
      </c>
      <c r="N10548">
        <f>IF(M10548="","",'Master Barang'!A42)</f>
        <v>0</v>
      </c>
      <c r="O10548">
        <f>IF(N10548="","",'Master Barang'!B42)</f>
        <v>0</v>
      </c>
      <c r="P10548">
        <f>IF(OR(M10548="",N10548=""),"",SUMIFS('Barang Keluar'!$E:$E,'Barang Keluar'!$A:$A,M10548,'Barang Keluar'!$C:$C,N10548))</f>
        <v>0</v>
      </c>
    </row>
    <row r="10549" spans="13:16">
      <c r="M10549" s="49">
        <f>IF($A$4+105&gt;$B$4,"",$A$4+105)</f>
        <v>46128</v>
      </c>
      <c r="N10549">
        <f>IF(M10549="","",'Master Barang'!A43)</f>
        <v>0</v>
      </c>
      <c r="O10549">
        <f>IF(N10549="","",'Master Barang'!B43)</f>
        <v>0</v>
      </c>
      <c r="P10549">
        <f>IF(OR(M10549="",N10549=""),"",SUMIFS('Barang Keluar'!$E:$E,'Barang Keluar'!$A:$A,M10549,'Barang Keluar'!$C:$C,N10549))</f>
        <v>0</v>
      </c>
    </row>
    <row r="10550" spans="13:16">
      <c r="M10550" s="49">
        <f>IF($A$4+105&gt;$B$4,"",$A$4+105)</f>
        <v>46128</v>
      </c>
      <c r="N10550">
        <f>IF(M10550="","",'Master Barang'!A44)</f>
        <v>0</v>
      </c>
      <c r="O10550">
        <f>IF(N10550="","",'Master Barang'!B44)</f>
        <v>0</v>
      </c>
      <c r="P10550">
        <f>IF(OR(M10550="",N10550=""),"",SUMIFS('Barang Keluar'!$E:$E,'Barang Keluar'!$A:$A,M10550,'Barang Keluar'!$C:$C,N10550))</f>
        <v>0</v>
      </c>
    </row>
    <row r="10551" spans="13:16">
      <c r="M10551" s="49">
        <f>IF($A$4+105&gt;$B$4,"",$A$4+105)</f>
        <v>46128</v>
      </c>
      <c r="N10551">
        <f>IF(M10551="","",'Master Barang'!A45)</f>
        <v>0</v>
      </c>
      <c r="O10551">
        <f>IF(N10551="","",'Master Barang'!B45)</f>
        <v>0</v>
      </c>
      <c r="P10551">
        <f>IF(OR(M10551="",N10551=""),"",SUMIFS('Barang Keluar'!$E:$E,'Barang Keluar'!$A:$A,M10551,'Barang Keluar'!$C:$C,N10551))</f>
        <v>0</v>
      </c>
    </row>
    <row r="10552" spans="13:16">
      <c r="M10552" s="49">
        <f>IF($A$4+105&gt;$B$4,"",$A$4+105)</f>
        <v>46128</v>
      </c>
      <c r="N10552">
        <f>IF(M10552="","",'Master Barang'!A46)</f>
        <v>0</v>
      </c>
      <c r="O10552">
        <f>IF(N10552="","",'Master Barang'!B46)</f>
        <v>0</v>
      </c>
      <c r="P10552">
        <f>IF(OR(M10552="",N10552=""),"",SUMIFS('Barang Keluar'!$E:$E,'Barang Keluar'!$A:$A,M10552,'Barang Keluar'!$C:$C,N10552))</f>
        <v>0</v>
      </c>
    </row>
    <row r="10553" spans="13:16">
      <c r="M10553" s="49">
        <f>IF($A$4+105&gt;$B$4,"",$A$4+105)</f>
        <v>46128</v>
      </c>
      <c r="N10553">
        <f>IF(M10553="","",'Master Barang'!A47)</f>
        <v>0</v>
      </c>
      <c r="O10553">
        <f>IF(N10553="","",'Master Barang'!B47)</f>
        <v>0</v>
      </c>
      <c r="P10553">
        <f>IF(OR(M10553="",N10553=""),"",SUMIFS('Barang Keluar'!$E:$E,'Barang Keluar'!$A:$A,M10553,'Barang Keluar'!$C:$C,N10553))</f>
        <v>0</v>
      </c>
    </row>
    <row r="10554" spans="13:16">
      <c r="M10554" s="49">
        <f>IF($A$4+105&gt;$B$4,"",$A$4+105)</f>
        <v>46128</v>
      </c>
      <c r="N10554">
        <f>IF(M10554="","",'Master Barang'!A48)</f>
        <v>0</v>
      </c>
      <c r="O10554">
        <f>IF(N10554="","",'Master Barang'!B48)</f>
        <v>0</v>
      </c>
      <c r="P10554">
        <f>IF(OR(M10554="",N10554=""),"",SUMIFS('Barang Keluar'!$E:$E,'Barang Keluar'!$A:$A,M10554,'Barang Keluar'!$C:$C,N10554))</f>
        <v>0</v>
      </c>
    </row>
    <row r="10555" spans="13:16">
      <c r="M10555" s="49">
        <f>IF($A$4+105&gt;$B$4,"",$A$4+105)</f>
        <v>46128</v>
      </c>
      <c r="N10555">
        <f>IF(M10555="","",'Master Barang'!A49)</f>
        <v>0</v>
      </c>
      <c r="O10555">
        <f>IF(N10555="","",'Master Barang'!B49)</f>
        <v>0</v>
      </c>
      <c r="P10555">
        <f>IF(OR(M10555="",N10555=""),"",SUMIFS('Barang Keluar'!$E:$E,'Barang Keluar'!$A:$A,M10555,'Barang Keluar'!$C:$C,N10555))</f>
        <v>0</v>
      </c>
    </row>
    <row r="10556" spans="13:16">
      <c r="M10556" s="49">
        <f>IF($A$4+105&gt;$B$4,"",$A$4+105)</f>
        <v>46128</v>
      </c>
      <c r="N10556">
        <f>IF(M10556="","",'Master Barang'!A50)</f>
        <v>0</v>
      </c>
      <c r="O10556">
        <f>IF(N10556="","",'Master Barang'!B50)</f>
        <v>0</v>
      </c>
      <c r="P10556">
        <f>IF(OR(M10556="",N10556=""),"",SUMIFS('Barang Keluar'!$E:$E,'Barang Keluar'!$A:$A,M10556,'Barang Keluar'!$C:$C,N10556))</f>
        <v>0</v>
      </c>
    </row>
    <row r="10557" spans="13:16">
      <c r="M10557" s="49">
        <f>IF($A$4+105&gt;$B$4,"",$A$4+105)</f>
        <v>46128</v>
      </c>
      <c r="N10557">
        <f>IF(M10557="","",'Master Barang'!A51)</f>
        <v>0</v>
      </c>
      <c r="O10557">
        <f>IF(N10557="","",'Master Barang'!B51)</f>
        <v>0</v>
      </c>
      <c r="P10557">
        <f>IF(OR(M10557="",N10557=""),"",SUMIFS('Barang Keluar'!$E:$E,'Barang Keluar'!$A:$A,M10557,'Barang Keluar'!$C:$C,N10557))</f>
        <v>0</v>
      </c>
    </row>
    <row r="10558" spans="13:16">
      <c r="M10558" s="49">
        <f>IF($A$4+105&gt;$B$4,"",$A$4+105)</f>
        <v>46128</v>
      </c>
      <c r="N10558">
        <f>IF(M10558="","",'Master Barang'!A52)</f>
        <v>0</v>
      </c>
      <c r="O10558">
        <f>IF(N10558="","",'Master Barang'!B52)</f>
        <v>0</v>
      </c>
      <c r="P10558">
        <f>IF(OR(M10558="",N10558=""),"",SUMIFS('Barang Keluar'!$E:$E,'Barang Keluar'!$A:$A,M10558,'Barang Keluar'!$C:$C,N10558))</f>
        <v>0</v>
      </c>
    </row>
    <row r="10559" spans="13:16">
      <c r="M10559" s="49">
        <f>IF($A$4+105&gt;$B$4,"",$A$4+105)</f>
        <v>46128</v>
      </c>
      <c r="N10559">
        <f>IF(M10559="","",'Master Barang'!A53)</f>
        <v>0</v>
      </c>
      <c r="O10559">
        <f>IF(N10559="","",'Master Barang'!B53)</f>
        <v>0</v>
      </c>
      <c r="P10559">
        <f>IF(OR(M10559="",N10559=""),"",SUMIFS('Barang Keluar'!$E:$E,'Barang Keluar'!$A:$A,M10559,'Barang Keluar'!$C:$C,N10559))</f>
        <v>0</v>
      </c>
    </row>
    <row r="10560" spans="13:16">
      <c r="M10560" s="49">
        <f>IF($A$4+105&gt;$B$4,"",$A$4+105)</f>
        <v>46128</v>
      </c>
      <c r="N10560">
        <f>IF(M10560="","",'Master Barang'!A54)</f>
        <v>0</v>
      </c>
      <c r="O10560">
        <f>IF(N10560="","",'Master Barang'!B54)</f>
        <v>0</v>
      </c>
      <c r="P10560">
        <f>IF(OR(M10560="",N10560=""),"",SUMIFS('Barang Keluar'!$E:$E,'Barang Keluar'!$A:$A,M10560,'Barang Keluar'!$C:$C,N10560))</f>
        <v>0</v>
      </c>
    </row>
    <row r="10561" spans="13:16">
      <c r="M10561" s="49">
        <f>IF($A$4+105&gt;$B$4,"",$A$4+105)</f>
        <v>46128</v>
      </c>
      <c r="N10561">
        <f>IF(M10561="","",'Master Barang'!A55)</f>
        <v>0</v>
      </c>
      <c r="O10561">
        <f>IF(N10561="","",'Master Barang'!B55)</f>
        <v>0</v>
      </c>
      <c r="P10561">
        <f>IF(OR(M10561="",N10561=""),"",SUMIFS('Barang Keluar'!$E:$E,'Barang Keluar'!$A:$A,M10561,'Barang Keluar'!$C:$C,N10561))</f>
        <v>0</v>
      </c>
    </row>
    <row r="10562" spans="13:16">
      <c r="M10562" s="49">
        <f>IF($A$4+105&gt;$B$4,"",$A$4+105)</f>
        <v>46128</v>
      </c>
      <c r="N10562">
        <f>IF(M10562="","",'Master Barang'!A56)</f>
        <v>0</v>
      </c>
      <c r="O10562">
        <f>IF(N10562="","",'Master Barang'!B56)</f>
        <v>0</v>
      </c>
      <c r="P10562">
        <f>IF(OR(M10562="",N10562=""),"",SUMIFS('Barang Keluar'!$E:$E,'Barang Keluar'!$A:$A,M10562,'Barang Keluar'!$C:$C,N10562))</f>
        <v>0</v>
      </c>
    </row>
    <row r="10563" spans="13:16">
      <c r="M10563" s="49">
        <f>IF($A$4+105&gt;$B$4,"",$A$4+105)</f>
        <v>46128</v>
      </c>
      <c r="N10563">
        <f>IF(M10563="","",'Master Barang'!A57)</f>
        <v>0</v>
      </c>
      <c r="O10563">
        <f>IF(N10563="","",'Master Barang'!B57)</f>
        <v>0</v>
      </c>
      <c r="P10563">
        <f>IF(OR(M10563="",N10563=""),"",SUMIFS('Barang Keluar'!$E:$E,'Barang Keluar'!$A:$A,M10563,'Barang Keluar'!$C:$C,N10563))</f>
        <v>0</v>
      </c>
    </row>
    <row r="10564" spans="13:16">
      <c r="M10564" s="49">
        <f>IF($A$4+105&gt;$B$4,"",$A$4+105)</f>
        <v>46128</v>
      </c>
      <c r="N10564">
        <f>IF(M10564="","",'Master Barang'!A58)</f>
        <v>0</v>
      </c>
      <c r="O10564">
        <f>IF(N10564="","",'Master Barang'!B58)</f>
        <v>0</v>
      </c>
      <c r="P10564">
        <f>IF(OR(M10564="",N10564=""),"",SUMIFS('Barang Keluar'!$E:$E,'Barang Keluar'!$A:$A,M10564,'Barang Keluar'!$C:$C,N10564))</f>
        <v>0</v>
      </c>
    </row>
    <row r="10565" spans="13:16">
      <c r="M10565" s="49">
        <f>IF($A$4+105&gt;$B$4,"",$A$4+105)</f>
        <v>46128</v>
      </c>
      <c r="N10565">
        <f>IF(M10565="","",'Master Barang'!A59)</f>
        <v>0</v>
      </c>
      <c r="O10565">
        <f>IF(N10565="","",'Master Barang'!B59)</f>
        <v>0</v>
      </c>
      <c r="P10565">
        <f>IF(OR(M10565="",N10565=""),"",SUMIFS('Barang Keluar'!$E:$E,'Barang Keluar'!$A:$A,M10565,'Barang Keluar'!$C:$C,N10565))</f>
        <v>0</v>
      </c>
    </row>
    <row r="10566" spans="13:16">
      <c r="M10566" s="49">
        <f>IF($A$4+105&gt;$B$4,"",$A$4+105)</f>
        <v>46128</v>
      </c>
      <c r="N10566">
        <f>IF(M10566="","",'Master Barang'!A60)</f>
        <v>0</v>
      </c>
      <c r="O10566">
        <f>IF(N10566="","",'Master Barang'!B60)</f>
        <v>0</v>
      </c>
      <c r="P10566">
        <f>IF(OR(M10566="",N10566=""),"",SUMIFS('Barang Keluar'!$E:$E,'Barang Keluar'!$A:$A,M10566,'Barang Keluar'!$C:$C,N10566))</f>
        <v>0</v>
      </c>
    </row>
    <row r="10567" spans="13:16">
      <c r="M10567" s="49">
        <f>IF($A$4+105&gt;$B$4,"",$A$4+105)</f>
        <v>46128</v>
      </c>
      <c r="N10567">
        <f>IF(M10567="","",'Master Barang'!A61)</f>
        <v>0</v>
      </c>
      <c r="O10567">
        <f>IF(N10567="","",'Master Barang'!B61)</f>
        <v>0</v>
      </c>
      <c r="P10567">
        <f>IF(OR(M10567="",N10567=""),"",SUMIFS('Barang Keluar'!$E:$E,'Barang Keluar'!$A:$A,M10567,'Barang Keluar'!$C:$C,N10567))</f>
        <v>0</v>
      </c>
    </row>
    <row r="10568" spans="13:16">
      <c r="M10568" s="49">
        <f>IF($A$4+105&gt;$B$4,"",$A$4+105)</f>
        <v>46128</v>
      </c>
      <c r="N10568">
        <f>IF(M10568="","",'Master Barang'!A62)</f>
        <v>0</v>
      </c>
      <c r="O10568">
        <f>IF(N10568="","",'Master Barang'!B62)</f>
        <v>0</v>
      </c>
      <c r="P10568">
        <f>IF(OR(M10568="",N10568=""),"",SUMIFS('Barang Keluar'!$E:$E,'Barang Keluar'!$A:$A,M10568,'Barang Keluar'!$C:$C,N10568))</f>
        <v>0</v>
      </c>
    </row>
    <row r="10569" spans="13:16">
      <c r="M10569" s="49">
        <f>IF($A$4+105&gt;$B$4,"",$A$4+105)</f>
        <v>46128</v>
      </c>
      <c r="N10569">
        <f>IF(M10569="","",'Master Barang'!A63)</f>
        <v>0</v>
      </c>
      <c r="O10569">
        <f>IF(N10569="","",'Master Barang'!B63)</f>
        <v>0</v>
      </c>
      <c r="P10569">
        <f>IF(OR(M10569="",N10569=""),"",SUMIFS('Barang Keluar'!$E:$E,'Barang Keluar'!$A:$A,M10569,'Barang Keluar'!$C:$C,N10569))</f>
        <v>0</v>
      </c>
    </row>
    <row r="10570" spans="13:16">
      <c r="M10570" s="49">
        <f>IF($A$4+105&gt;$B$4,"",$A$4+105)</f>
        <v>46128</v>
      </c>
      <c r="N10570">
        <f>IF(M10570="","",'Master Barang'!A64)</f>
        <v>0</v>
      </c>
      <c r="O10570">
        <f>IF(N10570="","",'Master Barang'!B64)</f>
        <v>0</v>
      </c>
      <c r="P10570">
        <f>IF(OR(M10570="",N10570=""),"",SUMIFS('Barang Keluar'!$E:$E,'Barang Keluar'!$A:$A,M10570,'Barang Keluar'!$C:$C,N10570))</f>
        <v>0</v>
      </c>
    </row>
    <row r="10571" spans="13:16">
      <c r="M10571" s="49">
        <f>IF($A$4+105&gt;$B$4,"",$A$4+105)</f>
        <v>46128</v>
      </c>
      <c r="N10571">
        <f>IF(M10571="","",'Master Barang'!A65)</f>
        <v>0</v>
      </c>
      <c r="O10571">
        <f>IF(N10571="","",'Master Barang'!B65)</f>
        <v>0</v>
      </c>
      <c r="P10571">
        <f>IF(OR(M10571="",N10571=""),"",SUMIFS('Barang Keluar'!$E:$E,'Barang Keluar'!$A:$A,M10571,'Barang Keluar'!$C:$C,N10571))</f>
        <v>0</v>
      </c>
    </row>
    <row r="10572" spans="13:16">
      <c r="M10572" s="49">
        <f>IF($A$4+105&gt;$B$4,"",$A$4+105)</f>
        <v>46128</v>
      </c>
      <c r="N10572">
        <f>IF(M10572="","",'Master Barang'!A66)</f>
        <v>0</v>
      </c>
      <c r="O10572">
        <f>IF(N10572="","",'Master Barang'!B66)</f>
        <v>0</v>
      </c>
      <c r="P10572">
        <f>IF(OR(M10572="",N10572=""),"",SUMIFS('Barang Keluar'!$E:$E,'Barang Keluar'!$A:$A,M10572,'Barang Keluar'!$C:$C,N10572))</f>
        <v>0</v>
      </c>
    </row>
    <row r="10573" spans="13:16">
      <c r="M10573" s="49">
        <f>IF($A$4+105&gt;$B$4,"",$A$4+105)</f>
        <v>46128</v>
      </c>
      <c r="N10573">
        <f>IF(M10573="","",'Master Barang'!A67)</f>
        <v>0</v>
      </c>
      <c r="O10573">
        <f>IF(N10573="","",'Master Barang'!B67)</f>
        <v>0</v>
      </c>
      <c r="P10573">
        <f>IF(OR(M10573="",N10573=""),"",SUMIFS('Barang Keluar'!$E:$E,'Barang Keluar'!$A:$A,M10573,'Barang Keluar'!$C:$C,N10573))</f>
        <v>0</v>
      </c>
    </row>
    <row r="10574" spans="13:16">
      <c r="M10574" s="49">
        <f>IF($A$4+105&gt;$B$4,"",$A$4+105)</f>
        <v>46128</v>
      </c>
      <c r="N10574">
        <f>IF(M10574="","",'Master Barang'!A68)</f>
        <v>0</v>
      </c>
      <c r="O10574">
        <f>IF(N10574="","",'Master Barang'!B68)</f>
        <v>0</v>
      </c>
      <c r="P10574">
        <f>IF(OR(M10574="",N10574=""),"",SUMIFS('Barang Keluar'!$E:$E,'Barang Keluar'!$A:$A,M10574,'Barang Keluar'!$C:$C,N10574))</f>
        <v>0</v>
      </c>
    </row>
    <row r="10575" spans="13:16">
      <c r="M10575" s="49">
        <f>IF($A$4+105&gt;$B$4,"",$A$4+105)</f>
        <v>46128</v>
      </c>
      <c r="N10575">
        <f>IF(M10575="","",'Master Barang'!A69)</f>
        <v>0</v>
      </c>
      <c r="O10575">
        <f>IF(N10575="","",'Master Barang'!B69)</f>
        <v>0</v>
      </c>
      <c r="P10575">
        <f>IF(OR(M10575="",N10575=""),"",SUMIFS('Barang Keluar'!$E:$E,'Barang Keluar'!$A:$A,M10575,'Barang Keluar'!$C:$C,N10575))</f>
        <v>0</v>
      </c>
    </row>
    <row r="10576" spans="13:16">
      <c r="M10576" s="49">
        <f>IF($A$4+105&gt;$B$4,"",$A$4+105)</f>
        <v>46128</v>
      </c>
      <c r="N10576">
        <f>IF(M10576="","",'Master Barang'!A70)</f>
        <v>0</v>
      </c>
      <c r="O10576">
        <f>IF(N10576="","",'Master Barang'!B70)</f>
        <v>0</v>
      </c>
      <c r="P10576">
        <f>IF(OR(M10576="",N10576=""),"",SUMIFS('Barang Keluar'!$E:$E,'Barang Keluar'!$A:$A,M10576,'Barang Keluar'!$C:$C,N10576))</f>
        <v>0</v>
      </c>
    </row>
    <row r="10577" spans="13:16">
      <c r="M10577" s="49">
        <f>IF($A$4+105&gt;$B$4,"",$A$4+105)</f>
        <v>46128</v>
      </c>
      <c r="N10577">
        <f>IF(M10577="","",'Master Barang'!A71)</f>
        <v>0</v>
      </c>
      <c r="O10577">
        <f>IF(N10577="","",'Master Barang'!B71)</f>
        <v>0</v>
      </c>
      <c r="P10577">
        <f>IF(OR(M10577="",N10577=""),"",SUMIFS('Barang Keluar'!$E:$E,'Barang Keluar'!$A:$A,M10577,'Barang Keluar'!$C:$C,N10577))</f>
        <v>0</v>
      </c>
    </row>
    <row r="10578" spans="13:16">
      <c r="M10578" s="49">
        <f>IF($A$4+105&gt;$B$4,"",$A$4+105)</f>
        <v>46128</v>
      </c>
      <c r="N10578">
        <f>IF(M10578="","",'Master Barang'!A72)</f>
        <v>0</v>
      </c>
      <c r="O10578">
        <f>IF(N10578="","",'Master Barang'!B72)</f>
        <v>0</v>
      </c>
      <c r="P10578">
        <f>IF(OR(M10578="",N10578=""),"",SUMIFS('Barang Keluar'!$E:$E,'Barang Keluar'!$A:$A,M10578,'Barang Keluar'!$C:$C,N10578))</f>
        <v>0</v>
      </c>
    </row>
    <row r="10579" spans="13:16">
      <c r="M10579" s="49">
        <f>IF($A$4+105&gt;$B$4,"",$A$4+105)</f>
        <v>46128</v>
      </c>
      <c r="N10579">
        <f>IF(M10579="","",'Master Barang'!A73)</f>
        <v>0</v>
      </c>
      <c r="O10579">
        <f>IF(N10579="","",'Master Barang'!B73)</f>
        <v>0</v>
      </c>
      <c r="P10579">
        <f>IF(OR(M10579="",N10579=""),"",SUMIFS('Barang Keluar'!$E:$E,'Barang Keluar'!$A:$A,M10579,'Barang Keluar'!$C:$C,N10579))</f>
        <v>0</v>
      </c>
    </row>
    <row r="10580" spans="13:16">
      <c r="M10580" s="49">
        <f>IF($A$4+105&gt;$B$4,"",$A$4+105)</f>
        <v>46128</v>
      </c>
      <c r="N10580">
        <f>IF(M10580="","",'Master Barang'!A74)</f>
        <v>0</v>
      </c>
      <c r="O10580">
        <f>IF(N10580="","",'Master Barang'!B74)</f>
        <v>0</v>
      </c>
      <c r="P10580">
        <f>IF(OR(M10580="",N10580=""),"",SUMIFS('Barang Keluar'!$E:$E,'Barang Keluar'!$A:$A,M10580,'Barang Keluar'!$C:$C,N10580))</f>
        <v>0</v>
      </c>
    </row>
    <row r="10581" spans="13:16">
      <c r="M10581" s="49">
        <f>IF($A$4+105&gt;$B$4,"",$A$4+105)</f>
        <v>46128</v>
      </c>
      <c r="N10581">
        <f>IF(M10581="","",'Master Barang'!A75)</f>
        <v>0</v>
      </c>
      <c r="O10581">
        <f>IF(N10581="","",'Master Barang'!B75)</f>
        <v>0</v>
      </c>
      <c r="P10581">
        <f>IF(OR(M10581="",N10581=""),"",SUMIFS('Barang Keluar'!$E:$E,'Barang Keluar'!$A:$A,M10581,'Barang Keluar'!$C:$C,N10581))</f>
        <v>0</v>
      </c>
    </row>
    <row r="10582" spans="13:16">
      <c r="M10582" s="49">
        <f>IF($A$4+105&gt;$B$4,"",$A$4+105)</f>
        <v>46128</v>
      </c>
      <c r="N10582">
        <f>IF(M10582="","",'Master Barang'!A76)</f>
        <v>0</v>
      </c>
      <c r="O10582">
        <f>IF(N10582="","",'Master Barang'!B76)</f>
        <v>0</v>
      </c>
      <c r="P10582">
        <f>IF(OR(M10582="",N10582=""),"",SUMIFS('Barang Keluar'!$E:$E,'Barang Keluar'!$A:$A,M10582,'Barang Keluar'!$C:$C,N10582))</f>
        <v>0</v>
      </c>
    </row>
    <row r="10583" spans="13:16">
      <c r="M10583" s="49">
        <f>IF($A$4+105&gt;$B$4,"",$A$4+105)</f>
        <v>46128</v>
      </c>
      <c r="N10583">
        <f>IF(M10583="","",'Master Barang'!A77)</f>
        <v>0</v>
      </c>
      <c r="O10583">
        <f>IF(N10583="","",'Master Barang'!B77)</f>
        <v>0</v>
      </c>
      <c r="P10583">
        <f>IF(OR(M10583="",N10583=""),"",SUMIFS('Barang Keluar'!$E:$E,'Barang Keluar'!$A:$A,M10583,'Barang Keluar'!$C:$C,N10583))</f>
        <v>0</v>
      </c>
    </row>
    <row r="10584" spans="13:16">
      <c r="M10584" s="49">
        <f>IF($A$4+105&gt;$B$4,"",$A$4+105)</f>
        <v>46128</v>
      </c>
      <c r="N10584">
        <f>IF(M10584="","",'Master Barang'!A78)</f>
        <v>0</v>
      </c>
      <c r="O10584">
        <f>IF(N10584="","",'Master Barang'!B78)</f>
        <v>0</v>
      </c>
      <c r="P10584">
        <f>IF(OR(M10584="",N10584=""),"",SUMIFS('Barang Keluar'!$E:$E,'Barang Keluar'!$A:$A,M10584,'Barang Keluar'!$C:$C,N10584))</f>
        <v>0</v>
      </c>
    </row>
    <row r="10585" spans="13:16">
      <c r="M10585" s="49">
        <f>IF($A$4+105&gt;$B$4,"",$A$4+105)</f>
        <v>46128</v>
      </c>
      <c r="N10585">
        <f>IF(M10585="","",'Master Barang'!A79)</f>
        <v>0</v>
      </c>
      <c r="O10585">
        <f>IF(N10585="","",'Master Barang'!B79)</f>
        <v>0</v>
      </c>
      <c r="P10585">
        <f>IF(OR(M10585="",N10585=""),"",SUMIFS('Barang Keluar'!$E:$E,'Barang Keluar'!$A:$A,M10585,'Barang Keluar'!$C:$C,N10585))</f>
        <v>0</v>
      </c>
    </row>
    <row r="10586" spans="13:16">
      <c r="M10586" s="49">
        <f>IF($A$4+105&gt;$B$4,"",$A$4+105)</f>
        <v>46128</v>
      </c>
      <c r="N10586">
        <f>IF(M10586="","",'Master Barang'!A80)</f>
        <v>0</v>
      </c>
      <c r="O10586">
        <f>IF(N10586="","",'Master Barang'!B80)</f>
        <v>0</v>
      </c>
      <c r="P10586">
        <f>IF(OR(M10586="",N10586=""),"",SUMIFS('Barang Keluar'!$E:$E,'Barang Keluar'!$A:$A,M10586,'Barang Keluar'!$C:$C,N10586))</f>
        <v>0</v>
      </c>
    </row>
    <row r="10587" spans="13:16">
      <c r="M10587" s="49">
        <f>IF($A$4+105&gt;$B$4,"",$A$4+105)</f>
        <v>46128</v>
      </c>
      <c r="N10587">
        <f>IF(M10587="","",'Master Barang'!A81)</f>
        <v>0</v>
      </c>
      <c r="O10587">
        <f>IF(N10587="","",'Master Barang'!B81)</f>
        <v>0</v>
      </c>
      <c r="P10587">
        <f>IF(OR(M10587="",N10587=""),"",SUMIFS('Barang Keluar'!$E:$E,'Barang Keluar'!$A:$A,M10587,'Barang Keluar'!$C:$C,N10587))</f>
        <v>0</v>
      </c>
    </row>
    <row r="10588" spans="13:16">
      <c r="M10588" s="49">
        <f>IF($A$4+105&gt;$B$4,"",$A$4+105)</f>
        <v>46128</v>
      </c>
      <c r="N10588">
        <f>IF(M10588="","",'Master Barang'!A82)</f>
        <v>0</v>
      </c>
      <c r="O10588">
        <f>IF(N10588="","",'Master Barang'!B82)</f>
        <v>0</v>
      </c>
      <c r="P10588">
        <f>IF(OR(M10588="",N10588=""),"",SUMIFS('Barang Keluar'!$E:$E,'Barang Keluar'!$A:$A,M10588,'Barang Keluar'!$C:$C,N10588))</f>
        <v>0</v>
      </c>
    </row>
    <row r="10589" spans="13:16">
      <c r="M10589" s="49">
        <f>IF($A$4+105&gt;$B$4,"",$A$4+105)</f>
        <v>46128</v>
      </c>
      <c r="N10589">
        <f>IF(M10589="","",'Master Barang'!A83)</f>
        <v>0</v>
      </c>
      <c r="O10589">
        <f>IF(N10589="","",'Master Barang'!B83)</f>
        <v>0</v>
      </c>
      <c r="P10589">
        <f>IF(OR(M10589="",N10589=""),"",SUMIFS('Barang Keluar'!$E:$E,'Barang Keluar'!$A:$A,M10589,'Barang Keluar'!$C:$C,N10589))</f>
        <v>0</v>
      </c>
    </row>
    <row r="10590" spans="13:16">
      <c r="M10590" s="49">
        <f>IF($A$4+105&gt;$B$4,"",$A$4+105)</f>
        <v>46128</v>
      </c>
      <c r="N10590">
        <f>IF(M10590="","",'Master Barang'!A84)</f>
        <v>0</v>
      </c>
      <c r="O10590">
        <f>IF(N10590="","",'Master Barang'!B84)</f>
        <v>0</v>
      </c>
      <c r="P10590">
        <f>IF(OR(M10590="",N10590=""),"",SUMIFS('Barang Keluar'!$E:$E,'Barang Keluar'!$A:$A,M10590,'Barang Keluar'!$C:$C,N10590))</f>
        <v>0</v>
      </c>
    </row>
    <row r="10591" spans="13:16">
      <c r="M10591" s="49">
        <f>IF($A$4+105&gt;$B$4,"",$A$4+105)</f>
        <v>46128</v>
      </c>
      <c r="N10591">
        <f>IF(M10591="","",'Master Barang'!A85)</f>
        <v>0</v>
      </c>
      <c r="O10591">
        <f>IF(N10591="","",'Master Barang'!B85)</f>
        <v>0</v>
      </c>
      <c r="P10591">
        <f>IF(OR(M10591="",N10591=""),"",SUMIFS('Barang Keluar'!$E:$E,'Barang Keluar'!$A:$A,M10591,'Barang Keluar'!$C:$C,N10591))</f>
        <v>0</v>
      </c>
    </row>
    <row r="10592" spans="13:16">
      <c r="M10592" s="49">
        <f>IF($A$4+105&gt;$B$4,"",$A$4+105)</f>
        <v>46128</v>
      </c>
      <c r="N10592">
        <f>IF(M10592="","",'Master Barang'!A86)</f>
        <v>0</v>
      </c>
      <c r="O10592">
        <f>IF(N10592="","",'Master Barang'!B86)</f>
        <v>0</v>
      </c>
      <c r="P10592">
        <f>IF(OR(M10592="",N10592=""),"",SUMIFS('Barang Keluar'!$E:$E,'Barang Keluar'!$A:$A,M10592,'Barang Keluar'!$C:$C,N10592))</f>
        <v>0</v>
      </c>
    </row>
    <row r="10593" spans="13:16">
      <c r="M10593" s="49">
        <f>IF($A$4+105&gt;$B$4,"",$A$4+105)</f>
        <v>46128</v>
      </c>
      <c r="N10593">
        <f>IF(M10593="","",'Master Barang'!A87)</f>
        <v>0</v>
      </c>
      <c r="O10593">
        <f>IF(N10593="","",'Master Barang'!B87)</f>
        <v>0</v>
      </c>
      <c r="P10593">
        <f>IF(OR(M10593="",N10593=""),"",SUMIFS('Barang Keluar'!$E:$E,'Barang Keluar'!$A:$A,M10593,'Barang Keluar'!$C:$C,N10593))</f>
        <v>0</v>
      </c>
    </row>
    <row r="10594" spans="13:16">
      <c r="M10594" s="49">
        <f>IF($A$4+105&gt;$B$4,"",$A$4+105)</f>
        <v>46128</v>
      </c>
      <c r="N10594">
        <f>IF(M10594="","",'Master Barang'!A88)</f>
        <v>0</v>
      </c>
      <c r="O10594">
        <f>IF(N10594="","",'Master Barang'!B88)</f>
        <v>0</v>
      </c>
      <c r="P10594">
        <f>IF(OR(M10594="",N10594=""),"",SUMIFS('Barang Keluar'!$E:$E,'Barang Keluar'!$A:$A,M10594,'Barang Keluar'!$C:$C,N10594))</f>
        <v>0</v>
      </c>
    </row>
    <row r="10595" spans="13:16">
      <c r="M10595" s="49">
        <f>IF($A$4+105&gt;$B$4,"",$A$4+105)</f>
        <v>46128</v>
      </c>
      <c r="N10595">
        <f>IF(M10595="","",'Master Barang'!A89)</f>
        <v>0</v>
      </c>
      <c r="O10595">
        <f>IF(N10595="","",'Master Barang'!B89)</f>
        <v>0</v>
      </c>
      <c r="P10595">
        <f>IF(OR(M10595="",N10595=""),"",SUMIFS('Barang Keluar'!$E:$E,'Barang Keluar'!$A:$A,M10595,'Barang Keluar'!$C:$C,N10595))</f>
        <v>0</v>
      </c>
    </row>
    <row r="10596" spans="13:16">
      <c r="M10596" s="49">
        <f>IF($A$4+105&gt;$B$4,"",$A$4+105)</f>
        <v>46128</v>
      </c>
      <c r="N10596">
        <f>IF(M10596="","",'Master Barang'!A90)</f>
        <v>0</v>
      </c>
      <c r="O10596">
        <f>IF(N10596="","",'Master Barang'!B90)</f>
        <v>0</v>
      </c>
      <c r="P10596">
        <f>IF(OR(M10596="",N10596=""),"",SUMIFS('Barang Keluar'!$E:$E,'Barang Keluar'!$A:$A,M10596,'Barang Keluar'!$C:$C,N10596))</f>
        <v>0</v>
      </c>
    </row>
    <row r="10597" spans="13:16">
      <c r="M10597" s="49">
        <f>IF($A$4+105&gt;$B$4,"",$A$4+105)</f>
        <v>46128</v>
      </c>
      <c r="N10597">
        <f>IF(M10597="","",'Master Barang'!A91)</f>
        <v>0</v>
      </c>
      <c r="O10597">
        <f>IF(N10597="","",'Master Barang'!B91)</f>
        <v>0</v>
      </c>
      <c r="P10597">
        <f>IF(OR(M10597="",N10597=""),"",SUMIFS('Barang Keluar'!$E:$E,'Barang Keluar'!$A:$A,M10597,'Barang Keluar'!$C:$C,N10597))</f>
        <v>0</v>
      </c>
    </row>
    <row r="10598" spans="13:16">
      <c r="M10598" s="49">
        <f>IF($A$4+105&gt;$B$4,"",$A$4+105)</f>
        <v>46128</v>
      </c>
      <c r="N10598">
        <f>IF(M10598="","",'Master Barang'!A92)</f>
        <v>0</v>
      </c>
      <c r="O10598">
        <f>IF(N10598="","",'Master Barang'!B92)</f>
        <v>0</v>
      </c>
      <c r="P10598">
        <f>IF(OR(M10598="",N10598=""),"",SUMIFS('Barang Keluar'!$E:$E,'Barang Keluar'!$A:$A,M10598,'Barang Keluar'!$C:$C,N10598))</f>
        <v>0</v>
      </c>
    </row>
    <row r="10599" spans="13:16">
      <c r="M10599" s="49">
        <f>IF($A$4+105&gt;$B$4,"",$A$4+105)</f>
        <v>46128</v>
      </c>
      <c r="N10599">
        <f>IF(M10599="","",'Master Barang'!A93)</f>
        <v>0</v>
      </c>
      <c r="O10599">
        <f>IF(N10599="","",'Master Barang'!B93)</f>
        <v>0</v>
      </c>
      <c r="P10599">
        <f>IF(OR(M10599="",N10599=""),"",SUMIFS('Barang Keluar'!$E:$E,'Barang Keluar'!$A:$A,M10599,'Barang Keluar'!$C:$C,N10599))</f>
        <v>0</v>
      </c>
    </row>
    <row r="10600" spans="13:16">
      <c r="M10600" s="49">
        <f>IF($A$4+105&gt;$B$4,"",$A$4+105)</f>
        <v>46128</v>
      </c>
      <c r="N10600">
        <f>IF(M10600="","",'Master Barang'!A94)</f>
        <v>0</v>
      </c>
      <c r="O10600">
        <f>IF(N10600="","",'Master Barang'!B94)</f>
        <v>0</v>
      </c>
      <c r="P10600">
        <f>IF(OR(M10600="",N10600=""),"",SUMIFS('Barang Keluar'!$E:$E,'Barang Keluar'!$A:$A,M10600,'Barang Keluar'!$C:$C,N10600))</f>
        <v>0</v>
      </c>
    </row>
    <row r="10601" spans="13:16">
      <c r="M10601" s="49">
        <f>IF($A$4+105&gt;$B$4,"",$A$4+105)</f>
        <v>46128</v>
      </c>
      <c r="N10601">
        <f>IF(M10601="","",'Master Barang'!A95)</f>
        <v>0</v>
      </c>
      <c r="O10601">
        <f>IF(N10601="","",'Master Barang'!B95)</f>
        <v>0</v>
      </c>
      <c r="P10601">
        <f>IF(OR(M10601="",N10601=""),"",SUMIFS('Barang Keluar'!$E:$E,'Barang Keluar'!$A:$A,M10601,'Barang Keluar'!$C:$C,N10601))</f>
        <v>0</v>
      </c>
    </row>
    <row r="10602" spans="13:16">
      <c r="M10602" s="49">
        <f>IF($A$4+105&gt;$B$4,"",$A$4+105)</f>
        <v>46128</v>
      </c>
      <c r="N10602">
        <f>IF(M10602="","",'Master Barang'!A96)</f>
        <v>0</v>
      </c>
      <c r="O10602">
        <f>IF(N10602="","",'Master Barang'!B96)</f>
        <v>0</v>
      </c>
      <c r="P10602">
        <f>IF(OR(M10602="",N10602=""),"",SUMIFS('Barang Keluar'!$E:$E,'Barang Keluar'!$A:$A,M10602,'Barang Keluar'!$C:$C,N10602))</f>
        <v>0</v>
      </c>
    </row>
    <row r="10603" spans="13:16">
      <c r="M10603" s="49">
        <f>IF($A$4+105&gt;$B$4,"",$A$4+105)</f>
        <v>46128</v>
      </c>
      <c r="N10603">
        <f>IF(M10603="","",'Master Barang'!A97)</f>
        <v>0</v>
      </c>
      <c r="O10603">
        <f>IF(N10603="","",'Master Barang'!B97)</f>
        <v>0</v>
      </c>
      <c r="P10603">
        <f>IF(OR(M10603="",N10603=""),"",SUMIFS('Barang Keluar'!$E:$E,'Barang Keluar'!$A:$A,M10603,'Barang Keluar'!$C:$C,N10603))</f>
        <v>0</v>
      </c>
    </row>
    <row r="10604" spans="13:16">
      <c r="M10604" s="49">
        <f>IF($A$4+105&gt;$B$4,"",$A$4+105)</f>
        <v>46128</v>
      </c>
      <c r="N10604">
        <f>IF(M10604="","",'Master Barang'!A98)</f>
        <v>0</v>
      </c>
      <c r="O10604">
        <f>IF(N10604="","",'Master Barang'!B98)</f>
        <v>0</v>
      </c>
      <c r="P10604">
        <f>IF(OR(M10604="",N10604=""),"",SUMIFS('Barang Keluar'!$E:$E,'Barang Keluar'!$A:$A,M10604,'Barang Keluar'!$C:$C,N10604))</f>
        <v>0</v>
      </c>
    </row>
    <row r="10605" spans="13:16">
      <c r="M10605" s="49">
        <f>IF($A$4+105&gt;$B$4,"",$A$4+105)</f>
        <v>46128</v>
      </c>
      <c r="N10605">
        <f>IF(M10605="","",'Master Barang'!A99)</f>
        <v>0</v>
      </c>
      <c r="O10605">
        <f>IF(N10605="","",'Master Barang'!B99)</f>
        <v>0</v>
      </c>
      <c r="P10605">
        <f>IF(OR(M10605="",N10605=""),"",SUMIFS('Barang Keluar'!$E:$E,'Barang Keluar'!$A:$A,M10605,'Barang Keluar'!$C:$C,N10605))</f>
        <v>0</v>
      </c>
    </row>
    <row r="10606" spans="13:16">
      <c r="M10606" s="49">
        <f>IF($A$4+105&gt;$B$4,"",$A$4+105)</f>
        <v>46128</v>
      </c>
      <c r="N10606">
        <f>IF(M10606="","",'Master Barang'!A100)</f>
        <v>0</v>
      </c>
      <c r="O10606">
        <f>IF(N10606="","",'Master Barang'!B100)</f>
        <v>0</v>
      </c>
      <c r="P10606">
        <f>IF(OR(M10606="",N10606=""),"",SUMIFS('Barang Keluar'!$E:$E,'Barang Keluar'!$A:$A,M10606,'Barang Keluar'!$C:$C,N10606))</f>
        <v>0</v>
      </c>
    </row>
    <row r="10607" spans="13:16">
      <c r="M10607" s="49">
        <f>IF($A$4+105&gt;$B$4,"",$A$4+105)</f>
        <v>46128</v>
      </c>
      <c r="N10607">
        <f>IF(M10607="","",'Master Barang'!A101)</f>
        <v>0</v>
      </c>
      <c r="O10607">
        <f>IF(N10607="","",'Master Barang'!B101)</f>
        <v>0</v>
      </c>
      <c r="P10607">
        <f>IF(OR(M10607="",N10607=""),"",SUMIFS('Barang Keluar'!$E:$E,'Barang Keluar'!$A:$A,M10607,'Barang Keluar'!$C:$C,N10607))</f>
        <v>0</v>
      </c>
    </row>
    <row r="10608" spans="13:16">
      <c r="M10608" s="49">
        <f>IF($A$4+106&gt;$B$4,"",$A$4+106)</f>
        <v>46129</v>
      </c>
      <c r="N10608" t="str">
        <f>IF(M10608="","",'Master Barang'!A2)</f>
        <v>PRL-001</v>
      </c>
      <c r="O10608" t="str">
        <f>IF(N10608="","",'Master Barang'!B2)</f>
        <v>natura desinfectant food grade 5l</v>
      </c>
      <c r="P10608">
        <f>IF(OR(M10608="",N10608=""),"",SUMIFS('Barang Keluar'!$E:$E,'Barang Keluar'!$A:$A,M10608,'Barang Keluar'!$C:$C,N10608))</f>
        <v>0</v>
      </c>
    </row>
    <row r="10609" spans="13:16">
      <c r="M10609" s="49">
        <f>IF($A$4+106&gt;$B$4,"",$A$4+106)</f>
        <v>46129</v>
      </c>
      <c r="N10609" t="str">
        <f>IF(M10609="","",'Master Barang'!A3)</f>
        <v>PRL-002</v>
      </c>
      <c r="O10609" t="str">
        <f>IF(N10609="","",'Master Barang'!B3)</f>
        <v>sunlight cairan pencuci piring 5l</v>
      </c>
      <c r="P10609">
        <f>IF(OR(M10609="",N10609=""),"",SUMIFS('Barang Keluar'!$E:$E,'Barang Keluar'!$A:$A,M10609,'Barang Keluar'!$C:$C,N10609))</f>
        <v>0</v>
      </c>
    </row>
    <row r="10610" spans="13:16">
      <c r="M10610" s="49">
        <f>IF($A$4+106&gt;$B$4,"",$A$4+106)</f>
        <v>46129</v>
      </c>
      <c r="N10610" t="str">
        <f>IF(M10610="","",'Master Barang'!A4)</f>
        <v>PRL-003</v>
      </c>
      <c r="O10610" t="str">
        <f>IF(N10610="","",'Master Barang'!B4)</f>
        <v>oixs cleaner 1l</v>
      </c>
      <c r="P10610">
        <f>IF(OR(M10610="",N10610=""),"",SUMIFS('Barang Keluar'!$E:$E,'Barang Keluar'!$A:$A,M10610,'Barang Keluar'!$C:$C,N10610))</f>
        <v>0</v>
      </c>
    </row>
    <row r="10611" spans="13:16">
      <c r="M10611" s="49">
        <f>IF($A$4+106&gt;$B$4,"",$A$4+106)</f>
        <v>46129</v>
      </c>
      <c r="N10611" t="str">
        <f>IF(M10611="","",'Master Barang'!A5)</f>
        <v>PRL-004</v>
      </c>
      <c r="O10611" t="str">
        <f>IF(N10611="","",'Master Barang'!B5)</f>
        <v>be clean tissue serbaguna</v>
      </c>
      <c r="P10611">
        <f>IF(OR(M10611="",N10611=""),"",SUMIFS('Barang Keluar'!$E:$E,'Barang Keluar'!$A:$A,M10611,'Barang Keluar'!$C:$C,N10611))</f>
        <v>0</v>
      </c>
    </row>
    <row r="10612" spans="13:16">
      <c r="M10612" s="49">
        <f>IF($A$4+106&gt;$B$4,"",$A$4+106)</f>
        <v>46129</v>
      </c>
      <c r="N10612" t="str">
        <f>IF(M10612="","",'Master Barang'!A6)</f>
        <v>PRL-005</v>
      </c>
      <c r="O10612" t="str">
        <f>IF(N10612="","",'Master Barang'!B6)</f>
        <v>spons cuci hijau</v>
      </c>
      <c r="P10612">
        <f>IF(OR(M10612="",N10612=""),"",SUMIFS('Barang Keluar'!$E:$E,'Barang Keluar'!$A:$A,M10612,'Barang Keluar'!$C:$C,N10612))</f>
        <v>0</v>
      </c>
    </row>
    <row r="10613" spans="13:16">
      <c r="M10613" s="49">
        <f>IF($A$4+106&gt;$B$4,"",$A$4+106)</f>
        <v>46129</v>
      </c>
      <c r="N10613" t="str">
        <f>IF(M10613="","",'Master Barang'!A7)</f>
        <v>PRL-006</v>
      </c>
      <c r="O10613" t="str">
        <f>IF(N10613="","",'Master Barang'!B7)</f>
        <v>sabut cuci stainless</v>
      </c>
      <c r="P10613">
        <f>IF(OR(M10613="",N10613=""),"",SUMIFS('Barang Keluar'!$E:$E,'Barang Keluar'!$A:$A,M10613,'Barang Keluar'!$C:$C,N10613))</f>
        <v>0</v>
      </c>
    </row>
    <row r="10614" spans="13:16">
      <c r="M10614" s="49">
        <f>IF($A$4+106&gt;$B$4,"",$A$4+106)</f>
        <v>46129</v>
      </c>
      <c r="N10614" t="str">
        <f>IF(M10614="","",'Master Barang'!A8)</f>
        <v>PRL-007</v>
      </c>
      <c r="O10614" t="str">
        <f>IF(N10614="","",'Master Barang'!B8)</f>
        <v>plastik kresek besar merah 50pc</v>
      </c>
      <c r="P10614">
        <f>IF(OR(M10614="",N10614=""),"",SUMIFS('Barang Keluar'!$E:$E,'Barang Keluar'!$A:$A,M10614,'Barang Keluar'!$C:$C,N10614))</f>
        <v>0</v>
      </c>
    </row>
    <row r="10615" spans="13:16">
      <c r="M10615" s="49">
        <f>IF($A$4+106&gt;$B$4,"",$A$4+106)</f>
        <v>46129</v>
      </c>
      <c r="N10615" t="str">
        <f>IF(M10615="","",'Master Barang'!A9)</f>
        <v>PRL-008</v>
      </c>
      <c r="O10615" t="str">
        <f>IF(N10615="","",'Master Barang'!B9)</f>
        <v>lap besar</v>
      </c>
      <c r="P10615">
        <f>IF(OR(M10615="",N10615=""),"",SUMIFS('Barang Keluar'!$E:$E,'Barang Keluar'!$A:$A,M10615,'Barang Keluar'!$C:$C,N10615))</f>
        <v>0</v>
      </c>
    </row>
    <row r="10616" spans="13:16">
      <c r="M10616" s="49">
        <f>IF($A$4+106&gt;$B$4,"",$A$4+106)</f>
        <v>46129</v>
      </c>
      <c r="N10616" t="str">
        <f>IF(M10616="","",'Master Barang'!A10)</f>
        <v>PRL-009</v>
      </c>
      <c r="O10616" t="str">
        <f>IF(N10616="","",'Master Barang'!B10)</f>
        <v>lap microfiber</v>
      </c>
      <c r="P10616">
        <f>IF(OR(M10616="",N10616=""),"",SUMIFS('Barang Keluar'!$E:$E,'Barang Keluar'!$A:$A,M10616,'Barang Keluar'!$C:$C,N10616))</f>
        <v>0</v>
      </c>
    </row>
    <row r="10617" spans="13:16">
      <c r="M10617" s="49">
        <f>IF($A$4+106&gt;$B$4,"",$A$4+106)</f>
        <v>46129</v>
      </c>
      <c r="N10617" t="str">
        <f>IF(M10617="","",'Master Barang'!A11)</f>
        <v>PRL-010</v>
      </c>
      <c r="O10617" t="str">
        <f>IF(N10617="","",'Master Barang'!B11)</f>
        <v>lap kecil</v>
      </c>
      <c r="P10617">
        <f>IF(OR(M10617="",N10617=""),"",SUMIFS('Barang Keluar'!$E:$E,'Barang Keluar'!$A:$A,M10617,'Barang Keluar'!$C:$C,N10617))</f>
        <v>0</v>
      </c>
    </row>
    <row r="10618" spans="13:16">
      <c r="M10618" s="49">
        <f>IF($A$4+106&gt;$B$4,"",$A$4+106)</f>
        <v>46129</v>
      </c>
      <c r="N10618" t="str">
        <f>IF(M10618="","",'Master Barang'!A12)</f>
        <v>PRL-011</v>
      </c>
      <c r="O10618" t="str">
        <f>IF(N10618="","",'Master Barang'!B12)</f>
        <v>kanebo kecil</v>
      </c>
      <c r="P10618">
        <f>IF(OR(M10618="",N10618=""),"",SUMIFS('Barang Keluar'!$E:$E,'Barang Keluar'!$A:$A,M10618,'Barang Keluar'!$C:$C,N10618))</f>
        <v>0</v>
      </c>
    </row>
    <row r="10619" spans="13:16">
      <c r="M10619" s="49">
        <f>IF($A$4+106&gt;$B$4,"",$A$4+106)</f>
        <v>46129</v>
      </c>
      <c r="N10619" t="str">
        <f>IF(M10619="","",'Master Barang'!A13)</f>
        <v>PRL-012</v>
      </c>
      <c r="O10619" t="str">
        <f>IF(N10619="","",'Master Barang'!B13)</f>
        <v>plastik 1/4kg joyoboyo 100 lembar</v>
      </c>
      <c r="P10619">
        <f>IF(OR(M10619="",N10619=""),"",SUMIFS('Barang Keluar'!$E:$E,'Barang Keluar'!$A:$A,M10619,'Barang Keluar'!$C:$C,N10619))</f>
        <v>0</v>
      </c>
    </row>
    <row r="10620" spans="13:16">
      <c r="M10620" s="49">
        <f>IF($A$4+106&gt;$B$4,"",$A$4+106)</f>
        <v>46129</v>
      </c>
      <c r="N10620" t="str">
        <f>IF(M10620="","",'Master Barang'!A14)</f>
        <v>PRL-013</v>
      </c>
      <c r="O10620" t="str">
        <f>IF(N10620="","",'Master Barang'!B14)</f>
        <v>sarung tangan plastik kaka 100 pcs</v>
      </c>
      <c r="P10620">
        <f>IF(OR(M10620="",N10620=""),"",SUMIFS('Barang Keluar'!$E:$E,'Barang Keluar'!$A:$A,M10620,'Barang Keluar'!$C:$C,N10620))</f>
        <v>0</v>
      </c>
    </row>
    <row r="10621" spans="13:16">
      <c r="M10621" s="49">
        <f>IF($A$4+106&gt;$B$4,"",$A$4+106)</f>
        <v>46129</v>
      </c>
      <c r="N10621" t="str">
        <f>IF(M10621="","",'Master Barang'!A15)</f>
        <v>PRL-014</v>
      </c>
      <c r="O10621" t="str">
        <f>IF(N10621="","",'Master Barang'!B15)</f>
        <v>optima trashbag 80x100</v>
      </c>
      <c r="P10621">
        <f>IF(OR(M10621="",N10621=""),"",SUMIFS('Barang Keluar'!$E:$E,'Barang Keluar'!$A:$A,M10621,'Barang Keluar'!$C:$C,N10621))</f>
        <v>0</v>
      </c>
    </row>
    <row r="10622" spans="13:16">
      <c r="M10622" s="49">
        <f>IF($A$4+106&gt;$B$4,"",$A$4+106)</f>
        <v>46129</v>
      </c>
      <c r="N10622" t="str">
        <f>IF(M10622="","",'Master Barang'!A16)</f>
        <v>PRL-015</v>
      </c>
      <c r="O10622" t="str">
        <f>IF(N10622="","",'Master Barang'!B16)</f>
        <v>optima trashbag 60x100</v>
      </c>
      <c r="P10622">
        <f>IF(OR(M10622="",N10622=""),"",SUMIFS('Barang Keluar'!$E:$E,'Barang Keluar'!$A:$A,M10622,'Barang Keluar'!$C:$C,N10622))</f>
        <v>0</v>
      </c>
    </row>
    <row r="10623" spans="13:16">
      <c r="M10623" s="49">
        <f>IF($A$4+106&gt;$B$4,"",$A$4+106)</f>
        <v>46129</v>
      </c>
      <c r="N10623" t="str">
        <f>IF(M10623="","",'Master Barang'!A17)</f>
        <v>PRL-016</v>
      </c>
      <c r="O10623" t="str">
        <f>IF(N10623="","",'Master Barang'!B17)</f>
        <v>rajawali trashbag 30x40</v>
      </c>
      <c r="P10623">
        <f>IF(OR(M10623="",N10623=""),"",SUMIFS('Barang Keluar'!$E:$E,'Barang Keluar'!$A:$A,M10623,'Barang Keluar'!$C:$C,N10623))</f>
        <v>0</v>
      </c>
    </row>
    <row r="10624" spans="13:16">
      <c r="M10624" s="49">
        <f>IF($A$4+106&gt;$B$4,"",$A$4+106)</f>
        <v>46129</v>
      </c>
      <c r="N10624" t="str">
        <f>IF(M10624="","",'Master Barang'!A18)</f>
        <v>PRL-017</v>
      </c>
      <c r="O10624" t="str">
        <f>IF(N10624="","",'Master Barang'!B18)</f>
        <v>onemed masker biru 3 play 50 pcs</v>
      </c>
      <c r="P10624">
        <f>IF(OR(M10624="",N10624=""),"",SUMIFS('Barang Keluar'!$E:$E,'Barang Keluar'!$A:$A,M10624,'Barang Keluar'!$C:$C,N10624))</f>
        <v>0</v>
      </c>
    </row>
    <row r="10625" spans="13:16">
      <c r="M10625" s="49">
        <f>IF($A$4+106&gt;$B$4,"",$A$4+106)</f>
        <v>46129</v>
      </c>
      <c r="N10625" t="str">
        <f>IF(M10625="","",'Master Barang'!A19)</f>
        <v>PRL-018</v>
      </c>
      <c r="O10625" t="str">
        <f>IF(N10625="","",'Master Barang'!B19)</f>
        <v>onemed masker biru 3 play hijab 50 pcs</v>
      </c>
      <c r="P10625">
        <f>IF(OR(M10625="",N10625=""),"",SUMIFS('Barang Keluar'!$E:$E,'Barang Keluar'!$A:$A,M10625,'Barang Keluar'!$C:$C,N10625))</f>
        <v>0</v>
      </c>
    </row>
    <row r="10626" spans="13:16">
      <c r="M10626" s="49">
        <f>IF($A$4+106&gt;$B$4,"",$A$4+106)</f>
        <v>46129</v>
      </c>
      <c r="N10626" t="str">
        <f>IF(M10626="","",'Master Barang'!A20)</f>
        <v>PRL-019</v>
      </c>
      <c r="O10626" t="str">
        <f>IF(N10626="","",'Master Barang'!B20)</f>
        <v>neo health masker biru 3 play 50 pcs</v>
      </c>
      <c r="P10626">
        <f>IF(OR(M10626="",N10626=""),"",SUMIFS('Barang Keluar'!$E:$E,'Barang Keluar'!$A:$A,M10626,'Barang Keluar'!$C:$C,N10626))</f>
        <v>0</v>
      </c>
    </row>
    <row r="10627" spans="13:16">
      <c r="M10627" s="49">
        <f>IF($A$4+106&gt;$B$4,"",$A$4+106)</f>
        <v>46129</v>
      </c>
      <c r="N10627" t="str">
        <f>IF(M10627="","",'Master Barang'!A21)</f>
        <v>PRL-020</v>
      </c>
      <c r="O10627" t="str">
        <f>IF(N10627="","",'Master Barang'!B21)</f>
        <v>baymed masker hijau 3 play hijau 50 pcs</v>
      </c>
      <c r="P10627">
        <f>IF(OR(M10627="",N10627=""),"",SUMIFS('Barang Keluar'!$E:$E,'Barang Keluar'!$A:$A,M10627,'Barang Keluar'!$C:$C,N10627))</f>
        <v>0</v>
      </c>
    </row>
    <row r="10628" spans="13:16">
      <c r="M10628" s="49">
        <f>IF($A$4+106&gt;$B$4,"",$A$4+106)</f>
        <v>46129</v>
      </c>
      <c r="N10628" t="str">
        <f>IF(M10628="","",'Master Barang'!A22)</f>
        <v>PRL-021</v>
      </c>
      <c r="O10628" t="str">
        <f>IF(N10628="","",'Master Barang'!B22)</f>
        <v>altamed nurse cap penutup kepala 100 pcs</v>
      </c>
      <c r="P10628">
        <f>IF(OR(M10628="",N10628=""),"",SUMIFS('Barang Keluar'!$E:$E,'Barang Keluar'!$A:$A,M10628,'Barang Keluar'!$C:$C,N10628))</f>
        <v>0</v>
      </c>
    </row>
    <row r="10629" spans="13:16">
      <c r="M10629" s="49">
        <f>IF($A$4+106&gt;$B$4,"",$A$4+106)</f>
        <v>46129</v>
      </c>
      <c r="N10629" t="str">
        <f>IF(M10629="","",'Master Barang'!A23)</f>
        <v>PRL-022</v>
      </c>
      <c r="O10629" t="str">
        <f>IF(N10629="","",'Master Barang'!B23)</f>
        <v>sabun cuci tangan</v>
      </c>
      <c r="P10629">
        <f>IF(OR(M10629="",N10629=""),"",SUMIFS('Barang Keluar'!$E:$E,'Barang Keluar'!$A:$A,M10629,'Barang Keluar'!$C:$C,N10629))</f>
        <v>0</v>
      </c>
    </row>
    <row r="10630" spans="13:16">
      <c r="M10630" s="49">
        <f>IF($A$4+106&gt;$B$4,"",$A$4+106)</f>
        <v>46129</v>
      </c>
      <c r="N10630" t="str">
        <f>IF(M10630="","",'Master Barang'!A24)</f>
        <v>PRL-023</v>
      </c>
      <c r="O10630" t="str">
        <f>IF(N10630="","",'Master Barang'!B24)</f>
        <v>gayung kecil</v>
      </c>
      <c r="P10630">
        <f>IF(OR(M10630="",N10630=""),"",SUMIFS('Barang Keluar'!$E:$E,'Barang Keluar'!$A:$A,M10630,'Barang Keluar'!$C:$C,N10630))</f>
        <v>0</v>
      </c>
    </row>
    <row r="10631" spans="13:16">
      <c r="M10631" s="49">
        <f>IF($A$4+106&gt;$B$4,"",$A$4+106)</f>
        <v>46129</v>
      </c>
      <c r="N10631" t="str">
        <f>IF(M10631="","",'Master Barang'!A25)</f>
        <v>PRL-024</v>
      </c>
      <c r="O10631" t="str">
        <f>IF(N10631="","",'Master Barang'!B25)</f>
        <v>cikrak kecil</v>
      </c>
      <c r="P10631">
        <f>IF(OR(M10631="",N10631=""),"",SUMIFS('Barang Keluar'!$E:$E,'Barang Keluar'!$A:$A,M10631,'Barang Keluar'!$C:$C,N10631))</f>
        <v>0</v>
      </c>
    </row>
    <row r="10632" spans="13:16">
      <c r="M10632" s="49">
        <f>IF($A$4+106&gt;$B$4,"",$A$4+106)</f>
        <v>46129</v>
      </c>
      <c r="N10632" t="str">
        <f>IF(M10632="","",'Master Barang'!A26)</f>
        <v>PRL-025</v>
      </c>
      <c r="O10632" t="str">
        <f>IF(N10632="","",'Master Barang'!B26)</f>
        <v>petromax plastik kecil 12x24 100 lembar</v>
      </c>
      <c r="P10632">
        <f>IF(OR(M10632="",N10632=""),"",SUMIFS('Barang Keluar'!$E:$E,'Barang Keluar'!$A:$A,M10632,'Barang Keluar'!$C:$C,N10632))</f>
        <v>0</v>
      </c>
    </row>
    <row r="10633" spans="13:16">
      <c r="M10633" s="49">
        <f>IF($A$4+106&gt;$B$4,"",$A$4+106)</f>
        <v>46129</v>
      </c>
      <c r="N10633" t="str">
        <f>IF(M10633="","",'Master Barang'!A27)</f>
        <v>PRL-026</v>
      </c>
      <c r="O10633" t="str">
        <f>IF(N10633="","",'Master Barang'!B27)</f>
        <v>lancar kresek kecil bening </v>
      </c>
      <c r="P10633">
        <f>IF(OR(M10633="",N10633=""),"",SUMIFS('Barang Keluar'!$E:$E,'Barang Keluar'!$A:$A,M10633,'Barang Keluar'!$C:$C,N10633))</f>
        <v>0</v>
      </c>
    </row>
    <row r="10634" spans="13:16">
      <c r="M10634" s="49">
        <f>IF($A$4+106&gt;$B$4,"",$A$4+106)</f>
        <v>46129</v>
      </c>
      <c r="N10634" t="str">
        <f>IF(M10634="","",'Master Barang'!A28)</f>
        <v>PRL-027</v>
      </c>
      <c r="O10634" t="str">
        <f>IF(N10634="","",'Master Barang'!B28)</f>
        <v>kresek klin warna warni kecil</v>
      </c>
      <c r="P10634">
        <f>IF(OR(M10634="",N10634=""),"",SUMIFS('Barang Keluar'!$E:$E,'Barang Keluar'!$A:$A,M10634,'Barang Keluar'!$C:$C,N10634))</f>
        <v>0</v>
      </c>
    </row>
    <row r="10635" spans="13:16">
      <c r="M10635" s="49">
        <f>IF($A$4+106&gt;$B$4,"",$A$4+106)</f>
        <v>46129</v>
      </c>
      <c r="N10635" t="str">
        <f>IF(M10635="","",'Master Barang'!A29)</f>
        <v>PRL-028</v>
      </c>
      <c r="O10635" t="str">
        <f>IF(N10635="","",'Master Barang'!B29)</f>
        <v>ctik plastik 7x10 100 pcs</v>
      </c>
      <c r="P10635">
        <f>IF(OR(M10635="",N10635=""),"",SUMIFS('Barang Keluar'!$E:$E,'Barang Keluar'!$A:$A,M10635,'Barang Keluar'!$C:$C,N10635))</f>
        <v>0</v>
      </c>
    </row>
    <row r="10636" spans="13:16">
      <c r="M10636" s="49">
        <f>IF($A$4+106&gt;$B$4,"",$A$4+106)</f>
        <v>46129</v>
      </c>
      <c r="N10636" t="str">
        <f>IF(M10636="","",'Master Barang'!A30)</f>
        <v>PRL-029</v>
      </c>
      <c r="O10636" t="str">
        <f>IF(N10636="","",'Master Barang'!B30)</f>
        <v>ctik plastik 6x10 100 pcs</v>
      </c>
      <c r="P10636">
        <f>IF(OR(M10636="",N10636=""),"",SUMIFS('Barang Keluar'!$E:$E,'Barang Keluar'!$A:$A,M10636,'Barang Keluar'!$C:$C,N10636))</f>
        <v>0</v>
      </c>
    </row>
    <row r="10637" spans="13:16">
      <c r="M10637" s="49">
        <f>IF($A$4+106&gt;$B$4,"",$A$4+106)</f>
        <v>46129</v>
      </c>
      <c r="N10637" t="str">
        <f>IF(M10637="","",'Master Barang'!A31)</f>
        <v>PRL-030</v>
      </c>
      <c r="O10637" t="str">
        <f>IF(N10637="","",'Master Barang'!B31)</f>
        <v>klip plastik 25x16 100 pcs</v>
      </c>
      <c r="P10637">
        <f>IF(OR(M10637="",N10637=""),"",SUMIFS('Barang Keluar'!$E:$E,'Barang Keluar'!$A:$A,M10637,'Barang Keluar'!$C:$C,N10637))</f>
        <v>0</v>
      </c>
    </row>
    <row r="10638" spans="13:16">
      <c r="M10638" s="49">
        <f>IF($A$4+106&gt;$B$4,"",$A$4+106)</f>
        <v>46129</v>
      </c>
      <c r="N10638" t="str">
        <f>IF(M10638="","",'Master Barang'!A32)</f>
        <v>PRL-031</v>
      </c>
      <c r="O10638" t="str">
        <f>IF(N10638="","",'Master Barang'!B32)</f>
        <v>tempat saus 20 ml</v>
      </c>
      <c r="P10638">
        <f>IF(OR(M10638="",N10638=""),"",SUMIFS('Barang Keluar'!$E:$E,'Barang Keluar'!$A:$A,M10638,'Barang Keluar'!$C:$C,N10638))</f>
        <v>0</v>
      </c>
    </row>
    <row r="10639" spans="13:16">
      <c r="M10639" s="49">
        <f>IF($A$4+106&gt;$B$4,"",$A$4+106)</f>
        <v>46129</v>
      </c>
      <c r="N10639" t="str">
        <f>IF(M10639="","",'Master Barang'!A33)</f>
        <v>PRL-032</v>
      </c>
      <c r="O10639" t="str">
        <f>IF(N10639="","",'Master Barang'!B33)</f>
        <v>plastik packaging ag box uk sedang</v>
      </c>
      <c r="P10639">
        <f>IF(OR(M10639="",N10639=""),"",SUMIFS('Barang Keluar'!$E:$E,'Barang Keluar'!$A:$A,M10639,'Barang Keluar'!$C:$C,N10639))</f>
        <v>0</v>
      </c>
    </row>
    <row r="10640" spans="13:16">
      <c r="M10640" s="49">
        <f>IF($A$4+106&gt;$B$4,"",$A$4+106)</f>
        <v>46129</v>
      </c>
      <c r="N10640" t="str">
        <f>IF(M10640="","",'Master Barang'!A34)</f>
        <v>PRL-033</v>
      </c>
      <c r="O10640">
        <f>IF(N10640="","",'Master Barang'!B34)</f>
        <v>0</v>
      </c>
      <c r="P10640">
        <f>IF(OR(M10640="",N10640=""),"",SUMIFS('Barang Keluar'!$E:$E,'Barang Keluar'!$A:$A,M10640,'Barang Keluar'!$C:$C,N10640))</f>
        <v>0</v>
      </c>
    </row>
    <row r="10641" spans="13:16">
      <c r="M10641" s="49">
        <f>IF($A$4+106&gt;$B$4,"",$A$4+106)</f>
        <v>46129</v>
      </c>
      <c r="N10641">
        <f>IF(M10641="","",'Master Barang'!A35)</f>
        <v>0</v>
      </c>
      <c r="O10641">
        <f>IF(N10641="","",'Master Barang'!B35)</f>
        <v>0</v>
      </c>
      <c r="P10641">
        <f>IF(OR(M10641="",N10641=""),"",SUMIFS('Barang Keluar'!$E:$E,'Barang Keluar'!$A:$A,M10641,'Barang Keluar'!$C:$C,N10641))</f>
        <v>0</v>
      </c>
    </row>
    <row r="10642" spans="13:16">
      <c r="M10642" s="49">
        <f>IF($A$4+106&gt;$B$4,"",$A$4+106)</f>
        <v>46129</v>
      </c>
      <c r="N10642">
        <f>IF(M10642="","",'Master Barang'!A36)</f>
        <v>0</v>
      </c>
      <c r="O10642">
        <f>IF(N10642="","",'Master Barang'!B36)</f>
        <v>0</v>
      </c>
      <c r="P10642">
        <f>IF(OR(M10642="",N10642=""),"",SUMIFS('Barang Keluar'!$E:$E,'Barang Keluar'!$A:$A,M10642,'Barang Keluar'!$C:$C,N10642))</f>
        <v>0</v>
      </c>
    </row>
    <row r="10643" spans="13:16">
      <c r="M10643" s="49">
        <f>IF($A$4+106&gt;$B$4,"",$A$4+106)</f>
        <v>46129</v>
      </c>
      <c r="N10643">
        <f>IF(M10643="","",'Master Barang'!A37)</f>
        <v>0</v>
      </c>
      <c r="O10643">
        <f>IF(N10643="","",'Master Barang'!B37)</f>
        <v>0</v>
      </c>
      <c r="P10643">
        <f>IF(OR(M10643="",N10643=""),"",SUMIFS('Barang Keluar'!$E:$E,'Barang Keluar'!$A:$A,M10643,'Barang Keluar'!$C:$C,N10643))</f>
        <v>0</v>
      </c>
    </row>
    <row r="10644" spans="13:16">
      <c r="M10644" s="49">
        <f>IF($A$4+106&gt;$B$4,"",$A$4+106)</f>
        <v>46129</v>
      </c>
      <c r="N10644">
        <f>IF(M10644="","",'Master Barang'!A38)</f>
        <v>0</v>
      </c>
      <c r="O10644">
        <f>IF(N10644="","",'Master Barang'!B38)</f>
        <v>0</v>
      </c>
      <c r="P10644">
        <f>IF(OR(M10644="",N10644=""),"",SUMIFS('Barang Keluar'!$E:$E,'Barang Keluar'!$A:$A,M10644,'Barang Keluar'!$C:$C,N10644))</f>
        <v>0</v>
      </c>
    </row>
    <row r="10645" spans="13:16">
      <c r="M10645" s="49">
        <f>IF($A$4+106&gt;$B$4,"",$A$4+106)</f>
        <v>46129</v>
      </c>
      <c r="N10645">
        <f>IF(M10645="","",'Master Barang'!A39)</f>
        <v>0</v>
      </c>
      <c r="O10645">
        <f>IF(N10645="","",'Master Barang'!B39)</f>
        <v>0</v>
      </c>
      <c r="P10645">
        <f>IF(OR(M10645="",N10645=""),"",SUMIFS('Barang Keluar'!$E:$E,'Barang Keluar'!$A:$A,M10645,'Barang Keluar'!$C:$C,N10645))</f>
        <v>0</v>
      </c>
    </row>
    <row r="10646" spans="13:16">
      <c r="M10646" s="49">
        <f>IF($A$4+106&gt;$B$4,"",$A$4+106)</f>
        <v>46129</v>
      </c>
      <c r="N10646">
        <f>IF(M10646="","",'Master Barang'!A40)</f>
        <v>0</v>
      </c>
      <c r="O10646">
        <f>IF(N10646="","",'Master Barang'!B40)</f>
        <v>0</v>
      </c>
      <c r="P10646">
        <f>IF(OR(M10646="",N10646=""),"",SUMIFS('Barang Keluar'!$E:$E,'Barang Keluar'!$A:$A,M10646,'Barang Keluar'!$C:$C,N10646))</f>
        <v>0</v>
      </c>
    </row>
    <row r="10647" spans="13:16">
      <c r="M10647" s="49">
        <f>IF($A$4+106&gt;$B$4,"",$A$4+106)</f>
        <v>46129</v>
      </c>
      <c r="N10647">
        <f>IF(M10647="","",'Master Barang'!A41)</f>
        <v>0</v>
      </c>
      <c r="O10647">
        <f>IF(N10647="","",'Master Barang'!B41)</f>
        <v>0</v>
      </c>
      <c r="P10647">
        <f>IF(OR(M10647="",N10647=""),"",SUMIFS('Barang Keluar'!$E:$E,'Barang Keluar'!$A:$A,M10647,'Barang Keluar'!$C:$C,N10647))</f>
        <v>0</v>
      </c>
    </row>
    <row r="10648" spans="13:16">
      <c r="M10648" s="49">
        <f>IF($A$4+106&gt;$B$4,"",$A$4+106)</f>
        <v>46129</v>
      </c>
      <c r="N10648">
        <f>IF(M10648="","",'Master Barang'!A42)</f>
        <v>0</v>
      </c>
      <c r="O10648">
        <f>IF(N10648="","",'Master Barang'!B42)</f>
        <v>0</v>
      </c>
      <c r="P10648">
        <f>IF(OR(M10648="",N10648=""),"",SUMIFS('Barang Keluar'!$E:$E,'Barang Keluar'!$A:$A,M10648,'Barang Keluar'!$C:$C,N10648))</f>
        <v>0</v>
      </c>
    </row>
    <row r="10649" spans="13:16">
      <c r="M10649" s="49">
        <f>IF($A$4+106&gt;$B$4,"",$A$4+106)</f>
        <v>46129</v>
      </c>
      <c r="N10649">
        <f>IF(M10649="","",'Master Barang'!A43)</f>
        <v>0</v>
      </c>
      <c r="O10649">
        <f>IF(N10649="","",'Master Barang'!B43)</f>
        <v>0</v>
      </c>
      <c r="P10649">
        <f>IF(OR(M10649="",N10649=""),"",SUMIFS('Barang Keluar'!$E:$E,'Barang Keluar'!$A:$A,M10649,'Barang Keluar'!$C:$C,N10649))</f>
        <v>0</v>
      </c>
    </row>
    <row r="10650" spans="13:16">
      <c r="M10650" s="49">
        <f>IF($A$4+106&gt;$B$4,"",$A$4+106)</f>
        <v>46129</v>
      </c>
      <c r="N10650">
        <f>IF(M10650="","",'Master Barang'!A44)</f>
        <v>0</v>
      </c>
      <c r="O10650">
        <f>IF(N10650="","",'Master Barang'!B44)</f>
        <v>0</v>
      </c>
      <c r="P10650">
        <f>IF(OR(M10650="",N10650=""),"",SUMIFS('Barang Keluar'!$E:$E,'Barang Keluar'!$A:$A,M10650,'Barang Keluar'!$C:$C,N10650))</f>
        <v>0</v>
      </c>
    </row>
    <row r="10651" spans="13:16">
      <c r="M10651" s="49">
        <f>IF($A$4+106&gt;$B$4,"",$A$4+106)</f>
        <v>46129</v>
      </c>
      <c r="N10651">
        <f>IF(M10651="","",'Master Barang'!A45)</f>
        <v>0</v>
      </c>
      <c r="O10651">
        <f>IF(N10651="","",'Master Barang'!B45)</f>
        <v>0</v>
      </c>
      <c r="P10651">
        <f>IF(OR(M10651="",N10651=""),"",SUMIFS('Barang Keluar'!$E:$E,'Barang Keluar'!$A:$A,M10651,'Barang Keluar'!$C:$C,N10651))</f>
        <v>0</v>
      </c>
    </row>
    <row r="10652" spans="13:16">
      <c r="M10652" s="49">
        <f>IF($A$4+106&gt;$B$4,"",$A$4+106)</f>
        <v>46129</v>
      </c>
      <c r="N10652">
        <f>IF(M10652="","",'Master Barang'!A46)</f>
        <v>0</v>
      </c>
      <c r="O10652">
        <f>IF(N10652="","",'Master Barang'!B46)</f>
        <v>0</v>
      </c>
      <c r="P10652">
        <f>IF(OR(M10652="",N10652=""),"",SUMIFS('Barang Keluar'!$E:$E,'Barang Keluar'!$A:$A,M10652,'Barang Keluar'!$C:$C,N10652))</f>
        <v>0</v>
      </c>
    </row>
    <row r="10653" spans="13:16">
      <c r="M10653" s="49">
        <f>IF($A$4+106&gt;$B$4,"",$A$4+106)</f>
        <v>46129</v>
      </c>
      <c r="N10653">
        <f>IF(M10653="","",'Master Barang'!A47)</f>
        <v>0</v>
      </c>
      <c r="O10653">
        <f>IF(N10653="","",'Master Barang'!B47)</f>
        <v>0</v>
      </c>
      <c r="P10653">
        <f>IF(OR(M10653="",N10653=""),"",SUMIFS('Barang Keluar'!$E:$E,'Barang Keluar'!$A:$A,M10653,'Barang Keluar'!$C:$C,N10653))</f>
        <v>0</v>
      </c>
    </row>
    <row r="10654" spans="13:16">
      <c r="M10654" s="49">
        <f>IF($A$4+106&gt;$B$4,"",$A$4+106)</f>
        <v>46129</v>
      </c>
      <c r="N10654">
        <f>IF(M10654="","",'Master Barang'!A48)</f>
        <v>0</v>
      </c>
      <c r="O10654">
        <f>IF(N10654="","",'Master Barang'!B48)</f>
        <v>0</v>
      </c>
      <c r="P10654">
        <f>IF(OR(M10654="",N10654=""),"",SUMIFS('Barang Keluar'!$E:$E,'Barang Keluar'!$A:$A,M10654,'Barang Keluar'!$C:$C,N10654))</f>
        <v>0</v>
      </c>
    </row>
    <row r="10655" spans="13:16">
      <c r="M10655" s="49">
        <f>IF($A$4+106&gt;$B$4,"",$A$4+106)</f>
        <v>46129</v>
      </c>
      <c r="N10655">
        <f>IF(M10655="","",'Master Barang'!A49)</f>
        <v>0</v>
      </c>
      <c r="O10655">
        <f>IF(N10655="","",'Master Barang'!B49)</f>
        <v>0</v>
      </c>
      <c r="P10655">
        <f>IF(OR(M10655="",N10655=""),"",SUMIFS('Barang Keluar'!$E:$E,'Barang Keluar'!$A:$A,M10655,'Barang Keluar'!$C:$C,N10655))</f>
        <v>0</v>
      </c>
    </row>
    <row r="10656" spans="13:16">
      <c r="M10656" s="49">
        <f>IF($A$4+106&gt;$B$4,"",$A$4+106)</f>
        <v>46129</v>
      </c>
      <c r="N10656">
        <f>IF(M10656="","",'Master Barang'!A50)</f>
        <v>0</v>
      </c>
      <c r="O10656">
        <f>IF(N10656="","",'Master Barang'!B50)</f>
        <v>0</v>
      </c>
      <c r="P10656">
        <f>IF(OR(M10656="",N10656=""),"",SUMIFS('Barang Keluar'!$E:$E,'Barang Keluar'!$A:$A,M10656,'Barang Keluar'!$C:$C,N10656))</f>
        <v>0</v>
      </c>
    </row>
    <row r="10657" spans="13:16">
      <c r="M10657" s="49">
        <f>IF($A$4+106&gt;$B$4,"",$A$4+106)</f>
        <v>46129</v>
      </c>
      <c r="N10657">
        <f>IF(M10657="","",'Master Barang'!A51)</f>
        <v>0</v>
      </c>
      <c r="O10657">
        <f>IF(N10657="","",'Master Barang'!B51)</f>
        <v>0</v>
      </c>
      <c r="P10657">
        <f>IF(OR(M10657="",N10657=""),"",SUMIFS('Barang Keluar'!$E:$E,'Barang Keluar'!$A:$A,M10657,'Barang Keluar'!$C:$C,N10657))</f>
        <v>0</v>
      </c>
    </row>
    <row r="10658" spans="13:16">
      <c r="M10658" s="49">
        <f>IF($A$4+106&gt;$B$4,"",$A$4+106)</f>
        <v>46129</v>
      </c>
      <c r="N10658">
        <f>IF(M10658="","",'Master Barang'!A52)</f>
        <v>0</v>
      </c>
      <c r="O10658">
        <f>IF(N10658="","",'Master Barang'!B52)</f>
        <v>0</v>
      </c>
      <c r="P10658">
        <f>IF(OR(M10658="",N10658=""),"",SUMIFS('Barang Keluar'!$E:$E,'Barang Keluar'!$A:$A,M10658,'Barang Keluar'!$C:$C,N10658))</f>
        <v>0</v>
      </c>
    </row>
    <row r="10659" spans="13:16">
      <c r="M10659" s="49">
        <f>IF($A$4+106&gt;$B$4,"",$A$4+106)</f>
        <v>46129</v>
      </c>
      <c r="N10659">
        <f>IF(M10659="","",'Master Barang'!A53)</f>
        <v>0</v>
      </c>
      <c r="O10659">
        <f>IF(N10659="","",'Master Barang'!B53)</f>
        <v>0</v>
      </c>
      <c r="P10659">
        <f>IF(OR(M10659="",N10659=""),"",SUMIFS('Barang Keluar'!$E:$E,'Barang Keluar'!$A:$A,M10659,'Barang Keluar'!$C:$C,N10659))</f>
        <v>0</v>
      </c>
    </row>
    <row r="10660" spans="13:16">
      <c r="M10660" s="49">
        <f>IF($A$4+106&gt;$B$4,"",$A$4+106)</f>
        <v>46129</v>
      </c>
      <c r="N10660">
        <f>IF(M10660="","",'Master Barang'!A54)</f>
        <v>0</v>
      </c>
      <c r="O10660">
        <f>IF(N10660="","",'Master Barang'!B54)</f>
        <v>0</v>
      </c>
      <c r="P10660">
        <f>IF(OR(M10660="",N10660=""),"",SUMIFS('Barang Keluar'!$E:$E,'Barang Keluar'!$A:$A,M10660,'Barang Keluar'!$C:$C,N10660))</f>
        <v>0</v>
      </c>
    </row>
    <row r="10661" spans="13:16">
      <c r="M10661" s="49">
        <f>IF($A$4+106&gt;$B$4,"",$A$4+106)</f>
        <v>46129</v>
      </c>
      <c r="N10661">
        <f>IF(M10661="","",'Master Barang'!A55)</f>
        <v>0</v>
      </c>
      <c r="O10661">
        <f>IF(N10661="","",'Master Barang'!B55)</f>
        <v>0</v>
      </c>
      <c r="P10661">
        <f>IF(OR(M10661="",N10661=""),"",SUMIFS('Barang Keluar'!$E:$E,'Barang Keluar'!$A:$A,M10661,'Barang Keluar'!$C:$C,N10661))</f>
        <v>0</v>
      </c>
    </row>
    <row r="10662" spans="13:16">
      <c r="M10662" s="49">
        <f>IF($A$4+106&gt;$B$4,"",$A$4+106)</f>
        <v>46129</v>
      </c>
      <c r="N10662">
        <f>IF(M10662="","",'Master Barang'!A56)</f>
        <v>0</v>
      </c>
      <c r="O10662">
        <f>IF(N10662="","",'Master Barang'!B56)</f>
        <v>0</v>
      </c>
      <c r="P10662">
        <f>IF(OR(M10662="",N10662=""),"",SUMIFS('Barang Keluar'!$E:$E,'Barang Keluar'!$A:$A,M10662,'Barang Keluar'!$C:$C,N10662))</f>
        <v>0</v>
      </c>
    </row>
    <row r="10663" spans="13:16">
      <c r="M10663" s="49">
        <f>IF($A$4+106&gt;$B$4,"",$A$4+106)</f>
        <v>46129</v>
      </c>
      <c r="N10663">
        <f>IF(M10663="","",'Master Barang'!A57)</f>
        <v>0</v>
      </c>
      <c r="O10663">
        <f>IF(N10663="","",'Master Barang'!B57)</f>
        <v>0</v>
      </c>
      <c r="P10663">
        <f>IF(OR(M10663="",N10663=""),"",SUMIFS('Barang Keluar'!$E:$E,'Barang Keluar'!$A:$A,M10663,'Barang Keluar'!$C:$C,N10663))</f>
        <v>0</v>
      </c>
    </row>
    <row r="10664" spans="13:16">
      <c r="M10664" s="49">
        <f>IF($A$4+106&gt;$B$4,"",$A$4+106)</f>
        <v>46129</v>
      </c>
      <c r="N10664">
        <f>IF(M10664="","",'Master Barang'!A58)</f>
        <v>0</v>
      </c>
      <c r="O10664">
        <f>IF(N10664="","",'Master Barang'!B58)</f>
        <v>0</v>
      </c>
      <c r="P10664">
        <f>IF(OR(M10664="",N10664=""),"",SUMIFS('Barang Keluar'!$E:$E,'Barang Keluar'!$A:$A,M10664,'Barang Keluar'!$C:$C,N10664))</f>
        <v>0</v>
      </c>
    </row>
    <row r="10665" spans="13:16">
      <c r="M10665" s="49">
        <f>IF($A$4+106&gt;$B$4,"",$A$4+106)</f>
        <v>46129</v>
      </c>
      <c r="N10665">
        <f>IF(M10665="","",'Master Barang'!A59)</f>
        <v>0</v>
      </c>
      <c r="O10665">
        <f>IF(N10665="","",'Master Barang'!B59)</f>
        <v>0</v>
      </c>
      <c r="P10665">
        <f>IF(OR(M10665="",N10665=""),"",SUMIFS('Barang Keluar'!$E:$E,'Barang Keluar'!$A:$A,M10665,'Barang Keluar'!$C:$C,N10665))</f>
        <v>0</v>
      </c>
    </row>
    <row r="10666" spans="13:16">
      <c r="M10666" s="49">
        <f>IF($A$4+106&gt;$B$4,"",$A$4+106)</f>
        <v>46129</v>
      </c>
      <c r="N10666">
        <f>IF(M10666="","",'Master Barang'!A60)</f>
        <v>0</v>
      </c>
      <c r="O10666">
        <f>IF(N10666="","",'Master Barang'!B60)</f>
        <v>0</v>
      </c>
      <c r="P10666">
        <f>IF(OR(M10666="",N10666=""),"",SUMIFS('Barang Keluar'!$E:$E,'Barang Keluar'!$A:$A,M10666,'Barang Keluar'!$C:$C,N10666))</f>
        <v>0</v>
      </c>
    </row>
    <row r="10667" spans="13:16">
      <c r="M10667" s="49">
        <f>IF($A$4+106&gt;$B$4,"",$A$4+106)</f>
        <v>46129</v>
      </c>
      <c r="N10667">
        <f>IF(M10667="","",'Master Barang'!A61)</f>
        <v>0</v>
      </c>
      <c r="O10667">
        <f>IF(N10667="","",'Master Barang'!B61)</f>
        <v>0</v>
      </c>
      <c r="P10667">
        <f>IF(OR(M10667="",N10667=""),"",SUMIFS('Barang Keluar'!$E:$E,'Barang Keluar'!$A:$A,M10667,'Barang Keluar'!$C:$C,N10667))</f>
        <v>0</v>
      </c>
    </row>
    <row r="10668" spans="13:16">
      <c r="M10668" s="49">
        <f>IF($A$4+106&gt;$B$4,"",$A$4+106)</f>
        <v>46129</v>
      </c>
      <c r="N10668">
        <f>IF(M10668="","",'Master Barang'!A62)</f>
        <v>0</v>
      </c>
      <c r="O10668">
        <f>IF(N10668="","",'Master Barang'!B62)</f>
        <v>0</v>
      </c>
      <c r="P10668">
        <f>IF(OR(M10668="",N10668=""),"",SUMIFS('Barang Keluar'!$E:$E,'Barang Keluar'!$A:$A,M10668,'Barang Keluar'!$C:$C,N10668))</f>
        <v>0</v>
      </c>
    </row>
    <row r="10669" spans="13:16">
      <c r="M10669" s="49">
        <f>IF($A$4+106&gt;$B$4,"",$A$4+106)</f>
        <v>46129</v>
      </c>
      <c r="N10669">
        <f>IF(M10669="","",'Master Barang'!A63)</f>
        <v>0</v>
      </c>
      <c r="O10669">
        <f>IF(N10669="","",'Master Barang'!B63)</f>
        <v>0</v>
      </c>
      <c r="P10669">
        <f>IF(OR(M10669="",N10669=""),"",SUMIFS('Barang Keluar'!$E:$E,'Barang Keluar'!$A:$A,M10669,'Barang Keluar'!$C:$C,N10669))</f>
        <v>0</v>
      </c>
    </row>
    <row r="10670" spans="13:16">
      <c r="M10670" s="49">
        <f>IF($A$4+106&gt;$B$4,"",$A$4+106)</f>
        <v>46129</v>
      </c>
      <c r="N10670">
        <f>IF(M10670="","",'Master Barang'!A64)</f>
        <v>0</v>
      </c>
      <c r="O10670">
        <f>IF(N10670="","",'Master Barang'!B64)</f>
        <v>0</v>
      </c>
      <c r="P10670">
        <f>IF(OR(M10670="",N10670=""),"",SUMIFS('Barang Keluar'!$E:$E,'Barang Keluar'!$A:$A,M10670,'Barang Keluar'!$C:$C,N10670))</f>
        <v>0</v>
      </c>
    </row>
    <row r="10671" spans="13:16">
      <c r="M10671" s="49">
        <f>IF($A$4+106&gt;$B$4,"",$A$4+106)</f>
        <v>46129</v>
      </c>
      <c r="N10671">
        <f>IF(M10671="","",'Master Barang'!A65)</f>
        <v>0</v>
      </c>
      <c r="O10671">
        <f>IF(N10671="","",'Master Barang'!B65)</f>
        <v>0</v>
      </c>
      <c r="P10671">
        <f>IF(OR(M10671="",N10671=""),"",SUMIFS('Barang Keluar'!$E:$E,'Barang Keluar'!$A:$A,M10671,'Barang Keluar'!$C:$C,N10671))</f>
        <v>0</v>
      </c>
    </row>
    <row r="10672" spans="13:16">
      <c r="M10672" s="49">
        <f>IF($A$4+106&gt;$B$4,"",$A$4+106)</f>
        <v>46129</v>
      </c>
      <c r="N10672">
        <f>IF(M10672="","",'Master Barang'!A66)</f>
        <v>0</v>
      </c>
      <c r="O10672">
        <f>IF(N10672="","",'Master Barang'!B66)</f>
        <v>0</v>
      </c>
      <c r="P10672">
        <f>IF(OR(M10672="",N10672=""),"",SUMIFS('Barang Keluar'!$E:$E,'Barang Keluar'!$A:$A,M10672,'Barang Keluar'!$C:$C,N10672))</f>
        <v>0</v>
      </c>
    </row>
    <row r="10673" spans="13:16">
      <c r="M10673" s="49">
        <f>IF($A$4+106&gt;$B$4,"",$A$4+106)</f>
        <v>46129</v>
      </c>
      <c r="N10673">
        <f>IF(M10673="","",'Master Barang'!A67)</f>
        <v>0</v>
      </c>
      <c r="O10673">
        <f>IF(N10673="","",'Master Barang'!B67)</f>
        <v>0</v>
      </c>
      <c r="P10673">
        <f>IF(OR(M10673="",N10673=""),"",SUMIFS('Barang Keluar'!$E:$E,'Barang Keluar'!$A:$A,M10673,'Barang Keluar'!$C:$C,N10673))</f>
        <v>0</v>
      </c>
    </row>
    <row r="10674" spans="13:16">
      <c r="M10674" s="49">
        <f>IF($A$4+106&gt;$B$4,"",$A$4+106)</f>
        <v>46129</v>
      </c>
      <c r="N10674">
        <f>IF(M10674="","",'Master Barang'!A68)</f>
        <v>0</v>
      </c>
      <c r="O10674">
        <f>IF(N10674="","",'Master Barang'!B68)</f>
        <v>0</v>
      </c>
      <c r="P10674">
        <f>IF(OR(M10674="",N10674=""),"",SUMIFS('Barang Keluar'!$E:$E,'Barang Keluar'!$A:$A,M10674,'Barang Keluar'!$C:$C,N10674))</f>
        <v>0</v>
      </c>
    </row>
    <row r="10675" spans="13:16">
      <c r="M10675" s="49">
        <f>IF($A$4+106&gt;$B$4,"",$A$4+106)</f>
        <v>46129</v>
      </c>
      <c r="N10675">
        <f>IF(M10675="","",'Master Barang'!A69)</f>
        <v>0</v>
      </c>
      <c r="O10675">
        <f>IF(N10675="","",'Master Barang'!B69)</f>
        <v>0</v>
      </c>
      <c r="P10675">
        <f>IF(OR(M10675="",N10675=""),"",SUMIFS('Barang Keluar'!$E:$E,'Barang Keluar'!$A:$A,M10675,'Barang Keluar'!$C:$C,N10675))</f>
        <v>0</v>
      </c>
    </row>
    <row r="10676" spans="13:16">
      <c r="M10676" s="49">
        <f>IF($A$4+106&gt;$B$4,"",$A$4+106)</f>
        <v>46129</v>
      </c>
      <c r="N10676">
        <f>IF(M10676="","",'Master Barang'!A70)</f>
        <v>0</v>
      </c>
      <c r="O10676">
        <f>IF(N10676="","",'Master Barang'!B70)</f>
        <v>0</v>
      </c>
      <c r="P10676">
        <f>IF(OR(M10676="",N10676=""),"",SUMIFS('Barang Keluar'!$E:$E,'Barang Keluar'!$A:$A,M10676,'Barang Keluar'!$C:$C,N10676))</f>
        <v>0</v>
      </c>
    </row>
    <row r="10677" spans="13:16">
      <c r="M10677" s="49">
        <f>IF($A$4+106&gt;$B$4,"",$A$4+106)</f>
        <v>46129</v>
      </c>
      <c r="N10677">
        <f>IF(M10677="","",'Master Barang'!A71)</f>
        <v>0</v>
      </c>
      <c r="O10677">
        <f>IF(N10677="","",'Master Barang'!B71)</f>
        <v>0</v>
      </c>
      <c r="P10677">
        <f>IF(OR(M10677="",N10677=""),"",SUMIFS('Barang Keluar'!$E:$E,'Barang Keluar'!$A:$A,M10677,'Barang Keluar'!$C:$C,N10677))</f>
        <v>0</v>
      </c>
    </row>
    <row r="10678" spans="13:16">
      <c r="M10678" s="49">
        <f>IF($A$4+106&gt;$B$4,"",$A$4+106)</f>
        <v>46129</v>
      </c>
      <c r="N10678">
        <f>IF(M10678="","",'Master Barang'!A72)</f>
        <v>0</v>
      </c>
      <c r="O10678">
        <f>IF(N10678="","",'Master Barang'!B72)</f>
        <v>0</v>
      </c>
      <c r="P10678">
        <f>IF(OR(M10678="",N10678=""),"",SUMIFS('Barang Keluar'!$E:$E,'Barang Keluar'!$A:$A,M10678,'Barang Keluar'!$C:$C,N10678))</f>
        <v>0</v>
      </c>
    </row>
    <row r="10679" spans="13:16">
      <c r="M10679" s="49">
        <f>IF($A$4+106&gt;$B$4,"",$A$4+106)</f>
        <v>46129</v>
      </c>
      <c r="N10679">
        <f>IF(M10679="","",'Master Barang'!A73)</f>
        <v>0</v>
      </c>
      <c r="O10679">
        <f>IF(N10679="","",'Master Barang'!B73)</f>
        <v>0</v>
      </c>
      <c r="P10679">
        <f>IF(OR(M10679="",N10679=""),"",SUMIFS('Barang Keluar'!$E:$E,'Barang Keluar'!$A:$A,M10679,'Barang Keluar'!$C:$C,N10679))</f>
        <v>0</v>
      </c>
    </row>
    <row r="10680" spans="13:16">
      <c r="M10680" s="49">
        <f>IF($A$4+106&gt;$B$4,"",$A$4+106)</f>
        <v>46129</v>
      </c>
      <c r="N10680">
        <f>IF(M10680="","",'Master Barang'!A74)</f>
        <v>0</v>
      </c>
      <c r="O10680">
        <f>IF(N10680="","",'Master Barang'!B74)</f>
        <v>0</v>
      </c>
      <c r="P10680">
        <f>IF(OR(M10680="",N10680=""),"",SUMIFS('Barang Keluar'!$E:$E,'Barang Keluar'!$A:$A,M10680,'Barang Keluar'!$C:$C,N10680))</f>
        <v>0</v>
      </c>
    </row>
    <row r="10681" spans="13:16">
      <c r="M10681" s="49">
        <f>IF($A$4+106&gt;$B$4,"",$A$4+106)</f>
        <v>46129</v>
      </c>
      <c r="N10681">
        <f>IF(M10681="","",'Master Barang'!A75)</f>
        <v>0</v>
      </c>
      <c r="O10681">
        <f>IF(N10681="","",'Master Barang'!B75)</f>
        <v>0</v>
      </c>
      <c r="P10681">
        <f>IF(OR(M10681="",N10681=""),"",SUMIFS('Barang Keluar'!$E:$E,'Barang Keluar'!$A:$A,M10681,'Barang Keluar'!$C:$C,N10681))</f>
        <v>0</v>
      </c>
    </row>
    <row r="10682" spans="13:16">
      <c r="M10682" s="49">
        <f>IF($A$4+106&gt;$B$4,"",$A$4+106)</f>
        <v>46129</v>
      </c>
      <c r="N10682">
        <f>IF(M10682="","",'Master Barang'!A76)</f>
        <v>0</v>
      </c>
      <c r="O10682">
        <f>IF(N10682="","",'Master Barang'!B76)</f>
        <v>0</v>
      </c>
      <c r="P10682">
        <f>IF(OR(M10682="",N10682=""),"",SUMIFS('Barang Keluar'!$E:$E,'Barang Keluar'!$A:$A,M10682,'Barang Keluar'!$C:$C,N10682))</f>
        <v>0</v>
      </c>
    </row>
    <row r="10683" spans="13:16">
      <c r="M10683" s="49">
        <f>IF($A$4+106&gt;$B$4,"",$A$4+106)</f>
        <v>46129</v>
      </c>
      <c r="N10683">
        <f>IF(M10683="","",'Master Barang'!A77)</f>
        <v>0</v>
      </c>
      <c r="O10683">
        <f>IF(N10683="","",'Master Barang'!B77)</f>
        <v>0</v>
      </c>
      <c r="P10683">
        <f>IF(OR(M10683="",N10683=""),"",SUMIFS('Barang Keluar'!$E:$E,'Barang Keluar'!$A:$A,M10683,'Barang Keluar'!$C:$C,N10683))</f>
        <v>0</v>
      </c>
    </row>
    <row r="10684" spans="13:16">
      <c r="M10684" s="49">
        <f>IF($A$4+106&gt;$B$4,"",$A$4+106)</f>
        <v>46129</v>
      </c>
      <c r="N10684">
        <f>IF(M10684="","",'Master Barang'!A78)</f>
        <v>0</v>
      </c>
      <c r="O10684">
        <f>IF(N10684="","",'Master Barang'!B78)</f>
        <v>0</v>
      </c>
      <c r="P10684">
        <f>IF(OR(M10684="",N10684=""),"",SUMIFS('Barang Keluar'!$E:$E,'Barang Keluar'!$A:$A,M10684,'Barang Keluar'!$C:$C,N10684))</f>
        <v>0</v>
      </c>
    </row>
    <row r="10685" spans="13:16">
      <c r="M10685" s="49">
        <f>IF($A$4+106&gt;$B$4,"",$A$4+106)</f>
        <v>46129</v>
      </c>
      <c r="N10685">
        <f>IF(M10685="","",'Master Barang'!A79)</f>
        <v>0</v>
      </c>
      <c r="O10685">
        <f>IF(N10685="","",'Master Barang'!B79)</f>
        <v>0</v>
      </c>
      <c r="P10685">
        <f>IF(OR(M10685="",N10685=""),"",SUMIFS('Barang Keluar'!$E:$E,'Barang Keluar'!$A:$A,M10685,'Barang Keluar'!$C:$C,N10685))</f>
        <v>0</v>
      </c>
    </row>
    <row r="10686" spans="13:16">
      <c r="M10686" s="49">
        <f>IF($A$4+106&gt;$B$4,"",$A$4+106)</f>
        <v>46129</v>
      </c>
      <c r="N10686">
        <f>IF(M10686="","",'Master Barang'!A80)</f>
        <v>0</v>
      </c>
      <c r="O10686">
        <f>IF(N10686="","",'Master Barang'!B80)</f>
        <v>0</v>
      </c>
      <c r="P10686">
        <f>IF(OR(M10686="",N10686=""),"",SUMIFS('Barang Keluar'!$E:$E,'Barang Keluar'!$A:$A,M10686,'Barang Keluar'!$C:$C,N10686))</f>
        <v>0</v>
      </c>
    </row>
    <row r="10687" spans="13:16">
      <c r="M10687" s="49">
        <f>IF($A$4+106&gt;$B$4,"",$A$4+106)</f>
        <v>46129</v>
      </c>
      <c r="N10687">
        <f>IF(M10687="","",'Master Barang'!A81)</f>
        <v>0</v>
      </c>
      <c r="O10687">
        <f>IF(N10687="","",'Master Barang'!B81)</f>
        <v>0</v>
      </c>
      <c r="P10687">
        <f>IF(OR(M10687="",N10687=""),"",SUMIFS('Barang Keluar'!$E:$E,'Barang Keluar'!$A:$A,M10687,'Barang Keluar'!$C:$C,N10687))</f>
        <v>0</v>
      </c>
    </row>
    <row r="10688" spans="13:16">
      <c r="M10688" s="49">
        <f>IF($A$4+106&gt;$B$4,"",$A$4+106)</f>
        <v>46129</v>
      </c>
      <c r="N10688">
        <f>IF(M10688="","",'Master Barang'!A82)</f>
        <v>0</v>
      </c>
      <c r="O10688">
        <f>IF(N10688="","",'Master Barang'!B82)</f>
        <v>0</v>
      </c>
      <c r="P10688">
        <f>IF(OR(M10688="",N10688=""),"",SUMIFS('Barang Keluar'!$E:$E,'Barang Keluar'!$A:$A,M10688,'Barang Keluar'!$C:$C,N10688))</f>
        <v>0</v>
      </c>
    </row>
    <row r="10689" spans="13:16">
      <c r="M10689" s="49">
        <f>IF($A$4+106&gt;$B$4,"",$A$4+106)</f>
        <v>46129</v>
      </c>
      <c r="N10689">
        <f>IF(M10689="","",'Master Barang'!A83)</f>
        <v>0</v>
      </c>
      <c r="O10689">
        <f>IF(N10689="","",'Master Barang'!B83)</f>
        <v>0</v>
      </c>
      <c r="P10689">
        <f>IF(OR(M10689="",N10689=""),"",SUMIFS('Barang Keluar'!$E:$E,'Barang Keluar'!$A:$A,M10689,'Barang Keluar'!$C:$C,N10689))</f>
        <v>0</v>
      </c>
    </row>
    <row r="10690" spans="13:16">
      <c r="M10690" s="49">
        <f>IF($A$4+106&gt;$B$4,"",$A$4+106)</f>
        <v>46129</v>
      </c>
      <c r="N10690">
        <f>IF(M10690="","",'Master Barang'!A84)</f>
        <v>0</v>
      </c>
      <c r="O10690">
        <f>IF(N10690="","",'Master Barang'!B84)</f>
        <v>0</v>
      </c>
      <c r="P10690">
        <f>IF(OR(M10690="",N10690=""),"",SUMIFS('Barang Keluar'!$E:$E,'Barang Keluar'!$A:$A,M10690,'Barang Keluar'!$C:$C,N10690))</f>
        <v>0</v>
      </c>
    </row>
    <row r="10691" spans="13:16">
      <c r="M10691" s="49">
        <f>IF($A$4+106&gt;$B$4,"",$A$4+106)</f>
        <v>46129</v>
      </c>
      <c r="N10691">
        <f>IF(M10691="","",'Master Barang'!A85)</f>
        <v>0</v>
      </c>
      <c r="O10691">
        <f>IF(N10691="","",'Master Barang'!B85)</f>
        <v>0</v>
      </c>
      <c r="P10691">
        <f>IF(OR(M10691="",N10691=""),"",SUMIFS('Barang Keluar'!$E:$E,'Barang Keluar'!$A:$A,M10691,'Barang Keluar'!$C:$C,N10691))</f>
        <v>0</v>
      </c>
    </row>
    <row r="10692" spans="13:16">
      <c r="M10692" s="49">
        <f>IF($A$4+106&gt;$B$4,"",$A$4+106)</f>
        <v>46129</v>
      </c>
      <c r="N10692">
        <f>IF(M10692="","",'Master Barang'!A86)</f>
        <v>0</v>
      </c>
      <c r="O10692">
        <f>IF(N10692="","",'Master Barang'!B86)</f>
        <v>0</v>
      </c>
      <c r="P10692">
        <f>IF(OR(M10692="",N10692=""),"",SUMIFS('Barang Keluar'!$E:$E,'Barang Keluar'!$A:$A,M10692,'Barang Keluar'!$C:$C,N10692))</f>
        <v>0</v>
      </c>
    </row>
    <row r="10693" spans="13:16">
      <c r="M10693" s="49">
        <f>IF($A$4+106&gt;$B$4,"",$A$4+106)</f>
        <v>46129</v>
      </c>
      <c r="N10693">
        <f>IF(M10693="","",'Master Barang'!A87)</f>
        <v>0</v>
      </c>
      <c r="O10693">
        <f>IF(N10693="","",'Master Barang'!B87)</f>
        <v>0</v>
      </c>
      <c r="P10693">
        <f>IF(OR(M10693="",N10693=""),"",SUMIFS('Barang Keluar'!$E:$E,'Barang Keluar'!$A:$A,M10693,'Barang Keluar'!$C:$C,N10693))</f>
        <v>0</v>
      </c>
    </row>
    <row r="10694" spans="13:16">
      <c r="M10694" s="49">
        <f>IF($A$4+106&gt;$B$4,"",$A$4+106)</f>
        <v>46129</v>
      </c>
      <c r="N10694">
        <f>IF(M10694="","",'Master Barang'!A88)</f>
        <v>0</v>
      </c>
      <c r="O10694">
        <f>IF(N10694="","",'Master Barang'!B88)</f>
        <v>0</v>
      </c>
      <c r="P10694">
        <f>IF(OR(M10694="",N10694=""),"",SUMIFS('Barang Keluar'!$E:$E,'Barang Keluar'!$A:$A,M10694,'Barang Keluar'!$C:$C,N10694))</f>
        <v>0</v>
      </c>
    </row>
    <row r="10695" spans="13:16">
      <c r="M10695" s="49">
        <f>IF($A$4+106&gt;$B$4,"",$A$4+106)</f>
        <v>46129</v>
      </c>
      <c r="N10695">
        <f>IF(M10695="","",'Master Barang'!A89)</f>
        <v>0</v>
      </c>
      <c r="O10695">
        <f>IF(N10695="","",'Master Barang'!B89)</f>
        <v>0</v>
      </c>
      <c r="P10695">
        <f>IF(OR(M10695="",N10695=""),"",SUMIFS('Barang Keluar'!$E:$E,'Barang Keluar'!$A:$A,M10695,'Barang Keluar'!$C:$C,N10695))</f>
        <v>0</v>
      </c>
    </row>
    <row r="10696" spans="13:16">
      <c r="M10696" s="49">
        <f>IF($A$4+106&gt;$B$4,"",$A$4+106)</f>
        <v>46129</v>
      </c>
      <c r="N10696">
        <f>IF(M10696="","",'Master Barang'!A90)</f>
        <v>0</v>
      </c>
      <c r="O10696">
        <f>IF(N10696="","",'Master Barang'!B90)</f>
        <v>0</v>
      </c>
      <c r="P10696">
        <f>IF(OR(M10696="",N10696=""),"",SUMIFS('Barang Keluar'!$E:$E,'Barang Keluar'!$A:$A,M10696,'Barang Keluar'!$C:$C,N10696))</f>
        <v>0</v>
      </c>
    </row>
    <row r="10697" spans="13:16">
      <c r="M10697" s="49">
        <f>IF($A$4+106&gt;$B$4,"",$A$4+106)</f>
        <v>46129</v>
      </c>
      <c r="N10697">
        <f>IF(M10697="","",'Master Barang'!A91)</f>
        <v>0</v>
      </c>
      <c r="O10697">
        <f>IF(N10697="","",'Master Barang'!B91)</f>
        <v>0</v>
      </c>
      <c r="P10697">
        <f>IF(OR(M10697="",N10697=""),"",SUMIFS('Barang Keluar'!$E:$E,'Barang Keluar'!$A:$A,M10697,'Barang Keluar'!$C:$C,N10697))</f>
        <v>0</v>
      </c>
    </row>
    <row r="10698" spans="13:16">
      <c r="M10698" s="49">
        <f>IF($A$4+106&gt;$B$4,"",$A$4+106)</f>
        <v>46129</v>
      </c>
      <c r="N10698">
        <f>IF(M10698="","",'Master Barang'!A92)</f>
        <v>0</v>
      </c>
      <c r="O10698">
        <f>IF(N10698="","",'Master Barang'!B92)</f>
        <v>0</v>
      </c>
      <c r="P10698">
        <f>IF(OR(M10698="",N10698=""),"",SUMIFS('Barang Keluar'!$E:$E,'Barang Keluar'!$A:$A,M10698,'Barang Keluar'!$C:$C,N10698))</f>
        <v>0</v>
      </c>
    </row>
    <row r="10699" spans="13:16">
      <c r="M10699" s="49">
        <f>IF($A$4+106&gt;$B$4,"",$A$4+106)</f>
        <v>46129</v>
      </c>
      <c r="N10699">
        <f>IF(M10699="","",'Master Barang'!A93)</f>
        <v>0</v>
      </c>
      <c r="O10699">
        <f>IF(N10699="","",'Master Barang'!B93)</f>
        <v>0</v>
      </c>
      <c r="P10699">
        <f>IF(OR(M10699="",N10699=""),"",SUMIFS('Barang Keluar'!$E:$E,'Barang Keluar'!$A:$A,M10699,'Barang Keluar'!$C:$C,N10699))</f>
        <v>0</v>
      </c>
    </row>
    <row r="10700" spans="13:16">
      <c r="M10700" s="49">
        <f>IF($A$4+106&gt;$B$4,"",$A$4+106)</f>
        <v>46129</v>
      </c>
      <c r="N10700">
        <f>IF(M10700="","",'Master Barang'!A94)</f>
        <v>0</v>
      </c>
      <c r="O10700">
        <f>IF(N10700="","",'Master Barang'!B94)</f>
        <v>0</v>
      </c>
      <c r="P10700">
        <f>IF(OR(M10700="",N10700=""),"",SUMIFS('Barang Keluar'!$E:$E,'Barang Keluar'!$A:$A,M10700,'Barang Keluar'!$C:$C,N10700))</f>
        <v>0</v>
      </c>
    </row>
    <row r="10701" spans="13:16">
      <c r="M10701" s="49">
        <f>IF($A$4+106&gt;$B$4,"",$A$4+106)</f>
        <v>46129</v>
      </c>
      <c r="N10701">
        <f>IF(M10701="","",'Master Barang'!A95)</f>
        <v>0</v>
      </c>
      <c r="O10701">
        <f>IF(N10701="","",'Master Barang'!B95)</f>
        <v>0</v>
      </c>
      <c r="P10701">
        <f>IF(OR(M10701="",N10701=""),"",SUMIFS('Barang Keluar'!$E:$E,'Barang Keluar'!$A:$A,M10701,'Barang Keluar'!$C:$C,N10701))</f>
        <v>0</v>
      </c>
    </row>
    <row r="10702" spans="13:16">
      <c r="M10702" s="49">
        <f>IF($A$4+106&gt;$B$4,"",$A$4+106)</f>
        <v>46129</v>
      </c>
      <c r="N10702">
        <f>IF(M10702="","",'Master Barang'!A96)</f>
        <v>0</v>
      </c>
      <c r="O10702">
        <f>IF(N10702="","",'Master Barang'!B96)</f>
        <v>0</v>
      </c>
      <c r="P10702">
        <f>IF(OR(M10702="",N10702=""),"",SUMIFS('Barang Keluar'!$E:$E,'Barang Keluar'!$A:$A,M10702,'Barang Keluar'!$C:$C,N10702))</f>
        <v>0</v>
      </c>
    </row>
    <row r="10703" spans="13:16">
      <c r="M10703" s="49">
        <f>IF($A$4+106&gt;$B$4,"",$A$4+106)</f>
        <v>46129</v>
      </c>
      <c r="N10703">
        <f>IF(M10703="","",'Master Barang'!A97)</f>
        <v>0</v>
      </c>
      <c r="O10703">
        <f>IF(N10703="","",'Master Barang'!B97)</f>
        <v>0</v>
      </c>
      <c r="P10703">
        <f>IF(OR(M10703="",N10703=""),"",SUMIFS('Barang Keluar'!$E:$E,'Barang Keluar'!$A:$A,M10703,'Barang Keluar'!$C:$C,N10703))</f>
        <v>0</v>
      </c>
    </row>
    <row r="10704" spans="13:16">
      <c r="M10704" s="49">
        <f>IF($A$4+106&gt;$B$4,"",$A$4+106)</f>
        <v>46129</v>
      </c>
      <c r="N10704">
        <f>IF(M10704="","",'Master Barang'!A98)</f>
        <v>0</v>
      </c>
      <c r="O10704">
        <f>IF(N10704="","",'Master Barang'!B98)</f>
        <v>0</v>
      </c>
      <c r="P10704">
        <f>IF(OR(M10704="",N10704=""),"",SUMIFS('Barang Keluar'!$E:$E,'Barang Keluar'!$A:$A,M10704,'Barang Keluar'!$C:$C,N10704))</f>
        <v>0</v>
      </c>
    </row>
    <row r="10705" spans="13:16">
      <c r="M10705" s="49">
        <f>IF($A$4+106&gt;$B$4,"",$A$4+106)</f>
        <v>46129</v>
      </c>
      <c r="N10705">
        <f>IF(M10705="","",'Master Barang'!A99)</f>
        <v>0</v>
      </c>
      <c r="O10705">
        <f>IF(N10705="","",'Master Barang'!B99)</f>
        <v>0</v>
      </c>
      <c r="P10705">
        <f>IF(OR(M10705="",N10705=""),"",SUMIFS('Barang Keluar'!$E:$E,'Barang Keluar'!$A:$A,M10705,'Barang Keluar'!$C:$C,N10705))</f>
        <v>0</v>
      </c>
    </row>
    <row r="10706" spans="13:16">
      <c r="M10706" s="49">
        <f>IF($A$4+106&gt;$B$4,"",$A$4+106)</f>
        <v>46129</v>
      </c>
      <c r="N10706">
        <f>IF(M10706="","",'Master Barang'!A100)</f>
        <v>0</v>
      </c>
      <c r="O10706">
        <f>IF(N10706="","",'Master Barang'!B100)</f>
        <v>0</v>
      </c>
      <c r="P10706">
        <f>IF(OR(M10706="",N10706=""),"",SUMIFS('Barang Keluar'!$E:$E,'Barang Keluar'!$A:$A,M10706,'Barang Keluar'!$C:$C,N10706))</f>
        <v>0</v>
      </c>
    </row>
    <row r="10707" spans="13:16">
      <c r="M10707" s="49">
        <f>IF($A$4+106&gt;$B$4,"",$A$4+106)</f>
        <v>46129</v>
      </c>
      <c r="N10707">
        <f>IF(M10707="","",'Master Barang'!A101)</f>
        <v>0</v>
      </c>
      <c r="O10707">
        <f>IF(N10707="","",'Master Barang'!B101)</f>
        <v>0</v>
      </c>
      <c r="P10707">
        <f>IF(OR(M10707="",N10707=""),"",SUMIFS('Barang Keluar'!$E:$E,'Barang Keluar'!$A:$A,M10707,'Barang Keluar'!$C:$C,N10707))</f>
        <v>0</v>
      </c>
    </row>
    <row r="10708" spans="13:16">
      <c r="M10708" s="49">
        <f>IF($A$4+107&gt;$B$4,"",$A$4+107)</f>
        <v>46130</v>
      </c>
      <c r="N10708" t="str">
        <f>IF(M10708="","",'Master Barang'!A2)</f>
        <v>PRL-001</v>
      </c>
      <c r="O10708" t="str">
        <f>IF(N10708="","",'Master Barang'!B2)</f>
        <v>natura desinfectant food grade 5l</v>
      </c>
      <c r="P10708">
        <f>IF(OR(M10708="",N10708=""),"",SUMIFS('Barang Keluar'!$E:$E,'Barang Keluar'!$A:$A,M10708,'Barang Keluar'!$C:$C,N10708))</f>
        <v>0</v>
      </c>
    </row>
    <row r="10709" spans="13:16">
      <c r="M10709" s="49">
        <f>IF($A$4+107&gt;$B$4,"",$A$4+107)</f>
        <v>46130</v>
      </c>
      <c r="N10709" t="str">
        <f>IF(M10709="","",'Master Barang'!A3)</f>
        <v>PRL-002</v>
      </c>
      <c r="O10709" t="str">
        <f>IF(N10709="","",'Master Barang'!B3)</f>
        <v>sunlight cairan pencuci piring 5l</v>
      </c>
      <c r="P10709">
        <f>IF(OR(M10709="",N10709=""),"",SUMIFS('Barang Keluar'!$E:$E,'Barang Keluar'!$A:$A,M10709,'Barang Keluar'!$C:$C,N10709))</f>
        <v>0</v>
      </c>
    </row>
    <row r="10710" spans="13:16">
      <c r="M10710" s="49">
        <f>IF($A$4+107&gt;$B$4,"",$A$4+107)</f>
        <v>46130</v>
      </c>
      <c r="N10710" t="str">
        <f>IF(M10710="","",'Master Barang'!A4)</f>
        <v>PRL-003</v>
      </c>
      <c r="O10710" t="str">
        <f>IF(N10710="","",'Master Barang'!B4)</f>
        <v>oixs cleaner 1l</v>
      </c>
      <c r="P10710">
        <f>IF(OR(M10710="",N10710=""),"",SUMIFS('Barang Keluar'!$E:$E,'Barang Keluar'!$A:$A,M10710,'Barang Keluar'!$C:$C,N10710))</f>
        <v>0</v>
      </c>
    </row>
    <row r="10711" spans="13:16">
      <c r="M10711" s="49">
        <f>IF($A$4+107&gt;$B$4,"",$A$4+107)</f>
        <v>46130</v>
      </c>
      <c r="N10711" t="str">
        <f>IF(M10711="","",'Master Barang'!A5)</f>
        <v>PRL-004</v>
      </c>
      <c r="O10711" t="str">
        <f>IF(N10711="","",'Master Barang'!B5)</f>
        <v>be clean tissue serbaguna</v>
      </c>
      <c r="P10711">
        <f>IF(OR(M10711="",N10711=""),"",SUMIFS('Barang Keluar'!$E:$E,'Barang Keluar'!$A:$A,M10711,'Barang Keluar'!$C:$C,N10711))</f>
        <v>0</v>
      </c>
    </row>
    <row r="10712" spans="13:16">
      <c r="M10712" s="49">
        <f>IF($A$4+107&gt;$B$4,"",$A$4+107)</f>
        <v>46130</v>
      </c>
      <c r="N10712" t="str">
        <f>IF(M10712="","",'Master Barang'!A6)</f>
        <v>PRL-005</v>
      </c>
      <c r="O10712" t="str">
        <f>IF(N10712="","",'Master Barang'!B6)</f>
        <v>spons cuci hijau</v>
      </c>
      <c r="P10712">
        <f>IF(OR(M10712="",N10712=""),"",SUMIFS('Barang Keluar'!$E:$E,'Barang Keluar'!$A:$A,M10712,'Barang Keluar'!$C:$C,N10712))</f>
        <v>0</v>
      </c>
    </row>
    <row r="10713" spans="13:16">
      <c r="M10713" s="49">
        <f>IF($A$4+107&gt;$B$4,"",$A$4+107)</f>
        <v>46130</v>
      </c>
      <c r="N10713" t="str">
        <f>IF(M10713="","",'Master Barang'!A7)</f>
        <v>PRL-006</v>
      </c>
      <c r="O10713" t="str">
        <f>IF(N10713="","",'Master Barang'!B7)</f>
        <v>sabut cuci stainless</v>
      </c>
      <c r="P10713">
        <f>IF(OR(M10713="",N10713=""),"",SUMIFS('Barang Keluar'!$E:$E,'Barang Keluar'!$A:$A,M10713,'Barang Keluar'!$C:$C,N10713))</f>
        <v>0</v>
      </c>
    </row>
    <row r="10714" spans="13:16">
      <c r="M10714" s="49">
        <f>IF($A$4+107&gt;$B$4,"",$A$4+107)</f>
        <v>46130</v>
      </c>
      <c r="N10714" t="str">
        <f>IF(M10714="","",'Master Barang'!A8)</f>
        <v>PRL-007</v>
      </c>
      <c r="O10714" t="str">
        <f>IF(N10714="","",'Master Barang'!B8)</f>
        <v>plastik kresek besar merah 50pc</v>
      </c>
      <c r="P10714">
        <f>IF(OR(M10714="",N10714=""),"",SUMIFS('Barang Keluar'!$E:$E,'Barang Keluar'!$A:$A,M10714,'Barang Keluar'!$C:$C,N10714))</f>
        <v>0</v>
      </c>
    </row>
    <row r="10715" spans="13:16">
      <c r="M10715" s="49">
        <f>IF($A$4+107&gt;$B$4,"",$A$4+107)</f>
        <v>46130</v>
      </c>
      <c r="N10715" t="str">
        <f>IF(M10715="","",'Master Barang'!A9)</f>
        <v>PRL-008</v>
      </c>
      <c r="O10715" t="str">
        <f>IF(N10715="","",'Master Barang'!B9)</f>
        <v>lap besar</v>
      </c>
      <c r="P10715">
        <f>IF(OR(M10715="",N10715=""),"",SUMIFS('Barang Keluar'!$E:$E,'Barang Keluar'!$A:$A,M10715,'Barang Keluar'!$C:$C,N10715))</f>
        <v>0</v>
      </c>
    </row>
    <row r="10716" spans="13:16">
      <c r="M10716" s="49">
        <f>IF($A$4+107&gt;$B$4,"",$A$4+107)</f>
        <v>46130</v>
      </c>
      <c r="N10716" t="str">
        <f>IF(M10716="","",'Master Barang'!A10)</f>
        <v>PRL-009</v>
      </c>
      <c r="O10716" t="str">
        <f>IF(N10716="","",'Master Barang'!B10)</f>
        <v>lap microfiber</v>
      </c>
      <c r="P10716">
        <f>IF(OR(M10716="",N10716=""),"",SUMIFS('Barang Keluar'!$E:$E,'Barang Keluar'!$A:$A,M10716,'Barang Keluar'!$C:$C,N10716))</f>
        <v>0</v>
      </c>
    </row>
    <row r="10717" spans="13:16">
      <c r="M10717" s="49">
        <f>IF($A$4+107&gt;$B$4,"",$A$4+107)</f>
        <v>46130</v>
      </c>
      <c r="N10717" t="str">
        <f>IF(M10717="","",'Master Barang'!A11)</f>
        <v>PRL-010</v>
      </c>
      <c r="O10717" t="str">
        <f>IF(N10717="","",'Master Barang'!B11)</f>
        <v>lap kecil</v>
      </c>
      <c r="P10717">
        <f>IF(OR(M10717="",N10717=""),"",SUMIFS('Barang Keluar'!$E:$E,'Barang Keluar'!$A:$A,M10717,'Barang Keluar'!$C:$C,N10717))</f>
        <v>0</v>
      </c>
    </row>
    <row r="10718" spans="13:16">
      <c r="M10718" s="49">
        <f>IF($A$4+107&gt;$B$4,"",$A$4+107)</f>
        <v>46130</v>
      </c>
      <c r="N10718" t="str">
        <f>IF(M10718="","",'Master Barang'!A12)</f>
        <v>PRL-011</v>
      </c>
      <c r="O10718" t="str">
        <f>IF(N10718="","",'Master Barang'!B12)</f>
        <v>kanebo kecil</v>
      </c>
      <c r="P10718">
        <f>IF(OR(M10718="",N10718=""),"",SUMIFS('Barang Keluar'!$E:$E,'Barang Keluar'!$A:$A,M10718,'Barang Keluar'!$C:$C,N10718))</f>
        <v>0</v>
      </c>
    </row>
    <row r="10719" spans="13:16">
      <c r="M10719" s="49">
        <f>IF($A$4+107&gt;$B$4,"",$A$4+107)</f>
        <v>46130</v>
      </c>
      <c r="N10719" t="str">
        <f>IF(M10719="","",'Master Barang'!A13)</f>
        <v>PRL-012</v>
      </c>
      <c r="O10719" t="str">
        <f>IF(N10719="","",'Master Barang'!B13)</f>
        <v>plastik 1/4kg joyoboyo 100 lembar</v>
      </c>
      <c r="P10719">
        <f>IF(OR(M10719="",N10719=""),"",SUMIFS('Barang Keluar'!$E:$E,'Barang Keluar'!$A:$A,M10719,'Barang Keluar'!$C:$C,N10719))</f>
        <v>0</v>
      </c>
    </row>
    <row r="10720" spans="13:16">
      <c r="M10720" s="49">
        <f>IF($A$4+107&gt;$B$4,"",$A$4+107)</f>
        <v>46130</v>
      </c>
      <c r="N10720" t="str">
        <f>IF(M10720="","",'Master Barang'!A14)</f>
        <v>PRL-013</v>
      </c>
      <c r="O10720" t="str">
        <f>IF(N10720="","",'Master Barang'!B14)</f>
        <v>sarung tangan plastik kaka 100 pcs</v>
      </c>
      <c r="P10720">
        <f>IF(OR(M10720="",N10720=""),"",SUMIFS('Barang Keluar'!$E:$E,'Barang Keluar'!$A:$A,M10720,'Barang Keluar'!$C:$C,N10720))</f>
        <v>0</v>
      </c>
    </row>
    <row r="10721" spans="13:16">
      <c r="M10721" s="49">
        <f>IF($A$4+107&gt;$B$4,"",$A$4+107)</f>
        <v>46130</v>
      </c>
      <c r="N10721" t="str">
        <f>IF(M10721="","",'Master Barang'!A15)</f>
        <v>PRL-014</v>
      </c>
      <c r="O10721" t="str">
        <f>IF(N10721="","",'Master Barang'!B15)</f>
        <v>optima trashbag 80x100</v>
      </c>
      <c r="P10721">
        <f>IF(OR(M10721="",N10721=""),"",SUMIFS('Barang Keluar'!$E:$E,'Barang Keluar'!$A:$A,M10721,'Barang Keluar'!$C:$C,N10721))</f>
        <v>0</v>
      </c>
    </row>
    <row r="10722" spans="13:16">
      <c r="M10722" s="49">
        <f>IF($A$4+107&gt;$B$4,"",$A$4+107)</f>
        <v>46130</v>
      </c>
      <c r="N10722" t="str">
        <f>IF(M10722="","",'Master Barang'!A16)</f>
        <v>PRL-015</v>
      </c>
      <c r="O10722" t="str">
        <f>IF(N10722="","",'Master Barang'!B16)</f>
        <v>optima trashbag 60x100</v>
      </c>
      <c r="P10722">
        <f>IF(OR(M10722="",N10722=""),"",SUMIFS('Barang Keluar'!$E:$E,'Barang Keluar'!$A:$A,M10722,'Barang Keluar'!$C:$C,N10722))</f>
        <v>0</v>
      </c>
    </row>
    <row r="10723" spans="13:16">
      <c r="M10723" s="49">
        <f>IF($A$4+107&gt;$B$4,"",$A$4+107)</f>
        <v>46130</v>
      </c>
      <c r="N10723" t="str">
        <f>IF(M10723="","",'Master Barang'!A17)</f>
        <v>PRL-016</v>
      </c>
      <c r="O10723" t="str">
        <f>IF(N10723="","",'Master Barang'!B17)</f>
        <v>rajawali trashbag 30x40</v>
      </c>
      <c r="P10723">
        <f>IF(OR(M10723="",N10723=""),"",SUMIFS('Barang Keluar'!$E:$E,'Barang Keluar'!$A:$A,M10723,'Barang Keluar'!$C:$C,N10723))</f>
        <v>0</v>
      </c>
    </row>
    <row r="10724" spans="13:16">
      <c r="M10724" s="49">
        <f>IF($A$4+107&gt;$B$4,"",$A$4+107)</f>
        <v>46130</v>
      </c>
      <c r="N10724" t="str">
        <f>IF(M10724="","",'Master Barang'!A18)</f>
        <v>PRL-017</v>
      </c>
      <c r="O10724" t="str">
        <f>IF(N10724="","",'Master Barang'!B18)</f>
        <v>onemed masker biru 3 play 50 pcs</v>
      </c>
      <c r="P10724">
        <f>IF(OR(M10724="",N10724=""),"",SUMIFS('Barang Keluar'!$E:$E,'Barang Keluar'!$A:$A,M10724,'Barang Keluar'!$C:$C,N10724))</f>
        <v>0</v>
      </c>
    </row>
    <row r="10725" spans="13:16">
      <c r="M10725" s="49">
        <f>IF($A$4+107&gt;$B$4,"",$A$4+107)</f>
        <v>46130</v>
      </c>
      <c r="N10725" t="str">
        <f>IF(M10725="","",'Master Barang'!A19)</f>
        <v>PRL-018</v>
      </c>
      <c r="O10725" t="str">
        <f>IF(N10725="","",'Master Barang'!B19)</f>
        <v>onemed masker biru 3 play hijab 50 pcs</v>
      </c>
      <c r="P10725">
        <f>IF(OR(M10725="",N10725=""),"",SUMIFS('Barang Keluar'!$E:$E,'Barang Keluar'!$A:$A,M10725,'Barang Keluar'!$C:$C,N10725))</f>
        <v>0</v>
      </c>
    </row>
    <row r="10726" spans="13:16">
      <c r="M10726" s="49">
        <f>IF($A$4+107&gt;$B$4,"",$A$4+107)</f>
        <v>46130</v>
      </c>
      <c r="N10726" t="str">
        <f>IF(M10726="","",'Master Barang'!A20)</f>
        <v>PRL-019</v>
      </c>
      <c r="O10726" t="str">
        <f>IF(N10726="","",'Master Barang'!B20)</f>
        <v>neo health masker biru 3 play 50 pcs</v>
      </c>
      <c r="P10726">
        <f>IF(OR(M10726="",N10726=""),"",SUMIFS('Barang Keluar'!$E:$E,'Barang Keluar'!$A:$A,M10726,'Barang Keluar'!$C:$C,N10726))</f>
        <v>0</v>
      </c>
    </row>
    <row r="10727" spans="13:16">
      <c r="M10727" s="49">
        <f>IF($A$4+107&gt;$B$4,"",$A$4+107)</f>
        <v>46130</v>
      </c>
      <c r="N10727" t="str">
        <f>IF(M10727="","",'Master Barang'!A21)</f>
        <v>PRL-020</v>
      </c>
      <c r="O10727" t="str">
        <f>IF(N10727="","",'Master Barang'!B21)</f>
        <v>baymed masker hijau 3 play hijau 50 pcs</v>
      </c>
      <c r="P10727">
        <f>IF(OR(M10727="",N10727=""),"",SUMIFS('Barang Keluar'!$E:$E,'Barang Keluar'!$A:$A,M10727,'Barang Keluar'!$C:$C,N10727))</f>
        <v>0</v>
      </c>
    </row>
    <row r="10728" spans="13:16">
      <c r="M10728" s="49">
        <f>IF($A$4+107&gt;$B$4,"",$A$4+107)</f>
        <v>46130</v>
      </c>
      <c r="N10728" t="str">
        <f>IF(M10728="","",'Master Barang'!A22)</f>
        <v>PRL-021</v>
      </c>
      <c r="O10728" t="str">
        <f>IF(N10728="","",'Master Barang'!B22)</f>
        <v>altamed nurse cap penutup kepala 100 pcs</v>
      </c>
      <c r="P10728">
        <f>IF(OR(M10728="",N10728=""),"",SUMIFS('Barang Keluar'!$E:$E,'Barang Keluar'!$A:$A,M10728,'Barang Keluar'!$C:$C,N10728))</f>
        <v>0</v>
      </c>
    </row>
    <row r="10729" spans="13:16">
      <c r="M10729" s="49">
        <f>IF($A$4+107&gt;$B$4,"",$A$4+107)</f>
        <v>46130</v>
      </c>
      <c r="N10729" t="str">
        <f>IF(M10729="","",'Master Barang'!A23)</f>
        <v>PRL-022</v>
      </c>
      <c r="O10729" t="str">
        <f>IF(N10729="","",'Master Barang'!B23)</f>
        <v>sabun cuci tangan</v>
      </c>
      <c r="P10729">
        <f>IF(OR(M10729="",N10729=""),"",SUMIFS('Barang Keluar'!$E:$E,'Barang Keluar'!$A:$A,M10729,'Barang Keluar'!$C:$C,N10729))</f>
        <v>0</v>
      </c>
    </row>
    <row r="10730" spans="13:16">
      <c r="M10730" s="49">
        <f>IF($A$4+107&gt;$B$4,"",$A$4+107)</f>
        <v>46130</v>
      </c>
      <c r="N10730" t="str">
        <f>IF(M10730="","",'Master Barang'!A24)</f>
        <v>PRL-023</v>
      </c>
      <c r="O10730" t="str">
        <f>IF(N10730="","",'Master Barang'!B24)</f>
        <v>gayung kecil</v>
      </c>
      <c r="P10730">
        <f>IF(OR(M10730="",N10730=""),"",SUMIFS('Barang Keluar'!$E:$E,'Barang Keluar'!$A:$A,M10730,'Barang Keluar'!$C:$C,N10730))</f>
        <v>0</v>
      </c>
    </row>
    <row r="10731" spans="13:16">
      <c r="M10731" s="49">
        <f>IF($A$4+107&gt;$B$4,"",$A$4+107)</f>
        <v>46130</v>
      </c>
      <c r="N10731" t="str">
        <f>IF(M10731="","",'Master Barang'!A25)</f>
        <v>PRL-024</v>
      </c>
      <c r="O10731" t="str">
        <f>IF(N10731="","",'Master Barang'!B25)</f>
        <v>cikrak kecil</v>
      </c>
      <c r="P10731">
        <f>IF(OR(M10731="",N10731=""),"",SUMIFS('Barang Keluar'!$E:$E,'Barang Keluar'!$A:$A,M10731,'Barang Keluar'!$C:$C,N10731))</f>
        <v>0</v>
      </c>
    </row>
    <row r="10732" spans="13:16">
      <c r="M10732" s="49">
        <f>IF($A$4+107&gt;$B$4,"",$A$4+107)</f>
        <v>46130</v>
      </c>
      <c r="N10732" t="str">
        <f>IF(M10732="","",'Master Barang'!A26)</f>
        <v>PRL-025</v>
      </c>
      <c r="O10732" t="str">
        <f>IF(N10732="","",'Master Barang'!B26)</f>
        <v>petromax plastik kecil 12x24 100 lembar</v>
      </c>
      <c r="P10732">
        <f>IF(OR(M10732="",N10732=""),"",SUMIFS('Barang Keluar'!$E:$E,'Barang Keluar'!$A:$A,M10732,'Barang Keluar'!$C:$C,N10732))</f>
        <v>0</v>
      </c>
    </row>
    <row r="10733" spans="13:16">
      <c r="M10733" s="49">
        <f>IF($A$4+107&gt;$B$4,"",$A$4+107)</f>
        <v>46130</v>
      </c>
      <c r="N10733" t="str">
        <f>IF(M10733="","",'Master Barang'!A27)</f>
        <v>PRL-026</v>
      </c>
      <c r="O10733" t="str">
        <f>IF(N10733="","",'Master Barang'!B27)</f>
        <v>lancar kresek kecil bening </v>
      </c>
      <c r="P10733">
        <f>IF(OR(M10733="",N10733=""),"",SUMIFS('Barang Keluar'!$E:$E,'Barang Keluar'!$A:$A,M10733,'Barang Keluar'!$C:$C,N10733))</f>
        <v>0</v>
      </c>
    </row>
    <row r="10734" spans="13:16">
      <c r="M10734" s="49">
        <f>IF($A$4+107&gt;$B$4,"",$A$4+107)</f>
        <v>46130</v>
      </c>
      <c r="N10734" t="str">
        <f>IF(M10734="","",'Master Barang'!A28)</f>
        <v>PRL-027</v>
      </c>
      <c r="O10734" t="str">
        <f>IF(N10734="","",'Master Barang'!B28)</f>
        <v>kresek klin warna warni kecil</v>
      </c>
      <c r="P10734">
        <f>IF(OR(M10734="",N10734=""),"",SUMIFS('Barang Keluar'!$E:$E,'Barang Keluar'!$A:$A,M10734,'Barang Keluar'!$C:$C,N10734))</f>
        <v>0</v>
      </c>
    </row>
    <row r="10735" spans="13:16">
      <c r="M10735" s="49">
        <f>IF($A$4+107&gt;$B$4,"",$A$4+107)</f>
        <v>46130</v>
      </c>
      <c r="N10735" t="str">
        <f>IF(M10735="","",'Master Barang'!A29)</f>
        <v>PRL-028</v>
      </c>
      <c r="O10735" t="str">
        <f>IF(N10735="","",'Master Barang'!B29)</f>
        <v>ctik plastik 7x10 100 pcs</v>
      </c>
      <c r="P10735">
        <f>IF(OR(M10735="",N10735=""),"",SUMIFS('Barang Keluar'!$E:$E,'Barang Keluar'!$A:$A,M10735,'Barang Keluar'!$C:$C,N10735))</f>
        <v>0</v>
      </c>
    </row>
    <row r="10736" spans="13:16">
      <c r="M10736" s="49">
        <f>IF($A$4+107&gt;$B$4,"",$A$4+107)</f>
        <v>46130</v>
      </c>
      <c r="N10736" t="str">
        <f>IF(M10736="","",'Master Barang'!A30)</f>
        <v>PRL-029</v>
      </c>
      <c r="O10736" t="str">
        <f>IF(N10736="","",'Master Barang'!B30)</f>
        <v>ctik plastik 6x10 100 pcs</v>
      </c>
      <c r="P10736">
        <f>IF(OR(M10736="",N10736=""),"",SUMIFS('Barang Keluar'!$E:$E,'Barang Keluar'!$A:$A,M10736,'Barang Keluar'!$C:$C,N10736))</f>
        <v>0</v>
      </c>
    </row>
    <row r="10737" spans="13:16">
      <c r="M10737" s="49">
        <f>IF($A$4+107&gt;$B$4,"",$A$4+107)</f>
        <v>46130</v>
      </c>
      <c r="N10737" t="str">
        <f>IF(M10737="","",'Master Barang'!A31)</f>
        <v>PRL-030</v>
      </c>
      <c r="O10737" t="str">
        <f>IF(N10737="","",'Master Barang'!B31)</f>
        <v>klip plastik 25x16 100 pcs</v>
      </c>
      <c r="P10737">
        <f>IF(OR(M10737="",N10737=""),"",SUMIFS('Barang Keluar'!$E:$E,'Barang Keluar'!$A:$A,M10737,'Barang Keluar'!$C:$C,N10737))</f>
        <v>0</v>
      </c>
    </row>
    <row r="10738" spans="13:16">
      <c r="M10738" s="49">
        <f>IF($A$4+107&gt;$B$4,"",$A$4+107)</f>
        <v>46130</v>
      </c>
      <c r="N10738" t="str">
        <f>IF(M10738="","",'Master Barang'!A32)</f>
        <v>PRL-031</v>
      </c>
      <c r="O10738" t="str">
        <f>IF(N10738="","",'Master Barang'!B32)</f>
        <v>tempat saus 20 ml</v>
      </c>
      <c r="P10738">
        <f>IF(OR(M10738="",N10738=""),"",SUMIFS('Barang Keluar'!$E:$E,'Barang Keluar'!$A:$A,M10738,'Barang Keluar'!$C:$C,N10738))</f>
        <v>0</v>
      </c>
    </row>
    <row r="10739" spans="13:16">
      <c r="M10739" s="49">
        <f>IF($A$4+107&gt;$B$4,"",$A$4+107)</f>
        <v>46130</v>
      </c>
      <c r="N10739" t="str">
        <f>IF(M10739="","",'Master Barang'!A33)</f>
        <v>PRL-032</v>
      </c>
      <c r="O10739" t="str">
        <f>IF(N10739="","",'Master Barang'!B33)</f>
        <v>plastik packaging ag box uk sedang</v>
      </c>
      <c r="P10739">
        <f>IF(OR(M10739="",N10739=""),"",SUMIFS('Barang Keluar'!$E:$E,'Barang Keluar'!$A:$A,M10739,'Barang Keluar'!$C:$C,N10739))</f>
        <v>0</v>
      </c>
    </row>
    <row r="10740" spans="13:16">
      <c r="M10740" s="49">
        <f>IF($A$4+107&gt;$B$4,"",$A$4+107)</f>
        <v>46130</v>
      </c>
      <c r="N10740" t="str">
        <f>IF(M10740="","",'Master Barang'!A34)</f>
        <v>PRL-033</v>
      </c>
      <c r="O10740">
        <f>IF(N10740="","",'Master Barang'!B34)</f>
        <v>0</v>
      </c>
      <c r="P10740">
        <f>IF(OR(M10740="",N10740=""),"",SUMIFS('Barang Keluar'!$E:$E,'Barang Keluar'!$A:$A,M10740,'Barang Keluar'!$C:$C,N10740))</f>
        <v>0</v>
      </c>
    </row>
    <row r="10741" spans="13:16">
      <c r="M10741" s="49">
        <f>IF($A$4+107&gt;$B$4,"",$A$4+107)</f>
        <v>46130</v>
      </c>
      <c r="N10741">
        <f>IF(M10741="","",'Master Barang'!A35)</f>
        <v>0</v>
      </c>
      <c r="O10741">
        <f>IF(N10741="","",'Master Barang'!B35)</f>
        <v>0</v>
      </c>
      <c r="P10741">
        <f>IF(OR(M10741="",N10741=""),"",SUMIFS('Barang Keluar'!$E:$E,'Barang Keluar'!$A:$A,M10741,'Barang Keluar'!$C:$C,N10741))</f>
        <v>0</v>
      </c>
    </row>
    <row r="10742" spans="13:16">
      <c r="M10742" s="49">
        <f>IF($A$4+107&gt;$B$4,"",$A$4+107)</f>
        <v>46130</v>
      </c>
      <c r="N10742">
        <f>IF(M10742="","",'Master Barang'!A36)</f>
        <v>0</v>
      </c>
      <c r="O10742">
        <f>IF(N10742="","",'Master Barang'!B36)</f>
        <v>0</v>
      </c>
      <c r="P10742">
        <f>IF(OR(M10742="",N10742=""),"",SUMIFS('Barang Keluar'!$E:$E,'Barang Keluar'!$A:$A,M10742,'Barang Keluar'!$C:$C,N10742))</f>
        <v>0</v>
      </c>
    </row>
    <row r="10743" spans="13:16">
      <c r="M10743" s="49">
        <f>IF($A$4+107&gt;$B$4,"",$A$4+107)</f>
        <v>46130</v>
      </c>
      <c r="N10743">
        <f>IF(M10743="","",'Master Barang'!A37)</f>
        <v>0</v>
      </c>
      <c r="O10743">
        <f>IF(N10743="","",'Master Barang'!B37)</f>
        <v>0</v>
      </c>
      <c r="P10743">
        <f>IF(OR(M10743="",N10743=""),"",SUMIFS('Barang Keluar'!$E:$E,'Barang Keluar'!$A:$A,M10743,'Barang Keluar'!$C:$C,N10743))</f>
        <v>0</v>
      </c>
    </row>
    <row r="10744" spans="13:16">
      <c r="M10744" s="49">
        <f>IF($A$4+107&gt;$B$4,"",$A$4+107)</f>
        <v>46130</v>
      </c>
      <c r="N10744">
        <f>IF(M10744="","",'Master Barang'!A38)</f>
        <v>0</v>
      </c>
      <c r="O10744">
        <f>IF(N10744="","",'Master Barang'!B38)</f>
        <v>0</v>
      </c>
      <c r="P10744">
        <f>IF(OR(M10744="",N10744=""),"",SUMIFS('Barang Keluar'!$E:$E,'Barang Keluar'!$A:$A,M10744,'Barang Keluar'!$C:$C,N10744))</f>
        <v>0</v>
      </c>
    </row>
    <row r="10745" spans="13:16">
      <c r="M10745" s="49">
        <f>IF($A$4+107&gt;$B$4,"",$A$4+107)</f>
        <v>46130</v>
      </c>
      <c r="N10745">
        <f>IF(M10745="","",'Master Barang'!A39)</f>
        <v>0</v>
      </c>
      <c r="O10745">
        <f>IF(N10745="","",'Master Barang'!B39)</f>
        <v>0</v>
      </c>
      <c r="P10745">
        <f>IF(OR(M10745="",N10745=""),"",SUMIFS('Barang Keluar'!$E:$E,'Barang Keluar'!$A:$A,M10745,'Barang Keluar'!$C:$C,N10745))</f>
        <v>0</v>
      </c>
    </row>
    <row r="10746" spans="13:16">
      <c r="M10746" s="49">
        <f>IF($A$4+107&gt;$B$4,"",$A$4+107)</f>
        <v>46130</v>
      </c>
      <c r="N10746">
        <f>IF(M10746="","",'Master Barang'!A40)</f>
        <v>0</v>
      </c>
      <c r="O10746">
        <f>IF(N10746="","",'Master Barang'!B40)</f>
        <v>0</v>
      </c>
      <c r="P10746">
        <f>IF(OR(M10746="",N10746=""),"",SUMIFS('Barang Keluar'!$E:$E,'Barang Keluar'!$A:$A,M10746,'Barang Keluar'!$C:$C,N10746))</f>
        <v>0</v>
      </c>
    </row>
    <row r="10747" spans="13:16">
      <c r="M10747" s="49">
        <f>IF($A$4+107&gt;$B$4,"",$A$4+107)</f>
        <v>46130</v>
      </c>
      <c r="N10747">
        <f>IF(M10747="","",'Master Barang'!A41)</f>
        <v>0</v>
      </c>
      <c r="O10747">
        <f>IF(N10747="","",'Master Barang'!B41)</f>
        <v>0</v>
      </c>
      <c r="P10747">
        <f>IF(OR(M10747="",N10747=""),"",SUMIFS('Barang Keluar'!$E:$E,'Barang Keluar'!$A:$A,M10747,'Barang Keluar'!$C:$C,N10747))</f>
        <v>0</v>
      </c>
    </row>
    <row r="10748" spans="13:16">
      <c r="M10748" s="49">
        <f>IF($A$4+107&gt;$B$4,"",$A$4+107)</f>
        <v>46130</v>
      </c>
      <c r="N10748">
        <f>IF(M10748="","",'Master Barang'!A42)</f>
        <v>0</v>
      </c>
      <c r="O10748">
        <f>IF(N10748="","",'Master Barang'!B42)</f>
        <v>0</v>
      </c>
      <c r="P10748">
        <f>IF(OR(M10748="",N10748=""),"",SUMIFS('Barang Keluar'!$E:$E,'Barang Keluar'!$A:$A,M10748,'Barang Keluar'!$C:$C,N10748))</f>
        <v>0</v>
      </c>
    </row>
    <row r="10749" spans="13:16">
      <c r="M10749" s="49">
        <f>IF($A$4+107&gt;$B$4,"",$A$4+107)</f>
        <v>46130</v>
      </c>
      <c r="N10749">
        <f>IF(M10749="","",'Master Barang'!A43)</f>
        <v>0</v>
      </c>
      <c r="O10749">
        <f>IF(N10749="","",'Master Barang'!B43)</f>
        <v>0</v>
      </c>
      <c r="P10749">
        <f>IF(OR(M10749="",N10749=""),"",SUMIFS('Barang Keluar'!$E:$E,'Barang Keluar'!$A:$A,M10749,'Barang Keluar'!$C:$C,N10749))</f>
        <v>0</v>
      </c>
    </row>
    <row r="10750" spans="13:16">
      <c r="M10750" s="49">
        <f>IF($A$4+107&gt;$B$4,"",$A$4+107)</f>
        <v>46130</v>
      </c>
      <c r="N10750">
        <f>IF(M10750="","",'Master Barang'!A44)</f>
        <v>0</v>
      </c>
      <c r="O10750">
        <f>IF(N10750="","",'Master Barang'!B44)</f>
        <v>0</v>
      </c>
      <c r="P10750">
        <f>IF(OR(M10750="",N10750=""),"",SUMIFS('Barang Keluar'!$E:$E,'Barang Keluar'!$A:$A,M10750,'Barang Keluar'!$C:$C,N10750))</f>
        <v>0</v>
      </c>
    </row>
    <row r="10751" spans="13:16">
      <c r="M10751" s="49">
        <f>IF($A$4+107&gt;$B$4,"",$A$4+107)</f>
        <v>46130</v>
      </c>
      <c r="N10751">
        <f>IF(M10751="","",'Master Barang'!A45)</f>
        <v>0</v>
      </c>
      <c r="O10751">
        <f>IF(N10751="","",'Master Barang'!B45)</f>
        <v>0</v>
      </c>
      <c r="P10751">
        <f>IF(OR(M10751="",N10751=""),"",SUMIFS('Barang Keluar'!$E:$E,'Barang Keluar'!$A:$A,M10751,'Barang Keluar'!$C:$C,N10751))</f>
        <v>0</v>
      </c>
    </row>
    <row r="10752" spans="13:16">
      <c r="M10752" s="49">
        <f>IF($A$4+107&gt;$B$4,"",$A$4+107)</f>
        <v>46130</v>
      </c>
      <c r="N10752">
        <f>IF(M10752="","",'Master Barang'!A46)</f>
        <v>0</v>
      </c>
      <c r="O10752">
        <f>IF(N10752="","",'Master Barang'!B46)</f>
        <v>0</v>
      </c>
      <c r="P10752">
        <f>IF(OR(M10752="",N10752=""),"",SUMIFS('Barang Keluar'!$E:$E,'Barang Keluar'!$A:$A,M10752,'Barang Keluar'!$C:$C,N10752))</f>
        <v>0</v>
      </c>
    </row>
    <row r="10753" spans="13:16">
      <c r="M10753" s="49">
        <f>IF($A$4+107&gt;$B$4,"",$A$4+107)</f>
        <v>46130</v>
      </c>
      <c r="N10753">
        <f>IF(M10753="","",'Master Barang'!A47)</f>
        <v>0</v>
      </c>
      <c r="O10753">
        <f>IF(N10753="","",'Master Barang'!B47)</f>
        <v>0</v>
      </c>
      <c r="P10753">
        <f>IF(OR(M10753="",N10753=""),"",SUMIFS('Barang Keluar'!$E:$E,'Barang Keluar'!$A:$A,M10753,'Barang Keluar'!$C:$C,N10753))</f>
        <v>0</v>
      </c>
    </row>
    <row r="10754" spans="13:16">
      <c r="M10754" s="49">
        <f>IF($A$4+107&gt;$B$4,"",$A$4+107)</f>
        <v>46130</v>
      </c>
      <c r="N10754">
        <f>IF(M10754="","",'Master Barang'!A48)</f>
        <v>0</v>
      </c>
      <c r="O10754">
        <f>IF(N10754="","",'Master Barang'!B48)</f>
        <v>0</v>
      </c>
      <c r="P10754">
        <f>IF(OR(M10754="",N10754=""),"",SUMIFS('Barang Keluar'!$E:$E,'Barang Keluar'!$A:$A,M10754,'Barang Keluar'!$C:$C,N10754))</f>
        <v>0</v>
      </c>
    </row>
    <row r="10755" spans="13:16">
      <c r="M10755" s="49">
        <f>IF($A$4+107&gt;$B$4,"",$A$4+107)</f>
        <v>46130</v>
      </c>
      <c r="N10755">
        <f>IF(M10755="","",'Master Barang'!A49)</f>
        <v>0</v>
      </c>
      <c r="O10755">
        <f>IF(N10755="","",'Master Barang'!B49)</f>
        <v>0</v>
      </c>
      <c r="P10755">
        <f>IF(OR(M10755="",N10755=""),"",SUMIFS('Barang Keluar'!$E:$E,'Barang Keluar'!$A:$A,M10755,'Barang Keluar'!$C:$C,N10755))</f>
        <v>0</v>
      </c>
    </row>
    <row r="10756" spans="13:16">
      <c r="M10756" s="49">
        <f>IF($A$4+107&gt;$B$4,"",$A$4+107)</f>
        <v>46130</v>
      </c>
      <c r="N10756">
        <f>IF(M10756="","",'Master Barang'!A50)</f>
        <v>0</v>
      </c>
      <c r="O10756">
        <f>IF(N10756="","",'Master Barang'!B50)</f>
        <v>0</v>
      </c>
      <c r="P10756">
        <f>IF(OR(M10756="",N10756=""),"",SUMIFS('Barang Keluar'!$E:$E,'Barang Keluar'!$A:$A,M10756,'Barang Keluar'!$C:$C,N10756))</f>
        <v>0</v>
      </c>
    </row>
    <row r="10757" spans="13:16">
      <c r="M10757" s="49">
        <f>IF($A$4+107&gt;$B$4,"",$A$4+107)</f>
        <v>46130</v>
      </c>
      <c r="N10757">
        <f>IF(M10757="","",'Master Barang'!A51)</f>
        <v>0</v>
      </c>
      <c r="O10757">
        <f>IF(N10757="","",'Master Barang'!B51)</f>
        <v>0</v>
      </c>
      <c r="P10757">
        <f>IF(OR(M10757="",N10757=""),"",SUMIFS('Barang Keluar'!$E:$E,'Barang Keluar'!$A:$A,M10757,'Barang Keluar'!$C:$C,N10757))</f>
        <v>0</v>
      </c>
    </row>
    <row r="10758" spans="13:16">
      <c r="M10758" s="49">
        <f>IF($A$4+107&gt;$B$4,"",$A$4+107)</f>
        <v>46130</v>
      </c>
      <c r="N10758">
        <f>IF(M10758="","",'Master Barang'!A52)</f>
        <v>0</v>
      </c>
      <c r="O10758">
        <f>IF(N10758="","",'Master Barang'!B52)</f>
        <v>0</v>
      </c>
      <c r="P10758">
        <f>IF(OR(M10758="",N10758=""),"",SUMIFS('Barang Keluar'!$E:$E,'Barang Keluar'!$A:$A,M10758,'Barang Keluar'!$C:$C,N10758))</f>
        <v>0</v>
      </c>
    </row>
    <row r="10759" spans="13:16">
      <c r="M10759" s="49">
        <f>IF($A$4+107&gt;$B$4,"",$A$4+107)</f>
        <v>46130</v>
      </c>
      <c r="N10759">
        <f>IF(M10759="","",'Master Barang'!A53)</f>
        <v>0</v>
      </c>
      <c r="O10759">
        <f>IF(N10759="","",'Master Barang'!B53)</f>
        <v>0</v>
      </c>
      <c r="P10759">
        <f>IF(OR(M10759="",N10759=""),"",SUMIFS('Barang Keluar'!$E:$E,'Barang Keluar'!$A:$A,M10759,'Barang Keluar'!$C:$C,N10759))</f>
        <v>0</v>
      </c>
    </row>
    <row r="10760" spans="13:16">
      <c r="M10760" s="49">
        <f>IF($A$4+107&gt;$B$4,"",$A$4+107)</f>
        <v>46130</v>
      </c>
      <c r="N10760">
        <f>IF(M10760="","",'Master Barang'!A54)</f>
        <v>0</v>
      </c>
      <c r="O10760">
        <f>IF(N10760="","",'Master Barang'!B54)</f>
        <v>0</v>
      </c>
      <c r="P10760">
        <f>IF(OR(M10760="",N10760=""),"",SUMIFS('Barang Keluar'!$E:$E,'Barang Keluar'!$A:$A,M10760,'Barang Keluar'!$C:$C,N10760))</f>
        <v>0</v>
      </c>
    </row>
    <row r="10761" spans="13:16">
      <c r="M10761" s="49">
        <f>IF($A$4+107&gt;$B$4,"",$A$4+107)</f>
        <v>46130</v>
      </c>
      <c r="N10761">
        <f>IF(M10761="","",'Master Barang'!A55)</f>
        <v>0</v>
      </c>
      <c r="O10761">
        <f>IF(N10761="","",'Master Barang'!B55)</f>
        <v>0</v>
      </c>
      <c r="P10761">
        <f>IF(OR(M10761="",N10761=""),"",SUMIFS('Barang Keluar'!$E:$E,'Barang Keluar'!$A:$A,M10761,'Barang Keluar'!$C:$C,N10761))</f>
        <v>0</v>
      </c>
    </row>
    <row r="10762" spans="13:16">
      <c r="M10762" s="49">
        <f>IF($A$4+107&gt;$B$4,"",$A$4+107)</f>
        <v>46130</v>
      </c>
      <c r="N10762">
        <f>IF(M10762="","",'Master Barang'!A56)</f>
        <v>0</v>
      </c>
      <c r="O10762">
        <f>IF(N10762="","",'Master Barang'!B56)</f>
        <v>0</v>
      </c>
      <c r="P10762">
        <f>IF(OR(M10762="",N10762=""),"",SUMIFS('Barang Keluar'!$E:$E,'Barang Keluar'!$A:$A,M10762,'Barang Keluar'!$C:$C,N10762))</f>
        <v>0</v>
      </c>
    </row>
    <row r="10763" spans="13:16">
      <c r="M10763" s="49">
        <f>IF($A$4+107&gt;$B$4,"",$A$4+107)</f>
        <v>46130</v>
      </c>
      <c r="N10763">
        <f>IF(M10763="","",'Master Barang'!A57)</f>
        <v>0</v>
      </c>
      <c r="O10763">
        <f>IF(N10763="","",'Master Barang'!B57)</f>
        <v>0</v>
      </c>
      <c r="P10763">
        <f>IF(OR(M10763="",N10763=""),"",SUMIFS('Barang Keluar'!$E:$E,'Barang Keluar'!$A:$A,M10763,'Barang Keluar'!$C:$C,N10763))</f>
        <v>0</v>
      </c>
    </row>
    <row r="10764" spans="13:16">
      <c r="M10764" s="49">
        <f>IF($A$4+107&gt;$B$4,"",$A$4+107)</f>
        <v>46130</v>
      </c>
      <c r="N10764">
        <f>IF(M10764="","",'Master Barang'!A58)</f>
        <v>0</v>
      </c>
      <c r="O10764">
        <f>IF(N10764="","",'Master Barang'!B58)</f>
        <v>0</v>
      </c>
      <c r="P10764">
        <f>IF(OR(M10764="",N10764=""),"",SUMIFS('Barang Keluar'!$E:$E,'Barang Keluar'!$A:$A,M10764,'Barang Keluar'!$C:$C,N10764))</f>
        <v>0</v>
      </c>
    </row>
    <row r="10765" spans="13:16">
      <c r="M10765" s="49">
        <f>IF($A$4+107&gt;$B$4,"",$A$4+107)</f>
        <v>46130</v>
      </c>
      <c r="N10765">
        <f>IF(M10765="","",'Master Barang'!A59)</f>
        <v>0</v>
      </c>
      <c r="O10765">
        <f>IF(N10765="","",'Master Barang'!B59)</f>
        <v>0</v>
      </c>
      <c r="P10765">
        <f>IF(OR(M10765="",N10765=""),"",SUMIFS('Barang Keluar'!$E:$E,'Barang Keluar'!$A:$A,M10765,'Barang Keluar'!$C:$C,N10765))</f>
        <v>0</v>
      </c>
    </row>
    <row r="10766" spans="13:16">
      <c r="M10766" s="49">
        <f>IF($A$4+107&gt;$B$4,"",$A$4+107)</f>
        <v>46130</v>
      </c>
      <c r="N10766">
        <f>IF(M10766="","",'Master Barang'!A60)</f>
        <v>0</v>
      </c>
      <c r="O10766">
        <f>IF(N10766="","",'Master Barang'!B60)</f>
        <v>0</v>
      </c>
      <c r="P10766">
        <f>IF(OR(M10766="",N10766=""),"",SUMIFS('Barang Keluar'!$E:$E,'Barang Keluar'!$A:$A,M10766,'Barang Keluar'!$C:$C,N10766))</f>
        <v>0</v>
      </c>
    </row>
    <row r="10767" spans="13:16">
      <c r="M10767" s="49">
        <f>IF($A$4+107&gt;$B$4,"",$A$4+107)</f>
        <v>46130</v>
      </c>
      <c r="N10767">
        <f>IF(M10767="","",'Master Barang'!A61)</f>
        <v>0</v>
      </c>
      <c r="O10767">
        <f>IF(N10767="","",'Master Barang'!B61)</f>
        <v>0</v>
      </c>
      <c r="P10767">
        <f>IF(OR(M10767="",N10767=""),"",SUMIFS('Barang Keluar'!$E:$E,'Barang Keluar'!$A:$A,M10767,'Barang Keluar'!$C:$C,N10767))</f>
        <v>0</v>
      </c>
    </row>
    <row r="10768" spans="13:16">
      <c r="M10768" s="49">
        <f>IF($A$4+107&gt;$B$4,"",$A$4+107)</f>
        <v>46130</v>
      </c>
      <c r="N10768">
        <f>IF(M10768="","",'Master Barang'!A62)</f>
        <v>0</v>
      </c>
      <c r="O10768">
        <f>IF(N10768="","",'Master Barang'!B62)</f>
        <v>0</v>
      </c>
      <c r="P10768">
        <f>IF(OR(M10768="",N10768=""),"",SUMIFS('Barang Keluar'!$E:$E,'Barang Keluar'!$A:$A,M10768,'Barang Keluar'!$C:$C,N10768))</f>
        <v>0</v>
      </c>
    </row>
    <row r="10769" spans="13:16">
      <c r="M10769" s="49">
        <f>IF($A$4+107&gt;$B$4,"",$A$4+107)</f>
        <v>46130</v>
      </c>
      <c r="N10769">
        <f>IF(M10769="","",'Master Barang'!A63)</f>
        <v>0</v>
      </c>
      <c r="O10769">
        <f>IF(N10769="","",'Master Barang'!B63)</f>
        <v>0</v>
      </c>
      <c r="P10769">
        <f>IF(OR(M10769="",N10769=""),"",SUMIFS('Barang Keluar'!$E:$E,'Barang Keluar'!$A:$A,M10769,'Barang Keluar'!$C:$C,N10769))</f>
        <v>0</v>
      </c>
    </row>
    <row r="10770" spans="13:16">
      <c r="M10770" s="49">
        <f>IF($A$4+107&gt;$B$4,"",$A$4+107)</f>
        <v>46130</v>
      </c>
      <c r="N10770">
        <f>IF(M10770="","",'Master Barang'!A64)</f>
        <v>0</v>
      </c>
      <c r="O10770">
        <f>IF(N10770="","",'Master Barang'!B64)</f>
        <v>0</v>
      </c>
      <c r="P10770">
        <f>IF(OR(M10770="",N10770=""),"",SUMIFS('Barang Keluar'!$E:$E,'Barang Keluar'!$A:$A,M10770,'Barang Keluar'!$C:$C,N10770))</f>
        <v>0</v>
      </c>
    </row>
    <row r="10771" spans="13:16">
      <c r="M10771" s="49">
        <f>IF($A$4+107&gt;$B$4,"",$A$4+107)</f>
        <v>46130</v>
      </c>
      <c r="N10771">
        <f>IF(M10771="","",'Master Barang'!A65)</f>
        <v>0</v>
      </c>
      <c r="O10771">
        <f>IF(N10771="","",'Master Barang'!B65)</f>
        <v>0</v>
      </c>
      <c r="P10771">
        <f>IF(OR(M10771="",N10771=""),"",SUMIFS('Barang Keluar'!$E:$E,'Barang Keluar'!$A:$A,M10771,'Barang Keluar'!$C:$C,N10771))</f>
        <v>0</v>
      </c>
    </row>
    <row r="10772" spans="13:16">
      <c r="M10772" s="49">
        <f>IF($A$4+107&gt;$B$4,"",$A$4+107)</f>
        <v>46130</v>
      </c>
      <c r="N10772">
        <f>IF(M10772="","",'Master Barang'!A66)</f>
        <v>0</v>
      </c>
      <c r="O10772">
        <f>IF(N10772="","",'Master Barang'!B66)</f>
        <v>0</v>
      </c>
      <c r="P10772">
        <f>IF(OR(M10772="",N10772=""),"",SUMIFS('Barang Keluar'!$E:$E,'Barang Keluar'!$A:$A,M10772,'Barang Keluar'!$C:$C,N10772))</f>
        <v>0</v>
      </c>
    </row>
    <row r="10773" spans="13:16">
      <c r="M10773" s="49">
        <f>IF($A$4+107&gt;$B$4,"",$A$4+107)</f>
        <v>46130</v>
      </c>
      <c r="N10773">
        <f>IF(M10773="","",'Master Barang'!A67)</f>
        <v>0</v>
      </c>
      <c r="O10773">
        <f>IF(N10773="","",'Master Barang'!B67)</f>
        <v>0</v>
      </c>
      <c r="P10773">
        <f>IF(OR(M10773="",N10773=""),"",SUMIFS('Barang Keluar'!$E:$E,'Barang Keluar'!$A:$A,M10773,'Barang Keluar'!$C:$C,N10773))</f>
        <v>0</v>
      </c>
    </row>
    <row r="10774" spans="13:16">
      <c r="M10774" s="49">
        <f>IF($A$4+107&gt;$B$4,"",$A$4+107)</f>
        <v>46130</v>
      </c>
      <c r="N10774">
        <f>IF(M10774="","",'Master Barang'!A68)</f>
        <v>0</v>
      </c>
      <c r="O10774">
        <f>IF(N10774="","",'Master Barang'!B68)</f>
        <v>0</v>
      </c>
      <c r="P10774">
        <f>IF(OR(M10774="",N10774=""),"",SUMIFS('Barang Keluar'!$E:$E,'Barang Keluar'!$A:$A,M10774,'Barang Keluar'!$C:$C,N10774))</f>
        <v>0</v>
      </c>
    </row>
    <row r="10775" spans="13:16">
      <c r="M10775" s="49">
        <f>IF($A$4+107&gt;$B$4,"",$A$4+107)</f>
        <v>46130</v>
      </c>
      <c r="N10775">
        <f>IF(M10775="","",'Master Barang'!A69)</f>
        <v>0</v>
      </c>
      <c r="O10775">
        <f>IF(N10775="","",'Master Barang'!B69)</f>
        <v>0</v>
      </c>
      <c r="P10775">
        <f>IF(OR(M10775="",N10775=""),"",SUMIFS('Barang Keluar'!$E:$E,'Barang Keluar'!$A:$A,M10775,'Barang Keluar'!$C:$C,N10775))</f>
        <v>0</v>
      </c>
    </row>
    <row r="10776" spans="13:16">
      <c r="M10776" s="49">
        <f>IF($A$4+107&gt;$B$4,"",$A$4+107)</f>
        <v>46130</v>
      </c>
      <c r="N10776">
        <f>IF(M10776="","",'Master Barang'!A70)</f>
        <v>0</v>
      </c>
      <c r="O10776">
        <f>IF(N10776="","",'Master Barang'!B70)</f>
        <v>0</v>
      </c>
      <c r="P10776">
        <f>IF(OR(M10776="",N10776=""),"",SUMIFS('Barang Keluar'!$E:$E,'Barang Keluar'!$A:$A,M10776,'Barang Keluar'!$C:$C,N10776))</f>
        <v>0</v>
      </c>
    </row>
    <row r="10777" spans="13:16">
      <c r="M10777" s="49">
        <f>IF($A$4+107&gt;$B$4,"",$A$4+107)</f>
        <v>46130</v>
      </c>
      <c r="N10777">
        <f>IF(M10777="","",'Master Barang'!A71)</f>
        <v>0</v>
      </c>
      <c r="O10777">
        <f>IF(N10777="","",'Master Barang'!B71)</f>
        <v>0</v>
      </c>
      <c r="P10777">
        <f>IF(OR(M10777="",N10777=""),"",SUMIFS('Barang Keluar'!$E:$E,'Barang Keluar'!$A:$A,M10777,'Barang Keluar'!$C:$C,N10777))</f>
        <v>0</v>
      </c>
    </row>
    <row r="10778" spans="13:16">
      <c r="M10778" s="49">
        <f>IF($A$4+107&gt;$B$4,"",$A$4+107)</f>
        <v>46130</v>
      </c>
      <c r="N10778">
        <f>IF(M10778="","",'Master Barang'!A72)</f>
        <v>0</v>
      </c>
      <c r="O10778">
        <f>IF(N10778="","",'Master Barang'!B72)</f>
        <v>0</v>
      </c>
      <c r="P10778">
        <f>IF(OR(M10778="",N10778=""),"",SUMIFS('Barang Keluar'!$E:$E,'Barang Keluar'!$A:$A,M10778,'Barang Keluar'!$C:$C,N10778))</f>
        <v>0</v>
      </c>
    </row>
    <row r="10779" spans="13:16">
      <c r="M10779" s="49">
        <f>IF($A$4+107&gt;$B$4,"",$A$4+107)</f>
        <v>46130</v>
      </c>
      <c r="N10779">
        <f>IF(M10779="","",'Master Barang'!A73)</f>
        <v>0</v>
      </c>
      <c r="O10779">
        <f>IF(N10779="","",'Master Barang'!B73)</f>
        <v>0</v>
      </c>
      <c r="P10779">
        <f>IF(OR(M10779="",N10779=""),"",SUMIFS('Barang Keluar'!$E:$E,'Barang Keluar'!$A:$A,M10779,'Barang Keluar'!$C:$C,N10779))</f>
        <v>0</v>
      </c>
    </row>
    <row r="10780" spans="13:16">
      <c r="M10780" s="49">
        <f>IF($A$4+107&gt;$B$4,"",$A$4+107)</f>
        <v>46130</v>
      </c>
      <c r="N10780">
        <f>IF(M10780="","",'Master Barang'!A74)</f>
        <v>0</v>
      </c>
      <c r="O10780">
        <f>IF(N10780="","",'Master Barang'!B74)</f>
        <v>0</v>
      </c>
      <c r="P10780">
        <f>IF(OR(M10780="",N10780=""),"",SUMIFS('Barang Keluar'!$E:$E,'Barang Keluar'!$A:$A,M10780,'Barang Keluar'!$C:$C,N10780))</f>
        <v>0</v>
      </c>
    </row>
    <row r="10781" spans="13:16">
      <c r="M10781" s="49">
        <f>IF($A$4+107&gt;$B$4,"",$A$4+107)</f>
        <v>46130</v>
      </c>
      <c r="N10781">
        <f>IF(M10781="","",'Master Barang'!A75)</f>
        <v>0</v>
      </c>
      <c r="O10781">
        <f>IF(N10781="","",'Master Barang'!B75)</f>
        <v>0</v>
      </c>
      <c r="P10781">
        <f>IF(OR(M10781="",N10781=""),"",SUMIFS('Barang Keluar'!$E:$E,'Barang Keluar'!$A:$A,M10781,'Barang Keluar'!$C:$C,N10781))</f>
        <v>0</v>
      </c>
    </row>
    <row r="10782" spans="13:16">
      <c r="M10782" s="49">
        <f>IF($A$4+107&gt;$B$4,"",$A$4+107)</f>
        <v>46130</v>
      </c>
      <c r="N10782">
        <f>IF(M10782="","",'Master Barang'!A76)</f>
        <v>0</v>
      </c>
      <c r="O10782">
        <f>IF(N10782="","",'Master Barang'!B76)</f>
        <v>0</v>
      </c>
      <c r="P10782">
        <f>IF(OR(M10782="",N10782=""),"",SUMIFS('Barang Keluar'!$E:$E,'Barang Keluar'!$A:$A,M10782,'Barang Keluar'!$C:$C,N10782))</f>
        <v>0</v>
      </c>
    </row>
    <row r="10783" spans="13:16">
      <c r="M10783" s="49">
        <f>IF($A$4+107&gt;$B$4,"",$A$4+107)</f>
        <v>46130</v>
      </c>
      <c r="N10783">
        <f>IF(M10783="","",'Master Barang'!A77)</f>
        <v>0</v>
      </c>
      <c r="O10783">
        <f>IF(N10783="","",'Master Barang'!B77)</f>
        <v>0</v>
      </c>
      <c r="P10783">
        <f>IF(OR(M10783="",N10783=""),"",SUMIFS('Barang Keluar'!$E:$E,'Barang Keluar'!$A:$A,M10783,'Barang Keluar'!$C:$C,N10783))</f>
        <v>0</v>
      </c>
    </row>
    <row r="10784" spans="13:16">
      <c r="M10784" s="49">
        <f>IF($A$4+107&gt;$B$4,"",$A$4+107)</f>
        <v>46130</v>
      </c>
      <c r="N10784">
        <f>IF(M10784="","",'Master Barang'!A78)</f>
        <v>0</v>
      </c>
      <c r="O10784">
        <f>IF(N10784="","",'Master Barang'!B78)</f>
        <v>0</v>
      </c>
      <c r="P10784">
        <f>IF(OR(M10784="",N10784=""),"",SUMIFS('Barang Keluar'!$E:$E,'Barang Keluar'!$A:$A,M10784,'Barang Keluar'!$C:$C,N10784))</f>
        <v>0</v>
      </c>
    </row>
    <row r="10785" spans="13:16">
      <c r="M10785" s="49">
        <f>IF($A$4+107&gt;$B$4,"",$A$4+107)</f>
        <v>46130</v>
      </c>
      <c r="N10785">
        <f>IF(M10785="","",'Master Barang'!A79)</f>
        <v>0</v>
      </c>
      <c r="O10785">
        <f>IF(N10785="","",'Master Barang'!B79)</f>
        <v>0</v>
      </c>
      <c r="P10785">
        <f>IF(OR(M10785="",N10785=""),"",SUMIFS('Barang Keluar'!$E:$E,'Barang Keluar'!$A:$A,M10785,'Barang Keluar'!$C:$C,N10785))</f>
        <v>0</v>
      </c>
    </row>
    <row r="10786" spans="13:16">
      <c r="M10786" s="49">
        <f>IF($A$4+107&gt;$B$4,"",$A$4+107)</f>
        <v>46130</v>
      </c>
      <c r="N10786">
        <f>IF(M10786="","",'Master Barang'!A80)</f>
        <v>0</v>
      </c>
      <c r="O10786">
        <f>IF(N10786="","",'Master Barang'!B80)</f>
        <v>0</v>
      </c>
      <c r="P10786">
        <f>IF(OR(M10786="",N10786=""),"",SUMIFS('Barang Keluar'!$E:$E,'Barang Keluar'!$A:$A,M10786,'Barang Keluar'!$C:$C,N10786))</f>
        <v>0</v>
      </c>
    </row>
    <row r="10787" spans="13:16">
      <c r="M10787" s="49">
        <f>IF($A$4+107&gt;$B$4,"",$A$4+107)</f>
        <v>46130</v>
      </c>
      <c r="N10787">
        <f>IF(M10787="","",'Master Barang'!A81)</f>
        <v>0</v>
      </c>
      <c r="O10787">
        <f>IF(N10787="","",'Master Barang'!B81)</f>
        <v>0</v>
      </c>
      <c r="P10787">
        <f>IF(OR(M10787="",N10787=""),"",SUMIFS('Barang Keluar'!$E:$E,'Barang Keluar'!$A:$A,M10787,'Barang Keluar'!$C:$C,N10787))</f>
        <v>0</v>
      </c>
    </row>
    <row r="10788" spans="13:16">
      <c r="M10788" s="49">
        <f>IF($A$4+107&gt;$B$4,"",$A$4+107)</f>
        <v>46130</v>
      </c>
      <c r="N10788">
        <f>IF(M10788="","",'Master Barang'!A82)</f>
        <v>0</v>
      </c>
      <c r="O10788">
        <f>IF(N10788="","",'Master Barang'!B82)</f>
        <v>0</v>
      </c>
      <c r="P10788">
        <f>IF(OR(M10788="",N10788=""),"",SUMIFS('Barang Keluar'!$E:$E,'Barang Keluar'!$A:$A,M10788,'Barang Keluar'!$C:$C,N10788))</f>
        <v>0</v>
      </c>
    </row>
    <row r="10789" spans="13:16">
      <c r="M10789" s="49">
        <f>IF($A$4+107&gt;$B$4,"",$A$4+107)</f>
        <v>46130</v>
      </c>
      <c r="N10789">
        <f>IF(M10789="","",'Master Barang'!A83)</f>
        <v>0</v>
      </c>
      <c r="O10789">
        <f>IF(N10789="","",'Master Barang'!B83)</f>
        <v>0</v>
      </c>
      <c r="P10789">
        <f>IF(OR(M10789="",N10789=""),"",SUMIFS('Barang Keluar'!$E:$E,'Barang Keluar'!$A:$A,M10789,'Barang Keluar'!$C:$C,N10789))</f>
        <v>0</v>
      </c>
    </row>
    <row r="10790" spans="13:16">
      <c r="M10790" s="49">
        <f>IF($A$4+107&gt;$B$4,"",$A$4+107)</f>
        <v>46130</v>
      </c>
      <c r="N10790">
        <f>IF(M10790="","",'Master Barang'!A84)</f>
        <v>0</v>
      </c>
      <c r="O10790">
        <f>IF(N10790="","",'Master Barang'!B84)</f>
        <v>0</v>
      </c>
      <c r="P10790">
        <f>IF(OR(M10790="",N10790=""),"",SUMIFS('Barang Keluar'!$E:$E,'Barang Keluar'!$A:$A,M10790,'Barang Keluar'!$C:$C,N10790))</f>
        <v>0</v>
      </c>
    </row>
    <row r="10791" spans="13:16">
      <c r="M10791" s="49">
        <f>IF($A$4+107&gt;$B$4,"",$A$4+107)</f>
        <v>46130</v>
      </c>
      <c r="N10791">
        <f>IF(M10791="","",'Master Barang'!A85)</f>
        <v>0</v>
      </c>
      <c r="O10791">
        <f>IF(N10791="","",'Master Barang'!B85)</f>
        <v>0</v>
      </c>
      <c r="P10791">
        <f>IF(OR(M10791="",N10791=""),"",SUMIFS('Barang Keluar'!$E:$E,'Barang Keluar'!$A:$A,M10791,'Barang Keluar'!$C:$C,N10791))</f>
        <v>0</v>
      </c>
    </row>
    <row r="10792" spans="13:16">
      <c r="M10792" s="49">
        <f>IF($A$4+107&gt;$B$4,"",$A$4+107)</f>
        <v>46130</v>
      </c>
      <c r="N10792">
        <f>IF(M10792="","",'Master Barang'!A86)</f>
        <v>0</v>
      </c>
      <c r="O10792">
        <f>IF(N10792="","",'Master Barang'!B86)</f>
        <v>0</v>
      </c>
      <c r="P10792">
        <f>IF(OR(M10792="",N10792=""),"",SUMIFS('Barang Keluar'!$E:$E,'Barang Keluar'!$A:$A,M10792,'Barang Keluar'!$C:$C,N10792))</f>
        <v>0</v>
      </c>
    </row>
    <row r="10793" spans="13:16">
      <c r="M10793" s="49">
        <f>IF($A$4+107&gt;$B$4,"",$A$4+107)</f>
        <v>46130</v>
      </c>
      <c r="N10793">
        <f>IF(M10793="","",'Master Barang'!A87)</f>
        <v>0</v>
      </c>
      <c r="O10793">
        <f>IF(N10793="","",'Master Barang'!B87)</f>
        <v>0</v>
      </c>
      <c r="P10793">
        <f>IF(OR(M10793="",N10793=""),"",SUMIFS('Barang Keluar'!$E:$E,'Barang Keluar'!$A:$A,M10793,'Barang Keluar'!$C:$C,N10793))</f>
        <v>0</v>
      </c>
    </row>
    <row r="10794" spans="13:16">
      <c r="M10794" s="49">
        <f>IF($A$4+107&gt;$B$4,"",$A$4+107)</f>
        <v>46130</v>
      </c>
      <c r="N10794">
        <f>IF(M10794="","",'Master Barang'!A88)</f>
        <v>0</v>
      </c>
      <c r="O10794">
        <f>IF(N10794="","",'Master Barang'!B88)</f>
        <v>0</v>
      </c>
      <c r="P10794">
        <f>IF(OR(M10794="",N10794=""),"",SUMIFS('Barang Keluar'!$E:$E,'Barang Keluar'!$A:$A,M10794,'Barang Keluar'!$C:$C,N10794))</f>
        <v>0</v>
      </c>
    </row>
    <row r="10795" spans="13:16">
      <c r="M10795" s="49">
        <f>IF($A$4+107&gt;$B$4,"",$A$4+107)</f>
        <v>46130</v>
      </c>
      <c r="N10795">
        <f>IF(M10795="","",'Master Barang'!A89)</f>
        <v>0</v>
      </c>
      <c r="O10795">
        <f>IF(N10795="","",'Master Barang'!B89)</f>
        <v>0</v>
      </c>
      <c r="P10795">
        <f>IF(OR(M10795="",N10795=""),"",SUMIFS('Barang Keluar'!$E:$E,'Barang Keluar'!$A:$A,M10795,'Barang Keluar'!$C:$C,N10795))</f>
        <v>0</v>
      </c>
    </row>
    <row r="10796" spans="13:16">
      <c r="M10796" s="49">
        <f>IF($A$4+107&gt;$B$4,"",$A$4+107)</f>
        <v>46130</v>
      </c>
      <c r="N10796">
        <f>IF(M10796="","",'Master Barang'!A90)</f>
        <v>0</v>
      </c>
      <c r="O10796">
        <f>IF(N10796="","",'Master Barang'!B90)</f>
        <v>0</v>
      </c>
      <c r="P10796">
        <f>IF(OR(M10796="",N10796=""),"",SUMIFS('Barang Keluar'!$E:$E,'Barang Keluar'!$A:$A,M10796,'Barang Keluar'!$C:$C,N10796))</f>
        <v>0</v>
      </c>
    </row>
    <row r="10797" spans="13:16">
      <c r="M10797" s="49">
        <f>IF($A$4+107&gt;$B$4,"",$A$4+107)</f>
        <v>46130</v>
      </c>
      <c r="N10797">
        <f>IF(M10797="","",'Master Barang'!A91)</f>
        <v>0</v>
      </c>
      <c r="O10797">
        <f>IF(N10797="","",'Master Barang'!B91)</f>
        <v>0</v>
      </c>
      <c r="P10797">
        <f>IF(OR(M10797="",N10797=""),"",SUMIFS('Barang Keluar'!$E:$E,'Barang Keluar'!$A:$A,M10797,'Barang Keluar'!$C:$C,N10797))</f>
        <v>0</v>
      </c>
    </row>
    <row r="10798" spans="13:16">
      <c r="M10798" s="49">
        <f>IF($A$4+107&gt;$B$4,"",$A$4+107)</f>
        <v>46130</v>
      </c>
      <c r="N10798">
        <f>IF(M10798="","",'Master Barang'!A92)</f>
        <v>0</v>
      </c>
      <c r="O10798">
        <f>IF(N10798="","",'Master Barang'!B92)</f>
        <v>0</v>
      </c>
      <c r="P10798">
        <f>IF(OR(M10798="",N10798=""),"",SUMIFS('Barang Keluar'!$E:$E,'Barang Keluar'!$A:$A,M10798,'Barang Keluar'!$C:$C,N10798))</f>
        <v>0</v>
      </c>
    </row>
    <row r="10799" spans="13:16">
      <c r="M10799" s="49">
        <f>IF($A$4+107&gt;$B$4,"",$A$4+107)</f>
        <v>46130</v>
      </c>
      <c r="N10799">
        <f>IF(M10799="","",'Master Barang'!A93)</f>
        <v>0</v>
      </c>
      <c r="O10799">
        <f>IF(N10799="","",'Master Barang'!B93)</f>
        <v>0</v>
      </c>
      <c r="P10799">
        <f>IF(OR(M10799="",N10799=""),"",SUMIFS('Barang Keluar'!$E:$E,'Barang Keluar'!$A:$A,M10799,'Barang Keluar'!$C:$C,N10799))</f>
        <v>0</v>
      </c>
    </row>
    <row r="10800" spans="13:16">
      <c r="M10800" s="49">
        <f>IF($A$4+107&gt;$B$4,"",$A$4+107)</f>
        <v>46130</v>
      </c>
      <c r="N10800">
        <f>IF(M10800="","",'Master Barang'!A94)</f>
        <v>0</v>
      </c>
      <c r="O10800">
        <f>IF(N10800="","",'Master Barang'!B94)</f>
        <v>0</v>
      </c>
      <c r="P10800">
        <f>IF(OR(M10800="",N10800=""),"",SUMIFS('Barang Keluar'!$E:$E,'Barang Keluar'!$A:$A,M10800,'Barang Keluar'!$C:$C,N10800))</f>
        <v>0</v>
      </c>
    </row>
    <row r="10801" spans="13:16">
      <c r="M10801" s="49">
        <f>IF($A$4+107&gt;$B$4,"",$A$4+107)</f>
        <v>46130</v>
      </c>
      <c r="N10801">
        <f>IF(M10801="","",'Master Barang'!A95)</f>
        <v>0</v>
      </c>
      <c r="O10801">
        <f>IF(N10801="","",'Master Barang'!B95)</f>
        <v>0</v>
      </c>
      <c r="P10801">
        <f>IF(OR(M10801="",N10801=""),"",SUMIFS('Barang Keluar'!$E:$E,'Barang Keluar'!$A:$A,M10801,'Barang Keluar'!$C:$C,N10801))</f>
        <v>0</v>
      </c>
    </row>
    <row r="10802" spans="13:16">
      <c r="M10802" s="49">
        <f>IF($A$4+107&gt;$B$4,"",$A$4+107)</f>
        <v>46130</v>
      </c>
      <c r="N10802">
        <f>IF(M10802="","",'Master Barang'!A96)</f>
        <v>0</v>
      </c>
      <c r="O10802">
        <f>IF(N10802="","",'Master Barang'!B96)</f>
        <v>0</v>
      </c>
      <c r="P10802">
        <f>IF(OR(M10802="",N10802=""),"",SUMIFS('Barang Keluar'!$E:$E,'Barang Keluar'!$A:$A,M10802,'Barang Keluar'!$C:$C,N10802))</f>
        <v>0</v>
      </c>
    </row>
    <row r="10803" spans="13:16">
      <c r="M10803" s="49">
        <f>IF($A$4+107&gt;$B$4,"",$A$4+107)</f>
        <v>46130</v>
      </c>
      <c r="N10803">
        <f>IF(M10803="","",'Master Barang'!A97)</f>
        <v>0</v>
      </c>
      <c r="O10803">
        <f>IF(N10803="","",'Master Barang'!B97)</f>
        <v>0</v>
      </c>
      <c r="P10803">
        <f>IF(OR(M10803="",N10803=""),"",SUMIFS('Barang Keluar'!$E:$E,'Barang Keluar'!$A:$A,M10803,'Barang Keluar'!$C:$C,N10803))</f>
        <v>0</v>
      </c>
    </row>
    <row r="10804" spans="13:16">
      <c r="M10804" s="49">
        <f>IF($A$4+107&gt;$B$4,"",$A$4+107)</f>
        <v>46130</v>
      </c>
      <c r="N10804">
        <f>IF(M10804="","",'Master Barang'!A98)</f>
        <v>0</v>
      </c>
      <c r="O10804">
        <f>IF(N10804="","",'Master Barang'!B98)</f>
        <v>0</v>
      </c>
      <c r="P10804">
        <f>IF(OR(M10804="",N10804=""),"",SUMIFS('Barang Keluar'!$E:$E,'Barang Keluar'!$A:$A,M10804,'Barang Keluar'!$C:$C,N10804))</f>
        <v>0</v>
      </c>
    </row>
    <row r="10805" spans="13:16">
      <c r="M10805" s="49">
        <f>IF($A$4+107&gt;$B$4,"",$A$4+107)</f>
        <v>46130</v>
      </c>
      <c r="N10805">
        <f>IF(M10805="","",'Master Barang'!A99)</f>
        <v>0</v>
      </c>
      <c r="O10805">
        <f>IF(N10805="","",'Master Barang'!B99)</f>
        <v>0</v>
      </c>
      <c r="P10805">
        <f>IF(OR(M10805="",N10805=""),"",SUMIFS('Barang Keluar'!$E:$E,'Barang Keluar'!$A:$A,M10805,'Barang Keluar'!$C:$C,N10805))</f>
        <v>0</v>
      </c>
    </row>
    <row r="10806" spans="13:16">
      <c r="M10806" s="49">
        <f>IF($A$4+107&gt;$B$4,"",$A$4+107)</f>
        <v>46130</v>
      </c>
      <c r="N10806">
        <f>IF(M10806="","",'Master Barang'!A100)</f>
        <v>0</v>
      </c>
      <c r="O10806">
        <f>IF(N10806="","",'Master Barang'!B100)</f>
        <v>0</v>
      </c>
      <c r="P10806">
        <f>IF(OR(M10806="",N10806=""),"",SUMIFS('Barang Keluar'!$E:$E,'Barang Keluar'!$A:$A,M10806,'Barang Keluar'!$C:$C,N10806))</f>
        <v>0</v>
      </c>
    </row>
    <row r="10807" spans="13:16">
      <c r="M10807" s="49">
        <f>IF($A$4+107&gt;$B$4,"",$A$4+107)</f>
        <v>46130</v>
      </c>
      <c r="N10807">
        <f>IF(M10807="","",'Master Barang'!A101)</f>
        <v>0</v>
      </c>
      <c r="O10807">
        <f>IF(N10807="","",'Master Barang'!B101)</f>
        <v>0</v>
      </c>
      <c r="P10807">
        <f>IF(OR(M10807="",N10807=""),"",SUMIFS('Barang Keluar'!$E:$E,'Barang Keluar'!$A:$A,M10807,'Barang Keluar'!$C:$C,N10807))</f>
        <v>0</v>
      </c>
    </row>
    <row r="10808" spans="13:16">
      <c r="M10808" s="49">
        <f>IF($A$4+108&gt;$B$4,"",$A$4+108)</f>
        <v>46131</v>
      </c>
      <c r="N10808" t="str">
        <f>IF(M10808="","",'Master Barang'!A2)</f>
        <v>PRL-001</v>
      </c>
      <c r="O10808" t="str">
        <f>IF(N10808="","",'Master Barang'!B2)</f>
        <v>natura desinfectant food grade 5l</v>
      </c>
      <c r="P10808">
        <f>IF(OR(M10808="",N10808=""),"",SUMIFS('Barang Keluar'!$E:$E,'Barang Keluar'!$A:$A,M10808,'Barang Keluar'!$C:$C,N10808))</f>
        <v>0</v>
      </c>
    </row>
    <row r="10809" spans="13:16">
      <c r="M10809" s="49">
        <f>IF($A$4+108&gt;$B$4,"",$A$4+108)</f>
        <v>46131</v>
      </c>
      <c r="N10809" t="str">
        <f>IF(M10809="","",'Master Barang'!A3)</f>
        <v>PRL-002</v>
      </c>
      <c r="O10809" t="str">
        <f>IF(N10809="","",'Master Barang'!B3)</f>
        <v>sunlight cairan pencuci piring 5l</v>
      </c>
      <c r="P10809">
        <f>IF(OR(M10809="",N10809=""),"",SUMIFS('Barang Keluar'!$E:$E,'Barang Keluar'!$A:$A,M10809,'Barang Keluar'!$C:$C,N10809))</f>
        <v>0</v>
      </c>
    </row>
    <row r="10810" spans="13:16">
      <c r="M10810" s="49">
        <f>IF($A$4+108&gt;$B$4,"",$A$4+108)</f>
        <v>46131</v>
      </c>
      <c r="N10810" t="str">
        <f>IF(M10810="","",'Master Barang'!A4)</f>
        <v>PRL-003</v>
      </c>
      <c r="O10810" t="str">
        <f>IF(N10810="","",'Master Barang'!B4)</f>
        <v>oixs cleaner 1l</v>
      </c>
      <c r="P10810">
        <f>IF(OR(M10810="",N10810=""),"",SUMIFS('Barang Keluar'!$E:$E,'Barang Keluar'!$A:$A,M10810,'Barang Keluar'!$C:$C,N10810))</f>
        <v>0</v>
      </c>
    </row>
    <row r="10811" spans="13:16">
      <c r="M10811" s="49">
        <f>IF($A$4+108&gt;$B$4,"",$A$4+108)</f>
        <v>46131</v>
      </c>
      <c r="N10811" t="str">
        <f>IF(M10811="","",'Master Barang'!A5)</f>
        <v>PRL-004</v>
      </c>
      <c r="O10811" t="str">
        <f>IF(N10811="","",'Master Barang'!B5)</f>
        <v>be clean tissue serbaguna</v>
      </c>
      <c r="P10811">
        <f>IF(OR(M10811="",N10811=""),"",SUMIFS('Barang Keluar'!$E:$E,'Barang Keluar'!$A:$A,M10811,'Barang Keluar'!$C:$C,N10811))</f>
        <v>0</v>
      </c>
    </row>
    <row r="10812" spans="13:16">
      <c r="M10812" s="49">
        <f>IF($A$4+108&gt;$B$4,"",$A$4+108)</f>
        <v>46131</v>
      </c>
      <c r="N10812" t="str">
        <f>IF(M10812="","",'Master Barang'!A6)</f>
        <v>PRL-005</v>
      </c>
      <c r="O10812" t="str">
        <f>IF(N10812="","",'Master Barang'!B6)</f>
        <v>spons cuci hijau</v>
      </c>
      <c r="P10812">
        <f>IF(OR(M10812="",N10812=""),"",SUMIFS('Barang Keluar'!$E:$E,'Barang Keluar'!$A:$A,M10812,'Barang Keluar'!$C:$C,N10812))</f>
        <v>0</v>
      </c>
    </row>
    <row r="10813" spans="13:16">
      <c r="M10813" s="49">
        <f>IF($A$4+108&gt;$B$4,"",$A$4+108)</f>
        <v>46131</v>
      </c>
      <c r="N10813" t="str">
        <f>IF(M10813="","",'Master Barang'!A7)</f>
        <v>PRL-006</v>
      </c>
      <c r="O10813" t="str">
        <f>IF(N10813="","",'Master Barang'!B7)</f>
        <v>sabut cuci stainless</v>
      </c>
      <c r="P10813">
        <f>IF(OR(M10813="",N10813=""),"",SUMIFS('Barang Keluar'!$E:$E,'Barang Keluar'!$A:$A,M10813,'Barang Keluar'!$C:$C,N10813))</f>
        <v>0</v>
      </c>
    </row>
    <row r="10814" spans="13:16">
      <c r="M10814" s="49">
        <f>IF($A$4+108&gt;$B$4,"",$A$4+108)</f>
        <v>46131</v>
      </c>
      <c r="N10814" t="str">
        <f>IF(M10814="","",'Master Barang'!A8)</f>
        <v>PRL-007</v>
      </c>
      <c r="O10814" t="str">
        <f>IF(N10814="","",'Master Barang'!B8)</f>
        <v>plastik kresek besar merah 50pc</v>
      </c>
      <c r="P10814">
        <f>IF(OR(M10814="",N10814=""),"",SUMIFS('Barang Keluar'!$E:$E,'Barang Keluar'!$A:$A,M10814,'Barang Keluar'!$C:$C,N10814))</f>
        <v>0</v>
      </c>
    </row>
    <row r="10815" spans="13:16">
      <c r="M10815" s="49">
        <f>IF($A$4+108&gt;$B$4,"",$A$4+108)</f>
        <v>46131</v>
      </c>
      <c r="N10815" t="str">
        <f>IF(M10815="","",'Master Barang'!A9)</f>
        <v>PRL-008</v>
      </c>
      <c r="O10815" t="str">
        <f>IF(N10815="","",'Master Barang'!B9)</f>
        <v>lap besar</v>
      </c>
      <c r="P10815">
        <f>IF(OR(M10815="",N10815=""),"",SUMIFS('Barang Keluar'!$E:$E,'Barang Keluar'!$A:$A,M10815,'Barang Keluar'!$C:$C,N10815))</f>
        <v>0</v>
      </c>
    </row>
    <row r="10816" spans="13:16">
      <c r="M10816" s="49">
        <f>IF($A$4+108&gt;$B$4,"",$A$4+108)</f>
        <v>46131</v>
      </c>
      <c r="N10816" t="str">
        <f>IF(M10816="","",'Master Barang'!A10)</f>
        <v>PRL-009</v>
      </c>
      <c r="O10816" t="str">
        <f>IF(N10816="","",'Master Barang'!B10)</f>
        <v>lap microfiber</v>
      </c>
      <c r="P10816">
        <f>IF(OR(M10816="",N10816=""),"",SUMIFS('Barang Keluar'!$E:$E,'Barang Keluar'!$A:$A,M10816,'Barang Keluar'!$C:$C,N10816))</f>
        <v>0</v>
      </c>
    </row>
    <row r="10817" spans="13:16">
      <c r="M10817" s="49">
        <f>IF($A$4+108&gt;$B$4,"",$A$4+108)</f>
        <v>46131</v>
      </c>
      <c r="N10817" t="str">
        <f>IF(M10817="","",'Master Barang'!A11)</f>
        <v>PRL-010</v>
      </c>
      <c r="O10817" t="str">
        <f>IF(N10817="","",'Master Barang'!B11)</f>
        <v>lap kecil</v>
      </c>
      <c r="P10817">
        <f>IF(OR(M10817="",N10817=""),"",SUMIFS('Barang Keluar'!$E:$E,'Barang Keluar'!$A:$A,M10817,'Barang Keluar'!$C:$C,N10817))</f>
        <v>0</v>
      </c>
    </row>
    <row r="10818" spans="13:16">
      <c r="M10818" s="49">
        <f>IF($A$4+108&gt;$B$4,"",$A$4+108)</f>
        <v>46131</v>
      </c>
      <c r="N10818" t="str">
        <f>IF(M10818="","",'Master Barang'!A12)</f>
        <v>PRL-011</v>
      </c>
      <c r="O10818" t="str">
        <f>IF(N10818="","",'Master Barang'!B12)</f>
        <v>kanebo kecil</v>
      </c>
      <c r="P10818">
        <f>IF(OR(M10818="",N10818=""),"",SUMIFS('Barang Keluar'!$E:$E,'Barang Keluar'!$A:$A,M10818,'Barang Keluar'!$C:$C,N10818))</f>
        <v>0</v>
      </c>
    </row>
    <row r="10819" spans="13:16">
      <c r="M10819" s="49">
        <f>IF($A$4+108&gt;$B$4,"",$A$4+108)</f>
        <v>46131</v>
      </c>
      <c r="N10819" t="str">
        <f>IF(M10819="","",'Master Barang'!A13)</f>
        <v>PRL-012</v>
      </c>
      <c r="O10819" t="str">
        <f>IF(N10819="","",'Master Barang'!B13)</f>
        <v>plastik 1/4kg joyoboyo 100 lembar</v>
      </c>
      <c r="P10819">
        <f>IF(OR(M10819="",N10819=""),"",SUMIFS('Barang Keluar'!$E:$E,'Barang Keluar'!$A:$A,M10819,'Barang Keluar'!$C:$C,N10819))</f>
        <v>0</v>
      </c>
    </row>
    <row r="10820" spans="13:16">
      <c r="M10820" s="49">
        <f>IF($A$4+108&gt;$B$4,"",$A$4+108)</f>
        <v>46131</v>
      </c>
      <c r="N10820" t="str">
        <f>IF(M10820="","",'Master Barang'!A14)</f>
        <v>PRL-013</v>
      </c>
      <c r="O10820" t="str">
        <f>IF(N10820="","",'Master Barang'!B14)</f>
        <v>sarung tangan plastik kaka 100 pcs</v>
      </c>
      <c r="P10820">
        <f>IF(OR(M10820="",N10820=""),"",SUMIFS('Barang Keluar'!$E:$E,'Barang Keluar'!$A:$A,M10820,'Barang Keluar'!$C:$C,N10820))</f>
        <v>0</v>
      </c>
    </row>
    <row r="10821" spans="13:16">
      <c r="M10821" s="49">
        <f>IF($A$4+108&gt;$B$4,"",$A$4+108)</f>
        <v>46131</v>
      </c>
      <c r="N10821" t="str">
        <f>IF(M10821="","",'Master Barang'!A15)</f>
        <v>PRL-014</v>
      </c>
      <c r="O10821" t="str">
        <f>IF(N10821="","",'Master Barang'!B15)</f>
        <v>optima trashbag 80x100</v>
      </c>
      <c r="P10821">
        <f>IF(OR(M10821="",N10821=""),"",SUMIFS('Barang Keluar'!$E:$E,'Barang Keluar'!$A:$A,M10821,'Barang Keluar'!$C:$C,N10821))</f>
        <v>0</v>
      </c>
    </row>
    <row r="10822" spans="13:16">
      <c r="M10822" s="49">
        <f>IF($A$4+108&gt;$B$4,"",$A$4+108)</f>
        <v>46131</v>
      </c>
      <c r="N10822" t="str">
        <f>IF(M10822="","",'Master Barang'!A16)</f>
        <v>PRL-015</v>
      </c>
      <c r="O10822" t="str">
        <f>IF(N10822="","",'Master Barang'!B16)</f>
        <v>optima trashbag 60x100</v>
      </c>
      <c r="P10822">
        <f>IF(OR(M10822="",N10822=""),"",SUMIFS('Barang Keluar'!$E:$E,'Barang Keluar'!$A:$A,M10822,'Barang Keluar'!$C:$C,N10822))</f>
        <v>0</v>
      </c>
    </row>
    <row r="10823" spans="13:16">
      <c r="M10823" s="49">
        <f>IF($A$4+108&gt;$B$4,"",$A$4+108)</f>
        <v>46131</v>
      </c>
      <c r="N10823" t="str">
        <f>IF(M10823="","",'Master Barang'!A17)</f>
        <v>PRL-016</v>
      </c>
      <c r="O10823" t="str">
        <f>IF(N10823="","",'Master Barang'!B17)</f>
        <v>rajawali trashbag 30x40</v>
      </c>
      <c r="P10823">
        <f>IF(OR(M10823="",N10823=""),"",SUMIFS('Barang Keluar'!$E:$E,'Barang Keluar'!$A:$A,M10823,'Barang Keluar'!$C:$C,N10823))</f>
        <v>0</v>
      </c>
    </row>
    <row r="10824" spans="13:16">
      <c r="M10824" s="49">
        <f>IF($A$4+108&gt;$B$4,"",$A$4+108)</f>
        <v>46131</v>
      </c>
      <c r="N10824" t="str">
        <f>IF(M10824="","",'Master Barang'!A18)</f>
        <v>PRL-017</v>
      </c>
      <c r="O10824" t="str">
        <f>IF(N10824="","",'Master Barang'!B18)</f>
        <v>onemed masker biru 3 play 50 pcs</v>
      </c>
      <c r="P10824">
        <f>IF(OR(M10824="",N10824=""),"",SUMIFS('Barang Keluar'!$E:$E,'Barang Keluar'!$A:$A,M10824,'Barang Keluar'!$C:$C,N10824))</f>
        <v>0</v>
      </c>
    </row>
    <row r="10825" spans="13:16">
      <c r="M10825" s="49">
        <f>IF($A$4+108&gt;$B$4,"",$A$4+108)</f>
        <v>46131</v>
      </c>
      <c r="N10825" t="str">
        <f>IF(M10825="","",'Master Barang'!A19)</f>
        <v>PRL-018</v>
      </c>
      <c r="O10825" t="str">
        <f>IF(N10825="","",'Master Barang'!B19)</f>
        <v>onemed masker biru 3 play hijab 50 pcs</v>
      </c>
      <c r="P10825">
        <f>IF(OR(M10825="",N10825=""),"",SUMIFS('Barang Keluar'!$E:$E,'Barang Keluar'!$A:$A,M10825,'Barang Keluar'!$C:$C,N10825))</f>
        <v>0</v>
      </c>
    </row>
    <row r="10826" spans="13:16">
      <c r="M10826" s="49">
        <f>IF($A$4+108&gt;$B$4,"",$A$4+108)</f>
        <v>46131</v>
      </c>
      <c r="N10826" t="str">
        <f>IF(M10826="","",'Master Barang'!A20)</f>
        <v>PRL-019</v>
      </c>
      <c r="O10826" t="str">
        <f>IF(N10826="","",'Master Barang'!B20)</f>
        <v>neo health masker biru 3 play 50 pcs</v>
      </c>
      <c r="P10826">
        <f>IF(OR(M10826="",N10826=""),"",SUMIFS('Barang Keluar'!$E:$E,'Barang Keluar'!$A:$A,M10826,'Barang Keluar'!$C:$C,N10826))</f>
        <v>0</v>
      </c>
    </row>
    <row r="10827" spans="13:16">
      <c r="M10827" s="49">
        <f>IF($A$4+108&gt;$B$4,"",$A$4+108)</f>
        <v>46131</v>
      </c>
      <c r="N10827" t="str">
        <f>IF(M10827="","",'Master Barang'!A21)</f>
        <v>PRL-020</v>
      </c>
      <c r="O10827" t="str">
        <f>IF(N10827="","",'Master Barang'!B21)</f>
        <v>baymed masker hijau 3 play hijau 50 pcs</v>
      </c>
      <c r="P10827">
        <f>IF(OR(M10827="",N10827=""),"",SUMIFS('Barang Keluar'!$E:$E,'Barang Keluar'!$A:$A,M10827,'Barang Keluar'!$C:$C,N10827))</f>
        <v>0</v>
      </c>
    </row>
    <row r="10828" spans="13:16">
      <c r="M10828" s="49">
        <f>IF($A$4+108&gt;$B$4,"",$A$4+108)</f>
        <v>46131</v>
      </c>
      <c r="N10828" t="str">
        <f>IF(M10828="","",'Master Barang'!A22)</f>
        <v>PRL-021</v>
      </c>
      <c r="O10828" t="str">
        <f>IF(N10828="","",'Master Barang'!B22)</f>
        <v>altamed nurse cap penutup kepala 100 pcs</v>
      </c>
      <c r="P10828">
        <f>IF(OR(M10828="",N10828=""),"",SUMIFS('Barang Keluar'!$E:$E,'Barang Keluar'!$A:$A,M10828,'Barang Keluar'!$C:$C,N10828))</f>
        <v>0</v>
      </c>
    </row>
    <row r="10829" spans="13:16">
      <c r="M10829" s="49">
        <f>IF($A$4+108&gt;$B$4,"",$A$4+108)</f>
        <v>46131</v>
      </c>
      <c r="N10829" t="str">
        <f>IF(M10829="","",'Master Barang'!A23)</f>
        <v>PRL-022</v>
      </c>
      <c r="O10829" t="str">
        <f>IF(N10829="","",'Master Barang'!B23)</f>
        <v>sabun cuci tangan</v>
      </c>
      <c r="P10829">
        <f>IF(OR(M10829="",N10829=""),"",SUMIFS('Barang Keluar'!$E:$E,'Barang Keluar'!$A:$A,M10829,'Barang Keluar'!$C:$C,N10829))</f>
        <v>0</v>
      </c>
    </row>
    <row r="10830" spans="13:16">
      <c r="M10830" s="49">
        <f>IF($A$4+108&gt;$B$4,"",$A$4+108)</f>
        <v>46131</v>
      </c>
      <c r="N10830" t="str">
        <f>IF(M10830="","",'Master Barang'!A24)</f>
        <v>PRL-023</v>
      </c>
      <c r="O10830" t="str">
        <f>IF(N10830="","",'Master Barang'!B24)</f>
        <v>gayung kecil</v>
      </c>
      <c r="P10830">
        <f>IF(OR(M10830="",N10830=""),"",SUMIFS('Barang Keluar'!$E:$E,'Barang Keluar'!$A:$A,M10830,'Barang Keluar'!$C:$C,N10830))</f>
        <v>0</v>
      </c>
    </row>
    <row r="10831" spans="13:16">
      <c r="M10831" s="49">
        <f>IF($A$4+108&gt;$B$4,"",$A$4+108)</f>
        <v>46131</v>
      </c>
      <c r="N10831" t="str">
        <f>IF(M10831="","",'Master Barang'!A25)</f>
        <v>PRL-024</v>
      </c>
      <c r="O10831" t="str">
        <f>IF(N10831="","",'Master Barang'!B25)</f>
        <v>cikrak kecil</v>
      </c>
      <c r="P10831">
        <f>IF(OR(M10831="",N10831=""),"",SUMIFS('Barang Keluar'!$E:$E,'Barang Keluar'!$A:$A,M10831,'Barang Keluar'!$C:$C,N10831))</f>
        <v>0</v>
      </c>
    </row>
    <row r="10832" spans="13:16">
      <c r="M10832" s="49">
        <f>IF($A$4+108&gt;$B$4,"",$A$4+108)</f>
        <v>46131</v>
      </c>
      <c r="N10832" t="str">
        <f>IF(M10832="","",'Master Barang'!A26)</f>
        <v>PRL-025</v>
      </c>
      <c r="O10832" t="str">
        <f>IF(N10832="","",'Master Barang'!B26)</f>
        <v>petromax plastik kecil 12x24 100 lembar</v>
      </c>
      <c r="P10832">
        <f>IF(OR(M10832="",N10832=""),"",SUMIFS('Barang Keluar'!$E:$E,'Barang Keluar'!$A:$A,M10832,'Barang Keluar'!$C:$C,N10832))</f>
        <v>0</v>
      </c>
    </row>
    <row r="10833" spans="13:16">
      <c r="M10833" s="49">
        <f>IF($A$4+108&gt;$B$4,"",$A$4+108)</f>
        <v>46131</v>
      </c>
      <c r="N10833" t="str">
        <f>IF(M10833="","",'Master Barang'!A27)</f>
        <v>PRL-026</v>
      </c>
      <c r="O10833" t="str">
        <f>IF(N10833="","",'Master Barang'!B27)</f>
        <v>lancar kresek kecil bening </v>
      </c>
      <c r="P10833">
        <f>IF(OR(M10833="",N10833=""),"",SUMIFS('Barang Keluar'!$E:$E,'Barang Keluar'!$A:$A,M10833,'Barang Keluar'!$C:$C,N10833))</f>
        <v>0</v>
      </c>
    </row>
    <row r="10834" spans="13:16">
      <c r="M10834" s="49">
        <f>IF($A$4+108&gt;$B$4,"",$A$4+108)</f>
        <v>46131</v>
      </c>
      <c r="N10834" t="str">
        <f>IF(M10834="","",'Master Barang'!A28)</f>
        <v>PRL-027</v>
      </c>
      <c r="O10834" t="str">
        <f>IF(N10834="","",'Master Barang'!B28)</f>
        <v>kresek klin warna warni kecil</v>
      </c>
      <c r="P10834">
        <f>IF(OR(M10834="",N10834=""),"",SUMIFS('Barang Keluar'!$E:$E,'Barang Keluar'!$A:$A,M10834,'Barang Keluar'!$C:$C,N10834))</f>
        <v>0</v>
      </c>
    </row>
    <row r="10835" spans="13:16">
      <c r="M10835" s="49">
        <f>IF($A$4+108&gt;$B$4,"",$A$4+108)</f>
        <v>46131</v>
      </c>
      <c r="N10835" t="str">
        <f>IF(M10835="","",'Master Barang'!A29)</f>
        <v>PRL-028</v>
      </c>
      <c r="O10835" t="str">
        <f>IF(N10835="","",'Master Barang'!B29)</f>
        <v>ctik plastik 7x10 100 pcs</v>
      </c>
      <c r="P10835">
        <f>IF(OR(M10835="",N10835=""),"",SUMIFS('Barang Keluar'!$E:$E,'Barang Keluar'!$A:$A,M10835,'Barang Keluar'!$C:$C,N10835))</f>
        <v>0</v>
      </c>
    </row>
    <row r="10836" spans="13:16">
      <c r="M10836" s="49">
        <f>IF($A$4+108&gt;$B$4,"",$A$4+108)</f>
        <v>46131</v>
      </c>
      <c r="N10836" t="str">
        <f>IF(M10836="","",'Master Barang'!A30)</f>
        <v>PRL-029</v>
      </c>
      <c r="O10836" t="str">
        <f>IF(N10836="","",'Master Barang'!B30)</f>
        <v>ctik plastik 6x10 100 pcs</v>
      </c>
      <c r="P10836">
        <f>IF(OR(M10836="",N10836=""),"",SUMIFS('Barang Keluar'!$E:$E,'Barang Keluar'!$A:$A,M10836,'Barang Keluar'!$C:$C,N10836))</f>
        <v>0</v>
      </c>
    </row>
    <row r="10837" spans="13:16">
      <c r="M10837" s="49">
        <f>IF($A$4+108&gt;$B$4,"",$A$4+108)</f>
        <v>46131</v>
      </c>
      <c r="N10837" t="str">
        <f>IF(M10837="","",'Master Barang'!A31)</f>
        <v>PRL-030</v>
      </c>
      <c r="O10837" t="str">
        <f>IF(N10837="","",'Master Barang'!B31)</f>
        <v>klip plastik 25x16 100 pcs</v>
      </c>
      <c r="P10837">
        <f>IF(OR(M10837="",N10837=""),"",SUMIFS('Barang Keluar'!$E:$E,'Barang Keluar'!$A:$A,M10837,'Barang Keluar'!$C:$C,N10837))</f>
        <v>0</v>
      </c>
    </row>
    <row r="10838" spans="13:16">
      <c r="M10838" s="49">
        <f>IF($A$4+108&gt;$B$4,"",$A$4+108)</f>
        <v>46131</v>
      </c>
      <c r="N10838" t="str">
        <f>IF(M10838="","",'Master Barang'!A32)</f>
        <v>PRL-031</v>
      </c>
      <c r="O10838" t="str">
        <f>IF(N10838="","",'Master Barang'!B32)</f>
        <v>tempat saus 20 ml</v>
      </c>
      <c r="P10838">
        <f>IF(OR(M10838="",N10838=""),"",SUMIFS('Barang Keluar'!$E:$E,'Barang Keluar'!$A:$A,M10838,'Barang Keluar'!$C:$C,N10838))</f>
        <v>0</v>
      </c>
    </row>
    <row r="10839" spans="13:16">
      <c r="M10839" s="49">
        <f>IF($A$4+108&gt;$B$4,"",$A$4+108)</f>
        <v>46131</v>
      </c>
      <c r="N10839" t="str">
        <f>IF(M10839="","",'Master Barang'!A33)</f>
        <v>PRL-032</v>
      </c>
      <c r="O10839" t="str">
        <f>IF(N10839="","",'Master Barang'!B33)</f>
        <v>plastik packaging ag box uk sedang</v>
      </c>
      <c r="P10839">
        <f>IF(OR(M10839="",N10839=""),"",SUMIFS('Barang Keluar'!$E:$E,'Barang Keluar'!$A:$A,M10839,'Barang Keluar'!$C:$C,N10839))</f>
        <v>0</v>
      </c>
    </row>
    <row r="10840" spans="13:16">
      <c r="M10840" s="49">
        <f>IF($A$4+108&gt;$B$4,"",$A$4+108)</f>
        <v>46131</v>
      </c>
      <c r="N10840" t="str">
        <f>IF(M10840="","",'Master Barang'!A34)</f>
        <v>PRL-033</v>
      </c>
      <c r="O10840">
        <f>IF(N10840="","",'Master Barang'!B34)</f>
        <v>0</v>
      </c>
      <c r="P10840">
        <f>IF(OR(M10840="",N10840=""),"",SUMIFS('Barang Keluar'!$E:$E,'Barang Keluar'!$A:$A,M10840,'Barang Keluar'!$C:$C,N10840))</f>
        <v>0</v>
      </c>
    </row>
    <row r="10841" spans="13:16">
      <c r="M10841" s="49">
        <f>IF($A$4+108&gt;$B$4,"",$A$4+108)</f>
        <v>46131</v>
      </c>
      <c r="N10841">
        <f>IF(M10841="","",'Master Barang'!A35)</f>
        <v>0</v>
      </c>
      <c r="O10841">
        <f>IF(N10841="","",'Master Barang'!B35)</f>
        <v>0</v>
      </c>
      <c r="P10841">
        <f>IF(OR(M10841="",N10841=""),"",SUMIFS('Barang Keluar'!$E:$E,'Barang Keluar'!$A:$A,M10841,'Barang Keluar'!$C:$C,N10841))</f>
        <v>0</v>
      </c>
    </row>
    <row r="10842" spans="13:16">
      <c r="M10842" s="49">
        <f>IF($A$4+108&gt;$B$4,"",$A$4+108)</f>
        <v>46131</v>
      </c>
      <c r="N10842">
        <f>IF(M10842="","",'Master Barang'!A36)</f>
        <v>0</v>
      </c>
      <c r="O10842">
        <f>IF(N10842="","",'Master Barang'!B36)</f>
        <v>0</v>
      </c>
      <c r="P10842">
        <f>IF(OR(M10842="",N10842=""),"",SUMIFS('Barang Keluar'!$E:$E,'Barang Keluar'!$A:$A,M10842,'Barang Keluar'!$C:$C,N10842))</f>
        <v>0</v>
      </c>
    </row>
    <row r="10843" spans="13:16">
      <c r="M10843" s="49">
        <f>IF($A$4+108&gt;$B$4,"",$A$4+108)</f>
        <v>46131</v>
      </c>
      <c r="N10843">
        <f>IF(M10843="","",'Master Barang'!A37)</f>
        <v>0</v>
      </c>
      <c r="O10843">
        <f>IF(N10843="","",'Master Barang'!B37)</f>
        <v>0</v>
      </c>
      <c r="P10843">
        <f>IF(OR(M10843="",N10843=""),"",SUMIFS('Barang Keluar'!$E:$E,'Barang Keluar'!$A:$A,M10843,'Barang Keluar'!$C:$C,N10843))</f>
        <v>0</v>
      </c>
    </row>
    <row r="10844" spans="13:16">
      <c r="M10844" s="49">
        <f>IF($A$4+108&gt;$B$4,"",$A$4+108)</f>
        <v>46131</v>
      </c>
      <c r="N10844">
        <f>IF(M10844="","",'Master Barang'!A38)</f>
        <v>0</v>
      </c>
      <c r="O10844">
        <f>IF(N10844="","",'Master Barang'!B38)</f>
        <v>0</v>
      </c>
      <c r="P10844">
        <f>IF(OR(M10844="",N10844=""),"",SUMIFS('Barang Keluar'!$E:$E,'Barang Keluar'!$A:$A,M10844,'Barang Keluar'!$C:$C,N10844))</f>
        <v>0</v>
      </c>
    </row>
    <row r="10845" spans="13:16">
      <c r="M10845" s="49">
        <f>IF($A$4+108&gt;$B$4,"",$A$4+108)</f>
        <v>46131</v>
      </c>
      <c r="N10845">
        <f>IF(M10845="","",'Master Barang'!A39)</f>
        <v>0</v>
      </c>
      <c r="O10845">
        <f>IF(N10845="","",'Master Barang'!B39)</f>
        <v>0</v>
      </c>
      <c r="P10845">
        <f>IF(OR(M10845="",N10845=""),"",SUMIFS('Barang Keluar'!$E:$E,'Barang Keluar'!$A:$A,M10845,'Barang Keluar'!$C:$C,N10845))</f>
        <v>0</v>
      </c>
    </row>
    <row r="10846" spans="13:16">
      <c r="M10846" s="49">
        <f>IF($A$4+108&gt;$B$4,"",$A$4+108)</f>
        <v>46131</v>
      </c>
      <c r="N10846">
        <f>IF(M10846="","",'Master Barang'!A40)</f>
        <v>0</v>
      </c>
      <c r="O10846">
        <f>IF(N10846="","",'Master Barang'!B40)</f>
        <v>0</v>
      </c>
      <c r="P10846">
        <f>IF(OR(M10846="",N10846=""),"",SUMIFS('Barang Keluar'!$E:$E,'Barang Keluar'!$A:$A,M10846,'Barang Keluar'!$C:$C,N10846))</f>
        <v>0</v>
      </c>
    </row>
    <row r="10847" spans="13:16">
      <c r="M10847" s="49">
        <f>IF($A$4+108&gt;$B$4,"",$A$4+108)</f>
        <v>46131</v>
      </c>
      <c r="N10847">
        <f>IF(M10847="","",'Master Barang'!A41)</f>
        <v>0</v>
      </c>
      <c r="O10847">
        <f>IF(N10847="","",'Master Barang'!B41)</f>
        <v>0</v>
      </c>
      <c r="P10847">
        <f>IF(OR(M10847="",N10847=""),"",SUMIFS('Barang Keluar'!$E:$E,'Barang Keluar'!$A:$A,M10847,'Barang Keluar'!$C:$C,N10847))</f>
        <v>0</v>
      </c>
    </row>
    <row r="10848" spans="13:16">
      <c r="M10848" s="49">
        <f>IF($A$4+108&gt;$B$4,"",$A$4+108)</f>
        <v>46131</v>
      </c>
      <c r="N10848">
        <f>IF(M10848="","",'Master Barang'!A42)</f>
        <v>0</v>
      </c>
      <c r="O10848">
        <f>IF(N10848="","",'Master Barang'!B42)</f>
        <v>0</v>
      </c>
      <c r="P10848">
        <f>IF(OR(M10848="",N10848=""),"",SUMIFS('Barang Keluar'!$E:$E,'Barang Keluar'!$A:$A,M10848,'Barang Keluar'!$C:$C,N10848))</f>
        <v>0</v>
      </c>
    </row>
    <row r="10849" spans="13:16">
      <c r="M10849" s="49">
        <f>IF($A$4+108&gt;$B$4,"",$A$4+108)</f>
        <v>46131</v>
      </c>
      <c r="N10849">
        <f>IF(M10849="","",'Master Barang'!A43)</f>
        <v>0</v>
      </c>
      <c r="O10849">
        <f>IF(N10849="","",'Master Barang'!B43)</f>
        <v>0</v>
      </c>
      <c r="P10849">
        <f>IF(OR(M10849="",N10849=""),"",SUMIFS('Barang Keluar'!$E:$E,'Barang Keluar'!$A:$A,M10849,'Barang Keluar'!$C:$C,N10849))</f>
        <v>0</v>
      </c>
    </row>
    <row r="10850" spans="13:16">
      <c r="M10850" s="49">
        <f>IF($A$4+108&gt;$B$4,"",$A$4+108)</f>
        <v>46131</v>
      </c>
      <c r="N10850">
        <f>IF(M10850="","",'Master Barang'!A44)</f>
        <v>0</v>
      </c>
      <c r="O10850">
        <f>IF(N10850="","",'Master Barang'!B44)</f>
        <v>0</v>
      </c>
      <c r="P10850">
        <f>IF(OR(M10850="",N10850=""),"",SUMIFS('Barang Keluar'!$E:$E,'Barang Keluar'!$A:$A,M10850,'Barang Keluar'!$C:$C,N10850))</f>
        <v>0</v>
      </c>
    </row>
    <row r="10851" spans="13:16">
      <c r="M10851" s="49">
        <f>IF($A$4+108&gt;$B$4,"",$A$4+108)</f>
        <v>46131</v>
      </c>
      <c r="N10851">
        <f>IF(M10851="","",'Master Barang'!A45)</f>
        <v>0</v>
      </c>
      <c r="O10851">
        <f>IF(N10851="","",'Master Barang'!B45)</f>
        <v>0</v>
      </c>
      <c r="P10851">
        <f>IF(OR(M10851="",N10851=""),"",SUMIFS('Barang Keluar'!$E:$E,'Barang Keluar'!$A:$A,M10851,'Barang Keluar'!$C:$C,N10851))</f>
        <v>0</v>
      </c>
    </row>
    <row r="10852" spans="13:16">
      <c r="M10852" s="49">
        <f>IF($A$4+108&gt;$B$4,"",$A$4+108)</f>
        <v>46131</v>
      </c>
      <c r="N10852">
        <f>IF(M10852="","",'Master Barang'!A46)</f>
        <v>0</v>
      </c>
      <c r="O10852">
        <f>IF(N10852="","",'Master Barang'!B46)</f>
        <v>0</v>
      </c>
      <c r="P10852">
        <f>IF(OR(M10852="",N10852=""),"",SUMIFS('Barang Keluar'!$E:$E,'Barang Keluar'!$A:$A,M10852,'Barang Keluar'!$C:$C,N10852))</f>
        <v>0</v>
      </c>
    </row>
    <row r="10853" spans="13:16">
      <c r="M10853" s="49">
        <f>IF($A$4+108&gt;$B$4,"",$A$4+108)</f>
        <v>46131</v>
      </c>
      <c r="N10853">
        <f>IF(M10853="","",'Master Barang'!A47)</f>
        <v>0</v>
      </c>
      <c r="O10853">
        <f>IF(N10853="","",'Master Barang'!B47)</f>
        <v>0</v>
      </c>
      <c r="P10853">
        <f>IF(OR(M10853="",N10853=""),"",SUMIFS('Barang Keluar'!$E:$E,'Barang Keluar'!$A:$A,M10853,'Barang Keluar'!$C:$C,N10853))</f>
        <v>0</v>
      </c>
    </row>
    <row r="10854" spans="13:16">
      <c r="M10854" s="49">
        <f>IF($A$4+108&gt;$B$4,"",$A$4+108)</f>
        <v>46131</v>
      </c>
      <c r="N10854">
        <f>IF(M10854="","",'Master Barang'!A48)</f>
        <v>0</v>
      </c>
      <c r="O10854">
        <f>IF(N10854="","",'Master Barang'!B48)</f>
        <v>0</v>
      </c>
      <c r="P10854">
        <f>IF(OR(M10854="",N10854=""),"",SUMIFS('Barang Keluar'!$E:$E,'Barang Keluar'!$A:$A,M10854,'Barang Keluar'!$C:$C,N10854))</f>
        <v>0</v>
      </c>
    </row>
    <row r="10855" spans="13:16">
      <c r="M10855" s="49">
        <f>IF($A$4+108&gt;$B$4,"",$A$4+108)</f>
        <v>46131</v>
      </c>
      <c r="N10855">
        <f>IF(M10855="","",'Master Barang'!A49)</f>
        <v>0</v>
      </c>
      <c r="O10855">
        <f>IF(N10855="","",'Master Barang'!B49)</f>
        <v>0</v>
      </c>
      <c r="P10855">
        <f>IF(OR(M10855="",N10855=""),"",SUMIFS('Barang Keluar'!$E:$E,'Barang Keluar'!$A:$A,M10855,'Barang Keluar'!$C:$C,N10855))</f>
        <v>0</v>
      </c>
    </row>
    <row r="10856" spans="13:16">
      <c r="M10856" s="49">
        <f>IF($A$4+108&gt;$B$4,"",$A$4+108)</f>
        <v>46131</v>
      </c>
      <c r="N10856">
        <f>IF(M10856="","",'Master Barang'!A50)</f>
        <v>0</v>
      </c>
      <c r="O10856">
        <f>IF(N10856="","",'Master Barang'!B50)</f>
        <v>0</v>
      </c>
      <c r="P10856">
        <f>IF(OR(M10856="",N10856=""),"",SUMIFS('Barang Keluar'!$E:$E,'Barang Keluar'!$A:$A,M10856,'Barang Keluar'!$C:$C,N10856))</f>
        <v>0</v>
      </c>
    </row>
    <row r="10857" spans="13:16">
      <c r="M10857" s="49">
        <f>IF($A$4+108&gt;$B$4,"",$A$4+108)</f>
        <v>46131</v>
      </c>
      <c r="N10857">
        <f>IF(M10857="","",'Master Barang'!A51)</f>
        <v>0</v>
      </c>
      <c r="O10857">
        <f>IF(N10857="","",'Master Barang'!B51)</f>
        <v>0</v>
      </c>
      <c r="P10857">
        <f>IF(OR(M10857="",N10857=""),"",SUMIFS('Barang Keluar'!$E:$E,'Barang Keluar'!$A:$A,M10857,'Barang Keluar'!$C:$C,N10857))</f>
        <v>0</v>
      </c>
    </row>
    <row r="10858" spans="13:16">
      <c r="M10858" s="49">
        <f>IF($A$4+108&gt;$B$4,"",$A$4+108)</f>
        <v>46131</v>
      </c>
      <c r="N10858">
        <f>IF(M10858="","",'Master Barang'!A52)</f>
        <v>0</v>
      </c>
      <c r="O10858">
        <f>IF(N10858="","",'Master Barang'!B52)</f>
        <v>0</v>
      </c>
      <c r="P10858">
        <f>IF(OR(M10858="",N10858=""),"",SUMIFS('Barang Keluar'!$E:$E,'Barang Keluar'!$A:$A,M10858,'Barang Keluar'!$C:$C,N10858))</f>
        <v>0</v>
      </c>
    </row>
    <row r="10859" spans="13:16">
      <c r="M10859" s="49">
        <f>IF($A$4+108&gt;$B$4,"",$A$4+108)</f>
        <v>46131</v>
      </c>
      <c r="N10859">
        <f>IF(M10859="","",'Master Barang'!A53)</f>
        <v>0</v>
      </c>
      <c r="O10859">
        <f>IF(N10859="","",'Master Barang'!B53)</f>
        <v>0</v>
      </c>
      <c r="P10859">
        <f>IF(OR(M10859="",N10859=""),"",SUMIFS('Barang Keluar'!$E:$E,'Barang Keluar'!$A:$A,M10859,'Barang Keluar'!$C:$C,N10859))</f>
        <v>0</v>
      </c>
    </row>
    <row r="10860" spans="13:16">
      <c r="M10860" s="49">
        <f>IF($A$4+108&gt;$B$4,"",$A$4+108)</f>
        <v>46131</v>
      </c>
      <c r="N10860">
        <f>IF(M10860="","",'Master Barang'!A54)</f>
        <v>0</v>
      </c>
      <c r="O10860">
        <f>IF(N10860="","",'Master Barang'!B54)</f>
        <v>0</v>
      </c>
      <c r="P10860">
        <f>IF(OR(M10860="",N10860=""),"",SUMIFS('Barang Keluar'!$E:$E,'Barang Keluar'!$A:$A,M10860,'Barang Keluar'!$C:$C,N10860))</f>
        <v>0</v>
      </c>
    </row>
    <row r="10861" spans="13:16">
      <c r="M10861" s="49">
        <f>IF($A$4+108&gt;$B$4,"",$A$4+108)</f>
        <v>46131</v>
      </c>
      <c r="N10861">
        <f>IF(M10861="","",'Master Barang'!A55)</f>
        <v>0</v>
      </c>
      <c r="O10861">
        <f>IF(N10861="","",'Master Barang'!B55)</f>
        <v>0</v>
      </c>
      <c r="P10861">
        <f>IF(OR(M10861="",N10861=""),"",SUMIFS('Barang Keluar'!$E:$E,'Barang Keluar'!$A:$A,M10861,'Barang Keluar'!$C:$C,N10861))</f>
        <v>0</v>
      </c>
    </row>
    <row r="10862" spans="13:16">
      <c r="M10862" s="49">
        <f>IF($A$4+108&gt;$B$4,"",$A$4+108)</f>
        <v>46131</v>
      </c>
      <c r="N10862">
        <f>IF(M10862="","",'Master Barang'!A56)</f>
        <v>0</v>
      </c>
      <c r="O10862">
        <f>IF(N10862="","",'Master Barang'!B56)</f>
        <v>0</v>
      </c>
      <c r="P10862">
        <f>IF(OR(M10862="",N10862=""),"",SUMIFS('Barang Keluar'!$E:$E,'Barang Keluar'!$A:$A,M10862,'Barang Keluar'!$C:$C,N10862))</f>
        <v>0</v>
      </c>
    </row>
    <row r="10863" spans="13:16">
      <c r="M10863" s="49">
        <f>IF($A$4+108&gt;$B$4,"",$A$4+108)</f>
        <v>46131</v>
      </c>
      <c r="N10863">
        <f>IF(M10863="","",'Master Barang'!A57)</f>
        <v>0</v>
      </c>
      <c r="O10863">
        <f>IF(N10863="","",'Master Barang'!B57)</f>
        <v>0</v>
      </c>
      <c r="P10863">
        <f>IF(OR(M10863="",N10863=""),"",SUMIFS('Barang Keluar'!$E:$E,'Barang Keluar'!$A:$A,M10863,'Barang Keluar'!$C:$C,N10863))</f>
        <v>0</v>
      </c>
    </row>
    <row r="10864" spans="13:16">
      <c r="M10864" s="49">
        <f>IF($A$4+108&gt;$B$4,"",$A$4+108)</f>
        <v>46131</v>
      </c>
      <c r="N10864">
        <f>IF(M10864="","",'Master Barang'!A58)</f>
        <v>0</v>
      </c>
      <c r="O10864">
        <f>IF(N10864="","",'Master Barang'!B58)</f>
        <v>0</v>
      </c>
      <c r="P10864">
        <f>IF(OR(M10864="",N10864=""),"",SUMIFS('Barang Keluar'!$E:$E,'Barang Keluar'!$A:$A,M10864,'Barang Keluar'!$C:$C,N10864))</f>
        <v>0</v>
      </c>
    </row>
    <row r="10865" spans="13:16">
      <c r="M10865" s="49">
        <f>IF($A$4+108&gt;$B$4,"",$A$4+108)</f>
        <v>46131</v>
      </c>
      <c r="N10865">
        <f>IF(M10865="","",'Master Barang'!A59)</f>
        <v>0</v>
      </c>
      <c r="O10865">
        <f>IF(N10865="","",'Master Barang'!B59)</f>
        <v>0</v>
      </c>
      <c r="P10865">
        <f>IF(OR(M10865="",N10865=""),"",SUMIFS('Barang Keluar'!$E:$E,'Barang Keluar'!$A:$A,M10865,'Barang Keluar'!$C:$C,N10865))</f>
        <v>0</v>
      </c>
    </row>
    <row r="10866" spans="13:16">
      <c r="M10866" s="49">
        <f>IF($A$4+108&gt;$B$4,"",$A$4+108)</f>
        <v>46131</v>
      </c>
      <c r="N10866">
        <f>IF(M10866="","",'Master Barang'!A60)</f>
        <v>0</v>
      </c>
      <c r="O10866">
        <f>IF(N10866="","",'Master Barang'!B60)</f>
        <v>0</v>
      </c>
      <c r="P10866">
        <f>IF(OR(M10866="",N10866=""),"",SUMIFS('Barang Keluar'!$E:$E,'Barang Keluar'!$A:$A,M10866,'Barang Keluar'!$C:$C,N10866))</f>
        <v>0</v>
      </c>
    </row>
    <row r="10867" spans="13:16">
      <c r="M10867" s="49">
        <f>IF($A$4+108&gt;$B$4,"",$A$4+108)</f>
        <v>46131</v>
      </c>
      <c r="N10867">
        <f>IF(M10867="","",'Master Barang'!A61)</f>
        <v>0</v>
      </c>
      <c r="O10867">
        <f>IF(N10867="","",'Master Barang'!B61)</f>
        <v>0</v>
      </c>
      <c r="P10867">
        <f>IF(OR(M10867="",N10867=""),"",SUMIFS('Barang Keluar'!$E:$E,'Barang Keluar'!$A:$A,M10867,'Barang Keluar'!$C:$C,N10867))</f>
        <v>0</v>
      </c>
    </row>
    <row r="10868" spans="13:16">
      <c r="M10868" s="49">
        <f>IF($A$4+108&gt;$B$4,"",$A$4+108)</f>
        <v>46131</v>
      </c>
      <c r="N10868">
        <f>IF(M10868="","",'Master Barang'!A62)</f>
        <v>0</v>
      </c>
      <c r="O10868">
        <f>IF(N10868="","",'Master Barang'!B62)</f>
        <v>0</v>
      </c>
      <c r="P10868">
        <f>IF(OR(M10868="",N10868=""),"",SUMIFS('Barang Keluar'!$E:$E,'Barang Keluar'!$A:$A,M10868,'Barang Keluar'!$C:$C,N10868))</f>
        <v>0</v>
      </c>
    </row>
    <row r="10869" spans="13:16">
      <c r="M10869" s="49">
        <f>IF($A$4+108&gt;$B$4,"",$A$4+108)</f>
        <v>46131</v>
      </c>
      <c r="N10869">
        <f>IF(M10869="","",'Master Barang'!A63)</f>
        <v>0</v>
      </c>
      <c r="O10869">
        <f>IF(N10869="","",'Master Barang'!B63)</f>
        <v>0</v>
      </c>
      <c r="P10869">
        <f>IF(OR(M10869="",N10869=""),"",SUMIFS('Barang Keluar'!$E:$E,'Barang Keluar'!$A:$A,M10869,'Barang Keluar'!$C:$C,N10869))</f>
        <v>0</v>
      </c>
    </row>
    <row r="10870" spans="13:16">
      <c r="M10870" s="49">
        <f>IF($A$4+108&gt;$B$4,"",$A$4+108)</f>
        <v>46131</v>
      </c>
      <c r="N10870">
        <f>IF(M10870="","",'Master Barang'!A64)</f>
        <v>0</v>
      </c>
      <c r="O10870">
        <f>IF(N10870="","",'Master Barang'!B64)</f>
        <v>0</v>
      </c>
      <c r="P10870">
        <f>IF(OR(M10870="",N10870=""),"",SUMIFS('Barang Keluar'!$E:$E,'Barang Keluar'!$A:$A,M10870,'Barang Keluar'!$C:$C,N10870))</f>
        <v>0</v>
      </c>
    </row>
    <row r="10871" spans="13:16">
      <c r="M10871" s="49">
        <f>IF($A$4+108&gt;$B$4,"",$A$4+108)</f>
        <v>46131</v>
      </c>
      <c r="N10871">
        <f>IF(M10871="","",'Master Barang'!A65)</f>
        <v>0</v>
      </c>
      <c r="O10871">
        <f>IF(N10871="","",'Master Barang'!B65)</f>
        <v>0</v>
      </c>
      <c r="P10871">
        <f>IF(OR(M10871="",N10871=""),"",SUMIFS('Barang Keluar'!$E:$E,'Barang Keluar'!$A:$A,M10871,'Barang Keluar'!$C:$C,N10871))</f>
        <v>0</v>
      </c>
    </row>
    <row r="10872" spans="13:16">
      <c r="M10872" s="49">
        <f>IF($A$4+108&gt;$B$4,"",$A$4+108)</f>
        <v>46131</v>
      </c>
      <c r="N10872">
        <f>IF(M10872="","",'Master Barang'!A66)</f>
        <v>0</v>
      </c>
      <c r="O10872">
        <f>IF(N10872="","",'Master Barang'!B66)</f>
        <v>0</v>
      </c>
      <c r="P10872">
        <f>IF(OR(M10872="",N10872=""),"",SUMIFS('Barang Keluar'!$E:$E,'Barang Keluar'!$A:$A,M10872,'Barang Keluar'!$C:$C,N10872))</f>
        <v>0</v>
      </c>
    </row>
    <row r="10873" spans="13:16">
      <c r="M10873" s="49">
        <f>IF($A$4+108&gt;$B$4,"",$A$4+108)</f>
        <v>46131</v>
      </c>
      <c r="N10873">
        <f>IF(M10873="","",'Master Barang'!A67)</f>
        <v>0</v>
      </c>
      <c r="O10873">
        <f>IF(N10873="","",'Master Barang'!B67)</f>
        <v>0</v>
      </c>
      <c r="P10873">
        <f>IF(OR(M10873="",N10873=""),"",SUMIFS('Barang Keluar'!$E:$E,'Barang Keluar'!$A:$A,M10873,'Barang Keluar'!$C:$C,N10873))</f>
        <v>0</v>
      </c>
    </row>
    <row r="10874" spans="13:16">
      <c r="M10874" s="49">
        <f>IF($A$4+108&gt;$B$4,"",$A$4+108)</f>
        <v>46131</v>
      </c>
      <c r="N10874">
        <f>IF(M10874="","",'Master Barang'!A68)</f>
        <v>0</v>
      </c>
      <c r="O10874">
        <f>IF(N10874="","",'Master Barang'!B68)</f>
        <v>0</v>
      </c>
      <c r="P10874">
        <f>IF(OR(M10874="",N10874=""),"",SUMIFS('Barang Keluar'!$E:$E,'Barang Keluar'!$A:$A,M10874,'Barang Keluar'!$C:$C,N10874))</f>
        <v>0</v>
      </c>
    </row>
    <row r="10875" spans="13:16">
      <c r="M10875" s="49">
        <f>IF($A$4+108&gt;$B$4,"",$A$4+108)</f>
        <v>46131</v>
      </c>
      <c r="N10875">
        <f>IF(M10875="","",'Master Barang'!A69)</f>
        <v>0</v>
      </c>
      <c r="O10875">
        <f>IF(N10875="","",'Master Barang'!B69)</f>
        <v>0</v>
      </c>
      <c r="P10875">
        <f>IF(OR(M10875="",N10875=""),"",SUMIFS('Barang Keluar'!$E:$E,'Barang Keluar'!$A:$A,M10875,'Barang Keluar'!$C:$C,N10875))</f>
        <v>0</v>
      </c>
    </row>
    <row r="10876" spans="13:16">
      <c r="M10876" s="49">
        <f>IF($A$4+108&gt;$B$4,"",$A$4+108)</f>
        <v>46131</v>
      </c>
      <c r="N10876">
        <f>IF(M10876="","",'Master Barang'!A70)</f>
        <v>0</v>
      </c>
      <c r="O10876">
        <f>IF(N10876="","",'Master Barang'!B70)</f>
        <v>0</v>
      </c>
      <c r="P10876">
        <f>IF(OR(M10876="",N10876=""),"",SUMIFS('Barang Keluar'!$E:$E,'Barang Keluar'!$A:$A,M10876,'Barang Keluar'!$C:$C,N10876))</f>
        <v>0</v>
      </c>
    </row>
    <row r="10877" spans="13:16">
      <c r="M10877" s="49">
        <f>IF($A$4+108&gt;$B$4,"",$A$4+108)</f>
        <v>46131</v>
      </c>
      <c r="N10877">
        <f>IF(M10877="","",'Master Barang'!A71)</f>
        <v>0</v>
      </c>
      <c r="O10877">
        <f>IF(N10877="","",'Master Barang'!B71)</f>
        <v>0</v>
      </c>
      <c r="P10877">
        <f>IF(OR(M10877="",N10877=""),"",SUMIFS('Barang Keluar'!$E:$E,'Barang Keluar'!$A:$A,M10877,'Barang Keluar'!$C:$C,N10877))</f>
        <v>0</v>
      </c>
    </row>
    <row r="10878" spans="13:16">
      <c r="M10878" s="49">
        <f>IF($A$4+108&gt;$B$4,"",$A$4+108)</f>
        <v>46131</v>
      </c>
      <c r="N10878">
        <f>IF(M10878="","",'Master Barang'!A72)</f>
        <v>0</v>
      </c>
      <c r="O10878">
        <f>IF(N10878="","",'Master Barang'!B72)</f>
        <v>0</v>
      </c>
      <c r="P10878">
        <f>IF(OR(M10878="",N10878=""),"",SUMIFS('Barang Keluar'!$E:$E,'Barang Keluar'!$A:$A,M10878,'Barang Keluar'!$C:$C,N10878))</f>
        <v>0</v>
      </c>
    </row>
    <row r="10879" spans="13:16">
      <c r="M10879" s="49">
        <f>IF($A$4+108&gt;$B$4,"",$A$4+108)</f>
        <v>46131</v>
      </c>
      <c r="N10879">
        <f>IF(M10879="","",'Master Barang'!A73)</f>
        <v>0</v>
      </c>
      <c r="O10879">
        <f>IF(N10879="","",'Master Barang'!B73)</f>
        <v>0</v>
      </c>
      <c r="P10879">
        <f>IF(OR(M10879="",N10879=""),"",SUMIFS('Barang Keluar'!$E:$E,'Barang Keluar'!$A:$A,M10879,'Barang Keluar'!$C:$C,N10879))</f>
        <v>0</v>
      </c>
    </row>
    <row r="10880" spans="13:16">
      <c r="M10880" s="49">
        <f>IF($A$4+108&gt;$B$4,"",$A$4+108)</f>
        <v>46131</v>
      </c>
      <c r="N10880">
        <f>IF(M10880="","",'Master Barang'!A74)</f>
        <v>0</v>
      </c>
      <c r="O10880">
        <f>IF(N10880="","",'Master Barang'!B74)</f>
        <v>0</v>
      </c>
      <c r="P10880">
        <f>IF(OR(M10880="",N10880=""),"",SUMIFS('Barang Keluar'!$E:$E,'Barang Keluar'!$A:$A,M10880,'Barang Keluar'!$C:$C,N10880))</f>
        <v>0</v>
      </c>
    </row>
    <row r="10881" spans="13:16">
      <c r="M10881" s="49">
        <f>IF($A$4+108&gt;$B$4,"",$A$4+108)</f>
        <v>46131</v>
      </c>
      <c r="N10881">
        <f>IF(M10881="","",'Master Barang'!A75)</f>
        <v>0</v>
      </c>
      <c r="O10881">
        <f>IF(N10881="","",'Master Barang'!B75)</f>
        <v>0</v>
      </c>
      <c r="P10881">
        <f>IF(OR(M10881="",N10881=""),"",SUMIFS('Barang Keluar'!$E:$E,'Barang Keluar'!$A:$A,M10881,'Barang Keluar'!$C:$C,N10881))</f>
        <v>0</v>
      </c>
    </row>
    <row r="10882" spans="13:16">
      <c r="M10882" s="49">
        <f>IF($A$4+108&gt;$B$4,"",$A$4+108)</f>
        <v>46131</v>
      </c>
      <c r="N10882">
        <f>IF(M10882="","",'Master Barang'!A76)</f>
        <v>0</v>
      </c>
      <c r="O10882">
        <f>IF(N10882="","",'Master Barang'!B76)</f>
        <v>0</v>
      </c>
      <c r="P10882">
        <f>IF(OR(M10882="",N10882=""),"",SUMIFS('Barang Keluar'!$E:$E,'Barang Keluar'!$A:$A,M10882,'Barang Keluar'!$C:$C,N10882))</f>
        <v>0</v>
      </c>
    </row>
    <row r="10883" spans="13:16">
      <c r="M10883" s="49">
        <f>IF($A$4+108&gt;$B$4,"",$A$4+108)</f>
        <v>46131</v>
      </c>
      <c r="N10883">
        <f>IF(M10883="","",'Master Barang'!A77)</f>
        <v>0</v>
      </c>
      <c r="O10883">
        <f>IF(N10883="","",'Master Barang'!B77)</f>
        <v>0</v>
      </c>
      <c r="P10883">
        <f>IF(OR(M10883="",N10883=""),"",SUMIFS('Barang Keluar'!$E:$E,'Barang Keluar'!$A:$A,M10883,'Barang Keluar'!$C:$C,N10883))</f>
        <v>0</v>
      </c>
    </row>
    <row r="10884" spans="13:16">
      <c r="M10884" s="49">
        <f>IF($A$4+108&gt;$B$4,"",$A$4+108)</f>
        <v>46131</v>
      </c>
      <c r="N10884">
        <f>IF(M10884="","",'Master Barang'!A78)</f>
        <v>0</v>
      </c>
      <c r="O10884">
        <f>IF(N10884="","",'Master Barang'!B78)</f>
        <v>0</v>
      </c>
      <c r="P10884">
        <f>IF(OR(M10884="",N10884=""),"",SUMIFS('Barang Keluar'!$E:$E,'Barang Keluar'!$A:$A,M10884,'Barang Keluar'!$C:$C,N10884))</f>
        <v>0</v>
      </c>
    </row>
    <row r="10885" spans="13:16">
      <c r="M10885" s="49">
        <f>IF($A$4+108&gt;$B$4,"",$A$4+108)</f>
        <v>46131</v>
      </c>
      <c r="N10885">
        <f>IF(M10885="","",'Master Barang'!A79)</f>
        <v>0</v>
      </c>
      <c r="O10885">
        <f>IF(N10885="","",'Master Barang'!B79)</f>
        <v>0</v>
      </c>
      <c r="P10885">
        <f>IF(OR(M10885="",N10885=""),"",SUMIFS('Barang Keluar'!$E:$E,'Barang Keluar'!$A:$A,M10885,'Barang Keluar'!$C:$C,N10885))</f>
        <v>0</v>
      </c>
    </row>
    <row r="10886" spans="13:16">
      <c r="M10886" s="49">
        <f>IF($A$4+108&gt;$B$4,"",$A$4+108)</f>
        <v>46131</v>
      </c>
      <c r="N10886">
        <f>IF(M10886="","",'Master Barang'!A80)</f>
        <v>0</v>
      </c>
      <c r="O10886">
        <f>IF(N10886="","",'Master Barang'!B80)</f>
        <v>0</v>
      </c>
      <c r="P10886">
        <f>IF(OR(M10886="",N10886=""),"",SUMIFS('Barang Keluar'!$E:$E,'Barang Keluar'!$A:$A,M10886,'Barang Keluar'!$C:$C,N10886))</f>
        <v>0</v>
      </c>
    </row>
    <row r="10887" spans="13:16">
      <c r="M10887" s="49">
        <f>IF($A$4+108&gt;$B$4,"",$A$4+108)</f>
        <v>46131</v>
      </c>
      <c r="N10887">
        <f>IF(M10887="","",'Master Barang'!A81)</f>
        <v>0</v>
      </c>
      <c r="O10887">
        <f>IF(N10887="","",'Master Barang'!B81)</f>
        <v>0</v>
      </c>
      <c r="P10887">
        <f>IF(OR(M10887="",N10887=""),"",SUMIFS('Barang Keluar'!$E:$E,'Barang Keluar'!$A:$A,M10887,'Barang Keluar'!$C:$C,N10887))</f>
        <v>0</v>
      </c>
    </row>
    <row r="10888" spans="13:16">
      <c r="M10888" s="49">
        <f>IF($A$4+108&gt;$B$4,"",$A$4+108)</f>
        <v>46131</v>
      </c>
      <c r="N10888">
        <f>IF(M10888="","",'Master Barang'!A82)</f>
        <v>0</v>
      </c>
      <c r="O10888">
        <f>IF(N10888="","",'Master Barang'!B82)</f>
        <v>0</v>
      </c>
      <c r="P10888">
        <f>IF(OR(M10888="",N10888=""),"",SUMIFS('Barang Keluar'!$E:$E,'Barang Keluar'!$A:$A,M10888,'Barang Keluar'!$C:$C,N10888))</f>
        <v>0</v>
      </c>
    </row>
    <row r="10889" spans="13:16">
      <c r="M10889" s="49">
        <f>IF($A$4+108&gt;$B$4,"",$A$4+108)</f>
        <v>46131</v>
      </c>
      <c r="N10889">
        <f>IF(M10889="","",'Master Barang'!A83)</f>
        <v>0</v>
      </c>
      <c r="O10889">
        <f>IF(N10889="","",'Master Barang'!B83)</f>
        <v>0</v>
      </c>
      <c r="P10889">
        <f>IF(OR(M10889="",N10889=""),"",SUMIFS('Barang Keluar'!$E:$E,'Barang Keluar'!$A:$A,M10889,'Barang Keluar'!$C:$C,N10889))</f>
        <v>0</v>
      </c>
    </row>
    <row r="10890" spans="13:16">
      <c r="M10890" s="49">
        <f>IF($A$4+108&gt;$B$4,"",$A$4+108)</f>
        <v>46131</v>
      </c>
      <c r="N10890">
        <f>IF(M10890="","",'Master Barang'!A84)</f>
        <v>0</v>
      </c>
      <c r="O10890">
        <f>IF(N10890="","",'Master Barang'!B84)</f>
        <v>0</v>
      </c>
      <c r="P10890">
        <f>IF(OR(M10890="",N10890=""),"",SUMIFS('Barang Keluar'!$E:$E,'Barang Keluar'!$A:$A,M10890,'Barang Keluar'!$C:$C,N10890))</f>
        <v>0</v>
      </c>
    </row>
    <row r="10891" spans="13:16">
      <c r="M10891" s="49">
        <f>IF($A$4+108&gt;$B$4,"",$A$4+108)</f>
        <v>46131</v>
      </c>
      <c r="N10891">
        <f>IF(M10891="","",'Master Barang'!A85)</f>
        <v>0</v>
      </c>
      <c r="O10891">
        <f>IF(N10891="","",'Master Barang'!B85)</f>
        <v>0</v>
      </c>
      <c r="P10891">
        <f>IF(OR(M10891="",N10891=""),"",SUMIFS('Barang Keluar'!$E:$E,'Barang Keluar'!$A:$A,M10891,'Barang Keluar'!$C:$C,N10891))</f>
        <v>0</v>
      </c>
    </row>
    <row r="10892" spans="13:16">
      <c r="M10892" s="49">
        <f>IF($A$4+108&gt;$B$4,"",$A$4+108)</f>
        <v>46131</v>
      </c>
      <c r="N10892">
        <f>IF(M10892="","",'Master Barang'!A86)</f>
        <v>0</v>
      </c>
      <c r="O10892">
        <f>IF(N10892="","",'Master Barang'!B86)</f>
        <v>0</v>
      </c>
      <c r="P10892">
        <f>IF(OR(M10892="",N10892=""),"",SUMIFS('Barang Keluar'!$E:$E,'Barang Keluar'!$A:$A,M10892,'Barang Keluar'!$C:$C,N10892))</f>
        <v>0</v>
      </c>
    </row>
    <row r="10893" spans="13:16">
      <c r="M10893" s="49">
        <f>IF($A$4+108&gt;$B$4,"",$A$4+108)</f>
        <v>46131</v>
      </c>
      <c r="N10893">
        <f>IF(M10893="","",'Master Barang'!A87)</f>
        <v>0</v>
      </c>
      <c r="O10893">
        <f>IF(N10893="","",'Master Barang'!B87)</f>
        <v>0</v>
      </c>
      <c r="P10893">
        <f>IF(OR(M10893="",N10893=""),"",SUMIFS('Barang Keluar'!$E:$E,'Barang Keluar'!$A:$A,M10893,'Barang Keluar'!$C:$C,N10893))</f>
        <v>0</v>
      </c>
    </row>
    <row r="10894" spans="13:16">
      <c r="M10894" s="49">
        <f>IF($A$4+108&gt;$B$4,"",$A$4+108)</f>
        <v>46131</v>
      </c>
      <c r="N10894">
        <f>IF(M10894="","",'Master Barang'!A88)</f>
        <v>0</v>
      </c>
      <c r="O10894">
        <f>IF(N10894="","",'Master Barang'!B88)</f>
        <v>0</v>
      </c>
      <c r="P10894">
        <f>IF(OR(M10894="",N10894=""),"",SUMIFS('Barang Keluar'!$E:$E,'Barang Keluar'!$A:$A,M10894,'Barang Keluar'!$C:$C,N10894))</f>
        <v>0</v>
      </c>
    </row>
    <row r="10895" spans="13:16">
      <c r="M10895" s="49">
        <f>IF($A$4+108&gt;$B$4,"",$A$4+108)</f>
        <v>46131</v>
      </c>
      <c r="N10895">
        <f>IF(M10895="","",'Master Barang'!A89)</f>
        <v>0</v>
      </c>
      <c r="O10895">
        <f>IF(N10895="","",'Master Barang'!B89)</f>
        <v>0</v>
      </c>
      <c r="P10895">
        <f>IF(OR(M10895="",N10895=""),"",SUMIFS('Barang Keluar'!$E:$E,'Barang Keluar'!$A:$A,M10895,'Barang Keluar'!$C:$C,N10895))</f>
        <v>0</v>
      </c>
    </row>
    <row r="10896" spans="13:16">
      <c r="M10896" s="49">
        <f>IF($A$4+108&gt;$B$4,"",$A$4+108)</f>
        <v>46131</v>
      </c>
      <c r="N10896">
        <f>IF(M10896="","",'Master Barang'!A90)</f>
        <v>0</v>
      </c>
      <c r="O10896">
        <f>IF(N10896="","",'Master Barang'!B90)</f>
        <v>0</v>
      </c>
      <c r="P10896">
        <f>IF(OR(M10896="",N10896=""),"",SUMIFS('Barang Keluar'!$E:$E,'Barang Keluar'!$A:$A,M10896,'Barang Keluar'!$C:$C,N10896))</f>
        <v>0</v>
      </c>
    </row>
    <row r="10897" spans="13:16">
      <c r="M10897" s="49">
        <f>IF($A$4+108&gt;$B$4,"",$A$4+108)</f>
        <v>46131</v>
      </c>
      <c r="N10897">
        <f>IF(M10897="","",'Master Barang'!A91)</f>
        <v>0</v>
      </c>
      <c r="O10897">
        <f>IF(N10897="","",'Master Barang'!B91)</f>
        <v>0</v>
      </c>
      <c r="P10897">
        <f>IF(OR(M10897="",N10897=""),"",SUMIFS('Barang Keluar'!$E:$E,'Barang Keluar'!$A:$A,M10897,'Barang Keluar'!$C:$C,N10897))</f>
        <v>0</v>
      </c>
    </row>
    <row r="10898" spans="13:16">
      <c r="M10898" s="49">
        <f>IF($A$4+108&gt;$B$4,"",$A$4+108)</f>
        <v>46131</v>
      </c>
      <c r="N10898">
        <f>IF(M10898="","",'Master Barang'!A92)</f>
        <v>0</v>
      </c>
      <c r="O10898">
        <f>IF(N10898="","",'Master Barang'!B92)</f>
        <v>0</v>
      </c>
      <c r="P10898">
        <f>IF(OR(M10898="",N10898=""),"",SUMIFS('Barang Keluar'!$E:$E,'Barang Keluar'!$A:$A,M10898,'Barang Keluar'!$C:$C,N10898))</f>
        <v>0</v>
      </c>
    </row>
    <row r="10899" spans="13:16">
      <c r="M10899" s="49">
        <f>IF($A$4+108&gt;$B$4,"",$A$4+108)</f>
        <v>46131</v>
      </c>
      <c r="N10899">
        <f>IF(M10899="","",'Master Barang'!A93)</f>
        <v>0</v>
      </c>
      <c r="O10899">
        <f>IF(N10899="","",'Master Barang'!B93)</f>
        <v>0</v>
      </c>
      <c r="P10899">
        <f>IF(OR(M10899="",N10899=""),"",SUMIFS('Barang Keluar'!$E:$E,'Barang Keluar'!$A:$A,M10899,'Barang Keluar'!$C:$C,N10899))</f>
        <v>0</v>
      </c>
    </row>
    <row r="10900" spans="13:16">
      <c r="M10900" s="49">
        <f>IF($A$4+108&gt;$B$4,"",$A$4+108)</f>
        <v>46131</v>
      </c>
      <c r="N10900">
        <f>IF(M10900="","",'Master Barang'!A94)</f>
        <v>0</v>
      </c>
      <c r="O10900">
        <f>IF(N10900="","",'Master Barang'!B94)</f>
        <v>0</v>
      </c>
      <c r="P10900">
        <f>IF(OR(M10900="",N10900=""),"",SUMIFS('Barang Keluar'!$E:$E,'Barang Keluar'!$A:$A,M10900,'Barang Keluar'!$C:$C,N10900))</f>
        <v>0</v>
      </c>
    </row>
    <row r="10901" spans="13:16">
      <c r="M10901" s="49">
        <f>IF($A$4+108&gt;$B$4,"",$A$4+108)</f>
        <v>46131</v>
      </c>
      <c r="N10901">
        <f>IF(M10901="","",'Master Barang'!A95)</f>
        <v>0</v>
      </c>
      <c r="O10901">
        <f>IF(N10901="","",'Master Barang'!B95)</f>
        <v>0</v>
      </c>
      <c r="P10901">
        <f>IF(OR(M10901="",N10901=""),"",SUMIFS('Barang Keluar'!$E:$E,'Barang Keluar'!$A:$A,M10901,'Barang Keluar'!$C:$C,N10901))</f>
        <v>0</v>
      </c>
    </row>
    <row r="10902" spans="13:16">
      <c r="M10902" s="49">
        <f>IF($A$4+108&gt;$B$4,"",$A$4+108)</f>
        <v>46131</v>
      </c>
      <c r="N10902">
        <f>IF(M10902="","",'Master Barang'!A96)</f>
        <v>0</v>
      </c>
      <c r="O10902">
        <f>IF(N10902="","",'Master Barang'!B96)</f>
        <v>0</v>
      </c>
      <c r="P10902">
        <f>IF(OR(M10902="",N10902=""),"",SUMIFS('Barang Keluar'!$E:$E,'Barang Keluar'!$A:$A,M10902,'Barang Keluar'!$C:$C,N10902))</f>
        <v>0</v>
      </c>
    </row>
    <row r="10903" spans="13:16">
      <c r="M10903" s="49">
        <f>IF($A$4+108&gt;$B$4,"",$A$4+108)</f>
        <v>46131</v>
      </c>
      <c r="N10903">
        <f>IF(M10903="","",'Master Barang'!A97)</f>
        <v>0</v>
      </c>
      <c r="O10903">
        <f>IF(N10903="","",'Master Barang'!B97)</f>
        <v>0</v>
      </c>
      <c r="P10903">
        <f>IF(OR(M10903="",N10903=""),"",SUMIFS('Barang Keluar'!$E:$E,'Barang Keluar'!$A:$A,M10903,'Barang Keluar'!$C:$C,N10903))</f>
        <v>0</v>
      </c>
    </row>
    <row r="10904" spans="13:16">
      <c r="M10904" s="49">
        <f>IF($A$4+108&gt;$B$4,"",$A$4+108)</f>
        <v>46131</v>
      </c>
      <c r="N10904">
        <f>IF(M10904="","",'Master Barang'!A98)</f>
        <v>0</v>
      </c>
      <c r="O10904">
        <f>IF(N10904="","",'Master Barang'!B98)</f>
        <v>0</v>
      </c>
      <c r="P10904">
        <f>IF(OR(M10904="",N10904=""),"",SUMIFS('Barang Keluar'!$E:$E,'Barang Keluar'!$A:$A,M10904,'Barang Keluar'!$C:$C,N10904))</f>
        <v>0</v>
      </c>
    </row>
    <row r="10905" spans="13:16">
      <c r="M10905" s="49">
        <f>IF($A$4+108&gt;$B$4,"",$A$4+108)</f>
        <v>46131</v>
      </c>
      <c r="N10905">
        <f>IF(M10905="","",'Master Barang'!A99)</f>
        <v>0</v>
      </c>
      <c r="O10905">
        <f>IF(N10905="","",'Master Barang'!B99)</f>
        <v>0</v>
      </c>
      <c r="P10905">
        <f>IF(OR(M10905="",N10905=""),"",SUMIFS('Barang Keluar'!$E:$E,'Barang Keluar'!$A:$A,M10905,'Barang Keluar'!$C:$C,N10905))</f>
        <v>0</v>
      </c>
    </row>
    <row r="10906" spans="13:16">
      <c r="M10906" s="49">
        <f>IF($A$4+108&gt;$B$4,"",$A$4+108)</f>
        <v>46131</v>
      </c>
      <c r="N10906">
        <f>IF(M10906="","",'Master Barang'!A100)</f>
        <v>0</v>
      </c>
      <c r="O10906">
        <f>IF(N10906="","",'Master Barang'!B100)</f>
        <v>0</v>
      </c>
      <c r="P10906">
        <f>IF(OR(M10906="",N10906=""),"",SUMIFS('Barang Keluar'!$E:$E,'Barang Keluar'!$A:$A,M10906,'Barang Keluar'!$C:$C,N10906))</f>
        <v>0</v>
      </c>
    </row>
    <row r="10907" spans="13:16">
      <c r="M10907" s="49">
        <f>IF($A$4+108&gt;$B$4,"",$A$4+108)</f>
        <v>46131</v>
      </c>
      <c r="N10907">
        <f>IF(M10907="","",'Master Barang'!A101)</f>
        <v>0</v>
      </c>
      <c r="O10907">
        <f>IF(N10907="","",'Master Barang'!B101)</f>
        <v>0</v>
      </c>
      <c r="P10907">
        <f>IF(OR(M10907="",N10907=""),"",SUMIFS('Barang Keluar'!$E:$E,'Barang Keluar'!$A:$A,M10907,'Barang Keluar'!$C:$C,N10907))</f>
        <v>0</v>
      </c>
    </row>
    <row r="10908" spans="13:16">
      <c r="M10908" s="49">
        <f>IF($A$4+109&gt;$B$4,"",$A$4+109)</f>
        <v>46132</v>
      </c>
      <c r="N10908" t="str">
        <f>IF(M10908="","",'Master Barang'!A2)</f>
        <v>PRL-001</v>
      </c>
      <c r="O10908" t="str">
        <f>IF(N10908="","",'Master Barang'!B2)</f>
        <v>natura desinfectant food grade 5l</v>
      </c>
      <c r="P10908">
        <f>IF(OR(M10908="",N10908=""),"",SUMIFS('Barang Keluar'!$E:$E,'Barang Keluar'!$A:$A,M10908,'Barang Keluar'!$C:$C,N10908))</f>
        <v>0</v>
      </c>
    </row>
    <row r="10909" spans="13:16">
      <c r="M10909" s="49">
        <f>IF($A$4+109&gt;$B$4,"",$A$4+109)</f>
        <v>46132</v>
      </c>
      <c r="N10909" t="str">
        <f>IF(M10909="","",'Master Barang'!A3)</f>
        <v>PRL-002</v>
      </c>
      <c r="O10909" t="str">
        <f>IF(N10909="","",'Master Barang'!B3)</f>
        <v>sunlight cairan pencuci piring 5l</v>
      </c>
      <c r="P10909">
        <f>IF(OR(M10909="",N10909=""),"",SUMIFS('Barang Keluar'!$E:$E,'Barang Keluar'!$A:$A,M10909,'Barang Keluar'!$C:$C,N10909))</f>
        <v>0</v>
      </c>
    </row>
    <row r="10910" spans="13:16">
      <c r="M10910" s="49">
        <f>IF($A$4+109&gt;$B$4,"",$A$4+109)</f>
        <v>46132</v>
      </c>
      <c r="N10910" t="str">
        <f>IF(M10910="","",'Master Barang'!A4)</f>
        <v>PRL-003</v>
      </c>
      <c r="O10910" t="str">
        <f>IF(N10910="","",'Master Barang'!B4)</f>
        <v>oixs cleaner 1l</v>
      </c>
      <c r="P10910">
        <f>IF(OR(M10910="",N10910=""),"",SUMIFS('Barang Keluar'!$E:$E,'Barang Keluar'!$A:$A,M10910,'Barang Keluar'!$C:$C,N10910))</f>
        <v>0</v>
      </c>
    </row>
    <row r="10911" spans="13:16">
      <c r="M10911" s="49">
        <f>IF($A$4+109&gt;$B$4,"",$A$4+109)</f>
        <v>46132</v>
      </c>
      <c r="N10911" t="str">
        <f>IF(M10911="","",'Master Barang'!A5)</f>
        <v>PRL-004</v>
      </c>
      <c r="O10911" t="str">
        <f>IF(N10911="","",'Master Barang'!B5)</f>
        <v>be clean tissue serbaguna</v>
      </c>
      <c r="P10911">
        <f>IF(OR(M10911="",N10911=""),"",SUMIFS('Barang Keluar'!$E:$E,'Barang Keluar'!$A:$A,M10911,'Barang Keluar'!$C:$C,N10911))</f>
        <v>0</v>
      </c>
    </row>
    <row r="10912" spans="13:16">
      <c r="M10912" s="49">
        <f>IF($A$4+109&gt;$B$4,"",$A$4+109)</f>
        <v>46132</v>
      </c>
      <c r="N10912" t="str">
        <f>IF(M10912="","",'Master Barang'!A6)</f>
        <v>PRL-005</v>
      </c>
      <c r="O10912" t="str">
        <f>IF(N10912="","",'Master Barang'!B6)</f>
        <v>spons cuci hijau</v>
      </c>
      <c r="P10912">
        <f>IF(OR(M10912="",N10912=""),"",SUMIFS('Barang Keluar'!$E:$E,'Barang Keluar'!$A:$A,M10912,'Barang Keluar'!$C:$C,N10912))</f>
        <v>0</v>
      </c>
    </row>
    <row r="10913" spans="13:16">
      <c r="M10913" s="49">
        <f>IF($A$4+109&gt;$B$4,"",$A$4+109)</f>
        <v>46132</v>
      </c>
      <c r="N10913" t="str">
        <f>IF(M10913="","",'Master Barang'!A7)</f>
        <v>PRL-006</v>
      </c>
      <c r="O10913" t="str">
        <f>IF(N10913="","",'Master Barang'!B7)</f>
        <v>sabut cuci stainless</v>
      </c>
      <c r="P10913">
        <f>IF(OR(M10913="",N10913=""),"",SUMIFS('Barang Keluar'!$E:$E,'Barang Keluar'!$A:$A,M10913,'Barang Keluar'!$C:$C,N10913))</f>
        <v>0</v>
      </c>
    </row>
    <row r="10914" spans="13:16">
      <c r="M10914" s="49">
        <f>IF($A$4+109&gt;$B$4,"",$A$4+109)</f>
        <v>46132</v>
      </c>
      <c r="N10914" t="str">
        <f>IF(M10914="","",'Master Barang'!A8)</f>
        <v>PRL-007</v>
      </c>
      <c r="O10914" t="str">
        <f>IF(N10914="","",'Master Barang'!B8)</f>
        <v>plastik kresek besar merah 50pc</v>
      </c>
      <c r="P10914">
        <f>IF(OR(M10914="",N10914=""),"",SUMIFS('Barang Keluar'!$E:$E,'Barang Keluar'!$A:$A,M10914,'Barang Keluar'!$C:$C,N10914))</f>
        <v>0</v>
      </c>
    </row>
    <row r="10915" spans="13:16">
      <c r="M10915" s="49">
        <f>IF($A$4+109&gt;$B$4,"",$A$4+109)</f>
        <v>46132</v>
      </c>
      <c r="N10915" t="str">
        <f>IF(M10915="","",'Master Barang'!A9)</f>
        <v>PRL-008</v>
      </c>
      <c r="O10915" t="str">
        <f>IF(N10915="","",'Master Barang'!B9)</f>
        <v>lap besar</v>
      </c>
      <c r="P10915">
        <f>IF(OR(M10915="",N10915=""),"",SUMIFS('Barang Keluar'!$E:$E,'Barang Keluar'!$A:$A,M10915,'Barang Keluar'!$C:$C,N10915))</f>
        <v>0</v>
      </c>
    </row>
    <row r="10916" spans="13:16">
      <c r="M10916" s="49">
        <f>IF($A$4+109&gt;$B$4,"",$A$4+109)</f>
        <v>46132</v>
      </c>
      <c r="N10916" t="str">
        <f>IF(M10916="","",'Master Barang'!A10)</f>
        <v>PRL-009</v>
      </c>
      <c r="O10916" t="str">
        <f>IF(N10916="","",'Master Barang'!B10)</f>
        <v>lap microfiber</v>
      </c>
      <c r="P10916">
        <f>IF(OR(M10916="",N10916=""),"",SUMIFS('Barang Keluar'!$E:$E,'Barang Keluar'!$A:$A,M10916,'Barang Keluar'!$C:$C,N10916))</f>
        <v>0</v>
      </c>
    </row>
    <row r="10917" spans="13:16">
      <c r="M10917" s="49">
        <f>IF($A$4+109&gt;$B$4,"",$A$4+109)</f>
        <v>46132</v>
      </c>
      <c r="N10917" t="str">
        <f>IF(M10917="","",'Master Barang'!A11)</f>
        <v>PRL-010</v>
      </c>
      <c r="O10917" t="str">
        <f>IF(N10917="","",'Master Barang'!B11)</f>
        <v>lap kecil</v>
      </c>
      <c r="P10917">
        <f>IF(OR(M10917="",N10917=""),"",SUMIFS('Barang Keluar'!$E:$E,'Barang Keluar'!$A:$A,M10917,'Barang Keluar'!$C:$C,N10917))</f>
        <v>0</v>
      </c>
    </row>
    <row r="10918" spans="13:16">
      <c r="M10918" s="49">
        <f>IF($A$4+109&gt;$B$4,"",$A$4+109)</f>
        <v>46132</v>
      </c>
      <c r="N10918" t="str">
        <f>IF(M10918="","",'Master Barang'!A12)</f>
        <v>PRL-011</v>
      </c>
      <c r="O10918" t="str">
        <f>IF(N10918="","",'Master Barang'!B12)</f>
        <v>kanebo kecil</v>
      </c>
      <c r="P10918">
        <f>IF(OR(M10918="",N10918=""),"",SUMIFS('Barang Keluar'!$E:$E,'Barang Keluar'!$A:$A,M10918,'Barang Keluar'!$C:$C,N10918))</f>
        <v>0</v>
      </c>
    </row>
    <row r="10919" spans="13:16">
      <c r="M10919" s="49">
        <f>IF($A$4+109&gt;$B$4,"",$A$4+109)</f>
        <v>46132</v>
      </c>
      <c r="N10919" t="str">
        <f>IF(M10919="","",'Master Barang'!A13)</f>
        <v>PRL-012</v>
      </c>
      <c r="O10919" t="str">
        <f>IF(N10919="","",'Master Barang'!B13)</f>
        <v>plastik 1/4kg joyoboyo 100 lembar</v>
      </c>
      <c r="P10919">
        <f>IF(OR(M10919="",N10919=""),"",SUMIFS('Barang Keluar'!$E:$E,'Barang Keluar'!$A:$A,M10919,'Barang Keluar'!$C:$C,N10919))</f>
        <v>0</v>
      </c>
    </row>
    <row r="10920" spans="13:16">
      <c r="M10920" s="49">
        <f>IF($A$4+109&gt;$B$4,"",$A$4+109)</f>
        <v>46132</v>
      </c>
      <c r="N10920" t="str">
        <f>IF(M10920="","",'Master Barang'!A14)</f>
        <v>PRL-013</v>
      </c>
      <c r="O10920" t="str">
        <f>IF(N10920="","",'Master Barang'!B14)</f>
        <v>sarung tangan plastik kaka 100 pcs</v>
      </c>
      <c r="P10920">
        <f>IF(OR(M10920="",N10920=""),"",SUMIFS('Barang Keluar'!$E:$E,'Barang Keluar'!$A:$A,M10920,'Barang Keluar'!$C:$C,N10920))</f>
        <v>0</v>
      </c>
    </row>
    <row r="10921" spans="13:16">
      <c r="M10921" s="49">
        <f>IF($A$4+109&gt;$B$4,"",$A$4+109)</f>
        <v>46132</v>
      </c>
      <c r="N10921" t="str">
        <f>IF(M10921="","",'Master Barang'!A15)</f>
        <v>PRL-014</v>
      </c>
      <c r="O10921" t="str">
        <f>IF(N10921="","",'Master Barang'!B15)</f>
        <v>optima trashbag 80x100</v>
      </c>
      <c r="P10921">
        <f>IF(OR(M10921="",N10921=""),"",SUMIFS('Barang Keluar'!$E:$E,'Barang Keluar'!$A:$A,M10921,'Barang Keluar'!$C:$C,N10921))</f>
        <v>0</v>
      </c>
    </row>
    <row r="10922" spans="13:16">
      <c r="M10922" s="49">
        <f>IF($A$4+109&gt;$B$4,"",$A$4+109)</f>
        <v>46132</v>
      </c>
      <c r="N10922" t="str">
        <f>IF(M10922="","",'Master Barang'!A16)</f>
        <v>PRL-015</v>
      </c>
      <c r="O10922" t="str">
        <f>IF(N10922="","",'Master Barang'!B16)</f>
        <v>optima trashbag 60x100</v>
      </c>
      <c r="P10922">
        <f>IF(OR(M10922="",N10922=""),"",SUMIFS('Barang Keluar'!$E:$E,'Barang Keluar'!$A:$A,M10922,'Barang Keluar'!$C:$C,N10922))</f>
        <v>0</v>
      </c>
    </row>
    <row r="10923" spans="13:16">
      <c r="M10923" s="49">
        <f>IF($A$4+109&gt;$B$4,"",$A$4+109)</f>
        <v>46132</v>
      </c>
      <c r="N10923" t="str">
        <f>IF(M10923="","",'Master Barang'!A17)</f>
        <v>PRL-016</v>
      </c>
      <c r="O10923" t="str">
        <f>IF(N10923="","",'Master Barang'!B17)</f>
        <v>rajawali trashbag 30x40</v>
      </c>
      <c r="P10923">
        <f>IF(OR(M10923="",N10923=""),"",SUMIFS('Barang Keluar'!$E:$E,'Barang Keluar'!$A:$A,M10923,'Barang Keluar'!$C:$C,N10923))</f>
        <v>0</v>
      </c>
    </row>
    <row r="10924" spans="13:16">
      <c r="M10924" s="49">
        <f>IF($A$4+109&gt;$B$4,"",$A$4+109)</f>
        <v>46132</v>
      </c>
      <c r="N10924" t="str">
        <f>IF(M10924="","",'Master Barang'!A18)</f>
        <v>PRL-017</v>
      </c>
      <c r="O10924" t="str">
        <f>IF(N10924="","",'Master Barang'!B18)</f>
        <v>onemed masker biru 3 play 50 pcs</v>
      </c>
      <c r="P10924">
        <f>IF(OR(M10924="",N10924=""),"",SUMIFS('Barang Keluar'!$E:$E,'Barang Keluar'!$A:$A,M10924,'Barang Keluar'!$C:$C,N10924))</f>
        <v>0</v>
      </c>
    </row>
    <row r="10925" spans="13:16">
      <c r="M10925" s="49">
        <f>IF($A$4+109&gt;$B$4,"",$A$4+109)</f>
        <v>46132</v>
      </c>
      <c r="N10925" t="str">
        <f>IF(M10925="","",'Master Barang'!A19)</f>
        <v>PRL-018</v>
      </c>
      <c r="O10925" t="str">
        <f>IF(N10925="","",'Master Barang'!B19)</f>
        <v>onemed masker biru 3 play hijab 50 pcs</v>
      </c>
      <c r="P10925">
        <f>IF(OR(M10925="",N10925=""),"",SUMIFS('Barang Keluar'!$E:$E,'Barang Keluar'!$A:$A,M10925,'Barang Keluar'!$C:$C,N10925))</f>
        <v>0</v>
      </c>
    </row>
    <row r="10926" spans="13:16">
      <c r="M10926" s="49">
        <f>IF($A$4+109&gt;$B$4,"",$A$4+109)</f>
        <v>46132</v>
      </c>
      <c r="N10926" t="str">
        <f>IF(M10926="","",'Master Barang'!A20)</f>
        <v>PRL-019</v>
      </c>
      <c r="O10926" t="str">
        <f>IF(N10926="","",'Master Barang'!B20)</f>
        <v>neo health masker biru 3 play 50 pcs</v>
      </c>
      <c r="P10926">
        <f>IF(OR(M10926="",N10926=""),"",SUMIFS('Barang Keluar'!$E:$E,'Barang Keluar'!$A:$A,M10926,'Barang Keluar'!$C:$C,N10926))</f>
        <v>0</v>
      </c>
    </row>
    <row r="10927" spans="13:16">
      <c r="M10927" s="49">
        <f>IF($A$4+109&gt;$B$4,"",$A$4+109)</f>
        <v>46132</v>
      </c>
      <c r="N10927" t="str">
        <f>IF(M10927="","",'Master Barang'!A21)</f>
        <v>PRL-020</v>
      </c>
      <c r="O10927" t="str">
        <f>IF(N10927="","",'Master Barang'!B21)</f>
        <v>baymed masker hijau 3 play hijau 50 pcs</v>
      </c>
      <c r="P10927">
        <f>IF(OR(M10927="",N10927=""),"",SUMIFS('Barang Keluar'!$E:$E,'Barang Keluar'!$A:$A,M10927,'Barang Keluar'!$C:$C,N10927))</f>
        <v>0</v>
      </c>
    </row>
    <row r="10928" spans="13:16">
      <c r="M10928" s="49">
        <f>IF($A$4+109&gt;$B$4,"",$A$4+109)</f>
        <v>46132</v>
      </c>
      <c r="N10928" t="str">
        <f>IF(M10928="","",'Master Barang'!A22)</f>
        <v>PRL-021</v>
      </c>
      <c r="O10928" t="str">
        <f>IF(N10928="","",'Master Barang'!B22)</f>
        <v>altamed nurse cap penutup kepala 100 pcs</v>
      </c>
      <c r="P10928">
        <f>IF(OR(M10928="",N10928=""),"",SUMIFS('Barang Keluar'!$E:$E,'Barang Keluar'!$A:$A,M10928,'Barang Keluar'!$C:$C,N10928))</f>
        <v>0</v>
      </c>
    </row>
    <row r="10929" spans="13:16">
      <c r="M10929" s="49">
        <f>IF($A$4+109&gt;$B$4,"",$A$4+109)</f>
        <v>46132</v>
      </c>
      <c r="N10929" t="str">
        <f>IF(M10929="","",'Master Barang'!A23)</f>
        <v>PRL-022</v>
      </c>
      <c r="O10929" t="str">
        <f>IF(N10929="","",'Master Barang'!B23)</f>
        <v>sabun cuci tangan</v>
      </c>
      <c r="P10929">
        <f>IF(OR(M10929="",N10929=""),"",SUMIFS('Barang Keluar'!$E:$E,'Barang Keluar'!$A:$A,M10929,'Barang Keluar'!$C:$C,N10929))</f>
        <v>0</v>
      </c>
    </row>
    <row r="10930" spans="13:16">
      <c r="M10930" s="49">
        <f>IF($A$4+109&gt;$B$4,"",$A$4+109)</f>
        <v>46132</v>
      </c>
      <c r="N10930" t="str">
        <f>IF(M10930="","",'Master Barang'!A24)</f>
        <v>PRL-023</v>
      </c>
      <c r="O10930" t="str">
        <f>IF(N10930="","",'Master Barang'!B24)</f>
        <v>gayung kecil</v>
      </c>
      <c r="P10930">
        <f>IF(OR(M10930="",N10930=""),"",SUMIFS('Barang Keluar'!$E:$E,'Barang Keluar'!$A:$A,M10930,'Barang Keluar'!$C:$C,N10930))</f>
        <v>0</v>
      </c>
    </row>
    <row r="10931" spans="13:16">
      <c r="M10931" s="49">
        <f>IF($A$4+109&gt;$B$4,"",$A$4+109)</f>
        <v>46132</v>
      </c>
      <c r="N10931" t="str">
        <f>IF(M10931="","",'Master Barang'!A25)</f>
        <v>PRL-024</v>
      </c>
      <c r="O10931" t="str">
        <f>IF(N10931="","",'Master Barang'!B25)</f>
        <v>cikrak kecil</v>
      </c>
      <c r="P10931">
        <f>IF(OR(M10931="",N10931=""),"",SUMIFS('Barang Keluar'!$E:$E,'Barang Keluar'!$A:$A,M10931,'Barang Keluar'!$C:$C,N10931))</f>
        <v>0</v>
      </c>
    </row>
    <row r="10932" spans="13:16">
      <c r="M10932" s="49">
        <f>IF($A$4+109&gt;$B$4,"",$A$4+109)</f>
        <v>46132</v>
      </c>
      <c r="N10932" t="str">
        <f>IF(M10932="","",'Master Barang'!A26)</f>
        <v>PRL-025</v>
      </c>
      <c r="O10932" t="str">
        <f>IF(N10932="","",'Master Barang'!B26)</f>
        <v>petromax plastik kecil 12x24 100 lembar</v>
      </c>
      <c r="P10932">
        <f>IF(OR(M10932="",N10932=""),"",SUMIFS('Barang Keluar'!$E:$E,'Barang Keluar'!$A:$A,M10932,'Barang Keluar'!$C:$C,N10932))</f>
        <v>0</v>
      </c>
    </row>
    <row r="10933" spans="13:16">
      <c r="M10933" s="49">
        <f>IF($A$4+109&gt;$B$4,"",$A$4+109)</f>
        <v>46132</v>
      </c>
      <c r="N10933" t="str">
        <f>IF(M10933="","",'Master Barang'!A27)</f>
        <v>PRL-026</v>
      </c>
      <c r="O10933" t="str">
        <f>IF(N10933="","",'Master Barang'!B27)</f>
        <v>lancar kresek kecil bening </v>
      </c>
      <c r="P10933">
        <f>IF(OR(M10933="",N10933=""),"",SUMIFS('Barang Keluar'!$E:$E,'Barang Keluar'!$A:$A,M10933,'Barang Keluar'!$C:$C,N10933))</f>
        <v>0</v>
      </c>
    </row>
    <row r="10934" spans="13:16">
      <c r="M10934" s="49">
        <f>IF($A$4+109&gt;$B$4,"",$A$4+109)</f>
        <v>46132</v>
      </c>
      <c r="N10934" t="str">
        <f>IF(M10934="","",'Master Barang'!A28)</f>
        <v>PRL-027</v>
      </c>
      <c r="O10934" t="str">
        <f>IF(N10934="","",'Master Barang'!B28)</f>
        <v>kresek klin warna warni kecil</v>
      </c>
      <c r="P10934">
        <f>IF(OR(M10934="",N10934=""),"",SUMIFS('Barang Keluar'!$E:$E,'Barang Keluar'!$A:$A,M10934,'Barang Keluar'!$C:$C,N10934))</f>
        <v>0</v>
      </c>
    </row>
    <row r="10935" spans="13:16">
      <c r="M10935" s="49">
        <f>IF($A$4+109&gt;$B$4,"",$A$4+109)</f>
        <v>46132</v>
      </c>
      <c r="N10935" t="str">
        <f>IF(M10935="","",'Master Barang'!A29)</f>
        <v>PRL-028</v>
      </c>
      <c r="O10935" t="str">
        <f>IF(N10935="","",'Master Barang'!B29)</f>
        <v>ctik plastik 7x10 100 pcs</v>
      </c>
      <c r="P10935">
        <f>IF(OR(M10935="",N10935=""),"",SUMIFS('Barang Keluar'!$E:$E,'Barang Keluar'!$A:$A,M10935,'Barang Keluar'!$C:$C,N10935))</f>
        <v>0</v>
      </c>
    </row>
    <row r="10936" spans="13:16">
      <c r="M10936" s="49">
        <f>IF($A$4+109&gt;$B$4,"",$A$4+109)</f>
        <v>46132</v>
      </c>
      <c r="N10936" t="str">
        <f>IF(M10936="","",'Master Barang'!A30)</f>
        <v>PRL-029</v>
      </c>
      <c r="O10936" t="str">
        <f>IF(N10936="","",'Master Barang'!B30)</f>
        <v>ctik plastik 6x10 100 pcs</v>
      </c>
      <c r="P10936">
        <f>IF(OR(M10936="",N10936=""),"",SUMIFS('Barang Keluar'!$E:$E,'Barang Keluar'!$A:$A,M10936,'Barang Keluar'!$C:$C,N10936))</f>
        <v>0</v>
      </c>
    </row>
    <row r="10937" spans="13:16">
      <c r="M10937" s="49">
        <f>IF($A$4+109&gt;$B$4,"",$A$4+109)</f>
        <v>46132</v>
      </c>
      <c r="N10937" t="str">
        <f>IF(M10937="","",'Master Barang'!A31)</f>
        <v>PRL-030</v>
      </c>
      <c r="O10937" t="str">
        <f>IF(N10937="","",'Master Barang'!B31)</f>
        <v>klip plastik 25x16 100 pcs</v>
      </c>
      <c r="P10937">
        <f>IF(OR(M10937="",N10937=""),"",SUMIFS('Barang Keluar'!$E:$E,'Barang Keluar'!$A:$A,M10937,'Barang Keluar'!$C:$C,N10937))</f>
        <v>0</v>
      </c>
    </row>
    <row r="10938" spans="13:16">
      <c r="M10938" s="49">
        <f>IF($A$4+109&gt;$B$4,"",$A$4+109)</f>
        <v>46132</v>
      </c>
      <c r="N10938" t="str">
        <f>IF(M10938="","",'Master Barang'!A32)</f>
        <v>PRL-031</v>
      </c>
      <c r="O10938" t="str">
        <f>IF(N10938="","",'Master Barang'!B32)</f>
        <v>tempat saus 20 ml</v>
      </c>
      <c r="P10938">
        <f>IF(OR(M10938="",N10938=""),"",SUMIFS('Barang Keluar'!$E:$E,'Barang Keluar'!$A:$A,M10938,'Barang Keluar'!$C:$C,N10938))</f>
        <v>0</v>
      </c>
    </row>
    <row r="10939" spans="13:16">
      <c r="M10939" s="49">
        <f>IF($A$4+109&gt;$B$4,"",$A$4+109)</f>
        <v>46132</v>
      </c>
      <c r="N10939" t="str">
        <f>IF(M10939="","",'Master Barang'!A33)</f>
        <v>PRL-032</v>
      </c>
      <c r="O10939" t="str">
        <f>IF(N10939="","",'Master Barang'!B33)</f>
        <v>plastik packaging ag box uk sedang</v>
      </c>
      <c r="P10939">
        <f>IF(OR(M10939="",N10939=""),"",SUMIFS('Barang Keluar'!$E:$E,'Barang Keluar'!$A:$A,M10939,'Barang Keluar'!$C:$C,N10939))</f>
        <v>0</v>
      </c>
    </row>
    <row r="10940" spans="13:16">
      <c r="M10940" s="49">
        <f>IF($A$4+109&gt;$B$4,"",$A$4+109)</f>
        <v>46132</v>
      </c>
      <c r="N10940" t="str">
        <f>IF(M10940="","",'Master Barang'!A34)</f>
        <v>PRL-033</v>
      </c>
      <c r="O10940">
        <f>IF(N10940="","",'Master Barang'!B34)</f>
        <v>0</v>
      </c>
      <c r="P10940">
        <f>IF(OR(M10940="",N10940=""),"",SUMIFS('Barang Keluar'!$E:$E,'Barang Keluar'!$A:$A,M10940,'Barang Keluar'!$C:$C,N10940))</f>
        <v>0</v>
      </c>
    </row>
    <row r="10941" spans="13:16">
      <c r="M10941" s="49">
        <f>IF($A$4+109&gt;$B$4,"",$A$4+109)</f>
        <v>46132</v>
      </c>
      <c r="N10941">
        <f>IF(M10941="","",'Master Barang'!A35)</f>
        <v>0</v>
      </c>
      <c r="O10941">
        <f>IF(N10941="","",'Master Barang'!B35)</f>
        <v>0</v>
      </c>
      <c r="P10941">
        <f>IF(OR(M10941="",N10941=""),"",SUMIFS('Barang Keluar'!$E:$E,'Barang Keluar'!$A:$A,M10941,'Barang Keluar'!$C:$C,N10941))</f>
        <v>0</v>
      </c>
    </row>
    <row r="10942" spans="13:16">
      <c r="M10942" s="49">
        <f>IF($A$4+109&gt;$B$4,"",$A$4+109)</f>
        <v>46132</v>
      </c>
      <c r="N10942">
        <f>IF(M10942="","",'Master Barang'!A36)</f>
        <v>0</v>
      </c>
      <c r="O10942">
        <f>IF(N10942="","",'Master Barang'!B36)</f>
        <v>0</v>
      </c>
      <c r="P10942">
        <f>IF(OR(M10942="",N10942=""),"",SUMIFS('Barang Keluar'!$E:$E,'Barang Keluar'!$A:$A,M10942,'Barang Keluar'!$C:$C,N10942))</f>
        <v>0</v>
      </c>
    </row>
    <row r="10943" spans="13:16">
      <c r="M10943" s="49">
        <f>IF($A$4+109&gt;$B$4,"",$A$4+109)</f>
        <v>46132</v>
      </c>
      <c r="N10943">
        <f>IF(M10943="","",'Master Barang'!A37)</f>
        <v>0</v>
      </c>
      <c r="O10943">
        <f>IF(N10943="","",'Master Barang'!B37)</f>
        <v>0</v>
      </c>
      <c r="P10943">
        <f>IF(OR(M10943="",N10943=""),"",SUMIFS('Barang Keluar'!$E:$E,'Barang Keluar'!$A:$A,M10943,'Barang Keluar'!$C:$C,N10943))</f>
        <v>0</v>
      </c>
    </row>
    <row r="10944" spans="13:16">
      <c r="M10944" s="49">
        <f>IF($A$4+109&gt;$B$4,"",$A$4+109)</f>
        <v>46132</v>
      </c>
      <c r="N10944">
        <f>IF(M10944="","",'Master Barang'!A38)</f>
        <v>0</v>
      </c>
      <c r="O10944">
        <f>IF(N10944="","",'Master Barang'!B38)</f>
        <v>0</v>
      </c>
      <c r="P10944">
        <f>IF(OR(M10944="",N10944=""),"",SUMIFS('Barang Keluar'!$E:$E,'Barang Keluar'!$A:$A,M10944,'Barang Keluar'!$C:$C,N10944))</f>
        <v>0</v>
      </c>
    </row>
    <row r="10945" spans="13:16">
      <c r="M10945" s="49">
        <f>IF($A$4+109&gt;$B$4,"",$A$4+109)</f>
        <v>46132</v>
      </c>
      <c r="N10945">
        <f>IF(M10945="","",'Master Barang'!A39)</f>
        <v>0</v>
      </c>
      <c r="O10945">
        <f>IF(N10945="","",'Master Barang'!B39)</f>
        <v>0</v>
      </c>
      <c r="P10945">
        <f>IF(OR(M10945="",N10945=""),"",SUMIFS('Barang Keluar'!$E:$E,'Barang Keluar'!$A:$A,M10945,'Barang Keluar'!$C:$C,N10945))</f>
        <v>0</v>
      </c>
    </row>
    <row r="10946" spans="13:16">
      <c r="M10946" s="49">
        <f>IF($A$4+109&gt;$B$4,"",$A$4+109)</f>
        <v>46132</v>
      </c>
      <c r="N10946">
        <f>IF(M10946="","",'Master Barang'!A40)</f>
        <v>0</v>
      </c>
      <c r="O10946">
        <f>IF(N10946="","",'Master Barang'!B40)</f>
        <v>0</v>
      </c>
      <c r="P10946">
        <f>IF(OR(M10946="",N10946=""),"",SUMIFS('Barang Keluar'!$E:$E,'Barang Keluar'!$A:$A,M10946,'Barang Keluar'!$C:$C,N10946))</f>
        <v>0</v>
      </c>
    </row>
    <row r="10947" spans="13:16">
      <c r="M10947" s="49">
        <f>IF($A$4+109&gt;$B$4,"",$A$4+109)</f>
        <v>46132</v>
      </c>
      <c r="N10947">
        <f>IF(M10947="","",'Master Barang'!A41)</f>
        <v>0</v>
      </c>
      <c r="O10947">
        <f>IF(N10947="","",'Master Barang'!B41)</f>
        <v>0</v>
      </c>
      <c r="P10947">
        <f>IF(OR(M10947="",N10947=""),"",SUMIFS('Barang Keluar'!$E:$E,'Barang Keluar'!$A:$A,M10947,'Barang Keluar'!$C:$C,N10947))</f>
        <v>0</v>
      </c>
    </row>
    <row r="10948" spans="13:16">
      <c r="M10948" s="49">
        <f>IF($A$4+109&gt;$B$4,"",$A$4+109)</f>
        <v>46132</v>
      </c>
      <c r="N10948">
        <f>IF(M10948="","",'Master Barang'!A42)</f>
        <v>0</v>
      </c>
      <c r="O10948">
        <f>IF(N10948="","",'Master Barang'!B42)</f>
        <v>0</v>
      </c>
      <c r="P10948">
        <f>IF(OR(M10948="",N10948=""),"",SUMIFS('Barang Keluar'!$E:$E,'Barang Keluar'!$A:$A,M10948,'Barang Keluar'!$C:$C,N10948))</f>
        <v>0</v>
      </c>
    </row>
    <row r="10949" spans="13:16">
      <c r="M10949" s="49">
        <f>IF($A$4+109&gt;$B$4,"",$A$4+109)</f>
        <v>46132</v>
      </c>
      <c r="N10949">
        <f>IF(M10949="","",'Master Barang'!A43)</f>
        <v>0</v>
      </c>
      <c r="O10949">
        <f>IF(N10949="","",'Master Barang'!B43)</f>
        <v>0</v>
      </c>
      <c r="P10949">
        <f>IF(OR(M10949="",N10949=""),"",SUMIFS('Barang Keluar'!$E:$E,'Barang Keluar'!$A:$A,M10949,'Barang Keluar'!$C:$C,N10949))</f>
        <v>0</v>
      </c>
    </row>
    <row r="10950" spans="13:16">
      <c r="M10950" s="49">
        <f>IF($A$4+109&gt;$B$4,"",$A$4+109)</f>
        <v>46132</v>
      </c>
      <c r="N10950">
        <f>IF(M10950="","",'Master Barang'!A44)</f>
        <v>0</v>
      </c>
      <c r="O10950">
        <f>IF(N10950="","",'Master Barang'!B44)</f>
        <v>0</v>
      </c>
      <c r="P10950">
        <f>IF(OR(M10950="",N10950=""),"",SUMIFS('Barang Keluar'!$E:$E,'Barang Keluar'!$A:$A,M10950,'Barang Keluar'!$C:$C,N10950))</f>
        <v>0</v>
      </c>
    </row>
    <row r="10951" spans="13:16">
      <c r="M10951" s="49">
        <f>IF($A$4+109&gt;$B$4,"",$A$4+109)</f>
        <v>46132</v>
      </c>
      <c r="N10951">
        <f>IF(M10951="","",'Master Barang'!A45)</f>
        <v>0</v>
      </c>
      <c r="O10951">
        <f>IF(N10951="","",'Master Barang'!B45)</f>
        <v>0</v>
      </c>
      <c r="P10951">
        <f>IF(OR(M10951="",N10951=""),"",SUMIFS('Barang Keluar'!$E:$E,'Barang Keluar'!$A:$A,M10951,'Barang Keluar'!$C:$C,N10951))</f>
        <v>0</v>
      </c>
    </row>
    <row r="10952" spans="13:16">
      <c r="M10952" s="49">
        <f>IF($A$4+109&gt;$B$4,"",$A$4+109)</f>
        <v>46132</v>
      </c>
      <c r="N10952">
        <f>IF(M10952="","",'Master Barang'!A46)</f>
        <v>0</v>
      </c>
      <c r="O10952">
        <f>IF(N10952="","",'Master Barang'!B46)</f>
        <v>0</v>
      </c>
      <c r="P10952">
        <f>IF(OR(M10952="",N10952=""),"",SUMIFS('Barang Keluar'!$E:$E,'Barang Keluar'!$A:$A,M10952,'Barang Keluar'!$C:$C,N10952))</f>
        <v>0</v>
      </c>
    </row>
    <row r="10953" spans="13:16">
      <c r="M10953" s="49">
        <f>IF($A$4+109&gt;$B$4,"",$A$4+109)</f>
        <v>46132</v>
      </c>
      <c r="N10953">
        <f>IF(M10953="","",'Master Barang'!A47)</f>
        <v>0</v>
      </c>
      <c r="O10953">
        <f>IF(N10953="","",'Master Barang'!B47)</f>
        <v>0</v>
      </c>
      <c r="P10953">
        <f>IF(OR(M10953="",N10953=""),"",SUMIFS('Barang Keluar'!$E:$E,'Barang Keluar'!$A:$A,M10953,'Barang Keluar'!$C:$C,N10953))</f>
        <v>0</v>
      </c>
    </row>
    <row r="10954" spans="13:16">
      <c r="M10954" s="49">
        <f>IF($A$4+109&gt;$B$4,"",$A$4+109)</f>
        <v>46132</v>
      </c>
      <c r="N10954">
        <f>IF(M10954="","",'Master Barang'!A48)</f>
        <v>0</v>
      </c>
      <c r="O10954">
        <f>IF(N10954="","",'Master Barang'!B48)</f>
        <v>0</v>
      </c>
      <c r="P10954">
        <f>IF(OR(M10954="",N10954=""),"",SUMIFS('Barang Keluar'!$E:$E,'Barang Keluar'!$A:$A,M10954,'Barang Keluar'!$C:$C,N10954))</f>
        <v>0</v>
      </c>
    </row>
    <row r="10955" spans="13:16">
      <c r="M10955" s="49">
        <f>IF($A$4+109&gt;$B$4,"",$A$4+109)</f>
        <v>46132</v>
      </c>
      <c r="N10955">
        <f>IF(M10955="","",'Master Barang'!A49)</f>
        <v>0</v>
      </c>
      <c r="O10955">
        <f>IF(N10955="","",'Master Barang'!B49)</f>
        <v>0</v>
      </c>
      <c r="P10955">
        <f>IF(OR(M10955="",N10955=""),"",SUMIFS('Barang Keluar'!$E:$E,'Barang Keluar'!$A:$A,M10955,'Barang Keluar'!$C:$C,N10955))</f>
        <v>0</v>
      </c>
    </row>
    <row r="10956" spans="13:16">
      <c r="M10956" s="49">
        <f>IF($A$4+109&gt;$B$4,"",$A$4+109)</f>
        <v>46132</v>
      </c>
      <c r="N10956">
        <f>IF(M10956="","",'Master Barang'!A50)</f>
        <v>0</v>
      </c>
      <c r="O10956">
        <f>IF(N10956="","",'Master Barang'!B50)</f>
        <v>0</v>
      </c>
      <c r="P10956">
        <f>IF(OR(M10956="",N10956=""),"",SUMIFS('Barang Keluar'!$E:$E,'Barang Keluar'!$A:$A,M10956,'Barang Keluar'!$C:$C,N10956))</f>
        <v>0</v>
      </c>
    </row>
    <row r="10957" spans="13:16">
      <c r="M10957" s="49">
        <f>IF($A$4+109&gt;$B$4,"",$A$4+109)</f>
        <v>46132</v>
      </c>
      <c r="N10957">
        <f>IF(M10957="","",'Master Barang'!A51)</f>
        <v>0</v>
      </c>
      <c r="O10957">
        <f>IF(N10957="","",'Master Barang'!B51)</f>
        <v>0</v>
      </c>
      <c r="P10957">
        <f>IF(OR(M10957="",N10957=""),"",SUMIFS('Barang Keluar'!$E:$E,'Barang Keluar'!$A:$A,M10957,'Barang Keluar'!$C:$C,N10957))</f>
        <v>0</v>
      </c>
    </row>
    <row r="10958" spans="13:16">
      <c r="M10958" s="49">
        <f>IF($A$4+109&gt;$B$4,"",$A$4+109)</f>
        <v>46132</v>
      </c>
      <c r="N10958">
        <f>IF(M10958="","",'Master Barang'!A52)</f>
        <v>0</v>
      </c>
      <c r="O10958">
        <f>IF(N10958="","",'Master Barang'!B52)</f>
        <v>0</v>
      </c>
      <c r="P10958">
        <f>IF(OR(M10958="",N10958=""),"",SUMIFS('Barang Keluar'!$E:$E,'Barang Keluar'!$A:$A,M10958,'Barang Keluar'!$C:$C,N10958))</f>
        <v>0</v>
      </c>
    </row>
    <row r="10959" spans="13:16">
      <c r="M10959" s="49">
        <f>IF($A$4+109&gt;$B$4,"",$A$4+109)</f>
        <v>46132</v>
      </c>
      <c r="N10959">
        <f>IF(M10959="","",'Master Barang'!A53)</f>
        <v>0</v>
      </c>
      <c r="O10959">
        <f>IF(N10959="","",'Master Barang'!B53)</f>
        <v>0</v>
      </c>
      <c r="P10959">
        <f>IF(OR(M10959="",N10959=""),"",SUMIFS('Barang Keluar'!$E:$E,'Barang Keluar'!$A:$A,M10959,'Barang Keluar'!$C:$C,N10959))</f>
        <v>0</v>
      </c>
    </row>
    <row r="10960" spans="13:16">
      <c r="M10960" s="49">
        <f>IF($A$4+109&gt;$B$4,"",$A$4+109)</f>
        <v>46132</v>
      </c>
      <c r="N10960">
        <f>IF(M10960="","",'Master Barang'!A54)</f>
        <v>0</v>
      </c>
      <c r="O10960">
        <f>IF(N10960="","",'Master Barang'!B54)</f>
        <v>0</v>
      </c>
      <c r="P10960">
        <f>IF(OR(M10960="",N10960=""),"",SUMIFS('Barang Keluar'!$E:$E,'Barang Keluar'!$A:$A,M10960,'Barang Keluar'!$C:$C,N10960))</f>
        <v>0</v>
      </c>
    </row>
    <row r="10961" spans="13:16">
      <c r="M10961" s="49">
        <f>IF($A$4+109&gt;$B$4,"",$A$4+109)</f>
        <v>46132</v>
      </c>
      <c r="N10961">
        <f>IF(M10961="","",'Master Barang'!A55)</f>
        <v>0</v>
      </c>
      <c r="O10961">
        <f>IF(N10961="","",'Master Barang'!B55)</f>
        <v>0</v>
      </c>
      <c r="P10961">
        <f>IF(OR(M10961="",N10961=""),"",SUMIFS('Barang Keluar'!$E:$E,'Barang Keluar'!$A:$A,M10961,'Barang Keluar'!$C:$C,N10961))</f>
        <v>0</v>
      </c>
    </row>
    <row r="10962" spans="13:16">
      <c r="M10962" s="49">
        <f>IF($A$4+109&gt;$B$4,"",$A$4+109)</f>
        <v>46132</v>
      </c>
      <c r="N10962">
        <f>IF(M10962="","",'Master Barang'!A56)</f>
        <v>0</v>
      </c>
      <c r="O10962">
        <f>IF(N10962="","",'Master Barang'!B56)</f>
        <v>0</v>
      </c>
      <c r="P10962">
        <f>IF(OR(M10962="",N10962=""),"",SUMIFS('Barang Keluar'!$E:$E,'Barang Keluar'!$A:$A,M10962,'Barang Keluar'!$C:$C,N10962))</f>
        <v>0</v>
      </c>
    </row>
    <row r="10963" spans="13:16">
      <c r="M10963" s="49">
        <f>IF($A$4+109&gt;$B$4,"",$A$4+109)</f>
        <v>46132</v>
      </c>
      <c r="N10963">
        <f>IF(M10963="","",'Master Barang'!A57)</f>
        <v>0</v>
      </c>
      <c r="O10963">
        <f>IF(N10963="","",'Master Barang'!B57)</f>
        <v>0</v>
      </c>
      <c r="P10963">
        <f>IF(OR(M10963="",N10963=""),"",SUMIFS('Barang Keluar'!$E:$E,'Barang Keluar'!$A:$A,M10963,'Barang Keluar'!$C:$C,N10963))</f>
        <v>0</v>
      </c>
    </row>
    <row r="10964" spans="13:16">
      <c r="M10964" s="49">
        <f>IF($A$4+109&gt;$B$4,"",$A$4+109)</f>
        <v>46132</v>
      </c>
      <c r="N10964">
        <f>IF(M10964="","",'Master Barang'!A58)</f>
        <v>0</v>
      </c>
      <c r="O10964">
        <f>IF(N10964="","",'Master Barang'!B58)</f>
        <v>0</v>
      </c>
      <c r="P10964">
        <f>IF(OR(M10964="",N10964=""),"",SUMIFS('Barang Keluar'!$E:$E,'Barang Keluar'!$A:$A,M10964,'Barang Keluar'!$C:$C,N10964))</f>
        <v>0</v>
      </c>
    </row>
    <row r="10965" spans="13:16">
      <c r="M10965" s="49">
        <f>IF($A$4+109&gt;$B$4,"",$A$4+109)</f>
        <v>46132</v>
      </c>
      <c r="N10965">
        <f>IF(M10965="","",'Master Barang'!A59)</f>
        <v>0</v>
      </c>
      <c r="O10965">
        <f>IF(N10965="","",'Master Barang'!B59)</f>
        <v>0</v>
      </c>
      <c r="P10965">
        <f>IF(OR(M10965="",N10965=""),"",SUMIFS('Barang Keluar'!$E:$E,'Barang Keluar'!$A:$A,M10965,'Barang Keluar'!$C:$C,N10965))</f>
        <v>0</v>
      </c>
    </row>
    <row r="10966" spans="13:16">
      <c r="M10966" s="49">
        <f>IF($A$4+109&gt;$B$4,"",$A$4+109)</f>
        <v>46132</v>
      </c>
      <c r="N10966">
        <f>IF(M10966="","",'Master Barang'!A60)</f>
        <v>0</v>
      </c>
      <c r="O10966">
        <f>IF(N10966="","",'Master Barang'!B60)</f>
        <v>0</v>
      </c>
      <c r="P10966">
        <f>IF(OR(M10966="",N10966=""),"",SUMIFS('Barang Keluar'!$E:$E,'Barang Keluar'!$A:$A,M10966,'Barang Keluar'!$C:$C,N10966))</f>
        <v>0</v>
      </c>
    </row>
    <row r="10967" spans="13:16">
      <c r="M10967" s="49">
        <f>IF($A$4+109&gt;$B$4,"",$A$4+109)</f>
        <v>46132</v>
      </c>
      <c r="N10967">
        <f>IF(M10967="","",'Master Barang'!A61)</f>
        <v>0</v>
      </c>
      <c r="O10967">
        <f>IF(N10967="","",'Master Barang'!B61)</f>
        <v>0</v>
      </c>
      <c r="P10967">
        <f>IF(OR(M10967="",N10967=""),"",SUMIFS('Barang Keluar'!$E:$E,'Barang Keluar'!$A:$A,M10967,'Barang Keluar'!$C:$C,N10967))</f>
        <v>0</v>
      </c>
    </row>
    <row r="10968" spans="13:16">
      <c r="M10968" s="49">
        <f>IF($A$4+109&gt;$B$4,"",$A$4+109)</f>
        <v>46132</v>
      </c>
      <c r="N10968">
        <f>IF(M10968="","",'Master Barang'!A62)</f>
        <v>0</v>
      </c>
      <c r="O10968">
        <f>IF(N10968="","",'Master Barang'!B62)</f>
        <v>0</v>
      </c>
      <c r="P10968">
        <f>IF(OR(M10968="",N10968=""),"",SUMIFS('Barang Keluar'!$E:$E,'Barang Keluar'!$A:$A,M10968,'Barang Keluar'!$C:$C,N10968))</f>
        <v>0</v>
      </c>
    </row>
    <row r="10969" spans="13:16">
      <c r="M10969" s="49">
        <f>IF($A$4+109&gt;$B$4,"",$A$4+109)</f>
        <v>46132</v>
      </c>
      <c r="N10969">
        <f>IF(M10969="","",'Master Barang'!A63)</f>
        <v>0</v>
      </c>
      <c r="O10969">
        <f>IF(N10969="","",'Master Barang'!B63)</f>
        <v>0</v>
      </c>
      <c r="P10969">
        <f>IF(OR(M10969="",N10969=""),"",SUMIFS('Barang Keluar'!$E:$E,'Barang Keluar'!$A:$A,M10969,'Barang Keluar'!$C:$C,N10969))</f>
        <v>0</v>
      </c>
    </row>
    <row r="10970" spans="13:16">
      <c r="M10970" s="49">
        <f>IF($A$4+109&gt;$B$4,"",$A$4+109)</f>
        <v>46132</v>
      </c>
      <c r="N10970">
        <f>IF(M10970="","",'Master Barang'!A64)</f>
        <v>0</v>
      </c>
      <c r="O10970">
        <f>IF(N10970="","",'Master Barang'!B64)</f>
        <v>0</v>
      </c>
      <c r="P10970">
        <f>IF(OR(M10970="",N10970=""),"",SUMIFS('Barang Keluar'!$E:$E,'Barang Keluar'!$A:$A,M10970,'Barang Keluar'!$C:$C,N10970))</f>
        <v>0</v>
      </c>
    </row>
    <row r="10971" spans="13:16">
      <c r="M10971" s="49">
        <f>IF($A$4+109&gt;$B$4,"",$A$4+109)</f>
        <v>46132</v>
      </c>
      <c r="N10971">
        <f>IF(M10971="","",'Master Barang'!A65)</f>
        <v>0</v>
      </c>
      <c r="O10971">
        <f>IF(N10971="","",'Master Barang'!B65)</f>
        <v>0</v>
      </c>
      <c r="P10971">
        <f>IF(OR(M10971="",N10971=""),"",SUMIFS('Barang Keluar'!$E:$E,'Barang Keluar'!$A:$A,M10971,'Barang Keluar'!$C:$C,N10971))</f>
        <v>0</v>
      </c>
    </row>
    <row r="10972" spans="13:16">
      <c r="M10972" s="49">
        <f>IF($A$4+109&gt;$B$4,"",$A$4+109)</f>
        <v>46132</v>
      </c>
      <c r="N10972">
        <f>IF(M10972="","",'Master Barang'!A66)</f>
        <v>0</v>
      </c>
      <c r="O10972">
        <f>IF(N10972="","",'Master Barang'!B66)</f>
        <v>0</v>
      </c>
      <c r="P10972">
        <f>IF(OR(M10972="",N10972=""),"",SUMIFS('Barang Keluar'!$E:$E,'Barang Keluar'!$A:$A,M10972,'Barang Keluar'!$C:$C,N10972))</f>
        <v>0</v>
      </c>
    </row>
    <row r="10973" spans="13:16">
      <c r="M10973" s="49">
        <f>IF($A$4+109&gt;$B$4,"",$A$4+109)</f>
        <v>46132</v>
      </c>
      <c r="N10973">
        <f>IF(M10973="","",'Master Barang'!A67)</f>
        <v>0</v>
      </c>
      <c r="O10973">
        <f>IF(N10973="","",'Master Barang'!B67)</f>
        <v>0</v>
      </c>
      <c r="P10973">
        <f>IF(OR(M10973="",N10973=""),"",SUMIFS('Barang Keluar'!$E:$E,'Barang Keluar'!$A:$A,M10973,'Barang Keluar'!$C:$C,N10973))</f>
        <v>0</v>
      </c>
    </row>
    <row r="10974" spans="13:16">
      <c r="M10974" s="49">
        <f>IF($A$4+109&gt;$B$4,"",$A$4+109)</f>
        <v>46132</v>
      </c>
      <c r="N10974">
        <f>IF(M10974="","",'Master Barang'!A68)</f>
        <v>0</v>
      </c>
      <c r="O10974">
        <f>IF(N10974="","",'Master Barang'!B68)</f>
        <v>0</v>
      </c>
      <c r="P10974">
        <f>IF(OR(M10974="",N10974=""),"",SUMIFS('Barang Keluar'!$E:$E,'Barang Keluar'!$A:$A,M10974,'Barang Keluar'!$C:$C,N10974))</f>
        <v>0</v>
      </c>
    </row>
    <row r="10975" spans="13:16">
      <c r="M10975" s="49">
        <f>IF($A$4+109&gt;$B$4,"",$A$4+109)</f>
        <v>46132</v>
      </c>
      <c r="N10975">
        <f>IF(M10975="","",'Master Barang'!A69)</f>
        <v>0</v>
      </c>
      <c r="O10975">
        <f>IF(N10975="","",'Master Barang'!B69)</f>
        <v>0</v>
      </c>
      <c r="P10975">
        <f>IF(OR(M10975="",N10975=""),"",SUMIFS('Barang Keluar'!$E:$E,'Barang Keluar'!$A:$A,M10975,'Barang Keluar'!$C:$C,N10975))</f>
        <v>0</v>
      </c>
    </row>
    <row r="10976" spans="13:16">
      <c r="M10976" s="49">
        <f>IF($A$4+109&gt;$B$4,"",$A$4+109)</f>
        <v>46132</v>
      </c>
      <c r="N10976">
        <f>IF(M10976="","",'Master Barang'!A70)</f>
        <v>0</v>
      </c>
      <c r="O10976">
        <f>IF(N10976="","",'Master Barang'!B70)</f>
        <v>0</v>
      </c>
      <c r="P10976">
        <f>IF(OR(M10976="",N10976=""),"",SUMIFS('Barang Keluar'!$E:$E,'Barang Keluar'!$A:$A,M10976,'Barang Keluar'!$C:$C,N10976))</f>
        <v>0</v>
      </c>
    </row>
    <row r="10977" spans="13:16">
      <c r="M10977" s="49">
        <f>IF($A$4+109&gt;$B$4,"",$A$4+109)</f>
        <v>46132</v>
      </c>
      <c r="N10977">
        <f>IF(M10977="","",'Master Barang'!A71)</f>
        <v>0</v>
      </c>
      <c r="O10977">
        <f>IF(N10977="","",'Master Barang'!B71)</f>
        <v>0</v>
      </c>
      <c r="P10977">
        <f>IF(OR(M10977="",N10977=""),"",SUMIFS('Barang Keluar'!$E:$E,'Barang Keluar'!$A:$A,M10977,'Barang Keluar'!$C:$C,N10977))</f>
        <v>0</v>
      </c>
    </row>
    <row r="10978" spans="13:16">
      <c r="M10978" s="49">
        <f>IF($A$4+109&gt;$B$4,"",$A$4+109)</f>
        <v>46132</v>
      </c>
      <c r="N10978">
        <f>IF(M10978="","",'Master Barang'!A72)</f>
        <v>0</v>
      </c>
      <c r="O10978">
        <f>IF(N10978="","",'Master Barang'!B72)</f>
        <v>0</v>
      </c>
      <c r="P10978">
        <f>IF(OR(M10978="",N10978=""),"",SUMIFS('Barang Keluar'!$E:$E,'Barang Keluar'!$A:$A,M10978,'Barang Keluar'!$C:$C,N10978))</f>
        <v>0</v>
      </c>
    </row>
    <row r="10979" spans="13:16">
      <c r="M10979" s="49">
        <f>IF($A$4+109&gt;$B$4,"",$A$4+109)</f>
        <v>46132</v>
      </c>
      <c r="N10979">
        <f>IF(M10979="","",'Master Barang'!A73)</f>
        <v>0</v>
      </c>
      <c r="O10979">
        <f>IF(N10979="","",'Master Barang'!B73)</f>
        <v>0</v>
      </c>
      <c r="P10979">
        <f>IF(OR(M10979="",N10979=""),"",SUMIFS('Barang Keluar'!$E:$E,'Barang Keluar'!$A:$A,M10979,'Barang Keluar'!$C:$C,N10979))</f>
        <v>0</v>
      </c>
    </row>
    <row r="10980" spans="13:16">
      <c r="M10980" s="49">
        <f>IF($A$4+109&gt;$B$4,"",$A$4+109)</f>
        <v>46132</v>
      </c>
      <c r="N10980">
        <f>IF(M10980="","",'Master Barang'!A74)</f>
        <v>0</v>
      </c>
      <c r="O10980">
        <f>IF(N10980="","",'Master Barang'!B74)</f>
        <v>0</v>
      </c>
      <c r="P10980">
        <f>IF(OR(M10980="",N10980=""),"",SUMIFS('Barang Keluar'!$E:$E,'Barang Keluar'!$A:$A,M10980,'Barang Keluar'!$C:$C,N10980))</f>
        <v>0</v>
      </c>
    </row>
    <row r="10981" spans="13:16">
      <c r="M10981" s="49">
        <f>IF($A$4+109&gt;$B$4,"",$A$4+109)</f>
        <v>46132</v>
      </c>
      <c r="N10981">
        <f>IF(M10981="","",'Master Barang'!A75)</f>
        <v>0</v>
      </c>
      <c r="O10981">
        <f>IF(N10981="","",'Master Barang'!B75)</f>
        <v>0</v>
      </c>
      <c r="P10981">
        <f>IF(OR(M10981="",N10981=""),"",SUMIFS('Barang Keluar'!$E:$E,'Barang Keluar'!$A:$A,M10981,'Barang Keluar'!$C:$C,N10981))</f>
        <v>0</v>
      </c>
    </row>
    <row r="10982" spans="13:16">
      <c r="M10982" s="49">
        <f>IF($A$4+109&gt;$B$4,"",$A$4+109)</f>
        <v>46132</v>
      </c>
      <c r="N10982">
        <f>IF(M10982="","",'Master Barang'!A76)</f>
        <v>0</v>
      </c>
      <c r="O10982">
        <f>IF(N10982="","",'Master Barang'!B76)</f>
        <v>0</v>
      </c>
      <c r="P10982">
        <f>IF(OR(M10982="",N10982=""),"",SUMIFS('Barang Keluar'!$E:$E,'Barang Keluar'!$A:$A,M10982,'Barang Keluar'!$C:$C,N10982))</f>
        <v>0</v>
      </c>
    </row>
    <row r="10983" spans="13:16">
      <c r="M10983" s="49">
        <f>IF($A$4+109&gt;$B$4,"",$A$4+109)</f>
        <v>46132</v>
      </c>
      <c r="N10983">
        <f>IF(M10983="","",'Master Barang'!A77)</f>
        <v>0</v>
      </c>
      <c r="O10983">
        <f>IF(N10983="","",'Master Barang'!B77)</f>
        <v>0</v>
      </c>
      <c r="P10983">
        <f>IF(OR(M10983="",N10983=""),"",SUMIFS('Barang Keluar'!$E:$E,'Barang Keluar'!$A:$A,M10983,'Barang Keluar'!$C:$C,N10983))</f>
        <v>0</v>
      </c>
    </row>
    <row r="10984" spans="13:16">
      <c r="M10984" s="49">
        <f>IF($A$4+109&gt;$B$4,"",$A$4+109)</f>
        <v>46132</v>
      </c>
      <c r="N10984">
        <f>IF(M10984="","",'Master Barang'!A78)</f>
        <v>0</v>
      </c>
      <c r="O10984">
        <f>IF(N10984="","",'Master Barang'!B78)</f>
        <v>0</v>
      </c>
      <c r="P10984">
        <f>IF(OR(M10984="",N10984=""),"",SUMIFS('Barang Keluar'!$E:$E,'Barang Keluar'!$A:$A,M10984,'Barang Keluar'!$C:$C,N10984))</f>
        <v>0</v>
      </c>
    </row>
    <row r="10985" spans="13:16">
      <c r="M10985" s="49">
        <f>IF($A$4+109&gt;$B$4,"",$A$4+109)</f>
        <v>46132</v>
      </c>
      <c r="N10985">
        <f>IF(M10985="","",'Master Barang'!A79)</f>
        <v>0</v>
      </c>
      <c r="O10985">
        <f>IF(N10985="","",'Master Barang'!B79)</f>
        <v>0</v>
      </c>
      <c r="P10985">
        <f>IF(OR(M10985="",N10985=""),"",SUMIFS('Barang Keluar'!$E:$E,'Barang Keluar'!$A:$A,M10985,'Barang Keluar'!$C:$C,N10985))</f>
        <v>0</v>
      </c>
    </row>
    <row r="10986" spans="13:16">
      <c r="M10986" s="49">
        <f>IF($A$4+109&gt;$B$4,"",$A$4+109)</f>
        <v>46132</v>
      </c>
      <c r="N10986">
        <f>IF(M10986="","",'Master Barang'!A80)</f>
        <v>0</v>
      </c>
      <c r="O10986">
        <f>IF(N10986="","",'Master Barang'!B80)</f>
        <v>0</v>
      </c>
      <c r="P10986">
        <f>IF(OR(M10986="",N10986=""),"",SUMIFS('Barang Keluar'!$E:$E,'Barang Keluar'!$A:$A,M10986,'Barang Keluar'!$C:$C,N10986))</f>
        <v>0</v>
      </c>
    </row>
    <row r="10987" spans="13:16">
      <c r="M10987" s="49">
        <f>IF($A$4+109&gt;$B$4,"",$A$4+109)</f>
        <v>46132</v>
      </c>
      <c r="N10987">
        <f>IF(M10987="","",'Master Barang'!A81)</f>
        <v>0</v>
      </c>
      <c r="O10987">
        <f>IF(N10987="","",'Master Barang'!B81)</f>
        <v>0</v>
      </c>
      <c r="P10987">
        <f>IF(OR(M10987="",N10987=""),"",SUMIFS('Barang Keluar'!$E:$E,'Barang Keluar'!$A:$A,M10987,'Barang Keluar'!$C:$C,N10987))</f>
        <v>0</v>
      </c>
    </row>
    <row r="10988" spans="13:16">
      <c r="M10988" s="49">
        <f>IF($A$4+109&gt;$B$4,"",$A$4+109)</f>
        <v>46132</v>
      </c>
      <c r="N10988">
        <f>IF(M10988="","",'Master Barang'!A82)</f>
        <v>0</v>
      </c>
      <c r="O10988">
        <f>IF(N10988="","",'Master Barang'!B82)</f>
        <v>0</v>
      </c>
      <c r="P10988">
        <f>IF(OR(M10988="",N10988=""),"",SUMIFS('Barang Keluar'!$E:$E,'Barang Keluar'!$A:$A,M10988,'Barang Keluar'!$C:$C,N10988))</f>
        <v>0</v>
      </c>
    </row>
    <row r="10989" spans="13:16">
      <c r="M10989" s="49">
        <f>IF($A$4+109&gt;$B$4,"",$A$4+109)</f>
        <v>46132</v>
      </c>
      <c r="N10989">
        <f>IF(M10989="","",'Master Barang'!A83)</f>
        <v>0</v>
      </c>
      <c r="O10989">
        <f>IF(N10989="","",'Master Barang'!B83)</f>
        <v>0</v>
      </c>
      <c r="P10989">
        <f>IF(OR(M10989="",N10989=""),"",SUMIFS('Barang Keluar'!$E:$E,'Barang Keluar'!$A:$A,M10989,'Barang Keluar'!$C:$C,N10989))</f>
        <v>0</v>
      </c>
    </row>
    <row r="10990" spans="13:16">
      <c r="M10990" s="49">
        <f>IF($A$4+109&gt;$B$4,"",$A$4+109)</f>
        <v>46132</v>
      </c>
      <c r="N10990">
        <f>IF(M10990="","",'Master Barang'!A84)</f>
        <v>0</v>
      </c>
      <c r="O10990">
        <f>IF(N10990="","",'Master Barang'!B84)</f>
        <v>0</v>
      </c>
      <c r="P10990">
        <f>IF(OR(M10990="",N10990=""),"",SUMIFS('Barang Keluar'!$E:$E,'Barang Keluar'!$A:$A,M10990,'Barang Keluar'!$C:$C,N10990))</f>
        <v>0</v>
      </c>
    </row>
    <row r="10991" spans="13:16">
      <c r="M10991" s="49">
        <f>IF($A$4+109&gt;$B$4,"",$A$4+109)</f>
        <v>46132</v>
      </c>
      <c r="N10991">
        <f>IF(M10991="","",'Master Barang'!A85)</f>
        <v>0</v>
      </c>
      <c r="O10991">
        <f>IF(N10991="","",'Master Barang'!B85)</f>
        <v>0</v>
      </c>
      <c r="P10991">
        <f>IF(OR(M10991="",N10991=""),"",SUMIFS('Barang Keluar'!$E:$E,'Barang Keluar'!$A:$A,M10991,'Barang Keluar'!$C:$C,N10991))</f>
        <v>0</v>
      </c>
    </row>
    <row r="10992" spans="13:16">
      <c r="M10992" s="49">
        <f>IF($A$4+109&gt;$B$4,"",$A$4+109)</f>
        <v>46132</v>
      </c>
      <c r="N10992">
        <f>IF(M10992="","",'Master Barang'!A86)</f>
        <v>0</v>
      </c>
      <c r="O10992">
        <f>IF(N10992="","",'Master Barang'!B86)</f>
        <v>0</v>
      </c>
      <c r="P10992">
        <f>IF(OR(M10992="",N10992=""),"",SUMIFS('Barang Keluar'!$E:$E,'Barang Keluar'!$A:$A,M10992,'Barang Keluar'!$C:$C,N10992))</f>
        <v>0</v>
      </c>
    </row>
    <row r="10993" spans="13:16">
      <c r="M10993" s="49">
        <f>IF($A$4+109&gt;$B$4,"",$A$4+109)</f>
        <v>46132</v>
      </c>
      <c r="N10993">
        <f>IF(M10993="","",'Master Barang'!A87)</f>
        <v>0</v>
      </c>
      <c r="O10993">
        <f>IF(N10993="","",'Master Barang'!B87)</f>
        <v>0</v>
      </c>
      <c r="P10993">
        <f>IF(OR(M10993="",N10993=""),"",SUMIFS('Barang Keluar'!$E:$E,'Barang Keluar'!$A:$A,M10993,'Barang Keluar'!$C:$C,N10993))</f>
        <v>0</v>
      </c>
    </row>
    <row r="10994" spans="13:16">
      <c r="M10994" s="49">
        <f>IF($A$4+109&gt;$B$4,"",$A$4+109)</f>
        <v>46132</v>
      </c>
      <c r="N10994">
        <f>IF(M10994="","",'Master Barang'!A88)</f>
        <v>0</v>
      </c>
      <c r="O10994">
        <f>IF(N10994="","",'Master Barang'!B88)</f>
        <v>0</v>
      </c>
      <c r="P10994">
        <f>IF(OR(M10994="",N10994=""),"",SUMIFS('Barang Keluar'!$E:$E,'Barang Keluar'!$A:$A,M10994,'Barang Keluar'!$C:$C,N10994))</f>
        <v>0</v>
      </c>
    </row>
    <row r="10995" spans="13:16">
      <c r="M10995" s="49">
        <f>IF($A$4+109&gt;$B$4,"",$A$4+109)</f>
        <v>46132</v>
      </c>
      <c r="N10995">
        <f>IF(M10995="","",'Master Barang'!A89)</f>
        <v>0</v>
      </c>
      <c r="O10995">
        <f>IF(N10995="","",'Master Barang'!B89)</f>
        <v>0</v>
      </c>
      <c r="P10995">
        <f>IF(OR(M10995="",N10995=""),"",SUMIFS('Barang Keluar'!$E:$E,'Barang Keluar'!$A:$A,M10995,'Barang Keluar'!$C:$C,N10995))</f>
        <v>0</v>
      </c>
    </row>
    <row r="10996" spans="13:16">
      <c r="M10996" s="49">
        <f>IF($A$4+109&gt;$B$4,"",$A$4+109)</f>
        <v>46132</v>
      </c>
      <c r="N10996">
        <f>IF(M10996="","",'Master Barang'!A90)</f>
        <v>0</v>
      </c>
      <c r="O10996">
        <f>IF(N10996="","",'Master Barang'!B90)</f>
        <v>0</v>
      </c>
      <c r="P10996">
        <f>IF(OR(M10996="",N10996=""),"",SUMIFS('Barang Keluar'!$E:$E,'Barang Keluar'!$A:$A,M10996,'Barang Keluar'!$C:$C,N10996))</f>
        <v>0</v>
      </c>
    </row>
    <row r="10997" spans="13:16">
      <c r="M10997" s="49">
        <f>IF($A$4+109&gt;$B$4,"",$A$4+109)</f>
        <v>46132</v>
      </c>
      <c r="N10997">
        <f>IF(M10997="","",'Master Barang'!A91)</f>
        <v>0</v>
      </c>
      <c r="O10997">
        <f>IF(N10997="","",'Master Barang'!B91)</f>
        <v>0</v>
      </c>
      <c r="P10997">
        <f>IF(OR(M10997="",N10997=""),"",SUMIFS('Barang Keluar'!$E:$E,'Barang Keluar'!$A:$A,M10997,'Barang Keluar'!$C:$C,N10997))</f>
        <v>0</v>
      </c>
    </row>
    <row r="10998" spans="13:16">
      <c r="M10998" s="49">
        <f>IF($A$4+109&gt;$B$4,"",$A$4+109)</f>
        <v>46132</v>
      </c>
      <c r="N10998">
        <f>IF(M10998="","",'Master Barang'!A92)</f>
        <v>0</v>
      </c>
      <c r="O10998">
        <f>IF(N10998="","",'Master Barang'!B92)</f>
        <v>0</v>
      </c>
      <c r="P10998">
        <f>IF(OR(M10998="",N10998=""),"",SUMIFS('Barang Keluar'!$E:$E,'Barang Keluar'!$A:$A,M10998,'Barang Keluar'!$C:$C,N10998))</f>
        <v>0</v>
      </c>
    </row>
    <row r="10999" spans="13:16">
      <c r="M10999" s="49">
        <f>IF($A$4+109&gt;$B$4,"",$A$4+109)</f>
        <v>46132</v>
      </c>
      <c r="N10999">
        <f>IF(M10999="","",'Master Barang'!A93)</f>
        <v>0</v>
      </c>
      <c r="O10999">
        <f>IF(N10999="","",'Master Barang'!B93)</f>
        <v>0</v>
      </c>
      <c r="P10999">
        <f>IF(OR(M10999="",N10999=""),"",SUMIFS('Barang Keluar'!$E:$E,'Barang Keluar'!$A:$A,M10999,'Barang Keluar'!$C:$C,N10999))</f>
        <v>0</v>
      </c>
    </row>
    <row r="11000" spans="13:16">
      <c r="M11000" s="49">
        <f>IF($A$4+109&gt;$B$4,"",$A$4+109)</f>
        <v>46132</v>
      </c>
      <c r="N11000">
        <f>IF(M11000="","",'Master Barang'!A94)</f>
        <v>0</v>
      </c>
      <c r="O11000">
        <f>IF(N11000="","",'Master Barang'!B94)</f>
        <v>0</v>
      </c>
      <c r="P11000">
        <f>IF(OR(M11000="",N11000=""),"",SUMIFS('Barang Keluar'!$E:$E,'Barang Keluar'!$A:$A,M11000,'Barang Keluar'!$C:$C,N11000))</f>
        <v>0</v>
      </c>
    </row>
    <row r="11001" spans="13:16">
      <c r="M11001" s="49">
        <f>IF($A$4+109&gt;$B$4,"",$A$4+109)</f>
        <v>46132</v>
      </c>
      <c r="N11001">
        <f>IF(M11001="","",'Master Barang'!A95)</f>
        <v>0</v>
      </c>
      <c r="O11001">
        <f>IF(N11001="","",'Master Barang'!B95)</f>
        <v>0</v>
      </c>
      <c r="P11001">
        <f>IF(OR(M11001="",N11001=""),"",SUMIFS('Barang Keluar'!$E:$E,'Barang Keluar'!$A:$A,M11001,'Barang Keluar'!$C:$C,N11001))</f>
        <v>0</v>
      </c>
    </row>
    <row r="11002" spans="13:16">
      <c r="M11002" s="49">
        <f>IF($A$4+109&gt;$B$4,"",$A$4+109)</f>
        <v>46132</v>
      </c>
      <c r="N11002">
        <f>IF(M11002="","",'Master Barang'!A96)</f>
        <v>0</v>
      </c>
      <c r="O11002">
        <f>IF(N11002="","",'Master Barang'!B96)</f>
        <v>0</v>
      </c>
      <c r="P11002">
        <f>IF(OR(M11002="",N11002=""),"",SUMIFS('Barang Keluar'!$E:$E,'Barang Keluar'!$A:$A,M11002,'Barang Keluar'!$C:$C,N11002))</f>
        <v>0</v>
      </c>
    </row>
    <row r="11003" spans="13:16">
      <c r="M11003" s="49">
        <f>IF($A$4+109&gt;$B$4,"",$A$4+109)</f>
        <v>46132</v>
      </c>
      <c r="N11003">
        <f>IF(M11003="","",'Master Barang'!A97)</f>
        <v>0</v>
      </c>
      <c r="O11003">
        <f>IF(N11003="","",'Master Barang'!B97)</f>
        <v>0</v>
      </c>
      <c r="P11003">
        <f>IF(OR(M11003="",N11003=""),"",SUMIFS('Barang Keluar'!$E:$E,'Barang Keluar'!$A:$A,M11003,'Barang Keluar'!$C:$C,N11003))</f>
        <v>0</v>
      </c>
    </row>
    <row r="11004" spans="13:16">
      <c r="M11004" s="49">
        <f>IF($A$4+109&gt;$B$4,"",$A$4+109)</f>
        <v>46132</v>
      </c>
      <c r="N11004">
        <f>IF(M11004="","",'Master Barang'!A98)</f>
        <v>0</v>
      </c>
      <c r="O11004">
        <f>IF(N11004="","",'Master Barang'!B98)</f>
        <v>0</v>
      </c>
      <c r="P11004">
        <f>IF(OR(M11004="",N11004=""),"",SUMIFS('Barang Keluar'!$E:$E,'Barang Keluar'!$A:$A,M11004,'Barang Keluar'!$C:$C,N11004))</f>
        <v>0</v>
      </c>
    </row>
    <row r="11005" spans="13:16">
      <c r="M11005" s="49">
        <f>IF($A$4+109&gt;$B$4,"",$A$4+109)</f>
        <v>46132</v>
      </c>
      <c r="N11005">
        <f>IF(M11005="","",'Master Barang'!A99)</f>
        <v>0</v>
      </c>
      <c r="O11005">
        <f>IF(N11005="","",'Master Barang'!B99)</f>
        <v>0</v>
      </c>
      <c r="P11005">
        <f>IF(OR(M11005="",N11005=""),"",SUMIFS('Barang Keluar'!$E:$E,'Barang Keluar'!$A:$A,M11005,'Barang Keluar'!$C:$C,N11005))</f>
        <v>0</v>
      </c>
    </row>
    <row r="11006" spans="13:16">
      <c r="M11006" s="49">
        <f>IF($A$4+109&gt;$B$4,"",$A$4+109)</f>
        <v>46132</v>
      </c>
      <c r="N11006">
        <f>IF(M11006="","",'Master Barang'!A100)</f>
        <v>0</v>
      </c>
      <c r="O11006">
        <f>IF(N11006="","",'Master Barang'!B100)</f>
        <v>0</v>
      </c>
      <c r="P11006">
        <f>IF(OR(M11006="",N11006=""),"",SUMIFS('Barang Keluar'!$E:$E,'Barang Keluar'!$A:$A,M11006,'Barang Keluar'!$C:$C,N11006))</f>
        <v>0</v>
      </c>
    </row>
    <row r="11007" spans="13:16">
      <c r="M11007" s="49">
        <f>IF($A$4+109&gt;$B$4,"",$A$4+109)</f>
        <v>46132</v>
      </c>
      <c r="N11007">
        <f>IF(M11007="","",'Master Barang'!A101)</f>
        <v>0</v>
      </c>
      <c r="O11007">
        <f>IF(N11007="","",'Master Barang'!B101)</f>
        <v>0</v>
      </c>
      <c r="P11007">
        <f>IF(OR(M11007="",N11007=""),"",SUMIFS('Barang Keluar'!$E:$E,'Barang Keluar'!$A:$A,M11007,'Barang Keluar'!$C:$C,N11007))</f>
        <v>0</v>
      </c>
    </row>
    <row r="11008" spans="13:16">
      <c r="M11008" s="49">
        <f>IF($A$4+110&gt;$B$4,"",$A$4+110)</f>
        <v>46133</v>
      </c>
      <c r="N11008" t="str">
        <f>IF(M11008="","",'Master Barang'!A2)</f>
        <v>PRL-001</v>
      </c>
      <c r="O11008" t="str">
        <f>IF(N11008="","",'Master Barang'!B2)</f>
        <v>natura desinfectant food grade 5l</v>
      </c>
      <c r="P11008">
        <f>IF(OR(M11008="",N11008=""),"",SUMIFS('Barang Keluar'!$E:$E,'Barang Keluar'!$A:$A,M11008,'Barang Keluar'!$C:$C,N11008))</f>
        <v>0</v>
      </c>
    </row>
    <row r="11009" spans="13:16">
      <c r="M11009" s="49">
        <f>IF($A$4+110&gt;$B$4,"",$A$4+110)</f>
        <v>46133</v>
      </c>
      <c r="N11009" t="str">
        <f>IF(M11009="","",'Master Barang'!A3)</f>
        <v>PRL-002</v>
      </c>
      <c r="O11009" t="str">
        <f>IF(N11009="","",'Master Barang'!B3)</f>
        <v>sunlight cairan pencuci piring 5l</v>
      </c>
      <c r="P11009">
        <f>IF(OR(M11009="",N11009=""),"",SUMIFS('Barang Keluar'!$E:$E,'Barang Keluar'!$A:$A,M11009,'Barang Keluar'!$C:$C,N11009))</f>
        <v>0</v>
      </c>
    </row>
    <row r="11010" spans="13:16">
      <c r="M11010" s="49">
        <f>IF($A$4+110&gt;$B$4,"",$A$4+110)</f>
        <v>46133</v>
      </c>
      <c r="N11010" t="str">
        <f>IF(M11010="","",'Master Barang'!A4)</f>
        <v>PRL-003</v>
      </c>
      <c r="O11010" t="str">
        <f>IF(N11010="","",'Master Barang'!B4)</f>
        <v>oixs cleaner 1l</v>
      </c>
      <c r="P11010">
        <f>IF(OR(M11010="",N11010=""),"",SUMIFS('Barang Keluar'!$E:$E,'Barang Keluar'!$A:$A,M11010,'Barang Keluar'!$C:$C,N11010))</f>
        <v>0</v>
      </c>
    </row>
    <row r="11011" spans="13:16">
      <c r="M11011" s="49">
        <f>IF($A$4+110&gt;$B$4,"",$A$4+110)</f>
        <v>46133</v>
      </c>
      <c r="N11011" t="str">
        <f>IF(M11011="","",'Master Barang'!A5)</f>
        <v>PRL-004</v>
      </c>
      <c r="O11011" t="str">
        <f>IF(N11011="","",'Master Barang'!B5)</f>
        <v>be clean tissue serbaguna</v>
      </c>
      <c r="P11011">
        <f>IF(OR(M11011="",N11011=""),"",SUMIFS('Barang Keluar'!$E:$E,'Barang Keluar'!$A:$A,M11011,'Barang Keluar'!$C:$C,N11011))</f>
        <v>0</v>
      </c>
    </row>
    <row r="11012" spans="13:16">
      <c r="M11012" s="49">
        <f>IF($A$4+110&gt;$B$4,"",$A$4+110)</f>
        <v>46133</v>
      </c>
      <c r="N11012" t="str">
        <f>IF(M11012="","",'Master Barang'!A6)</f>
        <v>PRL-005</v>
      </c>
      <c r="O11012" t="str">
        <f>IF(N11012="","",'Master Barang'!B6)</f>
        <v>spons cuci hijau</v>
      </c>
      <c r="P11012">
        <f>IF(OR(M11012="",N11012=""),"",SUMIFS('Barang Keluar'!$E:$E,'Barang Keluar'!$A:$A,M11012,'Barang Keluar'!$C:$C,N11012))</f>
        <v>0</v>
      </c>
    </row>
    <row r="11013" spans="13:16">
      <c r="M11013" s="49">
        <f>IF($A$4+110&gt;$B$4,"",$A$4+110)</f>
        <v>46133</v>
      </c>
      <c r="N11013" t="str">
        <f>IF(M11013="","",'Master Barang'!A7)</f>
        <v>PRL-006</v>
      </c>
      <c r="O11013" t="str">
        <f>IF(N11013="","",'Master Barang'!B7)</f>
        <v>sabut cuci stainless</v>
      </c>
      <c r="P11013">
        <f>IF(OR(M11013="",N11013=""),"",SUMIFS('Barang Keluar'!$E:$E,'Barang Keluar'!$A:$A,M11013,'Barang Keluar'!$C:$C,N11013))</f>
        <v>0</v>
      </c>
    </row>
    <row r="11014" spans="13:16">
      <c r="M11014" s="49">
        <f>IF($A$4+110&gt;$B$4,"",$A$4+110)</f>
        <v>46133</v>
      </c>
      <c r="N11014" t="str">
        <f>IF(M11014="","",'Master Barang'!A8)</f>
        <v>PRL-007</v>
      </c>
      <c r="O11014" t="str">
        <f>IF(N11014="","",'Master Barang'!B8)</f>
        <v>plastik kresek besar merah 50pc</v>
      </c>
      <c r="P11014">
        <f>IF(OR(M11014="",N11014=""),"",SUMIFS('Barang Keluar'!$E:$E,'Barang Keluar'!$A:$A,M11014,'Barang Keluar'!$C:$C,N11014))</f>
        <v>0</v>
      </c>
    </row>
    <row r="11015" spans="13:16">
      <c r="M11015" s="49">
        <f>IF($A$4+110&gt;$B$4,"",$A$4+110)</f>
        <v>46133</v>
      </c>
      <c r="N11015" t="str">
        <f>IF(M11015="","",'Master Barang'!A9)</f>
        <v>PRL-008</v>
      </c>
      <c r="O11015" t="str">
        <f>IF(N11015="","",'Master Barang'!B9)</f>
        <v>lap besar</v>
      </c>
      <c r="P11015">
        <f>IF(OR(M11015="",N11015=""),"",SUMIFS('Barang Keluar'!$E:$E,'Barang Keluar'!$A:$A,M11015,'Barang Keluar'!$C:$C,N11015))</f>
        <v>0</v>
      </c>
    </row>
    <row r="11016" spans="13:16">
      <c r="M11016" s="49">
        <f>IF($A$4+110&gt;$B$4,"",$A$4+110)</f>
        <v>46133</v>
      </c>
      <c r="N11016" t="str">
        <f>IF(M11016="","",'Master Barang'!A10)</f>
        <v>PRL-009</v>
      </c>
      <c r="O11016" t="str">
        <f>IF(N11016="","",'Master Barang'!B10)</f>
        <v>lap microfiber</v>
      </c>
      <c r="P11016">
        <f>IF(OR(M11016="",N11016=""),"",SUMIFS('Barang Keluar'!$E:$E,'Barang Keluar'!$A:$A,M11016,'Barang Keluar'!$C:$C,N11016))</f>
        <v>0</v>
      </c>
    </row>
    <row r="11017" spans="13:16">
      <c r="M11017" s="49">
        <f>IF($A$4+110&gt;$B$4,"",$A$4+110)</f>
        <v>46133</v>
      </c>
      <c r="N11017" t="str">
        <f>IF(M11017="","",'Master Barang'!A11)</f>
        <v>PRL-010</v>
      </c>
      <c r="O11017" t="str">
        <f>IF(N11017="","",'Master Barang'!B11)</f>
        <v>lap kecil</v>
      </c>
      <c r="P11017">
        <f>IF(OR(M11017="",N11017=""),"",SUMIFS('Barang Keluar'!$E:$E,'Barang Keluar'!$A:$A,M11017,'Barang Keluar'!$C:$C,N11017))</f>
        <v>0</v>
      </c>
    </row>
    <row r="11018" spans="13:16">
      <c r="M11018" s="49">
        <f>IF($A$4+110&gt;$B$4,"",$A$4+110)</f>
        <v>46133</v>
      </c>
      <c r="N11018" t="str">
        <f>IF(M11018="","",'Master Barang'!A12)</f>
        <v>PRL-011</v>
      </c>
      <c r="O11018" t="str">
        <f>IF(N11018="","",'Master Barang'!B12)</f>
        <v>kanebo kecil</v>
      </c>
      <c r="P11018">
        <f>IF(OR(M11018="",N11018=""),"",SUMIFS('Barang Keluar'!$E:$E,'Barang Keluar'!$A:$A,M11018,'Barang Keluar'!$C:$C,N11018))</f>
        <v>0</v>
      </c>
    </row>
    <row r="11019" spans="13:16">
      <c r="M11019" s="49">
        <f>IF($A$4+110&gt;$B$4,"",$A$4+110)</f>
        <v>46133</v>
      </c>
      <c r="N11019" t="str">
        <f>IF(M11019="","",'Master Barang'!A13)</f>
        <v>PRL-012</v>
      </c>
      <c r="O11019" t="str">
        <f>IF(N11019="","",'Master Barang'!B13)</f>
        <v>plastik 1/4kg joyoboyo 100 lembar</v>
      </c>
      <c r="P11019">
        <f>IF(OR(M11019="",N11019=""),"",SUMIFS('Barang Keluar'!$E:$E,'Barang Keluar'!$A:$A,M11019,'Barang Keluar'!$C:$C,N11019))</f>
        <v>0</v>
      </c>
    </row>
    <row r="11020" spans="13:16">
      <c r="M11020" s="49">
        <f>IF($A$4+110&gt;$B$4,"",$A$4+110)</f>
        <v>46133</v>
      </c>
      <c r="N11020" t="str">
        <f>IF(M11020="","",'Master Barang'!A14)</f>
        <v>PRL-013</v>
      </c>
      <c r="O11020" t="str">
        <f>IF(N11020="","",'Master Barang'!B14)</f>
        <v>sarung tangan plastik kaka 100 pcs</v>
      </c>
      <c r="P11020">
        <f>IF(OR(M11020="",N11020=""),"",SUMIFS('Barang Keluar'!$E:$E,'Barang Keluar'!$A:$A,M11020,'Barang Keluar'!$C:$C,N11020))</f>
        <v>0</v>
      </c>
    </row>
    <row r="11021" spans="13:16">
      <c r="M11021" s="49">
        <f>IF($A$4+110&gt;$B$4,"",$A$4+110)</f>
        <v>46133</v>
      </c>
      <c r="N11021" t="str">
        <f>IF(M11021="","",'Master Barang'!A15)</f>
        <v>PRL-014</v>
      </c>
      <c r="O11021" t="str">
        <f>IF(N11021="","",'Master Barang'!B15)</f>
        <v>optima trashbag 80x100</v>
      </c>
      <c r="P11021">
        <f>IF(OR(M11021="",N11021=""),"",SUMIFS('Barang Keluar'!$E:$E,'Barang Keluar'!$A:$A,M11021,'Barang Keluar'!$C:$C,N11021))</f>
        <v>0</v>
      </c>
    </row>
    <row r="11022" spans="13:16">
      <c r="M11022" s="49">
        <f>IF($A$4+110&gt;$B$4,"",$A$4+110)</f>
        <v>46133</v>
      </c>
      <c r="N11022" t="str">
        <f>IF(M11022="","",'Master Barang'!A16)</f>
        <v>PRL-015</v>
      </c>
      <c r="O11022" t="str">
        <f>IF(N11022="","",'Master Barang'!B16)</f>
        <v>optima trashbag 60x100</v>
      </c>
      <c r="P11022">
        <f>IF(OR(M11022="",N11022=""),"",SUMIFS('Barang Keluar'!$E:$E,'Barang Keluar'!$A:$A,M11022,'Barang Keluar'!$C:$C,N11022))</f>
        <v>0</v>
      </c>
    </row>
    <row r="11023" spans="13:16">
      <c r="M11023" s="49">
        <f>IF($A$4+110&gt;$B$4,"",$A$4+110)</f>
        <v>46133</v>
      </c>
      <c r="N11023" t="str">
        <f>IF(M11023="","",'Master Barang'!A17)</f>
        <v>PRL-016</v>
      </c>
      <c r="O11023" t="str">
        <f>IF(N11023="","",'Master Barang'!B17)</f>
        <v>rajawali trashbag 30x40</v>
      </c>
      <c r="P11023">
        <f>IF(OR(M11023="",N11023=""),"",SUMIFS('Barang Keluar'!$E:$E,'Barang Keluar'!$A:$A,M11023,'Barang Keluar'!$C:$C,N11023))</f>
        <v>0</v>
      </c>
    </row>
    <row r="11024" spans="13:16">
      <c r="M11024" s="49">
        <f>IF($A$4+110&gt;$B$4,"",$A$4+110)</f>
        <v>46133</v>
      </c>
      <c r="N11024" t="str">
        <f>IF(M11024="","",'Master Barang'!A18)</f>
        <v>PRL-017</v>
      </c>
      <c r="O11024" t="str">
        <f>IF(N11024="","",'Master Barang'!B18)</f>
        <v>onemed masker biru 3 play 50 pcs</v>
      </c>
      <c r="P11024">
        <f>IF(OR(M11024="",N11024=""),"",SUMIFS('Barang Keluar'!$E:$E,'Barang Keluar'!$A:$A,M11024,'Barang Keluar'!$C:$C,N11024))</f>
        <v>0</v>
      </c>
    </row>
    <row r="11025" spans="13:16">
      <c r="M11025" s="49">
        <f>IF($A$4+110&gt;$B$4,"",$A$4+110)</f>
        <v>46133</v>
      </c>
      <c r="N11025" t="str">
        <f>IF(M11025="","",'Master Barang'!A19)</f>
        <v>PRL-018</v>
      </c>
      <c r="O11025" t="str">
        <f>IF(N11025="","",'Master Barang'!B19)</f>
        <v>onemed masker biru 3 play hijab 50 pcs</v>
      </c>
      <c r="P11025">
        <f>IF(OR(M11025="",N11025=""),"",SUMIFS('Barang Keluar'!$E:$E,'Barang Keluar'!$A:$A,M11025,'Barang Keluar'!$C:$C,N11025))</f>
        <v>0</v>
      </c>
    </row>
    <row r="11026" spans="13:16">
      <c r="M11026" s="49">
        <f>IF($A$4+110&gt;$B$4,"",$A$4+110)</f>
        <v>46133</v>
      </c>
      <c r="N11026" t="str">
        <f>IF(M11026="","",'Master Barang'!A20)</f>
        <v>PRL-019</v>
      </c>
      <c r="O11026" t="str">
        <f>IF(N11026="","",'Master Barang'!B20)</f>
        <v>neo health masker biru 3 play 50 pcs</v>
      </c>
      <c r="P11026">
        <f>IF(OR(M11026="",N11026=""),"",SUMIFS('Barang Keluar'!$E:$E,'Barang Keluar'!$A:$A,M11026,'Barang Keluar'!$C:$C,N11026))</f>
        <v>0</v>
      </c>
    </row>
    <row r="11027" spans="13:16">
      <c r="M11027" s="49">
        <f>IF($A$4+110&gt;$B$4,"",$A$4+110)</f>
        <v>46133</v>
      </c>
      <c r="N11027" t="str">
        <f>IF(M11027="","",'Master Barang'!A21)</f>
        <v>PRL-020</v>
      </c>
      <c r="O11027" t="str">
        <f>IF(N11027="","",'Master Barang'!B21)</f>
        <v>baymed masker hijau 3 play hijau 50 pcs</v>
      </c>
      <c r="P11027">
        <f>IF(OR(M11027="",N11027=""),"",SUMIFS('Barang Keluar'!$E:$E,'Barang Keluar'!$A:$A,M11027,'Barang Keluar'!$C:$C,N11027))</f>
        <v>0</v>
      </c>
    </row>
    <row r="11028" spans="13:16">
      <c r="M11028" s="49">
        <f>IF($A$4+110&gt;$B$4,"",$A$4+110)</f>
        <v>46133</v>
      </c>
      <c r="N11028" t="str">
        <f>IF(M11028="","",'Master Barang'!A22)</f>
        <v>PRL-021</v>
      </c>
      <c r="O11028" t="str">
        <f>IF(N11028="","",'Master Barang'!B22)</f>
        <v>altamed nurse cap penutup kepala 100 pcs</v>
      </c>
      <c r="P11028">
        <f>IF(OR(M11028="",N11028=""),"",SUMIFS('Barang Keluar'!$E:$E,'Barang Keluar'!$A:$A,M11028,'Barang Keluar'!$C:$C,N11028))</f>
        <v>0</v>
      </c>
    </row>
    <row r="11029" spans="13:16">
      <c r="M11029" s="49">
        <f>IF($A$4+110&gt;$B$4,"",$A$4+110)</f>
        <v>46133</v>
      </c>
      <c r="N11029" t="str">
        <f>IF(M11029="","",'Master Barang'!A23)</f>
        <v>PRL-022</v>
      </c>
      <c r="O11029" t="str">
        <f>IF(N11029="","",'Master Barang'!B23)</f>
        <v>sabun cuci tangan</v>
      </c>
      <c r="P11029">
        <f>IF(OR(M11029="",N11029=""),"",SUMIFS('Barang Keluar'!$E:$E,'Barang Keluar'!$A:$A,M11029,'Barang Keluar'!$C:$C,N11029))</f>
        <v>0</v>
      </c>
    </row>
    <row r="11030" spans="13:16">
      <c r="M11030" s="49">
        <f>IF($A$4+110&gt;$B$4,"",$A$4+110)</f>
        <v>46133</v>
      </c>
      <c r="N11030" t="str">
        <f>IF(M11030="","",'Master Barang'!A24)</f>
        <v>PRL-023</v>
      </c>
      <c r="O11030" t="str">
        <f>IF(N11030="","",'Master Barang'!B24)</f>
        <v>gayung kecil</v>
      </c>
      <c r="P11030">
        <f>IF(OR(M11030="",N11030=""),"",SUMIFS('Barang Keluar'!$E:$E,'Barang Keluar'!$A:$A,M11030,'Barang Keluar'!$C:$C,N11030))</f>
        <v>0</v>
      </c>
    </row>
    <row r="11031" spans="13:16">
      <c r="M11031" s="49">
        <f>IF($A$4+110&gt;$B$4,"",$A$4+110)</f>
        <v>46133</v>
      </c>
      <c r="N11031" t="str">
        <f>IF(M11031="","",'Master Barang'!A25)</f>
        <v>PRL-024</v>
      </c>
      <c r="O11031" t="str">
        <f>IF(N11031="","",'Master Barang'!B25)</f>
        <v>cikrak kecil</v>
      </c>
      <c r="P11031">
        <f>IF(OR(M11031="",N11031=""),"",SUMIFS('Barang Keluar'!$E:$E,'Barang Keluar'!$A:$A,M11031,'Barang Keluar'!$C:$C,N11031))</f>
        <v>0</v>
      </c>
    </row>
    <row r="11032" spans="13:16">
      <c r="M11032" s="49">
        <f>IF($A$4+110&gt;$B$4,"",$A$4+110)</f>
        <v>46133</v>
      </c>
      <c r="N11032" t="str">
        <f>IF(M11032="","",'Master Barang'!A26)</f>
        <v>PRL-025</v>
      </c>
      <c r="O11032" t="str">
        <f>IF(N11032="","",'Master Barang'!B26)</f>
        <v>petromax plastik kecil 12x24 100 lembar</v>
      </c>
      <c r="P11032">
        <f>IF(OR(M11032="",N11032=""),"",SUMIFS('Barang Keluar'!$E:$E,'Barang Keluar'!$A:$A,M11032,'Barang Keluar'!$C:$C,N11032))</f>
        <v>0</v>
      </c>
    </row>
    <row r="11033" spans="13:16">
      <c r="M11033" s="49">
        <f>IF($A$4+110&gt;$B$4,"",$A$4+110)</f>
        <v>46133</v>
      </c>
      <c r="N11033" t="str">
        <f>IF(M11033="","",'Master Barang'!A27)</f>
        <v>PRL-026</v>
      </c>
      <c r="O11033" t="str">
        <f>IF(N11033="","",'Master Barang'!B27)</f>
        <v>lancar kresek kecil bening </v>
      </c>
      <c r="P11033">
        <f>IF(OR(M11033="",N11033=""),"",SUMIFS('Barang Keluar'!$E:$E,'Barang Keluar'!$A:$A,M11033,'Barang Keluar'!$C:$C,N11033))</f>
        <v>0</v>
      </c>
    </row>
    <row r="11034" spans="13:16">
      <c r="M11034" s="49">
        <f>IF($A$4+110&gt;$B$4,"",$A$4+110)</f>
        <v>46133</v>
      </c>
      <c r="N11034" t="str">
        <f>IF(M11034="","",'Master Barang'!A28)</f>
        <v>PRL-027</v>
      </c>
      <c r="O11034" t="str">
        <f>IF(N11034="","",'Master Barang'!B28)</f>
        <v>kresek klin warna warni kecil</v>
      </c>
      <c r="P11034">
        <f>IF(OR(M11034="",N11034=""),"",SUMIFS('Barang Keluar'!$E:$E,'Barang Keluar'!$A:$A,M11034,'Barang Keluar'!$C:$C,N11034))</f>
        <v>0</v>
      </c>
    </row>
    <row r="11035" spans="13:16">
      <c r="M11035" s="49">
        <f>IF($A$4+110&gt;$B$4,"",$A$4+110)</f>
        <v>46133</v>
      </c>
      <c r="N11035" t="str">
        <f>IF(M11035="","",'Master Barang'!A29)</f>
        <v>PRL-028</v>
      </c>
      <c r="O11035" t="str">
        <f>IF(N11035="","",'Master Barang'!B29)</f>
        <v>ctik plastik 7x10 100 pcs</v>
      </c>
      <c r="P11035">
        <f>IF(OR(M11035="",N11035=""),"",SUMIFS('Barang Keluar'!$E:$E,'Barang Keluar'!$A:$A,M11035,'Barang Keluar'!$C:$C,N11035))</f>
        <v>0</v>
      </c>
    </row>
    <row r="11036" spans="13:16">
      <c r="M11036" s="49">
        <f>IF($A$4+110&gt;$B$4,"",$A$4+110)</f>
        <v>46133</v>
      </c>
      <c r="N11036" t="str">
        <f>IF(M11036="","",'Master Barang'!A30)</f>
        <v>PRL-029</v>
      </c>
      <c r="O11036" t="str">
        <f>IF(N11036="","",'Master Barang'!B30)</f>
        <v>ctik plastik 6x10 100 pcs</v>
      </c>
      <c r="P11036">
        <f>IF(OR(M11036="",N11036=""),"",SUMIFS('Barang Keluar'!$E:$E,'Barang Keluar'!$A:$A,M11036,'Barang Keluar'!$C:$C,N11036))</f>
        <v>0</v>
      </c>
    </row>
    <row r="11037" spans="13:16">
      <c r="M11037" s="49">
        <f>IF($A$4+110&gt;$B$4,"",$A$4+110)</f>
        <v>46133</v>
      </c>
      <c r="N11037" t="str">
        <f>IF(M11037="","",'Master Barang'!A31)</f>
        <v>PRL-030</v>
      </c>
      <c r="O11037" t="str">
        <f>IF(N11037="","",'Master Barang'!B31)</f>
        <v>klip plastik 25x16 100 pcs</v>
      </c>
      <c r="P11037">
        <f>IF(OR(M11037="",N11037=""),"",SUMIFS('Barang Keluar'!$E:$E,'Barang Keluar'!$A:$A,M11037,'Barang Keluar'!$C:$C,N11037))</f>
        <v>0</v>
      </c>
    </row>
    <row r="11038" spans="13:16">
      <c r="M11038" s="49">
        <f>IF($A$4+110&gt;$B$4,"",$A$4+110)</f>
        <v>46133</v>
      </c>
      <c r="N11038" t="str">
        <f>IF(M11038="","",'Master Barang'!A32)</f>
        <v>PRL-031</v>
      </c>
      <c r="O11038" t="str">
        <f>IF(N11038="","",'Master Barang'!B32)</f>
        <v>tempat saus 20 ml</v>
      </c>
      <c r="P11038">
        <f>IF(OR(M11038="",N11038=""),"",SUMIFS('Barang Keluar'!$E:$E,'Barang Keluar'!$A:$A,M11038,'Barang Keluar'!$C:$C,N11038))</f>
        <v>0</v>
      </c>
    </row>
    <row r="11039" spans="13:16">
      <c r="M11039" s="49">
        <f>IF($A$4+110&gt;$B$4,"",$A$4+110)</f>
        <v>46133</v>
      </c>
      <c r="N11039" t="str">
        <f>IF(M11039="","",'Master Barang'!A33)</f>
        <v>PRL-032</v>
      </c>
      <c r="O11039" t="str">
        <f>IF(N11039="","",'Master Barang'!B33)</f>
        <v>plastik packaging ag box uk sedang</v>
      </c>
      <c r="P11039">
        <f>IF(OR(M11039="",N11039=""),"",SUMIFS('Barang Keluar'!$E:$E,'Barang Keluar'!$A:$A,M11039,'Barang Keluar'!$C:$C,N11039))</f>
        <v>0</v>
      </c>
    </row>
    <row r="11040" spans="13:16">
      <c r="M11040" s="49">
        <f>IF($A$4+110&gt;$B$4,"",$A$4+110)</f>
        <v>46133</v>
      </c>
      <c r="N11040" t="str">
        <f>IF(M11040="","",'Master Barang'!A34)</f>
        <v>PRL-033</v>
      </c>
      <c r="O11040">
        <f>IF(N11040="","",'Master Barang'!B34)</f>
        <v>0</v>
      </c>
      <c r="P11040">
        <f>IF(OR(M11040="",N11040=""),"",SUMIFS('Barang Keluar'!$E:$E,'Barang Keluar'!$A:$A,M11040,'Barang Keluar'!$C:$C,N11040))</f>
        <v>0</v>
      </c>
    </row>
    <row r="11041" spans="13:16">
      <c r="M11041" s="49">
        <f>IF($A$4+110&gt;$B$4,"",$A$4+110)</f>
        <v>46133</v>
      </c>
      <c r="N11041">
        <f>IF(M11041="","",'Master Barang'!A35)</f>
        <v>0</v>
      </c>
      <c r="O11041">
        <f>IF(N11041="","",'Master Barang'!B35)</f>
        <v>0</v>
      </c>
      <c r="P11041">
        <f>IF(OR(M11041="",N11041=""),"",SUMIFS('Barang Keluar'!$E:$E,'Barang Keluar'!$A:$A,M11041,'Barang Keluar'!$C:$C,N11041))</f>
        <v>0</v>
      </c>
    </row>
    <row r="11042" spans="13:16">
      <c r="M11042" s="49">
        <f>IF($A$4+110&gt;$B$4,"",$A$4+110)</f>
        <v>46133</v>
      </c>
      <c r="N11042">
        <f>IF(M11042="","",'Master Barang'!A36)</f>
        <v>0</v>
      </c>
      <c r="O11042">
        <f>IF(N11042="","",'Master Barang'!B36)</f>
        <v>0</v>
      </c>
      <c r="P11042">
        <f>IF(OR(M11042="",N11042=""),"",SUMIFS('Barang Keluar'!$E:$E,'Barang Keluar'!$A:$A,M11042,'Barang Keluar'!$C:$C,N11042))</f>
        <v>0</v>
      </c>
    </row>
    <row r="11043" spans="13:16">
      <c r="M11043" s="49">
        <f>IF($A$4+110&gt;$B$4,"",$A$4+110)</f>
        <v>46133</v>
      </c>
      <c r="N11043">
        <f>IF(M11043="","",'Master Barang'!A37)</f>
        <v>0</v>
      </c>
      <c r="O11043">
        <f>IF(N11043="","",'Master Barang'!B37)</f>
        <v>0</v>
      </c>
      <c r="P11043">
        <f>IF(OR(M11043="",N11043=""),"",SUMIFS('Barang Keluar'!$E:$E,'Barang Keluar'!$A:$A,M11043,'Barang Keluar'!$C:$C,N11043))</f>
        <v>0</v>
      </c>
    </row>
    <row r="11044" spans="13:16">
      <c r="M11044" s="49">
        <f>IF($A$4+110&gt;$B$4,"",$A$4+110)</f>
        <v>46133</v>
      </c>
      <c r="N11044">
        <f>IF(M11044="","",'Master Barang'!A38)</f>
        <v>0</v>
      </c>
      <c r="O11044">
        <f>IF(N11044="","",'Master Barang'!B38)</f>
        <v>0</v>
      </c>
      <c r="P11044">
        <f>IF(OR(M11044="",N11044=""),"",SUMIFS('Barang Keluar'!$E:$E,'Barang Keluar'!$A:$A,M11044,'Barang Keluar'!$C:$C,N11044))</f>
        <v>0</v>
      </c>
    </row>
    <row r="11045" spans="13:16">
      <c r="M11045" s="49">
        <f>IF($A$4+110&gt;$B$4,"",$A$4+110)</f>
        <v>46133</v>
      </c>
      <c r="N11045">
        <f>IF(M11045="","",'Master Barang'!A39)</f>
        <v>0</v>
      </c>
      <c r="O11045">
        <f>IF(N11045="","",'Master Barang'!B39)</f>
        <v>0</v>
      </c>
      <c r="P11045">
        <f>IF(OR(M11045="",N11045=""),"",SUMIFS('Barang Keluar'!$E:$E,'Barang Keluar'!$A:$A,M11045,'Barang Keluar'!$C:$C,N11045))</f>
        <v>0</v>
      </c>
    </row>
    <row r="11046" spans="13:16">
      <c r="M11046" s="49">
        <f>IF($A$4+110&gt;$B$4,"",$A$4+110)</f>
        <v>46133</v>
      </c>
      <c r="N11046">
        <f>IF(M11046="","",'Master Barang'!A40)</f>
        <v>0</v>
      </c>
      <c r="O11046">
        <f>IF(N11046="","",'Master Barang'!B40)</f>
        <v>0</v>
      </c>
      <c r="P11046">
        <f>IF(OR(M11046="",N11046=""),"",SUMIFS('Barang Keluar'!$E:$E,'Barang Keluar'!$A:$A,M11046,'Barang Keluar'!$C:$C,N11046))</f>
        <v>0</v>
      </c>
    </row>
    <row r="11047" spans="13:16">
      <c r="M11047" s="49">
        <f>IF($A$4+110&gt;$B$4,"",$A$4+110)</f>
        <v>46133</v>
      </c>
      <c r="N11047">
        <f>IF(M11047="","",'Master Barang'!A41)</f>
        <v>0</v>
      </c>
      <c r="O11047">
        <f>IF(N11047="","",'Master Barang'!B41)</f>
        <v>0</v>
      </c>
      <c r="P11047">
        <f>IF(OR(M11047="",N11047=""),"",SUMIFS('Barang Keluar'!$E:$E,'Barang Keluar'!$A:$A,M11047,'Barang Keluar'!$C:$C,N11047))</f>
        <v>0</v>
      </c>
    </row>
    <row r="11048" spans="13:16">
      <c r="M11048" s="49">
        <f>IF($A$4+110&gt;$B$4,"",$A$4+110)</f>
        <v>46133</v>
      </c>
      <c r="N11048">
        <f>IF(M11048="","",'Master Barang'!A42)</f>
        <v>0</v>
      </c>
      <c r="O11048">
        <f>IF(N11048="","",'Master Barang'!B42)</f>
        <v>0</v>
      </c>
      <c r="P11048">
        <f>IF(OR(M11048="",N11048=""),"",SUMIFS('Barang Keluar'!$E:$E,'Barang Keluar'!$A:$A,M11048,'Barang Keluar'!$C:$C,N11048))</f>
        <v>0</v>
      </c>
    </row>
    <row r="11049" spans="13:16">
      <c r="M11049" s="49">
        <f>IF($A$4+110&gt;$B$4,"",$A$4+110)</f>
        <v>46133</v>
      </c>
      <c r="N11049">
        <f>IF(M11049="","",'Master Barang'!A43)</f>
        <v>0</v>
      </c>
      <c r="O11049">
        <f>IF(N11049="","",'Master Barang'!B43)</f>
        <v>0</v>
      </c>
      <c r="P11049">
        <f>IF(OR(M11049="",N11049=""),"",SUMIFS('Barang Keluar'!$E:$E,'Barang Keluar'!$A:$A,M11049,'Barang Keluar'!$C:$C,N11049))</f>
        <v>0</v>
      </c>
    </row>
    <row r="11050" spans="13:16">
      <c r="M11050" s="49">
        <f>IF($A$4+110&gt;$B$4,"",$A$4+110)</f>
        <v>46133</v>
      </c>
      <c r="N11050">
        <f>IF(M11050="","",'Master Barang'!A44)</f>
        <v>0</v>
      </c>
      <c r="O11050">
        <f>IF(N11050="","",'Master Barang'!B44)</f>
        <v>0</v>
      </c>
      <c r="P11050">
        <f>IF(OR(M11050="",N11050=""),"",SUMIFS('Barang Keluar'!$E:$E,'Barang Keluar'!$A:$A,M11050,'Barang Keluar'!$C:$C,N11050))</f>
        <v>0</v>
      </c>
    </row>
    <row r="11051" spans="13:16">
      <c r="M11051" s="49">
        <f>IF($A$4+110&gt;$B$4,"",$A$4+110)</f>
        <v>46133</v>
      </c>
      <c r="N11051">
        <f>IF(M11051="","",'Master Barang'!A45)</f>
        <v>0</v>
      </c>
      <c r="O11051">
        <f>IF(N11051="","",'Master Barang'!B45)</f>
        <v>0</v>
      </c>
      <c r="P11051">
        <f>IF(OR(M11051="",N11051=""),"",SUMIFS('Barang Keluar'!$E:$E,'Barang Keluar'!$A:$A,M11051,'Barang Keluar'!$C:$C,N11051))</f>
        <v>0</v>
      </c>
    </row>
    <row r="11052" spans="13:16">
      <c r="M11052" s="49">
        <f>IF($A$4+110&gt;$B$4,"",$A$4+110)</f>
        <v>46133</v>
      </c>
      <c r="N11052">
        <f>IF(M11052="","",'Master Barang'!A46)</f>
        <v>0</v>
      </c>
      <c r="O11052">
        <f>IF(N11052="","",'Master Barang'!B46)</f>
        <v>0</v>
      </c>
      <c r="P11052">
        <f>IF(OR(M11052="",N11052=""),"",SUMIFS('Barang Keluar'!$E:$E,'Barang Keluar'!$A:$A,M11052,'Barang Keluar'!$C:$C,N11052))</f>
        <v>0</v>
      </c>
    </row>
    <row r="11053" spans="13:16">
      <c r="M11053" s="49">
        <f>IF($A$4+110&gt;$B$4,"",$A$4+110)</f>
        <v>46133</v>
      </c>
      <c r="N11053">
        <f>IF(M11053="","",'Master Barang'!A47)</f>
        <v>0</v>
      </c>
      <c r="O11053">
        <f>IF(N11053="","",'Master Barang'!B47)</f>
        <v>0</v>
      </c>
      <c r="P11053">
        <f>IF(OR(M11053="",N11053=""),"",SUMIFS('Barang Keluar'!$E:$E,'Barang Keluar'!$A:$A,M11053,'Barang Keluar'!$C:$C,N11053))</f>
        <v>0</v>
      </c>
    </row>
    <row r="11054" spans="13:16">
      <c r="M11054" s="49">
        <f>IF($A$4+110&gt;$B$4,"",$A$4+110)</f>
        <v>46133</v>
      </c>
      <c r="N11054">
        <f>IF(M11054="","",'Master Barang'!A48)</f>
        <v>0</v>
      </c>
      <c r="O11054">
        <f>IF(N11054="","",'Master Barang'!B48)</f>
        <v>0</v>
      </c>
      <c r="P11054">
        <f>IF(OR(M11054="",N11054=""),"",SUMIFS('Barang Keluar'!$E:$E,'Barang Keluar'!$A:$A,M11054,'Barang Keluar'!$C:$C,N11054))</f>
        <v>0</v>
      </c>
    </row>
    <row r="11055" spans="13:16">
      <c r="M11055" s="49">
        <f>IF($A$4+110&gt;$B$4,"",$A$4+110)</f>
        <v>46133</v>
      </c>
      <c r="N11055">
        <f>IF(M11055="","",'Master Barang'!A49)</f>
        <v>0</v>
      </c>
      <c r="O11055">
        <f>IF(N11055="","",'Master Barang'!B49)</f>
        <v>0</v>
      </c>
      <c r="P11055">
        <f>IF(OR(M11055="",N11055=""),"",SUMIFS('Barang Keluar'!$E:$E,'Barang Keluar'!$A:$A,M11055,'Barang Keluar'!$C:$C,N11055))</f>
        <v>0</v>
      </c>
    </row>
    <row r="11056" spans="13:16">
      <c r="M11056" s="49">
        <f>IF($A$4+110&gt;$B$4,"",$A$4+110)</f>
        <v>46133</v>
      </c>
      <c r="N11056">
        <f>IF(M11056="","",'Master Barang'!A50)</f>
        <v>0</v>
      </c>
      <c r="O11056">
        <f>IF(N11056="","",'Master Barang'!B50)</f>
        <v>0</v>
      </c>
      <c r="P11056">
        <f>IF(OR(M11056="",N11056=""),"",SUMIFS('Barang Keluar'!$E:$E,'Barang Keluar'!$A:$A,M11056,'Barang Keluar'!$C:$C,N11056))</f>
        <v>0</v>
      </c>
    </row>
    <row r="11057" spans="13:16">
      <c r="M11057" s="49">
        <f>IF($A$4+110&gt;$B$4,"",$A$4+110)</f>
        <v>46133</v>
      </c>
      <c r="N11057">
        <f>IF(M11057="","",'Master Barang'!A51)</f>
        <v>0</v>
      </c>
      <c r="O11057">
        <f>IF(N11057="","",'Master Barang'!B51)</f>
        <v>0</v>
      </c>
      <c r="P11057">
        <f>IF(OR(M11057="",N11057=""),"",SUMIFS('Barang Keluar'!$E:$E,'Barang Keluar'!$A:$A,M11057,'Barang Keluar'!$C:$C,N11057))</f>
        <v>0</v>
      </c>
    </row>
    <row r="11058" spans="13:16">
      <c r="M11058" s="49">
        <f>IF($A$4+110&gt;$B$4,"",$A$4+110)</f>
        <v>46133</v>
      </c>
      <c r="N11058">
        <f>IF(M11058="","",'Master Barang'!A52)</f>
        <v>0</v>
      </c>
      <c r="O11058">
        <f>IF(N11058="","",'Master Barang'!B52)</f>
        <v>0</v>
      </c>
      <c r="P11058">
        <f>IF(OR(M11058="",N11058=""),"",SUMIFS('Barang Keluar'!$E:$E,'Barang Keluar'!$A:$A,M11058,'Barang Keluar'!$C:$C,N11058))</f>
        <v>0</v>
      </c>
    </row>
    <row r="11059" spans="13:16">
      <c r="M11059" s="49">
        <f>IF($A$4+110&gt;$B$4,"",$A$4+110)</f>
        <v>46133</v>
      </c>
      <c r="N11059">
        <f>IF(M11059="","",'Master Barang'!A53)</f>
        <v>0</v>
      </c>
      <c r="O11059">
        <f>IF(N11059="","",'Master Barang'!B53)</f>
        <v>0</v>
      </c>
      <c r="P11059">
        <f>IF(OR(M11059="",N11059=""),"",SUMIFS('Barang Keluar'!$E:$E,'Barang Keluar'!$A:$A,M11059,'Barang Keluar'!$C:$C,N11059))</f>
        <v>0</v>
      </c>
    </row>
    <row r="11060" spans="13:16">
      <c r="M11060" s="49">
        <f>IF($A$4+110&gt;$B$4,"",$A$4+110)</f>
        <v>46133</v>
      </c>
      <c r="N11060">
        <f>IF(M11060="","",'Master Barang'!A54)</f>
        <v>0</v>
      </c>
      <c r="O11060">
        <f>IF(N11060="","",'Master Barang'!B54)</f>
        <v>0</v>
      </c>
      <c r="P11060">
        <f>IF(OR(M11060="",N11060=""),"",SUMIFS('Barang Keluar'!$E:$E,'Barang Keluar'!$A:$A,M11060,'Barang Keluar'!$C:$C,N11060))</f>
        <v>0</v>
      </c>
    </row>
    <row r="11061" spans="13:16">
      <c r="M11061" s="49">
        <f>IF($A$4+110&gt;$B$4,"",$A$4+110)</f>
        <v>46133</v>
      </c>
      <c r="N11061">
        <f>IF(M11061="","",'Master Barang'!A55)</f>
        <v>0</v>
      </c>
      <c r="O11061">
        <f>IF(N11061="","",'Master Barang'!B55)</f>
        <v>0</v>
      </c>
      <c r="P11061">
        <f>IF(OR(M11061="",N11061=""),"",SUMIFS('Barang Keluar'!$E:$E,'Barang Keluar'!$A:$A,M11061,'Barang Keluar'!$C:$C,N11061))</f>
        <v>0</v>
      </c>
    </row>
    <row r="11062" spans="13:16">
      <c r="M11062" s="49">
        <f>IF($A$4+110&gt;$B$4,"",$A$4+110)</f>
        <v>46133</v>
      </c>
      <c r="N11062">
        <f>IF(M11062="","",'Master Barang'!A56)</f>
        <v>0</v>
      </c>
      <c r="O11062">
        <f>IF(N11062="","",'Master Barang'!B56)</f>
        <v>0</v>
      </c>
      <c r="P11062">
        <f>IF(OR(M11062="",N11062=""),"",SUMIFS('Barang Keluar'!$E:$E,'Barang Keluar'!$A:$A,M11062,'Barang Keluar'!$C:$C,N11062))</f>
        <v>0</v>
      </c>
    </row>
    <row r="11063" spans="13:16">
      <c r="M11063" s="49">
        <f>IF($A$4+110&gt;$B$4,"",$A$4+110)</f>
        <v>46133</v>
      </c>
      <c r="N11063">
        <f>IF(M11063="","",'Master Barang'!A57)</f>
        <v>0</v>
      </c>
      <c r="O11063">
        <f>IF(N11063="","",'Master Barang'!B57)</f>
        <v>0</v>
      </c>
      <c r="P11063">
        <f>IF(OR(M11063="",N11063=""),"",SUMIFS('Barang Keluar'!$E:$E,'Barang Keluar'!$A:$A,M11063,'Barang Keluar'!$C:$C,N11063))</f>
        <v>0</v>
      </c>
    </row>
    <row r="11064" spans="13:16">
      <c r="M11064" s="49">
        <f>IF($A$4+110&gt;$B$4,"",$A$4+110)</f>
        <v>46133</v>
      </c>
      <c r="N11064">
        <f>IF(M11064="","",'Master Barang'!A58)</f>
        <v>0</v>
      </c>
      <c r="O11064">
        <f>IF(N11064="","",'Master Barang'!B58)</f>
        <v>0</v>
      </c>
      <c r="P11064">
        <f>IF(OR(M11064="",N11064=""),"",SUMIFS('Barang Keluar'!$E:$E,'Barang Keluar'!$A:$A,M11064,'Barang Keluar'!$C:$C,N11064))</f>
        <v>0</v>
      </c>
    </row>
    <row r="11065" spans="13:16">
      <c r="M11065" s="49">
        <f>IF($A$4+110&gt;$B$4,"",$A$4+110)</f>
        <v>46133</v>
      </c>
      <c r="N11065">
        <f>IF(M11065="","",'Master Barang'!A59)</f>
        <v>0</v>
      </c>
      <c r="O11065">
        <f>IF(N11065="","",'Master Barang'!B59)</f>
        <v>0</v>
      </c>
      <c r="P11065">
        <f>IF(OR(M11065="",N11065=""),"",SUMIFS('Barang Keluar'!$E:$E,'Barang Keluar'!$A:$A,M11065,'Barang Keluar'!$C:$C,N11065))</f>
        <v>0</v>
      </c>
    </row>
    <row r="11066" spans="13:16">
      <c r="M11066" s="49">
        <f>IF($A$4+110&gt;$B$4,"",$A$4+110)</f>
        <v>46133</v>
      </c>
      <c r="N11066">
        <f>IF(M11066="","",'Master Barang'!A60)</f>
        <v>0</v>
      </c>
      <c r="O11066">
        <f>IF(N11066="","",'Master Barang'!B60)</f>
        <v>0</v>
      </c>
      <c r="P11066">
        <f>IF(OR(M11066="",N11066=""),"",SUMIFS('Barang Keluar'!$E:$E,'Barang Keluar'!$A:$A,M11066,'Barang Keluar'!$C:$C,N11066))</f>
        <v>0</v>
      </c>
    </row>
    <row r="11067" spans="13:16">
      <c r="M11067" s="49">
        <f>IF($A$4+110&gt;$B$4,"",$A$4+110)</f>
        <v>46133</v>
      </c>
      <c r="N11067">
        <f>IF(M11067="","",'Master Barang'!A61)</f>
        <v>0</v>
      </c>
      <c r="O11067">
        <f>IF(N11067="","",'Master Barang'!B61)</f>
        <v>0</v>
      </c>
      <c r="P11067">
        <f>IF(OR(M11067="",N11067=""),"",SUMIFS('Barang Keluar'!$E:$E,'Barang Keluar'!$A:$A,M11067,'Barang Keluar'!$C:$C,N11067))</f>
        <v>0</v>
      </c>
    </row>
    <row r="11068" spans="13:16">
      <c r="M11068" s="49">
        <f>IF($A$4+110&gt;$B$4,"",$A$4+110)</f>
        <v>46133</v>
      </c>
      <c r="N11068">
        <f>IF(M11068="","",'Master Barang'!A62)</f>
        <v>0</v>
      </c>
      <c r="O11068">
        <f>IF(N11068="","",'Master Barang'!B62)</f>
        <v>0</v>
      </c>
      <c r="P11068">
        <f>IF(OR(M11068="",N11068=""),"",SUMIFS('Barang Keluar'!$E:$E,'Barang Keluar'!$A:$A,M11068,'Barang Keluar'!$C:$C,N11068))</f>
        <v>0</v>
      </c>
    </row>
    <row r="11069" spans="13:16">
      <c r="M11069" s="49">
        <f>IF($A$4+110&gt;$B$4,"",$A$4+110)</f>
        <v>46133</v>
      </c>
      <c r="N11069">
        <f>IF(M11069="","",'Master Barang'!A63)</f>
        <v>0</v>
      </c>
      <c r="O11069">
        <f>IF(N11069="","",'Master Barang'!B63)</f>
        <v>0</v>
      </c>
      <c r="P11069">
        <f>IF(OR(M11069="",N11069=""),"",SUMIFS('Barang Keluar'!$E:$E,'Barang Keluar'!$A:$A,M11069,'Barang Keluar'!$C:$C,N11069))</f>
        <v>0</v>
      </c>
    </row>
    <row r="11070" spans="13:16">
      <c r="M11070" s="49">
        <f>IF($A$4+110&gt;$B$4,"",$A$4+110)</f>
        <v>46133</v>
      </c>
      <c r="N11070">
        <f>IF(M11070="","",'Master Barang'!A64)</f>
        <v>0</v>
      </c>
      <c r="O11070">
        <f>IF(N11070="","",'Master Barang'!B64)</f>
        <v>0</v>
      </c>
      <c r="P11070">
        <f>IF(OR(M11070="",N11070=""),"",SUMIFS('Barang Keluar'!$E:$E,'Barang Keluar'!$A:$A,M11070,'Barang Keluar'!$C:$C,N11070))</f>
        <v>0</v>
      </c>
    </row>
    <row r="11071" spans="13:16">
      <c r="M11071" s="49">
        <f>IF($A$4+110&gt;$B$4,"",$A$4+110)</f>
        <v>46133</v>
      </c>
      <c r="N11071">
        <f>IF(M11071="","",'Master Barang'!A65)</f>
        <v>0</v>
      </c>
      <c r="O11071">
        <f>IF(N11071="","",'Master Barang'!B65)</f>
        <v>0</v>
      </c>
      <c r="P11071">
        <f>IF(OR(M11071="",N11071=""),"",SUMIFS('Barang Keluar'!$E:$E,'Barang Keluar'!$A:$A,M11071,'Barang Keluar'!$C:$C,N11071))</f>
        <v>0</v>
      </c>
    </row>
    <row r="11072" spans="13:16">
      <c r="M11072" s="49">
        <f>IF($A$4+110&gt;$B$4,"",$A$4+110)</f>
        <v>46133</v>
      </c>
      <c r="N11072">
        <f>IF(M11072="","",'Master Barang'!A66)</f>
        <v>0</v>
      </c>
      <c r="O11072">
        <f>IF(N11072="","",'Master Barang'!B66)</f>
        <v>0</v>
      </c>
      <c r="P11072">
        <f>IF(OR(M11072="",N11072=""),"",SUMIFS('Barang Keluar'!$E:$E,'Barang Keluar'!$A:$A,M11072,'Barang Keluar'!$C:$C,N11072))</f>
        <v>0</v>
      </c>
    </row>
    <row r="11073" spans="13:16">
      <c r="M11073" s="49">
        <f>IF($A$4+110&gt;$B$4,"",$A$4+110)</f>
        <v>46133</v>
      </c>
      <c r="N11073">
        <f>IF(M11073="","",'Master Barang'!A67)</f>
        <v>0</v>
      </c>
      <c r="O11073">
        <f>IF(N11073="","",'Master Barang'!B67)</f>
        <v>0</v>
      </c>
      <c r="P11073">
        <f>IF(OR(M11073="",N11073=""),"",SUMIFS('Barang Keluar'!$E:$E,'Barang Keluar'!$A:$A,M11073,'Barang Keluar'!$C:$C,N11073))</f>
        <v>0</v>
      </c>
    </row>
    <row r="11074" spans="13:16">
      <c r="M11074" s="49">
        <f>IF($A$4+110&gt;$B$4,"",$A$4+110)</f>
        <v>46133</v>
      </c>
      <c r="N11074">
        <f>IF(M11074="","",'Master Barang'!A68)</f>
        <v>0</v>
      </c>
      <c r="O11074">
        <f>IF(N11074="","",'Master Barang'!B68)</f>
        <v>0</v>
      </c>
      <c r="P11074">
        <f>IF(OR(M11074="",N11074=""),"",SUMIFS('Barang Keluar'!$E:$E,'Barang Keluar'!$A:$A,M11074,'Barang Keluar'!$C:$C,N11074))</f>
        <v>0</v>
      </c>
    </row>
    <row r="11075" spans="13:16">
      <c r="M11075" s="49">
        <f>IF($A$4+110&gt;$B$4,"",$A$4+110)</f>
        <v>46133</v>
      </c>
      <c r="N11075">
        <f>IF(M11075="","",'Master Barang'!A69)</f>
        <v>0</v>
      </c>
      <c r="O11075">
        <f>IF(N11075="","",'Master Barang'!B69)</f>
        <v>0</v>
      </c>
      <c r="P11075">
        <f>IF(OR(M11075="",N11075=""),"",SUMIFS('Barang Keluar'!$E:$E,'Barang Keluar'!$A:$A,M11075,'Barang Keluar'!$C:$C,N11075))</f>
        <v>0</v>
      </c>
    </row>
    <row r="11076" spans="13:16">
      <c r="M11076" s="49">
        <f>IF($A$4+110&gt;$B$4,"",$A$4+110)</f>
        <v>46133</v>
      </c>
      <c r="N11076">
        <f>IF(M11076="","",'Master Barang'!A70)</f>
        <v>0</v>
      </c>
      <c r="O11076">
        <f>IF(N11076="","",'Master Barang'!B70)</f>
        <v>0</v>
      </c>
      <c r="P11076">
        <f>IF(OR(M11076="",N11076=""),"",SUMIFS('Barang Keluar'!$E:$E,'Barang Keluar'!$A:$A,M11076,'Barang Keluar'!$C:$C,N11076))</f>
        <v>0</v>
      </c>
    </row>
    <row r="11077" spans="13:16">
      <c r="M11077" s="49">
        <f>IF($A$4+110&gt;$B$4,"",$A$4+110)</f>
        <v>46133</v>
      </c>
      <c r="N11077">
        <f>IF(M11077="","",'Master Barang'!A71)</f>
        <v>0</v>
      </c>
      <c r="O11077">
        <f>IF(N11077="","",'Master Barang'!B71)</f>
        <v>0</v>
      </c>
      <c r="P11077">
        <f>IF(OR(M11077="",N11077=""),"",SUMIFS('Barang Keluar'!$E:$E,'Barang Keluar'!$A:$A,M11077,'Barang Keluar'!$C:$C,N11077))</f>
        <v>0</v>
      </c>
    </row>
    <row r="11078" spans="13:16">
      <c r="M11078" s="49">
        <f>IF($A$4+110&gt;$B$4,"",$A$4+110)</f>
        <v>46133</v>
      </c>
      <c r="N11078">
        <f>IF(M11078="","",'Master Barang'!A72)</f>
        <v>0</v>
      </c>
      <c r="O11078">
        <f>IF(N11078="","",'Master Barang'!B72)</f>
        <v>0</v>
      </c>
      <c r="P11078">
        <f>IF(OR(M11078="",N11078=""),"",SUMIFS('Barang Keluar'!$E:$E,'Barang Keluar'!$A:$A,M11078,'Barang Keluar'!$C:$C,N11078))</f>
        <v>0</v>
      </c>
    </row>
    <row r="11079" spans="13:16">
      <c r="M11079" s="49">
        <f>IF($A$4+110&gt;$B$4,"",$A$4+110)</f>
        <v>46133</v>
      </c>
      <c r="N11079">
        <f>IF(M11079="","",'Master Barang'!A73)</f>
        <v>0</v>
      </c>
      <c r="O11079">
        <f>IF(N11079="","",'Master Barang'!B73)</f>
        <v>0</v>
      </c>
      <c r="P11079">
        <f>IF(OR(M11079="",N11079=""),"",SUMIFS('Barang Keluar'!$E:$E,'Barang Keluar'!$A:$A,M11079,'Barang Keluar'!$C:$C,N11079))</f>
        <v>0</v>
      </c>
    </row>
    <row r="11080" spans="13:16">
      <c r="M11080" s="49">
        <f>IF($A$4+110&gt;$B$4,"",$A$4+110)</f>
        <v>46133</v>
      </c>
      <c r="N11080">
        <f>IF(M11080="","",'Master Barang'!A74)</f>
        <v>0</v>
      </c>
      <c r="O11080">
        <f>IF(N11080="","",'Master Barang'!B74)</f>
        <v>0</v>
      </c>
      <c r="P11080">
        <f>IF(OR(M11080="",N11080=""),"",SUMIFS('Barang Keluar'!$E:$E,'Barang Keluar'!$A:$A,M11080,'Barang Keluar'!$C:$C,N11080))</f>
        <v>0</v>
      </c>
    </row>
    <row r="11081" spans="13:16">
      <c r="M11081" s="49">
        <f>IF($A$4+110&gt;$B$4,"",$A$4+110)</f>
        <v>46133</v>
      </c>
      <c r="N11081">
        <f>IF(M11081="","",'Master Barang'!A75)</f>
        <v>0</v>
      </c>
      <c r="O11081">
        <f>IF(N11081="","",'Master Barang'!B75)</f>
        <v>0</v>
      </c>
      <c r="P11081">
        <f>IF(OR(M11081="",N11081=""),"",SUMIFS('Barang Keluar'!$E:$E,'Barang Keluar'!$A:$A,M11081,'Barang Keluar'!$C:$C,N11081))</f>
        <v>0</v>
      </c>
    </row>
    <row r="11082" spans="13:16">
      <c r="M11082" s="49">
        <f>IF($A$4+110&gt;$B$4,"",$A$4+110)</f>
        <v>46133</v>
      </c>
      <c r="N11082">
        <f>IF(M11082="","",'Master Barang'!A76)</f>
        <v>0</v>
      </c>
      <c r="O11082">
        <f>IF(N11082="","",'Master Barang'!B76)</f>
        <v>0</v>
      </c>
      <c r="P11082">
        <f>IF(OR(M11082="",N11082=""),"",SUMIFS('Barang Keluar'!$E:$E,'Barang Keluar'!$A:$A,M11082,'Barang Keluar'!$C:$C,N11082))</f>
        <v>0</v>
      </c>
    </row>
    <row r="11083" spans="13:16">
      <c r="M11083" s="49">
        <f>IF($A$4+110&gt;$B$4,"",$A$4+110)</f>
        <v>46133</v>
      </c>
      <c r="N11083">
        <f>IF(M11083="","",'Master Barang'!A77)</f>
        <v>0</v>
      </c>
      <c r="O11083">
        <f>IF(N11083="","",'Master Barang'!B77)</f>
        <v>0</v>
      </c>
      <c r="P11083">
        <f>IF(OR(M11083="",N11083=""),"",SUMIFS('Barang Keluar'!$E:$E,'Barang Keluar'!$A:$A,M11083,'Barang Keluar'!$C:$C,N11083))</f>
        <v>0</v>
      </c>
    </row>
    <row r="11084" spans="13:16">
      <c r="M11084" s="49">
        <f>IF($A$4+110&gt;$B$4,"",$A$4+110)</f>
        <v>46133</v>
      </c>
      <c r="N11084">
        <f>IF(M11084="","",'Master Barang'!A78)</f>
        <v>0</v>
      </c>
      <c r="O11084">
        <f>IF(N11084="","",'Master Barang'!B78)</f>
        <v>0</v>
      </c>
      <c r="P11084">
        <f>IF(OR(M11084="",N11084=""),"",SUMIFS('Barang Keluar'!$E:$E,'Barang Keluar'!$A:$A,M11084,'Barang Keluar'!$C:$C,N11084))</f>
        <v>0</v>
      </c>
    </row>
    <row r="11085" spans="13:16">
      <c r="M11085" s="49">
        <f>IF($A$4+110&gt;$B$4,"",$A$4+110)</f>
        <v>46133</v>
      </c>
      <c r="N11085">
        <f>IF(M11085="","",'Master Barang'!A79)</f>
        <v>0</v>
      </c>
      <c r="O11085">
        <f>IF(N11085="","",'Master Barang'!B79)</f>
        <v>0</v>
      </c>
      <c r="P11085">
        <f>IF(OR(M11085="",N11085=""),"",SUMIFS('Barang Keluar'!$E:$E,'Barang Keluar'!$A:$A,M11085,'Barang Keluar'!$C:$C,N11085))</f>
        <v>0</v>
      </c>
    </row>
    <row r="11086" spans="13:16">
      <c r="M11086" s="49">
        <f>IF($A$4+110&gt;$B$4,"",$A$4+110)</f>
        <v>46133</v>
      </c>
      <c r="N11086">
        <f>IF(M11086="","",'Master Barang'!A80)</f>
        <v>0</v>
      </c>
      <c r="O11086">
        <f>IF(N11086="","",'Master Barang'!B80)</f>
        <v>0</v>
      </c>
      <c r="P11086">
        <f>IF(OR(M11086="",N11086=""),"",SUMIFS('Barang Keluar'!$E:$E,'Barang Keluar'!$A:$A,M11086,'Barang Keluar'!$C:$C,N11086))</f>
        <v>0</v>
      </c>
    </row>
    <row r="11087" spans="13:16">
      <c r="M11087" s="49">
        <f>IF($A$4+110&gt;$B$4,"",$A$4+110)</f>
        <v>46133</v>
      </c>
      <c r="N11087">
        <f>IF(M11087="","",'Master Barang'!A81)</f>
        <v>0</v>
      </c>
      <c r="O11087">
        <f>IF(N11087="","",'Master Barang'!B81)</f>
        <v>0</v>
      </c>
      <c r="P11087">
        <f>IF(OR(M11087="",N11087=""),"",SUMIFS('Barang Keluar'!$E:$E,'Barang Keluar'!$A:$A,M11087,'Barang Keluar'!$C:$C,N11087))</f>
        <v>0</v>
      </c>
    </row>
    <row r="11088" spans="13:16">
      <c r="M11088" s="49">
        <f>IF($A$4+110&gt;$B$4,"",$A$4+110)</f>
        <v>46133</v>
      </c>
      <c r="N11088">
        <f>IF(M11088="","",'Master Barang'!A82)</f>
        <v>0</v>
      </c>
      <c r="O11088">
        <f>IF(N11088="","",'Master Barang'!B82)</f>
        <v>0</v>
      </c>
      <c r="P11088">
        <f>IF(OR(M11088="",N11088=""),"",SUMIFS('Barang Keluar'!$E:$E,'Barang Keluar'!$A:$A,M11088,'Barang Keluar'!$C:$C,N11088))</f>
        <v>0</v>
      </c>
    </row>
    <row r="11089" spans="13:16">
      <c r="M11089" s="49">
        <f>IF($A$4+110&gt;$B$4,"",$A$4+110)</f>
        <v>46133</v>
      </c>
      <c r="N11089">
        <f>IF(M11089="","",'Master Barang'!A83)</f>
        <v>0</v>
      </c>
      <c r="O11089">
        <f>IF(N11089="","",'Master Barang'!B83)</f>
        <v>0</v>
      </c>
      <c r="P11089">
        <f>IF(OR(M11089="",N11089=""),"",SUMIFS('Barang Keluar'!$E:$E,'Barang Keluar'!$A:$A,M11089,'Barang Keluar'!$C:$C,N11089))</f>
        <v>0</v>
      </c>
    </row>
    <row r="11090" spans="13:16">
      <c r="M11090" s="49">
        <f>IF($A$4+110&gt;$B$4,"",$A$4+110)</f>
        <v>46133</v>
      </c>
      <c r="N11090">
        <f>IF(M11090="","",'Master Barang'!A84)</f>
        <v>0</v>
      </c>
      <c r="O11090">
        <f>IF(N11090="","",'Master Barang'!B84)</f>
        <v>0</v>
      </c>
      <c r="P11090">
        <f>IF(OR(M11090="",N11090=""),"",SUMIFS('Barang Keluar'!$E:$E,'Barang Keluar'!$A:$A,M11090,'Barang Keluar'!$C:$C,N11090))</f>
        <v>0</v>
      </c>
    </row>
    <row r="11091" spans="13:16">
      <c r="M11091" s="49">
        <f>IF($A$4+110&gt;$B$4,"",$A$4+110)</f>
        <v>46133</v>
      </c>
      <c r="N11091">
        <f>IF(M11091="","",'Master Barang'!A85)</f>
        <v>0</v>
      </c>
      <c r="O11091">
        <f>IF(N11091="","",'Master Barang'!B85)</f>
        <v>0</v>
      </c>
      <c r="P11091">
        <f>IF(OR(M11091="",N11091=""),"",SUMIFS('Barang Keluar'!$E:$E,'Barang Keluar'!$A:$A,M11091,'Barang Keluar'!$C:$C,N11091))</f>
        <v>0</v>
      </c>
    </row>
    <row r="11092" spans="13:16">
      <c r="M11092" s="49">
        <f>IF($A$4+110&gt;$B$4,"",$A$4+110)</f>
        <v>46133</v>
      </c>
      <c r="N11092">
        <f>IF(M11092="","",'Master Barang'!A86)</f>
        <v>0</v>
      </c>
      <c r="O11092">
        <f>IF(N11092="","",'Master Barang'!B86)</f>
        <v>0</v>
      </c>
      <c r="P11092">
        <f>IF(OR(M11092="",N11092=""),"",SUMIFS('Barang Keluar'!$E:$E,'Barang Keluar'!$A:$A,M11092,'Barang Keluar'!$C:$C,N11092))</f>
        <v>0</v>
      </c>
    </row>
    <row r="11093" spans="13:16">
      <c r="M11093" s="49">
        <f>IF($A$4+110&gt;$B$4,"",$A$4+110)</f>
        <v>46133</v>
      </c>
      <c r="N11093">
        <f>IF(M11093="","",'Master Barang'!A87)</f>
        <v>0</v>
      </c>
      <c r="O11093">
        <f>IF(N11093="","",'Master Barang'!B87)</f>
        <v>0</v>
      </c>
      <c r="P11093">
        <f>IF(OR(M11093="",N11093=""),"",SUMIFS('Barang Keluar'!$E:$E,'Barang Keluar'!$A:$A,M11093,'Barang Keluar'!$C:$C,N11093))</f>
        <v>0</v>
      </c>
    </row>
    <row r="11094" spans="13:16">
      <c r="M11094" s="49">
        <f>IF($A$4+110&gt;$B$4,"",$A$4+110)</f>
        <v>46133</v>
      </c>
      <c r="N11094">
        <f>IF(M11094="","",'Master Barang'!A88)</f>
        <v>0</v>
      </c>
      <c r="O11094">
        <f>IF(N11094="","",'Master Barang'!B88)</f>
        <v>0</v>
      </c>
      <c r="P11094">
        <f>IF(OR(M11094="",N11094=""),"",SUMIFS('Barang Keluar'!$E:$E,'Barang Keluar'!$A:$A,M11094,'Barang Keluar'!$C:$C,N11094))</f>
        <v>0</v>
      </c>
    </row>
    <row r="11095" spans="13:16">
      <c r="M11095" s="49">
        <f>IF($A$4+110&gt;$B$4,"",$A$4+110)</f>
        <v>46133</v>
      </c>
      <c r="N11095">
        <f>IF(M11095="","",'Master Barang'!A89)</f>
        <v>0</v>
      </c>
      <c r="O11095">
        <f>IF(N11095="","",'Master Barang'!B89)</f>
        <v>0</v>
      </c>
      <c r="P11095">
        <f>IF(OR(M11095="",N11095=""),"",SUMIFS('Barang Keluar'!$E:$E,'Barang Keluar'!$A:$A,M11095,'Barang Keluar'!$C:$C,N11095))</f>
        <v>0</v>
      </c>
    </row>
    <row r="11096" spans="13:16">
      <c r="M11096" s="49">
        <f>IF($A$4+110&gt;$B$4,"",$A$4+110)</f>
        <v>46133</v>
      </c>
      <c r="N11096">
        <f>IF(M11096="","",'Master Barang'!A90)</f>
        <v>0</v>
      </c>
      <c r="O11096">
        <f>IF(N11096="","",'Master Barang'!B90)</f>
        <v>0</v>
      </c>
      <c r="P11096">
        <f>IF(OR(M11096="",N11096=""),"",SUMIFS('Barang Keluar'!$E:$E,'Barang Keluar'!$A:$A,M11096,'Barang Keluar'!$C:$C,N11096))</f>
        <v>0</v>
      </c>
    </row>
    <row r="11097" spans="13:16">
      <c r="M11097" s="49">
        <f>IF($A$4+110&gt;$B$4,"",$A$4+110)</f>
        <v>46133</v>
      </c>
      <c r="N11097">
        <f>IF(M11097="","",'Master Barang'!A91)</f>
        <v>0</v>
      </c>
      <c r="O11097">
        <f>IF(N11097="","",'Master Barang'!B91)</f>
        <v>0</v>
      </c>
      <c r="P11097">
        <f>IF(OR(M11097="",N11097=""),"",SUMIFS('Barang Keluar'!$E:$E,'Barang Keluar'!$A:$A,M11097,'Barang Keluar'!$C:$C,N11097))</f>
        <v>0</v>
      </c>
    </row>
    <row r="11098" spans="13:16">
      <c r="M11098" s="49">
        <f>IF($A$4+110&gt;$B$4,"",$A$4+110)</f>
        <v>46133</v>
      </c>
      <c r="N11098">
        <f>IF(M11098="","",'Master Barang'!A92)</f>
        <v>0</v>
      </c>
      <c r="O11098">
        <f>IF(N11098="","",'Master Barang'!B92)</f>
        <v>0</v>
      </c>
      <c r="P11098">
        <f>IF(OR(M11098="",N11098=""),"",SUMIFS('Barang Keluar'!$E:$E,'Barang Keluar'!$A:$A,M11098,'Barang Keluar'!$C:$C,N11098))</f>
        <v>0</v>
      </c>
    </row>
    <row r="11099" spans="13:16">
      <c r="M11099" s="49">
        <f>IF($A$4+110&gt;$B$4,"",$A$4+110)</f>
        <v>46133</v>
      </c>
      <c r="N11099">
        <f>IF(M11099="","",'Master Barang'!A93)</f>
        <v>0</v>
      </c>
      <c r="O11099">
        <f>IF(N11099="","",'Master Barang'!B93)</f>
        <v>0</v>
      </c>
      <c r="P11099">
        <f>IF(OR(M11099="",N11099=""),"",SUMIFS('Barang Keluar'!$E:$E,'Barang Keluar'!$A:$A,M11099,'Barang Keluar'!$C:$C,N11099))</f>
        <v>0</v>
      </c>
    </row>
    <row r="11100" spans="13:16">
      <c r="M11100" s="49">
        <f>IF($A$4+110&gt;$B$4,"",$A$4+110)</f>
        <v>46133</v>
      </c>
      <c r="N11100">
        <f>IF(M11100="","",'Master Barang'!A94)</f>
        <v>0</v>
      </c>
      <c r="O11100">
        <f>IF(N11100="","",'Master Barang'!B94)</f>
        <v>0</v>
      </c>
      <c r="P11100">
        <f>IF(OR(M11100="",N11100=""),"",SUMIFS('Barang Keluar'!$E:$E,'Barang Keluar'!$A:$A,M11100,'Barang Keluar'!$C:$C,N11100))</f>
        <v>0</v>
      </c>
    </row>
    <row r="11101" spans="13:16">
      <c r="M11101" s="49">
        <f>IF($A$4+110&gt;$B$4,"",$A$4+110)</f>
        <v>46133</v>
      </c>
      <c r="N11101">
        <f>IF(M11101="","",'Master Barang'!A95)</f>
        <v>0</v>
      </c>
      <c r="O11101">
        <f>IF(N11101="","",'Master Barang'!B95)</f>
        <v>0</v>
      </c>
      <c r="P11101">
        <f>IF(OR(M11101="",N11101=""),"",SUMIFS('Barang Keluar'!$E:$E,'Barang Keluar'!$A:$A,M11101,'Barang Keluar'!$C:$C,N11101))</f>
        <v>0</v>
      </c>
    </row>
    <row r="11102" spans="13:16">
      <c r="M11102" s="49">
        <f>IF($A$4+110&gt;$B$4,"",$A$4+110)</f>
        <v>46133</v>
      </c>
      <c r="N11102">
        <f>IF(M11102="","",'Master Barang'!A96)</f>
        <v>0</v>
      </c>
      <c r="O11102">
        <f>IF(N11102="","",'Master Barang'!B96)</f>
        <v>0</v>
      </c>
      <c r="P11102">
        <f>IF(OR(M11102="",N11102=""),"",SUMIFS('Barang Keluar'!$E:$E,'Barang Keluar'!$A:$A,M11102,'Barang Keluar'!$C:$C,N11102))</f>
        <v>0</v>
      </c>
    </row>
    <row r="11103" spans="13:16">
      <c r="M11103" s="49">
        <f>IF($A$4+110&gt;$B$4,"",$A$4+110)</f>
        <v>46133</v>
      </c>
      <c r="N11103">
        <f>IF(M11103="","",'Master Barang'!A97)</f>
        <v>0</v>
      </c>
      <c r="O11103">
        <f>IF(N11103="","",'Master Barang'!B97)</f>
        <v>0</v>
      </c>
      <c r="P11103">
        <f>IF(OR(M11103="",N11103=""),"",SUMIFS('Barang Keluar'!$E:$E,'Barang Keluar'!$A:$A,M11103,'Barang Keluar'!$C:$C,N11103))</f>
        <v>0</v>
      </c>
    </row>
    <row r="11104" spans="13:16">
      <c r="M11104" s="49">
        <f>IF($A$4+110&gt;$B$4,"",$A$4+110)</f>
        <v>46133</v>
      </c>
      <c r="N11104">
        <f>IF(M11104="","",'Master Barang'!A98)</f>
        <v>0</v>
      </c>
      <c r="O11104">
        <f>IF(N11104="","",'Master Barang'!B98)</f>
        <v>0</v>
      </c>
      <c r="P11104">
        <f>IF(OR(M11104="",N11104=""),"",SUMIFS('Barang Keluar'!$E:$E,'Barang Keluar'!$A:$A,M11104,'Barang Keluar'!$C:$C,N11104))</f>
        <v>0</v>
      </c>
    </row>
    <row r="11105" spans="13:16">
      <c r="M11105" s="49">
        <f>IF($A$4+110&gt;$B$4,"",$A$4+110)</f>
        <v>46133</v>
      </c>
      <c r="N11105">
        <f>IF(M11105="","",'Master Barang'!A99)</f>
        <v>0</v>
      </c>
      <c r="O11105">
        <f>IF(N11105="","",'Master Barang'!B99)</f>
        <v>0</v>
      </c>
      <c r="P11105">
        <f>IF(OR(M11105="",N11105=""),"",SUMIFS('Barang Keluar'!$E:$E,'Barang Keluar'!$A:$A,M11105,'Barang Keluar'!$C:$C,N11105))</f>
        <v>0</v>
      </c>
    </row>
    <row r="11106" spans="13:16">
      <c r="M11106" s="49">
        <f>IF($A$4+110&gt;$B$4,"",$A$4+110)</f>
        <v>46133</v>
      </c>
      <c r="N11106">
        <f>IF(M11106="","",'Master Barang'!A100)</f>
        <v>0</v>
      </c>
      <c r="O11106">
        <f>IF(N11106="","",'Master Barang'!B100)</f>
        <v>0</v>
      </c>
      <c r="P11106">
        <f>IF(OR(M11106="",N11106=""),"",SUMIFS('Barang Keluar'!$E:$E,'Barang Keluar'!$A:$A,M11106,'Barang Keluar'!$C:$C,N11106))</f>
        <v>0</v>
      </c>
    </row>
    <row r="11107" spans="13:16">
      <c r="M11107" s="49">
        <f>IF($A$4+110&gt;$B$4,"",$A$4+110)</f>
        <v>46133</v>
      </c>
      <c r="N11107">
        <f>IF(M11107="","",'Master Barang'!A101)</f>
        <v>0</v>
      </c>
      <c r="O11107">
        <f>IF(N11107="","",'Master Barang'!B101)</f>
        <v>0</v>
      </c>
      <c r="P11107">
        <f>IF(OR(M11107="",N11107=""),"",SUMIFS('Barang Keluar'!$E:$E,'Barang Keluar'!$A:$A,M11107,'Barang Keluar'!$C:$C,N11107))</f>
        <v>0</v>
      </c>
    </row>
    <row r="11108" spans="13:16">
      <c r="M11108" s="49">
        <f>IF($A$4+111&gt;$B$4,"",$A$4+111)</f>
        <v>46134</v>
      </c>
      <c r="N11108" t="str">
        <f>IF(M11108="","",'Master Barang'!A2)</f>
        <v>PRL-001</v>
      </c>
      <c r="O11108" t="str">
        <f>IF(N11108="","",'Master Barang'!B2)</f>
        <v>natura desinfectant food grade 5l</v>
      </c>
      <c r="P11108">
        <f>IF(OR(M11108="",N11108=""),"",SUMIFS('Barang Keluar'!$E:$E,'Barang Keluar'!$A:$A,M11108,'Barang Keluar'!$C:$C,N11108))</f>
        <v>0</v>
      </c>
    </row>
    <row r="11109" spans="13:16">
      <c r="M11109" s="49">
        <f>IF($A$4+111&gt;$B$4,"",$A$4+111)</f>
        <v>46134</v>
      </c>
      <c r="N11109" t="str">
        <f>IF(M11109="","",'Master Barang'!A3)</f>
        <v>PRL-002</v>
      </c>
      <c r="O11109" t="str">
        <f>IF(N11109="","",'Master Barang'!B3)</f>
        <v>sunlight cairan pencuci piring 5l</v>
      </c>
      <c r="P11109">
        <f>IF(OR(M11109="",N11109=""),"",SUMIFS('Barang Keluar'!$E:$E,'Barang Keluar'!$A:$A,M11109,'Barang Keluar'!$C:$C,N11109))</f>
        <v>0</v>
      </c>
    </row>
    <row r="11110" spans="13:16">
      <c r="M11110" s="49">
        <f>IF($A$4+111&gt;$B$4,"",$A$4+111)</f>
        <v>46134</v>
      </c>
      <c r="N11110" t="str">
        <f>IF(M11110="","",'Master Barang'!A4)</f>
        <v>PRL-003</v>
      </c>
      <c r="O11110" t="str">
        <f>IF(N11110="","",'Master Barang'!B4)</f>
        <v>oixs cleaner 1l</v>
      </c>
      <c r="P11110">
        <f>IF(OR(M11110="",N11110=""),"",SUMIFS('Barang Keluar'!$E:$E,'Barang Keluar'!$A:$A,M11110,'Barang Keluar'!$C:$C,N11110))</f>
        <v>0</v>
      </c>
    </row>
    <row r="11111" spans="13:16">
      <c r="M11111" s="49">
        <f>IF($A$4+111&gt;$B$4,"",$A$4+111)</f>
        <v>46134</v>
      </c>
      <c r="N11111" t="str">
        <f>IF(M11111="","",'Master Barang'!A5)</f>
        <v>PRL-004</v>
      </c>
      <c r="O11111" t="str">
        <f>IF(N11111="","",'Master Barang'!B5)</f>
        <v>be clean tissue serbaguna</v>
      </c>
      <c r="P11111">
        <f>IF(OR(M11111="",N11111=""),"",SUMIFS('Barang Keluar'!$E:$E,'Barang Keluar'!$A:$A,M11111,'Barang Keluar'!$C:$C,N11111))</f>
        <v>0</v>
      </c>
    </row>
    <row r="11112" spans="13:16">
      <c r="M11112" s="49">
        <f>IF($A$4+111&gt;$B$4,"",$A$4+111)</f>
        <v>46134</v>
      </c>
      <c r="N11112" t="str">
        <f>IF(M11112="","",'Master Barang'!A6)</f>
        <v>PRL-005</v>
      </c>
      <c r="O11112" t="str">
        <f>IF(N11112="","",'Master Barang'!B6)</f>
        <v>spons cuci hijau</v>
      </c>
      <c r="P11112">
        <f>IF(OR(M11112="",N11112=""),"",SUMIFS('Barang Keluar'!$E:$E,'Barang Keluar'!$A:$A,M11112,'Barang Keluar'!$C:$C,N11112))</f>
        <v>0</v>
      </c>
    </row>
    <row r="11113" spans="13:16">
      <c r="M11113" s="49">
        <f>IF($A$4+111&gt;$B$4,"",$A$4+111)</f>
        <v>46134</v>
      </c>
      <c r="N11113" t="str">
        <f>IF(M11113="","",'Master Barang'!A7)</f>
        <v>PRL-006</v>
      </c>
      <c r="O11113" t="str">
        <f>IF(N11113="","",'Master Barang'!B7)</f>
        <v>sabut cuci stainless</v>
      </c>
      <c r="P11113">
        <f>IF(OR(M11113="",N11113=""),"",SUMIFS('Barang Keluar'!$E:$E,'Barang Keluar'!$A:$A,M11113,'Barang Keluar'!$C:$C,N11113))</f>
        <v>0</v>
      </c>
    </row>
    <row r="11114" spans="13:16">
      <c r="M11114" s="49">
        <f>IF($A$4+111&gt;$B$4,"",$A$4+111)</f>
        <v>46134</v>
      </c>
      <c r="N11114" t="str">
        <f>IF(M11114="","",'Master Barang'!A8)</f>
        <v>PRL-007</v>
      </c>
      <c r="O11114" t="str">
        <f>IF(N11114="","",'Master Barang'!B8)</f>
        <v>plastik kresek besar merah 50pc</v>
      </c>
      <c r="P11114">
        <f>IF(OR(M11114="",N11114=""),"",SUMIFS('Barang Keluar'!$E:$E,'Barang Keluar'!$A:$A,M11114,'Barang Keluar'!$C:$C,N11114))</f>
        <v>0</v>
      </c>
    </row>
    <row r="11115" spans="13:16">
      <c r="M11115" s="49">
        <f>IF($A$4+111&gt;$B$4,"",$A$4+111)</f>
        <v>46134</v>
      </c>
      <c r="N11115" t="str">
        <f>IF(M11115="","",'Master Barang'!A9)</f>
        <v>PRL-008</v>
      </c>
      <c r="O11115" t="str">
        <f>IF(N11115="","",'Master Barang'!B9)</f>
        <v>lap besar</v>
      </c>
      <c r="P11115">
        <f>IF(OR(M11115="",N11115=""),"",SUMIFS('Barang Keluar'!$E:$E,'Barang Keluar'!$A:$A,M11115,'Barang Keluar'!$C:$C,N11115))</f>
        <v>0</v>
      </c>
    </row>
    <row r="11116" spans="13:16">
      <c r="M11116" s="49">
        <f>IF($A$4+111&gt;$B$4,"",$A$4+111)</f>
        <v>46134</v>
      </c>
      <c r="N11116" t="str">
        <f>IF(M11116="","",'Master Barang'!A10)</f>
        <v>PRL-009</v>
      </c>
      <c r="O11116" t="str">
        <f>IF(N11116="","",'Master Barang'!B10)</f>
        <v>lap microfiber</v>
      </c>
      <c r="P11116">
        <f>IF(OR(M11116="",N11116=""),"",SUMIFS('Barang Keluar'!$E:$E,'Barang Keluar'!$A:$A,M11116,'Barang Keluar'!$C:$C,N11116))</f>
        <v>0</v>
      </c>
    </row>
    <row r="11117" spans="13:16">
      <c r="M11117" s="49">
        <f>IF($A$4+111&gt;$B$4,"",$A$4+111)</f>
        <v>46134</v>
      </c>
      <c r="N11117" t="str">
        <f>IF(M11117="","",'Master Barang'!A11)</f>
        <v>PRL-010</v>
      </c>
      <c r="O11117" t="str">
        <f>IF(N11117="","",'Master Barang'!B11)</f>
        <v>lap kecil</v>
      </c>
      <c r="P11117">
        <f>IF(OR(M11117="",N11117=""),"",SUMIFS('Barang Keluar'!$E:$E,'Barang Keluar'!$A:$A,M11117,'Barang Keluar'!$C:$C,N11117))</f>
        <v>0</v>
      </c>
    </row>
    <row r="11118" spans="13:16">
      <c r="M11118" s="49">
        <f>IF($A$4+111&gt;$B$4,"",$A$4+111)</f>
        <v>46134</v>
      </c>
      <c r="N11118" t="str">
        <f>IF(M11118="","",'Master Barang'!A12)</f>
        <v>PRL-011</v>
      </c>
      <c r="O11118" t="str">
        <f>IF(N11118="","",'Master Barang'!B12)</f>
        <v>kanebo kecil</v>
      </c>
      <c r="P11118">
        <f>IF(OR(M11118="",N11118=""),"",SUMIFS('Barang Keluar'!$E:$E,'Barang Keluar'!$A:$A,M11118,'Barang Keluar'!$C:$C,N11118))</f>
        <v>0</v>
      </c>
    </row>
    <row r="11119" spans="13:16">
      <c r="M11119" s="49">
        <f>IF($A$4+111&gt;$B$4,"",$A$4+111)</f>
        <v>46134</v>
      </c>
      <c r="N11119" t="str">
        <f>IF(M11119="","",'Master Barang'!A13)</f>
        <v>PRL-012</v>
      </c>
      <c r="O11119" t="str">
        <f>IF(N11119="","",'Master Barang'!B13)</f>
        <v>plastik 1/4kg joyoboyo 100 lembar</v>
      </c>
      <c r="P11119">
        <f>IF(OR(M11119="",N11119=""),"",SUMIFS('Barang Keluar'!$E:$E,'Barang Keluar'!$A:$A,M11119,'Barang Keluar'!$C:$C,N11119))</f>
        <v>0</v>
      </c>
    </row>
    <row r="11120" spans="13:16">
      <c r="M11120" s="49">
        <f>IF($A$4+111&gt;$B$4,"",$A$4+111)</f>
        <v>46134</v>
      </c>
      <c r="N11120" t="str">
        <f>IF(M11120="","",'Master Barang'!A14)</f>
        <v>PRL-013</v>
      </c>
      <c r="O11120" t="str">
        <f>IF(N11120="","",'Master Barang'!B14)</f>
        <v>sarung tangan plastik kaka 100 pcs</v>
      </c>
      <c r="P11120">
        <f>IF(OR(M11120="",N11120=""),"",SUMIFS('Barang Keluar'!$E:$E,'Barang Keluar'!$A:$A,M11120,'Barang Keluar'!$C:$C,N11120))</f>
        <v>0</v>
      </c>
    </row>
    <row r="11121" spans="13:16">
      <c r="M11121" s="49">
        <f>IF($A$4+111&gt;$B$4,"",$A$4+111)</f>
        <v>46134</v>
      </c>
      <c r="N11121" t="str">
        <f>IF(M11121="","",'Master Barang'!A15)</f>
        <v>PRL-014</v>
      </c>
      <c r="O11121" t="str">
        <f>IF(N11121="","",'Master Barang'!B15)</f>
        <v>optima trashbag 80x100</v>
      </c>
      <c r="P11121">
        <f>IF(OR(M11121="",N11121=""),"",SUMIFS('Barang Keluar'!$E:$E,'Barang Keluar'!$A:$A,M11121,'Barang Keluar'!$C:$C,N11121))</f>
        <v>0</v>
      </c>
    </row>
    <row r="11122" spans="13:16">
      <c r="M11122" s="49">
        <f>IF($A$4+111&gt;$B$4,"",$A$4+111)</f>
        <v>46134</v>
      </c>
      <c r="N11122" t="str">
        <f>IF(M11122="","",'Master Barang'!A16)</f>
        <v>PRL-015</v>
      </c>
      <c r="O11122" t="str">
        <f>IF(N11122="","",'Master Barang'!B16)</f>
        <v>optima trashbag 60x100</v>
      </c>
      <c r="P11122">
        <f>IF(OR(M11122="",N11122=""),"",SUMIFS('Barang Keluar'!$E:$E,'Barang Keluar'!$A:$A,M11122,'Barang Keluar'!$C:$C,N11122))</f>
        <v>0</v>
      </c>
    </row>
    <row r="11123" spans="13:16">
      <c r="M11123" s="49">
        <f>IF($A$4+111&gt;$B$4,"",$A$4+111)</f>
        <v>46134</v>
      </c>
      <c r="N11123" t="str">
        <f>IF(M11123="","",'Master Barang'!A17)</f>
        <v>PRL-016</v>
      </c>
      <c r="O11123" t="str">
        <f>IF(N11123="","",'Master Barang'!B17)</f>
        <v>rajawali trashbag 30x40</v>
      </c>
      <c r="P11123">
        <f>IF(OR(M11123="",N11123=""),"",SUMIFS('Barang Keluar'!$E:$E,'Barang Keluar'!$A:$A,M11123,'Barang Keluar'!$C:$C,N11123))</f>
        <v>0</v>
      </c>
    </row>
    <row r="11124" spans="13:16">
      <c r="M11124" s="49">
        <f>IF($A$4+111&gt;$B$4,"",$A$4+111)</f>
        <v>46134</v>
      </c>
      <c r="N11124" t="str">
        <f>IF(M11124="","",'Master Barang'!A18)</f>
        <v>PRL-017</v>
      </c>
      <c r="O11124" t="str">
        <f>IF(N11124="","",'Master Barang'!B18)</f>
        <v>onemed masker biru 3 play 50 pcs</v>
      </c>
      <c r="P11124">
        <f>IF(OR(M11124="",N11124=""),"",SUMIFS('Barang Keluar'!$E:$E,'Barang Keluar'!$A:$A,M11124,'Barang Keluar'!$C:$C,N11124))</f>
        <v>0</v>
      </c>
    </row>
    <row r="11125" spans="13:16">
      <c r="M11125" s="49">
        <f>IF($A$4+111&gt;$B$4,"",$A$4+111)</f>
        <v>46134</v>
      </c>
      <c r="N11125" t="str">
        <f>IF(M11125="","",'Master Barang'!A19)</f>
        <v>PRL-018</v>
      </c>
      <c r="O11125" t="str">
        <f>IF(N11125="","",'Master Barang'!B19)</f>
        <v>onemed masker biru 3 play hijab 50 pcs</v>
      </c>
      <c r="P11125">
        <f>IF(OR(M11125="",N11125=""),"",SUMIFS('Barang Keluar'!$E:$E,'Barang Keluar'!$A:$A,M11125,'Barang Keluar'!$C:$C,N11125))</f>
        <v>0</v>
      </c>
    </row>
    <row r="11126" spans="13:16">
      <c r="M11126" s="49">
        <f>IF($A$4+111&gt;$B$4,"",$A$4+111)</f>
        <v>46134</v>
      </c>
      <c r="N11126" t="str">
        <f>IF(M11126="","",'Master Barang'!A20)</f>
        <v>PRL-019</v>
      </c>
      <c r="O11126" t="str">
        <f>IF(N11126="","",'Master Barang'!B20)</f>
        <v>neo health masker biru 3 play 50 pcs</v>
      </c>
      <c r="P11126">
        <f>IF(OR(M11126="",N11126=""),"",SUMIFS('Barang Keluar'!$E:$E,'Barang Keluar'!$A:$A,M11126,'Barang Keluar'!$C:$C,N11126))</f>
        <v>0</v>
      </c>
    </row>
    <row r="11127" spans="13:16">
      <c r="M11127" s="49">
        <f>IF($A$4+111&gt;$B$4,"",$A$4+111)</f>
        <v>46134</v>
      </c>
      <c r="N11127" t="str">
        <f>IF(M11127="","",'Master Barang'!A21)</f>
        <v>PRL-020</v>
      </c>
      <c r="O11127" t="str">
        <f>IF(N11127="","",'Master Barang'!B21)</f>
        <v>baymed masker hijau 3 play hijau 50 pcs</v>
      </c>
      <c r="P11127">
        <f>IF(OR(M11127="",N11127=""),"",SUMIFS('Barang Keluar'!$E:$E,'Barang Keluar'!$A:$A,M11127,'Barang Keluar'!$C:$C,N11127))</f>
        <v>0</v>
      </c>
    </row>
    <row r="11128" spans="13:16">
      <c r="M11128" s="49">
        <f>IF($A$4+111&gt;$B$4,"",$A$4+111)</f>
        <v>46134</v>
      </c>
      <c r="N11128" t="str">
        <f>IF(M11128="","",'Master Barang'!A22)</f>
        <v>PRL-021</v>
      </c>
      <c r="O11128" t="str">
        <f>IF(N11128="","",'Master Barang'!B22)</f>
        <v>altamed nurse cap penutup kepala 100 pcs</v>
      </c>
      <c r="P11128">
        <f>IF(OR(M11128="",N11128=""),"",SUMIFS('Barang Keluar'!$E:$E,'Barang Keluar'!$A:$A,M11128,'Barang Keluar'!$C:$C,N11128))</f>
        <v>0</v>
      </c>
    </row>
    <row r="11129" spans="13:16">
      <c r="M11129" s="49">
        <f>IF($A$4+111&gt;$B$4,"",$A$4+111)</f>
        <v>46134</v>
      </c>
      <c r="N11129" t="str">
        <f>IF(M11129="","",'Master Barang'!A23)</f>
        <v>PRL-022</v>
      </c>
      <c r="O11129" t="str">
        <f>IF(N11129="","",'Master Barang'!B23)</f>
        <v>sabun cuci tangan</v>
      </c>
      <c r="P11129">
        <f>IF(OR(M11129="",N11129=""),"",SUMIFS('Barang Keluar'!$E:$E,'Barang Keluar'!$A:$A,M11129,'Barang Keluar'!$C:$C,N11129))</f>
        <v>0</v>
      </c>
    </row>
    <row r="11130" spans="13:16">
      <c r="M11130" s="49">
        <f>IF($A$4+111&gt;$B$4,"",$A$4+111)</f>
        <v>46134</v>
      </c>
      <c r="N11130" t="str">
        <f>IF(M11130="","",'Master Barang'!A24)</f>
        <v>PRL-023</v>
      </c>
      <c r="O11130" t="str">
        <f>IF(N11130="","",'Master Barang'!B24)</f>
        <v>gayung kecil</v>
      </c>
      <c r="P11130">
        <f>IF(OR(M11130="",N11130=""),"",SUMIFS('Barang Keluar'!$E:$E,'Barang Keluar'!$A:$A,M11130,'Barang Keluar'!$C:$C,N11130))</f>
        <v>0</v>
      </c>
    </row>
    <row r="11131" spans="13:16">
      <c r="M11131" s="49">
        <f>IF($A$4+111&gt;$B$4,"",$A$4+111)</f>
        <v>46134</v>
      </c>
      <c r="N11131" t="str">
        <f>IF(M11131="","",'Master Barang'!A25)</f>
        <v>PRL-024</v>
      </c>
      <c r="O11131" t="str">
        <f>IF(N11131="","",'Master Barang'!B25)</f>
        <v>cikrak kecil</v>
      </c>
      <c r="P11131">
        <f>IF(OR(M11131="",N11131=""),"",SUMIFS('Barang Keluar'!$E:$E,'Barang Keluar'!$A:$A,M11131,'Barang Keluar'!$C:$C,N11131))</f>
        <v>0</v>
      </c>
    </row>
    <row r="11132" spans="13:16">
      <c r="M11132" s="49">
        <f>IF($A$4+111&gt;$B$4,"",$A$4+111)</f>
        <v>46134</v>
      </c>
      <c r="N11132" t="str">
        <f>IF(M11132="","",'Master Barang'!A26)</f>
        <v>PRL-025</v>
      </c>
      <c r="O11132" t="str">
        <f>IF(N11132="","",'Master Barang'!B26)</f>
        <v>petromax plastik kecil 12x24 100 lembar</v>
      </c>
      <c r="P11132">
        <f>IF(OR(M11132="",N11132=""),"",SUMIFS('Barang Keluar'!$E:$E,'Barang Keluar'!$A:$A,M11132,'Barang Keluar'!$C:$C,N11132))</f>
        <v>0</v>
      </c>
    </row>
    <row r="11133" spans="13:16">
      <c r="M11133" s="49">
        <f>IF($A$4+111&gt;$B$4,"",$A$4+111)</f>
        <v>46134</v>
      </c>
      <c r="N11133" t="str">
        <f>IF(M11133="","",'Master Barang'!A27)</f>
        <v>PRL-026</v>
      </c>
      <c r="O11133" t="str">
        <f>IF(N11133="","",'Master Barang'!B27)</f>
        <v>lancar kresek kecil bening </v>
      </c>
      <c r="P11133">
        <f>IF(OR(M11133="",N11133=""),"",SUMIFS('Barang Keluar'!$E:$E,'Barang Keluar'!$A:$A,M11133,'Barang Keluar'!$C:$C,N11133))</f>
        <v>0</v>
      </c>
    </row>
    <row r="11134" spans="13:16">
      <c r="M11134" s="49">
        <f>IF($A$4+111&gt;$B$4,"",$A$4+111)</f>
        <v>46134</v>
      </c>
      <c r="N11134" t="str">
        <f>IF(M11134="","",'Master Barang'!A28)</f>
        <v>PRL-027</v>
      </c>
      <c r="O11134" t="str">
        <f>IF(N11134="","",'Master Barang'!B28)</f>
        <v>kresek klin warna warni kecil</v>
      </c>
      <c r="P11134">
        <f>IF(OR(M11134="",N11134=""),"",SUMIFS('Barang Keluar'!$E:$E,'Barang Keluar'!$A:$A,M11134,'Barang Keluar'!$C:$C,N11134))</f>
        <v>0</v>
      </c>
    </row>
    <row r="11135" spans="13:16">
      <c r="M11135" s="49">
        <f>IF($A$4+111&gt;$B$4,"",$A$4+111)</f>
        <v>46134</v>
      </c>
      <c r="N11135" t="str">
        <f>IF(M11135="","",'Master Barang'!A29)</f>
        <v>PRL-028</v>
      </c>
      <c r="O11135" t="str">
        <f>IF(N11135="","",'Master Barang'!B29)</f>
        <v>ctik plastik 7x10 100 pcs</v>
      </c>
      <c r="P11135">
        <f>IF(OR(M11135="",N11135=""),"",SUMIFS('Barang Keluar'!$E:$E,'Barang Keluar'!$A:$A,M11135,'Barang Keluar'!$C:$C,N11135))</f>
        <v>0</v>
      </c>
    </row>
    <row r="11136" spans="13:16">
      <c r="M11136" s="49">
        <f>IF($A$4+111&gt;$B$4,"",$A$4+111)</f>
        <v>46134</v>
      </c>
      <c r="N11136" t="str">
        <f>IF(M11136="","",'Master Barang'!A30)</f>
        <v>PRL-029</v>
      </c>
      <c r="O11136" t="str">
        <f>IF(N11136="","",'Master Barang'!B30)</f>
        <v>ctik plastik 6x10 100 pcs</v>
      </c>
      <c r="P11136">
        <f>IF(OR(M11136="",N11136=""),"",SUMIFS('Barang Keluar'!$E:$E,'Barang Keluar'!$A:$A,M11136,'Barang Keluar'!$C:$C,N11136))</f>
        <v>0</v>
      </c>
    </row>
    <row r="11137" spans="13:16">
      <c r="M11137" s="49">
        <f>IF($A$4+111&gt;$B$4,"",$A$4+111)</f>
        <v>46134</v>
      </c>
      <c r="N11137" t="str">
        <f>IF(M11137="","",'Master Barang'!A31)</f>
        <v>PRL-030</v>
      </c>
      <c r="O11137" t="str">
        <f>IF(N11137="","",'Master Barang'!B31)</f>
        <v>klip plastik 25x16 100 pcs</v>
      </c>
      <c r="P11137">
        <f>IF(OR(M11137="",N11137=""),"",SUMIFS('Barang Keluar'!$E:$E,'Barang Keluar'!$A:$A,M11137,'Barang Keluar'!$C:$C,N11137))</f>
        <v>0</v>
      </c>
    </row>
    <row r="11138" spans="13:16">
      <c r="M11138" s="49">
        <f>IF($A$4+111&gt;$B$4,"",$A$4+111)</f>
        <v>46134</v>
      </c>
      <c r="N11138" t="str">
        <f>IF(M11138="","",'Master Barang'!A32)</f>
        <v>PRL-031</v>
      </c>
      <c r="O11138" t="str">
        <f>IF(N11138="","",'Master Barang'!B32)</f>
        <v>tempat saus 20 ml</v>
      </c>
      <c r="P11138">
        <f>IF(OR(M11138="",N11138=""),"",SUMIFS('Barang Keluar'!$E:$E,'Barang Keluar'!$A:$A,M11138,'Barang Keluar'!$C:$C,N11138))</f>
        <v>0</v>
      </c>
    </row>
    <row r="11139" spans="13:16">
      <c r="M11139" s="49">
        <f>IF($A$4+111&gt;$B$4,"",$A$4+111)</f>
        <v>46134</v>
      </c>
      <c r="N11139" t="str">
        <f>IF(M11139="","",'Master Barang'!A33)</f>
        <v>PRL-032</v>
      </c>
      <c r="O11139" t="str">
        <f>IF(N11139="","",'Master Barang'!B33)</f>
        <v>plastik packaging ag box uk sedang</v>
      </c>
      <c r="P11139">
        <f>IF(OR(M11139="",N11139=""),"",SUMIFS('Barang Keluar'!$E:$E,'Barang Keluar'!$A:$A,M11139,'Barang Keluar'!$C:$C,N11139))</f>
        <v>0</v>
      </c>
    </row>
    <row r="11140" spans="13:16">
      <c r="M11140" s="49">
        <f>IF($A$4+111&gt;$B$4,"",$A$4+111)</f>
        <v>46134</v>
      </c>
      <c r="N11140" t="str">
        <f>IF(M11140="","",'Master Barang'!A34)</f>
        <v>PRL-033</v>
      </c>
      <c r="O11140">
        <f>IF(N11140="","",'Master Barang'!B34)</f>
        <v>0</v>
      </c>
      <c r="P11140">
        <f>IF(OR(M11140="",N11140=""),"",SUMIFS('Barang Keluar'!$E:$E,'Barang Keluar'!$A:$A,M11140,'Barang Keluar'!$C:$C,N11140))</f>
        <v>0</v>
      </c>
    </row>
    <row r="11141" spans="13:16">
      <c r="M11141" s="49">
        <f>IF($A$4+111&gt;$B$4,"",$A$4+111)</f>
        <v>46134</v>
      </c>
      <c r="N11141">
        <f>IF(M11141="","",'Master Barang'!A35)</f>
        <v>0</v>
      </c>
      <c r="O11141">
        <f>IF(N11141="","",'Master Barang'!B35)</f>
        <v>0</v>
      </c>
      <c r="P11141">
        <f>IF(OR(M11141="",N11141=""),"",SUMIFS('Barang Keluar'!$E:$E,'Barang Keluar'!$A:$A,M11141,'Barang Keluar'!$C:$C,N11141))</f>
        <v>0</v>
      </c>
    </row>
    <row r="11142" spans="13:16">
      <c r="M11142" s="49">
        <f>IF($A$4+111&gt;$B$4,"",$A$4+111)</f>
        <v>46134</v>
      </c>
      <c r="N11142">
        <f>IF(M11142="","",'Master Barang'!A36)</f>
        <v>0</v>
      </c>
      <c r="O11142">
        <f>IF(N11142="","",'Master Barang'!B36)</f>
        <v>0</v>
      </c>
      <c r="P11142">
        <f>IF(OR(M11142="",N11142=""),"",SUMIFS('Barang Keluar'!$E:$E,'Barang Keluar'!$A:$A,M11142,'Barang Keluar'!$C:$C,N11142))</f>
        <v>0</v>
      </c>
    </row>
    <row r="11143" spans="13:16">
      <c r="M11143" s="49">
        <f>IF($A$4+111&gt;$B$4,"",$A$4+111)</f>
        <v>46134</v>
      </c>
      <c r="N11143">
        <f>IF(M11143="","",'Master Barang'!A37)</f>
        <v>0</v>
      </c>
      <c r="O11143">
        <f>IF(N11143="","",'Master Barang'!B37)</f>
        <v>0</v>
      </c>
      <c r="P11143">
        <f>IF(OR(M11143="",N11143=""),"",SUMIFS('Barang Keluar'!$E:$E,'Barang Keluar'!$A:$A,M11143,'Barang Keluar'!$C:$C,N11143))</f>
        <v>0</v>
      </c>
    </row>
    <row r="11144" spans="13:16">
      <c r="M11144" s="49">
        <f>IF($A$4+111&gt;$B$4,"",$A$4+111)</f>
        <v>46134</v>
      </c>
      <c r="N11144">
        <f>IF(M11144="","",'Master Barang'!A38)</f>
        <v>0</v>
      </c>
      <c r="O11144">
        <f>IF(N11144="","",'Master Barang'!B38)</f>
        <v>0</v>
      </c>
      <c r="P11144">
        <f>IF(OR(M11144="",N11144=""),"",SUMIFS('Barang Keluar'!$E:$E,'Barang Keluar'!$A:$A,M11144,'Barang Keluar'!$C:$C,N11144))</f>
        <v>0</v>
      </c>
    </row>
    <row r="11145" spans="13:16">
      <c r="M11145" s="49">
        <f>IF($A$4+111&gt;$B$4,"",$A$4+111)</f>
        <v>46134</v>
      </c>
      <c r="N11145">
        <f>IF(M11145="","",'Master Barang'!A39)</f>
        <v>0</v>
      </c>
      <c r="O11145">
        <f>IF(N11145="","",'Master Barang'!B39)</f>
        <v>0</v>
      </c>
      <c r="P11145">
        <f>IF(OR(M11145="",N11145=""),"",SUMIFS('Barang Keluar'!$E:$E,'Barang Keluar'!$A:$A,M11145,'Barang Keluar'!$C:$C,N11145))</f>
        <v>0</v>
      </c>
    </row>
    <row r="11146" spans="13:16">
      <c r="M11146" s="49">
        <f>IF($A$4+111&gt;$B$4,"",$A$4+111)</f>
        <v>46134</v>
      </c>
      <c r="N11146">
        <f>IF(M11146="","",'Master Barang'!A40)</f>
        <v>0</v>
      </c>
      <c r="O11146">
        <f>IF(N11146="","",'Master Barang'!B40)</f>
        <v>0</v>
      </c>
      <c r="P11146">
        <f>IF(OR(M11146="",N11146=""),"",SUMIFS('Barang Keluar'!$E:$E,'Barang Keluar'!$A:$A,M11146,'Barang Keluar'!$C:$C,N11146))</f>
        <v>0</v>
      </c>
    </row>
    <row r="11147" spans="13:16">
      <c r="M11147" s="49">
        <f>IF($A$4+111&gt;$B$4,"",$A$4+111)</f>
        <v>46134</v>
      </c>
      <c r="N11147">
        <f>IF(M11147="","",'Master Barang'!A41)</f>
        <v>0</v>
      </c>
      <c r="O11147">
        <f>IF(N11147="","",'Master Barang'!B41)</f>
        <v>0</v>
      </c>
      <c r="P11147">
        <f>IF(OR(M11147="",N11147=""),"",SUMIFS('Barang Keluar'!$E:$E,'Barang Keluar'!$A:$A,M11147,'Barang Keluar'!$C:$C,N11147))</f>
        <v>0</v>
      </c>
    </row>
    <row r="11148" spans="13:16">
      <c r="M11148" s="49">
        <f>IF($A$4+111&gt;$B$4,"",$A$4+111)</f>
        <v>46134</v>
      </c>
      <c r="N11148">
        <f>IF(M11148="","",'Master Barang'!A42)</f>
        <v>0</v>
      </c>
      <c r="O11148">
        <f>IF(N11148="","",'Master Barang'!B42)</f>
        <v>0</v>
      </c>
      <c r="P11148">
        <f>IF(OR(M11148="",N11148=""),"",SUMIFS('Barang Keluar'!$E:$E,'Barang Keluar'!$A:$A,M11148,'Barang Keluar'!$C:$C,N11148))</f>
        <v>0</v>
      </c>
    </row>
    <row r="11149" spans="13:16">
      <c r="M11149" s="49">
        <f>IF($A$4+111&gt;$B$4,"",$A$4+111)</f>
        <v>46134</v>
      </c>
      <c r="N11149">
        <f>IF(M11149="","",'Master Barang'!A43)</f>
        <v>0</v>
      </c>
      <c r="O11149">
        <f>IF(N11149="","",'Master Barang'!B43)</f>
        <v>0</v>
      </c>
      <c r="P11149">
        <f>IF(OR(M11149="",N11149=""),"",SUMIFS('Barang Keluar'!$E:$E,'Barang Keluar'!$A:$A,M11149,'Barang Keluar'!$C:$C,N11149))</f>
        <v>0</v>
      </c>
    </row>
    <row r="11150" spans="13:16">
      <c r="M11150" s="49">
        <f>IF($A$4+111&gt;$B$4,"",$A$4+111)</f>
        <v>46134</v>
      </c>
      <c r="N11150">
        <f>IF(M11150="","",'Master Barang'!A44)</f>
        <v>0</v>
      </c>
      <c r="O11150">
        <f>IF(N11150="","",'Master Barang'!B44)</f>
        <v>0</v>
      </c>
      <c r="P11150">
        <f>IF(OR(M11150="",N11150=""),"",SUMIFS('Barang Keluar'!$E:$E,'Barang Keluar'!$A:$A,M11150,'Barang Keluar'!$C:$C,N11150))</f>
        <v>0</v>
      </c>
    </row>
    <row r="11151" spans="13:16">
      <c r="M11151" s="49">
        <f>IF($A$4+111&gt;$B$4,"",$A$4+111)</f>
        <v>46134</v>
      </c>
      <c r="N11151">
        <f>IF(M11151="","",'Master Barang'!A45)</f>
        <v>0</v>
      </c>
      <c r="O11151">
        <f>IF(N11151="","",'Master Barang'!B45)</f>
        <v>0</v>
      </c>
      <c r="P11151">
        <f>IF(OR(M11151="",N11151=""),"",SUMIFS('Barang Keluar'!$E:$E,'Barang Keluar'!$A:$A,M11151,'Barang Keluar'!$C:$C,N11151))</f>
        <v>0</v>
      </c>
    </row>
    <row r="11152" spans="13:16">
      <c r="M11152" s="49">
        <f>IF($A$4+111&gt;$B$4,"",$A$4+111)</f>
        <v>46134</v>
      </c>
      <c r="N11152">
        <f>IF(M11152="","",'Master Barang'!A46)</f>
        <v>0</v>
      </c>
      <c r="O11152">
        <f>IF(N11152="","",'Master Barang'!B46)</f>
        <v>0</v>
      </c>
      <c r="P11152">
        <f>IF(OR(M11152="",N11152=""),"",SUMIFS('Barang Keluar'!$E:$E,'Barang Keluar'!$A:$A,M11152,'Barang Keluar'!$C:$C,N11152))</f>
        <v>0</v>
      </c>
    </row>
    <row r="11153" spans="13:16">
      <c r="M11153" s="49">
        <f>IF($A$4+111&gt;$B$4,"",$A$4+111)</f>
        <v>46134</v>
      </c>
      <c r="N11153">
        <f>IF(M11153="","",'Master Barang'!A47)</f>
        <v>0</v>
      </c>
      <c r="O11153">
        <f>IF(N11153="","",'Master Barang'!B47)</f>
        <v>0</v>
      </c>
      <c r="P11153">
        <f>IF(OR(M11153="",N11153=""),"",SUMIFS('Barang Keluar'!$E:$E,'Barang Keluar'!$A:$A,M11153,'Barang Keluar'!$C:$C,N11153))</f>
        <v>0</v>
      </c>
    </row>
    <row r="11154" spans="13:16">
      <c r="M11154" s="49">
        <f>IF($A$4+111&gt;$B$4,"",$A$4+111)</f>
        <v>46134</v>
      </c>
      <c r="N11154">
        <f>IF(M11154="","",'Master Barang'!A48)</f>
        <v>0</v>
      </c>
      <c r="O11154">
        <f>IF(N11154="","",'Master Barang'!B48)</f>
        <v>0</v>
      </c>
      <c r="P11154">
        <f>IF(OR(M11154="",N11154=""),"",SUMIFS('Barang Keluar'!$E:$E,'Barang Keluar'!$A:$A,M11154,'Barang Keluar'!$C:$C,N11154))</f>
        <v>0</v>
      </c>
    </row>
    <row r="11155" spans="13:16">
      <c r="M11155" s="49">
        <f>IF($A$4+111&gt;$B$4,"",$A$4+111)</f>
        <v>46134</v>
      </c>
      <c r="N11155">
        <f>IF(M11155="","",'Master Barang'!A49)</f>
        <v>0</v>
      </c>
      <c r="O11155">
        <f>IF(N11155="","",'Master Barang'!B49)</f>
        <v>0</v>
      </c>
      <c r="P11155">
        <f>IF(OR(M11155="",N11155=""),"",SUMIFS('Barang Keluar'!$E:$E,'Barang Keluar'!$A:$A,M11155,'Barang Keluar'!$C:$C,N11155))</f>
        <v>0</v>
      </c>
    </row>
    <row r="11156" spans="13:16">
      <c r="M11156" s="49">
        <f>IF($A$4+111&gt;$B$4,"",$A$4+111)</f>
        <v>46134</v>
      </c>
      <c r="N11156">
        <f>IF(M11156="","",'Master Barang'!A50)</f>
        <v>0</v>
      </c>
      <c r="O11156">
        <f>IF(N11156="","",'Master Barang'!B50)</f>
        <v>0</v>
      </c>
      <c r="P11156">
        <f>IF(OR(M11156="",N11156=""),"",SUMIFS('Barang Keluar'!$E:$E,'Barang Keluar'!$A:$A,M11156,'Barang Keluar'!$C:$C,N11156))</f>
        <v>0</v>
      </c>
    </row>
    <row r="11157" spans="13:16">
      <c r="M11157" s="49">
        <f>IF($A$4+111&gt;$B$4,"",$A$4+111)</f>
        <v>46134</v>
      </c>
      <c r="N11157">
        <f>IF(M11157="","",'Master Barang'!A51)</f>
        <v>0</v>
      </c>
      <c r="O11157">
        <f>IF(N11157="","",'Master Barang'!B51)</f>
        <v>0</v>
      </c>
      <c r="P11157">
        <f>IF(OR(M11157="",N11157=""),"",SUMIFS('Barang Keluar'!$E:$E,'Barang Keluar'!$A:$A,M11157,'Barang Keluar'!$C:$C,N11157))</f>
        <v>0</v>
      </c>
    </row>
    <row r="11158" spans="13:16">
      <c r="M11158" s="49">
        <f>IF($A$4+111&gt;$B$4,"",$A$4+111)</f>
        <v>46134</v>
      </c>
      <c r="N11158">
        <f>IF(M11158="","",'Master Barang'!A52)</f>
        <v>0</v>
      </c>
      <c r="O11158">
        <f>IF(N11158="","",'Master Barang'!B52)</f>
        <v>0</v>
      </c>
      <c r="P11158">
        <f>IF(OR(M11158="",N11158=""),"",SUMIFS('Barang Keluar'!$E:$E,'Barang Keluar'!$A:$A,M11158,'Barang Keluar'!$C:$C,N11158))</f>
        <v>0</v>
      </c>
    </row>
    <row r="11159" spans="13:16">
      <c r="M11159" s="49">
        <f>IF($A$4+111&gt;$B$4,"",$A$4+111)</f>
        <v>46134</v>
      </c>
      <c r="N11159">
        <f>IF(M11159="","",'Master Barang'!A53)</f>
        <v>0</v>
      </c>
      <c r="O11159">
        <f>IF(N11159="","",'Master Barang'!B53)</f>
        <v>0</v>
      </c>
      <c r="P11159">
        <f>IF(OR(M11159="",N11159=""),"",SUMIFS('Barang Keluar'!$E:$E,'Barang Keluar'!$A:$A,M11159,'Barang Keluar'!$C:$C,N11159))</f>
        <v>0</v>
      </c>
    </row>
    <row r="11160" spans="13:16">
      <c r="M11160" s="49">
        <f>IF($A$4+111&gt;$B$4,"",$A$4+111)</f>
        <v>46134</v>
      </c>
      <c r="N11160">
        <f>IF(M11160="","",'Master Barang'!A54)</f>
        <v>0</v>
      </c>
      <c r="O11160">
        <f>IF(N11160="","",'Master Barang'!B54)</f>
        <v>0</v>
      </c>
      <c r="P11160">
        <f>IF(OR(M11160="",N11160=""),"",SUMIFS('Barang Keluar'!$E:$E,'Barang Keluar'!$A:$A,M11160,'Barang Keluar'!$C:$C,N11160))</f>
        <v>0</v>
      </c>
    </row>
    <row r="11161" spans="13:16">
      <c r="M11161" s="49">
        <f>IF($A$4+111&gt;$B$4,"",$A$4+111)</f>
        <v>46134</v>
      </c>
      <c r="N11161">
        <f>IF(M11161="","",'Master Barang'!A55)</f>
        <v>0</v>
      </c>
      <c r="O11161">
        <f>IF(N11161="","",'Master Barang'!B55)</f>
        <v>0</v>
      </c>
      <c r="P11161">
        <f>IF(OR(M11161="",N11161=""),"",SUMIFS('Barang Keluar'!$E:$E,'Barang Keluar'!$A:$A,M11161,'Barang Keluar'!$C:$C,N11161))</f>
        <v>0</v>
      </c>
    </row>
    <row r="11162" spans="13:16">
      <c r="M11162" s="49">
        <f>IF($A$4+111&gt;$B$4,"",$A$4+111)</f>
        <v>46134</v>
      </c>
      <c r="N11162">
        <f>IF(M11162="","",'Master Barang'!A56)</f>
        <v>0</v>
      </c>
      <c r="O11162">
        <f>IF(N11162="","",'Master Barang'!B56)</f>
        <v>0</v>
      </c>
      <c r="P11162">
        <f>IF(OR(M11162="",N11162=""),"",SUMIFS('Barang Keluar'!$E:$E,'Barang Keluar'!$A:$A,M11162,'Barang Keluar'!$C:$C,N11162))</f>
        <v>0</v>
      </c>
    </row>
    <row r="11163" spans="13:16">
      <c r="M11163" s="49">
        <f>IF($A$4+111&gt;$B$4,"",$A$4+111)</f>
        <v>46134</v>
      </c>
      <c r="N11163">
        <f>IF(M11163="","",'Master Barang'!A57)</f>
        <v>0</v>
      </c>
      <c r="O11163">
        <f>IF(N11163="","",'Master Barang'!B57)</f>
        <v>0</v>
      </c>
      <c r="P11163">
        <f>IF(OR(M11163="",N11163=""),"",SUMIFS('Barang Keluar'!$E:$E,'Barang Keluar'!$A:$A,M11163,'Barang Keluar'!$C:$C,N11163))</f>
        <v>0</v>
      </c>
    </row>
    <row r="11164" spans="13:16">
      <c r="M11164" s="49">
        <f>IF($A$4+111&gt;$B$4,"",$A$4+111)</f>
        <v>46134</v>
      </c>
      <c r="N11164">
        <f>IF(M11164="","",'Master Barang'!A58)</f>
        <v>0</v>
      </c>
      <c r="O11164">
        <f>IF(N11164="","",'Master Barang'!B58)</f>
        <v>0</v>
      </c>
      <c r="P11164">
        <f>IF(OR(M11164="",N11164=""),"",SUMIFS('Barang Keluar'!$E:$E,'Barang Keluar'!$A:$A,M11164,'Barang Keluar'!$C:$C,N11164))</f>
        <v>0</v>
      </c>
    </row>
    <row r="11165" spans="13:16">
      <c r="M11165" s="49">
        <f>IF($A$4+111&gt;$B$4,"",$A$4+111)</f>
        <v>46134</v>
      </c>
      <c r="N11165">
        <f>IF(M11165="","",'Master Barang'!A59)</f>
        <v>0</v>
      </c>
      <c r="O11165">
        <f>IF(N11165="","",'Master Barang'!B59)</f>
        <v>0</v>
      </c>
      <c r="P11165">
        <f>IF(OR(M11165="",N11165=""),"",SUMIFS('Barang Keluar'!$E:$E,'Barang Keluar'!$A:$A,M11165,'Barang Keluar'!$C:$C,N11165))</f>
        <v>0</v>
      </c>
    </row>
    <row r="11166" spans="13:16">
      <c r="M11166" s="49">
        <f>IF($A$4+111&gt;$B$4,"",$A$4+111)</f>
        <v>46134</v>
      </c>
      <c r="N11166">
        <f>IF(M11166="","",'Master Barang'!A60)</f>
        <v>0</v>
      </c>
      <c r="O11166">
        <f>IF(N11166="","",'Master Barang'!B60)</f>
        <v>0</v>
      </c>
      <c r="P11166">
        <f>IF(OR(M11166="",N11166=""),"",SUMIFS('Barang Keluar'!$E:$E,'Barang Keluar'!$A:$A,M11166,'Barang Keluar'!$C:$C,N11166))</f>
        <v>0</v>
      </c>
    </row>
    <row r="11167" spans="13:16">
      <c r="M11167" s="49">
        <f>IF($A$4+111&gt;$B$4,"",$A$4+111)</f>
        <v>46134</v>
      </c>
      <c r="N11167">
        <f>IF(M11167="","",'Master Barang'!A61)</f>
        <v>0</v>
      </c>
      <c r="O11167">
        <f>IF(N11167="","",'Master Barang'!B61)</f>
        <v>0</v>
      </c>
      <c r="P11167">
        <f>IF(OR(M11167="",N11167=""),"",SUMIFS('Barang Keluar'!$E:$E,'Barang Keluar'!$A:$A,M11167,'Barang Keluar'!$C:$C,N11167))</f>
        <v>0</v>
      </c>
    </row>
    <row r="11168" spans="13:16">
      <c r="M11168" s="49">
        <f>IF($A$4+111&gt;$B$4,"",$A$4+111)</f>
        <v>46134</v>
      </c>
      <c r="N11168">
        <f>IF(M11168="","",'Master Barang'!A62)</f>
        <v>0</v>
      </c>
      <c r="O11168">
        <f>IF(N11168="","",'Master Barang'!B62)</f>
        <v>0</v>
      </c>
      <c r="P11168">
        <f>IF(OR(M11168="",N11168=""),"",SUMIFS('Barang Keluar'!$E:$E,'Barang Keluar'!$A:$A,M11168,'Barang Keluar'!$C:$C,N11168))</f>
        <v>0</v>
      </c>
    </row>
    <row r="11169" spans="13:16">
      <c r="M11169" s="49">
        <f>IF($A$4+111&gt;$B$4,"",$A$4+111)</f>
        <v>46134</v>
      </c>
      <c r="N11169">
        <f>IF(M11169="","",'Master Barang'!A63)</f>
        <v>0</v>
      </c>
      <c r="O11169">
        <f>IF(N11169="","",'Master Barang'!B63)</f>
        <v>0</v>
      </c>
      <c r="P11169">
        <f>IF(OR(M11169="",N11169=""),"",SUMIFS('Barang Keluar'!$E:$E,'Barang Keluar'!$A:$A,M11169,'Barang Keluar'!$C:$C,N11169))</f>
        <v>0</v>
      </c>
    </row>
    <row r="11170" spans="13:16">
      <c r="M11170" s="49">
        <f>IF($A$4+111&gt;$B$4,"",$A$4+111)</f>
        <v>46134</v>
      </c>
      <c r="N11170">
        <f>IF(M11170="","",'Master Barang'!A64)</f>
        <v>0</v>
      </c>
      <c r="O11170">
        <f>IF(N11170="","",'Master Barang'!B64)</f>
        <v>0</v>
      </c>
      <c r="P11170">
        <f>IF(OR(M11170="",N11170=""),"",SUMIFS('Barang Keluar'!$E:$E,'Barang Keluar'!$A:$A,M11170,'Barang Keluar'!$C:$C,N11170))</f>
        <v>0</v>
      </c>
    </row>
    <row r="11171" spans="13:16">
      <c r="M11171" s="49">
        <f>IF($A$4+111&gt;$B$4,"",$A$4+111)</f>
        <v>46134</v>
      </c>
      <c r="N11171">
        <f>IF(M11171="","",'Master Barang'!A65)</f>
        <v>0</v>
      </c>
      <c r="O11171">
        <f>IF(N11171="","",'Master Barang'!B65)</f>
        <v>0</v>
      </c>
      <c r="P11171">
        <f>IF(OR(M11171="",N11171=""),"",SUMIFS('Barang Keluar'!$E:$E,'Barang Keluar'!$A:$A,M11171,'Barang Keluar'!$C:$C,N11171))</f>
        <v>0</v>
      </c>
    </row>
    <row r="11172" spans="13:16">
      <c r="M11172" s="49">
        <f>IF($A$4+111&gt;$B$4,"",$A$4+111)</f>
        <v>46134</v>
      </c>
      <c r="N11172">
        <f>IF(M11172="","",'Master Barang'!A66)</f>
        <v>0</v>
      </c>
      <c r="O11172">
        <f>IF(N11172="","",'Master Barang'!B66)</f>
        <v>0</v>
      </c>
      <c r="P11172">
        <f>IF(OR(M11172="",N11172=""),"",SUMIFS('Barang Keluar'!$E:$E,'Barang Keluar'!$A:$A,M11172,'Barang Keluar'!$C:$C,N11172))</f>
        <v>0</v>
      </c>
    </row>
    <row r="11173" spans="13:16">
      <c r="M11173" s="49">
        <f>IF($A$4+111&gt;$B$4,"",$A$4+111)</f>
        <v>46134</v>
      </c>
      <c r="N11173">
        <f>IF(M11173="","",'Master Barang'!A67)</f>
        <v>0</v>
      </c>
      <c r="O11173">
        <f>IF(N11173="","",'Master Barang'!B67)</f>
        <v>0</v>
      </c>
      <c r="P11173">
        <f>IF(OR(M11173="",N11173=""),"",SUMIFS('Barang Keluar'!$E:$E,'Barang Keluar'!$A:$A,M11173,'Barang Keluar'!$C:$C,N11173))</f>
        <v>0</v>
      </c>
    </row>
    <row r="11174" spans="13:16">
      <c r="M11174" s="49">
        <f>IF($A$4+111&gt;$B$4,"",$A$4+111)</f>
        <v>46134</v>
      </c>
      <c r="N11174">
        <f>IF(M11174="","",'Master Barang'!A68)</f>
        <v>0</v>
      </c>
      <c r="O11174">
        <f>IF(N11174="","",'Master Barang'!B68)</f>
        <v>0</v>
      </c>
      <c r="P11174">
        <f>IF(OR(M11174="",N11174=""),"",SUMIFS('Barang Keluar'!$E:$E,'Barang Keluar'!$A:$A,M11174,'Barang Keluar'!$C:$C,N11174))</f>
        <v>0</v>
      </c>
    </row>
    <row r="11175" spans="13:16">
      <c r="M11175" s="49">
        <f>IF($A$4+111&gt;$B$4,"",$A$4+111)</f>
        <v>46134</v>
      </c>
      <c r="N11175">
        <f>IF(M11175="","",'Master Barang'!A69)</f>
        <v>0</v>
      </c>
      <c r="O11175">
        <f>IF(N11175="","",'Master Barang'!B69)</f>
        <v>0</v>
      </c>
      <c r="P11175">
        <f>IF(OR(M11175="",N11175=""),"",SUMIFS('Barang Keluar'!$E:$E,'Barang Keluar'!$A:$A,M11175,'Barang Keluar'!$C:$C,N11175))</f>
        <v>0</v>
      </c>
    </row>
    <row r="11176" spans="13:16">
      <c r="M11176" s="49">
        <f>IF($A$4+111&gt;$B$4,"",$A$4+111)</f>
        <v>46134</v>
      </c>
      <c r="N11176">
        <f>IF(M11176="","",'Master Barang'!A70)</f>
        <v>0</v>
      </c>
      <c r="O11176">
        <f>IF(N11176="","",'Master Barang'!B70)</f>
        <v>0</v>
      </c>
      <c r="P11176">
        <f>IF(OR(M11176="",N11176=""),"",SUMIFS('Barang Keluar'!$E:$E,'Barang Keluar'!$A:$A,M11176,'Barang Keluar'!$C:$C,N11176))</f>
        <v>0</v>
      </c>
    </row>
    <row r="11177" spans="13:16">
      <c r="M11177" s="49">
        <f>IF($A$4+111&gt;$B$4,"",$A$4+111)</f>
        <v>46134</v>
      </c>
      <c r="N11177">
        <f>IF(M11177="","",'Master Barang'!A71)</f>
        <v>0</v>
      </c>
      <c r="O11177">
        <f>IF(N11177="","",'Master Barang'!B71)</f>
        <v>0</v>
      </c>
      <c r="P11177">
        <f>IF(OR(M11177="",N11177=""),"",SUMIFS('Barang Keluar'!$E:$E,'Barang Keluar'!$A:$A,M11177,'Barang Keluar'!$C:$C,N11177))</f>
        <v>0</v>
      </c>
    </row>
    <row r="11178" spans="13:16">
      <c r="M11178" s="49">
        <f>IF($A$4+111&gt;$B$4,"",$A$4+111)</f>
        <v>46134</v>
      </c>
      <c r="N11178">
        <f>IF(M11178="","",'Master Barang'!A72)</f>
        <v>0</v>
      </c>
      <c r="O11178">
        <f>IF(N11178="","",'Master Barang'!B72)</f>
        <v>0</v>
      </c>
      <c r="P11178">
        <f>IF(OR(M11178="",N11178=""),"",SUMIFS('Barang Keluar'!$E:$E,'Barang Keluar'!$A:$A,M11178,'Barang Keluar'!$C:$C,N11178))</f>
        <v>0</v>
      </c>
    </row>
    <row r="11179" spans="13:16">
      <c r="M11179" s="49">
        <f>IF($A$4+111&gt;$B$4,"",$A$4+111)</f>
        <v>46134</v>
      </c>
      <c r="N11179">
        <f>IF(M11179="","",'Master Barang'!A73)</f>
        <v>0</v>
      </c>
      <c r="O11179">
        <f>IF(N11179="","",'Master Barang'!B73)</f>
        <v>0</v>
      </c>
      <c r="P11179">
        <f>IF(OR(M11179="",N11179=""),"",SUMIFS('Barang Keluar'!$E:$E,'Barang Keluar'!$A:$A,M11179,'Barang Keluar'!$C:$C,N11179))</f>
        <v>0</v>
      </c>
    </row>
    <row r="11180" spans="13:16">
      <c r="M11180" s="49">
        <f>IF($A$4+111&gt;$B$4,"",$A$4+111)</f>
        <v>46134</v>
      </c>
      <c r="N11180">
        <f>IF(M11180="","",'Master Barang'!A74)</f>
        <v>0</v>
      </c>
      <c r="O11180">
        <f>IF(N11180="","",'Master Barang'!B74)</f>
        <v>0</v>
      </c>
      <c r="P11180">
        <f>IF(OR(M11180="",N11180=""),"",SUMIFS('Barang Keluar'!$E:$E,'Barang Keluar'!$A:$A,M11180,'Barang Keluar'!$C:$C,N11180))</f>
        <v>0</v>
      </c>
    </row>
    <row r="11181" spans="13:16">
      <c r="M11181" s="49">
        <f>IF($A$4+111&gt;$B$4,"",$A$4+111)</f>
        <v>46134</v>
      </c>
      <c r="N11181">
        <f>IF(M11181="","",'Master Barang'!A75)</f>
        <v>0</v>
      </c>
      <c r="O11181">
        <f>IF(N11181="","",'Master Barang'!B75)</f>
        <v>0</v>
      </c>
      <c r="P11181">
        <f>IF(OR(M11181="",N11181=""),"",SUMIFS('Barang Keluar'!$E:$E,'Barang Keluar'!$A:$A,M11181,'Barang Keluar'!$C:$C,N11181))</f>
        <v>0</v>
      </c>
    </row>
    <row r="11182" spans="13:16">
      <c r="M11182" s="49">
        <f>IF($A$4+111&gt;$B$4,"",$A$4+111)</f>
        <v>46134</v>
      </c>
      <c r="N11182">
        <f>IF(M11182="","",'Master Barang'!A76)</f>
        <v>0</v>
      </c>
      <c r="O11182">
        <f>IF(N11182="","",'Master Barang'!B76)</f>
        <v>0</v>
      </c>
      <c r="P11182">
        <f>IF(OR(M11182="",N11182=""),"",SUMIFS('Barang Keluar'!$E:$E,'Barang Keluar'!$A:$A,M11182,'Barang Keluar'!$C:$C,N11182))</f>
        <v>0</v>
      </c>
    </row>
    <row r="11183" spans="13:16">
      <c r="M11183" s="49">
        <f>IF($A$4+111&gt;$B$4,"",$A$4+111)</f>
        <v>46134</v>
      </c>
      <c r="N11183">
        <f>IF(M11183="","",'Master Barang'!A77)</f>
        <v>0</v>
      </c>
      <c r="O11183">
        <f>IF(N11183="","",'Master Barang'!B77)</f>
        <v>0</v>
      </c>
      <c r="P11183">
        <f>IF(OR(M11183="",N11183=""),"",SUMIFS('Barang Keluar'!$E:$E,'Barang Keluar'!$A:$A,M11183,'Barang Keluar'!$C:$C,N11183))</f>
        <v>0</v>
      </c>
    </row>
    <row r="11184" spans="13:16">
      <c r="M11184" s="49">
        <f>IF($A$4+111&gt;$B$4,"",$A$4+111)</f>
        <v>46134</v>
      </c>
      <c r="N11184">
        <f>IF(M11184="","",'Master Barang'!A78)</f>
        <v>0</v>
      </c>
      <c r="O11184">
        <f>IF(N11184="","",'Master Barang'!B78)</f>
        <v>0</v>
      </c>
      <c r="P11184">
        <f>IF(OR(M11184="",N11184=""),"",SUMIFS('Barang Keluar'!$E:$E,'Barang Keluar'!$A:$A,M11184,'Barang Keluar'!$C:$C,N11184))</f>
        <v>0</v>
      </c>
    </row>
    <row r="11185" spans="13:16">
      <c r="M11185" s="49">
        <f>IF($A$4+111&gt;$B$4,"",$A$4+111)</f>
        <v>46134</v>
      </c>
      <c r="N11185">
        <f>IF(M11185="","",'Master Barang'!A79)</f>
        <v>0</v>
      </c>
      <c r="O11185">
        <f>IF(N11185="","",'Master Barang'!B79)</f>
        <v>0</v>
      </c>
      <c r="P11185">
        <f>IF(OR(M11185="",N11185=""),"",SUMIFS('Barang Keluar'!$E:$E,'Barang Keluar'!$A:$A,M11185,'Barang Keluar'!$C:$C,N11185))</f>
        <v>0</v>
      </c>
    </row>
    <row r="11186" spans="13:16">
      <c r="M11186" s="49">
        <f>IF($A$4+111&gt;$B$4,"",$A$4+111)</f>
        <v>46134</v>
      </c>
      <c r="N11186">
        <f>IF(M11186="","",'Master Barang'!A80)</f>
        <v>0</v>
      </c>
      <c r="O11186">
        <f>IF(N11186="","",'Master Barang'!B80)</f>
        <v>0</v>
      </c>
      <c r="P11186">
        <f>IF(OR(M11186="",N11186=""),"",SUMIFS('Barang Keluar'!$E:$E,'Barang Keluar'!$A:$A,M11186,'Barang Keluar'!$C:$C,N11186))</f>
        <v>0</v>
      </c>
    </row>
    <row r="11187" spans="13:16">
      <c r="M11187" s="49">
        <f>IF($A$4+111&gt;$B$4,"",$A$4+111)</f>
        <v>46134</v>
      </c>
      <c r="N11187">
        <f>IF(M11187="","",'Master Barang'!A81)</f>
        <v>0</v>
      </c>
      <c r="O11187">
        <f>IF(N11187="","",'Master Barang'!B81)</f>
        <v>0</v>
      </c>
      <c r="P11187">
        <f>IF(OR(M11187="",N11187=""),"",SUMIFS('Barang Keluar'!$E:$E,'Barang Keluar'!$A:$A,M11187,'Barang Keluar'!$C:$C,N11187))</f>
        <v>0</v>
      </c>
    </row>
    <row r="11188" spans="13:16">
      <c r="M11188" s="49">
        <f>IF($A$4+111&gt;$B$4,"",$A$4+111)</f>
        <v>46134</v>
      </c>
      <c r="N11188">
        <f>IF(M11188="","",'Master Barang'!A82)</f>
        <v>0</v>
      </c>
      <c r="O11188">
        <f>IF(N11188="","",'Master Barang'!B82)</f>
        <v>0</v>
      </c>
      <c r="P11188">
        <f>IF(OR(M11188="",N11188=""),"",SUMIFS('Barang Keluar'!$E:$E,'Barang Keluar'!$A:$A,M11188,'Barang Keluar'!$C:$C,N11188))</f>
        <v>0</v>
      </c>
    </row>
    <row r="11189" spans="13:16">
      <c r="M11189" s="49">
        <f>IF($A$4+111&gt;$B$4,"",$A$4+111)</f>
        <v>46134</v>
      </c>
      <c r="N11189">
        <f>IF(M11189="","",'Master Barang'!A83)</f>
        <v>0</v>
      </c>
      <c r="O11189">
        <f>IF(N11189="","",'Master Barang'!B83)</f>
        <v>0</v>
      </c>
      <c r="P11189">
        <f>IF(OR(M11189="",N11189=""),"",SUMIFS('Barang Keluar'!$E:$E,'Barang Keluar'!$A:$A,M11189,'Barang Keluar'!$C:$C,N11189))</f>
        <v>0</v>
      </c>
    </row>
    <row r="11190" spans="13:16">
      <c r="M11190" s="49">
        <f>IF($A$4+111&gt;$B$4,"",$A$4+111)</f>
        <v>46134</v>
      </c>
      <c r="N11190">
        <f>IF(M11190="","",'Master Barang'!A84)</f>
        <v>0</v>
      </c>
      <c r="O11190">
        <f>IF(N11190="","",'Master Barang'!B84)</f>
        <v>0</v>
      </c>
      <c r="P11190">
        <f>IF(OR(M11190="",N11190=""),"",SUMIFS('Barang Keluar'!$E:$E,'Barang Keluar'!$A:$A,M11190,'Barang Keluar'!$C:$C,N11190))</f>
        <v>0</v>
      </c>
    </row>
    <row r="11191" spans="13:16">
      <c r="M11191" s="49">
        <f>IF($A$4+111&gt;$B$4,"",$A$4+111)</f>
        <v>46134</v>
      </c>
      <c r="N11191">
        <f>IF(M11191="","",'Master Barang'!A85)</f>
        <v>0</v>
      </c>
      <c r="O11191">
        <f>IF(N11191="","",'Master Barang'!B85)</f>
        <v>0</v>
      </c>
      <c r="P11191">
        <f>IF(OR(M11191="",N11191=""),"",SUMIFS('Barang Keluar'!$E:$E,'Barang Keluar'!$A:$A,M11191,'Barang Keluar'!$C:$C,N11191))</f>
        <v>0</v>
      </c>
    </row>
    <row r="11192" spans="13:16">
      <c r="M11192" s="49">
        <f>IF($A$4+111&gt;$B$4,"",$A$4+111)</f>
        <v>46134</v>
      </c>
      <c r="N11192">
        <f>IF(M11192="","",'Master Barang'!A86)</f>
        <v>0</v>
      </c>
      <c r="O11192">
        <f>IF(N11192="","",'Master Barang'!B86)</f>
        <v>0</v>
      </c>
      <c r="P11192">
        <f>IF(OR(M11192="",N11192=""),"",SUMIFS('Barang Keluar'!$E:$E,'Barang Keluar'!$A:$A,M11192,'Barang Keluar'!$C:$C,N11192))</f>
        <v>0</v>
      </c>
    </row>
    <row r="11193" spans="13:16">
      <c r="M11193" s="49">
        <f>IF($A$4+111&gt;$B$4,"",$A$4+111)</f>
        <v>46134</v>
      </c>
      <c r="N11193">
        <f>IF(M11193="","",'Master Barang'!A87)</f>
        <v>0</v>
      </c>
      <c r="O11193">
        <f>IF(N11193="","",'Master Barang'!B87)</f>
        <v>0</v>
      </c>
      <c r="P11193">
        <f>IF(OR(M11193="",N11193=""),"",SUMIFS('Barang Keluar'!$E:$E,'Barang Keluar'!$A:$A,M11193,'Barang Keluar'!$C:$C,N11193))</f>
        <v>0</v>
      </c>
    </row>
    <row r="11194" spans="13:16">
      <c r="M11194" s="49">
        <f>IF($A$4+111&gt;$B$4,"",$A$4+111)</f>
        <v>46134</v>
      </c>
      <c r="N11194">
        <f>IF(M11194="","",'Master Barang'!A88)</f>
        <v>0</v>
      </c>
      <c r="O11194">
        <f>IF(N11194="","",'Master Barang'!B88)</f>
        <v>0</v>
      </c>
      <c r="P11194">
        <f>IF(OR(M11194="",N11194=""),"",SUMIFS('Barang Keluar'!$E:$E,'Barang Keluar'!$A:$A,M11194,'Barang Keluar'!$C:$C,N11194))</f>
        <v>0</v>
      </c>
    </row>
    <row r="11195" spans="13:16">
      <c r="M11195" s="49">
        <f>IF($A$4+111&gt;$B$4,"",$A$4+111)</f>
        <v>46134</v>
      </c>
      <c r="N11195">
        <f>IF(M11195="","",'Master Barang'!A89)</f>
        <v>0</v>
      </c>
      <c r="O11195">
        <f>IF(N11195="","",'Master Barang'!B89)</f>
        <v>0</v>
      </c>
      <c r="P11195">
        <f>IF(OR(M11195="",N11195=""),"",SUMIFS('Barang Keluar'!$E:$E,'Barang Keluar'!$A:$A,M11195,'Barang Keluar'!$C:$C,N11195))</f>
        <v>0</v>
      </c>
    </row>
    <row r="11196" spans="13:16">
      <c r="M11196" s="49">
        <f>IF($A$4+111&gt;$B$4,"",$A$4+111)</f>
        <v>46134</v>
      </c>
      <c r="N11196">
        <f>IF(M11196="","",'Master Barang'!A90)</f>
        <v>0</v>
      </c>
      <c r="O11196">
        <f>IF(N11196="","",'Master Barang'!B90)</f>
        <v>0</v>
      </c>
      <c r="P11196">
        <f>IF(OR(M11196="",N11196=""),"",SUMIFS('Barang Keluar'!$E:$E,'Barang Keluar'!$A:$A,M11196,'Barang Keluar'!$C:$C,N11196))</f>
        <v>0</v>
      </c>
    </row>
    <row r="11197" spans="13:16">
      <c r="M11197" s="49">
        <f>IF($A$4+111&gt;$B$4,"",$A$4+111)</f>
        <v>46134</v>
      </c>
      <c r="N11197">
        <f>IF(M11197="","",'Master Barang'!A91)</f>
        <v>0</v>
      </c>
      <c r="O11197">
        <f>IF(N11197="","",'Master Barang'!B91)</f>
        <v>0</v>
      </c>
      <c r="P11197">
        <f>IF(OR(M11197="",N11197=""),"",SUMIFS('Barang Keluar'!$E:$E,'Barang Keluar'!$A:$A,M11197,'Barang Keluar'!$C:$C,N11197))</f>
        <v>0</v>
      </c>
    </row>
    <row r="11198" spans="13:16">
      <c r="M11198" s="49">
        <f>IF($A$4+111&gt;$B$4,"",$A$4+111)</f>
        <v>46134</v>
      </c>
      <c r="N11198">
        <f>IF(M11198="","",'Master Barang'!A92)</f>
        <v>0</v>
      </c>
      <c r="O11198">
        <f>IF(N11198="","",'Master Barang'!B92)</f>
        <v>0</v>
      </c>
      <c r="P11198">
        <f>IF(OR(M11198="",N11198=""),"",SUMIFS('Barang Keluar'!$E:$E,'Barang Keluar'!$A:$A,M11198,'Barang Keluar'!$C:$C,N11198))</f>
        <v>0</v>
      </c>
    </row>
    <row r="11199" spans="13:16">
      <c r="M11199" s="49">
        <f>IF($A$4+111&gt;$B$4,"",$A$4+111)</f>
        <v>46134</v>
      </c>
      <c r="N11199">
        <f>IF(M11199="","",'Master Barang'!A93)</f>
        <v>0</v>
      </c>
      <c r="O11199">
        <f>IF(N11199="","",'Master Barang'!B93)</f>
        <v>0</v>
      </c>
      <c r="P11199">
        <f>IF(OR(M11199="",N11199=""),"",SUMIFS('Barang Keluar'!$E:$E,'Barang Keluar'!$A:$A,M11199,'Barang Keluar'!$C:$C,N11199))</f>
        <v>0</v>
      </c>
    </row>
    <row r="11200" spans="13:16">
      <c r="M11200" s="49">
        <f>IF($A$4+111&gt;$B$4,"",$A$4+111)</f>
        <v>46134</v>
      </c>
      <c r="N11200">
        <f>IF(M11200="","",'Master Barang'!A94)</f>
        <v>0</v>
      </c>
      <c r="O11200">
        <f>IF(N11200="","",'Master Barang'!B94)</f>
        <v>0</v>
      </c>
      <c r="P11200">
        <f>IF(OR(M11200="",N11200=""),"",SUMIFS('Barang Keluar'!$E:$E,'Barang Keluar'!$A:$A,M11200,'Barang Keluar'!$C:$C,N11200))</f>
        <v>0</v>
      </c>
    </row>
    <row r="11201" spans="13:16">
      <c r="M11201" s="49">
        <f>IF($A$4+111&gt;$B$4,"",$A$4+111)</f>
        <v>46134</v>
      </c>
      <c r="N11201">
        <f>IF(M11201="","",'Master Barang'!A95)</f>
        <v>0</v>
      </c>
      <c r="O11201">
        <f>IF(N11201="","",'Master Barang'!B95)</f>
        <v>0</v>
      </c>
      <c r="P11201">
        <f>IF(OR(M11201="",N11201=""),"",SUMIFS('Barang Keluar'!$E:$E,'Barang Keluar'!$A:$A,M11201,'Barang Keluar'!$C:$C,N11201))</f>
        <v>0</v>
      </c>
    </row>
    <row r="11202" spans="13:16">
      <c r="M11202" s="49">
        <f>IF($A$4+111&gt;$B$4,"",$A$4+111)</f>
        <v>46134</v>
      </c>
      <c r="N11202">
        <f>IF(M11202="","",'Master Barang'!A96)</f>
        <v>0</v>
      </c>
      <c r="O11202">
        <f>IF(N11202="","",'Master Barang'!B96)</f>
        <v>0</v>
      </c>
      <c r="P11202">
        <f>IF(OR(M11202="",N11202=""),"",SUMIFS('Barang Keluar'!$E:$E,'Barang Keluar'!$A:$A,M11202,'Barang Keluar'!$C:$C,N11202))</f>
        <v>0</v>
      </c>
    </row>
    <row r="11203" spans="13:16">
      <c r="M11203" s="49">
        <f>IF($A$4+111&gt;$B$4,"",$A$4+111)</f>
        <v>46134</v>
      </c>
      <c r="N11203">
        <f>IF(M11203="","",'Master Barang'!A97)</f>
        <v>0</v>
      </c>
      <c r="O11203">
        <f>IF(N11203="","",'Master Barang'!B97)</f>
        <v>0</v>
      </c>
      <c r="P11203">
        <f>IF(OR(M11203="",N11203=""),"",SUMIFS('Barang Keluar'!$E:$E,'Barang Keluar'!$A:$A,M11203,'Barang Keluar'!$C:$C,N11203))</f>
        <v>0</v>
      </c>
    </row>
    <row r="11204" spans="13:16">
      <c r="M11204" s="49">
        <f>IF($A$4+111&gt;$B$4,"",$A$4+111)</f>
        <v>46134</v>
      </c>
      <c r="N11204">
        <f>IF(M11204="","",'Master Barang'!A98)</f>
        <v>0</v>
      </c>
      <c r="O11204">
        <f>IF(N11204="","",'Master Barang'!B98)</f>
        <v>0</v>
      </c>
      <c r="P11204">
        <f>IF(OR(M11204="",N11204=""),"",SUMIFS('Barang Keluar'!$E:$E,'Barang Keluar'!$A:$A,M11204,'Barang Keluar'!$C:$C,N11204))</f>
        <v>0</v>
      </c>
    </row>
    <row r="11205" spans="13:16">
      <c r="M11205" s="49">
        <f>IF($A$4+111&gt;$B$4,"",$A$4+111)</f>
        <v>46134</v>
      </c>
      <c r="N11205">
        <f>IF(M11205="","",'Master Barang'!A99)</f>
        <v>0</v>
      </c>
      <c r="O11205">
        <f>IF(N11205="","",'Master Barang'!B99)</f>
        <v>0</v>
      </c>
      <c r="P11205">
        <f>IF(OR(M11205="",N11205=""),"",SUMIFS('Barang Keluar'!$E:$E,'Barang Keluar'!$A:$A,M11205,'Barang Keluar'!$C:$C,N11205))</f>
        <v>0</v>
      </c>
    </row>
    <row r="11206" spans="13:16">
      <c r="M11206" s="49">
        <f>IF($A$4+111&gt;$B$4,"",$A$4+111)</f>
        <v>46134</v>
      </c>
      <c r="N11206">
        <f>IF(M11206="","",'Master Barang'!A100)</f>
        <v>0</v>
      </c>
      <c r="O11206">
        <f>IF(N11206="","",'Master Barang'!B100)</f>
        <v>0</v>
      </c>
      <c r="P11206">
        <f>IF(OR(M11206="",N11206=""),"",SUMIFS('Barang Keluar'!$E:$E,'Barang Keluar'!$A:$A,M11206,'Barang Keluar'!$C:$C,N11206))</f>
        <v>0</v>
      </c>
    </row>
    <row r="11207" spans="13:16">
      <c r="M11207" s="49">
        <f>IF($A$4+111&gt;$B$4,"",$A$4+111)</f>
        <v>46134</v>
      </c>
      <c r="N11207">
        <f>IF(M11207="","",'Master Barang'!A101)</f>
        <v>0</v>
      </c>
      <c r="O11207">
        <f>IF(N11207="","",'Master Barang'!B101)</f>
        <v>0</v>
      </c>
      <c r="P11207">
        <f>IF(OR(M11207="",N11207=""),"",SUMIFS('Barang Keluar'!$E:$E,'Barang Keluar'!$A:$A,M11207,'Barang Keluar'!$C:$C,N11207))</f>
        <v>0</v>
      </c>
    </row>
    <row r="11208" spans="13:16">
      <c r="M11208" s="49">
        <f>IF($A$4+112&gt;$B$4,"",$A$4+112)</f>
        <v>46135</v>
      </c>
      <c r="N11208" t="str">
        <f>IF(M11208="","",'Master Barang'!A2)</f>
        <v>PRL-001</v>
      </c>
      <c r="O11208" t="str">
        <f>IF(N11208="","",'Master Barang'!B2)</f>
        <v>natura desinfectant food grade 5l</v>
      </c>
      <c r="P11208">
        <f>IF(OR(M11208="",N11208=""),"",SUMIFS('Barang Keluar'!$E:$E,'Barang Keluar'!$A:$A,M11208,'Barang Keluar'!$C:$C,N11208))</f>
        <v>0</v>
      </c>
    </row>
    <row r="11209" spans="13:16">
      <c r="M11209" s="49">
        <f>IF($A$4+112&gt;$B$4,"",$A$4+112)</f>
        <v>46135</v>
      </c>
      <c r="N11209" t="str">
        <f>IF(M11209="","",'Master Barang'!A3)</f>
        <v>PRL-002</v>
      </c>
      <c r="O11209" t="str">
        <f>IF(N11209="","",'Master Barang'!B3)</f>
        <v>sunlight cairan pencuci piring 5l</v>
      </c>
      <c r="P11209">
        <f>IF(OR(M11209="",N11209=""),"",SUMIFS('Barang Keluar'!$E:$E,'Barang Keluar'!$A:$A,M11209,'Barang Keluar'!$C:$C,N11209))</f>
        <v>0</v>
      </c>
    </row>
    <row r="11210" spans="13:16">
      <c r="M11210" s="49">
        <f>IF($A$4+112&gt;$B$4,"",$A$4+112)</f>
        <v>46135</v>
      </c>
      <c r="N11210" t="str">
        <f>IF(M11210="","",'Master Barang'!A4)</f>
        <v>PRL-003</v>
      </c>
      <c r="O11210" t="str">
        <f>IF(N11210="","",'Master Barang'!B4)</f>
        <v>oixs cleaner 1l</v>
      </c>
      <c r="P11210">
        <f>IF(OR(M11210="",N11210=""),"",SUMIFS('Barang Keluar'!$E:$E,'Barang Keluar'!$A:$A,M11210,'Barang Keluar'!$C:$C,N11210))</f>
        <v>0</v>
      </c>
    </row>
    <row r="11211" spans="13:16">
      <c r="M11211" s="49">
        <f>IF($A$4+112&gt;$B$4,"",$A$4+112)</f>
        <v>46135</v>
      </c>
      <c r="N11211" t="str">
        <f>IF(M11211="","",'Master Barang'!A5)</f>
        <v>PRL-004</v>
      </c>
      <c r="O11211" t="str">
        <f>IF(N11211="","",'Master Barang'!B5)</f>
        <v>be clean tissue serbaguna</v>
      </c>
      <c r="P11211">
        <f>IF(OR(M11211="",N11211=""),"",SUMIFS('Barang Keluar'!$E:$E,'Barang Keluar'!$A:$A,M11211,'Barang Keluar'!$C:$C,N11211))</f>
        <v>0</v>
      </c>
    </row>
    <row r="11212" spans="13:16">
      <c r="M11212" s="49">
        <f>IF($A$4+112&gt;$B$4,"",$A$4+112)</f>
        <v>46135</v>
      </c>
      <c r="N11212" t="str">
        <f>IF(M11212="","",'Master Barang'!A6)</f>
        <v>PRL-005</v>
      </c>
      <c r="O11212" t="str">
        <f>IF(N11212="","",'Master Barang'!B6)</f>
        <v>spons cuci hijau</v>
      </c>
      <c r="P11212">
        <f>IF(OR(M11212="",N11212=""),"",SUMIFS('Barang Keluar'!$E:$E,'Barang Keluar'!$A:$A,M11212,'Barang Keluar'!$C:$C,N11212))</f>
        <v>0</v>
      </c>
    </row>
    <row r="11213" spans="13:16">
      <c r="M11213" s="49">
        <f>IF($A$4+112&gt;$B$4,"",$A$4+112)</f>
        <v>46135</v>
      </c>
      <c r="N11213" t="str">
        <f>IF(M11213="","",'Master Barang'!A7)</f>
        <v>PRL-006</v>
      </c>
      <c r="O11213" t="str">
        <f>IF(N11213="","",'Master Barang'!B7)</f>
        <v>sabut cuci stainless</v>
      </c>
      <c r="P11213">
        <f>IF(OR(M11213="",N11213=""),"",SUMIFS('Barang Keluar'!$E:$E,'Barang Keluar'!$A:$A,M11213,'Barang Keluar'!$C:$C,N11213))</f>
        <v>0</v>
      </c>
    </row>
    <row r="11214" spans="13:16">
      <c r="M11214" s="49">
        <f>IF($A$4+112&gt;$B$4,"",$A$4+112)</f>
        <v>46135</v>
      </c>
      <c r="N11214" t="str">
        <f>IF(M11214="","",'Master Barang'!A8)</f>
        <v>PRL-007</v>
      </c>
      <c r="O11214" t="str">
        <f>IF(N11214="","",'Master Barang'!B8)</f>
        <v>plastik kresek besar merah 50pc</v>
      </c>
      <c r="P11214">
        <f>IF(OR(M11214="",N11214=""),"",SUMIFS('Barang Keluar'!$E:$E,'Barang Keluar'!$A:$A,M11214,'Barang Keluar'!$C:$C,N11214))</f>
        <v>0</v>
      </c>
    </row>
    <row r="11215" spans="13:16">
      <c r="M11215" s="49">
        <f>IF($A$4+112&gt;$B$4,"",$A$4+112)</f>
        <v>46135</v>
      </c>
      <c r="N11215" t="str">
        <f>IF(M11215="","",'Master Barang'!A9)</f>
        <v>PRL-008</v>
      </c>
      <c r="O11215" t="str">
        <f>IF(N11215="","",'Master Barang'!B9)</f>
        <v>lap besar</v>
      </c>
      <c r="P11215">
        <f>IF(OR(M11215="",N11215=""),"",SUMIFS('Barang Keluar'!$E:$E,'Barang Keluar'!$A:$A,M11215,'Barang Keluar'!$C:$C,N11215))</f>
        <v>0</v>
      </c>
    </row>
    <row r="11216" spans="13:16">
      <c r="M11216" s="49">
        <f>IF($A$4+112&gt;$B$4,"",$A$4+112)</f>
        <v>46135</v>
      </c>
      <c r="N11216" t="str">
        <f>IF(M11216="","",'Master Barang'!A10)</f>
        <v>PRL-009</v>
      </c>
      <c r="O11216" t="str">
        <f>IF(N11216="","",'Master Barang'!B10)</f>
        <v>lap microfiber</v>
      </c>
      <c r="P11216">
        <f>IF(OR(M11216="",N11216=""),"",SUMIFS('Barang Keluar'!$E:$E,'Barang Keluar'!$A:$A,M11216,'Barang Keluar'!$C:$C,N11216))</f>
        <v>0</v>
      </c>
    </row>
    <row r="11217" spans="13:16">
      <c r="M11217" s="49">
        <f>IF($A$4+112&gt;$B$4,"",$A$4+112)</f>
        <v>46135</v>
      </c>
      <c r="N11217" t="str">
        <f>IF(M11217="","",'Master Barang'!A11)</f>
        <v>PRL-010</v>
      </c>
      <c r="O11217" t="str">
        <f>IF(N11217="","",'Master Barang'!B11)</f>
        <v>lap kecil</v>
      </c>
      <c r="P11217">
        <f>IF(OR(M11217="",N11217=""),"",SUMIFS('Barang Keluar'!$E:$E,'Barang Keluar'!$A:$A,M11217,'Barang Keluar'!$C:$C,N11217))</f>
        <v>0</v>
      </c>
    </row>
    <row r="11218" spans="13:16">
      <c r="M11218" s="49">
        <f>IF($A$4+112&gt;$B$4,"",$A$4+112)</f>
        <v>46135</v>
      </c>
      <c r="N11218" t="str">
        <f>IF(M11218="","",'Master Barang'!A12)</f>
        <v>PRL-011</v>
      </c>
      <c r="O11218" t="str">
        <f>IF(N11218="","",'Master Barang'!B12)</f>
        <v>kanebo kecil</v>
      </c>
      <c r="P11218">
        <f>IF(OR(M11218="",N11218=""),"",SUMIFS('Barang Keluar'!$E:$E,'Barang Keluar'!$A:$A,M11218,'Barang Keluar'!$C:$C,N11218))</f>
        <v>0</v>
      </c>
    </row>
    <row r="11219" spans="13:16">
      <c r="M11219" s="49">
        <f>IF($A$4+112&gt;$B$4,"",$A$4+112)</f>
        <v>46135</v>
      </c>
      <c r="N11219" t="str">
        <f>IF(M11219="","",'Master Barang'!A13)</f>
        <v>PRL-012</v>
      </c>
      <c r="O11219" t="str">
        <f>IF(N11219="","",'Master Barang'!B13)</f>
        <v>plastik 1/4kg joyoboyo 100 lembar</v>
      </c>
      <c r="P11219">
        <f>IF(OR(M11219="",N11219=""),"",SUMIFS('Barang Keluar'!$E:$E,'Barang Keluar'!$A:$A,M11219,'Barang Keluar'!$C:$C,N11219))</f>
        <v>0</v>
      </c>
    </row>
    <row r="11220" spans="13:16">
      <c r="M11220" s="49">
        <f>IF($A$4+112&gt;$B$4,"",$A$4+112)</f>
        <v>46135</v>
      </c>
      <c r="N11220" t="str">
        <f>IF(M11220="","",'Master Barang'!A14)</f>
        <v>PRL-013</v>
      </c>
      <c r="O11220" t="str">
        <f>IF(N11220="","",'Master Barang'!B14)</f>
        <v>sarung tangan plastik kaka 100 pcs</v>
      </c>
      <c r="P11220">
        <f>IF(OR(M11220="",N11220=""),"",SUMIFS('Barang Keluar'!$E:$E,'Barang Keluar'!$A:$A,M11220,'Barang Keluar'!$C:$C,N11220))</f>
        <v>0</v>
      </c>
    </row>
    <row r="11221" spans="13:16">
      <c r="M11221" s="49">
        <f>IF($A$4+112&gt;$B$4,"",$A$4+112)</f>
        <v>46135</v>
      </c>
      <c r="N11221" t="str">
        <f>IF(M11221="","",'Master Barang'!A15)</f>
        <v>PRL-014</v>
      </c>
      <c r="O11221" t="str">
        <f>IF(N11221="","",'Master Barang'!B15)</f>
        <v>optima trashbag 80x100</v>
      </c>
      <c r="P11221">
        <f>IF(OR(M11221="",N11221=""),"",SUMIFS('Barang Keluar'!$E:$E,'Barang Keluar'!$A:$A,M11221,'Barang Keluar'!$C:$C,N11221))</f>
        <v>0</v>
      </c>
    </row>
    <row r="11222" spans="13:16">
      <c r="M11222" s="49">
        <f>IF($A$4+112&gt;$B$4,"",$A$4+112)</f>
        <v>46135</v>
      </c>
      <c r="N11222" t="str">
        <f>IF(M11222="","",'Master Barang'!A16)</f>
        <v>PRL-015</v>
      </c>
      <c r="O11222" t="str">
        <f>IF(N11222="","",'Master Barang'!B16)</f>
        <v>optima trashbag 60x100</v>
      </c>
      <c r="P11222">
        <f>IF(OR(M11222="",N11222=""),"",SUMIFS('Barang Keluar'!$E:$E,'Barang Keluar'!$A:$A,M11222,'Barang Keluar'!$C:$C,N11222))</f>
        <v>0</v>
      </c>
    </row>
    <row r="11223" spans="13:16">
      <c r="M11223" s="49">
        <f>IF($A$4+112&gt;$B$4,"",$A$4+112)</f>
        <v>46135</v>
      </c>
      <c r="N11223" t="str">
        <f>IF(M11223="","",'Master Barang'!A17)</f>
        <v>PRL-016</v>
      </c>
      <c r="O11223" t="str">
        <f>IF(N11223="","",'Master Barang'!B17)</f>
        <v>rajawali trashbag 30x40</v>
      </c>
      <c r="P11223">
        <f>IF(OR(M11223="",N11223=""),"",SUMIFS('Barang Keluar'!$E:$E,'Barang Keluar'!$A:$A,M11223,'Barang Keluar'!$C:$C,N11223))</f>
        <v>0</v>
      </c>
    </row>
    <row r="11224" spans="13:16">
      <c r="M11224" s="49">
        <f>IF($A$4+112&gt;$B$4,"",$A$4+112)</f>
        <v>46135</v>
      </c>
      <c r="N11224" t="str">
        <f>IF(M11224="","",'Master Barang'!A18)</f>
        <v>PRL-017</v>
      </c>
      <c r="O11224" t="str">
        <f>IF(N11224="","",'Master Barang'!B18)</f>
        <v>onemed masker biru 3 play 50 pcs</v>
      </c>
      <c r="P11224">
        <f>IF(OR(M11224="",N11224=""),"",SUMIFS('Barang Keluar'!$E:$E,'Barang Keluar'!$A:$A,M11224,'Barang Keluar'!$C:$C,N11224))</f>
        <v>0</v>
      </c>
    </row>
    <row r="11225" spans="13:16">
      <c r="M11225" s="49">
        <f>IF($A$4+112&gt;$B$4,"",$A$4+112)</f>
        <v>46135</v>
      </c>
      <c r="N11225" t="str">
        <f>IF(M11225="","",'Master Barang'!A19)</f>
        <v>PRL-018</v>
      </c>
      <c r="O11225" t="str">
        <f>IF(N11225="","",'Master Barang'!B19)</f>
        <v>onemed masker biru 3 play hijab 50 pcs</v>
      </c>
      <c r="P11225">
        <f>IF(OR(M11225="",N11225=""),"",SUMIFS('Barang Keluar'!$E:$E,'Barang Keluar'!$A:$A,M11225,'Barang Keluar'!$C:$C,N11225))</f>
        <v>0</v>
      </c>
    </row>
    <row r="11226" spans="13:16">
      <c r="M11226" s="49">
        <f>IF($A$4+112&gt;$B$4,"",$A$4+112)</f>
        <v>46135</v>
      </c>
      <c r="N11226" t="str">
        <f>IF(M11226="","",'Master Barang'!A20)</f>
        <v>PRL-019</v>
      </c>
      <c r="O11226" t="str">
        <f>IF(N11226="","",'Master Barang'!B20)</f>
        <v>neo health masker biru 3 play 50 pcs</v>
      </c>
      <c r="P11226">
        <f>IF(OR(M11226="",N11226=""),"",SUMIFS('Barang Keluar'!$E:$E,'Barang Keluar'!$A:$A,M11226,'Barang Keluar'!$C:$C,N11226))</f>
        <v>0</v>
      </c>
    </row>
    <row r="11227" spans="13:16">
      <c r="M11227" s="49">
        <f>IF($A$4+112&gt;$B$4,"",$A$4+112)</f>
        <v>46135</v>
      </c>
      <c r="N11227" t="str">
        <f>IF(M11227="","",'Master Barang'!A21)</f>
        <v>PRL-020</v>
      </c>
      <c r="O11227" t="str">
        <f>IF(N11227="","",'Master Barang'!B21)</f>
        <v>baymed masker hijau 3 play hijau 50 pcs</v>
      </c>
      <c r="P11227">
        <f>IF(OR(M11227="",N11227=""),"",SUMIFS('Barang Keluar'!$E:$E,'Barang Keluar'!$A:$A,M11227,'Barang Keluar'!$C:$C,N11227))</f>
        <v>0</v>
      </c>
    </row>
    <row r="11228" spans="13:16">
      <c r="M11228" s="49">
        <f>IF($A$4+112&gt;$B$4,"",$A$4+112)</f>
        <v>46135</v>
      </c>
      <c r="N11228" t="str">
        <f>IF(M11228="","",'Master Barang'!A22)</f>
        <v>PRL-021</v>
      </c>
      <c r="O11228" t="str">
        <f>IF(N11228="","",'Master Barang'!B22)</f>
        <v>altamed nurse cap penutup kepala 100 pcs</v>
      </c>
      <c r="P11228">
        <f>IF(OR(M11228="",N11228=""),"",SUMIFS('Barang Keluar'!$E:$E,'Barang Keluar'!$A:$A,M11228,'Barang Keluar'!$C:$C,N11228))</f>
        <v>0</v>
      </c>
    </row>
    <row r="11229" spans="13:16">
      <c r="M11229" s="49">
        <f>IF($A$4+112&gt;$B$4,"",$A$4+112)</f>
        <v>46135</v>
      </c>
      <c r="N11229" t="str">
        <f>IF(M11229="","",'Master Barang'!A23)</f>
        <v>PRL-022</v>
      </c>
      <c r="O11229" t="str">
        <f>IF(N11229="","",'Master Barang'!B23)</f>
        <v>sabun cuci tangan</v>
      </c>
      <c r="P11229">
        <f>IF(OR(M11229="",N11229=""),"",SUMIFS('Barang Keluar'!$E:$E,'Barang Keluar'!$A:$A,M11229,'Barang Keluar'!$C:$C,N11229))</f>
        <v>0</v>
      </c>
    </row>
    <row r="11230" spans="13:16">
      <c r="M11230" s="49">
        <f>IF($A$4+112&gt;$B$4,"",$A$4+112)</f>
        <v>46135</v>
      </c>
      <c r="N11230" t="str">
        <f>IF(M11230="","",'Master Barang'!A24)</f>
        <v>PRL-023</v>
      </c>
      <c r="O11230" t="str">
        <f>IF(N11230="","",'Master Barang'!B24)</f>
        <v>gayung kecil</v>
      </c>
      <c r="P11230">
        <f>IF(OR(M11230="",N11230=""),"",SUMIFS('Barang Keluar'!$E:$E,'Barang Keluar'!$A:$A,M11230,'Barang Keluar'!$C:$C,N11230))</f>
        <v>0</v>
      </c>
    </row>
    <row r="11231" spans="13:16">
      <c r="M11231" s="49">
        <f>IF($A$4+112&gt;$B$4,"",$A$4+112)</f>
        <v>46135</v>
      </c>
      <c r="N11231" t="str">
        <f>IF(M11231="","",'Master Barang'!A25)</f>
        <v>PRL-024</v>
      </c>
      <c r="O11231" t="str">
        <f>IF(N11231="","",'Master Barang'!B25)</f>
        <v>cikrak kecil</v>
      </c>
      <c r="P11231">
        <f>IF(OR(M11231="",N11231=""),"",SUMIFS('Barang Keluar'!$E:$E,'Barang Keluar'!$A:$A,M11231,'Barang Keluar'!$C:$C,N11231))</f>
        <v>0</v>
      </c>
    </row>
    <row r="11232" spans="13:16">
      <c r="M11232" s="49">
        <f>IF($A$4+112&gt;$B$4,"",$A$4+112)</f>
        <v>46135</v>
      </c>
      <c r="N11232" t="str">
        <f>IF(M11232="","",'Master Barang'!A26)</f>
        <v>PRL-025</v>
      </c>
      <c r="O11232" t="str">
        <f>IF(N11232="","",'Master Barang'!B26)</f>
        <v>petromax plastik kecil 12x24 100 lembar</v>
      </c>
      <c r="P11232">
        <f>IF(OR(M11232="",N11232=""),"",SUMIFS('Barang Keluar'!$E:$E,'Barang Keluar'!$A:$A,M11232,'Barang Keluar'!$C:$C,N11232))</f>
        <v>0</v>
      </c>
    </row>
    <row r="11233" spans="13:16">
      <c r="M11233" s="49">
        <f>IF($A$4+112&gt;$B$4,"",$A$4+112)</f>
        <v>46135</v>
      </c>
      <c r="N11233" t="str">
        <f>IF(M11233="","",'Master Barang'!A27)</f>
        <v>PRL-026</v>
      </c>
      <c r="O11233" t="str">
        <f>IF(N11233="","",'Master Barang'!B27)</f>
        <v>lancar kresek kecil bening </v>
      </c>
      <c r="P11233">
        <f>IF(OR(M11233="",N11233=""),"",SUMIFS('Barang Keluar'!$E:$E,'Barang Keluar'!$A:$A,M11233,'Barang Keluar'!$C:$C,N11233))</f>
        <v>0</v>
      </c>
    </row>
    <row r="11234" spans="13:16">
      <c r="M11234" s="49">
        <f>IF($A$4+112&gt;$B$4,"",$A$4+112)</f>
        <v>46135</v>
      </c>
      <c r="N11234" t="str">
        <f>IF(M11234="","",'Master Barang'!A28)</f>
        <v>PRL-027</v>
      </c>
      <c r="O11234" t="str">
        <f>IF(N11234="","",'Master Barang'!B28)</f>
        <v>kresek klin warna warni kecil</v>
      </c>
      <c r="P11234">
        <f>IF(OR(M11234="",N11234=""),"",SUMIFS('Barang Keluar'!$E:$E,'Barang Keluar'!$A:$A,M11234,'Barang Keluar'!$C:$C,N11234))</f>
        <v>0</v>
      </c>
    </row>
    <row r="11235" spans="13:16">
      <c r="M11235" s="49">
        <f>IF($A$4+112&gt;$B$4,"",$A$4+112)</f>
        <v>46135</v>
      </c>
      <c r="N11235" t="str">
        <f>IF(M11235="","",'Master Barang'!A29)</f>
        <v>PRL-028</v>
      </c>
      <c r="O11235" t="str">
        <f>IF(N11235="","",'Master Barang'!B29)</f>
        <v>ctik plastik 7x10 100 pcs</v>
      </c>
      <c r="P11235">
        <f>IF(OR(M11235="",N11235=""),"",SUMIFS('Barang Keluar'!$E:$E,'Barang Keluar'!$A:$A,M11235,'Barang Keluar'!$C:$C,N11235))</f>
        <v>0</v>
      </c>
    </row>
    <row r="11236" spans="13:16">
      <c r="M11236" s="49">
        <f>IF($A$4+112&gt;$B$4,"",$A$4+112)</f>
        <v>46135</v>
      </c>
      <c r="N11236" t="str">
        <f>IF(M11236="","",'Master Barang'!A30)</f>
        <v>PRL-029</v>
      </c>
      <c r="O11236" t="str">
        <f>IF(N11236="","",'Master Barang'!B30)</f>
        <v>ctik plastik 6x10 100 pcs</v>
      </c>
      <c r="P11236">
        <f>IF(OR(M11236="",N11236=""),"",SUMIFS('Barang Keluar'!$E:$E,'Barang Keluar'!$A:$A,M11236,'Barang Keluar'!$C:$C,N11236))</f>
        <v>0</v>
      </c>
    </row>
    <row r="11237" spans="13:16">
      <c r="M11237" s="49">
        <f>IF($A$4+112&gt;$B$4,"",$A$4+112)</f>
        <v>46135</v>
      </c>
      <c r="N11237" t="str">
        <f>IF(M11237="","",'Master Barang'!A31)</f>
        <v>PRL-030</v>
      </c>
      <c r="O11237" t="str">
        <f>IF(N11237="","",'Master Barang'!B31)</f>
        <v>klip plastik 25x16 100 pcs</v>
      </c>
      <c r="P11237">
        <f>IF(OR(M11237="",N11237=""),"",SUMIFS('Barang Keluar'!$E:$E,'Barang Keluar'!$A:$A,M11237,'Barang Keluar'!$C:$C,N11237))</f>
        <v>0</v>
      </c>
    </row>
    <row r="11238" spans="13:16">
      <c r="M11238" s="49">
        <f>IF($A$4+112&gt;$B$4,"",$A$4+112)</f>
        <v>46135</v>
      </c>
      <c r="N11238" t="str">
        <f>IF(M11238="","",'Master Barang'!A32)</f>
        <v>PRL-031</v>
      </c>
      <c r="O11238" t="str">
        <f>IF(N11238="","",'Master Barang'!B32)</f>
        <v>tempat saus 20 ml</v>
      </c>
      <c r="P11238">
        <f>IF(OR(M11238="",N11238=""),"",SUMIFS('Barang Keluar'!$E:$E,'Barang Keluar'!$A:$A,M11238,'Barang Keluar'!$C:$C,N11238))</f>
        <v>0</v>
      </c>
    </row>
    <row r="11239" spans="13:16">
      <c r="M11239" s="49">
        <f>IF($A$4+112&gt;$B$4,"",$A$4+112)</f>
        <v>46135</v>
      </c>
      <c r="N11239" t="str">
        <f>IF(M11239="","",'Master Barang'!A33)</f>
        <v>PRL-032</v>
      </c>
      <c r="O11239" t="str">
        <f>IF(N11239="","",'Master Barang'!B33)</f>
        <v>plastik packaging ag box uk sedang</v>
      </c>
      <c r="P11239">
        <f>IF(OR(M11239="",N11239=""),"",SUMIFS('Barang Keluar'!$E:$E,'Barang Keluar'!$A:$A,M11239,'Barang Keluar'!$C:$C,N11239))</f>
        <v>0</v>
      </c>
    </row>
    <row r="11240" spans="13:16">
      <c r="M11240" s="49">
        <f>IF($A$4+112&gt;$B$4,"",$A$4+112)</f>
        <v>46135</v>
      </c>
      <c r="N11240" t="str">
        <f>IF(M11240="","",'Master Barang'!A34)</f>
        <v>PRL-033</v>
      </c>
      <c r="O11240">
        <f>IF(N11240="","",'Master Barang'!B34)</f>
        <v>0</v>
      </c>
      <c r="P11240">
        <f>IF(OR(M11240="",N11240=""),"",SUMIFS('Barang Keluar'!$E:$E,'Barang Keluar'!$A:$A,M11240,'Barang Keluar'!$C:$C,N11240))</f>
        <v>0</v>
      </c>
    </row>
    <row r="11241" spans="13:16">
      <c r="M11241" s="49">
        <f>IF($A$4+112&gt;$B$4,"",$A$4+112)</f>
        <v>46135</v>
      </c>
      <c r="N11241">
        <f>IF(M11241="","",'Master Barang'!A35)</f>
        <v>0</v>
      </c>
      <c r="O11241">
        <f>IF(N11241="","",'Master Barang'!B35)</f>
        <v>0</v>
      </c>
      <c r="P11241">
        <f>IF(OR(M11241="",N11241=""),"",SUMIFS('Barang Keluar'!$E:$E,'Barang Keluar'!$A:$A,M11241,'Barang Keluar'!$C:$C,N11241))</f>
        <v>0</v>
      </c>
    </row>
    <row r="11242" spans="13:16">
      <c r="M11242" s="49">
        <f>IF($A$4+112&gt;$B$4,"",$A$4+112)</f>
        <v>46135</v>
      </c>
      <c r="N11242">
        <f>IF(M11242="","",'Master Barang'!A36)</f>
        <v>0</v>
      </c>
      <c r="O11242">
        <f>IF(N11242="","",'Master Barang'!B36)</f>
        <v>0</v>
      </c>
      <c r="P11242">
        <f>IF(OR(M11242="",N11242=""),"",SUMIFS('Barang Keluar'!$E:$E,'Barang Keluar'!$A:$A,M11242,'Barang Keluar'!$C:$C,N11242))</f>
        <v>0</v>
      </c>
    </row>
    <row r="11243" spans="13:16">
      <c r="M11243" s="49">
        <f>IF($A$4+112&gt;$B$4,"",$A$4+112)</f>
        <v>46135</v>
      </c>
      <c r="N11243">
        <f>IF(M11243="","",'Master Barang'!A37)</f>
        <v>0</v>
      </c>
      <c r="O11243">
        <f>IF(N11243="","",'Master Barang'!B37)</f>
        <v>0</v>
      </c>
      <c r="P11243">
        <f>IF(OR(M11243="",N11243=""),"",SUMIFS('Barang Keluar'!$E:$E,'Barang Keluar'!$A:$A,M11243,'Barang Keluar'!$C:$C,N11243))</f>
        <v>0</v>
      </c>
    </row>
    <row r="11244" spans="13:16">
      <c r="M11244" s="49">
        <f>IF($A$4+112&gt;$B$4,"",$A$4+112)</f>
        <v>46135</v>
      </c>
      <c r="N11244">
        <f>IF(M11244="","",'Master Barang'!A38)</f>
        <v>0</v>
      </c>
      <c r="O11244">
        <f>IF(N11244="","",'Master Barang'!B38)</f>
        <v>0</v>
      </c>
      <c r="P11244">
        <f>IF(OR(M11244="",N11244=""),"",SUMIFS('Barang Keluar'!$E:$E,'Barang Keluar'!$A:$A,M11244,'Barang Keluar'!$C:$C,N11244))</f>
        <v>0</v>
      </c>
    </row>
    <row r="11245" spans="13:16">
      <c r="M11245" s="49">
        <f>IF($A$4+112&gt;$B$4,"",$A$4+112)</f>
        <v>46135</v>
      </c>
      <c r="N11245">
        <f>IF(M11245="","",'Master Barang'!A39)</f>
        <v>0</v>
      </c>
      <c r="O11245">
        <f>IF(N11245="","",'Master Barang'!B39)</f>
        <v>0</v>
      </c>
      <c r="P11245">
        <f>IF(OR(M11245="",N11245=""),"",SUMIFS('Barang Keluar'!$E:$E,'Barang Keluar'!$A:$A,M11245,'Barang Keluar'!$C:$C,N11245))</f>
        <v>0</v>
      </c>
    </row>
    <row r="11246" spans="13:16">
      <c r="M11246" s="49">
        <f>IF($A$4+112&gt;$B$4,"",$A$4+112)</f>
        <v>46135</v>
      </c>
      <c r="N11246">
        <f>IF(M11246="","",'Master Barang'!A40)</f>
        <v>0</v>
      </c>
      <c r="O11246">
        <f>IF(N11246="","",'Master Barang'!B40)</f>
        <v>0</v>
      </c>
      <c r="P11246">
        <f>IF(OR(M11246="",N11246=""),"",SUMIFS('Barang Keluar'!$E:$E,'Barang Keluar'!$A:$A,M11246,'Barang Keluar'!$C:$C,N11246))</f>
        <v>0</v>
      </c>
    </row>
    <row r="11247" spans="13:16">
      <c r="M11247" s="49">
        <f>IF($A$4+112&gt;$B$4,"",$A$4+112)</f>
        <v>46135</v>
      </c>
      <c r="N11247">
        <f>IF(M11247="","",'Master Barang'!A41)</f>
        <v>0</v>
      </c>
      <c r="O11247">
        <f>IF(N11247="","",'Master Barang'!B41)</f>
        <v>0</v>
      </c>
      <c r="P11247">
        <f>IF(OR(M11247="",N11247=""),"",SUMIFS('Barang Keluar'!$E:$E,'Barang Keluar'!$A:$A,M11247,'Barang Keluar'!$C:$C,N11247))</f>
        <v>0</v>
      </c>
    </row>
    <row r="11248" spans="13:16">
      <c r="M11248" s="49">
        <f>IF($A$4+112&gt;$B$4,"",$A$4+112)</f>
        <v>46135</v>
      </c>
      <c r="N11248">
        <f>IF(M11248="","",'Master Barang'!A42)</f>
        <v>0</v>
      </c>
      <c r="O11248">
        <f>IF(N11248="","",'Master Barang'!B42)</f>
        <v>0</v>
      </c>
      <c r="P11248">
        <f>IF(OR(M11248="",N11248=""),"",SUMIFS('Barang Keluar'!$E:$E,'Barang Keluar'!$A:$A,M11248,'Barang Keluar'!$C:$C,N11248))</f>
        <v>0</v>
      </c>
    </row>
    <row r="11249" spans="13:16">
      <c r="M11249" s="49">
        <f>IF($A$4+112&gt;$B$4,"",$A$4+112)</f>
        <v>46135</v>
      </c>
      <c r="N11249">
        <f>IF(M11249="","",'Master Barang'!A43)</f>
        <v>0</v>
      </c>
      <c r="O11249">
        <f>IF(N11249="","",'Master Barang'!B43)</f>
        <v>0</v>
      </c>
      <c r="P11249">
        <f>IF(OR(M11249="",N11249=""),"",SUMIFS('Barang Keluar'!$E:$E,'Barang Keluar'!$A:$A,M11249,'Barang Keluar'!$C:$C,N11249))</f>
        <v>0</v>
      </c>
    </row>
    <row r="11250" spans="13:16">
      <c r="M11250" s="49">
        <f>IF($A$4+112&gt;$B$4,"",$A$4+112)</f>
        <v>46135</v>
      </c>
      <c r="N11250">
        <f>IF(M11250="","",'Master Barang'!A44)</f>
        <v>0</v>
      </c>
      <c r="O11250">
        <f>IF(N11250="","",'Master Barang'!B44)</f>
        <v>0</v>
      </c>
      <c r="P11250">
        <f>IF(OR(M11250="",N11250=""),"",SUMIFS('Barang Keluar'!$E:$E,'Barang Keluar'!$A:$A,M11250,'Barang Keluar'!$C:$C,N11250))</f>
        <v>0</v>
      </c>
    </row>
    <row r="11251" spans="13:16">
      <c r="M11251" s="49">
        <f>IF($A$4+112&gt;$B$4,"",$A$4+112)</f>
        <v>46135</v>
      </c>
      <c r="N11251">
        <f>IF(M11251="","",'Master Barang'!A45)</f>
        <v>0</v>
      </c>
      <c r="O11251">
        <f>IF(N11251="","",'Master Barang'!B45)</f>
        <v>0</v>
      </c>
      <c r="P11251">
        <f>IF(OR(M11251="",N11251=""),"",SUMIFS('Barang Keluar'!$E:$E,'Barang Keluar'!$A:$A,M11251,'Barang Keluar'!$C:$C,N11251))</f>
        <v>0</v>
      </c>
    </row>
    <row r="11252" spans="13:16">
      <c r="M11252" s="49">
        <f>IF($A$4+112&gt;$B$4,"",$A$4+112)</f>
        <v>46135</v>
      </c>
      <c r="N11252">
        <f>IF(M11252="","",'Master Barang'!A46)</f>
        <v>0</v>
      </c>
      <c r="O11252">
        <f>IF(N11252="","",'Master Barang'!B46)</f>
        <v>0</v>
      </c>
      <c r="P11252">
        <f>IF(OR(M11252="",N11252=""),"",SUMIFS('Barang Keluar'!$E:$E,'Barang Keluar'!$A:$A,M11252,'Barang Keluar'!$C:$C,N11252))</f>
        <v>0</v>
      </c>
    </row>
    <row r="11253" spans="13:16">
      <c r="M11253" s="49">
        <f>IF($A$4+112&gt;$B$4,"",$A$4+112)</f>
        <v>46135</v>
      </c>
      <c r="N11253">
        <f>IF(M11253="","",'Master Barang'!A47)</f>
        <v>0</v>
      </c>
      <c r="O11253">
        <f>IF(N11253="","",'Master Barang'!B47)</f>
        <v>0</v>
      </c>
      <c r="P11253">
        <f>IF(OR(M11253="",N11253=""),"",SUMIFS('Barang Keluar'!$E:$E,'Barang Keluar'!$A:$A,M11253,'Barang Keluar'!$C:$C,N11253))</f>
        <v>0</v>
      </c>
    </row>
    <row r="11254" spans="13:16">
      <c r="M11254" s="49">
        <f>IF($A$4+112&gt;$B$4,"",$A$4+112)</f>
        <v>46135</v>
      </c>
      <c r="N11254">
        <f>IF(M11254="","",'Master Barang'!A48)</f>
        <v>0</v>
      </c>
      <c r="O11254">
        <f>IF(N11254="","",'Master Barang'!B48)</f>
        <v>0</v>
      </c>
      <c r="P11254">
        <f>IF(OR(M11254="",N11254=""),"",SUMIFS('Barang Keluar'!$E:$E,'Barang Keluar'!$A:$A,M11254,'Barang Keluar'!$C:$C,N11254))</f>
        <v>0</v>
      </c>
    </row>
    <row r="11255" spans="13:16">
      <c r="M11255" s="49">
        <f>IF($A$4+112&gt;$B$4,"",$A$4+112)</f>
        <v>46135</v>
      </c>
      <c r="N11255">
        <f>IF(M11255="","",'Master Barang'!A49)</f>
        <v>0</v>
      </c>
      <c r="O11255">
        <f>IF(N11255="","",'Master Barang'!B49)</f>
        <v>0</v>
      </c>
      <c r="P11255">
        <f>IF(OR(M11255="",N11255=""),"",SUMIFS('Barang Keluar'!$E:$E,'Barang Keluar'!$A:$A,M11255,'Barang Keluar'!$C:$C,N11255))</f>
        <v>0</v>
      </c>
    </row>
    <row r="11256" spans="13:16">
      <c r="M11256" s="49">
        <f>IF($A$4+112&gt;$B$4,"",$A$4+112)</f>
        <v>46135</v>
      </c>
      <c r="N11256">
        <f>IF(M11256="","",'Master Barang'!A50)</f>
        <v>0</v>
      </c>
      <c r="O11256">
        <f>IF(N11256="","",'Master Barang'!B50)</f>
        <v>0</v>
      </c>
      <c r="P11256">
        <f>IF(OR(M11256="",N11256=""),"",SUMIFS('Barang Keluar'!$E:$E,'Barang Keluar'!$A:$A,M11256,'Barang Keluar'!$C:$C,N11256))</f>
        <v>0</v>
      </c>
    </row>
    <row r="11257" spans="13:16">
      <c r="M11257" s="49">
        <f>IF($A$4+112&gt;$B$4,"",$A$4+112)</f>
        <v>46135</v>
      </c>
      <c r="N11257">
        <f>IF(M11257="","",'Master Barang'!A51)</f>
        <v>0</v>
      </c>
      <c r="O11257">
        <f>IF(N11257="","",'Master Barang'!B51)</f>
        <v>0</v>
      </c>
      <c r="P11257">
        <f>IF(OR(M11257="",N11257=""),"",SUMIFS('Barang Keluar'!$E:$E,'Barang Keluar'!$A:$A,M11257,'Barang Keluar'!$C:$C,N11257))</f>
        <v>0</v>
      </c>
    </row>
    <row r="11258" spans="13:16">
      <c r="M11258" s="49">
        <f>IF($A$4+112&gt;$B$4,"",$A$4+112)</f>
        <v>46135</v>
      </c>
      <c r="N11258">
        <f>IF(M11258="","",'Master Barang'!A52)</f>
        <v>0</v>
      </c>
      <c r="O11258">
        <f>IF(N11258="","",'Master Barang'!B52)</f>
        <v>0</v>
      </c>
      <c r="P11258">
        <f>IF(OR(M11258="",N11258=""),"",SUMIFS('Barang Keluar'!$E:$E,'Barang Keluar'!$A:$A,M11258,'Barang Keluar'!$C:$C,N11258))</f>
        <v>0</v>
      </c>
    </row>
    <row r="11259" spans="13:16">
      <c r="M11259" s="49">
        <f>IF($A$4+112&gt;$B$4,"",$A$4+112)</f>
        <v>46135</v>
      </c>
      <c r="N11259">
        <f>IF(M11259="","",'Master Barang'!A53)</f>
        <v>0</v>
      </c>
      <c r="O11259">
        <f>IF(N11259="","",'Master Barang'!B53)</f>
        <v>0</v>
      </c>
      <c r="P11259">
        <f>IF(OR(M11259="",N11259=""),"",SUMIFS('Barang Keluar'!$E:$E,'Barang Keluar'!$A:$A,M11259,'Barang Keluar'!$C:$C,N11259))</f>
        <v>0</v>
      </c>
    </row>
    <row r="11260" spans="13:16">
      <c r="M11260" s="49">
        <f>IF($A$4+112&gt;$B$4,"",$A$4+112)</f>
        <v>46135</v>
      </c>
      <c r="N11260">
        <f>IF(M11260="","",'Master Barang'!A54)</f>
        <v>0</v>
      </c>
      <c r="O11260">
        <f>IF(N11260="","",'Master Barang'!B54)</f>
        <v>0</v>
      </c>
      <c r="P11260">
        <f>IF(OR(M11260="",N11260=""),"",SUMIFS('Barang Keluar'!$E:$E,'Barang Keluar'!$A:$A,M11260,'Barang Keluar'!$C:$C,N11260))</f>
        <v>0</v>
      </c>
    </row>
    <row r="11261" spans="13:16">
      <c r="M11261" s="49">
        <f>IF($A$4+112&gt;$B$4,"",$A$4+112)</f>
        <v>46135</v>
      </c>
      <c r="N11261">
        <f>IF(M11261="","",'Master Barang'!A55)</f>
        <v>0</v>
      </c>
      <c r="O11261">
        <f>IF(N11261="","",'Master Barang'!B55)</f>
        <v>0</v>
      </c>
      <c r="P11261">
        <f>IF(OR(M11261="",N11261=""),"",SUMIFS('Barang Keluar'!$E:$E,'Barang Keluar'!$A:$A,M11261,'Barang Keluar'!$C:$C,N11261))</f>
        <v>0</v>
      </c>
    </row>
    <row r="11262" spans="13:16">
      <c r="M11262" s="49">
        <f>IF($A$4+112&gt;$B$4,"",$A$4+112)</f>
        <v>46135</v>
      </c>
      <c r="N11262">
        <f>IF(M11262="","",'Master Barang'!A56)</f>
        <v>0</v>
      </c>
      <c r="O11262">
        <f>IF(N11262="","",'Master Barang'!B56)</f>
        <v>0</v>
      </c>
      <c r="P11262">
        <f>IF(OR(M11262="",N11262=""),"",SUMIFS('Barang Keluar'!$E:$E,'Barang Keluar'!$A:$A,M11262,'Barang Keluar'!$C:$C,N11262))</f>
        <v>0</v>
      </c>
    </row>
    <row r="11263" spans="13:16">
      <c r="M11263" s="49">
        <f>IF($A$4+112&gt;$B$4,"",$A$4+112)</f>
        <v>46135</v>
      </c>
      <c r="N11263">
        <f>IF(M11263="","",'Master Barang'!A57)</f>
        <v>0</v>
      </c>
      <c r="O11263">
        <f>IF(N11263="","",'Master Barang'!B57)</f>
        <v>0</v>
      </c>
      <c r="P11263">
        <f>IF(OR(M11263="",N11263=""),"",SUMIFS('Barang Keluar'!$E:$E,'Barang Keluar'!$A:$A,M11263,'Barang Keluar'!$C:$C,N11263))</f>
        <v>0</v>
      </c>
    </row>
    <row r="11264" spans="13:16">
      <c r="M11264" s="49">
        <f>IF($A$4+112&gt;$B$4,"",$A$4+112)</f>
        <v>46135</v>
      </c>
      <c r="N11264">
        <f>IF(M11264="","",'Master Barang'!A58)</f>
        <v>0</v>
      </c>
      <c r="O11264">
        <f>IF(N11264="","",'Master Barang'!B58)</f>
        <v>0</v>
      </c>
      <c r="P11264">
        <f>IF(OR(M11264="",N11264=""),"",SUMIFS('Barang Keluar'!$E:$E,'Barang Keluar'!$A:$A,M11264,'Barang Keluar'!$C:$C,N11264))</f>
        <v>0</v>
      </c>
    </row>
    <row r="11265" spans="13:16">
      <c r="M11265" s="49">
        <f>IF($A$4+112&gt;$B$4,"",$A$4+112)</f>
        <v>46135</v>
      </c>
      <c r="N11265">
        <f>IF(M11265="","",'Master Barang'!A59)</f>
        <v>0</v>
      </c>
      <c r="O11265">
        <f>IF(N11265="","",'Master Barang'!B59)</f>
        <v>0</v>
      </c>
      <c r="P11265">
        <f>IF(OR(M11265="",N11265=""),"",SUMIFS('Barang Keluar'!$E:$E,'Barang Keluar'!$A:$A,M11265,'Barang Keluar'!$C:$C,N11265))</f>
        <v>0</v>
      </c>
    </row>
    <row r="11266" spans="13:16">
      <c r="M11266" s="49">
        <f>IF($A$4+112&gt;$B$4,"",$A$4+112)</f>
        <v>46135</v>
      </c>
      <c r="N11266">
        <f>IF(M11266="","",'Master Barang'!A60)</f>
        <v>0</v>
      </c>
      <c r="O11266">
        <f>IF(N11266="","",'Master Barang'!B60)</f>
        <v>0</v>
      </c>
      <c r="P11266">
        <f>IF(OR(M11266="",N11266=""),"",SUMIFS('Barang Keluar'!$E:$E,'Barang Keluar'!$A:$A,M11266,'Barang Keluar'!$C:$C,N11266))</f>
        <v>0</v>
      </c>
    </row>
    <row r="11267" spans="13:16">
      <c r="M11267" s="49">
        <f>IF($A$4+112&gt;$B$4,"",$A$4+112)</f>
        <v>46135</v>
      </c>
      <c r="N11267">
        <f>IF(M11267="","",'Master Barang'!A61)</f>
        <v>0</v>
      </c>
      <c r="O11267">
        <f>IF(N11267="","",'Master Barang'!B61)</f>
        <v>0</v>
      </c>
      <c r="P11267">
        <f>IF(OR(M11267="",N11267=""),"",SUMIFS('Barang Keluar'!$E:$E,'Barang Keluar'!$A:$A,M11267,'Barang Keluar'!$C:$C,N11267))</f>
        <v>0</v>
      </c>
    </row>
    <row r="11268" spans="13:16">
      <c r="M11268" s="49">
        <f>IF($A$4+112&gt;$B$4,"",$A$4+112)</f>
        <v>46135</v>
      </c>
      <c r="N11268">
        <f>IF(M11268="","",'Master Barang'!A62)</f>
        <v>0</v>
      </c>
      <c r="O11268">
        <f>IF(N11268="","",'Master Barang'!B62)</f>
        <v>0</v>
      </c>
      <c r="P11268">
        <f>IF(OR(M11268="",N11268=""),"",SUMIFS('Barang Keluar'!$E:$E,'Barang Keluar'!$A:$A,M11268,'Barang Keluar'!$C:$C,N11268))</f>
        <v>0</v>
      </c>
    </row>
    <row r="11269" spans="13:16">
      <c r="M11269" s="49">
        <f>IF($A$4+112&gt;$B$4,"",$A$4+112)</f>
        <v>46135</v>
      </c>
      <c r="N11269">
        <f>IF(M11269="","",'Master Barang'!A63)</f>
        <v>0</v>
      </c>
      <c r="O11269">
        <f>IF(N11269="","",'Master Barang'!B63)</f>
        <v>0</v>
      </c>
      <c r="P11269">
        <f>IF(OR(M11269="",N11269=""),"",SUMIFS('Barang Keluar'!$E:$E,'Barang Keluar'!$A:$A,M11269,'Barang Keluar'!$C:$C,N11269))</f>
        <v>0</v>
      </c>
    </row>
    <row r="11270" spans="13:16">
      <c r="M11270" s="49">
        <f>IF($A$4+112&gt;$B$4,"",$A$4+112)</f>
        <v>46135</v>
      </c>
      <c r="N11270">
        <f>IF(M11270="","",'Master Barang'!A64)</f>
        <v>0</v>
      </c>
      <c r="O11270">
        <f>IF(N11270="","",'Master Barang'!B64)</f>
        <v>0</v>
      </c>
      <c r="P11270">
        <f>IF(OR(M11270="",N11270=""),"",SUMIFS('Barang Keluar'!$E:$E,'Barang Keluar'!$A:$A,M11270,'Barang Keluar'!$C:$C,N11270))</f>
        <v>0</v>
      </c>
    </row>
    <row r="11271" spans="13:16">
      <c r="M11271" s="49">
        <f>IF($A$4+112&gt;$B$4,"",$A$4+112)</f>
        <v>46135</v>
      </c>
      <c r="N11271">
        <f>IF(M11271="","",'Master Barang'!A65)</f>
        <v>0</v>
      </c>
      <c r="O11271">
        <f>IF(N11271="","",'Master Barang'!B65)</f>
        <v>0</v>
      </c>
      <c r="P11271">
        <f>IF(OR(M11271="",N11271=""),"",SUMIFS('Barang Keluar'!$E:$E,'Barang Keluar'!$A:$A,M11271,'Barang Keluar'!$C:$C,N11271))</f>
        <v>0</v>
      </c>
    </row>
    <row r="11272" spans="13:16">
      <c r="M11272" s="49">
        <f>IF($A$4+112&gt;$B$4,"",$A$4+112)</f>
        <v>46135</v>
      </c>
      <c r="N11272">
        <f>IF(M11272="","",'Master Barang'!A66)</f>
        <v>0</v>
      </c>
      <c r="O11272">
        <f>IF(N11272="","",'Master Barang'!B66)</f>
        <v>0</v>
      </c>
      <c r="P11272">
        <f>IF(OR(M11272="",N11272=""),"",SUMIFS('Barang Keluar'!$E:$E,'Barang Keluar'!$A:$A,M11272,'Barang Keluar'!$C:$C,N11272))</f>
        <v>0</v>
      </c>
    </row>
    <row r="11273" spans="13:16">
      <c r="M11273" s="49">
        <f>IF($A$4+112&gt;$B$4,"",$A$4+112)</f>
        <v>46135</v>
      </c>
      <c r="N11273">
        <f>IF(M11273="","",'Master Barang'!A67)</f>
        <v>0</v>
      </c>
      <c r="O11273">
        <f>IF(N11273="","",'Master Barang'!B67)</f>
        <v>0</v>
      </c>
      <c r="P11273">
        <f>IF(OR(M11273="",N11273=""),"",SUMIFS('Barang Keluar'!$E:$E,'Barang Keluar'!$A:$A,M11273,'Barang Keluar'!$C:$C,N11273))</f>
        <v>0</v>
      </c>
    </row>
    <row r="11274" spans="13:16">
      <c r="M11274" s="49">
        <f>IF($A$4+112&gt;$B$4,"",$A$4+112)</f>
        <v>46135</v>
      </c>
      <c r="N11274">
        <f>IF(M11274="","",'Master Barang'!A68)</f>
        <v>0</v>
      </c>
      <c r="O11274">
        <f>IF(N11274="","",'Master Barang'!B68)</f>
        <v>0</v>
      </c>
      <c r="P11274">
        <f>IF(OR(M11274="",N11274=""),"",SUMIFS('Barang Keluar'!$E:$E,'Barang Keluar'!$A:$A,M11274,'Barang Keluar'!$C:$C,N11274))</f>
        <v>0</v>
      </c>
    </row>
    <row r="11275" spans="13:16">
      <c r="M11275" s="49">
        <f>IF($A$4+112&gt;$B$4,"",$A$4+112)</f>
        <v>46135</v>
      </c>
      <c r="N11275">
        <f>IF(M11275="","",'Master Barang'!A69)</f>
        <v>0</v>
      </c>
      <c r="O11275">
        <f>IF(N11275="","",'Master Barang'!B69)</f>
        <v>0</v>
      </c>
      <c r="P11275">
        <f>IF(OR(M11275="",N11275=""),"",SUMIFS('Barang Keluar'!$E:$E,'Barang Keluar'!$A:$A,M11275,'Barang Keluar'!$C:$C,N11275))</f>
        <v>0</v>
      </c>
    </row>
    <row r="11276" spans="13:16">
      <c r="M11276" s="49">
        <f>IF($A$4+112&gt;$B$4,"",$A$4+112)</f>
        <v>46135</v>
      </c>
      <c r="N11276">
        <f>IF(M11276="","",'Master Barang'!A70)</f>
        <v>0</v>
      </c>
      <c r="O11276">
        <f>IF(N11276="","",'Master Barang'!B70)</f>
        <v>0</v>
      </c>
      <c r="P11276">
        <f>IF(OR(M11276="",N11276=""),"",SUMIFS('Barang Keluar'!$E:$E,'Barang Keluar'!$A:$A,M11276,'Barang Keluar'!$C:$C,N11276))</f>
        <v>0</v>
      </c>
    </row>
    <row r="11277" spans="13:16">
      <c r="M11277" s="49">
        <f>IF($A$4+112&gt;$B$4,"",$A$4+112)</f>
        <v>46135</v>
      </c>
      <c r="N11277">
        <f>IF(M11277="","",'Master Barang'!A71)</f>
        <v>0</v>
      </c>
      <c r="O11277">
        <f>IF(N11277="","",'Master Barang'!B71)</f>
        <v>0</v>
      </c>
      <c r="P11277">
        <f>IF(OR(M11277="",N11277=""),"",SUMIFS('Barang Keluar'!$E:$E,'Barang Keluar'!$A:$A,M11277,'Barang Keluar'!$C:$C,N11277))</f>
        <v>0</v>
      </c>
    </row>
    <row r="11278" spans="13:16">
      <c r="M11278" s="49">
        <f>IF($A$4+112&gt;$B$4,"",$A$4+112)</f>
        <v>46135</v>
      </c>
      <c r="N11278">
        <f>IF(M11278="","",'Master Barang'!A72)</f>
        <v>0</v>
      </c>
      <c r="O11278">
        <f>IF(N11278="","",'Master Barang'!B72)</f>
        <v>0</v>
      </c>
      <c r="P11278">
        <f>IF(OR(M11278="",N11278=""),"",SUMIFS('Barang Keluar'!$E:$E,'Barang Keluar'!$A:$A,M11278,'Barang Keluar'!$C:$C,N11278))</f>
        <v>0</v>
      </c>
    </row>
    <row r="11279" spans="13:16">
      <c r="M11279" s="49">
        <f>IF($A$4+112&gt;$B$4,"",$A$4+112)</f>
        <v>46135</v>
      </c>
      <c r="N11279">
        <f>IF(M11279="","",'Master Barang'!A73)</f>
        <v>0</v>
      </c>
      <c r="O11279">
        <f>IF(N11279="","",'Master Barang'!B73)</f>
        <v>0</v>
      </c>
      <c r="P11279">
        <f>IF(OR(M11279="",N11279=""),"",SUMIFS('Barang Keluar'!$E:$E,'Barang Keluar'!$A:$A,M11279,'Barang Keluar'!$C:$C,N11279))</f>
        <v>0</v>
      </c>
    </row>
    <row r="11280" spans="13:16">
      <c r="M11280" s="49">
        <f>IF($A$4+112&gt;$B$4,"",$A$4+112)</f>
        <v>46135</v>
      </c>
      <c r="N11280">
        <f>IF(M11280="","",'Master Barang'!A74)</f>
        <v>0</v>
      </c>
      <c r="O11280">
        <f>IF(N11280="","",'Master Barang'!B74)</f>
        <v>0</v>
      </c>
      <c r="P11280">
        <f>IF(OR(M11280="",N11280=""),"",SUMIFS('Barang Keluar'!$E:$E,'Barang Keluar'!$A:$A,M11280,'Barang Keluar'!$C:$C,N11280))</f>
        <v>0</v>
      </c>
    </row>
    <row r="11281" spans="13:16">
      <c r="M11281" s="49">
        <f>IF($A$4+112&gt;$B$4,"",$A$4+112)</f>
        <v>46135</v>
      </c>
      <c r="N11281">
        <f>IF(M11281="","",'Master Barang'!A75)</f>
        <v>0</v>
      </c>
      <c r="O11281">
        <f>IF(N11281="","",'Master Barang'!B75)</f>
        <v>0</v>
      </c>
      <c r="P11281">
        <f>IF(OR(M11281="",N11281=""),"",SUMIFS('Barang Keluar'!$E:$E,'Barang Keluar'!$A:$A,M11281,'Barang Keluar'!$C:$C,N11281))</f>
        <v>0</v>
      </c>
    </row>
    <row r="11282" spans="13:16">
      <c r="M11282" s="49">
        <f>IF($A$4+112&gt;$B$4,"",$A$4+112)</f>
        <v>46135</v>
      </c>
      <c r="N11282">
        <f>IF(M11282="","",'Master Barang'!A76)</f>
        <v>0</v>
      </c>
      <c r="O11282">
        <f>IF(N11282="","",'Master Barang'!B76)</f>
        <v>0</v>
      </c>
      <c r="P11282">
        <f>IF(OR(M11282="",N11282=""),"",SUMIFS('Barang Keluar'!$E:$E,'Barang Keluar'!$A:$A,M11282,'Barang Keluar'!$C:$C,N11282))</f>
        <v>0</v>
      </c>
    </row>
    <row r="11283" spans="13:16">
      <c r="M11283" s="49">
        <f>IF($A$4+112&gt;$B$4,"",$A$4+112)</f>
        <v>46135</v>
      </c>
      <c r="N11283">
        <f>IF(M11283="","",'Master Barang'!A77)</f>
        <v>0</v>
      </c>
      <c r="O11283">
        <f>IF(N11283="","",'Master Barang'!B77)</f>
        <v>0</v>
      </c>
      <c r="P11283">
        <f>IF(OR(M11283="",N11283=""),"",SUMIFS('Barang Keluar'!$E:$E,'Barang Keluar'!$A:$A,M11283,'Barang Keluar'!$C:$C,N11283))</f>
        <v>0</v>
      </c>
    </row>
    <row r="11284" spans="13:16">
      <c r="M11284" s="49">
        <f>IF($A$4+112&gt;$B$4,"",$A$4+112)</f>
        <v>46135</v>
      </c>
      <c r="N11284">
        <f>IF(M11284="","",'Master Barang'!A78)</f>
        <v>0</v>
      </c>
      <c r="O11284">
        <f>IF(N11284="","",'Master Barang'!B78)</f>
        <v>0</v>
      </c>
      <c r="P11284">
        <f>IF(OR(M11284="",N11284=""),"",SUMIFS('Barang Keluar'!$E:$E,'Barang Keluar'!$A:$A,M11284,'Barang Keluar'!$C:$C,N11284))</f>
        <v>0</v>
      </c>
    </row>
    <row r="11285" spans="13:16">
      <c r="M11285" s="49">
        <f>IF($A$4+112&gt;$B$4,"",$A$4+112)</f>
        <v>46135</v>
      </c>
      <c r="N11285">
        <f>IF(M11285="","",'Master Barang'!A79)</f>
        <v>0</v>
      </c>
      <c r="O11285">
        <f>IF(N11285="","",'Master Barang'!B79)</f>
        <v>0</v>
      </c>
      <c r="P11285">
        <f>IF(OR(M11285="",N11285=""),"",SUMIFS('Barang Keluar'!$E:$E,'Barang Keluar'!$A:$A,M11285,'Barang Keluar'!$C:$C,N11285))</f>
        <v>0</v>
      </c>
    </row>
    <row r="11286" spans="13:16">
      <c r="M11286" s="49">
        <f>IF($A$4+112&gt;$B$4,"",$A$4+112)</f>
        <v>46135</v>
      </c>
      <c r="N11286">
        <f>IF(M11286="","",'Master Barang'!A80)</f>
        <v>0</v>
      </c>
      <c r="O11286">
        <f>IF(N11286="","",'Master Barang'!B80)</f>
        <v>0</v>
      </c>
      <c r="P11286">
        <f>IF(OR(M11286="",N11286=""),"",SUMIFS('Barang Keluar'!$E:$E,'Barang Keluar'!$A:$A,M11286,'Barang Keluar'!$C:$C,N11286))</f>
        <v>0</v>
      </c>
    </row>
    <row r="11287" spans="13:16">
      <c r="M11287" s="49">
        <f>IF($A$4+112&gt;$B$4,"",$A$4+112)</f>
        <v>46135</v>
      </c>
      <c r="N11287">
        <f>IF(M11287="","",'Master Barang'!A81)</f>
        <v>0</v>
      </c>
      <c r="O11287">
        <f>IF(N11287="","",'Master Barang'!B81)</f>
        <v>0</v>
      </c>
      <c r="P11287">
        <f>IF(OR(M11287="",N11287=""),"",SUMIFS('Barang Keluar'!$E:$E,'Barang Keluar'!$A:$A,M11287,'Barang Keluar'!$C:$C,N11287))</f>
        <v>0</v>
      </c>
    </row>
    <row r="11288" spans="13:16">
      <c r="M11288" s="49">
        <f>IF($A$4+112&gt;$B$4,"",$A$4+112)</f>
        <v>46135</v>
      </c>
      <c r="N11288">
        <f>IF(M11288="","",'Master Barang'!A82)</f>
        <v>0</v>
      </c>
      <c r="O11288">
        <f>IF(N11288="","",'Master Barang'!B82)</f>
        <v>0</v>
      </c>
      <c r="P11288">
        <f>IF(OR(M11288="",N11288=""),"",SUMIFS('Barang Keluar'!$E:$E,'Barang Keluar'!$A:$A,M11288,'Barang Keluar'!$C:$C,N11288))</f>
        <v>0</v>
      </c>
    </row>
    <row r="11289" spans="13:16">
      <c r="M11289" s="49">
        <f>IF($A$4+112&gt;$B$4,"",$A$4+112)</f>
        <v>46135</v>
      </c>
      <c r="N11289">
        <f>IF(M11289="","",'Master Barang'!A83)</f>
        <v>0</v>
      </c>
      <c r="O11289">
        <f>IF(N11289="","",'Master Barang'!B83)</f>
        <v>0</v>
      </c>
      <c r="P11289">
        <f>IF(OR(M11289="",N11289=""),"",SUMIFS('Barang Keluar'!$E:$E,'Barang Keluar'!$A:$A,M11289,'Barang Keluar'!$C:$C,N11289))</f>
        <v>0</v>
      </c>
    </row>
    <row r="11290" spans="13:16">
      <c r="M11290" s="49">
        <f>IF($A$4+112&gt;$B$4,"",$A$4+112)</f>
        <v>46135</v>
      </c>
      <c r="N11290">
        <f>IF(M11290="","",'Master Barang'!A84)</f>
        <v>0</v>
      </c>
      <c r="O11290">
        <f>IF(N11290="","",'Master Barang'!B84)</f>
        <v>0</v>
      </c>
      <c r="P11290">
        <f>IF(OR(M11290="",N11290=""),"",SUMIFS('Barang Keluar'!$E:$E,'Barang Keluar'!$A:$A,M11290,'Barang Keluar'!$C:$C,N11290))</f>
        <v>0</v>
      </c>
    </row>
    <row r="11291" spans="13:16">
      <c r="M11291" s="49">
        <f>IF($A$4+112&gt;$B$4,"",$A$4+112)</f>
        <v>46135</v>
      </c>
      <c r="N11291">
        <f>IF(M11291="","",'Master Barang'!A85)</f>
        <v>0</v>
      </c>
      <c r="O11291">
        <f>IF(N11291="","",'Master Barang'!B85)</f>
        <v>0</v>
      </c>
      <c r="P11291">
        <f>IF(OR(M11291="",N11291=""),"",SUMIFS('Barang Keluar'!$E:$E,'Barang Keluar'!$A:$A,M11291,'Barang Keluar'!$C:$C,N11291))</f>
        <v>0</v>
      </c>
    </row>
    <row r="11292" spans="13:16">
      <c r="M11292" s="49">
        <f>IF($A$4+112&gt;$B$4,"",$A$4+112)</f>
        <v>46135</v>
      </c>
      <c r="N11292">
        <f>IF(M11292="","",'Master Barang'!A86)</f>
        <v>0</v>
      </c>
      <c r="O11292">
        <f>IF(N11292="","",'Master Barang'!B86)</f>
        <v>0</v>
      </c>
      <c r="P11292">
        <f>IF(OR(M11292="",N11292=""),"",SUMIFS('Barang Keluar'!$E:$E,'Barang Keluar'!$A:$A,M11292,'Barang Keluar'!$C:$C,N11292))</f>
        <v>0</v>
      </c>
    </row>
    <row r="11293" spans="13:16">
      <c r="M11293" s="49">
        <f>IF($A$4+112&gt;$B$4,"",$A$4+112)</f>
        <v>46135</v>
      </c>
      <c r="N11293">
        <f>IF(M11293="","",'Master Barang'!A87)</f>
        <v>0</v>
      </c>
      <c r="O11293">
        <f>IF(N11293="","",'Master Barang'!B87)</f>
        <v>0</v>
      </c>
      <c r="P11293">
        <f>IF(OR(M11293="",N11293=""),"",SUMIFS('Barang Keluar'!$E:$E,'Barang Keluar'!$A:$A,M11293,'Barang Keluar'!$C:$C,N11293))</f>
        <v>0</v>
      </c>
    </row>
    <row r="11294" spans="13:16">
      <c r="M11294" s="49">
        <f>IF($A$4+112&gt;$B$4,"",$A$4+112)</f>
        <v>46135</v>
      </c>
      <c r="N11294">
        <f>IF(M11294="","",'Master Barang'!A88)</f>
        <v>0</v>
      </c>
      <c r="O11294">
        <f>IF(N11294="","",'Master Barang'!B88)</f>
        <v>0</v>
      </c>
      <c r="P11294">
        <f>IF(OR(M11294="",N11294=""),"",SUMIFS('Barang Keluar'!$E:$E,'Barang Keluar'!$A:$A,M11294,'Barang Keluar'!$C:$C,N11294))</f>
        <v>0</v>
      </c>
    </row>
    <row r="11295" spans="13:16">
      <c r="M11295" s="49">
        <f>IF($A$4+112&gt;$B$4,"",$A$4+112)</f>
        <v>46135</v>
      </c>
      <c r="N11295">
        <f>IF(M11295="","",'Master Barang'!A89)</f>
        <v>0</v>
      </c>
      <c r="O11295">
        <f>IF(N11295="","",'Master Barang'!B89)</f>
        <v>0</v>
      </c>
      <c r="P11295">
        <f>IF(OR(M11295="",N11295=""),"",SUMIFS('Barang Keluar'!$E:$E,'Barang Keluar'!$A:$A,M11295,'Barang Keluar'!$C:$C,N11295))</f>
        <v>0</v>
      </c>
    </row>
    <row r="11296" spans="13:16">
      <c r="M11296" s="49">
        <f>IF($A$4+112&gt;$B$4,"",$A$4+112)</f>
        <v>46135</v>
      </c>
      <c r="N11296">
        <f>IF(M11296="","",'Master Barang'!A90)</f>
        <v>0</v>
      </c>
      <c r="O11296">
        <f>IF(N11296="","",'Master Barang'!B90)</f>
        <v>0</v>
      </c>
      <c r="P11296">
        <f>IF(OR(M11296="",N11296=""),"",SUMIFS('Barang Keluar'!$E:$E,'Barang Keluar'!$A:$A,M11296,'Barang Keluar'!$C:$C,N11296))</f>
        <v>0</v>
      </c>
    </row>
    <row r="11297" spans="13:16">
      <c r="M11297" s="49">
        <f>IF($A$4+112&gt;$B$4,"",$A$4+112)</f>
        <v>46135</v>
      </c>
      <c r="N11297">
        <f>IF(M11297="","",'Master Barang'!A91)</f>
        <v>0</v>
      </c>
      <c r="O11297">
        <f>IF(N11297="","",'Master Barang'!B91)</f>
        <v>0</v>
      </c>
      <c r="P11297">
        <f>IF(OR(M11297="",N11297=""),"",SUMIFS('Barang Keluar'!$E:$E,'Barang Keluar'!$A:$A,M11297,'Barang Keluar'!$C:$C,N11297))</f>
        <v>0</v>
      </c>
    </row>
    <row r="11298" spans="13:16">
      <c r="M11298" s="49">
        <f>IF($A$4+112&gt;$B$4,"",$A$4+112)</f>
        <v>46135</v>
      </c>
      <c r="N11298">
        <f>IF(M11298="","",'Master Barang'!A92)</f>
        <v>0</v>
      </c>
      <c r="O11298">
        <f>IF(N11298="","",'Master Barang'!B92)</f>
        <v>0</v>
      </c>
      <c r="P11298">
        <f>IF(OR(M11298="",N11298=""),"",SUMIFS('Barang Keluar'!$E:$E,'Barang Keluar'!$A:$A,M11298,'Barang Keluar'!$C:$C,N11298))</f>
        <v>0</v>
      </c>
    </row>
    <row r="11299" spans="13:16">
      <c r="M11299" s="49">
        <f>IF($A$4+112&gt;$B$4,"",$A$4+112)</f>
        <v>46135</v>
      </c>
      <c r="N11299">
        <f>IF(M11299="","",'Master Barang'!A93)</f>
        <v>0</v>
      </c>
      <c r="O11299">
        <f>IF(N11299="","",'Master Barang'!B93)</f>
        <v>0</v>
      </c>
      <c r="P11299">
        <f>IF(OR(M11299="",N11299=""),"",SUMIFS('Barang Keluar'!$E:$E,'Barang Keluar'!$A:$A,M11299,'Barang Keluar'!$C:$C,N11299))</f>
        <v>0</v>
      </c>
    </row>
    <row r="11300" spans="13:16">
      <c r="M11300" s="49">
        <f>IF($A$4+112&gt;$B$4,"",$A$4+112)</f>
        <v>46135</v>
      </c>
      <c r="N11300">
        <f>IF(M11300="","",'Master Barang'!A94)</f>
        <v>0</v>
      </c>
      <c r="O11300">
        <f>IF(N11300="","",'Master Barang'!B94)</f>
        <v>0</v>
      </c>
      <c r="P11300">
        <f>IF(OR(M11300="",N11300=""),"",SUMIFS('Barang Keluar'!$E:$E,'Barang Keluar'!$A:$A,M11300,'Barang Keluar'!$C:$C,N11300))</f>
        <v>0</v>
      </c>
    </row>
    <row r="11301" spans="13:16">
      <c r="M11301" s="49">
        <f>IF($A$4+112&gt;$B$4,"",$A$4+112)</f>
        <v>46135</v>
      </c>
      <c r="N11301">
        <f>IF(M11301="","",'Master Barang'!A95)</f>
        <v>0</v>
      </c>
      <c r="O11301">
        <f>IF(N11301="","",'Master Barang'!B95)</f>
        <v>0</v>
      </c>
      <c r="P11301">
        <f>IF(OR(M11301="",N11301=""),"",SUMIFS('Barang Keluar'!$E:$E,'Barang Keluar'!$A:$A,M11301,'Barang Keluar'!$C:$C,N11301))</f>
        <v>0</v>
      </c>
    </row>
    <row r="11302" spans="13:16">
      <c r="M11302" s="49">
        <f>IF($A$4+112&gt;$B$4,"",$A$4+112)</f>
        <v>46135</v>
      </c>
      <c r="N11302">
        <f>IF(M11302="","",'Master Barang'!A96)</f>
        <v>0</v>
      </c>
      <c r="O11302">
        <f>IF(N11302="","",'Master Barang'!B96)</f>
        <v>0</v>
      </c>
      <c r="P11302">
        <f>IF(OR(M11302="",N11302=""),"",SUMIFS('Barang Keluar'!$E:$E,'Barang Keluar'!$A:$A,M11302,'Barang Keluar'!$C:$C,N11302))</f>
        <v>0</v>
      </c>
    </row>
    <row r="11303" spans="13:16">
      <c r="M11303" s="49">
        <f>IF($A$4+112&gt;$B$4,"",$A$4+112)</f>
        <v>46135</v>
      </c>
      <c r="N11303">
        <f>IF(M11303="","",'Master Barang'!A97)</f>
        <v>0</v>
      </c>
      <c r="O11303">
        <f>IF(N11303="","",'Master Barang'!B97)</f>
        <v>0</v>
      </c>
      <c r="P11303">
        <f>IF(OR(M11303="",N11303=""),"",SUMIFS('Barang Keluar'!$E:$E,'Barang Keluar'!$A:$A,M11303,'Barang Keluar'!$C:$C,N11303))</f>
        <v>0</v>
      </c>
    </row>
    <row r="11304" spans="13:16">
      <c r="M11304" s="49">
        <f>IF($A$4+112&gt;$B$4,"",$A$4+112)</f>
        <v>46135</v>
      </c>
      <c r="N11304">
        <f>IF(M11304="","",'Master Barang'!A98)</f>
        <v>0</v>
      </c>
      <c r="O11304">
        <f>IF(N11304="","",'Master Barang'!B98)</f>
        <v>0</v>
      </c>
      <c r="P11304">
        <f>IF(OR(M11304="",N11304=""),"",SUMIFS('Barang Keluar'!$E:$E,'Barang Keluar'!$A:$A,M11304,'Barang Keluar'!$C:$C,N11304))</f>
        <v>0</v>
      </c>
    </row>
    <row r="11305" spans="13:16">
      <c r="M11305" s="49">
        <f>IF($A$4+112&gt;$B$4,"",$A$4+112)</f>
        <v>46135</v>
      </c>
      <c r="N11305">
        <f>IF(M11305="","",'Master Barang'!A99)</f>
        <v>0</v>
      </c>
      <c r="O11305">
        <f>IF(N11305="","",'Master Barang'!B99)</f>
        <v>0</v>
      </c>
      <c r="P11305">
        <f>IF(OR(M11305="",N11305=""),"",SUMIFS('Barang Keluar'!$E:$E,'Barang Keluar'!$A:$A,M11305,'Barang Keluar'!$C:$C,N11305))</f>
        <v>0</v>
      </c>
    </row>
    <row r="11306" spans="13:16">
      <c r="M11306" s="49">
        <f>IF($A$4+112&gt;$B$4,"",$A$4+112)</f>
        <v>46135</v>
      </c>
      <c r="N11306">
        <f>IF(M11306="","",'Master Barang'!A100)</f>
        <v>0</v>
      </c>
      <c r="O11306">
        <f>IF(N11306="","",'Master Barang'!B100)</f>
        <v>0</v>
      </c>
      <c r="P11306">
        <f>IF(OR(M11306="",N11306=""),"",SUMIFS('Barang Keluar'!$E:$E,'Barang Keluar'!$A:$A,M11306,'Barang Keluar'!$C:$C,N11306))</f>
        <v>0</v>
      </c>
    </row>
    <row r="11307" spans="13:16">
      <c r="M11307" s="49">
        <f>IF($A$4+112&gt;$B$4,"",$A$4+112)</f>
        <v>46135</v>
      </c>
      <c r="N11307">
        <f>IF(M11307="","",'Master Barang'!A101)</f>
        <v>0</v>
      </c>
      <c r="O11307">
        <f>IF(N11307="","",'Master Barang'!B101)</f>
        <v>0</v>
      </c>
      <c r="P11307">
        <f>IF(OR(M11307="",N11307=""),"",SUMIFS('Barang Keluar'!$E:$E,'Barang Keluar'!$A:$A,M11307,'Barang Keluar'!$C:$C,N11307))</f>
        <v>0</v>
      </c>
    </row>
    <row r="11308" spans="13:16">
      <c r="M11308" s="49">
        <f>IF($A$4+113&gt;$B$4,"",$A$4+113)</f>
        <v>46136</v>
      </c>
      <c r="N11308" t="str">
        <f>IF(M11308="","",'Master Barang'!A2)</f>
        <v>PRL-001</v>
      </c>
      <c r="O11308" t="str">
        <f>IF(N11308="","",'Master Barang'!B2)</f>
        <v>natura desinfectant food grade 5l</v>
      </c>
      <c r="P11308">
        <f>IF(OR(M11308="",N11308=""),"",SUMIFS('Barang Keluar'!$E:$E,'Barang Keluar'!$A:$A,M11308,'Barang Keluar'!$C:$C,N11308))</f>
        <v>0</v>
      </c>
    </row>
    <row r="11309" spans="13:16">
      <c r="M11309" s="49">
        <f>IF($A$4+113&gt;$B$4,"",$A$4+113)</f>
        <v>46136</v>
      </c>
      <c r="N11309" t="str">
        <f>IF(M11309="","",'Master Barang'!A3)</f>
        <v>PRL-002</v>
      </c>
      <c r="O11309" t="str">
        <f>IF(N11309="","",'Master Barang'!B3)</f>
        <v>sunlight cairan pencuci piring 5l</v>
      </c>
      <c r="P11309">
        <f>IF(OR(M11309="",N11309=""),"",SUMIFS('Barang Keluar'!$E:$E,'Barang Keluar'!$A:$A,M11309,'Barang Keluar'!$C:$C,N11309))</f>
        <v>0</v>
      </c>
    </row>
    <row r="11310" spans="13:16">
      <c r="M11310" s="49">
        <f>IF($A$4+113&gt;$B$4,"",$A$4+113)</f>
        <v>46136</v>
      </c>
      <c r="N11310" t="str">
        <f>IF(M11310="","",'Master Barang'!A4)</f>
        <v>PRL-003</v>
      </c>
      <c r="O11310" t="str">
        <f>IF(N11310="","",'Master Barang'!B4)</f>
        <v>oixs cleaner 1l</v>
      </c>
      <c r="P11310">
        <f>IF(OR(M11310="",N11310=""),"",SUMIFS('Barang Keluar'!$E:$E,'Barang Keluar'!$A:$A,M11310,'Barang Keluar'!$C:$C,N11310))</f>
        <v>0</v>
      </c>
    </row>
    <row r="11311" spans="13:16">
      <c r="M11311" s="49">
        <f>IF($A$4+113&gt;$B$4,"",$A$4+113)</f>
        <v>46136</v>
      </c>
      <c r="N11311" t="str">
        <f>IF(M11311="","",'Master Barang'!A5)</f>
        <v>PRL-004</v>
      </c>
      <c r="O11311" t="str">
        <f>IF(N11311="","",'Master Barang'!B5)</f>
        <v>be clean tissue serbaguna</v>
      </c>
      <c r="P11311">
        <f>IF(OR(M11311="",N11311=""),"",SUMIFS('Barang Keluar'!$E:$E,'Barang Keluar'!$A:$A,M11311,'Barang Keluar'!$C:$C,N11311))</f>
        <v>0</v>
      </c>
    </row>
    <row r="11312" spans="13:16">
      <c r="M11312" s="49">
        <f>IF($A$4+113&gt;$B$4,"",$A$4+113)</f>
        <v>46136</v>
      </c>
      <c r="N11312" t="str">
        <f>IF(M11312="","",'Master Barang'!A6)</f>
        <v>PRL-005</v>
      </c>
      <c r="O11312" t="str">
        <f>IF(N11312="","",'Master Barang'!B6)</f>
        <v>spons cuci hijau</v>
      </c>
      <c r="P11312">
        <f>IF(OR(M11312="",N11312=""),"",SUMIFS('Barang Keluar'!$E:$E,'Barang Keluar'!$A:$A,M11312,'Barang Keluar'!$C:$C,N11312))</f>
        <v>0</v>
      </c>
    </row>
    <row r="11313" spans="13:16">
      <c r="M11313" s="49">
        <f>IF($A$4+113&gt;$B$4,"",$A$4+113)</f>
        <v>46136</v>
      </c>
      <c r="N11313" t="str">
        <f>IF(M11313="","",'Master Barang'!A7)</f>
        <v>PRL-006</v>
      </c>
      <c r="O11313" t="str">
        <f>IF(N11313="","",'Master Barang'!B7)</f>
        <v>sabut cuci stainless</v>
      </c>
      <c r="P11313">
        <f>IF(OR(M11313="",N11313=""),"",SUMIFS('Barang Keluar'!$E:$E,'Barang Keluar'!$A:$A,M11313,'Barang Keluar'!$C:$C,N11313))</f>
        <v>0</v>
      </c>
    </row>
    <row r="11314" spans="13:16">
      <c r="M11314" s="49">
        <f>IF($A$4+113&gt;$B$4,"",$A$4+113)</f>
        <v>46136</v>
      </c>
      <c r="N11314" t="str">
        <f>IF(M11314="","",'Master Barang'!A8)</f>
        <v>PRL-007</v>
      </c>
      <c r="O11314" t="str">
        <f>IF(N11314="","",'Master Barang'!B8)</f>
        <v>plastik kresek besar merah 50pc</v>
      </c>
      <c r="P11314">
        <f>IF(OR(M11314="",N11314=""),"",SUMIFS('Barang Keluar'!$E:$E,'Barang Keluar'!$A:$A,M11314,'Barang Keluar'!$C:$C,N11314))</f>
        <v>0</v>
      </c>
    </row>
    <row r="11315" spans="13:16">
      <c r="M11315" s="49">
        <f>IF($A$4+113&gt;$B$4,"",$A$4+113)</f>
        <v>46136</v>
      </c>
      <c r="N11315" t="str">
        <f>IF(M11315="","",'Master Barang'!A9)</f>
        <v>PRL-008</v>
      </c>
      <c r="O11315" t="str">
        <f>IF(N11315="","",'Master Barang'!B9)</f>
        <v>lap besar</v>
      </c>
      <c r="P11315">
        <f>IF(OR(M11315="",N11315=""),"",SUMIFS('Barang Keluar'!$E:$E,'Barang Keluar'!$A:$A,M11315,'Barang Keluar'!$C:$C,N11315))</f>
        <v>0</v>
      </c>
    </row>
    <row r="11316" spans="13:16">
      <c r="M11316" s="49">
        <f>IF($A$4+113&gt;$B$4,"",$A$4+113)</f>
        <v>46136</v>
      </c>
      <c r="N11316" t="str">
        <f>IF(M11316="","",'Master Barang'!A10)</f>
        <v>PRL-009</v>
      </c>
      <c r="O11316" t="str">
        <f>IF(N11316="","",'Master Barang'!B10)</f>
        <v>lap microfiber</v>
      </c>
      <c r="P11316">
        <f>IF(OR(M11316="",N11316=""),"",SUMIFS('Barang Keluar'!$E:$E,'Barang Keluar'!$A:$A,M11316,'Barang Keluar'!$C:$C,N11316))</f>
        <v>0</v>
      </c>
    </row>
    <row r="11317" spans="13:16">
      <c r="M11317" s="49">
        <f>IF($A$4+113&gt;$B$4,"",$A$4+113)</f>
        <v>46136</v>
      </c>
      <c r="N11317" t="str">
        <f>IF(M11317="","",'Master Barang'!A11)</f>
        <v>PRL-010</v>
      </c>
      <c r="O11317" t="str">
        <f>IF(N11317="","",'Master Barang'!B11)</f>
        <v>lap kecil</v>
      </c>
      <c r="P11317">
        <f>IF(OR(M11317="",N11317=""),"",SUMIFS('Barang Keluar'!$E:$E,'Barang Keluar'!$A:$A,M11317,'Barang Keluar'!$C:$C,N11317))</f>
        <v>0</v>
      </c>
    </row>
    <row r="11318" spans="13:16">
      <c r="M11318" s="49">
        <f>IF($A$4+113&gt;$B$4,"",$A$4+113)</f>
        <v>46136</v>
      </c>
      <c r="N11318" t="str">
        <f>IF(M11318="","",'Master Barang'!A12)</f>
        <v>PRL-011</v>
      </c>
      <c r="O11318" t="str">
        <f>IF(N11318="","",'Master Barang'!B12)</f>
        <v>kanebo kecil</v>
      </c>
      <c r="P11318">
        <f>IF(OR(M11318="",N11318=""),"",SUMIFS('Barang Keluar'!$E:$E,'Barang Keluar'!$A:$A,M11318,'Barang Keluar'!$C:$C,N11318))</f>
        <v>0</v>
      </c>
    </row>
    <row r="11319" spans="13:16">
      <c r="M11319" s="49">
        <f>IF($A$4+113&gt;$B$4,"",$A$4+113)</f>
        <v>46136</v>
      </c>
      <c r="N11319" t="str">
        <f>IF(M11319="","",'Master Barang'!A13)</f>
        <v>PRL-012</v>
      </c>
      <c r="O11319" t="str">
        <f>IF(N11319="","",'Master Barang'!B13)</f>
        <v>plastik 1/4kg joyoboyo 100 lembar</v>
      </c>
      <c r="P11319">
        <f>IF(OR(M11319="",N11319=""),"",SUMIFS('Barang Keluar'!$E:$E,'Barang Keluar'!$A:$A,M11319,'Barang Keluar'!$C:$C,N11319))</f>
        <v>0</v>
      </c>
    </row>
    <row r="11320" spans="13:16">
      <c r="M11320" s="49">
        <f>IF($A$4+113&gt;$B$4,"",$A$4+113)</f>
        <v>46136</v>
      </c>
      <c r="N11320" t="str">
        <f>IF(M11320="","",'Master Barang'!A14)</f>
        <v>PRL-013</v>
      </c>
      <c r="O11320" t="str">
        <f>IF(N11320="","",'Master Barang'!B14)</f>
        <v>sarung tangan plastik kaka 100 pcs</v>
      </c>
      <c r="P11320">
        <f>IF(OR(M11320="",N11320=""),"",SUMIFS('Barang Keluar'!$E:$E,'Barang Keluar'!$A:$A,M11320,'Barang Keluar'!$C:$C,N11320))</f>
        <v>0</v>
      </c>
    </row>
    <row r="11321" spans="13:16">
      <c r="M11321" s="49">
        <f>IF($A$4+113&gt;$B$4,"",$A$4+113)</f>
        <v>46136</v>
      </c>
      <c r="N11321" t="str">
        <f>IF(M11321="","",'Master Barang'!A15)</f>
        <v>PRL-014</v>
      </c>
      <c r="O11321" t="str">
        <f>IF(N11321="","",'Master Barang'!B15)</f>
        <v>optima trashbag 80x100</v>
      </c>
      <c r="P11321">
        <f>IF(OR(M11321="",N11321=""),"",SUMIFS('Barang Keluar'!$E:$E,'Barang Keluar'!$A:$A,M11321,'Barang Keluar'!$C:$C,N11321))</f>
        <v>0</v>
      </c>
    </row>
    <row r="11322" spans="13:16">
      <c r="M11322" s="49">
        <f>IF($A$4+113&gt;$B$4,"",$A$4+113)</f>
        <v>46136</v>
      </c>
      <c r="N11322" t="str">
        <f>IF(M11322="","",'Master Barang'!A16)</f>
        <v>PRL-015</v>
      </c>
      <c r="O11322" t="str">
        <f>IF(N11322="","",'Master Barang'!B16)</f>
        <v>optima trashbag 60x100</v>
      </c>
      <c r="P11322">
        <f>IF(OR(M11322="",N11322=""),"",SUMIFS('Barang Keluar'!$E:$E,'Barang Keluar'!$A:$A,M11322,'Barang Keluar'!$C:$C,N11322))</f>
        <v>0</v>
      </c>
    </row>
    <row r="11323" spans="13:16">
      <c r="M11323" s="49">
        <f>IF($A$4+113&gt;$B$4,"",$A$4+113)</f>
        <v>46136</v>
      </c>
      <c r="N11323" t="str">
        <f>IF(M11323="","",'Master Barang'!A17)</f>
        <v>PRL-016</v>
      </c>
      <c r="O11323" t="str">
        <f>IF(N11323="","",'Master Barang'!B17)</f>
        <v>rajawali trashbag 30x40</v>
      </c>
      <c r="P11323">
        <f>IF(OR(M11323="",N11323=""),"",SUMIFS('Barang Keluar'!$E:$E,'Barang Keluar'!$A:$A,M11323,'Barang Keluar'!$C:$C,N11323))</f>
        <v>0</v>
      </c>
    </row>
    <row r="11324" spans="13:16">
      <c r="M11324" s="49">
        <f>IF($A$4+113&gt;$B$4,"",$A$4+113)</f>
        <v>46136</v>
      </c>
      <c r="N11324" t="str">
        <f>IF(M11324="","",'Master Barang'!A18)</f>
        <v>PRL-017</v>
      </c>
      <c r="O11324" t="str">
        <f>IF(N11324="","",'Master Barang'!B18)</f>
        <v>onemed masker biru 3 play 50 pcs</v>
      </c>
      <c r="P11324">
        <f>IF(OR(M11324="",N11324=""),"",SUMIFS('Barang Keluar'!$E:$E,'Barang Keluar'!$A:$A,M11324,'Barang Keluar'!$C:$C,N11324))</f>
        <v>0</v>
      </c>
    </row>
    <row r="11325" spans="13:16">
      <c r="M11325" s="49">
        <f>IF($A$4+113&gt;$B$4,"",$A$4+113)</f>
        <v>46136</v>
      </c>
      <c r="N11325" t="str">
        <f>IF(M11325="","",'Master Barang'!A19)</f>
        <v>PRL-018</v>
      </c>
      <c r="O11325" t="str">
        <f>IF(N11325="","",'Master Barang'!B19)</f>
        <v>onemed masker biru 3 play hijab 50 pcs</v>
      </c>
      <c r="P11325">
        <f>IF(OR(M11325="",N11325=""),"",SUMIFS('Barang Keluar'!$E:$E,'Barang Keluar'!$A:$A,M11325,'Barang Keluar'!$C:$C,N11325))</f>
        <v>0</v>
      </c>
    </row>
    <row r="11326" spans="13:16">
      <c r="M11326" s="49">
        <f>IF($A$4+113&gt;$B$4,"",$A$4+113)</f>
        <v>46136</v>
      </c>
      <c r="N11326" t="str">
        <f>IF(M11326="","",'Master Barang'!A20)</f>
        <v>PRL-019</v>
      </c>
      <c r="O11326" t="str">
        <f>IF(N11326="","",'Master Barang'!B20)</f>
        <v>neo health masker biru 3 play 50 pcs</v>
      </c>
      <c r="P11326">
        <f>IF(OR(M11326="",N11326=""),"",SUMIFS('Barang Keluar'!$E:$E,'Barang Keluar'!$A:$A,M11326,'Barang Keluar'!$C:$C,N11326))</f>
        <v>0</v>
      </c>
    </row>
    <row r="11327" spans="13:16">
      <c r="M11327" s="49">
        <f>IF($A$4+113&gt;$B$4,"",$A$4+113)</f>
        <v>46136</v>
      </c>
      <c r="N11327" t="str">
        <f>IF(M11327="","",'Master Barang'!A21)</f>
        <v>PRL-020</v>
      </c>
      <c r="O11327" t="str">
        <f>IF(N11327="","",'Master Barang'!B21)</f>
        <v>baymed masker hijau 3 play hijau 50 pcs</v>
      </c>
      <c r="P11327">
        <f>IF(OR(M11327="",N11327=""),"",SUMIFS('Barang Keluar'!$E:$E,'Barang Keluar'!$A:$A,M11327,'Barang Keluar'!$C:$C,N11327))</f>
        <v>0</v>
      </c>
    </row>
    <row r="11328" spans="13:16">
      <c r="M11328" s="49">
        <f>IF($A$4+113&gt;$B$4,"",$A$4+113)</f>
        <v>46136</v>
      </c>
      <c r="N11328" t="str">
        <f>IF(M11328="","",'Master Barang'!A22)</f>
        <v>PRL-021</v>
      </c>
      <c r="O11328" t="str">
        <f>IF(N11328="","",'Master Barang'!B22)</f>
        <v>altamed nurse cap penutup kepala 100 pcs</v>
      </c>
      <c r="P11328">
        <f>IF(OR(M11328="",N11328=""),"",SUMIFS('Barang Keluar'!$E:$E,'Barang Keluar'!$A:$A,M11328,'Barang Keluar'!$C:$C,N11328))</f>
        <v>0</v>
      </c>
    </row>
    <row r="11329" spans="13:16">
      <c r="M11329" s="49">
        <f>IF($A$4+113&gt;$B$4,"",$A$4+113)</f>
        <v>46136</v>
      </c>
      <c r="N11329" t="str">
        <f>IF(M11329="","",'Master Barang'!A23)</f>
        <v>PRL-022</v>
      </c>
      <c r="O11329" t="str">
        <f>IF(N11329="","",'Master Barang'!B23)</f>
        <v>sabun cuci tangan</v>
      </c>
      <c r="P11329">
        <f>IF(OR(M11329="",N11329=""),"",SUMIFS('Barang Keluar'!$E:$E,'Barang Keluar'!$A:$A,M11329,'Barang Keluar'!$C:$C,N11329))</f>
        <v>0</v>
      </c>
    </row>
    <row r="11330" spans="13:16">
      <c r="M11330" s="49">
        <f>IF($A$4+113&gt;$B$4,"",$A$4+113)</f>
        <v>46136</v>
      </c>
      <c r="N11330" t="str">
        <f>IF(M11330="","",'Master Barang'!A24)</f>
        <v>PRL-023</v>
      </c>
      <c r="O11330" t="str">
        <f>IF(N11330="","",'Master Barang'!B24)</f>
        <v>gayung kecil</v>
      </c>
      <c r="P11330">
        <f>IF(OR(M11330="",N11330=""),"",SUMIFS('Barang Keluar'!$E:$E,'Barang Keluar'!$A:$A,M11330,'Barang Keluar'!$C:$C,N11330))</f>
        <v>0</v>
      </c>
    </row>
    <row r="11331" spans="13:16">
      <c r="M11331" s="49">
        <f>IF($A$4+113&gt;$B$4,"",$A$4+113)</f>
        <v>46136</v>
      </c>
      <c r="N11331" t="str">
        <f>IF(M11331="","",'Master Barang'!A25)</f>
        <v>PRL-024</v>
      </c>
      <c r="O11331" t="str">
        <f>IF(N11331="","",'Master Barang'!B25)</f>
        <v>cikrak kecil</v>
      </c>
      <c r="P11331">
        <f>IF(OR(M11331="",N11331=""),"",SUMIFS('Barang Keluar'!$E:$E,'Barang Keluar'!$A:$A,M11331,'Barang Keluar'!$C:$C,N11331))</f>
        <v>0</v>
      </c>
    </row>
    <row r="11332" spans="13:16">
      <c r="M11332" s="49">
        <f>IF($A$4+113&gt;$B$4,"",$A$4+113)</f>
        <v>46136</v>
      </c>
      <c r="N11332" t="str">
        <f>IF(M11332="","",'Master Barang'!A26)</f>
        <v>PRL-025</v>
      </c>
      <c r="O11332" t="str">
        <f>IF(N11332="","",'Master Barang'!B26)</f>
        <v>petromax plastik kecil 12x24 100 lembar</v>
      </c>
      <c r="P11332">
        <f>IF(OR(M11332="",N11332=""),"",SUMIFS('Barang Keluar'!$E:$E,'Barang Keluar'!$A:$A,M11332,'Barang Keluar'!$C:$C,N11332))</f>
        <v>0</v>
      </c>
    </row>
    <row r="11333" spans="13:16">
      <c r="M11333" s="49">
        <f>IF($A$4+113&gt;$B$4,"",$A$4+113)</f>
        <v>46136</v>
      </c>
      <c r="N11333" t="str">
        <f>IF(M11333="","",'Master Barang'!A27)</f>
        <v>PRL-026</v>
      </c>
      <c r="O11333" t="str">
        <f>IF(N11333="","",'Master Barang'!B27)</f>
        <v>lancar kresek kecil bening </v>
      </c>
      <c r="P11333">
        <f>IF(OR(M11333="",N11333=""),"",SUMIFS('Barang Keluar'!$E:$E,'Barang Keluar'!$A:$A,M11333,'Barang Keluar'!$C:$C,N11333))</f>
        <v>0</v>
      </c>
    </row>
    <row r="11334" spans="13:16">
      <c r="M11334" s="49">
        <f>IF($A$4+113&gt;$B$4,"",$A$4+113)</f>
        <v>46136</v>
      </c>
      <c r="N11334" t="str">
        <f>IF(M11334="","",'Master Barang'!A28)</f>
        <v>PRL-027</v>
      </c>
      <c r="O11334" t="str">
        <f>IF(N11334="","",'Master Barang'!B28)</f>
        <v>kresek klin warna warni kecil</v>
      </c>
      <c r="P11334">
        <f>IF(OR(M11334="",N11334=""),"",SUMIFS('Barang Keluar'!$E:$E,'Barang Keluar'!$A:$A,M11334,'Barang Keluar'!$C:$C,N11334))</f>
        <v>0</v>
      </c>
    </row>
    <row r="11335" spans="13:16">
      <c r="M11335" s="49">
        <f>IF($A$4+113&gt;$B$4,"",$A$4+113)</f>
        <v>46136</v>
      </c>
      <c r="N11335" t="str">
        <f>IF(M11335="","",'Master Barang'!A29)</f>
        <v>PRL-028</v>
      </c>
      <c r="O11335" t="str">
        <f>IF(N11335="","",'Master Barang'!B29)</f>
        <v>ctik plastik 7x10 100 pcs</v>
      </c>
      <c r="P11335">
        <f>IF(OR(M11335="",N11335=""),"",SUMIFS('Barang Keluar'!$E:$E,'Barang Keluar'!$A:$A,M11335,'Barang Keluar'!$C:$C,N11335))</f>
        <v>0</v>
      </c>
    </row>
    <row r="11336" spans="13:16">
      <c r="M11336" s="49">
        <f>IF($A$4+113&gt;$B$4,"",$A$4+113)</f>
        <v>46136</v>
      </c>
      <c r="N11336" t="str">
        <f>IF(M11336="","",'Master Barang'!A30)</f>
        <v>PRL-029</v>
      </c>
      <c r="O11336" t="str">
        <f>IF(N11336="","",'Master Barang'!B30)</f>
        <v>ctik plastik 6x10 100 pcs</v>
      </c>
      <c r="P11336">
        <f>IF(OR(M11336="",N11336=""),"",SUMIFS('Barang Keluar'!$E:$E,'Barang Keluar'!$A:$A,M11336,'Barang Keluar'!$C:$C,N11336))</f>
        <v>0</v>
      </c>
    </row>
    <row r="11337" spans="13:16">
      <c r="M11337" s="49">
        <f>IF($A$4+113&gt;$B$4,"",$A$4+113)</f>
        <v>46136</v>
      </c>
      <c r="N11337" t="str">
        <f>IF(M11337="","",'Master Barang'!A31)</f>
        <v>PRL-030</v>
      </c>
      <c r="O11337" t="str">
        <f>IF(N11337="","",'Master Barang'!B31)</f>
        <v>klip plastik 25x16 100 pcs</v>
      </c>
      <c r="P11337">
        <f>IF(OR(M11337="",N11337=""),"",SUMIFS('Barang Keluar'!$E:$E,'Barang Keluar'!$A:$A,M11337,'Barang Keluar'!$C:$C,N11337))</f>
        <v>0</v>
      </c>
    </row>
    <row r="11338" spans="13:16">
      <c r="M11338" s="49">
        <f>IF($A$4+113&gt;$B$4,"",$A$4+113)</f>
        <v>46136</v>
      </c>
      <c r="N11338" t="str">
        <f>IF(M11338="","",'Master Barang'!A32)</f>
        <v>PRL-031</v>
      </c>
      <c r="O11338" t="str">
        <f>IF(N11338="","",'Master Barang'!B32)</f>
        <v>tempat saus 20 ml</v>
      </c>
      <c r="P11338">
        <f>IF(OR(M11338="",N11338=""),"",SUMIFS('Barang Keluar'!$E:$E,'Barang Keluar'!$A:$A,M11338,'Barang Keluar'!$C:$C,N11338))</f>
        <v>0</v>
      </c>
    </row>
    <row r="11339" spans="13:16">
      <c r="M11339" s="49">
        <f>IF($A$4+113&gt;$B$4,"",$A$4+113)</f>
        <v>46136</v>
      </c>
      <c r="N11339" t="str">
        <f>IF(M11339="","",'Master Barang'!A33)</f>
        <v>PRL-032</v>
      </c>
      <c r="O11339" t="str">
        <f>IF(N11339="","",'Master Barang'!B33)</f>
        <v>plastik packaging ag box uk sedang</v>
      </c>
      <c r="P11339">
        <f>IF(OR(M11339="",N11339=""),"",SUMIFS('Barang Keluar'!$E:$E,'Barang Keluar'!$A:$A,M11339,'Barang Keluar'!$C:$C,N11339))</f>
        <v>0</v>
      </c>
    </row>
    <row r="11340" spans="13:16">
      <c r="M11340" s="49">
        <f>IF($A$4+113&gt;$B$4,"",$A$4+113)</f>
        <v>46136</v>
      </c>
      <c r="N11340" t="str">
        <f>IF(M11340="","",'Master Barang'!A34)</f>
        <v>PRL-033</v>
      </c>
      <c r="O11340">
        <f>IF(N11340="","",'Master Barang'!B34)</f>
        <v>0</v>
      </c>
      <c r="P11340">
        <f>IF(OR(M11340="",N11340=""),"",SUMIFS('Barang Keluar'!$E:$E,'Barang Keluar'!$A:$A,M11340,'Barang Keluar'!$C:$C,N11340))</f>
        <v>0</v>
      </c>
    </row>
    <row r="11341" spans="13:16">
      <c r="M11341" s="49">
        <f>IF($A$4+113&gt;$B$4,"",$A$4+113)</f>
        <v>46136</v>
      </c>
      <c r="N11341">
        <f>IF(M11341="","",'Master Barang'!A35)</f>
        <v>0</v>
      </c>
      <c r="O11341">
        <f>IF(N11341="","",'Master Barang'!B35)</f>
        <v>0</v>
      </c>
      <c r="P11341">
        <f>IF(OR(M11341="",N11341=""),"",SUMIFS('Barang Keluar'!$E:$E,'Barang Keluar'!$A:$A,M11341,'Barang Keluar'!$C:$C,N11341))</f>
        <v>0</v>
      </c>
    </row>
    <row r="11342" spans="13:16">
      <c r="M11342" s="49">
        <f>IF($A$4+113&gt;$B$4,"",$A$4+113)</f>
        <v>46136</v>
      </c>
      <c r="N11342">
        <f>IF(M11342="","",'Master Barang'!A36)</f>
        <v>0</v>
      </c>
      <c r="O11342">
        <f>IF(N11342="","",'Master Barang'!B36)</f>
        <v>0</v>
      </c>
      <c r="P11342">
        <f>IF(OR(M11342="",N11342=""),"",SUMIFS('Barang Keluar'!$E:$E,'Barang Keluar'!$A:$A,M11342,'Barang Keluar'!$C:$C,N11342))</f>
        <v>0</v>
      </c>
    </row>
    <row r="11343" spans="13:16">
      <c r="M11343" s="49">
        <f>IF($A$4+113&gt;$B$4,"",$A$4+113)</f>
        <v>46136</v>
      </c>
      <c r="N11343">
        <f>IF(M11343="","",'Master Barang'!A37)</f>
        <v>0</v>
      </c>
      <c r="O11343">
        <f>IF(N11343="","",'Master Barang'!B37)</f>
        <v>0</v>
      </c>
      <c r="P11343">
        <f>IF(OR(M11343="",N11343=""),"",SUMIFS('Barang Keluar'!$E:$E,'Barang Keluar'!$A:$A,M11343,'Barang Keluar'!$C:$C,N11343))</f>
        <v>0</v>
      </c>
    </row>
    <row r="11344" spans="13:16">
      <c r="M11344" s="49">
        <f>IF($A$4+113&gt;$B$4,"",$A$4+113)</f>
        <v>46136</v>
      </c>
      <c r="N11344">
        <f>IF(M11344="","",'Master Barang'!A38)</f>
        <v>0</v>
      </c>
      <c r="O11344">
        <f>IF(N11344="","",'Master Barang'!B38)</f>
        <v>0</v>
      </c>
      <c r="P11344">
        <f>IF(OR(M11344="",N11344=""),"",SUMIFS('Barang Keluar'!$E:$E,'Barang Keluar'!$A:$A,M11344,'Barang Keluar'!$C:$C,N11344))</f>
        <v>0</v>
      </c>
    </row>
    <row r="11345" spans="13:16">
      <c r="M11345" s="49">
        <f>IF($A$4+113&gt;$B$4,"",$A$4+113)</f>
        <v>46136</v>
      </c>
      <c r="N11345">
        <f>IF(M11345="","",'Master Barang'!A39)</f>
        <v>0</v>
      </c>
      <c r="O11345">
        <f>IF(N11345="","",'Master Barang'!B39)</f>
        <v>0</v>
      </c>
      <c r="P11345">
        <f>IF(OR(M11345="",N11345=""),"",SUMIFS('Barang Keluar'!$E:$E,'Barang Keluar'!$A:$A,M11345,'Barang Keluar'!$C:$C,N11345))</f>
        <v>0</v>
      </c>
    </row>
    <row r="11346" spans="13:16">
      <c r="M11346" s="49">
        <f>IF($A$4+113&gt;$B$4,"",$A$4+113)</f>
        <v>46136</v>
      </c>
      <c r="N11346">
        <f>IF(M11346="","",'Master Barang'!A40)</f>
        <v>0</v>
      </c>
      <c r="O11346">
        <f>IF(N11346="","",'Master Barang'!B40)</f>
        <v>0</v>
      </c>
      <c r="P11346">
        <f>IF(OR(M11346="",N11346=""),"",SUMIFS('Barang Keluar'!$E:$E,'Barang Keluar'!$A:$A,M11346,'Barang Keluar'!$C:$C,N11346))</f>
        <v>0</v>
      </c>
    </row>
    <row r="11347" spans="13:16">
      <c r="M11347" s="49">
        <f>IF($A$4+113&gt;$B$4,"",$A$4+113)</f>
        <v>46136</v>
      </c>
      <c r="N11347">
        <f>IF(M11347="","",'Master Barang'!A41)</f>
        <v>0</v>
      </c>
      <c r="O11347">
        <f>IF(N11347="","",'Master Barang'!B41)</f>
        <v>0</v>
      </c>
      <c r="P11347">
        <f>IF(OR(M11347="",N11347=""),"",SUMIFS('Barang Keluar'!$E:$E,'Barang Keluar'!$A:$A,M11347,'Barang Keluar'!$C:$C,N11347))</f>
        <v>0</v>
      </c>
    </row>
    <row r="11348" spans="13:16">
      <c r="M11348" s="49">
        <f>IF($A$4+113&gt;$B$4,"",$A$4+113)</f>
        <v>46136</v>
      </c>
      <c r="N11348">
        <f>IF(M11348="","",'Master Barang'!A42)</f>
        <v>0</v>
      </c>
      <c r="O11348">
        <f>IF(N11348="","",'Master Barang'!B42)</f>
        <v>0</v>
      </c>
      <c r="P11348">
        <f>IF(OR(M11348="",N11348=""),"",SUMIFS('Barang Keluar'!$E:$E,'Barang Keluar'!$A:$A,M11348,'Barang Keluar'!$C:$C,N11348))</f>
        <v>0</v>
      </c>
    </row>
    <row r="11349" spans="13:16">
      <c r="M11349" s="49">
        <f>IF($A$4+113&gt;$B$4,"",$A$4+113)</f>
        <v>46136</v>
      </c>
      <c r="N11349">
        <f>IF(M11349="","",'Master Barang'!A43)</f>
        <v>0</v>
      </c>
      <c r="O11349">
        <f>IF(N11349="","",'Master Barang'!B43)</f>
        <v>0</v>
      </c>
      <c r="P11349">
        <f>IF(OR(M11349="",N11349=""),"",SUMIFS('Barang Keluar'!$E:$E,'Barang Keluar'!$A:$A,M11349,'Barang Keluar'!$C:$C,N11349))</f>
        <v>0</v>
      </c>
    </row>
    <row r="11350" spans="13:16">
      <c r="M11350" s="49">
        <f>IF($A$4+113&gt;$B$4,"",$A$4+113)</f>
        <v>46136</v>
      </c>
      <c r="N11350">
        <f>IF(M11350="","",'Master Barang'!A44)</f>
        <v>0</v>
      </c>
      <c r="O11350">
        <f>IF(N11350="","",'Master Barang'!B44)</f>
        <v>0</v>
      </c>
      <c r="P11350">
        <f>IF(OR(M11350="",N11350=""),"",SUMIFS('Barang Keluar'!$E:$E,'Barang Keluar'!$A:$A,M11350,'Barang Keluar'!$C:$C,N11350))</f>
        <v>0</v>
      </c>
    </row>
    <row r="11351" spans="13:16">
      <c r="M11351" s="49">
        <f>IF($A$4+113&gt;$B$4,"",$A$4+113)</f>
        <v>46136</v>
      </c>
      <c r="N11351">
        <f>IF(M11351="","",'Master Barang'!A45)</f>
        <v>0</v>
      </c>
      <c r="O11351">
        <f>IF(N11351="","",'Master Barang'!B45)</f>
        <v>0</v>
      </c>
      <c r="P11351">
        <f>IF(OR(M11351="",N11351=""),"",SUMIFS('Barang Keluar'!$E:$E,'Barang Keluar'!$A:$A,M11351,'Barang Keluar'!$C:$C,N11351))</f>
        <v>0</v>
      </c>
    </row>
    <row r="11352" spans="13:16">
      <c r="M11352" s="49">
        <f>IF($A$4+113&gt;$B$4,"",$A$4+113)</f>
        <v>46136</v>
      </c>
      <c r="N11352">
        <f>IF(M11352="","",'Master Barang'!A46)</f>
        <v>0</v>
      </c>
      <c r="O11352">
        <f>IF(N11352="","",'Master Barang'!B46)</f>
        <v>0</v>
      </c>
      <c r="P11352">
        <f>IF(OR(M11352="",N11352=""),"",SUMIFS('Barang Keluar'!$E:$E,'Barang Keluar'!$A:$A,M11352,'Barang Keluar'!$C:$C,N11352))</f>
        <v>0</v>
      </c>
    </row>
    <row r="11353" spans="13:16">
      <c r="M11353" s="49">
        <f>IF($A$4+113&gt;$B$4,"",$A$4+113)</f>
        <v>46136</v>
      </c>
      <c r="N11353">
        <f>IF(M11353="","",'Master Barang'!A47)</f>
        <v>0</v>
      </c>
      <c r="O11353">
        <f>IF(N11353="","",'Master Barang'!B47)</f>
        <v>0</v>
      </c>
      <c r="P11353">
        <f>IF(OR(M11353="",N11353=""),"",SUMIFS('Barang Keluar'!$E:$E,'Barang Keluar'!$A:$A,M11353,'Barang Keluar'!$C:$C,N11353))</f>
        <v>0</v>
      </c>
    </row>
    <row r="11354" spans="13:16">
      <c r="M11354" s="49">
        <f>IF($A$4+113&gt;$B$4,"",$A$4+113)</f>
        <v>46136</v>
      </c>
      <c r="N11354">
        <f>IF(M11354="","",'Master Barang'!A48)</f>
        <v>0</v>
      </c>
      <c r="O11354">
        <f>IF(N11354="","",'Master Barang'!B48)</f>
        <v>0</v>
      </c>
      <c r="P11354">
        <f>IF(OR(M11354="",N11354=""),"",SUMIFS('Barang Keluar'!$E:$E,'Barang Keluar'!$A:$A,M11354,'Barang Keluar'!$C:$C,N11354))</f>
        <v>0</v>
      </c>
    </row>
    <row r="11355" spans="13:16">
      <c r="M11355" s="49">
        <f>IF($A$4+113&gt;$B$4,"",$A$4+113)</f>
        <v>46136</v>
      </c>
      <c r="N11355">
        <f>IF(M11355="","",'Master Barang'!A49)</f>
        <v>0</v>
      </c>
      <c r="O11355">
        <f>IF(N11355="","",'Master Barang'!B49)</f>
        <v>0</v>
      </c>
      <c r="P11355">
        <f>IF(OR(M11355="",N11355=""),"",SUMIFS('Barang Keluar'!$E:$E,'Barang Keluar'!$A:$A,M11355,'Barang Keluar'!$C:$C,N11355))</f>
        <v>0</v>
      </c>
    </row>
    <row r="11356" spans="13:16">
      <c r="M11356" s="49">
        <f>IF($A$4+113&gt;$B$4,"",$A$4+113)</f>
        <v>46136</v>
      </c>
      <c r="N11356">
        <f>IF(M11356="","",'Master Barang'!A50)</f>
        <v>0</v>
      </c>
      <c r="O11356">
        <f>IF(N11356="","",'Master Barang'!B50)</f>
        <v>0</v>
      </c>
      <c r="P11356">
        <f>IF(OR(M11356="",N11356=""),"",SUMIFS('Barang Keluar'!$E:$E,'Barang Keluar'!$A:$A,M11356,'Barang Keluar'!$C:$C,N11356))</f>
        <v>0</v>
      </c>
    </row>
    <row r="11357" spans="13:16">
      <c r="M11357" s="49">
        <f>IF($A$4+113&gt;$B$4,"",$A$4+113)</f>
        <v>46136</v>
      </c>
      <c r="N11357">
        <f>IF(M11357="","",'Master Barang'!A51)</f>
        <v>0</v>
      </c>
      <c r="O11357">
        <f>IF(N11357="","",'Master Barang'!B51)</f>
        <v>0</v>
      </c>
      <c r="P11357">
        <f>IF(OR(M11357="",N11357=""),"",SUMIFS('Barang Keluar'!$E:$E,'Barang Keluar'!$A:$A,M11357,'Barang Keluar'!$C:$C,N11357))</f>
        <v>0</v>
      </c>
    </row>
    <row r="11358" spans="13:16">
      <c r="M11358" s="49">
        <f>IF($A$4+113&gt;$B$4,"",$A$4+113)</f>
        <v>46136</v>
      </c>
      <c r="N11358">
        <f>IF(M11358="","",'Master Barang'!A52)</f>
        <v>0</v>
      </c>
      <c r="O11358">
        <f>IF(N11358="","",'Master Barang'!B52)</f>
        <v>0</v>
      </c>
      <c r="P11358">
        <f>IF(OR(M11358="",N11358=""),"",SUMIFS('Barang Keluar'!$E:$E,'Barang Keluar'!$A:$A,M11358,'Barang Keluar'!$C:$C,N11358))</f>
        <v>0</v>
      </c>
    </row>
    <row r="11359" spans="13:16">
      <c r="M11359" s="49">
        <f>IF($A$4+113&gt;$B$4,"",$A$4+113)</f>
        <v>46136</v>
      </c>
      <c r="N11359">
        <f>IF(M11359="","",'Master Barang'!A53)</f>
        <v>0</v>
      </c>
      <c r="O11359">
        <f>IF(N11359="","",'Master Barang'!B53)</f>
        <v>0</v>
      </c>
      <c r="P11359">
        <f>IF(OR(M11359="",N11359=""),"",SUMIFS('Barang Keluar'!$E:$E,'Barang Keluar'!$A:$A,M11359,'Barang Keluar'!$C:$C,N11359))</f>
        <v>0</v>
      </c>
    </row>
    <row r="11360" spans="13:16">
      <c r="M11360" s="49">
        <f>IF($A$4+113&gt;$B$4,"",$A$4+113)</f>
        <v>46136</v>
      </c>
      <c r="N11360">
        <f>IF(M11360="","",'Master Barang'!A54)</f>
        <v>0</v>
      </c>
      <c r="O11360">
        <f>IF(N11360="","",'Master Barang'!B54)</f>
        <v>0</v>
      </c>
      <c r="P11360">
        <f>IF(OR(M11360="",N11360=""),"",SUMIFS('Barang Keluar'!$E:$E,'Barang Keluar'!$A:$A,M11360,'Barang Keluar'!$C:$C,N11360))</f>
        <v>0</v>
      </c>
    </row>
    <row r="11361" spans="13:16">
      <c r="M11361" s="49">
        <f>IF($A$4+113&gt;$B$4,"",$A$4+113)</f>
        <v>46136</v>
      </c>
      <c r="N11361">
        <f>IF(M11361="","",'Master Barang'!A55)</f>
        <v>0</v>
      </c>
      <c r="O11361">
        <f>IF(N11361="","",'Master Barang'!B55)</f>
        <v>0</v>
      </c>
      <c r="P11361">
        <f>IF(OR(M11361="",N11361=""),"",SUMIFS('Barang Keluar'!$E:$E,'Barang Keluar'!$A:$A,M11361,'Barang Keluar'!$C:$C,N11361))</f>
        <v>0</v>
      </c>
    </row>
    <row r="11362" spans="13:16">
      <c r="M11362" s="49">
        <f>IF($A$4+113&gt;$B$4,"",$A$4+113)</f>
        <v>46136</v>
      </c>
      <c r="N11362">
        <f>IF(M11362="","",'Master Barang'!A56)</f>
        <v>0</v>
      </c>
      <c r="O11362">
        <f>IF(N11362="","",'Master Barang'!B56)</f>
        <v>0</v>
      </c>
      <c r="P11362">
        <f>IF(OR(M11362="",N11362=""),"",SUMIFS('Barang Keluar'!$E:$E,'Barang Keluar'!$A:$A,M11362,'Barang Keluar'!$C:$C,N11362))</f>
        <v>0</v>
      </c>
    </row>
    <row r="11363" spans="13:16">
      <c r="M11363" s="49">
        <f>IF($A$4+113&gt;$B$4,"",$A$4+113)</f>
        <v>46136</v>
      </c>
      <c r="N11363">
        <f>IF(M11363="","",'Master Barang'!A57)</f>
        <v>0</v>
      </c>
      <c r="O11363">
        <f>IF(N11363="","",'Master Barang'!B57)</f>
        <v>0</v>
      </c>
      <c r="P11363">
        <f>IF(OR(M11363="",N11363=""),"",SUMIFS('Barang Keluar'!$E:$E,'Barang Keluar'!$A:$A,M11363,'Barang Keluar'!$C:$C,N11363))</f>
        <v>0</v>
      </c>
    </row>
    <row r="11364" spans="13:16">
      <c r="M11364" s="49">
        <f>IF($A$4+113&gt;$B$4,"",$A$4+113)</f>
        <v>46136</v>
      </c>
      <c r="N11364">
        <f>IF(M11364="","",'Master Barang'!A58)</f>
        <v>0</v>
      </c>
      <c r="O11364">
        <f>IF(N11364="","",'Master Barang'!B58)</f>
        <v>0</v>
      </c>
      <c r="P11364">
        <f>IF(OR(M11364="",N11364=""),"",SUMIFS('Barang Keluar'!$E:$E,'Barang Keluar'!$A:$A,M11364,'Barang Keluar'!$C:$C,N11364))</f>
        <v>0</v>
      </c>
    </row>
    <row r="11365" spans="13:16">
      <c r="M11365" s="49">
        <f>IF($A$4+113&gt;$B$4,"",$A$4+113)</f>
        <v>46136</v>
      </c>
      <c r="N11365">
        <f>IF(M11365="","",'Master Barang'!A59)</f>
        <v>0</v>
      </c>
      <c r="O11365">
        <f>IF(N11365="","",'Master Barang'!B59)</f>
        <v>0</v>
      </c>
      <c r="P11365">
        <f>IF(OR(M11365="",N11365=""),"",SUMIFS('Barang Keluar'!$E:$E,'Barang Keluar'!$A:$A,M11365,'Barang Keluar'!$C:$C,N11365))</f>
        <v>0</v>
      </c>
    </row>
    <row r="11366" spans="13:16">
      <c r="M11366" s="49">
        <f>IF($A$4+113&gt;$B$4,"",$A$4+113)</f>
        <v>46136</v>
      </c>
      <c r="N11366">
        <f>IF(M11366="","",'Master Barang'!A60)</f>
        <v>0</v>
      </c>
      <c r="O11366">
        <f>IF(N11366="","",'Master Barang'!B60)</f>
        <v>0</v>
      </c>
      <c r="P11366">
        <f>IF(OR(M11366="",N11366=""),"",SUMIFS('Barang Keluar'!$E:$E,'Barang Keluar'!$A:$A,M11366,'Barang Keluar'!$C:$C,N11366))</f>
        <v>0</v>
      </c>
    </row>
    <row r="11367" spans="13:16">
      <c r="M11367" s="49">
        <f>IF($A$4+113&gt;$B$4,"",$A$4+113)</f>
        <v>46136</v>
      </c>
      <c r="N11367">
        <f>IF(M11367="","",'Master Barang'!A61)</f>
        <v>0</v>
      </c>
      <c r="O11367">
        <f>IF(N11367="","",'Master Barang'!B61)</f>
        <v>0</v>
      </c>
      <c r="P11367">
        <f>IF(OR(M11367="",N11367=""),"",SUMIFS('Barang Keluar'!$E:$E,'Barang Keluar'!$A:$A,M11367,'Barang Keluar'!$C:$C,N11367))</f>
        <v>0</v>
      </c>
    </row>
    <row r="11368" spans="13:16">
      <c r="M11368" s="49">
        <f>IF($A$4+113&gt;$B$4,"",$A$4+113)</f>
        <v>46136</v>
      </c>
      <c r="N11368">
        <f>IF(M11368="","",'Master Barang'!A62)</f>
        <v>0</v>
      </c>
      <c r="O11368">
        <f>IF(N11368="","",'Master Barang'!B62)</f>
        <v>0</v>
      </c>
      <c r="P11368">
        <f>IF(OR(M11368="",N11368=""),"",SUMIFS('Barang Keluar'!$E:$E,'Barang Keluar'!$A:$A,M11368,'Barang Keluar'!$C:$C,N11368))</f>
        <v>0</v>
      </c>
    </row>
    <row r="11369" spans="13:16">
      <c r="M11369" s="49">
        <f>IF($A$4+113&gt;$B$4,"",$A$4+113)</f>
        <v>46136</v>
      </c>
      <c r="N11369">
        <f>IF(M11369="","",'Master Barang'!A63)</f>
        <v>0</v>
      </c>
      <c r="O11369">
        <f>IF(N11369="","",'Master Barang'!B63)</f>
        <v>0</v>
      </c>
      <c r="P11369">
        <f>IF(OR(M11369="",N11369=""),"",SUMIFS('Barang Keluar'!$E:$E,'Barang Keluar'!$A:$A,M11369,'Barang Keluar'!$C:$C,N11369))</f>
        <v>0</v>
      </c>
    </row>
    <row r="11370" spans="13:16">
      <c r="M11370" s="49">
        <f>IF($A$4+113&gt;$B$4,"",$A$4+113)</f>
        <v>46136</v>
      </c>
      <c r="N11370">
        <f>IF(M11370="","",'Master Barang'!A64)</f>
        <v>0</v>
      </c>
      <c r="O11370">
        <f>IF(N11370="","",'Master Barang'!B64)</f>
        <v>0</v>
      </c>
      <c r="P11370">
        <f>IF(OR(M11370="",N11370=""),"",SUMIFS('Barang Keluar'!$E:$E,'Barang Keluar'!$A:$A,M11370,'Barang Keluar'!$C:$C,N11370))</f>
        <v>0</v>
      </c>
    </row>
    <row r="11371" spans="13:16">
      <c r="M11371" s="49">
        <f>IF($A$4+113&gt;$B$4,"",$A$4+113)</f>
        <v>46136</v>
      </c>
      <c r="N11371">
        <f>IF(M11371="","",'Master Barang'!A65)</f>
        <v>0</v>
      </c>
      <c r="O11371">
        <f>IF(N11371="","",'Master Barang'!B65)</f>
        <v>0</v>
      </c>
      <c r="P11371">
        <f>IF(OR(M11371="",N11371=""),"",SUMIFS('Barang Keluar'!$E:$E,'Barang Keluar'!$A:$A,M11371,'Barang Keluar'!$C:$C,N11371))</f>
        <v>0</v>
      </c>
    </row>
    <row r="11372" spans="13:16">
      <c r="M11372" s="49">
        <f>IF($A$4+113&gt;$B$4,"",$A$4+113)</f>
        <v>46136</v>
      </c>
      <c r="N11372">
        <f>IF(M11372="","",'Master Barang'!A66)</f>
        <v>0</v>
      </c>
      <c r="O11372">
        <f>IF(N11372="","",'Master Barang'!B66)</f>
        <v>0</v>
      </c>
      <c r="P11372">
        <f>IF(OR(M11372="",N11372=""),"",SUMIFS('Barang Keluar'!$E:$E,'Barang Keluar'!$A:$A,M11372,'Barang Keluar'!$C:$C,N11372))</f>
        <v>0</v>
      </c>
    </row>
    <row r="11373" spans="13:16">
      <c r="M11373" s="49">
        <f>IF($A$4+113&gt;$B$4,"",$A$4+113)</f>
        <v>46136</v>
      </c>
      <c r="N11373">
        <f>IF(M11373="","",'Master Barang'!A67)</f>
        <v>0</v>
      </c>
      <c r="O11373">
        <f>IF(N11373="","",'Master Barang'!B67)</f>
        <v>0</v>
      </c>
      <c r="P11373">
        <f>IF(OR(M11373="",N11373=""),"",SUMIFS('Barang Keluar'!$E:$E,'Barang Keluar'!$A:$A,M11373,'Barang Keluar'!$C:$C,N11373))</f>
        <v>0</v>
      </c>
    </row>
    <row r="11374" spans="13:16">
      <c r="M11374" s="49">
        <f>IF($A$4+113&gt;$B$4,"",$A$4+113)</f>
        <v>46136</v>
      </c>
      <c r="N11374">
        <f>IF(M11374="","",'Master Barang'!A68)</f>
        <v>0</v>
      </c>
      <c r="O11374">
        <f>IF(N11374="","",'Master Barang'!B68)</f>
        <v>0</v>
      </c>
      <c r="P11374">
        <f>IF(OR(M11374="",N11374=""),"",SUMIFS('Barang Keluar'!$E:$E,'Barang Keluar'!$A:$A,M11374,'Barang Keluar'!$C:$C,N11374))</f>
        <v>0</v>
      </c>
    </row>
    <row r="11375" spans="13:16">
      <c r="M11375" s="49">
        <f>IF($A$4+113&gt;$B$4,"",$A$4+113)</f>
        <v>46136</v>
      </c>
      <c r="N11375">
        <f>IF(M11375="","",'Master Barang'!A69)</f>
        <v>0</v>
      </c>
      <c r="O11375">
        <f>IF(N11375="","",'Master Barang'!B69)</f>
        <v>0</v>
      </c>
      <c r="P11375">
        <f>IF(OR(M11375="",N11375=""),"",SUMIFS('Barang Keluar'!$E:$E,'Barang Keluar'!$A:$A,M11375,'Barang Keluar'!$C:$C,N11375))</f>
        <v>0</v>
      </c>
    </row>
    <row r="11376" spans="13:16">
      <c r="M11376" s="49">
        <f>IF($A$4+113&gt;$B$4,"",$A$4+113)</f>
        <v>46136</v>
      </c>
      <c r="N11376">
        <f>IF(M11376="","",'Master Barang'!A70)</f>
        <v>0</v>
      </c>
      <c r="O11376">
        <f>IF(N11376="","",'Master Barang'!B70)</f>
        <v>0</v>
      </c>
      <c r="P11376">
        <f>IF(OR(M11376="",N11376=""),"",SUMIFS('Barang Keluar'!$E:$E,'Barang Keluar'!$A:$A,M11376,'Barang Keluar'!$C:$C,N11376))</f>
        <v>0</v>
      </c>
    </row>
    <row r="11377" spans="13:16">
      <c r="M11377" s="49">
        <f>IF($A$4+113&gt;$B$4,"",$A$4+113)</f>
        <v>46136</v>
      </c>
      <c r="N11377">
        <f>IF(M11377="","",'Master Barang'!A71)</f>
        <v>0</v>
      </c>
      <c r="O11377">
        <f>IF(N11377="","",'Master Barang'!B71)</f>
        <v>0</v>
      </c>
      <c r="P11377">
        <f>IF(OR(M11377="",N11377=""),"",SUMIFS('Barang Keluar'!$E:$E,'Barang Keluar'!$A:$A,M11377,'Barang Keluar'!$C:$C,N11377))</f>
        <v>0</v>
      </c>
    </row>
    <row r="11378" spans="13:16">
      <c r="M11378" s="49">
        <f>IF($A$4+113&gt;$B$4,"",$A$4+113)</f>
        <v>46136</v>
      </c>
      <c r="N11378">
        <f>IF(M11378="","",'Master Barang'!A72)</f>
        <v>0</v>
      </c>
      <c r="O11378">
        <f>IF(N11378="","",'Master Barang'!B72)</f>
        <v>0</v>
      </c>
      <c r="P11378">
        <f>IF(OR(M11378="",N11378=""),"",SUMIFS('Barang Keluar'!$E:$E,'Barang Keluar'!$A:$A,M11378,'Barang Keluar'!$C:$C,N11378))</f>
        <v>0</v>
      </c>
    </row>
    <row r="11379" spans="13:16">
      <c r="M11379" s="49">
        <f>IF($A$4+113&gt;$B$4,"",$A$4+113)</f>
        <v>46136</v>
      </c>
      <c r="N11379">
        <f>IF(M11379="","",'Master Barang'!A73)</f>
        <v>0</v>
      </c>
      <c r="O11379">
        <f>IF(N11379="","",'Master Barang'!B73)</f>
        <v>0</v>
      </c>
      <c r="P11379">
        <f>IF(OR(M11379="",N11379=""),"",SUMIFS('Barang Keluar'!$E:$E,'Barang Keluar'!$A:$A,M11379,'Barang Keluar'!$C:$C,N11379))</f>
        <v>0</v>
      </c>
    </row>
    <row r="11380" spans="13:16">
      <c r="M11380" s="49">
        <f>IF($A$4+113&gt;$B$4,"",$A$4+113)</f>
        <v>46136</v>
      </c>
      <c r="N11380">
        <f>IF(M11380="","",'Master Barang'!A74)</f>
        <v>0</v>
      </c>
      <c r="O11380">
        <f>IF(N11380="","",'Master Barang'!B74)</f>
        <v>0</v>
      </c>
      <c r="P11380">
        <f>IF(OR(M11380="",N11380=""),"",SUMIFS('Barang Keluar'!$E:$E,'Barang Keluar'!$A:$A,M11380,'Barang Keluar'!$C:$C,N11380))</f>
        <v>0</v>
      </c>
    </row>
    <row r="11381" spans="13:16">
      <c r="M11381" s="49">
        <f>IF($A$4+113&gt;$B$4,"",$A$4+113)</f>
        <v>46136</v>
      </c>
      <c r="N11381">
        <f>IF(M11381="","",'Master Barang'!A75)</f>
        <v>0</v>
      </c>
      <c r="O11381">
        <f>IF(N11381="","",'Master Barang'!B75)</f>
        <v>0</v>
      </c>
      <c r="P11381">
        <f>IF(OR(M11381="",N11381=""),"",SUMIFS('Barang Keluar'!$E:$E,'Barang Keluar'!$A:$A,M11381,'Barang Keluar'!$C:$C,N11381))</f>
        <v>0</v>
      </c>
    </row>
    <row r="11382" spans="13:16">
      <c r="M11382" s="49">
        <f>IF($A$4+113&gt;$B$4,"",$A$4+113)</f>
        <v>46136</v>
      </c>
      <c r="N11382">
        <f>IF(M11382="","",'Master Barang'!A76)</f>
        <v>0</v>
      </c>
      <c r="O11382">
        <f>IF(N11382="","",'Master Barang'!B76)</f>
        <v>0</v>
      </c>
      <c r="P11382">
        <f>IF(OR(M11382="",N11382=""),"",SUMIFS('Barang Keluar'!$E:$E,'Barang Keluar'!$A:$A,M11382,'Barang Keluar'!$C:$C,N11382))</f>
        <v>0</v>
      </c>
    </row>
    <row r="11383" spans="13:16">
      <c r="M11383" s="49">
        <f>IF($A$4+113&gt;$B$4,"",$A$4+113)</f>
        <v>46136</v>
      </c>
      <c r="N11383">
        <f>IF(M11383="","",'Master Barang'!A77)</f>
        <v>0</v>
      </c>
      <c r="O11383">
        <f>IF(N11383="","",'Master Barang'!B77)</f>
        <v>0</v>
      </c>
      <c r="P11383">
        <f>IF(OR(M11383="",N11383=""),"",SUMIFS('Barang Keluar'!$E:$E,'Barang Keluar'!$A:$A,M11383,'Barang Keluar'!$C:$C,N11383))</f>
        <v>0</v>
      </c>
    </row>
    <row r="11384" spans="13:16">
      <c r="M11384" s="49">
        <f>IF($A$4+113&gt;$B$4,"",$A$4+113)</f>
        <v>46136</v>
      </c>
      <c r="N11384">
        <f>IF(M11384="","",'Master Barang'!A78)</f>
        <v>0</v>
      </c>
      <c r="O11384">
        <f>IF(N11384="","",'Master Barang'!B78)</f>
        <v>0</v>
      </c>
      <c r="P11384">
        <f>IF(OR(M11384="",N11384=""),"",SUMIFS('Barang Keluar'!$E:$E,'Barang Keluar'!$A:$A,M11384,'Barang Keluar'!$C:$C,N11384))</f>
        <v>0</v>
      </c>
    </row>
    <row r="11385" spans="13:16">
      <c r="M11385" s="49">
        <f>IF($A$4+113&gt;$B$4,"",$A$4+113)</f>
        <v>46136</v>
      </c>
      <c r="N11385">
        <f>IF(M11385="","",'Master Barang'!A79)</f>
        <v>0</v>
      </c>
      <c r="O11385">
        <f>IF(N11385="","",'Master Barang'!B79)</f>
        <v>0</v>
      </c>
      <c r="P11385">
        <f>IF(OR(M11385="",N11385=""),"",SUMIFS('Barang Keluar'!$E:$E,'Barang Keluar'!$A:$A,M11385,'Barang Keluar'!$C:$C,N11385))</f>
        <v>0</v>
      </c>
    </row>
    <row r="11386" spans="13:16">
      <c r="M11386" s="49">
        <f>IF($A$4+113&gt;$B$4,"",$A$4+113)</f>
        <v>46136</v>
      </c>
      <c r="N11386">
        <f>IF(M11386="","",'Master Barang'!A80)</f>
        <v>0</v>
      </c>
      <c r="O11386">
        <f>IF(N11386="","",'Master Barang'!B80)</f>
        <v>0</v>
      </c>
      <c r="P11386">
        <f>IF(OR(M11386="",N11386=""),"",SUMIFS('Barang Keluar'!$E:$E,'Barang Keluar'!$A:$A,M11386,'Barang Keluar'!$C:$C,N11386))</f>
        <v>0</v>
      </c>
    </row>
    <row r="11387" spans="13:16">
      <c r="M11387" s="49">
        <f>IF($A$4+113&gt;$B$4,"",$A$4+113)</f>
        <v>46136</v>
      </c>
      <c r="N11387">
        <f>IF(M11387="","",'Master Barang'!A81)</f>
        <v>0</v>
      </c>
      <c r="O11387">
        <f>IF(N11387="","",'Master Barang'!B81)</f>
        <v>0</v>
      </c>
      <c r="P11387">
        <f>IF(OR(M11387="",N11387=""),"",SUMIFS('Barang Keluar'!$E:$E,'Barang Keluar'!$A:$A,M11387,'Barang Keluar'!$C:$C,N11387))</f>
        <v>0</v>
      </c>
    </row>
    <row r="11388" spans="13:16">
      <c r="M11388" s="49">
        <f>IF($A$4+113&gt;$B$4,"",$A$4+113)</f>
        <v>46136</v>
      </c>
      <c r="N11388">
        <f>IF(M11388="","",'Master Barang'!A82)</f>
        <v>0</v>
      </c>
      <c r="O11388">
        <f>IF(N11388="","",'Master Barang'!B82)</f>
        <v>0</v>
      </c>
      <c r="P11388">
        <f>IF(OR(M11388="",N11388=""),"",SUMIFS('Barang Keluar'!$E:$E,'Barang Keluar'!$A:$A,M11388,'Barang Keluar'!$C:$C,N11388))</f>
        <v>0</v>
      </c>
    </row>
    <row r="11389" spans="13:16">
      <c r="M11389" s="49">
        <f>IF($A$4+113&gt;$B$4,"",$A$4+113)</f>
        <v>46136</v>
      </c>
      <c r="N11389">
        <f>IF(M11389="","",'Master Barang'!A83)</f>
        <v>0</v>
      </c>
      <c r="O11389">
        <f>IF(N11389="","",'Master Barang'!B83)</f>
        <v>0</v>
      </c>
      <c r="P11389">
        <f>IF(OR(M11389="",N11389=""),"",SUMIFS('Barang Keluar'!$E:$E,'Barang Keluar'!$A:$A,M11389,'Barang Keluar'!$C:$C,N11389))</f>
        <v>0</v>
      </c>
    </row>
    <row r="11390" spans="13:16">
      <c r="M11390" s="49">
        <f>IF($A$4+113&gt;$B$4,"",$A$4+113)</f>
        <v>46136</v>
      </c>
      <c r="N11390">
        <f>IF(M11390="","",'Master Barang'!A84)</f>
        <v>0</v>
      </c>
      <c r="O11390">
        <f>IF(N11390="","",'Master Barang'!B84)</f>
        <v>0</v>
      </c>
      <c r="P11390">
        <f>IF(OR(M11390="",N11390=""),"",SUMIFS('Barang Keluar'!$E:$E,'Barang Keluar'!$A:$A,M11390,'Barang Keluar'!$C:$C,N11390))</f>
        <v>0</v>
      </c>
    </row>
    <row r="11391" spans="13:16">
      <c r="M11391" s="49">
        <f>IF($A$4+113&gt;$B$4,"",$A$4+113)</f>
        <v>46136</v>
      </c>
      <c r="N11391">
        <f>IF(M11391="","",'Master Barang'!A85)</f>
        <v>0</v>
      </c>
      <c r="O11391">
        <f>IF(N11391="","",'Master Barang'!B85)</f>
        <v>0</v>
      </c>
      <c r="P11391">
        <f>IF(OR(M11391="",N11391=""),"",SUMIFS('Barang Keluar'!$E:$E,'Barang Keluar'!$A:$A,M11391,'Barang Keluar'!$C:$C,N11391))</f>
        <v>0</v>
      </c>
    </row>
    <row r="11392" spans="13:16">
      <c r="M11392" s="49">
        <f>IF($A$4+113&gt;$B$4,"",$A$4+113)</f>
        <v>46136</v>
      </c>
      <c r="N11392">
        <f>IF(M11392="","",'Master Barang'!A86)</f>
        <v>0</v>
      </c>
      <c r="O11392">
        <f>IF(N11392="","",'Master Barang'!B86)</f>
        <v>0</v>
      </c>
      <c r="P11392">
        <f>IF(OR(M11392="",N11392=""),"",SUMIFS('Barang Keluar'!$E:$E,'Barang Keluar'!$A:$A,M11392,'Barang Keluar'!$C:$C,N11392))</f>
        <v>0</v>
      </c>
    </row>
    <row r="11393" spans="13:16">
      <c r="M11393" s="49">
        <f>IF($A$4+113&gt;$B$4,"",$A$4+113)</f>
        <v>46136</v>
      </c>
      <c r="N11393">
        <f>IF(M11393="","",'Master Barang'!A87)</f>
        <v>0</v>
      </c>
      <c r="O11393">
        <f>IF(N11393="","",'Master Barang'!B87)</f>
        <v>0</v>
      </c>
      <c r="P11393">
        <f>IF(OR(M11393="",N11393=""),"",SUMIFS('Barang Keluar'!$E:$E,'Barang Keluar'!$A:$A,M11393,'Barang Keluar'!$C:$C,N11393))</f>
        <v>0</v>
      </c>
    </row>
    <row r="11394" spans="13:16">
      <c r="M11394" s="49">
        <f>IF($A$4+113&gt;$B$4,"",$A$4+113)</f>
        <v>46136</v>
      </c>
      <c r="N11394">
        <f>IF(M11394="","",'Master Barang'!A88)</f>
        <v>0</v>
      </c>
      <c r="O11394">
        <f>IF(N11394="","",'Master Barang'!B88)</f>
        <v>0</v>
      </c>
      <c r="P11394">
        <f>IF(OR(M11394="",N11394=""),"",SUMIFS('Barang Keluar'!$E:$E,'Barang Keluar'!$A:$A,M11394,'Barang Keluar'!$C:$C,N11394))</f>
        <v>0</v>
      </c>
    </row>
    <row r="11395" spans="13:16">
      <c r="M11395" s="49">
        <f>IF($A$4+113&gt;$B$4,"",$A$4+113)</f>
        <v>46136</v>
      </c>
      <c r="N11395">
        <f>IF(M11395="","",'Master Barang'!A89)</f>
        <v>0</v>
      </c>
      <c r="O11395">
        <f>IF(N11395="","",'Master Barang'!B89)</f>
        <v>0</v>
      </c>
      <c r="P11395">
        <f>IF(OR(M11395="",N11395=""),"",SUMIFS('Barang Keluar'!$E:$E,'Barang Keluar'!$A:$A,M11395,'Barang Keluar'!$C:$C,N11395))</f>
        <v>0</v>
      </c>
    </row>
    <row r="11396" spans="13:16">
      <c r="M11396" s="49">
        <f>IF($A$4+113&gt;$B$4,"",$A$4+113)</f>
        <v>46136</v>
      </c>
      <c r="N11396">
        <f>IF(M11396="","",'Master Barang'!A90)</f>
        <v>0</v>
      </c>
      <c r="O11396">
        <f>IF(N11396="","",'Master Barang'!B90)</f>
        <v>0</v>
      </c>
      <c r="P11396">
        <f>IF(OR(M11396="",N11396=""),"",SUMIFS('Barang Keluar'!$E:$E,'Barang Keluar'!$A:$A,M11396,'Barang Keluar'!$C:$C,N11396))</f>
        <v>0</v>
      </c>
    </row>
    <row r="11397" spans="13:16">
      <c r="M11397" s="49">
        <f>IF($A$4+113&gt;$B$4,"",$A$4+113)</f>
        <v>46136</v>
      </c>
      <c r="N11397">
        <f>IF(M11397="","",'Master Barang'!A91)</f>
        <v>0</v>
      </c>
      <c r="O11397">
        <f>IF(N11397="","",'Master Barang'!B91)</f>
        <v>0</v>
      </c>
      <c r="P11397">
        <f>IF(OR(M11397="",N11397=""),"",SUMIFS('Barang Keluar'!$E:$E,'Barang Keluar'!$A:$A,M11397,'Barang Keluar'!$C:$C,N11397))</f>
        <v>0</v>
      </c>
    </row>
    <row r="11398" spans="13:16">
      <c r="M11398" s="49">
        <f>IF($A$4+113&gt;$B$4,"",$A$4+113)</f>
        <v>46136</v>
      </c>
      <c r="N11398">
        <f>IF(M11398="","",'Master Barang'!A92)</f>
        <v>0</v>
      </c>
      <c r="O11398">
        <f>IF(N11398="","",'Master Barang'!B92)</f>
        <v>0</v>
      </c>
      <c r="P11398">
        <f>IF(OR(M11398="",N11398=""),"",SUMIFS('Barang Keluar'!$E:$E,'Barang Keluar'!$A:$A,M11398,'Barang Keluar'!$C:$C,N11398))</f>
        <v>0</v>
      </c>
    </row>
    <row r="11399" spans="13:16">
      <c r="M11399" s="49">
        <f>IF($A$4+113&gt;$B$4,"",$A$4+113)</f>
        <v>46136</v>
      </c>
      <c r="N11399">
        <f>IF(M11399="","",'Master Barang'!A93)</f>
        <v>0</v>
      </c>
      <c r="O11399">
        <f>IF(N11399="","",'Master Barang'!B93)</f>
        <v>0</v>
      </c>
      <c r="P11399">
        <f>IF(OR(M11399="",N11399=""),"",SUMIFS('Barang Keluar'!$E:$E,'Barang Keluar'!$A:$A,M11399,'Barang Keluar'!$C:$C,N11399))</f>
        <v>0</v>
      </c>
    </row>
    <row r="11400" spans="13:16">
      <c r="M11400" s="49">
        <f>IF($A$4+113&gt;$B$4,"",$A$4+113)</f>
        <v>46136</v>
      </c>
      <c r="N11400">
        <f>IF(M11400="","",'Master Barang'!A94)</f>
        <v>0</v>
      </c>
      <c r="O11400">
        <f>IF(N11400="","",'Master Barang'!B94)</f>
        <v>0</v>
      </c>
      <c r="P11400">
        <f>IF(OR(M11400="",N11400=""),"",SUMIFS('Barang Keluar'!$E:$E,'Barang Keluar'!$A:$A,M11400,'Barang Keluar'!$C:$C,N11400))</f>
        <v>0</v>
      </c>
    </row>
    <row r="11401" spans="13:16">
      <c r="M11401" s="49">
        <f>IF($A$4+113&gt;$B$4,"",$A$4+113)</f>
        <v>46136</v>
      </c>
      <c r="N11401">
        <f>IF(M11401="","",'Master Barang'!A95)</f>
        <v>0</v>
      </c>
      <c r="O11401">
        <f>IF(N11401="","",'Master Barang'!B95)</f>
        <v>0</v>
      </c>
      <c r="P11401">
        <f>IF(OR(M11401="",N11401=""),"",SUMIFS('Barang Keluar'!$E:$E,'Barang Keluar'!$A:$A,M11401,'Barang Keluar'!$C:$C,N11401))</f>
        <v>0</v>
      </c>
    </row>
    <row r="11402" spans="13:16">
      <c r="M11402" s="49">
        <f>IF($A$4+113&gt;$B$4,"",$A$4+113)</f>
        <v>46136</v>
      </c>
      <c r="N11402">
        <f>IF(M11402="","",'Master Barang'!A96)</f>
        <v>0</v>
      </c>
      <c r="O11402">
        <f>IF(N11402="","",'Master Barang'!B96)</f>
        <v>0</v>
      </c>
      <c r="P11402">
        <f>IF(OR(M11402="",N11402=""),"",SUMIFS('Barang Keluar'!$E:$E,'Barang Keluar'!$A:$A,M11402,'Barang Keluar'!$C:$C,N11402))</f>
        <v>0</v>
      </c>
    </row>
    <row r="11403" spans="13:16">
      <c r="M11403" s="49">
        <f>IF($A$4+113&gt;$B$4,"",$A$4+113)</f>
        <v>46136</v>
      </c>
      <c r="N11403">
        <f>IF(M11403="","",'Master Barang'!A97)</f>
        <v>0</v>
      </c>
      <c r="O11403">
        <f>IF(N11403="","",'Master Barang'!B97)</f>
        <v>0</v>
      </c>
      <c r="P11403">
        <f>IF(OR(M11403="",N11403=""),"",SUMIFS('Barang Keluar'!$E:$E,'Barang Keluar'!$A:$A,M11403,'Barang Keluar'!$C:$C,N11403))</f>
        <v>0</v>
      </c>
    </row>
    <row r="11404" spans="13:16">
      <c r="M11404" s="49">
        <f>IF($A$4+113&gt;$B$4,"",$A$4+113)</f>
        <v>46136</v>
      </c>
      <c r="N11404">
        <f>IF(M11404="","",'Master Barang'!A98)</f>
        <v>0</v>
      </c>
      <c r="O11404">
        <f>IF(N11404="","",'Master Barang'!B98)</f>
        <v>0</v>
      </c>
      <c r="P11404">
        <f>IF(OR(M11404="",N11404=""),"",SUMIFS('Barang Keluar'!$E:$E,'Barang Keluar'!$A:$A,M11404,'Barang Keluar'!$C:$C,N11404))</f>
        <v>0</v>
      </c>
    </row>
    <row r="11405" spans="13:16">
      <c r="M11405" s="49">
        <f>IF($A$4+113&gt;$B$4,"",$A$4+113)</f>
        <v>46136</v>
      </c>
      <c r="N11405">
        <f>IF(M11405="","",'Master Barang'!A99)</f>
        <v>0</v>
      </c>
      <c r="O11405">
        <f>IF(N11405="","",'Master Barang'!B99)</f>
        <v>0</v>
      </c>
      <c r="P11405">
        <f>IF(OR(M11405="",N11405=""),"",SUMIFS('Barang Keluar'!$E:$E,'Barang Keluar'!$A:$A,M11405,'Barang Keluar'!$C:$C,N11405))</f>
        <v>0</v>
      </c>
    </row>
    <row r="11406" spans="13:16">
      <c r="M11406" s="49">
        <f>IF($A$4+113&gt;$B$4,"",$A$4+113)</f>
        <v>46136</v>
      </c>
      <c r="N11406">
        <f>IF(M11406="","",'Master Barang'!A100)</f>
        <v>0</v>
      </c>
      <c r="O11406">
        <f>IF(N11406="","",'Master Barang'!B100)</f>
        <v>0</v>
      </c>
      <c r="P11406">
        <f>IF(OR(M11406="",N11406=""),"",SUMIFS('Barang Keluar'!$E:$E,'Barang Keluar'!$A:$A,M11406,'Barang Keluar'!$C:$C,N11406))</f>
        <v>0</v>
      </c>
    </row>
    <row r="11407" spans="13:16">
      <c r="M11407" s="49">
        <f>IF($A$4+113&gt;$B$4,"",$A$4+113)</f>
        <v>46136</v>
      </c>
      <c r="N11407">
        <f>IF(M11407="","",'Master Barang'!A101)</f>
        <v>0</v>
      </c>
      <c r="O11407">
        <f>IF(N11407="","",'Master Barang'!B101)</f>
        <v>0</v>
      </c>
      <c r="P11407">
        <f>IF(OR(M11407="",N11407=""),"",SUMIFS('Barang Keluar'!$E:$E,'Barang Keluar'!$A:$A,M11407,'Barang Keluar'!$C:$C,N11407))</f>
        <v>0</v>
      </c>
    </row>
    <row r="11408" spans="13:16">
      <c r="M11408" s="49">
        <f>IF($A$4+114&gt;$B$4,"",$A$4+114)</f>
        <v>46137</v>
      </c>
      <c r="N11408" t="str">
        <f>IF(M11408="","",'Master Barang'!A2)</f>
        <v>PRL-001</v>
      </c>
      <c r="O11408" t="str">
        <f>IF(N11408="","",'Master Barang'!B2)</f>
        <v>natura desinfectant food grade 5l</v>
      </c>
      <c r="P11408">
        <f>IF(OR(M11408="",N11408=""),"",SUMIFS('Barang Keluar'!$E:$E,'Barang Keluar'!$A:$A,M11408,'Barang Keluar'!$C:$C,N11408))</f>
        <v>0</v>
      </c>
    </row>
    <row r="11409" spans="13:16">
      <c r="M11409" s="49">
        <f>IF($A$4+114&gt;$B$4,"",$A$4+114)</f>
        <v>46137</v>
      </c>
      <c r="N11409" t="str">
        <f>IF(M11409="","",'Master Barang'!A3)</f>
        <v>PRL-002</v>
      </c>
      <c r="O11409" t="str">
        <f>IF(N11409="","",'Master Barang'!B3)</f>
        <v>sunlight cairan pencuci piring 5l</v>
      </c>
      <c r="P11409">
        <f>IF(OR(M11409="",N11409=""),"",SUMIFS('Barang Keluar'!$E:$E,'Barang Keluar'!$A:$A,M11409,'Barang Keluar'!$C:$C,N11409))</f>
        <v>0</v>
      </c>
    </row>
    <row r="11410" spans="13:16">
      <c r="M11410" s="49">
        <f>IF($A$4+114&gt;$B$4,"",$A$4+114)</f>
        <v>46137</v>
      </c>
      <c r="N11410" t="str">
        <f>IF(M11410="","",'Master Barang'!A4)</f>
        <v>PRL-003</v>
      </c>
      <c r="O11410" t="str">
        <f>IF(N11410="","",'Master Barang'!B4)</f>
        <v>oixs cleaner 1l</v>
      </c>
      <c r="P11410">
        <f>IF(OR(M11410="",N11410=""),"",SUMIFS('Barang Keluar'!$E:$E,'Barang Keluar'!$A:$A,M11410,'Barang Keluar'!$C:$C,N11410))</f>
        <v>0</v>
      </c>
    </row>
    <row r="11411" spans="13:16">
      <c r="M11411" s="49">
        <f>IF($A$4+114&gt;$B$4,"",$A$4+114)</f>
        <v>46137</v>
      </c>
      <c r="N11411" t="str">
        <f>IF(M11411="","",'Master Barang'!A5)</f>
        <v>PRL-004</v>
      </c>
      <c r="O11411" t="str">
        <f>IF(N11411="","",'Master Barang'!B5)</f>
        <v>be clean tissue serbaguna</v>
      </c>
      <c r="P11411">
        <f>IF(OR(M11411="",N11411=""),"",SUMIFS('Barang Keluar'!$E:$E,'Barang Keluar'!$A:$A,M11411,'Barang Keluar'!$C:$C,N11411))</f>
        <v>0</v>
      </c>
    </row>
    <row r="11412" spans="13:16">
      <c r="M11412" s="49">
        <f>IF($A$4+114&gt;$B$4,"",$A$4+114)</f>
        <v>46137</v>
      </c>
      <c r="N11412" t="str">
        <f>IF(M11412="","",'Master Barang'!A6)</f>
        <v>PRL-005</v>
      </c>
      <c r="O11412" t="str">
        <f>IF(N11412="","",'Master Barang'!B6)</f>
        <v>spons cuci hijau</v>
      </c>
      <c r="P11412">
        <f>IF(OR(M11412="",N11412=""),"",SUMIFS('Barang Keluar'!$E:$E,'Barang Keluar'!$A:$A,M11412,'Barang Keluar'!$C:$C,N11412))</f>
        <v>0</v>
      </c>
    </row>
    <row r="11413" spans="13:16">
      <c r="M11413" s="49">
        <f>IF($A$4+114&gt;$B$4,"",$A$4+114)</f>
        <v>46137</v>
      </c>
      <c r="N11413" t="str">
        <f>IF(M11413="","",'Master Barang'!A7)</f>
        <v>PRL-006</v>
      </c>
      <c r="O11413" t="str">
        <f>IF(N11413="","",'Master Barang'!B7)</f>
        <v>sabut cuci stainless</v>
      </c>
      <c r="P11413">
        <f>IF(OR(M11413="",N11413=""),"",SUMIFS('Barang Keluar'!$E:$E,'Barang Keluar'!$A:$A,M11413,'Barang Keluar'!$C:$C,N11413))</f>
        <v>0</v>
      </c>
    </row>
    <row r="11414" spans="13:16">
      <c r="M11414" s="49">
        <f>IF($A$4+114&gt;$B$4,"",$A$4+114)</f>
        <v>46137</v>
      </c>
      <c r="N11414" t="str">
        <f>IF(M11414="","",'Master Barang'!A8)</f>
        <v>PRL-007</v>
      </c>
      <c r="O11414" t="str">
        <f>IF(N11414="","",'Master Barang'!B8)</f>
        <v>plastik kresek besar merah 50pc</v>
      </c>
      <c r="P11414">
        <f>IF(OR(M11414="",N11414=""),"",SUMIFS('Barang Keluar'!$E:$E,'Barang Keluar'!$A:$A,M11414,'Barang Keluar'!$C:$C,N11414))</f>
        <v>0</v>
      </c>
    </row>
    <row r="11415" spans="13:16">
      <c r="M11415" s="49">
        <f>IF($A$4+114&gt;$B$4,"",$A$4+114)</f>
        <v>46137</v>
      </c>
      <c r="N11415" t="str">
        <f>IF(M11415="","",'Master Barang'!A9)</f>
        <v>PRL-008</v>
      </c>
      <c r="O11415" t="str">
        <f>IF(N11415="","",'Master Barang'!B9)</f>
        <v>lap besar</v>
      </c>
      <c r="P11415">
        <f>IF(OR(M11415="",N11415=""),"",SUMIFS('Barang Keluar'!$E:$E,'Barang Keluar'!$A:$A,M11415,'Barang Keluar'!$C:$C,N11415))</f>
        <v>0</v>
      </c>
    </row>
    <row r="11416" spans="13:16">
      <c r="M11416" s="49">
        <f>IF($A$4+114&gt;$B$4,"",$A$4+114)</f>
        <v>46137</v>
      </c>
      <c r="N11416" t="str">
        <f>IF(M11416="","",'Master Barang'!A10)</f>
        <v>PRL-009</v>
      </c>
      <c r="O11416" t="str">
        <f>IF(N11416="","",'Master Barang'!B10)</f>
        <v>lap microfiber</v>
      </c>
      <c r="P11416">
        <f>IF(OR(M11416="",N11416=""),"",SUMIFS('Barang Keluar'!$E:$E,'Barang Keluar'!$A:$A,M11416,'Barang Keluar'!$C:$C,N11416))</f>
        <v>0</v>
      </c>
    </row>
    <row r="11417" spans="13:16">
      <c r="M11417" s="49">
        <f>IF($A$4+114&gt;$B$4,"",$A$4+114)</f>
        <v>46137</v>
      </c>
      <c r="N11417" t="str">
        <f>IF(M11417="","",'Master Barang'!A11)</f>
        <v>PRL-010</v>
      </c>
      <c r="O11417" t="str">
        <f>IF(N11417="","",'Master Barang'!B11)</f>
        <v>lap kecil</v>
      </c>
      <c r="P11417">
        <f>IF(OR(M11417="",N11417=""),"",SUMIFS('Barang Keluar'!$E:$E,'Barang Keluar'!$A:$A,M11417,'Barang Keluar'!$C:$C,N11417))</f>
        <v>0</v>
      </c>
    </row>
    <row r="11418" spans="13:16">
      <c r="M11418" s="49">
        <f>IF($A$4+114&gt;$B$4,"",$A$4+114)</f>
        <v>46137</v>
      </c>
      <c r="N11418" t="str">
        <f>IF(M11418="","",'Master Barang'!A12)</f>
        <v>PRL-011</v>
      </c>
      <c r="O11418" t="str">
        <f>IF(N11418="","",'Master Barang'!B12)</f>
        <v>kanebo kecil</v>
      </c>
      <c r="P11418">
        <f>IF(OR(M11418="",N11418=""),"",SUMIFS('Barang Keluar'!$E:$E,'Barang Keluar'!$A:$A,M11418,'Barang Keluar'!$C:$C,N11418))</f>
        <v>0</v>
      </c>
    </row>
    <row r="11419" spans="13:16">
      <c r="M11419" s="49">
        <f>IF($A$4+114&gt;$B$4,"",$A$4+114)</f>
        <v>46137</v>
      </c>
      <c r="N11419" t="str">
        <f>IF(M11419="","",'Master Barang'!A13)</f>
        <v>PRL-012</v>
      </c>
      <c r="O11419" t="str">
        <f>IF(N11419="","",'Master Barang'!B13)</f>
        <v>plastik 1/4kg joyoboyo 100 lembar</v>
      </c>
      <c r="P11419">
        <f>IF(OR(M11419="",N11419=""),"",SUMIFS('Barang Keluar'!$E:$E,'Barang Keluar'!$A:$A,M11419,'Barang Keluar'!$C:$C,N11419))</f>
        <v>0</v>
      </c>
    </row>
    <row r="11420" spans="13:16">
      <c r="M11420" s="49">
        <f>IF($A$4+114&gt;$B$4,"",$A$4+114)</f>
        <v>46137</v>
      </c>
      <c r="N11420" t="str">
        <f>IF(M11420="","",'Master Barang'!A14)</f>
        <v>PRL-013</v>
      </c>
      <c r="O11420" t="str">
        <f>IF(N11420="","",'Master Barang'!B14)</f>
        <v>sarung tangan plastik kaka 100 pcs</v>
      </c>
      <c r="P11420">
        <f>IF(OR(M11420="",N11420=""),"",SUMIFS('Barang Keluar'!$E:$E,'Barang Keluar'!$A:$A,M11420,'Barang Keluar'!$C:$C,N11420))</f>
        <v>0</v>
      </c>
    </row>
    <row r="11421" spans="13:16">
      <c r="M11421" s="49">
        <f>IF($A$4+114&gt;$B$4,"",$A$4+114)</f>
        <v>46137</v>
      </c>
      <c r="N11421" t="str">
        <f>IF(M11421="","",'Master Barang'!A15)</f>
        <v>PRL-014</v>
      </c>
      <c r="O11421" t="str">
        <f>IF(N11421="","",'Master Barang'!B15)</f>
        <v>optima trashbag 80x100</v>
      </c>
      <c r="P11421">
        <f>IF(OR(M11421="",N11421=""),"",SUMIFS('Barang Keluar'!$E:$E,'Barang Keluar'!$A:$A,M11421,'Barang Keluar'!$C:$C,N11421))</f>
        <v>0</v>
      </c>
    </row>
    <row r="11422" spans="13:16">
      <c r="M11422" s="49">
        <f>IF($A$4+114&gt;$B$4,"",$A$4+114)</f>
        <v>46137</v>
      </c>
      <c r="N11422" t="str">
        <f>IF(M11422="","",'Master Barang'!A16)</f>
        <v>PRL-015</v>
      </c>
      <c r="O11422" t="str">
        <f>IF(N11422="","",'Master Barang'!B16)</f>
        <v>optima trashbag 60x100</v>
      </c>
      <c r="P11422">
        <f>IF(OR(M11422="",N11422=""),"",SUMIFS('Barang Keluar'!$E:$E,'Barang Keluar'!$A:$A,M11422,'Barang Keluar'!$C:$C,N11422))</f>
        <v>0</v>
      </c>
    </row>
    <row r="11423" spans="13:16">
      <c r="M11423" s="49">
        <f>IF($A$4+114&gt;$B$4,"",$A$4+114)</f>
        <v>46137</v>
      </c>
      <c r="N11423" t="str">
        <f>IF(M11423="","",'Master Barang'!A17)</f>
        <v>PRL-016</v>
      </c>
      <c r="O11423" t="str">
        <f>IF(N11423="","",'Master Barang'!B17)</f>
        <v>rajawali trashbag 30x40</v>
      </c>
      <c r="P11423">
        <f>IF(OR(M11423="",N11423=""),"",SUMIFS('Barang Keluar'!$E:$E,'Barang Keluar'!$A:$A,M11423,'Barang Keluar'!$C:$C,N11423))</f>
        <v>0</v>
      </c>
    </row>
    <row r="11424" spans="13:16">
      <c r="M11424" s="49">
        <f>IF($A$4+114&gt;$B$4,"",$A$4+114)</f>
        <v>46137</v>
      </c>
      <c r="N11424" t="str">
        <f>IF(M11424="","",'Master Barang'!A18)</f>
        <v>PRL-017</v>
      </c>
      <c r="O11424" t="str">
        <f>IF(N11424="","",'Master Barang'!B18)</f>
        <v>onemed masker biru 3 play 50 pcs</v>
      </c>
      <c r="P11424">
        <f>IF(OR(M11424="",N11424=""),"",SUMIFS('Barang Keluar'!$E:$E,'Barang Keluar'!$A:$A,M11424,'Barang Keluar'!$C:$C,N11424))</f>
        <v>0</v>
      </c>
    </row>
    <row r="11425" spans="13:16">
      <c r="M11425" s="49">
        <f>IF($A$4+114&gt;$B$4,"",$A$4+114)</f>
        <v>46137</v>
      </c>
      <c r="N11425" t="str">
        <f>IF(M11425="","",'Master Barang'!A19)</f>
        <v>PRL-018</v>
      </c>
      <c r="O11425" t="str">
        <f>IF(N11425="","",'Master Barang'!B19)</f>
        <v>onemed masker biru 3 play hijab 50 pcs</v>
      </c>
      <c r="P11425">
        <f>IF(OR(M11425="",N11425=""),"",SUMIFS('Barang Keluar'!$E:$E,'Barang Keluar'!$A:$A,M11425,'Barang Keluar'!$C:$C,N11425))</f>
        <v>0</v>
      </c>
    </row>
    <row r="11426" spans="13:16">
      <c r="M11426" s="49">
        <f>IF($A$4+114&gt;$B$4,"",$A$4+114)</f>
        <v>46137</v>
      </c>
      <c r="N11426" t="str">
        <f>IF(M11426="","",'Master Barang'!A20)</f>
        <v>PRL-019</v>
      </c>
      <c r="O11426" t="str">
        <f>IF(N11426="","",'Master Barang'!B20)</f>
        <v>neo health masker biru 3 play 50 pcs</v>
      </c>
      <c r="P11426">
        <f>IF(OR(M11426="",N11426=""),"",SUMIFS('Barang Keluar'!$E:$E,'Barang Keluar'!$A:$A,M11426,'Barang Keluar'!$C:$C,N11426))</f>
        <v>0</v>
      </c>
    </row>
    <row r="11427" spans="13:16">
      <c r="M11427" s="49">
        <f>IF($A$4+114&gt;$B$4,"",$A$4+114)</f>
        <v>46137</v>
      </c>
      <c r="N11427" t="str">
        <f>IF(M11427="","",'Master Barang'!A21)</f>
        <v>PRL-020</v>
      </c>
      <c r="O11427" t="str">
        <f>IF(N11427="","",'Master Barang'!B21)</f>
        <v>baymed masker hijau 3 play hijau 50 pcs</v>
      </c>
      <c r="P11427">
        <f>IF(OR(M11427="",N11427=""),"",SUMIFS('Barang Keluar'!$E:$E,'Barang Keluar'!$A:$A,M11427,'Barang Keluar'!$C:$C,N11427))</f>
        <v>0</v>
      </c>
    </row>
    <row r="11428" spans="13:16">
      <c r="M11428" s="49">
        <f>IF($A$4+114&gt;$B$4,"",$A$4+114)</f>
        <v>46137</v>
      </c>
      <c r="N11428" t="str">
        <f>IF(M11428="","",'Master Barang'!A22)</f>
        <v>PRL-021</v>
      </c>
      <c r="O11428" t="str">
        <f>IF(N11428="","",'Master Barang'!B22)</f>
        <v>altamed nurse cap penutup kepala 100 pcs</v>
      </c>
      <c r="P11428">
        <f>IF(OR(M11428="",N11428=""),"",SUMIFS('Barang Keluar'!$E:$E,'Barang Keluar'!$A:$A,M11428,'Barang Keluar'!$C:$C,N11428))</f>
        <v>0</v>
      </c>
    </row>
    <row r="11429" spans="13:16">
      <c r="M11429" s="49">
        <f>IF($A$4+114&gt;$B$4,"",$A$4+114)</f>
        <v>46137</v>
      </c>
      <c r="N11429" t="str">
        <f>IF(M11429="","",'Master Barang'!A23)</f>
        <v>PRL-022</v>
      </c>
      <c r="O11429" t="str">
        <f>IF(N11429="","",'Master Barang'!B23)</f>
        <v>sabun cuci tangan</v>
      </c>
      <c r="P11429">
        <f>IF(OR(M11429="",N11429=""),"",SUMIFS('Barang Keluar'!$E:$E,'Barang Keluar'!$A:$A,M11429,'Barang Keluar'!$C:$C,N11429))</f>
        <v>0</v>
      </c>
    </row>
    <row r="11430" spans="13:16">
      <c r="M11430" s="49">
        <f>IF($A$4+114&gt;$B$4,"",$A$4+114)</f>
        <v>46137</v>
      </c>
      <c r="N11430" t="str">
        <f>IF(M11430="","",'Master Barang'!A24)</f>
        <v>PRL-023</v>
      </c>
      <c r="O11430" t="str">
        <f>IF(N11430="","",'Master Barang'!B24)</f>
        <v>gayung kecil</v>
      </c>
      <c r="P11430">
        <f>IF(OR(M11430="",N11430=""),"",SUMIFS('Barang Keluar'!$E:$E,'Barang Keluar'!$A:$A,M11430,'Barang Keluar'!$C:$C,N11430))</f>
        <v>0</v>
      </c>
    </row>
    <row r="11431" spans="13:16">
      <c r="M11431" s="49">
        <f>IF($A$4+114&gt;$B$4,"",$A$4+114)</f>
        <v>46137</v>
      </c>
      <c r="N11431" t="str">
        <f>IF(M11431="","",'Master Barang'!A25)</f>
        <v>PRL-024</v>
      </c>
      <c r="O11431" t="str">
        <f>IF(N11431="","",'Master Barang'!B25)</f>
        <v>cikrak kecil</v>
      </c>
      <c r="P11431">
        <f>IF(OR(M11431="",N11431=""),"",SUMIFS('Barang Keluar'!$E:$E,'Barang Keluar'!$A:$A,M11431,'Barang Keluar'!$C:$C,N11431))</f>
        <v>0</v>
      </c>
    </row>
    <row r="11432" spans="13:16">
      <c r="M11432" s="49">
        <f>IF($A$4+114&gt;$B$4,"",$A$4+114)</f>
        <v>46137</v>
      </c>
      <c r="N11432" t="str">
        <f>IF(M11432="","",'Master Barang'!A26)</f>
        <v>PRL-025</v>
      </c>
      <c r="O11432" t="str">
        <f>IF(N11432="","",'Master Barang'!B26)</f>
        <v>petromax plastik kecil 12x24 100 lembar</v>
      </c>
      <c r="P11432">
        <f>IF(OR(M11432="",N11432=""),"",SUMIFS('Barang Keluar'!$E:$E,'Barang Keluar'!$A:$A,M11432,'Barang Keluar'!$C:$C,N11432))</f>
        <v>0</v>
      </c>
    </row>
    <row r="11433" spans="13:16">
      <c r="M11433" s="49">
        <f>IF($A$4+114&gt;$B$4,"",$A$4+114)</f>
        <v>46137</v>
      </c>
      <c r="N11433" t="str">
        <f>IF(M11433="","",'Master Barang'!A27)</f>
        <v>PRL-026</v>
      </c>
      <c r="O11433" t="str">
        <f>IF(N11433="","",'Master Barang'!B27)</f>
        <v>lancar kresek kecil bening </v>
      </c>
      <c r="P11433">
        <f>IF(OR(M11433="",N11433=""),"",SUMIFS('Barang Keluar'!$E:$E,'Barang Keluar'!$A:$A,M11433,'Barang Keluar'!$C:$C,N11433))</f>
        <v>0</v>
      </c>
    </row>
    <row r="11434" spans="13:16">
      <c r="M11434" s="49">
        <f>IF($A$4+114&gt;$B$4,"",$A$4+114)</f>
        <v>46137</v>
      </c>
      <c r="N11434" t="str">
        <f>IF(M11434="","",'Master Barang'!A28)</f>
        <v>PRL-027</v>
      </c>
      <c r="O11434" t="str">
        <f>IF(N11434="","",'Master Barang'!B28)</f>
        <v>kresek klin warna warni kecil</v>
      </c>
      <c r="P11434">
        <f>IF(OR(M11434="",N11434=""),"",SUMIFS('Barang Keluar'!$E:$E,'Barang Keluar'!$A:$A,M11434,'Barang Keluar'!$C:$C,N11434))</f>
        <v>0</v>
      </c>
    </row>
    <row r="11435" spans="13:16">
      <c r="M11435" s="49">
        <f>IF($A$4+114&gt;$B$4,"",$A$4+114)</f>
        <v>46137</v>
      </c>
      <c r="N11435" t="str">
        <f>IF(M11435="","",'Master Barang'!A29)</f>
        <v>PRL-028</v>
      </c>
      <c r="O11435" t="str">
        <f>IF(N11435="","",'Master Barang'!B29)</f>
        <v>ctik plastik 7x10 100 pcs</v>
      </c>
      <c r="P11435">
        <f>IF(OR(M11435="",N11435=""),"",SUMIFS('Barang Keluar'!$E:$E,'Barang Keluar'!$A:$A,M11435,'Barang Keluar'!$C:$C,N11435))</f>
        <v>0</v>
      </c>
    </row>
    <row r="11436" spans="13:16">
      <c r="M11436" s="49">
        <f>IF($A$4+114&gt;$B$4,"",$A$4+114)</f>
        <v>46137</v>
      </c>
      <c r="N11436" t="str">
        <f>IF(M11436="","",'Master Barang'!A30)</f>
        <v>PRL-029</v>
      </c>
      <c r="O11436" t="str">
        <f>IF(N11436="","",'Master Barang'!B30)</f>
        <v>ctik plastik 6x10 100 pcs</v>
      </c>
      <c r="P11436">
        <f>IF(OR(M11436="",N11436=""),"",SUMIFS('Barang Keluar'!$E:$E,'Barang Keluar'!$A:$A,M11436,'Barang Keluar'!$C:$C,N11436))</f>
        <v>0</v>
      </c>
    </row>
    <row r="11437" spans="13:16">
      <c r="M11437" s="49">
        <f>IF($A$4+114&gt;$B$4,"",$A$4+114)</f>
        <v>46137</v>
      </c>
      <c r="N11437" t="str">
        <f>IF(M11437="","",'Master Barang'!A31)</f>
        <v>PRL-030</v>
      </c>
      <c r="O11437" t="str">
        <f>IF(N11437="","",'Master Barang'!B31)</f>
        <v>klip plastik 25x16 100 pcs</v>
      </c>
      <c r="P11437">
        <f>IF(OR(M11437="",N11437=""),"",SUMIFS('Barang Keluar'!$E:$E,'Barang Keluar'!$A:$A,M11437,'Barang Keluar'!$C:$C,N11437))</f>
        <v>0</v>
      </c>
    </row>
    <row r="11438" spans="13:16">
      <c r="M11438" s="49">
        <f>IF($A$4+114&gt;$B$4,"",$A$4+114)</f>
        <v>46137</v>
      </c>
      <c r="N11438" t="str">
        <f>IF(M11438="","",'Master Barang'!A32)</f>
        <v>PRL-031</v>
      </c>
      <c r="O11438" t="str">
        <f>IF(N11438="","",'Master Barang'!B32)</f>
        <v>tempat saus 20 ml</v>
      </c>
      <c r="P11438">
        <f>IF(OR(M11438="",N11438=""),"",SUMIFS('Barang Keluar'!$E:$E,'Barang Keluar'!$A:$A,M11438,'Barang Keluar'!$C:$C,N11438))</f>
        <v>0</v>
      </c>
    </row>
    <row r="11439" spans="13:16">
      <c r="M11439" s="49">
        <f>IF($A$4+114&gt;$B$4,"",$A$4+114)</f>
        <v>46137</v>
      </c>
      <c r="N11439" t="str">
        <f>IF(M11439="","",'Master Barang'!A33)</f>
        <v>PRL-032</v>
      </c>
      <c r="O11439" t="str">
        <f>IF(N11439="","",'Master Barang'!B33)</f>
        <v>plastik packaging ag box uk sedang</v>
      </c>
      <c r="P11439">
        <f>IF(OR(M11439="",N11439=""),"",SUMIFS('Barang Keluar'!$E:$E,'Barang Keluar'!$A:$A,M11439,'Barang Keluar'!$C:$C,N11439))</f>
        <v>0</v>
      </c>
    </row>
    <row r="11440" spans="13:16">
      <c r="M11440" s="49">
        <f>IF($A$4+114&gt;$B$4,"",$A$4+114)</f>
        <v>46137</v>
      </c>
      <c r="N11440" t="str">
        <f>IF(M11440="","",'Master Barang'!A34)</f>
        <v>PRL-033</v>
      </c>
      <c r="O11440">
        <f>IF(N11440="","",'Master Barang'!B34)</f>
        <v>0</v>
      </c>
      <c r="P11440">
        <f>IF(OR(M11440="",N11440=""),"",SUMIFS('Barang Keluar'!$E:$E,'Barang Keluar'!$A:$A,M11440,'Barang Keluar'!$C:$C,N11440))</f>
        <v>0</v>
      </c>
    </row>
    <row r="11441" spans="13:16">
      <c r="M11441" s="49">
        <f>IF($A$4+114&gt;$B$4,"",$A$4+114)</f>
        <v>46137</v>
      </c>
      <c r="N11441">
        <f>IF(M11441="","",'Master Barang'!A35)</f>
        <v>0</v>
      </c>
      <c r="O11441">
        <f>IF(N11441="","",'Master Barang'!B35)</f>
        <v>0</v>
      </c>
      <c r="P11441">
        <f>IF(OR(M11441="",N11441=""),"",SUMIFS('Barang Keluar'!$E:$E,'Barang Keluar'!$A:$A,M11441,'Barang Keluar'!$C:$C,N11441))</f>
        <v>0</v>
      </c>
    </row>
    <row r="11442" spans="13:16">
      <c r="M11442" s="49">
        <f>IF($A$4+114&gt;$B$4,"",$A$4+114)</f>
        <v>46137</v>
      </c>
      <c r="N11442">
        <f>IF(M11442="","",'Master Barang'!A36)</f>
        <v>0</v>
      </c>
      <c r="O11442">
        <f>IF(N11442="","",'Master Barang'!B36)</f>
        <v>0</v>
      </c>
      <c r="P11442">
        <f>IF(OR(M11442="",N11442=""),"",SUMIFS('Barang Keluar'!$E:$E,'Barang Keluar'!$A:$A,M11442,'Barang Keluar'!$C:$C,N11442))</f>
        <v>0</v>
      </c>
    </row>
    <row r="11443" spans="13:16">
      <c r="M11443" s="49">
        <f>IF($A$4+114&gt;$B$4,"",$A$4+114)</f>
        <v>46137</v>
      </c>
      <c r="N11443">
        <f>IF(M11443="","",'Master Barang'!A37)</f>
        <v>0</v>
      </c>
      <c r="O11443">
        <f>IF(N11443="","",'Master Barang'!B37)</f>
        <v>0</v>
      </c>
      <c r="P11443">
        <f>IF(OR(M11443="",N11443=""),"",SUMIFS('Barang Keluar'!$E:$E,'Barang Keluar'!$A:$A,M11443,'Barang Keluar'!$C:$C,N11443))</f>
        <v>0</v>
      </c>
    </row>
    <row r="11444" spans="13:16">
      <c r="M11444" s="49">
        <f>IF($A$4+114&gt;$B$4,"",$A$4+114)</f>
        <v>46137</v>
      </c>
      <c r="N11444">
        <f>IF(M11444="","",'Master Barang'!A38)</f>
        <v>0</v>
      </c>
      <c r="O11444">
        <f>IF(N11444="","",'Master Barang'!B38)</f>
        <v>0</v>
      </c>
      <c r="P11444">
        <f>IF(OR(M11444="",N11444=""),"",SUMIFS('Barang Keluar'!$E:$E,'Barang Keluar'!$A:$A,M11444,'Barang Keluar'!$C:$C,N11444))</f>
        <v>0</v>
      </c>
    </row>
    <row r="11445" spans="13:16">
      <c r="M11445" s="49">
        <f>IF($A$4+114&gt;$B$4,"",$A$4+114)</f>
        <v>46137</v>
      </c>
      <c r="N11445">
        <f>IF(M11445="","",'Master Barang'!A39)</f>
        <v>0</v>
      </c>
      <c r="O11445">
        <f>IF(N11445="","",'Master Barang'!B39)</f>
        <v>0</v>
      </c>
      <c r="P11445">
        <f>IF(OR(M11445="",N11445=""),"",SUMIFS('Barang Keluar'!$E:$E,'Barang Keluar'!$A:$A,M11445,'Barang Keluar'!$C:$C,N11445))</f>
        <v>0</v>
      </c>
    </row>
    <row r="11446" spans="13:16">
      <c r="M11446" s="49">
        <f>IF($A$4+114&gt;$B$4,"",$A$4+114)</f>
        <v>46137</v>
      </c>
      <c r="N11446">
        <f>IF(M11446="","",'Master Barang'!A40)</f>
        <v>0</v>
      </c>
      <c r="O11446">
        <f>IF(N11446="","",'Master Barang'!B40)</f>
        <v>0</v>
      </c>
      <c r="P11446">
        <f>IF(OR(M11446="",N11446=""),"",SUMIFS('Barang Keluar'!$E:$E,'Barang Keluar'!$A:$A,M11446,'Barang Keluar'!$C:$C,N11446))</f>
        <v>0</v>
      </c>
    </row>
    <row r="11447" spans="13:16">
      <c r="M11447" s="49">
        <f>IF($A$4+114&gt;$B$4,"",$A$4+114)</f>
        <v>46137</v>
      </c>
      <c r="N11447">
        <f>IF(M11447="","",'Master Barang'!A41)</f>
        <v>0</v>
      </c>
      <c r="O11447">
        <f>IF(N11447="","",'Master Barang'!B41)</f>
        <v>0</v>
      </c>
      <c r="P11447">
        <f>IF(OR(M11447="",N11447=""),"",SUMIFS('Barang Keluar'!$E:$E,'Barang Keluar'!$A:$A,M11447,'Barang Keluar'!$C:$C,N11447))</f>
        <v>0</v>
      </c>
    </row>
    <row r="11448" spans="13:16">
      <c r="M11448" s="49">
        <f>IF($A$4+114&gt;$B$4,"",$A$4+114)</f>
        <v>46137</v>
      </c>
      <c r="N11448">
        <f>IF(M11448="","",'Master Barang'!A42)</f>
        <v>0</v>
      </c>
      <c r="O11448">
        <f>IF(N11448="","",'Master Barang'!B42)</f>
        <v>0</v>
      </c>
      <c r="P11448">
        <f>IF(OR(M11448="",N11448=""),"",SUMIFS('Barang Keluar'!$E:$E,'Barang Keluar'!$A:$A,M11448,'Barang Keluar'!$C:$C,N11448))</f>
        <v>0</v>
      </c>
    </row>
    <row r="11449" spans="13:16">
      <c r="M11449" s="49">
        <f>IF($A$4+114&gt;$B$4,"",$A$4+114)</f>
        <v>46137</v>
      </c>
      <c r="N11449">
        <f>IF(M11449="","",'Master Barang'!A43)</f>
        <v>0</v>
      </c>
      <c r="O11449">
        <f>IF(N11449="","",'Master Barang'!B43)</f>
        <v>0</v>
      </c>
      <c r="P11449">
        <f>IF(OR(M11449="",N11449=""),"",SUMIFS('Barang Keluar'!$E:$E,'Barang Keluar'!$A:$A,M11449,'Barang Keluar'!$C:$C,N11449))</f>
        <v>0</v>
      </c>
    </row>
    <row r="11450" spans="13:16">
      <c r="M11450" s="49">
        <f>IF($A$4+114&gt;$B$4,"",$A$4+114)</f>
        <v>46137</v>
      </c>
      <c r="N11450">
        <f>IF(M11450="","",'Master Barang'!A44)</f>
        <v>0</v>
      </c>
      <c r="O11450">
        <f>IF(N11450="","",'Master Barang'!B44)</f>
        <v>0</v>
      </c>
      <c r="P11450">
        <f>IF(OR(M11450="",N11450=""),"",SUMIFS('Barang Keluar'!$E:$E,'Barang Keluar'!$A:$A,M11450,'Barang Keluar'!$C:$C,N11450))</f>
        <v>0</v>
      </c>
    </row>
    <row r="11451" spans="13:16">
      <c r="M11451" s="49">
        <f>IF($A$4+114&gt;$B$4,"",$A$4+114)</f>
        <v>46137</v>
      </c>
      <c r="N11451">
        <f>IF(M11451="","",'Master Barang'!A45)</f>
        <v>0</v>
      </c>
      <c r="O11451">
        <f>IF(N11451="","",'Master Barang'!B45)</f>
        <v>0</v>
      </c>
      <c r="P11451">
        <f>IF(OR(M11451="",N11451=""),"",SUMIFS('Barang Keluar'!$E:$E,'Barang Keluar'!$A:$A,M11451,'Barang Keluar'!$C:$C,N11451))</f>
        <v>0</v>
      </c>
    </row>
    <row r="11452" spans="13:16">
      <c r="M11452" s="49">
        <f>IF($A$4+114&gt;$B$4,"",$A$4+114)</f>
        <v>46137</v>
      </c>
      <c r="N11452">
        <f>IF(M11452="","",'Master Barang'!A46)</f>
        <v>0</v>
      </c>
      <c r="O11452">
        <f>IF(N11452="","",'Master Barang'!B46)</f>
        <v>0</v>
      </c>
      <c r="P11452">
        <f>IF(OR(M11452="",N11452=""),"",SUMIFS('Barang Keluar'!$E:$E,'Barang Keluar'!$A:$A,M11452,'Barang Keluar'!$C:$C,N11452))</f>
        <v>0</v>
      </c>
    </row>
    <row r="11453" spans="13:16">
      <c r="M11453" s="49">
        <f>IF($A$4+114&gt;$B$4,"",$A$4+114)</f>
        <v>46137</v>
      </c>
      <c r="N11453">
        <f>IF(M11453="","",'Master Barang'!A47)</f>
        <v>0</v>
      </c>
      <c r="O11453">
        <f>IF(N11453="","",'Master Barang'!B47)</f>
        <v>0</v>
      </c>
      <c r="P11453">
        <f>IF(OR(M11453="",N11453=""),"",SUMIFS('Barang Keluar'!$E:$E,'Barang Keluar'!$A:$A,M11453,'Barang Keluar'!$C:$C,N11453))</f>
        <v>0</v>
      </c>
    </row>
    <row r="11454" spans="13:16">
      <c r="M11454" s="49">
        <f>IF($A$4+114&gt;$B$4,"",$A$4+114)</f>
        <v>46137</v>
      </c>
      <c r="N11454">
        <f>IF(M11454="","",'Master Barang'!A48)</f>
        <v>0</v>
      </c>
      <c r="O11454">
        <f>IF(N11454="","",'Master Barang'!B48)</f>
        <v>0</v>
      </c>
      <c r="P11454">
        <f>IF(OR(M11454="",N11454=""),"",SUMIFS('Barang Keluar'!$E:$E,'Barang Keluar'!$A:$A,M11454,'Barang Keluar'!$C:$C,N11454))</f>
        <v>0</v>
      </c>
    </row>
    <row r="11455" spans="13:16">
      <c r="M11455" s="49">
        <f>IF($A$4+114&gt;$B$4,"",$A$4+114)</f>
        <v>46137</v>
      </c>
      <c r="N11455">
        <f>IF(M11455="","",'Master Barang'!A49)</f>
        <v>0</v>
      </c>
      <c r="O11455">
        <f>IF(N11455="","",'Master Barang'!B49)</f>
        <v>0</v>
      </c>
      <c r="P11455">
        <f>IF(OR(M11455="",N11455=""),"",SUMIFS('Barang Keluar'!$E:$E,'Barang Keluar'!$A:$A,M11455,'Barang Keluar'!$C:$C,N11455))</f>
        <v>0</v>
      </c>
    </row>
    <row r="11456" spans="13:16">
      <c r="M11456" s="49">
        <f>IF($A$4+114&gt;$B$4,"",$A$4+114)</f>
        <v>46137</v>
      </c>
      <c r="N11456">
        <f>IF(M11456="","",'Master Barang'!A50)</f>
        <v>0</v>
      </c>
      <c r="O11456">
        <f>IF(N11456="","",'Master Barang'!B50)</f>
        <v>0</v>
      </c>
      <c r="P11456">
        <f>IF(OR(M11456="",N11456=""),"",SUMIFS('Barang Keluar'!$E:$E,'Barang Keluar'!$A:$A,M11456,'Barang Keluar'!$C:$C,N11456))</f>
        <v>0</v>
      </c>
    </row>
    <row r="11457" spans="13:16">
      <c r="M11457" s="49">
        <f>IF($A$4+114&gt;$B$4,"",$A$4+114)</f>
        <v>46137</v>
      </c>
      <c r="N11457">
        <f>IF(M11457="","",'Master Barang'!A51)</f>
        <v>0</v>
      </c>
      <c r="O11457">
        <f>IF(N11457="","",'Master Barang'!B51)</f>
        <v>0</v>
      </c>
      <c r="P11457">
        <f>IF(OR(M11457="",N11457=""),"",SUMIFS('Barang Keluar'!$E:$E,'Barang Keluar'!$A:$A,M11457,'Barang Keluar'!$C:$C,N11457))</f>
        <v>0</v>
      </c>
    </row>
    <row r="11458" spans="13:16">
      <c r="M11458" s="49">
        <f>IF($A$4+114&gt;$B$4,"",$A$4+114)</f>
        <v>46137</v>
      </c>
      <c r="N11458">
        <f>IF(M11458="","",'Master Barang'!A52)</f>
        <v>0</v>
      </c>
      <c r="O11458">
        <f>IF(N11458="","",'Master Barang'!B52)</f>
        <v>0</v>
      </c>
      <c r="P11458">
        <f>IF(OR(M11458="",N11458=""),"",SUMIFS('Barang Keluar'!$E:$E,'Barang Keluar'!$A:$A,M11458,'Barang Keluar'!$C:$C,N11458))</f>
        <v>0</v>
      </c>
    </row>
    <row r="11459" spans="13:16">
      <c r="M11459" s="49">
        <f>IF($A$4+114&gt;$B$4,"",$A$4+114)</f>
        <v>46137</v>
      </c>
      <c r="N11459">
        <f>IF(M11459="","",'Master Barang'!A53)</f>
        <v>0</v>
      </c>
      <c r="O11459">
        <f>IF(N11459="","",'Master Barang'!B53)</f>
        <v>0</v>
      </c>
      <c r="P11459">
        <f>IF(OR(M11459="",N11459=""),"",SUMIFS('Barang Keluar'!$E:$E,'Barang Keluar'!$A:$A,M11459,'Barang Keluar'!$C:$C,N11459))</f>
        <v>0</v>
      </c>
    </row>
    <row r="11460" spans="13:16">
      <c r="M11460" s="49">
        <f>IF($A$4+114&gt;$B$4,"",$A$4+114)</f>
        <v>46137</v>
      </c>
      <c r="N11460">
        <f>IF(M11460="","",'Master Barang'!A54)</f>
        <v>0</v>
      </c>
      <c r="O11460">
        <f>IF(N11460="","",'Master Barang'!B54)</f>
        <v>0</v>
      </c>
      <c r="P11460">
        <f>IF(OR(M11460="",N11460=""),"",SUMIFS('Barang Keluar'!$E:$E,'Barang Keluar'!$A:$A,M11460,'Barang Keluar'!$C:$C,N11460))</f>
        <v>0</v>
      </c>
    </row>
    <row r="11461" spans="13:16">
      <c r="M11461" s="49">
        <f>IF($A$4+114&gt;$B$4,"",$A$4+114)</f>
        <v>46137</v>
      </c>
      <c r="N11461">
        <f>IF(M11461="","",'Master Barang'!A55)</f>
        <v>0</v>
      </c>
      <c r="O11461">
        <f>IF(N11461="","",'Master Barang'!B55)</f>
        <v>0</v>
      </c>
      <c r="P11461">
        <f>IF(OR(M11461="",N11461=""),"",SUMIFS('Barang Keluar'!$E:$E,'Barang Keluar'!$A:$A,M11461,'Barang Keluar'!$C:$C,N11461))</f>
        <v>0</v>
      </c>
    </row>
    <row r="11462" spans="13:16">
      <c r="M11462" s="49">
        <f>IF($A$4+114&gt;$B$4,"",$A$4+114)</f>
        <v>46137</v>
      </c>
      <c r="N11462">
        <f>IF(M11462="","",'Master Barang'!A56)</f>
        <v>0</v>
      </c>
      <c r="O11462">
        <f>IF(N11462="","",'Master Barang'!B56)</f>
        <v>0</v>
      </c>
      <c r="P11462">
        <f>IF(OR(M11462="",N11462=""),"",SUMIFS('Barang Keluar'!$E:$E,'Barang Keluar'!$A:$A,M11462,'Barang Keluar'!$C:$C,N11462))</f>
        <v>0</v>
      </c>
    </row>
    <row r="11463" spans="13:16">
      <c r="M11463" s="49">
        <f>IF($A$4+114&gt;$B$4,"",$A$4+114)</f>
        <v>46137</v>
      </c>
      <c r="N11463">
        <f>IF(M11463="","",'Master Barang'!A57)</f>
        <v>0</v>
      </c>
      <c r="O11463">
        <f>IF(N11463="","",'Master Barang'!B57)</f>
        <v>0</v>
      </c>
      <c r="P11463">
        <f>IF(OR(M11463="",N11463=""),"",SUMIFS('Barang Keluar'!$E:$E,'Barang Keluar'!$A:$A,M11463,'Barang Keluar'!$C:$C,N11463))</f>
        <v>0</v>
      </c>
    </row>
    <row r="11464" spans="13:16">
      <c r="M11464" s="49">
        <f>IF($A$4+114&gt;$B$4,"",$A$4+114)</f>
        <v>46137</v>
      </c>
      <c r="N11464">
        <f>IF(M11464="","",'Master Barang'!A58)</f>
        <v>0</v>
      </c>
      <c r="O11464">
        <f>IF(N11464="","",'Master Barang'!B58)</f>
        <v>0</v>
      </c>
      <c r="P11464">
        <f>IF(OR(M11464="",N11464=""),"",SUMIFS('Barang Keluar'!$E:$E,'Barang Keluar'!$A:$A,M11464,'Barang Keluar'!$C:$C,N11464))</f>
        <v>0</v>
      </c>
    </row>
    <row r="11465" spans="13:16">
      <c r="M11465" s="49">
        <f>IF($A$4+114&gt;$B$4,"",$A$4+114)</f>
        <v>46137</v>
      </c>
      <c r="N11465">
        <f>IF(M11465="","",'Master Barang'!A59)</f>
        <v>0</v>
      </c>
      <c r="O11465">
        <f>IF(N11465="","",'Master Barang'!B59)</f>
        <v>0</v>
      </c>
      <c r="P11465">
        <f>IF(OR(M11465="",N11465=""),"",SUMIFS('Barang Keluar'!$E:$E,'Barang Keluar'!$A:$A,M11465,'Barang Keluar'!$C:$C,N11465))</f>
        <v>0</v>
      </c>
    </row>
    <row r="11466" spans="13:16">
      <c r="M11466" s="49">
        <f>IF($A$4+114&gt;$B$4,"",$A$4+114)</f>
        <v>46137</v>
      </c>
      <c r="N11466">
        <f>IF(M11466="","",'Master Barang'!A60)</f>
        <v>0</v>
      </c>
      <c r="O11466">
        <f>IF(N11466="","",'Master Barang'!B60)</f>
        <v>0</v>
      </c>
      <c r="P11466">
        <f>IF(OR(M11466="",N11466=""),"",SUMIFS('Barang Keluar'!$E:$E,'Barang Keluar'!$A:$A,M11466,'Barang Keluar'!$C:$C,N11466))</f>
        <v>0</v>
      </c>
    </row>
    <row r="11467" spans="13:16">
      <c r="M11467" s="49">
        <f>IF($A$4+114&gt;$B$4,"",$A$4+114)</f>
        <v>46137</v>
      </c>
      <c r="N11467">
        <f>IF(M11467="","",'Master Barang'!A61)</f>
        <v>0</v>
      </c>
      <c r="O11467">
        <f>IF(N11467="","",'Master Barang'!B61)</f>
        <v>0</v>
      </c>
      <c r="P11467">
        <f>IF(OR(M11467="",N11467=""),"",SUMIFS('Barang Keluar'!$E:$E,'Barang Keluar'!$A:$A,M11467,'Barang Keluar'!$C:$C,N11467))</f>
        <v>0</v>
      </c>
    </row>
    <row r="11468" spans="13:16">
      <c r="M11468" s="49">
        <f>IF($A$4+114&gt;$B$4,"",$A$4+114)</f>
        <v>46137</v>
      </c>
      <c r="N11468">
        <f>IF(M11468="","",'Master Barang'!A62)</f>
        <v>0</v>
      </c>
      <c r="O11468">
        <f>IF(N11468="","",'Master Barang'!B62)</f>
        <v>0</v>
      </c>
      <c r="P11468">
        <f>IF(OR(M11468="",N11468=""),"",SUMIFS('Barang Keluar'!$E:$E,'Barang Keluar'!$A:$A,M11468,'Barang Keluar'!$C:$C,N11468))</f>
        <v>0</v>
      </c>
    </row>
    <row r="11469" spans="13:16">
      <c r="M11469" s="49">
        <f>IF($A$4+114&gt;$B$4,"",$A$4+114)</f>
        <v>46137</v>
      </c>
      <c r="N11469">
        <f>IF(M11469="","",'Master Barang'!A63)</f>
        <v>0</v>
      </c>
      <c r="O11469">
        <f>IF(N11469="","",'Master Barang'!B63)</f>
        <v>0</v>
      </c>
      <c r="P11469">
        <f>IF(OR(M11469="",N11469=""),"",SUMIFS('Barang Keluar'!$E:$E,'Barang Keluar'!$A:$A,M11469,'Barang Keluar'!$C:$C,N11469))</f>
        <v>0</v>
      </c>
    </row>
    <row r="11470" spans="13:16">
      <c r="M11470" s="49">
        <f>IF($A$4+114&gt;$B$4,"",$A$4+114)</f>
        <v>46137</v>
      </c>
      <c r="N11470">
        <f>IF(M11470="","",'Master Barang'!A64)</f>
        <v>0</v>
      </c>
      <c r="O11470">
        <f>IF(N11470="","",'Master Barang'!B64)</f>
        <v>0</v>
      </c>
      <c r="P11470">
        <f>IF(OR(M11470="",N11470=""),"",SUMIFS('Barang Keluar'!$E:$E,'Barang Keluar'!$A:$A,M11470,'Barang Keluar'!$C:$C,N11470))</f>
        <v>0</v>
      </c>
    </row>
    <row r="11471" spans="13:16">
      <c r="M11471" s="49">
        <f>IF($A$4+114&gt;$B$4,"",$A$4+114)</f>
        <v>46137</v>
      </c>
      <c r="N11471">
        <f>IF(M11471="","",'Master Barang'!A65)</f>
        <v>0</v>
      </c>
      <c r="O11471">
        <f>IF(N11471="","",'Master Barang'!B65)</f>
        <v>0</v>
      </c>
      <c r="P11471">
        <f>IF(OR(M11471="",N11471=""),"",SUMIFS('Barang Keluar'!$E:$E,'Barang Keluar'!$A:$A,M11471,'Barang Keluar'!$C:$C,N11471))</f>
        <v>0</v>
      </c>
    </row>
    <row r="11472" spans="13:16">
      <c r="M11472" s="49">
        <f>IF($A$4+114&gt;$B$4,"",$A$4+114)</f>
        <v>46137</v>
      </c>
      <c r="N11472">
        <f>IF(M11472="","",'Master Barang'!A66)</f>
        <v>0</v>
      </c>
      <c r="O11472">
        <f>IF(N11472="","",'Master Barang'!B66)</f>
        <v>0</v>
      </c>
      <c r="P11472">
        <f>IF(OR(M11472="",N11472=""),"",SUMIFS('Barang Keluar'!$E:$E,'Barang Keluar'!$A:$A,M11472,'Barang Keluar'!$C:$C,N11472))</f>
        <v>0</v>
      </c>
    </row>
    <row r="11473" spans="13:16">
      <c r="M11473" s="49">
        <f>IF($A$4+114&gt;$B$4,"",$A$4+114)</f>
        <v>46137</v>
      </c>
      <c r="N11473">
        <f>IF(M11473="","",'Master Barang'!A67)</f>
        <v>0</v>
      </c>
      <c r="O11473">
        <f>IF(N11473="","",'Master Barang'!B67)</f>
        <v>0</v>
      </c>
      <c r="P11473">
        <f>IF(OR(M11473="",N11473=""),"",SUMIFS('Barang Keluar'!$E:$E,'Barang Keluar'!$A:$A,M11473,'Barang Keluar'!$C:$C,N11473))</f>
        <v>0</v>
      </c>
    </row>
    <row r="11474" spans="13:16">
      <c r="M11474" s="49">
        <f>IF($A$4+114&gt;$B$4,"",$A$4+114)</f>
        <v>46137</v>
      </c>
      <c r="N11474">
        <f>IF(M11474="","",'Master Barang'!A68)</f>
        <v>0</v>
      </c>
      <c r="O11474">
        <f>IF(N11474="","",'Master Barang'!B68)</f>
        <v>0</v>
      </c>
      <c r="P11474">
        <f>IF(OR(M11474="",N11474=""),"",SUMIFS('Barang Keluar'!$E:$E,'Barang Keluar'!$A:$A,M11474,'Barang Keluar'!$C:$C,N11474))</f>
        <v>0</v>
      </c>
    </row>
    <row r="11475" spans="13:16">
      <c r="M11475" s="49">
        <f>IF($A$4+114&gt;$B$4,"",$A$4+114)</f>
        <v>46137</v>
      </c>
      <c r="N11475">
        <f>IF(M11475="","",'Master Barang'!A69)</f>
        <v>0</v>
      </c>
      <c r="O11475">
        <f>IF(N11475="","",'Master Barang'!B69)</f>
        <v>0</v>
      </c>
      <c r="P11475">
        <f>IF(OR(M11475="",N11475=""),"",SUMIFS('Barang Keluar'!$E:$E,'Barang Keluar'!$A:$A,M11475,'Barang Keluar'!$C:$C,N11475))</f>
        <v>0</v>
      </c>
    </row>
    <row r="11476" spans="13:16">
      <c r="M11476" s="49">
        <f>IF($A$4+114&gt;$B$4,"",$A$4+114)</f>
        <v>46137</v>
      </c>
      <c r="N11476">
        <f>IF(M11476="","",'Master Barang'!A70)</f>
        <v>0</v>
      </c>
      <c r="O11476">
        <f>IF(N11476="","",'Master Barang'!B70)</f>
        <v>0</v>
      </c>
      <c r="P11476">
        <f>IF(OR(M11476="",N11476=""),"",SUMIFS('Barang Keluar'!$E:$E,'Barang Keluar'!$A:$A,M11476,'Barang Keluar'!$C:$C,N11476))</f>
        <v>0</v>
      </c>
    </row>
    <row r="11477" spans="13:16">
      <c r="M11477" s="49">
        <f>IF($A$4+114&gt;$B$4,"",$A$4+114)</f>
        <v>46137</v>
      </c>
      <c r="N11477">
        <f>IF(M11477="","",'Master Barang'!A71)</f>
        <v>0</v>
      </c>
      <c r="O11477">
        <f>IF(N11477="","",'Master Barang'!B71)</f>
        <v>0</v>
      </c>
      <c r="P11477">
        <f>IF(OR(M11477="",N11477=""),"",SUMIFS('Barang Keluar'!$E:$E,'Barang Keluar'!$A:$A,M11477,'Barang Keluar'!$C:$C,N11477))</f>
        <v>0</v>
      </c>
    </row>
    <row r="11478" spans="13:16">
      <c r="M11478" s="49">
        <f>IF($A$4+114&gt;$B$4,"",$A$4+114)</f>
        <v>46137</v>
      </c>
      <c r="N11478">
        <f>IF(M11478="","",'Master Barang'!A72)</f>
        <v>0</v>
      </c>
      <c r="O11478">
        <f>IF(N11478="","",'Master Barang'!B72)</f>
        <v>0</v>
      </c>
      <c r="P11478">
        <f>IF(OR(M11478="",N11478=""),"",SUMIFS('Barang Keluar'!$E:$E,'Barang Keluar'!$A:$A,M11478,'Barang Keluar'!$C:$C,N11478))</f>
        <v>0</v>
      </c>
    </row>
    <row r="11479" spans="13:16">
      <c r="M11479" s="49">
        <f>IF($A$4+114&gt;$B$4,"",$A$4+114)</f>
        <v>46137</v>
      </c>
      <c r="N11479">
        <f>IF(M11479="","",'Master Barang'!A73)</f>
        <v>0</v>
      </c>
      <c r="O11479">
        <f>IF(N11479="","",'Master Barang'!B73)</f>
        <v>0</v>
      </c>
      <c r="P11479">
        <f>IF(OR(M11479="",N11479=""),"",SUMIFS('Barang Keluar'!$E:$E,'Barang Keluar'!$A:$A,M11479,'Barang Keluar'!$C:$C,N11479))</f>
        <v>0</v>
      </c>
    </row>
    <row r="11480" spans="13:16">
      <c r="M11480" s="49">
        <f>IF($A$4+114&gt;$B$4,"",$A$4+114)</f>
        <v>46137</v>
      </c>
      <c r="N11480">
        <f>IF(M11480="","",'Master Barang'!A74)</f>
        <v>0</v>
      </c>
      <c r="O11480">
        <f>IF(N11480="","",'Master Barang'!B74)</f>
        <v>0</v>
      </c>
      <c r="P11480">
        <f>IF(OR(M11480="",N11480=""),"",SUMIFS('Barang Keluar'!$E:$E,'Barang Keluar'!$A:$A,M11480,'Barang Keluar'!$C:$C,N11480))</f>
        <v>0</v>
      </c>
    </row>
    <row r="11481" spans="13:16">
      <c r="M11481" s="49">
        <f>IF($A$4+114&gt;$B$4,"",$A$4+114)</f>
        <v>46137</v>
      </c>
      <c r="N11481">
        <f>IF(M11481="","",'Master Barang'!A75)</f>
        <v>0</v>
      </c>
      <c r="O11481">
        <f>IF(N11481="","",'Master Barang'!B75)</f>
        <v>0</v>
      </c>
      <c r="P11481">
        <f>IF(OR(M11481="",N11481=""),"",SUMIFS('Barang Keluar'!$E:$E,'Barang Keluar'!$A:$A,M11481,'Barang Keluar'!$C:$C,N11481))</f>
        <v>0</v>
      </c>
    </row>
    <row r="11482" spans="13:16">
      <c r="M11482" s="49">
        <f>IF($A$4+114&gt;$B$4,"",$A$4+114)</f>
        <v>46137</v>
      </c>
      <c r="N11482">
        <f>IF(M11482="","",'Master Barang'!A76)</f>
        <v>0</v>
      </c>
      <c r="O11482">
        <f>IF(N11482="","",'Master Barang'!B76)</f>
        <v>0</v>
      </c>
      <c r="P11482">
        <f>IF(OR(M11482="",N11482=""),"",SUMIFS('Barang Keluar'!$E:$E,'Barang Keluar'!$A:$A,M11482,'Barang Keluar'!$C:$C,N11482))</f>
        <v>0</v>
      </c>
    </row>
    <row r="11483" spans="13:16">
      <c r="M11483" s="49">
        <f>IF($A$4+114&gt;$B$4,"",$A$4+114)</f>
        <v>46137</v>
      </c>
      <c r="N11483">
        <f>IF(M11483="","",'Master Barang'!A77)</f>
        <v>0</v>
      </c>
      <c r="O11483">
        <f>IF(N11483="","",'Master Barang'!B77)</f>
        <v>0</v>
      </c>
      <c r="P11483">
        <f>IF(OR(M11483="",N11483=""),"",SUMIFS('Barang Keluar'!$E:$E,'Barang Keluar'!$A:$A,M11483,'Barang Keluar'!$C:$C,N11483))</f>
        <v>0</v>
      </c>
    </row>
    <row r="11484" spans="13:16">
      <c r="M11484" s="49">
        <f>IF($A$4+114&gt;$B$4,"",$A$4+114)</f>
        <v>46137</v>
      </c>
      <c r="N11484">
        <f>IF(M11484="","",'Master Barang'!A78)</f>
        <v>0</v>
      </c>
      <c r="O11484">
        <f>IF(N11484="","",'Master Barang'!B78)</f>
        <v>0</v>
      </c>
      <c r="P11484">
        <f>IF(OR(M11484="",N11484=""),"",SUMIFS('Barang Keluar'!$E:$E,'Barang Keluar'!$A:$A,M11484,'Barang Keluar'!$C:$C,N11484))</f>
        <v>0</v>
      </c>
    </row>
    <row r="11485" spans="13:16">
      <c r="M11485" s="49">
        <f>IF($A$4+114&gt;$B$4,"",$A$4+114)</f>
        <v>46137</v>
      </c>
      <c r="N11485">
        <f>IF(M11485="","",'Master Barang'!A79)</f>
        <v>0</v>
      </c>
      <c r="O11485">
        <f>IF(N11485="","",'Master Barang'!B79)</f>
        <v>0</v>
      </c>
      <c r="P11485">
        <f>IF(OR(M11485="",N11485=""),"",SUMIFS('Barang Keluar'!$E:$E,'Barang Keluar'!$A:$A,M11485,'Barang Keluar'!$C:$C,N11485))</f>
        <v>0</v>
      </c>
    </row>
    <row r="11486" spans="13:16">
      <c r="M11486" s="49">
        <f>IF($A$4+114&gt;$B$4,"",$A$4+114)</f>
        <v>46137</v>
      </c>
      <c r="N11486">
        <f>IF(M11486="","",'Master Barang'!A80)</f>
        <v>0</v>
      </c>
      <c r="O11486">
        <f>IF(N11486="","",'Master Barang'!B80)</f>
        <v>0</v>
      </c>
      <c r="P11486">
        <f>IF(OR(M11486="",N11486=""),"",SUMIFS('Barang Keluar'!$E:$E,'Barang Keluar'!$A:$A,M11486,'Barang Keluar'!$C:$C,N11486))</f>
        <v>0</v>
      </c>
    </row>
    <row r="11487" spans="13:16">
      <c r="M11487" s="49">
        <f>IF($A$4+114&gt;$B$4,"",$A$4+114)</f>
        <v>46137</v>
      </c>
      <c r="N11487">
        <f>IF(M11487="","",'Master Barang'!A81)</f>
        <v>0</v>
      </c>
      <c r="O11487">
        <f>IF(N11487="","",'Master Barang'!B81)</f>
        <v>0</v>
      </c>
      <c r="P11487">
        <f>IF(OR(M11487="",N11487=""),"",SUMIFS('Barang Keluar'!$E:$E,'Barang Keluar'!$A:$A,M11487,'Barang Keluar'!$C:$C,N11487))</f>
        <v>0</v>
      </c>
    </row>
    <row r="11488" spans="13:16">
      <c r="M11488" s="49">
        <f>IF($A$4+114&gt;$B$4,"",$A$4+114)</f>
        <v>46137</v>
      </c>
      <c r="N11488">
        <f>IF(M11488="","",'Master Barang'!A82)</f>
        <v>0</v>
      </c>
      <c r="O11488">
        <f>IF(N11488="","",'Master Barang'!B82)</f>
        <v>0</v>
      </c>
      <c r="P11488">
        <f>IF(OR(M11488="",N11488=""),"",SUMIFS('Barang Keluar'!$E:$E,'Barang Keluar'!$A:$A,M11488,'Barang Keluar'!$C:$C,N11488))</f>
        <v>0</v>
      </c>
    </row>
    <row r="11489" spans="13:16">
      <c r="M11489" s="49">
        <f>IF($A$4+114&gt;$B$4,"",$A$4+114)</f>
        <v>46137</v>
      </c>
      <c r="N11489">
        <f>IF(M11489="","",'Master Barang'!A83)</f>
        <v>0</v>
      </c>
      <c r="O11489">
        <f>IF(N11489="","",'Master Barang'!B83)</f>
        <v>0</v>
      </c>
      <c r="P11489">
        <f>IF(OR(M11489="",N11489=""),"",SUMIFS('Barang Keluar'!$E:$E,'Barang Keluar'!$A:$A,M11489,'Barang Keluar'!$C:$C,N11489))</f>
        <v>0</v>
      </c>
    </row>
    <row r="11490" spans="13:16">
      <c r="M11490" s="49">
        <f>IF($A$4+114&gt;$B$4,"",$A$4+114)</f>
        <v>46137</v>
      </c>
      <c r="N11490">
        <f>IF(M11490="","",'Master Barang'!A84)</f>
        <v>0</v>
      </c>
      <c r="O11490">
        <f>IF(N11490="","",'Master Barang'!B84)</f>
        <v>0</v>
      </c>
      <c r="P11490">
        <f>IF(OR(M11490="",N11490=""),"",SUMIFS('Barang Keluar'!$E:$E,'Barang Keluar'!$A:$A,M11490,'Barang Keluar'!$C:$C,N11490))</f>
        <v>0</v>
      </c>
    </row>
    <row r="11491" spans="13:16">
      <c r="M11491" s="49">
        <f>IF($A$4+114&gt;$B$4,"",$A$4+114)</f>
        <v>46137</v>
      </c>
      <c r="N11491">
        <f>IF(M11491="","",'Master Barang'!A85)</f>
        <v>0</v>
      </c>
      <c r="O11491">
        <f>IF(N11491="","",'Master Barang'!B85)</f>
        <v>0</v>
      </c>
      <c r="P11491">
        <f>IF(OR(M11491="",N11491=""),"",SUMIFS('Barang Keluar'!$E:$E,'Barang Keluar'!$A:$A,M11491,'Barang Keluar'!$C:$C,N11491))</f>
        <v>0</v>
      </c>
    </row>
    <row r="11492" spans="13:16">
      <c r="M11492" s="49">
        <f>IF($A$4+114&gt;$B$4,"",$A$4+114)</f>
        <v>46137</v>
      </c>
      <c r="N11492">
        <f>IF(M11492="","",'Master Barang'!A86)</f>
        <v>0</v>
      </c>
      <c r="O11492">
        <f>IF(N11492="","",'Master Barang'!B86)</f>
        <v>0</v>
      </c>
      <c r="P11492">
        <f>IF(OR(M11492="",N11492=""),"",SUMIFS('Barang Keluar'!$E:$E,'Barang Keluar'!$A:$A,M11492,'Barang Keluar'!$C:$C,N11492))</f>
        <v>0</v>
      </c>
    </row>
    <row r="11493" spans="13:16">
      <c r="M11493" s="49">
        <f>IF($A$4+114&gt;$B$4,"",$A$4+114)</f>
        <v>46137</v>
      </c>
      <c r="N11493">
        <f>IF(M11493="","",'Master Barang'!A87)</f>
        <v>0</v>
      </c>
      <c r="O11493">
        <f>IF(N11493="","",'Master Barang'!B87)</f>
        <v>0</v>
      </c>
      <c r="P11493">
        <f>IF(OR(M11493="",N11493=""),"",SUMIFS('Barang Keluar'!$E:$E,'Barang Keluar'!$A:$A,M11493,'Barang Keluar'!$C:$C,N11493))</f>
        <v>0</v>
      </c>
    </row>
    <row r="11494" spans="13:16">
      <c r="M11494" s="49">
        <f>IF($A$4+114&gt;$B$4,"",$A$4+114)</f>
        <v>46137</v>
      </c>
      <c r="N11494">
        <f>IF(M11494="","",'Master Barang'!A88)</f>
        <v>0</v>
      </c>
      <c r="O11494">
        <f>IF(N11494="","",'Master Barang'!B88)</f>
        <v>0</v>
      </c>
      <c r="P11494">
        <f>IF(OR(M11494="",N11494=""),"",SUMIFS('Barang Keluar'!$E:$E,'Barang Keluar'!$A:$A,M11494,'Barang Keluar'!$C:$C,N11494))</f>
        <v>0</v>
      </c>
    </row>
    <row r="11495" spans="13:16">
      <c r="M11495" s="49">
        <f>IF($A$4+114&gt;$B$4,"",$A$4+114)</f>
        <v>46137</v>
      </c>
      <c r="N11495">
        <f>IF(M11495="","",'Master Barang'!A89)</f>
        <v>0</v>
      </c>
      <c r="O11495">
        <f>IF(N11495="","",'Master Barang'!B89)</f>
        <v>0</v>
      </c>
      <c r="P11495">
        <f>IF(OR(M11495="",N11495=""),"",SUMIFS('Barang Keluar'!$E:$E,'Barang Keluar'!$A:$A,M11495,'Barang Keluar'!$C:$C,N11495))</f>
        <v>0</v>
      </c>
    </row>
    <row r="11496" spans="13:16">
      <c r="M11496" s="49">
        <f>IF($A$4+114&gt;$B$4,"",$A$4+114)</f>
        <v>46137</v>
      </c>
      <c r="N11496">
        <f>IF(M11496="","",'Master Barang'!A90)</f>
        <v>0</v>
      </c>
      <c r="O11496">
        <f>IF(N11496="","",'Master Barang'!B90)</f>
        <v>0</v>
      </c>
      <c r="P11496">
        <f>IF(OR(M11496="",N11496=""),"",SUMIFS('Barang Keluar'!$E:$E,'Barang Keluar'!$A:$A,M11496,'Barang Keluar'!$C:$C,N11496))</f>
        <v>0</v>
      </c>
    </row>
    <row r="11497" spans="13:16">
      <c r="M11497" s="49">
        <f>IF($A$4+114&gt;$B$4,"",$A$4+114)</f>
        <v>46137</v>
      </c>
      <c r="N11497">
        <f>IF(M11497="","",'Master Barang'!A91)</f>
        <v>0</v>
      </c>
      <c r="O11497">
        <f>IF(N11497="","",'Master Barang'!B91)</f>
        <v>0</v>
      </c>
      <c r="P11497">
        <f>IF(OR(M11497="",N11497=""),"",SUMIFS('Barang Keluar'!$E:$E,'Barang Keluar'!$A:$A,M11497,'Barang Keluar'!$C:$C,N11497))</f>
        <v>0</v>
      </c>
    </row>
    <row r="11498" spans="13:16">
      <c r="M11498" s="49">
        <f>IF($A$4+114&gt;$B$4,"",$A$4+114)</f>
        <v>46137</v>
      </c>
      <c r="N11498">
        <f>IF(M11498="","",'Master Barang'!A92)</f>
        <v>0</v>
      </c>
      <c r="O11498">
        <f>IF(N11498="","",'Master Barang'!B92)</f>
        <v>0</v>
      </c>
      <c r="P11498">
        <f>IF(OR(M11498="",N11498=""),"",SUMIFS('Barang Keluar'!$E:$E,'Barang Keluar'!$A:$A,M11498,'Barang Keluar'!$C:$C,N11498))</f>
        <v>0</v>
      </c>
    </row>
    <row r="11499" spans="13:16">
      <c r="M11499" s="49">
        <f>IF($A$4+114&gt;$B$4,"",$A$4+114)</f>
        <v>46137</v>
      </c>
      <c r="N11499">
        <f>IF(M11499="","",'Master Barang'!A93)</f>
        <v>0</v>
      </c>
      <c r="O11499">
        <f>IF(N11499="","",'Master Barang'!B93)</f>
        <v>0</v>
      </c>
      <c r="P11499">
        <f>IF(OR(M11499="",N11499=""),"",SUMIFS('Barang Keluar'!$E:$E,'Barang Keluar'!$A:$A,M11499,'Barang Keluar'!$C:$C,N11499))</f>
        <v>0</v>
      </c>
    </row>
    <row r="11500" spans="13:16">
      <c r="M11500" s="49">
        <f>IF($A$4+114&gt;$B$4,"",$A$4+114)</f>
        <v>46137</v>
      </c>
      <c r="N11500">
        <f>IF(M11500="","",'Master Barang'!A94)</f>
        <v>0</v>
      </c>
      <c r="O11500">
        <f>IF(N11500="","",'Master Barang'!B94)</f>
        <v>0</v>
      </c>
      <c r="P11500">
        <f>IF(OR(M11500="",N11500=""),"",SUMIFS('Barang Keluar'!$E:$E,'Barang Keluar'!$A:$A,M11500,'Barang Keluar'!$C:$C,N11500))</f>
        <v>0</v>
      </c>
    </row>
    <row r="11501" spans="13:16">
      <c r="M11501" s="49">
        <f>IF($A$4+114&gt;$B$4,"",$A$4+114)</f>
        <v>46137</v>
      </c>
      <c r="N11501">
        <f>IF(M11501="","",'Master Barang'!A95)</f>
        <v>0</v>
      </c>
      <c r="O11501">
        <f>IF(N11501="","",'Master Barang'!B95)</f>
        <v>0</v>
      </c>
      <c r="P11501">
        <f>IF(OR(M11501="",N11501=""),"",SUMIFS('Barang Keluar'!$E:$E,'Barang Keluar'!$A:$A,M11501,'Barang Keluar'!$C:$C,N11501))</f>
        <v>0</v>
      </c>
    </row>
    <row r="11502" spans="13:16">
      <c r="M11502" s="49">
        <f>IF($A$4+114&gt;$B$4,"",$A$4+114)</f>
        <v>46137</v>
      </c>
      <c r="N11502">
        <f>IF(M11502="","",'Master Barang'!A96)</f>
        <v>0</v>
      </c>
      <c r="O11502">
        <f>IF(N11502="","",'Master Barang'!B96)</f>
        <v>0</v>
      </c>
      <c r="P11502">
        <f>IF(OR(M11502="",N11502=""),"",SUMIFS('Barang Keluar'!$E:$E,'Barang Keluar'!$A:$A,M11502,'Barang Keluar'!$C:$C,N11502))</f>
        <v>0</v>
      </c>
    </row>
    <row r="11503" spans="13:16">
      <c r="M11503" s="49">
        <f>IF($A$4+114&gt;$B$4,"",$A$4+114)</f>
        <v>46137</v>
      </c>
      <c r="N11503">
        <f>IF(M11503="","",'Master Barang'!A97)</f>
        <v>0</v>
      </c>
      <c r="O11503">
        <f>IF(N11503="","",'Master Barang'!B97)</f>
        <v>0</v>
      </c>
      <c r="P11503">
        <f>IF(OR(M11503="",N11503=""),"",SUMIFS('Barang Keluar'!$E:$E,'Barang Keluar'!$A:$A,M11503,'Barang Keluar'!$C:$C,N11503))</f>
        <v>0</v>
      </c>
    </row>
    <row r="11504" spans="13:16">
      <c r="M11504" s="49">
        <f>IF($A$4+114&gt;$B$4,"",$A$4+114)</f>
        <v>46137</v>
      </c>
      <c r="N11504">
        <f>IF(M11504="","",'Master Barang'!A98)</f>
        <v>0</v>
      </c>
      <c r="O11504">
        <f>IF(N11504="","",'Master Barang'!B98)</f>
        <v>0</v>
      </c>
      <c r="P11504">
        <f>IF(OR(M11504="",N11504=""),"",SUMIFS('Barang Keluar'!$E:$E,'Barang Keluar'!$A:$A,M11504,'Barang Keluar'!$C:$C,N11504))</f>
        <v>0</v>
      </c>
    </row>
    <row r="11505" spans="13:16">
      <c r="M11505" s="49">
        <f>IF($A$4+114&gt;$B$4,"",$A$4+114)</f>
        <v>46137</v>
      </c>
      <c r="N11505">
        <f>IF(M11505="","",'Master Barang'!A99)</f>
        <v>0</v>
      </c>
      <c r="O11505">
        <f>IF(N11505="","",'Master Barang'!B99)</f>
        <v>0</v>
      </c>
      <c r="P11505">
        <f>IF(OR(M11505="",N11505=""),"",SUMIFS('Barang Keluar'!$E:$E,'Barang Keluar'!$A:$A,M11505,'Barang Keluar'!$C:$C,N11505))</f>
        <v>0</v>
      </c>
    </row>
    <row r="11506" spans="13:16">
      <c r="M11506" s="49">
        <f>IF($A$4+114&gt;$B$4,"",$A$4+114)</f>
        <v>46137</v>
      </c>
      <c r="N11506">
        <f>IF(M11506="","",'Master Barang'!A100)</f>
        <v>0</v>
      </c>
      <c r="O11506">
        <f>IF(N11506="","",'Master Barang'!B100)</f>
        <v>0</v>
      </c>
      <c r="P11506">
        <f>IF(OR(M11506="",N11506=""),"",SUMIFS('Barang Keluar'!$E:$E,'Barang Keluar'!$A:$A,M11506,'Barang Keluar'!$C:$C,N11506))</f>
        <v>0</v>
      </c>
    </row>
    <row r="11507" spans="13:16">
      <c r="M11507" s="49">
        <f>IF($A$4+114&gt;$B$4,"",$A$4+114)</f>
        <v>46137</v>
      </c>
      <c r="N11507">
        <f>IF(M11507="","",'Master Barang'!A101)</f>
        <v>0</v>
      </c>
      <c r="O11507">
        <f>IF(N11507="","",'Master Barang'!B101)</f>
        <v>0</v>
      </c>
      <c r="P11507">
        <f>IF(OR(M11507="",N11507=""),"",SUMIFS('Barang Keluar'!$E:$E,'Barang Keluar'!$A:$A,M11507,'Barang Keluar'!$C:$C,N11507))</f>
        <v>0</v>
      </c>
    </row>
    <row r="11508" spans="13:16">
      <c r="M11508" s="49">
        <f>IF($A$4+115&gt;$B$4,"",$A$4+115)</f>
        <v>46138</v>
      </c>
      <c r="N11508" t="str">
        <f>IF(M11508="","",'Master Barang'!A2)</f>
        <v>PRL-001</v>
      </c>
      <c r="O11508" t="str">
        <f>IF(N11508="","",'Master Barang'!B2)</f>
        <v>natura desinfectant food grade 5l</v>
      </c>
      <c r="P11508">
        <f>IF(OR(M11508="",N11508=""),"",SUMIFS('Barang Keluar'!$E:$E,'Barang Keluar'!$A:$A,M11508,'Barang Keluar'!$C:$C,N11508))</f>
        <v>0</v>
      </c>
    </row>
    <row r="11509" spans="13:16">
      <c r="M11509" s="49">
        <f>IF($A$4+115&gt;$B$4,"",$A$4+115)</f>
        <v>46138</v>
      </c>
      <c r="N11509" t="str">
        <f>IF(M11509="","",'Master Barang'!A3)</f>
        <v>PRL-002</v>
      </c>
      <c r="O11509" t="str">
        <f>IF(N11509="","",'Master Barang'!B3)</f>
        <v>sunlight cairan pencuci piring 5l</v>
      </c>
      <c r="P11509">
        <f>IF(OR(M11509="",N11509=""),"",SUMIFS('Barang Keluar'!$E:$E,'Barang Keluar'!$A:$A,M11509,'Barang Keluar'!$C:$C,N11509))</f>
        <v>0</v>
      </c>
    </row>
    <row r="11510" spans="13:16">
      <c r="M11510" s="49">
        <f>IF($A$4+115&gt;$B$4,"",$A$4+115)</f>
        <v>46138</v>
      </c>
      <c r="N11510" t="str">
        <f>IF(M11510="","",'Master Barang'!A4)</f>
        <v>PRL-003</v>
      </c>
      <c r="O11510" t="str">
        <f>IF(N11510="","",'Master Barang'!B4)</f>
        <v>oixs cleaner 1l</v>
      </c>
      <c r="P11510">
        <f>IF(OR(M11510="",N11510=""),"",SUMIFS('Barang Keluar'!$E:$E,'Barang Keluar'!$A:$A,M11510,'Barang Keluar'!$C:$C,N11510))</f>
        <v>0</v>
      </c>
    </row>
    <row r="11511" spans="13:16">
      <c r="M11511" s="49">
        <f>IF($A$4+115&gt;$B$4,"",$A$4+115)</f>
        <v>46138</v>
      </c>
      <c r="N11511" t="str">
        <f>IF(M11511="","",'Master Barang'!A5)</f>
        <v>PRL-004</v>
      </c>
      <c r="O11511" t="str">
        <f>IF(N11511="","",'Master Barang'!B5)</f>
        <v>be clean tissue serbaguna</v>
      </c>
      <c r="P11511">
        <f>IF(OR(M11511="",N11511=""),"",SUMIFS('Barang Keluar'!$E:$E,'Barang Keluar'!$A:$A,M11511,'Barang Keluar'!$C:$C,N11511))</f>
        <v>0</v>
      </c>
    </row>
    <row r="11512" spans="13:16">
      <c r="M11512" s="49">
        <f>IF($A$4+115&gt;$B$4,"",$A$4+115)</f>
        <v>46138</v>
      </c>
      <c r="N11512" t="str">
        <f>IF(M11512="","",'Master Barang'!A6)</f>
        <v>PRL-005</v>
      </c>
      <c r="O11512" t="str">
        <f>IF(N11512="","",'Master Barang'!B6)</f>
        <v>spons cuci hijau</v>
      </c>
      <c r="P11512">
        <f>IF(OR(M11512="",N11512=""),"",SUMIFS('Barang Keluar'!$E:$E,'Barang Keluar'!$A:$A,M11512,'Barang Keluar'!$C:$C,N11512))</f>
        <v>0</v>
      </c>
    </row>
    <row r="11513" spans="13:16">
      <c r="M11513" s="49">
        <f>IF($A$4+115&gt;$B$4,"",$A$4+115)</f>
        <v>46138</v>
      </c>
      <c r="N11513" t="str">
        <f>IF(M11513="","",'Master Barang'!A7)</f>
        <v>PRL-006</v>
      </c>
      <c r="O11513" t="str">
        <f>IF(N11513="","",'Master Barang'!B7)</f>
        <v>sabut cuci stainless</v>
      </c>
      <c r="P11513">
        <f>IF(OR(M11513="",N11513=""),"",SUMIFS('Barang Keluar'!$E:$E,'Barang Keluar'!$A:$A,M11513,'Barang Keluar'!$C:$C,N11513))</f>
        <v>0</v>
      </c>
    </row>
    <row r="11514" spans="13:16">
      <c r="M11514" s="49">
        <f>IF($A$4+115&gt;$B$4,"",$A$4+115)</f>
        <v>46138</v>
      </c>
      <c r="N11514" t="str">
        <f>IF(M11514="","",'Master Barang'!A8)</f>
        <v>PRL-007</v>
      </c>
      <c r="O11514" t="str">
        <f>IF(N11514="","",'Master Barang'!B8)</f>
        <v>plastik kresek besar merah 50pc</v>
      </c>
      <c r="P11514">
        <f>IF(OR(M11514="",N11514=""),"",SUMIFS('Barang Keluar'!$E:$E,'Barang Keluar'!$A:$A,M11514,'Barang Keluar'!$C:$C,N11514))</f>
        <v>0</v>
      </c>
    </row>
    <row r="11515" spans="13:16">
      <c r="M11515" s="49">
        <f>IF($A$4+115&gt;$B$4,"",$A$4+115)</f>
        <v>46138</v>
      </c>
      <c r="N11515" t="str">
        <f>IF(M11515="","",'Master Barang'!A9)</f>
        <v>PRL-008</v>
      </c>
      <c r="O11515" t="str">
        <f>IF(N11515="","",'Master Barang'!B9)</f>
        <v>lap besar</v>
      </c>
      <c r="P11515">
        <f>IF(OR(M11515="",N11515=""),"",SUMIFS('Barang Keluar'!$E:$E,'Barang Keluar'!$A:$A,M11515,'Barang Keluar'!$C:$C,N11515))</f>
        <v>0</v>
      </c>
    </row>
    <row r="11516" spans="13:16">
      <c r="M11516" s="49">
        <f>IF($A$4+115&gt;$B$4,"",$A$4+115)</f>
        <v>46138</v>
      </c>
      <c r="N11516" t="str">
        <f>IF(M11516="","",'Master Barang'!A10)</f>
        <v>PRL-009</v>
      </c>
      <c r="O11516" t="str">
        <f>IF(N11516="","",'Master Barang'!B10)</f>
        <v>lap microfiber</v>
      </c>
      <c r="P11516">
        <f>IF(OR(M11516="",N11516=""),"",SUMIFS('Barang Keluar'!$E:$E,'Barang Keluar'!$A:$A,M11516,'Barang Keluar'!$C:$C,N11516))</f>
        <v>0</v>
      </c>
    </row>
    <row r="11517" spans="13:16">
      <c r="M11517" s="49">
        <f>IF($A$4+115&gt;$B$4,"",$A$4+115)</f>
        <v>46138</v>
      </c>
      <c r="N11517" t="str">
        <f>IF(M11517="","",'Master Barang'!A11)</f>
        <v>PRL-010</v>
      </c>
      <c r="O11517" t="str">
        <f>IF(N11517="","",'Master Barang'!B11)</f>
        <v>lap kecil</v>
      </c>
      <c r="P11517">
        <f>IF(OR(M11517="",N11517=""),"",SUMIFS('Barang Keluar'!$E:$E,'Barang Keluar'!$A:$A,M11517,'Barang Keluar'!$C:$C,N11517))</f>
        <v>0</v>
      </c>
    </row>
    <row r="11518" spans="13:16">
      <c r="M11518" s="49">
        <f>IF($A$4+115&gt;$B$4,"",$A$4+115)</f>
        <v>46138</v>
      </c>
      <c r="N11518" t="str">
        <f>IF(M11518="","",'Master Barang'!A12)</f>
        <v>PRL-011</v>
      </c>
      <c r="O11518" t="str">
        <f>IF(N11518="","",'Master Barang'!B12)</f>
        <v>kanebo kecil</v>
      </c>
      <c r="P11518">
        <f>IF(OR(M11518="",N11518=""),"",SUMIFS('Barang Keluar'!$E:$E,'Barang Keluar'!$A:$A,M11518,'Barang Keluar'!$C:$C,N11518))</f>
        <v>0</v>
      </c>
    </row>
    <row r="11519" spans="13:16">
      <c r="M11519" s="49">
        <f>IF($A$4+115&gt;$B$4,"",$A$4+115)</f>
        <v>46138</v>
      </c>
      <c r="N11519" t="str">
        <f>IF(M11519="","",'Master Barang'!A13)</f>
        <v>PRL-012</v>
      </c>
      <c r="O11519" t="str">
        <f>IF(N11519="","",'Master Barang'!B13)</f>
        <v>plastik 1/4kg joyoboyo 100 lembar</v>
      </c>
      <c r="P11519">
        <f>IF(OR(M11519="",N11519=""),"",SUMIFS('Barang Keluar'!$E:$E,'Barang Keluar'!$A:$A,M11519,'Barang Keluar'!$C:$C,N11519))</f>
        <v>0</v>
      </c>
    </row>
    <row r="11520" spans="13:16">
      <c r="M11520" s="49">
        <f>IF($A$4+115&gt;$B$4,"",$A$4+115)</f>
        <v>46138</v>
      </c>
      <c r="N11520" t="str">
        <f>IF(M11520="","",'Master Barang'!A14)</f>
        <v>PRL-013</v>
      </c>
      <c r="O11520" t="str">
        <f>IF(N11520="","",'Master Barang'!B14)</f>
        <v>sarung tangan plastik kaka 100 pcs</v>
      </c>
      <c r="P11520">
        <f>IF(OR(M11520="",N11520=""),"",SUMIFS('Barang Keluar'!$E:$E,'Barang Keluar'!$A:$A,M11520,'Barang Keluar'!$C:$C,N11520))</f>
        <v>0</v>
      </c>
    </row>
    <row r="11521" spans="13:16">
      <c r="M11521" s="49">
        <f>IF($A$4+115&gt;$B$4,"",$A$4+115)</f>
        <v>46138</v>
      </c>
      <c r="N11521" t="str">
        <f>IF(M11521="","",'Master Barang'!A15)</f>
        <v>PRL-014</v>
      </c>
      <c r="O11521" t="str">
        <f>IF(N11521="","",'Master Barang'!B15)</f>
        <v>optima trashbag 80x100</v>
      </c>
      <c r="P11521">
        <f>IF(OR(M11521="",N11521=""),"",SUMIFS('Barang Keluar'!$E:$E,'Barang Keluar'!$A:$A,M11521,'Barang Keluar'!$C:$C,N11521))</f>
        <v>0</v>
      </c>
    </row>
    <row r="11522" spans="13:16">
      <c r="M11522" s="49">
        <f>IF($A$4+115&gt;$B$4,"",$A$4+115)</f>
        <v>46138</v>
      </c>
      <c r="N11522" t="str">
        <f>IF(M11522="","",'Master Barang'!A16)</f>
        <v>PRL-015</v>
      </c>
      <c r="O11522" t="str">
        <f>IF(N11522="","",'Master Barang'!B16)</f>
        <v>optima trashbag 60x100</v>
      </c>
      <c r="P11522">
        <f>IF(OR(M11522="",N11522=""),"",SUMIFS('Barang Keluar'!$E:$E,'Barang Keluar'!$A:$A,M11522,'Barang Keluar'!$C:$C,N11522))</f>
        <v>0</v>
      </c>
    </row>
    <row r="11523" spans="13:16">
      <c r="M11523" s="49">
        <f>IF($A$4+115&gt;$B$4,"",$A$4+115)</f>
        <v>46138</v>
      </c>
      <c r="N11523" t="str">
        <f>IF(M11523="","",'Master Barang'!A17)</f>
        <v>PRL-016</v>
      </c>
      <c r="O11523" t="str">
        <f>IF(N11523="","",'Master Barang'!B17)</f>
        <v>rajawali trashbag 30x40</v>
      </c>
      <c r="P11523">
        <f>IF(OR(M11523="",N11523=""),"",SUMIFS('Barang Keluar'!$E:$E,'Barang Keluar'!$A:$A,M11523,'Barang Keluar'!$C:$C,N11523))</f>
        <v>0</v>
      </c>
    </row>
    <row r="11524" spans="13:16">
      <c r="M11524" s="49">
        <f>IF($A$4+115&gt;$B$4,"",$A$4+115)</f>
        <v>46138</v>
      </c>
      <c r="N11524" t="str">
        <f>IF(M11524="","",'Master Barang'!A18)</f>
        <v>PRL-017</v>
      </c>
      <c r="O11524" t="str">
        <f>IF(N11524="","",'Master Barang'!B18)</f>
        <v>onemed masker biru 3 play 50 pcs</v>
      </c>
      <c r="P11524">
        <f>IF(OR(M11524="",N11524=""),"",SUMIFS('Barang Keluar'!$E:$E,'Barang Keluar'!$A:$A,M11524,'Barang Keluar'!$C:$C,N11524))</f>
        <v>0</v>
      </c>
    </row>
    <row r="11525" spans="13:16">
      <c r="M11525" s="49">
        <f>IF($A$4+115&gt;$B$4,"",$A$4+115)</f>
        <v>46138</v>
      </c>
      <c r="N11525" t="str">
        <f>IF(M11525="","",'Master Barang'!A19)</f>
        <v>PRL-018</v>
      </c>
      <c r="O11525" t="str">
        <f>IF(N11525="","",'Master Barang'!B19)</f>
        <v>onemed masker biru 3 play hijab 50 pcs</v>
      </c>
      <c r="P11525">
        <f>IF(OR(M11525="",N11525=""),"",SUMIFS('Barang Keluar'!$E:$E,'Barang Keluar'!$A:$A,M11525,'Barang Keluar'!$C:$C,N11525))</f>
        <v>0</v>
      </c>
    </row>
    <row r="11526" spans="13:16">
      <c r="M11526" s="49">
        <f>IF($A$4+115&gt;$B$4,"",$A$4+115)</f>
        <v>46138</v>
      </c>
      <c r="N11526" t="str">
        <f>IF(M11526="","",'Master Barang'!A20)</f>
        <v>PRL-019</v>
      </c>
      <c r="O11526" t="str">
        <f>IF(N11526="","",'Master Barang'!B20)</f>
        <v>neo health masker biru 3 play 50 pcs</v>
      </c>
      <c r="P11526">
        <f>IF(OR(M11526="",N11526=""),"",SUMIFS('Barang Keluar'!$E:$E,'Barang Keluar'!$A:$A,M11526,'Barang Keluar'!$C:$C,N11526))</f>
        <v>0</v>
      </c>
    </row>
    <row r="11527" spans="13:16">
      <c r="M11527" s="49">
        <f>IF($A$4+115&gt;$B$4,"",$A$4+115)</f>
        <v>46138</v>
      </c>
      <c r="N11527" t="str">
        <f>IF(M11527="","",'Master Barang'!A21)</f>
        <v>PRL-020</v>
      </c>
      <c r="O11527" t="str">
        <f>IF(N11527="","",'Master Barang'!B21)</f>
        <v>baymed masker hijau 3 play hijau 50 pcs</v>
      </c>
      <c r="P11527">
        <f>IF(OR(M11527="",N11527=""),"",SUMIFS('Barang Keluar'!$E:$E,'Barang Keluar'!$A:$A,M11527,'Barang Keluar'!$C:$C,N11527))</f>
        <v>0</v>
      </c>
    </row>
    <row r="11528" spans="13:16">
      <c r="M11528" s="49">
        <f>IF($A$4+115&gt;$B$4,"",$A$4+115)</f>
        <v>46138</v>
      </c>
      <c r="N11528" t="str">
        <f>IF(M11528="","",'Master Barang'!A22)</f>
        <v>PRL-021</v>
      </c>
      <c r="O11528" t="str">
        <f>IF(N11528="","",'Master Barang'!B22)</f>
        <v>altamed nurse cap penutup kepala 100 pcs</v>
      </c>
      <c r="P11528">
        <f>IF(OR(M11528="",N11528=""),"",SUMIFS('Barang Keluar'!$E:$E,'Barang Keluar'!$A:$A,M11528,'Barang Keluar'!$C:$C,N11528))</f>
        <v>0</v>
      </c>
    </row>
    <row r="11529" spans="13:16">
      <c r="M11529" s="49">
        <f>IF($A$4+115&gt;$B$4,"",$A$4+115)</f>
        <v>46138</v>
      </c>
      <c r="N11529" t="str">
        <f>IF(M11529="","",'Master Barang'!A23)</f>
        <v>PRL-022</v>
      </c>
      <c r="O11529" t="str">
        <f>IF(N11529="","",'Master Barang'!B23)</f>
        <v>sabun cuci tangan</v>
      </c>
      <c r="P11529">
        <f>IF(OR(M11529="",N11529=""),"",SUMIFS('Barang Keluar'!$E:$E,'Barang Keluar'!$A:$A,M11529,'Barang Keluar'!$C:$C,N11529))</f>
        <v>0</v>
      </c>
    </row>
    <row r="11530" spans="13:16">
      <c r="M11530" s="49">
        <f>IF($A$4+115&gt;$B$4,"",$A$4+115)</f>
        <v>46138</v>
      </c>
      <c r="N11530" t="str">
        <f>IF(M11530="","",'Master Barang'!A24)</f>
        <v>PRL-023</v>
      </c>
      <c r="O11530" t="str">
        <f>IF(N11530="","",'Master Barang'!B24)</f>
        <v>gayung kecil</v>
      </c>
      <c r="P11530">
        <f>IF(OR(M11530="",N11530=""),"",SUMIFS('Barang Keluar'!$E:$E,'Barang Keluar'!$A:$A,M11530,'Barang Keluar'!$C:$C,N11530))</f>
        <v>0</v>
      </c>
    </row>
    <row r="11531" spans="13:16">
      <c r="M11531" s="49">
        <f>IF($A$4+115&gt;$B$4,"",$A$4+115)</f>
        <v>46138</v>
      </c>
      <c r="N11531" t="str">
        <f>IF(M11531="","",'Master Barang'!A25)</f>
        <v>PRL-024</v>
      </c>
      <c r="O11531" t="str">
        <f>IF(N11531="","",'Master Barang'!B25)</f>
        <v>cikrak kecil</v>
      </c>
      <c r="P11531">
        <f>IF(OR(M11531="",N11531=""),"",SUMIFS('Barang Keluar'!$E:$E,'Barang Keluar'!$A:$A,M11531,'Barang Keluar'!$C:$C,N11531))</f>
        <v>0</v>
      </c>
    </row>
    <row r="11532" spans="13:16">
      <c r="M11532" s="49">
        <f>IF($A$4+115&gt;$B$4,"",$A$4+115)</f>
        <v>46138</v>
      </c>
      <c r="N11532" t="str">
        <f>IF(M11532="","",'Master Barang'!A26)</f>
        <v>PRL-025</v>
      </c>
      <c r="O11532" t="str">
        <f>IF(N11532="","",'Master Barang'!B26)</f>
        <v>petromax plastik kecil 12x24 100 lembar</v>
      </c>
      <c r="P11532">
        <f>IF(OR(M11532="",N11532=""),"",SUMIFS('Barang Keluar'!$E:$E,'Barang Keluar'!$A:$A,M11532,'Barang Keluar'!$C:$C,N11532))</f>
        <v>0</v>
      </c>
    </row>
    <row r="11533" spans="13:16">
      <c r="M11533" s="49">
        <f>IF($A$4+115&gt;$B$4,"",$A$4+115)</f>
        <v>46138</v>
      </c>
      <c r="N11533" t="str">
        <f>IF(M11533="","",'Master Barang'!A27)</f>
        <v>PRL-026</v>
      </c>
      <c r="O11533" t="str">
        <f>IF(N11533="","",'Master Barang'!B27)</f>
        <v>lancar kresek kecil bening </v>
      </c>
      <c r="P11533">
        <f>IF(OR(M11533="",N11533=""),"",SUMIFS('Barang Keluar'!$E:$E,'Barang Keluar'!$A:$A,M11533,'Barang Keluar'!$C:$C,N11533))</f>
        <v>0</v>
      </c>
    </row>
    <row r="11534" spans="13:16">
      <c r="M11534" s="49">
        <f>IF($A$4+115&gt;$B$4,"",$A$4+115)</f>
        <v>46138</v>
      </c>
      <c r="N11534" t="str">
        <f>IF(M11534="","",'Master Barang'!A28)</f>
        <v>PRL-027</v>
      </c>
      <c r="O11534" t="str">
        <f>IF(N11534="","",'Master Barang'!B28)</f>
        <v>kresek klin warna warni kecil</v>
      </c>
      <c r="P11534">
        <f>IF(OR(M11534="",N11534=""),"",SUMIFS('Barang Keluar'!$E:$E,'Barang Keluar'!$A:$A,M11534,'Barang Keluar'!$C:$C,N11534))</f>
        <v>0</v>
      </c>
    </row>
    <row r="11535" spans="13:16">
      <c r="M11535" s="49">
        <f>IF($A$4+115&gt;$B$4,"",$A$4+115)</f>
        <v>46138</v>
      </c>
      <c r="N11535" t="str">
        <f>IF(M11535="","",'Master Barang'!A29)</f>
        <v>PRL-028</v>
      </c>
      <c r="O11535" t="str">
        <f>IF(N11535="","",'Master Barang'!B29)</f>
        <v>ctik plastik 7x10 100 pcs</v>
      </c>
      <c r="P11535">
        <f>IF(OR(M11535="",N11535=""),"",SUMIFS('Barang Keluar'!$E:$E,'Barang Keluar'!$A:$A,M11535,'Barang Keluar'!$C:$C,N11535))</f>
        <v>0</v>
      </c>
    </row>
    <row r="11536" spans="13:16">
      <c r="M11536" s="49">
        <f>IF($A$4+115&gt;$B$4,"",$A$4+115)</f>
        <v>46138</v>
      </c>
      <c r="N11536" t="str">
        <f>IF(M11536="","",'Master Barang'!A30)</f>
        <v>PRL-029</v>
      </c>
      <c r="O11536" t="str">
        <f>IF(N11536="","",'Master Barang'!B30)</f>
        <v>ctik plastik 6x10 100 pcs</v>
      </c>
      <c r="P11536">
        <f>IF(OR(M11536="",N11536=""),"",SUMIFS('Barang Keluar'!$E:$E,'Barang Keluar'!$A:$A,M11536,'Barang Keluar'!$C:$C,N11536))</f>
        <v>0</v>
      </c>
    </row>
    <row r="11537" spans="13:16">
      <c r="M11537" s="49">
        <f>IF($A$4+115&gt;$B$4,"",$A$4+115)</f>
        <v>46138</v>
      </c>
      <c r="N11537" t="str">
        <f>IF(M11537="","",'Master Barang'!A31)</f>
        <v>PRL-030</v>
      </c>
      <c r="O11537" t="str">
        <f>IF(N11537="","",'Master Barang'!B31)</f>
        <v>klip plastik 25x16 100 pcs</v>
      </c>
      <c r="P11537">
        <f>IF(OR(M11537="",N11537=""),"",SUMIFS('Barang Keluar'!$E:$E,'Barang Keluar'!$A:$A,M11537,'Barang Keluar'!$C:$C,N11537))</f>
        <v>0</v>
      </c>
    </row>
    <row r="11538" spans="13:16">
      <c r="M11538" s="49">
        <f>IF($A$4+115&gt;$B$4,"",$A$4+115)</f>
        <v>46138</v>
      </c>
      <c r="N11538" t="str">
        <f>IF(M11538="","",'Master Barang'!A32)</f>
        <v>PRL-031</v>
      </c>
      <c r="O11538" t="str">
        <f>IF(N11538="","",'Master Barang'!B32)</f>
        <v>tempat saus 20 ml</v>
      </c>
      <c r="P11538">
        <f>IF(OR(M11538="",N11538=""),"",SUMIFS('Barang Keluar'!$E:$E,'Barang Keluar'!$A:$A,M11538,'Barang Keluar'!$C:$C,N11538))</f>
        <v>0</v>
      </c>
    </row>
    <row r="11539" spans="13:16">
      <c r="M11539" s="49">
        <f>IF($A$4+115&gt;$B$4,"",$A$4+115)</f>
        <v>46138</v>
      </c>
      <c r="N11539" t="str">
        <f>IF(M11539="","",'Master Barang'!A33)</f>
        <v>PRL-032</v>
      </c>
      <c r="O11539" t="str">
        <f>IF(N11539="","",'Master Barang'!B33)</f>
        <v>plastik packaging ag box uk sedang</v>
      </c>
      <c r="P11539">
        <f>IF(OR(M11539="",N11539=""),"",SUMIFS('Barang Keluar'!$E:$E,'Barang Keluar'!$A:$A,M11539,'Barang Keluar'!$C:$C,N11539))</f>
        <v>0</v>
      </c>
    </row>
    <row r="11540" spans="13:16">
      <c r="M11540" s="49">
        <f>IF($A$4+115&gt;$B$4,"",$A$4+115)</f>
        <v>46138</v>
      </c>
      <c r="N11540" t="str">
        <f>IF(M11540="","",'Master Barang'!A34)</f>
        <v>PRL-033</v>
      </c>
      <c r="O11540">
        <f>IF(N11540="","",'Master Barang'!B34)</f>
        <v>0</v>
      </c>
      <c r="P11540">
        <f>IF(OR(M11540="",N11540=""),"",SUMIFS('Barang Keluar'!$E:$E,'Barang Keluar'!$A:$A,M11540,'Barang Keluar'!$C:$C,N11540))</f>
        <v>0</v>
      </c>
    </row>
    <row r="11541" spans="13:16">
      <c r="M11541" s="49">
        <f>IF($A$4+115&gt;$B$4,"",$A$4+115)</f>
        <v>46138</v>
      </c>
      <c r="N11541">
        <f>IF(M11541="","",'Master Barang'!A35)</f>
        <v>0</v>
      </c>
      <c r="O11541">
        <f>IF(N11541="","",'Master Barang'!B35)</f>
        <v>0</v>
      </c>
      <c r="P11541">
        <f>IF(OR(M11541="",N11541=""),"",SUMIFS('Barang Keluar'!$E:$E,'Barang Keluar'!$A:$A,M11541,'Barang Keluar'!$C:$C,N11541))</f>
        <v>0</v>
      </c>
    </row>
    <row r="11542" spans="13:16">
      <c r="M11542" s="49">
        <f>IF($A$4+115&gt;$B$4,"",$A$4+115)</f>
        <v>46138</v>
      </c>
      <c r="N11542">
        <f>IF(M11542="","",'Master Barang'!A36)</f>
        <v>0</v>
      </c>
      <c r="O11542">
        <f>IF(N11542="","",'Master Barang'!B36)</f>
        <v>0</v>
      </c>
      <c r="P11542">
        <f>IF(OR(M11542="",N11542=""),"",SUMIFS('Barang Keluar'!$E:$E,'Barang Keluar'!$A:$A,M11542,'Barang Keluar'!$C:$C,N11542))</f>
        <v>0</v>
      </c>
    </row>
    <row r="11543" spans="13:16">
      <c r="M11543" s="49">
        <f>IF($A$4+115&gt;$B$4,"",$A$4+115)</f>
        <v>46138</v>
      </c>
      <c r="N11543">
        <f>IF(M11543="","",'Master Barang'!A37)</f>
        <v>0</v>
      </c>
      <c r="O11543">
        <f>IF(N11543="","",'Master Barang'!B37)</f>
        <v>0</v>
      </c>
      <c r="P11543">
        <f>IF(OR(M11543="",N11543=""),"",SUMIFS('Barang Keluar'!$E:$E,'Barang Keluar'!$A:$A,M11543,'Barang Keluar'!$C:$C,N11543))</f>
        <v>0</v>
      </c>
    </row>
    <row r="11544" spans="13:16">
      <c r="M11544" s="49">
        <f>IF($A$4+115&gt;$B$4,"",$A$4+115)</f>
        <v>46138</v>
      </c>
      <c r="N11544">
        <f>IF(M11544="","",'Master Barang'!A38)</f>
        <v>0</v>
      </c>
      <c r="O11544">
        <f>IF(N11544="","",'Master Barang'!B38)</f>
        <v>0</v>
      </c>
      <c r="P11544">
        <f>IF(OR(M11544="",N11544=""),"",SUMIFS('Barang Keluar'!$E:$E,'Barang Keluar'!$A:$A,M11544,'Barang Keluar'!$C:$C,N11544))</f>
        <v>0</v>
      </c>
    </row>
    <row r="11545" spans="13:16">
      <c r="M11545" s="49">
        <f>IF($A$4+115&gt;$B$4,"",$A$4+115)</f>
        <v>46138</v>
      </c>
      <c r="N11545">
        <f>IF(M11545="","",'Master Barang'!A39)</f>
        <v>0</v>
      </c>
      <c r="O11545">
        <f>IF(N11545="","",'Master Barang'!B39)</f>
        <v>0</v>
      </c>
      <c r="P11545">
        <f>IF(OR(M11545="",N11545=""),"",SUMIFS('Barang Keluar'!$E:$E,'Barang Keluar'!$A:$A,M11545,'Barang Keluar'!$C:$C,N11545))</f>
        <v>0</v>
      </c>
    </row>
    <row r="11546" spans="13:16">
      <c r="M11546" s="49">
        <f>IF($A$4+115&gt;$B$4,"",$A$4+115)</f>
        <v>46138</v>
      </c>
      <c r="N11546">
        <f>IF(M11546="","",'Master Barang'!A40)</f>
        <v>0</v>
      </c>
      <c r="O11546">
        <f>IF(N11546="","",'Master Barang'!B40)</f>
        <v>0</v>
      </c>
      <c r="P11546">
        <f>IF(OR(M11546="",N11546=""),"",SUMIFS('Barang Keluar'!$E:$E,'Barang Keluar'!$A:$A,M11546,'Barang Keluar'!$C:$C,N11546))</f>
        <v>0</v>
      </c>
    </row>
    <row r="11547" spans="13:16">
      <c r="M11547" s="49">
        <f>IF($A$4+115&gt;$B$4,"",$A$4+115)</f>
        <v>46138</v>
      </c>
      <c r="N11547">
        <f>IF(M11547="","",'Master Barang'!A41)</f>
        <v>0</v>
      </c>
      <c r="O11547">
        <f>IF(N11547="","",'Master Barang'!B41)</f>
        <v>0</v>
      </c>
      <c r="P11547">
        <f>IF(OR(M11547="",N11547=""),"",SUMIFS('Barang Keluar'!$E:$E,'Barang Keluar'!$A:$A,M11547,'Barang Keluar'!$C:$C,N11547))</f>
        <v>0</v>
      </c>
    </row>
    <row r="11548" spans="13:16">
      <c r="M11548" s="49">
        <f>IF($A$4+115&gt;$B$4,"",$A$4+115)</f>
        <v>46138</v>
      </c>
      <c r="N11548">
        <f>IF(M11548="","",'Master Barang'!A42)</f>
        <v>0</v>
      </c>
      <c r="O11548">
        <f>IF(N11548="","",'Master Barang'!B42)</f>
        <v>0</v>
      </c>
      <c r="P11548">
        <f>IF(OR(M11548="",N11548=""),"",SUMIFS('Barang Keluar'!$E:$E,'Barang Keluar'!$A:$A,M11548,'Barang Keluar'!$C:$C,N11548))</f>
        <v>0</v>
      </c>
    </row>
    <row r="11549" spans="13:16">
      <c r="M11549" s="49">
        <f>IF($A$4+115&gt;$B$4,"",$A$4+115)</f>
        <v>46138</v>
      </c>
      <c r="N11549">
        <f>IF(M11549="","",'Master Barang'!A43)</f>
        <v>0</v>
      </c>
      <c r="O11549">
        <f>IF(N11549="","",'Master Barang'!B43)</f>
        <v>0</v>
      </c>
      <c r="P11549">
        <f>IF(OR(M11549="",N11549=""),"",SUMIFS('Barang Keluar'!$E:$E,'Barang Keluar'!$A:$A,M11549,'Barang Keluar'!$C:$C,N11549))</f>
        <v>0</v>
      </c>
    </row>
    <row r="11550" spans="13:16">
      <c r="M11550" s="49">
        <f>IF($A$4+115&gt;$B$4,"",$A$4+115)</f>
        <v>46138</v>
      </c>
      <c r="N11550">
        <f>IF(M11550="","",'Master Barang'!A44)</f>
        <v>0</v>
      </c>
      <c r="O11550">
        <f>IF(N11550="","",'Master Barang'!B44)</f>
        <v>0</v>
      </c>
      <c r="P11550">
        <f>IF(OR(M11550="",N11550=""),"",SUMIFS('Barang Keluar'!$E:$E,'Barang Keluar'!$A:$A,M11550,'Barang Keluar'!$C:$C,N11550))</f>
        <v>0</v>
      </c>
    </row>
    <row r="11551" spans="13:16">
      <c r="M11551" s="49">
        <f>IF($A$4+115&gt;$B$4,"",$A$4+115)</f>
        <v>46138</v>
      </c>
      <c r="N11551">
        <f>IF(M11551="","",'Master Barang'!A45)</f>
        <v>0</v>
      </c>
      <c r="O11551">
        <f>IF(N11551="","",'Master Barang'!B45)</f>
        <v>0</v>
      </c>
      <c r="P11551">
        <f>IF(OR(M11551="",N11551=""),"",SUMIFS('Barang Keluar'!$E:$E,'Barang Keluar'!$A:$A,M11551,'Barang Keluar'!$C:$C,N11551))</f>
        <v>0</v>
      </c>
    </row>
    <row r="11552" spans="13:16">
      <c r="M11552" s="49">
        <f>IF($A$4+115&gt;$B$4,"",$A$4+115)</f>
        <v>46138</v>
      </c>
      <c r="N11552">
        <f>IF(M11552="","",'Master Barang'!A46)</f>
        <v>0</v>
      </c>
      <c r="O11552">
        <f>IF(N11552="","",'Master Barang'!B46)</f>
        <v>0</v>
      </c>
      <c r="P11552">
        <f>IF(OR(M11552="",N11552=""),"",SUMIFS('Barang Keluar'!$E:$E,'Barang Keluar'!$A:$A,M11552,'Barang Keluar'!$C:$C,N11552))</f>
        <v>0</v>
      </c>
    </row>
    <row r="11553" spans="13:16">
      <c r="M11553" s="49">
        <f>IF($A$4+115&gt;$B$4,"",$A$4+115)</f>
        <v>46138</v>
      </c>
      <c r="N11553">
        <f>IF(M11553="","",'Master Barang'!A47)</f>
        <v>0</v>
      </c>
      <c r="O11553">
        <f>IF(N11553="","",'Master Barang'!B47)</f>
        <v>0</v>
      </c>
      <c r="P11553">
        <f>IF(OR(M11553="",N11553=""),"",SUMIFS('Barang Keluar'!$E:$E,'Barang Keluar'!$A:$A,M11553,'Barang Keluar'!$C:$C,N11553))</f>
        <v>0</v>
      </c>
    </row>
    <row r="11554" spans="13:16">
      <c r="M11554" s="49">
        <f>IF($A$4+115&gt;$B$4,"",$A$4+115)</f>
        <v>46138</v>
      </c>
      <c r="N11554">
        <f>IF(M11554="","",'Master Barang'!A48)</f>
        <v>0</v>
      </c>
      <c r="O11554">
        <f>IF(N11554="","",'Master Barang'!B48)</f>
        <v>0</v>
      </c>
      <c r="P11554">
        <f>IF(OR(M11554="",N11554=""),"",SUMIFS('Barang Keluar'!$E:$E,'Barang Keluar'!$A:$A,M11554,'Barang Keluar'!$C:$C,N11554))</f>
        <v>0</v>
      </c>
    </row>
    <row r="11555" spans="13:16">
      <c r="M11555" s="49">
        <f>IF($A$4+115&gt;$B$4,"",$A$4+115)</f>
        <v>46138</v>
      </c>
      <c r="N11555">
        <f>IF(M11555="","",'Master Barang'!A49)</f>
        <v>0</v>
      </c>
      <c r="O11555">
        <f>IF(N11555="","",'Master Barang'!B49)</f>
        <v>0</v>
      </c>
      <c r="P11555">
        <f>IF(OR(M11555="",N11555=""),"",SUMIFS('Barang Keluar'!$E:$E,'Barang Keluar'!$A:$A,M11555,'Barang Keluar'!$C:$C,N11555))</f>
        <v>0</v>
      </c>
    </row>
    <row r="11556" spans="13:16">
      <c r="M11556" s="49">
        <f>IF($A$4+115&gt;$B$4,"",$A$4+115)</f>
        <v>46138</v>
      </c>
      <c r="N11556">
        <f>IF(M11556="","",'Master Barang'!A50)</f>
        <v>0</v>
      </c>
      <c r="O11556">
        <f>IF(N11556="","",'Master Barang'!B50)</f>
        <v>0</v>
      </c>
      <c r="P11556">
        <f>IF(OR(M11556="",N11556=""),"",SUMIFS('Barang Keluar'!$E:$E,'Barang Keluar'!$A:$A,M11556,'Barang Keluar'!$C:$C,N11556))</f>
        <v>0</v>
      </c>
    </row>
    <row r="11557" spans="13:16">
      <c r="M11557" s="49">
        <f>IF($A$4+115&gt;$B$4,"",$A$4+115)</f>
        <v>46138</v>
      </c>
      <c r="N11557">
        <f>IF(M11557="","",'Master Barang'!A51)</f>
        <v>0</v>
      </c>
      <c r="O11557">
        <f>IF(N11557="","",'Master Barang'!B51)</f>
        <v>0</v>
      </c>
      <c r="P11557">
        <f>IF(OR(M11557="",N11557=""),"",SUMIFS('Barang Keluar'!$E:$E,'Barang Keluar'!$A:$A,M11557,'Barang Keluar'!$C:$C,N11557))</f>
        <v>0</v>
      </c>
    </row>
    <row r="11558" spans="13:16">
      <c r="M11558" s="49">
        <f>IF($A$4+115&gt;$B$4,"",$A$4+115)</f>
        <v>46138</v>
      </c>
      <c r="N11558">
        <f>IF(M11558="","",'Master Barang'!A52)</f>
        <v>0</v>
      </c>
      <c r="O11558">
        <f>IF(N11558="","",'Master Barang'!B52)</f>
        <v>0</v>
      </c>
      <c r="P11558">
        <f>IF(OR(M11558="",N11558=""),"",SUMIFS('Barang Keluar'!$E:$E,'Barang Keluar'!$A:$A,M11558,'Barang Keluar'!$C:$C,N11558))</f>
        <v>0</v>
      </c>
    </row>
    <row r="11559" spans="13:16">
      <c r="M11559" s="49">
        <f>IF($A$4+115&gt;$B$4,"",$A$4+115)</f>
        <v>46138</v>
      </c>
      <c r="N11559">
        <f>IF(M11559="","",'Master Barang'!A53)</f>
        <v>0</v>
      </c>
      <c r="O11559">
        <f>IF(N11559="","",'Master Barang'!B53)</f>
        <v>0</v>
      </c>
      <c r="P11559">
        <f>IF(OR(M11559="",N11559=""),"",SUMIFS('Barang Keluar'!$E:$E,'Barang Keluar'!$A:$A,M11559,'Barang Keluar'!$C:$C,N11559))</f>
        <v>0</v>
      </c>
    </row>
    <row r="11560" spans="13:16">
      <c r="M11560" s="49">
        <f>IF($A$4+115&gt;$B$4,"",$A$4+115)</f>
        <v>46138</v>
      </c>
      <c r="N11560">
        <f>IF(M11560="","",'Master Barang'!A54)</f>
        <v>0</v>
      </c>
      <c r="O11560">
        <f>IF(N11560="","",'Master Barang'!B54)</f>
        <v>0</v>
      </c>
      <c r="P11560">
        <f>IF(OR(M11560="",N11560=""),"",SUMIFS('Barang Keluar'!$E:$E,'Barang Keluar'!$A:$A,M11560,'Barang Keluar'!$C:$C,N11560))</f>
        <v>0</v>
      </c>
    </row>
    <row r="11561" spans="13:16">
      <c r="M11561" s="49">
        <f>IF($A$4+115&gt;$B$4,"",$A$4+115)</f>
        <v>46138</v>
      </c>
      <c r="N11561">
        <f>IF(M11561="","",'Master Barang'!A55)</f>
        <v>0</v>
      </c>
      <c r="O11561">
        <f>IF(N11561="","",'Master Barang'!B55)</f>
        <v>0</v>
      </c>
      <c r="P11561">
        <f>IF(OR(M11561="",N11561=""),"",SUMIFS('Barang Keluar'!$E:$E,'Barang Keluar'!$A:$A,M11561,'Barang Keluar'!$C:$C,N11561))</f>
        <v>0</v>
      </c>
    </row>
    <row r="11562" spans="13:16">
      <c r="M11562" s="49">
        <f>IF($A$4+115&gt;$B$4,"",$A$4+115)</f>
        <v>46138</v>
      </c>
      <c r="N11562">
        <f>IF(M11562="","",'Master Barang'!A56)</f>
        <v>0</v>
      </c>
      <c r="O11562">
        <f>IF(N11562="","",'Master Barang'!B56)</f>
        <v>0</v>
      </c>
      <c r="P11562">
        <f>IF(OR(M11562="",N11562=""),"",SUMIFS('Barang Keluar'!$E:$E,'Barang Keluar'!$A:$A,M11562,'Barang Keluar'!$C:$C,N11562))</f>
        <v>0</v>
      </c>
    </row>
    <row r="11563" spans="13:16">
      <c r="M11563" s="49">
        <f>IF($A$4+115&gt;$B$4,"",$A$4+115)</f>
        <v>46138</v>
      </c>
      <c r="N11563">
        <f>IF(M11563="","",'Master Barang'!A57)</f>
        <v>0</v>
      </c>
      <c r="O11563">
        <f>IF(N11563="","",'Master Barang'!B57)</f>
        <v>0</v>
      </c>
      <c r="P11563">
        <f>IF(OR(M11563="",N11563=""),"",SUMIFS('Barang Keluar'!$E:$E,'Barang Keluar'!$A:$A,M11563,'Barang Keluar'!$C:$C,N11563))</f>
        <v>0</v>
      </c>
    </row>
    <row r="11564" spans="13:16">
      <c r="M11564" s="49">
        <f>IF($A$4+115&gt;$B$4,"",$A$4+115)</f>
        <v>46138</v>
      </c>
      <c r="N11564">
        <f>IF(M11564="","",'Master Barang'!A58)</f>
        <v>0</v>
      </c>
      <c r="O11564">
        <f>IF(N11564="","",'Master Barang'!B58)</f>
        <v>0</v>
      </c>
      <c r="P11564">
        <f>IF(OR(M11564="",N11564=""),"",SUMIFS('Barang Keluar'!$E:$E,'Barang Keluar'!$A:$A,M11564,'Barang Keluar'!$C:$C,N11564))</f>
        <v>0</v>
      </c>
    </row>
    <row r="11565" spans="13:16">
      <c r="M11565" s="49">
        <f>IF($A$4+115&gt;$B$4,"",$A$4+115)</f>
        <v>46138</v>
      </c>
      <c r="N11565">
        <f>IF(M11565="","",'Master Barang'!A59)</f>
        <v>0</v>
      </c>
      <c r="O11565">
        <f>IF(N11565="","",'Master Barang'!B59)</f>
        <v>0</v>
      </c>
      <c r="P11565">
        <f>IF(OR(M11565="",N11565=""),"",SUMIFS('Barang Keluar'!$E:$E,'Barang Keluar'!$A:$A,M11565,'Barang Keluar'!$C:$C,N11565))</f>
        <v>0</v>
      </c>
    </row>
    <row r="11566" spans="13:16">
      <c r="M11566" s="49">
        <f>IF($A$4+115&gt;$B$4,"",$A$4+115)</f>
        <v>46138</v>
      </c>
      <c r="N11566">
        <f>IF(M11566="","",'Master Barang'!A60)</f>
        <v>0</v>
      </c>
      <c r="O11566">
        <f>IF(N11566="","",'Master Barang'!B60)</f>
        <v>0</v>
      </c>
      <c r="P11566">
        <f>IF(OR(M11566="",N11566=""),"",SUMIFS('Barang Keluar'!$E:$E,'Barang Keluar'!$A:$A,M11566,'Barang Keluar'!$C:$C,N11566))</f>
        <v>0</v>
      </c>
    </row>
    <row r="11567" spans="13:16">
      <c r="M11567" s="49">
        <f>IF($A$4+115&gt;$B$4,"",$A$4+115)</f>
        <v>46138</v>
      </c>
      <c r="N11567">
        <f>IF(M11567="","",'Master Barang'!A61)</f>
        <v>0</v>
      </c>
      <c r="O11567">
        <f>IF(N11567="","",'Master Barang'!B61)</f>
        <v>0</v>
      </c>
      <c r="P11567">
        <f>IF(OR(M11567="",N11567=""),"",SUMIFS('Barang Keluar'!$E:$E,'Barang Keluar'!$A:$A,M11567,'Barang Keluar'!$C:$C,N11567))</f>
        <v>0</v>
      </c>
    </row>
    <row r="11568" spans="13:16">
      <c r="M11568" s="49">
        <f>IF($A$4+115&gt;$B$4,"",$A$4+115)</f>
        <v>46138</v>
      </c>
      <c r="N11568">
        <f>IF(M11568="","",'Master Barang'!A62)</f>
        <v>0</v>
      </c>
      <c r="O11568">
        <f>IF(N11568="","",'Master Barang'!B62)</f>
        <v>0</v>
      </c>
      <c r="P11568">
        <f>IF(OR(M11568="",N11568=""),"",SUMIFS('Barang Keluar'!$E:$E,'Barang Keluar'!$A:$A,M11568,'Barang Keluar'!$C:$C,N11568))</f>
        <v>0</v>
      </c>
    </row>
    <row r="11569" spans="13:16">
      <c r="M11569" s="49">
        <f>IF($A$4+115&gt;$B$4,"",$A$4+115)</f>
        <v>46138</v>
      </c>
      <c r="N11569">
        <f>IF(M11569="","",'Master Barang'!A63)</f>
        <v>0</v>
      </c>
      <c r="O11569">
        <f>IF(N11569="","",'Master Barang'!B63)</f>
        <v>0</v>
      </c>
      <c r="P11569">
        <f>IF(OR(M11569="",N11569=""),"",SUMIFS('Barang Keluar'!$E:$E,'Barang Keluar'!$A:$A,M11569,'Barang Keluar'!$C:$C,N11569))</f>
        <v>0</v>
      </c>
    </row>
    <row r="11570" spans="13:16">
      <c r="M11570" s="49">
        <f>IF($A$4+115&gt;$B$4,"",$A$4+115)</f>
        <v>46138</v>
      </c>
      <c r="N11570">
        <f>IF(M11570="","",'Master Barang'!A64)</f>
        <v>0</v>
      </c>
      <c r="O11570">
        <f>IF(N11570="","",'Master Barang'!B64)</f>
        <v>0</v>
      </c>
      <c r="P11570">
        <f>IF(OR(M11570="",N11570=""),"",SUMIFS('Barang Keluar'!$E:$E,'Barang Keluar'!$A:$A,M11570,'Barang Keluar'!$C:$C,N11570))</f>
        <v>0</v>
      </c>
    </row>
    <row r="11571" spans="13:16">
      <c r="M11571" s="49">
        <f>IF($A$4+115&gt;$B$4,"",$A$4+115)</f>
        <v>46138</v>
      </c>
      <c r="N11571">
        <f>IF(M11571="","",'Master Barang'!A65)</f>
        <v>0</v>
      </c>
      <c r="O11571">
        <f>IF(N11571="","",'Master Barang'!B65)</f>
        <v>0</v>
      </c>
      <c r="P11571">
        <f>IF(OR(M11571="",N11571=""),"",SUMIFS('Barang Keluar'!$E:$E,'Barang Keluar'!$A:$A,M11571,'Barang Keluar'!$C:$C,N11571))</f>
        <v>0</v>
      </c>
    </row>
    <row r="11572" spans="13:16">
      <c r="M11572" s="49">
        <f>IF($A$4+115&gt;$B$4,"",$A$4+115)</f>
        <v>46138</v>
      </c>
      <c r="N11572">
        <f>IF(M11572="","",'Master Barang'!A66)</f>
        <v>0</v>
      </c>
      <c r="O11572">
        <f>IF(N11572="","",'Master Barang'!B66)</f>
        <v>0</v>
      </c>
      <c r="P11572">
        <f>IF(OR(M11572="",N11572=""),"",SUMIFS('Barang Keluar'!$E:$E,'Barang Keluar'!$A:$A,M11572,'Barang Keluar'!$C:$C,N11572))</f>
        <v>0</v>
      </c>
    </row>
    <row r="11573" spans="13:16">
      <c r="M11573" s="49">
        <f>IF($A$4+115&gt;$B$4,"",$A$4+115)</f>
        <v>46138</v>
      </c>
      <c r="N11573">
        <f>IF(M11573="","",'Master Barang'!A67)</f>
        <v>0</v>
      </c>
      <c r="O11573">
        <f>IF(N11573="","",'Master Barang'!B67)</f>
        <v>0</v>
      </c>
      <c r="P11573">
        <f>IF(OR(M11573="",N11573=""),"",SUMIFS('Barang Keluar'!$E:$E,'Barang Keluar'!$A:$A,M11573,'Barang Keluar'!$C:$C,N11573))</f>
        <v>0</v>
      </c>
    </row>
    <row r="11574" spans="13:16">
      <c r="M11574" s="49">
        <f>IF($A$4+115&gt;$B$4,"",$A$4+115)</f>
        <v>46138</v>
      </c>
      <c r="N11574">
        <f>IF(M11574="","",'Master Barang'!A68)</f>
        <v>0</v>
      </c>
      <c r="O11574">
        <f>IF(N11574="","",'Master Barang'!B68)</f>
        <v>0</v>
      </c>
      <c r="P11574">
        <f>IF(OR(M11574="",N11574=""),"",SUMIFS('Barang Keluar'!$E:$E,'Barang Keluar'!$A:$A,M11574,'Barang Keluar'!$C:$C,N11574))</f>
        <v>0</v>
      </c>
    </row>
    <row r="11575" spans="13:16">
      <c r="M11575" s="49">
        <f>IF($A$4+115&gt;$B$4,"",$A$4+115)</f>
        <v>46138</v>
      </c>
      <c r="N11575">
        <f>IF(M11575="","",'Master Barang'!A69)</f>
        <v>0</v>
      </c>
      <c r="O11575">
        <f>IF(N11575="","",'Master Barang'!B69)</f>
        <v>0</v>
      </c>
      <c r="P11575">
        <f>IF(OR(M11575="",N11575=""),"",SUMIFS('Barang Keluar'!$E:$E,'Barang Keluar'!$A:$A,M11575,'Barang Keluar'!$C:$C,N11575))</f>
        <v>0</v>
      </c>
    </row>
    <row r="11576" spans="13:16">
      <c r="M11576" s="49">
        <f>IF($A$4+115&gt;$B$4,"",$A$4+115)</f>
        <v>46138</v>
      </c>
      <c r="N11576">
        <f>IF(M11576="","",'Master Barang'!A70)</f>
        <v>0</v>
      </c>
      <c r="O11576">
        <f>IF(N11576="","",'Master Barang'!B70)</f>
        <v>0</v>
      </c>
      <c r="P11576">
        <f>IF(OR(M11576="",N11576=""),"",SUMIFS('Barang Keluar'!$E:$E,'Barang Keluar'!$A:$A,M11576,'Barang Keluar'!$C:$C,N11576))</f>
        <v>0</v>
      </c>
    </row>
    <row r="11577" spans="13:16">
      <c r="M11577" s="49">
        <f>IF($A$4+115&gt;$B$4,"",$A$4+115)</f>
        <v>46138</v>
      </c>
      <c r="N11577">
        <f>IF(M11577="","",'Master Barang'!A71)</f>
        <v>0</v>
      </c>
      <c r="O11577">
        <f>IF(N11577="","",'Master Barang'!B71)</f>
        <v>0</v>
      </c>
      <c r="P11577">
        <f>IF(OR(M11577="",N11577=""),"",SUMIFS('Barang Keluar'!$E:$E,'Barang Keluar'!$A:$A,M11577,'Barang Keluar'!$C:$C,N11577))</f>
        <v>0</v>
      </c>
    </row>
    <row r="11578" spans="13:16">
      <c r="M11578" s="49">
        <f>IF($A$4+115&gt;$B$4,"",$A$4+115)</f>
        <v>46138</v>
      </c>
      <c r="N11578">
        <f>IF(M11578="","",'Master Barang'!A72)</f>
        <v>0</v>
      </c>
      <c r="O11578">
        <f>IF(N11578="","",'Master Barang'!B72)</f>
        <v>0</v>
      </c>
      <c r="P11578">
        <f>IF(OR(M11578="",N11578=""),"",SUMIFS('Barang Keluar'!$E:$E,'Barang Keluar'!$A:$A,M11578,'Barang Keluar'!$C:$C,N11578))</f>
        <v>0</v>
      </c>
    </row>
    <row r="11579" spans="13:16">
      <c r="M11579" s="49">
        <f>IF($A$4+115&gt;$B$4,"",$A$4+115)</f>
        <v>46138</v>
      </c>
      <c r="N11579">
        <f>IF(M11579="","",'Master Barang'!A73)</f>
        <v>0</v>
      </c>
      <c r="O11579">
        <f>IF(N11579="","",'Master Barang'!B73)</f>
        <v>0</v>
      </c>
      <c r="P11579">
        <f>IF(OR(M11579="",N11579=""),"",SUMIFS('Barang Keluar'!$E:$E,'Barang Keluar'!$A:$A,M11579,'Barang Keluar'!$C:$C,N11579))</f>
        <v>0</v>
      </c>
    </row>
    <row r="11580" spans="13:16">
      <c r="M11580" s="49">
        <f>IF($A$4+115&gt;$B$4,"",$A$4+115)</f>
        <v>46138</v>
      </c>
      <c r="N11580">
        <f>IF(M11580="","",'Master Barang'!A74)</f>
        <v>0</v>
      </c>
      <c r="O11580">
        <f>IF(N11580="","",'Master Barang'!B74)</f>
        <v>0</v>
      </c>
      <c r="P11580">
        <f>IF(OR(M11580="",N11580=""),"",SUMIFS('Barang Keluar'!$E:$E,'Barang Keluar'!$A:$A,M11580,'Barang Keluar'!$C:$C,N11580))</f>
        <v>0</v>
      </c>
    </row>
    <row r="11581" spans="13:16">
      <c r="M11581" s="49">
        <f>IF($A$4+115&gt;$B$4,"",$A$4+115)</f>
        <v>46138</v>
      </c>
      <c r="N11581">
        <f>IF(M11581="","",'Master Barang'!A75)</f>
        <v>0</v>
      </c>
      <c r="O11581">
        <f>IF(N11581="","",'Master Barang'!B75)</f>
        <v>0</v>
      </c>
      <c r="P11581">
        <f>IF(OR(M11581="",N11581=""),"",SUMIFS('Barang Keluar'!$E:$E,'Barang Keluar'!$A:$A,M11581,'Barang Keluar'!$C:$C,N11581))</f>
        <v>0</v>
      </c>
    </row>
    <row r="11582" spans="13:16">
      <c r="M11582" s="49">
        <f>IF($A$4+115&gt;$B$4,"",$A$4+115)</f>
        <v>46138</v>
      </c>
      <c r="N11582">
        <f>IF(M11582="","",'Master Barang'!A76)</f>
        <v>0</v>
      </c>
      <c r="O11582">
        <f>IF(N11582="","",'Master Barang'!B76)</f>
        <v>0</v>
      </c>
      <c r="P11582">
        <f>IF(OR(M11582="",N11582=""),"",SUMIFS('Barang Keluar'!$E:$E,'Barang Keluar'!$A:$A,M11582,'Barang Keluar'!$C:$C,N11582))</f>
        <v>0</v>
      </c>
    </row>
    <row r="11583" spans="13:16">
      <c r="M11583" s="49">
        <f>IF($A$4+115&gt;$B$4,"",$A$4+115)</f>
        <v>46138</v>
      </c>
      <c r="N11583">
        <f>IF(M11583="","",'Master Barang'!A77)</f>
        <v>0</v>
      </c>
      <c r="O11583">
        <f>IF(N11583="","",'Master Barang'!B77)</f>
        <v>0</v>
      </c>
      <c r="P11583">
        <f>IF(OR(M11583="",N11583=""),"",SUMIFS('Barang Keluar'!$E:$E,'Barang Keluar'!$A:$A,M11583,'Barang Keluar'!$C:$C,N11583))</f>
        <v>0</v>
      </c>
    </row>
    <row r="11584" spans="13:16">
      <c r="M11584" s="49">
        <f>IF($A$4+115&gt;$B$4,"",$A$4+115)</f>
        <v>46138</v>
      </c>
      <c r="N11584">
        <f>IF(M11584="","",'Master Barang'!A78)</f>
        <v>0</v>
      </c>
      <c r="O11584">
        <f>IF(N11584="","",'Master Barang'!B78)</f>
        <v>0</v>
      </c>
      <c r="P11584">
        <f>IF(OR(M11584="",N11584=""),"",SUMIFS('Barang Keluar'!$E:$E,'Barang Keluar'!$A:$A,M11584,'Barang Keluar'!$C:$C,N11584))</f>
        <v>0</v>
      </c>
    </row>
    <row r="11585" spans="13:16">
      <c r="M11585" s="49">
        <f>IF($A$4+115&gt;$B$4,"",$A$4+115)</f>
        <v>46138</v>
      </c>
      <c r="N11585">
        <f>IF(M11585="","",'Master Barang'!A79)</f>
        <v>0</v>
      </c>
      <c r="O11585">
        <f>IF(N11585="","",'Master Barang'!B79)</f>
        <v>0</v>
      </c>
      <c r="P11585">
        <f>IF(OR(M11585="",N11585=""),"",SUMIFS('Barang Keluar'!$E:$E,'Barang Keluar'!$A:$A,M11585,'Barang Keluar'!$C:$C,N11585))</f>
        <v>0</v>
      </c>
    </row>
    <row r="11586" spans="13:16">
      <c r="M11586" s="49">
        <f>IF($A$4+115&gt;$B$4,"",$A$4+115)</f>
        <v>46138</v>
      </c>
      <c r="N11586">
        <f>IF(M11586="","",'Master Barang'!A80)</f>
        <v>0</v>
      </c>
      <c r="O11586">
        <f>IF(N11586="","",'Master Barang'!B80)</f>
        <v>0</v>
      </c>
      <c r="P11586">
        <f>IF(OR(M11586="",N11586=""),"",SUMIFS('Barang Keluar'!$E:$E,'Barang Keluar'!$A:$A,M11586,'Barang Keluar'!$C:$C,N11586))</f>
        <v>0</v>
      </c>
    </row>
    <row r="11587" spans="13:16">
      <c r="M11587" s="49">
        <f>IF($A$4+115&gt;$B$4,"",$A$4+115)</f>
        <v>46138</v>
      </c>
      <c r="N11587">
        <f>IF(M11587="","",'Master Barang'!A81)</f>
        <v>0</v>
      </c>
      <c r="O11587">
        <f>IF(N11587="","",'Master Barang'!B81)</f>
        <v>0</v>
      </c>
      <c r="P11587">
        <f>IF(OR(M11587="",N11587=""),"",SUMIFS('Barang Keluar'!$E:$E,'Barang Keluar'!$A:$A,M11587,'Barang Keluar'!$C:$C,N11587))</f>
        <v>0</v>
      </c>
    </row>
    <row r="11588" spans="13:16">
      <c r="M11588" s="49">
        <f>IF($A$4+115&gt;$B$4,"",$A$4+115)</f>
        <v>46138</v>
      </c>
      <c r="N11588">
        <f>IF(M11588="","",'Master Barang'!A82)</f>
        <v>0</v>
      </c>
      <c r="O11588">
        <f>IF(N11588="","",'Master Barang'!B82)</f>
        <v>0</v>
      </c>
      <c r="P11588">
        <f>IF(OR(M11588="",N11588=""),"",SUMIFS('Barang Keluar'!$E:$E,'Barang Keluar'!$A:$A,M11588,'Barang Keluar'!$C:$C,N11588))</f>
        <v>0</v>
      </c>
    </row>
    <row r="11589" spans="13:16">
      <c r="M11589" s="49">
        <f>IF($A$4+115&gt;$B$4,"",$A$4+115)</f>
        <v>46138</v>
      </c>
      <c r="N11589">
        <f>IF(M11589="","",'Master Barang'!A83)</f>
        <v>0</v>
      </c>
      <c r="O11589">
        <f>IF(N11589="","",'Master Barang'!B83)</f>
        <v>0</v>
      </c>
      <c r="P11589">
        <f>IF(OR(M11589="",N11589=""),"",SUMIFS('Barang Keluar'!$E:$E,'Barang Keluar'!$A:$A,M11589,'Barang Keluar'!$C:$C,N11589))</f>
        <v>0</v>
      </c>
    </row>
    <row r="11590" spans="13:16">
      <c r="M11590" s="49">
        <f>IF($A$4+115&gt;$B$4,"",$A$4+115)</f>
        <v>46138</v>
      </c>
      <c r="N11590">
        <f>IF(M11590="","",'Master Barang'!A84)</f>
        <v>0</v>
      </c>
      <c r="O11590">
        <f>IF(N11590="","",'Master Barang'!B84)</f>
        <v>0</v>
      </c>
      <c r="P11590">
        <f>IF(OR(M11590="",N11590=""),"",SUMIFS('Barang Keluar'!$E:$E,'Barang Keluar'!$A:$A,M11590,'Barang Keluar'!$C:$C,N11590))</f>
        <v>0</v>
      </c>
    </row>
    <row r="11591" spans="13:16">
      <c r="M11591" s="49">
        <f>IF($A$4+115&gt;$B$4,"",$A$4+115)</f>
        <v>46138</v>
      </c>
      <c r="N11591">
        <f>IF(M11591="","",'Master Barang'!A85)</f>
        <v>0</v>
      </c>
      <c r="O11591">
        <f>IF(N11591="","",'Master Barang'!B85)</f>
        <v>0</v>
      </c>
      <c r="P11591">
        <f>IF(OR(M11591="",N11591=""),"",SUMIFS('Barang Keluar'!$E:$E,'Barang Keluar'!$A:$A,M11591,'Barang Keluar'!$C:$C,N11591))</f>
        <v>0</v>
      </c>
    </row>
    <row r="11592" spans="13:16">
      <c r="M11592" s="49">
        <f>IF($A$4+115&gt;$B$4,"",$A$4+115)</f>
        <v>46138</v>
      </c>
      <c r="N11592">
        <f>IF(M11592="","",'Master Barang'!A86)</f>
        <v>0</v>
      </c>
      <c r="O11592">
        <f>IF(N11592="","",'Master Barang'!B86)</f>
        <v>0</v>
      </c>
      <c r="P11592">
        <f>IF(OR(M11592="",N11592=""),"",SUMIFS('Barang Keluar'!$E:$E,'Barang Keluar'!$A:$A,M11592,'Barang Keluar'!$C:$C,N11592))</f>
        <v>0</v>
      </c>
    </row>
    <row r="11593" spans="13:16">
      <c r="M11593" s="49">
        <f>IF($A$4+115&gt;$B$4,"",$A$4+115)</f>
        <v>46138</v>
      </c>
      <c r="N11593">
        <f>IF(M11593="","",'Master Barang'!A87)</f>
        <v>0</v>
      </c>
      <c r="O11593">
        <f>IF(N11593="","",'Master Barang'!B87)</f>
        <v>0</v>
      </c>
      <c r="P11593">
        <f>IF(OR(M11593="",N11593=""),"",SUMIFS('Barang Keluar'!$E:$E,'Barang Keluar'!$A:$A,M11593,'Barang Keluar'!$C:$C,N11593))</f>
        <v>0</v>
      </c>
    </row>
    <row r="11594" spans="13:16">
      <c r="M11594" s="49">
        <f>IF($A$4+115&gt;$B$4,"",$A$4+115)</f>
        <v>46138</v>
      </c>
      <c r="N11594">
        <f>IF(M11594="","",'Master Barang'!A88)</f>
        <v>0</v>
      </c>
      <c r="O11594">
        <f>IF(N11594="","",'Master Barang'!B88)</f>
        <v>0</v>
      </c>
      <c r="P11594">
        <f>IF(OR(M11594="",N11594=""),"",SUMIFS('Barang Keluar'!$E:$E,'Barang Keluar'!$A:$A,M11594,'Barang Keluar'!$C:$C,N11594))</f>
        <v>0</v>
      </c>
    </row>
    <row r="11595" spans="13:16">
      <c r="M11595" s="49">
        <f>IF($A$4+115&gt;$B$4,"",$A$4+115)</f>
        <v>46138</v>
      </c>
      <c r="N11595">
        <f>IF(M11595="","",'Master Barang'!A89)</f>
        <v>0</v>
      </c>
      <c r="O11595">
        <f>IF(N11595="","",'Master Barang'!B89)</f>
        <v>0</v>
      </c>
      <c r="P11595">
        <f>IF(OR(M11595="",N11595=""),"",SUMIFS('Barang Keluar'!$E:$E,'Barang Keluar'!$A:$A,M11595,'Barang Keluar'!$C:$C,N11595))</f>
        <v>0</v>
      </c>
    </row>
    <row r="11596" spans="13:16">
      <c r="M11596" s="49">
        <f>IF($A$4+115&gt;$B$4,"",$A$4+115)</f>
        <v>46138</v>
      </c>
      <c r="N11596">
        <f>IF(M11596="","",'Master Barang'!A90)</f>
        <v>0</v>
      </c>
      <c r="O11596">
        <f>IF(N11596="","",'Master Barang'!B90)</f>
        <v>0</v>
      </c>
      <c r="P11596">
        <f>IF(OR(M11596="",N11596=""),"",SUMIFS('Barang Keluar'!$E:$E,'Barang Keluar'!$A:$A,M11596,'Barang Keluar'!$C:$C,N11596))</f>
        <v>0</v>
      </c>
    </row>
    <row r="11597" spans="13:16">
      <c r="M11597" s="49">
        <f>IF($A$4+115&gt;$B$4,"",$A$4+115)</f>
        <v>46138</v>
      </c>
      <c r="N11597">
        <f>IF(M11597="","",'Master Barang'!A91)</f>
        <v>0</v>
      </c>
      <c r="O11597">
        <f>IF(N11597="","",'Master Barang'!B91)</f>
        <v>0</v>
      </c>
      <c r="P11597">
        <f>IF(OR(M11597="",N11597=""),"",SUMIFS('Barang Keluar'!$E:$E,'Barang Keluar'!$A:$A,M11597,'Barang Keluar'!$C:$C,N11597))</f>
        <v>0</v>
      </c>
    </row>
    <row r="11598" spans="13:16">
      <c r="M11598" s="49">
        <f>IF($A$4+115&gt;$B$4,"",$A$4+115)</f>
        <v>46138</v>
      </c>
      <c r="N11598">
        <f>IF(M11598="","",'Master Barang'!A92)</f>
        <v>0</v>
      </c>
      <c r="O11598">
        <f>IF(N11598="","",'Master Barang'!B92)</f>
        <v>0</v>
      </c>
      <c r="P11598">
        <f>IF(OR(M11598="",N11598=""),"",SUMIFS('Barang Keluar'!$E:$E,'Barang Keluar'!$A:$A,M11598,'Barang Keluar'!$C:$C,N11598))</f>
        <v>0</v>
      </c>
    </row>
    <row r="11599" spans="13:16">
      <c r="M11599" s="49">
        <f>IF($A$4+115&gt;$B$4,"",$A$4+115)</f>
        <v>46138</v>
      </c>
      <c r="N11599">
        <f>IF(M11599="","",'Master Barang'!A93)</f>
        <v>0</v>
      </c>
      <c r="O11599">
        <f>IF(N11599="","",'Master Barang'!B93)</f>
        <v>0</v>
      </c>
      <c r="P11599">
        <f>IF(OR(M11599="",N11599=""),"",SUMIFS('Barang Keluar'!$E:$E,'Barang Keluar'!$A:$A,M11599,'Barang Keluar'!$C:$C,N11599))</f>
        <v>0</v>
      </c>
    </row>
    <row r="11600" spans="13:16">
      <c r="M11600" s="49">
        <f>IF($A$4+115&gt;$B$4,"",$A$4+115)</f>
        <v>46138</v>
      </c>
      <c r="N11600">
        <f>IF(M11600="","",'Master Barang'!A94)</f>
        <v>0</v>
      </c>
      <c r="O11600">
        <f>IF(N11600="","",'Master Barang'!B94)</f>
        <v>0</v>
      </c>
      <c r="P11600">
        <f>IF(OR(M11600="",N11600=""),"",SUMIFS('Barang Keluar'!$E:$E,'Barang Keluar'!$A:$A,M11600,'Barang Keluar'!$C:$C,N11600))</f>
        <v>0</v>
      </c>
    </row>
    <row r="11601" spans="13:16">
      <c r="M11601" s="49">
        <f>IF($A$4+115&gt;$B$4,"",$A$4+115)</f>
        <v>46138</v>
      </c>
      <c r="N11601">
        <f>IF(M11601="","",'Master Barang'!A95)</f>
        <v>0</v>
      </c>
      <c r="O11601">
        <f>IF(N11601="","",'Master Barang'!B95)</f>
        <v>0</v>
      </c>
      <c r="P11601">
        <f>IF(OR(M11601="",N11601=""),"",SUMIFS('Barang Keluar'!$E:$E,'Barang Keluar'!$A:$A,M11601,'Barang Keluar'!$C:$C,N11601))</f>
        <v>0</v>
      </c>
    </row>
    <row r="11602" spans="13:16">
      <c r="M11602" s="49">
        <f>IF($A$4+115&gt;$B$4,"",$A$4+115)</f>
        <v>46138</v>
      </c>
      <c r="N11602">
        <f>IF(M11602="","",'Master Barang'!A96)</f>
        <v>0</v>
      </c>
      <c r="O11602">
        <f>IF(N11602="","",'Master Barang'!B96)</f>
        <v>0</v>
      </c>
      <c r="P11602">
        <f>IF(OR(M11602="",N11602=""),"",SUMIFS('Barang Keluar'!$E:$E,'Barang Keluar'!$A:$A,M11602,'Barang Keluar'!$C:$C,N11602))</f>
        <v>0</v>
      </c>
    </row>
    <row r="11603" spans="13:16">
      <c r="M11603" s="49">
        <f>IF($A$4+115&gt;$B$4,"",$A$4+115)</f>
        <v>46138</v>
      </c>
      <c r="N11603">
        <f>IF(M11603="","",'Master Barang'!A97)</f>
        <v>0</v>
      </c>
      <c r="O11603">
        <f>IF(N11603="","",'Master Barang'!B97)</f>
        <v>0</v>
      </c>
      <c r="P11603">
        <f>IF(OR(M11603="",N11603=""),"",SUMIFS('Barang Keluar'!$E:$E,'Barang Keluar'!$A:$A,M11603,'Barang Keluar'!$C:$C,N11603))</f>
        <v>0</v>
      </c>
    </row>
    <row r="11604" spans="13:16">
      <c r="M11604" s="49">
        <f>IF($A$4+115&gt;$B$4,"",$A$4+115)</f>
        <v>46138</v>
      </c>
      <c r="N11604">
        <f>IF(M11604="","",'Master Barang'!A98)</f>
        <v>0</v>
      </c>
      <c r="O11604">
        <f>IF(N11604="","",'Master Barang'!B98)</f>
        <v>0</v>
      </c>
      <c r="P11604">
        <f>IF(OR(M11604="",N11604=""),"",SUMIFS('Barang Keluar'!$E:$E,'Barang Keluar'!$A:$A,M11604,'Barang Keluar'!$C:$C,N11604))</f>
        <v>0</v>
      </c>
    </row>
    <row r="11605" spans="13:16">
      <c r="M11605" s="49">
        <f>IF($A$4+115&gt;$B$4,"",$A$4+115)</f>
        <v>46138</v>
      </c>
      <c r="N11605">
        <f>IF(M11605="","",'Master Barang'!A99)</f>
        <v>0</v>
      </c>
      <c r="O11605">
        <f>IF(N11605="","",'Master Barang'!B99)</f>
        <v>0</v>
      </c>
      <c r="P11605">
        <f>IF(OR(M11605="",N11605=""),"",SUMIFS('Barang Keluar'!$E:$E,'Barang Keluar'!$A:$A,M11605,'Barang Keluar'!$C:$C,N11605))</f>
        <v>0</v>
      </c>
    </row>
    <row r="11606" spans="13:16">
      <c r="M11606" s="49">
        <f>IF($A$4+115&gt;$B$4,"",$A$4+115)</f>
        <v>46138</v>
      </c>
      <c r="N11606">
        <f>IF(M11606="","",'Master Barang'!A100)</f>
        <v>0</v>
      </c>
      <c r="O11606">
        <f>IF(N11606="","",'Master Barang'!B100)</f>
        <v>0</v>
      </c>
      <c r="P11606">
        <f>IF(OR(M11606="",N11606=""),"",SUMIFS('Barang Keluar'!$E:$E,'Barang Keluar'!$A:$A,M11606,'Barang Keluar'!$C:$C,N11606))</f>
        <v>0</v>
      </c>
    </row>
    <row r="11607" spans="13:16">
      <c r="M11607" s="49">
        <f>IF($A$4+115&gt;$B$4,"",$A$4+115)</f>
        <v>46138</v>
      </c>
      <c r="N11607">
        <f>IF(M11607="","",'Master Barang'!A101)</f>
        <v>0</v>
      </c>
      <c r="O11607">
        <f>IF(N11607="","",'Master Barang'!B101)</f>
        <v>0</v>
      </c>
      <c r="P11607">
        <f>IF(OR(M11607="",N11607=""),"",SUMIFS('Barang Keluar'!$E:$E,'Barang Keluar'!$A:$A,M11607,'Barang Keluar'!$C:$C,N11607))</f>
        <v>0</v>
      </c>
    </row>
    <row r="11608" spans="13:16">
      <c r="M11608" s="49">
        <f>IF($A$4+116&gt;$B$4,"",$A$4+116)</f>
        <v>46139</v>
      </c>
      <c r="N11608" t="str">
        <f>IF(M11608="","",'Master Barang'!A2)</f>
        <v>PRL-001</v>
      </c>
      <c r="O11608" t="str">
        <f>IF(N11608="","",'Master Barang'!B2)</f>
        <v>natura desinfectant food grade 5l</v>
      </c>
      <c r="P11608">
        <f>IF(OR(M11608="",N11608=""),"",SUMIFS('Barang Keluar'!$E:$E,'Barang Keluar'!$A:$A,M11608,'Barang Keluar'!$C:$C,N11608))</f>
        <v>0</v>
      </c>
    </row>
    <row r="11609" spans="13:16">
      <c r="M11609" s="49">
        <f>IF($A$4+116&gt;$B$4,"",$A$4+116)</f>
        <v>46139</v>
      </c>
      <c r="N11609" t="str">
        <f>IF(M11609="","",'Master Barang'!A3)</f>
        <v>PRL-002</v>
      </c>
      <c r="O11609" t="str">
        <f>IF(N11609="","",'Master Barang'!B3)</f>
        <v>sunlight cairan pencuci piring 5l</v>
      </c>
      <c r="P11609">
        <f>IF(OR(M11609="",N11609=""),"",SUMIFS('Barang Keluar'!$E:$E,'Barang Keluar'!$A:$A,M11609,'Barang Keluar'!$C:$C,N11609))</f>
        <v>0</v>
      </c>
    </row>
    <row r="11610" spans="13:16">
      <c r="M11610" s="49">
        <f>IF($A$4+116&gt;$B$4,"",$A$4+116)</f>
        <v>46139</v>
      </c>
      <c r="N11610" t="str">
        <f>IF(M11610="","",'Master Barang'!A4)</f>
        <v>PRL-003</v>
      </c>
      <c r="O11610" t="str">
        <f>IF(N11610="","",'Master Barang'!B4)</f>
        <v>oixs cleaner 1l</v>
      </c>
      <c r="P11610">
        <f>IF(OR(M11610="",N11610=""),"",SUMIFS('Barang Keluar'!$E:$E,'Barang Keluar'!$A:$A,M11610,'Barang Keluar'!$C:$C,N11610))</f>
        <v>0</v>
      </c>
    </row>
    <row r="11611" spans="13:16">
      <c r="M11611" s="49">
        <f>IF($A$4+116&gt;$B$4,"",$A$4+116)</f>
        <v>46139</v>
      </c>
      <c r="N11611" t="str">
        <f>IF(M11611="","",'Master Barang'!A5)</f>
        <v>PRL-004</v>
      </c>
      <c r="O11611" t="str">
        <f>IF(N11611="","",'Master Barang'!B5)</f>
        <v>be clean tissue serbaguna</v>
      </c>
      <c r="P11611">
        <f>IF(OR(M11611="",N11611=""),"",SUMIFS('Barang Keluar'!$E:$E,'Barang Keluar'!$A:$A,M11611,'Barang Keluar'!$C:$C,N11611))</f>
        <v>0</v>
      </c>
    </row>
    <row r="11612" spans="13:16">
      <c r="M11612" s="49">
        <f>IF($A$4+116&gt;$B$4,"",$A$4+116)</f>
        <v>46139</v>
      </c>
      <c r="N11612" t="str">
        <f>IF(M11612="","",'Master Barang'!A6)</f>
        <v>PRL-005</v>
      </c>
      <c r="O11612" t="str">
        <f>IF(N11612="","",'Master Barang'!B6)</f>
        <v>spons cuci hijau</v>
      </c>
      <c r="P11612">
        <f>IF(OR(M11612="",N11612=""),"",SUMIFS('Barang Keluar'!$E:$E,'Barang Keluar'!$A:$A,M11612,'Barang Keluar'!$C:$C,N11612))</f>
        <v>0</v>
      </c>
    </row>
    <row r="11613" spans="13:16">
      <c r="M11613" s="49">
        <f>IF($A$4+116&gt;$B$4,"",$A$4+116)</f>
        <v>46139</v>
      </c>
      <c r="N11613" t="str">
        <f>IF(M11613="","",'Master Barang'!A7)</f>
        <v>PRL-006</v>
      </c>
      <c r="O11613" t="str">
        <f>IF(N11613="","",'Master Barang'!B7)</f>
        <v>sabut cuci stainless</v>
      </c>
      <c r="P11613">
        <f>IF(OR(M11613="",N11613=""),"",SUMIFS('Barang Keluar'!$E:$E,'Barang Keluar'!$A:$A,M11613,'Barang Keluar'!$C:$C,N11613))</f>
        <v>0</v>
      </c>
    </row>
    <row r="11614" spans="13:16">
      <c r="M11614" s="49">
        <f>IF($A$4+116&gt;$B$4,"",$A$4+116)</f>
        <v>46139</v>
      </c>
      <c r="N11614" t="str">
        <f>IF(M11614="","",'Master Barang'!A8)</f>
        <v>PRL-007</v>
      </c>
      <c r="O11614" t="str">
        <f>IF(N11614="","",'Master Barang'!B8)</f>
        <v>plastik kresek besar merah 50pc</v>
      </c>
      <c r="P11614">
        <f>IF(OR(M11614="",N11614=""),"",SUMIFS('Barang Keluar'!$E:$E,'Barang Keluar'!$A:$A,M11614,'Barang Keluar'!$C:$C,N11614))</f>
        <v>0</v>
      </c>
    </row>
    <row r="11615" spans="13:16">
      <c r="M11615" s="49">
        <f>IF($A$4+116&gt;$B$4,"",$A$4+116)</f>
        <v>46139</v>
      </c>
      <c r="N11615" t="str">
        <f>IF(M11615="","",'Master Barang'!A9)</f>
        <v>PRL-008</v>
      </c>
      <c r="O11615" t="str">
        <f>IF(N11615="","",'Master Barang'!B9)</f>
        <v>lap besar</v>
      </c>
      <c r="P11615">
        <f>IF(OR(M11615="",N11615=""),"",SUMIFS('Barang Keluar'!$E:$E,'Barang Keluar'!$A:$A,M11615,'Barang Keluar'!$C:$C,N11615))</f>
        <v>0</v>
      </c>
    </row>
    <row r="11616" spans="13:16">
      <c r="M11616" s="49">
        <f>IF($A$4+116&gt;$B$4,"",$A$4+116)</f>
        <v>46139</v>
      </c>
      <c r="N11616" t="str">
        <f>IF(M11616="","",'Master Barang'!A10)</f>
        <v>PRL-009</v>
      </c>
      <c r="O11616" t="str">
        <f>IF(N11616="","",'Master Barang'!B10)</f>
        <v>lap microfiber</v>
      </c>
      <c r="P11616">
        <f>IF(OR(M11616="",N11616=""),"",SUMIFS('Barang Keluar'!$E:$E,'Barang Keluar'!$A:$A,M11616,'Barang Keluar'!$C:$C,N11616))</f>
        <v>0</v>
      </c>
    </row>
    <row r="11617" spans="13:16">
      <c r="M11617" s="49">
        <f>IF($A$4+116&gt;$B$4,"",$A$4+116)</f>
        <v>46139</v>
      </c>
      <c r="N11617" t="str">
        <f>IF(M11617="","",'Master Barang'!A11)</f>
        <v>PRL-010</v>
      </c>
      <c r="O11617" t="str">
        <f>IF(N11617="","",'Master Barang'!B11)</f>
        <v>lap kecil</v>
      </c>
      <c r="P11617">
        <f>IF(OR(M11617="",N11617=""),"",SUMIFS('Barang Keluar'!$E:$E,'Barang Keluar'!$A:$A,M11617,'Barang Keluar'!$C:$C,N11617))</f>
        <v>0</v>
      </c>
    </row>
    <row r="11618" spans="13:16">
      <c r="M11618" s="49">
        <f>IF($A$4+116&gt;$B$4,"",$A$4+116)</f>
        <v>46139</v>
      </c>
      <c r="N11618" t="str">
        <f>IF(M11618="","",'Master Barang'!A12)</f>
        <v>PRL-011</v>
      </c>
      <c r="O11618" t="str">
        <f>IF(N11618="","",'Master Barang'!B12)</f>
        <v>kanebo kecil</v>
      </c>
      <c r="P11618">
        <f>IF(OR(M11618="",N11618=""),"",SUMIFS('Barang Keluar'!$E:$E,'Barang Keluar'!$A:$A,M11618,'Barang Keluar'!$C:$C,N11618))</f>
        <v>0</v>
      </c>
    </row>
    <row r="11619" spans="13:16">
      <c r="M11619" s="49">
        <f>IF($A$4+116&gt;$B$4,"",$A$4+116)</f>
        <v>46139</v>
      </c>
      <c r="N11619" t="str">
        <f>IF(M11619="","",'Master Barang'!A13)</f>
        <v>PRL-012</v>
      </c>
      <c r="O11619" t="str">
        <f>IF(N11619="","",'Master Barang'!B13)</f>
        <v>plastik 1/4kg joyoboyo 100 lembar</v>
      </c>
      <c r="P11619">
        <f>IF(OR(M11619="",N11619=""),"",SUMIFS('Barang Keluar'!$E:$E,'Barang Keluar'!$A:$A,M11619,'Barang Keluar'!$C:$C,N11619))</f>
        <v>0</v>
      </c>
    </row>
    <row r="11620" spans="13:16">
      <c r="M11620" s="49">
        <f>IF($A$4+116&gt;$B$4,"",$A$4+116)</f>
        <v>46139</v>
      </c>
      <c r="N11620" t="str">
        <f>IF(M11620="","",'Master Barang'!A14)</f>
        <v>PRL-013</v>
      </c>
      <c r="O11620" t="str">
        <f>IF(N11620="","",'Master Barang'!B14)</f>
        <v>sarung tangan plastik kaka 100 pcs</v>
      </c>
      <c r="P11620">
        <f>IF(OR(M11620="",N11620=""),"",SUMIFS('Barang Keluar'!$E:$E,'Barang Keluar'!$A:$A,M11620,'Barang Keluar'!$C:$C,N11620))</f>
        <v>0</v>
      </c>
    </row>
    <row r="11621" spans="13:16">
      <c r="M11621" s="49">
        <f>IF($A$4+116&gt;$B$4,"",$A$4+116)</f>
        <v>46139</v>
      </c>
      <c r="N11621" t="str">
        <f>IF(M11621="","",'Master Barang'!A15)</f>
        <v>PRL-014</v>
      </c>
      <c r="O11621" t="str">
        <f>IF(N11621="","",'Master Barang'!B15)</f>
        <v>optima trashbag 80x100</v>
      </c>
      <c r="P11621">
        <f>IF(OR(M11621="",N11621=""),"",SUMIFS('Barang Keluar'!$E:$E,'Barang Keluar'!$A:$A,M11621,'Barang Keluar'!$C:$C,N11621))</f>
        <v>0</v>
      </c>
    </row>
    <row r="11622" spans="13:16">
      <c r="M11622" s="49">
        <f>IF($A$4+116&gt;$B$4,"",$A$4+116)</f>
        <v>46139</v>
      </c>
      <c r="N11622" t="str">
        <f>IF(M11622="","",'Master Barang'!A16)</f>
        <v>PRL-015</v>
      </c>
      <c r="O11622" t="str">
        <f>IF(N11622="","",'Master Barang'!B16)</f>
        <v>optima trashbag 60x100</v>
      </c>
      <c r="P11622">
        <f>IF(OR(M11622="",N11622=""),"",SUMIFS('Barang Keluar'!$E:$E,'Barang Keluar'!$A:$A,M11622,'Barang Keluar'!$C:$C,N11622))</f>
        <v>0</v>
      </c>
    </row>
    <row r="11623" spans="13:16">
      <c r="M11623" s="49">
        <f>IF($A$4+116&gt;$B$4,"",$A$4+116)</f>
        <v>46139</v>
      </c>
      <c r="N11623" t="str">
        <f>IF(M11623="","",'Master Barang'!A17)</f>
        <v>PRL-016</v>
      </c>
      <c r="O11623" t="str">
        <f>IF(N11623="","",'Master Barang'!B17)</f>
        <v>rajawali trashbag 30x40</v>
      </c>
      <c r="P11623">
        <f>IF(OR(M11623="",N11623=""),"",SUMIFS('Barang Keluar'!$E:$E,'Barang Keluar'!$A:$A,M11623,'Barang Keluar'!$C:$C,N11623))</f>
        <v>0</v>
      </c>
    </row>
    <row r="11624" spans="13:16">
      <c r="M11624" s="49">
        <f>IF($A$4+116&gt;$B$4,"",$A$4+116)</f>
        <v>46139</v>
      </c>
      <c r="N11624" t="str">
        <f>IF(M11624="","",'Master Barang'!A18)</f>
        <v>PRL-017</v>
      </c>
      <c r="O11624" t="str">
        <f>IF(N11624="","",'Master Barang'!B18)</f>
        <v>onemed masker biru 3 play 50 pcs</v>
      </c>
      <c r="P11624">
        <f>IF(OR(M11624="",N11624=""),"",SUMIFS('Barang Keluar'!$E:$E,'Barang Keluar'!$A:$A,M11624,'Barang Keluar'!$C:$C,N11624))</f>
        <v>0</v>
      </c>
    </row>
    <row r="11625" spans="13:16">
      <c r="M11625" s="49">
        <f>IF($A$4+116&gt;$B$4,"",$A$4+116)</f>
        <v>46139</v>
      </c>
      <c r="N11625" t="str">
        <f>IF(M11625="","",'Master Barang'!A19)</f>
        <v>PRL-018</v>
      </c>
      <c r="O11625" t="str">
        <f>IF(N11625="","",'Master Barang'!B19)</f>
        <v>onemed masker biru 3 play hijab 50 pcs</v>
      </c>
      <c r="P11625">
        <f>IF(OR(M11625="",N11625=""),"",SUMIFS('Barang Keluar'!$E:$E,'Barang Keluar'!$A:$A,M11625,'Barang Keluar'!$C:$C,N11625))</f>
        <v>0</v>
      </c>
    </row>
    <row r="11626" spans="13:16">
      <c r="M11626" s="49">
        <f>IF($A$4+116&gt;$B$4,"",$A$4+116)</f>
        <v>46139</v>
      </c>
      <c r="N11626" t="str">
        <f>IF(M11626="","",'Master Barang'!A20)</f>
        <v>PRL-019</v>
      </c>
      <c r="O11626" t="str">
        <f>IF(N11626="","",'Master Barang'!B20)</f>
        <v>neo health masker biru 3 play 50 pcs</v>
      </c>
      <c r="P11626">
        <f>IF(OR(M11626="",N11626=""),"",SUMIFS('Barang Keluar'!$E:$E,'Barang Keluar'!$A:$A,M11626,'Barang Keluar'!$C:$C,N11626))</f>
        <v>0</v>
      </c>
    </row>
    <row r="11627" spans="13:16">
      <c r="M11627" s="49">
        <f>IF($A$4+116&gt;$B$4,"",$A$4+116)</f>
        <v>46139</v>
      </c>
      <c r="N11627" t="str">
        <f>IF(M11627="","",'Master Barang'!A21)</f>
        <v>PRL-020</v>
      </c>
      <c r="O11627" t="str">
        <f>IF(N11627="","",'Master Barang'!B21)</f>
        <v>baymed masker hijau 3 play hijau 50 pcs</v>
      </c>
      <c r="P11627">
        <f>IF(OR(M11627="",N11627=""),"",SUMIFS('Barang Keluar'!$E:$E,'Barang Keluar'!$A:$A,M11627,'Barang Keluar'!$C:$C,N11627))</f>
        <v>0</v>
      </c>
    </row>
    <row r="11628" spans="13:16">
      <c r="M11628" s="49">
        <f>IF($A$4+116&gt;$B$4,"",$A$4+116)</f>
        <v>46139</v>
      </c>
      <c r="N11628" t="str">
        <f>IF(M11628="","",'Master Barang'!A22)</f>
        <v>PRL-021</v>
      </c>
      <c r="O11628" t="str">
        <f>IF(N11628="","",'Master Barang'!B22)</f>
        <v>altamed nurse cap penutup kepala 100 pcs</v>
      </c>
      <c r="P11628">
        <f>IF(OR(M11628="",N11628=""),"",SUMIFS('Barang Keluar'!$E:$E,'Barang Keluar'!$A:$A,M11628,'Barang Keluar'!$C:$C,N11628))</f>
        <v>0</v>
      </c>
    </row>
    <row r="11629" spans="13:16">
      <c r="M11629" s="49">
        <f>IF($A$4+116&gt;$B$4,"",$A$4+116)</f>
        <v>46139</v>
      </c>
      <c r="N11629" t="str">
        <f>IF(M11629="","",'Master Barang'!A23)</f>
        <v>PRL-022</v>
      </c>
      <c r="O11629" t="str">
        <f>IF(N11629="","",'Master Barang'!B23)</f>
        <v>sabun cuci tangan</v>
      </c>
      <c r="P11629">
        <f>IF(OR(M11629="",N11629=""),"",SUMIFS('Barang Keluar'!$E:$E,'Barang Keluar'!$A:$A,M11629,'Barang Keluar'!$C:$C,N11629))</f>
        <v>0</v>
      </c>
    </row>
    <row r="11630" spans="13:16">
      <c r="M11630" s="49">
        <f>IF($A$4+116&gt;$B$4,"",$A$4+116)</f>
        <v>46139</v>
      </c>
      <c r="N11630" t="str">
        <f>IF(M11630="","",'Master Barang'!A24)</f>
        <v>PRL-023</v>
      </c>
      <c r="O11630" t="str">
        <f>IF(N11630="","",'Master Barang'!B24)</f>
        <v>gayung kecil</v>
      </c>
      <c r="P11630">
        <f>IF(OR(M11630="",N11630=""),"",SUMIFS('Barang Keluar'!$E:$E,'Barang Keluar'!$A:$A,M11630,'Barang Keluar'!$C:$C,N11630))</f>
        <v>0</v>
      </c>
    </row>
    <row r="11631" spans="13:16">
      <c r="M11631" s="49">
        <f>IF($A$4+116&gt;$B$4,"",$A$4+116)</f>
        <v>46139</v>
      </c>
      <c r="N11631" t="str">
        <f>IF(M11631="","",'Master Barang'!A25)</f>
        <v>PRL-024</v>
      </c>
      <c r="O11631" t="str">
        <f>IF(N11631="","",'Master Barang'!B25)</f>
        <v>cikrak kecil</v>
      </c>
      <c r="P11631">
        <f>IF(OR(M11631="",N11631=""),"",SUMIFS('Barang Keluar'!$E:$E,'Barang Keluar'!$A:$A,M11631,'Barang Keluar'!$C:$C,N11631))</f>
        <v>0</v>
      </c>
    </row>
    <row r="11632" spans="13:16">
      <c r="M11632" s="49">
        <f>IF($A$4+116&gt;$B$4,"",$A$4+116)</f>
        <v>46139</v>
      </c>
      <c r="N11632" t="str">
        <f>IF(M11632="","",'Master Barang'!A26)</f>
        <v>PRL-025</v>
      </c>
      <c r="O11632" t="str">
        <f>IF(N11632="","",'Master Barang'!B26)</f>
        <v>petromax plastik kecil 12x24 100 lembar</v>
      </c>
      <c r="P11632">
        <f>IF(OR(M11632="",N11632=""),"",SUMIFS('Barang Keluar'!$E:$E,'Barang Keluar'!$A:$A,M11632,'Barang Keluar'!$C:$C,N11632))</f>
        <v>0</v>
      </c>
    </row>
    <row r="11633" spans="13:16">
      <c r="M11633" s="49">
        <f>IF($A$4+116&gt;$B$4,"",$A$4+116)</f>
        <v>46139</v>
      </c>
      <c r="N11633" t="str">
        <f>IF(M11633="","",'Master Barang'!A27)</f>
        <v>PRL-026</v>
      </c>
      <c r="O11633" t="str">
        <f>IF(N11633="","",'Master Barang'!B27)</f>
        <v>lancar kresek kecil bening </v>
      </c>
      <c r="P11633">
        <f>IF(OR(M11633="",N11633=""),"",SUMIFS('Barang Keluar'!$E:$E,'Barang Keluar'!$A:$A,M11633,'Barang Keluar'!$C:$C,N11633))</f>
        <v>0</v>
      </c>
    </row>
    <row r="11634" spans="13:16">
      <c r="M11634" s="49">
        <f>IF($A$4+116&gt;$B$4,"",$A$4+116)</f>
        <v>46139</v>
      </c>
      <c r="N11634" t="str">
        <f>IF(M11634="","",'Master Barang'!A28)</f>
        <v>PRL-027</v>
      </c>
      <c r="O11634" t="str">
        <f>IF(N11634="","",'Master Barang'!B28)</f>
        <v>kresek klin warna warni kecil</v>
      </c>
      <c r="P11634">
        <f>IF(OR(M11634="",N11634=""),"",SUMIFS('Barang Keluar'!$E:$E,'Barang Keluar'!$A:$A,M11634,'Barang Keluar'!$C:$C,N11634))</f>
        <v>0</v>
      </c>
    </row>
    <row r="11635" spans="13:16">
      <c r="M11635" s="49">
        <f>IF($A$4+116&gt;$B$4,"",$A$4+116)</f>
        <v>46139</v>
      </c>
      <c r="N11635" t="str">
        <f>IF(M11635="","",'Master Barang'!A29)</f>
        <v>PRL-028</v>
      </c>
      <c r="O11635" t="str">
        <f>IF(N11635="","",'Master Barang'!B29)</f>
        <v>ctik plastik 7x10 100 pcs</v>
      </c>
      <c r="P11635">
        <f>IF(OR(M11635="",N11635=""),"",SUMIFS('Barang Keluar'!$E:$E,'Barang Keluar'!$A:$A,M11635,'Barang Keluar'!$C:$C,N11635))</f>
        <v>0</v>
      </c>
    </row>
    <row r="11636" spans="13:16">
      <c r="M11636" s="49">
        <f>IF($A$4+116&gt;$B$4,"",$A$4+116)</f>
        <v>46139</v>
      </c>
      <c r="N11636" t="str">
        <f>IF(M11636="","",'Master Barang'!A30)</f>
        <v>PRL-029</v>
      </c>
      <c r="O11636" t="str">
        <f>IF(N11636="","",'Master Barang'!B30)</f>
        <v>ctik plastik 6x10 100 pcs</v>
      </c>
      <c r="P11636">
        <f>IF(OR(M11636="",N11636=""),"",SUMIFS('Barang Keluar'!$E:$E,'Barang Keluar'!$A:$A,M11636,'Barang Keluar'!$C:$C,N11636))</f>
        <v>0</v>
      </c>
    </row>
    <row r="11637" spans="13:16">
      <c r="M11637" s="49">
        <f>IF($A$4+116&gt;$B$4,"",$A$4+116)</f>
        <v>46139</v>
      </c>
      <c r="N11637" t="str">
        <f>IF(M11637="","",'Master Barang'!A31)</f>
        <v>PRL-030</v>
      </c>
      <c r="O11637" t="str">
        <f>IF(N11637="","",'Master Barang'!B31)</f>
        <v>klip plastik 25x16 100 pcs</v>
      </c>
      <c r="P11637">
        <f>IF(OR(M11637="",N11637=""),"",SUMIFS('Barang Keluar'!$E:$E,'Barang Keluar'!$A:$A,M11637,'Barang Keluar'!$C:$C,N11637))</f>
        <v>0</v>
      </c>
    </row>
    <row r="11638" spans="13:16">
      <c r="M11638" s="49">
        <f>IF($A$4+116&gt;$B$4,"",$A$4+116)</f>
        <v>46139</v>
      </c>
      <c r="N11638" t="str">
        <f>IF(M11638="","",'Master Barang'!A32)</f>
        <v>PRL-031</v>
      </c>
      <c r="O11638" t="str">
        <f>IF(N11638="","",'Master Barang'!B32)</f>
        <v>tempat saus 20 ml</v>
      </c>
      <c r="P11638">
        <f>IF(OR(M11638="",N11638=""),"",SUMIFS('Barang Keluar'!$E:$E,'Barang Keluar'!$A:$A,M11638,'Barang Keluar'!$C:$C,N11638))</f>
        <v>0</v>
      </c>
    </row>
    <row r="11639" spans="13:16">
      <c r="M11639" s="49">
        <f>IF($A$4+116&gt;$B$4,"",$A$4+116)</f>
        <v>46139</v>
      </c>
      <c r="N11639" t="str">
        <f>IF(M11639="","",'Master Barang'!A33)</f>
        <v>PRL-032</v>
      </c>
      <c r="O11639" t="str">
        <f>IF(N11639="","",'Master Barang'!B33)</f>
        <v>plastik packaging ag box uk sedang</v>
      </c>
      <c r="P11639">
        <f>IF(OR(M11639="",N11639=""),"",SUMIFS('Barang Keluar'!$E:$E,'Barang Keluar'!$A:$A,M11639,'Barang Keluar'!$C:$C,N11639))</f>
        <v>0</v>
      </c>
    </row>
    <row r="11640" spans="13:16">
      <c r="M11640" s="49">
        <f>IF($A$4+116&gt;$B$4,"",$A$4+116)</f>
        <v>46139</v>
      </c>
      <c r="N11640" t="str">
        <f>IF(M11640="","",'Master Barang'!A34)</f>
        <v>PRL-033</v>
      </c>
      <c r="O11640">
        <f>IF(N11640="","",'Master Barang'!B34)</f>
        <v>0</v>
      </c>
      <c r="P11640">
        <f>IF(OR(M11640="",N11640=""),"",SUMIFS('Barang Keluar'!$E:$E,'Barang Keluar'!$A:$A,M11640,'Barang Keluar'!$C:$C,N11640))</f>
        <v>0</v>
      </c>
    </row>
    <row r="11641" spans="13:16">
      <c r="M11641" s="49">
        <f>IF($A$4+116&gt;$B$4,"",$A$4+116)</f>
        <v>46139</v>
      </c>
      <c r="N11641">
        <f>IF(M11641="","",'Master Barang'!A35)</f>
        <v>0</v>
      </c>
      <c r="O11641">
        <f>IF(N11641="","",'Master Barang'!B35)</f>
        <v>0</v>
      </c>
      <c r="P11641">
        <f>IF(OR(M11641="",N11641=""),"",SUMIFS('Barang Keluar'!$E:$E,'Barang Keluar'!$A:$A,M11641,'Barang Keluar'!$C:$C,N11641))</f>
        <v>0</v>
      </c>
    </row>
    <row r="11642" spans="13:16">
      <c r="M11642" s="49">
        <f>IF($A$4+116&gt;$B$4,"",$A$4+116)</f>
        <v>46139</v>
      </c>
      <c r="N11642">
        <f>IF(M11642="","",'Master Barang'!A36)</f>
        <v>0</v>
      </c>
      <c r="O11642">
        <f>IF(N11642="","",'Master Barang'!B36)</f>
        <v>0</v>
      </c>
      <c r="P11642">
        <f>IF(OR(M11642="",N11642=""),"",SUMIFS('Barang Keluar'!$E:$E,'Barang Keluar'!$A:$A,M11642,'Barang Keluar'!$C:$C,N11642))</f>
        <v>0</v>
      </c>
    </row>
    <row r="11643" spans="13:16">
      <c r="M11643" s="49">
        <f>IF($A$4+116&gt;$B$4,"",$A$4+116)</f>
        <v>46139</v>
      </c>
      <c r="N11643">
        <f>IF(M11643="","",'Master Barang'!A37)</f>
        <v>0</v>
      </c>
      <c r="O11643">
        <f>IF(N11643="","",'Master Barang'!B37)</f>
        <v>0</v>
      </c>
      <c r="P11643">
        <f>IF(OR(M11643="",N11643=""),"",SUMIFS('Barang Keluar'!$E:$E,'Barang Keluar'!$A:$A,M11643,'Barang Keluar'!$C:$C,N11643))</f>
        <v>0</v>
      </c>
    </row>
    <row r="11644" spans="13:16">
      <c r="M11644" s="49">
        <f>IF($A$4+116&gt;$B$4,"",$A$4+116)</f>
        <v>46139</v>
      </c>
      <c r="N11644">
        <f>IF(M11644="","",'Master Barang'!A38)</f>
        <v>0</v>
      </c>
      <c r="O11644">
        <f>IF(N11644="","",'Master Barang'!B38)</f>
        <v>0</v>
      </c>
      <c r="P11644">
        <f>IF(OR(M11644="",N11644=""),"",SUMIFS('Barang Keluar'!$E:$E,'Barang Keluar'!$A:$A,M11644,'Barang Keluar'!$C:$C,N11644))</f>
        <v>0</v>
      </c>
    </row>
    <row r="11645" spans="13:16">
      <c r="M11645" s="49">
        <f>IF($A$4+116&gt;$B$4,"",$A$4+116)</f>
        <v>46139</v>
      </c>
      <c r="N11645">
        <f>IF(M11645="","",'Master Barang'!A39)</f>
        <v>0</v>
      </c>
      <c r="O11645">
        <f>IF(N11645="","",'Master Barang'!B39)</f>
        <v>0</v>
      </c>
      <c r="P11645">
        <f>IF(OR(M11645="",N11645=""),"",SUMIFS('Barang Keluar'!$E:$E,'Barang Keluar'!$A:$A,M11645,'Barang Keluar'!$C:$C,N11645))</f>
        <v>0</v>
      </c>
    </row>
    <row r="11646" spans="13:16">
      <c r="M11646" s="49">
        <f>IF($A$4+116&gt;$B$4,"",$A$4+116)</f>
        <v>46139</v>
      </c>
      <c r="N11646">
        <f>IF(M11646="","",'Master Barang'!A40)</f>
        <v>0</v>
      </c>
      <c r="O11646">
        <f>IF(N11646="","",'Master Barang'!B40)</f>
        <v>0</v>
      </c>
      <c r="P11646">
        <f>IF(OR(M11646="",N11646=""),"",SUMIFS('Barang Keluar'!$E:$E,'Barang Keluar'!$A:$A,M11646,'Barang Keluar'!$C:$C,N11646))</f>
        <v>0</v>
      </c>
    </row>
    <row r="11647" spans="13:16">
      <c r="M11647" s="49">
        <f>IF($A$4+116&gt;$B$4,"",$A$4+116)</f>
        <v>46139</v>
      </c>
      <c r="N11647">
        <f>IF(M11647="","",'Master Barang'!A41)</f>
        <v>0</v>
      </c>
      <c r="O11647">
        <f>IF(N11647="","",'Master Barang'!B41)</f>
        <v>0</v>
      </c>
      <c r="P11647">
        <f>IF(OR(M11647="",N11647=""),"",SUMIFS('Barang Keluar'!$E:$E,'Barang Keluar'!$A:$A,M11647,'Barang Keluar'!$C:$C,N11647))</f>
        <v>0</v>
      </c>
    </row>
    <row r="11648" spans="13:16">
      <c r="M11648" s="49">
        <f>IF($A$4+116&gt;$B$4,"",$A$4+116)</f>
        <v>46139</v>
      </c>
      <c r="N11648">
        <f>IF(M11648="","",'Master Barang'!A42)</f>
        <v>0</v>
      </c>
      <c r="O11648">
        <f>IF(N11648="","",'Master Barang'!B42)</f>
        <v>0</v>
      </c>
      <c r="P11648">
        <f>IF(OR(M11648="",N11648=""),"",SUMIFS('Barang Keluar'!$E:$E,'Barang Keluar'!$A:$A,M11648,'Barang Keluar'!$C:$C,N11648))</f>
        <v>0</v>
      </c>
    </row>
    <row r="11649" spans="13:16">
      <c r="M11649" s="49">
        <f>IF($A$4+116&gt;$B$4,"",$A$4+116)</f>
        <v>46139</v>
      </c>
      <c r="N11649">
        <f>IF(M11649="","",'Master Barang'!A43)</f>
        <v>0</v>
      </c>
      <c r="O11649">
        <f>IF(N11649="","",'Master Barang'!B43)</f>
        <v>0</v>
      </c>
      <c r="P11649">
        <f>IF(OR(M11649="",N11649=""),"",SUMIFS('Barang Keluar'!$E:$E,'Barang Keluar'!$A:$A,M11649,'Barang Keluar'!$C:$C,N11649))</f>
        <v>0</v>
      </c>
    </row>
    <row r="11650" spans="13:16">
      <c r="M11650" s="49">
        <f>IF($A$4+116&gt;$B$4,"",$A$4+116)</f>
        <v>46139</v>
      </c>
      <c r="N11650">
        <f>IF(M11650="","",'Master Barang'!A44)</f>
        <v>0</v>
      </c>
      <c r="O11650">
        <f>IF(N11650="","",'Master Barang'!B44)</f>
        <v>0</v>
      </c>
      <c r="P11650">
        <f>IF(OR(M11650="",N11650=""),"",SUMIFS('Barang Keluar'!$E:$E,'Barang Keluar'!$A:$A,M11650,'Barang Keluar'!$C:$C,N11650))</f>
        <v>0</v>
      </c>
    </row>
    <row r="11651" spans="13:16">
      <c r="M11651" s="49">
        <f>IF($A$4+116&gt;$B$4,"",$A$4+116)</f>
        <v>46139</v>
      </c>
      <c r="N11651">
        <f>IF(M11651="","",'Master Barang'!A45)</f>
        <v>0</v>
      </c>
      <c r="O11651">
        <f>IF(N11651="","",'Master Barang'!B45)</f>
        <v>0</v>
      </c>
      <c r="P11651">
        <f>IF(OR(M11651="",N11651=""),"",SUMIFS('Barang Keluar'!$E:$E,'Barang Keluar'!$A:$A,M11651,'Barang Keluar'!$C:$C,N11651))</f>
        <v>0</v>
      </c>
    </row>
    <row r="11652" spans="13:16">
      <c r="M11652" s="49">
        <f>IF($A$4+116&gt;$B$4,"",$A$4+116)</f>
        <v>46139</v>
      </c>
      <c r="N11652">
        <f>IF(M11652="","",'Master Barang'!A46)</f>
        <v>0</v>
      </c>
      <c r="O11652">
        <f>IF(N11652="","",'Master Barang'!B46)</f>
        <v>0</v>
      </c>
      <c r="P11652">
        <f>IF(OR(M11652="",N11652=""),"",SUMIFS('Barang Keluar'!$E:$E,'Barang Keluar'!$A:$A,M11652,'Barang Keluar'!$C:$C,N11652))</f>
        <v>0</v>
      </c>
    </row>
    <row r="11653" spans="13:16">
      <c r="M11653" s="49">
        <f>IF($A$4+116&gt;$B$4,"",$A$4+116)</f>
        <v>46139</v>
      </c>
      <c r="N11653">
        <f>IF(M11653="","",'Master Barang'!A47)</f>
        <v>0</v>
      </c>
      <c r="O11653">
        <f>IF(N11653="","",'Master Barang'!B47)</f>
        <v>0</v>
      </c>
      <c r="P11653">
        <f>IF(OR(M11653="",N11653=""),"",SUMIFS('Barang Keluar'!$E:$E,'Barang Keluar'!$A:$A,M11653,'Barang Keluar'!$C:$C,N11653))</f>
        <v>0</v>
      </c>
    </row>
    <row r="11654" spans="13:16">
      <c r="M11654" s="49">
        <f>IF($A$4+116&gt;$B$4,"",$A$4+116)</f>
        <v>46139</v>
      </c>
      <c r="N11654">
        <f>IF(M11654="","",'Master Barang'!A48)</f>
        <v>0</v>
      </c>
      <c r="O11654">
        <f>IF(N11654="","",'Master Barang'!B48)</f>
        <v>0</v>
      </c>
      <c r="P11654">
        <f>IF(OR(M11654="",N11654=""),"",SUMIFS('Barang Keluar'!$E:$E,'Barang Keluar'!$A:$A,M11654,'Barang Keluar'!$C:$C,N11654))</f>
        <v>0</v>
      </c>
    </row>
    <row r="11655" spans="13:16">
      <c r="M11655" s="49">
        <f>IF($A$4+116&gt;$B$4,"",$A$4+116)</f>
        <v>46139</v>
      </c>
      <c r="N11655">
        <f>IF(M11655="","",'Master Barang'!A49)</f>
        <v>0</v>
      </c>
      <c r="O11655">
        <f>IF(N11655="","",'Master Barang'!B49)</f>
        <v>0</v>
      </c>
      <c r="P11655">
        <f>IF(OR(M11655="",N11655=""),"",SUMIFS('Barang Keluar'!$E:$E,'Barang Keluar'!$A:$A,M11655,'Barang Keluar'!$C:$C,N11655))</f>
        <v>0</v>
      </c>
    </row>
    <row r="11656" spans="13:16">
      <c r="M11656" s="49">
        <f>IF($A$4+116&gt;$B$4,"",$A$4+116)</f>
        <v>46139</v>
      </c>
      <c r="N11656">
        <f>IF(M11656="","",'Master Barang'!A50)</f>
        <v>0</v>
      </c>
      <c r="O11656">
        <f>IF(N11656="","",'Master Barang'!B50)</f>
        <v>0</v>
      </c>
      <c r="P11656">
        <f>IF(OR(M11656="",N11656=""),"",SUMIFS('Barang Keluar'!$E:$E,'Barang Keluar'!$A:$A,M11656,'Barang Keluar'!$C:$C,N11656))</f>
        <v>0</v>
      </c>
    </row>
    <row r="11657" spans="13:16">
      <c r="M11657" s="49">
        <f>IF($A$4+116&gt;$B$4,"",$A$4+116)</f>
        <v>46139</v>
      </c>
      <c r="N11657">
        <f>IF(M11657="","",'Master Barang'!A51)</f>
        <v>0</v>
      </c>
      <c r="O11657">
        <f>IF(N11657="","",'Master Barang'!B51)</f>
        <v>0</v>
      </c>
      <c r="P11657">
        <f>IF(OR(M11657="",N11657=""),"",SUMIFS('Barang Keluar'!$E:$E,'Barang Keluar'!$A:$A,M11657,'Barang Keluar'!$C:$C,N11657))</f>
        <v>0</v>
      </c>
    </row>
    <row r="11658" spans="13:16">
      <c r="M11658" s="49">
        <f>IF($A$4+116&gt;$B$4,"",$A$4+116)</f>
        <v>46139</v>
      </c>
      <c r="N11658">
        <f>IF(M11658="","",'Master Barang'!A52)</f>
        <v>0</v>
      </c>
      <c r="O11658">
        <f>IF(N11658="","",'Master Barang'!B52)</f>
        <v>0</v>
      </c>
      <c r="P11658">
        <f>IF(OR(M11658="",N11658=""),"",SUMIFS('Barang Keluar'!$E:$E,'Barang Keluar'!$A:$A,M11658,'Barang Keluar'!$C:$C,N11658))</f>
        <v>0</v>
      </c>
    </row>
    <row r="11659" spans="13:16">
      <c r="M11659" s="49">
        <f>IF($A$4+116&gt;$B$4,"",$A$4+116)</f>
        <v>46139</v>
      </c>
      <c r="N11659">
        <f>IF(M11659="","",'Master Barang'!A53)</f>
        <v>0</v>
      </c>
      <c r="O11659">
        <f>IF(N11659="","",'Master Barang'!B53)</f>
        <v>0</v>
      </c>
      <c r="P11659">
        <f>IF(OR(M11659="",N11659=""),"",SUMIFS('Barang Keluar'!$E:$E,'Barang Keluar'!$A:$A,M11659,'Barang Keluar'!$C:$C,N11659))</f>
        <v>0</v>
      </c>
    </row>
    <row r="11660" spans="13:16">
      <c r="M11660" s="49">
        <f>IF($A$4+116&gt;$B$4,"",$A$4+116)</f>
        <v>46139</v>
      </c>
      <c r="N11660">
        <f>IF(M11660="","",'Master Barang'!A54)</f>
        <v>0</v>
      </c>
      <c r="O11660">
        <f>IF(N11660="","",'Master Barang'!B54)</f>
        <v>0</v>
      </c>
      <c r="P11660">
        <f>IF(OR(M11660="",N11660=""),"",SUMIFS('Barang Keluar'!$E:$E,'Barang Keluar'!$A:$A,M11660,'Barang Keluar'!$C:$C,N11660))</f>
        <v>0</v>
      </c>
    </row>
    <row r="11661" spans="13:16">
      <c r="M11661" s="49">
        <f>IF($A$4+116&gt;$B$4,"",$A$4+116)</f>
        <v>46139</v>
      </c>
      <c r="N11661">
        <f>IF(M11661="","",'Master Barang'!A55)</f>
        <v>0</v>
      </c>
      <c r="O11661">
        <f>IF(N11661="","",'Master Barang'!B55)</f>
        <v>0</v>
      </c>
      <c r="P11661">
        <f>IF(OR(M11661="",N11661=""),"",SUMIFS('Barang Keluar'!$E:$E,'Barang Keluar'!$A:$A,M11661,'Barang Keluar'!$C:$C,N11661))</f>
        <v>0</v>
      </c>
    </row>
    <row r="11662" spans="13:16">
      <c r="M11662" s="49">
        <f>IF($A$4+116&gt;$B$4,"",$A$4+116)</f>
        <v>46139</v>
      </c>
      <c r="N11662">
        <f>IF(M11662="","",'Master Barang'!A56)</f>
        <v>0</v>
      </c>
      <c r="O11662">
        <f>IF(N11662="","",'Master Barang'!B56)</f>
        <v>0</v>
      </c>
      <c r="P11662">
        <f>IF(OR(M11662="",N11662=""),"",SUMIFS('Barang Keluar'!$E:$E,'Barang Keluar'!$A:$A,M11662,'Barang Keluar'!$C:$C,N11662))</f>
        <v>0</v>
      </c>
    </row>
    <row r="11663" spans="13:16">
      <c r="M11663" s="49">
        <f>IF($A$4+116&gt;$B$4,"",$A$4+116)</f>
        <v>46139</v>
      </c>
      <c r="N11663">
        <f>IF(M11663="","",'Master Barang'!A57)</f>
        <v>0</v>
      </c>
      <c r="O11663">
        <f>IF(N11663="","",'Master Barang'!B57)</f>
        <v>0</v>
      </c>
      <c r="P11663">
        <f>IF(OR(M11663="",N11663=""),"",SUMIFS('Barang Keluar'!$E:$E,'Barang Keluar'!$A:$A,M11663,'Barang Keluar'!$C:$C,N11663))</f>
        <v>0</v>
      </c>
    </row>
    <row r="11664" spans="13:16">
      <c r="M11664" s="49">
        <f>IF($A$4+116&gt;$B$4,"",$A$4+116)</f>
        <v>46139</v>
      </c>
      <c r="N11664">
        <f>IF(M11664="","",'Master Barang'!A58)</f>
        <v>0</v>
      </c>
      <c r="O11664">
        <f>IF(N11664="","",'Master Barang'!B58)</f>
        <v>0</v>
      </c>
      <c r="P11664">
        <f>IF(OR(M11664="",N11664=""),"",SUMIFS('Barang Keluar'!$E:$E,'Barang Keluar'!$A:$A,M11664,'Barang Keluar'!$C:$C,N11664))</f>
        <v>0</v>
      </c>
    </row>
    <row r="11665" spans="13:16">
      <c r="M11665" s="49">
        <f>IF($A$4+116&gt;$B$4,"",$A$4+116)</f>
        <v>46139</v>
      </c>
      <c r="N11665">
        <f>IF(M11665="","",'Master Barang'!A59)</f>
        <v>0</v>
      </c>
      <c r="O11665">
        <f>IF(N11665="","",'Master Barang'!B59)</f>
        <v>0</v>
      </c>
      <c r="P11665">
        <f>IF(OR(M11665="",N11665=""),"",SUMIFS('Barang Keluar'!$E:$E,'Barang Keluar'!$A:$A,M11665,'Barang Keluar'!$C:$C,N11665))</f>
        <v>0</v>
      </c>
    </row>
    <row r="11666" spans="13:16">
      <c r="M11666" s="49">
        <f>IF($A$4+116&gt;$B$4,"",$A$4+116)</f>
        <v>46139</v>
      </c>
      <c r="N11666">
        <f>IF(M11666="","",'Master Barang'!A60)</f>
        <v>0</v>
      </c>
      <c r="O11666">
        <f>IF(N11666="","",'Master Barang'!B60)</f>
        <v>0</v>
      </c>
      <c r="P11666">
        <f>IF(OR(M11666="",N11666=""),"",SUMIFS('Barang Keluar'!$E:$E,'Barang Keluar'!$A:$A,M11666,'Barang Keluar'!$C:$C,N11666))</f>
        <v>0</v>
      </c>
    </row>
    <row r="11667" spans="13:16">
      <c r="M11667" s="49">
        <f>IF($A$4+116&gt;$B$4,"",$A$4+116)</f>
        <v>46139</v>
      </c>
      <c r="N11667">
        <f>IF(M11667="","",'Master Barang'!A61)</f>
        <v>0</v>
      </c>
      <c r="O11667">
        <f>IF(N11667="","",'Master Barang'!B61)</f>
        <v>0</v>
      </c>
      <c r="P11667">
        <f>IF(OR(M11667="",N11667=""),"",SUMIFS('Barang Keluar'!$E:$E,'Barang Keluar'!$A:$A,M11667,'Barang Keluar'!$C:$C,N11667))</f>
        <v>0</v>
      </c>
    </row>
    <row r="11668" spans="13:16">
      <c r="M11668" s="49">
        <f>IF($A$4+116&gt;$B$4,"",$A$4+116)</f>
        <v>46139</v>
      </c>
      <c r="N11668">
        <f>IF(M11668="","",'Master Barang'!A62)</f>
        <v>0</v>
      </c>
      <c r="O11668">
        <f>IF(N11668="","",'Master Barang'!B62)</f>
        <v>0</v>
      </c>
      <c r="P11668">
        <f>IF(OR(M11668="",N11668=""),"",SUMIFS('Barang Keluar'!$E:$E,'Barang Keluar'!$A:$A,M11668,'Barang Keluar'!$C:$C,N11668))</f>
        <v>0</v>
      </c>
    </row>
    <row r="11669" spans="13:16">
      <c r="M11669" s="49">
        <f>IF($A$4+116&gt;$B$4,"",$A$4+116)</f>
        <v>46139</v>
      </c>
      <c r="N11669">
        <f>IF(M11669="","",'Master Barang'!A63)</f>
        <v>0</v>
      </c>
      <c r="O11669">
        <f>IF(N11669="","",'Master Barang'!B63)</f>
        <v>0</v>
      </c>
      <c r="P11669">
        <f>IF(OR(M11669="",N11669=""),"",SUMIFS('Barang Keluar'!$E:$E,'Barang Keluar'!$A:$A,M11669,'Barang Keluar'!$C:$C,N11669))</f>
        <v>0</v>
      </c>
    </row>
    <row r="11670" spans="13:16">
      <c r="M11670" s="49">
        <f>IF($A$4+116&gt;$B$4,"",$A$4+116)</f>
        <v>46139</v>
      </c>
      <c r="N11670">
        <f>IF(M11670="","",'Master Barang'!A64)</f>
        <v>0</v>
      </c>
      <c r="O11670">
        <f>IF(N11670="","",'Master Barang'!B64)</f>
        <v>0</v>
      </c>
      <c r="P11670">
        <f>IF(OR(M11670="",N11670=""),"",SUMIFS('Barang Keluar'!$E:$E,'Barang Keluar'!$A:$A,M11670,'Barang Keluar'!$C:$C,N11670))</f>
        <v>0</v>
      </c>
    </row>
    <row r="11671" spans="13:16">
      <c r="M11671" s="49">
        <f>IF($A$4+116&gt;$B$4,"",$A$4+116)</f>
        <v>46139</v>
      </c>
      <c r="N11671">
        <f>IF(M11671="","",'Master Barang'!A65)</f>
        <v>0</v>
      </c>
      <c r="O11671">
        <f>IF(N11671="","",'Master Barang'!B65)</f>
        <v>0</v>
      </c>
      <c r="P11671">
        <f>IF(OR(M11671="",N11671=""),"",SUMIFS('Barang Keluar'!$E:$E,'Barang Keluar'!$A:$A,M11671,'Barang Keluar'!$C:$C,N11671))</f>
        <v>0</v>
      </c>
    </row>
    <row r="11672" spans="13:16">
      <c r="M11672" s="49">
        <f>IF($A$4+116&gt;$B$4,"",$A$4+116)</f>
        <v>46139</v>
      </c>
      <c r="N11672">
        <f>IF(M11672="","",'Master Barang'!A66)</f>
        <v>0</v>
      </c>
      <c r="O11672">
        <f>IF(N11672="","",'Master Barang'!B66)</f>
        <v>0</v>
      </c>
      <c r="P11672">
        <f>IF(OR(M11672="",N11672=""),"",SUMIFS('Barang Keluar'!$E:$E,'Barang Keluar'!$A:$A,M11672,'Barang Keluar'!$C:$C,N11672))</f>
        <v>0</v>
      </c>
    </row>
    <row r="11673" spans="13:16">
      <c r="M11673" s="49">
        <f>IF($A$4+116&gt;$B$4,"",$A$4+116)</f>
        <v>46139</v>
      </c>
      <c r="N11673">
        <f>IF(M11673="","",'Master Barang'!A67)</f>
        <v>0</v>
      </c>
      <c r="O11673">
        <f>IF(N11673="","",'Master Barang'!B67)</f>
        <v>0</v>
      </c>
      <c r="P11673">
        <f>IF(OR(M11673="",N11673=""),"",SUMIFS('Barang Keluar'!$E:$E,'Barang Keluar'!$A:$A,M11673,'Barang Keluar'!$C:$C,N11673))</f>
        <v>0</v>
      </c>
    </row>
    <row r="11674" spans="13:16">
      <c r="M11674" s="49">
        <f>IF($A$4+116&gt;$B$4,"",$A$4+116)</f>
        <v>46139</v>
      </c>
      <c r="N11674">
        <f>IF(M11674="","",'Master Barang'!A68)</f>
        <v>0</v>
      </c>
      <c r="O11674">
        <f>IF(N11674="","",'Master Barang'!B68)</f>
        <v>0</v>
      </c>
      <c r="P11674">
        <f>IF(OR(M11674="",N11674=""),"",SUMIFS('Barang Keluar'!$E:$E,'Barang Keluar'!$A:$A,M11674,'Barang Keluar'!$C:$C,N11674))</f>
        <v>0</v>
      </c>
    </row>
    <row r="11675" spans="13:16">
      <c r="M11675" s="49">
        <f>IF($A$4+116&gt;$B$4,"",$A$4+116)</f>
        <v>46139</v>
      </c>
      <c r="N11675">
        <f>IF(M11675="","",'Master Barang'!A69)</f>
        <v>0</v>
      </c>
      <c r="O11675">
        <f>IF(N11675="","",'Master Barang'!B69)</f>
        <v>0</v>
      </c>
      <c r="P11675">
        <f>IF(OR(M11675="",N11675=""),"",SUMIFS('Barang Keluar'!$E:$E,'Barang Keluar'!$A:$A,M11675,'Barang Keluar'!$C:$C,N11675))</f>
        <v>0</v>
      </c>
    </row>
    <row r="11676" spans="13:16">
      <c r="M11676" s="49">
        <f>IF($A$4+116&gt;$B$4,"",$A$4+116)</f>
        <v>46139</v>
      </c>
      <c r="N11676">
        <f>IF(M11676="","",'Master Barang'!A70)</f>
        <v>0</v>
      </c>
      <c r="O11676">
        <f>IF(N11676="","",'Master Barang'!B70)</f>
        <v>0</v>
      </c>
      <c r="P11676">
        <f>IF(OR(M11676="",N11676=""),"",SUMIFS('Barang Keluar'!$E:$E,'Barang Keluar'!$A:$A,M11676,'Barang Keluar'!$C:$C,N11676))</f>
        <v>0</v>
      </c>
    </row>
    <row r="11677" spans="13:16">
      <c r="M11677" s="49">
        <f>IF($A$4+116&gt;$B$4,"",$A$4+116)</f>
        <v>46139</v>
      </c>
      <c r="N11677">
        <f>IF(M11677="","",'Master Barang'!A71)</f>
        <v>0</v>
      </c>
      <c r="O11677">
        <f>IF(N11677="","",'Master Barang'!B71)</f>
        <v>0</v>
      </c>
      <c r="P11677">
        <f>IF(OR(M11677="",N11677=""),"",SUMIFS('Barang Keluar'!$E:$E,'Barang Keluar'!$A:$A,M11677,'Barang Keluar'!$C:$C,N11677))</f>
        <v>0</v>
      </c>
    </row>
    <row r="11678" spans="13:16">
      <c r="M11678" s="49">
        <f>IF($A$4+116&gt;$B$4,"",$A$4+116)</f>
        <v>46139</v>
      </c>
      <c r="N11678">
        <f>IF(M11678="","",'Master Barang'!A72)</f>
        <v>0</v>
      </c>
      <c r="O11678">
        <f>IF(N11678="","",'Master Barang'!B72)</f>
        <v>0</v>
      </c>
      <c r="P11678">
        <f>IF(OR(M11678="",N11678=""),"",SUMIFS('Barang Keluar'!$E:$E,'Barang Keluar'!$A:$A,M11678,'Barang Keluar'!$C:$C,N11678))</f>
        <v>0</v>
      </c>
    </row>
    <row r="11679" spans="13:16">
      <c r="M11679" s="49">
        <f>IF($A$4+116&gt;$B$4,"",$A$4+116)</f>
        <v>46139</v>
      </c>
      <c r="N11679">
        <f>IF(M11679="","",'Master Barang'!A73)</f>
        <v>0</v>
      </c>
      <c r="O11679">
        <f>IF(N11679="","",'Master Barang'!B73)</f>
        <v>0</v>
      </c>
      <c r="P11679">
        <f>IF(OR(M11679="",N11679=""),"",SUMIFS('Barang Keluar'!$E:$E,'Barang Keluar'!$A:$A,M11679,'Barang Keluar'!$C:$C,N11679))</f>
        <v>0</v>
      </c>
    </row>
    <row r="11680" spans="13:16">
      <c r="M11680" s="49">
        <f>IF($A$4+116&gt;$B$4,"",$A$4+116)</f>
        <v>46139</v>
      </c>
      <c r="N11680">
        <f>IF(M11680="","",'Master Barang'!A74)</f>
        <v>0</v>
      </c>
      <c r="O11680">
        <f>IF(N11680="","",'Master Barang'!B74)</f>
        <v>0</v>
      </c>
      <c r="P11680">
        <f>IF(OR(M11680="",N11680=""),"",SUMIFS('Barang Keluar'!$E:$E,'Barang Keluar'!$A:$A,M11680,'Barang Keluar'!$C:$C,N11680))</f>
        <v>0</v>
      </c>
    </row>
    <row r="11681" spans="13:16">
      <c r="M11681" s="49">
        <f>IF($A$4+116&gt;$B$4,"",$A$4+116)</f>
        <v>46139</v>
      </c>
      <c r="N11681">
        <f>IF(M11681="","",'Master Barang'!A75)</f>
        <v>0</v>
      </c>
      <c r="O11681">
        <f>IF(N11681="","",'Master Barang'!B75)</f>
        <v>0</v>
      </c>
      <c r="P11681">
        <f>IF(OR(M11681="",N11681=""),"",SUMIFS('Barang Keluar'!$E:$E,'Barang Keluar'!$A:$A,M11681,'Barang Keluar'!$C:$C,N11681))</f>
        <v>0</v>
      </c>
    </row>
    <row r="11682" spans="13:16">
      <c r="M11682" s="49">
        <f>IF($A$4+116&gt;$B$4,"",$A$4+116)</f>
        <v>46139</v>
      </c>
      <c r="N11682">
        <f>IF(M11682="","",'Master Barang'!A76)</f>
        <v>0</v>
      </c>
      <c r="O11682">
        <f>IF(N11682="","",'Master Barang'!B76)</f>
        <v>0</v>
      </c>
      <c r="P11682">
        <f>IF(OR(M11682="",N11682=""),"",SUMIFS('Barang Keluar'!$E:$E,'Barang Keluar'!$A:$A,M11682,'Barang Keluar'!$C:$C,N11682))</f>
        <v>0</v>
      </c>
    </row>
    <row r="11683" spans="13:16">
      <c r="M11683" s="49">
        <f>IF($A$4+116&gt;$B$4,"",$A$4+116)</f>
        <v>46139</v>
      </c>
      <c r="N11683">
        <f>IF(M11683="","",'Master Barang'!A77)</f>
        <v>0</v>
      </c>
      <c r="O11683">
        <f>IF(N11683="","",'Master Barang'!B77)</f>
        <v>0</v>
      </c>
      <c r="P11683">
        <f>IF(OR(M11683="",N11683=""),"",SUMIFS('Barang Keluar'!$E:$E,'Barang Keluar'!$A:$A,M11683,'Barang Keluar'!$C:$C,N11683))</f>
        <v>0</v>
      </c>
    </row>
    <row r="11684" spans="13:16">
      <c r="M11684" s="49">
        <f>IF($A$4+116&gt;$B$4,"",$A$4+116)</f>
        <v>46139</v>
      </c>
      <c r="N11684">
        <f>IF(M11684="","",'Master Barang'!A78)</f>
        <v>0</v>
      </c>
      <c r="O11684">
        <f>IF(N11684="","",'Master Barang'!B78)</f>
        <v>0</v>
      </c>
      <c r="P11684">
        <f>IF(OR(M11684="",N11684=""),"",SUMIFS('Barang Keluar'!$E:$E,'Barang Keluar'!$A:$A,M11684,'Barang Keluar'!$C:$C,N11684))</f>
        <v>0</v>
      </c>
    </row>
    <row r="11685" spans="13:16">
      <c r="M11685" s="49">
        <f>IF($A$4+116&gt;$B$4,"",$A$4+116)</f>
        <v>46139</v>
      </c>
      <c r="N11685">
        <f>IF(M11685="","",'Master Barang'!A79)</f>
        <v>0</v>
      </c>
      <c r="O11685">
        <f>IF(N11685="","",'Master Barang'!B79)</f>
        <v>0</v>
      </c>
      <c r="P11685">
        <f>IF(OR(M11685="",N11685=""),"",SUMIFS('Barang Keluar'!$E:$E,'Barang Keluar'!$A:$A,M11685,'Barang Keluar'!$C:$C,N11685))</f>
        <v>0</v>
      </c>
    </row>
    <row r="11686" spans="13:16">
      <c r="M11686" s="49">
        <f>IF($A$4+116&gt;$B$4,"",$A$4+116)</f>
        <v>46139</v>
      </c>
      <c r="N11686">
        <f>IF(M11686="","",'Master Barang'!A80)</f>
        <v>0</v>
      </c>
      <c r="O11686">
        <f>IF(N11686="","",'Master Barang'!B80)</f>
        <v>0</v>
      </c>
      <c r="P11686">
        <f>IF(OR(M11686="",N11686=""),"",SUMIFS('Barang Keluar'!$E:$E,'Barang Keluar'!$A:$A,M11686,'Barang Keluar'!$C:$C,N11686))</f>
        <v>0</v>
      </c>
    </row>
    <row r="11687" spans="13:16">
      <c r="M11687" s="49">
        <f>IF($A$4+116&gt;$B$4,"",$A$4+116)</f>
        <v>46139</v>
      </c>
      <c r="N11687">
        <f>IF(M11687="","",'Master Barang'!A81)</f>
        <v>0</v>
      </c>
      <c r="O11687">
        <f>IF(N11687="","",'Master Barang'!B81)</f>
        <v>0</v>
      </c>
      <c r="P11687">
        <f>IF(OR(M11687="",N11687=""),"",SUMIFS('Barang Keluar'!$E:$E,'Barang Keluar'!$A:$A,M11687,'Barang Keluar'!$C:$C,N11687))</f>
        <v>0</v>
      </c>
    </row>
    <row r="11688" spans="13:16">
      <c r="M11688" s="49">
        <f>IF($A$4+116&gt;$B$4,"",$A$4+116)</f>
        <v>46139</v>
      </c>
      <c r="N11688">
        <f>IF(M11688="","",'Master Barang'!A82)</f>
        <v>0</v>
      </c>
      <c r="O11688">
        <f>IF(N11688="","",'Master Barang'!B82)</f>
        <v>0</v>
      </c>
      <c r="P11688">
        <f>IF(OR(M11688="",N11688=""),"",SUMIFS('Barang Keluar'!$E:$E,'Barang Keluar'!$A:$A,M11688,'Barang Keluar'!$C:$C,N11688))</f>
        <v>0</v>
      </c>
    </row>
    <row r="11689" spans="13:16">
      <c r="M11689" s="49">
        <f>IF($A$4+116&gt;$B$4,"",$A$4+116)</f>
        <v>46139</v>
      </c>
      <c r="N11689">
        <f>IF(M11689="","",'Master Barang'!A83)</f>
        <v>0</v>
      </c>
      <c r="O11689">
        <f>IF(N11689="","",'Master Barang'!B83)</f>
        <v>0</v>
      </c>
      <c r="P11689">
        <f>IF(OR(M11689="",N11689=""),"",SUMIFS('Barang Keluar'!$E:$E,'Barang Keluar'!$A:$A,M11689,'Barang Keluar'!$C:$C,N11689))</f>
        <v>0</v>
      </c>
    </row>
    <row r="11690" spans="13:16">
      <c r="M11690" s="49">
        <f>IF($A$4+116&gt;$B$4,"",$A$4+116)</f>
        <v>46139</v>
      </c>
      <c r="N11690">
        <f>IF(M11690="","",'Master Barang'!A84)</f>
        <v>0</v>
      </c>
      <c r="O11690">
        <f>IF(N11690="","",'Master Barang'!B84)</f>
        <v>0</v>
      </c>
      <c r="P11690">
        <f>IF(OR(M11690="",N11690=""),"",SUMIFS('Barang Keluar'!$E:$E,'Barang Keluar'!$A:$A,M11690,'Barang Keluar'!$C:$C,N11690))</f>
        <v>0</v>
      </c>
    </row>
    <row r="11691" spans="13:16">
      <c r="M11691" s="49">
        <f>IF($A$4+116&gt;$B$4,"",$A$4+116)</f>
        <v>46139</v>
      </c>
      <c r="N11691">
        <f>IF(M11691="","",'Master Barang'!A85)</f>
        <v>0</v>
      </c>
      <c r="O11691">
        <f>IF(N11691="","",'Master Barang'!B85)</f>
        <v>0</v>
      </c>
      <c r="P11691">
        <f>IF(OR(M11691="",N11691=""),"",SUMIFS('Barang Keluar'!$E:$E,'Barang Keluar'!$A:$A,M11691,'Barang Keluar'!$C:$C,N11691))</f>
        <v>0</v>
      </c>
    </row>
    <row r="11692" spans="13:16">
      <c r="M11692" s="49">
        <f>IF($A$4+116&gt;$B$4,"",$A$4+116)</f>
        <v>46139</v>
      </c>
      <c r="N11692">
        <f>IF(M11692="","",'Master Barang'!A86)</f>
        <v>0</v>
      </c>
      <c r="O11692">
        <f>IF(N11692="","",'Master Barang'!B86)</f>
        <v>0</v>
      </c>
      <c r="P11692">
        <f>IF(OR(M11692="",N11692=""),"",SUMIFS('Barang Keluar'!$E:$E,'Barang Keluar'!$A:$A,M11692,'Barang Keluar'!$C:$C,N11692))</f>
        <v>0</v>
      </c>
    </row>
    <row r="11693" spans="13:16">
      <c r="M11693" s="49">
        <f>IF($A$4+116&gt;$B$4,"",$A$4+116)</f>
        <v>46139</v>
      </c>
      <c r="N11693">
        <f>IF(M11693="","",'Master Barang'!A87)</f>
        <v>0</v>
      </c>
      <c r="O11693">
        <f>IF(N11693="","",'Master Barang'!B87)</f>
        <v>0</v>
      </c>
      <c r="P11693">
        <f>IF(OR(M11693="",N11693=""),"",SUMIFS('Barang Keluar'!$E:$E,'Barang Keluar'!$A:$A,M11693,'Barang Keluar'!$C:$C,N11693))</f>
        <v>0</v>
      </c>
    </row>
    <row r="11694" spans="13:16">
      <c r="M11694" s="49">
        <f>IF($A$4+116&gt;$B$4,"",$A$4+116)</f>
        <v>46139</v>
      </c>
      <c r="N11694">
        <f>IF(M11694="","",'Master Barang'!A88)</f>
        <v>0</v>
      </c>
      <c r="O11694">
        <f>IF(N11694="","",'Master Barang'!B88)</f>
        <v>0</v>
      </c>
      <c r="P11694">
        <f>IF(OR(M11694="",N11694=""),"",SUMIFS('Barang Keluar'!$E:$E,'Barang Keluar'!$A:$A,M11694,'Barang Keluar'!$C:$C,N11694))</f>
        <v>0</v>
      </c>
    </row>
    <row r="11695" spans="13:16">
      <c r="M11695" s="49">
        <f>IF($A$4+116&gt;$B$4,"",$A$4+116)</f>
        <v>46139</v>
      </c>
      <c r="N11695">
        <f>IF(M11695="","",'Master Barang'!A89)</f>
        <v>0</v>
      </c>
      <c r="O11695">
        <f>IF(N11695="","",'Master Barang'!B89)</f>
        <v>0</v>
      </c>
      <c r="P11695">
        <f>IF(OR(M11695="",N11695=""),"",SUMIFS('Barang Keluar'!$E:$E,'Barang Keluar'!$A:$A,M11695,'Barang Keluar'!$C:$C,N11695))</f>
        <v>0</v>
      </c>
    </row>
    <row r="11696" spans="13:16">
      <c r="M11696" s="49">
        <f>IF($A$4+116&gt;$B$4,"",$A$4+116)</f>
        <v>46139</v>
      </c>
      <c r="N11696">
        <f>IF(M11696="","",'Master Barang'!A90)</f>
        <v>0</v>
      </c>
      <c r="O11696">
        <f>IF(N11696="","",'Master Barang'!B90)</f>
        <v>0</v>
      </c>
      <c r="P11696">
        <f>IF(OR(M11696="",N11696=""),"",SUMIFS('Barang Keluar'!$E:$E,'Barang Keluar'!$A:$A,M11696,'Barang Keluar'!$C:$C,N11696))</f>
        <v>0</v>
      </c>
    </row>
    <row r="11697" spans="13:16">
      <c r="M11697" s="49">
        <f>IF($A$4+116&gt;$B$4,"",$A$4+116)</f>
        <v>46139</v>
      </c>
      <c r="N11697">
        <f>IF(M11697="","",'Master Barang'!A91)</f>
        <v>0</v>
      </c>
      <c r="O11697">
        <f>IF(N11697="","",'Master Barang'!B91)</f>
        <v>0</v>
      </c>
      <c r="P11697">
        <f>IF(OR(M11697="",N11697=""),"",SUMIFS('Barang Keluar'!$E:$E,'Barang Keluar'!$A:$A,M11697,'Barang Keluar'!$C:$C,N11697))</f>
        <v>0</v>
      </c>
    </row>
    <row r="11698" spans="13:16">
      <c r="M11698" s="49">
        <f>IF($A$4+116&gt;$B$4,"",$A$4+116)</f>
        <v>46139</v>
      </c>
      <c r="N11698">
        <f>IF(M11698="","",'Master Barang'!A92)</f>
        <v>0</v>
      </c>
      <c r="O11698">
        <f>IF(N11698="","",'Master Barang'!B92)</f>
        <v>0</v>
      </c>
      <c r="P11698">
        <f>IF(OR(M11698="",N11698=""),"",SUMIFS('Barang Keluar'!$E:$E,'Barang Keluar'!$A:$A,M11698,'Barang Keluar'!$C:$C,N11698))</f>
        <v>0</v>
      </c>
    </row>
    <row r="11699" spans="13:16">
      <c r="M11699" s="49">
        <f>IF($A$4+116&gt;$B$4,"",$A$4+116)</f>
        <v>46139</v>
      </c>
      <c r="N11699">
        <f>IF(M11699="","",'Master Barang'!A93)</f>
        <v>0</v>
      </c>
      <c r="O11699">
        <f>IF(N11699="","",'Master Barang'!B93)</f>
        <v>0</v>
      </c>
      <c r="P11699">
        <f>IF(OR(M11699="",N11699=""),"",SUMIFS('Barang Keluar'!$E:$E,'Barang Keluar'!$A:$A,M11699,'Barang Keluar'!$C:$C,N11699))</f>
        <v>0</v>
      </c>
    </row>
    <row r="11700" spans="13:16">
      <c r="M11700" s="49">
        <f>IF($A$4+116&gt;$B$4,"",$A$4+116)</f>
        <v>46139</v>
      </c>
      <c r="N11700">
        <f>IF(M11700="","",'Master Barang'!A94)</f>
        <v>0</v>
      </c>
      <c r="O11700">
        <f>IF(N11700="","",'Master Barang'!B94)</f>
        <v>0</v>
      </c>
      <c r="P11700">
        <f>IF(OR(M11700="",N11700=""),"",SUMIFS('Barang Keluar'!$E:$E,'Barang Keluar'!$A:$A,M11700,'Barang Keluar'!$C:$C,N11700))</f>
        <v>0</v>
      </c>
    </row>
    <row r="11701" spans="13:16">
      <c r="M11701" s="49">
        <f>IF($A$4+116&gt;$B$4,"",$A$4+116)</f>
        <v>46139</v>
      </c>
      <c r="N11701">
        <f>IF(M11701="","",'Master Barang'!A95)</f>
        <v>0</v>
      </c>
      <c r="O11701">
        <f>IF(N11701="","",'Master Barang'!B95)</f>
        <v>0</v>
      </c>
      <c r="P11701">
        <f>IF(OR(M11701="",N11701=""),"",SUMIFS('Barang Keluar'!$E:$E,'Barang Keluar'!$A:$A,M11701,'Barang Keluar'!$C:$C,N11701))</f>
        <v>0</v>
      </c>
    </row>
    <row r="11702" spans="13:16">
      <c r="M11702" s="49">
        <f>IF($A$4+116&gt;$B$4,"",$A$4+116)</f>
        <v>46139</v>
      </c>
      <c r="N11702">
        <f>IF(M11702="","",'Master Barang'!A96)</f>
        <v>0</v>
      </c>
      <c r="O11702">
        <f>IF(N11702="","",'Master Barang'!B96)</f>
        <v>0</v>
      </c>
      <c r="P11702">
        <f>IF(OR(M11702="",N11702=""),"",SUMIFS('Barang Keluar'!$E:$E,'Barang Keluar'!$A:$A,M11702,'Barang Keluar'!$C:$C,N11702))</f>
        <v>0</v>
      </c>
    </row>
    <row r="11703" spans="13:16">
      <c r="M11703" s="49">
        <f>IF($A$4+116&gt;$B$4,"",$A$4+116)</f>
        <v>46139</v>
      </c>
      <c r="N11703">
        <f>IF(M11703="","",'Master Barang'!A97)</f>
        <v>0</v>
      </c>
      <c r="O11703">
        <f>IF(N11703="","",'Master Barang'!B97)</f>
        <v>0</v>
      </c>
      <c r="P11703">
        <f>IF(OR(M11703="",N11703=""),"",SUMIFS('Barang Keluar'!$E:$E,'Barang Keluar'!$A:$A,M11703,'Barang Keluar'!$C:$C,N11703))</f>
        <v>0</v>
      </c>
    </row>
    <row r="11704" spans="13:16">
      <c r="M11704" s="49">
        <f>IF($A$4+116&gt;$B$4,"",$A$4+116)</f>
        <v>46139</v>
      </c>
      <c r="N11704">
        <f>IF(M11704="","",'Master Barang'!A98)</f>
        <v>0</v>
      </c>
      <c r="O11704">
        <f>IF(N11704="","",'Master Barang'!B98)</f>
        <v>0</v>
      </c>
      <c r="P11704">
        <f>IF(OR(M11704="",N11704=""),"",SUMIFS('Barang Keluar'!$E:$E,'Barang Keluar'!$A:$A,M11704,'Barang Keluar'!$C:$C,N11704))</f>
        <v>0</v>
      </c>
    </row>
    <row r="11705" spans="13:16">
      <c r="M11705" s="49">
        <f>IF($A$4+116&gt;$B$4,"",$A$4+116)</f>
        <v>46139</v>
      </c>
      <c r="N11705">
        <f>IF(M11705="","",'Master Barang'!A99)</f>
        <v>0</v>
      </c>
      <c r="O11705">
        <f>IF(N11705="","",'Master Barang'!B99)</f>
        <v>0</v>
      </c>
      <c r="P11705">
        <f>IF(OR(M11705="",N11705=""),"",SUMIFS('Barang Keluar'!$E:$E,'Barang Keluar'!$A:$A,M11705,'Barang Keluar'!$C:$C,N11705))</f>
        <v>0</v>
      </c>
    </row>
    <row r="11706" spans="13:16">
      <c r="M11706" s="49">
        <f>IF($A$4+116&gt;$B$4,"",$A$4+116)</f>
        <v>46139</v>
      </c>
      <c r="N11706">
        <f>IF(M11706="","",'Master Barang'!A100)</f>
        <v>0</v>
      </c>
      <c r="O11706">
        <f>IF(N11706="","",'Master Barang'!B100)</f>
        <v>0</v>
      </c>
      <c r="P11706">
        <f>IF(OR(M11706="",N11706=""),"",SUMIFS('Barang Keluar'!$E:$E,'Barang Keluar'!$A:$A,M11706,'Barang Keluar'!$C:$C,N11706))</f>
        <v>0</v>
      </c>
    </row>
    <row r="11707" spans="13:16">
      <c r="M11707" s="49">
        <f>IF($A$4+116&gt;$B$4,"",$A$4+116)</f>
        <v>46139</v>
      </c>
      <c r="N11707">
        <f>IF(M11707="","",'Master Barang'!A101)</f>
        <v>0</v>
      </c>
      <c r="O11707">
        <f>IF(N11707="","",'Master Barang'!B101)</f>
        <v>0</v>
      </c>
      <c r="P11707">
        <f>IF(OR(M11707="",N11707=""),"",SUMIFS('Barang Keluar'!$E:$E,'Barang Keluar'!$A:$A,M11707,'Barang Keluar'!$C:$C,N11707))</f>
        <v>0</v>
      </c>
    </row>
    <row r="11708" spans="13:16">
      <c r="M11708" s="49">
        <f>IF($A$4+117&gt;$B$4,"",$A$4+117)</f>
        <v>46140</v>
      </c>
      <c r="N11708" t="str">
        <f>IF(M11708="","",'Master Barang'!A2)</f>
        <v>PRL-001</v>
      </c>
      <c r="O11708" t="str">
        <f>IF(N11708="","",'Master Barang'!B2)</f>
        <v>natura desinfectant food grade 5l</v>
      </c>
      <c r="P11708">
        <f>IF(OR(M11708="",N11708=""),"",SUMIFS('Barang Keluar'!$E:$E,'Barang Keluar'!$A:$A,M11708,'Barang Keluar'!$C:$C,N11708))</f>
        <v>0</v>
      </c>
    </row>
    <row r="11709" spans="13:16">
      <c r="M11709" s="49">
        <f>IF($A$4+117&gt;$B$4,"",$A$4+117)</f>
        <v>46140</v>
      </c>
      <c r="N11709" t="str">
        <f>IF(M11709="","",'Master Barang'!A3)</f>
        <v>PRL-002</v>
      </c>
      <c r="O11709" t="str">
        <f>IF(N11709="","",'Master Barang'!B3)</f>
        <v>sunlight cairan pencuci piring 5l</v>
      </c>
      <c r="P11709">
        <f>IF(OR(M11709="",N11709=""),"",SUMIFS('Barang Keluar'!$E:$E,'Barang Keluar'!$A:$A,M11709,'Barang Keluar'!$C:$C,N11709))</f>
        <v>0</v>
      </c>
    </row>
    <row r="11710" spans="13:16">
      <c r="M11710" s="49">
        <f>IF($A$4+117&gt;$B$4,"",$A$4+117)</f>
        <v>46140</v>
      </c>
      <c r="N11710" t="str">
        <f>IF(M11710="","",'Master Barang'!A4)</f>
        <v>PRL-003</v>
      </c>
      <c r="O11710" t="str">
        <f>IF(N11710="","",'Master Barang'!B4)</f>
        <v>oixs cleaner 1l</v>
      </c>
      <c r="P11710">
        <f>IF(OR(M11710="",N11710=""),"",SUMIFS('Barang Keluar'!$E:$E,'Barang Keluar'!$A:$A,M11710,'Barang Keluar'!$C:$C,N11710))</f>
        <v>0</v>
      </c>
    </row>
    <row r="11711" spans="13:16">
      <c r="M11711" s="49">
        <f>IF($A$4+117&gt;$B$4,"",$A$4+117)</f>
        <v>46140</v>
      </c>
      <c r="N11711" t="str">
        <f>IF(M11711="","",'Master Barang'!A5)</f>
        <v>PRL-004</v>
      </c>
      <c r="O11711" t="str">
        <f>IF(N11711="","",'Master Barang'!B5)</f>
        <v>be clean tissue serbaguna</v>
      </c>
      <c r="P11711">
        <f>IF(OR(M11711="",N11711=""),"",SUMIFS('Barang Keluar'!$E:$E,'Barang Keluar'!$A:$A,M11711,'Barang Keluar'!$C:$C,N11711))</f>
        <v>0</v>
      </c>
    </row>
    <row r="11712" spans="13:16">
      <c r="M11712" s="49">
        <f>IF($A$4+117&gt;$B$4,"",$A$4+117)</f>
        <v>46140</v>
      </c>
      <c r="N11712" t="str">
        <f>IF(M11712="","",'Master Barang'!A6)</f>
        <v>PRL-005</v>
      </c>
      <c r="O11712" t="str">
        <f>IF(N11712="","",'Master Barang'!B6)</f>
        <v>spons cuci hijau</v>
      </c>
      <c r="P11712">
        <f>IF(OR(M11712="",N11712=""),"",SUMIFS('Barang Keluar'!$E:$E,'Barang Keluar'!$A:$A,M11712,'Barang Keluar'!$C:$C,N11712))</f>
        <v>0</v>
      </c>
    </row>
    <row r="11713" spans="13:16">
      <c r="M11713" s="49">
        <f>IF($A$4+117&gt;$B$4,"",$A$4+117)</f>
        <v>46140</v>
      </c>
      <c r="N11713" t="str">
        <f>IF(M11713="","",'Master Barang'!A7)</f>
        <v>PRL-006</v>
      </c>
      <c r="O11713" t="str">
        <f>IF(N11713="","",'Master Barang'!B7)</f>
        <v>sabut cuci stainless</v>
      </c>
      <c r="P11713">
        <f>IF(OR(M11713="",N11713=""),"",SUMIFS('Barang Keluar'!$E:$E,'Barang Keluar'!$A:$A,M11713,'Barang Keluar'!$C:$C,N11713))</f>
        <v>0</v>
      </c>
    </row>
    <row r="11714" spans="13:16">
      <c r="M11714" s="49">
        <f>IF($A$4+117&gt;$B$4,"",$A$4+117)</f>
        <v>46140</v>
      </c>
      <c r="N11714" t="str">
        <f>IF(M11714="","",'Master Barang'!A8)</f>
        <v>PRL-007</v>
      </c>
      <c r="O11714" t="str">
        <f>IF(N11714="","",'Master Barang'!B8)</f>
        <v>plastik kresek besar merah 50pc</v>
      </c>
      <c r="P11714">
        <f>IF(OR(M11714="",N11714=""),"",SUMIFS('Barang Keluar'!$E:$E,'Barang Keluar'!$A:$A,M11714,'Barang Keluar'!$C:$C,N11714))</f>
        <v>0</v>
      </c>
    </row>
    <row r="11715" spans="13:16">
      <c r="M11715" s="49">
        <f>IF($A$4+117&gt;$B$4,"",$A$4+117)</f>
        <v>46140</v>
      </c>
      <c r="N11715" t="str">
        <f>IF(M11715="","",'Master Barang'!A9)</f>
        <v>PRL-008</v>
      </c>
      <c r="O11715" t="str">
        <f>IF(N11715="","",'Master Barang'!B9)</f>
        <v>lap besar</v>
      </c>
      <c r="P11715">
        <f>IF(OR(M11715="",N11715=""),"",SUMIFS('Barang Keluar'!$E:$E,'Barang Keluar'!$A:$A,M11715,'Barang Keluar'!$C:$C,N11715))</f>
        <v>0</v>
      </c>
    </row>
    <row r="11716" spans="13:16">
      <c r="M11716" s="49">
        <f>IF($A$4+117&gt;$B$4,"",$A$4+117)</f>
        <v>46140</v>
      </c>
      <c r="N11716" t="str">
        <f>IF(M11716="","",'Master Barang'!A10)</f>
        <v>PRL-009</v>
      </c>
      <c r="O11716" t="str">
        <f>IF(N11716="","",'Master Barang'!B10)</f>
        <v>lap microfiber</v>
      </c>
      <c r="P11716">
        <f>IF(OR(M11716="",N11716=""),"",SUMIFS('Barang Keluar'!$E:$E,'Barang Keluar'!$A:$A,M11716,'Barang Keluar'!$C:$C,N11716))</f>
        <v>0</v>
      </c>
    </row>
    <row r="11717" spans="13:16">
      <c r="M11717" s="49">
        <f>IF($A$4+117&gt;$B$4,"",$A$4+117)</f>
        <v>46140</v>
      </c>
      <c r="N11717" t="str">
        <f>IF(M11717="","",'Master Barang'!A11)</f>
        <v>PRL-010</v>
      </c>
      <c r="O11717" t="str">
        <f>IF(N11717="","",'Master Barang'!B11)</f>
        <v>lap kecil</v>
      </c>
      <c r="P11717">
        <f>IF(OR(M11717="",N11717=""),"",SUMIFS('Barang Keluar'!$E:$E,'Barang Keluar'!$A:$A,M11717,'Barang Keluar'!$C:$C,N11717))</f>
        <v>0</v>
      </c>
    </row>
    <row r="11718" spans="13:16">
      <c r="M11718" s="49">
        <f>IF($A$4+117&gt;$B$4,"",$A$4+117)</f>
        <v>46140</v>
      </c>
      <c r="N11718" t="str">
        <f>IF(M11718="","",'Master Barang'!A12)</f>
        <v>PRL-011</v>
      </c>
      <c r="O11718" t="str">
        <f>IF(N11718="","",'Master Barang'!B12)</f>
        <v>kanebo kecil</v>
      </c>
      <c r="P11718">
        <f>IF(OR(M11718="",N11718=""),"",SUMIFS('Barang Keluar'!$E:$E,'Barang Keluar'!$A:$A,M11718,'Barang Keluar'!$C:$C,N11718))</f>
        <v>0</v>
      </c>
    </row>
    <row r="11719" spans="13:16">
      <c r="M11719" s="49">
        <f>IF($A$4+117&gt;$B$4,"",$A$4+117)</f>
        <v>46140</v>
      </c>
      <c r="N11719" t="str">
        <f>IF(M11719="","",'Master Barang'!A13)</f>
        <v>PRL-012</v>
      </c>
      <c r="O11719" t="str">
        <f>IF(N11719="","",'Master Barang'!B13)</f>
        <v>plastik 1/4kg joyoboyo 100 lembar</v>
      </c>
      <c r="P11719">
        <f>IF(OR(M11719="",N11719=""),"",SUMIFS('Barang Keluar'!$E:$E,'Barang Keluar'!$A:$A,M11719,'Barang Keluar'!$C:$C,N11719))</f>
        <v>0</v>
      </c>
    </row>
    <row r="11720" spans="13:16">
      <c r="M11720" s="49">
        <f>IF($A$4+117&gt;$B$4,"",$A$4+117)</f>
        <v>46140</v>
      </c>
      <c r="N11720" t="str">
        <f>IF(M11720="","",'Master Barang'!A14)</f>
        <v>PRL-013</v>
      </c>
      <c r="O11720" t="str">
        <f>IF(N11720="","",'Master Barang'!B14)</f>
        <v>sarung tangan plastik kaka 100 pcs</v>
      </c>
      <c r="P11720">
        <f>IF(OR(M11720="",N11720=""),"",SUMIFS('Barang Keluar'!$E:$E,'Barang Keluar'!$A:$A,M11720,'Barang Keluar'!$C:$C,N11720))</f>
        <v>0</v>
      </c>
    </row>
    <row r="11721" spans="13:16">
      <c r="M11721" s="49">
        <f>IF($A$4+117&gt;$B$4,"",$A$4+117)</f>
        <v>46140</v>
      </c>
      <c r="N11721" t="str">
        <f>IF(M11721="","",'Master Barang'!A15)</f>
        <v>PRL-014</v>
      </c>
      <c r="O11721" t="str">
        <f>IF(N11721="","",'Master Barang'!B15)</f>
        <v>optima trashbag 80x100</v>
      </c>
      <c r="P11721">
        <f>IF(OR(M11721="",N11721=""),"",SUMIFS('Barang Keluar'!$E:$E,'Barang Keluar'!$A:$A,M11721,'Barang Keluar'!$C:$C,N11721))</f>
        <v>0</v>
      </c>
    </row>
    <row r="11722" spans="13:16">
      <c r="M11722" s="49">
        <f>IF($A$4+117&gt;$B$4,"",$A$4+117)</f>
        <v>46140</v>
      </c>
      <c r="N11722" t="str">
        <f>IF(M11722="","",'Master Barang'!A16)</f>
        <v>PRL-015</v>
      </c>
      <c r="O11722" t="str">
        <f>IF(N11722="","",'Master Barang'!B16)</f>
        <v>optima trashbag 60x100</v>
      </c>
      <c r="P11722">
        <f>IF(OR(M11722="",N11722=""),"",SUMIFS('Barang Keluar'!$E:$E,'Barang Keluar'!$A:$A,M11722,'Barang Keluar'!$C:$C,N11722))</f>
        <v>0</v>
      </c>
    </row>
    <row r="11723" spans="13:16">
      <c r="M11723" s="49">
        <f>IF($A$4+117&gt;$B$4,"",$A$4+117)</f>
        <v>46140</v>
      </c>
      <c r="N11723" t="str">
        <f>IF(M11723="","",'Master Barang'!A17)</f>
        <v>PRL-016</v>
      </c>
      <c r="O11723" t="str">
        <f>IF(N11723="","",'Master Barang'!B17)</f>
        <v>rajawali trashbag 30x40</v>
      </c>
      <c r="P11723">
        <f>IF(OR(M11723="",N11723=""),"",SUMIFS('Barang Keluar'!$E:$E,'Barang Keluar'!$A:$A,M11723,'Barang Keluar'!$C:$C,N11723))</f>
        <v>0</v>
      </c>
    </row>
    <row r="11724" spans="13:16">
      <c r="M11724" s="49">
        <f>IF($A$4+117&gt;$B$4,"",$A$4+117)</f>
        <v>46140</v>
      </c>
      <c r="N11724" t="str">
        <f>IF(M11724="","",'Master Barang'!A18)</f>
        <v>PRL-017</v>
      </c>
      <c r="O11724" t="str">
        <f>IF(N11724="","",'Master Barang'!B18)</f>
        <v>onemed masker biru 3 play 50 pcs</v>
      </c>
      <c r="P11724">
        <f>IF(OR(M11724="",N11724=""),"",SUMIFS('Barang Keluar'!$E:$E,'Barang Keluar'!$A:$A,M11724,'Barang Keluar'!$C:$C,N11724))</f>
        <v>0</v>
      </c>
    </row>
    <row r="11725" spans="13:16">
      <c r="M11725" s="49">
        <f>IF($A$4+117&gt;$B$4,"",$A$4+117)</f>
        <v>46140</v>
      </c>
      <c r="N11725" t="str">
        <f>IF(M11725="","",'Master Barang'!A19)</f>
        <v>PRL-018</v>
      </c>
      <c r="O11725" t="str">
        <f>IF(N11725="","",'Master Barang'!B19)</f>
        <v>onemed masker biru 3 play hijab 50 pcs</v>
      </c>
      <c r="P11725">
        <f>IF(OR(M11725="",N11725=""),"",SUMIFS('Barang Keluar'!$E:$E,'Barang Keluar'!$A:$A,M11725,'Barang Keluar'!$C:$C,N11725))</f>
        <v>0</v>
      </c>
    </row>
    <row r="11726" spans="13:16">
      <c r="M11726" s="49">
        <f>IF($A$4+117&gt;$B$4,"",$A$4+117)</f>
        <v>46140</v>
      </c>
      <c r="N11726" t="str">
        <f>IF(M11726="","",'Master Barang'!A20)</f>
        <v>PRL-019</v>
      </c>
      <c r="O11726" t="str">
        <f>IF(N11726="","",'Master Barang'!B20)</f>
        <v>neo health masker biru 3 play 50 pcs</v>
      </c>
      <c r="P11726">
        <f>IF(OR(M11726="",N11726=""),"",SUMIFS('Barang Keluar'!$E:$E,'Barang Keluar'!$A:$A,M11726,'Barang Keluar'!$C:$C,N11726))</f>
        <v>0</v>
      </c>
    </row>
    <row r="11727" spans="13:16">
      <c r="M11727" s="49">
        <f>IF($A$4+117&gt;$B$4,"",$A$4+117)</f>
        <v>46140</v>
      </c>
      <c r="N11727" t="str">
        <f>IF(M11727="","",'Master Barang'!A21)</f>
        <v>PRL-020</v>
      </c>
      <c r="O11727" t="str">
        <f>IF(N11727="","",'Master Barang'!B21)</f>
        <v>baymed masker hijau 3 play hijau 50 pcs</v>
      </c>
      <c r="P11727">
        <f>IF(OR(M11727="",N11727=""),"",SUMIFS('Barang Keluar'!$E:$E,'Barang Keluar'!$A:$A,M11727,'Barang Keluar'!$C:$C,N11727))</f>
        <v>0</v>
      </c>
    </row>
    <row r="11728" spans="13:16">
      <c r="M11728" s="49">
        <f>IF($A$4+117&gt;$B$4,"",$A$4+117)</f>
        <v>46140</v>
      </c>
      <c r="N11728" t="str">
        <f>IF(M11728="","",'Master Barang'!A22)</f>
        <v>PRL-021</v>
      </c>
      <c r="O11728" t="str">
        <f>IF(N11728="","",'Master Barang'!B22)</f>
        <v>altamed nurse cap penutup kepala 100 pcs</v>
      </c>
      <c r="P11728">
        <f>IF(OR(M11728="",N11728=""),"",SUMIFS('Barang Keluar'!$E:$E,'Barang Keluar'!$A:$A,M11728,'Barang Keluar'!$C:$C,N11728))</f>
        <v>0</v>
      </c>
    </row>
    <row r="11729" spans="13:16">
      <c r="M11729" s="49">
        <f>IF($A$4+117&gt;$B$4,"",$A$4+117)</f>
        <v>46140</v>
      </c>
      <c r="N11729" t="str">
        <f>IF(M11729="","",'Master Barang'!A23)</f>
        <v>PRL-022</v>
      </c>
      <c r="O11729" t="str">
        <f>IF(N11729="","",'Master Barang'!B23)</f>
        <v>sabun cuci tangan</v>
      </c>
      <c r="P11729">
        <f>IF(OR(M11729="",N11729=""),"",SUMIFS('Barang Keluar'!$E:$E,'Barang Keluar'!$A:$A,M11729,'Barang Keluar'!$C:$C,N11729))</f>
        <v>0</v>
      </c>
    </row>
    <row r="11730" spans="13:16">
      <c r="M11730" s="49">
        <f>IF($A$4+117&gt;$B$4,"",$A$4+117)</f>
        <v>46140</v>
      </c>
      <c r="N11730" t="str">
        <f>IF(M11730="","",'Master Barang'!A24)</f>
        <v>PRL-023</v>
      </c>
      <c r="O11730" t="str">
        <f>IF(N11730="","",'Master Barang'!B24)</f>
        <v>gayung kecil</v>
      </c>
      <c r="P11730">
        <f>IF(OR(M11730="",N11730=""),"",SUMIFS('Barang Keluar'!$E:$E,'Barang Keluar'!$A:$A,M11730,'Barang Keluar'!$C:$C,N11730))</f>
        <v>0</v>
      </c>
    </row>
    <row r="11731" spans="13:16">
      <c r="M11731" s="49">
        <f>IF($A$4+117&gt;$B$4,"",$A$4+117)</f>
        <v>46140</v>
      </c>
      <c r="N11731" t="str">
        <f>IF(M11731="","",'Master Barang'!A25)</f>
        <v>PRL-024</v>
      </c>
      <c r="O11731" t="str">
        <f>IF(N11731="","",'Master Barang'!B25)</f>
        <v>cikrak kecil</v>
      </c>
      <c r="P11731">
        <f>IF(OR(M11731="",N11731=""),"",SUMIFS('Barang Keluar'!$E:$E,'Barang Keluar'!$A:$A,M11731,'Barang Keluar'!$C:$C,N11731))</f>
        <v>0</v>
      </c>
    </row>
    <row r="11732" spans="13:16">
      <c r="M11732" s="49">
        <f>IF($A$4+117&gt;$B$4,"",$A$4+117)</f>
        <v>46140</v>
      </c>
      <c r="N11732" t="str">
        <f>IF(M11732="","",'Master Barang'!A26)</f>
        <v>PRL-025</v>
      </c>
      <c r="O11732" t="str">
        <f>IF(N11732="","",'Master Barang'!B26)</f>
        <v>petromax plastik kecil 12x24 100 lembar</v>
      </c>
      <c r="P11732">
        <f>IF(OR(M11732="",N11732=""),"",SUMIFS('Barang Keluar'!$E:$E,'Barang Keluar'!$A:$A,M11732,'Barang Keluar'!$C:$C,N11732))</f>
        <v>0</v>
      </c>
    </row>
    <row r="11733" spans="13:16">
      <c r="M11733" s="49">
        <f>IF($A$4+117&gt;$B$4,"",$A$4+117)</f>
        <v>46140</v>
      </c>
      <c r="N11733" t="str">
        <f>IF(M11733="","",'Master Barang'!A27)</f>
        <v>PRL-026</v>
      </c>
      <c r="O11733" t="str">
        <f>IF(N11733="","",'Master Barang'!B27)</f>
        <v>lancar kresek kecil bening </v>
      </c>
      <c r="P11733">
        <f>IF(OR(M11733="",N11733=""),"",SUMIFS('Barang Keluar'!$E:$E,'Barang Keluar'!$A:$A,M11733,'Barang Keluar'!$C:$C,N11733))</f>
        <v>0</v>
      </c>
    </row>
    <row r="11734" spans="13:16">
      <c r="M11734" s="49">
        <f>IF($A$4+117&gt;$B$4,"",$A$4+117)</f>
        <v>46140</v>
      </c>
      <c r="N11734" t="str">
        <f>IF(M11734="","",'Master Barang'!A28)</f>
        <v>PRL-027</v>
      </c>
      <c r="O11734" t="str">
        <f>IF(N11734="","",'Master Barang'!B28)</f>
        <v>kresek klin warna warni kecil</v>
      </c>
      <c r="P11734">
        <f>IF(OR(M11734="",N11734=""),"",SUMIFS('Barang Keluar'!$E:$E,'Barang Keluar'!$A:$A,M11734,'Barang Keluar'!$C:$C,N11734))</f>
        <v>0</v>
      </c>
    </row>
    <row r="11735" spans="13:16">
      <c r="M11735" s="49">
        <f>IF($A$4+117&gt;$B$4,"",$A$4+117)</f>
        <v>46140</v>
      </c>
      <c r="N11735" t="str">
        <f>IF(M11735="","",'Master Barang'!A29)</f>
        <v>PRL-028</v>
      </c>
      <c r="O11735" t="str">
        <f>IF(N11735="","",'Master Barang'!B29)</f>
        <v>ctik plastik 7x10 100 pcs</v>
      </c>
      <c r="P11735">
        <f>IF(OR(M11735="",N11735=""),"",SUMIFS('Barang Keluar'!$E:$E,'Barang Keluar'!$A:$A,M11735,'Barang Keluar'!$C:$C,N11735))</f>
        <v>0</v>
      </c>
    </row>
    <row r="11736" spans="13:16">
      <c r="M11736" s="49">
        <f>IF($A$4+117&gt;$B$4,"",$A$4+117)</f>
        <v>46140</v>
      </c>
      <c r="N11736" t="str">
        <f>IF(M11736="","",'Master Barang'!A30)</f>
        <v>PRL-029</v>
      </c>
      <c r="O11736" t="str">
        <f>IF(N11736="","",'Master Barang'!B30)</f>
        <v>ctik plastik 6x10 100 pcs</v>
      </c>
      <c r="P11736">
        <f>IF(OR(M11736="",N11736=""),"",SUMIFS('Barang Keluar'!$E:$E,'Barang Keluar'!$A:$A,M11736,'Barang Keluar'!$C:$C,N11736))</f>
        <v>0</v>
      </c>
    </row>
    <row r="11737" spans="13:16">
      <c r="M11737" s="49">
        <f>IF($A$4+117&gt;$B$4,"",$A$4+117)</f>
        <v>46140</v>
      </c>
      <c r="N11737" t="str">
        <f>IF(M11737="","",'Master Barang'!A31)</f>
        <v>PRL-030</v>
      </c>
      <c r="O11737" t="str">
        <f>IF(N11737="","",'Master Barang'!B31)</f>
        <v>klip plastik 25x16 100 pcs</v>
      </c>
      <c r="P11737">
        <f>IF(OR(M11737="",N11737=""),"",SUMIFS('Barang Keluar'!$E:$E,'Barang Keluar'!$A:$A,M11737,'Barang Keluar'!$C:$C,N11737))</f>
        <v>0</v>
      </c>
    </row>
    <row r="11738" spans="13:16">
      <c r="M11738" s="49">
        <f>IF($A$4+117&gt;$B$4,"",$A$4+117)</f>
        <v>46140</v>
      </c>
      <c r="N11738" t="str">
        <f>IF(M11738="","",'Master Barang'!A32)</f>
        <v>PRL-031</v>
      </c>
      <c r="O11738" t="str">
        <f>IF(N11738="","",'Master Barang'!B32)</f>
        <v>tempat saus 20 ml</v>
      </c>
      <c r="P11738">
        <f>IF(OR(M11738="",N11738=""),"",SUMIFS('Barang Keluar'!$E:$E,'Barang Keluar'!$A:$A,M11738,'Barang Keluar'!$C:$C,N11738))</f>
        <v>0</v>
      </c>
    </row>
    <row r="11739" spans="13:16">
      <c r="M11739" s="49">
        <f>IF($A$4+117&gt;$B$4,"",$A$4+117)</f>
        <v>46140</v>
      </c>
      <c r="N11739" t="str">
        <f>IF(M11739="","",'Master Barang'!A33)</f>
        <v>PRL-032</v>
      </c>
      <c r="O11739" t="str">
        <f>IF(N11739="","",'Master Barang'!B33)</f>
        <v>plastik packaging ag box uk sedang</v>
      </c>
      <c r="P11739">
        <f>IF(OR(M11739="",N11739=""),"",SUMIFS('Barang Keluar'!$E:$E,'Barang Keluar'!$A:$A,M11739,'Barang Keluar'!$C:$C,N11739))</f>
        <v>0</v>
      </c>
    </row>
    <row r="11740" spans="13:16">
      <c r="M11740" s="49">
        <f>IF($A$4+117&gt;$B$4,"",$A$4+117)</f>
        <v>46140</v>
      </c>
      <c r="N11740" t="str">
        <f>IF(M11740="","",'Master Barang'!A34)</f>
        <v>PRL-033</v>
      </c>
      <c r="O11740">
        <f>IF(N11740="","",'Master Barang'!B34)</f>
        <v>0</v>
      </c>
      <c r="P11740">
        <f>IF(OR(M11740="",N11740=""),"",SUMIFS('Barang Keluar'!$E:$E,'Barang Keluar'!$A:$A,M11740,'Barang Keluar'!$C:$C,N11740))</f>
        <v>0</v>
      </c>
    </row>
    <row r="11741" spans="13:16">
      <c r="M11741" s="49">
        <f>IF($A$4+117&gt;$B$4,"",$A$4+117)</f>
        <v>46140</v>
      </c>
      <c r="N11741">
        <f>IF(M11741="","",'Master Barang'!A35)</f>
        <v>0</v>
      </c>
      <c r="O11741">
        <f>IF(N11741="","",'Master Barang'!B35)</f>
        <v>0</v>
      </c>
      <c r="P11741">
        <f>IF(OR(M11741="",N11741=""),"",SUMIFS('Barang Keluar'!$E:$E,'Barang Keluar'!$A:$A,M11741,'Barang Keluar'!$C:$C,N11741))</f>
        <v>0</v>
      </c>
    </row>
    <row r="11742" spans="13:16">
      <c r="M11742" s="49">
        <f>IF($A$4+117&gt;$B$4,"",$A$4+117)</f>
        <v>46140</v>
      </c>
      <c r="N11742">
        <f>IF(M11742="","",'Master Barang'!A36)</f>
        <v>0</v>
      </c>
      <c r="O11742">
        <f>IF(N11742="","",'Master Barang'!B36)</f>
        <v>0</v>
      </c>
      <c r="P11742">
        <f>IF(OR(M11742="",N11742=""),"",SUMIFS('Barang Keluar'!$E:$E,'Barang Keluar'!$A:$A,M11742,'Barang Keluar'!$C:$C,N11742))</f>
        <v>0</v>
      </c>
    </row>
    <row r="11743" spans="13:16">
      <c r="M11743" s="49">
        <f>IF($A$4+117&gt;$B$4,"",$A$4+117)</f>
        <v>46140</v>
      </c>
      <c r="N11743">
        <f>IF(M11743="","",'Master Barang'!A37)</f>
        <v>0</v>
      </c>
      <c r="O11743">
        <f>IF(N11743="","",'Master Barang'!B37)</f>
        <v>0</v>
      </c>
      <c r="P11743">
        <f>IF(OR(M11743="",N11743=""),"",SUMIFS('Barang Keluar'!$E:$E,'Barang Keluar'!$A:$A,M11743,'Barang Keluar'!$C:$C,N11743))</f>
        <v>0</v>
      </c>
    </row>
    <row r="11744" spans="13:16">
      <c r="M11744" s="49">
        <f>IF($A$4+117&gt;$B$4,"",$A$4+117)</f>
        <v>46140</v>
      </c>
      <c r="N11744">
        <f>IF(M11744="","",'Master Barang'!A38)</f>
        <v>0</v>
      </c>
      <c r="O11744">
        <f>IF(N11744="","",'Master Barang'!B38)</f>
        <v>0</v>
      </c>
      <c r="P11744">
        <f>IF(OR(M11744="",N11744=""),"",SUMIFS('Barang Keluar'!$E:$E,'Barang Keluar'!$A:$A,M11744,'Barang Keluar'!$C:$C,N11744))</f>
        <v>0</v>
      </c>
    </row>
    <row r="11745" spans="13:16">
      <c r="M11745" s="49">
        <f>IF($A$4+117&gt;$B$4,"",$A$4+117)</f>
        <v>46140</v>
      </c>
      <c r="N11745">
        <f>IF(M11745="","",'Master Barang'!A39)</f>
        <v>0</v>
      </c>
      <c r="O11745">
        <f>IF(N11745="","",'Master Barang'!B39)</f>
        <v>0</v>
      </c>
      <c r="P11745">
        <f>IF(OR(M11745="",N11745=""),"",SUMIFS('Barang Keluar'!$E:$E,'Barang Keluar'!$A:$A,M11745,'Barang Keluar'!$C:$C,N11745))</f>
        <v>0</v>
      </c>
    </row>
    <row r="11746" spans="13:16">
      <c r="M11746" s="49">
        <f>IF($A$4+117&gt;$B$4,"",$A$4+117)</f>
        <v>46140</v>
      </c>
      <c r="N11746">
        <f>IF(M11746="","",'Master Barang'!A40)</f>
        <v>0</v>
      </c>
      <c r="O11746">
        <f>IF(N11746="","",'Master Barang'!B40)</f>
        <v>0</v>
      </c>
      <c r="P11746">
        <f>IF(OR(M11746="",N11746=""),"",SUMIFS('Barang Keluar'!$E:$E,'Barang Keluar'!$A:$A,M11746,'Barang Keluar'!$C:$C,N11746))</f>
        <v>0</v>
      </c>
    </row>
    <row r="11747" spans="13:16">
      <c r="M11747" s="49">
        <f>IF($A$4+117&gt;$B$4,"",$A$4+117)</f>
        <v>46140</v>
      </c>
      <c r="N11747">
        <f>IF(M11747="","",'Master Barang'!A41)</f>
        <v>0</v>
      </c>
      <c r="O11747">
        <f>IF(N11747="","",'Master Barang'!B41)</f>
        <v>0</v>
      </c>
      <c r="P11747">
        <f>IF(OR(M11747="",N11747=""),"",SUMIFS('Barang Keluar'!$E:$E,'Barang Keluar'!$A:$A,M11747,'Barang Keluar'!$C:$C,N11747))</f>
        <v>0</v>
      </c>
    </row>
    <row r="11748" spans="13:16">
      <c r="M11748" s="49">
        <f>IF($A$4+117&gt;$B$4,"",$A$4+117)</f>
        <v>46140</v>
      </c>
      <c r="N11748">
        <f>IF(M11748="","",'Master Barang'!A42)</f>
        <v>0</v>
      </c>
      <c r="O11748">
        <f>IF(N11748="","",'Master Barang'!B42)</f>
        <v>0</v>
      </c>
      <c r="P11748">
        <f>IF(OR(M11748="",N11748=""),"",SUMIFS('Barang Keluar'!$E:$E,'Barang Keluar'!$A:$A,M11748,'Barang Keluar'!$C:$C,N11748))</f>
        <v>0</v>
      </c>
    </row>
    <row r="11749" spans="13:16">
      <c r="M11749" s="49">
        <f>IF($A$4+117&gt;$B$4,"",$A$4+117)</f>
        <v>46140</v>
      </c>
      <c r="N11749">
        <f>IF(M11749="","",'Master Barang'!A43)</f>
        <v>0</v>
      </c>
      <c r="O11749">
        <f>IF(N11749="","",'Master Barang'!B43)</f>
        <v>0</v>
      </c>
      <c r="P11749">
        <f>IF(OR(M11749="",N11749=""),"",SUMIFS('Barang Keluar'!$E:$E,'Barang Keluar'!$A:$A,M11749,'Barang Keluar'!$C:$C,N11749))</f>
        <v>0</v>
      </c>
    </row>
    <row r="11750" spans="13:16">
      <c r="M11750" s="49">
        <f>IF($A$4+117&gt;$B$4,"",$A$4+117)</f>
        <v>46140</v>
      </c>
      <c r="N11750">
        <f>IF(M11750="","",'Master Barang'!A44)</f>
        <v>0</v>
      </c>
      <c r="O11750">
        <f>IF(N11750="","",'Master Barang'!B44)</f>
        <v>0</v>
      </c>
      <c r="P11750">
        <f>IF(OR(M11750="",N11750=""),"",SUMIFS('Barang Keluar'!$E:$E,'Barang Keluar'!$A:$A,M11750,'Barang Keluar'!$C:$C,N11750))</f>
        <v>0</v>
      </c>
    </row>
    <row r="11751" spans="13:16">
      <c r="M11751" s="49">
        <f>IF($A$4+117&gt;$B$4,"",$A$4+117)</f>
        <v>46140</v>
      </c>
      <c r="N11751">
        <f>IF(M11751="","",'Master Barang'!A45)</f>
        <v>0</v>
      </c>
      <c r="O11751">
        <f>IF(N11751="","",'Master Barang'!B45)</f>
        <v>0</v>
      </c>
      <c r="P11751">
        <f>IF(OR(M11751="",N11751=""),"",SUMIFS('Barang Keluar'!$E:$E,'Barang Keluar'!$A:$A,M11751,'Barang Keluar'!$C:$C,N11751))</f>
        <v>0</v>
      </c>
    </row>
    <row r="11752" spans="13:16">
      <c r="M11752" s="49">
        <f>IF($A$4+117&gt;$B$4,"",$A$4+117)</f>
        <v>46140</v>
      </c>
      <c r="N11752">
        <f>IF(M11752="","",'Master Barang'!A46)</f>
        <v>0</v>
      </c>
      <c r="O11752">
        <f>IF(N11752="","",'Master Barang'!B46)</f>
        <v>0</v>
      </c>
      <c r="P11752">
        <f>IF(OR(M11752="",N11752=""),"",SUMIFS('Barang Keluar'!$E:$E,'Barang Keluar'!$A:$A,M11752,'Barang Keluar'!$C:$C,N11752))</f>
        <v>0</v>
      </c>
    </row>
    <row r="11753" spans="13:16">
      <c r="M11753" s="49">
        <f>IF($A$4+117&gt;$B$4,"",$A$4+117)</f>
        <v>46140</v>
      </c>
      <c r="N11753">
        <f>IF(M11753="","",'Master Barang'!A47)</f>
        <v>0</v>
      </c>
      <c r="O11753">
        <f>IF(N11753="","",'Master Barang'!B47)</f>
        <v>0</v>
      </c>
      <c r="P11753">
        <f>IF(OR(M11753="",N11753=""),"",SUMIFS('Barang Keluar'!$E:$E,'Barang Keluar'!$A:$A,M11753,'Barang Keluar'!$C:$C,N11753))</f>
        <v>0</v>
      </c>
    </row>
    <row r="11754" spans="13:16">
      <c r="M11754" s="49">
        <f>IF($A$4+117&gt;$B$4,"",$A$4+117)</f>
        <v>46140</v>
      </c>
      <c r="N11754">
        <f>IF(M11754="","",'Master Barang'!A48)</f>
        <v>0</v>
      </c>
      <c r="O11754">
        <f>IF(N11754="","",'Master Barang'!B48)</f>
        <v>0</v>
      </c>
      <c r="P11754">
        <f>IF(OR(M11754="",N11754=""),"",SUMIFS('Barang Keluar'!$E:$E,'Barang Keluar'!$A:$A,M11754,'Barang Keluar'!$C:$C,N11754))</f>
        <v>0</v>
      </c>
    </row>
    <row r="11755" spans="13:16">
      <c r="M11755" s="49">
        <f>IF($A$4+117&gt;$B$4,"",$A$4+117)</f>
        <v>46140</v>
      </c>
      <c r="N11755">
        <f>IF(M11755="","",'Master Barang'!A49)</f>
        <v>0</v>
      </c>
      <c r="O11755">
        <f>IF(N11755="","",'Master Barang'!B49)</f>
        <v>0</v>
      </c>
      <c r="P11755">
        <f>IF(OR(M11755="",N11755=""),"",SUMIFS('Barang Keluar'!$E:$E,'Barang Keluar'!$A:$A,M11755,'Barang Keluar'!$C:$C,N11755))</f>
        <v>0</v>
      </c>
    </row>
    <row r="11756" spans="13:16">
      <c r="M11756" s="49">
        <f>IF($A$4+117&gt;$B$4,"",$A$4+117)</f>
        <v>46140</v>
      </c>
      <c r="N11756">
        <f>IF(M11756="","",'Master Barang'!A50)</f>
        <v>0</v>
      </c>
      <c r="O11756">
        <f>IF(N11756="","",'Master Barang'!B50)</f>
        <v>0</v>
      </c>
      <c r="P11756">
        <f>IF(OR(M11756="",N11756=""),"",SUMIFS('Barang Keluar'!$E:$E,'Barang Keluar'!$A:$A,M11756,'Barang Keluar'!$C:$C,N11756))</f>
        <v>0</v>
      </c>
    </row>
    <row r="11757" spans="13:16">
      <c r="M11757" s="49">
        <f>IF($A$4+117&gt;$B$4,"",$A$4+117)</f>
        <v>46140</v>
      </c>
      <c r="N11757">
        <f>IF(M11757="","",'Master Barang'!A51)</f>
        <v>0</v>
      </c>
      <c r="O11757">
        <f>IF(N11757="","",'Master Barang'!B51)</f>
        <v>0</v>
      </c>
      <c r="P11757">
        <f>IF(OR(M11757="",N11757=""),"",SUMIFS('Barang Keluar'!$E:$E,'Barang Keluar'!$A:$A,M11757,'Barang Keluar'!$C:$C,N11757))</f>
        <v>0</v>
      </c>
    </row>
    <row r="11758" spans="13:16">
      <c r="M11758" s="49">
        <f>IF($A$4+117&gt;$B$4,"",$A$4+117)</f>
        <v>46140</v>
      </c>
      <c r="N11758">
        <f>IF(M11758="","",'Master Barang'!A52)</f>
        <v>0</v>
      </c>
      <c r="O11758">
        <f>IF(N11758="","",'Master Barang'!B52)</f>
        <v>0</v>
      </c>
      <c r="P11758">
        <f>IF(OR(M11758="",N11758=""),"",SUMIFS('Barang Keluar'!$E:$E,'Barang Keluar'!$A:$A,M11758,'Barang Keluar'!$C:$C,N11758))</f>
        <v>0</v>
      </c>
    </row>
    <row r="11759" spans="13:16">
      <c r="M11759" s="49">
        <f>IF($A$4+117&gt;$B$4,"",$A$4+117)</f>
        <v>46140</v>
      </c>
      <c r="N11759">
        <f>IF(M11759="","",'Master Barang'!A53)</f>
        <v>0</v>
      </c>
      <c r="O11759">
        <f>IF(N11759="","",'Master Barang'!B53)</f>
        <v>0</v>
      </c>
      <c r="P11759">
        <f>IF(OR(M11759="",N11759=""),"",SUMIFS('Barang Keluar'!$E:$E,'Barang Keluar'!$A:$A,M11759,'Barang Keluar'!$C:$C,N11759))</f>
        <v>0</v>
      </c>
    </row>
    <row r="11760" spans="13:16">
      <c r="M11760" s="49">
        <f>IF($A$4+117&gt;$B$4,"",$A$4+117)</f>
        <v>46140</v>
      </c>
      <c r="N11760">
        <f>IF(M11760="","",'Master Barang'!A54)</f>
        <v>0</v>
      </c>
      <c r="O11760">
        <f>IF(N11760="","",'Master Barang'!B54)</f>
        <v>0</v>
      </c>
      <c r="P11760">
        <f>IF(OR(M11760="",N11760=""),"",SUMIFS('Barang Keluar'!$E:$E,'Barang Keluar'!$A:$A,M11760,'Barang Keluar'!$C:$C,N11760))</f>
        <v>0</v>
      </c>
    </row>
    <row r="11761" spans="13:16">
      <c r="M11761" s="49">
        <f>IF($A$4+117&gt;$B$4,"",$A$4+117)</f>
        <v>46140</v>
      </c>
      <c r="N11761">
        <f>IF(M11761="","",'Master Barang'!A55)</f>
        <v>0</v>
      </c>
      <c r="O11761">
        <f>IF(N11761="","",'Master Barang'!B55)</f>
        <v>0</v>
      </c>
      <c r="P11761">
        <f>IF(OR(M11761="",N11761=""),"",SUMIFS('Barang Keluar'!$E:$E,'Barang Keluar'!$A:$A,M11761,'Barang Keluar'!$C:$C,N11761))</f>
        <v>0</v>
      </c>
    </row>
    <row r="11762" spans="13:16">
      <c r="M11762" s="49">
        <f>IF($A$4+117&gt;$B$4,"",$A$4+117)</f>
        <v>46140</v>
      </c>
      <c r="N11762">
        <f>IF(M11762="","",'Master Barang'!A56)</f>
        <v>0</v>
      </c>
      <c r="O11762">
        <f>IF(N11762="","",'Master Barang'!B56)</f>
        <v>0</v>
      </c>
      <c r="P11762">
        <f>IF(OR(M11762="",N11762=""),"",SUMIFS('Barang Keluar'!$E:$E,'Barang Keluar'!$A:$A,M11762,'Barang Keluar'!$C:$C,N11762))</f>
        <v>0</v>
      </c>
    </row>
    <row r="11763" spans="13:16">
      <c r="M11763" s="49">
        <f>IF($A$4+117&gt;$B$4,"",$A$4+117)</f>
        <v>46140</v>
      </c>
      <c r="N11763">
        <f>IF(M11763="","",'Master Barang'!A57)</f>
        <v>0</v>
      </c>
      <c r="O11763">
        <f>IF(N11763="","",'Master Barang'!B57)</f>
        <v>0</v>
      </c>
      <c r="P11763">
        <f>IF(OR(M11763="",N11763=""),"",SUMIFS('Barang Keluar'!$E:$E,'Barang Keluar'!$A:$A,M11763,'Barang Keluar'!$C:$C,N11763))</f>
        <v>0</v>
      </c>
    </row>
    <row r="11764" spans="13:16">
      <c r="M11764" s="49">
        <f>IF($A$4+117&gt;$B$4,"",$A$4+117)</f>
        <v>46140</v>
      </c>
      <c r="N11764">
        <f>IF(M11764="","",'Master Barang'!A58)</f>
        <v>0</v>
      </c>
      <c r="O11764">
        <f>IF(N11764="","",'Master Barang'!B58)</f>
        <v>0</v>
      </c>
      <c r="P11764">
        <f>IF(OR(M11764="",N11764=""),"",SUMIFS('Barang Keluar'!$E:$E,'Barang Keluar'!$A:$A,M11764,'Barang Keluar'!$C:$C,N11764))</f>
        <v>0</v>
      </c>
    </row>
    <row r="11765" spans="13:16">
      <c r="M11765" s="49">
        <f>IF($A$4+117&gt;$B$4,"",$A$4+117)</f>
        <v>46140</v>
      </c>
      <c r="N11765">
        <f>IF(M11765="","",'Master Barang'!A59)</f>
        <v>0</v>
      </c>
      <c r="O11765">
        <f>IF(N11765="","",'Master Barang'!B59)</f>
        <v>0</v>
      </c>
      <c r="P11765">
        <f>IF(OR(M11765="",N11765=""),"",SUMIFS('Barang Keluar'!$E:$E,'Barang Keluar'!$A:$A,M11765,'Barang Keluar'!$C:$C,N11765))</f>
        <v>0</v>
      </c>
    </row>
    <row r="11766" spans="13:16">
      <c r="M11766" s="49">
        <f>IF($A$4+117&gt;$B$4,"",$A$4+117)</f>
        <v>46140</v>
      </c>
      <c r="N11766">
        <f>IF(M11766="","",'Master Barang'!A60)</f>
        <v>0</v>
      </c>
      <c r="O11766">
        <f>IF(N11766="","",'Master Barang'!B60)</f>
        <v>0</v>
      </c>
      <c r="P11766">
        <f>IF(OR(M11766="",N11766=""),"",SUMIFS('Barang Keluar'!$E:$E,'Barang Keluar'!$A:$A,M11766,'Barang Keluar'!$C:$C,N11766))</f>
        <v>0</v>
      </c>
    </row>
    <row r="11767" spans="13:16">
      <c r="M11767" s="49">
        <f>IF($A$4+117&gt;$B$4,"",$A$4+117)</f>
        <v>46140</v>
      </c>
      <c r="N11767">
        <f>IF(M11767="","",'Master Barang'!A61)</f>
        <v>0</v>
      </c>
      <c r="O11767">
        <f>IF(N11767="","",'Master Barang'!B61)</f>
        <v>0</v>
      </c>
      <c r="P11767">
        <f>IF(OR(M11767="",N11767=""),"",SUMIFS('Barang Keluar'!$E:$E,'Barang Keluar'!$A:$A,M11767,'Barang Keluar'!$C:$C,N11767))</f>
        <v>0</v>
      </c>
    </row>
    <row r="11768" spans="13:16">
      <c r="M11768" s="49">
        <f>IF($A$4+117&gt;$B$4,"",$A$4+117)</f>
        <v>46140</v>
      </c>
      <c r="N11768">
        <f>IF(M11768="","",'Master Barang'!A62)</f>
        <v>0</v>
      </c>
      <c r="O11768">
        <f>IF(N11768="","",'Master Barang'!B62)</f>
        <v>0</v>
      </c>
      <c r="P11768">
        <f>IF(OR(M11768="",N11768=""),"",SUMIFS('Barang Keluar'!$E:$E,'Barang Keluar'!$A:$A,M11768,'Barang Keluar'!$C:$C,N11768))</f>
        <v>0</v>
      </c>
    </row>
    <row r="11769" spans="13:16">
      <c r="M11769" s="49">
        <f>IF($A$4+117&gt;$B$4,"",$A$4+117)</f>
        <v>46140</v>
      </c>
      <c r="N11769">
        <f>IF(M11769="","",'Master Barang'!A63)</f>
        <v>0</v>
      </c>
      <c r="O11769">
        <f>IF(N11769="","",'Master Barang'!B63)</f>
        <v>0</v>
      </c>
      <c r="P11769">
        <f>IF(OR(M11769="",N11769=""),"",SUMIFS('Barang Keluar'!$E:$E,'Barang Keluar'!$A:$A,M11769,'Barang Keluar'!$C:$C,N11769))</f>
        <v>0</v>
      </c>
    </row>
    <row r="11770" spans="13:16">
      <c r="M11770" s="49">
        <f>IF($A$4+117&gt;$B$4,"",$A$4+117)</f>
        <v>46140</v>
      </c>
      <c r="N11770">
        <f>IF(M11770="","",'Master Barang'!A64)</f>
        <v>0</v>
      </c>
      <c r="O11770">
        <f>IF(N11770="","",'Master Barang'!B64)</f>
        <v>0</v>
      </c>
      <c r="P11770">
        <f>IF(OR(M11770="",N11770=""),"",SUMIFS('Barang Keluar'!$E:$E,'Barang Keluar'!$A:$A,M11770,'Barang Keluar'!$C:$C,N11770))</f>
        <v>0</v>
      </c>
    </row>
    <row r="11771" spans="13:16">
      <c r="M11771" s="49">
        <f>IF($A$4+117&gt;$B$4,"",$A$4+117)</f>
        <v>46140</v>
      </c>
      <c r="N11771">
        <f>IF(M11771="","",'Master Barang'!A65)</f>
        <v>0</v>
      </c>
      <c r="O11771">
        <f>IF(N11771="","",'Master Barang'!B65)</f>
        <v>0</v>
      </c>
      <c r="P11771">
        <f>IF(OR(M11771="",N11771=""),"",SUMIFS('Barang Keluar'!$E:$E,'Barang Keluar'!$A:$A,M11771,'Barang Keluar'!$C:$C,N11771))</f>
        <v>0</v>
      </c>
    </row>
    <row r="11772" spans="13:16">
      <c r="M11772" s="49">
        <f>IF($A$4+117&gt;$B$4,"",$A$4+117)</f>
        <v>46140</v>
      </c>
      <c r="N11772">
        <f>IF(M11772="","",'Master Barang'!A66)</f>
        <v>0</v>
      </c>
      <c r="O11772">
        <f>IF(N11772="","",'Master Barang'!B66)</f>
        <v>0</v>
      </c>
      <c r="P11772">
        <f>IF(OR(M11772="",N11772=""),"",SUMIFS('Barang Keluar'!$E:$E,'Barang Keluar'!$A:$A,M11772,'Barang Keluar'!$C:$C,N11772))</f>
        <v>0</v>
      </c>
    </row>
    <row r="11773" spans="13:16">
      <c r="M11773" s="49">
        <f>IF($A$4+117&gt;$B$4,"",$A$4+117)</f>
        <v>46140</v>
      </c>
      <c r="N11773">
        <f>IF(M11773="","",'Master Barang'!A67)</f>
        <v>0</v>
      </c>
      <c r="O11773">
        <f>IF(N11773="","",'Master Barang'!B67)</f>
        <v>0</v>
      </c>
      <c r="P11773">
        <f>IF(OR(M11773="",N11773=""),"",SUMIFS('Barang Keluar'!$E:$E,'Barang Keluar'!$A:$A,M11773,'Barang Keluar'!$C:$C,N11773))</f>
        <v>0</v>
      </c>
    </row>
    <row r="11774" spans="13:16">
      <c r="M11774" s="49">
        <f>IF($A$4+117&gt;$B$4,"",$A$4+117)</f>
        <v>46140</v>
      </c>
      <c r="N11774">
        <f>IF(M11774="","",'Master Barang'!A68)</f>
        <v>0</v>
      </c>
      <c r="O11774">
        <f>IF(N11774="","",'Master Barang'!B68)</f>
        <v>0</v>
      </c>
      <c r="P11774">
        <f>IF(OR(M11774="",N11774=""),"",SUMIFS('Barang Keluar'!$E:$E,'Barang Keluar'!$A:$A,M11774,'Barang Keluar'!$C:$C,N11774))</f>
        <v>0</v>
      </c>
    </row>
    <row r="11775" spans="13:16">
      <c r="M11775" s="49">
        <f>IF($A$4+117&gt;$B$4,"",$A$4+117)</f>
        <v>46140</v>
      </c>
      <c r="N11775">
        <f>IF(M11775="","",'Master Barang'!A69)</f>
        <v>0</v>
      </c>
      <c r="O11775">
        <f>IF(N11775="","",'Master Barang'!B69)</f>
        <v>0</v>
      </c>
      <c r="P11775">
        <f>IF(OR(M11775="",N11775=""),"",SUMIFS('Barang Keluar'!$E:$E,'Barang Keluar'!$A:$A,M11775,'Barang Keluar'!$C:$C,N11775))</f>
        <v>0</v>
      </c>
    </row>
    <row r="11776" spans="13:16">
      <c r="M11776" s="49">
        <f>IF($A$4+117&gt;$B$4,"",$A$4+117)</f>
        <v>46140</v>
      </c>
      <c r="N11776">
        <f>IF(M11776="","",'Master Barang'!A70)</f>
        <v>0</v>
      </c>
      <c r="O11776">
        <f>IF(N11776="","",'Master Barang'!B70)</f>
        <v>0</v>
      </c>
      <c r="P11776">
        <f>IF(OR(M11776="",N11776=""),"",SUMIFS('Barang Keluar'!$E:$E,'Barang Keluar'!$A:$A,M11776,'Barang Keluar'!$C:$C,N11776))</f>
        <v>0</v>
      </c>
    </row>
    <row r="11777" spans="13:16">
      <c r="M11777" s="49">
        <f>IF($A$4+117&gt;$B$4,"",$A$4+117)</f>
        <v>46140</v>
      </c>
      <c r="N11777">
        <f>IF(M11777="","",'Master Barang'!A71)</f>
        <v>0</v>
      </c>
      <c r="O11777">
        <f>IF(N11777="","",'Master Barang'!B71)</f>
        <v>0</v>
      </c>
      <c r="P11777">
        <f>IF(OR(M11777="",N11777=""),"",SUMIFS('Barang Keluar'!$E:$E,'Barang Keluar'!$A:$A,M11777,'Barang Keluar'!$C:$C,N11777))</f>
        <v>0</v>
      </c>
    </row>
    <row r="11778" spans="13:16">
      <c r="M11778" s="49">
        <f>IF($A$4+117&gt;$B$4,"",$A$4+117)</f>
        <v>46140</v>
      </c>
      <c r="N11778">
        <f>IF(M11778="","",'Master Barang'!A72)</f>
        <v>0</v>
      </c>
      <c r="O11778">
        <f>IF(N11778="","",'Master Barang'!B72)</f>
        <v>0</v>
      </c>
      <c r="P11778">
        <f>IF(OR(M11778="",N11778=""),"",SUMIFS('Barang Keluar'!$E:$E,'Barang Keluar'!$A:$A,M11778,'Barang Keluar'!$C:$C,N11778))</f>
        <v>0</v>
      </c>
    </row>
    <row r="11779" spans="13:16">
      <c r="M11779" s="49">
        <f>IF($A$4+117&gt;$B$4,"",$A$4+117)</f>
        <v>46140</v>
      </c>
      <c r="N11779">
        <f>IF(M11779="","",'Master Barang'!A73)</f>
        <v>0</v>
      </c>
      <c r="O11779">
        <f>IF(N11779="","",'Master Barang'!B73)</f>
        <v>0</v>
      </c>
      <c r="P11779">
        <f>IF(OR(M11779="",N11779=""),"",SUMIFS('Barang Keluar'!$E:$E,'Barang Keluar'!$A:$A,M11779,'Barang Keluar'!$C:$C,N11779))</f>
        <v>0</v>
      </c>
    </row>
    <row r="11780" spans="13:16">
      <c r="M11780" s="49">
        <f>IF($A$4+117&gt;$B$4,"",$A$4+117)</f>
        <v>46140</v>
      </c>
      <c r="N11780">
        <f>IF(M11780="","",'Master Barang'!A74)</f>
        <v>0</v>
      </c>
      <c r="O11780">
        <f>IF(N11780="","",'Master Barang'!B74)</f>
        <v>0</v>
      </c>
      <c r="P11780">
        <f>IF(OR(M11780="",N11780=""),"",SUMIFS('Barang Keluar'!$E:$E,'Barang Keluar'!$A:$A,M11780,'Barang Keluar'!$C:$C,N11780))</f>
        <v>0</v>
      </c>
    </row>
    <row r="11781" spans="13:16">
      <c r="M11781" s="49">
        <f>IF($A$4+117&gt;$B$4,"",$A$4+117)</f>
        <v>46140</v>
      </c>
      <c r="N11781">
        <f>IF(M11781="","",'Master Barang'!A75)</f>
        <v>0</v>
      </c>
      <c r="O11781">
        <f>IF(N11781="","",'Master Barang'!B75)</f>
        <v>0</v>
      </c>
      <c r="P11781">
        <f>IF(OR(M11781="",N11781=""),"",SUMIFS('Barang Keluar'!$E:$E,'Barang Keluar'!$A:$A,M11781,'Barang Keluar'!$C:$C,N11781))</f>
        <v>0</v>
      </c>
    </row>
    <row r="11782" spans="13:16">
      <c r="M11782" s="49">
        <f>IF($A$4+117&gt;$B$4,"",$A$4+117)</f>
        <v>46140</v>
      </c>
      <c r="N11782">
        <f>IF(M11782="","",'Master Barang'!A76)</f>
        <v>0</v>
      </c>
      <c r="O11782">
        <f>IF(N11782="","",'Master Barang'!B76)</f>
        <v>0</v>
      </c>
      <c r="P11782">
        <f>IF(OR(M11782="",N11782=""),"",SUMIFS('Barang Keluar'!$E:$E,'Barang Keluar'!$A:$A,M11782,'Barang Keluar'!$C:$C,N11782))</f>
        <v>0</v>
      </c>
    </row>
    <row r="11783" spans="13:16">
      <c r="M11783" s="49">
        <f>IF($A$4+117&gt;$B$4,"",$A$4+117)</f>
        <v>46140</v>
      </c>
      <c r="N11783">
        <f>IF(M11783="","",'Master Barang'!A77)</f>
        <v>0</v>
      </c>
      <c r="O11783">
        <f>IF(N11783="","",'Master Barang'!B77)</f>
        <v>0</v>
      </c>
      <c r="P11783">
        <f>IF(OR(M11783="",N11783=""),"",SUMIFS('Barang Keluar'!$E:$E,'Barang Keluar'!$A:$A,M11783,'Barang Keluar'!$C:$C,N11783))</f>
        <v>0</v>
      </c>
    </row>
    <row r="11784" spans="13:16">
      <c r="M11784" s="49">
        <f>IF($A$4+117&gt;$B$4,"",$A$4+117)</f>
        <v>46140</v>
      </c>
      <c r="N11784">
        <f>IF(M11784="","",'Master Barang'!A78)</f>
        <v>0</v>
      </c>
      <c r="O11784">
        <f>IF(N11784="","",'Master Barang'!B78)</f>
        <v>0</v>
      </c>
      <c r="P11784">
        <f>IF(OR(M11784="",N11784=""),"",SUMIFS('Barang Keluar'!$E:$E,'Barang Keluar'!$A:$A,M11784,'Barang Keluar'!$C:$C,N11784))</f>
        <v>0</v>
      </c>
    </row>
    <row r="11785" spans="13:16">
      <c r="M11785" s="49">
        <f>IF($A$4+117&gt;$B$4,"",$A$4+117)</f>
        <v>46140</v>
      </c>
      <c r="N11785">
        <f>IF(M11785="","",'Master Barang'!A79)</f>
        <v>0</v>
      </c>
      <c r="O11785">
        <f>IF(N11785="","",'Master Barang'!B79)</f>
        <v>0</v>
      </c>
      <c r="P11785">
        <f>IF(OR(M11785="",N11785=""),"",SUMIFS('Barang Keluar'!$E:$E,'Barang Keluar'!$A:$A,M11785,'Barang Keluar'!$C:$C,N11785))</f>
        <v>0</v>
      </c>
    </row>
    <row r="11786" spans="13:16">
      <c r="M11786" s="49">
        <f>IF($A$4+117&gt;$B$4,"",$A$4+117)</f>
        <v>46140</v>
      </c>
      <c r="N11786">
        <f>IF(M11786="","",'Master Barang'!A80)</f>
        <v>0</v>
      </c>
      <c r="O11786">
        <f>IF(N11786="","",'Master Barang'!B80)</f>
        <v>0</v>
      </c>
      <c r="P11786">
        <f>IF(OR(M11786="",N11786=""),"",SUMIFS('Barang Keluar'!$E:$E,'Barang Keluar'!$A:$A,M11786,'Barang Keluar'!$C:$C,N11786))</f>
        <v>0</v>
      </c>
    </row>
    <row r="11787" spans="13:16">
      <c r="M11787" s="49">
        <f>IF($A$4+117&gt;$B$4,"",$A$4+117)</f>
        <v>46140</v>
      </c>
      <c r="N11787">
        <f>IF(M11787="","",'Master Barang'!A81)</f>
        <v>0</v>
      </c>
      <c r="O11787">
        <f>IF(N11787="","",'Master Barang'!B81)</f>
        <v>0</v>
      </c>
      <c r="P11787">
        <f>IF(OR(M11787="",N11787=""),"",SUMIFS('Barang Keluar'!$E:$E,'Barang Keluar'!$A:$A,M11787,'Barang Keluar'!$C:$C,N11787))</f>
        <v>0</v>
      </c>
    </row>
    <row r="11788" spans="13:16">
      <c r="M11788" s="49">
        <f>IF($A$4+117&gt;$B$4,"",$A$4+117)</f>
        <v>46140</v>
      </c>
      <c r="N11788">
        <f>IF(M11788="","",'Master Barang'!A82)</f>
        <v>0</v>
      </c>
      <c r="O11788">
        <f>IF(N11788="","",'Master Barang'!B82)</f>
        <v>0</v>
      </c>
      <c r="P11788">
        <f>IF(OR(M11788="",N11788=""),"",SUMIFS('Barang Keluar'!$E:$E,'Barang Keluar'!$A:$A,M11788,'Barang Keluar'!$C:$C,N11788))</f>
        <v>0</v>
      </c>
    </row>
    <row r="11789" spans="13:16">
      <c r="M11789" s="49">
        <f>IF($A$4+117&gt;$B$4,"",$A$4+117)</f>
        <v>46140</v>
      </c>
      <c r="N11789">
        <f>IF(M11789="","",'Master Barang'!A83)</f>
        <v>0</v>
      </c>
      <c r="O11789">
        <f>IF(N11789="","",'Master Barang'!B83)</f>
        <v>0</v>
      </c>
      <c r="P11789">
        <f>IF(OR(M11789="",N11789=""),"",SUMIFS('Barang Keluar'!$E:$E,'Barang Keluar'!$A:$A,M11789,'Barang Keluar'!$C:$C,N11789))</f>
        <v>0</v>
      </c>
    </row>
    <row r="11790" spans="13:16">
      <c r="M11790" s="49">
        <f>IF($A$4+117&gt;$B$4,"",$A$4+117)</f>
        <v>46140</v>
      </c>
      <c r="N11790">
        <f>IF(M11790="","",'Master Barang'!A84)</f>
        <v>0</v>
      </c>
      <c r="O11790">
        <f>IF(N11790="","",'Master Barang'!B84)</f>
        <v>0</v>
      </c>
      <c r="P11790">
        <f>IF(OR(M11790="",N11790=""),"",SUMIFS('Barang Keluar'!$E:$E,'Barang Keluar'!$A:$A,M11790,'Barang Keluar'!$C:$C,N11790))</f>
        <v>0</v>
      </c>
    </row>
    <row r="11791" spans="13:16">
      <c r="M11791" s="49">
        <f>IF($A$4+117&gt;$B$4,"",$A$4+117)</f>
        <v>46140</v>
      </c>
      <c r="N11791">
        <f>IF(M11791="","",'Master Barang'!A85)</f>
        <v>0</v>
      </c>
      <c r="O11791">
        <f>IF(N11791="","",'Master Barang'!B85)</f>
        <v>0</v>
      </c>
      <c r="P11791">
        <f>IF(OR(M11791="",N11791=""),"",SUMIFS('Barang Keluar'!$E:$E,'Barang Keluar'!$A:$A,M11791,'Barang Keluar'!$C:$C,N11791))</f>
        <v>0</v>
      </c>
    </row>
    <row r="11792" spans="13:16">
      <c r="M11792" s="49">
        <f>IF($A$4+117&gt;$B$4,"",$A$4+117)</f>
        <v>46140</v>
      </c>
      <c r="N11792">
        <f>IF(M11792="","",'Master Barang'!A86)</f>
        <v>0</v>
      </c>
      <c r="O11792">
        <f>IF(N11792="","",'Master Barang'!B86)</f>
        <v>0</v>
      </c>
      <c r="P11792">
        <f>IF(OR(M11792="",N11792=""),"",SUMIFS('Barang Keluar'!$E:$E,'Barang Keluar'!$A:$A,M11792,'Barang Keluar'!$C:$C,N11792))</f>
        <v>0</v>
      </c>
    </row>
    <row r="11793" spans="13:16">
      <c r="M11793" s="49">
        <f>IF($A$4+117&gt;$B$4,"",$A$4+117)</f>
        <v>46140</v>
      </c>
      <c r="N11793">
        <f>IF(M11793="","",'Master Barang'!A87)</f>
        <v>0</v>
      </c>
      <c r="O11793">
        <f>IF(N11793="","",'Master Barang'!B87)</f>
        <v>0</v>
      </c>
      <c r="P11793">
        <f>IF(OR(M11793="",N11793=""),"",SUMIFS('Barang Keluar'!$E:$E,'Barang Keluar'!$A:$A,M11793,'Barang Keluar'!$C:$C,N11793))</f>
        <v>0</v>
      </c>
    </row>
    <row r="11794" spans="13:16">
      <c r="M11794" s="49">
        <f>IF($A$4+117&gt;$B$4,"",$A$4+117)</f>
        <v>46140</v>
      </c>
      <c r="N11794">
        <f>IF(M11794="","",'Master Barang'!A88)</f>
        <v>0</v>
      </c>
      <c r="O11794">
        <f>IF(N11794="","",'Master Barang'!B88)</f>
        <v>0</v>
      </c>
      <c r="P11794">
        <f>IF(OR(M11794="",N11794=""),"",SUMIFS('Barang Keluar'!$E:$E,'Barang Keluar'!$A:$A,M11794,'Barang Keluar'!$C:$C,N11794))</f>
        <v>0</v>
      </c>
    </row>
    <row r="11795" spans="13:16">
      <c r="M11795" s="49">
        <f>IF($A$4+117&gt;$B$4,"",$A$4+117)</f>
        <v>46140</v>
      </c>
      <c r="N11795">
        <f>IF(M11795="","",'Master Barang'!A89)</f>
        <v>0</v>
      </c>
      <c r="O11795">
        <f>IF(N11795="","",'Master Barang'!B89)</f>
        <v>0</v>
      </c>
      <c r="P11795">
        <f>IF(OR(M11795="",N11795=""),"",SUMIFS('Barang Keluar'!$E:$E,'Barang Keluar'!$A:$A,M11795,'Barang Keluar'!$C:$C,N11795))</f>
        <v>0</v>
      </c>
    </row>
    <row r="11796" spans="13:16">
      <c r="M11796" s="49">
        <f>IF($A$4+117&gt;$B$4,"",$A$4+117)</f>
        <v>46140</v>
      </c>
      <c r="N11796">
        <f>IF(M11796="","",'Master Barang'!A90)</f>
        <v>0</v>
      </c>
      <c r="O11796">
        <f>IF(N11796="","",'Master Barang'!B90)</f>
        <v>0</v>
      </c>
      <c r="P11796">
        <f>IF(OR(M11796="",N11796=""),"",SUMIFS('Barang Keluar'!$E:$E,'Barang Keluar'!$A:$A,M11796,'Barang Keluar'!$C:$C,N11796))</f>
        <v>0</v>
      </c>
    </row>
    <row r="11797" spans="13:16">
      <c r="M11797" s="49">
        <f>IF($A$4+117&gt;$B$4,"",$A$4+117)</f>
        <v>46140</v>
      </c>
      <c r="N11797">
        <f>IF(M11797="","",'Master Barang'!A91)</f>
        <v>0</v>
      </c>
      <c r="O11797">
        <f>IF(N11797="","",'Master Barang'!B91)</f>
        <v>0</v>
      </c>
      <c r="P11797">
        <f>IF(OR(M11797="",N11797=""),"",SUMIFS('Barang Keluar'!$E:$E,'Barang Keluar'!$A:$A,M11797,'Barang Keluar'!$C:$C,N11797))</f>
        <v>0</v>
      </c>
    </row>
    <row r="11798" spans="13:16">
      <c r="M11798" s="49">
        <f>IF($A$4+117&gt;$B$4,"",$A$4+117)</f>
        <v>46140</v>
      </c>
      <c r="N11798">
        <f>IF(M11798="","",'Master Barang'!A92)</f>
        <v>0</v>
      </c>
      <c r="O11798">
        <f>IF(N11798="","",'Master Barang'!B92)</f>
        <v>0</v>
      </c>
      <c r="P11798">
        <f>IF(OR(M11798="",N11798=""),"",SUMIFS('Barang Keluar'!$E:$E,'Barang Keluar'!$A:$A,M11798,'Barang Keluar'!$C:$C,N11798))</f>
        <v>0</v>
      </c>
    </row>
    <row r="11799" spans="13:16">
      <c r="M11799" s="49">
        <f>IF($A$4+117&gt;$B$4,"",$A$4+117)</f>
        <v>46140</v>
      </c>
      <c r="N11799">
        <f>IF(M11799="","",'Master Barang'!A93)</f>
        <v>0</v>
      </c>
      <c r="O11799">
        <f>IF(N11799="","",'Master Barang'!B93)</f>
        <v>0</v>
      </c>
      <c r="P11799">
        <f>IF(OR(M11799="",N11799=""),"",SUMIFS('Barang Keluar'!$E:$E,'Barang Keluar'!$A:$A,M11799,'Barang Keluar'!$C:$C,N11799))</f>
        <v>0</v>
      </c>
    </row>
    <row r="11800" spans="13:16">
      <c r="M11800" s="49">
        <f>IF($A$4+117&gt;$B$4,"",$A$4+117)</f>
        <v>46140</v>
      </c>
      <c r="N11800">
        <f>IF(M11800="","",'Master Barang'!A94)</f>
        <v>0</v>
      </c>
      <c r="O11800">
        <f>IF(N11800="","",'Master Barang'!B94)</f>
        <v>0</v>
      </c>
      <c r="P11800">
        <f>IF(OR(M11800="",N11800=""),"",SUMIFS('Barang Keluar'!$E:$E,'Barang Keluar'!$A:$A,M11800,'Barang Keluar'!$C:$C,N11800))</f>
        <v>0</v>
      </c>
    </row>
    <row r="11801" spans="13:16">
      <c r="M11801" s="49">
        <f>IF($A$4+117&gt;$B$4,"",$A$4+117)</f>
        <v>46140</v>
      </c>
      <c r="N11801">
        <f>IF(M11801="","",'Master Barang'!A95)</f>
        <v>0</v>
      </c>
      <c r="O11801">
        <f>IF(N11801="","",'Master Barang'!B95)</f>
        <v>0</v>
      </c>
      <c r="P11801">
        <f>IF(OR(M11801="",N11801=""),"",SUMIFS('Barang Keluar'!$E:$E,'Barang Keluar'!$A:$A,M11801,'Barang Keluar'!$C:$C,N11801))</f>
        <v>0</v>
      </c>
    </row>
    <row r="11802" spans="13:16">
      <c r="M11802" s="49">
        <f>IF($A$4+117&gt;$B$4,"",$A$4+117)</f>
        <v>46140</v>
      </c>
      <c r="N11802">
        <f>IF(M11802="","",'Master Barang'!A96)</f>
        <v>0</v>
      </c>
      <c r="O11802">
        <f>IF(N11802="","",'Master Barang'!B96)</f>
        <v>0</v>
      </c>
      <c r="P11802">
        <f>IF(OR(M11802="",N11802=""),"",SUMIFS('Barang Keluar'!$E:$E,'Barang Keluar'!$A:$A,M11802,'Barang Keluar'!$C:$C,N11802))</f>
        <v>0</v>
      </c>
    </row>
    <row r="11803" spans="13:16">
      <c r="M11803" s="49">
        <f>IF($A$4+117&gt;$B$4,"",$A$4+117)</f>
        <v>46140</v>
      </c>
      <c r="N11803">
        <f>IF(M11803="","",'Master Barang'!A97)</f>
        <v>0</v>
      </c>
      <c r="O11803">
        <f>IF(N11803="","",'Master Barang'!B97)</f>
        <v>0</v>
      </c>
      <c r="P11803">
        <f>IF(OR(M11803="",N11803=""),"",SUMIFS('Barang Keluar'!$E:$E,'Barang Keluar'!$A:$A,M11803,'Barang Keluar'!$C:$C,N11803))</f>
        <v>0</v>
      </c>
    </row>
    <row r="11804" spans="13:16">
      <c r="M11804" s="49">
        <f>IF($A$4+117&gt;$B$4,"",$A$4+117)</f>
        <v>46140</v>
      </c>
      <c r="N11804">
        <f>IF(M11804="","",'Master Barang'!A98)</f>
        <v>0</v>
      </c>
      <c r="O11804">
        <f>IF(N11804="","",'Master Barang'!B98)</f>
        <v>0</v>
      </c>
      <c r="P11804">
        <f>IF(OR(M11804="",N11804=""),"",SUMIFS('Barang Keluar'!$E:$E,'Barang Keluar'!$A:$A,M11804,'Barang Keluar'!$C:$C,N11804))</f>
        <v>0</v>
      </c>
    </row>
    <row r="11805" spans="13:16">
      <c r="M11805" s="49">
        <f>IF($A$4+117&gt;$B$4,"",$A$4+117)</f>
        <v>46140</v>
      </c>
      <c r="N11805">
        <f>IF(M11805="","",'Master Barang'!A99)</f>
        <v>0</v>
      </c>
      <c r="O11805">
        <f>IF(N11805="","",'Master Barang'!B99)</f>
        <v>0</v>
      </c>
      <c r="P11805">
        <f>IF(OR(M11805="",N11805=""),"",SUMIFS('Barang Keluar'!$E:$E,'Barang Keluar'!$A:$A,M11805,'Barang Keluar'!$C:$C,N11805))</f>
        <v>0</v>
      </c>
    </row>
    <row r="11806" spans="13:16">
      <c r="M11806" s="49">
        <f>IF($A$4+117&gt;$B$4,"",$A$4+117)</f>
        <v>46140</v>
      </c>
      <c r="N11806">
        <f>IF(M11806="","",'Master Barang'!A100)</f>
        <v>0</v>
      </c>
      <c r="O11806">
        <f>IF(N11806="","",'Master Barang'!B100)</f>
        <v>0</v>
      </c>
      <c r="P11806">
        <f>IF(OR(M11806="",N11806=""),"",SUMIFS('Barang Keluar'!$E:$E,'Barang Keluar'!$A:$A,M11806,'Barang Keluar'!$C:$C,N11806))</f>
        <v>0</v>
      </c>
    </row>
    <row r="11807" spans="13:16">
      <c r="M11807" s="49">
        <f>IF($A$4+117&gt;$B$4,"",$A$4+117)</f>
        <v>46140</v>
      </c>
      <c r="N11807">
        <f>IF(M11807="","",'Master Barang'!A101)</f>
        <v>0</v>
      </c>
      <c r="O11807">
        <f>IF(N11807="","",'Master Barang'!B101)</f>
        <v>0</v>
      </c>
      <c r="P11807">
        <f>IF(OR(M11807="",N11807=""),"",SUMIFS('Barang Keluar'!$E:$E,'Barang Keluar'!$A:$A,M11807,'Barang Keluar'!$C:$C,N11807))</f>
        <v>0</v>
      </c>
    </row>
    <row r="11808" spans="13:16">
      <c r="M11808" s="49">
        <f>IF($A$4+118&gt;$B$4,"",$A$4+118)</f>
        <v>46141</v>
      </c>
      <c r="N11808" t="str">
        <f>IF(M11808="","",'Master Barang'!A2)</f>
        <v>PRL-001</v>
      </c>
      <c r="O11808" t="str">
        <f>IF(N11808="","",'Master Barang'!B2)</f>
        <v>natura desinfectant food grade 5l</v>
      </c>
      <c r="P11808">
        <f>IF(OR(M11808="",N11808=""),"",SUMIFS('Barang Keluar'!$E:$E,'Barang Keluar'!$A:$A,M11808,'Barang Keluar'!$C:$C,N11808))</f>
        <v>0</v>
      </c>
    </row>
    <row r="11809" spans="13:16">
      <c r="M11809" s="49">
        <f>IF($A$4+118&gt;$B$4,"",$A$4+118)</f>
        <v>46141</v>
      </c>
      <c r="N11809" t="str">
        <f>IF(M11809="","",'Master Barang'!A3)</f>
        <v>PRL-002</v>
      </c>
      <c r="O11809" t="str">
        <f>IF(N11809="","",'Master Barang'!B3)</f>
        <v>sunlight cairan pencuci piring 5l</v>
      </c>
      <c r="P11809">
        <f>IF(OR(M11809="",N11809=""),"",SUMIFS('Barang Keluar'!$E:$E,'Barang Keluar'!$A:$A,M11809,'Barang Keluar'!$C:$C,N11809))</f>
        <v>0</v>
      </c>
    </row>
    <row r="11810" spans="13:16">
      <c r="M11810" s="49">
        <f>IF($A$4+118&gt;$B$4,"",$A$4+118)</f>
        <v>46141</v>
      </c>
      <c r="N11810" t="str">
        <f>IF(M11810="","",'Master Barang'!A4)</f>
        <v>PRL-003</v>
      </c>
      <c r="O11810" t="str">
        <f>IF(N11810="","",'Master Barang'!B4)</f>
        <v>oixs cleaner 1l</v>
      </c>
      <c r="P11810">
        <f>IF(OR(M11810="",N11810=""),"",SUMIFS('Barang Keluar'!$E:$E,'Barang Keluar'!$A:$A,M11810,'Barang Keluar'!$C:$C,N11810))</f>
        <v>0</v>
      </c>
    </row>
    <row r="11811" spans="13:16">
      <c r="M11811" s="49">
        <f>IF($A$4+118&gt;$B$4,"",$A$4+118)</f>
        <v>46141</v>
      </c>
      <c r="N11811" t="str">
        <f>IF(M11811="","",'Master Barang'!A5)</f>
        <v>PRL-004</v>
      </c>
      <c r="O11811" t="str">
        <f>IF(N11811="","",'Master Barang'!B5)</f>
        <v>be clean tissue serbaguna</v>
      </c>
      <c r="P11811">
        <f>IF(OR(M11811="",N11811=""),"",SUMIFS('Barang Keluar'!$E:$E,'Barang Keluar'!$A:$A,M11811,'Barang Keluar'!$C:$C,N11811))</f>
        <v>0</v>
      </c>
    </row>
    <row r="11812" spans="13:16">
      <c r="M11812" s="49">
        <f>IF($A$4+118&gt;$B$4,"",$A$4+118)</f>
        <v>46141</v>
      </c>
      <c r="N11812" t="str">
        <f>IF(M11812="","",'Master Barang'!A6)</f>
        <v>PRL-005</v>
      </c>
      <c r="O11812" t="str">
        <f>IF(N11812="","",'Master Barang'!B6)</f>
        <v>spons cuci hijau</v>
      </c>
      <c r="P11812">
        <f>IF(OR(M11812="",N11812=""),"",SUMIFS('Barang Keluar'!$E:$E,'Barang Keluar'!$A:$A,M11812,'Barang Keluar'!$C:$C,N11812))</f>
        <v>0</v>
      </c>
    </row>
    <row r="11813" spans="13:16">
      <c r="M11813" s="49">
        <f>IF($A$4+118&gt;$B$4,"",$A$4+118)</f>
        <v>46141</v>
      </c>
      <c r="N11813" t="str">
        <f>IF(M11813="","",'Master Barang'!A7)</f>
        <v>PRL-006</v>
      </c>
      <c r="O11813" t="str">
        <f>IF(N11813="","",'Master Barang'!B7)</f>
        <v>sabut cuci stainless</v>
      </c>
      <c r="P11813">
        <f>IF(OR(M11813="",N11813=""),"",SUMIFS('Barang Keluar'!$E:$E,'Barang Keluar'!$A:$A,M11813,'Barang Keluar'!$C:$C,N11813))</f>
        <v>0</v>
      </c>
    </row>
    <row r="11814" spans="13:16">
      <c r="M11814" s="49">
        <f>IF($A$4+118&gt;$B$4,"",$A$4+118)</f>
        <v>46141</v>
      </c>
      <c r="N11814" t="str">
        <f>IF(M11814="","",'Master Barang'!A8)</f>
        <v>PRL-007</v>
      </c>
      <c r="O11814" t="str">
        <f>IF(N11814="","",'Master Barang'!B8)</f>
        <v>plastik kresek besar merah 50pc</v>
      </c>
      <c r="P11814">
        <f>IF(OR(M11814="",N11814=""),"",SUMIFS('Barang Keluar'!$E:$E,'Barang Keluar'!$A:$A,M11814,'Barang Keluar'!$C:$C,N11814))</f>
        <v>0</v>
      </c>
    </row>
    <row r="11815" spans="13:16">
      <c r="M11815" s="49">
        <f>IF($A$4+118&gt;$B$4,"",$A$4+118)</f>
        <v>46141</v>
      </c>
      <c r="N11815" t="str">
        <f>IF(M11815="","",'Master Barang'!A9)</f>
        <v>PRL-008</v>
      </c>
      <c r="O11815" t="str">
        <f>IF(N11815="","",'Master Barang'!B9)</f>
        <v>lap besar</v>
      </c>
      <c r="P11815">
        <f>IF(OR(M11815="",N11815=""),"",SUMIFS('Barang Keluar'!$E:$E,'Barang Keluar'!$A:$A,M11815,'Barang Keluar'!$C:$C,N11815))</f>
        <v>0</v>
      </c>
    </row>
    <row r="11816" spans="13:16">
      <c r="M11816" s="49">
        <f>IF($A$4+118&gt;$B$4,"",$A$4+118)</f>
        <v>46141</v>
      </c>
      <c r="N11816" t="str">
        <f>IF(M11816="","",'Master Barang'!A10)</f>
        <v>PRL-009</v>
      </c>
      <c r="O11816" t="str">
        <f>IF(N11816="","",'Master Barang'!B10)</f>
        <v>lap microfiber</v>
      </c>
      <c r="P11816">
        <f>IF(OR(M11816="",N11816=""),"",SUMIFS('Barang Keluar'!$E:$E,'Barang Keluar'!$A:$A,M11816,'Barang Keluar'!$C:$C,N11816))</f>
        <v>0</v>
      </c>
    </row>
    <row r="11817" spans="13:16">
      <c r="M11817" s="49">
        <f>IF($A$4+118&gt;$B$4,"",$A$4+118)</f>
        <v>46141</v>
      </c>
      <c r="N11817" t="str">
        <f>IF(M11817="","",'Master Barang'!A11)</f>
        <v>PRL-010</v>
      </c>
      <c r="O11817" t="str">
        <f>IF(N11817="","",'Master Barang'!B11)</f>
        <v>lap kecil</v>
      </c>
      <c r="P11817">
        <f>IF(OR(M11817="",N11817=""),"",SUMIFS('Barang Keluar'!$E:$E,'Barang Keluar'!$A:$A,M11817,'Barang Keluar'!$C:$C,N11817))</f>
        <v>0</v>
      </c>
    </row>
    <row r="11818" spans="13:16">
      <c r="M11818" s="49">
        <f>IF($A$4+118&gt;$B$4,"",$A$4+118)</f>
        <v>46141</v>
      </c>
      <c r="N11818" t="str">
        <f>IF(M11818="","",'Master Barang'!A12)</f>
        <v>PRL-011</v>
      </c>
      <c r="O11818" t="str">
        <f>IF(N11818="","",'Master Barang'!B12)</f>
        <v>kanebo kecil</v>
      </c>
      <c r="P11818">
        <f>IF(OR(M11818="",N11818=""),"",SUMIFS('Barang Keluar'!$E:$E,'Barang Keluar'!$A:$A,M11818,'Barang Keluar'!$C:$C,N11818))</f>
        <v>0</v>
      </c>
    </row>
    <row r="11819" spans="13:16">
      <c r="M11819" s="49">
        <f>IF($A$4+118&gt;$B$4,"",$A$4+118)</f>
        <v>46141</v>
      </c>
      <c r="N11819" t="str">
        <f>IF(M11819="","",'Master Barang'!A13)</f>
        <v>PRL-012</v>
      </c>
      <c r="O11819" t="str">
        <f>IF(N11819="","",'Master Barang'!B13)</f>
        <v>plastik 1/4kg joyoboyo 100 lembar</v>
      </c>
      <c r="P11819">
        <f>IF(OR(M11819="",N11819=""),"",SUMIFS('Barang Keluar'!$E:$E,'Barang Keluar'!$A:$A,M11819,'Barang Keluar'!$C:$C,N11819))</f>
        <v>0</v>
      </c>
    </row>
    <row r="11820" spans="13:16">
      <c r="M11820" s="49">
        <f>IF($A$4+118&gt;$B$4,"",$A$4+118)</f>
        <v>46141</v>
      </c>
      <c r="N11820" t="str">
        <f>IF(M11820="","",'Master Barang'!A14)</f>
        <v>PRL-013</v>
      </c>
      <c r="O11820" t="str">
        <f>IF(N11820="","",'Master Barang'!B14)</f>
        <v>sarung tangan plastik kaka 100 pcs</v>
      </c>
      <c r="P11820">
        <f>IF(OR(M11820="",N11820=""),"",SUMIFS('Barang Keluar'!$E:$E,'Barang Keluar'!$A:$A,M11820,'Barang Keluar'!$C:$C,N11820))</f>
        <v>0</v>
      </c>
    </row>
    <row r="11821" spans="13:16">
      <c r="M11821" s="49">
        <f>IF($A$4+118&gt;$B$4,"",$A$4+118)</f>
        <v>46141</v>
      </c>
      <c r="N11821" t="str">
        <f>IF(M11821="","",'Master Barang'!A15)</f>
        <v>PRL-014</v>
      </c>
      <c r="O11821" t="str">
        <f>IF(N11821="","",'Master Barang'!B15)</f>
        <v>optima trashbag 80x100</v>
      </c>
      <c r="P11821">
        <f>IF(OR(M11821="",N11821=""),"",SUMIFS('Barang Keluar'!$E:$E,'Barang Keluar'!$A:$A,M11821,'Barang Keluar'!$C:$C,N11821))</f>
        <v>0</v>
      </c>
    </row>
    <row r="11822" spans="13:16">
      <c r="M11822" s="49">
        <f>IF($A$4+118&gt;$B$4,"",$A$4+118)</f>
        <v>46141</v>
      </c>
      <c r="N11822" t="str">
        <f>IF(M11822="","",'Master Barang'!A16)</f>
        <v>PRL-015</v>
      </c>
      <c r="O11822" t="str">
        <f>IF(N11822="","",'Master Barang'!B16)</f>
        <v>optima trashbag 60x100</v>
      </c>
      <c r="P11822">
        <f>IF(OR(M11822="",N11822=""),"",SUMIFS('Barang Keluar'!$E:$E,'Barang Keluar'!$A:$A,M11822,'Barang Keluar'!$C:$C,N11822))</f>
        <v>0</v>
      </c>
    </row>
    <row r="11823" spans="13:16">
      <c r="M11823" s="49">
        <f>IF($A$4+118&gt;$B$4,"",$A$4+118)</f>
        <v>46141</v>
      </c>
      <c r="N11823" t="str">
        <f>IF(M11823="","",'Master Barang'!A17)</f>
        <v>PRL-016</v>
      </c>
      <c r="O11823" t="str">
        <f>IF(N11823="","",'Master Barang'!B17)</f>
        <v>rajawali trashbag 30x40</v>
      </c>
      <c r="P11823">
        <f>IF(OR(M11823="",N11823=""),"",SUMIFS('Barang Keluar'!$E:$E,'Barang Keluar'!$A:$A,M11823,'Barang Keluar'!$C:$C,N11823))</f>
        <v>0</v>
      </c>
    </row>
    <row r="11824" spans="13:16">
      <c r="M11824" s="49">
        <f>IF($A$4+118&gt;$B$4,"",$A$4+118)</f>
        <v>46141</v>
      </c>
      <c r="N11824" t="str">
        <f>IF(M11824="","",'Master Barang'!A18)</f>
        <v>PRL-017</v>
      </c>
      <c r="O11824" t="str">
        <f>IF(N11824="","",'Master Barang'!B18)</f>
        <v>onemed masker biru 3 play 50 pcs</v>
      </c>
      <c r="P11824">
        <f>IF(OR(M11824="",N11824=""),"",SUMIFS('Barang Keluar'!$E:$E,'Barang Keluar'!$A:$A,M11824,'Barang Keluar'!$C:$C,N11824))</f>
        <v>0</v>
      </c>
    </row>
    <row r="11825" spans="13:16">
      <c r="M11825" s="49">
        <f>IF($A$4+118&gt;$B$4,"",$A$4+118)</f>
        <v>46141</v>
      </c>
      <c r="N11825" t="str">
        <f>IF(M11825="","",'Master Barang'!A19)</f>
        <v>PRL-018</v>
      </c>
      <c r="O11825" t="str">
        <f>IF(N11825="","",'Master Barang'!B19)</f>
        <v>onemed masker biru 3 play hijab 50 pcs</v>
      </c>
      <c r="P11825">
        <f>IF(OR(M11825="",N11825=""),"",SUMIFS('Barang Keluar'!$E:$E,'Barang Keluar'!$A:$A,M11825,'Barang Keluar'!$C:$C,N11825))</f>
        <v>0</v>
      </c>
    </row>
    <row r="11826" spans="13:16">
      <c r="M11826" s="49">
        <f>IF($A$4+118&gt;$B$4,"",$A$4+118)</f>
        <v>46141</v>
      </c>
      <c r="N11826" t="str">
        <f>IF(M11826="","",'Master Barang'!A20)</f>
        <v>PRL-019</v>
      </c>
      <c r="O11826" t="str">
        <f>IF(N11826="","",'Master Barang'!B20)</f>
        <v>neo health masker biru 3 play 50 pcs</v>
      </c>
      <c r="P11826">
        <f>IF(OR(M11826="",N11826=""),"",SUMIFS('Barang Keluar'!$E:$E,'Barang Keluar'!$A:$A,M11826,'Barang Keluar'!$C:$C,N11826))</f>
        <v>0</v>
      </c>
    </row>
    <row r="11827" spans="13:16">
      <c r="M11827" s="49">
        <f>IF($A$4+118&gt;$B$4,"",$A$4+118)</f>
        <v>46141</v>
      </c>
      <c r="N11827" t="str">
        <f>IF(M11827="","",'Master Barang'!A21)</f>
        <v>PRL-020</v>
      </c>
      <c r="O11827" t="str">
        <f>IF(N11827="","",'Master Barang'!B21)</f>
        <v>baymed masker hijau 3 play hijau 50 pcs</v>
      </c>
      <c r="P11827">
        <f>IF(OR(M11827="",N11827=""),"",SUMIFS('Barang Keluar'!$E:$E,'Barang Keluar'!$A:$A,M11827,'Barang Keluar'!$C:$C,N11827))</f>
        <v>0</v>
      </c>
    </row>
    <row r="11828" spans="13:16">
      <c r="M11828" s="49">
        <f>IF($A$4+118&gt;$B$4,"",$A$4+118)</f>
        <v>46141</v>
      </c>
      <c r="N11828" t="str">
        <f>IF(M11828="","",'Master Barang'!A22)</f>
        <v>PRL-021</v>
      </c>
      <c r="O11828" t="str">
        <f>IF(N11828="","",'Master Barang'!B22)</f>
        <v>altamed nurse cap penutup kepala 100 pcs</v>
      </c>
      <c r="P11828">
        <f>IF(OR(M11828="",N11828=""),"",SUMIFS('Barang Keluar'!$E:$E,'Barang Keluar'!$A:$A,M11828,'Barang Keluar'!$C:$C,N11828))</f>
        <v>0</v>
      </c>
    </row>
    <row r="11829" spans="13:16">
      <c r="M11829" s="49">
        <f>IF($A$4+118&gt;$B$4,"",$A$4+118)</f>
        <v>46141</v>
      </c>
      <c r="N11829" t="str">
        <f>IF(M11829="","",'Master Barang'!A23)</f>
        <v>PRL-022</v>
      </c>
      <c r="O11829" t="str">
        <f>IF(N11829="","",'Master Barang'!B23)</f>
        <v>sabun cuci tangan</v>
      </c>
      <c r="P11829">
        <f>IF(OR(M11829="",N11829=""),"",SUMIFS('Barang Keluar'!$E:$E,'Barang Keluar'!$A:$A,M11829,'Barang Keluar'!$C:$C,N11829))</f>
        <v>0</v>
      </c>
    </row>
    <row r="11830" spans="13:16">
      <c r="M11830" s="49">
        <f>IF($A$4+118&gt;$B$4,"",$A$4+118)</f>
        <v>46141</v>
      </c>
      <c r="N11830" t="str">
        <f>IF(M11830="","",'Master Barang'!A24)</f>
        <v>PRL-023</v>
      </c>
      <c r="O11830" t="str">
        <f>IF(N11830="","",'Master Barang'!B24)</f>
        <v>gayung kecil</v>
      </c>
      <c r="P11830">
        <f>IF(OR(M11830="",N11830=""),"",SUMIFS('Barang Keluar'!$E:$E,'Barang Keluar'!$A:$A,M11830,'Barang Keluar'!$C:$C,N11830))</f>
        <v>0</v>
      </c>
    </row>
    <row r="11831" spans="13:16">
      <c r="M11831" s="49">
        <f>IF($A$4+118&gt;$B$4,"",$A$4+118)</f>
        <v>46141</v>
      </c>
      <c r="N11831" t="str">
        <f>IF(M11831="","",'Master Barang'!A25)</f>
        <v>PRL-024</v>
      </c>
      <c r="O11831" t="str">
        <f>IF(N11831="","",'Master Barang'!B25)</f>
        <v>cikrak kecil</v>
      </c>
      <c r="P11831">
        <f>IF(OR(M11831="",N11831=""),"",SUMIFS('Barang Keluar'!$E:$E,'Barang Keluar'!$A:$A,M11831,'Barang Keluar'!$C:$C,N11831))</f>
        <v>0</v>
      </c>
    </row>
    <row r="11832" spans="13:16">
      <c r="M11832" s="49">
        <f>IF($A$4+118&gt;$B$4,"",$A$4+118)</f>
        <v>46141</v>
      </c>
      <c r="N11832" t="str">
        <f>IF(M11832="","",'Master Barang'!A26)</f>
        <v>PRL-025</v>
      </c>
      <c r="O11832" t="str">
        <f>IF(N11832="","",'Master Barang'!B26)</f>
        <v>petromax plastik kecil 12x24 100 lembar</v>
      </c>
      <c r="P11832">
        <f>IF(OR(M11832="",N11832=""),"",SUMIFS('Barang Keluar'!$E:$E,'Barang Keluar'!$A:$A,M11832,'Barang Keluar'!$C:$C,N11832))</f>
        <v>0</v>
      </c>
    </row>
    <row r="11833" spans="13:16">
      <c r="M11833" s="49">
        <f>IF($A$4+118&gt;$B$4,"",$A$4+118)</f>
        <v>46141</v>
      </c>
      <c r="N11833" t="str">
        <f>IF(M11833="","",'Master Barang'!A27)</f>
        <v>PRL-026</v>
      </c>
      <c r="O11833" t="str">
        <f>IF(N11833="","",'Master Barang'!B27)</f>
        <v>lancar kresek kecil bening </v>
      </c>
      <c r="P11833">
        <f>IF(OR(M11833="",N11833=""),"",SUMIFS('Barang Keluar'!$E:$E,'Barang Keluar'!$A:$A,M11833,'Barang Keluar'!$C:$C,N11833))</f>
        <v>0</v>
      </c>
    </row>
    <row r="11834" spans="13:16">
      <c r="M11834" s="49">
        <f>IF($A$4+118&gt;$B$4,"",$A$4+118)</f>
        <v>46141</v>
      </c>
      <c r="N11834" t="str">
        <f>IF(M11834="","",'Master Barang'!A28)</f>
        <v>PRL-027</v>
      </c>
      <c r="O11834" t="str">
        <f>IF(N11834="","",'Master Barang'!B28)</f>
        <v>kresek klin warna warni kecil</v>
      </c>
      <c r="P11834">
        <f>IF(OR(M11834="",N11834=""),"",SUMIFS('Barang Keluar'!$E:$E,'Barang Keluar'!$A:$A,M11834,'Barang Keluar'!$C:$C,N11834))</f>
        <v>0</v>
      </c>
    </row>
    <row r="11835" spans="13:16">
      <c r="M11835" s="49">
        <f>IF($A$4+118&gt;$B$4,"",$A$4+118)</f>
        <v>46141</v>
      </c>
      <c r="N11835" t="str">
        <f>IF(M11835="","",'Master Barang'!A29)</f>
        <v>PRL-028</v>
      </c>
      <c r="O11835" t="str">
        <f>IF(N11835="","",'Master Barang'!B29)</f>
        <v>ctik plastik 7x10 100 pcs</v>
      </c>
      <c r="P11835">
        <f>IF(OR(M11835="",N11835=""),"",SUMIFS('Barang Keluar'!$E:$E,'Barang Keluar'!$A:$A,M11835,'Barang Keluar'!$C:$C,N11835))</f>
        <v>0</v>
      </c>
    </row>
    <row r="11836" spans="13:16">
      <c r="M11836" s="49">
        <f>IF($A$4+118&gt;$B$4,"",$A$4+118)</f>
        <v>46141</v>
      </c>
      <c r="N11836" t="str">
        <f>IF(M11836="","",'Master Barang'!A30)</f>
        <v>PRL-029</v>
      </c>
      <c r="O11836" t="str">
        <f>IF(N11836="","",'Master Barang'!B30)</f>
        <v>ctik plastik 6x10 100 pcs</v>
      </c>
      <c r="P11836">
        <f>IF(OR(M11836="",N11836=""),"",SUMIFS('Barang Keluar'!$E:$E,'Barang Keluar'!$A:$A,M11836,'Barang Keluar'!$C:$C,N11836))</f>
        <v>0</v>
      </c>
    </row>
    <row r="11837" spans="13:16">
      <c r="M11837" s="49">
        <f>IF($A$4+118&gt;$B$4,"",$A$4+118)</f>
        <v>46141</v>
      </c>
      <c r="N11837" t="str">
        <f>IF(M11837="","",'Master Barang'!A31)</f>
        <v>PRL-030</v>
      </c>
      <c r="O11837" t="str">
        <f>IF(N11837="","",'Master Barang'!B31)</f>
        <v>klip plastik 25x16 100 pcs</v>
      </c>
      <c r="P11837">
        <f>IF(OR(M11837="",N11837=""),"",SUMIFS('Barang Keluar'!$E:$E,'Barang Keluar'!$A:$A,M11837,'Barang Keluar'!$C:$C,N11837))</f>
        <v>0</v>
      </c>
    </row>
    <row r="11838" spans="13:16">
      <c r="M11838" s="49">
        <f>IF($A$4+118&gt;$B$4,"",$A$4+118)</f>
        <v>46141</v>
      </c>
      <c r="N11838" t="str">
        <f>IF(M11838="","",'Master Barang'!A32)</f>
        <v>PRL-031</v>
      </c>
      <c r="O11838" t="str">
        <f>IF(N11838="","",'Master Barang'!B32)</f>
        <v>tempat saus 20 ml</v>
      </c>
      <c r="P11838">
        <f>IF(OR(M11838="",N11838=""),"",SUMIFS('Barang Keluar'!$E:$E,'Barang Keluar'!$A:$A,M11838,'Barang Keluar'!$C:$C,N11838))</f>
        <v>0</v>
      </c>
    </row>
    <row r="11839" spans="13:16">
      <c r="M11839" s="49">
        <f>IF($A$4+118&gt;$B$4,"",$A$4+118)</f>
        <v>46141</v>
      </c>
      <c r="N11839" t="str">
        <f>IF(M11839="","",'Master Barang'!A33)</f>
        <v>PRL-032</v>
      </c>
      <c r="O11839" t="str">
        <f>IF(N11839="","",'Master Barang'!B33)</f>
        <v>plastik packaging ag box uk sedang</v>
      </c>
      <c r="P11839">
        <f>IF(OR(M11839="",N11839=""),"",SUMIFS('Barang Keluar'!$E:$E,'Barang Keluar'!$A:$A,M11839,'Barang Keluar'!$C:$C,N11839))</f>
        <v>0</v>
      </c>
    </row>
    <row r="11840" spans="13:16">
      <c r="M11840" s="49">
        <f>IF($A$4+118&gt;$B$4,"",$A$4+118)</f>
        <v>46141</v>
      </c>
      <c r="N11840" t="str">
        <f>IF(M11840="","",'Master Barang'!A34)</f>
        <v>PRL-033</v>
      </c>
      <c r="O11840">
        <f>IF(N11840="","",'Master Barang'!B34)</f>
        <v>0</v>
      </c>
      <c r="P11840">
        <f>IF(OR(M11840="",N11840=""),"",SUMIFS('Barang Keluar'!$E:$E,'Barang Keluar'!$A:$A,M11840,'Barang Keluar'!$C:$C,N11840))</f>
        <v>0</v>
      </c>
    </row>
    <row r="11841" spans="13:16">
      <c r="M11841" s="49">
        <f>IF($A$4+118&gt;$B$4,"",$A$4+118)</f>
        <v>46141</v>
      </c>
      <c r="N11841">
        <f>IF(M11841="","",'Master Barang'!A35)</f>
        <v>0</v>
      </c>
      <c r="O11841">
        <f>IF(N11841="","",'Master Barang'!B35)</f>
        <v>0</v>
      </c>
      <c r="P11841">
        <f>IF(OR(M11841="",N11841=""),"",SUMIFS('Barang Keluar'!$E:$E,'Barang Keluar'!$A:$A,M11841,'Barang Keluar'!$C:$C,N11841))</f>
        <v>0</v>
      </c>
    </row>
    <row r="11842" spans="13:16">
      <c r="M11842" s="49">
        <f>IF($A$4+118&gt;$B$4,"",$A$4+118)</f>
        <v>46141</v>
      </c>
      <c r="N11842">
        <f>IF(M11842="","",'Master Barang'!A36)</f>
        <v>0</v>
      </c>
      <c r="O11842">
        <f>IF(N11842="","",'Master Barang'!B36)</f>
        <v>0</v>
      </c>
      <c r="P11842">
        <f>IF(OR(M11842="",N11842=""),"",SUMIFS('Barang Keluar'!$E:$E,'Barang Keluar'!$A:$A,M11842,'Barang Keluar'!$C:$C,N11842))</f>
        <v>0</v>
      </c>
    </row>
    <row r="11843" spans="13:16">
      <c r="M11843" s="49">
        <f>IF($A$4+118&gt;$B$4,"",$A$4+118)</f>
        <v>46141</v>
      </c>
      <c r="N11843">
        <f>IF(M11843="","",'Master Barang'!A37)</f>
        <v>0</v>
      </c>
      <c r="O11843">
        <f>IF(N11843="","",'Master Barang'!B37)</f>
        <v>0</v>
      </c>
      <c r="P11843">
        <f>IF(OR(M11843="",N11843=""),"",SUMIFS('Barang Keluar'!$E:$E,'Barang Keluar'!$A:$A,M11843,'Barang Keluar'!$C:$C,N11843))</f>
        <v>0</v>
      </c>
    </row>
    <row r="11844" spans="13:16">
      <c r="M11844" s="49">
        <f>IF($A$4+118&gt;$B$4,"",$A$4+118)</f>
        <v>46141</v>
      </c>
      <c r="N11844">
        <f>IF(M11844="","",'Master Barang'!A38)</f>
        <v>0</v>
      </c>
      <c r="O11844">
        <f>IF(N11844="","",'Master Barang'!B38)</f>
        <v>0</v>
      </c>
      <c r="P11844">
        <f>IF(OR(M11844="",N11844=""),"",SUMIFS('Barang Keluar'!$E:$E,'Barang Keluar'!$A:$A,M11844,'Barang Keluar'!$C:$C,N11844))</f>
        <v>0</v>
      </c>
    </row>
    <row r="11845" spans="13:16">
      <c r="M11845" s="49">
        <f>IF($A$4+118&gt;$B$4,"",$A$4+118)</f>
        <v>46141</v>
      </c>
      <c r="N11845">
        <f>IF(M11845="","",'Master Barang'!A39)</f>
        <v>0</v>
      </c>
      <c r="O11845">
        <f>IF(N11845="","",'Master Barang'!B39)</f>
        <v>0</v>
      </c>
      <c r="P11845">
        <f>IF(OR(M11845="",N11845=""),"",SUMIFS('Barang Keluar'!$E:$E,'Barang Keluar'!$A:$A,M11845,'Barang Keluar'!$C:$C,N11845))</f>
        <v>0</v>
      </c>
    </row>
    <row r="11846" spans="13:16">
      <c r="M11846" s="49">
        <f>IF($A$4+118&gt;$B$4,"",$A$4+118)</f>
        <v>46141</v>
      </c>
      <c r="N11846">
        <f>IF(M11846="","",'Master Barang'!A40)</f>
        <v>0</v>
      </c>
      <c r="O11846">
        <f>IF(N11846="","",'Master Barang'!B40)</f>
        <v>0</v>
      </c>
      <c r="P11846">
        <f>IF(OR(M11846="",N11846=""),"",SUMIFS('Barang Keluar'!$E:$E,'Barang Keluar'!$A:$A,M11846,'Barang Keluar'!$C:$C,N11846))</f>
        <v>0</v>
      </c>
    </row>
    <row r="11847" spans="13:16">
      <c r="M11847" s="49">
        <f>IF($A$4+118&gt;$B$4,"",$A$4+118)</f>
        <v>46141</v>
      </c>
      <c r="N11847">
        <f>IF(M11847="","",'Master Barang'!A41)</f>
        <v>0</v>
      </c>
      <c r="O11847">
        <f>IF(N11847="","",'Master Barang'!B41)</f>
        <v>0</v>
      </c>
      <c r="P11847">
        <f>IF(OR(M11847="",N11847=""),"",SUMIFS('Barang Keluar'!$E:$E,'Barang Keluar'!$A:$A,M11847,'Barang Keluar'!$C:$C,N11847))</f>
        <v>0</v>
      </c>
    </row>
    <row r="11848" spans="13:16">
      <c r="M11848" s="49">
        <f>IF($A$4+118&gt;$B$4,"",$A$4+118)</f>
        <v>46141</v>
      </c>
      <c r="N11848">
        <f>IF(M11848="","",'Master Barang'!A42)</f>
        <v>0</v>
      </c>
      <c r="O11848">
        <f>IF(N11848="","",'Master Barang'!B42)</f>
        <v>0</v>
      </c>
      <c r="P11848">
        <f>IF(OR(M11848="",N11848=""),"",SUMIFS('Barang Keluar'!$E:$E,'Barang Keluar'!$A:$A,M11848,'Barang Keluar'!$C:$C,N11848))</f>
        <v>0</v>
      </c>
    </row>
    <row r="11849" spans="13:16">
      <c r="M11849" s="49">
        <f>IF($A$4+118&gt;$B$4,"",$A$4+118)</f>
        <v>46141</v>
      </c>
      <c r="N11849">
        <f>IF(M11849="","",'Master Barang'!A43)</f>
        <v>0</v>
      </c>
      <c r="O11849">
        <f>IF(N11849="","",'Master Barang'!B43)</f>
        <v>0</v>
      </c>
      <c r="P11849">
        <f>IF(OR(M11849="",N11849=""),"",SUMIFS('Barang Keluar'!$E:$E,'Barang Keluar'!$A:$A,M11849,'Barang Keluar'!$C:$C,N11849))</f>
        <v>0</v>
      </c>
    </row>
    <row r="11850" spans="13:16">
      <c r="M11850" s="49">
        <f>IF($A$4+118&gt;$B$4,"",$A$4+118)</f>
        <v>46141</v>
      </c>
      <c r="N11850">
        <f>IF(M11850="","",'Master Barang'!A44)</f>
        <v>0</v>
      </c>
      <c r="O11850">
        <f>IF(N11850="","",'Master Barang'!B44)</f>
        <v>0</v>
      </c>
      <c r="P11850">
        <f>IF(OR(M11850="",N11850=""),"",SUMIFS('Barang Keluar'!$E:$E,'Barang Keluar'!$A:$A,M11850,'Barang Keluar'!$C:$C,N11850))</f>
        <v>0</v>
      </c>
    </row>
    <row r="11851" spans="13:16">
      <c r="M11851" s="49">
        <f>IF($A$4+118&gt;$B$4,"",$A$4+118)</f>
        <v>46141</v>
      </c>
      <c r="N11851">
        <f>IF(M11851="","",'Master Barang'!A45)</f>
        <v>0</v>
      </c>
      <c r="O11851">
        <f>IF(N11851="","",'Master Barang'!B45)</f>
        <v>0</v>
      </c>
      <c r="P11851">
        <f>IF(OR(M11851="",N11851=""),"",SUMIFS('Barang Keluar'!$E:$E,'Barang Keluar'!$A:$A,M11851,'Barang Keluar'!$C:$C,N11851))</f>
        <v>0</v>
      </c>
    </row>
    <row r="11852" spans="13:16">
      <c r="M11852" s="49">
        <f>IF($A$4+118&gt;$B$4,"",$A$4+118)</f>
        <v>46141</v>
      </c>
      <c r="N11852">
        <f>IF(M11852="","",'Master Barang'!A46)</f>
        <v>0</v>
      </c>
      <c r="O11852">
        <f>IF(N11852="","",'Master Barang'!B46)</f>
        <v>0</v>
      </c>
      <c r="P11852">
        <f>IF(OR(M11852="",N11852=""),"",SUMIFS('Barang Keluar'!$E:$E,'Barang Keluar'!$A:$A,M11852,'Barang Keluar'!$C:$C,N11852))</f>
        <v>0</v>
      </c>
    </row>
    <row r="11853" spans="13:16">
      <c r="M11853" s="49">
        <f>IF($A$4+118&gt;$B$4,"",$A$4+118)</f>
        <v>46141</v>
      </c>
      <c r="N11853">
        <f>IF(M11853="","",'Master Barang'!A47)</f>
        <v>0</v>
      </c>
      <c r="O11853">
        <f>IF(N11853="","",'Master Barang'!B47)</f>
        <v>0</v>
      </c>
      <c r="P11853">
        <f>IF(OR(M11853="",N11853=""),"",SUMIFS('Barang Keluar'!$E:$E,'Barang Keluar'!$A:$A,M11853,'Barang Keluar'!$C:$C,N11853))</f>
        <v>0</v>
      </c>
    </row>
    <row r="11854" spans="13:16">
      <c r="M11854" s="49">
        <f>IF($A$4+118&gt;$B$4,"",$A$4+118)</f>
        <v>46141</v>
      </c>
      <c r="N11854">
        <f>IF(M11854="","",'Master Barang'!A48)</f>
        <v>0</v>
      </c>
      <c r="O11854">
        <f>IF(N11854="","",'Master Barang'!B48)</f>
        <v>0</v>
      </c>
      <c r="P11854">
        <f>IF(OR(M11854="",N11854=""),"",SUMIFS('Barang Keluar'!$E:$E,'Barang Keluar'!$A:$A,M11854,'Barang Keluar'!$C:$C,N11854))</f>
        <v>0</v>
      </c>
    </row>
    <row r="11855" spans="13:16">
      <c r="M11855" s="49">
        <f>IF($A$4+118&gt;$B$4,"",$A$4+118)</f>
        <v>46141</v>
      </c>
      <c r="N11855">
        <f>IF(M11855="","",'Master Barang'!A49)</f>
        <v>0</v>
      </c>
      <c r="O11855">
        <f>IF(N11855="","",'Master Barang'!B49)</f>
        <v>0</v>
      </c>
      <c r="P11855">
        <f>IF(OR(M11855="",N11855=""),"",SUMIFS('Barang Keluar'!$E:$E,'Barang Keluar'!$A:$A,M11855,'Barang Keluar'!$C:$C,N11855))</f>
        <v>0</v>
      </c>
    </row>
    <row r="11856" spans="13:16">
      <c r="M11856" s="49">
        <f>IF($A$4+118&gt;$B$4,"",$A$4+118)</f>
        <v>46141</v>
      </c>
      <c r="N11856">
        <f>IF(M11856="","",'Master Barang'!A50)</f>
        <v>0</v>
      </c>
      <c r="O11856">
        <f>IF(N11856="","",'Master Barang'!B50)</f>
        <v>0</v>
      </c>
      <c r="P11856">
        <f>IF(OR(M11856="",N11856=""),"",SUMIFS('Barang Keluar'!$E:$E,'Barang Keluar'!$A:$A,M11856,'Barang Keluar'!$C:$C,N11856))</f>
        <v>0</v>
      </c>
    </row>
    <row r="11857" spans="13:16">
      <c r="M11857" s="49">
        <f>IF($A$4+118&gt;$B$4,"",$A$4+118)</f>
        <v>46141</v>
      </c>
      <c r="N11857">
        <f>IF(M11857="","",'Master Barang'!A51)</f>
        <v>0</v>
      </c>
      <c r="O11857">
        <f>IF(N11857="","",'Master Barang'!B51)</f>
        <v>0</v>
      </c>
      <c r="P11857">
        <f>IF(OR(M11857="",N11857=""),"",SUMIFS('Barang Keluar'!$E:$E,'Barang Keluar'!$A:$A,M11857,'Barang Keluar'!$C:$C,N11857))</f>
        <v>0</v>
      </c>
    </row>
    <row r="11858" spans="13:16">
      <c r="M11858" s="49">
        <f>IF($A$4+118&gt;$B$4,"",$A$4+118)</f>
        <v>46141</v>
      </c>
      <c r="N11858">
        <f>IF(M11858="","",'Master Barang'!A52)</f>
        <v>0</v>
      </c>
      <c r="O11858">
        <f>IF(N11858="","",'Master Barang'!B52)</f>
        <v>0</v>
      </c>
      <c r="P11858">
        <f>IF(OR(M11858="",N11858=""),"",SUMIFS('Barang Keluar'!$E:$E,'Barang Keluar'!$A:$A,M11858,'Barang Keluar'!$C:$C,N11858))</f>
        <v>0</v>
      </c>
    </row>
    <row r="11859" spans="13:16">
      <c r="M11859" s="49">
        <f>IF($A$4+118&gt;$B$4,"",$A$4+118)</f>
        <v>46141</v>
      </c>
      <c r="N11859">
        <f>IF(M11859="","",'Master Barang'!A53)</f>
        <v>0</v>
      </c>
      <c r="O11859">
        <f>IF(N11859="","",'Master Barang'!B53)</f>
        <v>0</v>
      </c>
      <c r="P11859">
        <f>IF(OR(M11859="",N11859=""),"",SUMIFS('Barang Keluar'!$E:$E,'Barang Keluar'!$A:$A,M11859,'Barang Keluar'!$C:$C,N11859))</f>
        <v>0</v>
      </c>
    </row>
    <row r="11860" spans="13:16">
      <c r="M11860" s="49">
        <f>IF($A$4+118&gt;$B$4,"",$A$4+118)</f>
        <v>46141</v>
      </c>
      <c r="N11860">
        <f>IF(M11860="","",'Master Barang'!A54)</f>
        <v>0</v>
      </c>
      <c r="O11860">
        <f>IF(N11860="","",'Master Barang'!B54)</f>
        <v>0</v>
      </c>
      <c r="P11860">
        <f>IF(OR(M11860="",N11860=""),"",SUMIFS('Barang Keluar'!$E:$E,'Barang Keluar'!$A:$A,M11860,'Barang Keluar'!$C:$C,N11860))</f>
        <v>0</v>
      </c>
    </row>
    <row r="11861" spans="13:16">
      <c r="M11861" s="49">
        <f>IF($A$4+118&gt;$B$4,"",$A$4+118)</f>
        <v>46141</v>
      </c>
      <c r="N11861">
        <f>IF(M11861="","",'Master Barang'!A55)</f>
        <v>0</v>
      </c>
      <c r="O11861">
        <f>IF(N11861="","",'Master Barang'!B55)</f>
        <v>0</v>
      </c>
      <c r="P11861">
        <f>IF(OR(M11861="",N11861=""),"",SUMIFS('Barang Keluar'!$E:$E,'Barang Keluar'!$A:$A,M11861,'Barang Keluar'!$C:$C,N11861))</f>
        <v>0</v>
      </c>
    </row>
    <row r="11862" spans="13:16">
      <c r="M11862" s="49">
        <f>IF($A$4+118&gt;$B$4,"",$A$4+118)</f>
        <v>46141</v>
      </c>
      <c r="N11862">
        <f>IF(M11862="","",'Master Barang'!A56)</f>
        <v>0</v>
      </c>
      <c r="O11862">
        <f>IF(N11862="","",'Master Barang'!B56)</f>
        <v>0</v>
      </c>
      <c r="P11862">
        <f>IF(OR(M11862="",N11862=""),"",SUMIFS('Barang Keluar'!$E:$E,'Barang Keluar'!$A:$A,M11862,'Barang Keluar'!$C:$C,N11862))</f>
        <v>0</v>
      </c>
    </row>
    <row r="11863" spans="13:16">
      <c r="M11863" s="49">
        <f>IF($A$4+118&gt;$B$4,"",$A$4+118)</f>
        <v>46141</v>
      </c>
      <c r="N11863">
        <f>IF(M11863="","",'Master Barang'!A57)</f>
        <v>0</v>
      </c>
      <c r="O11863">
        <f>IF(N11863="","",'Master Barang'!B57)</f>
        <v>0</v>
      </c>
      <c r="P11863">
        <f>IF(OR(M11863="",N11863=""),"",SUMIFS('Barang Keluar'!$E:$E,'Barang Keluar'!$A:$A,M11863,'Barang Keluar'!$C:$C,N11863))</f>
        <v>0</v>
      </c>
    </row>
    <row r="11864" spans="13:16">
      <c r="M11864" s="49">
        <f>IF($A$4+118&gt;$B$4,"",$A$4+118)</f>
        <v>46141</v>
      </c>
      <c r="N11864">
        <f>IF(M11864="","",'Master Barang'!A58)</f>
        <v>0</v>
      </c>
      <c r="O11864">
        <f>IF(N11864="","",'Master Barang'!B58)</f>
        <v>0</v>
      </c>
      <c r="P11864">
        <f>IF(OR(M11864="",N11864=""),"",SUMIFS('Barang Keluar'!$E:$E,'Barang Keluar'!$A:$A,M11864,'Barang Keluar'!$C:$C,N11864))</f>
        <v>0</v>
      </c>
    </row>
    <row r="11865" spans="13:16">
      <c r="M11865" s="49">
        <f>IF($A$4+118&gt;$B$4,"",$A$4+118)</f>
        <v>46141</v>
      </c>
      <c r="N11865">
        <f>IF(M11865="","",'Master Barang'!A59)</f>
        <v>0</v>
      </c>
      <c r="O11865">
        <f>IF(N11865="","",'Master Barang'!B59)</f>
        <v>0</v>
      </c>
      <c r="P11865">
        <f>IF(OR(M11865="",N11865=""),"",SUMIFS('Barang Keluar'!$E:$E,'Barang Keluar'!$A:$A,M11865,'Barang Keluar'!$C:$C,N11865))</f>
        <v>0</v>
      </c>
    </row>
    <row r="11866" spans="13:16">
      <c r="M11866" s="49">
        <f>IF($A$4+118&gt;$B$4,"",$A$4+118)</f>
        <v>46141</v>
      </c>
      <c r="N11866">
        <f>IF(M11866="","",'Master Barang'!A60)</f>
        <v>0</v>
      </c>
      <c r="O11866">
        <f>IF(N11866="","",'Master Barang'!B60)</f>
        <v>0</v>
      </c>
      <c r="P11866">
        <f>IF(OR(M11866="",N11866=""),"",SUMIFS('Barang Keluar'!$E:$E,'Barang Keluar'!$A:$A,M11866,'Barang Keluar'!$C:$C,N11866))</f>
        <v>0</v>
      </c>
    </row>
    <row r="11867" spans="13:16">
      <c r="M11867" s="49">
        <f>IF($A$4+118&gt;$B$4,"",$A$4+118)</f>
        <v>46141</v>
      </c>
      <c r="N11867">
        <f>IF(M11867="","",'Master Barang'!A61)</f>
        <v>0</v>
      </c>
      <c r="O11867">
        <f>IF(N11867="","",'Master Barang'!B61)</f>
        <v>0</v>
      </c>
      <c r="P11867">
        <f>IF(OR(M11867="",N11867=""),"",SUMIFS('Barang Keluar'!$E:$E,'Barang Keluar'!$A:$A,M11867,'Barang Keluar'!$C:$C,N11867))</f>
        <v>0</v>
      </c>
    </row>
    <row r="11868" spans="13:16">
      <c r="M11868" s="49">
        <f>IF($A$4+118&gt;$B$4,"",$A$4+118)</f>
        <v>46141</v>
      </c>
      <c r="N11868">
        <f>IF(M11868="","",'Master Barang'!A62)</f>
        <v>0</v>
      </c>
      <c r="O11868">
        <f>IF(N11868="","",'Master Barang'!B62)</f>
        <v>0</v>
      </c>
      <c r="P11868">
        <f>IF(OR(M11868="",N11868=""),"",SUMIFS('Barang Keluar'!$E:$E,'Barang Keluar'!$A:$A,M11868,'Barang Keluar'!$C:$C,N11868))</f>
        <v>0</v>
      </c>
    </row>
    <row r="11869" spans="13:16">
      <c r="M11869" s="49">
        <f>IF($A$4+118&gt;$B$4,"",$A$4+118)</f>
        <v>46141</v>
      </c>
      <c r="N11869">
        <f>IF(M11869="","",'Master Barang'!A63)</f>
        <v>0</v>
      </c>
      <c r="O11869">
        <f>IF(N11869="","",'Master Barang'!B63)</f>
        <v>0</v>
      </c>
      <c r="P11869">
        <f>IF(OR(M11869="",N11869=""),"",SUMIFS('Barang Keluar'!$E:$E,'Barang Keluar'!$A:$A,M11869,'Barang Keluar'!$C:$C,N11869))</f>
        <v>0</v>
      </c>
    </row>
    <row r="11870" spans="13:16">
      <c r="M11870" s="49">
        <f>IF($A$4+118&gt;$B$4,"",$A$4+118)</f>
        <v>46141</v>
      </c>
      <c r="N11870">
        <f>IF(M11870="","",'Master Barang'!A64)</f>
        <v>0</v>
      </c>
      <c r="O11870">
        <f>IF(N11870="","",'Master Barang'!B64)</f>
        <v>0</v>
      </c>
      <c r="P11870">
        <f>IF(OR(M11870="",N11870=""),"",SUMIFS('Barang Keluar'!$E:$E,'Barang Keluar'!$A:$A,M11870,'Barang Keluar'!$C:$C,N11870))</f>
        <v>0</v>
      </c>
    </row>
    <row r="11871" spans="13:16">
      <c r="M11871" s="49">
        <f>IF($A$4+118&gt;$B$4,"",$A$4+118)</f>
        <v>46141</v>
      </c>
      <c r="N11871">
        <f>IF(M11871="","",'Master Barang'!A65)</f>
        <v>0</v>
      </c>
      <c r="O11871">
        <f>IF(N11871="","",'Master Barang'!B65)</f>
        <v>0</v>
      </c>
      <c r="P11871">
        <f>IF(OR(M11871="",N11871=""),"",SUMIFS('Barang Keluar'!$E:$E,'Barang Keluar'!$A:$A,M11871,'Barang Keluar'!$C:$C,N11871))</f>
        <v>0</v>
      </c>
    </row>
    <row r="11872" spans="13:16">
      <c r="M11872" s="49">
        <f>IF($A$4+118&gt;$B$4,"",$A$4+118)</f>
        <v>46141</v>
      </c>
      <c r="N11872">
        <f>IF(M11872="","",'Master Barang'!A66)</f>
        <v>0</v>
      </c>
      <c r="O11872">
        <f>IF(N11872="","",'Master Barang'!B66)</f>
        <v>0</v>
      </c>
      <c r="P11872">
        <f>IF(OR(M11872="",N11872=""),"",SUMIFS('Barang Keluar'!$E:$E,'Barang Keluar'!$A:$A,M11872,'Barang Keluar'!$C:$C,N11872))</f>
        <v>0</v>
      </c>
    </row>
    <row r="11873" spans="13:16">
      <c r="M11873" s="49">
        <f>IF($A$4+118&gt;$B$4,"",$A$4+118)</f>
        <v>46141</v>
      </c>
      <c r="N11873">
        <f>IF(M11873="","",'Master Barang'!A67)</f>
        <v>0</v>
      </c>
      <c r="O11873">
        <f>IF(N11873="","",'Master Barang'!B67)</f>
        <v>0</v>
      </c>
      <c r="P11873">
        <f>IF(OR(M11873="",N11873=""),"",SUMIFS('Barang Keluar'!$E:$E,'Barang Keluar'!$A:$A,M11873,'Barang Keluar'!$C:$C,N11873))</f>
        <v>0</v>
      </c>
    </row>
    <row r="11874" spans="13:16">
      <c r="M11874" s="49">
        <f>IF($A$4+118&gt;$B$4,"",$A$4+118)</f>
        <v>46141</v>
      </c>
      <c r="N11874">
        <f>IF(M11874="","",'Master Barang'!A68)</f>
        <v>0</v>
      </c>
      <c r="O11874">
        <f>IF(N11874="","",'Master Barang'!B68)</f>
        <v>0</v>
      </c>
      <c r="P11874">
        <f>IF(OR(M11874="",N11874=""),"",SUMIFS('Barang Keluar'!$E:$E,'Barang Keluar'!$A:$A,M11874,'Barang Keluar'!$C:$C,N11874))</f>
        <v>0</v>
      </c>
    </row>
    <row r="11875" spans="13:16">
      <c r="M11875" s="49">
        <f>IF($A$4+118&gt;$B$4,"",$A$4+118)</f>
        <v>46141</v>
      </c>
      <c r="N11875">
        <f>IF(M11875="","",'Master Barang'!A69)</f>
        <v>0</v>
      </c>
      <c r="O11875">
        <f>IF(N11875="","",'Master Barang'!B69)</f>
        <v>0</v>
      </c>
      <c r="P11875">
        <f>IF(OR(M11875="",N11875=""),"",SUMIFS('Barang Keluar'!$E:$E,'Barang Keluar'!$A:$A,M11875,'Barang Keluar'!$C:$C,N11875))</f>
        <v>0</v>
      </c>
    </row>
    <row r="11876" spans="13:16">
      <c r="M11876" s="49">
        <f>IF($A$4+118&gt;$B$4,"",$A$4+118)</f>
        <v>46141</v>
      </c>
      <c r="N11876">
        <f>IF(M11876="","",'Master Barang'!A70)</f>
        <v>0</v>
      </c>
      <c r="O11876">
        <f>IF(N11876="","",'Master Barang'!B70)</f>
        <v>0</v>
      </c>
      <c r="P11876">
        <f>IF(OR(M11876="",N11876=""),"",SUMIFS('Barang Keluar'!$E:$E,'Barang Keluar'!$A:$A,M11876,'Barang Keluar'!$C:$C,N11876))</f>
        <v>0</v>
      </c>
    </row>
    <row r="11877" spans="13:16">
      <c r="M11877" s="49">
        <f>IF($A$4+118&gt;$B$4,"",$A$4+118)</f>
        <v>46141</v>
      </c>
      <c r="N11877">
        <f>IF(M11877="","",'Master Barang'!A71)</f>
        <v>0</v>
      </c>
      <c r="O11877">
        <f>IF(N11877="","",'Master Barang'!B71)</f>
        <v>0</v>
      </c>
      <c r="P11877">
        <f>IF(OR(M11877="",N11877=""),"",SUMIFS('Barang Keluar'!$E:$E,'Barang Keluar'!$A:$A,M11877,'Barang Keluar'!$C:$C,N11877))</f>
        <v>0</v>
      </c>
    </row>
    <row r="11878" spans="13:16">
      <c r="M11878" s="49">
        <f>IF($A$4+118&gt;$B$4,"",$A$4+118)</f>
        <v>46141</v>
      </c>
      <c r="N11878">
        <f>IF(M11878="","",'Master Barang'!A72)</f>
        <v>0</v>
      </c>
      <c r="O11878">
        <f>IF(N11878="","",'Master Barang'!B72)</f>
        <v>0</v>
      </c>
      <c r="P11878">
        <f>IF(OR(M11878="",N11878=""),"",SUMIFS('Barang Keluar'!$E:$E,'Barang Keluar'!$A:$A,M11878,'Barang Keluar'!$C:$C,N11878))</f>
        <v>0</v>
      </c>
    </row>
    <row r="11879" spans="13:16">
      <c r="M11879" s="49">
        <f>IF($A$4+118&gt;$B$4,"",$A$4+118)</f>
        <v>46141</v>
      </c>
      <c r="N11879">
        <f>IF(M11879="","",'Master Barang'!A73)</f>
        <v>0</v>
      </c>
      <c r="O11879">
        <f>IF(N11879="","",'Master Barang'!B73)</f>
        <v>0</v>
      </c>
      <c r="P11879">
        <f>IF(OR(M11879="",N11879=""),"",SUMIFS('Barang Keluar'!$E:$E,'Barang Keluar'!$A:$A,M11879,'Barang Keluar'!$C:$C,N11879))</f>
        <v>0</v>
      </c>
    </row>
    <row r="11880" spans="13:16">
      <c r="M11880" s="49">
        <f>IF($A$4+118&gt;$B$4,"",$A$4+118)</f>
        <v>46141</v>
      </c>
      <c r="N11880">
        <f>IF(M11880="","",'Master Barang'!A74)</f>
        <v>0</v>
      </c>
      <c r="O11880">
        <f>IF(N11880="","",'Master Barang'!B74)</f>
        <v>0</v>
      </c>
      <c r="P11880">
        <f>IF(OR(M11880="",N11880=""),"",SUMIFS('Barang Keluar'!$E:$E,'Barang Keluar'!$A:$A,M11880,'Barang Keluar'!$C:$C,N11880))</f>
        <v>0</v>
      </c>
    </row>
    <row r="11881" spans="13:16">
      <c r="M11881" s="49">
        <f>IF($A$4+118&gt;$B$4,"",$A$4+118)</f>
        <v>46141</v>
      </c>
      <c r="N11881">
        <f>IF(M11881="","",'Master Barang'!A75)</f>
        <v>0</v>
      </c>
      <c r="O11881">
        <f>IF(N11881="","",'Master Barang'!B75)</f>
        <v>0</v>
      </c>
      <c r="P11881">
        <f>IF(OR(M11881="",N11881=""),"",SUMIFS('Barang Keluar'!$E:$E,'Barang Keluar'!$A:$A,M11881,'Barang Keluar'!$C:$C,N11881))</f>
        <v>0</v>
      </c>
    </row>
    <row r="11882" spans="13:16">
      <c r="M11882" s="49">
        <f>IF($A$4+118&gt;$B$4,"",$A$4+118)</f>
        <v>46141</v>
      </c>
      <c r="N11882">
        <f>IF(M11882="","",'Master Barang'!A76)</f>
        <v>0</v>
      </c>
      <c r="O11882">
        <f>IF(N11882="","",'Master Barang'!B76)</f>
        <v>0</v>
      </c>
      <c r="P11882">
        <f>IF(OR(M11882="",N11882=""),"",SUMIFS('Barang Keluar'!$E:$E,'Barang Keluar'!$A:$A,M11882,'Barang Keluar'!$C:$C,N11882))</f>
        <v>0</v>
      </c>
    </row>
    <row r="11883" spans="13:16">
      <c r="M11883" s="49">
        <f>IF($A$4+118&gt;$B$4,"",$A$4+118)</f>
        <v>46141</v>
      </c>
      <c r="N11883">
        <f>IF(M11883="","",'Master Barang'!A77)</f>
        <v>0</v>
      </c>
      <c r="O11883">
        <f>IF(N11883="","",'Master Barang'!B77)</f>
        <v>0</v>
      </c>
      <c r="P11883">
        <f>IF(OR(M11883="",N11883=""),"",SUMIFS('Barang Keluar'!$E:$E,'Barang Keluar'!$A:$A,M11883,'Barang Keluar'!$C:$C,N11883))</f>
        <v>0</v>
      </c>
    </row>
    <row r="11884" spans="13:16">
      <c r="M11884" s="49">
        <f>IF($A$4+118&gt;$B$4,"",$A$4+118)</f>
        <v>46141</v>
      </c>
      <c r="N11884">
        <f>IF(M11884="","",'Master Barang'!A78)</f>
        <v>0</v>
      </c>
      <c r="O11884">
        <f>IF(N11884="","",'Master Barang'!B78)</f>
        <v>0</v>
      </c>
      <c r="P11884">
        <f>IF(OR(M11884="",N11884=""),"",SUMIFS('Barang Keluar'!$E:$E,'Barang Keluar'!$A:$A,M11884,'Barang Keluar'!$C:$C,N11884))</f>
        <v>0</v>
      </c>
    </row>
    <row r="11885" spans="13:16">
      <c r="M11885" s="49">
        <f>IF($A$4+118&gt;$B$4,"",$A$4+118)</f>
        <v>46141</v>
      </c>
      <c r="N11885">
        <f>IF(M11885="","",'Master Barang'!A79)</f>
        <v>0</v>
      </c>
      <c r="O11885">
        <f>IF(N11885="","",'Master Barang'!B79)</f>
        <v>0</v>
      </c>
      <c r="P11885">
        <f>IF(OR(M11885="",N11885=""),"",SUMIFS('Barang Keluar'!$E:$E,'Barang Keluar'!$A:$A,M11885,'Barang Keluar'!$C:$C,N11885))</f>
        <v>0</v>
      </c>
    </row>
    <row r="11886" spans="13:16">
      <c r="M11886" s="49">
        <f>IF($A$4+118&gt;$B$4,"",$A$4+118)</f>
        <v>46141</v>
      </c>
      <c r="N11886">
        <f>IF(M11886="","",'Master Barang'!A80)</f>
        <v>0</v>
      </c>
      <c r="O11886">
        <f>IF(N11886="","",'Master Barang'!B80)</f>
        <v>0</v>
      </c>
      <c r="P11886">
        <f>IF(OR(M11886="",N11886=""),"",SUMIFS('Barang Keluar'!$E:$E,'Barang Keluar'!$A:$A,M11886,'Barang Keluar'!$C:$C,N11886))</f>
        <v>0</v>
      </c>
    </row>
    <row r="11887" spans="13:16">
      <c r="M11887" s="49">
        <f>IF($A$4+118&gt;$B$4,"",$A$4+118)</f>
        <v>46141</v>
      </c>
      <c r="N11887">
        <f>IF(M11887="","",'Master Barang'!A81)</f>
        <v>0</v>
      </c>
      <c r="O11887">
        <f>IF(N11887="","",'Master Barang'!B81)</f>
        <v>0</v>
      </c>
      <c r="P11887">
        <f>IF(OR(M11887="",N11887=""),"",SUMIFS('Barang Keluar'!$E:$E,'Barang Keluar'!$A:$A,M11887,'Barang Keluar'!$C:$C,N11887))</f>
        <v>0</v>
      </c>
    </row>
    <row r="11888" spans="13:16">
      <c r="M11888" s="49">
        <f>IF($A$4+118&gt;$B$4,"",$A$4+118)</f>
        <v>46141</v>
      </c>
      <c r="N11888">
        <f>IF(M11888="","",'Master Barang'!A82)</f>
        <v>0</v>
      </c>
      <c r="O11888">
        <f>IF(N11888="","",'Master Barang'!B82)</f>
        <v>0</v>
      </c>
      <c r="P11888">
        <f>IF(OR(M11888="",N11888=""),"",SUMIFS('Barang Keluar'!$E:$E,'Barang Keluar'!$A:$A,M11888,'Barang Keluar'!$C:$C,N11888))</f>
        <v>0</v>
      </c>
    </row>
    <row r="11889" spans="13:16">
      <c r="M11889" s="49">
        <f>IF($A$4+118&gt;$B$4,"",$A$4+118)</f>
        <v>46141</v>
      </c>
      <c r="N11889">
        <f>IF(M11889="","",'Master Barang'!A83)</f>
        <v>0</v>
      </c>
      <c r="O11889">
        <f>IF(N11889="","",'Master Barang'!B83)</f>
        <v>0</v>
      </c>
      <c r="P11889">
        <f>IF(OR(M11889="",N11889=""),"",SUMIFS('Barang Keluar'!$E:$E,'Barang Keluar'!$A:$A,M11889,'Barang Keluar'!$C:$C,N11889))</f>
        <v>0</v>
      </c>
    </row>
    <row r="11890" spans="13:16">
      <c r="M11890" s="49">
        <f>IF($A$4+118&gt;$B$4,"",$A$4+118)</f>
        <v>46141</v>
      </c>
      <c r="N11890">
        <f>IF(M11890="","",'Master Barang'!A84)</f>
        <v>0</v>
      </c>
      <c r="O11890">
        <f>IF(N11890="","",'Master Barang'!B84)</f>
        <v>0</v>
      </c>
      <c r="P11890">
        <f>IF(OR(M11890="",N11890=""),"",SUMIFS('Barang Keluar'!$E:$E,'Barang Keluar'!$A:$A,M11890,'Barang Keluar'!$C:$C,N11890))</f>
        <v>0</v>
      </c>
    </row>
    <row r="11891" spans="13:16">
      <c r="M11891" s="49">
        <f>IF($A$4+118&gt;$B$4,"",$A$4+118)</f>
        <v>46141</v>
      </c>
      <c r="N11891">
        <f>IF(M11891="","",'Master Barang'!A85)</f>
        <v>0</v>
      </c>
      <c r="O11891">
        <f>IF(N11891="","",'Master Barang'!B85)</f>
        <v>0</v>
      </c>
      <c r="P11891">
        <f>IF(OR(M11891="",N11891=""),"",SUMIFS('Barang Keluar'!$E:$E,'Barang Keluar'!$A:$A,M11891,'Barang Keluar'!$C:$C,N11891))</f>
        <v>0</v>
      </c>
    </row>
    <row r="11892" spans="13:16">
      <c r="M11892" s="49">
        <f>IF($A$4+118&gt;$B$4,"",$A$4+118)</f>
        <v>46141</v>
      </c>
      <c r="N11892">
        <f>IF(M11892="","",'Master Barang'!A86)</f>
        <v>0</v>
      </c>
      <c r="O11892">
        <f>IF(N11892="","",'Master Barang'!B86)</f>
        <v>0</v>
      </c>
      <c r="P11892">
        <f>IF(OR(M11892="",N11892=""),"",SUMIFS('Barang Keluar'!$E:$E,'Barang Keluar'!$A:$A,M11892,'Barang Keluar'!$C:$C,N11892))</f>
        <v>0</v>
      </c>
    </row>
    <row r="11893" spans="13:16">
      <c r="M11893" s="49">
        <f>IF($A$4+118&gt;$B$4,"",$A$4+118)</f>
        <v>46141</v>
      </c>
      <c r="N11893">
        <f>IF(M11893="","",'Master Barang'!A87)</f>
        <v>0</v>
      </c>
      <c r="O11893">
        <f>IF(N11893="","",'Master Barang'!B87)</f>
        <v>0</v>
      </c>
      <c r="P11893">
        <f>IF(OR(M11893="",N11893=""),"",SUMIFS('Barang Keluar'!$E:$E,'Barang Keluar'!$A:$A,M11893,'Barang Keluar'!$C:$C,N11893))</f>
        <v>0</v>
      </c>
    </row>
    <row r="11894" spans="13:16">
      <c r="M11894" s="49">
        <f>IF($A$4+118&gt;$B$4,"",$A$4+118)</f>
        <v>46141</v>
      </c>
      <c r="N11894">
        <f>IF(M11894="","",'Master Barang'!A88)</f>
        <v>0</v>
      </c>
      <c r="O11894">
        <f>IF(N11894="","",'Master Barang'!B88)</f>
        <v>0</v>
      </c>
      <c r="P11894">
        <f>IF(OR(M11894="",N11894=""),"",SUMIFS('Barang Keluar'!$E:$E,'Barang Keluar'!$A:$A,M11894,'Barang Keluar'!$C:$C,N11894))</f>
        <v>0</v>
      </c>
    </row>
    <row r="11895" spans="13:16">
      <c r="M11895" s="49">
        <f>IF($A$4+118&gt;$B$4,"",$A$4+118)</f>
        <v>46141</v>
      </c>
      <c r="N11895">
        <f>IF(M11895="","",'Master Barang'!A89)</f>
        <v>0</v>
      </c>
      <c r="O11895">
        <f>IF(N11895="","",'Master Barang'!B89)</f>
        <v>0</v>
      </c>
      <c r="P11895">
        <f>IF(OR(M11895="",N11895=""),"",SUMIFS('Barang Keluar'!$E:$E,'Barang Keluar'!$A:$A,M11895,'Barang Keluar'!$C:$C,N11895))</f>
        <v>0</v>
      </c>
    </row>
    <row r="11896" spans="13:16">
      <c r="M11896" s="49">
        <f>IF($A$4+118&gt;$B$4,"",$A$4+118)</f>
        <v>46141</v>
      </c>
      <c r="N11896">
        <f>IF(M11896="","",'Master Barang'!A90)</f>
        <v>0</v>
      </c>
      <c r="O11896">
        <f>IF(N11896="","",'Master Barang'!B90)</f>
        <v>0</v>
      </c>
      <c r="P11896">
        <f>IF(OR(M11896="",N11896=""),"",SUMIFS('Barang Keluar'!$E:$E,'Barang Keluar'!$A:$A,M11896,'Barang Keluar'!$C:$C,N11896))</f>
        <v>0</v>
      </c>
    </row>
    <row r="11897" spans="13:16">
      <c r="M11897" s="49">
        <f>IF($A$4+118&gt;$B$4,"",$A$4+118)</f>
        <v>46141</v>
      </c>
      <c r="N11897">
        <f>IF(M11897="","",'Master Barang'!A91)</f>
        <v>0</v>
      </c>
      <c r="O11897">
        <f>IF(N11897="","",'Master Barang'!B91)</f>
        <v>0</v>
      </c>
      <c r="P11897">
        <f>IF(OR(M11897="",N11897=""),"",SUMIFS('Barang Keluar'!$E:$E,'Barang Keluar'!$A:$A,M11897,'Barang Keluar'!$C:$C,N11897))</f>
        <v>0</v>
      </c>
    </row>
    <row r="11898" spans="13:16">
      <c r="M11898" s="49">
        <f>IF($A$4+118&gt;$B$4,"",$A$4+118)</f>
        <v>46141</v>
      </c>
      <c r="N11898">
        <f>IF(M11898="","",'Master Barang'!A92)</f>
        <v>0</v>
      </c>
      <c r="O11898">
        <f>IF(N11898="","",'Master Barang'!B92)</f>
        <v>0</v>
      </c>
      <c r="P11898">
        <f>IF(OR(M11898="",N11898=""),"",SUMIFS('Barang Keluar'!$E:$E,'Barang Keluar'!$A:$A,M11898,'Barang Keluar'!$C:$C,N11898))</f>
        <v>0</v>
      </c>
    </row>
    <row r="11899" spans="13:16">
      <c r="M11899" s="49">
        <f>IF($A$4+118&gt;$B$4,"",$A$4+118)</f>
        <v>46141</v>
      </c>
      <c r="N11899">
        <f>IF(M11899="","",'Master Barang'!A93)</f>
        <v>0</v>
      </c>
      <c r="O11899">
        <f>IF(N11899="","",'Master Barang'!B93)</f>
        <v>0</v>
      </c>
      <c r="P11899">
        <f>IF(OR(M11899="",N11899=""),"",SUMIFS('Barang Keluar'!$E:$E,'Barang Keluar'!$A:$A,M11899,'Barang Keluar'!$C:$C,N11899))</f>
        <v>0</v>
      </c>
    </row>
    <row r="11900" spans="13:16">
      <c r="M11900" s="49">
        <f>IF($A$4+118&gt;$B$4,"",$A$4+118)</f>
        <v>46141</v>
      </c>
      <c r="N11900">
        <f>IF(M11900="","",'Master Barang'!A94)</f>
        <v>0</v>
      </c>
      <c r="O11900">
        <f>IF(N11900="","",'Master Barang'!B94)</f>
        <v>0</v>
      </c>
      <c r="P11900">
        <f>IF(OR(M11900="",N11900=""),"",SUMIFS('Barang Keluar'!$E:$E,'Barang Keluar'!$A:$A,M11900,'Barang Keluar'!$C:$C,N11900))</f>
        <v>0</v>
      </c>
    </row>
    <row r="11901" spans="13:16">
      <c r="M11901" s="49">
        <f>IF($A$4+118&gt;$B$4,"",$A$4+118)</f>
        <v>46141</v>
      </c>
      <c r="N11901">
        <f>IF(M11901="","",'Master Barang'!A95)</f>
        <v>0</v>
      </c>
      <c r="O11901">
        <f>IF(N11901="","",'Master Barang'!B95)</f>
        <v>0</v>
      </c>
      <c r="P11901">
        <f>IF(OR(M11901="",N11901=""),"",SUMIFS('Barang Keluar'!$E:$E,'Barang Keluar'!$A:$A,M11901,'Barang Keluar'!$C:$C,N11901))</f>
        <v>0</v>
      </c>
    </row>
    <row r="11902" spans="13:16">
      <c r="M11902" s="49">
        <f>IF($A$4+118&gt;$B$4,"",$A$4+118)</f>
        <v>46141</v>
      </c>
      <c r="N11902">
        <f>IF(M11902="","",'Master Barang'!A96)</f>
        <v>0</v>
      </c>
      <c r="O11902">
        <f>IF(N11902="","",'Master Barang'!B96)</f>
        <v>0</v>
      </c>
      <c r="P11902">
        <f>IF(OR(M11902="",N11902=""),"",SUMIFS('Barang Keluar'!$E:$E,'Barang Keluar'!$A:$A,M11902,'Barang Keluar'!$C:$C,N11902))</f>
        <v>0</v>
      </c>
    </row>
    <row r="11903" spans="13:16">
      <c r="M11903" s="49">
        <f>IF($A$4+118&gt;$B$4,"",$A$4+118)</f>
        <v>46141</v>
      </c>
      <c r="N11903">
        <f>IF(M11903="","",'Master Barang'!A97)</f>
        <v>0</v>
      </c>
      <c r="O11903">
        <f>IF(N11903="","",'Master Barang'!B97)</f>
        <v>0</v>
      </c>
      <c r="P11903">
        <f>IF(OR(M11903="",N11903=""),"",SUMIFS('Barang Keluar'!$E:$E,'Barang Keluar'!$A:$A,M11903,'Barang Keluar'!$C:$C,N11903))</f>
        <v>0</v>
      </c>
    </row>
    <row r="11904" spans="13:16">
      <c r="M11904" s="49">
        <f>IF($A$4+118&gt;$B$4,"",$A$4+118)</f>
        <v>46141</v>
      </c>
      <c r="N11904">
        <f>IF(M11904="","",'Master Barang'!A98)</f>
        <v>0</v>
      </c>
      <c r="O11904">
        <f>IF(N11904="","",'Master Barang'!B98)</f>
        <v>0</v>
      </c>
      <c r="P11904">
        <f>IF(OR(M11904="",N11904=""),"",SUMIFS('Barang Keluar'!$E:$E,'Barang Keluar'!$A:$A,M11904,'Barang Keluar'!$C:$C,N11904))</f>
        <v>0</v>
      </c>
    </row>
    <row r="11905" spans="13:16">
      <c r="M11905" s="49">
        <f>IF($A$4+118&gt;$B$4,"",$A$4+118)</f>
        <v>46141</v>
      </c>
      <c r="N11905">
        <f>IF(M11905="","",'Master Barang'!A99)</f>
        <v>0</v>
      </c>
      <c r="O11905">
        <f>IF(N11905="","",'Master Barang'!B99)</f>
        <v>0</v>
      </c>
      <c r="P11905">
        <f>IF(OR(M11905="",N11905=""),"",SUMIFS('Barang Keluar'!$E:$E,'Barang Keluar'!$A:$A,M11905,'Barang Keluar'!$C:$C,N11905))</f>
        <v>0</v>
      </c>
    </row>
    <row r="11906" spans="13:16">
      <c r="M11906" s="49">
        <f>IF($A$4+118&gt;$B$4,"",$A$4+118)</f>
        <v>46141</v>
      </c>
      <c r="N11906">
        <f>IF(M11906="","",'Master Barang'!A100)</f>
        <v>0</v>
      </c>
      <c r="O11906">
        <f>IF(N11906="","",'Master Barang'!B100)</f>
        <v>0</v>
      </c>
      <c r="P11906">
        <f>IF(OR(M11906="",N11906=""),"",SUMIFS('Barang Keluar'!$E:$E,'Barang Keluar'!$A:$A,M11906,'Barang Keluar'!$C:$C,N11906))</f>
        <v>0</v>
      </c>
    </row>
    <row r="11907" spans="13:16">
      <c r="M11907" s="49">
        <f>IF($A$4+118&gt;$B$4,"",$A$4+118)</f>
        <v>46141</v>
      </c>
      <c r="N11907">
        <f>IF(M11907="","",'Master Barang'!A101)</f>
        <v>0</v>
      </c>
      <c r="O11907">
        <f>IF(N11907="","",'Master Barang'!B101)</f>
        <v>0</v>
      </c>
      <c r="P11907">
        <f>IF(OR(M11907="",N11907=""),"",SUMIFS('Barang Keluar'!$E:$E,'Barang Keluar'!$A:$A,M11907,'Barang Keluar'!$C:$C,N11907))</f>
        <v>0</v>
      </c>
    </row>
    <row r="11908" spans="13:16">
      <c r="M11908" s="49">
        <f>IF($A$4+119&gt;$B$4,"",$A$4+119)</f>
        <v>46142</v>
      </c>
      <c r="N11908" t="str">
        <f>IF(M11908="","",'Master Barang'!A2)</f>
        <v>PRL-001</v>
      </c>
      <c r="O11908" t="str">
        <f>IF(N11908="","",'Master Barang'!B2)</f>
        <v>natura desinfectant food grade 5l</v>
      </c>
      <c r="P11908">
        <f>IF(OR(M11908="",N11908=""),"",SUMIFS('Barang Keluar'!$E:$E,'Barang Keluar'!$A:$A,M11908,'Barang Keluar'!$C:$C,N11908))</f>
        <v>0</v>
      </c>
    </row>
    <row r="11909" spans="13:16">
      <c r="M11909" s="49">
        <f>IF($A$4+119&gt;$B$4,"",$A$4+119)</f>
        <v>46142</v>
      </c>
      <c r="N11909" t="str">
        <f>IF(M11909="","",'Master Barang'!A3)</f>
        <v>PRL-002</v>
      </c>
      <c r="O11909" t="str">
        <f>IF(N11909="","",'Master Barang'!B3)</f>
        <v>sunlight cairan pencuci piring 5l</v>
      </c>
      <c r="P11909">
        <f>IF(OR(M11909="",N11909=""),"",SUMIFS('Barang Keluar'!$E:$E,'Barang Keluar'!$A:$A,M11909,'Barang Keluar'!$C:$C,N11909))</f>
        <v>0</v>
      </c>
    </row>
    <row r="11910" spans="13:16">
      <c r="M11910" s="49">
        <f>IF($A$4+119&gt;$B$4,"",$A$4+119)</f>
        <v>46142</v>
      </c>
      <c r="N11910" t="str">
        <f>IF(M11910="","",'Master Barang'!A4)</f>
        <v>PRL-003</v>
      </c>
      <c r="O11910" t="str">
        <f>IF(N11910="","",'Master Barang'!B4)</f>
        <v>oixs cleaner 1l</v>
      </c>
      <c r="P11910">
        <f>IF(OR(M11910="",N11910=""),"",SUMIFS('Barang Keluar'!$E:$E,'Barang Keluar'!$A:$A,M11910,'Barang Keluar'!$C:$C,N11910))</f>
        <v>0</v>
      </c>
    </row>
    <row r="11911" spans="13:16">
      <c r="M11911" s="49">
        <f>IF($A$4+119&gt;$B$4,"",$A$4+119)</f>
        <v>46142</v>
      </c>
      <c r="N11911" t="str">
        <f>IF(M11911="","",'Master Barang'!A5)</f>
        <v>PRL-004</v>
      </c>
      <c r="O11911" t="str">
        <f>IF(N11911="","",'Master Barang'!B5)</f>
        <v>be clean tissue serbaguna</v>
      </c>
      <c r="P11911">
        <f>IF(OR(M11911="",N11911=""),"",SUMIFS('Barang Keluar'!$E:$E,'Barang Keluar'!$A:$A,M11911,'Barang Keluar'!$C:$C,N11911))</f>
        <v>0</v>
      </c>
    </row>
    <row r="11912" spans="13:16">
      <c r="M11912" s="49">
        <f>IF($A$4+119&gt;$B$4,"",$A$4+119)</f>
        <v>46142</v>
      </c>
      <c r="N11912" t="str">
        <f>IF(M11912="","",'Master Barang'!A6)</f>
        <v>PRL-005</v>
      </c>
      <c r="O11912" t="str">
        <f>IF(N11912="","",'Master Barang'!B6)</f>
        <v>spons cuci hijau</v>
      </c>
      <c r="P11912">
        <f>IF(OR(M11912="",N11912=""),"",SUMIFS('Barang Keluar'!$E:$E,'Barang Keluar'!$A:$A,M11912,'Barang Keluar'!$C:$C,N11912))</f>
        <v>0</v>
      </c>
    </row>
    <row r="11913" spans="13:16">
      <c r="M11913" s="49">
        <f>IF($A$4+119&gt;$B$4,"",$A$4+119)</f>
        <v>46142</v>
      </c>
      <c r="N11913" t="str">
        <f>IF(M11913="","",'Master Barang'!A7)</f>
        <v>PRL-006</v>
      </c>
      <c r="O11913" t="str">
        <f>IF(N11913="","",'Master Barang'!B7)</f>
        <v>sabut cuci stainless</v>
      </c>
      <c r="P11913">
        <f>IF(OR(M11913="",N11913=""),"",SUMIFS('Barang Keluar'!$E:$E,'Barang Keluar'!$A:$A,M11913,'Barang Keluar'!$C:$C,N11913))</f>
        <v>0</v>
      </c>
    </row>
    <row r="11914" spans="13:16">
      <c r="M11914" s="49">
        <f>IF($A$4+119&gt;$B$4,"",$A$4+119)</f>
        <v>46142</v>
      </c>
      <c r="N11914" t="str">
        <f>IF(M11914="","",'Master Barang'!A8)</f>
        <v>PRL-007</v>
      </c>
      <c r="O11914" t="str">
        <f>IF(N11914="","",'Master Barang'!B8)</f>
        <v>plastik kresek besar merah 50pc</v>
      </c>
      <c r="P11914">
        <f>IF(OR(M11914="",N11914=""),"",SUMIFS('Barang Keluar'!$E:$E,'Barang Keluar'!$A:$A,M11914,'Barang Keluar'!$C:$C,N11914))</f>
        <v>0</v>
      </c>
    </row>
    <row r="11915" spans="13:16">
      <c r="M11915" s="49">
        <f>IF($A$4+119&gt;$B$4,"",$A$4+119)</f>
        <v>46142</v>
      </c>
      <c r="N11915" t="str">
        <f>IF(M11915="","",'Master Barang'!A9)</f>
        <v>PRL-008</v>
      </c>
      <c r="O11915" t="str">
        <f>IF(N11915="","",'Master Barang'!B9)</f>
        <v>lap besar</v>
      </c>
      <c r="P11915">
        <f>IF(OR(M11915="",N11915=""),"",SUMIFS('Barang Keluar'!$E:$E,'Barang Keluar'!$A:$A,M11915,'Barang Keluar'!$C:$C,N11915))</f>
        <v>0</v>
      </c>
    </row>
    <row r="11916" spans="13:16">
      <c r="M11916" s="49">
        <f>IF($A$4+119&gt;$B$4,"",$A$4+119)</f>
        <v>46142</v>
      </c>
      <c r="N11916" t="str">
        <f>IF(M11916="","",'Master Barang'!A10)</f>
        <v>PRL-009</v>
      </c>
      <c r="O11916" t="str">
        <f>IF(N11916="","",'Master Barang'!B10)</f>
        <v>lap microfiber</v>
      </c>
      <c r="P11916">
        <f>IF(OR(M11916="",N11916=""),"",SUMIFS('Barang Keluar'!$E:$E,'Barang Keluar'!$A:$A,M11916,'Barang Keluar'!$C:$C,N11916))</f>
        <v>0</v>
      </c>
    </row>
    <row r="11917" spans="13:16">
      <c r="M11917" s="49">
        <f>IF($A$4+119&gt;$B$4,"",$A$4+119)</f>
        <v>46142</v>
      </c>
      <c r="N11917" t="str">
        <f>IF(M11917="","",'Master Barang'!A11)</f>
        <v>PRL-010</v>
      </c>
      <c r="O11917" t="str">
        <f>IF(N11917="","",'Master Barang'!B11)</f>
        <v>lap kecil</v>
      </c>
      <c r="P11917">
        <f>IF(OR(M11917="",N11917=""),"",SUMIFS('Barang Keluar'!$E:$E,'Barang Keluar'!$A:$A,M11917,'Barang Keluar'!$C:$C,N11917))</f>
        <v>0</v>
      </c>
    </row>
    <row r="11918" spans="13:16">
      <c r="M11918" s="49">
        <f>IF($A$4+119&gt;$B$4,"",$A$4+119)</f>
        <v>46142</v>
      </c>
      <c r="N11918" t="str">
        <f>IF(M11918="","",'Master Barang'!A12)</f>
        <v>PRL-011</v>
      </c>
      <c r="O11918" t="str">
        <f>IF(N11918="","",'Master Barang'!B12)</f>
        <v>kanebo kecil</v>
      </c>
      <c r="P11918">
        <f>IF(OR(M11918="",N11918=""),"",SUMIFS('Barang Keluar'!$E:$E,'Barang Keluar'!$A:$A,M11918,'Barang Keluar'!$C:$C,N11918))</f>
        <v>0</v>
      </c>
    </row>
    <row r="11919" spans="13:16">
      <c r="M11919" s="49">
        <f>IF($A$4+119&gt;$B$4,"",$A$4+119)</f>
        <v>46142</v>
      </c>
      <c r="N11919" t="str">
        <f>IF(M11919="","",'Master Barang'!A13)</f>
        <v>PRL-012</v>
      </c>
      <c r="O11919" t="str">
        <f>IF(N11919="","",'Master Barang'!B13)</f>
        <v>plastik 1/4kg joyoboyo 100 lembar</v>
      </c>
      <c r="P11919">
        <f>IF(OR(M11919="",N11919=""),"",SUMIFS('Barang Keluar'!$E:$E,'Barang Keluar'!$A:$A,M11919,'Barang Keluar'!$C:$C,N11919))</f>
        <v>0</v>
      </c>
    </row>
    <row r="11920" spans="13:16">
      <c r="M11920" s="49">
        <f>IF($A$4+119&gt;$B$4,"",$A$4+119)</f>
        <v>46142</v>
      </c>
      <c r="N11920" t="str">
        <f>IF(M11920="","",'Master Barang'!A14)</f>
        <v>PRL-013</v>
      </c>
      <c r="O11920" t="str">
        <f>IF(N11920="","",'Master Barang'!B14)</f>
        <v>sarung tangan plastik kaka 100 pcs</v>
      </c>
      <c r="P11920">
        <f>IF(OR(M11920="",N11920=""),"",SUMIFS('Barang Keluar'!$E:$E,'Barang Keluar'!$A:$A,M11920,'Barang Keluar'!$C:$C,N11920))</f>
        <v>0</v>
      </c>
    </row>
    <row r="11921" spans="13:16">
      <c r="M11921" s="49">
        <f>IF($A$4+119&gt;$B$4,"",$A$4+119)</f>
        <v>46142</v>
      </c>
      <c r="N11921" t="str">
        <f>IF(M11921="","",'Master Barang'!A15)</f>
        <v>PRL-014</v>
      </c>
      <c r="O11921" t="str">
        <f>IF(N11921="","",'Master Barang'!B15)</f>
        <v>optima trashbag 80x100</v>
      </c>
      <c r="P11921">
        <f>IF(OR(M11921="",N11921=""),"",SUMIFS('Barang Keluar'!$E:$E,'Barang Keluar'!$A:$A,M11921,'Barang Keluar'!$C:$C,N11921))</f>
        <v>0</v>
      </c>
    </row>
    <row r="11922" spans="13:16">
      <c r="M11922" s="49">
        <f>IF($A$4+119&gt;$B$4,"",$A$4+119)</f>
        <v>46142</v>
      </c>
      <c r="N11922" t="str">
        <f>IF(M11922="","",'Master Barang'!A16)</f>
        <v>PRL-015</v>
      </c>
      <c r="O11922" t="str">
        <f>IF(N11922="","",'Master Barang'!B16)</f>
        <v>optima trashbag 60x100</v>
      </c>
      <c r="P11922">
        <f>IF(OR(M11922="",N11922=""),"",SUMIFS('Barang Keluar'!$E:$E,'Barang Keluar'!$A:$A,M11922,'Barang Keluar'!$C:$C,N11922))</f>
        <v>0</v>
      </c>
    </row>
    <row r="11923" spans="13:16">
      <c r="M11923" s="49">
        <f>IF($A$4+119&gt;$B$4,"",$A$4+119)</f>
        <v>46142</v>
      </c>
      <c r="N11923" t="str">
        <f>IF(M11923="","",'Master Barang'!A17)</f>
        <v>PRL-016</v>
      </c>
      <c r="O11923" t="str">
        <f>IF(N11923="","",'Master Barang'!B17)</f>
        <v>rajawali trashbag 30x40</v>
      </c>
      <c r="P11923">
        <f>IF(OR(M11923="",N11923=""),"",SUMIFS('Barang Keluar'!$E:$E,'Barang Keluar'!$A:$A,M11923,'Barang Keluar'!$C:$C,N11923))</f>
        <v>0</v>
      </c>
    </row>
    <row r="11924" spans="13:16">
      <c r="M11924" s="49">
        <f>IF($A$4+119&gt;$B$4,"",$A$4+119)</f>
        <v>46142</v>
      </c>
      <c r="N11924" t="str">
        <f>IF(M11924="","",'Master Barang'!A18)</f>
        <v>PRL-017</v>
      </c>
      <c r="O11924" t="str">
        <f>IF(N11924="","",'Master Barang'!B18)</f>
        <v>onemed masker biru 3 play 50 pcs</v>
      </c>
      <c r="P11924">
        <f>IF(OR(M11924="",N11924=""),"",SUMIFS('Barang Keluar'!$E:$E,'Barang Keluar'!$A:$A,M11924,'Barang Keluar'!$C:$C,N11924))</f>
        <v>0</v>
      </c>
    </row>
    <row r="11925" spans="13:16">
      <c r="M11925" s="49">
        <f>IF($A$4+119&gt;$B$4,"",$A$4+119)</f>
        <v>46142</v>
      </c>
      <c r="N11925" t="str">
        <f>IF(M11925="","",'Master Barang'!A19)</f>
        <v>PRL-018</v>
      </c>
      <c r="O11925" t="str">
        <f>IF(N11925="","",'Master Barang'!B19)</f>
        <v>onemed masker biru 3 play hijab 50 pcs</v>
      </c>
      <c r="P11925">
        <f>IF(OR(M11925="",N11925=""),"",SUMIFS('Barang Keluar'!$E:$E,'Barang Keluar'!$A:$A,M11925,'Barang Keluar'!$C:$C,N11925))</f>
        <v>0</v>
      </c>
    </row>
    <row r="11926" spans="13:16">
      <c r="M11926" s="49">
        <f>IF($A$4+119&gt;$B$4,"",$A$4+119)</f>
        <v>46142</v>
      </c>
      <c r="N11926" t="str">
        <f>IF(M11926="","",'Master Barang'!A20)</f>
        <v>PRL-019</v>
      </c>
      <c r="O11926" t="str">
        <f>IF(N11926="","",'Master Barang'!B20)</f>
        <v>neo health masker biru 3 play 50 pcs</v>
      </c>
      <c r="P11926">
        <f>IF(OR(M11926="",N11926=""),"",SUMIFS('Barang Keluar'!$E:$E,'Barang Keluar'!$A:$A,M11926,'Barang Keluar'!$C:$C,N11926))</f>
        <v>0</v>
      </c>
    </row>
    <row r="11927" spans="13:16">
      <c r="M11927" s="49">
        <f>IF($A$4+119&gt;$B$4,"",$A$4+119)</f>
        <v>46142</v>
      </c>
      <c r="N11927" t="str">
        <f>IF(M11927="","",'Master Barang'!A21)</f>
        <v>PRL-020</v>
      </c>
      <c r="O11927" t="str">
        <f>IF(N11927="","",'Master Barang'!B21)</f>
        <v>baymed masker hijau 3 play hijau 50 pcs</v>
      </c>
      <c r="P11927">
        <f>IF(OR(M11927="",N11927=""),"",SUMIFS('Barang Keluar'!$E:$E,'Barang Keluar'!$A:$A,M11927,'Barang Keluar'!$C:$C,N11927))</f>
        <v>0</v>
      </c>
    </row>
    <row r="11928" spans="13:16">
      <c r="M11928" s="49">
        <f>IF($A$4+119&gt;$B$4,"",$A$4+119)</f>
        <v>46142</v>
      </c>
      <c r="N11928" t="str">
        <f>IF(M11928="","",'Master Barang'!A22)</f>
        <v>PRL-021</v>
      </c>
      <c r="O11928" t="str">
        <f>IF(N11928="","",'Master Barang'!B22)</f>
        <v>altamed nurse cap penutup kepala 100 pcs</v>
      </c>
      <c r="P11928">
        <f>IF(OR(M11928="",N11928=""),"",SUMIFS('Barang Keluar'!$E:$E,'Barang Keluar'!$A:$A,M11928,'Barang Keluar'!$C:$C,N11928))</f>
        <v>0</v>
      </c>
    </row>
    <row r="11929" spans="13:16">
      <c r="M11929" s="49">
        <f>IF($A$4+119&gt;$B$4,"",$A$4+119)</f>
        <v>46142</v>
      </c>
      <c r="N11929" t="str">
        <f>IF(M11929="","",'Master Barang'!A23)</f>
        <v>PRL-022</v>
      </c>
      <c r="O11929" t="str">
        <f>IF(N11929="","",'Master Barang'!B23)</f>
        <v>sabun cuci tangan</v>
      </c>
      <c r="P11929">
        <f>IF(OR(M11929="",N11929=""),"",SUMIFS('Barang Keluar'!$E:$E,'Barang Keluar'!$A:$A,M11929,'Barang Keluar'!$C:$C,N11929))</f>
        <v>0</v>
      </c>
    </row>
    <row r="11930" spans="13:16">
      <c r="M11930" s="49">
        <f>IF($A$4+119&gt;$B$4,"",$A$4+119)</f>
        <v>46142</v>
      </c>
      <c r="N11930" t="str">
        <f>IF(M11930="","",'Master Barang'!A24)</f>
        <v>PRL-023</v>
      </c>
      <c r="O11930" t="str">
        <f>IF(N11930="","",'Master Barang'!B24)</f>
        <v>gayung kecil</v>
      </c>
      <c r="P11930">
        <f>IF(OR(M11930="",N11930=""),"",SUMIFS('Barang Keluar'!$E:$E,'Barang Keluar'!$A:$A,M11930,'Barang Keluar'!$C:$C,N11930))</f>
        <v>0</v>
      </c>
    </row>
    <row r="11931" spans="13:16">
      <c r="M11931" s="49">
        <f>IF($A$4+119&gt;$B$4,"",$A$4+119)</f>
        <v>46142</v>
      </c>
      <c r="N11931" t="str">
        <f>IF(M11931="","",'Master Barang'!A25)</f>
        <v>PRL-024</v>
      </c>
      <c r="O11931" t="str">
        <f>IF(N11931="","",'Master Barang'!B25)</f>
        <v>cikrak kecil</v>
      </c>
      <c r="P11931">
        <f>IF(OR(M11931="",N11931=""),"",SUMIFS('Barang Keluar'!$E:$E,'Barang Keluar'!$A:$A,M11931,'Barang Keluar'!$C:$C,N11931))</f>
        <v>0</v>
      </c>
    </row>
    <row r="11932" spans="13:16">
      <c r="M11932" s="49">
        <f>IF($A$4+119&gt;$B$4,"",$A$4+119)</f>
        <v>46142</v>
      </c>
      <c r="N11932" t="str">
        <f>IF(M11932="","",'Master Barang'!A26)</f>
        <v>PRL-025</v>
      </c>
      <c r="O11932" t="str">
        <f>IF(N11932="","",'Master Barang'!B26)</f>
        <v>petromax plastik kecil 12x24 100 lembar</v>
      </c>
      <c r="P11932">
        <f>IF(OR(M11932="",N11932=""),"",SUMIFS('Barang Keluar'!$E:$E,'Barang Keluar'!$A:$A,M11932,'Barang Keluar'!$C:$C,N11932))</f>
        <v>0</v>
      </c>
    </row>
    <row r="11933" spans="13:16">
      <c r="M11933" s="49">
        <f>IF($A$4+119&gt;$B$4,"",$A$4+119)</f>
        <v>46142</v>
      </c>
      <c r="N11933" t="str">
        <f>IF(M11933="","",'Master Barang'!A27)</f>
        <v>PRL-026</v>
      </c>
      <c r="O11933" t="str">
        <f>IF(N11933="","",'Master Barang'!B27)</f>
        <v>lancar kresek kecil bening </v>
      </c>
      <c r="P11933">
        <f>IF(OR(M11933="",N11933=""),"",SUMIFS('Barang Keluar'!$E:$E,'Barang Keluar'!$A:$A,M11933,'Barang Keluar'!$C:$C,N11933))</f>
        <v>0</v>
      </c>
    </row>
    <row r="11934" spans="13:16">
      <c r="M11934" s="49">
        <f>IF($A$4+119&gt;$B$4,"",$A$4+119)</f>
        <v>46142</v>
      </c>
      <c r="N11934" t="str">
        <f>IF(M11934="","",'Master Barang'!A28)</f>
        <v>PRL-027</v>
      </c>
      <c r="O11934" t="str">
        <f>IF(N11934="","",'Master Barang'!B28)</f>
        <v>kresek klin warna warni kecil</v>
      </c>
      <c r="P11934">
        <f>IF(OR(M11934="",N11934=""),"",SUMIFS('Barang Keluar'!$E:$E,'Barang Keluar'!$A:$A,M11934,'Barang Keluar'!$C:$C,N11934))</f>
        <v>0</v>
      </c>
    </row>
    <row r="11935" spans="13:16">
      <c r="M11935" s="49">
        <f>IF($A$4+119&gt;$B$4,"",$A$4+119)</f>
        <v>46142</v>
      </c>
      <c r="N11935" t="str">
        <f>IF(M11935="","",'Master Barang'!A29)</f>
        <v>PRL-028</v>
      </c>
      <c r="O11935" t="str">
        <f>IF(N11935="","",'Master Barang'!B29)</f>
        <v>ctik plastik 7x10 100 pcs</v>
      </c>
      <c r="P11935">
        <f>IF(OR(M11935="",N11935=""),"",SUMIFS('Barang Keluar'!$E:$E,'Barang Keluar'!$A:$A,M11935,'Barang Keluar'!$C:$C,N11935))</f>
        <v>0</v>
      </c>
    </row>
    <row r="11936" spans="13:16">
      <c r="M11936" s="49">
        <f>IF($A$4+119&gt;$B$4,"",$A$4+119)</f>
        <v>46142</v>
      </c>
      <c r="N11936" t="str">
        <f>IF(M11936="","",'Master Barang'!A30)</f>
        <v>PRL-029</v>
      </c>
      <c r="O11936" t="str">
        <f>IF(N11936="","",'Master Barang'!B30)</f>
        <v>ctik plastik 6x10 100 pcs</v>
      </c>
      <c r="P11936">
        <f>IF(OR(M11936="",N11936=""),"",SUMIFS('Barang Keluar'!$E:$E,'Barang Keluar'!$A:$A,M11936,'Barang Keluar'!$C:$C,N11936))</f>
        <v>0</v>
      </c>
    </row>
    <row r="11937" spans="13:16">
      <c r="M11937" s="49">
        <f>IF($A$4+119&gt;$B$4,"",$A$4+119)</f>
        <v>46142</v>
      </c>
      <c r="N11937" t="str">
        <f>IF(M11937="","",'Master Barang'!A31)</f>
        <v>PRL-030</v>
      </c>
      <c r="O11937" t="str">
        <f>IF(N11937="","",'Master Barang'!B31)</f>
        <v>klip plastik 25x16 100 pcs</v>
      </c>
      <c r="P11937">
        <f>IF(OR(M11937="",N11937=""),"",SUMIFS('Barang Keluar'!$E:$E,'Barang Keluar'!$A:$A,M11937,'Barang Keluar'!$C:$C,N11937))</f>
        <v>0</v>
      </c>
    </row>
    <row r="11938" spans="13:16">
      <c r="M11938" s="49">
        <f>IF($A$4+119&gt;$B$4,"",$A$4+119)</f>
        <v>46142</v>
      </c>
      <c r="N11938" t="str">
        <f>IF(M11938="","",'Master Barang'!A32)</f>
        <v>PRL-031</v>
      </c>
      <c r="O11938" t="str">
        <f>IF(N11938="","",'Master Barang'!B32)</f>
        <v>tempat saus 20 ml</v>
      </c>
      <c r="P11938">
        <f>IF(OR(M11938="",N11938=""),"",SUMIFS('Barang Keluar'!$E:$E,'Barang Keluar'!$A:$A,M11938,'Barang Keluar'!$C:$C,N11938))</f>
        <v>0</v>
      </c>
    </row>
    <row r="11939" spans="13:16">
      <c r="M11939" s="49">
        <f>IF($A$4+119&gt;$B$4,"",$A$4+119)</f>
        <v>46142</v>
      </c>
      <c r="N11939" t="str">
        <f>IF(M11939="","",'Master Barang'!A33)</f>
        <v>PRL-032</v>
      </c>
      <c r="O11939" t="str">
        <f>IF(N11939="","",'Master Barang'!B33)</f>
        <v>plastik packaging ag box uk sedang</v>
      </c>
      <c r="P11939">
        <f>IF(OR(M11939="",N11939=""),"",SUMIFS('Barang Keluar'!$E:$E,'Barang Keluar'!$A:$A,M11939,'Barang Keluar'!$C:$C,N11939))</f>
        <v>0</v>
      </c>
    </row>
    <row r="11940" spans="13:16">
      <c r="M11940" s="49">
        <f>IF($A$4+119&gt;$B$4,"",$A$4+119)</f>
        <v>46142</v>
      </c>
      <c r="N11940" t="str">
        <f>IF(M11940="","",'Master Barang'!A34)</f>
        <v>PRL-033</v>
      </c>
      <c r="O11940">
        <f>IF(N11940="","",'Master Barang'!B34)</f>
        <v>0</v>
      </c>
      <c r="P11940">
        <f>IF(OR(M11940="",N11940=""),"",SUMIFS('Barang Keluar'!$E:$E,'Barang Keluar'!$A:$A,M11940,'Barang Keluar'!$C:$C,N11940))</f>
        <v>0</v>
      </c>
    </row>
    <row r="11941" spans="13:16">
      <c r="M11941" s="49">
        <f>IF($A$4+119&gt;$B$4,"",$A$4+119)</f>
        <v>46142</v>
      </c>
      <c r="N11941">
        <f>IF(M11941="","",'Master Barang'!A35)</f>
        <v>0</v>
      </c>
      <c r="O11941">
        <f>IF(N11941="","",'Master Barang'!B35)</f>
        <v>0</v>
      </c>
      <c r="P11941">
        <f>IF(OR(M11941="",N11941=""),"",SUMIFS('Barang Keluar'!$E:$E,'Barang Keluar'!$A:$A,M11941,'Barang Keluar'!$C:$C,N11941))</f>
        <v>0</v>
      </c>
    </row>
    <row r="11942" spans="13:16">
      <c r="M11942" s="49">
        <f>IF($A$4+119&gt;$B$4,"",$A$4+119)</f>
        <v>46142</v>
      </c>
      <c r="N11942">
        <f>IF(M11942="","",'Master Barang'!A36)</f>
        <v>0</v>
      </c>
      <c r="O11942">
        <f>IF(N11942="","",'Master Barang'!B36)</f>
        <v>0</v>
      </c>
      <c r="P11942">
        <f>IF(OR(M11942="",N11942=""),"",SUMIFS('Barang Keluar'!$E:$E,'Barang Keluar'!$A:$A,M11942,'Barang Keluar'!$C:$C,N11942))</f>
        <v>0</v>
      </c>
    </row>
    <row r="11943" spans="13:16">
      <c r="M11943" s="49">
        <f>IF($A$4+119&gt;$B$4,"",$A$4+119)</f>
        <v>46142</v>
      </c>
      <c r="N11943">
        <f>IF(M11943="","",'Master Barang'!A37)</f>
        <v>0</v>
      </c>
      <c r="O11943">
        <f>IF(N11943="","",'Master Barang'!B37)</f>
        <v>0</v>
      </c>
      <c r="P11943">
        <f>IF(OR(M11943="",N11943=""),"",SUMIFS('Barang Keluar'!$E:$E,'Barang Keluar'!$A:$A,M11943,'Barang Keluar'!$C:$C,N11943))</f>
        <v>0</v>
      </c>
    </row>
    <row r="11944" spans="13:16">
      <c r="M11944" s="49">
        <f>IF($A$4+119&gt;$B$4,"",$A$4+119)</f>
        <v>46142</v>
      </c>
      <c r="N11944">
        <f>IF(M11944="","",'Master Barang'!A38)</f>
        <v>0</v>
      </c>
      <c r="O11944">
        <f>IF(N11944="","",'Master Barang'!B38)</f>
        <v>0</v>
      </c>
      <c r="P11944">
        <f>IF(OR(M11944="",N11944=""),"",SUMIFS('Barang Keluar'!$E:$E,'Barang Keluar'!$A:$A,M11944,'Barang Keluar'!$C:$C,N11944))</f>
        <v>0</v>
      </c>
    </row>
    <row r="11945" spans="13:16">
      <c r="M11945" s="49">
        <f>IF($A$4+119&gt;$B$4,"",$A$4+119)</f>
        <v>46142</v>
      </c>
      <c r="N11945">
        <f>IF(M11945="","",'Master Barang'!A39)</f>
        <v>0</v>
      </c>
      <c r="O11945">
        <f>IF(N11945="","",'Master Barang'!B39)</f>
        <v>0</v>
      </c>
      <c r="P11945">
        <f>IF(OR(M11945="",N11945=""),"",SUMIFS('Barang Keluar'!$E:$E,'Barang Keluar'!$A:$A,M11945,'Barang Keluar'!$C:$C,N11945))</f>
        <v>0</v>
      </c>
    </row>
    <row r="11946" spans="13:16">
      <c r="M11946" s="49">
        <f>IF($A$4+119&gt;$B$4,"",$A$4+119)</f>
        <v>46142</v>
      </c>
      <c r="N11946">
        <f>IF(M11946="","",'Master Barang'!A40)</f>
        <v>0</v>
      </c>
      <c r="O11946">
        <f>IF(N11946="","",'Master Barang'!B40)</f>
        <v>0</v>
      </c>
      <c r="P11946">
        <f>IF(OR(M11946="",N11946=""),"",SUMIFS('Barang Keluar'!$E:$E,'Barang Keluar'!$A:$A,M11946,'Barang Keluar'!$C:$C,N11946))</f>
        <v>0</v>
      </c>
    </row>
    <row r="11947" spans="13:16">
      <c r="M11947" s="49">
        <f>IF($A$4+119&gt;$B$4,"",$A$4+119)</f>
        <v>46142</v>
      </c>
      <c r="N11947">
        <f>IF(M11947="","",'Master Barang'!A41)</f>
        <v>0</v>
      </c>
      <c r="O11947">
        <f>IF(N11947="","",'Master Barang'!B41)</f>
        <v>0</v>
      </c>
      <c r="P11947">
        <f>IF(OR(M11947="",N11947=""),"",SUMIFS('Barang Keluar'!$E:$E,'Barang Keluar'!$A:$A,M11947,'Barang Keluar'!$C:$C,N11947))</f>
        <v>0</v>
      </c>
    </row>
    <row r="11948" spans="13:16">
      <c r="M11948" s="49">
        <f>IF($A$4+119&gt;$B$4,"",$A$4+119)</f>
        <v>46142</v>
      </c>
      <c r="N11948">
        <f>IF(M11948="","",'Master Barang'!A42)</f>
        <v>0</v>
      </c>
      <c r="O11948">
        <f>IF(N11948="","",'Master Barang'!B42)</f>
        <v>0</v>
      </c>
      <c r="P11948">
        <f>IF(OR(M11948="",N11948=""),"",SUMIFS('Barang Keluar'!$E:$E,'Barang Keluar'!$A:$A,M11948,'Barang Keluar'!$C:$C,N11948))</f>
        <v>0</v>
      </c>
    </row>
    <row r="11949" spans="13:16">
      <c r="M11949" s="49">
        <f>IF($A$4+119&gt;$B$4,"",$A$4+119)</f>
        <v>46142</v>
      </c>
      <c r="N11949">
        <f>IF(M11949="","",'Master Barang'!A43)</f>
        <v>0</v>
      </c>
      <c r="O11949">
        <f>IF(N11949="","",'Master Barang'!B43)</f>
        <v>0</v>
      </c>
      <c r="P11949">
        <f>IF(OR(M11949="",N11949=""),"",SUMIFS('Barang Keluar'!$E:$E,'Barang Keluar'!$A:$A,M11949,'Barang Keluar'!$C:$C,N11949))</f>
        <v>0</v>
      </c>
    </row>
    <row r="11950" spans="13:16">
      <c r="M11950" s="49">
        <f>IF($A$4+119&gt;$B$4,"",$A$4+119)</f>
        <v>46142</v>
      </c>
      <c r="N11950">
        <f>IF(M11950="","",'Master Barang'!A44)</f>
        <v>0</v>
      </c>
      <c r="O11950">
        <f>IF(N11950="","",'Master Barang'!B44)</f>
        <v>0</v>
      </c>
      <c r="P11950">
        <f>IF(OR(M11950="",N11950=""),"",SUMIFS('Barang Keluar'!$E:$E,'Barang Keluar'!$A:$A,M11950,'Barang Keluar'!$C:$C,N11950))</f>
        <v>0</v>
      </c>
    </row>
    <row r="11951" spans="13:16">
      <c r="M11951" s="49">
        <f>IF($A$4+119&gt;$B$4,"",$A$4+119)</f>
        <v>46142</v>
      </c>
      <c r="N11951">
        <f>IF(M11951="","",'Master Barang'!A45)</f>
        <v>0</v>
      </c>
      <c r="O11951">
        <f>IF(N11951="","",'Master Barang'!B45)</f>
        <v>0</v>
      </c>
      <c r="P11951">
        <f>IF(OR(M11951="",N11951=""),"",SUMIFS('Barang Keluar'!$E:$E,'Barang Keluar'!$A:$A,M11951,'Barang Keluar'!$C:$C,N11951))</f>
        <v>0</v>
      </c>
    </row>
    <row r="11952" spans="13:16">
      <c r="M11952" s="49">
        <f>IF($A$4+119&gt;$B$4,"",$A$4+119)</f>
        <v>46142</v>
      </c>
      <c r="N11952">
        <f>IF(M11952="","",'Master Barang'!A46)</f>
        <v>0</v>
      </c>
      <c r="O11952">
        <f>IF(N11952="","",'Master Barang'!B46)</f>
        <v>0</v>
      </c>
      <c r="P11952">
        <f>IF(OR(M11952="",N11952=""),"",SUMIFS('Barang Keluar'!$E:$E,'Barang Keluar'!$A:$A,M11952,'Barang Keluar'!$C:$C,N11952))</f>
        <v>0</v>
      </c>
    </row>
    <row r="11953" spans="13:16">
      <c r="M11953" s="49">
        <f>IF($A$4+119&gt;$B$4,"",$A$4+119)</f>
        <v>46142</v>
      </c>
      <c r="N11953">
        <f>IF(M11953="","",'Master Barang'!A47)</f>
        <v>0</v>
      </c>
      <c r="O11953">
        <f>IF(N11953="","",'Master Barang'!B47)</f>
        <v>0</v>
      </c>
      <c r="P11953">
        <f>IF(OR(M11953="",N11953=""),"",SUMIFS('Barang Keluar'!$E:$E,'Barang Keluar'!$A:$A,M11953,'Barang Keluar'!$C:$C,N11953))</f>
        <v>0</v>
      </c>
    </row>
    <row r="11954" spans="13:16">
      <c r="M11954" s="49">
        <f>IF($A$4+119&gt;$B$4,"",$A$4+119)</f>
        <v>46142</v>
      </c>
      <c r="N11954">
        <f>IF(M11954="","",'Master Barang'!A48)</f>
        <v>0</v>
      </c>
      <c r="O11954">
        <f>IF(N11954="","",'Master Barang'!B48)</f>
        <v>0</v>
      </c>
      <c r="P11954">
        <f>IF(OR(M11954="",N11954=""),"",SUMIFS('Barang Keluar'!$E:$E,'Barang Keluar'!$A:$A,M11954,'Barang Keluar'!$C:$C,N11954))</f>
        <v>0</v>
      </c>
    </row>
    <row r="11955" spans="13:16">
      <c r="M11955" s="49">
        <f>IF($A$4+119&gt;$B$4,"",$A$4+119)</f>
        <v>46142</v>
      </c>
      <c r="N11955">
        <f>IF(M11955="","",'Master Barang'!A49)</f>
        <v>0</v>
      </c>
      <c r="O11955">
        <f>IF(N11955="","",'Master Barang'!B49)</f>
        <v>0</v>
      </c>
      <c r="P11955">
        <f>IF(OR(M11955="",N11955=""),"",SUMIFS('Barang Keluar'!$E:$E,'Barang Keluar'!$A:$A,M11955,'Barang Keluar'!$C:$C,N11955))</f>
        <v>0</v>
      </c>
    </row>
    <row r="11956" spans="13:16">
      <c r="M11956" s="49">
        <f>IF($A$4+119&gt;$B$4,"",$A$4+119)</f>
        <v>46142</v>
      </c>
      <c r="N11956">
        <f>IF(M11956="","",'Master Barang'!A50)</f>
        <v>0</v>
      </c>
      <c r="O11956">
        <f>IF(N11956="","",'Master Barang'!B50)</f>
        <v>0</v>
      </c>
      <c r="P11956">
        <f>IF(OR(M11956="",N11956=""),"",SUMIFS('Barang Keluar'!$E:$E,'Barang Keluar'!$A:$A,M11956,'Barang Keluar'!$C:$C,N11956))</f>
        <v>0</v>
      </c>
    </row>
    <row r="11957" spans="13:16">
      <c r="M11957" s="49">
        <f>IF($A$4+119&gt;$B$4,"",$A$4+119)</f>
        <v>46142</v>
      </c>
      <c r="N11957">
        <f>IF(M11957="","",'Master Barang'!A51)</f>
        <v>0</v>
      </c>
      <c r="O11957">
        <f>IF(N11957="","",'Master Barang'!B51)</f>
        <v>0</v>
      </c>
      <c r="P11957">
        <f>IF(OR(M11957="",N11957=""),"",SUMIFS('Barang Keluar'!$E:$E,'Barang Keluar'!$A:$A,M11957,'Barang Keluar'!$C:$C,N11957))</f>
        <v>0</v>
      </c>
    </row>
    <row r="11958" spans="13:16">
      <c r="M11958" s="49">
        <f>IF($A$4+119&gt;$B$4,"",$A$4+119)</f>
        <v>46142</v>
      </c>
      <c r="N11958">
        <f>IF(M11958="","",'Master Barang'!A52)</f>
        <v>0</v>
      </c>
      <c r="O11958">
        <f>IF(N11958="","",'Master Barang'!B52)</f>
        <v>0</v>
      </c>
      <c r="P11958">
        <f>IF(OR(M11958="",N11958=""),"",SUMIFS('Barang Keluar'!$E:$E,'Barang Keluar'!$A:$A,M11958,'Barang Keluar'!$C:$C,N11958))</f>
        <v>0</v>
      </c>
    </row>
    <row r="11959" spans="13:16">
      <c r="M11959" s="49">
        <f>IF($A$4+119&gt;$B$4,"",$A$4+119)</f>
        <v>46142</v>
      </c>
      <c r="N11959">
        <f>IF(M11959="","",'Master Barang'!A53)</f>
        <v>0</v>
      </c>
      <c r="O11959">
        <f>IF(N11959="","",'Master Barang'!B53)</f>
        <v>0</v>
      </c>
      <c r="P11959">
        <f>IF(OR(M11959="",N11959=""),"",SUMIFS('Barang Keluar'!$E:$E,'Barang Keluar'!$A:$A,M11959,'Barang Keluar'!$C:$C,N11959))</f>
        <v>0</v>
      </c>
    </row>
    <row r="11960" spans="13:16">
      <c r="M11960" s="49">
        <f>IF($A$4+119&gt;$B$4,"",$A$4+119)</f>
        <v>46142</v>
      </c>
      <c r="N11960">
        <f>IF(M11960="","",'Master Barang'!A54)</f>
        <v>0</v>
      </c>
      <c r="O11960">
        <f>IF(N11960="","",'Master Barang'!B54)</f>
        <v>0</v>
      </c>
      <c r="P11960">
        <f>IF(OR(M11960="",N11960=""),"",SUMIFS('Barang Keluar'!$E:$E,'Barang Keluar'!$A:$A,M11960,'Barang Keluar'!$C:$C,N11960))</f>
        <v>0</v>
      </c>
    </row>
    <row r="11961" spans="13:16">
      <c r="M11961" s="49">
        <f>IF($A$4+119&gt;$B$4,"",$A$4+119)</f>
        <v>46142</v>
      </c>
      <c r="N11961">
        <f>IF(M11961="","",'Master Barang'!A55)</f>
        <v>0</v>
      </c>
      <c r="O11961">
        <f>IF(N11961="","",'Master Barang'!B55)</f>
        <v>0</v>
      </c>
      <c r="P11961">
        <f>IF(OR(M11961="",N11961=""),"",SUMIFS('Barang Keluar'!$E:$E,'Barang Keluar'!$A:$A,M11961,'Barang Keluar'!$C:$C,N11961))</f>
        <v>0</v>
      </c>
    </row>
    <row r="11962" spans="13:16">
      <c r="M11962" s="49">
        <f>IF($A$4+119&gt;$B$4,"",$A$4+119)</f>
        <v>46142</v>
      </c>
      <c r="N11962">
        <f>IF(M11962="","",'Master Barang'!A56)</f>
        <v>0</v>
      </c>
      <c r="O11962">
        <f>IF(N11962="","",'Master Barang'!B56)</f>
        <v>0</v>
      </c>
      <c r="P11962">
        <f>IF(OR(M11962="",N11962=""),"",SUMIFS('Barang Keluar'!$E:$E,'Barang Keluar'!$A:$A,M11962,'Barang Keluar'!$C:$C,N11962))</f>
        <v>0</v>
      </c>
    </row>
    <row r="11963" spans="13:16">
      <c r="M11963" s="49">
        <f>IF($A$4+119&gt;$B$4,"",$A$4+119)</f>
        <v>46142</v>
      </c>
      <c r="N11963">
        <f>IF(M11963="","",'Master Barang'!A57)</f>
        <v>0</v>
      </c>
      <c r="O11963">
        <f>IF(N11963="","",'Master Barang'!B57)</f>
        <v>0</v>
      </c>
      <c r="P11963">
        <f>IF(OR(M11963="",N11963=""),"",SUMIFS('Barang Keluar'!$E:$E,'Barang Keluar'!$A:$A,M11963,'Barang Keluar'!$C:$C,N11963))</f>
        <v>0</v>
      </c>
    </row>
    <row r="11964" spans="13:16">
      <c r="M11964" s="49">
        <f>IF($A$4+119&gt;$B$4,"",$A$4+119)</f>
        <v>46142</v>
      </c>
      <c r="N11964">
        <f>IF(M11964="","",'Master Barang'!A58)</f>
        <v>0</v>
      </c>
      <c r="O11964">
        <f>IF(N11964="","",'Master Barang'!B58)</f>
        <v>0</v>
      </c>
      <c r="P11964">
        <f>IF(OR(M11964="",N11964=""),"",SUMIFS('Barang Keluar'!$E:$E,'Barang Keluar'!$A:$A,M11964,'Barang Keluar'!$C:$C,N11964))</f>
        <v>0</v>
      </c>
    </row>
    <row r="11965" spans="13:16">
      <c r="M11965" s="49">
        <f>IF($A$4+119&gt;$B$4,"",$A$4+119)</f>
        <v>46142</v>
      </c>
      <c r="N11965">
        <f>IF(M11965="","",'Master Barang'!A59)</f>
        <v>0</v>
      </c>
      <c r="O11965">
        <f>IF(N11965="","",'Master Barang'!B59)</f>
        <v>0</v>
      </c>
      <c r="P11965">
        <f>IF(OR(M11965="",N11965=""),"",SUMIFS('Barang Keluar'!$E:$E,'Barang Keluar'!$A:$A,M11965,'Barang Keluar'!$C:$C,N11965))</f>
        <v>0</v>
      </c>
    </row>
    <row r="11966" spans="13:16">
      <c r="M11966" s="49">
        <f>IF($A$4+119&gt;$B$4,"",$A$4+119)</f>
        <v>46142</v>
      </c>
      <c r="N11966">
        <f>IF(M11966="","",'Master Barang'!A60)</f>
        <v>0</v>
      </c>
      <c r="O11966">
        <f>IF(N11966="","",'Master Barang'!B60)</f>
        <v>0</v>
      </c>
      <c r="P11966">
        <f>IF(OR(M11966="",N11966=""),"",SUMIFS('Barang Keluar'!$E:$E,'Barang Keluar'!$A:$A,M11966,'Barang Keluar'!$C:$C,N11966))</f>
        <v>0</v>
      </c>
    </row>
    <row r="11967" spans="13:16">
      <c r="M11967" s="49">
        <f>IF($A$4+119&gt;$B$4,"",$A$4+119)</f>
        <v>46142</v>
      </c>
      <c r="N11967">
        <f>IF(M11967="","",'Master Barang'!A61)</f>
        <v>0</v>
      </c>
      <c r="O11967">
        <f>IF(N11967="","",'Master Barang'!B61)</f>
        <v>0</v>
      </c>
      <c r="P11967">
        <f>IF(OR(M11967="",N11967=""),"",SUMIFS('Barang Keluar'!$E:$E,'Barang Keluar'!$A:$A,M11967,'Barang Keluar'!$C:$C,N11967))</f>
        <v>0</v>
      </c>
    </row>
    <row r="11968" spans="13:16">
      <c r="M11968" s="49">
        <f>IF($A$4+119&gt;$B$4,"",$A$4+119)</f>
        <v>46142</v>
      </c>
      <c r="N11968">
        <f>IF(M11968="","",'Master Barang'!A62)</f>
        <v>0</v>
      </c>
      <c r="O11968">
        <f>IF(N11968="","",'Master Barang'!B62)</f>
        <v>0</v>
      </c>
      <c r="P11968">
        <f>IF(OR(M11968="",N11968=""),"",SUMIFS('Barang Keluar'!$E:$E,'Barang Keluar'!$A:$A,M11968,'Barang Keluar'!$C:$C,N11968))</f>
        <v>0</v>
      </c>
    </row>
    <row r="11969" spans="13:16">
      <c r="M11969" s="49">
        <f>IF($A$4+119&gt;$B$4,"",$A$4+119)</f>
        <v>46142</v>
      </c>
      <c r="N11969">
        <f>IF(M11969="","",'Master Barang'!A63)</f>
        <v>0</v>
      </c>
      <c r="O11969">
        <f>IF(N11969="","",'Master Barang'!B63)</f>
        <v>0</v>
      </c>
      <c r="P11969">
        <f>IF(OR(M11969="",N11969=""),"",SUMIFS('Barang Keluar'!$E:$E,'Barang Keluar'!$A:$A,M11969,'Barang Keluar'!$C:$C,N11969))</f>
        <v>0</v>
      </c>
    </row>
    <row r="11970" spans="13:16">
      <c r="M11970" s="49">
        <f>IF($A$4+119&gt;$B$4,"",$A$4+119)</f>
        <v>46142</v>
      </c>
      <c r="N11970">
        <f>IF(M11970="","",'Master Barang'!A64)</f>
        <v>0</v>
      </c>
      <c r="O11970">
        <f>IF(N11970="","",'Master Barang'!B64)</f>
        <v>0</v>
      </c>
      <c r="P11970">
        <f>IF(OR(M11970="",N11970=""),"",SUMIFS('Barang Keluar'!$E:$E,'Barang Keluar'!$A:$A,M11970,'Barang Keluar'!$C:$C,N11970))</f>
        <v>0</v>
      </c>
    </row>
    <row r="11971" spans="13:16">
      <c r="M11971" s="49">
        <f>IF($A$4+119&gt;$B$4,"",$A$4+119)</f>
        <v>46142</v>
      </c>
      <c r="N11971">
        <f>IF(M11971="","",'Master Barang'!A65)</f>
        <v>0</v>
      </c>
      <c r="O11971">
        <f>IF(N11971="","",'Master Barang'!B65)</f>
        <v>0</v>
      </c>
      <c r="P11971">
        <f>IF(OR(M11971="",N11971=""),"",SUMIFS('Barang Keluar'!$E:$E,'Barang Keluar'!$A:$A,M11971,'Barang Keluar'!$C:$C,N11971))</f>
        <v>0</v>
      </c>
    </row>
    <row r="11972" spans="13:16">
      <c r="M11972" s="49">
        <f>IF($A$4+119&gt;$B$4,"",$A$4+119)</f>
        <v>46142</v>
      </c>
      <c r="N11972">
        <f>IF(M11972="","",'Master Barang'!A66)</f>
        <v>0</v>
      </c>
      <c r="O11972">
        <f>IF(N11972="","",'Master Barang'!B66)</f>
        <v>0</v>
      </c>
      <c r="P11972">
        <f>IF(OR(M11972="",N11972=""),"",SUMIFS('Barang Keluar'!$E:$E,'Barang Keluar'!$A:$A,M11972,'Barang Keluar'!$C:$C,N11972))</f>
        <v>0</v>
      </c>
    </row>
    <row r="11973" spans="13:16">
      <c r="M11973" s="49">
        <f>IF($A$4+119&gt;$B$4,"",$A$4+119)</f>
        <v>46142</v>
      </c>
      <c r="N11973">
        <f>IF(M11973="","",'Master Barang'!A67)</f>
        <v>0</v>
      </c>
      <c r="O11973">
        <f>IF(N11973="","",'Master Barang'!B67)</f>
        <v>0</v>
      </c>
      <c r="P11973">
        <f>IF(OR(M11973="",N11973=""),"",SUMIFS('Barang Keluar'!$E:$E,'Barang Keluar'!$A:$A,M11973,'Barang Keluar'!$C:$C,N11973))</f>
        <v>0</v>
      </c>
    </row>
    <row r="11974" spans="13:16">
      <c r="M11974" s="49">
        <f>IF($A$4+119&gt;$B$4,"",$A$4+119)</f>
        <v>46142</v>
      </c>
      <c r="N11974">
        <f>IF(M11974="","",'Master Barang'!A68)</f>
        <v>0</v>
      </c>
      <c r="O11974">
        <f>IF(N11974="","",'Master Barang'!B68)</f>
        <v>0</v>
      </c>
      <c r="P11974">
        <f>IF(OR(M11974="",N11974=""),"",SUMIFS('Barang Keluar'!$E:$E,'Barang Keluar'!$A:$A,M11974,'Barang Keluar'!$C:$C,N11974))</f>
        <v>0</v>
      </c>
    </row>
    <row r="11975" spans="13:16">
      <c r="M11975" s="49">
        <f>IF($A$4+119&gt;$B$4,"",$A$4+119)</f>
        <v>46142</v>
      </c>
      <c r="N11975">
        <f>IF(M11975="","",'Master Barang'!A69)</f>
        <v>0</v>
      </c>
      <c r="O11975">
        <f>IF(N11975="","",'Master Barang'!B69)</f>
        <v>0</v>
      </c>
      <c r="P11975">
        <f>IF(OR(M11975="",N11975=""),"",SUMIFS('Barang Keluar'!$E:$E,'Barang Keluar'!$A:$A,M11975,'Barang Keluar'!$C:$C,N11975))</f>
        <v>0</v>
      </c>
    </row>
    <row r="11976" spans="13:16">
      <c r="M11976" s="49">
        <f>IF($A$4+119&gt;$B$4,"",$A$4+119)</f>
        <v>46142</v>
      </c>
      <c r="N11976">
        <f>IF(M11976="","",'Master Barang'!A70)</f>
        <v>0</v>
      </c>
      <c r="O11976">
        <f>IF(N11976="","",'Master Barang'!B70)</f>
        <v>0</v>
      </c>
      <c r="P11976">
        <f>IF(OR(M11976="",N11976=""),"",SUMIFS('Barang Keluar'!$E:$E,'Barang Keluar'!$A:$A,M11976,'Barang Keluar'!$C:$C,N11976))</f>
        <v>0</v>
      </c>
    </row>
    <row r="11977" spans="13:16">
      <c r="M11977" s="49">
        <f>IF($A$4+119&gt;$B$4,"",$A$4+119)</f>
        <v>46142</v>
      </c>
      <c r="N11977">
        <f>IF(M11977="","",'Master Barang'!A71)</f>
        <v>0</v>
      </c>
      <c r="O11977">
        <f>IF(N11977="","",'Master Barang'!B71)</f>
        <v>0</v>
      </c>
      <c r="P11977">
        <f>IF(OR(M11977="",N11977=""),"",SUMIFS('Barang Keluar'!$E:$E,'Barang Keluar'!$A:$A,M11977,'Barang Keluar'!$C:$C,N11977))</f>
        <v>0</v>
      </c>
    </row>
    <row r="11978" spans="13:16">
      <c r="M11978" s="49">
        <f>IF($A$4+119&gt;$B$4,"",$A$4+119)</f>
        <v>46142</v>
      </c>
      <c r="N11978">
        <f>IF(M11978="","",'Master Barang'!A72)</f>
        <v>0</v>
      </c>
      <c r="O11978">
        <f>IF(N11978="","",'Master Barang'!B72)</f>
        <v>0</v>
      </c>
      <c r="P11978">
        <f>IF(OR(M11978="",N11978=""),"",SUMIFS('Barang Keluar'!$E:$E,'Barang Keluar'!$A:$A,M11978,'Barang Keluar'!$C:$C,N11978))</f>
        <v>0</v>
      </c>
    </row>
    <row r="11979" spans="13:16">
      <c r="M11979" s="49">
        <f>IF($A$4+119&gt;$B$4,"",$A$4+119)</f>
        <v>46142</v>
      </c>
      <c r="N11979">
        <f>IF(M11979="","",'Master Barang'!A73)</f>
        <v>0</v>
      </c>
      <c r="O11979">
        <f>IF(N11979="","",'Master Barang'!B73)</f>
        <v>0</v>
      </c>
      <c r="P11979">
        <f>IF(OR(M11979="",N11979=""),"",SUMIFS('Barang Keluar'!$E:$E,'Barang Keluar'!$A:$A,M11979,'Barang Keluar'!$C:$C,N11979))</f>
        <v>0</v>
      </c>
    </row>
    <row r="11980" spans="13:16">
      <c r="M11980" s="49">
        <f>IF($A$4+119&gt;$B$4,"",$A$4+119)</f>
        <v>46142</v>
      </c>
      <c r="N11980">
        <f>IF(M11980="","",'Master Barang'!A74)</f>
        <v>0</v>
      </c>
      <c r="O11980">
        <f>IF(N11980="","",'Master Barang'!B74)</f>
        <v>0</v>
      </c>
      <c r="P11980">
        <f>IF(OR(M11980="",N11980=""),"",SUMIFS('Barang Keluar'!$E:$E,'Barang Keluar'!$A:$A,M11980,'Barang Keluar'!$C:$C,N11980))</f>
        <v>0</v>
      </c>
    </row>
    <row r="11981" spans="13:16">
      <c r="M11981" s="49">
        <f>IF($A$4+119&gt;$B$4,"",$A$4+119)</f>
        <v>46142</v>
      </c>
      <c r="N11981">
        <f>IF(M11981="","",'Master Barang'!A75)</f>
        <v>0</v>
      </c>
      <c r="O11981">
        <f>IF(N11981="","",'Master Barang'!B75)</f>
        <v>0</v>
      </c>
      <c r="P11981">
        <f>IF(OR(M11981="",N11981=""),"",SUMIFS('Barang Keluar'!$E:$E,'Barang Keluar'!$A:$A,M11981,'Barang Keluar'!$C:$C,N11981))</f>
        <v>0</v>
      </c>
    </row>
    <row r="11982" spans="13:16">
      <c r="M11982" s="49">
        <f>IF($A$4+119&gt;$B$4,"",$A$4+119)</f>
        <v>46142</v>
      </c>
      <c r="N11982">
        <f>IF(M11982="","",'Master Barang'!A76)</f>
        <v>0</v>
      </c>
      <c r="O11982">
        <f>IF(N11982="","",'Master Barang'!B76)</f>
        <v>0</v>
      </c>
      <c r="P11982">
        <f>IF(OR(M11982="",N11982=""),"",SUMIFS('Barang Keluar'!$E:$E,'Barang Keluar'!$A:$A,M11982,'Barang Keluar'!$C:$C,N11982))</f>
        <v>0</v>
      </c>
    </row>
    <row r="11983" spans="13:16">
      <c r="M11983" s="49">
        <f>IF($A$4+119&gt;$B$4,"",$A$4+119)</f>
        <v>46142</v>
      </c>
      <c r="N11983">
        <f>IF(M11983="","",'Master Barang'!A77)</f>
        <v>0</v>
      </c>
      <c r="O11983">
        <f>IF(N11983="","",'Master Barang'!B77)</f>
        <v>0</v>
      </c>
      <c r="P11983">
        <f>IF(OR(M11983="",N11983=""),"",SUMIFS('Barang Keluar'!$E:$E,'Barang Keluar'!$A:$A,M11983,'Barang Keluar'!$C:$C,N11983))</f>
        <v>0</v>
      </c>
    </row>
    <row r="11984" spans="13:16">
      <c r="M11984" s="49">
        <f>IF($A$4+119&gt;$B$4,"",$A$4+119)</f>
        <v>46142</v>
      </c>
      <c r="N11984">
        <f>IF(M11984="","",'Master Barang'!A78)</f>
        <v>0</v>
      </c>
      <c r="O11984">
        <f>IF(N11984="","",'Master Barang'!B78)</f>
        <v>0</v>
      </c>
      <c r="P11984">
        <f>IF(OR(M11984="",N11984=""),"",SUMIFS('Barang Keluar'!$E:$E,'Barang Keluar'!$A:$A,M11984,'Barang Keluar'!$C:$C,N11984))</f>
        <v>0</v>
      </c>
    </row>
    <row r="11985" spans="13:16">
      <c r="M11985" s="49">
        <f>IF($A$4+119&gt;$B$4,"",$A$4+119)</f>
        <v>46142</v>
      </c>
      <c r="N11985">
        <f>IF(M11985="","",'Master Barang'!A79)</f>
        <v>0</v>
      </c>
      <c r="O11985">
        <f>IF(N11985="","",'Master Barang'!B79)</f>
        <v>0</v>
      </c>
      <c r="P11985">
        <f>IF(OR(M11985="",N11985=""),"",SUMIFS('Barang Keluar'!$E:$E,'Barang Keluar'!$A:$A,M11985,'Barang Keluar'!$C:$C,N11985))</f>
        <v>0</v>
      </c>
    </row>
    <row r="11986" spans="13:16">
      <c r="M11986" s="49">
        <f>IF($A$4+119&gt;$B$4,"",$A$4+119)</f>
        <v>46142</v>
      </c>
      <c r="N11986">
        <f>IF(M11986="","",'Master Barang'!A80)</f>
        <v>0</v>
      </c>
      <c r="O11986">
        <f>IF(N11986="","",'Master Barang'!B80)</f>
        <v>0</v>
      </c>
      <c r="P11986">
        <f>IF(OR(M11986="",N11986=""),"",SUMIFS('Barang Keluar'!$E:$E,'Barang Keluar'!$A:$A,M11986,'Barang Keluar'!$C:$C,N11986))</f>
        <v>0</v>
      </c>
    </row>
    <row r="11987" spans="13:16">
      <c r="M11987" s="49">
        <f>IF($A$4+119&gt;$B$4,"",$A$4+119)</f>
        <v>46142</v>
      </c>
      <c r="N11987">
        <f>IF(M11987="","",'Master Barang'!A81)</f>
        <v>0</v>
      </c>
      <c r="O11987">
        <f>IF(N11987="","",'Master Barang'!B81)</f>
        <v>0</v>
      </c>
      <c r="P11987">
        <f>IF(OR(M11987="",N11987=""),"",SUMIFS('Barang Keluar'!$E:$E,'Barang Keluar'!$A:$A,M11987,'Barang Keluar'!$C:$C,N11987))</f>
        <v>0</v>
      </c>
    </row>
    <row r="11988" spans="13:16">
      <c r="M11988" s="49">
        <f>IF($A$4+119&gt;$B$4,"",$A$4+119)</f>
        <v>46142</v>
      </c>
      <c r="N11988">
        <f>IF(M11988="","",'Master Barang'!A82)</f>
        <v>0</v>
      </c>
      <c r="O11988">
        <f>IF(N11988="","",'Master Barang'!B82)</f>
        <v>0</v>
      </c>
      <c r="P11988">
        <f>IF(OR(M11988="",N11988=""),"",SUMIFS('Barang Keluar'!$E:$E,'Barang Keluar'!$A:$A,M11988,'Barang Keluar'!$C:$C,N11988))</f>
        <v>0</v>
      </c>
    </row>
    <row r="11989" spans="13:16">
      <c r="M11989" s="49">
        <f>IF($A$4+119&gt;$B$4,"",$A$4+119)</f>
        <v>46142</v>
      </c>
      <c r="N11989">
        <f>IF(M11989="","",'Master Barang'!A83)</f>
        <v>0</v>
      </c>
      <c r="O11989">
        <f>IF(N11989="","",'Master Barang'!B83)</f>
        <v>0</v>
      </c>
      <c r="P11989">
        <f>IF(OR(M11989="",N11989=""),"",SUMIFS('Barang Keluar'!$E:$E,'Barang Keluar'!$A:$A,M11989,'Barang Keluar'!$C:$C,N11989))</f>
        <v>0</v>
      </c>
    </row>
    <row r="11990" spans="13:16">
      <c r="M11990" s="49">
        <f>IF($A$4+119&gt;$B$4,"",$A$4+119)</f>
        <v>46142</v>
      </c>
      <c r="N11990">
        <f>IF(M11990="","",'Master Barang'!A84)</f>
        <v>0</v>
      </c>
      <c r="O11990">
        <f>IF(N11990="","",'Master Barang'!B84)</f>
        <v>0</v>
      </c>
      <c r="P11990">
        <f>IF(OR(M11990="",N11990=""),"",SUMIFS('Barang Keluar'!$E:$E,'Barang Keluar'!$A:$A,M11990,'Barang Keluar'!$C:$C,N11990))</f>
        <v>0</v>
      </c>
    </row>
    <row r="11991" spans="13:16">
      <c r="M11991" s="49">
        <f>IF($A$4+119&gt;$B$4,"",$A$4+119)</f>
        <v>46142</v>
      </c>
      <c r="N11991">
        <f>IF(M11991="","",'Master Barang'!A85)</f>
        <v>0</v>
      </c>
      <c r="O11991">
        <f>IF(N11991="","",'Master Barang'!B85)</f>
        <v>0</v>
      </c>
      <c r="P11991">
        <f>IF(OR(M11991="",N11991=""),"",SUMIFS('Barang Keluar'!$E:$E,'Barang Keluar'!$A:$A,M11991,'Barang Keluar'!$C:$C,N11991))</f>
        <v>0</v>
      </c>
    </row>
    <row r="11992" spans="13:16">
      <c r="M11992" s="49">
        <f>IF($A$4+119&gt;$B$4,"",$A$4+119)</f>
        <v>46142</v>
      </c>
      <c r="N11992">
        <f>IF(M11992="","",'Master Barang'!A86)</f>
        <v>0</v>
      </c>
      <c r="O11992">
        <f>IF(N11992="","",'Master Barang'!B86)</f>
        <v>0</v>
      </c>
      <c r="P11992">
        <f>IF(OR(M11992="",N11992=""),"",SUMIFS('Barang Keluar'!$E:$E,'Barang Keluar'!$A:$A,M11992,'Barang Keluar'!$C:$C,N11992))</f>
        <v>0</v>
      </c>
    </row>
    <row r="11993" spans="13:16">
      <c r="M11993" s="49">
        <f>IF($A$4+119&gt;$B$4,"",$A$4+119)</f>
        <v>46142</v>
      </c>
      <c r="N11993">
        <f>IF(M11993="","",'Master Barang'!A87)</f>
        <v>0</v>
      </c>
      <c r="O11993">
        <f>IF(N11993="","",'Master Barang'!B87)</f>
        <v>0</v>
      </c>
      <c r="P11993">
        <f>IF(OR(M11993="",N11993=""),"",SUMIFS('Barang Keluar'!$E:$E,'Barang Keluar'!$A:$A,M11993,'Barang Keluar'!$C:$C,N11993))</f>
        <v>0</v>
      </c>
    </row>
    <row r="11994" spans="13:16">
      <c r="M11994" s="49">
        <f>IF($A$4+119&gt;$B$4,"",$A$4+119)</f>
        <v>46142</v>
      </c>
      <c r="N11994">
        <f>IF(M11994="","",'Master Barang'!A88)</f>
        <v>0</v>
      </c>
      <c r="O11994">
        <f>IF(N11994="","",'Master Barang'!B88)</f>
        <v>0</v>
      </c>
      <c r="P11994">
        <f>IF(OR(M11994="",N11994=""),"",SUMIFS('Barang Keluar'!$E:$E,'Barang Keluar'!$A:$A,M11994,'Barang Keluar'!$C:$C,N11994))</f>
        <v>0</v>
      </c>
    </row>
    <row r="11995" spans="13:16">
      <c r="M11995" s="49">
        <f>IF($A$4+119&gt;$B$4,"",$A$4+119)</f>
        <v>46142</v>
      </c>
      <c r="N11995">
        <f>IF(M11995="","",'Master Barang'!A89)</f>
        <v>0</v>
      </c>
      <c r="O11995">
        <f>IF(N11995="","",'Master Barang'!B89)</f>
        <v>0</v>
      </c>
      <c r="P11995">
        <f>IF(OR(M11995="",N11995=""),"",SUMIFS('Barang Keluar'!$E:$E,'Barang Keluar'!$A:$A,M11995,'Barang Keluar'!$C:$C,N11995))</f>
        <v>0</v>
      </c>
    </row>
    <row r="11996" spans="13:16">
      <c r="M11996" s="49">
        <f>IF($A$4+119&gt;$B$4,"",$A$4+119)</f>
        <v>46142</v>
      </c>
      <c r="N11996">
        <f>IF(M11996="","",'Master Barang'!A90)</f>
        <v>0</v>
      </c>
      <c r="O11996">
        <f>IF(N11996="","",'Master Barang'!B90)</f>
        <v>0</v>
      </c>
      <c r="P11996">
        <f>IF(OR(M11996="",N11996=""),"",SUMIFS('Barang Keluar'!$E:$E,'Barang Keluar'!$A:$A,M11996,'Barang Keluar'!$C:$C,N11996))</f>
        <v>0</v>
      </c>
    </row>
    <row r="11997" spans="13:16">
      <c r="M11997" s="49">
        <f>IF($A$4+119&gt;$B$4,"",$A$4+119)</f>
        <v>46142</v>
      </c>
      <c r="N11997">
        <f>IF(M11997="","",'Master Barang'!A91)</f>
        <v>0</v>
      </c>
      <c r="O11997">
        <f>IF(N11997="","",'Master Barang'!B91)</f>
        <v>0</v>
      </c>
      <c r="P11997">
        <f>IF(OR(M11997="",N11997=""),"",SUMIFS('Barang Keluar'!$E:$E,'Barang Keluar'!$A:$A,M11997,'Barang Keluar'!$C:$C,N11997))</f>
        <v>0</v>
      </c>
    </row>
    <row r="11998" spans="13:16">
      <c r="M11998" s="49">
        <f>IF($A$4+119&gt;$B$4,"",$A$4+119)</f>
        <v>46142</v>
      </c>
      <c r="N11998">
        <f>IF(M11998="","",'Master Barang'!A92)</f>
        <v>0</v>
      </c>
      <c r="O11998">
        <f>IF(N11998="","",'Master Barang'!B92)</f>
        <v>0</v>
      </c>
      <c r="P11998">
        <f>IF(OR(M11998="",N11998=""),"",SUMIFS('Barang Keluar'!$E:$E,'Barang Keluar'!$A:$A,M11998,'Barang Keluar'!$C:$C,N11998))</f>
        <v>0</v>
      </c>
    </row>
    <row r="11999" spans="13:16">
      <c r="M11999" s="49">
        <f>IF($A$4+119&gt;$B$4,"",$A$4+119)</f>
        <v>46142</v>
      </c>
      <c r="N11999">
        <f>IF(M11999="","",'Master Barang'!A93)</f>
        <v>0</v>
      </c>
      <c r="O11999">
        <f>IF(N11999="","",'Master Barang'!B93)</f>
        <v>0</v>
      </c>
      <c r="P11999">
        <f>IF(OR(M11999="",N11999=""),"",SUMIFS('Barang Keluar'!$E:$E,'Barang Keluar'!$A:$A,M11999,'Barang Keluar'!$C:$C,N11999))</f>
        <v>0</v>
      </c>
    </row>
    <row r="12000" spans="13:16">
      <c r="M12000" s="49">
        <f>IF($A$4+119&gt;$B$4,"",$A$4+119)</f>
        <v>46142</v>
      </c>
      <c r="N12000">
        <f>IF(M12000="","",'Master Barang'!A94)</f>
        <v>0</v>
      </c>
      <c r="O12000">
        <f>IF(N12000="","",'Master Barang'!B94)</f>
        <v>0</v>
      </c>
      <c r="P12000">
        <f>IF(OR(M12000="",N12000=""),"",SUMIFS('Barang Keluar'!$E:$E,'Barang Keluar'!$A:$A,M12000,'Barang Keluar'!$C:$C,N12000))</f>
        <v>0</v>
      </c>
    </row>
    <row r="12001" spans="13:16">
      <c r="M12001" s="49">
        <f>IF($A$4+119&gt;$B$4,"",$A$4+119)</f>
        <v>46142</v>
      </c>
      <c r="N12001">
        <f>IF(M12001="","",'Master Barang'!A95)</f>
        <v>0</v>
      </c>
      <c r="O12001">
        <f>IF(N12001="","",'Master Barang'!B95)</f>
        <v>0</v>
      </c>
      <c r="P12001">
        <f>IF(OR(M12001="",N12001=""),"",SUMIFS('Barang Keluar'!$E:$E,'Barang Keluar'!$A:$A,M12001,'Barang Keluar'!$C:$C,N12001))</f>
        <v>0</v>
      </c>
    </row>
    <row r="12002" spans="13:16">
      <c r="M12002" s="49">
        <f>IF($A$4+119&gt;$B$4,"",$A$4+119)</f>
        <v>46142</v>
      </c>
      <c r="N12002">
        <f>IF(M12002="","",'Master Barang'!A96)</f>
        <v>0</v>
      </c>
      <c r="O12002">
        <f>IF(N12002="","",'Master Barang'!B96)</f>
        <v>0</v>
      </c>
      <c r="P12002">
        <f>IF(OR(M12002="",N12002=""),"",SUMIFS('Barang Keluar'!$E:$E,'Barang Keluar'!$A:$A,M12002,'Barang Keluar'!$C:$C,N12002))</f>
        <v>0</v>
      </c>
    </row>
    <row r="12003" spans="13:16">
      <c r="M12003" s="49">
        <f>IF($A$4+119&gt;$B$4,"",$A$4+119)</f>
        <v>46142</v>
      </c>
      <c r="N12003">
        <f>IF(M12003="","",'Master Barang'!A97)</f>
        <v>0</v>
      </c>
      <c r="O12003">
        <f>IF(N12003="","",'Master Barang'!B97)</f>
        <v>0</v>
      </c>
      <c r="P12003">
        <f>IF(OR(M12003="",N12003=""),"",SUMIFS('Barang Keluar'!$E:$E,'Barang Keluar'!$A:$A,M12003,'Barang Keluar'!$C:$C,N12003))</f>
        <v>0</v>
      </c>
    </row>
    <row r="12004" spans="13:16">
      <c r="M12004" s="49">
        <f>IF($A$4+119&gt;$B$4,"",$A$4+119)</f>
        <v>46142</v>
      </c>
      <c r="N12004">
        <f>IF(M12004="","",'Master Barang'!A98)</f>
        <v>0</v>
      </c>
      <c r="O12004">
        <f>IF(N12004="","",'Master Barang'!B98)</f>
        <v>0</v>
      </c>
      <c r="P12004">
        <f>IF(OR(M12004="",N12004=""),"",SUMIFS('Barang Keluar'!$E:$E,'Barang Keluar'!$A:$A,M12004,'Barang Keluar'!$C:$C,N12004))</f>
        <v>0</v>
      </c>
    </row>
    <row r="12005" spans="13:16">
      <c r="M12005" s="49">
        <f>IF($A$4+119&gt;$B$4,"",$A$4+119)</f>
        <v>46142</v>
      </c>
      <c r="N12005">
        <f>IF(M12005="","",'Master Barang'!A99)</f>
        <v>0</v>
      </c>
      <c r="O12005">
        <f>IF(N12005="","",'Master Barang'!B99)</f>
        <v>0</v>
      </c>
      <c r="P12005">
        <f>IF(OR(M12005="",N12005=""),"",SUMIFS('Barang Keluar'!$E:$E,'Barang Keluar'!$A:$A,M12005,'Barang Keluar'!$C:$C,N12005))</f>
        <v>0</v>
      </c>
    </row>
    <row r="12006" spans="13:16">
      <c r="M12006" s="49">
        <f>IF($A$4+119&gt;$B$4,"",$A$4+119)</f>
        <v>46142</v>
      </c>
      <c r="N12006">
        <f>IF(M12006="","",'Master Barang'!A100)</f>
        <v>0</v>
      </c>
      <c r="O12006">
        <f>IF(N12006="","",'Master Barang'!B100)</f>
        <v>0</v>
      </c>
      <c r="P12006">
        <f>IF(OR(M12006="",N12006=""),"",SUMIFS('Barang Keluar'!$E:$E,'Barang Keluar'!$A:$A,M12006,'Barang Keluar'!$C:$C,N12006))</f>
        <v>0</v>
      </c>
    </row>
    <row r="12007" spans="13:16">
      <c r="M12007" s="49">
        <f>IF($A$4+119&gt;$B$4,"",$A$4+119)</f>
        <v>46142</v>
      </c>
      <c r="N12007">
        <f>IF(M12007="","",'Master Barang'!A101)</f>
        <v>0</v>
      </c>
      <c r="O12007">
        <f>IF(N12007="","",'Master Barang'!B101)</f>
        <v>0</v>
      </c>
      <c r="P12007">
        <f>IF(OR(M12007="",N12007=""),"",SUMIFS('Barang Keluar'!$E:$E,'Barang Keluar'!$A:$A,M12007,'Barang Keluar'!$C:$C,N12007))</f>
        <v>0</v>
      </c>
    </row>
    <row r="12008" spans="13:16">
      <c r="M12008" s="49">
        <f>IF($A$4+120&gt;$B$4,"",$A$4+120)</f>
        <v>46143</v>
      </c>
      <c r="N12008" t="str">
        <f>IF(M12008="","",'Master Barang'!A2)</f>
        <v>PRL-001</v>
      </c>
      <c r="O12008" t="str">
        <f>IF(N12008="","",'Master Barang'!B2)</f>
        <v>natura desinfectant food grade 5l</v>
      </c>
      <c r="P12008">
        <f>IF(OR(M12008="",N12008=""),"",SUMIFS('Barang Keluar'!$E:$E,'Barang Keluar'!$A:$A,M12008,'Barang Keluar'!$C:$C,N12008))</f>
        <v>0</v>
      </c>
    </row>
    <row r="12009" spans="13:16">
      <c r="M12009" s="49">
        <f>IF($A$4+120&gt;$B$4,"",$A$4+120)</f>
        <v>46143</v>
      </c>
      <c r="N12009" t="str">
        <f>IF(M12009="","",'Master Barang'!A3)</f>
        <v>PRL-002</v>
      </c>
      <c r="O12009" t="str">
        <f>IF(N12009="","",'Master Barang'!B3)</f>
        <v>sunlight cairan pencuci piring 5l</v>
      </c>
      <c r="P12009">
        <f>IF(OR(M12009="",N12009=""),"",SUMIFS('Barang Keluar'!$E:$E,'Barang Keluar'!$A:$A,M12009,'Barang Keluar'!$C:$C,N12009))</f>
        <v>0</v>
      </c>
    </row>
    <row r="12010" spans="13:16">
      <c r="M12010" s="49">
        <f>IF($A$4+120&gt;$B$4,"",$A$4+120)</f>
        <v>46143</v>
      </c>
      <c r="N12010" t="str">
        <f>IF(M12010="","",'Master Barang'!A4)</f>
        <v>PRL-003</v>
      </c>
      <c r="O12010" t="str">
        <f>IF(N12010="","",'Master Barang'!B4)</f>
        <v>oixs cleaner 1l</v>
      </c>
      <c r="P12010">
        <f>IF(OR(M12010="",N12010=""),"",SUMIFS('Barang Keluar'!$E:$E,'Barang Keluar'!$A:$A,M12010,'Barang Keluar'!$C:$C,N12010))</f>
        <v>0</v>
      </c>
    </row>
    <row r="12011" spans="13:16">
      <c r="M12011" s="49">
        <f>IF($A$4+120&gt;$B$4,"",$A$4+120)</f>
        <v>46143</v>
      </c>
      <c r="N12011" t="str">
        <f>IF(M12011="","",'Master Barang'!A5)</f>
        <v>PRL-004</v>
      </c>
      <c r="O12011" t="str">
        <f>IF(N12011="","",'Master Barang'!B5)</f>
        <v>be clean tissue serbaguna</v>
      </c>
      <c r="P12011">
        <f>IF(OR(M12011="",N12011=""),"",SUMIFS('Barang Keluar'!$E:$E,'Barang Keluar'!$A:$A,M12011,'Barang Keluar'!$C:$C,N12011))</f>
        <v>0</v>
      </c>
    </row>
    <row r="12012" spans="13:16">
      <c r="M12012" s="49">
        <f>IF($A$4+120&gt;$B$4,"",$A$4+120)</f>
        <v>46143</v>
      </c>
      <c r="N12012" t="str">
        <f>IF(M12012="","",'Master Barang'!A6)</f>
        <v>PRL-005</v>
      </c>
      <c r="O12012" t="str">
        <f>IF(N12012="","",'Master Barang'!B6)</f>
        <v>spons cuci hijau</v>
      </c>
      <c r="P12012">
        <f>IF(OR(M12012="",N12012=""),"",SUMIFS('Barang Keluar'!$E:$E,'Barang Keluar'!$A:$A,M12012,'Barang Keluar'!$C:$C,N12012))</f>
        <v>0</v>
      </c>
    </row>
    <row r="12013" spans="13:16">
      <c r="M12013" s="49">
        <f>IF($A$4+120&gt;$B$4,"",$A$4+120)</f>
        <v>46143</v>
      </c>
      <c r="N12013" t="str">
        <f>IF(M12013="","",'Master Barang'!A7)</f>
        <v>PRL-006</v>
      </c>
      <c r="O12013" t="str">
        <f>IF(N12013="","",'Master Barang'!B7)</f>
        <v>sabut cuci stainless</v>
      </c>
      <c r="P12013">
        <f>IF(OR(M12013="",N12013=""),"",SUMIFS('Barang Keluar'!$E:$E,'Barang Keluar'!$A:$A,M12013,'Barang Keluar'!$C:$C,N12013))</f>
        <v>0</v>
      </c>
    </row>
    <row r="12014" spans="13:16">
      <c r="M12014" s="49">
        <f>IF($A$4+120&gt;$B$4,"",$A$4+120)</f>
        <v>46143</v>
      </c>
      <c r="N12014" t="str">
        <f>IF(M12014="","",'Master Barang'!A8)</f>
        <v>PRL-007</v>
      </c>
      <c r="O12014" t="str">
        <f>IF(N12014="","",'Master Barang'!B8)</f>
        <v>plastik kresek besar merah 50pc</v>
      </c>
      <c r="P12014">
        <f>IF(OR(M12014="",N12014=""),"",SUMIFS('Barang Keluar'!$E:$E,'Barang Keluar'!$A:$A,M12014,'Barang Keluar'!$C:$C,N12014))</f>
        <v>0</v>
      </c>
    </row>
    <row r="12015" spans="13:16">
      <c r="M12015" s="49">
        <f>IF($A$4+120&gt;$B$4,"",$A$4+120)</f>
        <v>46143</v>
      </c>
      <c r="N12015" t="str">
        <f>IF(M12015="","",'Master Barang'!A9)</f>
        <v>PRL-008</v>
      </c>
      <c r="O12015" t="str">
        <f>IF(N12015="","",'Master Barang'!B9)</f>
        <v>lap besar</v>
      </c>
      <c r="P12015">
        <f>IF(OR(M12015="",N12015=""),"",SUMIFS('Barang Keluar'!$E:$E,'Barang Keluar'!$A:$A,M12015,'Barang Keluar'!$C:$C,N12015))</f>
        <v>0</v>
      </c>
    </row>
    <row r="12016" spans="13:16">
      <c r="M12016" s="49">
        <f>IF($A$4+120&gt;$B$4,"",$A$4+120)</f>
        <v>46143</v>
      </c>
      <c r="N12016" t="str">
        <f>IF(M12016="","",'Master Barang'!A10)</f>
        <v>PRL-009</v>
      </c>
      <c r="O12016" t="str">
        <f>IF(N12016="","",'Master Barang'!B10)</f>
        <v>lap microfiber</v>
      </c>
      <c r="P12016">
        <f>IF(OR(M12016="",N12016=""),"",SUMIFS('Barang Keluar'!$E:$E,'Barang Keluar'!$A:$A,M12016,'Barang Keluar'!$C:$C,N12016))</f>
        <v>0</v>
      </c>
    </row>
    <row r="12017" spans="13:16">
      <c r="M12017" s="49">
        <f>IF($A$4+120&gt;$B$4,"",$A$4+120)</f>
        <v>46143</v>
      </c>
      <c r="N12017" t="str">
        <f>IF(M12017="","",'Master Barang'!A11)</f>
        <v>PRL-010</v>
      </c>
      <c r="O12017" t="str">
        <f>IF(N12017="","",'Master Barang'!B11)</f>
        <v>lap kecil</v>
      </c>
      <c r="P12017">
        <f>IF(OR(M12017="",N12017=""),"",SUMIFS('Barang Keluar'!$E:$E,'Barang Keluar'!$A:$A,M12017,'Barang Keluar'!$C:$C,N12017))</f>
        <v>0</v>
      </c>
    </row>
    <row r="12018" spans="13:16">
      <c r="M12018" s="49">
        <f>IF($A$4+120&gt;$B$4,"",$A$4+120)</f>
        <v>46143</v>
      </c>
      <c r="N12018" t="str">
        <f>IF(M12018="","",'Master Barang'!A12)</f>
        <v>PRL-011</v>
      </c>
      <c r="O12018" t="str">
        <f>IF(N12018="","",'Master Barang'!B12)</f>
        <v>kanebo kecil</v>
      </c>
      <c r="P12018">
        <f>IF(OR(M12018="",N12018=""),"",SUMIFS('Barang Keluar'!$E:$E,'Barang Keluar'!$A:$A,M12018,'Barang Keluar'!$C:$C,N12018))</f>
        <v>0</v>
      </c>
    </row>
    <row r="12019" spans="13:16">
      <c r="M12019" s="49">
        <f>IF($A$4+120&gt;$B$4,"",$A$4+120)</f>
        <v>46143</v>
      </c>
      <c r="N12019" t="str">
        <f>IF(M12019="","",'Master Barang'!A13)</f>
        <v>PRL-012</v>
      </c>
      <c r="O12019" t="str">
        <f>IF(N12019="","",'Master Barang'!B13)</f>
        <v>plastik 1/4kg joyoboyo 100 lembar</v>
      </c>
      <c r="P12019">
        <f>IF(OR(M12019="",N12019=""),"",SUMIFS('Barang Keluar'!$E:$E,'Barang Keluar'!$A:$A,M12019,'Barang Keluar'!$C:$C,N12019))</f>
        <v>0</v>
      </c>
    </row>
    <row r="12020" spans="13:16">
      <c r="M12020" s="49">
        <f>IF($A$4+120&gt;$B$4,"",$A$4+120)</f>
        <v>46143</v>
      </c>
      <c r="N12020" t="str">
        <f>IF(M12020="","",'Master Barang'!A14)</f>
        <v>PRL-013</v>
      </c>
      <c r="O12020" t="str">
        <f>IF(N12020="","",'Master Barang'!B14)</f>
        <v>sarung tangan plastik kaka 100 pcs</v>
      </c>
      <c r="P12020">
        <f>IF(OR(M12020="",N12020=""),"",SUMIFS('Barang Keluar'!$E:$E,'Barang Keluar'!$A:$A,M12020,'Barang Keluar'!$C:$C,N12020))</f>
        <v>0</v>
      </c>
    </row>
    <row r="12021" spans="13:16">
      <c r="M12021" s="49">
        <f>IF($A$4+120&gt;$B$4,"",$A$4+120)</f>
        <v>46143</v>
      </c>
      <c r="N12021" t="str">
        <f>IF(M12021="","",'Master Barang'!A15)</f>
        <v>PRL-014</v>
      </c>
      <c r="O12021" t="str">
        <f>IF(N12021="","",'Master Barang'!B15)</f>
        <v>optima trashbag 80x100</v>
      </c>
      <c r="P12021">
        <f>IF(OR(M12021="",N12021=""),"",SUMIFS('Barang Keluar'!$E:$E,'Barang Keluar'!$A:$A,M12021,'Barang Keluar'!$C:$C,N12021))</f>
        <v>0</v>
      </c>
    </row>
    <row r="12022" spans="13:16">
      <c r="M12022" s="49">
        <f>IF($A$4+120&gt;$B$4,"",$A$4+120)</f>
        <v>46143</v>
      </c>
      <c r="N12022" t="str">
        <f>IF(M12022="","",'Master Barang'!A16)</f>
        <v>PRL-015</v>
      </c>
      <c r="O12022" t="str">
        <f>IF(N12022="","",'Master Barang'!B16)</f>
        <v>optima trashbag 60x100</v>
      </c>
      <c r="P12022">
        <f>IF(OR(M12022="",N12022=""),"",SUMIFS('Barang Keluar'!$E:$E,'Barang Keluar'!$A:$A,M12022,'Barang Keluar'!$C:$C,N12022))</f>
        <v>0</v>
      </c>
    </row>
    <row r="12023" spans="13:16">
      <c r="M12023" s="49">
        <f>IF($A$4+120&gt;$B$4,"",$A$4+120)</f>
        <v>46143</v>
      </c>
      <c r="N12023" t="str">
        <f>IF(M12023="","",'Master Barang'!A17)</f>
        <v>PRL-016</v>
      </c>
      <c r="O12023" t="str">
        <f>IF(N12023="","",'Master Barang'!B17)</f>
        <v>rajawali trashbag 30x40</v>
      </c>
      <c r="P12023">
        <f>IF(OR(M12023="",N12023=""),"",SUMIFS('Barang Keluar'!$E:$E,'Barang Keluar'!$A:$A,M12023,'Barang Keluar'!$C:$C,N12023))</f>
        <v>0</v>
      </c>
    </row>
    <row r="12024" spans="13:16">
      <c r="M12024" s="49">
        <f>IF($A$4+120&gt;$B$4,"",$A$4+120)</f>
        <v>46143</v>
      </c>
      <c r="N12024" t="str">
        <f>IF(M12024="","",'Master Barang'!A18)</f>
        <v>PRL-017</v>
      </c>
      <c r="O12024" t="str">
        <f>IF(N12024="","",'Master Barang'!B18)</f>
        <v>onemed masker biru 3 play 50 pcs</v>
      </c>
      <c r="P12024">
        <f>IF(OR(M12024="",N12024=""),"",SUMIFS('Barang Keluar'!$E:$E,'Barang Keluar'!$A:$A,M12024,'Barang Keluar'!$C:$C,N12024))</f>
        <v>0</v>
      </c>
    </row>
    <row r="12025" spans="13:16">
      <c r="M12025" s="49">
        <f>IF($A$4+120&gt;$B$4,"",$A$4+120)</f>
        <v>46143</v>
      </c>
      <c r="N12025" t="str">
        <f>IF(M12025="","",'Master Barang'!A19)</f>
        <v>PRL-018</v>
      </c>
      <c r="O12025" t="str">
        <f>IF(N12025="","",'Master Barang'!B19)</f>
        <v>onemed masker biru 3 play hijab 50 pcs</v>
      </c>
      <c r="P12025">
        <f>IF(OR(M12025="",N12025=""),"",SUMIFS('Barang Keluar'!$E:$E,'Barang Keluar'!$A:$A,M12025,'Barang Keluar'!$C:$C,N12025))</f>
        <v>0</v>
      </c>
    </row>
    <row r="12026" spans="13:16">
      <c r="M12026" s="49">
        <f>IF($A$4+120&gt;$B$4,"",$A$4+120)</f>
        <v>46143</v>
      </c>
      <c r="N12026" t="str">
        <f>IF(M12026="","",'Master Barang'!A20)</f>
        <v>PRL-019</v>
      </c>
      <c r="O12026" t="str">
        <f>IF(N12026="","",'Master Barang'!B20)</f>
        <v>neo health masker biru 3 play 50 pcs</v>
      </c>
      <c r="P12026">
        <f>IF(OR(M12026="",N12026=""),"",SUMIFS('Barang Keluar'!$E:$E,'Barang Keluar'!$A:$A,M12026,'Barang Keluar'!$C:$C,N12026))</f>
        <v>0</v>
      </c>
    </row>
    <row r="12027" spans="13:16">
      <c r="M12027" s="49">
        <f>IF($A$4+120&gt;$B$4,"",$A$4+120)</f>
        <v>46143</v>
      </c>
      <c r="N12027" t="str">
        <f>IF(M12027="","",'Master Barang'!A21)</f>
        <v>PRL-020</v>
      </c>
      <c r="O12027" t="str">
        <f>IF(N12027="","",'Master Barang'!B21)</f>
        <v>baymed masker hijau 3 play hijau 50 pcs</v>
      </c>
      <c r="P12027">
        <f>IF(OR(M12027="",N12027=""),"",SUMIFS('Barang Keluar'!$E:$E,'Barang Keluar'!$A:$A,M12027,'Barang Keluar'!$C:$C,N12027))</f>
        <v>0</v>
      </c>
    </row>
    <row r="12028" spans="13:16">
      <c r="M12028" s="49">
        <f>IF($A$4+120&gt;$B$4,"",$A$4+120)</f>
        <v>46143</v>
      </c>
      <c r="N12028" t="str">
        <f>IF(M12028="","",'Master Barang'!A22)</f>
        <v>PRL-021</v>
      </c>
      <c r="O12028" t="str">
        <f>IF(N12028="","",'Master Barang'!B22)</f>
        <v>altamed nurse cap penutup kepala 100 pcs</v>
      </c>
      <c r="P12028">
        <f>IF(OR(M12028="",N12028=""),"",SUMIFS('Barang Keluar'!$E:$E,'Barang Keluar'!$A:$A,M12028,'Barang Keluar'!$C:$C,N12028))</f>
        <v>0</v>
      </c>
    </row>
    <row r="12029" spans="13:16">
      <c r="M12029" s="49">
        <f>IF($A$4+120&gt;$B$4,"",$A$4+120)</f>
        <v>46143</v>
      </c>
      <c r="N12029" t="str">
        <f>IF(M12029="","",'Master Barang'!A23)</f>
        <v>PRL-022</v>
      </c>
      <c r="O12029" t="str">
        <f>IF(N12029="","",'Master Barang'!B23)</f>
        <v>sabun cuci tangan</v>
      </c>
      <c r="P12029">
        <f>IF(OR(M12029="",N12029=""),"",SUMIFS('Barang Keluar'!$E:$E,'Barang Keluar'!$A:$A,M12029,'Barang Keluar'!$C:$C,N12029))</f>
        <v>0</v>
      </c>
    </row>
    <row r="12030" spans="13:16">
      <c r="M12030" s="49">
        <f>IF($A$4+120&gt;$B$4,"",$A$4+120)</f>
        <v>46143</v>
      </c>
      <c r="N12030" t="str">
        <f>IF(M12030="","",'Master Barang'!A24)</f>
        <v>PRL-023</v>
      </c>
      <c r="O12030" t="str">
        <f>IF(N12030="","",'Master Barang'!B24)</f>
        <v>gayung kecil</v>
      </c>
      <c r="P12030">
        <f>IF(OR(M12030="",N12030=""),"",SUMIFS('Barang Keluar'!$E:$E,'Barang Keluar'!$A:$A,M12030,'Barang Keluar'!$C:$C,N12030))</f>
        <v>0</v>
      </c>
    </row>
    <row r="12031" spans="13:16">
      <c r="M12031" s="49">
        <f>IF($A$4+120&gt;$B$4,"",$A$4+120)</f>
        <v>46143</v>
      </c>
      <c r="N12031" t="str">
        <f>IF(M12031="","",'Master Barang'!A25)</f>
        <v>PRL-024</v>
      </c>
      <c r="O12031" t="str">
        <f>IF(N12031="","",'Master Barang'!B25)</f>
        <v>cikrak kecil</v>
      </c>
      <c r="P12031">
        <f>IF(OR(M12031="",N12031=""),"",SUMIFS('Barang Keluar'!$E:$E,'Barang Keluar'!$A:$A,M12031,'Barang Keluar'!$C:$C,N12031))</f>
        <v>0</v>
      </c>
    </row>
    <row r="12032" spans="13:16">
      <c r="M12032" s="49">
        <f>IF($A$4+120&gt;$B$4,"",$A$4+120)</f>
        <v>46143</v>
      </c>
      <c r="N12032" t="str">
        <f>IF(M12032="","",'Master Barang'!A26)</f>
        <v>PRL-025</v>
      </c>
      <c r="O12032" t="str">
        <f>IF(N12032="","",'Master Barang'!B26)</f>
        <v>petromax plastik kecil 12x24 100 lembar</v>
      </c>
      <c r="P12032">
        <f>IF(OR(M12032="",N12032=""),"",SUMIFS('Barang Keluar'!$E:$E,'Barang Keluar'!$A:$A,M12032,'Barang Keluar'!$C:$C,N12032))</f>
        <v>0</v>
      </c>
    </row>
    <row r="12033" spans="13:16">
      <c r="M12033" s="49">
        <f>IF($A$4+120&gt;$B$4,"",$A$4+120)</f>
        <v>46143</v>
      </c>
      <c r="N12033" t="str">
        <f>IF(M12033="","",'Master Barang'!A27)</f>
        <v>PRL-026</v>
      </c>
      <c r="O12033" t="str">
        <f>IF(N12033="","",'Master Barang'!B27)</f>
        <v>lancar kresek kecil bening </v>
      </c>
      <c r="P12033">
        <f>IF(OR(M12033="",N12033=""),"",SUMIFS('Barang Keluar'!$E:$E,'Barang Keluar'!$A:$A,M12033,'Barang Keluar'!$C:$C,N12033))</f>
        <v>0</v>
      </c>
    </row>
    <row r="12034" spans="13:16">
      <c r="M12034" s="49">
        <f>IF($A$4+120&gt;$B$4,"",$A$4+120)</f>
        <v>46143</v>
      </c>
      <c r="N12034" t="str">
        <f>IF(M12034="","",'Master Barang'!A28)</f>
        <v>PRL-027</v>
      </c>
      <c r="O12034" t="str">
        <f>IF(N12034="","",'Master Barang'!B28)</f>
        <v>kresek klin warna warni kecil</v>
      </c>
      <c r="P12034">
        <f>IF(OR(M12034="",N12034=""),"",SUMIFS('Barang Keluar'!$E:$E,'Barang Keluar'!$A:$A,M12034,'Barang Keluar'!$C:$C,N12034))</f>
        <v>0</v>
      </c>
    </row>
    <row r="12035" spans="13:16">
      <c r="M12035" s="49">
        <f>IF($A$4+120&gt;$B$4,"",$A$4+120)</f>
        <v>46143</v>
      </c>
      <c r="N12035" t="str">
        <f>IF(M12035="","",'Master Barang'!A29)</f>
        <v>PRL-028</v>
      </c>
      <c r="O12035" t="str">
        <f>IF(N12035="","",'Master Barang'!B29)</f>
        <v>ctik plastik 7x10 100 pcs</v>
      </c>
      <c r="P12035">
        <f>IF(OR(M12035="",N12035=""),"",SUMIFS('Barang Keluar'!$E:$E,'Barang Keluar'!$A:$A,M12035,'Barang Keluar'!$C:$C,N12035))</f>
        <v>0</v>
      </c>
    </row>
    <row r="12036" spans="13:16">
      <c r="M12036" s="49">
        <f>IF($A$4+120&gt;$B$4,"",$A$4+120)</f>
        <v>46143</v>
      </c>
      <c r="N12036" t="str">
        <f>IF(M12036="","",'Master Barang'!A30)</f>
        <v>PRL-029</v>
      </c>
      <c r="O12036" t="str">
        <f>IF(N12036="","",'Master Barang'!B30)</f>
        <v>ctik plastik 6x10 100 pcs</v>
      </c>
      <c r="P12036">
        <f>IF(OR(M12036="",N12036=""),"",SUMIFS('Barang Keluar'!$E:$E,'Barang Keluar'!$A:$A,M12036,'Barang Keluar'!$C:$C,N12036))</f>
        <v>0</v>
      </c>
    </row>
    <row r="12037" spans="13:16">
      <c r="M12037" s="49">
        <f>IF($A$4+120&gt;$B$4,"",$A$4+120)</f>
        <v>46143</v>
      </c>
      <c r="N12037" t="str">
        <f>IF(M12037="","",'Master Barang'!A31)</f>
        <v>PRL-030</v>
      </c>
      <c r="O12037" t="str">
        <f>IF(N12037="","",'Master Barang'!B31)</f>
        <v>klip plastik 25x16 100 pcs</v>
      </c>
      <c r="P12037">
        <f>IF(OR(M12037="",N12037=""),"",SUMIFS('Barang Keluar'!$E:$E,'Barang Keluar'!$A:$A,M12037,'Barang Keluar'!$C:$C,N12037))</f>
        <v>0</v>
      </c>
    </row>
    <row r="12038" spans="13:16">
      <c r="M12038" s="49">
        <f>IF($A$4+120&gt;$B$4,"",$A$4+120)</f>
        <v>46143</v>
      </c>
      <c r="N12038" t="str">
        <f>IF(M12038="","",'Master Barang'!A32)</f>
        <v>PRL-031</v>
      </c>
      <c r="O12038" t="str">
        <f>IF(N12038="","",'Master Barang'!B32)</f>
        <v>tempat saus 20 ml</v>
      </c>
      <c r="P12038">
        <f>IF(OR(M12038="",N12038=""),"",SUMIFS('Barang Keluar'!$E:$E,'Barang Keluar'!$A:$A,M12038,'Barang Keluar'!$C:$C,N12038))</f>
        <v>0</v>
      </c>
    </row>
    <row r="12039" spans="13:16">
      <c r="M12039" s="49">
        <f>IF($A$4+120&gt;$B$4,"",$A$4+120)</f>
        <v>46143</v>
      </c>
      <c r="N12039" t="str">
        <f>IF(M12039="","",'Master Barang'!A33)</f>
        <v>PRL-032</v>
      </c>
      <c r="O12039" t="str">
        <f>IF(N12039="","",'Master Barang'!B33)</f>
        <v>plastik packaging ag box uk sedang</v>
      </c>
      <c r="P12039">
        <f>IF(OR(M12039="",N12039=""),"",SUMIFS('Barang Keluar'!$E:$E,'Barang Keluar'!$A:$A,M12039,'Barang Keluar'!$C:$C,N12039))</f>
        <v>0</v>
      </c>
    </row>
    <row r="12040" spans="13:16">
      <c r="M12040" s="49">
        <f>IF($A$4+120&gt;$B$4,"",$A$4+120)</f>
        <v>46143</v>
      </c>
      <c r="N12040" t="str">
        <f>IF(M12040="","",'Master Barang'!A34)</f>
        <v>PRL-033</v>
      </c>
      <c r="O12040">
        <f>IF(N12040="","",'Master Barang'!B34)</f>
        <v>0</v>
      </c>
      <c r="P12040">
        <f>IF(OR(M12040="",N12040=""),"",SUMIFS('Barang Keluar'!$E:$E,'Barang Keluar'!$A:$A,M12040,'Barang Keluar'!$C:$C,N12040))</f>
        <v>0</v>
      </c>
    </row>
    <row r="12041" spans="13:16">
      <c r="M12041" s="49">
        <f>IF($A$4+120&gt;$B$4,"",$A$4+120)</f>
        <v>46143</v>
      </c>
      <c r="N12041">
        <f>IF(M12041="","",'Master Barang'!A35)</f>
        <v>0</v>
      </c>
      <c r="O12041">
        <f>IF(N12041="","",'Master Barang'!B35)</f>
        <v>0</v>
      </c>
      <c r="P12041">
        <f>IF(OR(M12041="",N12041=""),"",SUMIFS('Barang Keluar'!$E:$E,'Barang Keluar'!$A:$A,M12041,'Barang Keluar'!$C:$C,N12041))</f>
        <v>0</v>
      </c>
    </row>
    <row r="12042" spans="13:16">
      <c r="M12042" s="49">
        <f>IF($A$4+120&gt;$B$4,"",$A$4+120)</f>
        <v>46143</v>
      </c>
      <c r="N12042">
        <f>IF(M12042="","",'Master Barang'!A36)</f>
        <v>0</v>
      </c>
      <c r="O12042">
        <f>IF(N12042="","",'Master Barang'!B36)</f>
        <v>0</v>
      </c>
      <c r="P12042">
        <f>IF(OR(M12042="",N12042=""),"",SUMIFS('Barang Keluar'!$E:$E,'Barang Keluar'!$A:$A,M12042,'Barang Keluar'!$C:$C,N12042))</f>
        <v>0</v>
      </c>
    </row>
    <row r="12043" spans="13:16">
      <c r="M12043" s="49">
        <f>IF($A$4+120&gt;$B$4,"",$A$4+120)</f>
        <v>46143</v>
      </c>
      <c r="N12043">
        <f>IF(M12043="","",'Master Barang'!A37)</f>
        <v>0</v>
      </c>
      <c r="O12043">
        <f>IF(N12043="","",'Master Barang'!B37)</f>
        <v>0</v>
      </c>
      <c r="P12043">
        <f>IF(OR(M12043="",N12043=""),"",SUMIFS('Barang Keluar'!$E:$E,'Barang Keluar'!$A:$A,M12043,'Barang Keluar'!$C:$C,N12043))</f>
        <v>0</v>
      </c>
    </row>
    <row r="12044" spans="13:16">
      <c r="M12044" s="49">
        <f>IF($A$4+120&gt;$B$4,"",$A$4+120)</f>
        <v>46143</v>
      </c>
      <c r="N12044">
        <f>IF(M12044="","",'Master Barang'!A38)</f>
        <v>0</v>
      </c>
      <c r="O12044">
        <f>IF(N12044="","",'Master Barang'!B38)</f>
        <v>0</v>
      </c>
      <c r="P12044">
        <f>IF(OR(M12044="",N12044=""),"",SUMIFS('Barang Keluar'!$E:$E,'Barang Keluar'!$A:$A,M12044,'Barang Keluar'!$C:$C,N12044))</f>
        <v>0</v>
      </c>
    </row>
    <row r="12045" spans="13:16">
      <c r="M12045" s="49">
        <f>IF($A$4+120&gt;$B$4,"",$A$4+120)</f>
        <v>46143</v>
      </c>
      <c r="N12045">
        <f>IF(M12045="","",'Master Barang'!A39)</f>
        <v>0</v>
      </c>
      <c r="O12045">
        <f>IF(N12045="","",'Master Barang'!B39)</f>
        <v>0</v>
      </c>
      <c r="P12045">
        <f>IF(OR(M12045="",N12045=""),"",SUMIFS('Barang Keluar'!$E:$E,'Barang Keluar'!$A:$A,M12045,'Barang Keluar'!$C:$C,N12045))</f>
        <v>0</v>
      </c>
    </row>
    <row r="12046" spans="13:16">
      <c r="M12046" s="49">
        <f>IF($A$4+120&gt;$B$4,"",$A$4+120)</f>
        <v>46143</v>
      </c>
      <c r="N12046">
        <f>IF(M12046="","",'Master Barang'!A40)</f>
        <v>0</v>
      </c>
      <c r="O12046">
        <f>IF(N12046="","",'Master Barang'!B40)</f>
        <v>0</v>
      </c>
      <c r="P12046">
        <f>IF(OR(M12046="",N12046=""),"",SUMIFS('Barang Keluar'!$E:$E,'Barang Keluar'!$A:$A,M12046,'Barang Keluar'!$C:$C,N12046))</f>
        <v>0</v>
      </c>
    </row>
    <row r="12047" spans="13:16">
      <c r="M12047" s="49">
        <f>IF($A$4+120&gt;$B$4,"",$A$4+120)</f>
        <v>46143</v>
      </c>
      <c r="N12047">
        <f>IF(M12047="","",'Master Barang'!A41)</f>
        <v>0</v>
      </c>
      <c r="O12047">
        <f>IF(N12047="","",'Master Barang'!B41)</f>
        <v>0</v>
      </c>
      <c r="P12047">
        <f>IF(OR(M12047="",N12047=""),"",SUMIFS('Barang Keluar'!$E:$E,'Barang Keluar'!$A:$A,M12047,'Barang Keluar'!$C:$C,N12047))</f>
        <v>0</v>
      </c>
    </row>
    <row r="12048" spans="13:16">
      <c r="M12048" s="49">
        <f>IF($A$4+120&gt;$B$4,"",$A$4+120)</f>
        <v>46143</v>
      </c>
      <c r="N12048">
        <f>IF(M12048="","",'Master Barang'!A42)</f>
        <v>0</v>
      </c>
      <c r="O12048">
        <f>IF(N12048="","",'Master Barang'!B42)</f>
        <v>0</v>
      </c>
      <c r="P12048">
        <f>IF(OR(M12048="",N12048=""),"",SUMIFS('Barang Keluar'!$E:$E,'Barang Keluar'!$A:$A,M12048,'Barang Keluar'!$C:$C,N12048))</f>
        <v>0</v>
      </c>
    </row>
    <row r="12049" spans="13:16">
      <c r="M12049" s="49">
        <f>IF($A$4+120&gt;$B$4,"",$A$4+120)</f>
        <v>46143</v>
      </c>
      <c r="N12049">
        <f>IF(M12049="","",'Master Barang'!A43)</f>
        <v>0</v>
      </c>
      <c r="O12049">
        <f>IF(N12049="","",'Master Barang'!B43)</f>
        <v>0</v>
      </c>
      <c r="P12049">
        <f>IF(OR(M12049="",N12049=""),"",SUMIFS('Barang Keluar'!$E:$E,'Barang Keluar'!$A:$A,M12049,'Barang Keluar'!$C:$C,N12049))</f>
        <v>0</v>
      </c>
    </row>
    <row r="12050" spans="13:16">
      <c r="M12050" s="49">
        <f>IF($A$4+120&gt;$B$4,"",$A$4+120)</f>
        <v>46143</v>
      </c>
      <c r="N12050">
        <f>IF(M12050="","",'Master Barang'!A44)</f>
        <v>0</v>
      </c>
      <c r="O12050">
        <f>IF(N12050="","",'Master Barang'!B44)</f>
        <v>0</v>
      </c>
      <c r="P12050">
        <f>IF(OR(M12050="",N12050=""),"",SUMIFS('Barang Keluar'!$E:$E,'Barang Keluar'!$A:$A,M12050,'Barang Keluar'!$C:$C,N12050))</f>
        <v>0</v>
      </c>
    </row>
    <row r="12051" spans="13:16">
      <c r="M12051" s="49">
        <f>IF($A$4+120&gt;$B$4,"",$A$4+120)</f>
        <v>46143</v>
      </c>
      <c r="N12051">
        <f>IF(M12051="","",'Master Barang'!A45)</f>
        <v>0</v>
      </c>
      <c r="O12051">
        <f>IF(N12051="","",'Master Barang'!B45)</f>
        <v>0</v>
      </c>
      <c r="P12051">
        <f>IF(OR(M12051="",N12051=""),"",SUMIFS('Barang Keluar'!$E:$E,'Barang Keluar'!$A:$A,M12051,'Barang Keluar'!$C:$C,N12051))</f>
        <v>0</v>
      </c>
    </row>
    <row r="12052" spans="13:16">
      <c r="M12052" s="49">
        <f>IF($A$4+120&gt;$B$4,"",$A$4+120)</f>
        <v>46143</v>
      </c>
      <c r="N12052">
        <f>IF(M12052="","",'Master Barang'!A46)</f>
        <v>0</v>
      </c>
      <c r="O12052">
        <f>IF(N12052="","",'Master Barang'!B46)</f>
        <v>0</v>
      </c>
      <c r="P12052">
        <f>IF(OR(M12052="",N12052=""),"",SUMIFS('Barang Keluar'!$E:$E,'Barang Keluar'!$A:$A,M12052,'Barang Keluar'!$C:$C,N12052))</f>
        <v>0</v>
      </c>
    </row>
    <row r="12053" spans="13:16">
      <c r="M12053" s="49">
        <f>IF($A$4+120&gt;$B$4,"",$A$4+120)</f>
        <v>46143</v>
      </c>
      <c r="N12053">
        <f>IF(M12053="","",'Master Barang'!A47)</f>
        <v>0</v>
      </c>
      <c r="O12053">
        <f>IF(N12053="","",'Master Barang'!B47)</f>
        <v>0</v>
      </c>
      <c r="P12053">
        <f>IF(OR(M12053="",N12053=""),"",SUMIFS('Barang Keluar'!$E:$E,'Barang Keluar'!$A:$A,M12053,'Barang Keluar'!$C:$C,N12053))</f>
        <v>0</v>
      </c>
    </row>
    <row r="12054" spans="13:16">
      <c r="M12054" s="49">
        <f>IF($A$4+120&gt;$B$4,"",$A$4+120)</f>
        <v>46143</v>
      </c>
      <c r="N12054">
        <f>IF(M12054="","",'Master Barang'!A48)</f>
        <v>0</v>
      </c>
      <c r="O12054">
        <f>IF(N12054="","",'Master Barang'!B48)</f>
        <v>0</v>
      </c>
      <c r="P12054">
        <f>IF(OR(M12054="",N12054=""),"",SUMIFS('Barang Keluar'!$E:$E,'Barang Keluar'!$A:$A,M12054,'Barang Keluar'!$C:$C,N12054))</f>
        <v>0</v>
      </c>
    </row>
    <row r="12055" spans="13:16">
      <c r="M12055" s="49">
        <f>IF($A$4+120&gt;$B$4,"",$A$4+120)</f>
        <v>46143</v>
      </c>
      <c r="N12055">
        <f>IF(M12055="","",'Master Barang'!A49)</f>
        <v>0</v>
      </c>
      <c r="O12055">
        <f>IF(N12055="","",'Master Barang'!B49)</f>
        <v>0</v>
      </c>
      <c r="P12055">
        <f>IF(OR(M12055="",N12055=""),"",SUMIFS('Barang Keluar'!$E:$E,'Barang Keluar'!$A:$A,M12055,'Barang Keluar'!$C:$C,N12055))</f>
        <v>0</v>
      </c>
    </row>
    <row r="12056" spans="13:16">
      <c r="M12056" s="49">
        <f>IF($A$4+120&gt;$B$4,"",$A$4+120)</f>
        <v>46143</v>
      </c>
      <c r="N12056">
        <f>IF(M12056="","",'Master Barang'!A50)</f>
        <v>0</v>
      </c>
      <c r="O12056">
        <f>IF(N12056="","",'Master Barang'!B50)</f>
        <v>0</v>
      </c>
      <c r="P12056">
        <f>IF(OR(M12056="",N12056=""),"",SUMIFS('Barang Keluar'!$E:$E,'Barang Keluar'!$A:$A,M12056,'Barang Keluar'!$C:$C,N12056))</f>
        <v>0</v>
      </c>
    </row>
    <row r="12057" spans="13:16">
      <c r="M12057" s="49">
        <f>IF($A$4+120&gt;$B$4,"",$A$4+120)</f>
        <v>46143</v>
      </c>
      <c r="N12057">
        <f>IF(M12057="","",'Master Barang'!A51)</f>
        <v>0</v>
      </c>
      <c r="O12057">
        <f>IF(N12057="","",'Master Barang'!B51)</f>
        <v>0</v>
      </c>
      <c r="P12057">
        <f>IF(OR(M12057="",N12057=""),"",SUMIFS('Barang Keluar'!$E:$E,'Barang Keluar'!$A:$A,M12057,'Barang Keluar'!$C:$C,N12057))</f>
        <v>0</v>
      </c>
    </row>
    <row r="12058" spans="13:16">
      <c r="M12058" s="49">
        <f>IF($A$4+120&gt;$B$4,"",$A$4+120)</f>
        <v>46143</v>
      </c>
      <c r="N12058">
        <f>IF(M12058="","",'Master Barang'!A52)</f>
        <v>0</v>
      </c>
      <c r="O12058">
        <f>IF(N12058="","",'Master Barang'!B52)</f>
        <v>0</v>
      </c>
      <c r="P12058">
        <f>IF(OR(M12058="",N12058=""),"",SUMIFS('Barang Keluar'!$E:$E,'Barang Keluar'!$A:$A,M12058,'Barang Keluar'!$C:$C,N12058))</f>
        <v>0</v>
      </c>
    </row>
    <row r="12059" spans="13:16">
      <c r="M12059" s="49">
        <f>IF($A$4+120&gt;$B$4,"",$A$4+120)</f>
        <v>46143</v>
      </c>
      <c r="N12059">
        <f>IF(M12059="","",'Master Barang'!A53)</f>
        <v>0</v>
      </c>
      <c r="O12059">
        <f>IF(N12059="","",'Master Barang'!B53)</f>
        <v>0</v>
      </c>
      <c r="P12059">
        <f>IF(OR(M12059="",N12059=""),"",SUMIFS('Barang Keluar'!$E:$E,'Barang Keluar'!$A:$A,M12059,'Barang Keluar'!$C:$C,N12059))</f>
        <v>0</v>
      </c>
    </row>
    <row r="12060" spans="13:16">
      <c r="M12060" s="49">
        <f>IF($A$4+120&gt;$B$4,"",$A$4+120)</f>
        <v>46143</v>
      </c>
      <c r="N12060">
        <f>IF(M12060="","",'Master Barang'!A54)</f>
        <v>0</v>
      </c>
      <c r="O12060">
        <f>IF(N12060="","",'Master Barang'!B54)</f>
        <v>0</v>
      </c>
      <c r="P12060">
        <f>IF(OR(M12060="",N12060=""),"",SUMIFS('Barang Keluar'!$E:$E,'Barang Keluar'!$A:$A,M12060,'Barang Keluar'!$C:$C,N12060))</f>
        <v>0</v>
      </c>
    </row>
    <row r="12061" spans="13:16">
      <c r="M12061" s="49">
        <f>IF($A$4+120&gt;$B$4,"",$A$4+120)</f>
        <v>46143</v>
      </c>
      <c r="N12061">
        <f>IF(M12061="","",'Master Barang'!A55)</f>
        <v>0</v>
      </c>
      <c r="O12061">
        <f>IF(N12061="","",'Master Barang'!B55)</f>
        <v>0</v>
      </c>
      <c r="P12061">
        <f>IF(OR(M12061="",N12061=""),"",SUMIFS('Barang Keluar'!$E:$E,'Barang Keluar'!$A:$A,M12061,'Barang Keluar'!$C:$C,N12061))</f>
        <v>0</v>
      </c>
    </row>
    <row r="12062" spans="13:16">
      <c r="M12062" s="49">
        <f>IF($A$4+120&gt;$B$4,"",$A$4+120)</f>
        <v>46143</v>
      </c>
      <c r="N12062">
        <f>IF(M12062="","",'Master Barang'!A56)</f>
        <v>0</v>
      </c>
      <c r="O12062">
        <f>IF(N12062="","",'Master Barang'!B56)</f>
        <v>0</v>
      </c>
      <c r="P12062">
        <f>IF(OR(M12062="",N12062=""),"",SUMIFS('Barang Keluar'!$E:$E,'Barang Keluar'!$A:$A,M12062,'Barang Keluar'!$C:$C,N12062))</f>
        <v>0</v>
      </c>
    </row>
    <row r="12063" spans="13:16">
      <c r="M12063" s="49">
        <f>IF($A$4+120&gt;$B$4,"",$A$4+120)</f>
        <v>46143</v>
      </c>
      <c r="N12063">
        <f>IF(M12063="","",'Master Barang'!A57)</f>
        <v>0</v>
      </c>
      <c r="O12063">
        <f>IF(N12063="","",'Master Barang'!B57)</f>
        <v>0</v>
      </c>
      <c r="P12063">
        <f>IF(OR(M12063="",N12063=""),"",SUMIFS('Barang Keluar'!$E:$E,'Barang Keluar'!$A:$A,M12063,'Barang Keluar'!$C:$C,N12063))</f>
        <v>0</v>
      </c>
    </row>
    <row r="12064" spans="13:16">
      <c r="M12064" s="49">
        <f>IF($A$4+120&gt;$B$4,"",$A$4+120)</f>
        <v>46143</v>
      </c>
      <c r="N12064">
        <f>IF(M12064="","",'Master Barang'!A58)</f>
        <v>0</v>
      </c>
      <c r="O12064">
        <f>IF(N12064="","",'Master Barang'!B58)</f>
        <v>0</v>
      </c>
      <c r="P12064">
        <f>IF(OR(M12064="",N12064=""),"",SUMIFS('Barang Keluar'!$E:$E,'Barang Keluar'!$A:$A,M12064,'Barang Keluar'!$C:$C,N12064))</f>
        <v>0</v>
      </c>
    </row>
    <row r="12065" spans="13:16">
      <c r="M12065" s="49">
        <f>IF($A$4+120&gt;$B$4,"",$A$4+120)</f>
        <v>46143</v>
      </c>
      <c r="N12065">
        <f>IF(M12065="","",'Master Barang'!A59)</f>
        <v>0</v>
      </c>
      <c r="O12065">
        <f>IF(N12065="","",'Master Barang'!B59)</f>
        <v>0</v>
      </c>
      <c r="P12065">
        <f>IF(OR(M12065="",N12065=""),"",SUMIFS('Barang Keluar'!$E:$E,'Barang Keluar'!$A:$A,M12065,'Barang Keluar'!$C:$C,N12065))</f>
        <v>0</v>
      </c>
    </row>
    <row r="12066" spans="13:16">
      <c r="M12066" s="49">
        <f>IF($A$4+120&gt;$B$4,"",$A$4+120)</f>
        <v>46143</v>
      </c>
      <c r="N12066">
        <f>IF(M12066="","",'Master Barang'!A60)</f>
        <v>0</v>
      </c>
      <c r="O12066">
        <f>IF(N12066="","",'Master Barang'!B60)</f>
        <v>0</v>
      </c>
      <c r="P12066">
        <f>IF(OR(M12066="",N12066=""),"",SUMIFS('Barang Keluar'!$E:$E,'Barang Keluar'!$A:$A,M12066,'Barang Keluar'!$C:$C,N12066))</f>
        <v>0</v>
      </c>
    </row>
    <row r="12067" spans="13:16">
      <c r="M12067" s="49">
        <f>IF($A$4+120&gt;$B$4,"",$A$4+120)</f>
        <v>46143</v>
      </c>
      <c r="N12067">
        <f>IF(M12067="","",'Master Barang'!A61)</f>
        <v>0</v>
      </c>
      <c r="O12067">
        <f>IF(N12067="","",'Master Barang'!B61)</f>
        <v>0</v>
      </c>
      <c r="P12067">
        <f>IF(OR(M12067="",N12067=""),"",SUMIFS('Barang Keluar'!$E:$E,'Barang Keluar'!$A:$A,M12067,'Barang Keluar'!$C:$C,N12067))</f>
        <v>0</v>
      </c>
    </row>
    <row r="12068" spans="13:16">
      <c r="M12068" s="49">
        <f>IF($A$4+120&gt;$B$4,"",$A$4+120)</f>
        <v>46143</v>
      </c>
      <c r="N12068">
        <f>IF(M12068="","",'Master Barang'!A62)</f>
        <v>0</v>
      </c>
      <c r="O12068">
        <f>IF(N12068="","",'Master Barang'!B62)</f>
        <v>0</v>
      </c>
      <c r="P12068">
        <f>IF(OR(M12068="",N12068=""),"",SUMIFS('Barang Keluar'!$E:$E,'Barang Keluar'!$A:$A,M12068,'Barang Keluar'!$C:$C,N12068))</f>
        <v>0</v>
      </c>
    </row>
    <row r="12069" spans="13:16">
      <c r="M12069" s="49">
        <f>IF($A$4+120&gt;$B$4,"",$A$4+120)</f>
        <v>46143</v>
      </c>
      <c r="N12069">
        <f>IF(M12069="","",'Master Barang'!A63)</f>
        <v>0</v>
      </c>
      <c r="O12069">
        <f>IF(N12069="","",'Master Barang'!B63)</f>
        <v>0</v>
      </c>
      <c r="P12069">
        <f>IF(OR(M12069="",N12069=""),"",SUMIFS('Barang Keluar'!$E:$E,'Barang Keluar'!$A:$A,M12069,'Barang Keluar'!$C:$C,N12069))</f>
        <v>0</v>
      </c>
    </row>
    <row r="12070" spans="13:16">
      <c r="M12070" s="49">
        <f>IF($A$4+120&gt;$B$4,"",$A$4+120)</f>
        <v>46143</v>
      </c>
      <c r="N12070">
        <f>IF(M12070="","",'Master Barang'!A64)</f>
        <v>0</v>
      </c>
      <c r="O12070">
        <f>IF(N12070="","",'Master Barang'!B64)</f>
        <v>0</v>
      </c>
      <c r="P12070">
        <f>IF(OR(M12070="",N12070=""),"",SUMIFS('Barang Keluar'!$E:$E,'Barang Keluar'!$A:$A,M12070,'Barang Keluar'!$C:$C,N12070))</f>
        <v>0</v>
      </c>
    </row>
    <row r="12071" spans="13:16">
      <c r="M12071" s="49">
        <f>IF($A$4+120&gt;$B$4,"",$A$4+120)</f>
        <v>46143</v>
      </c>
      <c r="N12071">
        <f>IF(M12071="","",'Master Barang'!A65)</f>
        <v>0</v>
      </c>
      <c r="O12071">
        <f>IF(N12071="","",'Master Barang'!B65)</f>
        <v>0</v>
      </c>
      <c r="P12071">
        <f>IF(OR(M12071="",N12071=""),"",SUMIFS('Barang Keluar'!$E:$E,'Barang Keluar'!$A:$A,M12071,'Barang Keluar'!$C:$C,N12071))</f>
        <v>0</v>
      </c>
    </row>
    <row r="12072" spans="13:16">
      <c r="M12072" s="49">
        <f>IF($A$4+120&gt;$B$4,"",$A$4+120)</f>
        <v>46143</v>
      </c>
      <c r="N12072">
        <f>IF(M12072="","",'Master Barang'!A66)</f>
        <v>0</v>
      </c>
      <c r="O12072">
        <f>IF(N12072="","",'Master Barang'!B66)</f>
        <v>0</v>
      </c>
      <c r="P12072">
        <f>IF(OR(M12072="",N12072=""),"",SUMIFS('Barang Keluar'!$E:$E,'Barang Keluar'!$A:$A,M12072,'Barang Keluar'!$C:$C,N12072))</f>
        <v>0</v>
      </c>
    </row>
    <row r="12073" spans="13:16">
      <c r="M12073" s="49">
        <f>IF($A$4+120&gt;$B$4,"",$A$4+120)</f>
        <v>46143</v>
      </c>
      <c r="N12073">
        <f>IF(M12073="","",'Master Barang'!A67)</f>
        <v>0</v>
      </c>
      <c r="O12073">
        <f>IF(N12073="","",'Master Barang'!B67)</f>
        <v>0</v>
      </c>
      <c r="P12073">
        <f>IF(OR(M12073="",N12073=""),"",SUMIFS('Barang Keluar'!$E:$E,'Barang Keluar'!$A:$A,M12073,'Barang Keluar'!$C:$C,N12073))</f>
        <v>0</v>
      </c>
    </row>
    <row r="12074" spans="13:16">
      <c r="M12074" s="49">
        <f>IF($A$4+120&gt;$B$4,"",$A$4+120)</f>
        <v>46143</v>
      </c>
      <c r="N12074">
        <f>IF(M12074="","",'Master Barang'!A68)</f>
        <v>0</v>
      </c>
      <c r="O12074">
        <f>IF(N12074="","",'Master Barang'!B68)</f>
        <v>0</v>
      </c>
      <c r="P12074">
        <f>IF(OR(M12074="",N12074=""),"",SUMIFS('Barang Keluar'!$E:$E,'Barang Keluar'!$A:$A,M12074,'Barang Keluar'!$C:$C,N12074))</f>
        <v>0</v>
      </c>
    </row>
    <row r="12075" spans="13:16">
      <c r="M12075" s="49">
        <f>IF($A$4+120&gt;$B$4,"",$A$4+120)</f>
        <v>46143</v>
      </c>
      <c r="N12075">
        <f>IF(M12075="","",'Master Barang'!A69)</f>
        <v>0</v>
      </c>
      <c r="O12075">
        <f>IF(N12075="","",'Master Barang'!B69)</f>
        <v>0</v>
      </c>
      <c r="P12075">
        <f>IF(OR(M12075="",N12075=""),"",SUMIFS('Barang Keluar'!$E:$E,'Barang Keluar'!$A:$A,M12075,'Barang Keluar'!$C:$C,N12075))</f>
        <v>0</v>
      </c>
    </row>
    <row r="12076" spans="13:16">
      <c r="M12076" s="49">
        <f>IF($A$4+120&gt;$B$4,"",$A$4+120)</f>
        <v>46143</v>
      </c>
      <c r="N12076">
        <f>IF(M12076="","",'Master Barang'!A70)</f>
        <v>0</v>
      </c>
      <c r="O12076">
        <f>IF(N12076="","",'Master Barang'!B70)</f>
        <v>0</v>
      </c>
      <c r="P12076">
        <f>IF(OR(M12076="",N12076=""),"",SUMIFS('Barang Keluar'!$E:$E,'Barang Keluar'!$A:$A,M12076,'Barang Keluar'!$C:$C,N12076))</f>
        <v>0</v>
      </c>
    </row>
    <row r="12077" spans="13:16">
      <c r="M12077" s="49">
        <f>IF($A$4+120&gt;$B$4,"",$A$4+120)</f>
        <v>46143</v>
      </c>
      <c r="N12077">
        <f>IF(M12077="","",'Master Barang'!A71)</f>
        <v>0</v>
      </c>
      <c r="O12077">
        <f>IF(N12077="","",'Master Barang'!B71)</f>
        <v>0</v>
      </c>
      <c r="P12077">
        <f>IF(OR(M12077="",N12077=""),"",SUMIFS('Barang Keluar'!$E:$E,'Barang Keluar'!$A:$A,M12077,'Barang Keluar'!$C:$C,N12077))</f>
        <v>0</v>
      </c>
    </row>
    <row r="12078" spans="13:16">
      <c r="M12078" s="49">
        <f>IF($A$4+120&gt;$B$4,"",$A$4+120)</f>
        <v>46143</v>
      </c>
      <c r="N12078">
        <f>IF(M12078="","",'Master Barang'!A72)</f>
        <v>0</v>
      </c>
      <c r="O12078">
        <f>IF(N12078="","",'Master Barang'!B72)</f>
        <v>0</v>
      </c>
      <c r="P12078">
        <f>IF(OR(M12078="",N12078=""),"",SUMIFS('Barang Keluar'!$E:$E,'Barang Keluar'!$A:$A,M12078,'Barang Keluar'!$C:$C,N12078))</f>
        <v>0</v>
      </c>
    </row>
    <row r="12079" spans="13:16">
      <c r="M12079" s="49">
        <f>IF($A$4+120&gt;$B$4,"",$A$4+120)</f>
        <v>46143</v>
      </c>
      <c r="N12079">
        <f>IF(M12079="","",'Master Barang'!A73)</f>
        <v>0</v>
      </c>
      <c r="O12079">
        <f>IF(N12079="","",'Master Barang'!B73)</f>
        <v>0</v>
      </c>
      <c r="P12079">
        <f>IF(OR(M12079="",N12079=""),"",SUMIFS('Barang Keluar'!$E:$E,'Barang Keluar'!$A:$A,M12079,'Barang Keluar'!$C:$C,N12079))</f>
        <v>0</v>
      </c>
    </row>
    <row r="12080" spans="13:16">
      <c r="M12080" s="49">
        <f>IF($A$4+120&gt;$B$4,"",$A$4+120)</f>
        <v>46143</v>
      </c>
      <c r="N12080">
        <f>IF(M12080="","",'Master Barang'!A74)</f>
        <v>0</v>
      </c>
      <c r="O12080">
        <f>IF(N12080="","",'Master Barang'!B74)</f>
        <v>0</v>
      </c>
      <c r="P12080">
        <f>IF(OR(M12080="",N12080=""),"",SUMIFS('Barang Keluar'!$E:$E,'Barang Keluar'!$A:$A,M12080,'Barang Keluar'!$C:$C,N12080))</f>
        <v>0</v>
      </c>
    </row>
    <row r="12081" spans="13:16">
      <c r="M12081" s="49">
        <f>IF($A$4+120&gt;$B$4,"",$A$4+120)</f>
        <v>46143</v>
      </c>
      <c r="N12081">
        <f>IF(M12081="","",'Master Barang'!A75)</f>
        <v>0</v>
      </c>
      <c r="O12081">
        <f>IF(N12081="","",'Master Barang'!B75)</f>
        <v>0</v>
      </c>
      <c r="P12081">
        <f>IF(OR(M12081="",N12081=""),"",SUMIFS('Barang Keluar'!$E:$E,'Barang Keluar'!$A:$A,M12081,'Barang Keluar'!$C:$C,N12081))</f>
        <v>0</v>
      </c>
    </row>
    <row r="12082" spans="13:16">
      <c r="M12082" s="49">
        <f>IF($A$4+120&gt;$B$4,"",$A$4+120)</f>
        <v>46143</v>
      </c>
      <c r="N12082">
        <f>IF(M12082="","",'Master Barang'!A76)</f>
        <v>0</v>
      </c>
      <c r="O12082">
        <f>IF(N12082="","",'Master Barang'!B76)</f>
        <v>0</v>
      </c>
      <c r="P12082">
        <f>IF(OR(M12082="",N12082=""),"",SUMIFS('Barang Keluar'!$E:$E,'Barang Keluar'!$A:$A,M12082,'Barang Keluar'!$C:$C,N12082))</f>
        <v>0</v>
      </c>
    </row>
    <row r="12083" spans="13:16">
      <c r="M12083" s="49">
        <f>IF($A$4+120&gt;$B$4,"",$A$4+120)</f>
        <v>46143</v>
      </c>
      <c r="N12083">
        <f>IF(M12083="","",'Master Barang'!A77)</f>
        <v>0</v>
      </c>
      <c r="O12083">
        <f>IF(N12083="","",'Master Barang'!B77)</f>
        <v>0</v>
      </c>
      <c r="P12083">
        <f>IF(OR(M12083="",N12083=""),"",SUMIFS('Barang Keluar'!$E:$E,'Barang Keluar'!$A:$A,M12083,'Barang Keluar'!$C:$C,N12083))</f>
        <v>0</v>
      </c>
    </row>
    <row r="12084" spans="13:16">
      <c r="M12084" s="49">
        <f>IF($A$4+120&gt;$B$4,"",$A$4+120)</f>
        <v>46143</v>
      </c>
      <c r="N12084">
        <f>IF(M12084="","",'Master Barang'!A78)</f>
        <v>0</v>
      </c>
      <c r="O12084">
        <f>IF(N12084="","",'Master Barang'!B78)</f>
        <v>0</v>
      </c>
      <c r="P12084">
        <f>IF(OR(M12084="",N12084=""),"",SUMIFS('Barang Keluar'!$E:$E,'Barang Keluar'!$A:$A,M12084,'Barang Keluar'!$C:$C,N12084))</f>
        <v>0</v>
      </c>
    </row>
    <row r="12085" spans="13:16">
      <c r="M12085" s="49">
        <f>IF($A$4+120&gt;$B$4,"",$A$4+120)</f>
        <v>46143</v>
      </c>
      <c r="N12085">
        <f>IF(M12085="","",'Master Barang'!A79)</f>
        <v>0</v>
      </c>
      <c r="O12085">
        <f>IF(N12085="","",'Master Barang'!B79)</f>
        <v>0</v>
      </c>
      <c r="P12085">
        <f>IF(OR(M12085="",N12085=""),"",SUMIFS('Barang Keluar'!$E:$E,'Barang Keluar'!$A:$A,M12085,'Barang Keluar'!$C:$C,N12085))</f>
        <v>0</v>
      </c>
    </row>
    <row r="12086" spans="13:16">
      <c r="M12086" s="49">
        <f>IF($A$4+120&gt;$B$4,"",$A$4+120)</f>
        <v>46143</v>
      </c>
      <c r="N12086">
        <f>IF(M12086="","",'Master Barang'!A80)</f>
        <v>0</v>
      </c>
      <c r="O12086">
        <f>IF(N12086="","",'Master Barang'!B80)</f>
        <v>0</v>
      </c>
      <c r="P12086">
        <f>IF(OR(M12086="",N12086=""),"",SUMIFS('Barang Keluar'!$E:$E,'Barang Keluar'!$A:$A,M12086,'Barang Keluar'!$C:$C,N12086))</f>
        <v>0</v>
      </c>
    </row>
    <row r="12087" spans="13:16">
      <c r="M12087" s="49">
        <f>IF($A$4+120&gt;$B$4,"",$A$4+120)</f>
        <v>46143</v>
      </c>
      <c r="N12087">
        <f>IF(M12087="","",'Master Barang'!A81)</f>
        <v>0</v>
      </c>
      <c r="O12087">
        <f>IF(N12087="","",'Master Barang'!B81)</f>
        <v>0</v>
      </c>
      <c r="P12087">
        <f>IF(OR(M12087="",N12087=""),"",SUMIFS('Barang Keluar'!$E:$E,'Barang Keluar'!$A:$A,M12087,'Barang Keluar'!$C:$C,N12087))</f>
        <v>0</v>
      </c>
    </row>
    <row r="12088" spans="13:16">
      <c r="M12088" s="49">
        <f>IF($A$4+120&gt;$B$4,"",$A$4+120)</f>
        <v>46143</v>
      </c>
      <c r="N12088">
        <f>IF(M12088="","",'Master Barang'!A82)</f>
        <v>0</v>
      </c>
      <c r="O12088">
        <f>IF(N12088="","",'Master Barang'!B82)</f>
        <v>0</v>
      </c>
      <c r="P12088">
        <f>IF(OR(M12088="",N12088=""),"",SUMIFS('Barang Keluar'!$E:$E,'Barang Keluar'!$A:$A,M12088,'Barang Keluar'!$C:$C,N12088))</f>
        <v>0</v>
      </c>
    </row>
    <row r="12089" spans="13:16">
      <c r="M12089" s="49">
        <f>IF($A$4+120&gt;$B$4,"",$A$4+120)</f>
        <v>46143</v>
      </c>
      <c r="N12089">
        <f>IF(M12089="","",'Master Barang'!A83)</f>
        <v>0</v>
      </c>
      <c r="O12089">
        <f>IF(N12089="","",'Master Barang'!B83)</f>
        <v>0</v>
      </c>
      <c r="P12089">
        <f>IF(OR(M12089="",N12089=""),"",SUMIFS('Barang Keluar'!$E:$E,'Barang Keluar'!$A:$A,M12089,'Barang Keluar'!$C:$C,N12089))</f>
        <v>0</v>
      </c>
    </row>
    <row r="12090" spans="13:16">
      <c r="M12090" s="49">
        <f>IF($A$4+120&gt;$B$4,"",$A$4+120)</f>
        <v>46143</v>
      </c>
      <c r="N12090">
        <f>IF(M12090="","",'Master Barang'!A84)</f>
        <v>0</v>
      </c>
      <c r="O12090">
        <f>IF(N12090="","",'Master Barang'!B84)</f>
        <v>0</v>
      </c>
      <c r="P12090">
        <f>IF(OR(M12090="",N12090=""),"",SUMIFS('Barang Keluar'!$E:$E,'Barang Keluar'!$A:$A,M12090,'Barang Keluar'!$C:$C,N12090))</f>
        <v>0</v>
      </c>
    </row>
    <row r="12091" spans="13:16">
      <c r="M12091" s="49">
        <f>IF($A$4+120&gt;$B$4,"",$A$4+120)</f>
        <v>46143</v>
      </c>
      <c r="N12091">
        <f>IF(M12091="","",'Master Barang'!A85)</f>
        <v>0</v>
      </c>
      <c r="O12091">
        <f>IF(N12091="","",'Master Barang'!B85)</f>
        <v>0</v>
      </c>
      <c r="P12091">
        <f>IF(OR(M12091="",N12091=""),"",SUMIFS('Barang Keluar'!$E:$E,'Barang Keluar'!$A:$A,M12091,'Barang Keluar'!$C:$C,N12091))</f>
        <v>0</v>
      </c>
    </row>
    <row r="12092" spans="13:16">
      <c r="M12092" s="49">
        <f>IF($A$4+120&gt;$B$4,"",$A$4+120)</f>
        <v>46143</v>
      </c>
      <c r="N12092">
        <f>IF(M12092="","",'Master Barang'!A86)</f>
        <v>0</v>
      </c>
      <c r="O12092">
        <f>IF(N12092="","",'Master Barang'!B86)</f>
        <v>0</v>
      </c>
      <c r="P12092">
        <f>IF(OR(M12092="",N12092=""),"",SUMIFS('Barang Keluar'!$E:$E,'Barang Keluar'!$A:$A,M12092,'Barang Keluar'!$C:$C,N12092))</f>
        <v>0</v>
      </c>
    </row>
    <row r="12093" spans="13:16">
      <c r="M12093" s="49">
        <f>IF($A$4+120&gt;$B$4,"",$A$4+120)</f>
        <v>46143</v>
      </c>
      <c r="N12093">
        <f>IF(M12093="","",'Master Barang'!A87)</f>
        <v>0</v>
      </c>
      <c r="O12093">
        <f>IF(N12093="","",'Master Barang'!B87)</f>
        <v>0</v>
      </c>
      <c r="P12093">
        <f>IF(OR(M12093="",N12093=""),"",SUMIFS('Barang Keluar'!$E:$E,'Barang Keluar'!$A:$A,M12093,'Barang Keluar'!$C:$C,N12093))</f>
        <v>0</v>
      </c>
    </row>
    <row r="12094" spans="13:16">
      <c r="M12094" s="49">
        <f>IF($A$4+120&gt;$B$4,"",$A$4+120)</f>
        <v>46143</v>
      </c>
      <c r="N12094">
        <f>IF(M12094="","",'Master Barang'!A88)</f>
        <v>0</v>
      </c>
      <c r="O12094">
        <f>IF(N12094="","",'Master Barang'!B88)</f>
        <v>0</v>
      </c>
      <c r="P12094">
        <f>IF(OR(M12094="",N12094=""),"",SUMIFS('Barang Keluar'!$E:$E,'Barang Keluar'!$A:$A,M12094,'Barang Keluar'!$C:$C,N12094))</f>
        <v>0</v>
      </c>
    </row>
    <row r="12095" spans="13:16">
      <c r="M12095" s="49">
        <f>IF($A$4+120&gt;$B$4,"",$A$4+120)</f>
        <v>46143</v>
      </c>
      <c r="N12095">
        <f>IF(M12095="","",'Master Barang'!A89)</f>
        <v>0</v>
      </c>
      <c r="O12095">
        <f>IF(N12095="","",'Master Barang'!B89)</f>
        <v>0</v>
      </c>
      <c r="P12095">
        <f>IF(OR(M12095="",N12095=""),"",SUMIFS('Barang Keluar'!$E:$E,'Barang Keluar'!$A:$A,M12095,'Barang Keluar'!$C:$C,N12095))</f>
        <v>0</v>
      </c>
    </row>
    <row r="12096" spans="13:16">
      <c r="M12096" s="49">
        <f>IF($A$4+120&gt;$B$4,"",$A$4+120)</f>
        <v>46143</v>
      </c>
      <c r="N12096">
        <f>IF(M12096="","",'Master Barang'!A90)</f>
        <v>0</v>
      </c>
      <c r="O12096">
        <f>IF(N12096="","",'Master Barang'!B90)</f>
        <v>0</v>
      </c>
      <c r="P12096">
        <f>IF(OR(M12096="",N12096=""),"",SUMIFS('Barang Keluar'!$E:$E,'Barang Keluar'!$A:$A,M12096,'Barang Keluar'!$C:$C,N12096))</f>
        <v>0</v>
      </c>
    </row>
    <row r="12097" spans="13:16">
      <c r="M12097" s="49">
        <f>IF($A$4+120&gt;$B$4,"",$A$4+120)</f>
        <v>46143</v>
      </c>
      <c r="N12097">
        <f>IF(M12097="","",'Master Barang'!A91)</f>
        <v>0</v>
      </c>
      <c r="O12097">
        <f>IF(N12097="","",'Master Barang'!B91)</f>
        <v>0</v>
      </c>
      <c r="P12097">
        <f>IF(OR(M12097="",N12097=""),"",SUMIFS('Barang Keluar'!$E:$E,'Barang Keluar'!$A:$A,M12097,'Barang Keluar'!$C:$C,N12097))</f>
        <v>0</v>
      </c>
    </row>
    <row r="12098" spans="13:16">
      <c r="M12098" s="49">
        <f>IF($A$4+120&gt;$B$4,"",$A$4+120)</f>
        <v>46143</v>
      </c>
      <c r="N12098">
        <f>IF(M12098="","",'Master Barang'!A92)</f>
        <v>0</v>
      </c>
      <c r="O12098">
        <f>IF(N12098="","",'Master Barang'!B92)</f>
        <v>0</v>
      </c>
      <c r="P12098">
        <f>IF(OR(M12098="",N12098=""),"",SUMIFS('Barang Keluar'!$E:$E,'Barang Keluar'!$A:$A,M12098,'Barang Keluar'!$C:$C,N12098))</f>
        <v>0</v>
      </c>
    </row>
    <row r="12099" spans="13:16">
      <c r="M12099" s="49">
        <f>IF($A$4+120&gt;$B$4,"",$A$4+120)</f>
        <v>46143</v>
      </c>
      <c r="N12099">
        <f>IF(M12099="","",'Master Barang'!A93)</f>
        <v>0</v>
      </c>
      <c r="O12099">
        <f>IF(N12099="","",'Master Barang'!B93)</f>
        <v>0</v>
      </c>
      <c r="P12099">
        <f>IF(OR(M12099="",N12099=""),"",SUMIFS('Barang Keluar'!$E:$E,'Barang Keluar'!$A:$A,M12099,'Barang Keluar'!$C:$C,N12099))</f>
        <v>0</v>
      </c>
    </row>
    <row r="12100" spans="13:16">
      <c r="M12100" s="49">
        <f>IF($A$4+120&gt;$B$4,"",$A$4+120)</f>
        <v>46143</v>
      </c>
      <c r="N12100">
        <f>IF(M12100="","",'Master Barang'!A94)</f>
        <v>0</v>
      </c>
      <c r="O12100">
        <f>IF(N12100="","",'Master Barang'!B94)</f>
        <v>0</v>
      </c>
      <c r="P12100">
        <f>IF(OR(M12100="",N12100=""),"",SUMIFS('Barang Keluar'!$E:$E,'Barang Keluar'!$A:$A,M12100,'Barang Keluar'!$C:$C,N12100))</f>
        <v>0</v>
      </c>
    </row>
    <row r="12101" spans="13:16">
      <c r="M12101" s="49">
        <f>IF($A$4+120&gt;$B$4,"",$A$4+120)</f>
        <v>46143</v>
      </c>
      <c r="N12101">
        <f>IF(M12101="","",'Master Barang'!A95)</f>
        <v>0</v>
      </c>
      <c r="O12101">
        <f>IF(N12101="","",'Master Barang'!B95)</f>
        <v>0</v>
      </c>
      <c r="P12101">
        <f>IF(OR(M12101="",N12101=""),"",SUMIFS('Barang Keluar'!$E:$E,'Barang Keluar'!$A:$A,M12101,'Barang Keluar'!$C:$C,N12101))</f>
        <v>0</v>
      </c>
    </row>
    <row r="12102" spans="13:16">
      <c r="M12102" s="49">
        <f>IF($A$4+120&gt;$B$4,"",$A$4+120)</f>
        <v>46143</v>
      </c>
      <c r="N12102">
        <f>IF(M12102="","",'Master Barang'!A96)</f>
        <v>0</v>
      </c>
      <c r="O12102">
        <f>IF(N12102="","",'Master Barang'!B96)</f>
        <v>0</v>
      </c>
      <c r="P12102">
        <f>IF(OR(M12102="",N12102=""),"",SUMIFS('Barang Keluar'!$E:$E,'Barang Keluar'!$A:$A,M12102,'Barang Keluar'!$C:$C,N12102))</f>
        <v>0</v>
      </c>
    </row>
    <row r="12103" spans="13:16">
      <c r="M12103" s="49">
        <f>IF($A$4+120&gt;$B$4,"",$A$4+120)</f>
        <v>46143</v>
      </c>
      <c r="N12103">
        <f>IF(M12103="","",'Master Barang'!A97)</f>
        <v>0</v>
      </c>
      <c r="O12103">
        <f>IF(N12103="","",'Master Barang'!B97)</f>
        <v>0</v>
      </c>
      <c r="P12103">
        <f>IF(OR(M12103="",N12103=""),"",SUMIFS('Barang Keluar'!$E:$E,'Barang Keluar'!$A:$A,M12103,'Barang Keluar'!$C:$C,N12103))</f>
        <v>0</v>
      </c>
    </row>
    <row r="12104" spans="13:16">
      <c r="M12104" s="49">
        <f>IF($A$4+120&gt;$B$4,"",$A$4+120)</f>
        <v>46143</v>
      </c>
      <c r="N12104">
        <f>IF(M12104="","",'Master Barang'!A98)</f>
        <v>0</v>
      </c>
      <c r="O12104">
        <f>IF(N12104="","",'Master Barang'!B98)</f>
        <v>0</v>
      </c>
      <c r="P12104">
        <f>IF(OR(M12104="",N12104=""),"",SUMIFS('Barang Keluar'!$E:$E,'Barang Keluar'!$A:$A,M12104,'Barang Keluar'!$C:$C,N12104))</f>
        <v>0</v>
      </c>
    </row>
    <row r="12105" spans="13:16">
      <c r="M12105" s="49">
        <f>IF($A$4+120&gt;$B$4,"",$A$4+120)</f>
        <v>46143</v>
      </c>
      <c r="N12105">
        <f>IF(M12105="","",'Master Barang'!A99)</f>
        <v>0</v>
      </c>
      <c r="O12105">
        <f>IF(N12105="","",'Master Barang'!B99)</f>
        <v>0</v>
      </c>
      <c r="P12105">
        <f>IF(OR(M12105="",N12105=""),"",SUMIFS('Barang Keluar'!$E:$E,'Barang Keluar'!$A:$A,M12105,'Barang Keluar'!$C:$C,N12105))</f>
        <v>0</v>
      </c>
    </row>
    <row r="12106" spans="13:16">
      <c r="M12106" s="49">
        <f>IF($A$4+120&gt;$B$4,"",$A$4+120)</f>
        <v>46143</v>
      </c>
      <c r="N12106">
        <f>IF(M12106="","",'Master Barang'!A100)</f>
        <v>0</v>
      </c>
      <c r="O12106">
        <f>IF(N12106="","",'Master Barang'!B100)</f>
        <v>0</v>
      </c>
      <c r="P12106">
        <f>IF(OR(M12106="",N12106=""),"",SUMIFS('Barang Keluar'!$E:$E,'Barang Keluar'!$A:$A,M12106,'Barang Keluar'!$C:$C,N12106))</f>
        <v>0</v>
      </c>
    </row>
    <row r="12107" spans="13:16">
      <c r="M12107" s="49">
        <f>IF($A$4+120&gt;$B$4,"",$A$4+120)</f>
        <v>46143</v>
      </c>
      <c r="N12107">
        <f>IF(M12107="","",'Master Barang'!A101)</f>
        <v>0</v>
      </c>
      <c r="O12107">
        <f>IF(N12107="","",'Master Barang'!B101)</f>
        <v>0</v>
      </c>
      <c r="P12107">
        <f>IF(OR(M12107="",N12107=""),"",SUMIFS('Barang Keluar'!$E:$E,'Barang Keluar'!$A:$A,M12107,'Barang Keluar'!$C:$C,N12107))</f>
        <v>0</v>
      </c>
    </row>
    <row r="12108" spans="13:16">
      <c r="M12108" s="49">
        <f>IF($A$4+121&gt;$B$4,"",$A$4+121)</f>
        <v>46144</v>
      </c>
      <c r="N12108" t="str">
        <f>IF(M12108="","",'Master Barang'!A2)</f>
        <v>PRL-001</v>
      </c>
      <c r="O12108" t="str">
        <f>IF(N12108="","",'Master Barang'!B2)</f>
        <v>natura desinfectant food grade 5l</v>
      </c>
      <c r="P12108">
        <f>IF(OR(M12108="",N12108=""),"",SUMIFS('Barang Keluar'!$E:$E,'Barang Keluar'!$A:$A,M12108,'Barang Keluar'!$C:$C,N12108))</f>
        <v>0</v>
      </c>
    </row>
    <row r="12109" spans="13:16">
      <c r="M12109" s="49">
        <f>IF($A$4+121&gt;$B$4,"",$A$4+121)</f>
        <v>46144</v>
      </c>
      <c r="N12109" t="str">
        <f>IF(M12109="","",'Master Barang'!A3)</f>
        <v>PRL-002</v>
      </c>
      <c r="O12109" t="str">
        <f>IF(N12109="","",'Master Barang'!B3)</f>
        <v>sunlight cairan pencuci piring 5l</v>
      </c>
      <c r="P12109">
        <f>IF(OR(M12109="",N12109=""),"",SUMIFS('Barang Keluar'!$E:$E,'Barang Keluar'!$A:$A,M12109,'Barang Keluar'!$C:$C,N12109))</f>
        <v>0</v>
      </c>
    </row>
    <row r="12110" spans="13:16">
      <c r="M12110" s="49">
        <f>IF($A$4+121&gt;$B$4,"",$A$4+121)</f>
        <v>46144</v>
      </c>
      <c r="N12110" t="str">
        <f>IF(M12110="","",'Master Barang'!A4)</f>
        <v>PRL-003</v>
      </c>
      <c r="O12110" t="str">
        <f>IF(N12110="","",'Master Barang'!B4)</f>
        <v>oixs cleaner 1l</v>
      </c>
      <c r="P12110">
        <f>IF(OR(M12110="",N12110=""),"",SUMIFS('Barang Keluar'!$E:$E,'Barang Keluar'!$A:$A,M12110,'Barang Keluar'!$C:$C,N12110))</f>
        <v>0</v>
      </c>
    </row>
    <row r="12111" spans="13:16">
      <c r="M12111" s="49">
        <f>IF($A$4+121&gt;$B$4,"",$A$4+121)</f>
        <v>46144</v>
      </c>
      <c r="N12111" t="str">
        <f>IF(M12111="","",'Master Barang'!A5)</f>
        <v>PRL-004</v>
      </c>
      <c r="O12111" t="str">
        <f>IF(N12111="","",'Master Barang'!B5)</f>
        <v>be clean tissue serbaguna</v>
      </c>
      <c r="P12111">
        <f>IF(OR(M12111="",N12111=""),"",SUMIFS('Barang Keluar'!$E:$E,'Barang Keluar'!$A:$A,M12111,'Barang Keluar'!$C:$C,N12111))</f>
        <v>0</v>
      </c>
    </row>
    <row r="12112" spans="13:16">
      <c r="M12112" s="49">
        <f>IF($A$4+121&gt;$B$4,"",$A$4+121)</f>
        <v>46144</v>
      </c>
      <c r="N12112" t="str">
        <f>IF(M12112="","",'Master Barang'!A6)</f>
        <v>PRL-005</v>
      </c>
      <c r="O12112" t="str">
        <f>IF(N12112="","",'Master Barang'!B6)</f>
        <v>spons cuci hijau</v>
      </c>
      <c r="P12112">
        <f>IF(OR(M12112="",N12112=""),"",SUMIFS('Barang Keluar'!$E:$E,'Barang Keluar'!$A:$A,M12112,'Barang Keluar'!$C:$C,N12112))</f>
        <v>0</v>
      </c>
    </row>
    <row r="12113" spans="13:16">
      <c r="M12113" s="49">
        <f>IF($A$4+121&gt;$B$4,"",$A$4+121)</f>
        <v>46144</v>
      </c>
      <c r="N12113" t="str">
        <f>IF(M12113="","",'Master Barang'!A7)</f>
        <v>PRL-006</v>
      </c>
      <c r="O12113" t="str">
        <f>IF(N12113="","",'Master Barang'!B7)</f>
        <v>sabut cuci stainless</v>
      </c>
      <c r="P12113">
        <f>IF(OR(M12113="",N12113=""),"",SUMIFS('Barang Keluar'!$E:$E,'Barang Keluar'!$A:$A,M12113,'Barang Keluar'!$C:$C,N12113))</f>
        <v>0</v>
      </c>
    </row>
    <row r="12114" spans="13:16">
      <c r="M12114" s="49">
        <f>IF($A$4+121&gt;$B$4,"",$A$4+121)</f>
        <v>46144</v>
      </c>
      <c r="N12114" t="str">
        <f>IF(M12114="","",'Master Barang'!A8)</f>
        <v>PRL-007</v>
      </c>
      <c r="O12114" t="str">
        <f>IF(N12114="","",'Master Barang'!B8)</f>
        <v>plastik kresek besar merah 50pc</v>
      </c>
      <c r="P12114">
        <f>IF(OR(M12114="",N12114=""),"",SUMIFS('Barang Keluar'!$E:$E,'Barang Keluar'!$A:$A,M12114,'Barang Keluar'!$C:$C,N12114))</f>
        <v>0</v>
      </c>
    </row>
    <row r="12115" spans="13:16">
      <c r="M12115" s="49">
        <f>IF($A$4+121&gt;$B$4,"",$A$4+121)</f>
        <v>46144</v>
      </c>
      <c r="N12115" t="str">
        <f>IF(M12115="","",'Master Barang'!A9)</f>
        <v>PRL-008</v>
      </c>
      <c r="O12115" t="str">
        <f>IF(N12115="","",'Master Barang'!B9)</f>
        <v>lap besar</v>
      </c>
      <c r="P12115">
        <f>IF(OR(M12115="",N12115=""),"",SUMIFS('Barang Keluar'!$E:$E,'Barang Keluar'!$A:$A,M12115,'Barang Keluar'!$C:$C,N12115))</f>
        <v>0</v>
      </c>
    </row>
    <row r="12116" spans="13:16">
      <c r="M12116" s="49">
        <f>IF($A$4+121&gt;$B$4,"",$A$4+121)</f>
        <v>46144</v>
      </c>
      <c r="N12116" t="str">
        <f>IF(M12116="","",'Master Barang'!A10)</f>
        <v>PRL-009</v>
      </c>
      <c r="O12116" t="str">
        <f>IF(N12116="","",'Master Barang'!B10)</f>
        <v>lap microfiber</v>
      </c>
      <c r="P12116">
        <f>IF(OR(M12116="",N12116=""),"",SUMIFS('Barang Keluar'!$E:$E,'Barang Keluar'!$A:$A,M12116,'Barang Keluar'!$C:$C,N12116))</f>
        <v>0</v>
      </c>
    </row>
    <row r="12117" spans="13:16">
      <c r="M12117" s="49">
        <f>IF($A$4+121&gt;$B$4,"",$A$4+121)</f>
        <v>46144</v>
      </c>
      <c r="N12117" t="str">
        <f>IF(M12117="","",'Master Barang'!A11)</f>
        <v>PRL-010</v>
      </c>
      <c r="O12117" t="str">
        <f>IF(N12117="","",'Master Barang'!B11)</f>
        <v>lap kecil</v>
      </c>
      <c r="P12117">
        <f>IF(OR(M12117="",N12117=""),"",SUMIFS('Barang Keluar'!$E:$E,'Barang Keluar'!$A:$A,M12117,'Barang Keluar'!$C:$C,N12117))</f>
        <v>0</v>
      </c>
    </row>
    <row r="12118" spans="13:16">
      <c r="M12118" s="49">
        <f>IF($A$4+121&gt;$B$4,"",$A$4+121)</f>
        <v>46144</v>
      </c>
      <c r="N12118" t="str">
        <f>IF(M12118="","",'Master Barang'!A12)</f>
        <v>PRL-011</v>
      </c>
      <c r="O12118" t="str">
        <f>IF(N12118="","",'Master Barang'!B12)</f>
        <v>kanebo kecil</v>
      </c>
      <c r="P12118">
        <f>IF(OR(M12118="",N12118=""),"",SUMIFS('Barang Keluar'!$E:$E,'Barang Keluar'!$A:$A,M12118,'Barang Keluar'!$C:$C,N12118))</f>
        <v>0</v>
      </c>
    </row>
    <row r="12119" spans="13:16">
      <c r="M12119" s="49">
        <f>IF($A$4+121&gt;$B$4,"",$A$4+121)</f>
        <v>46144</v>
      </c>
      <c r="N12119" t="str">
        <f>IF(M12119="","",'Master Barang'!A13)</f>
        <v>PRL-012</v>
      </c>
      <c r="O12119" t="str">
        <f>IF(N12119="","",'Master Barang'!B13)</f>
        <v>plastik 1/4kg joyoboyo 100 lembar</v>
      </c>
      <c r="P12119">
        <f>IF(OR(M12119="",N12119=""),"",SUMIFS('Barang Keluar'!$E:$E,'Barang Keluar'!$A:$A,M12119,'Barang Keluar'!$C:$C,N12119))</f>
        <v>0</v>
      </c>
    </row>
    <row r="12120" spans="13:16">
      <c r="M12120" s="49">
        <f>IF($A$4+121&gt;$B$4,"",$A$4+121)</f>
        <v>46144</v>
      </c>
      <c r="N12120" t="str">
        <f>IF(M12120="","",'Master Barang'!A14)</f>
        <v>PRL-013</v>
      </c>
      <c r="O12120" t="str">
        <f>IF(N12120="","",'Master Barang'!B14)</f>
        <v>sarung tangan plastik kaka 100 pcs</v>
      </c>
      <c r="P12120">
        <f>IF(OR(M12120="",N12120=""),"",SUMIFS('Barang Keluar'!$E:$E,'Barang Keluar'!$A:$A,M12120,'Barang Keluar'!$C:$C,N12120))</f>
        <v>0</v>
      </c>
    </row>
    <row r="12121" spans="13:16">
      <c r="M12121" s="49">
        <f>IF($A$4+121&gt;$B$4,"",$A$4+121)</f>
        <v>46144</v>
      </c>
      <c r="N12121" t="str">
        <f>IF(M12121="","",'Master Barang'!A15)</f>
        <v>PRL-014</v>
      </c>
      <c r="O12121" t="str">
        <f>IF(N12121="","",'Master Barang'!B15)</f>
        <v>optima trashbag 80x100</v>
      </c>
      <c r="P12121">
        <f>IF(OR(M12121="",N12121=""),"",SUMIFS('Barang Keluar'!$E:$E,'Barang Keluar'!$A:$A,M12121,'Barang Keluar'!$C:$C,N12121))</f>
        <v>0</v>
      </c>
    </row>
    <row r="12122" spans="13:16">
      <c r="M12122" s="49">
        <f>IF($A$4+121&gt;$B$4,"",$A$4+121)</f>
        <v>46144</v>
      </c>
      <c r="N12122" t="str">
        <f>IF(M12122="","",'Master Barang'!A16)</f>
        <v>PRL-015</v>
      </c>
      <c r="O12122" t="str">
        <f>IF(N12122="","",'Master Barang'!B16)</f>
        <v>optima trashbag 60x100</v>
      </c>
      <c r="P12122">
        <f>IF(OR(M12122="",N12122=""),"",SUMIFS('Barang Keluar'!$E:$E,'Barang Keluar'!$A:$A,M12122,'Barang Keluar'!$C:$C,N12122))</f>
        <v>0</v>
      </c>
    </row>
    <row r="12123" spans="13:16">
      <c r="M12123" s="49">
        <f>IF($A$4+121&gt;$B$4,"",$A$4+121)</f>
        <v>46144</v>
      </c>
      <c r="N12123" t="str">
        <f>IF(M12123="","",'Master Barang'!A17)</f>
        <v>PRL-016</v>
      </c>
      <c r="O12123" t="str">
        <f>IF(N12123="","",'Master Barang'!B17)</f>
        <v>rajawali trashbag 30x40</v>
      </c>
      <c r="P12123">
        <f>IF(OR(M12123="",N12123=""),"",SUMIFS('Barang Keluar'!$E:$E,'Barang Keluar'!$A:$A,M12123,'Barang Keluar'!$C:$C,N12123))</f>
        <v>0</v>
      </c>
    </row>
    <row r="12124" spans="13:16">
      <c r="M12124" s="49">
        <f>IF($A$4+121&gt;$B$4,"",$A$4+121)</f>
        <v>46144</v>
      </c>
      <c r="N12124" t="str">
        <f>IF(M12124="","",'Master Barang'!A18)</f>
        <v>PRL-017</v>
      </c>
      <c r="O12124" t="str">
        <f>IF(N12124="","",'Master Barang'!B18)</f>
        <v>onemed masker biru 3 play 50 pcs</v>
      </c>
      <c r="P12124">
        <f>IF(OR(M12124="",N12124=""),"",SUMIFS('Barang Keluar'!$E:$E,'Barang Keluar'!$A:$A,M12124,'Barang Keluar'!$C:$C,N12124))</f>
        <v>0</v>
      </c>
    </row>
    <row r="12125" spans="13:16">
      <c r="M12125" s="49">
        <f>IF($A$4+121&gt;$B$4,"",$A$4+121)</f>
        <v>46144</v>
      </c>
      <c r="N12125" t="str">
        <f>IF(M12125="","",'Master Barang'!A19)</f>
        <v>PRL-018</v>
      </c>
      <c r="O12125" t="str">
        <f>IF(N12125="","",'Master Barang'!B19)</f>
        <v>onemed masker biru 3 play hijab 50 pcs</v>
      </c>
      <c r="P12125">
        <f>IF(OR(M12125="",N12125=""),"",SUMIFS('Barang Keluar'!$E:$E,'Barang Keluar'!$A:$A,M12125,'Barang Keluar'!$C:$C,N12125))</f>
        <v>0</v>
      </c>
    </row>
    <row r="12126" spans="13:16">
      <c r="M12126" s="49">
        <f>IF($A$4+121&gt;$B$4,"",$A$4+121)</f>
        <v>46144</v>
      </c>
      <c r="N12126" t="str">
        <f>IF(M12126="","",'Master Barang'!A20)</f>
        <v>PRL-019</v>
      </c>
      <c r="O12126" t="str">
        <f>IF(N12126="","",'Master Barang'!B20)</f>
        <v>neo health masker biru 3 play 50 pcs</v>
      </c>
      <c r="P12126">
        <f>IF(OR(M12126="",N12126=""),"",SUMIFS('Barang Keluar'!$E:$E,'Barang Keluar'!$A:$A,M12126,'Barang Keluar'!$C:$C,N12126))</f>
        <v>0</v>
      </c>
    </row>
    <row r="12127" spans="13:16">
      <c r="M12127" s="49">
        <f>IF($A$4+121&gt;$B$4,"",$A$4+121)</f>
        <v>46144</v>
      </c>
      <c r="N12127" t="str">
        <f>IF(M12127="","",'Master Barang'!A21)</f>
        <v>PRL-020</v>
      </c>
      <c r="O12127" t="str">
        <f>IF(N12127="","",'Master Barang'!B21)</f>
        <v>baymed masker hijau 3 play hijau 50 pcs</v>
      </c>
      <c r="P12127">
        <f>IF(OR(M12127="",N12127=""),"",SUMIFS('Barang Keluar'!$E:$E,'Barang Keluar'!$A:$A,M12127,'Barang Keluar'!$C:$C,N12127))</f>
        <v>0</v>
      </c>
    </row>
    <row r="12128" spans="13:16">
      <c r="M12128" s="49">
        <f>IF($A$4+121&gt;$B$4,"",$A$4+121)</f>
        <v>46144</v>
      </c>
      <c r="N12128" t="str">
        <f>IF(M12128="","",'Master Barang'!A22)</f>
        <v>PRL-021</v>
      </c>
      <c r="O12128" t="str">
        <f>IF(N12128="","",'Master Barang'!B22)</f>
        <v>altamed nurse cap penutup kepala 100 pcs</v>
      </c>
      <c r="P12128">
        <f>IF(OR(M12128="",N12128=""),"",SUMIFS('Barang Keluar'!$E:$E,'Barang Keluar'!$A:$A,M12128,'Barang Keluar'!$C:$C,N12128))</f>
        <v>0</v>
      </c>
    </row>
    <row r="12129" spans="13:16">
      <c r="M12129" s="49">
        <f>IF($A$4+121&gt;$B$4,"",$A$4+121)</f>
        <v>46144</v>
      </c>
      <c r="N12129" t="str">
        <f>IF(M12129="","",'Master Barang'!A23)</f>
        <v>PRL-022</v>
      </c>
      <c r="O12129" t="str">
        <f>IF(N12129="","",'Master Barang'!B23)</f>
        <v>sabun cuci tangan</v>
      </c>
      <c r="P12129">
        <f>IF(OR(M12129="",N12129=""),"",SUMIFS('Barang Keluar'!$E:$E,'Barang Keluar'!$A:$A,M12129,'Barang Keluar'!$C:$C,N12129))</f>
        <v>0</v>
      </c>
    </row>
    <row r="12130" spans="13:16">
      <c r="M12130" s="49">
        <f>IF($A$4+121&gt;$B$4,"",$A$4+121)</f>
        <v>46144</v>
      </c>
      <c r="N12130" t="str">
        <f>IF(M12130="","",'Master Barang'!A24)</f>
        <v>PRL-023</v>
      </c>
      <c r="O12130" t="str">
        <f>IF(N12130="","",'Master Barang'!B24)</f>
        <v>gayung kecil</v>
      </c>
      <c r="P12130">
        <f>IF(OR(M12130="",N12130=""),"",SUMIFS('Barang Keluar'!$E:$E,'Barang Keluar'!$A:$A,M12130,'Barang Keluar'!$C:$C,N12130))</f>
        <v>0</v>
      </c>
    </row>
    <row r="12131" spans="13:16">
      <c r="M12131" s="49">
        <f>IF($A$4+121&gt;$B$4,"",$A$4+121)</f>
        <v>46144</v>
      </c>
      <c r="N12131" t="str">
        <f>IF(M12131="","",'Master Barang'!A25)</f>
        <v>PRL-024</v>
      </c>
      <c r="O12131" t="str">
        <f>IF(N12131="","",'Master Barang'!B25)</f>
        <v>cikrak kecil</v>
      </c>
      <c r="P12131">
        <f>IF(OR(M12131="",N12131=""),"",SUMIFS('Barang Keluar'!$E:$E,'Barang Keluar'!$A:$A,M12131,'Barang Keluar'!$C:$C,N12131))</f>
        <v>0</v>
      </c>
    </row>
    <row r="12132" spans="13:16">
      <c r="M12132" s="49">
        <f>IF($A$4+121&gt;$B$4,"",$A$4+121)</f>
        <v>46144</v>
      </c>
      <c r="N12132" t="str">
        <f>IF(M12132="","",'Master Barang'!A26)</f>
        <v>PRL-025</v>
      </c>
      <c r="O12132" t="str">
        <f>IF(N12132="","",'Master Barang'!B26)</f>
        <v>petromax plastik kecil 12x24 100 lembar</v>
      </c>
      <c r="P12132">
        <f>IF(OR(M12132="",N12132=""),"",SUMIFS('Barang Keluar'!$E:$E,'Barang Keluar'!$A:$A,M12132,'Barang Keluar'!$C:$C,N12132))</f>
        <v>0</v>
      </c>
    </row>
    <row r="12133" spans="13:16">
      <c r="M12133" s="49">
        <f>IF($A$4+121&gt;$B$4,"",$A$4+121)</f>
        <v>46144</v>
      </c>
      <c r="N12133" t="str">
        <f>IF(M12133="","",'Master Barang'!A27)</f>
        <v>PRL-026</v>
      </c>
      <c r="O12133" t="str">
        <f>IF(N12133="","",'Master Barang'!B27)</f>
        <v>lancar kresek kecil bening </v>
      </c>
      <c r="P12133">
        <f>IF(OR(M12133="",N12133=""),"",SUMIFS('Barang Keluar'!$E:$E,'Barang Keluar'!$A:$A,M12133,'Barang Keluar'!$C:$C,N12133))</f>
        <v>0</v>
      </c>
    </row>
    <row r="12134" spans="13:16">
      <c r="M12134" s="49">
        <f>IF($A$4+121&gt;$B$4,"",$A$4+121)</f>
        <v>46144</v>
      </c>
      <c r="N12134" t="str">
        <f>IF(M12134="","",'Master Barang'!A28)</f>
        <v>PRL-027</v>
      </c>
      <c r="O12134" t="str">
        <f>IF(N12134="","",'Master Barang'!B28)</f>
        <v>kresek klin warna warni kecil</v>
      </c>
      <c r="P12134">
        <f>IF(OR(M12134="",N12134=""),"",SUMIFS('Barang Keluar'!$E:$E,'Barang Keluar'!$A:$A,M12134,'Barang Keluar'!$C:$C,N12134))</f>
        <v>0</v>
      </c>
    </row>
    <row r="12135" spans="13:16">
      <c r="M12135" s="49">
        <f>IF($A$4+121&gt;$B$4,"",$A$4+121)</f>
        <v>46144</v>
      </c>
      <c r="N12135" t="str">
        <f>IF(M12135="","",'Master Barang'!A29)</f>
        <v>PRL-028</v>
      </c>
      <c r="O12135" t="str">
        <f>IF(N12135="","",'Master Barang'!B29)</f>
        <v>ctik plastik 7x10 100 pcs</v>
      </c>
      <c r="P12135">
        <f>IF(OR(M12135="",N12135=""),"",SUMIFS('Barang Keluar'!$E:$E,'Barang Keluar'!$A:$A,M12135,'Barang Keluar'!$C:$C,N12135))</f>
        <v>0</v>
      </c>
    </row>
    <row r="12136" spans="13:16">
      <c r="M12136" s="49">
        <f>IF($A$4+121&gt;$B$4,"",$A$4+121)</f>
        <v>46144</v>
      </c>
      <c r="N12136" t="str">
        <f>IF(M12136="","",'Master Barang'!A30)</f>
        <v>PRL-029</v>
      </c>
      <c r="O12136" t="str">
        <f>IF(N12136="","",'Master Barang'!B30)</f>
        <v>ctik plastik 6x10 100 pcs</v>
      </c>
      <c r="P12136">
        <f>IF(OR(M12136="",N12136=""),"",SUMIFS('Barang Keluar'!$E:$E,'Barang Keluar'!$A:$A,M12136,'Barang Keluar'!$C:$C,N12136))</f>
        <v>0</v>
      </c>
    </row>
    <row r="12137" spans="13:16">
      <c r="M12137" s="49">
        <f>IF($A$4+121&gt;$B$4,"",$A$4+121)</f>
        <v>46144</v>
      </c>
      <c r="N12137" t="str">
        <f>IF(M12137="","",'Master Barang'!A31)</f>
        <v>PRL-030</v>
      </c>
      <c r="O12137" t="str">
        <f>IF(N12137="","",'Master Barang'!B31)</f>
        <v>klip plastik 25x16 100 pcs</v>
      </c>
      <c r="P12137">
        <f>IF(OR(M12137="",N12137=""),"",SUMIFS('Barang Keluar'!$E:$E,'Barang Keluar'!$A:$A,M12137,'Barang Keluar'!$C:$C,N12137))</f>
        <v>0</v>
      </c>
    </row>
    <row r="12138" spans="13:16">
      <c r="M12138" s="49">
        <f>IF($A$4+121&gt;$B$4,"",$A$4+121)</f>
        <v>46144</v>
      </c>
      <c r="N12138" t="str">
        <f>IF(M12138="","",'Master Barang'!A32)</f>
        <v>PRL-031</v>
      </c>
      <c r="O12138" t="str">
        <f>IF(N12138="","",'Master Barang'!B32)</f>
        <v>tempat saus 20 ml</v>
      </c>
      <c r="P12138">
        <f>IF(OR(M12138="",N12138=""),"",SUMIFS('Barang Keluar'!$E:$E,'Barang Keluar'!$A:$A,M12138,'Barang Keluar'!$C:$C,N12138))</f>
        <v>0</v>
      </c>
    </row>
    <row r="12139" spans="13:16">
      <c r="M12139" s="49">
        <f>IF($A$4+121&gt;$B$4,"",$A$4+121)</f>
        <v>46144</v>
      </c>
      <c r="N12139" t="str">
        <f>IF(M12139="","",'Master Barang'!A33)</f>
        <v>PRL-032</v>
      </c>
      <c r="O12139" t="str">
        <f>IF(N12139="","",'Master Barang'!B33)</f>
        <v>plastik packaging ag box uk sedang</v>
      </c>
      <c r="P12139">
        <f>IF(OR(M12139="",N12139=""),"",SUMIFS('Barang Keluar'!$E:$E,'Barang Keluar'!$A:$A,M12139,'Barang Keluar'!$C:$C,N12139))</f>
        <v>0</v>
      </c>
    </row>
    <row r="12140" spans="13:16">
      <c r="M12140" s="49">
        <f>IF($A$4+121&gt;$B$4,"",$A$4+121)</f>
        <v>46144</v>
      </c>
      <c r="N12140" t="str">
        <f>IF(M12140="","",'Master Barang'!A34)</f>
        <v>PRL-033</v>
      </c>
      <c r="O12140">
        <f>IF(N12140="","",'Master Barang'!B34)</f>
        <v>0</v>
      </c>
      <c r="P12140">
        <f>IF(OR(M12140="",N12140=""),"",SUMIFS('Barang Keluar'!$E:$E,'Barang Keluar'!$A:$A,M12140,'Barang Keluar'!$C:$C,N12140))</f>
        <v>0</v>
      </c>
    </row>
    <row r="12141" spans="13:16">
      <c r="M12141" s="49">
        <f>IF($A$4+121&gt;$B$4,"",$A$4+121)</f>
        <v>46144</v>
      </c>
      <c r="N12141">
        <f>IF(M12141="","",'Master Barang'!A35)</f>
        <v>0</v>
      </c>
      <c r="O12141">
        <f>IF(N12141="","",'Master Barang'!B35)</f>
        <v>0</v>
      </c>
      <c r="P12141">
        <f>IF(OR(M12141="",N12141=""),"",SUMIFS('Barang Keluar'!$E:$E,'Barang Keluar'!$A:$A,M12141,'Barang Keluar'!$C:$C,N12141))</f>
        <v>0</v>
      </c>
    </row>
    <row r="12142" spans="13:16">
      <c r="M12142" s="49">
        <f>IF($A$4+121&gt;$B$4,"",$A$4+121)</f>
        <v>46144</v>
      </c>
      <c r="N12142">
        <f>IF(M12142="","",'Master Barang'!A36)</f>
        <v>0</v>
      </c>
      <c r="O12142">
        <f>IF(N12142="","",'Master Barang'!B36)</f>
        <v>0</v>
      </c>
      <c r="P12142">
        <f>IF(OR(M12142="",N12142=""),"",SUMIFS('Barang Keluar'!$E:$E,'Barang Keluar'!$A:$A,M12142,'Barang Keluar'!$C:$C,N12142))</f>
        <v>0</v>
      </c>
    </row>
    <row r="12143" spans="13:16">
      <c r="M12143" s="49">
        <f>IF($A$4+121&gt;$B$4,"",$A$4+121)</f>
        <v>46144</v>
      </c>
      <c r="N12143">
        <f>IF(M12143="","",'Master Barang'!A37)</f>
        <v>0</v>
      </c>
      <c r="O12143">
        <f>IF(N12143="","",'Master Barang'!B37)</f>
        <v>0</v>
      </c>
      <c r="P12143">
        <f>IF(OR(M12143="",N12143=""),"",SUMIFS('Barang Keluar'!$E:$E,'Barang Keluar'!$A:$A,M12143,'Barang Keluar'!$C:$C,N12143))</f>
        <v>0</v>
      </c>
    </row>
    <row r="12144" spans="13:16">
      <c r="M12144" s="49">
        <f>IF($A$4+121&gt;$B$4,"",$A$4+121)</f>
        <v>46144</v>
      </c>
      <c r="N12144">
        <f>IF(M12144="","",'Master Barang'!A38)</f>
        <v>0</v>
      </c>
      <c r="O12144">
        <f>IF(N12144="","",'Master Barang'!B38)</f>
        <v>0</v>
      </c>
      <c r="P12144">
        <f>IF(OR(M12144="",N12144=""),"",SUMIFS('Barang Keluar'!$E:$E,'Barang Keluar'!$A:$A,M12144,'Barang Keluar'!$C:$C,N12144))</f>
        <v>0</v>
      </c>
    </row>
    <row r="12145" spans="13:16">
      <c r="M12145" s="49">
        <f>IF($A$4+121&gt;$B$4,"",$A$4+121)</f>
        <v>46144</v>
      </c>
      <c r="N12145">
        <f>IF(M12145="","",'Master Barang'!A39)</f>
        <v>0</v>
      </c>
      <c r="O12145">
        <f>IF(N12145="","",'Master Barang'!B39)</f>
        <v>0</v>
      </c>
      <c r="P12145">
        <f>IF(OR(M12145="",N12145=""),"",SUMIFS('Barang Keluar'!$E:$E,'Barang Keluar'!$A:$A,M12145,'Barang Keluar'!$C:$C,N12145))</f>
        <v>0</v>
      </c>
    </row>
    <row r="12146" spans="13:16">
      <c r="M12146" s="49">
        <f>IF($A$4+121&gt;$B$4,"",$A$4+121)</f>
        <v>46144</v>
      </c>
      <c r="N12146">
        <f>IF(M12146="","",'Master Barang'!A40)</f>
        <v>0</v>
      </c>
      <c r="O12146">
        <f>IF(N12146="","",'Master Barang'!B40)</f>
        <v>0</v>
      </c>
      <c r="P12146">
        <f>IF(OR(M12146="",N12146=""),"",SUMIFS('Barang Keluar'!$E:$E,'Barang Keluar'!$A:$A,M12146,'Barang Keluar'!$C:$C,N12146))</f>
        <v>0</v>
      </c>
    </row>
    <row r="12147" spans="13:16">
      <c r="M12147" s="49">
        <f>IF($A$4+121&gt;$B$4,"",$A$4+121)</f>
        <v>46144</v>
      </c>
      <c r="N12147">
        <f>IF(M12147="","",'Master Barang'!A41)</f>
        <v>0</v>
      </c>
      <c r="O12147">
        <f>IF(N12147="","",'Master Barang'!B41)</f>
        <v>0</v>
      </c>
      <c r="P12147">
        <f>IF(OR(M12147="",N12147=""),"",SUMIFS('Barang Keluar'!$E:$E,'Barang Keluar'!$A:$A,M12147,'Barang Keluar'!$C:$C,N12147))</f>
        <v>0</v>
      </c>
    </row>
    <row r="12148" spans="13:16">
      <c r="M12148" s="49">
        <f>IF($A$4+121&gt;$B$4,"",$A$4+121)</f>
        <v>46144</v>
      </c>
      <c r="N12148">
        <f>IF(M12148="","",'Master Barang'!A42)</f>
        <v>0</v>
      </c>
      <c r="O12148">
        <f>IF(N12148="","",'Master Barang'!B42)</f>
        <v>0</v>
      </c>
      <c r="P12148">
        <f>IF(OR(M12148="",N12148=""),"",SUMIFS('Barang Keluar'!$E:$E,'Barang Keluar'!$A:$A,M12148,'Barang Keluar'!$C:$C,N12148))</f>
        <v>0</v>
      </c>
    </row>
    <row r="12149" spans="13:16">
      <c r="M12149" s="49">
        <f>IF($A$4+121&gt;$B$4,"",$A$4+121)</f>
        <v>46144</v>
      </c>
      <c r="N12149">
        <f>IF(M12149="","",'Master Barang'!A43)</f>
        <v>0</v>
      </c>
      <c r="O12149">
        <f>IF(N12149="","",'Master Barang'!B43)</f>
        <v>0</v>
      </c>
      <c r="P12149">
        <f>IF(OR(M12149="",N12149=""),"",SUMIFS('Barang Keluar'!$E:$E,'Barang Keluar'!$A:$A,M12149,'Barang Keluar'!$C:$C,N12149))</f>
        <v>0</v>
      </c>
    </row>
    <row r="12150" spans="13:16">
      <c r="M12150" s="49">
        <f>IF($A$4+121&gt;$B$4,"",$A$4+121)</f>
        <v>46144</v>
      </c>
      <c r="N12150">
        <f>IF(M12150="","",'Master Barang'!A44)</f>
        <v>0</v>
      </c>
      <c r="O12150">
        <f>IF(N12150="","",'Master Barang'!B44)</f>
        <v>0</v>
      </c>
      <c r="P12150">
        <f>IF(OR(M12150="",N12150=""),"",SUMIFS('Barang Keluar'!$E:$E,'Barang Keluar'!$A:$A,M12150,'Barang Keluar'!$C:$C,N12150))</f>
        <v>0</v>
      </c>
    </row>
    <row r="12151" spans="13:16">
      <c r="M12151" s="49">
        <f>IF($A$4+121&gt;$B$4,"",$A$4+121)</f>
        <v>46144</v>
      </c>
      <c r="N12151">
        <f>IF(M12151="","",'Master Barang'!A45)</f>
        <v>0</v>
      </c>
      <c r="O12151">
        <f>IF(N12151="","",'Master Barang'!B45)</f>
        <v>0</v>
      </c>
      <c r="P12151">
        <f>IF(OR(M12151="",N12151=""),"",SUMIFS('Barang Keluar'!$E:$E,'Barang Keluar'!$A:$A,M12151,'Barang Keluar'!$C:$C,N12151))</f>
        <v>0</v>
      </c>
    </row>
    <row r="12152" spans="13:16">
      <c r="M12152" s="49">
        <f>IF($A$4+121&gt;$B$4,"",$A$4+121)</f>
        <v>46144</v>
      </c>
      <c r="N12152">
        <f>IF(M12152="","",'Master Barang'!A46)</f>
        <v>0</v>
      </c>
      <c r="O12152">
        <f>IF(N12152="","",'Master Barang'!B46)</f>
        <v>0</v>
      </c>
      <c r="P12152">
        <f>IF(OR(M12152="",N12152=""),"",SUMIFS('Barang Keluar'!$E:$E,'Barang Keluar'!$A:$A,M12152,'Barang Keluar'!$C:$C,N12152))</f>
        <v>0</v>
      </c>
    </row>
    <row r="12153" spans="13:16">
      <c r="M12153" s="49">
        <f>IF($A$4+121&gt;$B$4,"",$A$4+121)</f>
        <v>46144</v>
      </c>
      <c r="N12153">
        <f>IF(M12153="","",'Master Barang'!A47)</f>
        <v>0</v>
      </c>
      <c r="O12153">
        <f>IF(N12153="","",'Master Barang'!B47)</f>
        <v>0</v>
      </c>
      <c r="P12153">
        <f>IF(OR(M12153="",N12153=""),"",SUMIFS('Barang Keluar'!$E:$E,'Barang Keluar'!$A:$A,M12153,'Barang Keluar'!$C:$C,N12153))</f>
        <v>0</v>
      </c>
    </row>
    <row r="12154" spans="13:16">
      <c r="M12154" s="49">
        <f>IF($A$4+121&gt;$B$4,"",$A$4+121)</f>
        <v>46144</v>
      </c>
      <c r="N12154">
        <f>IF(M12154="","",'Master Barang'!A48)</f>
        <v>0</v>
      </c>
      <c r="O12154">
        <f>IF(N12154="","",'Master Barang'!B48)</f>
        <v>0</v>
      </c>
      <c r="P12154">
        <f>IF(OR(M12154="",N12154=""),"",SUMIFS('Barang Keluar'!$E:$E,'Barang Keluar'!$A:$A,M12154,'Barang Keluar'!$C:$C,N12154))</f>
        <v>0</v>
      </c>
    </row>
    <row r="12155" spans="13:16">
      <c r="M12155" s="49">
        <f>IF($A$4+121&gt;$B$4,"",$A$4+121)</f>
        <v>46144</v>
      </c>
      <c r="N12155">
        <f>IF(M12155="","",'Master Barang'!A49)</f>
        <v>0</v>
      </c>
      <c r="O12155">
        <f>IF(N12155="","",'Master Barang'!B49)</f>
        <v>0</v>
      </c>
      <c r="P12155">
        <f>IF(OR(M12155="",N12155=""),"",SUMIFS('Barang Keluar'!$E:$E,'Barang Keluar'!$A:$A,M12155,'Barang Keluar'!$C:$C,N12155))</f>
        <v>0</v>
      </c>
    </row>
    <row r="12156" spans="13:16">
      <c r="M12156" s="49">
        <f>IF($A$4+121&gt;$B$4,"",$A$4+121)</f>
        <v>46144</v>
      </c>
      <c r="N12156">
        <f>IF(M12156="","",'Master Barang'!A50)</f>
        <v>0</v>
      </c>
      <c r="O12156">
        <f>IF(N12156="","",'Master Barang'!B50)</f>
        <v>0</v>
      </c>
      <c r="P12156">
        <f>IF(OR(M12156="",N12156=""),"",SUMIFS('Barang Keluar'!$E:$E,'Barang Keluar'!$A:$A,M12156,'Barang Keluar'!$C:$C,N12156))</f>
        <v>0</v>
      </c>
    </row>
    <row r="12157" spans="13:16">
      <c r="M12157" s="49">
        <f>IF($A$4+121&gt;$B$4,"",$A$4+121)</f>
        <v>46144</v>
      </c>
      <c r="N12157">
        <f>IF(M12157="","",'Master Barang'!A51)</f>
        <v>0</v>
      </c>
      <c r="O12157">
        <f>IF(N12157="","",'Master Barang'!B51)</f>
        <v>0</v>
      </c>
      <c r="P12157">
        <f>IF(OR(M12157="",N12157=""),"",SUMIFS('Barang Keluar'!$E:$E,'Barang Keluar'!$A:$A,M12157,'Barang Keluar'!$C:$C,N12157))</f>
        <v>0</v>
      </c>
    </row>
    <row r="12158" spans="13:16">
      <c r="M12158" s="49">
        <f>IF($A$4+121&gt;$B$4,"",$A$4+121)</f>
        <v>46144</v>
      </c>
      <c r="N12158">
        <f>IF(M12158="","",'Master Barang'!A52)</f>
        <v>0</v>
      </c>
      <c r="O12158">
        <f>IF(N12158="","",'Master Barang'!B52)</f>
        <v>0</v>
      </c>
      <c r="P12158">
        <f>IF(OR(M12158="",N12158=""),"",SUMIFS('Barang Keluar'!$E:$E,'Barang Keluar'!$A:$A,M12158,'Barang Keluar'!$C:$C,N12158))</f>
        <v>0</v>
      </c>
    </row>
    <row r="12159" spans="13:16">
      <c r="M12159" s="49">
        <f>IF($A$4+121&gt;$B$4,"",$A$4+121)</f>
        <v>46144</v>
      </c>
      <c r="N12159">
        <f>IF(M12159="","",'Master Barang'!A53)</f>
        <v>0</v>
      </c>
      <c r="O12159">
        <f>IF(N12159="","",'Master Barang'!B53)</f>
        <v>0</v>
      </c>
      <c r="P12159">
        <f>IF(OR(M12159="",N12159=""),"",SUMIFS('Barang Keluar'!$E:$E,'Barang Keluar'!$A:$A,M12159,'Barang Keluar'!$C:$C,N12159))</f>
        <v>0</v>
      </c>
    </row>
    <row r="12160" spans="13:16">
      <c r="M12160" s="49">
        <f>IF($A$4+121&gt;$B$4,"",$A$4+121)</f>
        <v>46144</v>
      </c>
      <c r="N12160">
        <f>IF(M12160="","",'Master Barang'!A54)</f>
        <v>0</v>
      </c>
      <c r="O12160">
        <f>IF(N12160="","",'Master Barang'!B54)</f>
        <v>0</v>
      </c>
      <c r="P12160">
        <f>IF(OR(M12160="",N12160=""),"",SUMIFS('Barang Keluar'!$E:$E,'Barang Keluar'!$A:$A,M12160,'Barang Keluar'!$C:$C,N12160))</f>
        <v>0</v>
      </c>
    </row>
    <row r="12161" spans="13:16">
      <c r="M12161" s="49">
        <f>IF($A$4+121&gt;$B$4,"",$A$4+121)</f>
        <v>46144</v>
      </c>
      <c r="N12161">
        <f>IF(M12161="","",'Master Barang'!A55)</f>
        <v>0</v>
      </c>
      <c r="O12161">
        <f>IF(N12161="","",'Master Barang'!B55)</f>
        <v>0</v>
      </c>
      <c r="P12161">
        <f>IF(OR(M12161="",N12161=""),"",SUMIFS('Barang Keluar'!$E:$E,'Barang Keluar'!$A:$A,M12161,'Barang Keluar'!$C:$C,N12161))</f>
        <v>0</v>
      </c>
    </row>
    <row r="12162" spans="13:16">
      <c r="M12162" s="49">
        <f>IF($A$4+121&gt;$B$4,"",$A$4+121)</f>
        <v>46144</v>
      </c>
      <c r="N12162">
        <f>IF(M12162="","",'Master Barang'!A56)</f>
        <v>0</v>
      </c>
      <c r="O12162">
        <f>IF(N12162="","",'Master Barang'!B56)</f>
        <v>0</v>
      </c>
      <c r="P12162">
        <f>IF(OR(M12162="",N12162=""),"",SUMIFS('Barang Keluar'!$E:$E,'Barang Keluar'!$A:$A,M12162,'Barang Keluar'!$C:$C,N12162))</f>
        <v>0</v>
      </c>
    </row>
    <row r="12163" spans="13:16">
      <c r="M12163" s="49">
        <f>IF($A$4+121&gt;$B$4,"",$A$4+121)</f>
        <v>46144</v>
      </c>
      <c r="N12163">
        <f>IF(M12163="","",'Master Barang'!A57)</f>
        <v>0</v>
      </c>
      <c r="O12163">
        <f>IF(N12163="","",'Master Barang'!B57)</f>
        <v>0</v>
      </c>
      <c r="P12163">
        <f>IF(OR(M12163="",N12163=""),"",SUMIFS('Barang Keluar'!$E:$E,'Barang Keluar'!$A:$A,M12163,'Barang Keluar'!$C:$C,N12163))</f>
        <v>0</v>
      </c>
    </row>
    <row r="12164" spans="13:16">
      <c r="M12164" s="49">
        <f>IF($A$4+121&gt;$B$4,"",$A$4+121)</f>
        <v>46144</v>
      </c>
      <c r="N12164">
        <f>IF(M12164="","",'Master Barang'!A58)</f>
        <v>0</v>
      </c>
      <c r="O12164">
        <f>IF(N12164="","",'Master Barang'!B58)</f>
        <v>0</v>
      </c>
      <c r="P12164">
        <f>IF(OR(M12164="",N12164=""),"",SUMIFS('Barang Keluar'!$E:$E,'Barang Keluar'!$A:$A,M12164,'Barang Keluar'!$C:$C,N12164))</f>
        <v>0</v>
      </c>
    </row>
    <row r="12165" spans="13:16">
      <c r="M12165" s="49">
        <f>IF($A$4+121&gt;$B$4,"",$A$4+121)</f>
        <v>46144</v>
      </c>
      <c r="N12165">
        <f>IF(M12165="","",'Master Barang'!A59)</f>
        <v>0</v>
      </c>
      <c r="O12165">
        <f>IF(N12165="","",'Master Barang'!B59)</f>
        <v>0</v>
      </c>
      <c r="P12165">
        <f>IF(OR(M12165="",N12165=""),"",SUMIFS('Barang Keluar'!$E:$E,'Barang Keluar'!$A:$A,M12165,'Barang Keluar'!$C:$C,N12165))</f>
        <v>0</v>
      </c>
    </row>
    <row r="12166" spans="13:16">
      <c r="M12166" s="49">
        <f>IF($A$4+121&gt;$B$4,"",$A$4+121)</f>
        <v>46144</v>
      </c>
      <c r="N12166">
        <f>IF(M12166="","",'Master Barang'!A60)</f>
        <v>0</v>
      </c>
      <c r="O12166">
        <f>IF(N12166="","",'Master Barang'!B60)</f>
        <v>0</v>
      </c>
      <c r="P12166">
        <f>IF(OR(M12166="",N12166=""),"",SUMIFS('Barang Keluar'!$E:$E,'Barang Keluar'!$A:$A,M12166,'Barang Keluar'!$C:$C,N12166))</f>
        <v>0</v>
      </c>
    </row>
    <row r="12167" spans="13:16">
      <c r="M12167" s="49">
        <f>IF($A$4+121&gt;$B$4,"",$A$4+121)</f>
        <v>46144</v>
      </c>
      <c r="N12167">
        <f>IF(M12167="","",'Master Barang'!A61)</f>
        <v>0</v>
      </c>
      <c r="O12167">
        <f>IF(N12167="","",'Master Barang'!B61)</f>
        <v>0</v>
      </c>
      <c r="P12167">
        <f>IF(OR(M12167="",N12167=""),"",SUMIFS('Barang Keluar'!$E:$E,'Barang Keluar'!$A:$A,M12167,'Barang Keluar'!$C:$C,N12167))</f>
        <v>0</v>
      </c>
    </row>
    <row r="12168" spans="13:16">
      <c r="M12168" s="49">
        <f>IF($A$4+121&gt;$B$4,"",$A$4+121)</f>
        <v>46144</v>
      </c>
      <c r="N12168">
        <f>IF(M12168="","",'Master Barang'!A62)</f>
        <v>0</v>
      </c>
      <c r="O12168">
        <f>IF(N12168="","",'Master Barang'!B62)</f>
        <v>0</v>
      </c>
      <c r="P12168">
        <f>IF(OR(M12168="",N12168=""),"",SUMIFS('Barang Keluar'!$E:$E,'Barang Keluar'!$A:$A,M12168,'Barang Keluar'!$C:$C,N12168))</f>
        <v>0</v>
      </c>
    </row>
    <row r="12169" spans="13:16">
      <c r="M12169" s="49">
        <f>IF($A$4+121&gt;$B$4,"",$A$4+121)</f>
        <v>46144</v>
      </c>
      <c r="N12169">
        <f>IF(M12169="","",'Master Barang'!A63)</f>
        <v>0</v>
      </c>
      <c r="O12169">
        <f>IF(N12169="","",'Master Barang'!B63)</f>
        <v>0</v>
      </c>
      <c r="P12169">
        <f>IF(OR(M12169="",N12169=""),"",SUMIFS('Barang Keluar'!$E:$E,'Barang Keluar'!$A:$A,M12169,'Barang Keluar'!$C:$C,N12169))</f>
        <v>0</v>
      </c>
    </row>
    <row r="12170" spans="13:16">
      <c r="M12170" s="49">
        <f>IF($A$4+121&gt;$B$4,"",$A$4+121)</f>
        <v>46144</v>
      </c>
      <c r="N12170">
        <f>IF(M12170="","",'Master Barang'!A64)</f>
        <v>0</v>
      </c>
      <c r="O12170">
        <f>IF(N12170="","",'Master Barang'!B64)</f>
        <v>0</v>
      </c>
      <c r="P12170">
        <f>IF(OR(M12170="",N12170=""),"",SUMIFS('Barang Keluar'!$E:$E,'Barang Keluar'!$A:$A,M12170,'Barang Keluar'!$C:$C,N12170))</f>
        <v>0</v>
      </c>
    </row>
    <row r="12171" spans="13:16">
      <c r="M12171" s="49">
        <f>IF($A$4+121&gt;$B$4,"",$A$4+121)</f>
        <v>46144</v>
      </c>
      <c r="N12171">
        <f>IF(M12171="","",'Master Barang'!A65)</f>
        <v>0</v>
      </c>
      <c r="O12171">
        <f>IF(N12171="","",'Master Barang'!B65)</f>
        <v>0</v>
      </c>
      <c r="P12171">
        <f>IF(OR(M12171="",N12171=""),"",SUMIFS('Barang Keluar'!$E:$E,'Barang Keluar'!$A:$A,M12171,'Barang Keluar'!$C:$C,N12171))</f>
        <v>0</v>
      </c>
    </row>
    <row r="12172" spans="13:16">
      <c r="M12172" s="49">
        <f>IF($A$4+121&gt;$B$4,"",$A$4+121)</f>
        <v>46144</v>
      </c>
      <c r="N12172">
        <f>IF(M12172="","",'Master Barang'!A66)</f>
        <v>0</v>
      </c>
      <c r="O12172">
        <f>IF(N12172="","",'Master Barang'!B66)</f>
        <v>0</v>
      </c>
      <c r="P12172">
        <f>IF(OR(M12172="",N12172=""),"",SUMIFS('Barang Keluar'!$E:$E,'Barang Keluar'!$A:$A,M12172,'Barang Keluar'!$C:$C,N12172))</f>
        <v>0</v>
      </c>
    </row>
    <row r="12173" spans="13:16">
      <c r="M12173" s="49">
        <f>IF($A$4+121&gt;$B$4,"",$A$4+121)</f>
        <v>46144</v>
      </c>
      <c r="N12173">
        <f>IF(M12173="","",'Master Barang'!A67)</f>
        <v>0</v>
      </c>
      <c r="O12173">
        <f>IF(N12173="","",'Master Barang'!B67)</f>
        <v>0</v>
      </c>
      <c r="P12173">
        <f>IF(OR(M12173="",N12173=""),"",SUMIFS('Barang Keluar'!$E:$E,'Barang Keluar'!$A:$A,M12173,'Barang Keluar'!$C:$C,N12173))</f>
        <v>0</v>
      </c>
    </row>
    <row r="12174" spans="13:16">
      <c r="M12174" s="49">
        <f>IF($A$4+121&gt;$B$4,"",$A$4+121)</f>
        <v>46144</v>
      </c>
      <c r="N12174">
        <f>IF(M12174="","",'Master Barang'!A68)</f>
        <v>0</v>
      </c>
      <c r="O12174">
        <f>IF(N12174="","",'Master Barang'!B68)</f>
        <v>0</v>
      </c>
      <c r="P12174">
        <f>IF(OR(M12174="",N12174=""),"",SUMIFS('Barang Keluar'!$E:$E,'Barang Keluar'!$A:$A,M12174,'Barang Keluar'!$C:$C,N12174))</f>
        <v>0</v>
      </c>
    </row>
    <row r="12175" spans="13:16">
      <c r="M12175" s="49">
        <f>IF($A$4+121&gt;$B$4,"",$A$4+121)</f>
        <v>46144</v>
      </c>
      <c r="N12175">
        <f>IF(M12175="","",'Master Barang'!A69)</f>
        <v>0</v>
      </c>
      <c r="O12175">
        <f>IF(N12175="","",'Master Barang'!B69)</f>
        <v>0</v>
      </c>
      <c r="P12175">
        <f>IF(OR(M12175="",N12175=""),"",SUMIFS('Barang Keluar'!$E:$E,'Barang Keluar'!$A:$A,M12175,'Barang Keluar'!$C:$C,N12175))</f>
        <v>0</v>
      </c>
    </row>
    <row r="12176" spans="13:16">
      <c r="M12176" s="49">
        <f>IF($A$4+121&gt;$B$4,"",$A$4+121)</f>
        <v>46144</v>
      </c>
      <c r="N12176">
        <f>IF(M12176="","",'Master Barang'!A70)</f>
        <v>0</v>
      </c>
      <c r="O12176">
        <f>IF(N12176="","",'Master Barang'!B70)</f>
        <v>0</v>
      </c>
      <c r="P12176">
        <f>IF(OR(M12176="",N12176=""),"",SUMIFS('Barang Keluar'!$E:$E,'Barang Keluar'!$A:$A,M12176,'Barang Keluar'!$C:$C,N12176))</f>
        <v>0</v>
      </c>
    </row>
    <row r="12177" spans="13:16">
      <c r="M12177" s="49">
        <f>IF($A$4+121&gt;$B$4,"",$A$4+121)</f>
        <v>46144</v>
      </c>
      <c r="N12177">
        <f>IF(M12177="","",'Master Barang'!A71)</f>
        <v>0</v>
      </c>
      <c r="O12177">
        <f>IF(N12177="","",'Master Barang'!B71)</f>
        <v>0</v>
      </c>
      <c r="P12177">
        <f>IF(OR(M12177="",N12177=""),"",SUMIFS('Barang Keluar'!$E:$E,'Barang Keluar'!$A:$A,M12177,'Barang Keluar'!$C:$C,N12177))</f>
        <v>0</v>
      </c>
    </row>
    <row r="12178" spans="13:16">
      <c r="M12178" s="49">
        <f>IF($A$4+121&gt;$B$4,"",$A$4+121)</f>
        <v>46144</v>
      </c>
      <c r="N12178">
        <f>IF(M12178="","",'Master Barang'!A72)</f>
        <v>0</v>
      </c>
      <c r="O12178">
        <f>IF(N12178="","",'Master Barang'!B72)</f>
        <v>0</v>
      </c>
      <c r="P12178">
        <f>IF(OR(M12178="",N12178=""),"",SUMIFS('Barang Keluar'!$E:$E,'Barang Keluar'!$A:$A,M12178,'Barang Keluar'!$C:$C,N12178))</f>
        <v>0</v>
      </c>
    </row>
    <row r="12179" spans="13:16">
      <c r="M12179" s="49">
        <f>IF($A$4+121&gt;$B$4,"",$A$4+121)</f>
        <v>46144</v>
      </c>
      <c r="N12179">
        <f>IF(M12179="","",'Master Barang'!A73)</f>
        <v>0</v>
      </c>
      <c r="O12179">
        <f>IF(N12179="","",'Master Barang'!B73)</f>
        <v>0</v>
      </c>
      <c r="P12179">
        <f>IF(OR(M12179="",N12179=""),"",SUMIFS('Barang Keluar'!$E:$E,'Barang Keluar'!$A:$A,M12179,'Barang Keluar'!$C:$C,N12179))</f>
        <v>0</v>
      </c>
    </row>
    <row r="12180" spans="13:16">
      <c r="M12180" s="49">
        <f>IF($A$4+121&gt;$B$4,"",$A$4+121)</f>
        <v>46144</v>
      </c>
      <c r="N12180">
        <f>IF(M12180="","",'Master Barang'!A74)</f>
        <v>0</v>
      </c>
      <c r="O12180">
        <f>IF(N12180="","",'Master Barang'!B74)</f>
        <v>0</v>
      </c>
      <c r="P12180">
        <f>IF(OR(M12180="",N12180=""),"",SUMIFS('Barang Keluar'!$E:$E,'Barang Keluar'!$A:$A,M12180,'Barang Keluar'!$C:$C,N12180))</f>
        <v>0</v>
      </c>
    </row>
    <row r="12181" spans="13:16">
      <c r="M12181" s="49">
        <f>IF($A$4+121&gt;$B$4,"",$A$4+121)</f>
        <v>46144</v>
      </c>
      <c r="N12181">
        <f>IF(M12181="","",'Master Barang'!A75)</f>
        <v>0</v>
      </c>
      <c r="O12181">
        <f>IF(N12181="","",'Master Barang'!B75)</f>
        <v>0</v>
      </c>
      <c r="P12181">
        <f>IF(OR(M12181="",N12181=""),"",SUMIFS('Barang Keluar'!$E:$E,'Barang Keluar'!$A:$A,M12181,'Barang Keluar'!$C:$C,N12181))</f>
        <v>0</v>
      </c>
    </row>
    <row r="12182" spans="13:16">
      <c r="M12182" s="49">
        <f>IF($A$4+121&gt;$B$4,"",$A$4+121)</f>
        <v>46144</v>
      </c>
      <c r="N12182">
        <f>IF(M12182="","",'Master Barang'!A76)</f>
        <v>0</v>
      </c>
      <c r="O12182">
        <f>IF(N12182="","",'Master Barang'!B76)</f>
        <v>0</v>
      </c>
      <c r="P12182">
        <f>IF(OR(M12182="",N12182=""),"",SUMIFS('Barang Keluar'!$E:$E,'Barang Keluar'!$A:$A,M12182,'Barang Keluar'!$C:$C,N12182))</f>
        <v>0</v>
      </c>
    </row>
    <row r="12183" spans="13:16">
      <c r="M12183" s="49">
        <f>IF($A$4+121&gt;$B$4,"",$A$4+121)</f>
        <v>46144</v>
      </c>
      <c r="N12183">
        <f>IF(M12183="","",'Master Barang'!A77)</f>
        <v>0</v>
      </c>
      <c r="O12183">
        <f>IF(N12183="","",'Master Barang'!B77)</f>
        <v>0</v>
      </c>
      <c r="P12183">
        <f>IF(OR(M12183="",N12183=""),"",SUMIFS('Barang Keluar'!$E:$E,'Barang Keluar'!$A:$A,M12183,'Barang Keluar'!$C:$C,N12183))</f>
        <v>0</v>
      </c>
    </row>
    <row r="12184" spans="13:16">
      <c r="M12184" s="49">
        <f>IF($A$4+121&gt;$B$4,"",$A$4+121)</f>
        <v>46144</v>
      </c>
      <c r="N12184">
        <f>IF(M12184="","",'Master Barang'!A78)</f>
        <v>0</v>
      </c>
      <c r="O12184">
        <f>IF(N12184="","",'Master Barang'!B78)</f>
        <v>0</v>
      </c>
      <c r="P12184">
        <f>IF(OR(M12184="",N12184=""),"",SUMIFS('Barang Keluar'!$E:$E,'Barang Keluar'!$A:$A,M12184,'Barang Keluar'!$C:$C,N12184))</f>
        <v>0</v>
      </c>
    </row>
    <row r="12185" spans="13:16">
      <c r="M12185" s="49">
        <f>IF($A$4+121&gt;$B$4,"",$A$4+121)</f>
        <v>46144</v>
      </c>
      <c r="N12185">
        <f>IF(M12185="","",'Master Barang'!A79)</f>
        <v>0</v>
      </c>
      <c r="O12185">
        <f>IF(N12185="","",'Master Barang'!B79)</f>
        <v>0</v>
      </c>
      <c r="P12185">
        <f>IF(OR(M12185="",N12185=""),"",SUMIFS('Barang Keluar'!$E:$E,'Barang Keluar'!$A:$A,M12185,'Barang Keluar'!$C:$C,N12185))</f>
        <v>0</v>
      </c>
    </row>
    <row r="12186" spans="13:16">
      <c r="M12186" s="49">
        <f>IF($A$4+121&gt;$B$4,"",$A$4+121)</f>
        <v>46144</v>
      </c>
      <c r="N12186">
        <f>IF(M12186="","",'Master Barang'!A80)</f>
        <v>0</v>
      </c>
      <c r="O12186">
        <f>IF(N12186="","",'Master Barang'!B80)</f>
        <v>0</v>
      </c>
      <c r="P12186">
        <f>IF(OR(M12186="",N12186=""),"",SUMIFS('Barang Keluar'!$E:$E,'Barang Keluar'!$A:$A,M12186,'Barang Keluar'!$C:$C,N12186))</f>
        <v>0</v>
      </c>
    </row>
    <row r="12187" spans="13:16">
      <c r="M12187" s="49">
        <f>IF($A$4+121&gt;$B$4,"",$A$4+121)</f>
        <v>46144</v>
      </c>
      <c r="N12187">
        <f>IF(M12187="","",'Master Barang'!A81)</f>
        <v>0</v>
      </c>
      <c r="O12187">
        <f>IF(N12187="","",'Master Barang'!B81)</f>
        <v>0</v>
      </c>
      <c r="P12187">
        <f>IF(OR(M12187="",N12187=""),"",SUMIFS('Barang Keluar'!$E:$E,'Barang Keluar'!$A:$A,M12187,'Barang Keluar'!$C:$C,N12187))</f>
        <v>0</v>
      </c>
    </row>
    <row r="12188" spans="13:16">
      <c r="M12188" s="49">
        <f>IF($A$4+121&gt;$B$4,"",$A$4+121)</f>
        <v>46144</v>
      </c>
      <c r="N12188">
        <f>IF(M12188="","",'Master Barang'!A82)</f>
        <v>0</v>
      </c>
      <c r="O12188">
        <f>IF(N12188="","",'Master Barang'!B82)</f>
        <v>0</v>
      </c>
      <c r="P12188">
        <f>IF(OR(M12188="",N12188=""),"",SUMIFS('Barang Keluar'!$E:$E,'Barang Keluar'!$A:$A,M12188,'Barang Keluar'!$C:$C,N12188))</f>
        <v>0</v>
      </c>
    </row>
    <row r="12189" spans="13:16">
      <c r="M12189" s="49">
        <f>IF($A$4+121&gt;$B$4,"",$A$4+121)</f>
        <v>46144</v>
      </c>
      <c r="N12189">
        <f>IF(M12189="","",'Master Barang'!A83)</f>
        <v>0</v>
      </c>
      <c r="O12189">
        <f>IF(N12189="","",'Master Barang'!B83)</f>
        <v>0</v>
      </c>
      <c r="P12189">
        <f>IF(OR(M12189="",N12189=""),"",SUMIFS('Barang Keluar'!$E:$E,'Barang Keluar'!$A:$A,M12189,'Barang Keluar'!$C:$C,N12189))</f>
        <v>0</v>
      </c>
    </row>
    <row r="12190" spans="13:16">
      <c r="M12190" s="49">
        <f>IF($A$4+121&gt;$B$4,"",$A$4+121)</f>
        <v>46144</v>
      </c>
      <c r="N12190">
        <f>IF(M12190="","",'Master Barang'!A84)</f>
        <v>0</v>
      </c>
      <c r="O12190">
        <f>IF(N12190="","",'Master Barang'!B84)</f>
        <v>0</v>
      </c>
      <c r="P12190">
        <f>IF(OR(M12190="",N12190=""),"",SUMIFS('Barang Keluar'!$E:$E,'Barang Keluar'!$A:$A,M12190,'Barang Keluar'!$C:$C,N12190))</f>
        <v>0</v>
      </c>
    </row>
    <row r="12191" spans="13:16">
      <c r="M12191" s="49">
        <f>IF($A$4+121&gt;$B$4,"",$A$4+121)</f>
        <v>46144</v>
      </c>
      <c r="N12191">
        <f>IF(M12191="","",'Master Barang'!A85)</f>
        <v>0</v>
      </c>
      <c r="O12191">
        <f>IF(N12191="","",'Master Barang'!B85)</f>
        <v>0</v>
      </c>
      <c r="P12191">
        <f>IF(OR(M12191="",N12191=""),"",SUMIFS('Barang Keluar'!$E:$E,'Barang Keluar'!$A:$A,M12191,'Barang Keluar'!$C:$C,N12191))</f>
        <v>0</v>
      </c>
    </row>
    <row r="12192" spans="13:16">
      <c r="M12192" s="49">
        <f>IF($A$4+121&gt;$B$4,"",$A$4+121)</f>
        <v>46144</v>
      </c>
      <c r="N12192">
        <f>IF(M12192="","",'Master Barang'!A86)</f>
        <v>0</v>
      </c>
      <c r="O12192">
        <f>IF(N12192="","",'Master Barang'!B86)</f>
        <v>0</v>
      </c>
      <c r="P12192">
        <f>IF(OR(M12192="",N12192=""),"",SUMIFS('Barang Keluar'!$E:$E,'Barang Keluar'!$A:$A,M12192,'Barang Keluar'!$C:$C,N12192))</f>
        <v>0</v>
      </c>
    </row>
    <row r="12193" spans="13:16">
      <c r="M12193" s="49">
        <f>IF($A$4+121&gt;$B$4,"",$A$4+121)</f>
        <v>46144</v>
      </c>
      <c r="N12193">
        <f>IF(M12193="","",'Master Barang'!A87)</f>
        <v>0</v>
      </c>
      <c r="O12193">
        <f>IF(N12193="","",'Master Barang'!B87)</f>
        <v>0</v>
      </c>
      <c r="P12193">
        <f>IF(OR(M12193="",N12193=""),"",SUMIFS('Barang Keluar'!$E:$E,'Barang Keluar'!$A:$A,M12193,'Barang Keluar'!$C:$C,N12193))</f>
        <v>0</v>
      </c>
    </row>
    <row r="12194" spans="13:16">
      <c r="M12194" s="49">
        <f>IF($A$4+121&gt;$B$4,"",$A$4+121)</f>
        <v>46144</v>
      </c>
      <c r="N12194">
        <f>IF(M12194="","",'Master Barang'!A88)</f>
        <v>0</v>
      </c>
      <c r="O12194">
        <f>IF(N12194="","",'Master Barang'!B88)</f>
        <v>0</v>
      </c>
      <c r="P12194">
        <f>IF(OR(M12194="",N12194=""),"",SUMIFS('Barang Keluar'!$E:$E,'Barang Keluar'!$A:$A,M12194,'Barang Keluar'!$C:$C,N12194))</f>
        <v>0</v>
      </c>
    </row>
    <row r="12195" spans="13:16">
      <c r="M12195" s="49">
        <f>IF($A$4+121&gt;$B$4,"",$A$4+121)</f>
        <v>46144</v>
      </c>
      <c r="N12195">
        <f>IF(M12195="","",'Master Barang'!A89)</f>
        <v>0</v>
      </c>
      <c r="O12195">
        <f>IF(N12195="","",'Master Barang'!B89)</f>
        <v>0</v>
      </c>
      <c r="P12195">
        <f>IF(OR(M12195="",N12195=""),"",SUMIFS('Barang Keluar'!$E:$E,'Barang Keluar'!$A:$A,M12195,'Barang Keluar'!$C:$C,N12195))</f>
        <v>0</v>
      </c>
    </row>
    <row r="12196" spans="13:16">
      <c r="M12196" s="49">
        <f>IF($A$4+121&gt;$B$4,"",$A$4+121)</f>
        <v>46144</v>
      </c>
      <c r="N12196">
        <f>IF(M12196="","",'Master Barang'!A90)</f>
        <v>0</v>
      </c>
      <c r="O12196">
        <f>IF(N12196="","",'Master Barang'!B90)</f>
        <v>0</v>
      </c>
      <c r="P12196">
        <f>IF(OR(M12196="",N12196=""),"",SUMIFS('Barang Keluar'!$E:$E,'Barang Keluar'!$A:$A,M12196,'Barang Keluar'!$C:$C,N12196))</f>
        <v>0</v>
      </c>
    </row>
    <row r="12197" spans="13:16">
      <c r="M12197" s="49">
        <f>IF($A$4+121&gt;$B$4,"",$A$4+121)</f>
        <v>46144</v>
      </c>
      <c r="N12197">
        <f>IF(M12197="","",'Master Barang'!A91)</f>
        <v>0</v>
      </c>
      <c r="O12197">
        <f>IF(N12197="","",'Master Barang'!B91)</f>
        <v>0</v>
      </c>
      <c r="P12197">
        <f>IF(OR(M12197="",N12197=""),"",SUMIFS('Barang Keluar'!$E:$E,'Barang Keluar'!$A:$A,M12197,'Barang Keluar'!$C:$C,N12197))</f>
        <v>0</v>
      </c>
    </row>
    <row r="12198" spans="13:16">
      <c r="M12198" s="49">
        <f>IF($A$4+121&gt;$B$4,"",$A$4+121)</f>
        <v>46144</v>
      </c>
      <c r="N12198">
        <f>IF(M12198="","",'Master Barang'!A92)</f>
        <v>0</v>
      </c>
      <c r="O12198">
        <f>IF(N12198="","",'Master Barang'!B92)</f>
        <v>0</v>
      </c>
      <c r="P12198">
        <f>IF(OR(M12198="",N12198=""),"",SUMIFS('Barang Keluar'!$E:$E,'Barang Keluar'!$A:$A,M12198,'Barang Keluar'!$C:$C,N12198))</f>
        <v>0</v>
      </c>
    </row>
    <row r="12199" spans="13:16">
      <c r="M12199" s="49">
        <f>IF($A$4+121&gt;$B$4,"",$A$4+121)</f>
        <v>46144</v>
      </c>
      <c r="N12199">
        <f>IF(M12199="","",'Master Barang'!A93)</f>
        <v>0</v>
      </c>
      <c r="O12199">
        <f>IF(N12199="","",'Master Barang'!B93)</f>
        <v>0</v>
      </c>
      <c r="P12199">
        <f>IF(OR(M12199="",N12199=""),"",SUMIFS('Barang Keluar'!$E:$E,'Barang Keluar'!$A:$A,M12199,'Barang Keluar'!$C:$C,N12199))</f>
        <v>0</v>
      </c>
    </row>
    <row r="12200" spans="13:16">
      <c r="M12200" s="49">
        <f>IF($A$4+121&gt;$B$4,"",$A$4+121)</f>
        <v>46144</v>
      </c>
      <c r="N12200">
        <f>IF(M12200="","",'Master Barang'!A94)</f>
        <v>0</v>
      </c>
      <c r="O12200">
        <f>IF(N12200="","",'Master Barang'!B94)</f>
        <v>0</v>
      </c>
      <c r="P12200">
        <f>IF(OR(M12200="",N12200=""),"",SUMIFS('Barang Keluar'!$E:$E,'Barang Keluar'!$A:$A,M12200,'Barang Keluar'!$C:$C,N12200))</f>
        <v>0</v>
      </c>
    </row>
    <row r="12201" spans="13:16">
      <c r="M12201" s="49">
        <f>IF($A$4+121&gt;$B$4,"",$A$4+121)</f>
        <v>46144</v>
      </c>
      <c r="N12201">
        <f>IF(M12201="","",'Master Barang'!A95)</f>
        <v>0</v>
      </c>
      <c r="O12201">
        <f>IF(N12201="","",'Master Barang'!B95)</f>
        <v>0</v>
      </c>
      <c r="P12201">
        <f>IF(OR(M12201="",N12201=""),"",SUMIFS('Barang Keluar'!$E:$E,'Barang Keluar'!$A:$A,M12201,'Barang Keluar'!$C:$C,N12201))</f>
        <v>0</v>
      </c>
    </row>
    <row r="12202" spans="13:16">
      <c r="M12202" s="49">
        <f>IF($A$4+121&gt;$B$4,"",$A$4+121)</f>
        <v>46144</v>
      </c>
      <c r="N12202">
        <f>IF(M12202="","",'Master Barang'!A96)</f>
        <v>0</v>
      </c>
      <c r="O12202">
        <f>IF(N12202="","",'Master Barang'!B96)</f>
        <v>0</v>
      </c>
      <c r="P12202">
        <f>IF(OR(M12202="",N12202=""),"",SUMIFS('Barang Keluar'!$E:$E,'Barang Keluar'!$A:$A,M12202,'Barang Keluar'!$C:$C,N12202))</f>
        <v>0</v>
      </c>
    </row>
    <row r="12203" spans="13:16">
      <c r="M12203" s="49">
        <f>IF($A$4+121&gt;$B$4,"",$A$4+121)</f>
        <v>46144</v>
      </c>
      <c r="N12203">
        <f>IF(M12203="","",'Master Barang'!A97)</f>
        <v>0</v>
      </c>
      <c r="O12203">
        <f>IF(N12203="","",'Master Barang'!B97)</f>
        <v>0</v>
      </c>
      <c r="P12203">
        <f>IF(OR(M12203="",N12203=""),"",SUMIFS('Barang Keluar'!$E:$E,'Barang Keluar'!$A:$A,M12203,'Barang Keluar'!$C:$C,N12203))</f>
        <v>0</v>
      </c>
    </row>
    <row r="12204" spans="13:16">
      <c r="M12204" s="49">
        <f>IF($A$4+121&gt;$B$4,"",$A$4+121)</f>
        <v>46144</v>
      </c>
      <c r="N12204">
        <f>IF(M12204="","",'Master Barang'!A98)</f>
        <v>0</v>
      </c>
      <c r="O12204">
        <f>IF(N12204="","",'Master Barang'!B98)</f>
        <v>0</v>
      </c>
      <c r="P12204">
        <f>IF(OR(M12204="",N12204=""),"",SUMIFS('Barang Keluar'!$E:$E,'Barang Keluar'!$A:$A,M12204,'Barang Keluar'!$C:$C,N12204))</f>
        <v>0</v>
      </c>
    </row>
    <row r="12205" spans="13:16">
      <c r="M12205" s="49">
        <f>IF($A$4+121&gt;$B$4,"",$A$4+121)</f>
        <v>46144</v>
      </c>
      <c r="N12205">
        <f>IF(M12205="","",'Master Barang'!A99)</f>
        <v>0</v>
      </c>
      <c r="O12205">
        <f>IF(N12205="","",'Master Barang'!B99)</f>
        <v>0</v>
      </c>
      <c r="P12205">
        <f>IF(OR(M12205="",N12205=""),"",SUMIFS('Barang Keluar'!$E:$E,'Barang Keluar'!$A:$A,M12205,'Barang Keluar'!$C:$C,N12205))</f>
        <v>0</v>
      </c>
    </row>
    <row r="12206" spans="13:16">
      <c r="M12206" s="49">
        <f>IF($A$4+121&gt;$B$4,"",$A$4+121)</f>
        <v>46144</v>
      </c>
      <c r="N12206">
        <f>IF(M12206="","",'Master Barang'!A100)</f>
        <v>0</v>
      </c>
      <c r="O12206">
        <f>IF(N12206="","",'Master Barang'!B100)</f>
        <v>0</v>
      </c>
      <c r="P12206">
        <f>IF(OR(M12206="",N12206=""),"",SUMIFS('Barang Keluar'!$E:$E,'Barang Keluar'!$A:$A,M12206,'Barang Keluar'!$C:$C,N12206))</f>
        <v>0</v>
      </c>
    </row>
    <row r="12207" spans="13:16">
      <c r="M12207" s="49">
        <f>IF($A$4+121&gt;$B$4,"",$A$4+121)</f>
        <v>46144</v>
      </c>
      <c r="N12207">
        <f>IF(M12207="","",'Master Barang'!A101)</f>
        <v>0</v>
      </c>
      <c r="O12207">
        <f>IF(N12207="","",'Master Barang'!B101)</f>
        <v>0</v>
      </c>
      <c r="P12207">
        <f>IF(OR(M12207="",N12207=""),"",SUMIFS('Barang Keluar'!$E:$E,'Barang Keluar'!$A:$A,M12207,'Barang Keluar'!$C:$C,N12207))</f>
        <v>0</v>
      </c>
    </row>
    <row r="12208" spans="13:16">
      <c r="M12208" s="49">
        <f>IF($A$4+122&gt;$B$4,"",$A$4+122)</f>
        <v>46145</v>
      </c>
      <c r="N12208" t="str">
        <f>IF(M12208="","",'Master Barang'!A2)</f>
        <v>PRL-001</v>
      </c>
      <c r="O12208" t="str">
        <f>IF(N12208="","",'Master Barang'!B2)</f>
        <v>natura desinfectant food grade 5l</v>
      </c>
      <c r="P12208">
        <f>IF(OR(M12208="",N12208=""),"",SUMIFS('Barang Keluar'!$E:$E,'Barang Keluar'!$A:$A,M12208,'Barang Keluar'!$C:$C,N12208))</f>
        <v>0</v>
      </c>
    </row>
    <row r="12209" spans="13:16">
      <c r="M12209" s="49">
        <f>IF($A$4+122&gt;$B$4,"",$A$4+122)</f>
        <v>46145</v>
      </c>
      <c r="N12209" t="str">
        <f>IF(M12209="","",'Master Barang'!A3)</f>
        <v>PRL-002</v>
      </c>
      <c r="O12209" t="str">
        <f>IF(N12209="","",'Master Barang'!B3)</f>
        <v>sunlight cairan pencuci piring 5l</v>
      </c>
      <c r="P12209">
        <f>IF(OR(M12209="",N12209=""),"",SUMIFS('Barang Keluar'!$E:$E,'Barang Keluar'!$A:$A,M12209,'Barang Keluar'!$C:$C,N12209))</f>
        <v>0</v>
      </c>
    </row>
    <row r="12210" spans="13:16">
      <c r="M12210" s="49">
        <f>IF($A$4+122&gt;$B$4,"",$A$4+122)</f>
        <v>46145</v>
      </c>
      <c r="N12210" t="str">
        <f>IF(M12210="","",'Master Barang'!A4)</f>
        <v>PRL-003</v>
      </c>
      <c r="O12210" t="str">
        <f>IF(N12210="","",'Master Barang'!B4)</f>
        <v>oixs cleaner 1l</v>
      </c>
      <c r="P12210">
        <f>IF(OR(M12210="",N12210=""),"",SUMIFS('Barang Keluar'!$E:$E,'Barang Keluar'!$A:$A,M12210,'Barang Keluar'!$C:$C,N12210))</f>
        <v>0</v>
      </c>
    </row>
    <row r="12211" spans="13:16">
      <c r="M12211" s="49">
        <f>IF($A$4+122&gt;$B$4,"",$A$4+122)</f>
        <v>46145</v>
      </c>
      <c r="N12211" t="str">
        <f>IF(M12211="","",'Master Barang'!A5)</f>
        <v>PRL-004</v>
      </c>
      <c r="O12211" t="str">
        <f>IF(N12211="","",'Master Barang'!B5)</f>
        <v>be clean tissue serbaguna</v>
      </c>
      <c r="P12211">
        <f>IF(OR(M12211="",N12211=""),"",SUMIFS('Barang Keluar'!$E:$E,'Barang Keluar'!$A:$A,M12211,'Barang Keluar'!$C:$C,N12211))</f>
        <v>0</v>
      </c>
    </row>
    <row r="12212" spans="13:16">
      <c r="M12212" s="49">
        <f>IF($A$4+122&gt;$B$4,"",$A$4+122)</f>
        <v>46145</v>
      </c>
      <c r="N12212" t="str">
        <f>IF(M12212="","",'Master Barang'!A6)</f>
        <v>PRL-005</v>
      </c>
      <c r="O12212" t="str">
        <f>IF(N12212="","",'Master Barang'!B6)</f>
        <v>spons cuci hijau</v>
      </c>
      <c r="P12212">
        <f>IF(OR(M12212="",N12212=""),"",SUMIFS('Barang Keluar'!$E:$E,'Barang Keluar'!$A:$A,M12212,'Barang Keluar'!$C:$C,N12212))</f>
        <v>0</v>
      </c>
    </row>
    <row r="12213" spans="13:16">
      <c r="M12213" s="49">
        <f>IF($A$4+122&gt;$B$4,"",$A$4+122)</f>
        <v>46145</v>
      </c>
      <c r="N12213" t="str">
        <f>IF(M12213="","",'Master Barang'!A7)</f>
        <v>PRL-006</v>
      </c>
      <c r="O12213" t="str">
        <f>IF(N12213="","",'Master Barang'!B7)</f>
        <v>sabut cuci stainless</v>
      </c>
      <c r="P12213">
        <f>IF(OR(M12213="",N12213=""),"",SUMIFS('Barang Keluar'!$E:$E,'Barang Keluar'!$A:$A,M12213,'Barang Keluar'!$C:$C,N12213))</f>
        <v>0</v>
      </c>
    </row>
    <row r="12214" spans="13:16">
      <c r="M12214" s="49">
        <f>IF($A$4+122&gt;$B$4,"",$A$4+122)</f>
        <v>46145</v>
      </c>
      <c r="N12214" t="str">
        <f>IF(M12214="","",'Master Barang'!A8)</f>
        <v>PRL-007</v>
      </c>
      <c r="O12214" t="str">
        <f>IF(N12214="","",'Master Barang'!B8)</f>
        <v>plastik kresek besar merah 50pc</v>
      </c>
      <c r="P12214">
        <f>IF(OR(M12214="",N12214=""),"",SUMIFS('Barang Keluar'!$E:$E,'Barang Keluar'!$A:$A,M12214,'Barang Keluar'!$C:$C,N12214))</f>
        <v>0</v>
      </c>
    </row>
    <row r="12215" spans="13:16">
      <c r="M12215" s="49">
        <f>IF($A$4+122&gt;$B$4,"",$A$4+122)</f>
        <v>46145</v>
      </c>
      <c r="N12215" t="str">
        <f>IF(M12215="","",'Master Barang'!A9)</f>
        <v>PRL-008</v>
      </c>
      <c r="O12215" t="str">
        <f>IF(N12215="","",'Master Barang'!B9)</f>
        <v>lap besar</v>
      </c>
      <c r="P12215">
        <f>IF(OR(M12215="",N12215=""),"",SUMIFS('Barang Keluar'!$E:$E,'Barang Keluar'!$A:$A,M12215,'Barang Keluar'!$C:$C,N12215))</f>
        <v>0</v>
      </c>
    </row>
    <row r="12216" spans="13:16">
      <c r="M12216" s="49">
        <f>IF($A$4+122&gt;$B$4,"",$A$4+122)</f>
        <v>46145</v>
      </c>
      <c r="N12216" t="str">
        <f>IF(M12216="","",'Master Barang'!A10)</f>
        <v>PRL-009</v>
      </c>
      <c r="O12216" t="str">
        <f>IF(N12216="","",'Master Barang'!B10)</f>
        <v>lap microfiber</v>
      </c>
      <c r="P12216">
        <f>IF(OR(M12216="",N12216=""),"",SUMIFS('Barang Keluar'!$E:$E,'Barang Keluar'!$A:$A,M12216,'Barang Keluar'!$C:$C,N12216))</f>
        <v>0</v>
      </c>
    </row>
    <row r="12217" spans="13:16">
      <c r="M12217" s="49">
        <f>IF($A$4+122&gt;$B$4,"",$A$4+122)</f>
        <v>46145</v>
      </c>
      <c r="N12217" t="str">
        <f>IF(M12217="","",'Master Barang'!A11)</f>
        <v>PRL-010</v>
      </c>
      <c r="O12217" t="str">
        <f>IF(N12217="","",'Master Barang'!B11)</f>
        <v>lap kecil</v>
      </c>
      <c r="P12217">
        <f>IF(OR(M12217="",N12217=""),"",SUMIFS('Barang Keluar'!$E:$E,'Barang Keluar'!$A:$A,M12217,'Barang Keluar'!$C:$C,N12217))</f>
        <v>0</v>
      </c>
    </row>
    <row r="12218" spans="13:16">
      <c r="M12218" s="49">
        <f>IF($A$4+122&gt;$B$4,"",$A$4+122)</f>
        <v>46145</v>
      </c>
      <c r="N12218" t="str">
        <f>IF(M12218="","",'Master Barang'!A12)</f>
        <v>PRL-011</v>
      </c>
      <c r="O12218" t="str">
        <f>IF(N12218="","",'Master Barang'!B12)</f>
        <v>kanebo kecil</v>
      </c>
      <c r="P12218">
        <f>IF(OR(M12218="",N12218=""),"",SUMIFS('Barang Keluar'!$E:$E,'Barang Keluar'!$A:$A,M12218,'Barang Keluar'!$C:$C,N12218))</f>
        <v>0</v>
      </c>
    </row>
    <row r="12219" spans="13:16">
      <c r="M12219" s="49">
        <f>IF($A$4+122&gt;$B$4,"",$A$4+122)</f>
        <v>46145</v>
      </c>
      <c r="N12219" t="str">
        <f>IF(M12219="","",'Master Barang'!A13)</f>
        <v>PRL-012</v>
      </c>
      <c r="O12219" t="str">
        <f>IF(N12219="","",'Master Barang'!B13)</f>
        <v>plastik 1/4kg joyoboyo 100 lembar</v>
      </c>
      <c r="P12219">
        <f>IF(OR(M12219="",N12219=""),"",SUMIFS('Barang Keluar'!$E:$E,'Barang Keluar'!$A:$A,M12219,'Barang Keluar'!$C:$C,N12219))</f>
        <v>0</v>
      </c>
    </row>
    <row r="12220" spans="13:16">
      <c r="M12220" s="49">
        <f>IF($A$4+122&gt;$B$4,"",$A$4+122)</f>
        <v>46145</v>
      </c>
      <c r="N12220" t="str">
        <f>IF(M12220="","",'Master Barang'!A14)</f>
        <v>PRL-013</v>
      </c>
      <c r="O12220" t="str">
        <f>IF(N12220="","",'Master Barang'!B14)</f>
        <v>sarung tangan plastik kaka 100 pcs</v>
      </c>
      <c r="P12220">
        <f>IF(OR(M12220="",N12220=""),"",SUMIFS('Barang Keluar'!$E:$E,'Barang Keluar'!$A:$A,M12220,'Barang Keluar'!$C:$C,N12220))</f>
        <v>0</v>
      </c>
    </row>
    <row r="12221" spans="13:16">
      <c r="M12221" s="49">
        <f>IF($A$4+122&gt;$B$4,"",$A$4+122)</f>
        <v>46145</v>
      </c>
      <c r="N12221" t="str">
        <f>IF(M12221="","",'Master Barang'!A15)</f>
        <v>PRL-014</v>
      </c>
      <c r="O12221" t="str">
        <f>IF(N12221="","",'Master Barang'!B15)</f>
        <v>optima trashbag 80x100</v>
      </c>
      <c r="P12221">
        <f>IF(OR(M12221="",N12221=""),"",SUMIFS('Barang Keluar'!$E:$E,'Barang Keluar'!$A:$A,M12221,'Barang Keluar'!$C:$C,N12221))</f>
        <v>0</v>
      </c>
    </row>
    <row r="12222" spans="13:16">
      <c r="M12222" s="49">
        <f>IF($A$4+122&gt;$B$4,"",$A$4+122)</f>
        <v>46145</v>
      </c>
      <c r="N12222" t="str">
        <f>IF(M12222="","",'Master Barang'!A16)</f>
        <v>PRL-015</v>
      </c>
      <c r="O12222" t="str">
        <f>IF(N12222="","",'Master Barang'!B16)</f>
        <v>optima trashbag 60x100</v>
      </c>
      <c r="P12222">
        <f>IF(OR(M12222="",N12222=""),"",SUMIFS('Barang Keluar'!$E:$E,'Barang Keluar'!$A:$A,M12222,'Barang Keluar'!$C:$C,N12222))</f>
        <v>0</v>
      </c>
    </row>
    <row r="12223" spans="13:16">
      <c r="M12223" s="49">
        <f>IF($A$4+122&gt;$B$4,"",$A$4+122)</f>
        <v>46145</v>
      </c>
      <c r="N12223" t="str">
        <f>IF(M12223="","",'Master Barang'!A17)</f>
        <v>PRL-016</v>
      </c>
      <c r="O12223" t="str">
        <f>IF(N12223="","",'Master Barang'!B17)</f>
        <v>rajawali trashbag 30x40</v>
      </c>
      <c r="P12223">
        <f>IF(OR(M12223="",N12223=""),"",SUMIFS('Barang Keluar'!$E:$E,'Barang Keluar'!$A:$A,M12223,'Barang Keluar'!$C:$C,N12223))</f>
        <v>0</v>
      </c>
    </row>
    <row r="12224" spans="13:16">
      <c r="M12224" s="49">
        <f>IF($A$4+122&gt;$B$4,"",$A$4+122)</f>
        <v>46145</v>
      </c>
      <c r="N12224" t="str">
        <f>IF(M12224="","",'Master Barang'!A18)</f>
        <v>PRL-017</v>
      </c>
      <c r="O12224" t="str">
        <f>IF(N12224="","",'Master Barang'!B18)</f>
        <v>onemed masker biru 3 play 50 pcs</v>
      </c>
      <c r="P12224">
        <f>IF(OR(M12224="",N12224=""),"",SUMIFS('Barang Keluar'!$E:$E,'Barang Keluar'!$A:$A,M12224,'Barang Keluar'!$C:$C,N12224))</f>
        <v>0</v>
      </c>
    </row>
    <row r="12225" spans="13:16">
      <c r="M12225" s="49">
        <f>IF($A$4+122&gt;$B$4,"",$A$4+122)</f>
        <v>46145</v>
      </c>
      <c r="N12225" t="str">
        <f>IF(M12225="","",'Master Barang'!A19)</f>
        <v>PRL-018</v>
      </c>
      <c r="O12225" t="str">
        <f>IF(N12225="","",'Master Barang'!B19)</f>
        <v>onemed masker biru 3 play hijab 50 pcs</v>
      </c>
      <c r="P12225">
        <f>IF(OR(M12225="",N12225=""),"",SUMIFS('Barang Keluar'!$E:$E,'Barang Keluar'!$A:$A,M12225,'Barang Keluar'!$C:$C,N12225))</f>
        <v>0</v>
      </c>
    </row>
    <row r="12226" spans="13:16">
      <c r="M12226" s="49">
        <f>IF($A$4+122&gt;$B$4,"",$A$4+122)</f>
        <v>46145</v>
      </c>
      <c r="N12226" t="str">
        <f>IF(M12226="","",'Master Barang'!A20)</f>
        <v>PRL-019</v>
      </c>
      <c r="O12226" t="str">
        <f>IF(N12226="","",'Master Barang'!B20)</f>
        <v>neo health masker biru 3 play 50 pcs</v>
      </c>
      <c r="P12226">
        <f>IF(OR(M12226="",N12226=""),"",SUMIFS('Barang Keluar'!$E:$E,'Barang Keluar'!$A:$A,M12226,'Barang Keluar'!$C:$C,N12226))</f>
        <v>0</v>
      </c>
    </row>
    <row r="12227" spans="13:16">
      <c r="M12227" s="49">
        <f>IF($A$4+122&gt;$B$4,"",$A$4+122)</f>
        <v>46145</v>
      </c>
      <c r="N12227" t="str">
        <f>IF(M12227="","",'Master Barang'!A21)</f>
        <v>PRL-020</v>
      </c>
      <c r="O12227" t="str">
        <f>IF(N12227="","",'Master Barang'!B21)</f>
        <v>baymed masker hijau 3 play hijau 50 pcs</v>
      </c>
      <c r="P12227">
        <f>IF(OR(M12227="",N12227=""),"",SUMIFS('Barang Keluar'!$E:$E,'Barang Keluar'!$A:$A,M12227,'Barang Keluar'!$C:$C,N12227))</f>
        <v>0</v>
      </c>
    </row>
    <row r="12228" spans="13:16">
      <c r="M12228" s="49">
        <f>IF($A$4+122&gt;$B$4,"",$A$4+122)</f>
        <v>46145</v>
      </c>
      <c r="N12228" t="str">
        <f>IF(M12228="","",'Master Barang'!A22)</f>
        <v>PRL-021</v>
      </c>
      <c r="O12228" t="str">
        <f>IF(N12228="","",'Master Barang'!B22)</f>
        <v>altamed nurse cap penutup kepala 100 pcs</v>
      </c>
      <c r="P12228">
        <f>IF(OR(M12228="",N12228=""),"",SUMIFS('Barang Keluar'!$E:$E,'Barang Keluar'!$A:$A,M12228,'Barang Keluar'!$C:$C,N12228))</f>
        <v>0</v>
      </c>
    </row>
    <row r="12229" spans="13:16">
      <c r="M12229" s="49">
        <f>IF($A$4+122&gt;$B$4,"",$A$4+122)</f>
        <v>46145</v>
      </c>
      <c r="N12229" t="str">
        <f>IF(M12229="","",'Master Barang'!A23)</f>
        <v>PRL-022</v>
      </c>
      <c r="O12229" t="str">
        <f>IF(N12229="","",'Master Barang'!B23)</f>
        <v>sabun cuci tangan</v>
      </c>
      <c r="P12229">
        <f>IF(OR(M12229="",N12229=""),"",SUMIFS('Barang Keluar'!$E:$E,'Barang Keluar'!$A:$A,M12229,'Barang Keluar'!$C:$C,N12229))</f>
        <v>0</v>
      </c>
    </row>
    <row r="12230" spans="13:16">
      <c r="M12230" s="49">
        <f>IF($A$4+122&gt;$B$4,"",$A$4+122)</f>
        <v>46145</v>
      </c>
      <c r="N12230" t="str">
        <f>IF(M12230="","",'Master Barang'!A24)</f>
        <v>PRL-023</v>
      </c>
      <c r="O12230" t="str">
        <f>IF(N12230="","",'Master Barang'!B24)</f>
        <v>gayung kecil</v>
      </c>
      <c r="P12230">
        <f>IF(OR(M12230="",N12230=""),"",SUMIFS('Barang Keluar'!$E:$E,'Barang Keluar'!$A:$A,M12230,'Barang Keluar'!$C:$C,N12230))</f>
        <v>0</v>
      </c>
    </row>
    <row r="12231" spans="13:16">
      <c r="M12231" s="49">
        <f>IF($A$4+122&gt;$B$4,"",$A$4+122)</f>
        <v>46145</v>
      </c>
      <c r="N12231" t="str">
        <f>IF(M12231="","",'Master Barang'!A25)</f>
        <v>PRL-024</v>
      </c>
      <c r="O12231" t="str">
        <f>IF(N12231="","",'Master Barang'!B25)</f>
        <v>cikrak kecil</v>
      </c>
      <c r="P12231">
        <f>IF(OR(M12231="",N12231=""),"",SUMIFS('Barang Keluar'!$E:$E,'Barang Keluar'!$A:$A,M12231,'Barang Keluar'!$C:$C,N12231))</f>
        <v>0</v>
      </c>
    </row>
    <row r="12232" spans="13:16">
      <c r="M12232" s="49">
        <f>IF($A$4+122&gt;$B$4,"",$A$4+122)</f>
        <v>46145</v>
      </c>
      <c r="N12232" t="str">
        <f>IF(M12232="","",'Master Barang'!A26)</f>
        <v>PRL-025</v>
      </c>
      <c r="O12232" t="str">
        <f>IF(N12232="","",'Master Barang'!B26)</f>
        <v>petromax plastik kecil 12x24 100 lembar</v>
      </c>
      <c r="P12232">
        <f>IF(OR(M12232="",N12232=""),"",SUMIFS('Barang Keluar'!$E:$E,'Barang Keluar'!$A:$A,M12232,'Barang Keluar'!$C:$C,N12232))</f>
        <v>0</v>
      </c>
    </row>
    <row r="12233" spans="13:16">
      <c r="M12233" s="49">
        <f>IF($A$4+122&gt;$B$4,"",$A$4+122)</f>
        <v>46145</v>
      </c>
      <c r="N12233" t="str">
        <f>IF(M12233="","",'Master Barang'!A27)</f>
        <v>PRL-026</v>
      </c>
      <c r="O12233" t="str">
        <f>IF(N12233="","",'Master Barang'!B27)</f>
        <v>lancar kresek kecil bening </v>
      </c>
      <c r="P12233">
        <f>IF(OR(M12233="",N12233=""),"",SUMIFS('Barang Keluar'!$E:$E,'Barang Keluar'!$A:$A,M12233,'Barang Keluar'!$C:$C,N12233))</f>
        <v>0</v>
      </c>
    </row>
    <row r="12234" spans="13:16">
      <c r="M12234" s="49">
        <f>IF($A$4+122&gt;$B$4,"",$A$4+122)</f>
        <v>46145</v>
      </c>
      <c r="N12234" t="str">
        <f>IF(M12234="","",'Master Barang'!A28)</f>
        <v>PRL-027</v>
      </c>
      <c r="O12234" t="str">
        <f>IF(N12234="","",'Master Barang'!B28)</f>
        <v>kresek klin warna warni kecil</v>
      </c>
      <c r="P12234">
        <f>IF(OR(M12234="",N12234=""),"",SUMIFS('Barang Keluar'!$E:$E,'Barang Keluar'!$A:$A,M12234,'Barang Keluar'!$C:$C,N12234))</f>
        <v>0</v>
      </c>
    </row>
    <row r="12235" spans="13:16">
      <c r="M12235" s="49">
        <f>IF($A$4+122&gt;$B$4,"",$A$4+122)</f>
        <v>46145</v>
      </c>
      <c r="N12235" t="str">
        <f>IF(M12235="","",'Master Barang'!A29)</f>
        <v>PRL-028</v>
      </c>
      <c r="O12235" t="str">
        <f>IF(N12235="","",'Master Barang'!B29)</f>
        <v>ctik plastik 7x10 100 pcs</v>
      </c>
      <c r="P12235">
        <f>IF(OR(M12235="",N12235=""),"",SUMIFS('Barang Keluar'!$E:$E,'Barang Keluar'!$A:$A,M12235,'Barang Keluar'!$C:$C,N12235))</f>
        <v>0</v>
      </c>
    </row>
    <row r="12236" spans="13:16">
      <c r="M12236" s="49">
        <f>IF($A$4+122&gt;$B$4,"",$A$4+122)</f>
        <v>46145</v>
      </c>
      <c r="N12236" t="str">
        <f>IF(M12236="","",'Master Barang'!A30)</f>
        <v>PRL-029</v>
      </c>
      <c r="O12236" t="str">
        <f>IF(N12236="","",'Master Barang'!B30)</f>
        <v>ctik plastik 6x10 100 pcs</v>
      </c>
      <c r="P12236">
        <f>IF(OR(M12236="",N12236=""),"",SUMIFS('Barang Keluar'!$E:$E,'Barang Keluar'!$A:$A,M12236,'Barang Keluar'!$C:$C,N12236))</f>
        <v>0</v>
      </c>
    </row>
    <row r="12237" spans="13:16">
      <c r="M12237" s="49">
        <f>IF($A$4+122&gt;$B$4,"",$A$4+122)</f>
        <v>46145</v>
      </c>
      <c r="N12237" t="str">
        <f>IF(M12237="","",'Master Barang'!A31)</f>
        <v>PRL-030</v>
      </c>
      <c r="O12237" t="str">
        <f>IF(N12237="","",'Master Barang'!B31)</f>
        <v>klip plastik 25x16 100 pcs</v>
      </c>
      <c r="P12237">
        <f>IF(OR(M12237="",N12237=""),"",SUMIFS('Barang Keluar'!$E:$E,'Barang Keluar'!$A:$A,M12237,'Barang Keluar'!$C:$C,N12237))</f>
        <v>0</v>
      </c>
    </row>
    <row r="12238" spans="13:16">
      <c r="M12238" s="49">
        <f>IF($A$4+122&gt;$B$4,"",$A$4+122)</f>
        <v>46145</v>
      </c>
      <c r="N12238" t="str">
        <f>IF(M12238="","",'Master Barang'!A32)</f>
        <v>PRL-031</v>
      </c>
      <c r="O12238" t="str">
        <f>IF(N12238="","",'Master Barang'!B32)</f>
        <v>tempat saus 20 ml</v>
      </c>
      <c r="P12238">
        <f>IF(OR(M12238="",N12238=""),"",SUMIFS('Barang Keluar'!$E:$E,'Barang Keluar'!$A:$A,M12238,'Barang Keluar'!$C:$C,N12238))</f>
        <v>0</v>
      </c>
    </row>
    <row r="12239" spans="13:16">
      <c r="M12239" s="49">
        <f>IF($A$4+122&gt;$B$4,"",$A$4+122)</f>
        <v>46145</v>
      </c>
      <c r="N12239" t="str">
        <f>IF(M12239="","",'Master Barang'!A33)</f>
        <v>PRL-032</v>
      </c>
      <c r="O12239" t="str">
        <f>IF(N12239="","",'Master Barang'!B33)</f>
        <v>plastik packaging ag box uk sedang</v>
      </c>
      <c r="P12239">
        <f>IF(OR(M12239="",N12239=""),"",SUMIFS('Barang Keluar'!$E:$E,'Barang Keluar'!$A:$A,M12239,'Barang Keluar'!$C:$C,N12239))</f>
        <v>0</v>
      </c>
    </row>
    <row r="12240" spans="13:16">
      <c r="M12240" s="49">
        <f>IF($A$4+122&gt;$B$4,"",$A$4+122)</f>
        <v>46145</v>
      </c>
      <c r="N12240" t="str">
        <f>IF(M12240="","",'Master Barang'!A34)</f>
        <v>PRL-033</v>
      </c>
      <c r="O12240">
        <f>IF(N12240="","",'Master Barang'!B34)</f>
        <v>0</v>
      </c>
      <c r="P12240">
        <f>IF(OR(M12240="",N12240=""),"",SUMIFS('Barang Keluar'!$E:$E,'Barang Keluar'!$A:$A,M12240,'Barang Keluar'!$C:$C,N12240))</f>
        <v>0</v>
      </c>
    </row>
    <row r="12241" spans="13:16">
      <c r="M12241" s="49">
        <f>IF($A$4+122&gt;$B$4,"",$A$4+122)</f>
        <v>46145</v>
      </c>
      <c r="N12241">
        <f>IF(M12241="","",'Master Barang'!A35)</f>
        <v>0</v>
      </c>
      <c r="O12241">
        <f>IF(N12241="","",'Master Barang'!B35)</f>
        <v>0</v>
      </c>
      <c r="P12241">
        <f>IF(OR(M12241="",N12241=""),"",SUMIFS('Barang Keluar'!$E:$E,'Barang Keluar'!$A:$A,M12241,'Barang Keluar'!$C:$C,N12241))</f>
        <v>0</v>
      </c>
    </row>
    <row r="12242" spans="13:16">
      <c r="M12242" s="49">
        <f>IF($A$4+122&gt;$B$4,"",$A$4+122)</f>
        <v>46145</v>
      </c>
      <c r="N12242">
        <f>IF(M12242="","",'Master Barang'!A36)</f>
        <v>0</v>
      </c>
      <c r="O12242">
        <f>IF(N12242="","",'Master Barang'!B36)</f>
        <v>0</v>
      </c>
      <c r="P12242">
        <f>IF(OR(M12242="",N12242=""),"",SUMIFS('Barang Keluar'!$E:$E,'Barang Keluar'!$A:$A,M12242,'Barang Keluar'!$C:$C,N12242))</f>
        <v>0</v>
      </c>
    </row>
    <row r="12243" spans="13:16">
      <c r="M12243" s="49">
        <f>IF($A$4+122&gt;$B$4,"",$A$4+122)</f>
        <v>46145</v>
      </c>
      <c r="N12243">
        <f>IF(M12243="","",'Master Barang'!A37)</f>
        <v>0</v>
      </c>
      <c r="O12243">
        <f>IF(N12243="","",'Master Barang'!B37)</f>
        <v>0</v>
      </c>
      <c r="P12243">
        <f>IF(OR(M12243="",N12243=""),"",SUMIFS('Barang Keluar'!$E:$E,'Barang Keluar'!$A:$A,M12243,'Barang Keluar'!$C:$C,N12243))</f>
        <v>0</v>
      </c>
    </row>
    <row r="12244" spans="13:16">
      <c r="M12244" s="49">
        <f>IF($A$4+122&gt;$B$4,"",$A$4+122)</f>
        <v>46145</v>
      </c>
      <c r="N12244">
        <f>IF(M12244="","",'Master Barang'!A38)</f>
        <v>0</v>
      </c>
      <c r="O12244">
        <f>IF(N12244="","",'Master Barang'!B38)</f>
        <v>0</v>
      </c>
      <c r="P12244">
        <f>IF(OR(M12244="",N12244=""),"",SUMIFS('Barang Keluar'!$E:$E,'Barang Keluar'!$A:$A,M12244,'Barang Keluar'!$C:$C,N12244))</f>
        <v>0</v>
      </c>
    </row>
    <row r="12245" spans="13:16">
      <c r="M12245" s="49">
        <f>IF($A$4+122&gt;$B$4,"",$A$4+122)</f>
        <v>46145</v>
      </c>
      <c r="N12245">
        <f>IF(M12245="","",'Master Barang'!A39)</f>
        <v>0</v>
      </c>
      <c r="O12245">
        <f>IF(N12245="","",'Master Barang'!B39)</f>
        <v>0</v>
      </c>
      <c r="P12245">
        <f>IF(OR(M12245="",N12245=""),"",SUMIFS('Barang Keluar'!$E:$E,'Barang Keluar'!$A:$A,M12245,'Barang Keluar'!$C:$C,N12245))</f>
        <v>0</v>
      </c>
    </row>
    <row r="12246" spans="13:16">
      <c r="M12246" s="49">
        <f>IF($A$4+122&gt;$B$4,"",$A$4+122)</f>
        <v>46145</v>
      </c>
      <c r="N12246">
        <f>IF(M12246="","",'Master Barang'!A40)</f>
        <v>0</v>
      </c>
      <c r="O12246">
        <f>IF(N12246="","",'Master Barang'!B40)</f>
        <v>0</v>
      </c>
      <c r="P12246">
        <f>IF(OR(M12246="",N12246=""),"",SUMIFS('Barang Keluar'!$E:$E,'Barang Keluar'!$A:$A,M12246,'Barang Keluar'!$C:$C,N12246))</f>
        <v>0</v>
      </c>
    </row>
    <row r="12247" spans="13:16">
      <c r="M12247" s="49">
        <f>IF($A$4+122&gt;$B$4,"",$A$4+122)</f>
        <v>46145</v>
      </c>
      <c r="N12247">
        <f>IF(M12247="","",'Master Barang'!A41)</f>
        <v>0</v>
      </c>
      <c r="O12247">
        <f>IF(N12247="","",'Master Barang'!B41)</f>
        <v>0</v>
      </c>
      <c r="P12247">
        <f>IF(OR(M12247="",N12247=""),"",SUMIFS('Barang Keluar'!$E:$E,'Barang Keluar'!$A:$A,M12247,'Barang Keluar'!$C:$C,N12247))</f>
        <v>0</v>
      </c>
    </row>
    <row r="12248" spans="13:16">
      <c r="M12248" s="49">
        <f>IF($A$4+122&gt;$B$4,"",$A$4+122)</f>
        <v>46145</v>
      </c>
      <c r="N12248">
        <f>IF(M12248="","",'Master Barang'!A42)</f>
        <v>0</v>
      </c>
      <c r="O12248">
        <f>IF(N12248="","",'Master Barang'!B42)</f>
        <v>0</v>
      </c>
      <c r="P12248">
        <f>IF(OR(M12248="",N12248=""),"",SUMIFS('Barang Keluar'!$E:$E,'Barang Keluar'!$A:$A,M12248,'Barang Keluar'!$C:$C,N12248))</f>
        <v>0</v>
      </c>
    </row>
    <row r="12249" spans="13:16">
      <c r="M12249" s="49">
        <f>IF($A$4+122&gt;$B$4,"",$A$4+122)</f>
        <v>46145</v>
      </c>
      <c r="N12249">
        <f>IF(M12249="","",'Master Barang'!A43)</f>
        <v>0</v>
      </c>
      <c r="O12249">
        <f>IF(N12249="","",'Master Barang'!B43)</f>
        <v>0</v>
      </c>
      <c r="P12249">
        <f>IF(OR(M12249="",N12249=""),"",SUMIFS('Barang Keluar'!$E:$E,'Barang Keluar'!$A:$A,M12249,'Barang Keluar'!$C:$C,N12249))</f>
        <v>0</v>
      </c>
    </row>
    <row r="12250" spans="13:16">
      <c r="M12250" s="49">
        <f>IF($A$4+122&gt;$B$4,"",$A$4+122)</f>
        <v>46145</v>
      </c>
      <c r="N12250">
        <f>IF(M12250="","",'Master Barang'!A44)</f>
        <v>0</v>
      </c>
      <c r="O12250">
        <f>IF(N12250="","",'Master Barang'!B44)</f>
        <v>0</v>
      </c>
      <c r="P12250">
        <f>IF(OR(M12250="",N12250=""),"",SUMIFS('Barang Keluar'!$E:$E,'Barang Keluar'!$A:$A,M12250,'Barang Keluar'!$C:$C,N12250))</f>
        <v>0</v>
      </c>
    </row>
    <row r="12251" spans="13:16">
      <c r="M12251" s="49">
        <f>IF($A$4+122&gt;$B$4,"",$A$4+122)</f>
        <v>46145</v>
      </c>
      <c r="N12251">
        <f>IF(M12251="","",'Master Barang'!A45)</f>
        <v>0</v>
      </c>
      <c r="O12251">
        <f>IF(N12251="","",'Master Barang'!B45)</f>
        <v>0</v>
      </c>
      <c r="P12251">
        <f>IF(OR(M12251="",N12251=""),"",SUMIFS('Barang Keluar'!$E:$E,'Barang Keluar'!$A:$A,M12251,'Barang Keluar'!$C:$C,N12251))</f>
        <v>0</v>
      </c>
    </row>
    <row r="12252" spans="13:16">
      <c r="M12252" s="49">
        <f>IF($A$4+122&gt;$B$4,"",$A$4+122)</f>
        <v>46145</v>
      </c>
      <c r="N12252">
        <f>IF(M12252="","",'Master Barang'!A46)</f>
        <v>0</v>
      </c>
      <c r="O12252">
        <f>IF(N12252="","",'Master Barang'!B46)</f>
        <v>0</v>
      </c>
      <c r="P12252">
        <f>IF(OR(M12252="",N12252=""),"",SUMIFS('Barang Keluar'!$E:$E,'Barang Keluar'!$A:$A,M12252,'Barang Keluar'!$C:$C,N12252))</f>
        <v>0</v>
      </c>
    </row>
    <row r="12253" spans="13:16">
      <c r="M12253" s="49">
        <f>IF($A$4+122&gt;$B$4,"",$A$4+122)</f>
        <v>46145</v>
      </c>
      <c r="N12253">
        <f>IF(M12253="","",'Master Barang'!A47)</f>
        <v>0</v>
      </c>
      <c r="O12253">
        <f>IF(N12253="","",'Master Barang'!B47)</f>
        <v>0</v>
      </c>
      <c r="P12253">
        <f>IF(OR(M12253="",N12253=""),"",SUMIFS('Barang Keluar'!$E:$E,'Barang Keluar'!$A:$A,M12253,'Barang Keluar'!$C:$C,N12253))</f>
        <v>0</v>
      </c>
    </row>
    <row r="12254" spans="13:16">
      <c r="M12254" s="49">
        <f>IF($A$4+122&gt;$B$4,"",$A$4+122)</f>
        <v>46145</v>
      </c>
      <c r="N12254">
        <f>IF(M12254="","",'Master Barang'!A48)</f>
        <v>0</v>
      </c>
      <c r="O12254">
        <f>IF(N12254="","",'Master Barang'!B48)</f>
        <v>0</v>
      </c>
      <c r="P12254">
        <f>IF(OR(M12254="",N12254=""),"",SUMIFS('Barang Keluar'!$E:$E,'Barang Keluar'!$A:$A,M12254,'Barang Keluar'!$C:$C,N12254))</f>
        <v>0</v>
      </c>
    </row>
    <row r="12255" spans="13:16">
      <c r="M12255" s="49">
        <f>IF($A$4+122&gt;$B$4,"",$A$4+122)</f>
        <v>46145</v>
      </c>
      <c r="N12255">
        <f>IF(M12255="","",'Master Barang'!A49)</f>
        <v>0</v>
      </c>
      <c r="O12255">
        <f>IF(N12255="","",'Master Barang'!B49)</f>
        <v>0</v>
      </c>
      <c r="P12255">
        <f>IF(OR(M12255="",N12255=""),"",SUMIFS('Barang Keluar'!$E:$E,'Barang Keluar'!$A:$A,M12255,'Barang Keluar'!$C:$C,N12255))</f>
        <v>0</v>
      </c>
    </row>
    <row r="12256" spans="13:16">
      <c r="M12256" s="49">
        <f>IF($A$4+122&gt;$B$4,"",$A$4+122)</f>
        <v>46145</v>
      </c>
      <c r="N12256">
        <f>IF(M12256="","",'Master Barang'!A50)</f>
        <v>0</v>
      </c>
      <c r="O12256">
        <f>IF(N12256="","",'Master Barang'!B50)</f>
        <v>0</v>
      </c>
      <c r="P12256">
        <f>IF(OR(M12256="",N12256=""),"",SUMIFS('Barang Keluar'!$E:$E,'Barang Keluar'!$A:$A,M12256,'Barang Keluar'!$C:$C,N12256))</f>
        <v>0</v>
      </c>
    </row>
    <row r="12257" spans="13:16">
      <c r="M12257" s="49">
        <f>IF($A$4+122&gt;$B$4,"",$A$4+122)</f>
        <v>46145</v>
      </c>
      <c r="N12257">
        <f>IF(M12257="","",'Master Barang'!A51)</f>
        <v>0</v>
      </c>
      <c r="O12257">
        <f>IF(N12257="","",'Master Barang'!B51)</f>
        <v>0</v>
      </c>
      <c r="P12257">
        <f>IF(OR(M12257="",N12257=""),"",SUMIFS('Barang Keluar'!$E:$E,'Barang Keluar'!$A:$A,M12257,'Barang Keluar'!$C:$C,N12257))</f>
        <v>0</v>
      </c>
    </row>
    <row r="12258" spans="13:16">
      <c r="M12258" s="49">
        <f>IF($A$4+122&gt;$B$4,"",$A$4+122)</f>
        <v>46145</v>
      </c>
      <c r="N12258">
        <f>IF(M12258="","",'Master Barang'!A52)</f>
        <v>0</v>
      </c>
      <c r="O12258">
        <f>IF(N12258="","",'Master Barang'!B52)</f>
        <v>0</v>
      </c>
      <c r="P12258">
        <f>IF(OR(M12258="",N12258=""),"",SUMIFS('Barang Keluar'!$E:$E,'Barang Keluar'!$A:$A,M12258,'Barang Keluar'!$C:$C,N12258))</f>
        <v>0</v>
      </c>
    </row>
    <row r="12259" spans="13:16">
      <c r="M12259" s="49">
        <f>IF($A$4+122&gt;$B$4,"",$A$4+122)</f>
        <v>46145</v>
      </c>
      <c r="N12259">
        <f>IF(M12259="","",'Master Barang'!A53)</f>
        <v>0</v>
      </c>
      <c r="O12259">
        <f>IF(N12259="","",'Master Barang'!B53)</f>
        <v>0</v>
      </c>
      <c r="P12259">
        <f>IF(OR(M12259="",N12259=""),"",SUMIFS('Barang Keluar'!$E:$E,'Barang Keluar'!$A:$A,M12259,'Barang Keluar'!$C:$C,N12259))</f>
        <v>0</v>
      </c>
    </row>
    <row r="12260" spans="13:16">
      <c r="M12260" s="49">
        <f>IF($A$4+122&gt;$B$4,"",$A$4+122)</f>
        <v>46145</v>
      </c>
      <c r="N12260">
        <f>IF(M12260="","",'Master Barang'!A54)</f>
        <v>0</v>
      </c>
      <c r="O12260">
        <f>IF(N12260="","",'Master Barang'!B54)</f>
        <v>0</v>
      </c>
      <c r="P12260">
        <f>IF(OR(M12260="",N12260=""),"",SUMIFS('Barang Keluar'!$E:$E,'Barang Keluar'!$A:$A,M12260,'Barang Keluar'!$C:$C,N12260))</f>
        <v>0</v>
      </c>
    </row>
    <row r="12261" spans="13:16">
      <c r="M12261" s="49">
        <f>IF($A$4+122&gt;$B$4,"",$A$4+122)</f>
        <v>46145</v>
      </c>
      <c r="N12261">
        <f>IF(M12261="","",'Master Barang'!A55)</f>
        <v>0</v>
      </c>
      <c r="O12261">
        <f>IF(N12261="","",'Master Barang'!B55)</f>
        <v>0</v>
      </c>
      <c r="P12261">
        <f>IF(OR(M12261="",N12261=""),"",SUMIFS('Barang Keluar'!$E:$E,'Barang Keluar'!$A:$A,M12261,'Barang Keluar'!$C:$C,N12261))</f>
        <v>0</v>
      </c>
    </row>
    <row r="12262" spans="13:16">
      <c r="M12262" s="49">
        <f>IF($A$4+122&gt;$B$4,"",$A$4+122)</f>
        <v>46145</v>
      </c>
      <c r="N12262">
        <f>IF(M12262="","",'Master Barang'!A56)</f>
        <v>0</v>
      </c>
      <c r="O12262">
        <f>IF(N12262="","",'Master Barang'!B56)</f>
        <v>0</v>
      </c>
      <c r="P12262">
        <f>IF(OR(M12262="",N12262=""),"",SUMIFS('Barang Keluar'!$E:$E,'Barang Keluar'!$A:$A,M12262,'Barang Keluar'!$C:$C,N12262))</f>
        <v>0</v>
      </c>
    </row>
    <row r="12263" spans="13:16">
      <c r="M12263" s="49">
        <f>IF($A$4+122&gt;$B$4,"",$A$4+122)</f>
        <v>46145</v>
      </c>
      <c r="N12263">
        <f>IF(M12263="","",'Master Barang'!A57)</f>
        <v>0</v>
      </c>
      <c r="O12263">
        <f>IF(N12263="","",'Master Barang'!B57)</f>
        <v>0</v>
      </c>
      <c r="P12263">
        <f>IF(OR(M12263="",N12263=""),"",SUMIFS('Barang Keluar'!$E:$E,'Barang Keluar'!$A:$A,M12263,'Barang Keluar'!$C:$C,N12263))</f>
        <v>0</v>
      </c>
    </row>
    <row r="12264" spans="13:16">
      <c r="M12264" s="49">
        <f>IF($A$4+122&gt;$B$4,"",$A$4+122)</f>
        <v>46145</v>
      </c>
      <c r="N12264">
        <f>IF(M12264="","",'Master Barang'!A58)</f>
        <v>0</v>
      </c>
      <c r="O12264">
        <f>IF(N12264="","",'Master Barang'!B58)</f>
        <v>0</v>
      </c>
      <c r="P12264">
        <f>IF(OR(M12264="",N12264=""),"",SUMIFS('Barang Keluar'!$E:$E,'Barang Keluar'!$A:$A,M12264,'Barang Keluar'!$C:$C,N12264))</f>
        <v>0</v>
      </c>
    </row>
    <row r="12265" spans="13:16">
      <c r="M12265" s="49">
        <f>IF($A$4+122&gt;$B$4,"",$A$4+122)</f>
        <v>46145</v>
      </c>
      <c r="N12265">
        <f>IF(M12265="","",'Master Barang'!A59)</f>
        <v>0</v>
      </c>
      <c r="O12265">
        <f>IF(N12265="","",'Master Barang'!B59)</f>
        <v>0</v>
      </c>
      <c r="P12265">
        <f>IF(OR(M12265="",N12265=""),"",SUMIFS('Barang Keluar'!$E:$E,'Barang Keluar'!$A:$A,M12265,'Barang Keluar'!$C:$C,N12265))</f>
        <v>0</v>
      </c>
    </row>
    <row r="12266" spans="13:16">
      <c r="M12266" s="49">
        <f>IF($A$4+122&gt;$B$4,"",$A$4+122)</f>
        <v>46145</v>
      </c>
      <c r="N12266">
        <f>IF(M12266="","",'Master Barang'!A60)</f>
        <v>0</v>
      </c>
      <c r="O12266">
        <f>IF(N12266="","",'Master Barang'!B60)</f>
        <v>0</v>
      </c>
      <c r="P12266">
        <f>IF(OR(M12266="",N12266=""),"",SUMIFS('Barang Keluar'!$E:$E,'Barang Keluar'!$A:$A,M12266,'Barang Keluar'!$C:$C,N12266))</f>
        <v>0</v>
      </c>
    </row>
    <row r="12267" spans="13:16">
      <c r="M12267" s="49">
        <f>IF($A$4+122&gt;$B$4,"",$A$4+122)</f>
        <v>46145</v>
      </c>
      <c r="N12267">
        <f>IF(M12267="","",'Master Barang'!A61)</f>
        <v>0</v>
      </c>
      <c r="O12267">
        <f>IF(N12267="","",'Master Barang'!B61)</f>
        <v>0</v>
      </c>
      <c r="P12267">
        <f>IF(OR(M12267="",N12267=""),"",SUMIFS('Barang Keluar'!$E:$E,'Barang Keluar'!$A:$A,M12267,'Barang Keluar'!$C:$C,N12267))</f>
        <v>0</v>
      </c>
    </row>
    <row r="12268" spans="13:16">
      <c r="M12268" s="49">
        <f>IF($A$4+122&gt;$B$4,"",$A$4+122)</f>
        <v>46145</v>
      </c>
      <c r="N12268">
        <f>IF(M12268="","",'Master Barang'!A62)</f>
        <v>0</v>
      </c>
      <c r="O12268">
        <f>IF(N12268="","",'Master Barang'!B62)</f>
        <v>0</v>
      </c>
      <c r="P12268">
        <f>IF(OR(M12268="",N12268=""),"",SUMIFS('Barang Keluar'!$E:$E,'Barang Keluar'!$A:$A,M12268,'Barang Keluar'!$C:$C,N12268))</f>
        <v>0</v>
      </c>
    </row>
    <row r="12269" spans="13:16">
      <c r="M12269" s="49">
        <f>IF($A$4+122&gt;$B$4,"",$A$4+122)</f>
        <v>46145</v>
      </c>
      <c r="N12269">
        <f>IF(M12269="","",'Master Barang'!A63)</f>
        <v>0</v>
      </c>
      <c r="O12269">
        <f>IF(N12269="","",'Master Barang'!B63)</f>
        <v>0</v>
      </c>
      <c r="P12269">
        <f>IF(OR(M12269="",N12269=""),"",SUMIFS('Barang Keluar'!$E:$E,'Barang Keluar'!$A:$A,M12269,'Barang Keluar'!$C:$C,N12269))</f>
        <v>0</v>
      </c>
    </row>
    <row r="12270" spans="13:16">
      <c r="M12270" s="49">
        <f>IF($A$4+122&gt;$B$4,"",$A$4+122)</f>
        <v>46145</v>
      </c>
      <c r="N12270">
        <f>IF(M12270="","",'Master Barang'!A64)</f>
        <v>0</v>
      </c>
      <c r="O12270">
        <f>IF(N12270="","",'Master Barang'!B64)</f>
        <v>0</v>
      </c>
      <c r="P12270">
        <f>IF(OR(M12270="",N12270=""),"",SUMIFS('Barang Keluar'!$E:$E,'Barang Keluar'!$A:$A,M12270,'Barang Keluar'!$C:$C,N12270))</f>
        <v>0</v>
      </c>
    </row>
    <row r="12271" spans="13:16">
      <c r="M12271" s="49">
        <f>IF($A$4+122&gt;$B$4,"",$A$4+122)</f>
        <v>46145</v>
      </c>
      <c r="N12271">
        <f>IF(M12271="","",'Master Barang'!A65)</f>
        <v>0</v>
      </c>
      <c r="O12271">
        <f>IF(N12271="","",'Master Barang'!B65)</f>
        <v>0</v>
      </c>
      <c r="P12271">
        <f>IF(OR(M12271="",N12271=""),"",SUMIFS('Barang Keluar'!$E:$E,'Barang Keluar'!$A:$A,M12271,'Barang Keluar'!$C:$C,N12271))</f>
        <v>0</v>
      </c>
    </row>
    <row r="12272" spans="13:16">
      <c r="M12272" s="49">
        <f>IF($A$4+122&gt;$B$4,"",$A$4+122)</f>
        <v>46145</v>
      </c>
      <c r="N12272">
        <f>IF(M12272="","",'Master Barang'!A66)</f>
        <v>0</v>
      </c>
      <c r="O12272">
        <f>IF(N12272="","",'Master Barang'!B66)</f>
        <v>0</v>
      </c>
      <c r="P12272">
        <f>IF(OR(M12272="",N12272=""),"",SUMIFS('Barang Keluar'!$E:$E,'Barang Keluar'!$A:$A,M12272,'Barang Keluar'!$C:$C,N12272))</f>
        <v>0</v>
      </c>
    </row>
    <row r="12273" spans="13:16">
      <c r="M12273" s="49">
        <f>IF($A$4+122&gt;$B$4,"",$A$4+122)</f>
        <v>46145</v>
      </c>
      <c r="N12273">
        <f>IF(M12273="","",'Master Barang'!A67)</f>
        <v>0</v>
      </c>
      <c r="O12273">
        <f>IF(N12273="","",'Master Barang'!B67)</f>
        <v>0</v>
      </c>
      <c r="P12273">
        <f>IF(OR(M12273="",N12273=""),"",SUMIFS('Barang Keluar'!$E:$E,'Barang Keluar'!$A:$A,M12273,'Barang Keluar'!$C:$C,N12273))</f>
        <v>0</v>
      </c>
    </row>
    <row r="12274" spans="13:16">
      <c r="M12274" s="49">
        <f>IF($A$4+122&gt;$B$4,"",$A$4+122)</f>
        <v>46145</v>
      </c>
      <c r="N12274">
        <f>IF(M12274="","",'Master Barang'!A68)</f>
        <v>0</v>
      </c>
      <c r="O12274">
        <f>IF(N12274="","",'Master Barang'!B68)</f>
        <v>0</v>
      </c>
      <c r="P12274">
        <f>IF(OR(M12274="",N12274=""),"",SUMIFS('Barang Keluar'!$E:$E,'Barang Keluar'!$A:$A,M12274,'Barang Keluar'!$C:$C,N12274))</f>
        <v>0</v>
      </c>
    </row>
    <row r="12275" spans="13:16">
      <c r="M12275" s="49">
        <f>IF($A$4+122&gt;$B$4,"",$A$4+122)</f>
        <v>46145</v>
      </c>
      <c r="N12275">
        <f>IF(M12275="","",'Master Barang'!A69)</f>
        <v>0</v>
      </c>
      <c r="O12275">
        <f>IF(N12275="","",'Master Barang'!B69)</f>
        <v>0</v>
      </c>
      <c r="P12275">
        <f>IF(OR(M12275="",N12275=""),"",SUMIFS('Barang Keluar'!$E:$E,'Barang Keluar'!$A:$A,M12275,'Barang Keluar'!$C:$C,N12275))</f>
        <v>0</v>
      </c>
    </row>
    <row r="12276" spans="13:16">
      <c r="M12276" s="49">
        <f>IF($A$4+122&gt;$B$4,"",$A$4+122)</f>
        <v>46145</v>
      </c>
      <c r="N12276">
        <f>IF(M12276="","",'Master Barang'!A70)</f>
        <v>0</v>
      </c>
      <c r="O12276">
        <f>IF(N12276="","",'Master Barang'!B70)</f>
        <v>0</v>
      </c>
      <c r="P12276">
        <f>IF(OR(M12276="",N12276=""),"",SUMIFS('Barang Keluar'!$E:$E,'Barang Keluar'!$A:$A,M12276,'Barang Keluar'!$C:$C,N12276))</f>
        <v>0</v>
      </c>
    </row>
    <row r="12277" spans="13:16">
      <c r="M12277" s="49">
        <f>IF($A$4+122&gt;$B$4,"",$A$4+122)</f>
        <v>46145</v>
      </c>
      <c r="N12277">
        <f>IF(M12277="","",'Master Barang'!A71)</f>
        <v>0</v>
      </c>
      <c r="O12277">
        <f>IF(N12277="","",'Master Barang'!B71)</f>
        <v>0</v>
      </c>
      <c r="P12277">
        <f>IF(OR(M12277="",N12277=""),"",SUMIFS('Barang Keluar'!$E:$E,'Barang Keluar'!$A:$A,M12277,'Barang Keluar'!$C:$C,N12277))</f>
        <v>0</v>
      </c>
    </row>
    <row r="12278" spans="13:16">
      <c r="M12278" s="49">
        <f>IF($A$4+122&gt;$B$4,"",$A$4+122)</f>
        <v>46145</v>
      </c>
      <c r="N12278">
        <f>IF(M12278="","",'Master Barang'!A72)</f>
        <v>0</v>
      </c>
      <c r="O12278">
        <f>IF(N12278="","",'Master Barang'!B72)</f>
        <v>0</v>
      </c>
      <c r="P12278">
        <f>IF(OR(M12278="",N12278=""),"",SUMIFS('Barang Keluar'!$E:$E,'Barang Keluar'!$A:$A,M12278,'Barang Keluar'!$C:$C,N12278))</f>
        <v>0</v>
      </c>
    </row>
    <row r="12279" spans="13:16">
      <c r="M12279" s="49">
        <f>IF($A$4+122&gt;$B$4,"",$A$4+122)</f>
        <v>46145</v>
      </c>
      <c r="N12279">
        <f>IF(M12279="","",'Master Barang'!A73)</f>
        <v>0</v>
      </c>
      <c r="O12279">
        <f>IF(N12279="","",'Master Barang'!B73)</f>
        <v>0</v>
      </c>
      <c r="P12279">
        <f>IF(OR(M12279="",N12279=""),"",SUMIFS('Barang Keluar'!$E:$E,'Barang Keluar'!$A:$A,M12279,'Barang Keluar'!$C:$C,N12279))</f>
        <v>0</v>
      </c>
    </row>
    <row r="12280" spans="13:16">
      <c r="M12280" s="49">
        <f>IF($A$4+122&gt;$B$4,"",$A$4+122)</f>
        <v>46145</v>
      </c>
      <c r="N12280">
        <f>IF(M12280="","",'Master Barang'!A74)</f>
        <v>0</v>
      </c>
      <c r="O12280">
        <f>IF(N12280="","",'Master Barang'!B74)</f>
        <v>0</v>
      </c>
      <c r="P12280">
        <f>IF(OR(M12280="",N12280=""),"",SUMIFS('Barang Keluar'!$E:$E,'Barang Keluar'!$A:$A,M12280,'Barang Keluar'!$C:$C,N12280))</f>
        <v>0</v>
      </c>
    </row>
    <row r="12281" spans="13:16">
      <c r="M12281" s="49">
        <f>IF($A$4+122&gt;$B$4,"",$A$4+122)</f>
        <v>46145</v>
      </c>
      <c r="N12281">
        <f>IF(M12281="","",'Master Barang'!A75)</f>
        <v>0</v>
      </c>
      <c r="O12281">
        <f>IF(N12281="","",'Master Barang'!B75)</f>
        <v>0</v>
      </c>
      <c r="P12281">
        <f>IF(OR(M12281="",N12281=""),"",SUMIFS('Barang Keluar'!$E:$E,'Barang Keluar'!$A:$A,M12281,'Barang Keluar'!$C:$C,N12281))</f>
        <v>0</v>
      </c>
    </row>
    <row r="12282" spans="13:16">
      <c r="M12282" s="49">
        <f>IF($A$4+122&gt;$B$4,"",$A$4+122)</f>
        <v>46145</v>
      </c>
      <c r="N12282">
        <f>IF(M12282="","",'Master Barang'!A76)</f>
        <v>0</v>
      </c>
      <c r="O12282">
        <f>IF(N12282="","",'Master Barang'!B76)</f>
        <v>0</v>
      </c>
      <c r="P12282">
        <f>IF(OR(M12282="",N12282=""),"",SUMIFS('Barang Keluar'!$E:$E,'Barang Keluar'!$A:$A,M12282,'Barang Keluar'!$C:$C,N12282))</f>
        <v>0</v>
      </c>
    </row>
    <row r="12283" spans="13:16">
      <c r="M12283" s="49">
        <f>IF($A$4+122&gt;$B$4,"",$A$4+122)</f>
        <v>46145</v>
      </c>
      <c r="N12283">
        <f>IF(M12283="","",'Master Barang'!A77)</f>
        <v>0</v>
      </c>
      <c r="O12283">
        <f>IF(N12283="","",'Master Barang'!B77)</f>
        <v>0</v>
      </c>
      <c r="P12283">
        <f>IF(OR(M12283="",N12283=""),"",SUMIFS('Barang Keluar'!$E:$E,'Barang Keluar'!$A:$A,M12283,'Barang Keluar'!$C:$C,N12283))</f>
        <v>0</v>
      </c>
    </row>
    <row r="12284" spans="13:16">
      <c r="M12284" s="49">
        <f>IF($A$4+122&gt;$B$4,"",$A$4+122)</f>
        <v>46145</v>
      </c>
      <c r="N12284">
        <f>IF(M12284="","",'Master Barang'!A78)</f>
        <v>0</v>
      </c>
      <c r="O12284">
        <f>IF(N12284="","",'Master Barang'!B78)</f>
        <v>0</v>
      </c>
      <c r="P12284">
        <f>IF(OR(M12284="",N12284=""),"",SUMIFS('Barang Keluar'!$E:$E,'Barang Keluar'!$A:$A,M12284,'Barang Keluar'!$C:$C,N12284))</f>
        <v>0</v>
      </c>
    </row>
    <row r="12285" spans="13:16">
      <c r="M12285" s="49">
        <f>IF($A$4+122&gt;$B$4,"",$A$4+122)</f>
        <v>46145</v>
      </c>
      <c r="N12285">
        <f>IF(M12285="","",'Master Barang'!A79)</f>
        <v>0</v>
      </c>
      <c r="O12285">
        <f>IF(N12285="","",'Master Barang'!B79)</f>
        <v>0</v>
      </c>
      <c r="P12285">
        <f>IF(OR(M12285="",N12285=""),"",SUMIFS('Barang Keluar'!$E:$E,'Barang Keluar'!$A:$A,M12285,'Barang Keluar'!$C:$C,N12285))</f>
        <v>0</v>
      </c>
    </row>
    <row r="12286" spans="13:16">
      <c r="M12286" s="49">
        <f>IF($A$4+122&gt;$B$4,"",$A$4+122)</f>
        <v>46145</v>
      </c>
      <c r="N12286">
        <f>IF(M12286="","",'Master Barang'!A80)</f>
        <v>0</v>
      </c>
      <c r="O12286">
        <f>IF(N12286="","",'Master Barang'!B80)</f>
        <v>0</v>
      </c>
      <c r="P12286">
        <f>IF(OR(M12286="",N12286=""),"",SUMIFS('Barang Keluar'!$E:$E,'Barang Keluar'!$A:$A,M12286,'Barang Keluar'!$C:$C,N12286))</f>
        <v>0</v>
      </c>
    </row>
    <row r="12287" spans="13:16">
      <c r="M12287" s="49">
        <f>IF($A$4+122&gt;$B$4,"",$A$4+122)</f>
        <v>46145</v>
      </c>
      <c r="N12287">
        <f>IF(M12287="","",'Master Barang'!A81)</f>
        <v>0</v>
      </c>
      <c r="O12287">
        <f>IF(N12287="","",'Master Barang'!B81)</f>
        <v>0</v>
      </c>
      <c r="P12287">
        <f>IF(OR(M12287="",N12287=""),"",SUMIFS('Barang Keluar'!$E:$E,'Barang Keluar'!$A:$A,M12287,'Barang Keluar'!$C:$C,N12287))</f>
        <v>0</v>
      </c>
    </row>
    <row r="12288" spans="13:16">
      <c r="M12288" s="49">
        <f>IF($A$4+122&gt;$B$4,"",$A$4+122)</f>
        <v>46145</v>
      </c>
      <c r="N12288">
        <f>IF(M12288="","",'Master Barang'!A82)</f>
        <v>0</v>
      </c>
      <c r="O12288">
        <f>IF(N12288="","",'Master Barang'!B82)</f>
        <v>0</v>
      </c>
      <c r="P12288">
        <f>IF(OR(M12288="",N12288=""),"",SUMIFS('Barang Keluar'!$E:$E,'Barang Keluar'!$A:$A,M12288,'Barang Keluar'!$C:$C,N12288))</f>
        <v>0</v>
      </c>
    </row>
    <row r="12289" spans="13:16">
      <c r="M12289" s="49">
        <f>IF($A$4+122&gt;$B$4,"",$A$4+122)</f>
        <v>46145</v>
      </c>
      <c r="N12289">
        <f>IF(M12289="","",'Master Barang'!A83)</f>
        <v>0</v>
      </c>
      <c r="O12289">
        <f>IF(N12289="","",'Master Barang'!B83)</f>
        <v>0</v>
      </c>
      <c r="P12289">
        <f>IF(OR(M12289="",N12289=""),"",SUMIFS('Barang Keluar'!$E:$E,'Barang Keluar'!$A:$A,M12289,'Barang Keluar'!$C:$C,N12289))</f>
        <v>0</v>
      </c>
    </row>
    <row r="12290" spans="13:16">
      <c r="M12290" s="49">
        <f>IF($A$4+122&gt;$B$4,"",$A$4+122)</f>
        <v>46145</v>
      </c>
      <c r="N12290">
        <f>IF(M12290="","",'Master Barang'!A84)</f>
        <v>0</v>
      </c>
      <c r="O12290">
        <f>IF(N12290="","",'Master Barang'!B84)</f>
        <v>0</v>
      </c>
      <c r="P12290">
        <f>IF(OR(M12290="",N12290=""),"",SUMIFS('Barang Keluar'!$E:$E,'Barang Keluar'!$A:$A,M12290,'Barang Keluar'!$C:$C,N12290))</f>
        <v>0</v>
      </c>
    </row>
    <row r="12291" spans="13:16">
      <c r="M12291" s="49">
        <f>IF($A$4+122&gt;$B$4,"",$A$4+122)</f>
        <v>46145</v>
      </c>
      <c r="N12291">
        <f>IF(M12291="","",'Master Barang'!A85)</f>
        <v>0</v>
      </c>
      <c r="O12291">
        <f>IF(N12291="","",'Master Barang'!B85)</f>
        <v>0</v>
      </c>
      <c r="P12291">
        <f>IF(OR(M12291="",N12291=""),"",SUMIFS('Barang Keluar'!$E:$E,'Barang Keluar'!$A:$A,M12291,'Barang Keluar'!$C:$C,N12291))</f>
        <v>0</v>
      </c>
    </row>
    <row r="12292" spans="13:16">
      <c r="M12292" s="49">
        <f>IF($A$4+122&gt;$B$4,"",$A$4+122)</f>
        <v>46145</v>
      </c>
      <c r="N12292">
        <f>IF(M12292="","",'Master Barang'!A86)</f>
        <v>0</v>
      </c>
      <c r="O12292">
        <f>IF(N12292="","",'Master Barang'!B86)</f>
        <v>0</v>
      </c>
      <c r="P12292">
        <f>IF(OR(M12292="",N12292=""),"",SUMIFS('Barang Keluar'!$E:$E,'Barang Keluar'!$A:$A,M12292,'Barang Keluar'!$C:$C,N12292))</f>
        <v>0</v>
      </c>
    </row>
    <row r="12293" spans="13:16">
      <c r="M12293" s="49">
        <f>IF($A$4+122&gt;$B$4,"",$A$4+122)</f>
        <v>46145</v>
      </c>
      <c r="N12293">
        <f>IF(M12293="","",'Master Barang'!A87)</f>
        <v>0</v>
      </c>
      <c r="O12293">
        <f>IF(N12293="","",'Master Barang'!B87)</f>
        <v>0</v>
      </c>
      <c r="P12293">
        <f>IF(OR(M12293="",N12293=""),"",SUMIFS('Barang Keluar'!$E:$E,'Barang Keluar'!$A:$A,M12293,'Barang Keluar'!$C:$C,N12293))</f>
        <v>0</v>
      </c>
    </row>
    <row r="12294" spans="13:16">
      <c r="M12294" s="49">
        <f>IF($A$4+122&gt;$B$4,"",$A$4+122)</f>
        <v>46145</v>
      </c>
      <c r="N12294">
        <f>IF(M12294="","",'Master Barang'!A88)</f>
        <v>0</v>
      </c>
      <c r="O12294">
        <f>IF(N12294="","",'Master Barang'!B88)</f>
        <v>0</v>
      </c>
      <c r="P12294">
        <f>IF(OR(M12294="",N12294=""),"",SUMIFS('Barang Keluar'!$E:$E,'Barang Keluar'!$A:$A,M12294,'Barang Keluar'!$C:$C,N12294))</f>
        <v>0</v>
      </c>
    </row>
    <row r="12295" spans="13:16">
      <c r="M12295" s="49">
        <f>IF($A$4+122&gt;$B$4,"",$A$4+122)</f>
        <v>46145</v>
      </c>
      <c r="N12295">
        <f>IF(M12295="","",'Master Barang'!A89)</f>
        <v>0</v>
      </c>
      <c r="O12295">
        <f>IF(N12295="","",'Master Barang'!B89)</f>
        <v>0</v>
      </c>
      <c r="P12295">
        <f>IF(OR(M12295="",N12295=""),"",SUMIFS('Barang Keluar'!$E:$E,'Barang Keluar'!$A:$A,M12295,'Barang Keluar'!$C:$C,N12295))</f>
        <v>0</v>
      </c>
    </row>
    <row r="12296" spans="13:16">
      <c r="M12296" s="49">
        <f>IF($A$4+122&gt;$B$4,"",$A$4+122)</f>
        <v>46145</v>
      </c>
      <c r="N12296">
        <f>IF(M12296="","",'Master Barang'!A90)</f>
        <v>0</v>
      </c>
      <c r="O12296">
        <f>IF(N12296="","",'Master Barang'!B90)</f>
        <v>0</v>
      </c>
      <c r="P12296">
        <f>IF(OR(M12296="",N12296=""),"",SUMIFS('Barang Keluar'!$E:$E,'Barang Keluar'!$A:$A,M12296,'Barang Keluar'!$C:$C,N12296))</f>
        <v>0</v>
      </c>
    </row>
    <row r="12297" spans="13:16">
      <c r="M12297" s="49">
        <f>IF($A$4+122&gt;$B$4,"",$A$4+122)</f>
        <v>46145</v>
      </c>
      <c r="N12297">
        <f>IF(M12297="","",'Master Barang'!A91)</f>
        <v>0</v>
      </c>
      <c r="O12297">
        <f>IF(N12297="","",'Master Barang'!B91)</f>
        <v>0</v>
      </c>
      <c r="P12297">
        <f>IF(OR(M12297="",N12297=""),"",SUMIFS('Barang Keluar'!$E:$E,'Barang Keluar'!$A:$A,M12297,'Barang Keluar'!$C:$C,N12297))</f>
        <v>0</v>
      </c>
    </row>
    <row r="12298" spans="13:16">
      <c r="M12298" s="49">
        <f>IF($A$4+122&gt;$B$4,"",$A$4+122)</f>
        <v>46145</v>
      </c>
      <c r="N12298">
        <f>IF(M12298="","",'Master Barang'!A92)</f>
        <v>0</v>
      </c>
      <c r="O12298">
        <f>IF(N12298="","",'Master Barang'!B92)</f>
        <v>0</v>
      </c>
      <c r="P12298">
        <f>IF(OR(M12298="",N12298=""),"",SUMIFS('Barang Keluar'!$E:$E,'Barang Keluar'!$A:$A,M12298,'Barang Keluar'!$C:$C,N12298))</f>
        <v>0</v>
      </c>
    </row>
    <row r="12299" spans="13:16">
      <c r="M12299" s="49">
        <f>IF($A$4+122&gt;$B$4,"",$A$4+122)</f>
        <v>46145</v>
      </c>
      <c r="N12299">
        <f>IF(M12299="","",'Master Barang'!A93)</f>
        <v>0</v>
      </c>
      <c r="O12299">
        <f>IF(N12299="","",'Master Barang'!B93)</f>
        <v>0</v>
      </c>
      <c r="P12299">
        <f>IF(OR(M12299="",N12299=""),"",SUMIFS('Barang Keluar'!$E:$E,'Barang Keluar'!$A:$A,M12299,'Barang Keluar'!$C:$C,N12299))</f>
        <v>0</v>
      </c>
    </row>
    <row r="12300" spans="13:16">
      <c r="M12300" s="49">
        <f>IF($A$4+122&gt;$B$4,"",$A$4+122)</f>
        <v>46145</v>
      </c>
      <c r="N12300">
        <f>IF(M12300="","",'Master Barang'!A94)</f>
        <v>0</v>
      </c>
      <c r="O12300">
        <f>IF(N12300="","",'Master Barang'!B94)</f>
        <v>0</v>
      </c>
      <c r="P12300">
        <f>IF(OR(M12300="",N12300=""),"",SUMIFS('Barang Keluar'!$E:$E,'Barang Keluar'!$A:$A,M12300,'Barang Keluar'!$C:$C,N12300))</f>
        <v>0</v>
      </c>
    </row>
    <row r="12301" spans="13:16">
      <c r="M12301" s="49">
        <f>IF($A$4+122&gt;$B$4,"",$A$4+122)</f>
        <v>46145</v>
      </c>
      <c r="N12301">
        <f>IF(M12301="","",'Master Barang'!A95)</f>
        <v>0</v>
      </c>
      <c r="O12301">
        <f>IF(N12301="","",'Master Barang'!B95)</f>
        <v>0</v>
      </c>
      <c r="P12301">
        <f>IF(OR(M12301="",N12301=""),"",SUMIFS('Barang Keluar'!$E:$E,'Barang Keluar'!$A:$A,M12301,'Barang Keluar'!$C:$C,N12301))</f>
        <v>0</v>
      </c>
    </row>
    <row r="12302" spans="13:16">
      <c r="M12302" s="49">
        <f>IF($A$4+122&gt;$B$4,"",$A$4+122)</f>
        <v>46145</v>
      </c>
      <c r="N12302">
        <f>IF(M12302="","",'Master Barang'!A96)</f>
        <v>0</v>
      </c>
      <c r="O12302">
        <f>IF(N12302="","",'Master Barang'!B96)</f>
        <v>0</v>
      </c>
      <c r="P12302">
        <f>IF(OR(M12302="",N12302=""),"",SUMIFS('Barang Keluar'!$E:$E,'Barang Keluar'!$A:$A,M12302,'Barang Keluar'!$C:$C,N12302))</f>
        <v>0</v>
      </c>
    </row>
    <row r="12303" spans="13:16">
      <c r="M12303" s="49">
        <f>IF($A$4+122&gt;$B$4,"",$A$4+122)</f>
        <v>46145</v>
      </c>
      <c r="N12303">
        <f>IF(M12303="","",'Master Barang'!A97)</f>
        <v>0</v>
      </c>
      <c r="O12303">
        <f>IF(N12303="","",'Master Barang'!B97)</f>
        <v>0</v>
      </c>
      <c r="P12303">
        <f>IF(OR(M12303="",N12303=""),"",SUMIFS('Barang Keluar'!$E:$E,'Barang Keluar'!$A:$A,M12303,'Barang Keluar'!$C:$C,N12303))</f>
        <v>0</v>
      </c>
    </row>
    <row r="12304" spans="13:16">
      <c r="M12304" s="49">
        <f>IF($A$4+122&gt;$B$4,"",$A$4+122)</f>
        <v>46145</v>
      </c>
      <c r="N12304">
        <f>IF(M12304="","",'Master Barang'!A98)</f>
        <v>0</v>
      </c>
      <c r="O12304">
        <f>IF(N12304="","",'Master Barang'!B98)</f>
        <v>0</v>
      </c>
      <c r="P12304">
        <f>IF(OR(M12304="",N12304=""),"",SUMIFS('Barang Keluar'!$E:$E,'Barang Keluar'!$A:$A,M12304,'Barang Keluar'!$C:$C,N12304))</f>
        <v>0</v>
      </c>
    </row>
    <row r="12305" spans="13:16">
      <c r="M12305" s="49">
        <f>IF($A$4+122&gt;$B$4,"",$A$4+122)</f>
        <v>46145</v>
      </c>
      <c r="N12305">
        <f>IF(M12305="","",'Master Barang'!A99)</f>
        <v>0</v>
      </c>
      <c r="O12305">
        <f>IF(N12305="","",'Master Barang'!B99)</f>
        <v>0</v>
      </c>
      <c r="P12305">
        <f>IF(OR(M12305="",N12305=""),"",SUMIFS('Barang Keluar'!$E:$E,'Barang Keluar'!$A:$A,M12305,'Barang Keluar'!$C:$C,N12305))</f>
        <v>0</v>
      </c>
    </row>
    <row r="12306" spans="13:16">
      <c r="M12306" s="49">
        <f>IF($A$4+122&gt;$B$4,"",$A$4+122)</f>
        <v>46145</v>
      </c>
      <c r="N12306">
        <f>IF(M12306="","",'Master Barang'!A100)</f>
        <v>0</v>
      </c>
      <c r="O12306">
        <f>IF(N12306="","",'Master Barang'!B100)</f>
        <v>0</v>
      </c>
      <c r="P12306">
        <f>IF(OR(M12306="",N12306=""),"",SUMIFS('Barang Keluar'!$E:$E,'Barang Keluar'!$A:$A,M12306,'Barang Keluar'!$C:$C,N12306))</f>
        <v>0</v>
      </c>
    </row>
    <row r="12307" spans="13:16">
      <c r="M12307" s="49">
        <f>IF($A$4+122&gt;$B$4,"",$A$4+122)</f>
        <v>46145</v>
      </c>
      <c r="N12307">
        <f>IF(M12307="","",'Master Barang'!A101)</f>
        <v>0</v>
      </c>
      <c r="O12307">
        <f>IF(N12307="","",'Master Barang'!B101)</f>
        <v>0</v>
      </c>
      <c r="P12307">
        <f>IF(OR(M12307="",N12307=""),"",SUMIFS('Barang Keluar'!$E:$E,'Barang Keluar'!$A:$A,M12307,'Barang Keluar'!$C:$C,N12307))</f>
        <v>0</v>
      </c>
    </row>
    <row r="12308" spans="13:16">
      <c r="M12308" s="49">
        <f>IF($A$4+123&gt;$B$4,"",$A$4+123)</f>
        <v>46146</v>
      </c>
      <c r="N12308" t="str">
        <f>IF(M12308="","",'Master Barang'!A2)</f>
        <v>PRL-001</v>
      </c>
      <c r="O12308" t="str">
        <f>IF(N12308="","",'Master Barang'!B2)</f>
        <v>natura desinfectant food grade 5l</v>
      </c>
      <c r="P12308">
        <f>IF(OR(M12308="",N12308=""),"",SUMIFS('Barang Keluar'!$E:$E,'Barang Keluar'!$A:$A,M12308,'Barang Keluar'!$C:$C,N12308))</f>
        <v>0</v>
      </c>
    </row>
    <row r="12309" spans="13:16">
      <c r="M12309" s="49">
        <f>IF($A$4+123&gt;$B$4,"",$A$4+123)</f>
        <v>46146</v>
      </c>
      <c r="N12309" t="str">
        <f>IF(M12309="","",'Master Barang'!A3)</f>
        <v>PRL-002</v>
      </c>
      <c r="O12309" t="str">
        <f>IF(N12309="","",'Master Barang'!B3)</f>
        <v>sunlight cairan pencuci piring 5l</v>
      </c>
      <c r="P12309">
        <f>IF(OR(M12309="",N12309=""),"",SUMIFS('Barang Keluar'!$E:$E,'Barang Keluar'!$A:$A,M12309,'Barang Keluar'!$C:$C,N12309))</f>
        <v>0</v>
      </c>
    </row>
    <row r="12310" spans="13:16">
      <c r="M12310" s="49">
        <f>IF($A$4+123&gt;$B$4,"",$A$4+123)</f>
        <v>46146</v>
      </c>
      <c r="N12310" t="str">
        <f>IF(M12310="","",'Master Barang'!A4)</f>
        <v>PRL-003</v>
      </c>
      <c r="O12310" t="str">
        <f>IF(N12310="","",'Master Barang'!B4)</f>
        <v>oixs cleaner 1l</v>
      </c>
      <c r="P12310">
        <f>IF(OR(M12310="",N12310=""),"",SUMIFS('Barang Keluar'!$E:$E,'Barang Keluar'!$A:$A,M12310,'Barang Keluar'!$C:$C,N12310))</f>
        <v>0</v>
      </c>
    </row>
    <row r="12311" spans="13:16">
      <c r="M12311" s="49">
        <f>IF($A$4+123&gt;$B$4,"",$A$4+123)</f>
        <v>46146</v>
      </c>
      <c r="N12311" t="str">
        <f>IF(M12311="","",'Master Barang'!A5)</f>
        <v>PRL-004</v>
      </c>
      <c r="O12311" t="str">
        <f>IF(N12311="","",'Master Barang'!B5)</f>
        <v>be clean tissue serbaguna</v>
      </c>
      <c r="P12311">
        <f>IF(OR(M12311="",N12311=""),"",SUMIFS('Barang Keluar'!$E:$E,'Barang Keluar'!$A:$A,M12311,'Barang Keluar'!$C:$C,N12311))</f>
        <v>0</v>
      </c>
    </row>
    <row r="12312" spans="13:16">
      <c r="M12312" s="49">
        <f>IF($A$4+123&gt;$B$4,"",$A$4+123)</f>
        <v>46146</v>
      </c>
      <c r="N12312" t="str">
        <f>IF(M12312="","",'Master Barang'!A6)</f>
        <v>PRL-005</v>
      </c>
      <c r="O12312" t="str">
        <f>IF(N12312="","",'Master Barang'!B6)</f>
        <v>spons cuci hijau</v>
      </c>
      <c r="P12312">
        <f>IF(OR(M12312="",N12312=""),"",SUMIFS('Barang Keluar'!$E:$E,'Barang Keluar'!$A:$A,M12312,'Barang Keluar'!$C:$C,N12312))</f>
        <v>0</v>
      </c>
    </row>
    <row r="12313" spans="13:16">
      <c r="M12313" s="49">
        <f>IF($A$4+123&gt;$B$4,"",$A$4+123)</f>
        <v>46146</v>
      </c>
      <c r="N12313" t="str">
        <f>IF(M12313="","",'Master Barang'!A7)</f>
        <v>PRL-006</v>
      </c>
      <c r="O12313" t="str">
        <f>IF(N12313="","",'Master Barang'!B7)</f>
        <v>sabut cuci stainless</v>
      </c>
      <c r="P12313">
        <f>IF(OR(M12313="",N12313=""),"",SUMIFS('Barang Keluar'!$E:$E,'Barang Keluar'!$A:$A,M12313,'Barang Keluar'!$C:$C,N12313))</f>
        <v>0</v>
      </c>
    </row>
    <row r="12314" spans="13:16">
      <c r="M12314" s="49">
        <f>IF($A$4+123&gt;$B$4,"",$A$4+123)</f>
        <v>46146</v>
      </c>
      <c r="N12314" t="str">
        <f>IF(M12314="","",'Master Barang'!A8)</f>
        <v>PRL-007</v>
      </c>
      <c r="O12314" t="str">
        <f>IF(N12314="","",'Master Barang'!B8)</f>
        <v>plastik kresek besar merah 50pc</v>
      </c>
      <c r="P12314">
        <f>IF(OR(M12314="",N12314=""),"",SUMIFS('Barang Keluar'!$E:$E,'Barang Keluar'!$A:$A,M12314,'Barang Keluar'!$C:$C,N12314))</f>
        <v>0</v>
      </c>
    </row>
    <row r="12315" spans="13:16">
      <c r="M12315" s="49">
        <f>IF($A$4+123&gt;$B$4,"",$A$4+123)</f>
        <v>46146</v>
      </c>
      <c r="N12315" t="str">
        <f>IF(M12315="","",'Master Barang'!A9)</f>
        <v>PRL-008</v>
      </c>
      <c r="O12315" t="str">
        <f>IF(N12315="","",'Master Barang'!B9)</f>
        <v>lap besar</v>
      </c>
      <c r="P12315">
        <f>IF(OR(M12315="",N12315=""),"",SUMIFS('Barang Keluar'!$E:$E,'Barang Keluar'!$A:$A,M12315,'Barang Keluar'!$C:$C,N12315))</f>
        <v>0</v>
      </c>
    </row>
    <row r="12316" spans="13:16">
      <c r="M12316" s="49">
        <f>IF($A$4+123&gt;$B$4,"",$A$4+123)</f>
        <v>46146</v>
      </c>
      <c r="N12316" t="str">
        <f>IF(M12316="","",'Master Barang'!A10)</f>
        <v>PRL-009</v>
      </c>
      <c r="O12316" t="str">
        <f>IF(N12316="","",'Master Barang'!B10)</f>
        <v>lap microfiber</v>
      </c>
      <c r="P12316">
        <f>IF(OR(M12316="",N12316=""),"",SUMIFS('Barang Keluar'!$E:$E,'Barang Keluar'!$A:$A,M12316,'Barang Keluar'!$C:$C,N12316))</f>
        <v>0</v>
      </c>
    </row>
    <row r="12317" spans="13:16">
      <c r="M12317" s="49">
        <f>IF($A$4+123&gt;$B$4,"",$A$4+123)</f>
        <v>46146</v>
      </c>
      <c r="N12317" t="str">
        <f>IF(M12317="","",'Master Barang'!A11)</f>
        <v>PRL-010</v>
      </c>
      <c r="O12317" t="str">
        <f>IF(N12317="","",'Master Barang'!B11)</f>
        <v>lap kecil</v>
      </c>
      <c r="P12317">
        <f>IF(OR(M12317="",N12317=""),"",SUMIFS('Barang Keluar'!$E:$E,'Barang Keluar'!$A:$A,M12317,'Barang Keluar'!$C:$C,N12317))</f>
        <v>0</v>
      </c>
    </row>
    <row r="12318" spans="13:16">
      <c r="M12318" s="49">
        <f>IF($A$4+123&gt;$B$4,"",$A$4+123)</f>
        <v>46146</v>
      </c>
      <c r="N12318" t="str">
        <f>IF(M12318="","",'Master Barang'!A12)</f>
        <v>PRL-011</v>
      </c>
      <c r="O12318" t="str">
        <f>IF(N12318="","",'Master Barang'!B12)</f>
        <v>kanebo kecil</v>
      </c>
      <c r="P12318">
        <f>IF(OR(M12318="",N12318=""),"",SUMIFS('Barang Keluar'!$E:$E,'Barang Keluar'!$A:$A,M12318,'Barang Keluar'!$C:$C,N12318))</f>
        <v>0</v>
      </c>
    </row>
    <row r="12319" spans="13:16">
      <c r="M12319" s="49">
        <f>IF($A$4+123&gt;$B$4,"",$A$4+123)</f>
        <v>46146</v>
      </c>
      <c r="N12319" t="str">
        <f>IF(M12319="","",'Master Barang'!A13)</f>
        <v>PRL-012</v>
      </c>
      <c r="O12319" t="str">
        <f>IF(N12319="","",'Master Barang'!B13)</f>
        <v>plastik 1/4kg joyoboyo 100 lembar</v>
      </c>
      <c r="P12319">
        <f>IF(OR(M12319="",N12319=""),"",SUMIFS('Barang Keluar'!$E:$E,'Barang Keluar'!$A:$A,M12319,'Barang Keluar'!$C:$C,N12319))</f>
        <v>0</v>
      </c>
    </row>
    <row r="12320" spans="13:16">
      <c r="M12320" s="49">
        <f>IF($A$4+123&gt;$B$4,"",$A$4+123)</f>
        <v>46146</v>
      </c>
      <c r="N12320" t="str">
        <f>IF(M12320="","",'Master Barang'!A14)</f>
        <v>PRL-013</v>
      </c>
      <c r="O12320" t="str">
        <f>IF(N12320="","",'Master Barang'!B14)</f>
        <v>sarung tangan plastik kaka 100 pcs</v>
      </c>
      <c r="P12320">
        <f>IF(OR(M12320="",N12320=""),"",SUMIFS('Barang Keluar'!$E:$E,'Barang Keluar'!$A:$A,M12320,'Barang Keluar'!$C:$C,N12320))</f>
        <v>0</v>
      </c>
    </row>
    <row r="12321" spans="13:16">
      <c r="M12321" s="49">
        <f>IF($A$4+123&gt;$B$4,"",$A$4+123)</f>
        <v>46146</v>
      </c>
      <c r="N12321" t="str">
        <f>IF(M12321="","",'Master Barang'!A15)</f>
        <v>PRL-014</v>
      </c>
      <c r="O12321" t="str">
        <f>IF(N12321="","",'Master Barang'!B15)</f>
        <v>optima trashbag 80x100</v>
      </c>
      <c r="P12321">
        <f>IF(OR(M12321="",N12321=""),"",SUMIFS('Barang Keluar'!$E:$E,'Barang Keluar'!$A:$A,M12321,'Barang Keluar'!$C:$C,N12321))</f>
        <v>0</v>
      </c>
    </row>
    <row r="12322" spans="13:16">
      <c r="M12322" s="49">
        <f>IF($A$4+123&gt;$B$4,"",$A$4+123)</f>
        <v>46146</v>
      </c>
      <c r="N12322" t="str">
        <f>IF(M12322="","",'Master Barang'!A16)</f>
        <v>PRL-015</v>
      </c>
      <c r="O12322" t="str">
        <f>IF(N12322="","",'Master Barang'!B16)</f>
        <v>optima trashbag 60x100</v>
      </c>
      <c r="P12322">
        <f>IF(OR(M12322="",N12322=""),"",SUMIFS('Barang Keluar'!$E:$E,'Barang Keluar'!$A:$A,M12322,'Barang Keluar'!$C:$C,N12322))</f>
        <v>0</v>
      </c>
    </row>
    <row r="12323" spans="13:16">
      <c r="M12323" s="49">
        <f>IF($A$4+123&gt;$B$4,"",$A$4+123)</f>
        <v>46146</v>
      </c>
      <c r="N12323" t="str">
        <f>IF(M12323="","",'Master Barang'!A17)</f>
        <v>PRL-016</v>
      </c>
      <c r="O12323" t="str">
        <f>IF(N12323="","",'Master Barang'!B17)</f>
        <v>rajawali trashbag 30x40</v>
      </c>
      <c r="P12323">
        <f>IF(OR(M12323="",N12323=""),"",SUMIFS('Barang Keluar'!$E:$E,'Barang Keluar'!$A:$A,M12323,'Barang Keluar'!$C:$C,N12323))</f>
        <v>0</v>
      </c>
    </row>
    <row r="12324" spans="13:16">
      <c r="M12324" s="49">
        <f>IF($A$4+123&gt;$B$4,"",$A$4+123)</f>
        <v>46146</v>
      </c>
      <c r="N12324" t="str">
        <f>IF(M12324="","",'Master Barang'!A18)</f>
        <v>PRL-017</v>
      </c>
      <c r="O12324" t="str">
        <f>IF(N12324="","",'Master Barang'!B18)</f>
        <v>onemed masker biru 3 play 50 pcs</v>
      </c>
      <c r="P12324">
        <f>IF(OR(M12324="",N12324=""),"",SUMIFS('Barang Keluar'!$E:$E,'Barang Keluar'!$A:$A,M12324,'Barang Keluar'!$C:$C,N12324))</f>
        <v>0</v>
      </c>
    </row>
    <row r="12325" spans="13:16">
      <c r="M12325" s="49">
        <f>IF($A$4+123&gt;$B$4,"",$A$4+123)</f>
        <v>46146</v>
      </c>
      <c r="N12325" t="str">
        <f>IF(M12325="","",'Master Barang'!A19)</f>
        <v>PRL-018</v>
      </c>
      <c r="O12325" t="str">
        <f>IF(N12325="","",'Master Barang'!B19)</f>
        <v>onemed masker biru 3 play hijab 50 pcs</v>
      </c>
      <c r="P12325">
        <f>IF(OR(M12325="",N12325=""),"",SUMIFS('Barang Keluar'!$E:$E,'Barang Keluar'!$A:$A,M12325,'Barang Keluar'!$C:$C,N12325))</f>
        <v>0</v>
      </c>
    </row>
    <row r="12326" spans="13:16">
      <c r="M12326" s="49">
        <f>IF($A$4+123&gt;$B$4,"",$A$4+123)</f>
        <v>46146</v>
      </c>
      <c r="N12326" t="str">
        <f>IF(M12326="","",'Master Barang'!A20)</f>
        <v>PRL-019</v>
      </c>
      <c r="O12326" t="str">
        <f>IF(N12326="","",'Master Barang'!B20)</f>
        <v>neo health masker biru 3 play 50 pcs</v>
      </c>
      <c r="P12326">
        <f>IF(OR(M12326="",N12326=""),"",SUMIFS('Barang Keluar'!$E:$E,'Barang Keluar'!$A:$A,M12326,'Barang Keluar'!$C:$C,N12326))</f>
        <v>0</v>
      </c>
    </row>
    <row r="12327" spans="13:16">
      <c r="M12327" s="49">
        <f>IF($A$4+123&gt;$B$4,"",$A$4+123)</f>
        <v>46146</v>
      </c>
      <c r="N12327" t="str">
        <f>IF(M12327="","",'Master Barang'!A21)</f>
        <v>PRL-020</v>
      </c>
      <c r="O12327" t="str">
        <f>IF(N12327="","",'Master Barang'!B21)</f>
        <v>baymed masker hijau 3 play hijau 50 pcs</v>
      </c>
      <c r="P12327">
        <f>IF(OR(M12327="",N12327=""),"",SUMIFS('Barang Keluar'!$E:$E,'Barang Keluar'!$A:$A,M12327,'Barang Keluar'!$C:$C,N12327))</f>
        <v>0</v>
      </c>
    </row>
    <row r="12328" spans="13:16">
      <c r="M12328" s="49">
        <f>IF($A$4+123&gt;$B$4,"",$A$4+123)</f>
        <v>46146</v>
      </c>
      <c r="N12328" t="str">
        <f>IF(M12328="","",'Master Barang'!A22)</f>
        <v>PRL-021</v>
      </c>
      <c r="O12328" t="str">
        <f>IF(N12328="","",'Master Barang'!B22)</f>
        <v>altamed nurse cap penutup kepala 100 pcs</v>
      </c>
      <c r="P12328">
        <f>IF(OR(M12328="",N12328=""),"",SUMIFS('Barang Keluar'!$E:$E,'Barang Keluar'!$A:$A,M12328,'Barang Keluar'!$C:$C,N12328))</f>
        <v>0</v>
      </c>
    </row>
    <row r="12329" spans="13:16">
      <c r="M12329" s="49">
        <f>IF($A$4+123&gt;$B$4,"",$A$4+123)</f>
        <v>46146</v>
      </c>
      <c r="N12329" t="str">
        <f>IF(M12329="","",'Master Barang'!A23)</f>
        <v>PRL-022</v>
      </c>
      <c r="O12329" t="str">
        <f>IF(N12329="","",'Master Barang'!B23)</f>
        <v>sabun cuci tangan</v>
      </c>
      <c r="P12329">
        <f>IF(OR(M12329="",N12329=""),"",SUMIFS('Barang Keluar'!$E:$E,'Barang Keluar'!$A:$A,M12329,'Barang Keluar'!$C:$C,N12329))</f>
        <v>0</v>
      </c>
    </row>
    <row r="12330" spans="13:16">
      <c r="M12330" s="49">
        <f>IF($A$4+123&gt;$B$4,"",$A$4+123)</f>
        <v>46146</v>
      </c>
      <c r="N12330" t="str">
        <f>IF(M12330="","",'Master Barang'!A24)</f>
        <v>PRL-023</v>
      </c>
      <c r="O12330" t="str">
        <f>IF(N12330="","",'Master Barang'!B24)</f>
        <v>gayung kecil</v>
      </c>
      <c r="P12330">
        <f>IF(OR(M12330="",N12330=""),"",SUMIFS('Barang Keluar'!$E:$E,'Barang Keluar'!$A:$A,M12330,'Barang Keluar'!$C:$C,N12330))</f>
        <v>0</v>
      </c>
    </row>
    <row r="12331" spans="13:16">
      <c r="M12331" s="49">
        <f>IF($A$4+123&gt;$B$4,"",$A$4+123)</f>
        <v>46146</v>
      </c>
      <c r="N12331" t="str">
        <f>IF(M12331="","",'Master Barang'!A25)</f>
        <v>PRL-024</v>
      </c>
      <c r="O12331" t="str">
        <f>IF(N12331="","",'Master Barang'!B25)</f>
        <v>cikrak kecil</v>
      </c>
      <c r="P12331">
        <f>IF(OR(M12331="",N12331=""),"",SUMIFS('Barang Keluar'!$E:$E,'Barang Keluar'!$A:$A,M12331,'Barang Keluar'!$C:$C,N12331))</f>
        <v>0</v>
      </c>
    </row>
    <row r="12332" spans="13:16">
      <c r="M12332" s="49">
        <f>IF($A$4+123&gt;$B$4,"",$A$4+123)</f>
        <v>46146</v>
      </c>
      <c r="N12332" t="str">
        <f>IF(M12332="","",'Master Barang'!A26)</f>
        <v>PRL-025</v>
      </c>
      <c r="O12332" t="str">
        <f>IF(N12332="","",'Master Barang'!B26)</f>
        <v>petromax plastik kecil 12x24 100 lembar</v>
      </c>
      <c r="P12332">
        <f>IF(OR(M12332="",N12332=""),"",SUMIFS('Barang Keluar'!$E:$E,'Barang Keluar'!$A:$A,M12332,'Barang Keluar'!$C:$C,N12332))</f>
        <v>0</v>
      </c>
    </row>
    <row r="12333" spans="13:16">
      <c r="M12333" s="49">
        <f>IF($A$4+123&gt;$B$4,"",$A$4+123)</f>
        <v>46146</v>
      </c>
      <c r="N12333" t="str">
        <f>IF(M12333="","",'Master Barang'!A27)</f>
        <v>PRL-026</v>
      </c>
      <c r="O12333" t="str">
        <f>IF(N12333="","",'Master Barang'!B27)</f>
        <v>lancar kresek kecil bening </v>
      </c>
      <c r="P12333">
        <f>IF(OR(M12333="",N12333=""),"",SUMIFS('Barang Keluar'!$E:$E,'Barang Keluar'!$A:$A,M12333,'Barang Keluar'!$C:$C,N12333))</f>
        <v>0</v>
      </c>
    </row>
    <row r="12334" spans="13:16">
      <c r="M12334" s="49">
        <f>IF($A$4+123&gt;$B$4,"",$A$4+123)</f>
        <v>46146</v>
      </c>
      <c r="N12334" t="str">
        <f>IF(M12334="","",'Master Barang'!A28)</f>
        <v>PRL-027</v>
      </c>
      <c r="O12334" t="str">
        <f>IF(N12334="","",'Master Barang'!B28)</f>
        <v>kresek klin warna warni kecil</v>
      </c>
      <c r="P12334">
        <f>IF(OR(M12334="",N12334=""),"",SUMIFS('Barang Keluar'!$E:$E,'Barang Keluar'!$A:$A,M12334,'Barang Keluar'!$C:$C,N12334))</f>
        <v>0</v>
      </c>
    </row>
    <row r="12335" spans="13:16">
      <c r="M12335" s="49">
        <f>IF($A$4+123&gt;$B$4,"",$A$4+123)</f>
        <v>46146</v>
      </c>
      <c r="N12335" t="str">
        <f>IF(M12335="","",'Master Barang'!A29)</f>
        <v>PRL-028</v>
      </c>
      <c r="O12335" t="str">
        <f>IF(N12335="","",'Master Barang'!B29)</f>
        <v>ctik plastik 7x10 100 pcs</v>
      </c>
      <c r="P12335">
        <f>IF(OR(M12335="",N12335=""),"",SUMIFS('Barang Keluar'!$E:$E,'Barang Keluar'!$A:$A,M12335,'Barang Keluar'!$C:$C,N12335))</f>
        <v>0</v>
      </c>
    </row>
    <row r="12336" spans="13:16">
      <c r="M12336" s="49">
        <f>IF($A$4+123&gt;$B$4,"",$A$4+123)</f>
        <v>46146</v>
      </c>
      <c r="N12336" t="str">
        <f>IF(M12336="","",'Master Barang'!A30)</f>
        <v>PRL-029</v>
      </c>
      <c r="O12336" t="str">
        <f>IF(N12336="","",'Master Barang'!B30)</f>
        <v>ctik plastik 6x10 100 pcs</v>
      </c>
      <c r="P12336">
        <f>IF(OR(M12336="",N12336=""),"",SUMIFS('Barang Keluar'!$E:$E,'Barang Keluar'!$A:$A,M12336,'Barang Keluar'!$C:$C,N12336))</f>
        <v>0</v>
      </c>
    </row>
    <row r="12337" spans="13:16">
      <c r="M12337" s="49">
        <f>IF($A$4+123&gt;$B$4,"",$A$4+123)</f>
        <v>46146</v>
      </c>
      <c r="N12337" t="str">
        <f>IF(M12337="","",'Master Barang'!A31)</f>
        <v>PRL-030</v>
      </c>
      <c r="O12337" t="str">
        <f>IF(N12337="","",'Master Barang'!B31)</f>
        <v>klip plastik 25x16 100 pcs</v>
      </c>
      <c r="P12337">
        <f>IF(OR(M12337="",N12337=""),"",SUMIFS('Barang Keluar'!$E:$E,'Barang Keluar'!$A:$A,M12337,'Barang Keluar'!$C:$C,N12337))</f>
        <v>0</v>
      </c>
    </row>
    <row r="12338" spans="13:16">
      <c r="M12338" s="49">
        <f>IF($A$4+123&gt;$B$4,"",$A$4+123)</f>
        <v>46146</v>
      </c>
      <c r="N12338" t="str">
        <f>IF(M12338="","",'Master Barang'!A32)</f>
        <v>PRL-031</v>
      </c>
      <c r="O12338" t="str">
        <f>IF(N12338="","",'Master Barang'!B32)</f>
        <v>tempat saus 20 ml</v>
      </c>
      <c r="P12338">
        <f>IF(OR(M12338="",N12338=""),"",SUMIFS('Barang Keluar'!$E:$E,'Barang Keluar'!$A:$A,M12338,'Barang Keluar'!$C:$C,N12338))</f>
        <v>0</v>
      </c>
    </row>
    <row r="12339" spans="13:16">
      <c r="M12339" s="49">
        <f>IF($A$4+123&gt;$B$4,"",$A$4+123)</f>
        <v>46146</v>
      </c>
      <c r="N12339" t="str">
        <f>IF(M12339="","",'Master Barang'!A33)</f>
        <v>PRL-032</v>
      </c>
      <c r="O12339" t="str">
        <f>IF(N12339="","",'Master Barang'!B33)</f>
        <v>plastik packaging ag box uk sedang</v>
      </c>
      <c r="P12339">
        <f>IF(OR(M12339="",N12339=""),"",SUMIFS('Barang Keluar'!$E:$E,'Barang Keluar'!$A:$A,M12339,'Barang Keluar'!$C:$C,N12339))</f>
        <v>0</v>
      </c>
    </row>
    <row r="12340" spans="13:16">
      <c r="M12340" s="49">
        <f>IF($A$4+123&gt;$B$4,"",$A$4+123)</f>
        <v>46146</v>
      </c>
      <c r="N12340" t="str">
        <f>IF(M12340="","",'Master Barang'!A34)</f>
        <v>PRL-033</v>
      </c>
      <c r="O12340">
        <f>IF(N12340="","",'Master Barang'!B34)</f>
        <v>0</v>
      </c>
      <c r="P12340">
        <f>IF(OR(M12340="",N12340=""),"",SUMIFS('Barang Keluar'!$E:$E,'Barang Keluar'!$A:$A,M12340,'Barang Keluar'!$C:$C,N12340))</f>
        <v>0</v>
      </c>
    </row>
    <row r="12341" spans="13:16">
      <c r="M12341" s="49">
        <f>IF($A$4+123&gt;$B$4,"",$A$4+123)</f>
        <v>46146</v>
      </c>
      <c r="N12341">
        <f>IF(M12341="","",'Master Barang'!A35)</f>
        <v>0</v>
      </c>
      <c r="O12341">
        <f>IF(N12341="","",'Master Barang'!B35)</f>
        <v>0</v>
      </c>
      <c r="P12341">
        <f>IF(OR(M12341="",N12341=""),"",SUMIFS('Barang Keluar'!$E:$E,'Barang Keluar'!$A:$A,M12341,'Barang Keluar'!$C:$C,N12341))</f>
        <v>0</v>
      </c>
    </row>
    <row r="12342" spans="13:16">
      <c r="M12342" s="49">
        <f>IF($A$4+123&gt;$B$4,"",$A$4+123)</f>
        <v>46146</v>
      </c>
      <c r="N12342">
        <f>IF(M12342="","",'Master Barang'!A36)</f>
        <v>0</v>
      </c>
      <c r="O12342">
        <f>IF(N12342="","",'Master Barang'!B36)</f>
        <v>0</v>
      </c>
      <c r="P12342">
        <f>IF(OR(M12342="",N12342=""),"",SUMIFS('Barang Keluar'!$E:$E,'Barang Keluar'!$A:$A,M12342,'Barang Keluar'!$C:$C,N12342))</f>
        <v>0</v>
      </c>
    </row>
    <row r="12343" spans="13:16">
      <c r="M12343" s="49">
        <f>IF($A$4+123&gt;$B$4,"",$A$4+123)</f>
        <v>46146</v>
      </c>
      <c r="N12343">
        <f>IF(M12343="","",'Master Barang'!A37)</f>
        <v>0</v>
      </c>
      <c r="O12343">
        <f>IF(N12343="","",'Master Barang'!B37)</f>
        <v>0</v>
      </c>
      <c r="P12343">
        <f>IF(OR(M12343="",N12343=""),"",SUMIFS('Barang Keluar'!$E:$E,'Barang Keluar'!$A:$A,M12343,'Barang Keluar'!$C:$C,N12343))</f>
        <v>0</v>
      </c>
    </row>
    <row r="12344" spans="13:16">
      <c r="M12344" s="49">
        <f>IF($A$4+123&gt;$B$4,"",$A$4+123)</f>
        <v>46146</v>
      </c>
      <c r="N12344">
        <f>IF(M12344="","",'Master Barang'!A38)</f>
        <v>0</v>
      </c>
      <c r="O12344">
        <f>IF(N12344="","",'Master Barang'!B38)</f>
        <v>0</v>
      </c>
      <c r="P12344">
        <f>IF(OR(M12344="",N12344=""),"",SUMIFS('Barang Keluar'!$E:$E,'Barang Keluar'!$A:$A,M12344,'Barang Keluar'!$C:$C,N12344))</f>
        <v>0</v>
      </c>
    </row>
    <row r="12345" spans="13:16">
      <c r="M12345" s="49">
        <f>IF($A$4+123&gt;$B$4,"",$A$4+123)</f>
        <v>46146</v>
      </c>
      <c r="N12345">
        <f>IF(M12345="","",'Master Barang'!A39)</f>
        <v>0</v>
      </c>
      <c r="O12345">
        <f>IF(N12345="","",'Master Barang'!B39)</f>
        <v>0</v>
      </c>
      <c r="P12345">
        <f>IF(OR(M12345="",N12345=""),"",SUMIFS('Barang Keluar'!$E:$E,'Barang Keluar'!$A:$A,M12345,'Barang Keluar'!$C:$C,N12345))</f>
        <v>0</v>
      </c>
    </row>
    <row r="12346" spans="13:16">
      <c r="M12346" s="49">
        <f>IF($A$4+123&gt;$B$4,"",$A$4+123)</f>
        <v>46146</v>
      </c>
      <c r="N12346">
        <f>IF(M12346="","",'Master Barang'!A40)</f>
        <v>0</v>
      </c>
      <c r="O12346">
        <f>IF(N12346="","",'Master Barang'!B40)</f>
        <v>0</v>
      </c>
      <c r="P12346">
        <f>IF(OR(M12346="",N12346=""),"",SUMIFS('Barang Keluar'!$E:$E,'Barang Keluar'!$A:$A,M12346,'Barang Keluar'!$C:$C,N12346))</f>
        <v>0</v>
      </c>
    </row>
    <row r="12347" spans="13:16">
      <c r="M12347" s="49">
        <f>IF($A$4+123&gt;$B$4,"",$A$4+123)</f>
        <v>46146</v>
      </c>
      <c r="N12347">
        <f>IF(M12347="","",'Master Barang'!A41)</f>
        <v>0</v>
      </c>
      <c r="O12347">
        <f>IF(N12347="","",'Master Barang'!B41)</f>
        <v>0</v>
      </c>
      <c r="P12347">
        <f>IF(OR(M12347="",N12347=""),"",SUMIFS('Barang Keluar'!$E:$E,'Barang Keluar'!$A:$A,M12347,'Barang Keluar'!$C:$C,N12347))</f>
        <v>0</v>
      </c>
    </row>
    <row r="12348" spans="13:16">
      <c r="M12348" s="49">
        <f>IF($A$4+123&gt;$B$4,"",$A$4+123)</f>
        <v>46146</v>
      </c>
      <c r="N12348">
        <f>IF(M12348="","",'Master Barang'!A42)</f>
        <v>0</v>
      </c>
      <c r="O12348">
        <f>IF(N12348="","",'Master Barang'!B42)</f>
        <v>0</v>
      </c>
      <c r="P12348">
        <f>IF(OR(M12348="",N12348=""),"",SUMIFS('Barang Keluar'!$E:$E,'Barang Keluar'!$A:$A,M12348,'Barang Keluar'!$C:$C,N12348))</f>
        <v>0</v>
      </c>
    </row>
    <row r="12349" spans="13:16">
      <c r="M12349" s="49">
        <f>IF($A$4+123&gt;$B$4,"",$A$4+123)</f>
        <v>46146</v>
      </c>
      <c r="N12349">
        <f>IF(M12349="","",'Master Barang'!A43)</f>
        <v>0</v>
      </c>
      <c r="O12349">
        <f>IF(N12349="","",'Master Barang'!B43)</f>
        <v>0</v>
      </c>
      <c r="P12349">
        <f>IF(OR(M12349="",N12349=""),"",SUMIFS('Barang Keluar'!$E:$E,'Barang Keluar'!$A:$A,M12349,'Barang Keluar'!$C:$C,N12349))</f>
        <v>0</v>
      </c>
    </row>
    <row r="12350" spans="13:16">
      <c r="M12350" s="49">
        <f>IF($A$4+123&gt;$B$4,"",$A$4+123)</f>
        <v>46146</v>
      </c>
      <c r="N12350">
        <f>IF(M12350="","",'Master Barang'!A44)</f>
        <v>0</v>
      </c>
      <c r="O12350">
        <f>IF(N12350="","",'Master Barang'!B44)</f>
        <v>0</v>
      </c>
      <c r="P12350">
        <f>IF(OR(M12350="",N12350=""),"",SUMIFS('Barang Keluar'!$E:$E,'Barang Keluar'!$A:$A,M12350,'Barang Keluar'!$C:$C,N12350))</f>
        <v>0</v>
      </c>
    </row>
    <row r="12351" spans="13:16">
      <c r="M12351" s="49">
        <f>IF($A$4+123&gt;$B$4,"",$A$4+123)</f>
        <v>46146</v>
      </c>
      <c r="N12351">
        <f>IF(M12351="","",'Master Barang'!A45)</f>
        <v>0</v>
      </c>
      <c r="O12351">
        <f>IF(N12351="","",'Master Barang'!B45)</f>
        <v>0</v>
      </c>
      <c r="P12351">
        <f>IF(OR(M12351="",N12351=""),"",SUMIFS('Barang Keluar'!$E:$E,'Barang Keluar'!$A:$A,M12351,'Barang Keluar'!$C:$C,N12351))</f>
        <v>0</v>
      </c>
    </row>
    <row r="12352" spans="13:16">
      <c r="M12352" s="49">
        <f>IF($A$4+123&gt;$B$4,"",$A$4+123)</f>
        <v>46146</v>
      </c>
      <c r="N12352">
        <f>IF(M12352="","",'Master Barang'!A46)</f>
        <v>0</v>
      </c>
      <c r="O12352">
        <f>IF(N12352="","",'Master Barang'!B46)</f>
        <v>0</v>
      </c>
      <c r="P12352">
        <f>IF(OR(M12352="",N12352=""),"",SUMIFS('Barang Keluar'!$E:$E,'Barang Keluar'!$A:$A,M12352,'Barang Keluar'!$C:$C,N12352))</f>
        <v>0</v>
      </c>
    </row>
    <row r="12353" spans="13:16">
      <c r="M12353" s="49">
        <f>IF($A$4+123&gt;$B$4,"",$A$4+123)</f>
        <v>46146</v>
      </c>
      <c r="N12353">
        <f>IF(M12353="","",'Master Barang'!A47)</f>
        <v>0</v>
      </c>
      <c r="O12353">
        <f>IF(N12353="","",'Master Barang'!B47)</f>
        <v>0</v>
      </c>
      <c r="P12353">
        <f>IF(OR(M12353="",N12353=""),"",SUMIFS('Barang Keluar'!$E:$E,'Barang Keluar'!$A:$A,M12353,'Barang Keluar'!$C:$C,N12353))</f>
        <v>0</v>
      </c>
    </row>
    <row r="12354" spans="13:16">
      <c r="M12354" s="49">
        <f>IF($A$4+123&gt;$B$4,"",$A$4+123)</f>
        <v>46146</v>
      </c>
      <c r="N12354">
        <f>IF(M12354="","",'Master Barang'!A48)</f>
        <v>0</v>
      </c>
      <c r="O12354">
        <f>IF(N12354="","",'Master Barang'!B48)</f>
        <v>0</v>
      </c>
      <c r="P12354">
        <f>IF(OR(M12354="",N12354=""),"",SUMIFS('Barang Keluar'!$E:$E,'Barang Keluar'!$A:$A,M12354,'Barang Keluar'!$C:$C,N12354))</f>
        <v>0</v>
      </c>
    </row>
    <row r="12355" spans="13:16">
      <c r="M12355" s="49">
        <f>IF($A$4+123&gt;$B$4,"",$A$4+123)</f>
        <v>46146</v>
      </c>
      <c r="N12355">
        <f>IF(M12355="","",'Master Barang'!A49)</f>
        <v>0</v>
      </c>
      <c r="O12355">
        <f>IF(N12355="","",'Master Barang'!B49)</f>
        <v>0</v>
      </c>
      <c r="P12355">
        <f>IF(OR(M12355="",N12355=""),"",SUMIFS('Barang Keluar'!$E:$E,'Barang Keluar'!$A:$A,M12355,'Barang Keluar'!$C:$C,N12355))</f>
        <v>0</v>
      </c>
    </row>
    <row r="12356" spans="13:16">
      <c r="M12356" s="49">
        <f>IF($A$4+123&gt;$B$4,"",$A$4+123)</f>
        <v>46146</v>
      </c>
      <c r="N12356">
        <f>IF(M12356="","",'Master Barang'!A50)</f>
        <v>0</v>
      </c>
      <c r="O12356">
        <f>IF(N12356="","",'Master Barang'!B50)</f>
        <v>0</v>
      </c>
      <c r="P12356">
        <f>IF(OR(M12356="",N12356=""),"",SUMIFS('Barang Keluar'!$E:$E,'Barang Keluar'!$A:$A,M12356,'Barang Keluar'!$C:$C,N12356))</f>
        <v>0</v>
      </c>
    </row>
    <row r="12357" spans="13:16">
      <c r="M12357" s="49">
        <f>IF($A$4+123&gt;$B$4,"",$A$4+123)</f>
        <v>46146</v>
      </c>
      <c r="N12357">
        <f>IF(M12357="","",'Master Barang'!A51)</f>
        <v>0</v>
      </c>
      <c r="O12357">
        <f>IF(N12357="","",'Master Barang'!B51)</f>
        <v>0</v>
      </c>
      <c r="P12357">
        <f>IF(OR(M12357="",N12357=""),"",SUMIFS('Barang Keluar'!$E:$E,'Barang Keluar'!$A:$A,M12357,'Barang Keluar'!$C:$C,N12357))</f>
        <v>0</v>
      </c>
    </row>
    <row r="12358" spans="13:16">
      <c r="M12358" s="49">
        <f>IF($A$4+123&gt;$B$4,"",$A$4+123)</f>
        <v>46146</v>
      </c>
      <c r="N12358">
        <f>IF(M12358="","",'Master Barang'!A52)</f>
        <v>0</v>
      </c>
      <c r="O12358">
        <f>IF(N12358="","",'Master Barang'!B52)</f>
        <v>0</v>
      </c>
      <c r="P12358">
        <f>IF(OR(M12358="",N12358=""),"",SUMIFS('Barang Keluar'!$E:$E,'Barang Keluar'!$A:$A,M12358,'Barang Keluar'!$C:$C,N12358))</f>
        <v>0</v>
      </c>
    </row>
    <row r="12359" spans="13:16">
      <c r="M12359" s="49">
        <f>IF($A$4+123&gt;$B$4,"",$A$4+123)</f>
        <v>46146</v>
      </c>
      <c r="N12359">
        <f>IF(M12359="","",'Master Barang'!A53)</f>
        <v>0</v>
      </c>
      <c r="O12359">
        <f>IF(N12359="","",'Master Barang'!B53)</f>
        <v>0</v>
      </c>
      <c r="P12359">
        <f>IF(OR(M12359="",N12359=""),"",SUMIFS('Barang Keluar'!$E:$E,'Barang Keluar'!$A:$A,M12359,'Barang Keluar'!$C:$C,N12359))</f>
        <v>0</v>
      </c>
    </row>
    <row r="12360" spans="13:16">
      <c r="M12360" s="49">
        <f>IF($A$4+123&gt;$B$4,"",$A$4+123)</f>
        <v>46146</v>
      </c>
      <c r="N12360">
        <f>IF(M12360="","",'Master Barang'!A54)</f>
        <v>0</v>
      </c>
      <c r="O12360">
        <f>IF(N12360="","",'Master Barang'!B54)</f>
        <v>0</v>
      </c>
      <c r="P12360">
        <f>IF(OR(M12360="",N12360=""),"",SUMIFS('Barang Keluar'!$E:$E,'Barang Keluar'!$A:$A,M12360,'Barang Keluar'!$C:$C,N12360))</f>
        <v>0</v>
      </c>
    </row>
    <row r="12361" spans="13:16">
      <c r="M12361" s="49">
        <f>IF($A$4+123&gt;$B$4,"",$A$4+123)</f>
        <v>46146</v>
      </c>
      <c r="N12361">
        <f>IF(M12361="","",'Master Barang'!A55)</f>
        <v>0</v>
      </c>
      <c r="O12361">
        <f>IF(N12361="","",'Master Barang'!B55)</f>
        <v>0</v>
      </c>
      <c r="P12361">
        <f>IF(OR(M12361="",N12361=""),"",SUMIFS('Barang Keluar'!$E:$E,'Barang Keluar'!$A:$A,M12361,'Barang Keluar'!$C:$C,N12361))</f>
        <v>0</v>
      </c>
    </row>
    <row r="12362" spans="13:16">
      <c r="M12362" s="49">
        <f>IF($A$4+123&gt;$B$4,"",$A$4+123)</f>
        <v>46146</v>
      </c>
      <c r="N12362">
        <f>IF(M12362="","",'Master Barang'!A56)</f>
        <v>0</v>
      </c>
      <c r="O12362">
        <f>IF(N12362="","",'Master Barang'!B56)</f>
        <v>0</v>
      </c>
      <c r="P12362">
        <f>IF(OR(M12362="",N12362=""),"",SUMIFS('Barang Keluar'!$E:$E,'Barang Keluar'!$A:$A,M12362,'Barang Keluar'!$C:$C,N12362))</f>
        <v>0</v>
      </c>
    </row>
    <row r="12363" spans="13:16">
      <c r="M12363" s="49">
        <f>IF($A$4+123&gt;$B$4,"",$A$4+123)</f>
        <v>46146</v>
      </c>
      <c r="N12363">
        <f>IF(M12363="","",'Master Barang'!A57)</f>
        <v>0</v>
      </c>
      <c r="O12363">
        <f>IF(N12363="","",'Master Barang'!B57)</f>
        <v>0</v>
      </c>
      <c r="P12363">
        <f>IF(OR(M12363="",N12363=""),"",SUMIFS('Barang Keluar'!$E:$E,'Barang Keluar'!$A:$A,M12363,'Barang Keluar'!$C:$C,N12363))</f>
        <v>0</v>
      </c>
    </row>
    <row r="12364" spans="13:16">
      <c r="M12364" s="49">
        <f>IF($A$4+123&gt;$B$4,"",$A$4+123)</f>
        <v>46146</v>
      </c>
      <c r="N12364">
        <f>IF(M12364="","",'Master Barang'!A58)</f>
        <v>0</v>
      </c>
      <c r="O12364">
        <f>IF(N12364="","",'Master Barang'!B58)</f>
        <v>0</v>
      </c>
      <c r="P12364">
        <f>IF(OR(M12364="",N12364=""),"",SUMIFS('Barang Keluar'!$E:$E,'Barang Keluar'!$A:$A,M12364,'Barang Keluar'!$C:$C,N12364))</f>
        <v>0</v>
      </c>
    </row>
    <row r="12365" spans="13:16">
      <c r="M12365" s="49">
        <f>IF($A$4+123&gt;$B$4,"",$A$4+123)</f>
        <v>46146</v>
      </c>
      <c r="N12365">
        <f>IF(M12365="","",'Master Barang'!A59)</f>
        <v>0</v>
      </c>
      <c r="O12365">
        <f>IF(N12365="","",'Master Barang'!B59)</f>
        <v>0</v>
      </c>
      <c r="P12365">
        <f>IF(OR(M12365="",N12365=""),"",SUMIFS('Barang Keluar'!$E:$E,'Barang Keluar'!$A:$A,M12365,'Barang Keluar'!$C:$C,N12365))</f>
        <v>0</v>
      </c>
    </row>
    <row r="12366" spans="13:16">
      <c r="M12366" s="49">
        <f>IF($A$4+123&gt;$B$4,"",$A$4+123)</f>
        <v>46146</v>
      </c>
      <c r="N12366">
        <f>IF(M12366="","",'Master Barang'!A60)</f>
        <v>0</v>
      </c>
      <c r="O12366">
        <f>IF(N12366="","",'Master Barang'!B60)</f>
        <v>0</v>
      </c>
      <c r="P12366">
        <f>IF(OR(M12366="",N12366=""),"",SUMIFS('Barang Keluar'!$E:$E,'Barang Keluar'!$A:$A,M12366,'Barang Keluar'!$C:$C,N12366))</f>
        <v>0</v>
      </c>
    </row>
    <row r="12367" spans="13:16">
      <c r="M12367" s="49">
        <f>IF($A$4+123&gt;$B$4,"",$A$4+123)</f>
        <v>46146</v>
      </c>
      <c r="N12367">
        <f>IF(M12367="","",'Master Barang'!A61)</f>
        <v>0</v>
      </c>
      <c r="O12367">
        <f>IF(N12367="","",'Master Barang'!B61)</f>
        <v>0</v>
      </c>
      <c r="P12367">
        <f>IF(OR(M12367="",N12367=""),"",SUMIFS('Barang Keluar'!$E:$E,'Barang Keluar'!$A:$A,M12367,'Barang Keluar'!$C:$C,N12367))</f>
        <v>0</v>
      </c>
    </row>
    <row r="12368" spans="13:16">
      <c r="M12368" s="49">
        <f>IF($A$4+123&gt;$B$4,"",$A$4+123)</f>
        <v>46146</v>
      </c>
      <c r="N12368">
        <f>IF(M12368="","",'Master Barang'!A62)</f>
        <v>0</v>
      </c>
      <c r="O12368">
        <f>IF(N12368="","",'Master Barang'!B62)</f>
        <v>0</v>
      </c>
      <c r="P12368">
        <f>IF(OR(M12368="",N12368=""),"",SUMIFS('Barang Keluar'!$E:$E,'Barang Keluar'!$A:$A,M12368,'Barang Keluar'!$C:$C,N12368))</f>
        <v>0</v>
      </c>
    </row>
    <row r="12369" spans="13:16">
      <c r="M12369" s="49">
        <f>IF($A$4+123&gt;$B$4,"",$A$4+123)</f>
        <v>46146</v>
      </c>
      <c r="N12369">
        <f>IF(M12369="","",'Master Barang'!A63)</f>
        <v>0</v>
      </c>
      <c r="O12369">
        <f>IF(N12369="","",'Master Barang'!B63)</f>
        <v>0</v>
      </c>
      <c r="P12369">
        <f>IF(OR(M12369="",N12369=""),"",SUMIFS('Barang Keluar'!$E:$E,'Barang Keluar'!$A:$A,M12369,'Barang Keluar'!$C:$C,N12369))</f>
        <v>0</v>
      </c>
    </row>
    <row r="12370" spans="13:16">
      <c r="M12370" s="49">
        <f>IF($A$4+123&gt;$B$4,"",$A$4+123)</f>
        <v>46146</v>
      </c>
      <c r="N12370">
        <f>IF(M12370="","",'Master Barang'!A64)</f>
        <v>0</v>
      </c>
      <c r="O12370">
        <f>IF(N12370="","",'Master Barang'!B64)</f>
        <v>0</v>
      </c>
      <c r="P12370">
        <f>IF(OR(M12370="",N12370=""),"",SUMIFS('Barang Keluar'!$E:$E,'Barang Keluar'!$A:$A,M12370,'Barang Keluar'!$C:$C,N12370))</f>
        <v>0</v>
      </c>
    </row>
    <row r="12371" spans="13:16">
      <c r="M12371" s="49">
        <f>IF($A$4+123&gt;$B$4,"",$A$4+123)</f>
        <v>46146</v>
      </c>
      <c r="N12371">
        <f>IF(M12371="","",'Master Barang'!A65)</f>
        <v>0</v>
      </c>
      <c r="O12371">
        <f>IF(N12371="","",'Master Barang'!B65)</f>
        <v>0</v>
      </c>
      <c r="P12371">
        <f>IF(OR(M12371="",N12371=""),"",SUMIFS('Barang Keluar'!$E:$E,'Barang Keluar'!$A:$A,M12371,'Barang Keluar'!$C:$C,N12371))</f>
        <v>0</v>
      </c>
    </row>
    <row r="12372" spans="13:16">
      <c r="M12372" s="49">
        <f>IF($A$4+123&gt;$B$4,"",$A$4+123)</f>
        <v>46146</v>
      </c>
      <c r="N12372">
        <f>IF(M12372="","",'Master Barang'!A66)</f>
        <v>0</v>
      </c>
      <c r="O12372">
        <f>IF(N12372="","",'Master Barang'!B66)</f>
        <v>0</v>
      </c>
      <c r="P12372">
        <f>IF(OR(M12372="",N12372=""),"",SUMIFS('Barang Keluar'!$E:$E,'Barang Keluar'!$A:$A,M12372,'Barang Keluar'!$C:$C,N12372))</f>
        <v>0</v>
      </c>
    </row>
    <row r="12373" spans="13:16">
      <c r="M12373" s="49">
        <f>IF($A$4+123&gt;$B$4,"",$A$4+123)</f>
        <v>46146</v>
      </c>
      <c r="N12373">
        <f>IF(M12373="","",'Master Barang'!A67)</f>
        <v>0</v>
      </c>
      <c r="O12373">
        <f>IF(N12373="","",'Master Barang'!B67)</f>
        <v>0</v>
      </c>
      <c r="P12373">
        <f>IF(OR(M12373="",N12373=""),"",SUMIFS('Barang Keluar'!$E:$E,'Barang Keluar'!$A:$A,M12373,'Barang Keluar'!$C:$C,N12373))</f>
        <v>0</v>
      </c>
    </row>
    <row r="12374" spans="13:16">
      <c r="M12374" s="49">
        <f>IF($A$4+123&gt;$B$4,"",$A$4+123)</f>
        <v>46146</v>
      </c>
      <c r="N12374">
        <f>IF(M12374="","",'Master Barang'!A68)</f>
        <v>0</v>
      </c>
      <c r="O12374">
        <f>IF(N12374="","",'Master Barang'!B68)</f>
        <v>0</v>
      </c>
      <c r="P12374">
        <f>IF(OR(M12374="",N12374=""),"",SUMIFS('Barang Keluar'!$E:$E,'Barang Keluar'!$A:$A,M12374,'Barang Keluar'!$C:$C,N12374))</f>
        <v>0</v>
      </c>
    </row>
    <row r="12375" spans="13:16">
      <c r="M12375" s="49">
        <f>IF($A$4+123&gt;$B$4,"",$A$4+123)</f>
        <v>46146</v>
      </c>
      <c r="N12375">
        <f>IF(M12375="","",'Master Barang'!A69)</f>
        <v>0</v>
      </c>
      <c r="O12375">
        <f>IF(N12375="","",'Master Barang'!B69)</f>
        <v>0</v>
      </c>
      <c r="P12375">
        <f>IF(OR(M12375="",N12375=""),"",SUMIFS('Barang Keluar'!$E:$E,'Barang Keluar'!$A:$A,M12375,'Barang Keluar'!$C:$C,N12375))</f>
        <v>0</v>
      </c>
    </row>
    <row r="12376" spans="13:16">
      <c r="M12376" s="49">
        <f>IF($A$4+123&gt;$B$4,"",$A$4+123)</f>
        <v>46146</v>
      </c>
      <c r="N12376">
        <f>IF(M12376="","",'Master Barang'!A70)</f>
        <v>0</v>
      </c>
      <c r="O12376">
        <f>IF(N12376="","",'Master Barang'!B70)</f>
        <v>0</v>
      </c>
      <c r="P12376">
        <f>IF(OR(M12376="",N12376=""),"",SUMIFS('Barang Keluar'!$E:$E,'Barang Keluar'!$A:$A,M12376,'Barang Keluar'!$C:$C,N12376))</f>
        <v>0</v>
      </c>
    </row>
    <row r="12377" spans="13:16">
      <c r="M12377" s="49">
        <f>IF($A$4+123&gt;$B$4,"",$A$4+123)</f>
        <v>46146</v>
      </c>
      <c r="N12377">
        <f>IF(M12377="","",'Master Barang'!A71)</f>
        <v>0</v>
      </c>
      <c r="O12377">
        <f>IF(N12377="","",'Master Barang'!B71)</f>
        <v>0</v>
      </c>
      <c r="P12377">
        <f>IF(OR(M12377="",N12377=""),"",SUMIFS('Barang Keluar'!$E:$E,'Barang Keluar'!$A:$A,M12377,'Barang Keluar'!$C:$C,N12377))</f>
        <v>0</v>
      </c>
    </row>
    <row r="12378" spans="13:16">
      <c r="M12378" s="49">
        <f>IF($A$4+123&gt;$B$4,"",$A$4+123)</f>
        <v>46146</v>
      </c>
      <c r="N12378">
        <f>IF(M12378="","",'Master Barang'!A72)</f>
        <v>0</v>
      </c>
      <c r="O12378">
        <f>IF(N12378="","",'Master Barang'!B72)</f>
        <v>0</v>
      </c>
      <c r="P12378">
        <f>IF(OR(M12378="",N12378=""),"",SUMIFS('Barang Keluar'!$E:$E,'Barang Keluar'!$A:$A,M12378,'Barang Keluar'!$C:$C,N12378))</f>
        <v>0</v>
      </c>
    </row>
    <row r="12379" spans="13:16">
      <c r="M12379" s="49">
        <f>IF($A$4+123&gt;$B$4,"",$A$4+123)</f>
        <v>46146</v>
      </c>
      <c r="N12379">
        <f>IF(M12379="","",'Master Barang'!A73)</f>
        <v>0</v>
      </c>
      <c r="O12379">
        <f>IF(N12379="","",'Master Barang'!B73)</f>
        <v>0</v>
      </c>
      <c r="P12379">
        <f>IF(OR(M12379="",N12379=""),"",SUMIFS('Barang Keluar'!$E:$E,'Barang Keluar'!$A:$A,M12379,'Barang Keluar'!$C:$C,N12379))</f>
        <v>0</v>
      </c>
    </row>
    <row r="12380" spans="13:16">
      <c r="M12380" s="49">
        <f>IF($A$4+123&gt;$B$4,"",$A$4+123)</f>
        <v>46146</v>
      </c>
      <c r="N12380">
        <f>IF(M12380="","",'Master Barang'!A74)</f>
        <v>0</v>
      </c>
      <c r="O12380">
        <f>IF(N12380="","",'Master Barang'!B74)</f>
        <v>0</v>
      </c>
      <c r="P12380">
        <f>IF(OR(M12380="",N12380=""),"",SUMIFS('Barang Keluar'!$E:$E,'Barang Keluar'!$A:$A,M12380,'Barang Keluar'!$C:$C,N12380))</f>
        <v>0</v>
      </c>
    </row>
    <row r="12381" spans="13:16">
      <c r="M12381" s="49">
        <f>IF($A$4+123&gt;$B$4,"",$A$4+123)</f>
        <v>46146</v>
      </c>
      <c r="N12381">
        <f>IF(M12381="","",'Master Barang'!A75)</f>
        <v>0</v>
      </c>
      <c r="O12381">
        <f>IF(N12381="","",'Master Barang'!B75)</f>
        <v>0</v>
      </c>
      <c r="P12381">
        <f>IF(OR(M12381="",N12381=""),"",SUMIFS('Barang Keluar'!$E:$E,'Barang Keluar'!$A:$A,M12381,'Barang Keluar'!$C:$C,N12381))</f>
        <v>0</v>
      </c>
    </row>
    <row r="12382" spans="13:16">
      <c r="M12382" s="49">
        <f>IF($A$4+123&gt;$B$4,"",$A$4+123)</f>
        <v>46146</v>
      </c>
      <c r="N12382">
        <f>IF(M12382="","",'Master Barang'!A76)</f>
        <v>0</v>
      </c>
      <c r="O12382">
        <f>IF(N12382="","",'Master Barang'!B76)</f>
        <v>0</v>
      </c>
      <c r="P12382">
        <f>IF(OR(M12382="",N12382=""),"",SUMIFS('Barang Keluar'!$E:$E,'Barang Keluar'!$A:$A,M12382,'Barang Keluar'!$C:$C,N12382))</f>
        <v>0</v>
      </c>
    </row>
    <row r="12383" spans="13:16">
      <c r="M12383" s="49">
        <f>IF($A$4+123&gt;$B$4,"",$A$4+123)</f>
        <v>46146</v>
      </c>
      <c r="N12383">
        <f>IF(M12383="","",'Master Barang'!A77)</f>
        <v>0</v>
      </c>
      <c r="O12383">
        <f>IF(N12383="","",'Master Barang'!B77)</f>
        <v>0</v>
      </c>
      <c r="P12383">
        <f>IF(OR(M12383="",N12383=""),"",SUMIFS('Barang Keluar'!$E:$E,'Barang Keluar'!$A:$A,M12383,'Barang Keluar'!$C:$C,N12383))</f>
        <v>0</v>
      </c>
    </row>
    <row r="12384" spans="13:16">
      <c r="M12384" s="49">
        <f>IF($A$4+123&gt;$B$4,"",$A$4+123)</f>
        <v>46146</v>
      </c>
      <c r="N12384">
        <f>IF(M12384="","",'Master Barang'!A78)</f>
        <v>0</v>
      </c>
      <c r="O12384">
        <f>IF(N12384="","",'Master Barang'!B78)</f>
        <v>0</v>
      </c>
      <c r="P12384">
        <f>IF(OR(M12384="",N12384=""),"",SUMIFS('Barang Keluar'!$E:$E,'Barang Keluar'!$A:$A,M12384,'Barang Keluar'!$C:$C,N12384))</f>
        <v>0</v>
      </c>
    </row>
    <row r="12385" spans="13:16">
      <c r="M12385" s="49">
        <f>IF($A$4+123&gt;$B$4,"",$A$4+123)</f>
        <v>46146</v>
      </c>
      <c r="N12385">
        <f>IF(M12385="","",'Master Barang'!A79)</f>
        <v>0</v>
      </c>
      <c r="O12385">
        <f>IF(N12385="","",'Master Barang'!B79)</f>
        <v>0</v>
      </c>
      <c r="P12385">
        <f>IF(OR(M12385="",N12385=""),"",SUMIFS('Barang Keluar'!$E:$E,'Barang Keluar'!$A:$A,M12385,'Barang Keluar'!$C:$C,N12385))</f>
        <v>0</v>
      </c>
    </row>
    <row r="12386" spans="13:16">
      <c r="M12386" s="49">
        <f>IF($A$4+123&gt;$B$4,"",$A$4+123)</f>
        <v>46146</v>
      </c>
      <c r="N12386">
        <f>IF(M12386="","",'Master Barang'!A80)</f>
        <v>0</v>
      </c>
      <c r="O12386">
        <f>IF(N12386="","",'Master Barang'!B80)</f>
        <v>0</v>
      </c>
      <c r="P12386">
        <f>IF(OR(M12386="",N12386=""),"",SUMIFS('Barang Keluar'!$E:$E,'Barang Keluar'!$A:$A,M12386,'Barang Keluar'!$C:$C,N12386))</f>
        <v>0</v>
      </c>
    </row>
    <row r="12387" spans="13:16">
      <c r="M12387" s="49">
        <f>IF($A$4+123&gt;$B$4,"",$A$4+123)</f>
        <v>46146</v>
      </c>
      <c r="N12387">
        <f>IF(M12387="","",'Master Barang'!A81)</f>
        <v>0</v>
      </c>
      <c r="O12387">
        <f>IF(N12387="","",'Master Barang'!B81)</f>
        <v>0</v>
      </c>
      <c r="P12387">
        <f>IF(OR(M12387="",N12387=""),"",SUMIFS('Barang Keluar'!$E:$E,'Barang Keluar'!$A:$A,M12387,'Barang Keluar'!$C:$C,N12387))</f>
        <v>0</v>
      </c>
    </row>
    <row r="12388" spans="13:16">
      <c r="M12388" s="49">
        <f>IF($A$4+123&gt;$B$4,"",$A$4+123)</f>
        <v>46146</v>
      </c>
      <c r="N12388">
        <f>IF(M12388="","",'Master Barang'!A82)</f>
        <v>0</v>
      </c>
      <c r="O12388">
        <f>IF(N12388="","",'Master Barang'!B82)</f>
        <v>0</v>
      </c>
      <c r="P12388">
        <f>IF(OR(M12388="",N12388=""),"",SUMIFS('Barang Keluar'!$E:$E,'Barang Keluar'!$A:$A,M12388,'Barang Keluar'!$C:$C,N12388))</f>
        <v>0</v>
      </c>
    </row>
    <row r="12389" spans="13:16">
      <c r="M12389" s="49">
        <f>IF($A$4+123&gt;$B$4,"",$A$4+123)</f>
        <v>46146</v>
      </c>
      <c r="N12389">
        <f>IF(M12389="","",'Master Barang'!A83)</f>
        <v>0</v>
      </c>
      <c r="O12389">
        <f>IF(N12389="","",'Master Barang'!B83)</f>
        <v>0</v>
      </c>
      <c r="P12389">
        <f>IF(OR(M12389="",N12389=""),"",SUMIFS('Barang Keluar'!$E:$E,'Barang Keluar'!$A:$A,M12389,'Barang Keluar'!$C:$C,N12389))</f>
        <v>0</v>
      </c>
    </row>
    <row r="12390" spans="13:16">
      <c r="M12390" s="49">
        <f>IF($A$4+123&gt;$B$4,"",$A$4+123)</f>
        <v>46146</v>
      </c>
      <c r="N12390">
        <f>IF(M12390="","",'Master Barang'!A84)</f>
        <v>0</v>
      </c>
      <c r="O12390">
        <f>IF(N12390="","",'Master Barang'!B84)</f>
        <v>0</v>
      </c>
      <c r="P12390">
        <f>IF(OR(M12390="",N12390=""),"",SUMIFS('Barang Keluar'!$E:$E,'Barang Keluar'!$A:$A,M12390,'Barang Keluar'!$C:$C,N12390))</f>
        <v>0</v>
      </c>
    </row>
    <row r="12391" spans="13:16">
      <c r="M12391" s="49">
        <f>IF($A$4+123&gt;$B$4,"",$A$4+123)</f>
        <v>46146</v>
      </c>
      <c r="N12391">
        <f>IF(M12391="","",'Master Barang'!A85)</f>
        <v>0</v>
      </c>
      <c r="O12391">
        <f>IF(N12391="","",'Master Barang'!B85)</f>
        <v>0</v>
      </c>
      <c r="P12391">
        <f>IF(OR(M12391="",N12391=""),"",SUMIFS('Barang Keluar'!$E:$E,'Barang Keluar'!$A:$A,M12391,'Barang Keluar'!$C:$C,N12391))</f>
        <v>0</v>
      </c>
    </row>
    <row r="12392" spans="13:16">
      <c r="M12392" s="49">
        <f>IF($A$4+123&gt;$B$4,"",$A$4+123)</f>
        <v>46146</v>
      </c>
      <c r="N12392">
        <f>IF(M12392="","",'Master Barang'!A86)</f>
        <v>0</v>
      </c>
      <c r="O12392">
        <f>IF(N12392="","",'Master Barang'!B86)</f>
        <v>0</v>
      </c>
      <c r="P12392">
        <f>IF(OR(M12392="",N12392=""),"",SUMIFS('Barang Keluar'!$E:$E,'Barang Keluar'!$A:$A,M12392,'Barang Keluar'!$C:$C,N12392))</f>
        <v>0</v>
      </c>
    </row>
    <row r="12393" spans="13:16">
      <c r="M12393" s="49">
        <f>IF($A$4+123&gt;$B$4,"",$A$4+123)</f>
        <v>46146</v>
      </c>
      <c r="N12393">
        <f>IF(M12393="","",'Master Barang'!A87)</f>
        <v>0</v>
      </c>
      <c r="O12393">
        <f>IF(N12393="","",'Master Barang'!B87)</f>
        <v>0</v>
      </c>
      <c r="P12393">
        <f>IF(OR(M12393="",N12393=""),"",SUMIFS('Barang Keluar'!$E:$E,'Barang Keluar'!$A:$A,M12393,'Barang Keluar'!$C:$C,N12393))</f>
        <v>0</v>
      </c>
    </row>
    <row r="12394" spans="13:16">
      <c r="M12394" s="49">
        <f>IF($A$4+123&gt;$B$4,"",$A$4+123)</f>
        <v>46146</v>
      </c>
      <c r="N12394">
        <f>IF(M12394="","",'Master Barang'!A88)</f>
        <v>0</v>
      </c>
      <c r="O12394">
        <f>IF(N12394="","",'Master Barang'!B88)</f>
        <v>0</v>
      </c>
      <c r="P12394">
        <f>IF(OR(M12394="",N12394=""),"",SUMIFS('Barang Keluar'!$E:$E,'Barang Keluar'!$A:$A,M12394,'Barang Keluar'!$C:$C,N12394))</f>
        <v>0</v>
      </c>
    </row>
    <row r="12395" spans="13:16">
      <c r="M12395" s="49">
        <f>IF($A$4+123&gt;$B$4,"",$A$4+123)</f>
        <v>46146</v>
      </c>
      <c r="N12395">
        <f>IF(M12395="","",'Master Barang'!A89)</f>
        <v>0</v>
      </c>
      <c r="O12395">
        <f>IF(N12395="","",'Master Barang'!B89)</f>
        <v>0</v>
      </c>
      <c r="P12395">
        <f>IF(OR(M12395="",N12395=""),"",SUMIFS('Barang Keluar'!$E:$E,'Barang Keluar'!$A:$A,M12395,'Barang Keluar'!$C:$C,N12395))</f>
        <v>0</v>
      </c>
    </row>
    <row r="12396" spans="13:16">
      <c r="M12396" s="49">
        <f>IF($A$4+123&gt;$B$4,"",$A$4+123)</f>
        <v>46146</v>
      </c>
      <c r="N12396">
        <f>IF(M12396="","",'Master Barang'!A90)</f>
        <v>0</v>
      </c>
      <c r="O12396">
        <f>IF(N12396="","",'Master Barang'!B90)</f>
        <v>0</v>
      </c>
      <c r="P12396">
        <f>IF(OR(M12396="",N12396=""),"",SUMIFS('Barang Keluar'!$E:$E,'Barang Keluar'!$A:$A,M12396,'Barang Keluar'!$C:$C,N12396))</f>
        <v>0</v>
      </c>
    </row>
    <row r="12397" spans="13:16">
      <c r="M12397" s="49">
        <f>IF($A$4+123&gt;$B$4,"",$A$4+123)</f>
        <v>46146</v>
      </c>
      <c r="N12397">
        <f>IF(M12397="","",'Master Barang'!A91)</f>
        <v>0</v>
      </c>
      <c r="O12397">
        <f>IF(N12397="","",'Master Barang'!B91)</f>
        <v>0</v>
      </c>
      <c r="P12397">
        <f>IF(OR(M12397="",N12397=""),"",SUMIFS('Barang Keluar'!$E:$E,'Barang Keluar'!$A:$A,M12397,'Barang Keluar'!$C:$C,N12397))</f>
        <v>0</v>
      </c>
    </row>
    <row r="12398" spans="13:16">
      <c r="M12398" s="49">
        <f>IF($A$4+123&gt;$B$4,"",$A$4+123)</f>
        <v>46146</v>
      </c>
      <c r="N12398">
        <f>IF(M12398="","",'Master Barang'!A92)</f>
        <v>0</v>
      </c>
      <c r="O12398">
        <f>IF(N12398="","",'Master Barang'!B92)</f>
        <v>0</v>
      </c>
      <c r="P12398">
        <f>IF(OR(M12398="",N12398=""),"",SUMIFS('Barang Keluar'!$E:$E,'Barang Keluar'!$A:$A,M12398,'Barang Keluar'!$C:$C,N12398))</f>
        <v>0</v>
      </c>
    </row>
    <row r="12399" spans="13:16">
      <c r="M12399" s="49">
        <f>IF($A$4+123&gt;$B$4,"",$A$4+123)</f>
        <v>46146</v>
      </c>
      <c r="N12399">
        <f>IF(M12399="","",'Master Barang'!A93)</f>
        <v>0</v>
      </c>
      <c r="O12399">
        <f>IF(N12399="","",'Master Barang'!B93)</f>
        <v>0</v>
      </c>
      <c r="P12399">
        <f>IF(OR(M12399="",N12399=""),"",SUMIFS('Barang Keluar'!$E:$E,'Barang Keluar'!$A:$A,M12399,'Barang Keluar'!$C:$C,N12399))</f>
        <v>0</v>
      </c>
    </row>
    <row r="12400" spans="13:16">
      <c r="M12400" s="49">
        <f>IF($A$4+123&gt;$B$4,"",$A$4+123)</f>
        <v>46146</v>
      </c>
      <c r="N12400">
        <f>IF(M12400="","",'Master Barang'!A94)</f>
        <v>0</v>
      </c>
      <c r="O12400">
        <f>IF(N12400="","",'Master Barang'!B94)</f>
        <v>0</v>
      </c>
      <c r="P12400">
        <f>IF(OR(M12400="",N12400=""),"",SUMIFS('Barang Keluar'!$E:$E,'Barang Keluar'!$A:$A,M12400,'Barang Keluar'!$C:$C,N12400))</f>
        <v>0</v>
      </c>
    </row>
    <row r="12401" spans="13:16">
      <c r="M12401" s="49">
        <f>IF($A$4+123&gt;$B$4,"",$A$4+123)</f>
        <v>46146</v>
      </c>
      <c r="N12401">
        <f>IF(M12401="","",'Master Barang'!A95)</f>
        <v>0</v>
      </c>
      <c r="O12401">
        <f>IF(N12401="","",'Master Barang'!B95)</f>
        <v>0</v>
      </c>
      <c r="P12401">
        <f>IF(OR(M12401="",N12401=""),"",SUMIFS('Barang Keluar'!$E:$E,'Barang Keluar'!$A:$A,M12401,'Barang Keluar'!$C:$C,N12401))</f>
        <v>0</v>
      </c>
    </row>
    <row r="12402" spans="13:16">
      <c r="M12402" s="49">
        <f>IF($A$4+123&gt;$B$4,"",$A$4+123)</f>
        <v>46146</v>
      </c>
      <c r="N12402">
        <f>IF(M12402="","",'Master Barang'!A96)</f>
        <v>0</v>
      </c>
      <c r="O12402">
        <f>IF(N12402="","",'Master Barang'!B96)</f>
        <v>0</v>
      </c>
      <c r="P12402">
        <f>IF(OR(M12402="",N12402=""),"",SUMIFS('Barang Keluar'!$E:$E,'Barang Keluar'!$A:$A,M12402,'Barang Keluar'!$C:$C,N12402))</f>
        <v>0</v>
      </c>
    </row>
    <row r="12403" spans="13:16">
      <c r="M12403" s="49">
        <f>IF($A$4+123&gt;$B$4,"",$A$4+123)</f>
        <v>46146</v>
      </c>
      <c r="N12403">
        <f>IF(M12403="","",'Master Barang'!A97)</f>
        <v>0</v>
      </c>
      <c r="O12403">
        <f>IF(N12403="","",'Master Barang'!B97)</f>
        <v>0</v>
      </c>
      <c r="P12403">
        <f>IF(OR(M12403="",N12403=""),"",SUMIFS('Barang Keluar'!$E:$E,'Barang Keluar'!$A:$A,M12403,'Barang Keluar'!$C:$C,N12403))</f>
        <v>0</v>
      </c>
    </row>
    <row r="12404" spans="13:16">
      <c r="M12404" s="49">
        <f>IF($A$4+123&gt;$B$4,"",$A$4+123)</f>
        <v>46146</v>
      </c>
      <c r="N12404">
        <f>IF(M12404="","",'Master Barang'!A98)</f>
        <v>0</v>
      </c>
      <c r="O12404">
        <f>IF(N12404="","",'Master Barang'!B98)</f>
        <v>0</v>
      </c>
      <c r="P12404">
        <f>IF(OR(M12404="",N12404=""),"",SUMIFS('Barang Keluar'!$E:$E,'Barang Keluar'!$A:$A,M12404,'Barang Keluar'!$C:$C,N12404))</f>
        <v>0</v>
      </c>
    </row>
    <row r="12405" spans="13:16">
      <c r="M12405" s="49">
        <f>IF($A$4+123&gt;$B$4,"",$A$4+123)</f>
        <v>46146</v>
      </c>
      <c r="N12405">
        <f>IF(M12405="","",'Master Barang'!A99)</f>
        <v>0</v>
      </c>
      <c r="O12405">
        <f>IF(N12405="","",'Master Barang'!B99)</f>
        <v>0</v>
      </c>
      <c r="P12405">
        <f>IF(OR(M12405="",N12405=""),"",SUMIFS('Barang Keluar'!$E:$E,'Barang Keluar'!$A:$A,M12405,'Barang Keluar'!$C:$C,N12405))</f>
        <v>0</v>
      </c>
    </row>
    <row r="12406" spans="13:16">
      <c r="M12406" s="49">
        <f>IF($A$4+123&gt;$B$4,"",$A$4+123)</f>
        <v>46146</v>
      </c>
      <c r="N12406">
        <f>IF(M12406="","",'Master Barang'!A100)</f>
        <v>0</v>
      </c>
      <c r="O12406">
        <f>IF(N12406="","",'Master Barang'!B100)</f>
        <v>0</v>
      </c>
      <c r="P12406">
        <f>IF(OR(M12406="",N12406=""),"",SUMIFS('Barang Keluar'!$E:$E,'Barang Keluar'!$A:$A,M12406,'Barang Keluar'!$C:$C,N12406))</f>
        <v>0</v>
      </c>
    </row>
    <row r="12407" spans="13:16">
      <c r="M12407" s="49">
        <f>IF($A$4+123&gt;$B$4,"",$A$4+123)</f>
        <v>46146</v>
      </c>
      <c r="N12407">
        <f>IF(M12407="","",'Master Barang'!A101)</f>
        <v>0</v>
      </c>
      <c r="O12407">
        <f>IF(N12407="","",'Master Barang'!B101)</f>
        <v>0</v>
      </c>
      <c r="P12407">
        <f>IF(OR(M12407="",N12407=""),"",SUMIFS('Barang Keluar'!$E:$E,'Barang Keluar'!$A:$A,M12407,'Barang Keluar'!$C:$C,N12407))</f>
        <v>0</v>
      </c>
    </row>
    <row r="12408" spans="13:16">
      <c r="M12408" s="49">
        <f>IF($A$4+124&gt;$B$4,"",$A$4+124)</f>
        <v>46147</v>
      </c>
      <c r="N12408" t="str">
        <f>IF(M12408="","",'Master Barang'!A2)</f>
        <v>PRL-001</v>
      </c>
      <c r="O12408" t="str">
        <f>IF(N12408="","",'Master Barang'!B2)</f>
        <v>natura desinfectant food grade 5l</v>
      </c>
      <c r="P12408">
        <f>IF(OR(M12408="",N12408=""),"",SUMIFS('Barang Keluar'!$E:$E,'Barang Keluar'!$A:$A,M12408,'Barang Keluar'!$C:$C,N12408))</f>
        <v>0</v>
      </c>
    </row>
    <row r="12409" spans="13:16">
      <c r="M12409" s="49">
        <f>IF($A$4+124&gt;$B$4,"",$A$4+124)</f>
        <v>46147</v>
      </c>
      <c r="N12409" t="str">
        <f>IF(M12409="","",'Master Barang'!A3)</f>
        <v>PRL-002</v>
      </c>
      <c r="O12409" t="str">
        <f>IF(N12409="","",'Master Barang'!B3)</f>
        <v>sunlight cairan pencuci piring 5l</v>
      </c>
      <c r="P12409">
        <f>IF(OR(M12409="",N12409=""),"",SUMIFS('Barang Keluar'!$E:$E,'Barang Keluar'!$A:$A,M12409,'Barang Keluar'!$C:$C,N12409))</f>
        <v>0</v>
      </c>
    </row>
    <row r="12410" spans="13:16">
      <c r="M12410" s="49">
        <f>IF($A$4+124&gt;$B$4,"",$A$4+124)</f>
        <v>46147</v>
      </c>
      <c r="N12410" t="str">
        <f>IF(M12410="","",'Master Barang'!A4)</f>
        <v>PRL-003</v>
      </c>
      <c r="O12410" t="str">
        <f>IF(N12410="","",'Master Barang'!B4)</f>
        <v>oixs cleaner 1l</v>
      </c>
      <c r="P12410">
        <f>IF(OR(M12410="",N12410=""),"",SUMIFS('Barang Keluar'!$E:$E,'Barang Keluar'!$A:$A,M12410,'Barang Keluar'!$C:$C,N12410))</f>
        <v>0</v>
      </c>
    </row>
    <row r="12411" spans="13:16">
      <c r="M12411" s="49">
        <f>IF($A$4+124&gt;$B$4,"",$A$4+124)</f>
        <v>46147</v>
      </c>
      <c r="N12411" t="str">
        <f>IF(M12411="","",'Master Barang'!A5)</f>
        <v>PRL-004</v>
      </c>
      <c r="O12411" t="str">
        <f>IF(N12411="","",'Master Barang'!B5)</f>
        <v>be clean tissue serbaguna</v>
      </c>
      <c r="P12411">
        <f>IF(OR(M12411="",N12411=""),"",SUMIFS('Barang Keluar'!$E:$E,'Barang Keluar'!$A:$A,M12411,'Barang Keluar'!$C:$C,N12411))</f>
        <v>0</v>
      </c>
    </row>
    <row r="12412" spans="13:16">
      <c r="M12412" s="49">
        <f>IF($A$4+124&gt;$B$4,"",$A$4+124)</f>
        <v>46147</v>
      </c>
      <c r="N12412" t="str">
        <f>IF(M12412="","",'Master Barang'!A6)</f>
        <v>PRL-005</v>
      </c>
      <c r="O12412" t="str">
        <f>IF(N12412="","",'Master Barang'!B6)</f>
        <v>spons cuci hijau</v>
      </c>
      <c r="P12412">
        <f>IF(OR(M12412="",N12412=""),"",SUMIFS('Barang Keluar'!$E:$E,'Barang Keluar'!$A:$A,M12412,'Barang Keluar'!$C:$C,N12412))</f>
        <v>0</v>
      </c>
    </row>
    <row r="12413" spans="13:16">
      <c r="M12413" s="49">
        <f>IF($A$4+124&gt;$B$4,"",$A$4+124)</f>
        <v>46147</v>
      </c>
      <c r="N12413" t="str">
        <f>IF(M12413="","",'Master Barang'!A7)</f>
        <v>PRL-006</v>
      </c>
      <c r="O12413" t="str">
        <f>IF(N12413="","",'Master Barang'!B7)</f>
        <v>sabut cuci stainless</v>
      </c>
      <c r="P12413">
        <f>IF(OR(M12413="",N12413=""),"",SUMIFS('Barang Keluar'!$E:$E,'Barang Keluar'!$A:$A,M12413,'Barang Keluar'!$C:$C,N12413))</f>
        <v>0</v>
      </c>
    </row>
    <row r="12414" spans="13:16">
      <c r="M12414" s="49">
        <f>IF($A$4+124&gt;$B$4,"",$A$4+124)</f>
        <v>46147</v>
      </c>
      <c r="N12414" t="str">
        <f>IF(M12414="","",'Master Barang'!A8)</f>
        <v>PRL-007</v>
      </c>
      <c r="O12414" t="str">
        <f>IF(N12414="","",'Master Barang'!B8)</f>
        <v>plastik kresek besar merah 50pc</v>
      </c>
      <c r="P12414">
        <f>IF(OR(M12414="",N12414=""),"",SUMIFS('Barang Keluar'!$E:$E,'Barang Keluar'!$A:$A,M12414,'Barang Keluar'!$C:$C,N12414))</f>
        <v>0</v>
      </c>
    </row>
    <row r="12415" spans="13:16">
      <c r="M12415" s="49">
        <f>IF($A$4+124&gt;$B$4,"",$A$4+124)</f>
        <v>46147</v>
      </c>
      <c r="N12415" t="str">
        <f>IF(M12415="","",'Master Barang'!A9)</f>
        <v>PRL-008</v>
      </c>
      <c r="O12415" t="str">
        <f>IF(N12415="","",'Master Barang'!B9)</f>
        <v>lap besar</v>
      </c>
      <c r="P12415">
        <f>IF(OR(M12415="",N12415=""),"",SUMIFS('Barang Keluar'!$E:$E,'Barang Keluar'!$A:$A,M12415,'Barang Keluar'!$C:$C,N12415))</f>
        <v>0</v>
      </c>
    </row>
    <row r="12416" spans="13:16">
      <c r="M12416" s="49">
        <f>IF($A$4+124&gt;$B$4,"",$A$4+124)</f>
        <v>46147</v>
      </c>
      <c r="N12416" t="str">
        <f>IF(M12416="","",'Master Barang'!A10)</f>
        <v>PRL-009</v>
      </c>
      <c r="O12416" t="str">
        <f>IF(N12416="","",'Master Barang'!B10)</f>
        <v>lap microfiber</v>
      </c>
      <c r="P12416">
        <f>IF(OR(M12416="",N12416=""),"",SUMIFS('Barang Keluar'!$E:$E,'Barang Keluar'!$A:$A,M12416,'Barang Keluar'!$C:$C,N12416))</f>
        <v>0</v>
      </c>
    </row>
    <row r="12417" spans="13:16">
      <c r="M12417" s="49">
        <f>IF($A$4+124&gt;$B$4,"",$A$4+124)</f>
        <v>46147</v>
      </c>
      <c r="N12417" t="str">
        <f>IF(M12417="","",'Master Barang'!A11)</f>
        <v>PRL-010</v>
      </c>
      <c r="O12417" t="str">
        <f>IF(N12417="","",'Master Barang'!B11)</f>
        <v>lap kecil</v>
      </c>
      <c r="P12417">
        <f>IF(OR(M12417="",N12417=""),"",SUMIFS('Barang Keluar'!$E:$E,'Barang Keluar'!$A:$A,M12417,'Barang Keluar'!$C:$C,N12417))</f>
        <v>0</v>
      </c>
    </row>
    <row r="12418" spans="13:16">
      <c r="M12418" s="49">
        <f>IF($A$4+124&gt;$B$4,"",$A$4+124)</f>
        <v>46147</v>
      </c>
      <c r="N12418" t="str">
        <f>IF(M12418="","",'Master Barang'!A12)</f>
        <v>PRL-011</v>
      </c>
      <c r="O12418" t="str">
        <f>IF(N12418="","",'Master Barang'!B12)</f>
        <v>kanebo kecil</v>
      </c>
      <c r="P12418">
        <f>IF(OR(M12418="",N12418=""),"",SUMIFS('Barang Keluar'!$E:$E,'Barang Keluar'!$A:$A,M12418,'Barang Keluar'!$C:$C,N12418))</f>
        <v>0</v>
      </c>
    </row>
    <row r="12419" spans="13:16">
      <c r="M12419" s="49">
        <f>IF($A$4+124&gt;$B$4,"",$A$4+124)</f>
        <v>46147</v>
      </c>
      <c r="N12419" t="str">
        <f>IF(M12419="","",'Master Barang'!A13)</f>
        <v>PRL-012</v>
      </c>
      <c r="O12419" t="str">
        <f>IF(N12419="","",'Master Barang'!B13)</f>
        <v>plastik 1/4kg joyoboyo 100 lembar</v>
      </c>
      <c r="P12419">
        <f>IF(OR(M12419="",N12419=""),"",SUMIFS('Barang Keluar'!$E:$E,'Barang Keluar'!$A:$A,M12419,'Barang Keluar'!$C:$C,N12419))</f>
        <v>0</v>
      </c>
    </row>
    <row r="12420" spans="13:16">
      <c r="M12420" s="49">
        <f>IF($A$4+124&gt;$B$4,"",$A$4+124)</f>
        <v>46147</v>
      </c>
      <c r="N12420" t="str">
        <f>IF(M12420="","",'Master Barang'!A14)</f>
        <v>PRL-013</v>
      </c>
      <c r="O12420" t="str">
        <f>IF(N12420="","",'Master Barang'!B14)</f>
        <v>sarung tangan plastik kaka 100 pcs</v>
      </c>
      <c r="P12420">
        <f>IF(OR(M12420="",N12420=""),"",SUMIFS('Barang Keluar'!$E:$E,'Barang Keluar'!$A:$A,M12420,'Barang Keluar'!$C:$C,N12420))</f>
        <v>0</v>
      </c>
    </row>
    <row r="12421" spans="13:16">
      <c r="M12421" s="49">
        <f>IF($A$4+124&gt;$B$4,"",$A$4+124)</f>
        <v>46147</v>
      </c>
      <c r="N12421" t="str">
        <f>IF(M12421="","",'Master Barang'!A15)</f>
        <v>PRL-014</v>
      </c>
      <c r="O12421" t="str">
        <f>IF(N12421="","",'Master Barang'!B15)</f>
        <v>optima trashbag 80x100</v>
      </c>
      <c r="P12421">
        <f>IF(OR(M12421="",N12421=""),"",SUMIFS('Barang Keluar'!$E:$E,'Barang Keluar'!$A:$A,M12421,'Barang Keluar'!$C:$C,N12421))</f>
        <v>0</v>
      </c>
    </row>
    <row r="12422" spans="13:16">
      <c r="M12422" s="49">
        <f>IF($A$4+124&gt;$B$4,"",$A$4+124)</f>
        <v>46147</v>
      </c>
      <c r="N12422" t="str">
        <f>IF(M12422="","",'Master Barang'!A16)</f>
        <v>PRL-015</v>
      </c>
      <c r="O12422" t="str">
        <f>IF(N12422="","",'Master Barang'!B16)</f>
        <v>optima trashbag 60x100</v>
      </c>
      <c r="P12422">
        <f>IF(OR(M12422="",N12422=""),"",SUMIFS('Barang Keluar'!$E:$E,'Barang Keluar'!$A:$A,M12422,'Barang Keluar'!$C:$C,N12422))</f>
        <v>0</v>
      </c>
    </row>
    <row r="12423" spans="13:16">
      <c r="M12423" s="49">
        <f>IF($A$4+124&gt;$B$4,"",$A$4+124)</f>
        <v>46147</v>
      </c>
      <c r="N12423" t="str">
        <f>IF(M12423="","",'Master Barang'!A17)</f>
        <v>PRL-016</v>
      </c>
      <c r="O12423" t="str">
        <f>IF(N12423="","",'Master Barang'!B17)</f>
        <v>rajawali trashbag 30x40</v>
      </c>
      <c r="P12423">
        <f>IF(OR(M12423="",N12423=""),"",SUMIFS('Barang Keluar'!$E:$E,'Barang Keluar'!$A:$A,M12423,'Barang Keluar'!$C:$C,N12423))</f>
        <v>0</v>
      </c>
    </row>
    <row r="12424" spans="13:16">
      <c r="M12424" s="49">
        <f>IF($A$4+124&gt;$B$4,"",$A$4+124)</f>
        <v>46147</v>
      </c>
      <c r="N12424" t="str">
        <f>IF(M12424="","",'Master Barang'!A18)</f>
        <v>PRL-017</v>
      </c>
      <c r="O12424" t="str">
        <f>IF(N12424="","",'Master Barang'!B18)</f>
        <v>onemed masker biru 3 play 50 pcs</v>
      </c>
      <c r="P12424">
        <f>IF(OR(M12424="",N12424=""),"",SUMIFS('Barang Keluar'!$E:$E,'Barang Keluar'!$A:$A,M12424,'Barang Keluar'!$C:$C,N12424))</f>
        <v>0</v>
      </c>
    </row>
    <row r="12425" spans="13:16">
      <c r="M12425" s="49">
        <f>IF($A$4+124&gt;$B$4,"",$A$4+124)</f>
        <v>46147</v>
      </c>
      <c r="N12425" t="str">
        <f>IF(M12425="","",'Master Barang'!A19)</f>
        <v>PRL-018</v>
      </c>
      <c r="O12425" t="str">
        <f>IF(N12425="","",'Master Barang'!B19)</f>
        <v>onemed masker biru 3 play hijab 50 pcs</v>
      </c>
      <c r="P12425">
        <f>IF(OR(M12425="",N12425=""),"",SUMIFS('Barang Keluar'!$E:$E,'Barang Keluar'!$A:$A,M12425,'Barang Keluar'!$C:$C,N12425))</f>
        <v>0</v>
      </c>
    </row>
    <row r="12426" spans="13:16">
      <c r="M12426" s="49">
        <f>IF($A$4+124&gt;$B$4,"",$A$4+124)</f>
        <v>46147</v>
      </c>
      <c r="N12426" t="str">
        <f>IF(M12426="","",'Master Barang'!A20)</f>
        <v>PRL-019</v>
      </c>
      <c r="O12426" t="str">
        <f>IF(N12426="","",'Master Barang'!B20)</f>
        <v>neo health masker biru 3 play 50 pcs</v>
      </c>
      <c r="P12426">
        <f>IF(OR(M12426="",N12426=""),"",SUMIFS('Barang Keluar'!$E:$E,'Barang Keluar'!$A:$A,M12426,'Barang Keluar'!$C:$C,N12426))</f>
        <v>0</v>
      </c>
    </row>
    <row r="12427" spans="13:16">
      <c r="M12427" s="49">
        <f>IF($A$4+124&gt;$B$4,"",$A$4+124)</f>
        <v>46147</v>
      </c>
      <c r="N12427" t="str">
        <f>IF(M12427="","",'Master Barang'!A21)</f>
        <v>PRL-020</v>
      </c>
      <c r="O12427" t="str">
        <f>IF(N12427="","",'Master Barang'!B21)</f>
        <v>baymed masker hijau 3 play hijau 50 pcs</v>
      </c>
      <c r="P12427">
        <f>IF(OR(M12427="",N12427=""),"",SUMIFS('Barang Keluar'!$E:$E,'Barang Keluar'!$A:$A,M12427,'Barang Keluar'!$C:$C,N12427))</f>
        <v>0</v>
      </c>
    </row>
    <row r="12428" spans="13:16">
      <c r="M12428" s="49">
        <f>IF($A$4+124&gt;$B$4,"",$A$4+124)</f>
        <v>46147</v>
      </c>
      <c r="N12428" t="str">
        <f>IF(M12428="","",'Master Barang'!A22)</f>
        <v>PRL-021</v>
      </c>
      <c r="O12428" t="str">
        <f>IF(N12428="","",'Master Barang'!B22)</f>
        <v>altamed nurse cap penutup kepala 100 pcs</v>
      </c>
      <c r="P12428">
        <f>IF(OR(M12428="",N12428=""),"",SUMIFS('Barang Keluar'!$E:$E,'Barang Keluar'!$A:$A,M12428,'Barang Keluar'!$C:$C,N12428))</f>
        <v>0</v>
      </c>
    </row>
    <row r="12429" spans="13:16">
      <c r="M12429" s="49">
        <f>IF($A$4+124&gt;$B$4,"",$A$4+124)</f>
        <v>46147</v>
      </c>
      <c r="N12429" t="str">
        <f>IF(M12429="","",'Master Barang'!A23)</f>
        <v>PRL-022</v>
      </c>
      <c r="O12429" t="str">
        <f>IF(N12429="","",'Master Barang'!B23)</f>
        <v>sabun cuci tangan</v>
      </c>
      <c r="P12429">
        <f>IF(OR(M12429="",N12429=""),"",SUMIFS('Barang Keluar'!$E:$E,'Barang Keluar'!$A:$A,M12429,'Barang Keluar'!$C:$C,N12429))</f>
        <v>0</v>
      </c>
    </row>
    <row r="12430" spans="13:16">
      <c r="M12430" s="49">
        <f>IF($A$4+124&gt;$B$4,"",$A$4+124)</f>
        <v>46147</v>
      </c>
      <c r="N12430" t="str">
        <f>IF(M12430="","",'Master Barang'!A24)</f>
        <v>PRL-023</v>
      </c>
      <c r="O12430" t="str">
        <f>IF(N12430="","",'Master Barang'!B24)</f>
        <v>gayung kecil</v>
      </c>
      <c r="P12430">
        <f>IF(OR(M12430="",N12430=""),"",SUMIFS('Barang Keluar'!$E:$E,'Barang Keluar'!$A:$A,M12430,'Barang Keluar'!$C:$C,N12430))</f>
        <v>0</v>
      </c>
    </row>
    <row r="12431" spans="13:16">
      <c r="M12431" s="49">
        <f>IF($A$4+124&gt;$B$4,"",$A$4+124)</f>
        <v>46147</v>
      </c>
      <c r="N12431" t="str">
        <f>IF(M12431="","",'Master Barang'!A25)</f>
        <v>PRL-024</v>
      </c>
      <c r="O12431" t="str">
        <f>IF(N12431="","",'Master Barang'!B25)</f>
        <v>cikrak kecil</v>
      </c>
      <c r="P12431">
        <f>IF(OR(M12431="",N12431=""),"",SUMIFS('Barang Keluar'!$E:$E,'Barang Keluar'!$A:$A,M12431,'Barang Keluar'!$C:$C,N12431))</f>
        <v>0</v>
      </c>
    </row>
    <row r="12432" spans="13:16">
      <c r="M12432" s="49">
        <f>IF($A$4+124&gt;$B$4,"",$A$4+124)</f>
        <v>46147</v>
      </c>
      <c r="N12432" t="str">
        <f>IF(M12432="","",'Master Barang'!A26)</f>
        <v>PRL-025</v>
      </c>
      <c r="O12432" t="str">
        <f>IF(N12432="","",'Master Barang'!B26)</f>
        <v>petromax plastik kecil 12x24 100 lembar</v>
      </c>
      <c r="P12432">
        <f>IF(OR(M12432="",N12432=""),"",SUMIFS('Barang Keluar'!$E:$E,'Barang Keluar'!$A:$A,M12432,'Barang Keluar'!$C:$C,N12432))</f>
        <v>0</v>
      </c>
    </row>
    <row r="12433" spans="13:16">
      <c r="M12433" s="49">
        <f>IF($A$4+124&gt;$B$4,"",$A$4+124)</f>
        <v>46147</v>
      </c>
      <c r="N12433" t="str">
        <f>IF(M12433="","",'Master Barang'!A27)</f>
        <v>PRL-026</v>
      </c>
      <c r="O12433" t="str">
        <f>IF(N12433="","",'Master Barang'!B27)</f>
        <v>lancar kresek kecil bening </v>
      </c>
      <c r="P12433">
        <f>IF(OR(M12433="",N12433=""),"",SUMIFS('Barang Keluar'!$E:$E,'Barang Keluar'!$A:$A,M12433,'Barang Keluar'!$C:$C,N12433))</f>
        <v>0</v>
      </c>
    </row>
    <row r="12434" spans="13:16">
      <c r="M12434" s="49">
        <f>IF($A$4+124&gt;$B$4,"",$A$4+124)</f>
        <v>46147</v>
      </c>
      <c r="N12434" t="str">
        <f>IF(M12434="","",'Master Barang'!A28)</f>
        <v>PRL-027</v>
      </c>
      <c r="O12434" t="str">
        <f>IF(N12434="","",'Master Barang'!B28)</f>
        <v>kresek klin warna warni kecil</v>
      </c>
      <c r="P12434">
        <f>IF(OR(M12434="",N12434=""),"",SUMIFS('Barang Keluar'!$E:$E,'Barang Keluar'!$A:$A,M12434,'Barang Keluar'!$C:$C,N12434))</f>
        <v>0</v>
      </c>
    </row>
    <row r="12435" spans="13:16">
      <c r="M12435" s="49">
        <f>IF($A$4+124&gt;$B$4,"",$A$4+124)</f>
        <v>46147</v>
      </c>
      <c r="N12435" t="str">
        <f>IF(M12435="","",'Master Barang'!A29)</f>
        <v>PRL-028</v>
      </c>
      <c r="O12435" t="str">
        <f>IF(N12435="","",'Master Barang'!B29)</f>
        <v>ctik plastik 7x10 100 pcs</v>
      </c>
      <c r="P12435">
        <f>IF(OR(M12435="",N12435=""),"",SUMIFS('Barang Keluar'!$E:$E,'Barang Keluar'!$A:$A,M12435,'Barang Keluar'!$C:$C,N12435))</f>
        <v>0</v>
      </c>
    </row>
    <row r="12436" spans="13:16">
      <c r="M12436" s="49">
        <f>IF($A$4+124&gt;$B$4,"",$A$4+124)</f>
        <v>46147</v>
      </c>
      <c r="N12436" t="str">
        <f>IF(M12436="","",'Master Barang'!A30)</f>
        <v>PRL-029</v>
      </c>
      <c r="O12436" t="str">
        <f>IF(N12436="","",'Master Barang'!B30)</f>
        <v>ctik plastik 6x10 100 pcs</v>
      </c>
      <c r="P12436">
        <f>IF(OR(M12436="",N12436=""),"",SUMIFS('Barang Keluar'!$E:$E,'Barang Keluar'!$A:$A,M12436,'Barang Keluar'!$C:$C,N12436))</f>
        <v>0</v>
      </c>
    </row>
    <row r="12437" spans="13:16">
      <c r="M12437" s="49">
        <f>IF($A$4+124&gt;$B$4,"",$A$4+124)</f>
        <v>46147</v>
      </c>
      <c r="N12437" t="str">
        <f>IF(M12437="","",'Master Barang'!A31)</f>
        <v>PRL-030</v>
      </c>
      <c r="O12437" t="str">
        <f>IF(N12437="","",'Master Barang'!B31)</f>
        <v>klip plastik 25x16 100 pcs</v>
      </c>
      <c r="P12437">
        <f>IF(OR(M12437="",N12437=""),"",SUMIFS('Barang Keluar'!$E:$E,'Barang Keluar'!$A:$A,M12437,'Barang Keluar'!$C:$C,N12437))</f>
        <v>0</v>
      </c>
    </row>
    <row r="12438" spans="13:16">
      <c r="M12438" s="49">
        <f>IF($A$4+124&gt;$B$4,"",$A$4+124)</f>
        <v>46147</v>
      </c>
      <c r="N12438" t="str">
        <f>IF(M12438="","",'Master Barang'!A32)</f>
        <v>PRL-031</v>
      </c>
      <c r="O12438" t="str">
        <f>IF(N12438="","",'Master Barang'!B32)</f>
        <v>tempat saus 20 ml</v>
      </c>
      <c r="P12438">
        <f>IF(OR(M12438="",N12438=""),"",SUMIFS('Barang Keluar'!$E:$E,'Barang Keluar'!$A:$A,M12438,'Barang Keluar'!$C:$C,N12438))</f>
        <v>0</v>
      </c>
    </row>
    <row r="12439" spans="13:16">
      <c r="M12439" s="49">
        <f>IF($A$4+124&gt;$B$4,"",$A$4+124)</f>
        <v>46147</v>
      </c>
      <c r="N12439" t="str">
        <f>IF(M12439="","",'Master Barang'!A33)</f>
        <v>PRL-032</v>
      </c>
      <c r="O12439" t="str">
        <f>IF(N12439="","",'Master Barang'!B33)</f>
        <v>plastik packaging ag box uk sedang</v>
      </c>
      <c r="P12439">
        <f>IF(OR(M12439="",N12439=""),"",SUMIFS('Barang Keluar'!$E:$E,'Barang Keluar'!$A:$A,M12439,'Barang Keluar'!$C:$C,N12439))</f>
        <v>0</v>
      </c>
    </row>
    <row r="12440" spans="13:16">
      <c r="M12440" s="49">
        <f>IF($A$4+124&gt;$B$4,"",$A$4+124)</f>
        <v>46147</v>
      </c>
      <c r="N12440" t="str">
        <f>IF(M12440="","",'Master Barang'!A34)</f>
        <v>PRL-033</v>
      </c>
      <c r="O12440">
        <f>IF(N12440="","",'Master Barang'!B34)</f>
        <v>0</v>
      </c>
      <c r="P12440">
        <f>IF(OR(M12440="",N12440=""),"",SUMIFS('Barang Keluar'!$E:$E,'Barang Keluar'!$A:$A,M12440,'Barang Keluar'!$C:$C,N12440))</f>
        <v>0</v>
      </c>
    </row>
    <row r="12441" spans="13:16">
      <c r="M12441" s="49">
        <f>IF($A$4+124&gt;$B$4,"",$A$4+124)</f>
        <v>46147</v>
      </c>
      <c r="N12441">
        <f>IF(M12441="","",'Master Barang'!A35)</f>
        <v>0</v>
      </c>
      <c r="O12441">
        <f>IF(N12441="","",'Master Barang'!B35)</f>
        <v>0</v>
      </c>
      <c r="P12441">
        <f>IF(OR(M12441="",N12441=""),"",SUMIFS('Barang Keluar'!$E:$E,'Barang Keluar'!$A:$A,M12441,'Barang Keluar'!$C:$C,N12441))</f>
        <v>0</v>
      </c>
    </row>
    <row r="12442" spans="13:16">
      <c r="M12442" s="49">
        <f>IF($A$4+124&gt;$B$4,"",$A$4+124)</f>
        <v>46147</v>
      </c>
      <c r="N12442">
        <f>IF(M12442="","",'Master Barang'!A36)</f>
        <v>0</v>
      </c>
      <c r="O12442">
        <f>IF(N12442="","",'Master Barang'!B36)</f>
        <v>0</v>
      </c>
      <c r="P12442">
        <f>IF(OR(M12442="",N12442=""),"",SUMIFS('Barang Keluar'!$E:$E,'Barang Keluar'!$A:$A,M12442,'Barang Keluar'!$C:$C,N12442))</f>
        <v>0</v>
      </c>
    </row>
    <row r="12443" spans="13:16">
      <c r="M12443" s="49">
        <f>IF($A$4+124&gt;$B$4,"",$A$4+124)</f>
        <v>46147</v>
      </c>
      <c r="N12443">
        <f>IF(M12443="","",'Master Barang'!A37)</f>
        <v>0</v>
      </c>
      <c r="O12443">
        <f>IF(N12443="","",'Master Barang'!B37)</f>
        <v>0</v>
      </c>
      <c r="P12443">
        <f>IF(OR(M12443="",N12443=""),"",SUMIFS('Barang Keluar'!$E:$E,'Barang Keluar'!$A:$A,M12443,'Barang Keluar'!$C:$C,N12443))</f>
        <v>0</v>
      </c>
    </row>
    <row r="12444" spans="13:16">
      <c r="M12444" s="49">
        <f>IF($A$4+124&gt;$B$4,"",$A$4+124)</f>
        <v>46147</v>
      </c>
      <c r="N12444">
        <f>IF(M12444="","",'Master Barang'!A38)</f>
        <v>0</v>
      </c>
      <c r="O12444">
        <f>IF(N12444="","",'Master Barang'!B38)</f>
        <v>0</v>
      </c>
      <c r="P12444">
        <f>IF(OR(M12444="",N12444=""),"",SUMIFS('Barang Keluar'!$E:$E,'Barang Keluar'!$A:$A,M12444,'Barang Keluar'!$C:$C,N12444))</f>
        <v>0</v>
      </c>
    </row>
    <row r="12445" spans="13:16">
      <c r="M12445" s="49">
        <f>IF($A$4+124&gt;$B$4,"",$A$4+124)</f>
        <v>46147</v>
      </c>
      <c r="N12445">
        <f>IF(M12445="","",'Master Barang'!A39)</f>
        <v>0</v>
      </c>
      <c r="O12445">
        <f>IF(N12445="","",'Master Barang'!B39)</f>
        <v>0</v>
      </c>
      <c r="P12445">
        <f>IF(OR(M12445="",N12445=""),"",SUMIFS('Barang Keluar'!$E:$E,'Barang Keluar'!$A:$A,M12445,'Barang Keluar'!$C:$C,N12445))</f>
        <v>0</v>
      </c>
    </row>
    <row r="12446" spans="13:16">
      <c r="M12446" s="49">
        <f>IF($A$4+124&gt;$B$4,"",$A$4+124)</f>
        <v>46147</v>
      </c>
      <c r="N12446">
        <f>IF(M12446="","",'Master Barang'!A40)</f>
        <v>0</v>
      </c>
      <c r="O12446">
        <f>IF(N12446="","",'Master Barang'!B40)</f>
        <v>0</v>
      </c>
      <c r="P12446">
        <f>IF(OR(M12446="",N12446=""),"",SUMIFS('Barang Keluar'!$E:$E,'Barang Keluar'!$A:$A,M12446,'Barang Keluar'!$C:$C,N12446))</f>
        <v>0</v>
      </c>
    </row>
    <row r="12447" spans="13:16">
      <c r="M12447" s="49">
        <f>IF($A$4+124&gt;$B$4,"",$A$4+124)</f>
        <v>46147</v>
      </c>
      <c r="N12447">
        <f>IF(M12447="","",'Master Barang'!A41)</f>
        <v>0</v>
      </c>
      <c r="O12447">
        <f>IF(N12447="","",'Master Barang'!B41)</f>
        <v>0</v>
      </c>
      <c r="P12447">
        <f>IF(OR(M12447="",N12447=""),"",SUMIFS('Barang Keluar'!$E:$E,'Barang Keluar'!$A:$A,M12447,'Barang Keluar'!$C:$C,N12447))</f>
        <v>0</v>
      </c>
    </row>
    <row r="12448" spans="13:16">
      <c r="M12448" s="49">
        <f>IF($A$4+124&gt;$B$4,"",$A$4+124)</f>
        <v>46147</v>
      </c>
      <c r="N12448">
        <f>IF(M12448="","",'Master Barang'!A42)</f>
        <v>0</v>
      </c>
      <c r="O12448">
        <f>IF(N12448="","",'Master Barang'!B42)</f>
        <v>0</v>
      </c>
      <c r="P12448">
        <f>IF(OR(M12448="",N12448=""),"",SUMIFS('Barang Keluar'!$E:$E,'Barang Keluar'!$A:$A,M12448,'Barang Keluar'!$C:$C,N12448))</f>
        <v>0</v>
      </c>
    </row>
    <row r="12449" spans="13:16">
      <c r="M12449" s="49">
        <f>IF($A$4+124&gt;$B$4,"",$A$4+124)</f>
        <v>46147</v>
      </c>
      <c r="N12449">
        <f>IF(M12449="","",'Master Barang'!A43)</f>
        <v>0</v>
      </c>
      <c r="O12449">
        <f>IF(N12449="","",'Master Barang'!B43)</f>
        <v>0</v>
      </c>
      <c r="P12449">
        <f>IF(OR(M12449="",N12449=""),"",SUMIFS('Barang Keluar'!$E:$E,'Barang Keluar'!$A:$A,M12449,'Barang Keluar'!$C:$C,N12449))</f>
        <v>0</v>
      </c>
    </row>
    <row r="12450" spans="13:16">
      <c r="M12450" s="49">
        <f>IF($A$4+124&gt;$B$4,"",$A$4+124)</f>
        <v>46147</v>
      </c>
      <c r="N12450">
        <f>IF(M12450="","",'Master Barang'!A44)</f>
        <v>0</v>
      </c>
      <c r="O12450">
        <f>IF(N12450="","",'Master Barang'!B44)</f>
        <v>0</v>
      </c>
      <c r="P12450">
        <f>IF(OR(M12450="",N12450=""),"",SUMIFS('Barang Keluar'!$E:$E,'Barang Keluar'!$A:$A,M12450,'Barang Keluar'!$C:$C,N12450))</f>
        <v>0</v>
      </c>
    </row>
    <row r="12451" spans="13:16">
      <c r="M12451" s="49">
        <f>IF($A$4+124&gt;$B$4,"",$A$4+124)</f>
        <v>46147</v>
      </c>
      <c r="N12451">
        <f>IF(M12451="","",'Master Barang'!A45)</f>
        <v>0</v>
      </c>
      <c r="O12451">
        <f>IF(N12451="","",'Master Barang'!B45)</f>
        <v>0</v>
      </c>
      <c r="P12451">
        <f>IF(OR(M12451="",N12451=""),"",SUMIFS('Barang Keluar'!$E:$E,'Barang Keluar'!$A:$A,M12451,'Barang Keluar'!$C:$C,N12451))</f>
        <v>0</v>
      </c>
    </row>
    <row r="12452" spans="13:16">
      <c r="M12452" s="49">
        <f>IF($A$4+124&gt;$B$4,"",$A$4+124)</f>
        <v>46147</v>
      </c>
      <c r="N12452">
        <f>IF(M12452="","",'Master Barang'!A46)</f>
        <v>0</v>
      </c>
      <c r="O12452">
        <f>IF(N12452="","",'Master Barang'!B46)</f>
        <v>0</v>
      </c>
      <c r="P12452">
        <f>IF(OR(M12452="",N12452=""),"",SUMIFS('Barang Keluar'!$E:$E,'Barang Keluar'!$A:$A,M12452,'Barang Keluar'!$C:$C,N12452))</f>
        <v>0</v>
      </c>
    </row>
    <row r="12453" spans="13:16">
      <c r="M12453" s="49">
        <f>IF($A$4+124&gt;$B$4,"",$A$4+124)</f>
        <v>46147</v>
      </c>
      <c r="N12453">
        <f>IF(M12453="","",'Master Barang'!A47)</f>
        <v>0</v>
      </c>
      <c r="O12453">
        <f>IF(N12453="","",'Master Barang'!B47)</f>
        <v>0</v>
      </c>
      <c r="P12453">
        <f>IF(OR(M12453="",N12453=""),"",SUMIFS('Barang Keluar'!$E:$E,'Barang Keluar'!$A:$A,M12453,'Barang Keluar'!$C:$C,N12453))</f>
        <v>0</v>
      </c>
    </row>
    <row r="12454" spans="13:16">
      <c r="M12454" s="49">
        <f>IF($A$4+124&gt;$B$4,"",$A$4+124)</f>
        <v>46147</v>
      </c>
      <c r="N12454">
        <f>IF(M12454="","",'Master Barang'!A48)</f>
        <v>0</v>
      </c>
      <c r="O12454">
        <f>IF(N12454="","",'Master Barang'!B48)</f>
        <v>0</v>
      </c>
      <c r="P12454">
        <f>IF(OR(M12454="",N12454=""),"",SUMIFS('Barang Keluar'!$E:$E,'Barang Keluar'!$A:$A,M12454,'Barang Keluar'!$C:$C,N12454))</f>
        <v>0</v>
      </c>
    </row>
    <row r="12455" spans="13:16">
      <c r="M12455" s="49">
        <f>IF($A$4+124&gt;$B$4,"",$A$4+124)</f>
        <v>46147</v>
      </c>
      <c r="N12455">
        <f>IF(M12455="","",'Master Barang'!A49)</f>
        <v>0</v>
      </c>
      <c r="O12455">
        <f>IF(N12455="","",'Master Barang'!B49)</f>
        <v>0</v>
      </c>
      <c r="P12455">
        <f>IF(OR(M12455="",N12455=""),"",SUMIFS('Barang Keluar'!$E:$E,'Barang Keluar'!$A:$A,M12455,'Barang Keluar'!$C:$C,N12455))</f>
        <v>0</v>
      </c>
    </row>
    <row r="12456" spans="13:16">
      <c r="M12456" s="49">
        <f>IF($A$4+124&gt;$B$4,"",$A$4+124)</f>
        <v>46147</v>
      </c>
      <c r="N12456">
        <f>IF(M12456="","",'Master Barang'!A50)</f>
        <v>0</v>
      </c>
      <c r="O12456">
        <f>IF(N12456="","",'Master Barang'!B50)</f>
        <v>0</v>
      </c>
      <c r="P12456">
        <f>IF(OR(M12456="",N12456=""),"",SUMIFS('Barang Keluar'!$E:$E,'Barang Keluar'!$A:$A,M12456,'Barang Keluar'!$C:$C,N12456))</f>
        <v>0</v>
      </c>
    </row>
    <row r="12457" spans="13:16">
      <c r="M12457" s="49">
        <f>IF($A$4+124&gt;$B$4,"",$A$4+124)</f>
        <v>46147</v>
      </c>
      <c r="N12457">
        <f>IF(M12457="","",'Master Barang'!A51)</f>
        <v>0</v>
      </c>
      <c r="O12457">
        <f>IF(N12457="","",'Master Barang'!B51)</f>
        <v>0</v>
      </c>
      <c r="P12457">
        <f>IF(OR(M12457="",N12457=""),"",SUMIFS('Barang Keluar'!$E:$E,'Barang Keluar'!$A:$A,M12457,'Barang Keluar'!$C:$C,N12457))</f>
        <v>0</v>
      </c>
    </row>
    <row r="12458" spans="13:16">
      <c r="M12458" s="49">
        <f>IF($A$4+124&gt;$B$4,"",$A$4+124)</f>
        <v>46147</v>
      </c>
      <c r="N12458">
        <f>IF(M12458="","",'Master Barang'!A52)</f>
        <v>0</v>
      </c>
      <c r="O12458">
        <f>IF(N12458="","",'Master Barang'!B52)</f>
        <v>0</v>
      </c>
      <c r="P12458">
        <f>IF(OR(M12458="",N12458=""),"",SUMIFS('Barang Keluar'!$E:$E,'Barang Keluar'!$A:$A,M12458,'Barang Keluar'!$C:$C,N12458))</f>
        <v>0</v>
      </c>
    </row>
    <row r="12459" spans="13:16">
      <c r="M12459" s="49">
        <f>IF($A$4+124&gt;$B$4,"",$A$4+124)</f>
        <v>46147</v>
      </c>
      <c r="N12459">
        <f>IF(M12459="","",'Master Barang'!A53)</f>
        <v>0</v>
      </c>
      <c r="O12459">
        <f>IF(N12459="","",'Master Barang'!B53)</f>
        <v>0</v>
      </c>
      <c r="P12459">
        <f>IF(OR(M12459="",N12459=""),"",SUMIFS('Barang Keluar'!$E:$E,'Barang Keluar'!$A:$A,M12459,'Barang Keluar'!$C:$C,N12459))</f>
        <v>0</v>
      </c>
    </row>
    <row r="12460" spans="13:16">
      <c r="M12460" s="49">
        <f>IF($A$4+124&gt;$B$4,"",$A$4+124)</f>
        <v>46147</v>
      </c>
      <c r="N12460">
        <f>IF(M12460="","",'Master Barang'!A54)</f>
        <v>0</v>
      </c>
      <c r="O12460">
        <f>IF(N12460="","",'Master Barang'!B54)</f>
        <v>0</v>
      </c>
      <c r="P12460">
        <f>IF(OR(M12460="",N12460=""),"",SUMIFS('Barang Keluar'!$E:$E,'Barang Keluar'!$A:$A,M12460,'Barang Keluar'!$C:$C,N12460))</f>
        <v>0</v>
      </c>
    </row>
    <row r="12461" spans="13:16">
      <c r="M12461" s="49">
        <f>IF($A$4+124&gt;$B$4,"",$A$4+124)</f>
        <v>46147</v>
      </c>
      <c r="N12461">
        <f>IF(M12461="","",'Master Barang'!A55)</f>
        <v>0</v>
      </c>
      <c r="O12461">
        <f>IF(N12461="","",'Master Barang'!B55)</f>
        <v>0</v>
      </c>
      <c r="P12461">
        <f>IF(OR(M12461="",N12461=""),"",SUMIFS('Barang Keluar'!$E:$E,'Barang Keluar'!$A:$A,M12461,'Barang Keluar'!$C:$C,N12461))</f>
        <v>0</v>
      </c>
    </row>
    <row r="12462" spans="13:16">
      <c r="M12462" s="49">
        <f>IF($A$4+124&gt;$B$4,"",$A$4+124)</f>
        <v>46147</v>
      </c>
      <c r="N12462">
        <f>IF(M12462="","",'Master Barang'!A56)</f>
        <v>0</v>
      </c>
      <c r="O12462">
        <f>IF(N12462="","",'Master Barang'!B56)</f>
        <v>0</v>
      </c>
      <c r="P12462">
        <f>IF(OR(M12462="",N12462=""),"",SUMIFS('Barang Keluar'!$E:$E,'Barang Keluar'!$A:$A,M12462,'Barang Keluar'!$C:$C,N12462))</f>
        <v>0</v>
      </c>
    </row>
    <row r="12463" spans="13:16">
      <c r="M12463" s="49">
        <f>IF($A$4+124&gt;$B$4,"",$A$4+124)</f>
        <v>46147</v>
      </c>
      <c r="N12463">
        <f>IF(M12463="","",'Master Barang'!A57)</f>
        <v>0</v>
      </c>
      <c r="O12463">
        <f>IF(N12463="","",'Master Barang'!B57)</f>
        <v>0</v>
      </c>
      <c r="P12463">
        <f>IF(OR(M12463="",N12463=""),"",SUMIFS('Barang Keluar'!$E:$E,'Barang Keluar'!$A:$A,M12463,'Barang Keluar'!$C:$C,N12463))</f>
        <v>0</v>
      </c>
    </row>
    <row r="12464" spans="13:16">
      <c r="M12464" s="49">
        <f>IF($A$4+124&gt;$B$4,"",$A$4+124)</f>
        <v>46147</v>
      </c>
      <c r="N12464">
        <f>IF(M12464="","",'Master Barang'!A58)</f>
        <v>0</v>
      </c>
      <c r="O12464">
        <f>IF(N12464="","",'Master Barang'!B58)</f>
        <v>0</v>
      </c>
      <c r="P12464">
        <f>IF(OR(M12464="",N12464=""),"",SUMIFS('Barang Keluar'!$E:$E,'Barang Keluar'!$A:$A,M12464,'Barang Keluar'!$C:$C,N12464))</f>
        <v>0</v>
      </c>
    </row>
    <row r="12465" spans="13:16">
      <c r="M12465" s="49">
        <f>IF($A$4+124&gt;$B$4,"",$A$4+124)</f>
        <v>46147</v>
      </c>
      <c r="N12465">
        <f>IF(M12465="","",'Master Barang'!A59)</f>
        <v>0</v>
      </c>
      <c r="O12465">
        <f>IF(N12465="","",'Master Barang'!B59)</f>
        <v>0</v>
      </c>
      <c r="P12465">
        <f>IF(OR(M12465="",N12465=""),"",SUMIFS('Barang Keluar'!$E:$E,'Barang Keluar'!$A:$A,M12465,'Barang Keluar'!$C:$C,N12465))</f>
        <v>0</v>
      </c>
    </row>
    <row r="12466" spans="13:16">
      <c r="M12466" s="49">
        <f>IF($A$4+124&gt;$B$4,"",$A$4+124)</f>
        <v>46147</v>
      </c>
      <c r="N12466">
        <f>IF(M12466="","",'Master Barang'!A60)</f>
        <v>0</v>
      </c>
      <c r="O12466">
        <f>IF(N12466="","",'Master Barang'!B60)</f>
        <v>0</v>
      </c>
      <c r="P12466">
        <f>IF(OR(M12466="",N12466=""),"",SUMIFS('Barang Keluar'!$E:$E,'Barang Keluar'!$A:$A,M12466,'Barang Keluar'!$C:$C,N12466))</f>
        <v>0</v>
      </c>
    </row>
    <row r="12467" spans="13:16">
      <c r="M12467" s="49">
        <f>IF($A$4+124&gt;$B$4,"",$A$4+124)</f>
        <v>46147</v>
      </c>
      <c r="N12467">
        <f>IF(M12467="","",'Master Barang'!A61)</f>
        <v>0</v>
      </c>
      <c r="O12467">
        <f>IF(N12467="","",'Master Barang'!B61)</f>
        <v>0</v>
      </c>
      <c r="P12467">
        <f>IF(OR(M12467="",N12467=""),"",SUMIFS('Barang Keluar'!$E:$E,'Barang Keluar'!$A:$A,M12467,'Barang Keluar'!$C:$C,N12467))</f>
        <v>0</v>
      </c>
    </row>
    <row r="12468" spans="13:16">
      <c r="M12468" s="49">
        <f>IF($A$4+124&gt;$B$4,"",$A$4+124)</f>
        <v>46147</v>
      </c>
      <c r="N12468">
        <f>IF(M12468="","",'Master Barang'!A62)</f>
        <v>0</v>
      </c>
      <c r="O12468">
        <f>IF(N12468="","",'Master Barang'!B62)</f>
        <v>0</v>
      </c>
      <c r="P12468">
        <f>IF(OR(M12468="",N12468=""),"",SUMIFS('Barang Keluar'!$E:$E,'Barang Keluar'!$A:$A,M12468,'Barang Keluar'!$C:$C,N12468))</f>
        <v>0</v>
      </c>
    </row>
    <row r="12469" spans="13:16">
      <c r="M12469" s="49">
        <f>IF($A$4+124&gt;$B$4,"",$A$4+124)</f>
        <v>46147</v>
      </c>
      <c r="N12469">
        <f>IF(M12469="","",'Master Barang'!A63)</f>
        <v>0</v>
      </c>
      <c r="O12469">
        <f>IF(N12469="","",'Master Barang'!B63)</f>
        <v>0</v>
      </c>
      <c r="P12469">
        <f>IF(OR(M12469="",N12469=""),"",SUMIFS('Barang Keluar'!$E:$E,'Barang Keluar'!$A:$A,M12469,'Barang Keluar'!$C:$C,N12469))</f>
        <v>0</v>
      </c>
    </row>
    <row r="12470" spans="13:16">
      <c r="M12470" s="49">
        <f>IF($A$4+124&gt;$B$4,"",$A$4+124)</f>
        <v>46147</v>
      </c>
      <c r="N12470">
        <f>IF(M12470="","",'Master Barang'!A64)</f>
        <v>0</v>
      </c>
      <c r="O12470">
        <f>IF(N12470="","",'Master Barang'!B64)</f>
        <v>0</v>
      </c>
      <c r="P12470">
        <f>IF(OR(M12470="",N12470=""),"",SUMIFS('Barang Keluar'!$E:$E,'Barang Keluar'!$A:$A,M12470,'Barang Keluar'!$C:$C,N12470))</f>
        <v>0</v>
      </c>
    </row>
    <row r="12471" spans="13:16">
      <c r="M12471" s="49">
        <f>IF($A$4+124&gt;$B$4,"",$A$4+124)</f>
        <v>46147</v>
      </c>
      <c r="N12471">
        <f>IF(M12471="","",'Master Barang'!A65)</f>
        <v>0</v>
      </c>
      <c r="O12471">
        <f>IF(N12471="","",'Master Barang'!B65)</f>
        <v>0</v>
      </c>
      <c r="P12471">
        <f>IF(OR(M12471="",N12471=""),"",SUMIFS('Barang Keluar'!$E:$E,'Barang Keluar'!$A:$A,M12471,'Barang Keluar'!$C:$C,N12471))</f>
        <v>0</v>
      </c>
    </row>
    <row r="12472" spans="13:16">
      <c r="M12472" s="49">
        <f>IF($A$4+124&gt;$B$4,"",$A$4+124)</f>
        <v>46147</v>
      </c>
      <c r="N12472">
        <f>IF(M12472="","",'Master Barang'!A66)</f>
        <v>0</v>
      </c>
      <c r="O12472">
        <f>IF(N12472="","",'Master Barang'!B66)</f>
        <v>0</v>
      </c>
      <c r="P12472">
        <f>IF(OR(M12472="",N12472=""),"",SUMIFS('Barang Keluar'!$E:$E,'Barang Keluar'!$A:$A,M12472,'Barang Keluar'!$C:$C,N12472))</f>
        <v>0</v>
      </c>
    </row>
    <row r="12473" spans="13:16">
      <c r="M12473" s="49">
        <f>IF($A$4+124&gt;$B$4,"",$A$4+124)</f>
        <v>46147</v>
      </c>
      <c r="N12473">
        <f>IF(M12473="","",'Master Barang'!A67)</f>
        <v>0</v>
      </c>
      <c r="O12473">
        <f>IF(N12473="","",'Master Barang'!B67)</f>
        <v>0</v>
      </c>
      <c r="P12473">
        <f>IF(OR(M12473="",N12473=""),"",SUMIFS('Barang Keluar'!$E:$E,'Barang Keluar'!$A:$A,M12473,'Barang Keluar'!$C:$C,N12473))</f>
        <v>0</v>
      </c>
    </row>
    <row r="12474" spans="13:16">
      <c r="M12474" s="49">
        <f>IF($A$4+124&gt;$B$4,"",$A$4+124)</f>
        <v>46147</v>
      </c>
      <c r="N12474">
        <f>IF(M12474="","",'Master Barang'!A68)</f>
        <v>0</v>
      </c>
      <c r="O12474">
        <f>IF(N12474="","",'Master Barang'!B68)</f>
        <v>0</v>
      </c>
      <c r="P12474">
        <f>IF(OR(M12474="",N12474=""),"",SUMIFS('Barang Keluar'!$E:$E,'Barang Keluar'!$A:$A,M12474,'Barang Keluar'!$C:$C,N12474))</f>
        <v>0</v>
      </c>
    </row>
    <row r="12475" spans="13:16">
      <c r="M12475" s="49">
        <f>IF($A$4+124&gt;$B$4,"",$A$4+124)</f>
        <v>46147</v>
      </c>
      <c r="N12475">
        <f>IF(M12475="","",'Master Barang'!A69)</f>
        <v>0</v>
      </c>
      <c r="O12475">
        <f>IF(N12475="","",'Master Barang'!B69)</f>
        <v>0</v>
      </c>
      <c r="P12475">
        <f>IF(OR(M12475="",N12475=""),"",SUMIFS('Barang Keluar'!$E:$E,'Barang Keluar'!$A:$A,M12475,'Barang Keluar'!$C:$C,N12475))</f>
        <v>0</v>
      </c>
    </row>
    <row r="12476" spans="13:16">
      <c r="M12476" s="49">
        <f>IF($A$4+124&gt;$B$4,"",$A$4+124)</f>
        <v>46147</v>
      </c>
      <c r="N12476">
        <f>IF(M12476="","",'Master Barang'!A70)</f>
        <v>0</v>
      </c>
      <c r="O12476">
        <f>IF(N12476="","",'Master Barang'!B70)</f>
        <v>0</v>
      </c>
      <c r="P12476">
        <f>IF(OR(M12476="",N12476=""),"",SUMIFS('Barang Keluar'!$E:$E,'Barang Keluar'!$A:$A,M12476,'Barang Keluar'!$C:$C,N12476))</f>
        <v>0</v>
      </c>
    </row>
    <row r="12477" spans="13:16">
      <c r="M12477" s="49">
        <f>IF($A$4+124&gt;$B$4,"",$A$4+124)</f>
        <v>46147</v>
      </c>
      <c r="N12477">
        <f>IF(M12477="","",'Master Barang'!A71)</f>
        <v>0</v>
      </c>
      <c r="O12477">
        <f>IF(N12477="","",'Master Barang'!B71)</f>
        <v>0</v>
      </c>
      <c r="P12477">
        <f>IF(OR(M12477="",N12477=""),"",SUMIFS('Barang Keluar'!$E:$E,'Barang Keluar'!$A:$A,M12477,'Barang Keluar'!$C:$C,N12477))</f>
        <v>0</v>
      </c>
    </row>
    <row r="12478" spans="13:16">
      <c r="M12478" s="49">
        <f>IF($A$4+124&gt;$B$4,"",$A$4+124)</f>
        <v>46147</v>
      </c>
      <c r="N12478">
        <f>IF(M12478="","",'Master Barang'!A72)</f>
        <v>0</v>
      </c>
      <c r="O12478">
        <f>IF(N12478="","",'Master Barang'!B72)</f>
        <v>0</v>
      </c>
      <c r="P12478">
        <f>IF(OR(M12478="",N12478=""),"",SUMIFS('Barang Keluar'!$E:$E,'Barang Keluar'!$A:$A,M12478,'Barang Keluar'!$C:$C,N12478))</f>
        <v>0</v>
      </c>
    </row>
    <row r="12479" spans="13:16">
      <c r="M12479" s="49">
        <f>IF($A$4+124&gt;$B$4,"",$A$4+124)</f>
        <v>46147</v>
      </c>
      <c r="N12479">
        <f>IF(M12479="","",'Master Barang'!A73)</f>
        <v>0</v>
      </c>
      <c r="O12479">
        <f>IF(N12479="","",'Master Barang'!B73)</f>
        <v>0</v>
      </c>
      <c r="P12479">
        <f>IF(OR(M12479="",N12479=""),"",SUMIFS('Barang Keluar'!$E:$E,'Barang Keluar'!$A:$A,M12479,'Barang Keluar'!$C:$C,N12479))</f>
        <v>0</v>
      </c>
    </row>
    <row r="12480" spans="13:16">
      <c r="M12480" s="49">
        <f>IF($A$4+124&gt;$B$4,"",$A$4+124)</f>
        <v>46147</v>
      </c>
      <c r="N12480">
        <f>IF(M12480="","",'Master Barang'!A74)</f>
        <v>0</v>
      </c>
      <c r="O12480">
        <f>IF(N12480="","",'Master Barang'!B74)</f>
        <v>0</v>
      </c>
      <c r="P12480">
        <f>IF(OR(M12480="",N12480=""),"",SUMIFS('Barang Keluar'!$E:$E,'Barang Keluar'!$A:$A,M12480,'Barang Keluar'!$C:$C,N12480))</f>
        <v>0</v>
      </c>
    </row>
    <row r="12481" spans="13:16">
      <c r="M12481" s="49">
        <f>IF($A$4+124&gt;$B$4,"",$A$4+124)</f>
        <v>46147</v>
      </c>
      <c r="N12481">
        <f>IF(M12481="","",'Master Barang'!A75)</f>
        <v>0</v>
      </c>
      <c r="O12481">
        <f>IF(N12481="","",'Master Barang'!B75)</f>
        <v>0</v>
      </c>
      <c r="P12481">
        <f>IF(OR(M12481="",N12481=""),"",SUMIFS('Barang Keluar'!$E:$E,'Barang Keluar'!$A:$A,M12481,'Barang Keluar'!$C:$C,N12481))</f>
        <v>0</v>
      </c>
    </row>
    <row r="12482" spans="13:16">
      <c r="M12482" s="49">
        <f>IF($A$4+124&gt;$B$4,"",$A$4+124)</f>
        <v>46147</v>
      </c>
      <c r="N12482">
        <f>IF(M12482="","",'Master Barang'!A76)</f>
        <v>0</v>
      </c>
      <c r="O12482">
        <f>IF(N12482="","",'Master Barang'!B76)</f>
        <v>0</v>
      </c>
      <c r="P12482">
        <f>IF(OR(M12482="",N12482=""),"",SUMIFS('Barang Keluar'!$E:$E,'Barang Keluar'!$A:$A,M12482,'Barang Keluar'!$C:$C,N12482))</f>
        <v>0</v>
      </c>
    </row>
    <row r="12483" spans="13:16">
      <c r="M12483" s="49">
        <f>IF($A$4+124&gt;$B$4,"",$A$4+124)</f>
        <v>46147</v>
      </c>
      <c r="N12483">
        <f>IF(M12483="","",'Master Barang'!A77)</f>
        <v>0</v>
      </c>
      <c r="O12483">
        <f>IF(N12483="","",'Master Barang'!B77)</f>
        <v>0</v>
      </c>
      <c r="P12483">
        <f>IF(OR(M12483="",N12483=""),"",SUMIFS('Barang Keluar'!$E:$E,'Barang Keluar'!$A:$A,M12483,'Barang Keluar'!$C:$C,N12483))</f>
        <v>0</v>
      </c>
    </row>
    <row r="12484" spans="13:16">
      <c r="M12484" s="49">
        <f>IF($A$4+124&gt;$B$4,"",$A$4+124)</f>
        <v>46147</v>
      </c>
      <c r="N12484">
        <f>IF(M12484="","",'Master Barang'!A78)</f>
        <v>0</v>
      </c>
      <c r="O12484">
        <f>IF(N12484="","",'Master Barang'!B78)</f>
        <v>0</v>
      </c>
      <c r="P12484">
        <f>IF(OR(M12484="",N12484=""),"",SUMIFS('Barang Keluar'!$E:$E,'Barang Keluar'!$A:$A,M12484,'Barang Keluar'!$C:$C,N12484))</f>
        <v>0</v>
      </c>
    </row>
    <row r="12485" spans="13:16">
      <c r="M12485" s="49">
        <f>IF($A$4+124&gt;$B$4,"",$A$4+124)</f>
        <v>46147</v>
      </c>
      <c r="N12485">
        <f>IF(M12485="","",'Master Barang'!A79)</f>
        <v>0</v>
      </c>
      <c r="O12485">
        <f>IF(N12485="","",'Master Barang'!B79)</f>
        <v>0</v>
      </c>
      <c r="P12485">
        <f>IF(OR(M12485="",N12485=""),"",SUMIFS('Barang Keluar'!$E:$E,'Barang Keluar'!$A:$A,M12485,'Barang Keluar'!$C:$C,N12485))</f>
        <v>0</v>
      </c>
    </row>
    <row r="12486" spans="13:16">
      <c r="M12486" s="49">
        <f>IF($A$4+124&gt;$B$4,"",$A$4+124)</f>
        <v>46147</v>
      </c>
      <c r="N12486">
        <f>IF(M12486="","",'Master Barang'!A80)</f>
        <v>0</v>
      </c>
      <c r="O12486">
        <f>IF(N12486="","",'Master Barang'!B80)</f>
        <v>0</v>
      </c>
      <c r="P12486">
        <f>IF(OR(M12486="",N12486=""),"",SUMIFS('Barang Keluar'!$E:$E,'Barang Keluar'!$A:$A,M12486,'Barang Keluar'!$C:$C,N12486))</f>
        <v>0</v>
      </c>
    </row>
    <row r="12487" spans="13:16">
      <c r="M12487" s="49">
        <f>IF($A$4+124&gt;$B$4,"",$A$4+124)</f>
        <v>46147</v>
      </c>
      <c r="N12487">
        <f>IF(M12487="","",'Master Barang'!A81)</f>
        <v>0</v>
      </c>
      <c r="O12487">
        <f>IF(N12487="","",'Master Barang'!B81)</f>
        <v>0</v>
      </c>
      <c r="P12487">
        <f>IF(OR(M12487="",N12487=""),"",SUMIFS('Barang Keluar'!$E:$E,'Barang Keluar'!$A:$A,M12487,'Barang Keluar'!$C:$C,N12487))</f>
        <v>0</v>
      </c>
    </row>
    <row r="12488" spans="13:16">
      <c r="M12488" s="49">
        <f>IF($A$4+124&gt;$B$4,"",$A$4+124)</f>
        <v>46147</v>
      </c>
      <c r="N12488">
        <f>IF(M12488="","",'Master Barang'!A82)</f>
        <v>0</v>
      </c>
      <c r="O12488">
        <f>IF(N12488="","",'Master Barang'!B82)</f>
        <v>0</v>
      </c>
      <c r="P12488">
        <f>IF(OR(M12488="",N12488=""),"",SUMIFS('Barang Keluar'!$E:$E,'Barang Keluar'!$A:$A,M12488,'Barang Keluar'!$C:$C,N12488))</f>
        <v>0</v>
      </c>
    </row>
    <row r="12489" spans="13:16">
      <c r="M12489" s="49">
        <f>IF($A$4+124&gt;$B$4,"",$A$4+124)</f>
        <v>46147</v>
      </c>
      <c r="N12489">
        <f>IF(M12489="","",'Master Barang'!A83)</f>
        <v>0</v>
      </c>
      <c r="O12489">
        <f>IF(N12489="","",'Master Barang'!B83)</f>
        <v>0</v>
      </c>
      <c r="P12489">
        <f>IF(OR(M12489="",N12489=""),"",SUMIFS('Barang Keluar'!$E:$E,'Barang Keluar'!$A:$A,M12489,'Barang Keluar'!$C:$C,N12489))</f>
        <v>0</v>
      </c>
    </row>
    <row r="12490" spans="13:16">
      <c r="M12490" s="49">
        <f>IF($A$4+124&gt;$B$4,"",$A$4+124)</f>
        <v>46147</v>
      </c>
      <c r="N12490">
        <f>IF(M12490="","",'Master Barang'!A84)</f>
        <v>0</v>
      </c>
      <c r="O12490">
        <f>IF(N12490="","",'Master Barang'!B84)</f>
        <v>0</v>
      </c>
      <c r="P12490">
        <f>IF(OR(M12490="",N12490=""),"",SUMIFS('Barang Keluar'!$E:$E,'Barang Keluar'!$A:$A,M12490,'Barang Keluar'!$C:$C,N12490))</f>
        <v>0</v>
      </c>
    </row>
    <row r="12491" spans="13:16">
      <c r="M12491" s="49">
        <f>IF($A$4+124&gt;$B$4,"",$A$4+124)</f>
        <v>46147</v>
      </c>
      <c r="N12491">
        <f>IF(M12491="","",'Master Barang'!A85)</f>
        <v>0</v>
      </c>
      <c r="O12491">
        <f>IF(N12491="","",'Master Barang'!B85)</f>
        <v>0</v>
      </c>
      <c r="P12491">
        <f>IF(OR(M12491="",N12491=""),"",SUMIFS('Barang Keluar'!$E:$E,'Barang Keluar'!$A:$A,M12491,'Barang Keluar'!$C:$C,N12491))</f>
        <v>0</v>
      </c>
    </row>
    <row r="12492" spans="13:16">
      <c r="M12492" s="49">
        <f>IF($A$4+124&gt;$B$4,"",$A$4+124)</f>
        <v>46147</v>
      </c>
      <c r="N12492">
        <f>IF(M12492="","",'Master Barang'!A86)</f>
        <v>0</v>
      </c>
      <c r="O12492">
        <f>IF(N12492="","",'Master Barang'!B86)</f>
        <v>0</v>
      </c>
      <c r="P12492">
        <f>IF(OR(M12492="",N12492=""),"",SUMIFS('Barang Keluar'!$E:$E,'Barang Keluar'!$A:$A,M12492,'Barang Keluar'!$C:$C,N12492))</f>
        <v>0</v>
      </c>
    </row>
    <row r="12493" spans="13:16">
      <c r="M12493" s="49">
        <f>IF($A$4+124&gt;$B$4,"",$A$4+124)</f>
        <v>46147</v>
      </c>
      <c r="N12493">
        <f>IF(M12493="","",'Master Barang'!A87)</f>
        <v>0</v>
      </c>
      <c r="O12493">
        <f>IF(N12493="","",'Master Barang'!B87)</f>
        <v>0</v>
      </c>
      <c r="P12493">
        <f>IF(OR(M12493="",N12493=""),"",SUMIFS('Barang Keluar'!$E:$E,'Barang Keluar'!$A:$A,M12493,'Barang Keluar'!$C:$C,N12493))</f>
        <v>0</v>
      </c>
    </row>
    <row r="12494" spans="13:16">
      <c r="M12494" s="49">
        <f>IF($A$4+124&gt;$B$4,"",$A$4+124)</f>
        <v>46147</v>
      </c>
      <c r="N12494">
        <f>IF(M12494="","",'Master Barang'!A88)</f>
        <v>0</v>
      </c>
      <c r="O12494">
        <f>IF(N12494="","",'Master Barang'!B88)</f>
        <v>0</v>
      </c>
      <c r="P12494">
        <f>IF(OR(M12494="",N12494=""),"",SUMIFS('Barang Keluar'!$E:$E,'Barang Keluar'!$A:$A,M12494,'Barang Keluar'!$C:$C,N12494))</f>
        <v>0</v>
      </c>
    </row>
    <row r="12495" spans="13:16">
      <c r="M12495" s="49">
        <f>IF($A$4+124&gt;$B$4,"",$A$4+124)</f>
        <v>46147</v>
      </c>
      <c r="N12495">
        <f>IF(M12495="","",'Master Barang'!A89)</f>
        <v>0</v>
      </c>
      <c r="O12495">
        <f>IF(N12495="","",'Master Barang'!B89)</f>
        <v>0</v>
      </c>
      <c r="P12495">
        <f>IF(OR(M12495="",N12495=""),"",SUMIFS('Barang Keluar'!$E:$E,'Barang Keluar'!$A:$A,M12495,'Barang Keluar'!$C:$C,N12495))</f>
        <v>0</v>
      </c>
    </row>
    <row r="12496" spans="13:16">
      <c r="M12496" s="49">
        <f>IF($A$4+124&gt;$B$4,"",$A$4+124)</f>
        <v>46147</v>
      </c>
      <c r="N12496">
        <f>IF(M12496="","",'Master Barang'!A90)</f>
        <v>0</v>
      </c>
      <c r="O12496">
        <f>IF(N12496="","",'Master Barang'!B90)</f>
        <v>0</v>
      </c>
      <c r="P12496">
        <f>IF(OR(M12496="",N12496=""),"",SUMIFS('Barang Keluar'!$E:$E,'Barang Keluar'!$A:$A,M12496,'Barang Keluar'!$C:$C,N12496))</f>
        <v>0</v>
      </c>
    </row>
    <row r="12497" spans="13:16">
      <c r="M12497" s="49">
        <f>IF($A$4+124&gt;$B$4,"",$A$4+124)</f>
        <v>46147</v>
      </c>
      <c r="N12497">
        <f>IF(M12497="","",'Master Barang'!A91)</f>
        <v>0</v>
      </c>
      <c r="O12497">
        <f>IF(N12497="","",'Master Barang'!B91)</f>
        <v>0</v>
      </c>
      <c r="P12497">
        <f>IF(OR(M12497="",N12497=""),"",SUMIFS('Barang Keluar'!$E:$E,'Barang Keluar'!$A:$A,M12497,'Barang Keluar'!$C:$C,N12497))</f>
        <v>0</v>
      </c>
    </row>
    <row r="12498" spans="13:16">
      <c r="M12498" s="49">
        <f>IF($A$4+124&gt;$B$4,"",$A$4+124)</f>
        <v>46147</v>
      </c>
      <c r="N12498">
        <f>IF(M12498="","",'Master Barang'!A92)</f>
        <v>0</v>
      </c>
      <c r="O12498">
        <f>IF(N12498="","",'Master Barang'!B92)</f>
        <v>0</v>
      </c>
      <c r="P12498">
        <f>IF(OR(M12498="",N12498=""),"",SUMIFS('Barang Keluar'!$E:$E,'Barang Keluar'!$A:$A,M12498,'Barang Keluar'!$C:$C,N12498))</f>
        <v>0</v>
      </c>
    </row>
    <row r="12499" spans="13:16">
      <c r="M12499" s="49">
        <f>IF($A$4+124&gt;$B$4,"",$A$4+124)</f>
        <v>46147</v>
      </c>
      <c r="N12499">
        <f>IF(M12499="","",'Master Barang'!A93)</f>
        <v>0</v>
      </c>
      <c r="O12499">
        <f>IF(N12499="","",'Master Barang'!B93)</f>
        <v>0</v>
      </c>
      <c r="P12499">
        <f>IF(OR(M12499="",N12499=""),"",SUMIFS('Barang Keluar'!$E:$E,'Barang Keluar'!$A:$A,M12499,'Barang Keluar'!$C:$C,N12499))</f>
        <v>0</v>
      </c>
    </row>
    <row r="12500" spans="13:16">
      <c r="M12500" s="49">
        <f>IF($A$4+124&gt;$B$4,"",$A$4+124)</f>
        <v>46147</v>
      </c>
      <c r="N12500">
        <f>IF(M12500="","",'Master Barang'!A94)</f>
        <v>0</v>
      </c>
      <c r="O12500">
        <f>IF(N12500="","",'Master Barang'!B94)</f>
        <v>0</v>
      </c>
      <c r="P12500">
        <f>IF(OR(M12500="",N12500=""),"",SUMIFS('Barang Keluar'!$E:$E,'Barang Keluar'!$A:$A,M12500,'Barang Keluar'!$C:$C,N12500))</f>
        <v>0</v>
      </c>
    </row>
    <row r="12501" spans="13:16">
      <c r="M12501" s="49">
        <f>IF($A$4+124&gt;$B$4,"",$A$4+124)</f>
        <v>46147</v>
      </c>
      <c r="N12501">
        <f>IF(M12501="","",'Master Barang'!A95)</f>
        <v>0</v>
      </c>
      <c r="O12501">
        <f>IF(N12501="","",'Master Barang'!B95)</f>
        <v>0</v>
      </c>
      <c r="P12501">
        <f>IF(OR(M12501="",N12501=""),"",SUMIFS('Barang Keluar'!$E:$E,'Barang Keluar'!$A:$A,M12501,'Barang Keluar'!$C:$C,N12501))</f>
        <v>0</v>
      </c>
    </row>
    <row r="12502" spans="13:16">
      <c r="M12502" s="49">
        <f>IF($A$4+124&gt;$B$4,"",$A$4+124)</f>
        <v>46147</v>
      </c>
      <c r="N12502">
        <f>IF(M12502="","",'Master Barang'!A96)</f>
        <v>0</v>
      </c>
      <c r="O12502">
        <f>IF(N12502="","",'Master Barang'!B96)</f>
        <v>0</v>
      </c>
      <c r="P12502">
        <f>IF(OR(M12502="",N12502=""),"",SUMIFS('Barang Keluar'!$E:$E,'Barang Keluar'!$A:$A,M12502,'Barang Keluar'!$C:$C,N12502))</f>
        <v>0</v>
      </c>
    </row>
    <row r="12503" spans="13:16">
      <c r="M12503" s="49">
        <f>IF($A$4+124&gt;$B$4,"",$A$4+124)</f>
        <v>46147</v>
      </c>
      <c r="N12503">
        <f>IF(M12503="","",'Master Barang'!A97)</f>
        <v>0</v>
      </c>
      <c r="O12503">
        <f>IF(N12503="","",'Master Barang'!B97)</f>
        <v>0</v>
      </c>
      <c r="P12503">
        <f>IF(OR(M12503="",N12503=""),"",SUMIFS('Barang Keluar'!$E:$E,'Barang Keluar'!$A:$A,M12503,'Barang Keluar'!$C:$C,N12503))</f>
        <v>0</v>
      </c>
    </row>
    <row r="12504" spans="13:16">
      <c r="M12504" s="49">
        <f>IF($A$4+124&gt;$B$4,"",$A$4+124)</f>
        <v>46147</v>
      </c>
      <c r="N12504">
        <f>IF(M12504="","",'Master Barang'!A98)</f>
        <v>0</v>
      </c>
      <c r="O12504">
        <f>IF(N12504="","",'Master Barang'!B98)</f>
        <v>0</v>
      </c>
      <c r="P12504">
        <f>IF(OR(M12504="",N12504=""),"",SUMIFS('Barang Keluar'!$E:$E,'Barang Keluar'!$A:$A,M12504,'Barang Keluar'!$C:$C,N12504))</f>
        <v>0</v>
      </c>
    </row>
    <row r="12505" spans="13:16">
      <c r="M12505" s="49">
        <f>IF($A$4+124&gt;$B$4,"",$A$4+124)</f>
        <v>46147</v>
      </c>
      <c r="N12505">
        <f>IF(M12505="","",'Master Barang'!A99)</f>
        <v>0</v>
      </c>
      <c r="O12505">
        <f>IF(N12505="","",'Master Barang'!B99)</f>
        <v>0</v>
      </c>
      <c r="P12505">
        <f>IF(OR(M12505="",N12505=""),"",SUMIFS('Barang Keluar'!$E:$E,'Barang Keluar'!$A:$A,M12505,'Barang Keluar'!$C:$C,N12505))</f>
        <v>0</v>
      </c>
    </row>
    <row r="12506" spans="13:16">
      <c r="M12506" s="49">
        <f>IF($A$4+124&gt;$B$4,"",$A$4+124)</f>
        <v>46147</v>
      </c>
      <c r="N12506">
        <f>IF(M12506="","",'Master Barang'!A100)</f>
        <v>0</v>
      </c>
      <c r="O12506">
        <f>IF(N12506="","",'Master Barang'!B100)</f>
        <v>0</v>
      </c>
      <c r="P12506">
        <f>IF(OR(M12506="",N12506=""),"",SUMIFS('Barang Keluar'!$E:$E,'Barang Keluar'!$A:$A,M12506,'Barang Keluar'!$C:$C,N12506))</f>
        <v>0</v>
      </c>
    </row>
    <row r="12507" spans="13:16">
      <c r="M12507" s="49">
        <f>IF($A$4+124&gt;$B$4,"",$A$4+124)</f>
        <v>46147</v>
      </c>
      <c r="N12507">
        <f>IF(M12507="","",'Master Barang'!A101)</f>
        <v>0</v>
      </c>
      <c r="O12507">
        <f>IF(N12507="","",'Master Barang'!B101)</f>
        <v>0</v>
      </c>
      <c r="P12507">
        <f>IF(OR(M12507="",N12507=""),"",SUMIFS('Barang Keluar'!$E:$E,'Barang Keluar'!$A:$A,M12507,'Barang Keluar'!$C:$C,N12507))</f>
        <v>0</v>
      </c>
    </row>
    <row r="12508" spans="13:16">
      <c r="M12508" s="49">
        <f>IF($A$4+125&gt;$B$4,"",$A$4+125)</f>
        <v>46148</v>
      </c>
      <c r="N12508" t="str">
        <f>IF(M12508="","",'Master Barang'!A2)</f>
        <v>PRL-001</v>
      </c>
      <c r="O12508" t="str">
        <f>IF(N12508="","",'Master Barang'!B2)</f>
        <v>natura desinfectant food grade 5l</v>
      </c>
      <c r="P12508">
        <f>IF(OR(M12508="",N12508=""),"",SUMIFS('Barang Keluar'!$E:$E,'Barang Keluar'!$A:$A,M12508,'Barang Keluar'!$C:$C,N12508))</f>
        <v>0</v>
      </c>
    </row>
    <row r="12509" spans="13:16">
      <c r="M12509" s="49">
        <f>IF($A$4+125&gt;$B$4,"",$A$4+125)</f>
        <v>46148</v>
      </c>
      <c r="N12509" t="str">
        <f>IF(M12509="","",'Master Barang'!A3)</f>
        <v>PRL-002</v>
      </c>
      <c r="O12509" t="str">
        <f>IF(N12509="","",'Master Barang'!B3)</f>
        <v>sunlight cairan pencuci piring 5l</v>
      </c>
      <c r="P12509">
        <f>IF(OR(M12509="",N12509=""),"",SUMIFS('Barang Keluar'!$E:$E,'Barang Keluar'!$A:$A,M12509,'Barang Keluar'!$C:$C,N12509))</f>
        <v>0</v>
      </c>
    </row>
    <row r="12510" spans="13:16">
      <c r="M12510" s="49">
        <f>IF($A$4+125&gt;$B$4,"",$A$4+125)</f>
        <v>46148</v>
      </c>
      <c r="N12510" t="str">
        <f>IF(M12510="","",'Master Barang'!A4)</f>
        <v>PRL-003</v>
      </c>
      <c r="O12510" t="str">
        <f>IF(N12510="","",'Master Barang'!B4)</f>
        <v>oixs cleaner 1l</v>
      </c>
      <c r="P12510">
        <f>IF(OR(M12510="",N12510=""),"",SUMIFS('Barang Keluar'!$E:$E,'Barang Keluar'!$A:$A,M12510,'Barang Keluar'!$C:$C,N12510))</f>
        <v>0</v>
      </c>
    </row>
    <row r="12511" spans="13:16">
      <c r="M12511" s="49">
        <f>IF($A$4+125&gt;$B$4,"",$A$4+125)</f>
        <v>46148</v>
      </c>
      <c r="N12511" t="str">
        <f>IF(M12511="","",'Master Barang'!A5)</f>
        <v>PRL-004</v>
      </c>
      <c r="O12511" t="str">
        <f>IF(N12511="","",'Master Barang'!B5)</f>
        <v>be clean tissue serbaguna</v>
      </c>
      <c r="P12511">
        <f>IF(OR(M12511="",N12511=""),"",SUMIFS('Barang Keluar'!$E:$E,'Barang Keluar'!$A:$A,M12511,'Barang Keluar'!$C:$C,N12511))</f>
        <v>0</v>
      </c>
    </row>
    <row r="12512" spans="13:16">
      <c r="M12512" s="49">
        <f>IF($A$4+125&gt;$B$4,"",$A$4+125)</f>
        <v>46148</v>
      </c>
      <c r="N12512" t="str">
        <f>IF(M12512="","",'Master Barang'!A6)</f>
        <v>PRL-005</v>
      </c>
      <c r="O12512" t="str">
        <f>IF(N12512="","",'Master Barang'!B6)</f>
        <v>spons cuci hijau</v>
      </c>
      <c r="P12512">
        <f>IF(OR(M12512="",N12512=""),"",SUMIFS('Barang Keluar'!$E:$E,'Barang Keluar'!$A:$A,M12512,'Barang Keluar'!$C:$C,N12512))</f>
        <v>0</v>
      </c>
    </row>
    <row r="12513" spans="13:16">
      <c r="M12513" s="49">
        <f>IF($A$4+125&gt;$B$4,"",$A$4+125)</f>
        <v>46148</v>
      </c>
      <c r="N12513" t="str">
        <f>IF(M12513="","",'Master Barang'!A7)</f>
        <v>PRL-006</v>
      </c>
      <c r="O12513" t="str">
        <f>IF(N12513="","",'Master Barang'!B7)</f>
        <v>sabut cuci stainless</v>
      </c>
      <c r="P12513">
        <f>IF(OR(M12513="",N12513=""),"",SUMIFS('Barang Keluar'!$E:$E,'Barang Keluar'!$A:$A,M12513,'Barang Keluar'!$C:$C,N12513))</f>
        <v>0</v>
      </c>
    </row>
    <row r="12514" spans="13:16">
      <c r="M12514" s="49">
        <f>IF($A$4+125&gt;$B$4,"",$A$4+125)</f>
        <v>46148</v>
      </c>
      <c r="N12514" t="str">
        <f>IF(M12514="","",'Master Barang'!A8)</f>
        <v>PRL-007</v>
      </c>
      <c r="O12514" t="str">
        <f>IF(N12514="","",'Master Barang'!B8)</f>
        <v>plastik kresek besar merah 50pc</v>
      </c>
      <c r="P12514">
        <f>IF(OR(M12514="",N12514=""),"",SUMIFS('Barang Keluar'!$E:$E,'Barang Keluar'!$A:$A,M12514,'Barang Keluar'!$C:$C,N12514))</f>
        <v>0</v>
      </c>
    </row>
    <row r="12515" spans="13:16">
      <c r="M12515" s="49">
        <f>IF($A$4+125&gt;$B$4,"",$A$4+125)</f>
        <v>46148</v>
      </c>
      <c r="N12515" t="str">
        <f>IF(M12515="","",'Master Barang'!A9)</f>
        <v>PRL-008</v>
      </c>
      <c r="O12515" t="str">
        <f>IF(N12515="","",'Master Barang'!B9)</f>
        <v>lap besar</v>
      </c>
      <c r="P12515">
        <f>IF(OR(M12515="",N12515=""),"",SUMIFS('Barang Keluar'!$E:$E,'Barang Keluar'!$A:$A,M12515,'Barang Keluar'!$C:$C,N12515))</f>
        <v>0</v>
      </c>
    </row>
    <row r="12516" spans="13:16">
      <c r="M12516" s="49">
        <f>IF($A$4+125&gt;$B$4,"",$A$4+125)</f>
        <v>46148</v>
      </c>
      <c r="N12516" t="str">
        <f>IF(M12516="","",'Master Barang'!A10)</f>
        <v>PRL-009</v>
      </c>
      <c r="O12516" t="str">
        <f>IF(N12516="","",'Master Barang'!B10)</f>
        <v>lap microfiber</v>
      </c>
      <c r="P12516">
        <f>IF(OR(M12516="",N12516=""),"",SUMIFS('Barang Keluar'!$E:$E,'Barang Keluar'!$A:$A,M12516,'Barang Keluar'!$C:$C,N12516))</f>
        <v>0</v>
      </c>
    </row>
    <row r="12517" spans="13:16">
      <c r="M12517" s="49">
        <f>IF($A$4+125&gt;$B$4,"",$A$4+125)</f>
        <v>46148</v>
      </c>
      <c r="N12517" t="str">
        <f>IF(M12517="","",'Master Barang'!A11)</f>
        <v>PRL-010</v>
      </c>
      <c r="O12517" t="str">
        <f>IF(N12517="","",'Master Barang'!B11)</f>
        <v>lap kecil</v>
      </c>
      <c r="P12517">
        <f>IF(OR(M12517="",N12517=""),"",SUMIFS('Barang Keluar'!$E:$E,'Barang Keluar'!$A:$A,M12517,'Barang Keluar'!$C:$C,N12517))</f>
        <v>0</v>
      </c>
    </row>
    <row r="12518" spans="13:16">
      <c r="M12518" s="49">
        <f>IF($A$4+125&gt;$B$4,"",$A$4+125)</f>
        <v>46148</v>
      </c>
      <c r="N12518" t="str">
        <f>IF(M12518="","",'Master Barang'!A12)</f>
        <v>PRL-011</v>
      </c>
      <c r="O12518" t="str">
        <f>IF(N12518="","",'Master Barang'!B12)</f>
        <v>kanebo kecil</v>
      </c>
      <c r="P12518">
        <f>IF(OR(M12518="",N12518=""),"",SUMIFS('Barang Keluar'!$E:$E,'Barang Keluar'!$A:$A,M12518,'Barang Keluar'!$C:$C,N12518))</f>
        <v>0</v>
      </c>
    </row>
    <row r="12519" spans="13:16">
      <c r="M12519" s="49">
        <f>IF($A$4+125&gt;$B$4,"",$A$4+125)</f>
        <v>46148</v>
      </c>
      <c r="N12519" t="str">
        <f>IF(M12519="","",'Master Barang'!A13)</f>
        <v>PRL-012</v>
      </c>
      <c r="O12519" t="str">
        <f>IF(N12519="","",'Master Barang'!B13)</f>
        <v>plastik 1/4kg joyoboyo 100 lembar</v>
      </c>
      <c r="P12519">
        <f>IF(OR(M12519="",N12519=""),"",SUMIFS('Barang Keluar'!$E:$E,'Barang Keluar'!$A:$A,M12519,'Barang Keluar'!$C:$C,N12519))</f>
        <v>0</v>
      </c>
    </row>
    <row r="12520" spans="13:16">
      <c r="M12520" s="49">
        <f>IF($A$4+125&gt;$B$4,"",$A$4+125)</f>
        <v>46148</v>
      </c>
      <c r="N12520" t="str">
        <f>IF(M12520="","",'Master Barang'!A14)</f>
        <v>PRL-013</v>
      </c>
      <c r="O12520" t="str">
        <f>IF(N12520="","",'Master Barang'!B14)</f>
        <v>sarung tangan plastik kaka 100 pcs</v>
      </c>
      <c r="P12520">
        <f>IF(OR(M12520="",N12520=""),"",SUMIFS('Barang Keluar'!$E:$E,'Barang Keluar'!$A:$A,M12520,'Barang Keluar'!$C:$C,N12520))</f>
        <v>0</v>
      </c>
    </row>
    <row r="12521" spans="13:16">
      <c r="M12521" s="49">
        <f>IF($A$4+125&gt;$B$4,"",$A$4+125)</f>
        <v>46148</v>
      </c>
      <c r="N12521" t="str">
        <f>IF(M12521="","",'Master Barang'!A15)</f>
        <v>PRL-014</v>
      </c>
      <c r="O12521" t="str">
        <f>IF(N12521="","",'Master Barang'!B15)</f>
        <v>optima trashbag 80x100</v>
      </c>
      <c r="P12521">
        <f>IF(OR(M12521="",N12521=""),"",SUMIFS('Barang Keluar'!$E:$E,'Barang Keluar'!$A:$A,M12521,'Barang Keluar'!$C:$C,N12521))</f>
        <v>0</v>
      </c>
    </row>
    <row r="12522" spans="13:16">
      <c r="M12522" s="49">
        <f>IF($A$4+125&gt;$B$4,"",$A$4+125)</f>
        <v>46148</v>
      </c>
      <c r="N12522" t="str">
        <f>IF(M12522="","",'Master Barang'!A16)</f>
        <v>PRL-015</v>
      </c>
      <c r="O12522" t="str">
        <f>IF(N12522="","",'Master Barang'!B16)</f>
        <v>optima trashbag 60x100</v>
      </c>
      <c r="P12522">
        <f>IF(OR(M12522="",N12522=""),"",SUMIFS('Barang Keluar'!$E:$E,'Barang Keluar'!$A:$A,M12522,'Barang Keluar'!$C:$C,N12522))</f>
        <v>0</v>
      </c>
    </row>
    <row r="12523" spans="13:16">
      <c r="M12523" s="49">
        <f>IF($A$4+125&gt;$B$4,"",$A$4+125)</f>
        <v>46148</v>
      </c>
      <c r="N12523" t="str">
        <f>IF(M12523="","",'Master Barang'!A17)</f>
        <v>PRL-016</v>
      </c>
      <c r="O12523" t="str">
        <f>IF(N12523="","",'Master Barang'!B17)</f>
        <v>rajawali trashbag 30x40</v>
      </c>
      <c r="P12523">
        <f>IF(OR(M12523="",N12523=""),"",SUMIFS('Barang Keluar'!$E:$E,'Barang Keluar'!$A:$A,M12523,'Barang Keluar'!$C:$C,N12523))</f>
        <v>0</v>
      </c>
    </row>
    <row r="12524" spans="13:16">
      <c r="M12524" s="49">
        <f>IF($A$4+125&gt;$B$4,"",$A$4+125)</f>
        <v>46148</v>
      </c>
      <c r="N12524" t="str">
        <f>IF(M12524="","",'Master Barang'!A18)</f>
        <v>PRL-017</v>
      </c>
      <c r="O12524" t="str">
        <f>IF(N12524="","",'Master Barang'!B18)</f>
        <v>onemed masker biru 3 play 50 pcs</v>
      </c>
      <c r="P12524">
        <f>IF(OR(M12524="",N12524=""),"",SUMIFS('Barang Keluar'!$E:$E,'Barang Keluar'!$A:$A,M12524,'Barang Keluar'!$C:$C,N12524))</f>
        <v>0</v>
      </c>
    </row>
    <row r="12525" spans="13:16">
      <c r="M12525" s="49">
        <f>IF($A$4+125&gt;$B$4,"",$A$4+125)</f>
        <v>46148</v>
      </c>
      <c r="N12525" t="str">
        <f>IF(M12525="","",'Master Barang'!A19)</f>
        <v>PRL-018</v>
      </c>
      <c r="O12525" t="str">
        <f>IF(N12525="","",'Master Barang'!B19)</f>
        <v>onemed masker biru 3 play hijab 50 pcs</v>
      </c>
      <c r="P12525">
        <f>IF(OR(M12525="",N12525=""),"",SUMIFS('Barang Keluar'!$E:$E,'Barang Keluar'!$A:$A,M12525,'Barang Keluar'!$C:$C,N12525))</f>
        <v>0</v>
      </c>
    </row>
    <row r="12526" spans="13:16">
      <c r="M12526" s="49">
        <f>IF($A$4+125&gt;$B$4,"",$A$4+125)</f>
        <v>46148</v>
      </c>
      <c r="N12526" t="str">
        <f>IF(M12526="","",'Master Barang'!A20)</f>
        <v>PRL-019</v>
      </c>
      <c r="O12526" t="str">
        <f>IF(N12526="","",'Master Barang'!B20)</f>
        <v>neo health masker biru 3 play 50 pcs</v>
      </c>
      <c r="P12526">
        <f>IF(OR(M12526="",N12526=""),"",SUMIFS('Barang Keluar'!$E:$E,'Barang Keluar'!$A:$A,M12526,'Barang Keluar'!$C:$C,N12526))</f>
        <v>0</v>
      </c>
    </row>
    <row r="12527" spans="13:16">
      <c r="M12527" s="49">
        <f>IF($A$4+125&gt;$B$4,"",$A$4+125)</f>
        <v>46148</v>
      </c>
      <c r="N12527" t="str">
        <f>IF(M12527="","",'Master Barang'!A21)</f>
        <v>PRL-020</v>
      </c>
      <c r="O12527" t="str">
        <f>IF(N12527="","",'Master Barang'!B21)</f>
        <v>baymed masker hijau 3 play hijau 50 pcs</v>
      </c>
      <c r="P12527">
        <f>IF(OR(M12527="",N12527=""),"",SUMIFS('Barang Keluar'!$E:$E,'Barang Keluar'!$A:$A,M12527,'Barang Keluar'!$C:$C,N12527))</f>
        <v>0</v>
      </c>
    </row>
    <row r="12528" spans="13:16">
      <c r="M12528" s="49">
        <f>IF($A$4+125&gt;$B$4,"",$A$4+125)</f>
        <v>46148</v>
      </c>
      <c r="N12528" t="str">
        <f>IF(M12528="","",'Master Barang'!A22)</f>
        <v>PRL-021</v>
      </c>
      <c r="O12528" t="str">
        <f>IF(N12528="","",'Master Barang'!B22)</f>
        <v>altamed nurse cap penutup kepala 100 pcs</v>
      </c>
      <c r="P12528">
        <f>IF(OR(M12528="",N12528=""),"",SUMIFS('Barang Keluar'!$E:$E,'Barang Keluar'!$A:$A,M12528,'Barang Keluar'!$C:$C,N12528))</f>
        <v>0</v>
      </c>
    </row>
    <row r="12529" spans="13:16">
      <c r="M12529" s="49">
        <f>IF($A$4+125&gt;$B$4,"",$A$4+125)</f>
        <v>46148</v>
      </c>
      <c r="N12529" t="str">
        <f>IF(M12529="","",'Master Barang'!A23)</f>
        <v>PRL-022</v>
      </c>
      <c r="O12529" t="str">
        <f>IF(N12529="","",'Master Barang'!B23)</f>
        <v>sabun cuci tangan</v>
      </c>
      <c r="P12529">
        <f>IF(OR(M12529="",N12529=""),"",SUMIFS('Barang Keluar'!$E:$E,'Barang Keluar'!$A:$A,M12529,'Barang Keluar'!$C:$C,N12529))</f>
        <v>0</v>
      </c>
    </row>
    <row r="12530" spans="13:16">
      <c r="M12530" s="49">
        <f>IF($A$4+125&gt;$B$4,"",$A$4+125)</f>
        <v>46148</v>
      </c>
      <c r="N12530" t="str">
        <f>IF(M12530="","",'Master Barang'!A24)</f>
        <v>PRL-023</v>
      </c>
      <c r="O12530" t="str">
        <f>IF(N12530="","",'Master Barang'!B24)</f>
        <v>gayung kecil</v>
      </c>
      <c r="P12530">
        <f>IF(OR(M12530="",N12530=""),"",SUMIFS('Barang Keluar'!$E:$E,'Barang Keluar'!$A:$A,M12530,'Barang Keluar'!$C:$C,N12530))</f>
        <v>0</v>
      </c>
    </row>
    <row r="12531" spans="13:16">
      <c r="M12531" s="49">
        <f>IF($A$4+125&gt;$B$4,"",$A$4+125)</f>
        <v>46148</v>
      </c>
      <c r="N12531" t="str">
        <f>IF(M12531="","",'Master Barang'!A25)</f>
        <v>PRL-024</v>
      </c>
      <c r="O12531" t="str">
        <f>IF(N12531="","",'Master Barang'!B25)</f>
        <v>cikrak kecil</v>
      </c>
      <c r="P12531">
        <f>IF(OR(M12531="",N12531=""),"",SUMIFS('Barang Keluar'!$E:$E,'Barang Keluar'!$A:$A,M12531,'Barang Keluar'!$C:$C,N12531))</f>
        <v>0</v>
      </c>
    </row>
    <row r="12532" spans="13:16">
      <c r="M12532" s="49">
        <f>IF($A$4+125&gt;$B$4,"",$A$4+125)</f>
        <v>46148</v>
      </c>
      <c r="N12532" t="str">
        <f>IF(M12532="","",'Master Barang'!A26)</f>
        <v>PRL-025</v>
      </c>
      <c r="O12532" t="str">
        <f>IF(N12532="","",'Master Barang'!B26)</f>
        <v>petromax plastik kecil 12x24 100 lembar</v>
      </c>
      <c r="P12532">
        <f>IF(OR(M12532="",N12532=""),"",SUMIFS('Barang Keluar'!$E:$E,'Barang Keluar'!$A:$A,M12532,'Barang Keluar'!$C:$C,N12532))</f>
        <v>0</v>
      </c>
    </row>
    <row r="12533" spans="13:16">
      <c r="M12533" s="49">
        <f>IF($A$4+125&gt;$B$4,"",$A$4+125)</f>
        <v>46148</v>
      </c>
      <c r="N12533" t="str">
        <f>IF(M12533="","",'Master Barang'!A27)</f>
        <v>PRL-026</v>
      </c>
      <c r="O12533" t="str">
        <f>IF(N12533="","",'Master Barang'!B27)</f>
        <v>lancar kresek kecil bening </v>
      </c>
      <c r="P12533">
        <f>IF(OR(M12533="",N12533=""),"",SUMIFS('Barang Keluar'!$E:$E,'Barang Keluar'!$A:$A,M12533,'Barang Keluar'!$C:$C,N12533))</f>
        <v>0</v>
      </c>
    </row>
    <row r="12534" spans="13:16">
      <c r="M12534" s="49">
        <f>IF($A$4+125&gt;$B$4,"",$A$4+125)</f>
        <v>46148</v>
      </c>
      <c r="N12534" t="str">
        <f>IF(M12534="","",'Master Barang'!A28)</f>
        <v>PRL-027</v>
      </c>
      <c r="O12534" t="str">
        <f>IF(N12534="","",'Master Barang'!B28)</f>
        <v>kresek klin warna warni kecil</v>
      </c>
      <c r="P12534">
        <f>IF(OR(M12534="",N12534=""),"",SUMIFS('Barang Keluar'!$E:$E,'Barang Keluar'!$A:$A,M12534,'Barang Keluar'!$C:$C,N12534))</f>
        <v>0</v>
      </c>
    </row>
    <row r="12535" spans="13:16">
      <c r="M12535" s="49">
        <f>IF($A$4+125&gt;$B$4,"",$A$4+125)</f>
        <v>46148</v>
      </c>
      <c r="N12535" t="str">
        <f>IF(M12535="","",'Master Barang'!A29)</f>
        <v>PRL-028</v>
      </c>
      <c r="O12535" t="str">
        <f>IF(N12535="","",'Master Barang'!B29)</f>
        <v>ctik plastik 7x10 100 pcs</v>
      </c>
      <c r="P12535">
        <f>IF(OR(M12535="",N12535=""),"",SUMIFS('Barang Keluar'!$E:$E,'Barang Keluar'!$A:$A,M12535,'Barang Keluar'!$C:$C,N12535))</f>
        <v>0</v>
      </c>
    </row>
    <row r="12536" spans="13:16">
      <c r="M12536" s="49">
        <f>IF($A$4+125&gt;$B$4,"",$A$4+125)</f>
        <v>46148</v>
      </c>
      <c r="N12536" t="str">
        <f>IF(M12536="","",'Master Barang'!A30)</f>
        <v>PRL-029</v>
      </c>
      <c r="O12536" t="str">
        <f>IF(N12536="","",'Master Barang'!B30)</f>
        <v>ctik plastik 6x10 100 pcs</v>
      </c>
      <c r="P12536">
        <f>IF(OR(M12536="",N12536=""),"",SUMIFS('Barang Keluar'!$E:$E,'Barang Keluar'!$A:$A,M12536,'Barang Keluar'!$C:$C,N12536))</f>
        <v>0</v>
      </c>
    </row>
    <row r="12537" spans="13:16">
      <c r="M12537" s="49">
        <f>IF($A$4+125&gt;$B$4,"",$A$4+125)</f>
        <v>46148</v>
      </c>
      <c r="N12537" t="str">
        <f>IF(M12537="","",'Master Barang'!A31)</f>
        <v>PRL-030</v>
      </c>
      <c r="O12537" t="str">
        <f>IF(N12537="","",'Master Barang'!B31)</f>
        <v>klip plastik 25x16 100 pcs</v>
      </c>
      <c r="P12537">
        <f>IF(OR(M12537="",N12537=""),"",SUMIFS('Barang Keluar'!$E:$E,'Barang Keluar'!$A:$A,M12537,'Barang Keluar'!$C:$C,N12537))</f>
        <v>0</v>
      </c>
    </row>
    <row r="12538" spans="13:16">
      <c r="M12538" s="49">
        <f>IF($A$4+125&gt;$B$4,"",$A$4+125)</f>
        <v>46148</v>
      </c>
      <c r="N12538" t="str">
        <f>IF(M12538="","",'Master Barang'!A32)</f>
        <v>PRL-031</v>
      </c>
      <c r="O12538" t="str">
        <f>IF(N12538="","",'Master Barang'!B32)</f>
        <v>tempat saus 20 ml</v>
      </c>
      <c r="P12538">
        <f>IF(OR(M12538="",N12538=""),"",SUMIFS('Barang Keluar'!$E:$E,'Barang Keluar'!$A:$A,M12538,'Barang Keluar'!$C:$C,N12538))</f>
        <v>0</v>
      </c>
    </row>
    <row r="12539" spans="13:16">
      <c r="M12539" s="49">
        <f>IF($A$4+125&gt;$B$4,"",$A$4+125)</f>
        <v>46148</v>
      </c>
      <c r="N12539" t="str">
        <f>IF(M12539="","",'Master Barang'!A33)</f>
        <v>PRL-032</v>
      </c>
      <c r="O12539" t="str">
        <f>IF(N12539="","",'Master Barang'!B33)</f>
        <v>plastik packaging ag box uk sedang</v>
      </c>
      <c r="P12539">
        <f>IF(OR(M12539="",N12539=""),"",SUMIFS('Barang Keluar'!$E:$E,'Barang Keluar'!$A:$A,M12539,'Barang Keluar'!$C:$C,N12539))</f>
        <v>0</v>
      </c>
    </row>
    <row r="12540" spans="13:16">
      <c r="M12540" s="49">
        <f>IF($A$4+125&gt;$B$4,"",$A$4+125)</f>
        <v>46148</v>
      </c>
      <c r="N12540" t="str">
        <f>IF(M12540="","",'Master Barang'!A34)</f>
        <v>PRL-033</v>
      </c>
      <c r="O12540">
        <f>IF(N12540="","",'Master Barang'!B34)</f>
        <v>0</v>
      </c>
      <c r="P12540">
        <f>IF(OR(M12540="",N12540=""),"",SUMIFS('Barang Keluar'!$E:$E,'Barang Keluar'!$A:$A,M12540,'Barang Keluar'!$C:$C,N12540))</f>
        <v>0</v>
      </c>
    </row>
    <row r="12541" spans="13:16">
      <c r="M12541" s="49">
        <f>IF($A$4+125&gt;$B$4,"",$A$4+125)</f>
        <v>46148</v>
      </c>
      <c r="N12541">
        <f>IF(M12541="","",'Master Barang'!A35)</f>
        <v>0</v>
      </c>
      <c r="O12541">
        <f>IF(N12541="","",'Master Barang'!B35)</f>
        <v>0</v>
      </c>
      <c r="P12541">
        <f>IF(OR(M12541="",N12541=""),"",SUMIFS('Barang Keluar'!$E:$E,'Barang Keluar'!$A:$A,M12541,'Barang Keluar'!$C:$C,N12541))</f>
        <v>0</v>
      </c>
    </row>
    <row r="12542" spans="13:16">
      <c r="M12542" s="49">
        <f>IF($A$4+125&gt;$B$4,"",$A$4+125)</f>
        <v>46148</v>
      </c>
      <c r="N12542">
        <f>IF(M12542="","",'Master Barang'!A36)</f>
        <v>0</v>
      </c>
      <c r="O12542">
        <f>IF(N12542="","",'Master Barang'!B36)</f>
        <v>0</v>
      </c>
      <c r="P12542">
        <f>IF(OR(M12542="",N12542=""),"",SUMIFS('Barang Keluar'!$E:$E,'Barang Keluar'!$A:$A,M12542,'Barang Keluar'!$C:$C,N12542))</f>
        <v>0</v>
      </c>
    </row>
    <row r="12543" spans="13:16">
      <c r="M12543" s="49">
        <f>IF($A$4+125&gt;$B$4,"",$A$4+125)</f>
        <v>46148</v>
      </c>
      <c r="N12543">
        <f>IF(M12543="","",'Master Barang'!A37)</f>
        <v>0</v>
      </c>
      <c r="O12543">
        <f>IF(N12543="","",'Master Barang'!B37)</f>
        <v>0</v>
      </c>
      <c r="P12543">
        <f>IF(OR(M12543="",N12543=""),"",SUMIFS('Barang Keluar'!$E:$E,'Barang Keluar'!$A:$A,M12543,'Barang Keluar'!$C:$C,N12543))</f>
        <v>0</v>
      </c>
    </row>
    <row r="12544" spans="13:16">
      <c r="M12544" s="49">
        <f>IF($A$4+125&gt;$B$4,"",$A$4+125)</f>
        <v>46148</v>
      </c>
      <c r="N12544">
        <f>IF(M12544="","",'Master Barang'!A38)</f>
        <v>0</v>
      </c>
      <c r="O12544">
        <f>IF(N12544="","",'Master Barang'!B38)</f>
        <v>0</v>
      </c>
      <c r="P12544">
        <f>IF(OR(M12544="",N12544=""),"",SUMIFS('Barang Keluar'!$E:$E,'Barang Keluar'!$A:$A,M12544,'Barang Keluar'!$C:$C,N12544))</f>
        <v>0</v>
      </c>
    </row>
    <row r="12545" spans="13:16">
      <c r="M12545" s="49">
        <f>IF($A$4+125&gt;$B$4,"",$A$4+125)</f>
        <v>46148</v>
      </c>
      <c r="N12545">
        <f>IF(M12545="","",'Master Barang'!A39)</f>
        <v>0</v>
      </c>
      <c r="O12545">
        <f>IF(N12545="","",'Master Barang'!B39)</f>
        <v>0</v>
      </c>
      <c r="P12545">
        <f>IF(OR(M12545="",N12545=""),"",SUMIFS('Barang Keluar'!$E:$E,'Barang Keluar'!$A:$A,M12545,'Barang Keluar'!$C:$C,N12545))</f>
        <v>0</v>
      </c>
    </row>
    <row r="12546" spans="13:16">
      <c r="M12546" s="49">
        <f>IF($A$4+125&gt;$B$4,"",$A$4+125)</f>
        <v>46148</v>
      </c>
      <c r="N12546">
        <f>IF(M12546="","",'Master Barang'!A40)</f>
        <v>0</v>
      </c>
      <c r="O12546">
        <f>IF(N12546="","",'Master Barang'!B40)</f>
        <v>0</v>
      </c>
      <c r="P12546">
        <f>IF(OR(M12546="",N12546=""),"",SUMIFS('Barang Keluar'!$E:$E,'Barang Keluar'!$A:$A,M12546,'Barang Keluar'!$C:$C,N12546))</f>
        <v>0</v>
      </c>
    </row>
    <row r="12547" spans="13:16">
      <c r="M12547" s="49">
        <f>IF($A$4+125&gt;$B$4,"",$A$4+125)</f>
        <v>46148</v>
      </c>
      <c r="N12547">
        <f>IF(M12547="","",'Master Barang'!A41)</f>
        <v>0</v>
      </c>
      <c r="O12547">
        <f>IF(N12547="","",'Master Barang'!B41)</f>
        <v>0</v>
      </c>
      <c r="P12547">
        <f>IF(OR(M12547="",N12547=""),"",SUMIFS('Barang Keluar'!$E:$E,'Barang Keluar'!$A:$A,M12547,'Barang Keluar'!$C:$C,N12547))</f>
        <v>0</v>
      </c>
    </row>
    <row r="12548" spans="13:16">
      <c r="M12548" s="49">
        <f>IF($A$4+125&gt;$B$4,"",$A$4+125)</f>
        <v>46148</v>
      </c>
      <c r="N12548">
        <f>IF(M12548="","",'Master Barang'!A42)</f>
        <v>0</v>
      </c>
      <c r="O12548">
        <f>IF(N12548="","",'Master Barang'!B42)</f>
        <v>0</v>
      </c>
      <c r="P12548">
        <f>IF(OR(M12548="",N12548=""),"",SUMIFS('Barang Keluar'!$E:$E,'Barang Keluar'!$A:$A,M12548,'Barang Keluar'!$C:$C,N12548))</f>
        <v>0</v>
      </c>
    </row>
    <row r="12549" spans="13:16">
      <c r="M12549" s="49">
        <f>IF($A$4+125&gt;$B$4,"",$A$4+125)</f>
        <v>46148</v>
      </c>
      <c r="N12549">
        <f>IF(M12549="","",'Master Barang'!A43)</f>
        <v>0</v>
      </c>
      <c r="O12549">
        <f>IF(N12549="","",'Master Barang'!B43)</f>
        <v>0</v>
      </c>
      <c r="P12549">
        <f>IF(OR(M12549="",N12549=""),"",SUMIFS('Barang Keluar'!$E:$E,'Barang Keluar'!$A:$A,M12549,'Barang Keluar'!$C:$C,N12549))</f>
        <v>0</v>
      </c>
    </row>
    <row r="12550" spans="13:16">
      <c r="M12550" s="49">
        <f>IF($A$4+125&gt;$B$4,"",$A$4+125)</f>
        <v>46148</v>
      </c>
      <c r="N12550">
        <f>IF(M12550="","",'Master Barang'!A44)</f>
        <v>0</v>
      </c>
      <c r="O12550">
        <f>IF(N12550="","",'Master Barang'!B44)</f>
        <v>0</v>
      </c>
      <c r="P12550">
        <f>IF(OR(M12550="",N12550=""),"",SUMIFS('Barang Keluar'!$E:$E,'Barang Keluar'!$A:$A,M12550,'Barang Keluar'!$C:$C,N12550))</f>
        <v>0</v>
      </c>
    </row>
    <row r="12551" spans="13:16">
      <c r="M12551" s="49">
        <f>IF($A$4+125&gt;$B$4,"",$A$4+125)</f>
        <v>46148</v>
      </c>
      <c r="N12551">
        <f>IF(M12551="","",'Master Barang'!A45)</f>
        <v>0</v>
      </c>
      <c r="O12551">
        <f>IF(N12551="","",'Master Barang'!B45)</f>
        <v>0</v>
      </c>
      <c r="P12551">
        <f>IF(OR(M12551="",N12551=""),"",SUMIFS('Barang Keluar'!$E:$E,'Barang Keluar'!$A:$A,M12551,'Barang Keluar'!$C:$C,N12551))</f>
        <v>0</v>
      </c>
    </row>
    <row r="12552" spans="13:16">
      <c r="M12552" s="49">
        <f>IF($A$4+125&gt;$B$4,"",$A$4+125)</f>
        <v>46148</v>
      </c>
      <c r="N12552">
        <f>IF(M12552="","",'Master Barang'!A46)</f>
        <v>0</v>
      </c>
      <c r="O12552">
        <f>IF(N12552="","",'Master Barang'!B46)</f>
        <v>0</v>
      </c>
      <c r="P12552">
        <f>IF(OR(M12552="",N12552=""),"",SUMIFS('Barang Keluar'!$E:$E,'Barang Keluar'!$A:$A,M12552,'Barang Keluar'!$C:$C,N12552))</f>
        <v>0</v>
      </c>
    </row>
    <row r="12553" spans="13:16">
      <c r="M12553" s="49">
        <f>IF($A$4+125&gt;$B$4,"",$A$4+125)</f>
        <v>46148</v>
      </c>
      <c r="N12553">
        <f>IF(M12553="","",'Master Barang'!A47)</f>
        <v>0</v>
      </c>
      <c r="O12553">
        <f>IF(N12553="","",'Master Barang'!B47)</f>
        <v>0</v>
      </c>
      <c r="P12553">
        <f>IF(OR(M12553="",N12553=""),"",SUMIFS('Barang Keluar'!$E:$E,'Barang Keluar'!$A:$A,M12553,'Barang Keluar'!$C:$C,N12553))</f>
        <v>0</v>
      </c>
    </row>
    <row r="12554" spans="13:16">
      <c r="M12554" s="49">
        <f>IF($A$4+125&gt;$B$4,"",$A$4+125)</f>
        <v>46148</v>
      </c>
      <c r="N12554">
        <f>IF(M12554="","",'Master Barang'!A48)</f>
        <v>0</v>
      </c>
      <c r="O12554">
        <f>IF(N12554="","",'Master Barang'!B48)</f>
        <v>0</v>
      </c>
      <c r="P12554">
        <f>IF(OR(M12554="",N12554=""),"",SUMIFS('Barang Keluar'!$E:$E,'Barang Keluar'!$A:$A,M12554,'Barang Keluar'!$C:$C,N12554))</f>
        <v>0</v>
      </c>
    </row>
    <row r="12555" spans="13:16">
      <c r="M12555" s="49">
        <f>IF($A$4+125&gt;$B$4,"",$A$4+125)</f>
        <v>46148</v>
      </c>
      <c r="N12555">
        <f>IF(M12555="","",'Master Barang'!A49)</f>
        <v>0</v>
      </c>
      <c r="O12555">
        <f>IF(N12555="","",'Master Barang'!B49)</f>
        <v>0</v>
      </c>
      <c r="P12555">
        <f>IF(OR(M12555="",N12555=""),"",SUMIFS('Barang Keluar'!$E:$E,'Barang Keluar'!$A:$A,M12555,'Barang Keluar'!$C:$C,N12555))</f>
        <v>0</v>
      </c>
    </row>
    <row r="12556" spans="13:16">
      <c r="M12556" s="49">
        <f>IF($A$4+125&gt;$B$4,"",$A$4+125)</f>
        <v>46148</v>
      </c>
      <c r="N12556">
        <f>IF(M12556="","",'Master Barang'!A50)</f>
        <v>0</v>
      </c>
      <c r="O12556">
        <f>IF(N12556="","",'Master Barang'!B50)</f>
        <v>0</v>
      </c>
      <c r="P12556">
        <f>IF(OR(M12556="",N12556=""),"",SUMIFS('Barang Keluar'!$E:$E,'Barang Keluar'!$A:$A,M12556,'Barang Keluar'!$C:$C,N12556))</f>
        <v>0</v>
      </c>
    </row>
    <row r="12557" spans="13:16">
      <c r="M12557" s="49">
        <f>IF($A$4+125&gt;$B$4,"",$A$4+125)</f>
        <v>46148</v>
      </c>
      <c r="N12557">
        <f>IF(M12557="","",'Master Barang'!A51)</f>
        <v>0</v>
      </c>
      <c r="O12557">
        <f>IF(N12557="","",'Master Barang'!B51)</f>
        <v>0</v>
      </c>
      <c r="P12557">
        <f>IF(OR(M12557="",N12557=""),"",SUMIFS('Barang Keluar'!$E:$E,'Barang Keluar'!$A:$A,M12557,'Barang Keluar'!$C:$C,N12557))</f>
        <v>0</v>
      </c>
    </row>
    <row r="12558" spans="13:16">
      <c r="M12558" s="49">
        <f>IF($A$4+125&gt;$B$4,"",$A$4+125)</f>
        <v>46148</v>
      </c>
      <c r="N12558">
        <f>IF(M12558="","",'Master Barang'!A52)</f>
        <v>0</v>
      </c>
      <c r="O12558">
        <f>IF(N12558="","",'Master Barang'!B52)</f>
        <v>0</v>
      </c>
      <c r="P12558">
        <f>IF(OR(M12558="",N12558=""),"",SUMIFS('Barang Keluar'!$E:$E,'Barang Keluar'!$A:$A,M12558,'Barang Keluar'!$C:$C,N12558))</f>
        <v>0</v>
      </c>
    </row>
    <row r="12559" spans="13:16">
      <c r="M12559" s="49">
        <f>IF($A$4+125&gt;$B$4,"",$A$4+125)</f>
        <v>46148</v>
      </c>
      <c r="N12559">
        <f>IF(M12559="","",'Master Barang'!A53)</f>
        <v>0</v>
      </c>
      <c r="O12559">
        <f>IF(N12559="","",'Master Barang'!B53)</f>
        <v>0</v>
      </c>
      <c r="P12559">
        <f>IF(OR(M12559="",N12559=""),"",SUMIFS('Barang Keluar'!$E:$E,'Barang Keluar'!$A:$A,M12559,'Barang Keluar'!$C:$C,N12559))</f>
        <v>0</v>
      </c>
    </row>
    <row r="12560" spans="13:16">
      <c r="M12560" s="49">
        <f>IF($A$4+125&gt;$B$4,"",$A$4+125)</f>
        <v>46148</v>
      </c>
      <c r="N12560">
        <f>IF(M12560="","",'Master Barang'!A54)</f>
        <v>0</v>
      </c>
      <c r="O12560">
        <f>IF(N12560="","",'Master Barang'!B54)</f>
        <v>0</v>
      </c>
      <c r="P12560">
        <f>IF(OR(M12560="",N12560=""),"",SUMIFS('Barang Keluar'!$E:$E,'Barang Keluar'!$A:$A,M12560,'Barang Keluar'!$C:$C,N12560))</f>
        <v>0</v>
      </c>
    </row>
    <row r="12561" spans="13:16">
      <c r="M12561" s="49">
        <f>IF($A$4+125&gt;$B$4,"",$A$4+125)</f>
        <v>46148</v>
      </c>
      <c r="N12561">
        <f>IF(M12561="","",'Master Barang'!A55)</f>
        <v>0</v>
      </c>
      <c r="O12561">
        <f>IF(N12561="","",'Master Barang'!B55)</f>
        <v>0</v>
      </c>
      <c r="P12561">
        <f>IF(OR(M12561="",N12561=""),"",SUMIFS('Barang Keluar'!$E:$E,'Barang Keluar'!$A:$A,M12561,'Barang Keluar'!$C:$C,N12561))</f>
        <v>0</v>
      </c>
    </row>
    <row r="12562" spans="13:16">
      <c r="M12562" s="49">
        <f>IF($A$4+125&gt;$B$4,"",$A$4+125)</f>
        <v>46148</v>
      </c>
      <c r="N12562">
        <f>IF(M12562="","",'Master Barang'!A56)</f>
        <v>0</v>
      </c>
      <c r="O12562">
        <f>IF(N12562="","",'Master Barang'!B56)</f>
        <v>0</v>
      </c>
      <c r="P12562">
        <f>IF(OR(M12562="",N12562=""),"",SUMIFS('Barang Keluar'!$E:$E,'Barang Keluar'!$A:$A,M12562,'Barang Keluar'!$C:$C,N12562))</f>
        <v>0</v>
      </c>
    </row>
    <row r="12563" spans="13:16">
      <c r="M12563" s="49">
        <f>IF($A$4+125&gt;$B$4,"",$A$4+125)</f>
        <v>46148</v>
      </c>
      <c r="N12563">
        <f>IF(M12563="","",'Master Barang'!A57)</f>
        <v>0</v>
      </c>
      <c r="O12563">
        <f>IF(N12563="","",'Master Barang'!B57)</f>
        <v>0</v>
      </c>
      <c r="P12563">
        <f>IF(OR(M12563="",N12563=""),"",SUMIFS('Barang Keluar'!$E:$E,'Barang Keluar'!$A:$A,M12563,'Barang Keluar'!$C:$C,N12563))</f>
        <v>0</v>
      </c>
    </row>
    <row r="12564" spans="13:16">
      <c r="M12564" s="49">
        <f>IF($A$4+125&gt;$B$4,"",$A$4+125)</f>
        <v>46148</v>
      </c>
      <c r="N12564">
        <f>IF(M12564="","",'Master Barang'!A58)</f>
        <v>0</v>
      </c>
      <c r="O12564">
        <f>IF(N12564="","",'Master Barang'!B58)</f>
        <v>0</v>
      </c>
      <c r="P12564">
        <f>IF(OR(M12564="",N12564=""),"",SUMIFS('Barang Keluar'!$E:$E,'Barang Keluar'!$A:$A,M12564,'Barang Keluar'!$C:$C,N12564))</f>
        <v>0</v>
      </c>
    </row>
    <row r="12565" spans="13:16">
      <c r="M12565" s="49">
        <f>IF($A$4+125&gt;$B$4,"",$A$4+125)</f>
        <v>46148</v>
      </c>
      <c r="N12565">
        <f>IF(M12565="","",'Master Barang'!A59)</f>
        <v>0</v>
      </c>
      <c r="O12565">
        <f>IF(N12565="","",'Master Barang'!B59)</f>
        <v>0</v>
      </c>
      <c r="P12565">
        <f>IF(OR(M12565="",N12565=""),"",SUMIFS('Barang Keluar'!$E:$E,'Barang Keluar'!$A:$A,M12565,'Barang Keluar'!$C:$C,N12565))</f>
        <v>0</v>
      </c>
    </row>
    <row r="12566" spans="13:16">
      <c r="M12566" s="49">
        <f>IF($A$4+125&gt;$B$4,"",$A$4+125)</f>
        <v>46148</v>
      </c>
      <c r="N12566">
        <f>IF(M12566="","",'Master Barang'!A60)</f>
        <v>0</v>
      </c>
      <c r="O12566">
        <f>IF(N12566="","",'Master Barang'!B60)</f>
        <v>0</v>
      </c>
      <c r="P12566">
        <f>IF(OR(M12566="",N12566=""),"",SUMIFS('Barang Keluar'!$E:$E,'Barang Keluar'!$A:$A,M12566,'Barang Keluar'!$C:$C,N12566))</f>
        <v>0</v>
      </c>
    </row>
    <row r="12567" spans="13:16">
      <c r="M12567" s="49">
        <f>IF($A$4+125&gt;$B$4,"",$A$4+125)</f>
        <v>46148</v>
      </c>
      <c r="N12567">
        <f>IF(M12567="","",'Master Barang'!A61)</f>
        <v>0</v>
      </c>
      <c r="O12567">
        <f>IF(N12567="","",'Master Barang'!B61)</f>
        <v>0</v>
      </c>
      <c r="P12567">
        <f>IF(OR(M12567="",N12567=""),"",SUMIFS('Barang Keluar'!$E:$E,'Barang Keluar'!$A:$A,M12567,'Barang Keluar'!$C:$C,N12567))</f>
        <v>0</v>
      </c>
    </row>
    <row r="12568" spans="13:16">
      <c r="M12568" s="49">
        <f>IF($A$4+125&gt;$B$4,"",$A$4+125)</f>
        <v>46148</v>
      </c>
      <c r="N12568">
        <f>IF(M12568="","",'Master Barang'!A62)</f>
        <v>0</v>
      </c>
      <c r="O12568">
        <f>IF(N12568="","",'Master Barang'!B62)</f>
        <v>0</v>
      </c>
      <c r="P12568">
        <f>IF(OR(M12568="",N12568=""),"",SUMIFS('Barang Keluar'!$E:$E,'Barang Keluar'!$A:$A,M12568,'Barang Keluar'!$C:$C,N12568))</f>
        <v>0</v>
      </c>
    </row>
    <row r="12569" spans="13:16">
      <c r="M12569" s="49">
        <f>IF($A$4+125&gt;$B$4,"",$A$4+125)</f>
        <v>46148</v>
      </c>
      <c r="N12569">
        <f>IF(M12569="","",'Master Barang'!A63)</f>
        <v>0</v>
      </c>
      <c r="O12569">
        <f>IF(N12569="","",'Master Barang'!B63)</f>
        <v>0</v>
      </c>
      <c r="P12569">
        <f>IF(OR(M12569="",N12569=""),"",SUMIFS('Barang Keluar'!$E:$E,'Barang Keluar'!$A:$A,M12569,'Barang Keluar'!$C:$C,N12569))</f>
        <v>0</v>
      </c>
    </row>
    <row r="12570" spans="13:16">
      <c r="M12570" s="49">
        <f>IF($A$4+125&gt;$B$4,"",$A$4+125)</f>
        <v>46148</v>
      </c>
      <c r="N12570">
        <f>IF(M12570="","",'Master Barang'!A64)</f>
        <v>0</v>
      </c>
      <c r="O12570">
        <f>IF(N12570="","",'Master Barang'!B64)</f>
        <v>0</v>
      </c>
      <c r="P12570">
        <f>IF(OR(M12570="",N12570=""),"",SUMIFS('Barang Keluar'!$E:$E,'Barang Keluar'!$A:$A,M12570,'Barang Keluar'!$C:$C,N12570))</f>
        <v>0</v>
      </c>
    </row>
    <row r="12571" spans="13:16">
      <c r="M12571" s="49">
        <f>IF($A$4+125&gt;$B$4,"",$A$4+125)</f>
        <v>46148</v>
      </c>
      <c r="N12571">
        <f>IF(M12571="","",'Master Barang'!A65)</f>
        <v>0</v>
      </c>
      <c r="O12571">
        <f>IF(N12571="","",'Master Barang'!B65)</f>
        <v>0</v>
      </c>
      <c r="P12571">
        <f>IF(OR(M12571="",N12571=""),"",SUMIFS('Barang Keluar'!$E:$E,'Barang Keluar'!$A:$A,M12571,'Barang Keluar'!$C:$C,N12571))</f>
        <v>0</v>
      </c>
    </row>
    <row r="12572" spans="13:16">
      <c r="M12572" s="49">
        <f>IF($A$4+125&gt;$B$4,"",$A$4+125)</f>
        <v>46148</v>
      </c>
      <c r="N12572">
        <f>IF(M12572="","",'Master Barang'!A66)</f>
        <v>0</v>
      </c>
      <c r="O12572">
        <f>IF(N12572="","",'Master Barang'!B66)</f>
        <v>0</v>
      </c>
      <c r="P12572">
        <f>IF(OR(M12572="",N12572=""),"",SUMIFS('Barang Keluar'!$E:$E,'Barang Keluar'!$A:$A,M12572,'Barang Keluar'!$C:$C,N12572))</f>
        <v>0</v>
      </c>
    </row>
    <row r="12573" spans="13:16">
      <c r="M12573" s="49">
        <f>IF($A$4+125&gt;$B$4,"",$A$4+125)</f>
        <v>46148</v>
      </c>
      <c r="N12573">
        <f>IF(M12573="","",'Master Barang'!A67)</f>
        <v>0</v>
      </c>
      <c r="O12573">
        <f>IF(N12573="","",'Master Barang'!B67)</f>
        <v>0</v>
      </c>
      <c r="P12573">
        <f>IF(OR(M12573="",N12573=""),"",SUMIFS('Barang Keluar'!$E:$E,'Barang Keluar'!$A:$A,M12573,'Barang Keluar'!$C:$C,N12573))</f>
        <v>0</v>
      </c>
    </row>
    <row r="12574" spans="13:16">
      <c r="M12574" s="49">
        <f>IF($A$4+125&gt;$B$4,"",$A$4+125)</f>
        <v>46148</v>
      </c>
      <c r="N12574">
        <f>IF(M12574="","",'Master Barang'!A68)</f>
        <v>0</v>
      </c>
      <c r="O12574">
        <f>IF(N12574="","",'Master Barang'!B68)</f>
        <v>0</v>
      </c>
      <c r="P12574">
        <f>IF(OR(M12574="",N12574=""),"",SUMIFS('Barang Keluar'!$E:$E,'Barang Keluar'!$A:$A,M12574,'Barang Keluar'!$C:$C,N12574))</f>
        <v>0</v>
      </c>
    </row>
    <row r="12575" spans="13:16">
      <c r="M12575" s="49">
        <f>IF($A$4+125&gt;$B$4,"",$A$4+125)</f>
        <v>46148</v>
      </c>
      <c r="N12575">
        <f>IF(M12575="","",'Master Barang'!A69)</f>
        <v>0</v>
      </c>
      <c r="O12575">
        <f>IF(N12575="","",'Master Barang'!B69)</f>
        <v>0</v>
      </c>
      <c r="P12575">
        <f>IF(OR(M12575="",N12575=""),"",SUMIFS('Barang Keluar'!$E:$E,'Barang Keluar'!$A:$A,M12575,'Barang Keluar'!$C:$C,N12575))</f>
        <v>0</v>
      </c>
    </row>
    <row r="12576" spans="13:16">
      <c r="M12576" s="49">
        <f>IF($A$4+125&gt;$B$4,"",$A$4+125)</f>
        <v>46148</v>
      </c>
      <c r="N12576">
        <f>IF(M12576="","",'Master Barang'!A70)</f>
        <v>0</v>
      </c>
      <c r="O12576">
        <f>IF(N12576="","",'Master Barang'!B70)</f>
        <v>0</v>
      </c>
      <c r="P12576">
        <f>IF(OR(M12576="",N12576=""),"",SUMIFS('Barang Keluar'!$E:$E,'Barang Keluar'!$A:$A,M12576,'Barang Keluar'!$C:$C,N12576))</f>
        <v>0</v>
      </c>
    </row>
    <row r="12577" spans="13:16">
      <c r="M12577" s="49">
        <f>IF($A$4+125&gt;$B$4,"",$A$4+125)</f>
        <v>46148</v>
      </c>
      <c r="N12577">
        <f>IF(M12577="","",'Master Barang'!A71)</f>
        <v>0</v>
      </c>
      <c r="O12577">
        <f>IF(N12577="","",'Master Barang'!B71)</f>
        <v>0</v>
      </c>
      <c r="P12577">
        <f>IF(OR(M12577="",N12577=""),"",SUMIFS('Barang Keluar'!$E:$E,'Barang Keluar'!$A:$A,M12577,'Barang Keluar'!$C:$C,N12577))</f>
        <v>0</v>
      </c>
    </row>
    <row r="12578" spans="13:16">
      <c r="M12578" s="49">
        <f>IF($A$4+125&gt;$B$4,"",$A$4+125)</f>
        <v>46148</v>
      </c>
      <c r="N12578">
        <f>IF(M12578="","",'Master Barang'!A72)</f>
        <v>0</v>
      </c>
      <c r="O12578">
        <f>IF(N12578="","",'Master Barang'!B72)</f>
        <v>0</v>
      </c>
      <c r="P12578">
        <f>IF(OR(M12578="",N12578=""),"",SUMIFS('Barang Keluar'!$E:$E,'Barang Keluar'!$A:$A,M12578,'Barang Keluar'!$C:$C,N12578))</f>
        <v>0</v>
      </c>
    </row>
    <row r="12579" spans="13:16">
      <c r="M12579" s="49">
        <f>IF($A$4+125&gt;$B$4,"",$A$4+125)</f>
        <v>46148</v>
      </c>
      <c r="N12579">
        <f>IF(M12579="","",'Master Barang'!A73)</f>
        <v>0</v>
      </c>
      <c r="O12579">
        <f>IF(N12579="","",'Master Barang'!B73)</f>
        <v>0</v>
      </c>
      <c r="P12579">
        <f>IF(OR(M12579="",N12579=""),"",SUMIFS('Barang Keluar'!$E:$E,'Barang Keluar'!$A:$A,M12579,'Barang Keluar'!$C:$C,N12579))</f>
        <v>0</v>
      </c>
    </row>
    <row r="12580" spans="13:16">
      <c r="M12580" s="49">
        <f>IF($A$4+125&gt;$B$4,"",$A$4+125)</f>
        <v>46148</v>
      </c>
      <c r="N12580">
        <f>IF(M12580="","",'Master Barang'!A74)</f>
        <v>0</v>
      </c>
      <c r="O12580">
        <f>IF(N12580="","",'Master Barang'!B74)</f>
        <v>0</v>
      </c>
      <c r="P12580">
        <f>IF(OR(M12580="",N12580=""),"",SUMIFS('Barang Keluar'!$E:$E,'Barang Keluar'!$A:$A,M12580,'Barang Keluar'!$C:$C,N12580))</f>
        <v>0</v>
      </c>
    </row>
    <row r="12581" spans="13:16">
      <c r="M12581" s="49">
        <f>IF($A$4+125&gt;$B$4,"",$A$4+125)</f>
        <v>46148</v>
      </c>
      <c r="N12581">
        <f>IF(M12581="","",'Master Barang'!A75)</f>
        <v>0</v>
      </c>
      <c r="O12581">
        <f>IF(N12581="","",'Master Barang'!B75)</f>
        <v>0</v>
      </c>
      <c r="P12581">
        <f>IF(OR(M12581="",N12581=""),"",SUMIFS('Barang Keluar'!$E:$E,'Barang Keluar'!$A:$A,M12581,'Barang Keluar'!$C:$C,N12581))</f>
        <v>0</v>
      </c>
    </row>
    <row r="12582" spans="13:16">
      <c r="M12582" s="49">
        <f>IF($A$4+125&gt;$B$4,"",$A$4+125)</f>
        <v>46148</v>
      </c>
      <c r="N12582">
        <f>IF(M12582="","",'Master Barang'!A76)</f>
        <v>0</v>
      </c>
      <c r="O12582">
        <f>IF(N12582="","",'Master Barang'!B76)</f>
        <v>0</v>
      </c>
      <c r="P12582">
        <f>IF(OR(M12582="",N12582=""),"",SUMIFS('Barang Keluar'!$E:$E,'Barang Keluar'!$A:$A,M12582,'Barang Keluar'!$C:$C,N12582))</f>
        <v>0</v>
      </c>
    </row>
    <row r="12583" spans="13:16">
      <c r="M12583" s="49">
        <f>IF($A$4+125&gt;$B$4,"",$A$4+125)</f>
        <v>46148</v>
      </c>
      <c r="N12583">
        <f>IF(M12583="","",'Master Barang'!A77)</f>
        <v>0</v>
      </c>
      <c r="O12583">
        <f>IF(N12583="","",'Master Barang'!B77)</f>
        <v>0</v>
      </c>
      <c r="P12583">
        <f>IF(OR(M12583="",N12583=""),"",SUMIFS('Barang Keluar'!$E:$E,'Barang Keluar'!$A:$A,M12583,'Barang Keluar'!$C:$C,N12583))</f>
        <v>0</v>
      </c>
    </row>
    <row r="12584" spans="13:16">
      <c r="M12584" s="49">
        <f>IF($A$4+125&gt;$B$4,"",$A$4+125)</f>
        <v>46148</v>
      </c>
      <c r="N12584">
        <f>IF(M12584="","",'Master Barang'!A78)</f>
        <v>0</v>
      </c>
      <c r="O12584">
        <f>IF(N12584="","",'Master Barang'!B78)</f>
        <v>0</v>
      </c>
      <c r="P12584">
        <f>IF(OR(M12584="",N12584=""),"",SUMIFS('Barang Keluar'!$E:$E,'Barang Keluar'!$A:$A,M12584,'Barang Keluar'!$C:$C,N12584))</f>
        <v>0</v>
      </c>
    </row>
    <row r="12585" spans="13:16">
      <c r="M12585" s="49">
        <f>IF($A$4+125&gt;$B$4,"",$A$4+125)</f>
        <v>46148</v>
      </c>
      <c r="N12585">
        <f>IF(M12585="","",'Master Barang'!A79)</f>
        <v>0</v>
      </c>
      <c r="O12585">
        <f>IF(N12585="","",'Master Barang'!B79)</f>
        <v>0</v>
      </c>
      <c r="P12585">
        <f>IF(OR(M12585="",N12585=""),"",SUMIFS('Barang Keluar'!$E:$E,'Barang Keluar'!$A:$A,M12585,'Barang Keluar'!$C:$C,N12585))</f>
        <v>0</v>
      </c>
    </row>
    <row r="12586" spans="13:16">
      <c r="M12586" s="49">
        <f>IF($A$4+125&gt;$B$4,"",$A$4+125)</f>
        <v>46148</v>
      </c>
      <c r="N12586">
        <f>IF(M12586="","",'Master Barang'!A80)</f>
        <v>0</v>
      </c>
      <c r="O12586">
        <f>IF(N12586="","",'Master Barang'!B80)</f>
        <v>0</v>
      </c>
      <c r="P12586">
        <f>IF(OR(M12586="",N12586=""),"",SUMIFS('Barang Keluar'!$E:$E,'Barang Keluar'!$A:$A,M12586,'Barang Keluar'!$C:$C,N12586))</f>
        <v>0</v>
      </c>
    </row>
    <row r="12587" spans="13:16">
      <c r="M12587" s="49">
        <f>IF($A$4+125&gt;$B$4,"",$A$4+125)</f>
        <v>46148</v>
      </c>
      <c r="N12587">
        <f>IF(M12587="","",'Master Barang'!A81)</f>
        <v>0</v>
      </c>
      <c r="O12587">
        <f>IF(N12587="","",'Master Barang'!B81)</f>
        <v>0</v>
      </c>
      <c r="P12587">
        <f>IF(OR(M12587="",N12587=""),"",SUMIFS('Barang Keluar'!$E:$E,'Barang Keluar'!$A:$A,M12587,'Barang Keluar'!$C:$C,N12587))</f>
        <v>0</v>
      </c>
    </row>
    <row r="12588" spans="13:16">
      <c r="M12588" s="49">
        <f>IF($A$4+125&gt;$B$4,"",$A$4+125)</f>
        <v>46148</v>
      </c>
      <c r="N12588">
        <f>IF(M12588="","",'Master Barang'!A82)</f>
        <v>0</v>
      </c>
      <c r="O12588">
        <f>IF(N12588="","",'Master Barang'!B82)</f>
        <v>0</v>
      </c>
      <c r="P12588">
        <f>IF(OR(M12588="",N12588=""),"",SUMIFS('Barang Keluar'!$E:$E,'Barang Keluar'!$A:$A,M12588,'Barang Keluar'!$C:$C,N12588))</f>
        <v>0</v>
      </c>
    </row>
    <row r="12589" spans="13:16">
      <c r="M12589" s="49">
        <f>IF($A$4+125&gt;$B$4,"",$A$4+125)</f>
        <v>46148</v>
      </c>
      <c r="N12589">
        <f>IF(M12589="","",'Master Barang'!A83)</f>
        <v>0</v>
      </c>
      <c r="O12589">
        <f>IF(N12589="","",'Master Barang'!B83)</f>
        <v>0</v>
      </c>
      <c r="P12589">
        <f>IF(OR(M12589="",N12589=""),"",SUMIFS('Barang Keluar'!$E:$E,'Barang Keluar'!$A:$A,M12589,'Barang Keluar'!$C:$C,N12589))</f>
        <v>0</v>
      </c>
    </row>
    <row r="12590" spans="13:16">
      <c r="M12590" s="49">
        <f>IF($A$4+125&gt;$B$4,"",$A$4+125)</f>
        <v>46148</v>
      </c>
      <c r="N12590">
        <f>IF(M12590="","",'Master Barang'!A84)</f>
        <v>0</v>
      </c>
      <c r="O12590">
        <f>IF(N12590="","",'Master Barang'!B84)</f>
        <v>0</v>
      </c>
      <c r="P12590">
        <f>IF(OR(M12590="",N12590=""),"",SUMIFS('Barang Keluar'!$E:$E,'Barang Keluar'!$A:$A,M12590,'Barang Keluar'!$C:$C,N12590))</f>
        <v>0</v>
      </c>
    </row>
    <row r="12591" spans="13:16">
      <c r="M12591" s="49">
        <f>IF($A$4+125&gt;$B$4,"",$A$4+125)</f>
        <v>46148</v>
      </c>
      <c r="N12591">
        <f>IF(M12591="","",'Master Barang'!A85)</f>
        <v>0</v>
      </c>
      <c r="O12591">
        <f>IF(N12591="","",'Master Barang'!B85)</f>
        <v>0</v>
      </c>
      <c r="P12591">
        <f>IF(OR(M12591="",N12591=""),"",SUMIFS('Barang Keluar'!$E:$E,'Barang Keluar'!$A:$A,M12591,'Barang Keluar'!$C:$C,N12591))</f>
        <v>0</v>
      </c>
    </row>
    <row r="12592" spans="13:16">
      <c r="M12592" s="49">
        <f>IF($A$4+125&gt;$B$4,"",$A$4+125)</f>
        <v>46148</v>
      </c>
      <c r="N12592">
        <f>IF(M12592="","",'Master Barang'!A86)</f>
        <v>0</v>
      </c>
      <c r="O12592">
        <f>IF(N12592="","",'Master Barang'!B86)</f>
        <v>0</v>
      </c>
      <c r="P12592">
        <f>IF(OR(M12592="",N12592=""),"",SUMIFS('Barang Keluar'!$E:$E,'Barang Keluar'!$A:$A,M12592,'Barang Keluar'!$C:$C,N12592))</f>
        <v>0</v>
      </c>
    </row>
    <row r="12593" spans="13:16">
      <c r="M12593" s="49">
        <f>IF($A$4+125&gt;$B$4,"",$A$4+125)</f>
        <v>46148</v>
      </c>
      <c r="N12593">
        <f>IF(M12593="","",'Master Barang'!A87)</f>
        <v>0</v>
      </c>
      <c r="O12593">
        <f>IF(N12593="","",'Master Barang'!B87)</f>
        <v>0</v>
      </c>
      <c r="P12593">
        <f>IF(OR(M12593="",N12593=""),"",SUMIFS('Barang Keluar'!$E:$E,'Barang Keluar'!$A:$A,M12593,'Barang Keluar'!$C:$C,N12593))</f>
        <v>0</v>
      </c>
    </row>
    <row r="12594" spans="13:16">
      <c r="M12594" s="49">
        <f>IF($A$4+125&gt;$B$4,"",$A$4+125)</f>
        <v>46148</v>
      </c>
      <c r="N12594">
        <f>IF(M12594="","",'Master Barang'!A88)</f>
        <v>0</v>
      </c>
      <c r="O12594">
        <f>IF(N12594="","",'Master Barang'!B88)</f>
        <v>0</v>
      </c>
      <c r="P12594">
        <f>IF(OR(M12594="",N12594=""),"",SUMIFS('Barang Keluar'!$E:$E,'Barang Keluar'!$A:$A,M12594,'Barang Keluar'!$C:$C,N12594))</f>
        <v>0</v>
      </c>
    </row>
    <row r="12595" spans="13:16">
      <c r="M12595" s="49">
        <f>IF($A$4+125&gt;$B$4,"",$A$4+125)</f>
        <v>46148</v>
      </c>
      <c r="N12595">
        <f>IF(M12595="","",'Master Barang'!A89)</f>
        <v>0</v>
      </c>
      <c r="O12595">
        <f>IF(N12595="","",'Master Barang'!B89)</f>
        <v>0</v>
      </c>
      <c r="P12595">
        <f>IF(OR(M12595="",N12595=""),"",SUMIFS('Barang Keluar'!$E:$E,'Barang Keluar'!$A:$A,M12595,'Barang Keluar'!$C:$C,N12595))</f>
        <v>0</v>
      </c>
    </row>
    <row r="12596" spans="13:16">
      <c r="M12596" s="49">
        <f>IF($A$4+125&gt;$B$4,"",$A$4+125)</f>
        <v>46148</v>
      </c>
      <c r="N12596">
        <f>IF(M12596="","",'Master Barang'!A90)</f>
        <v>0</v>
      </c>
      <c r="O12596">
        <f>IF(N12596="","",'Master Barang'!B90)</f>
        <v>0</v>
      </c>
      <c r="P12596">
        <f>IF(OR(M12596="",N12596=""),"",SUMIFS('Barang Keluar'!$E:$E,'Barang Keluar'!$A:$A,M12596,'Barang Keluar'!$C:$C,N12596))</f>
        <v>0</v>
      </c>
    </row>
    <row r="12597" spans="13:16">
      <c r="M12597" s="49">
        <f>IF($A$4+125&gt;$B$4,"",$A$4+125)</f>
        <v>46148</v>
      </c>
      <c r="N12597">
        <f>IF(M12597="","",'Master Barang'!A91)</f>
        <v>0</v>
      </c>
      <c r="O12597">
        <f>IF(N12597="","",'Master Barang'!B91)</f>
        <v>0</v>
      </c>
      <c r="P12597">
        <f>IF(OR(M12597="",N12597=""),"",SUMIFS('Barang Keluar'!$E:$E,'Barang Keluar'!$A:$A,M12597,'Barang Keluar'!$C:$C,N12597))</f>
        <v>0</v>
      </c>
    </row>
    <row r="12598" spans="13:16">
      <c r="M12598" s="49">
        <f>IF($A$4+125&gt;$B$4,"",$A$4+125)</f>
        <v>46148</v>
      </c>
      <c r="N12598">
        <f>IF(M12598="","",'Master Barang'!A92)</f>
        <v>0</v>
      </c>
      <c r="O12598">
        <f>IF(N12598="","",'Master Barang'!B92)</f>
        <v>0</v>
      </c>
      <c r="P12598">
        <f>IF(OR(M12598="",N12598=""),"",SUMIFS('Barang Keluar'!$E:$E,'Barang Keluar'!$A:$A,M12598,'Barang Keluar'!$C:$C,N12598))</f>
        <v>0</v>
      </c>
    </row>
    <row r="12599" spans="13:16">
      <c r="M12599" s="49">
        <f>IF($A$4+125&gt;$B$4,"",$A$4+125)</f>
        <v>46148</v>
      </c>
      <c r="N12599">
        <f>IF(M12599="","",'Master Barang'!A93)</f>
        <v>0</v>
      </c>
      <c r="O12599">
        <f>IF(N12599="","",'Master Barang'!B93)</f>
        <v>0</v>
      </c>
      <c r="P12599">
        <f>IF(OR(M12599="",N12599=""),"",SUMIFS('Barang Keluar'!$E:$E,'Barang Keluar'!$A:$A,M12599,'Barang Keluar'!$C:$C,N12599))</f>
        <v>0</v>
      </c>
    </row>
    <row r="12600" spans="13:16">
      <c r="M12600" s="49">
        <f>IF($A$4+125&gt;$B$4,"",$A$4+125)</f>
        <v>46148</v>
      </c>
      <c r="N12600">
        <f>IF(M12600="","",'Master Barang'!A94)</f>
        <v>0</v>
      </c>
      <c r="O12600">
        <f>IF(N12600="","",'Master Barang'!B94)</f>
        <v>0</v>
      </c>
      <c r="P12600">
        <f>IF(OR(M12600="",N12600=""),"",SUMIFS('Barang Keluar'!$E:$E,'Barang Keluar'!$A:$A,M12600,'Barang Keluar'!$C:$C,N12600))</f>
        <v>0</v>
      </c>
    </row>
    <row r="12601" spans="13:16">
      <c r="M12601" s="49">
        <f>IF($A$4+125&gt;$B$4,"",$A$4+125)</f>
        <v>46148</v>
      </c>
      <c r="N12601">
        <f>IF(M12601="","",'Master Barang'!A95)</f>
        <v>0</v>
      </c>
      <c r="O12601">
        <f>IF(N12601="","",'Master Barang'!B95)</f>
        <v>0</v>
      </c>
      <c r="P12601">
        <f>IF(OR(M12601="",N12601=""),"",SUMIFS('Barang Keluar'!$E:$E,'Barang Keluar'!$A:$A,M12601,'Barang Keluar'!$C:$C,N12601))</f>
        <v>0</v>
      </c>
    </row>
    <row r="12602" spans="13:16">
      <c r="M12602" s="49">
        <f>IF($A$4+125&gt;$B$4,"",$A$4+125)</f>
        <v>46148</v>
      </c>
      <c r="N12602">
        <f>IF(M12602="","",'Master Barang'!A96)</f>
        <v>0</v>
      </c>
      <c r="O12602">
        <f>IF(N12602="","",'Master Barang'!B96)</f>
        <v>0</v>
      </c>
      <c r="P12602">
        <f>IF(OR(M12602="",N12602=""),"",SUMIFS('Barang Keluar'!$E:$E,'Barang Keluar'!$A:$A,M12602,'Barang Keluar'!$C:$C,N12602))</f>
        <v>0</v>
      </c>
    </row>
    <row r="12603" spans="13:16">
      <c r="M12603" s="49">
        <f>IF($A$4+125&gt;$B$4,"",$A$4+125)</f>
        <v>46148</v>
      </c>
      <c r="N12603">
        <f>IF(M12603="","",'Master Barang'!A97)</f>
        <v>0</v>
      </c>
      <c r="O12603">
        <f>IF(N12603="","",'Master Barang'!B97)</f>
        <v>0</v>
      </c>
      <c r="P12603">
        <f>IF(OR(M12603="",N12603=""),"",SUMIFS('Barang Keluar'!$E:$E,'Barang Keluar'!$A:$A,M12603,'Barang Keluar'!$C:$C,N12603))</f>
        <v>0</v>
      </c>
    </row>
    <row r="12604" spans="13:16">
      <c r="M12604" s="49">
        <f>IF($A$4+125&gt;$B$4,"",$A$4+125)</f>
        <v>46148</v>
      </c>
      <c r="N12604">
        <f>IF(M12604="","",'Master Barang'!A98)</f>
        <v>0</v>
      </c>
      <c r="O12604">
        <f>IF(N12604="","",'Master Barang'!B98)</f>
        <v>0</v>
      </c>
      <c r="P12604">
        <f>IF(OR(M12604="",N12604=""),"",SUMIFS('Barang Keluar'!$E:$E,'Barang Keluar'!$A:$A,M12604,'Barang Keluar'!$C:$C,N12604))</f>
        <v>0</v>
      </c>
    </row>
    <row r="12605" spans="13:16">
      <c r="M12605" s="49">
        <f>IF($A$4+125&gt;$B$4,"",$A$4+125)</f>
        <v>46148</v>
      </c>
      <c r="N12605">
        <f>IF(M12605="","",'Master Barang'!A99)</f>
        <v>0</v>
      </c>
      <c r="O12605">
        <f>IF(N12605="","",'Master Barang'!B99)</f>
        <v>0</v>
      </c>
      <c r="P12605">
        <f>IF(OR(M12605="",N12605=""),"",SUMIFS('Barang Keluar'!$E:$E,'Barang Keluar'!$A:$A,M12605,'Barang Keluar'!$C:$C,N12605))</f>
        <v>0</v>
      </c>
    </row>
    <row r="12606" spans="13:16">
      <c r="M12606" s="49">
        <f>IF($A$4+125&gt;$B$4,"",$A$4+125)</f>
        <v>46148</v>
      </c>
      <c r="N12606">
        <f>IF(M12606="","",'Master Barang'!A100)</f>
        <v>0</v>
      </c>
      <c r="O12606">
        <f>IF(N12606="","",'Master Barang'!B100)</f>
        <v>0</v>
      </c>
      <c r="P12606">
        <f>IF(OR(M12606="",N12606=""),"",SUMIFS('Barang Keluar'!$E:$E,'Barang Keluar'!$A:$A,M12606,'Barang Keluar'!$C:$C,N12606))</f>
        <v>0</v>
      </c>
    </row>
    <row r="12607" spans="13:16">
      <c r="M12607" s="49">
        <f>IF($A$4+125&gt;$B$4,"",$A$4+125)</f>
        <v>46148</v>
      </c>
      <c r="N12607">
        <f>IF(M12607="","",'Master Barang'!A101)</f>
        <v>0</v>
      </c>
      <c r="O12607">
        <f>IF(N12607="","",'Master Barang'!B101)</f>
        <v>0</v>
      </c>
      <c r="P12607">
        <f>IF(OR(M12607="",N12607=""),"",SUMIFS('Barang Keluar'!$E:$E,'Barang Keluar'!$A:$A,M12607,'Barang Keluar'!$C:$C,N12607))</f>
        <v>0</v>
      </c>
    </row>
    <row r="12608" spans="13:16">
      <c r="M12608" s="49">
        <f>IF($A$4+126&gt;$B$4,"",$A$4+126)</f>
        <v>46149</v>
      </c>
      <c r="N12608" t="str">
        <f>IF(M12608="","",'Master Barang'!A2)</f>
        <v>PRL-001</v>
      </c>
      <c r="O12608" t="str">
        <f>IF(N12608="","",'Master Barang'!B2)</f>
        <v>natura desinfectant food grade 5l</v>
      </c>
      <c r="P12608">
        <f>IF(OR(M12608="",N12608=""),"",SUMIFS('Barang Keluar'!$E:$E,'Barang Keluar'!$A:$A,M12608,'Barang Keluar'!$C:$C,N12608))</f>
        <v>0</v>
      </c>
    </row>
    <row r="12609" spans="13:16">
      <c r="M12609" s="49">
        <f>IF($A$4+126&gt;$B$4,"",$A$4+126)</f>
        <v>46149</v>
      </c>
      <c r="N12609" t="str">
        <f>IF(M12609="","",'Master Barang'!A3)</f>
        <v>PRL-002</v>
      </c>
      <c r="O12609" t="str">
        <f>IF(N12609="","",'Master Barang'!B3)</f>
        <v>sunlight cairan pencuci piring 5l</v>
      </c>
      <c r="P12609">
        <f>IF(OR(M12609="",N12609=""),"",SUMIFS('Barang Keluar'!$E:$E,'Barang Keluar'!$A:$A,M12609,'Barang Keluar'!$C:$C,N12609))</f>
        <v>0</v>
      </c>
    </row>
    <row r="12610" spans="13:16">
      <c r="M12610" s="49">
        <f>IF($A$4+126&gt;$B$4,"",$A$4+126)</f>
        <v>46149</v>
      </c>
      <c r="N12610" t="str">
        <f>IF(M12610="","",'Master Barang'!A4)</f>
        <v>PRL-003</v>
      </c>
      <c r="O12610" t="str">
        <f>IF(N12610="","",'Master Barang'!B4)</f>
        <v>oixs cleaner 1l</v>
      </c>
      <c r="P12610">
        <f>IF(OR(M12610="",N12610=""),"",SUMIFS('Barang Keluar'!$E:$E,'Barang Keluar'!$A:$A,M12610,'Barang Keluar'!$C:$C,N12610))</f>
        <v>0</v>
      </c>
    </row>
    <row r="12611" spans="13:16">
      <c r="M12611" s="49">
        <f>IF($A$4+126&gt;$B$4,"",$A$4+126)</f>
        <v>46149</v>
      </c>
      <c r="N12611" t="str">
        <f>IF(M12611="","",'Master Barang'!A5)</f>
        <v>PRL-004</v>
      </c>
      <c r="O12611" t="str">
        <f>IF(N12611="","",'Master Barang'!B5)</f>
        <v>be clean tissue serbaguna</v>
      </c>
      <c r="P12611">
        <f>IF(OR(M12611="",N12611=""),"",SUMIFS('Barang Keluar'!$E:$E,'Barang Keluar'!$A:$A,M12611,'Barang Keluar'!$C:$C,N12611))</f>
        <v>0</v>
      </c>
    </row>
    <row r="12612" spans="13:16">
      <c r="M12612" s="49">
        <f>IF($A$4+126&gt;$B$4,"",$A$4+126)</f>
        <v>46149</v>
      </c>
      <c r="N12612" t="str">
        <f>IF(M12612="","",'Master Barang'!A6)</f>
        <v>PRL-005</v>
      </c>
      <c r="O12612" t="str">
        <f>IF(N12612="","",'Master Barang'!B6)</f>
        <v>spons cuci hijau</v>
      </c>
      <c r="P12612">
        <f>IF(OR(M12612="",N12612=""),"",SUMIFS('Barang Keluar'!$E:$E,'Barang Keluar'!$A:$A,M12612,'Barang Keluar'!$C:$C,N12612))</f>
        <v>0</v>
      </c>
    </row>
    <row r="12613" spans="13:16">
      <c r="M12613" s="49">
        <f>IF($A$4+126&gt;$B$4,"",$A$4+126)</f>
        <v>46149</v>
      </c>
      <c r="N12613" t="str">
        <f>IF(M12613="","",'Master Barang'!A7)</f>
        <v>PRL-006</v>
      </c>
      <c r="O12613" t="str">
        <f>IF(N12613="","",'Master Barang'!B7)</f>
        <v>sabut cuci stainless</v>
      </c>
      <c r="P12613">
        <f>IF(OR(M12613="",N12613=""),"",SUMIFS('Barang Keluar'!$E:$E,'Barang Keluar'!$A:$A,M12613,'Barang Keluar'!$C:$C,N12613))</f>
        <v>0</v>
      </c>
    </row>
    <row r="12614" spans="13:16">
      <c r="M12614" s="49">
        <f>IF($A$4+126&gt;$B$4,"",$A$4+126)</f>
        <v>46149</v>
      </c>
      <c r="N12614" t="str">
        <f>IF(M12614="","",'Master Barang'!A8)</f>
        <v>PRL-007</v>
      </c>
      <c r="O12614" t="str">
        <f>IF(N12614="","",'Master Barang'!B8)</f>
        <v>plastik kresek besar merah 50pc</v>
      </c>
      <c r="P12614">
        <f>IF(OR(M12614="",N12614=""),"",SUMIFS('Barang Keluar'!$E:$E,'Barang Keluar'!$A:$A,M12614,'Barang Keluar'!$C:$C,N12614))</f>
        <v>0</v>
      </c>
    </row>
    <row r="12615" spans="13:16">
      <c r="M12615" s="49">
        <f>IF($A$4+126&gt;$B$4,"",$A$4+126)</f>
        <v>46149</v>
      </c>
      <c r="N12615" t="str">
        <f>IF(M12615="","",'Master Barang'!A9)</f>
        <v>PRL-008</v>
      </c>
      <c r="O12615" t="str">
        <f>IF(N12615="","",'Master Barang'!B9)</f>
        <v>lap besar</v>
      </c>
      <c r="P12615">
        <f>IF(OR(M12615="",N12615=""),"",SUMIFS('Barang Keluar'!$E:$E,'Barang Keluar'!$A:$A,M12615,'Barang Keluar'!$C:$C,N12615))</f>
        <v>0</v>
      </c>
    </row>
    <row r="12616" spans="13:16">
      <c r="M12616" s="49">
        <f>IF($A$4+126&gt;$B$4,"",$A$4+126)</f>
        <v>46149</v>
      </c>
      <c r="N12616" t="str">
        <f>IF(M12616="","",'Master Barang'!A10)</f>
        <v>PRL-009</v>
      </c>
      <c r="O12616" t="str">
        <f>IF(N12616="","",'Master Barang'!B10)</f>
        <v>lap microfiber</v>
      </c>
      <c r="P12616">
        <f>IF(OR(M12616="",N12616=""),"",SUMIFS('Barang Keluar'!$E:$E,'Barang Keluar'!$A:$A,M12616,'Barang Keluar'!$C:$C,N12616))</f>
        <v>0</v>
      </c>
    </row>
    <row r="12617" spans="13:16">
      <c r="M12617" s="49">
        <f>IF($A$4+126&gt;$B$4,"",$A$4+126)</f>
        <v>46149</v>
      </c>
      <c r="N12617" t="str">
        <f>IF(M12617="","",'Master Barang'!A11)</f>
        <v>PRL-010</v>
      </c>
      <c r="O12617" t="str">
        <f>IF(N12617="","",'Master Barang'!B11)</f>
        <v>lap kecil</v>
      </c>
      <c r="P12617">
        <f>IF(OR(M12617="",N12617=""),"",SUMIFS('Barang Keluar'!$E:$E,'Barang Keluar'!$A:$A,M12617,'Barang Keluar'!$C:$C,N12617))</f>
        <v>0</v>
      </c>
    </row>
    <row r="12618" spans="13:16">
      <c r="M12618" s="49">
        <f>IF($A$4+126&gt;$B$4,"",$A$4+126)</f>
        <v>46149</v>
      </c>
      <c r="N12618" t="str">
        <f>IF(M12618="","",'Master Barang'!A12)</f>
        <v>PRL-011</v>
      </c>
      <c r="O12618" t="str">
        <f>IF(N12618="","",'Master Barang'!B12)</f>
        <v>kanebo kecil</v>
      </c>
      <c r="P12618">
        <f>IF(OR(M12618="",N12618=""),"",SUMIFS('Barang Keluar'!$E:$E,'Barang Keluar'!$A:$A,M12618,'Barang Keluar'!$C:$C,N12618))</f>
        <v>0</v>
      </c>
    </row>
    <row r="12619" spans="13:16">
      <c r="M12619" s="49">
        <f>IF($A$4+126&gt;$B$4,"",$A$4+126)</f>
        <v>46149</v>
      </c>
      <c r="N12619" t="str">
        <f>IF(M12619="","",'Master Barang'!A13)</f>
        <v>PRL-012</v>
      </c>
      <c r="O12619" t="str">
        <f>IF(N12619="","",'Master Barang'!B13)</f>
        <v>plastik 1/4kg joyoboyo 100 lembar</v>
      </c>
      <c r="P12619">
        <f>IF(OR(M12619="",N12619=""),"",SUMIFS('Barang Keluar'!$E:$E,'Barang Keluar'!$A:$A,M12619,'Barang Keluar'!$C:$C,N12619))</f>
        <v>0</v>
      </c>
    </row>
    <row r="12620" spans="13:16">
      <c r="M12620" s="49">
        <f>IF($A$4+126&gt;$B$4,"",$A$4+126)</f>
        <v>46149</v>
      </c>
      <c r="N12620" t="str">
        <f>IF(M12620="","",'Master Barang'!A14)</f>
        <v>PRL-013</v>
      </c>
      <c r="O12620" t="str">
        <f>IF(N12620="","",'Master Barang'!B14)</f>
        <v>sarung tangan plastik kaka 100 pcs</v>
      </c>
      <c r="P12620">
        <f>IF(OR(M12620="",N12620=""),"",SUMIFS('Barang Keluar'!$E:$E,'Barang Keluar'!$A:$A,M12620,'Barang Keluar'!$C:$C,N12620))</f>
        <v>0</v>
      </c>
    </row>
    <row r="12621" spans="13:16">
      <c r="M12621" s="49">
        <f>IF($A$4+126&gt;$B$4,"",$A$4+126)</f>
        <v>46149</v>
      </c>
      <c r="N12621" t="str">
        <f>IF(M12621="","",'Master Barang'!A15)</f>
        <v>PRL-014</v>
      </c>
      <c r="O12621" t="str">
        <f>IF(N12621="","",'Master Barang'!B15)</f>
        <v>optima trashbag 80x100</v>
      </c>
      <c r="P12621">
        <f>IF(OR(M12621="",N12621=""),"",SUMIFS('Barang Keluar'!$E:$E,'Barang Keluar'!$A:$A,M12621,'Barang Keluar'!$C:$C,N12621))</f>
        <v>0</v>
      </c>
    </row>
    <row r="12622" spans="13:16">
      <c r="M12622" s="49">
        <f>IF($A$4+126&gt;$B$4,"",$A$4+126)</f>
        <v>46149</v>
      </c>
      <c r="N12622" t="str">
        <f>IF(M12622="","",'Master Barang'!A16)</f>
        <v>PRL-015</v>
      </c>
      <c r="O12622" t="str">
        <f>IF(N12622="","",'Master Barang'!B16)</f>
        <v>optima trashbag 60x100</v>
      </c>
      <c r="P12622">
        <f>IF(OR(M12622="",N12622=""),"",SUMIFS('Barang Keluar'!$E:$E,'Barang Keluar'!$A:$A,M12622,'Barang Keluar'!$C:$C,N12622))</f>
        <v>0</v>
      </c>
    </row>
    <row r="12623" spans="13:16">
      <c r="M12623" s="49">
        <f>IF($A$4+126&gt;$B$4,"",$A$4+126)</f>
        <v>46149</v>
      </c>
      <c r="N12623" t="str">
        <f>IF(M12623="","",'Master Barang'!A17)</f>
        <v>PRL-016</v>
      </c>
      <c r="O12623" t="str">
        <f>IF(N12623="","",'Master Barang'!B17)</f>
        <v>rajawali trashbag 30x40</v>
      </c>
      <c r="P12623">
        <f>IF(OR(M12623="",N12623=""),"",SUMIFS('Barang Keluar'!$E:$E,'Barang Keluar'!$A:$A,M12623,'Barang Keluar'!$C:$C,N12623))</f>
        <v>0</v>
      </c>
    </row>
    <row r="12624" spans="13:16">
      <c r="M12624" s="49">
        <f>IF($A$4+126&gt;$B$4,"",$A$4+126)</f>
        <v>46149</v>
      </c>
      <c r="N12624" t="str">
        <f>IF(M12624="","",'Master Barang'!A18)</f>
        <v>PRL-017</v>
      </c>
      <c r="O12624" t="str">
        <f>IF(N12624="","",'Master Barang'!B18)</f>
        <v>onemed masker biru 3 play 50 pcs</v>
      </c>
      <c r="P12624">
        <f>IF(OR(M12624="",N12624=""),"",SUMIFS('Barang Keluar'!$E:$E,'Barang Keluar'!$A:$A,M12624,'Barang Keluar'!$C:$C,N12624))</f>
        <v>0</v>
      </c>
    </row>
    <row r="12625" spans="13:16">
      <c r="M12625" s="49">
        <f>IF($A$4+126&gt;$B$4,"",$A$4+126)</f>
        <v>46149</v>
      </c>
      <c r="N12625" t="str">
        <f>IF(M12625="","",'Master Barang'!A19)</f>
        <v>PRL-018</v>
      </c>
      <c r="O12625" t="str">
        <f>IF(N12625="","",'Master Barang'!B19)</f>
        <v>onemed masker biru 3 play hijab 50 pcs</v>
      </c>
      <c r="P12625">
        <f>IF(OR(M12625="",N12625=""),"",SUMIFS('Barang Keluar'!$E:$E,'Barang Keluar'!$A:$A,M12625,'Barang Keluar'!$C:$C,N12625))</f>
        <v>0</v>
      </c>
    </row>
    <row r="12626" spans="13:16">
      <c r="M12626" s="49">
        <f>IF($A$4+126&gt;$B$4,"",$A$4+126)</f>
        <v>46149</v>
      </c>
      <c r="N12626" t="str">
        <f>IF(M12626="","",'Master Barang'!A20)</f>
        <v>PRL-019</v>
      </c>
      <c r="O12626" t="str">
        <f>IF(N12626="","",'Master Barang'!B20)</f>
        <v>neo health masker biru 3 play 50 pcs</v>
      </c>
      <c r="P12626">
        <f>IF(OR(M12626="",N12626=""),"",SUMIFS('Barang Keluar'!$E:$E,'Barang Keluar'!$A:$A,M12626,'Barang Keluar'!$C:$C,N12626))</f>
        <v>0</v>
      </c>
    </row>
    <row r="12627" spans="13:16">
      <c r="M12627" s="49">
        <f>IF($A$4+126&gt;$B$4,"",$A$4+126)</f>
        <v>46149</v>
      </c>
      <c r="N12627" t="str">
        <f>IF(M12627="","",'Master Barang'!A21)</f>
        <v>PRL-020</v>
      </c>
      <c r="O12627" t="str">
        <f>IF(N12627="","",'Master Barang'!B21)</f>
        <v>baymed masker hijau 3 play hijau 50 pcs</v>
      </c>
      <c r="P12627">
        <f>IF(OR(M12627="",N12627=""),"",SUMIFS('Barang Keluar'!$E:$E,'Barang Keluar'!$A:$A,M12627,'Barang Keluar'!$C:$C,N12627))</f>
        <v>0</v>
      </c>
    </row>
    <row r="12628" spans="13:16">
      <c r="M12628" s="49">
        <f>IF($A$4+126&gt;$B$4,"",$A$4+126)</f>
        <v>46149</v>
      </c>
      <c r="N12628" t="str">
        <f>IF(M12628="","",'Master Barang'!A22)</f>
        <v>PRL-021</v>
      </c>
      <c r="O12628" t="str">
        <f>IF(N12628="","",'Master Barang'!B22)</f>
        <v>altamed nurse cap penutup kepala 100 pcs</v>
      </c>
      <c r="P12628">
        <f>IF(OR(M12628="",N12628=""),"",SUMIFS('Barang Keluar'!$E:$E,'Barang Keluar'!$A:$A,M12628,'Barang Keluar'!$C:$C,N12628))</f>
        <v>0</v>
      </c>
    </row>
    <row r="12629" spans="13:16">
      <c r="M12629" s="49">
        <f>IF($A$4+126&gt;$B$4,"",$A$4+126)</f>
        <v>46149</v>
      </c>
      <c r="N12629" t="str">
        <f>IF(M12629="","",'Master Barang'!A23)</f>
        <v>PRL-022</v>
      </c>
      <c r="O12629" t="str">
        <f>IF(N12629="","",'Master Barang'!B23)</f>
        <v>sabun cuci tangan</v>
      </c>
      <c r="P12629">
        <f>IF(OR(M12629="",N12629=""),"",SUMIFS('Barang Keluar'!$E:$E,'Barang Keluar'!$A:$A,M12629,'Barang Keluar'!$C:$C,N12629))</f>
        <v>0</v>
      </c>
    </row>
    <row r="12630" spans="13:16">
      <c r="M12630" s="49">
        <f>IF($A$4+126&gt;$B$4,"",$A$4+126)</f>
        <v>46149</v>
      </c>
      <c r="N12630" t="str">
        <f>IF(M12630="","",'Master Barang'!A24)</f>
        <v>PRL-023</v>
      </c>
      <c r="O12630" t="str">
        <f>IF(N12630="","",'Master Barang'!B24)</f>
        <v>gayung kecil</v>
      </c>
      <c r="P12630">
        <f>IF(OR(M12630="",N12630=""),"",SUMIFS('Barang Keluar'!$E:$E,'Barang Keluar'!$A:$A,M12630,'Barang Keluar'!$C:$C,N12630))</f>
        <v>0</v>
      </c>
    </row>
    <row r="12631" spans="13:16">
      <c r="M12631" s="49">
        <f>IF($A$4+126&gt;$B$4,"",$A$4+126)</f>
        <v>46149</v>
      </c>
      <c r="N12631" t="str">
        <f>IF(M12631="","",'Master Barang'!A25)</f>
        <v>PRL-024</v>
      </c>
      <c r="O12631" t="str">
        <f>IF(N12631="","",'Master Barang'!B25)</f>
        <v>cikrak kecil</v>
      </c>
      <c r="P12631">
        <f>IF(OR(M12631="",N12631=""),"",SUMIFS('Barang Keluar'!$E:$E,'Barang Keluar'!$A:$A,M12631,'Barang Keluar'!$C:$C,N12631))</f>
        <v>0</v>
      </c>
    </row>
    <row r="12632" spans="13:16">
      <c r="M12632" s="49">
        <f>IF($A$4+126&gt;$B$4,"",$A$4+126)</f>
        <v>46149</v>
      </c>
      <c r="N12632" t="str">
        <f>IF(M12632="","",'Master Barang'!A26)</f>
        <v>PRL-025</v>
      </c>
      <c r="O12632" t="str">
        <f>IF(N12632="","",'Master Barang'!B26)</f>
        <v>petromax plastik kecil 12x24 100 lembar</v>
      </c>
      <c r="P12632">
        <f>IF(OR(M12632="",N12632=""),"",SUMIFS('Barang Keluar'!$E:$E,'Barang Keluar'!$A:$A,M12632,'Barang Keluar'!$C:$C,N12632))</f>
        <v>0</v>
      </c>
    </row>
    <row r="12633" spans="13:16">
      <c r="M12633" s="49">
        <f>IF($A$4+126&gt;$B$4,"",$A$4+126)</f>
        <v>46149</v>
      </c>
      <c r="N12633" t="str">
        <f>IF(M12633="","",'Master Barang'!A27)</f>
        <v>PRL-026</v>
      </c>
      <c r="O12633" t="str">
        <f>IF(N12633="","",'Master Barang'!B27)</f>
        <v>lancar kresek kecil bening </v>
      </c>
      <c r="P12633">
        <f>IF(OR(M12633="",N12633=""),"",SUMIFS('Barang Keluar'!$E:$E,'Barang Keluar'!$A:$A,M12633,'Barang Keluar'!$C:$C,N12633))</f>
        <v>0</v>
      </c>
    </row>
    <row r="12634" spans="13:16">
      <c r="M12634" s="49">
        <f>IF($A$4+126&gt;$B$4,"",$A$4+126)</f>
        <v>46149</v>
      </c>
      <c r="N12634" t="str">
        <f>IF(M12634="","",'Master Barang'!A28)</f>
        <v>PRL-027</v>
      </c>
      <c r="O12634" t="str">
        <f>IF(N12634="","",'Master Barang'!B28)</f>
        <v>kresek klin warna warni kecil</v>
      </c>
      <c r="P12634">
        <f>IF(OR(M12634="",N12634=""),"",SUMIFS('Barang Keluar'!$E:$E,'Barang Keluar'!$A:$A,M12634,'Barang Keluar'!$C:$C,N12634))</f>
        <v>0</v>
      </c>
    </row>
    <row r="12635" spans="13:16">
      <c r="M12635" s="49">
        <f>IF($A$4+126&gt;$B$4,"",$A$4+126)</f>
        <v>46149</v>
      </c>
      <c r="N12635" t="str">
        <f>IF(M12635="","",'Master Barang'!A29)</f>
        <v>PRL-028</v>
      </c>
      <c r="O12635" t="str">
        <f>IF(N12635="","",'Master Barang'!B29)</f>
        <v>ctik plastik 7x10 100 pcs</v>
      </c>
      <c r="P12635">
        <f>IF(OR(M12635="",N12635=""),"",SUMIFS('Barang Keluar'!$E:$E,'Barang Keluar'!$A:$A,M12635,'Barang Keluar'!$C:$C,N12635))</f>
        <v>0</v>
      </c>
    </row>
    <row r="12636" spans="13:16">
      <c r="M12636" s="49">
        <f>IF($A$4+126&gt;$B$4,"",$A$4+126)</f>
        <v>46149</v>
      </c>
      <c r="N12636" t="str">
        <f>IF(M12636="","",'Master Barang'!A30)</f>
        <v>PRL-029</v>
      </c>
      <c r="O12636" t="str">
        <f>IF(N12636="","",'Master Barang'!B30)</f>
        <v>ctik plastik 6x10 100 pcs</v>
      </c>
      <c r="P12636">
        <f>IF(OR(M12636="",N12636=""),"",SUMIFS('Barang Keluar'!$E:$E,'Barang Keluar'!$A:$A,M12636,'Barang Keluar'!$C:$C,N12636))</f>
        <v>0</v>
      </c>
    </row>
    <row r="12637" spans="13:16">
      <c r="M12637" s="49">
        <f>IF($A$4+126&gt;$B$4,"",$A$4+126)</f>
        <v>46149</v>
      </c>
      <c r="N12637" t="str">
        <f>IF(M12637="","",'Master Barang'!A31)</f>
        <v>PRL-030</v>
      </c>
      <c r="O12637" t="str">
        <f>IF(N12637="","",'Master Barang'!B31)</f>
        <v>klip plastik 25x16 100 pcs</v>
      </c>
      <c r="P12637">
        <f>IF(OR(M12637="",N12637=""),"",SUMIFS('Barang Keluar'!$E:$E,'Barang Keluar'!$A:$A,M12637,'Barang Keluar'!$C:$C,N12637))</f>
        <v>0</v>
      </c>
    </row>
    <row r="12638" spans="13:16">
      <c r="M12638" s="49">
        <f>IF($A$4+126&gt;$B$4,"",$A$4+126)</f>
        <v>46149</v>
      </c>
      <c r="N12638" t="str">
        <f>IF(M12638="","",'Master Barang'!A32)</f>
        <v>PRL-031</v>
      </c>
      <c r="O12638" t="str">
        <f>IF(N12638="","",'Master Barang'!B32)</f>
        <v>tempat saus 20 ml</v>
      </c>
      <c r="P12638">
        <f>IF(OR(M12638="",N12638=""),"",SUMIFS('Barang Keluar'!$E:$E,'Barang Keluar'!$A:$A,M12638,'Barang Keluar'!$C:$C,N12638))</f>
        <v>0</v>
      </c>
    </row>
    <row r="12639" spans="13:16">
      <c r="M12639" s="49">
        <f>IF($A$4+126&gt;$B$4,"",$A$4+126)</f>
        <v>46149</v>
      </c>
      <c r="N12639" t="str">
        <f>IF(M12639="","",'Master Barang'!A33)</f>
        <v>PRL-032</v>
      </c>
      <c r="O12639" t="str">
        <f>IF(N12639="","",'Master Barang'!B33)</f>
        <v>plastik packaging ag box uk sedang</v>
      </c>
      <c r="P12639">
        <f>IF(OR(M12639="",N12639=""),"",SUMIFS('Barang Keluar'!$E:$E,'Barang Keluar'!$A:$A,M12639,'Barang Keluar'!$C:$C,N12639))</f>
        <v>0</v>
      </c>
    </row>
    <row r="12640" spans="13:16">
      <c r="M12640" s="49">
        <f>IF($A$4+126&gt;$B$4,"",$A$4+126)</f>
        <v>46149</v>
      </c>
      <c r="N12640" t="str">
        <f>IF(M12640="","",'Master Barang'!A34)</f>
        <v>PRL-033</v>
      </c>
      <c r="O12640">
        <f>IF(N12640="","",'Master Barang'!B34)</f>
        <v>0</v>
      </c>
      <c r="P12640">
        <f>IF(OR(M12640="",N12640=""),"",SUMIFS('Barang Keluar'!$E:$E,'Barang Keluar'!$A:$A,M12640,'Barang Keluar'!$C:$C,N12640))</f>
        <v>0</v>
      </c>
    </row>
    <row r="12641" spans="13:16">
      <c r="M12641" s="49">
        <f>IF($A$4+126&gt;$B$4,"",$A$4+126)</f>
        <v>46149</v>
      </c>
      <c r="N12641">
        <f>IF(M12641="","",'Master Barang'!A35)</f>
        <v>0</v>
      </c>
      <c r="O12641">
        <f>IF(N12641="","",'Master Barang'!B35)</f>
        <v>0</v>
      </c>
      <c r="P12641">
        <f>IF(OR(M12641="",N12641=""),"",SUMIFS('Barang Keluar'!$E:$E,'Barang Keluar'!$A:$A,M12641,'Barang Keluar'!$C:$C,N12641))</f>
        <v>0</v>
      </c>
    </row>
    <row r="12642" spans="13:16">
      <c r="M12642" s="49">
        <f>IF($A$4+126&gt;$B$4,"",$A$4+126)</f>
        <v>46149</v>
      </c>
      <c r="N12642">
        <f>IF(M12642="","",'Master Barang'!A36)</f>
        <v>0</v>
      </c>
      <c r="O12642">
        <f>IF(N12642="","",'Master Barang'!B36)</f>
        <v>0</v>
      </c>
      <c r="P12642">
        <f>IF(OR(M12642="",N12642=""),"",SUMIFS('Barang Keluar'!$E:$E,'Barang Keluar'!$A:$A,M12642,'Barang Keluar'!$C:$C,N12642))</f>
        <v>0</v>
      </c>
    </row>
    <row r="12643" spans="13:16">
      <c r="M12643" s="49">
        <f>IF($A$4+126&gt;$B$4,"",$A$4+126)</f>
        <v>46149</v>
      </c>
      <c r="N12643">
        <f>IF(M12643="","",'Master Barang'!A37)</f>
        <v>0</v>
      </c>
      <c r="O12643">
        <f>IF(N12643="","",'Master Barang'!B37)</f>
        <v>0</v>
      </c>
      <c r="P12643">
        <f>IF(OR(M12643="",N12643=""),"",SUMIFS('Barang Keluar'!$E:$E,'Barang Keluar'!$A:$A,M12643,'Barang Keluar'!$C:$C,N12643))</f>
        <v>0</v>
      </c>
    </row>
    <row r="12644" spans="13:16">
      <c r="M12644" s="49">
        <f>IF($A$4+126&gt;$B$4,"",$A$4+126)</f>
        <v>46149</v>
      </c>
      <c r="N12644">
        <f>IF(M12644="","",'Master Barang'!A38)</f>
        <v>0</v>
      </c>
      <c r="O12644">
        <f>IF(N12644="","",'Master Barang'!B38)</f>
        <v>0</v>
      </c>
      <c r="P12644">
        <f>IF(OR(M12644="",N12644=""),"",SUMIFS('Barang Keluar'!$E:$E,'Barang Keluar'!$A:$A,M12644,'Barang Keluar'!$C:$C,N12644))</f>
        <v>0</v>
      </c>
    </row>
    <row r="12645" spans="13:16">
      <c r="M12645" s="49">
        <f>IF($A$4+126&gt;$B$4,"",$A$4+126)</f>
        <v>46149</v>
      </c>
      <c r="N12645">
        <f>IF(M12645="","",'Master Barang'!A39)</f>
        <v>0</v>
      </c>
      <c r="O12645">
        <f>IF(N12645="","",'Master Barang'!B39)</f>
        <v>0</v>
      </c>
      <c r="P12645">
        <f>IF(OR(M12645="",N12645=""),"",SUMIFS('Barang Keluar'!$E:$E,'Barang Keluar'!$A:$A,M12645,'Barang Keluar'!$C:$C,N12645))</f>
        <v>0</v>
      </c>
    </row>
    <row r="12646" spans="13:16">
      <c r="M12646" s="49">
        <f>IF($A$4+126&gt;$B$4,"",$A$4+126)</f>
        <v>46149</v>
      </c>
      <c r="N12646">
        <f>IF(M12646="","",'Master Barang'!A40)</f>
        <v>0</v>
      </c>
      <c r="O12646">
        <f>IF(N12646="","",'Master Barang'!B40)</f>
        <v>0</v>
      </c>
      <c r="P12646">
        <f>IF(OR(M12646="",N12646=""),"",SUMIFS('Barang Keluar'!$E:$E,'Barang Keluar'!$A:$A,M12646,'Barang Keluar'!$C:$C,N12646))</f>
        <v>0</v>
      </c>
    </row>
    <row r="12647" spans="13:16">
      <c r="M12647" s="49">
        <f>IF($A$4+126&gt;$B$4,"",$A$4+126)</f>
        <v>46149</v>
      </c>
      <c r="N12647">
        <f>IF(M12647="","",'Master Barang'!A41)</f>
        <v>0</v>
      </c>
      <c r="O12647">
        <f>IF(N12647="","",'Master Barang'!B41)</f>
        <v>0</v>
      </c>
      <c r="P12647">
        <f>IF(OR(M12647="",N12647=""),"",SUMIFS('Barang Keluar'!$E:$E,'Barang Keluar'!$A:$A,M12647,'Barang Keluar'!$C:$C,N12647))</f>
        <v>0</v>
      </c>
    </row>
    <row r="12648" spans="13:16">
      <c r="M12648" s="49">
        <f>IF($A$4+126&gt;$B$4,"",$A$4+126)</f>
        <v>46149</v>
      </c>
      <c r="N12648">
        <f>IF(M12648="","",'Master Barang'!A42)</f>
        <v>0</v>
      </c>
      <c r="O12648">
        <f>IF(N12648="","",'Master Barang'!B42)</f>
        <v>0</v>
      </c>
      <c r="P12648">
        <f>IF(OR(M12648="",N12648=""),"",SUMIFS('Barang Keluar'!$E:$E,'Barang Keluar'!$A:$A,M12648,'Barang Keluar'!$C:$C,N12648))</f>
        <v>0</v>
      </c>
    </row>
    <row r="12649" spans="13:16">
      <c r="M12649" s="49">
        <f>IF($A$4+126&gt;$B$4,"",$A$4+126)</f>
        <v>46149</v>
      </c>
      <c r="N12649">
        <f>IF(M12649="","",'Master Barang'!A43)</f>
        <v>0</v>
      </c>
      <c r="O12649">
        <f>IF(N12649="","",'Master Barang'!B43)</f>
        <v>0</v>
      </c>
      <c r="P12649">
        <f>IF(OR(M12649="",N12649=""),"",SUMIFS('Barang Keluar'!$E:$E,'Barang Keluar'!$A:$A,M12649,'Barang Keluar'!$C:$C,N12649))</f>
        <v>0</v>
      </c>
    </row>
    <row r="12650" spans="13:16">
      <c r="M12650" s="49">
        <f>IF($A$4+126&gt;$B$4,"",$A$4+126)</f>
        <v>46149</v>
      </c>
      <c r="N12650">
        <f>IF(M12650="","",'Master Barang'!A44)</f>
        <v>0</v>
      </c>
      <c r="O12650">
        <f>IF(N12650="","",'Master Barang'!B44)</f>
        <v>0</v>
      </c>
      <c r="P12650">
        <f>IF(OR(M12650="",N12650=""),"",SUMIFS('Barang Keluar'!$E:$E,'Barang Keluar'!$A:$A,M12650,'Barang Keluar'!$C:$C,N12650))</f>
        <v>0</v>
      </c>
    </row>
    <row r="12651" spans="13:16">
      <c r="M12651" s="49">
        <f>IF($A$4+126&gt;$B$4,"",$A$4+126)</f>
        <v>46149</v>
      </c>
      <c r="N12651">
        <f>IF(M12651="","",'Master Barang'!A45)</f>
        <v>0</v>
      </c>
      <c r="O12651">
        <f>IF(N12651="","",'Master Barang'!B45)</f>
        <v>0</v>
      </c>
      <c r="P12651">
        <f>IF(OR(M12651="",N12651=""),"",SUMIFS('Barang Keluar'!$E:$E,'Barang Keluar'!$A:$A,M12651,'Barang Keluar'!$C:$C,N12651))</f>
        <v>0</v>
      </c>
    </row>
    <row r="12652" spans="13:16">
      <c r="M12652" s="49">
        <f>IF($A$4+126&gt;$B$4,"",$A$4+126)</f>
        <v>46149</v>
      </c>
      <c r="N12652">
        <f>IF(M12652="","",'Master Barang'!A46)</f>
        <v>0</v>
      </c>
      <c r="O12652">
        <f>IF(N12652="","",'Master Barang'!B46)</f>
        <v>0</v>
      </c>
      <c r="P12652">
        <f>IF(OR(M12652="",N12652=""),"",SUMIFS('Barang Keluar'!$E:$E,'Barang Keluar'!$A:$A,M12652,'Barang Keluar'!$C:$C,N12652))</f>
        <v>0</v>
      </c>
    </row>
    <row r="12653" spans="13:16">
      <c r="M12653" s="49">
        <f>IF($A$4+126&gt;$B$4,"",$A$4+126)</f>
        <v>46149</v>
      </c>
      <c r="N12653">
        <f>IF(M12653="","",'Master Barang'!A47)</f>
        <v>0</v>
      </c>
      <c r="O12653">
        <f>IF(N12653="","",'Master Barang'!B47)</f>
        <v>0</v>
      </c>
      <c r="P12653">
        <f>IF(OR(M12653="",N12653=""),"",SUMIFS('Barang Keluar'!$E:$E,'Barang Keluar'!$A:$A,M12653,'Barang Keluar'!$C:$C,N12653))</f>
        <v>0</v>
      </c>
    </row>
    <row r="12654" spans="13:16">
      <c r="M12654" s="49">
        <f>IF($A$4+126&gt;$B$4,"",$A$4+126)</f>
        <v>46149</v>
      </c>
      <c r="N12654">
        <f>IF(M12654="","",'Master Barang'!A48)</f>
        <v>0</v>
      </c>
      <c r="O12654">
        <f>IF(N12654="","",'Master Barang'!B48)</f>
        <v>0</v>
      </c>
      <c r="P12654">
        <f>IF(OR(M12654="",N12654=""),"",SUMIFS('Barang Keluar'!$E:$E,'Barang Keluar'!$A:$A,M12654,'Barang Keluar'!$C:$C,N12654))</f>
        <v>0</v>
      </c>
    </row>
    <row r="12655" spans="13:16">
      <c r="M12655" s="49">
        <f>IF($A$4+126&gt;$B$4,"",$A$4+126)</f>
        <v>46149</v>
      </c>
      <c r="N12655">
        <f>IF(M12655="","",'Master Barang'!A49)</f>
        <v>0</v>
      </c>
      <c r="O12655">
        <f>IF(N12655="","",'Master Barang'!B49)</f>
        <v>0</v>
      </c>
      <c r="P12655">
        <f>IF(OR(M12655="",N12655=""),"",SUMIFS('Barang Keluar'!$E:$E,'Barang Keluar'!$A:$A,M12655,'Barang Keluar'!$C:$C,N12655))</f>
        <v>0</v>
      </c>
    </row>
    <row r="12656" spans="13:16">
      <c r="M12656" s="49">
        <f>IF($A$4+126&gt;$B$4,"",$A$4+126)</f>
        <v>46149</v>
      </c>
      <c r="N12656">
        <f>IF(M12656="","",'Master Barang'!A50)</f>
        <v>0</v>
      </c>
      <c r="O12656">
        <f>IF(N12656="","",'Master Barang'!B50)</f>
        <v>0</v>
      </c>
      <c r="P12656">
        <f>IF(OR(M12656="",N12656=""),"",SUMIFS('Barang Keluar'!$E:$E,'Barang Keluar'!$A:$A,M12656,'Barang Keluar'!$C:$C,N12656))</f>
        <v>0</v>
      </c>
    </row>
    <row r="12657" spans="13:16">
      <c r="M12657" s="49">
        <f>IF($A$4+126&gt;$B$4,"",$A$4+126)</f>
        <v>46149</v>
      </c>
      <c r="N12657">
        <f>IF(M12657="","",'Master Barang'!A51)</f>
        <v>0</v>
      </c>
      <c r="O12657">
        <f>IF(N12657="","",'Master Barang'!B51)</f>
        <v>0</v>
      </c>
      <c r="P12657">
        <f>IF(OR(M12657="",N12657=""),"",SUMIFS('Barang Keluar'!$E:$E,'Barang Keluar'!$A:$A,M12657,'Barang Keluar'!$C:$C,N12657))</f>
        <v>0</v>
      </c>
    </row>
    <row r="12658" spans="13:16">
      <c r="M12658" s="49">
        <f>IF($A$4+126&gt;$B$4,"",$A$4+126)</f>
        <v>46149</v>
      </c>
      <c r="N12658">
        <f>IF(M12658="","",'Master Barang'!A52)</f>
        <v>0</v>
      </c>
      <c r="O12658">
        <f>IF(N12658="","",'Master Barang'!B52)</f>
        <v>0</v>
      </c>
      <c r="P12658">
        <f>IF(OR(M12658="",N12658=""),"",SUMIFS('Barang Keluar'!$E:$E,'Barang Keluar'!$A:$A,M12658,'Barang Keluar'!$C:$C,N12658))</f>
        <v>0</v>
      </c>
    </row>
    <row r="12659" spans="13:16">
      <c r="M12659" s="49">
        <f>IF($A$4+126&gt;$B$4,"",$A$4+126)</f>
        <v>46149</v>
      </c>
      <c r="N12659">
        <f>IF(M12659="","",'Master Barang'!A53)</f>
        <v>0</v>
      </c>
      <c r="O12659">
        <f>IF(N12659="","",'Master Barang'!B53)</f>
        <v>0</v>
      </c>
      <c r="P12659">
        <f>IF(OR(M12659="",N12659=""),"",SUMIFS('Barang Keluar'!$E:$E,'Barang Keluar'!$A:$A,M12659,'Barang Keluar'!$C:$C,N12659))</f>
        <v>0</v>
      </c>
    </row>
    <row r="12660" spans="13:16">
      <c r="M12660" s="49">
        <f>IF($A$4+126&gt;$B$4,"",$A$4+126)</f>
        <v>46149</v>
      </c>
      <c r="N12660">
        <f>IF(M12660="","",'Master Barang'!A54)</f>
        <v>0</v>
      </c>
      <c r="O12660">
        <f>IF(N12660="","",'Master Barang'!B54)</f>
        <v>0</v>
      </c>
      <c r="P12660">
        <f>IF(OR(M12660="",N12660=""),"",SUMIFS('Barang Keluar'!$E:$E,'Barang Keluar'!$A:$A,M12660,'Barang Keluar'!$C:$C,N12660))</f>
        <v>0</v>
      </c>
    </row>
    <row r="12661" spans="13:16">
      <c r="M12661" s="49">
        <f>IF($A$4+126&gt;$B$4,"",$A$4+126)</f>
        <v>46149</v>
      </c>
      <c r="N12661">
        <f>IF(M12661="","",'Master Barang'!A55)</f>
        <v>0</v>
      </c>
      <c r="O12661">
        <f>IF(N12661="","",'Master Barang'!B55)</f>
        <v>0</v>
      </c>
      <c r="P12661">
        <f>IF(OR(M12661="",N12661=""),"",SUMIFS('Barang Keluar'!$E:$E,'Barang Keluar'!$A:$A,M12661,'Barang Keluar'!$C:$C,N12661))</f>
        <v>0</v>
      </c>
    </row>
    <row r="12662" spans="13:16">
      <c r="M12662" s="49">
        <f>IF($A$4+126&gt;$B$4,"",$A$4+126)</f>
        <v>46149</v>
      </c>
      <c r="N12662">
        <f>IF(M12662="","",'Master Barang'!A56)</f>
        <v>0</v>
      </c>
      <c r="O12662">
        <f>IF(N12662="","",'Master Barang'!B56)</f>
        <v>0</v>
      </c>
      <c r="P12662">
        <f>IF(OR(M12662="",N12662=""),"",SUMIFS('Barang Keluar'!$E:$E,'Barang Keluar'!$A:$A,M12662,'Barang Keluar'!$C:$C,N12662))</f>
        <v>0</v>
      </c>
    </row>
    <row r="12663" spans="13:16">
      <c r="M12663" s="49">
        <f>IF($A$4+126&gt;$B$4,"",$A$4+126)</f>
        <v>46149</v>
      </c>
      <c r="N12663">
        <f>IF(M12663="","",'Master Barang'!A57)</f>
        <v>0</v>
      </c>
      <c r="O12663">
        <f>IF(N12663="","",'Master Barang'!B57)</f>
        <v>0</v>
      </c>
      <c r="P12663">
        <f>IF(OR(M12663="",N12663=""),"",SUMIFS('Barang Keluar'!$E:$E,'Barang Keluar'!$A:$A,M12663,'Barang Keluar'!$C:$C,N12663))</f>
        <v>0</v>
      </c>
    </row>
    <row r="12664" spans="13:16">
      <c r="M12664" s="49">
        <f>IF($A$4+126&gt;$B$4,"",$A$4+126)</f>
        <v>46149</v>
      </c>
      <c r="N12664">
        <f>IF(M12664="","",'Master Barang'!A58)</f>
        <v>0</v>
      </c>
      <c r="O12664">
        <f>IF(N12664="","",'Master Barang'!B58)</f>
        <v>0</v>
      </c>
      <c r="P12664">
        <f>IF(OR(M12664="",N12664=""),"",SUMIFS('Barang Keluar'!$E:$E,'Barang Keluar'!$A:$A,M12664,'Barang Keluar'!$C:$C,N12664))</f>
        <v>0</v>
      </c>
    </row>
    <row r="12665" spans="13:16">
      <c r="M12665" s="49">
        <f>IF($A$4+126&gt;$B$4,"",$A$4+126)</f>
        <v>46149</v>
      </c>
      <c r="N12665">
        <f>IF(M12665="","",'Master Barang'!A59)</f>
        <v>0</v>
      </c>
      <c r="O12665">
        <f>IF(N12665="","",'Master Barang'!B59)</f>
        <v>0</v>
      </c>
      <c r="P12665">
        <f>IF(OR(M12665="",N12665=""),"",SUMIFS('Barang Keluar'!$E:$E,'Barang Keluar'!$A:$A,M12665,'Barang Keluar'!$C:$C,N12665))</f>
        <v>0</v>
      </c>
    </row>
    <row r="12666" spans="13:16">
      <c r="M12666" s="49">
        <f>IF($A$4+126&gt;$B$4,"",$A$4+126)</f>
        <v>46149</v>
      </c>
      <c r="N12666">
        <f>IF(M12666="","",'Master Barang'!A60)</f>
        <v>0</v>
      </c>
      <c r="O12666">
        <f>IF(N12666="","",'Master Barang'!B60)</f>
        <v>0</v>
      </c>
      <c r="P12666">
        <f>IF(OR(M12666="",N12666=""),"",SUMIFS('Barang Keluar'!$E:$E,'Barang Keluar'!$A:$A,M12666,'Barang Keluar'!$C:$C,N12666))</f>
        <v>0</v>
      </c>
    </row>
    <row r="12667" spans="13:16">
      <c r="M12667" s="49">
        <f>IF($A$4+126&gt;$B$4,"",$A$4+126)</f>
        <v>46149</v>
      </c>
      <c r="N12667">
        <f>IF(M12667="","",'Master Barang'!A61)</f>
        <v>0</v>
      </c>
      <c r="O12667">
        <f>IF(N12667="","",'Master Barang'!B61)</f>
        <v>0</v>
      </c>
      <c r="P12667">
        <f>IF(OR(M12667="",N12667=""),"",SUMIFS('Barang Keluar'!$E:$E,'Barang Keluar'!$A:$A,M12667,'Barang Keluar'!$C:$C,N12667))</f>
        <v>0</v>
      </c>
    </row>
    <row r="12668" spans="13:16">
      <c r="M12668" s="49">
        <f>IF($A$4+126&gt;$B$4,"",$A$4+126)</f>
        <v>46149</v>
      </c>
      <c r="N12668">
        <f>IF(M12668="","",'Master Barang'!A62)</f>
        <v>0</v>
      </c>
      <c r="O12668">
        <f>IF(N12668="","",'Master Barang'!B62)</f>
        <v>0</v>
      </c>
      <c r="P12668">
        <f>IF(OR(M12668="",N12668=""),"",SUMIFS('Barang Keluar'!$E:$E,'Barang Keluar'!$A:$A,M12668,'Barang Keluar'!$C:$C,N12668))</f>
        <v>0</v>
      </c>
    </row>
    <row r="12669" spans="13:16">
      <c r="M12669" s="49">
        <f>IF($A$4+126&gt;$B$4,"",$A$4+126)</f>
        <v>46149</v>
      </c>
      <c r="N12669">
        <f>IF(M12669="","",'Master Barang'!A63)</f>
        <v>0</v>
      </c>
      <c r="O12669">
        <f>IF(N12669="","",'Master Barang'!B63)</f>
        <v>0</v>
      </c>
      <c r="P12669">
        <f>IF(OR(M12669="",N12669=""),"",SUMIFS('Barang Keluar'!$E:$E,'Barang Keluar'!$A:$A,M12669,'Barang Keluar'!$C:$C,N12669))</f>
        <v>0</v>
      </c>
    </row>
    <row r="12670" spans="13:16">
      <c r="M12670" s="49">
        <f>IF($A$4+126&gt;$B$4,"",$A$4+126)</f>
        <v>46149</v>
      </c>
      <c r="N12670">
        <f>IF(M12670="","",'Master Barang'!A64)</f>
        <v>0</v>
      </c>
      <c r="O12670">
        <f>IF(N12670="","",'Master Barang'!B64)</f>
        <v>0</v>
      </c>
      <c r="P12670">
        <f>IF(OR(M12670="",N12670=""),"",SUMIFS('Barang Keluar'!$E:$E,'Barang Keluar'!$A:$A,M12670,'Barang Keluar'!$C:$C,N12670))</f>
        <v>0</v>
      </c>
    </row>
    <row r="12671" spans="13:16">
      <c r="M12671" s="49">
        <f>IF($A$4+126&gt;$B$4,"",$A$4+126)</f>
        <v>46149</v>
      </c>
      <c r="N12671">
        <f>IF(M12671="","",'Master Barang'!A65)</f>
        <v>0</v>
      </c>
      <c r="O12671">
        <f>IF(N12671="","",'Master Barang'!B65)</f>
        <v>0</v>
      </c>
      <c r="P12671">
        <f>IF(OR(M12671="",N12671=""),"",SUMIFS('Barang Keluar'!$E:$E,'Barang Keluar'!$A:$A,M12671,'Barang Keluar'!$C:$C,N12671))</f>
        <v>0</v>
      </c>
    </row>
    <row r="12672" spans="13:16">
      <c r="M12672" s="49">
        <f>IF($A$4+126&gt;$B$4,"",$A$4+126)</f>
        <v>46149</v>
      </c>
      <c r="N12672">
        <f>IF(M12672="","",'Master Barang'!A66)</f>
        <v>0</v>
      </c>
      <c r="O12672">
        <f>IF(N12672="","",'Master Barang'!B66)</f>
        <v>0</v>
      </c>
      <c r="P12672">
        <f>IF(OR(M12672="",N12672=""),"",SUMIFS('Barang Keluar'!$E:$E,'Barang Keluar'!$A:$A,M12672,'Barang Keluar'!$C:$C,N12672))</f>
        <v>0</v>
      </c>
    </row>
    <row r="12673" spans="13:16">
      <c r="M12673" s="49">
        <f>IF($A$4+126&gt;$B$4,"",$A$4+126)</f>
        <v>46149</v>
      </c>
      <c r="N12673">
        <f>IF(M12673="","",'Master Barang'!A67)</f>
        <v>0</v>
      </c>
      <c r="O12673">
        <f>IF(N12673="","",'Master Barang'!B67)</f>
        <v>0</v>
      </c>
      <c r="P12673">
        <f>IF(OR(M12673="",N12673=""),"",SUMIFS('Barang Keluar'!$E:$E,'Barang Keluar'!$A:$A,M12673,'Barang Keluar'!$C:$C,N12673))</f>
        <v>0</v>
      </c>
    </row>
    <row r="12674" spans="13:16">
      <c r="M12674" s="49">
        <f>IF($A$4+126&gt;$B$4,"",$A$4+126)</f>
        <v>46149</v>
      </c>
      <c r="N12674">
        <f>IF(M12674="","",'Master Barang'!A68)</f>
        <v>0</v>
      </c>
      <c r="O12674">
        <f>IF(N12674="","",'Master Barang'!B68)</f>
        <v>0</v>
      </c>
      <c r="P12674">
        <f>IF(OR(M12674="",N12674=""),"",SUMIFS('Barang Keluar'!$E:$E,'Barang Keluar'!$A:$A,M12674,'Barang Keluar'!$C:$C,N12674))</f>
        <v>0</v>
      </c>
    </row>
    <row r="12675" spans="13:16">
      <c r="M12675" s="49">
        <f>IF($A$4+126&gt;$B$4,"",$A$4+126)</f>
        <v>46149</v>
      </c>
      <c r="N12675">
        <f>IF(M12675="","",'Master Barang'!A69)</f>
        <v>0</v>
      </c>
      <c r="O12675">
        <f>IF(N12675="","",'Master Barang'!B69)</f>
        <v>0</v>
      </c>
      <c r="P12675">
        <f>IF(OR(M12675="",N12675=""),"",SUMIFS('Barang Keluar'!$E:$E,'Barang Keluar'!$A:$A,M12675,'Barang Keluar'!$C:$C,N12675))</f>
        <v>0</v>
      </c>
    </row>
    <row r="12676" spans="13:16">
      <c r="M12676" s="49">
        <f>IF($A$4+126&gt;$B$4,"",$A$4+126)</f>
        <v>46149</v>
      </c>
      <c r="N12676">
        <f>IF(M12676="","",'Master Barang'!A70)</f>
        <v>0</v>
      </c>
      <c r="O12676">
        <f>IF(N12676="","",'Master Barang'!B70)</f>
        <v>0</v>
      </c>
      <c r="P12676">
        <f>IF(OR(M12676="",N12676=""),"",SUMIFS('Barang Keluar'!$E:$E,'Barang Keluar'!$A:$A,M12676,'Barang Keluar'!$C:$C,N12676))</f>
        <v>0</v>
      </c>
    </row>
    <row r="12677" spans="13:16">
      <c r="M12677" s="49">
        <f>IF($A$4+126&gt;$B$4,"",$A$4+126)</f>
        <v>46149</v>
      </c>
      <c r="N12677">
        <f>IF(M12677="","",'Master Barang'!A71)</f>
        <v>0</v>
      </c>
      <c r="O12677">
        <f>IF(N12677="","",'Master Barang'!B71)</f>
        <v>0</v>
      </c>
      <c r="P12677">
        <f>IF(OR(M12677="",N12677=""),"",SUMIFS('Barang Keluar'!$E:$E,'Barang Keluar'!$A:$A,M12677,'Barang Keluar'!$C:$C,N12677))</f>
        <v>0</v>
      </c>
    </row>
    <row r="12678" spans="13:16">
      <c r="M12678" s="49">
        <f>IF($A$4+126&gt;$B$4,"",$A$4+126)</f>
        <v>46149</v>
      </c>
      <c r="N12678">
        <f>IF(M12678="","",'Master Barang'!A72)</f>
        <v>0</v>
      </c>
      <c r="O12678">
        <f>IF(N12678="","",'Master Barang'!B72)</f>
        <v>0</v>
      </c>
      <c r="P12678">
        <f>IF(OR(M12678="",N12678=""),"",SUMIFS('Barang Keluar'!$E:$E,'Barang Keluar'!$A:$A,M12678,'Barang Keluar'!$C:$C,N12678))</f>
        <v>0</v>
      </c>
    </row>
    <row r="12679" spans="13:16">
      <c r="M12679" s="49">
        <f>IF($A$4+126&gt;$B$4,"",$A$4+126)</f>
        <v>46149</v>
      </c>
      <c r="N12679">
        <f>IF(M12679="","",'Master Barang'!A73)</f>
        <v>0</v>
      </c>
      <c r="O12679">
        <f>IF(N12679="","",'Master Barang'!B73)</f>
        <v>0</v>
      </c>
      <c r="P12679">
        <f>IF(OR(M12679="",N12679=""),"",SUMIFS('Barang Keluar'!$E:$E,'Barang Keluar'!$A:$A,M12679,'Barang Keluar'!$C:$C,N12679))</f>
        <v>0</v>
      </c>
    </row>
    <row r="12680" spans="13:16">
      <c r="M12680" s="49">
        <f>IF($A$4+126&gt;$B$4,"",$A$4+126)</f>
        <v>46149</v>
      </c>
      <c r="N12680">
        <f>IF(M12680="","",'Master Barang'!A74)</f>
        <v>0</v>
      </c>
      <c r="O12680">
        <f>IF(N12680="","",'Master Barang'!B74)</f>
        <v>0</v>
      </c>
      <c r="P12680">
        <f>IF(OR(M12680="",N12680=""),"",SUMIFS('Barang Keluar'!$E:$E,'Barang Keluar'!$A:$A,M12680,'Barang Keluar'!$C:$C,N12680))</f>
        <v>0</v>
      </c>
    </row>
    <row r="12681" spans="13:16">
      <c r="M12681" s="49">
        <f>IF($A$4+126&gt;$B$4,"",$A$4+126)</f>
        <v>46149</v>
      </c>
      <c r="N12681">
        <f>IF(M12681="","",'Master Barang'!A75)</f>
        <v>0</v>
      </c>
      <c r="O12681">
        <f>IF(N12681="","",'Master Barang'!B75)</f>
        <v>0</v>
      </c>
      <c r="P12681">
        <f>IF(OR(M12681="",N12681=""),"",SUMIFS('Barang Keluar'!$E:$E,'Barang Keluar'!$A:$A,M12681,'Barang Keluar'!$C:$C,N12681))</f>
        <v>0</v>
      </c>
    </row>
    <row r="12682" spans="13:16">
      <c r="M12682" s="49">
        <f>IF($A$4+126&gt;$B$4,"",$A$4+126)</f>
        <v>46149</v>
      </c>
      <c r="N12682">
        <f>IF(M12682="","",'Master Barang'!A76)</f>
        <v>0</v>
      </c>
      <c r="O12682">
        <f>IF(N12682="","",'Master Barang'!B76)</f>
        <v>0</v>
      </c>
      <c r="P12682">
        <f>IF(OR(M12682="",N12682=""),"",SUMIFS('Barang Keluar'!$E:$E,'Barang Keluar'!$A:$A,M12682,'Barang Keluar'!$C:$C,N12682))</f>
        <v>0</v>
      </c>
    </row>
    <row r="12683" spans="13:16">
      <c r="M12683" s="49">
        <f>IF($A$4+126&gt;$B$4,"",$A$4+126)</f>
        <v>46149</v>
      </c>
      <c r="N12683">
        <f>IF(M12683="","",'Master Barang'!A77)</f>
        <v>0</v>
      </c>
      <c r="O12683">
        <f>IF(N12683="","",'Master Barang'!B77)</f>
        <v>0</v>
      </c>
      <c r="P12683">
        <f>IF(OR(M12683="",N12683=""),"",SUMIFS('Barang Keluar'!$E:$E,'Barang Keluar'!$A:$A,M12683,'Barang Keluar'!$C:$C,N12683))</f>
        <v>0</v>
      </c>
    </row>
    <row r="12684" spans="13:16">
      <c r="M12684" s="49">
        <f>IF($A$4+126&gt;$B$4,"",$A$4+126)</f>
        <v>46149</v>
      </c>
      <c r="N12684">
        <f>IF(M12684="","",'Master Barang'!A78)</f>
        <v>0</v>
      </c>
      <c r="O12684">
        <f>IF(N12684="","",'Master Barang'!B78)</f>
        <v>0</v>
      </c>
      <c r="P12684">
        <f>IF(OR(M12684="",N12684=""),"",SUMIFS('Barang Keluar'!$E:$E,'Barang Keluar'!$A:$A,M12684,'Barang Keluar'!$C:$C,N12684))</f>
        <v>0</v>
      </c>
    </row>
    <row r="12685" spans="13:16">
      <c r="M12685" s="49">
        <f>IF($A$4+126&gt;$B$4,"",$A$4+126)</f>
        <v>46149</v>
      </c>
      <c r="N12685">
        <f>IF(M12685="","",'Master Barang'!A79)</f>
        <v>0</v>
      </c>
      <c r="O12685">
        <f>IF(N12685="","",'Master Barang'!B79)</f>
        <v>0</v>
      </c>
      <c r="P12685">
        <f>IF(OR(M12685="",N12685=""),"",SUMIFS('Barang Keluar'!$E:$E,'Barang Keluar'!$A:$A,M12685,'Barang Keluar'!$C:$C,N12685))</f>
        <v>0</v>
      </c>
    </row>
    <row r="12686" spans="13:16">
      <c r="M12686" s="49">
        <f>IF($A$4+126&gt;$B$4,"",$A$4+126)</f>
        <v>46149</v>
      </c>
      <c r="N12686">
        <f>IF(M12686="","",'Master Barang'!A80)</f>
        <v>0</v>
      </c>
      <c r="O12686">
        <f>IF(N12686="","",'Master Barang'!B80)</f>
        <v>0</v>
      </c>
      <c r="P12686">
        <f>IF(OR(M12686="",N12686=""),"",SUMIFS('Barang Keluar'!$E:$E,'Barang Keluar'!$A:$A,M12686,'Barang Keluar'!$C:$C,N12686))</f>
        <v>0</v>
      </c>
    </row>
    <row r="12687" spans="13:16">
      <c r="M12687" s="49">
        <f>IF($A$4+126&gt;$B$4,"",$A$4+126)</f>
        <v>46149</v>
      </c>
      <c r="N12687">
        <f>IF(M12687="","",'Master Barang'!A81)</f>
        <v>0</v>
      </c>
      <c r="O12687">
        <f>IF(N12687="","",'Master Barang'!B81)</f>
        <v>0</v>
      </c>
      <c r="P12687">
        <f>IF(OR(M12687="",N12687=""),"",SUMIFS('Barang Keluar'!$E:$E,'Barang Keluar'!$A:$A,M12687,'Barang Keluar'!$C:$C,N12687))</f>
        <v>0</v>
      </c>
    </row>
    <row r="12688" spans="13:16">
      <c r="M12688" s="49">
        <f>IF($A$4+126&gt;$B$4,"",$A$4+126)</f>
        <v>46149</v>
      </c>
      <c r="N12688">
        <f>IF(M12688="","",'Master Barang'!A82)</f>
        <v>0</v>
      </c>
      <c r="O12688">
        <f>IF(N12688="","",'Master Barang'!B82)</f>
        <v>0</v>
      </c>
      <c r="P12688">
        <f>IF(OR(M12688="",N12688=""),"",SUMIFS('Barang Keluar'!$E:$E,'Barang Keluar'!$A:$A,M12688,'Barang Keluar'!$C:$C,N12688))</f>
        <v>0</v>
      </c>
    </row>
    <row r="12689" spans="13:16">
      <c r="M12689" s="49">
        <f>IF($A$4+126&gt;$B$4,"",$A$4+126)</f>
        <v>46149</v>
      </c>
      <c r="N12689">
        <f>IF(M12689="","",'Master Barang'!A83)</f>
        <v>0</v>
      </c>
      <c r="O12689">
        <f>IF(N12689="","",'Master Barang'!B83)</f>
        <v>0</v>
      </c>
      <c r="P12689">
        <f>IF(OR(M12689="",N12689=""),"",SUMIFS('Barang Keluar'!$E:$E,'Barang Keluar'!$A:$A,M12689,'Barang Keluar'!$C:$C,N12689))</f>
        <v>0</v>
      </c>
    </row>
    <row r="12690" spans="13:16">
      <c r="M12690" s="49">
        <f>IF($A$4+126&gt;$B$4,"",$A$4+126)</f>
        <v>46149</v>
      </c>
      <c r="N12690">
        <f>IF(M12690="","",'Master Barang'!A84)</f>
        <v>0</v>
      </c>
      <c r="O12690">
        <f>IF(N12690="","",'Master Barang'!B84)</f>
        <v>0</v>
      </c>
      <c r="P12690">
        <f>IF(OR(M12690="",N12690=""),"",SUMIFS('Barang Keluar'!$E:$E,'Barang Keluar'!$A:$A,M12690,'Barang Keluar'!$C:$C,N12690))</f>
        <v>0</v>
      </c>
    </row>
    <row r="12691" spans="13:16">
      <c r="M12691" s="49">
        <f>IF($A$4+126&gt;$B$4,"",$A$4+126)</f>
        <v>46149</v>
      </c>
      <c r="N12691">
        <f>IF(M12691="","",'Master Barang'!A85)</f>
        <v>0</v>
      </c>
      <c r="O12691">
        <f>IF(N12691="","",'Master Barang'!B85)</f>
        <v>0</v>
      </c>
      <c r="P12691">
        <f>IF(OR(M12691="",N12691=""),"",SUMIFS('Barang Keluar'!$E:$E,'Barang Keluar'!$A:$A,M12691,'Barang Keluar'!$C:$C,N12691))</f>
        <v>0</v>
      </c>
    </row>
    <row r="12692" spans="13:16">
      <c r="M12692" s="49">
        <f>IF($A$4+126&gt;$B$4,"",$A$4+126)</f>
        <v>46149</v>
      </c>
      <c r="N12692">
        <f>IF(M12692="","",'Master Barang'!A86)</f>
        <v>0</v>
      </c>
      <c r="O12692">
        <f>IF(N12692="","",'Master Barang'!B86)</f>
        <v>0</v>
      </c>
      <c r="P12692">
        <f>IF(OR(M12692="",N12692=""),"",SUMIFS('Barang Keluar'!$E:$E,'Barang Keluar'!$A:$A,M12692,'Barang Keluar'!$C:$C,N12692))</f>
        <v>0</v>
      </c>
    </row>
    <row r="12693" spans="13:16">
      <c r="M12693" s="49">
        <f>IF($A$4+126&gt;$B$4,"",$A$4+126)</f>
        <v>46149</v>
      </c>
      <c r="N12693">
        <f>IF(M12693="","",'Master Barang'!A87)</f>
        <v>0</v>
      </c>
      <c r="O12693">
        <f>IF(N12693="","",'Master Barang'!B87)</f>
        <v>0</v>
      </c>
      <c r="P12693">
        <f>IF(OR(M12693="",N12693=""),"",SUMIFS('Barang Keluar'!$E:$E,'Barang Keluar'!$A:$A,M12693,'Barang Keluar'!$C:$C,N12693))</f>
        <v>0</v>
      </c>
    </row>
    <row r="12694" spans="13:16">
      <c r="M12694" s="49">
        <f>IF($A$4+126&gt;$B$4,"",$A$4+126)</f>
        <v>46149</v>
      </c>
      <c r="N12694">
        <f>IF(M12694="","",'Master Barang'!A88)</f>
        <v>0</v>
      </c>
      <c r="O12694">
        <f>IF(N12694="","",'Master Barang'!B88)</f>
        <v>0</v>
      </c>
      <c r="P12694">
        <f>IF(OR(M12694="",N12694=""),"",SUMIFS('Barang Keluar'!$E:$E,'Barang Keluar'!$A:$A,M12694,'Barang Keluar'!$C:$C,N12694))</f>
        <v>0</v>
      </c>
    </row>
    <row r="12695" spans="13:16">
      <c r="M12695" s="49">
        <f>IF($A$4+126&gt;$B$4,"",$A$4+126)</f>
        <v>46149</v>
      </c>
      <c r="N12695">
        <f>IF(M12695="","",'Master Barang'!A89)</f>
        <v>0</v>
      </c>
      <c r="O12695">
        <f>IF(N12695="","",'Master Barang'!B89)</f>
        <v>0</v>
      </c>
      <c r="P12695">
        <f>IF(OR(M12695="",N12695=""),"",SUMIFS('Barang Keluar'!$E:$E,'Barang Keluar'!$A:$A,M12695,'Barang Keluar'!$C:$C,N12695))</f>
        <v>0</v>
      </c>
    </row>
    <row r="12696" spans="13:16">
      <c r="M12696" s="49">
        <f>IF($A$4+126&gt;$B$4,"",$A$4+126)</f>
        <v>46149</v>
      </c>
      <c r="N12696">
        <f>IF(M12696="","",'Master Barang'!A90)</f>
        <v>0</v>
      </c>
      <c r="O12696">
        <f>IF(N12696="","",'Master Barang'!B90)</f>
        <v>0</v>
      </c>
      <c r="P12696">
        <f>IF(OR(M12696="",N12696=""),"",SUMIFS('Barang Keluar'!$E:$E,'Barang Keluar'!$A:$A,M12696,'Barang Keluar'!$C:$C,N12696))</f>
        <v>0</v>
      </c>
    </row>
    <row r="12697" spans="13:16">
      <c r="M12697" s="49">
        <f>IF($A$4+126&gt;$B$4,"",$A$4+126)</f>
        <v>46149</v>
      </c>
      <c r="N12697">
        <f>IF(M12697="","",'Master Barang'!A91)</f>
        <v>0</v>
      </c>
      <c r="O12697">
        <f>IF(N12697="","",'Master Barang'!B91)</f>
        <v>0</v>
      </c>
      <c r="P12697">
        <f>IF(OR(M12697="",N12697=""),"",SUMIFS('Barang Keluar'!$E:$E,'Barang Keluar'!$A:$A,M12697,'Barang Keluar'!$C:$C,N12697))</f>
        <v>0</v>
      </c>
    </row>
    <row r="12698" spans="13:16">
      <c r="M12698" s="49">
        <f>IF($A$4+126&gt;$B$4,"",$A$4+126)</f>
        <v>46149</v>
      </c>
      <c r="N12698">
        <f>IF(M12698="","",'Master Barang'!A92)</f>
        <v>0</v>
      </c>
      <c r="O12698">
        <f>IF(N12698="","",'Master Barang'!B92)</f>
        <v>0</v>
      </c>
      <c r="P12698">
        <f>IF(OR(M12698="",N12698=""),"",SUMIFS('Barang Keluar'!$E:$E,'Barang Keluar'!$A:$A,M12698,'Barang Keluar'!$C:$C,N12698))</f>
        <v>0</v>
      </c>
    </row>
    <row r="12699" spans="13:16">
      <c r="M12699" s="49">
        <f>IF($A$4+126&gt;$B$4,"",$A$4+126)</f>
        <v>46149</v>
      </c>
      <c r="N12699">
        <f>IF(M12699="","",'Master Barang'!A93)</f>
        <v>0</v>
      </c>
      <c r="O12699">
        <f>IF(N12699="","",'Master Barang'!B93)</f>
        <v>0</v>
      </c>
      <c r="P12699">
        <f>IF(OR(M12699="",N12699=""),"",SUMIFS('Barang Keluar'!$E:$E,'Barang Keluar'!$A:$A,M12699,'Barang Keluar'!$C:$C,N12699))</f>
        <v>0</v>
      </c>
    </row>
    <row r="12700" spans="13:16">
      <c r="M12700" s="49">
        <f>IF($A$4+126&gt;$B$4,"",$A$4+126)</f>
        <v>46149</v>
      </c>
      <c r="N12700">
        <f>IF(M12700="","",'Master Barang'!A94)</f>
        <v>0</v>
      </c>
      <c r="O12700">
        <f>IF(N12700="","",'Master Barang'!B94)</f>
        <v>0</v>
      </c>
      <c r="P12700">
        <f>IF(OR(M12700="",N12700=""),"",SUMIFS('Barang Keluar'!$E:$E,'Barang Keluar'!$A:$A,M12700,'Barang Keluar'!$C:$C,N12700))</f>
        <v>0</v>
      </c>
    </row>
    <row r="12701" spans="13:16">
      <c r="M12701" s="49">
        <f>IF($A$4+126&gt;$B$4,"",$A$4+126)</f>
        <v>46149</v>
      </c>
      <c r="N12701">
        <f>IF(M12701="","",'Master Barang'!A95)</f>
        <v>0</v>
      </c>
      <c r="O12701">
        <f>IF(N12701="","",'Master Barang'!B95)</f>
        <v>0</v>
      </c>
      <c r="P12701">
        <f>IF(OR(M12701="",N12701=""),"",SUMIFS('Barang Keluar'!$E:$E,'Barang Keluar'!$A:$A,M12701,'Barang Keluar'!$C:$C,N12701))</f>
        <v>0</v>
      </c>
    </row>
    <row r="12702" spans="13:16">
      <c r="M12702" s="49">
        <f>IF($A$4+126&gt;$B$4,"",$A$4+126)</f>
        <v>46149</v>
      </c>
      <c r="N12702">
        <f>IF(M12702="","",'Master Barang'!A96)</f>
        <v>0</v>
      </c>
      <c r="O12702">
        <f>IF(N12702="","",'Master Barang'!B96)</f>
        <v>0</v>
      </c>
      <c r="P12702">
        <f>IF(OR(M12702="",N12702=""),"",SUMIFS('Barang Keluar'!$E:$E,'Barang Keluar'!$A:$A,M12702,'Barang Keluar'!$C:$C,N12702))</f>
        <v>0</v>
      </c>
    </row>
    <row r="12703" spans="13:16">
      <c r="M12703" s="49">
        <f>IF($A$4+126&gt;$B$4,"",$A$4+126)</f>
        <v>46149</v>
      </c>
      <c r="N12703">
        <f>IF(M12703="","",'Master Barang'!A97)</f>
        <v>0</v>
      </c>
      <c r="O12703">
        <f>IF(N12703="","",'Master Barang'!B97)</f>
        <v>0</v>
      </c>
      <c r="P12703">
        <f>IF(OR(M12703="",N12703=""),"",SUMIFS('Barang Keluar'!$E:$E,'Barang Keluar'!$A:$A,M12703,'Barang Keluar'!$C:$C,N12703))</f>
        <v>0</v>
      </c>
    </row>
    <row r="12704" spans="13:16">
      <c r="M12704" s="49">
        <f>IF($A$4+126&gt;$B$4,"",$A$4+126)</f>
        <v>46149</v>
      </c>
      <c r="N12704">
        <f>IF(M12704="","",'Master Barang'!A98)</f>
        <v>0</v>
      </c>
      <c r="O12704">
        <f>IF(N12704="","",'Master Barang'!B98)</f>
        <v>0</v>
      </c>
      <c r="P12704">
        <f>IF(OR(M12704="",N12704=""),"",SUMIFS('Barang Keluar'!$E:$E,'Barang Keluar'!$A:$A,M12704,'Barang Keluar'!$C:$C,N12704))</f>
        <v>0</v>
      </c>
    </row>
    <row r="12705" spans="13:16">
      <c r="M12705" s="49">
        <f>IF($A$4+126&gt;$B$4,"",$A$4+126)</f>
        <v>46149</v>
      </c>
      <c r="N12705">
        <f>IF(M12705="","",'Master Barang'!A99)</f>
        <v>0</v>
      </c>
      <c r="O12705">
        <f>IF(N12705="","",'Master Barang'!B99)</f>
        <v>0</v>
      </c>
      <c r="P12705">
        <f>IF(OR(M12705="",N12705=""),"",SUMIFS('Barang Keluar'!$E:$E,'Barang Keluar'!$A:$A,M12705,'Barang Keluar'!$C:$C,N12705))</f>
        <v>0</v>
      </c>
    </row>
    <row r="12706" spans="13:16">
      <c r="M12706" s="49">
        <f>IF($A$4+126&gt;$B$4,"",$A$4+126)</f>
        <v>46149</v>
      </c>
      <c r="N12706">
        <f>IF(M12706="","",'Master Barang'!A100)</f>
        <v>0</v>
      </c>
      <c r="O12706">
        <f>IF(N12706="","",'Master Barang'!B100)</f>
        <v>0</v>
      </c>
      <c r="P12706">
        <f>IF(OR(M12706="",N12706=""),"",SUMIFS('Barang Keluar'!$E:$E,'Barang Keluar'!$A:$A,M12706,'Barang Keluar'!$C:$C,N12706))</f>
        <v>0</v>
      </c>
    </row>
    <row r="12707" spans="13:16">
      <c r="M12707" s="49">
        <f>IF($A$4+126&gt;$B$4,"",$A$4+126)</f>
        <v>46149</v>
      </c>
      <c r="N12707">
        <f>IF(M12707="","",'Master Barang'!A101)</f>
        <v>0</v>
      </c>
      <c r="O12707">
        <f>IF(N12707="","",'Master Barang'!B101)</f>
        <v>0</v>
      </c>
      <c r="P12707">
        <f>IF(OR(M12707="",N12707=""),"",SUMIFS('Barang Keluar'!$E:$E,'Barang Keluar'!$A:$A,M12707,'Barang Keluar'!$C:$C,N12707))</f>
        <v>0</v>
      </c>
    </row>
    <row r="12708" spans="13:16">
      <c r="M12708" s="49">
        <f>IF($A$4+127&gt;$B$4,"",$A$4+127)</f>
        <v>46150</v>
      </c>
      <c r="N12708" t="str">
        <f>IF(M12708="","",'Master Barang'!A2)</f>
        <v>PRL-001</v>
      </c>
      <c r="O12708" t="str">
        <f>IF(N12708="","",'Master Barang'!B2)</f>
        <v>natura desinfectant food grade 5l</v>
      </c>
      <c r="P12708">
        <f>IF(OR(M12708="",N12708=""),"",SUMIFS('Barang Keluar'!$E:$E,'Barang Keluar'!$A:$A,M12708,'Barang Keluar'!$C:$C,N12708))</f>
        <v>0</v>
      </c>
    </row>
    <row r="12709" spans="13:16">
      <c r="M12709" s="49">
        <f>IF($A$4+127&gt;$B$4,"",$A$4+127)</f>
        <v>46150</v>
      </c>
      <c r="N12709" t="str">
        <f>IF(M12709="","",'Master Barang'!A3)</f>
        <v>PRL-002</v>
      </c>
      <c r="O12709" t="str">
        <f>IF(N12709="","",'Master Barang'!B3)</f>
        <v>sunlight cairan pencuci piring 5l</v>
      </c>
      <c r="P12709">
        <f>IF(OR(M12709="",N12709=""),"",SUMIFS('Barang Keluar'!$E:$E,'Barang Keluar'!$A:$A,M12709,'Barang Keluar'!$C:$C,N12709))</f>
        <v>0</v>
      </c>
    </row>
    <row r="12710" spans="13:16">
      <c r="M12710" s="49">
        <f>IF($A$4+127&gt;$B$4,"",$A$4+127)</f>
        <v>46150</v>
      </c>
      <c r="N12710" t="str">
        <f>IF(M12710="","",'Master Barang'!A4)</f>
        <v>PRL-003</v>
      </c>
      <c r="O12710" t="str">
        <f>IF(N12710="","",'Master Barang'!B4)</f>
        <v>oixs cleaner 1l</v>
      </c>
      <c r="P12710">
        <f>IF(OR(M12710="",N12710=""),"",SUMIFS('Barang Keluar'!$E:$E,'Barang Keluar'!$A:$A,M12710,'Barang Keluar'!$C:$C,N12710))</f>
        <v>0</v>
      </c>
    </row>
    <row r="12711" spans="13:16">
      <c r="M12711" s="49">
        <f>IF($A$4+127&gt;$B$4,"",$A$4+127)</f>
        <v>46150</v>
      </c>
      <c r="N12711" t="str">
        <f>IF(M12711="","",'Master Barang'!A5)</f>
        <v>PRL-004</v>
      </c>
      <c r="O12711" t="str">
        <f>IF(N12711="","",'Master Barang'!B5)</f>
        <v>be clean tissue serbaguna</v>
      </c>
      <c r="P12711">
        <f>IF(OR(M12711="",N12711=""),"",SUMIFS('Barang Keluar'!$E:$E,'Barang Keluar'!$A:$A,M12711,'Barang Keluar'!$C:$C,N12711))</f>
        <v>0</v>
      </c>
    </row>
    <row r="12712" spans="13:16">
      <c r="M12712" s="49">
        <f>IF($A$4+127&gt;$B$4,"",$A$4+127)</f>
        <v>46150</v>
      </c>
      <c r="N12712" t="str">
        <f>IF(M12712="","",'Master Barang'!A6)</f>
        <v>PRL-005</v>
      </c>
      <c r="O12712" t="str">
        <f>IF(N12712="","",'Master Barang'!B6)</f>
        <v>spons cuci hijau</v>
      </c>
      <c r="P12712">
        <f>IF(OR(M12712="",N12712=""),"",SUMIFS('Barang Keluar'!$E:$E,'Barang Keluar'!$A:$A,M12712,'Barang Keluar'!$C:$C,N12712))</f>
        <v>0</v>
      </c>
    </row>
    <row r="12713" spans="13:16">
      <c r="M12713" s="49">
        <f>IF($A$4+127&gt;$B$4,"",$A$4+127)</f>
        <v>46150</v>
      </c>
      <c r="N12713" t="str">
        <f>IF(M12713="","",'Master Barang'!A7)</f>
        <v>PRL-006</v>
      </c>
      <c r="O12713" t="str">
        <f>IF(N12713="","",'Master Barang'!B7)</f>
        <v>sabut cuci stainless</v>
      </c>
      <c r="P12713">
        <f>IF(OR(M12713="",N12713=""),"",SUMIFS('Barang Keluar'!$E:$E,'Barang Keluar'!$A:$A,M12713,'Barang Keluar'!$C:$C,N12713))</f>
        <v>0</v>
      </c>
    </row>
    <row r="12714" spans="13:16">
      <c r="M12714" s="49">
        <f>IF($A$4+127&gt;$B$4,"",$A$4+127)</f>
        <v>46150</v>
      </c>
      <c r="N12714" t="str">
        <f>IF(M12714="","",'Master Barang'!A8)</f>
        <v>PRL-007</v>
      </c>
      <c r="O12714" t="str">
        <f>IF(N12714="","",'Master Barang'!B8)</f>
        <v>plastik kresek besar merah 50pc</v>
      </c>
      <c r="P12714">
        <f>IF(OR(M12714="",N12714=""),"",SUMIFS('Barang Keluar'!$E:$E,'Barang Keluar'!$A:$A,M12714,'Barang Keluar'!$C:$C,N12714))</f>
        <v>0</v>
      </c>
    </row>
    <row r="12715" spans="13:16">
      <c r="M12715" s="49">
        <f>IF($A$4+127&gt;$B$4,"",$A$4+127)</f>
        <v>46150</v>
      </c>
      <c r="N12715" t="str">
        <f>IF(M12715="","",'Master Barang'!A9)</f>
        <v>PRL-008</v>
      </c>
      <c r="O12715" t="str">
        <f>IF(N12715="","",'Master Barang'!B9)</f>
        <v>lap besar</v>
      </c>
      <c r="P12715">
        <f>IF(OR(M12715="",N12715=""),"",SUMIFS('Barang Keluar'!$E:$E,'Barang Keluar'!$A:$A,M12715,'Barang Keluar'!$C:$C,N12715))</f>
        <v>0</v>
      </c>
    </row>
    <row r="12716" spans="13:16">
      <c r="M12716" s="49">
        <f>IF($A$4+127&gt;$B$4,"",$A$4+127)</f>
        <v>46150</v>
      </c>
      <c r="N12716" t="str">
        <f>IF(M12716="","",'Master Barang'!A10)</f>
        <v>PRL-009</v>
      </c>
      <c r="O12716" t="str">
        <f>IF(N12716="","",'Master Barang'!B10)</f>
        <v>lap microfiber</v>
      </c>
      <c r="P12716">
        <f>IF(OR(M12716="",N12716=""),"",SUMIFS('Barang Keluar'!$E:$E,'Barang Keluar'!$A:$A,M12716,'Barang Keluar'!$C:$C,N12716))</f>
        <v>0</v>
      </c>
    </row>
    <row r="12717" spans="13:16">
      <c r="M12717" s="49">
        <f>IF($A$4+127&gt;$B$4,"",$A$4+127)</f>
        <v>46150</v>
      </c>
      <c r="N12717" t="str">
        <f>IF(M12717="","",'Master Barang'!A11)</f>
        <v>PRL-010</v>
      </c>
      <c r="O12717" t="str">
        <f>IF(N12717="","",'Master Barang'!B11)</f>
        <v>lap kecil</v>
      </c>
      <c r="P12717">
        <f>IF(OR(M12717="",N12717=""),"",SUMIFS('Barang Keluar'!$E:$E,'Barang Keluar'!$A:$A,M12717,'Barang Keluar'!$C:$C,N12717))</f>
        <v>0</v>
      </c>
    </row>
    <row r="12718" spans="13:16">
      <c r="M12718" s="49">
        <f>IF($A$4+127&gt;$B$4,"",$A$4+127)</f>
        <v>46150</v>
      </c>
      <c r="N12718" t="str">
        <f>IF(M12718="","",'Master Barang'!A12)</f>
        <v>PRL-011</v>
      </c>
      <c r="O12718" t="str">
        <f>IF(N12718="","",'Master Barang'!B12)</f>
        <v>kanebo kecil</v>
      </c>
      <c r="P12718">
        <f>IF(OR(M12718="",N12718=""),"",SUMIFS('Barang Keluar'!$E:$E,'Barang Keluar'!$A:$A,M12718,'Barang Keluar'!$C:$C,N12718))</f>
        <v>0</v>
      </c>
    </row>
    <row r="12719" spans="13:16">
      <c r="M12719" s="49">
        <f>IF($A$4+127&gt;$B$4,"",$A$4+127)</f>
        <v>46150</v>
      </c>
      <c r="N12719" t="str">
        <f>IF(M12719="","",'Master Barang'!A13)</f>
        <v>PRL-012</v>
      </c>
      <c r="O12719" t="str">
        <f>IF(N12719="","",'Master Barang'!B13)</f>
        <v>plastik 1/4kg joyoboyo 100 lembar</v>
      </c>
      <c r="P12719">
        <f>IF(OR(M12719="",N12719=""),"",SUMIFS('Barang Keluar'!$E:$E,'Barang Keluar'!$A:$A,M12719,'Barang Keluar'!$C:$C,N12719))</f>
        <v>0</v>
      </c>
    </row>
    <row r="12720" spans="13:16">
      <c r="M12720" s="49">
        <f>IF($A$4+127&gt;$B$4,"",$A$4+127)</f>
        <v>46150</v>
      </c>
      <c r="N12720" t="str">
        <f>IF(M12720="","",'Master Barang'!A14)</f>
        <v>PRL-013</v>
      </c>
      <c r="O12720" t="str">
        <f>IF(N12720="","",'Master Barang'!B14)</f>
        <v>sarung tangan plastik kaka 100 pcs</v>
      </c>
      <c r="P12720">
        <f>IF(OR(M12720="",N12720=""),"",SUMIFS('Barang Keluar'!$E:$E,'Barang Keluar'!$A:$A,M12720,'Barang Keluar'!$C:$C,N12720))</f>
        <v>0</v>
      </c>
    </row>
    <row r="12721" spans="13:16">
      <c r="M12721" s="49">
        <f>IF($A$4+127&gt;$B$4,"",$A$4+127)</f>
        <v>46150</v>
      </c>
      <c r="N12721" t="str">
        <f>IF(M12721="","",'Master Barang'!A15)</f>
        <v>PRL-014</v>
      </c>
      <c r="O12721" t="str">
        <f>IF(N12721="","",'Master Barang'!B15)</f>
        <v>optima trashbag 80x100</v>
      </c>
      <c r="P12721">
        <f>IF(OR(M12721="",N12721=""),"",SUMIFS('Barang Keluar'!$E:$E,'Barang Keluar'!$A:$A,M12721,'Barang Keluar'!$C:$C,N12721))</f>
        <v>0</v>
      </c>
    </row>
    <row r="12722" spans="13:16">
      <c r="M12722" s="49">
        <f>IF($A$4+127&gt;$B$4,"",$A$4+127)</f>
        <v>46150</v>
      </c>
      <c r="N12722" t="str">
        <f>IF(M12722="","",'Master Barang'!A16)</f>
        <v>PRL-015</v>
      </c>
      <c r="O12722" t="str">
        <f>IF(N12722="","",'Master Barang'!B16)</f>
        <v>optima trashbag 60x100</v>
      </c>
      <c r="P12722">
        <f>IF(OR(M12722="",N12722=""),"",SUMIFS('Barang Keluar'!$E:$E,'Barang Keluar'!$A:$A,M12722,'Barang Keluar'!$C:$C,N12722))</f>
        <v>0</v>
      </c>
    </row>
    <row r="12723" spans="13:16">
      <c r="M12723" s="49">
        <f>IF($A$4+127&gt;$B$4,"",$A$4+127)</f>
        <v>46150</v>
      </c>
      <c r="N12723" t="str">
        <f>IF(M12723="","",'Master Barang'!A17)</f>
        <v>PRL-016</v>
      </c>
      <c r="O12723" t="str">
        <f>IF(N12723="","",'Master Barang'!B17)</f>
        <v>rajawali trashbag 30x40</v>
      </c>
      <c r="P12723">
        <f>IF(OR(M12723="",N12723=""),"",SUMIFS('Barang Keluar'!$E:$E,'Barang Keluar'!$A:$A,M12723,'Barang Keluar'!$C:$C,N12723))</f>
        <v>0</v>
      </c>
    </row>
    <row r="12724" spans="13:16">
      <c r="M12724" s="49">
        <f>IF($A$4+127&gt;$B$4,"",$A$4+127)</f>
        <v>46150</v>
      </c>
      <c r="N12724" t="str">
        <f>IF(M12724="","",'Master Barang'!A18)</f>
        <v>PRL-017</v>
      </c>
      <c r="O12724" t="str">
        <f>IF(N12724="","",'Master Barang'!B18)</f>
        <v>onemed masker biru 3 play 50 pcs</v>
      </c>
      <c r="P12724">
        <f>IF(OR(M12724="",N12724=""),"",SUMIFS('Barang Keluar'!$E:$E,'Barang Keluar'!$A:$A,M12724,'Barang Keluar'!$C:$C,N12724))</f>
        <v>0</v>
      </c>
    </row>
    <row r="12725" spans="13:16">
      <c r="M12725" s="49">
        <f>IF($A$4+127&gt;$B$4,"",$A$4+127)</f>
        <v>46150</v>
      </c>
      <c r="N12725" t="str">
        <f>IF(M12725="","",'Master Barang'!A19)</f>
        <v>PRL-018</v>
      </c>
      <c r="O12725" t="str">
        <f>IF(N12725="","",'Master Barang'!B19)</f>
        <v>onemed masker biru 3 play hijab 50 pcs</v>
      </c>
      <c r="P12725">
        <f>IF(OR(M12725="",N12725=""),"",SUMIFS('Barang Keluar'!$E:$E,'Barang Keluar'!$A:$A,M12725,'Barang Keluar'!$C:$C,N12725))</f>
        <v>0</v>
      </c>
    </row>
    <row r="12726" spans="13:16">
      <c r="M12726" s="49">
        <f>IF($A$4+127&gt;$B$4,"",$A$4+127)</f>
        <v>46150</v>
      </c>
      <c r="N12726" t="str">
        <f>IF(M12726="","",'Master Barang'!A20)</f>
        <v>PRL-019</v>
      </c>
      <c r="O12726" t="str">
        <f>IF(N12726="","",'Master Barang'!B20)</f>
        <v>neo health masker biru 3 play 50 pcs</v>
      </c>
      <c r="P12726">
        <f>IF(OR(M12726="",N12726=""),"",SUMIFS('Barang Keluar'!$E:$E,'Barang Keluar'!$A:$A,M12726,'Barang Keluar'!$C:$C,N12726))</f>
        <v>0</v>
      </c>
    </row>
    <row r="12727" spans="13:16">
      <c r="M12727" s="49">
        <f>IF($A$4+127&gt;$B$4,"",$A$4+127)</f>
        <v>46150</v>
      </c>
      <c r="N12727" t="str">
        <f>IF(M12727="","",'Master Barang'!A21)</f>
        <v>PRL-020</v>
      </c>
      <c r="O12727" t="str">
        <f>IF(N12727="","",'Master Barang'!B21)</f>
        <v>baymed masker hijau 3 play hijau 50 pcs</v>
      </c>
      <c r="P12727">
        <f>IF(OR(M12727="",N12727=""),"",SUMIFS('Barang Keluar'!$E:$E,'Barang Keluar'!$A:$A,M12727,'Barang Keluar'!$C:$C,N12727))</f>
        <v>0</v>
      </c>
    </row>
    <row r="12728" spans="13:16">
      <c r="M12728" s="49">
        <f>IF($A$4+127&gt;$B$4,"",$A$4+127)</f>
        <v>46150</v>
      </c>
      <c r="N12728" t="str">
        <f>IF(M12728="","",'Master Barang'!A22)</f>
        <v>PRL-021</v>
      </c>
      <c r="O12728" t="str">
        <f>IF(N12728="","",'Master Barang'!B22)</f>
        <v>altamed nurse cap penutup kepala 100 pcs</v>
      </c>
      <c r="P12728">
        <f>IF(OR(M12728="",N12728=""),"",SUMIFS('Barang Keluar'!$E:$E,'Barang Keluar'!$A:$A,M12728,'Barang Keluar'!$C:$C,N12728))</f>
        <v>0</v>
      </c>
    </row>
    <row r="12729" spans="13:16">
      <c r="M12729" s="49">
        <f>IF($A$4+127&gt;$B$4,"",$A$4+127)</f>
        <v>46150</v>
      </c>
      <c r="N12729" t="str">
        <f>IF(M12729="","",'Master Barang'!A23)</f>
        <v>PRL-022</v>
      </c>
      <c r="O12729" t="str">
        <f>IF(N12729="","",'Master Barang'!B23)</f>
        <v>sabun cuci tangan</v>
      </c>
      <c r="P12729">
        <f>IF(OR(M12729="",N12729=""),"",SUMIFS('Barang Keluar'!$E:$E,'Barang Keluar'!$A:$A,M12729,'Barang Keluar'!$C:$C,N12729))</f>
        <v>0</v>
      </c>
    </row>
    <row r="12730" spans="13:16">
      <c r="M12730" s="49">
        <f>IF($A$4+127&gt;$B$4,"",$A$4+127)</f>
        <v>46150</v>
      </c>
      <c r="N12730" t="str">
        <f>IF(M12730="","",'Master Barang'!A24)</f>
        <v>PRL-023</v>
      </c>
      <c r="O12730" t="str">
        <f>IF(N12730="","",'Master Barang'!B24)</f>
        <v>gayung kecil</v>
      </c>
      <c r="P12730">
        <f>IF(OR(M12730="",N12730=""),"",SUMIFS('Barang Keluar'!$E:$E,'Barang Keluar'!$A:$A,M12730,'Barang Keluar'!$C:$C,N12730))</f>
        <v>0</v>
      </c>
    </row>
    <row r="12731" spans="13:16">
      <c r="M12731" s="49">
        <f>IF($A$4+127&gt;$B$4,"",$A$4+127)</f>
        <v>46150</v>
      </c>
      <c r="N12731" t="str">
        <f>IF(M12731="","",'Master Barang'!A25)</f>
        <v>PRL-024</v>
      </c>
      <c r="O12731" t="str">
        <f>IF(N12731="","",'Master Barang'!B25)</f>
        <v>cikrak kecil</v>
      </c>
      <c r="P12731">
        <f>IF(OR(M12731="",N12731=""),"",SUMIFS('Barang Keluar'!$E:$E,'Barang Keluar'!$A:$A,M12731,'Barang Keluar'!$C:$C,N12731))</f>
        <v>0</v>
      </c>
    </row>
    <row r="12732" spans="13:16">
      <c r="M12732" s="49">
        <f>IF($A$4+127&gt;$B$4,"",$A$4+127)</f>
        <v>46150</v>
      </c>
      <c r="N12732" t="str">
        <f>IF(M12732="","",'Master Barang'!A26)</f>
        <v>PRL-025</v>
      </c>
      <c r="O12732" t="str">
        <f>IF(N12732="","",'Master Barang'!B26)</f>
        <v>petromax plastik kecil 12x24 100 lembar</v>
      </c>
      <c r="P12732">
        <f>IF(OR(M12732="",N12732=""),"",SUMIFS('Barang Keluar'!$E:$E,'Barang Keluar'!$A:$A,M12732,'Barang Keluar'!$C:$C,N12732))</f>
        <v>0</v>
      </c>
    </row>
    <row r="12733" spans="13:16">
      <c r="M12733" s="49">
        <f>IF($A$4+127&gt;$B$4,"",$A$4+127)</f>
        <v>46150</v>
      </c>
      <c r="N12733" t="str">
        <f>IF(M12733="","",'Master Barang'!A27)</f>
        <v>PRL-026</v>
      </c>
      <c r="O12733" t="str">
        <f>IF(N12733="","",'Master Barang'!B27)</f>
        <v>lancar kresek kecil bening </v>
      </c>
      <c r="P12733">
        <f>IF(OR(M12733="",N12733=""),"",SUMIFS('Barang Keluar'!$E:$E,'Barang Keluar'!$A:$A,M12733,'Barang Keluar'!$C:$C,N12733))</f>
        <v>0</v>
      </c>
    </row>
    <row r="12734" spans="13:16">
      <c r="M12734" s="49">
        <f>IF($A$4+127&gt;$B$4,"",$A$4+127)</f>
        <v>46150</v>
      </c>
      <c r="N12734" t="str">
        <f>IF(M12734="","",'Master Barang'!A28)</f>
        <v>PRL-027</v>
      </c>
      <c r="O12734" t="str">
        <f>IF(N12734="","",'Master Barang'!B28)</f>
        <v>kresek klin warna warni kecil</v>
      </c>
      <c r="P12734">
        <f>IF(OR(M12734="",N12734=""),"",SUMIFS('Barang Keluar'!$E:$E,'Barang Keluar'!$A:$A,M12734,'Barang Keluar'!$C:$C,N12734))</f>
        <v>0</v>
      </c>
    </row>
    <row r="12735" spans="13:16">
      <c r="M12735" s="49">
        <f>IF($A$4+127&gt;$B$4,"",$A$4+127)</f>
        <v>46150</v>
      </c>
      <c r="N12735" t="str">
        <f>IF(M12735="","",'Master Barang'!A29)</f>
        <v>PRL-028</v>
      </c>
      <c r="O12735" t="str">
        <f>IF(N12735="","",'Master Barang'!B29)</f>
        <v>ctik plastik 7x10 100 pcs</v>
      </c>
      <c r="P12735">
        <f>IF(OR(M12735="",N12735=""),"",SUMIFS('Barang Keluar'!$E:$E,'Barang Keluar'!$A:$A,M12735,'Barang Keluar'!$C:$C,N12735))</f>
        <v>0</v>
      </c>
    </row>
    <row r="12736" spans="13:16">
      <c r="M12736" s="49">
        <f>IF($A$4+127&gt;$B$4,"",$A$4+127)</f>
        <v>46150</v>
      </c>
      <c r="N12736" t="str">
        <f>IF(M12736="","",'Master Barang'!A30)</f>
        <v>PRL-029</v>
      </c>
      <c r="O12736" t="str">
        <f>IF(N12736="","",'Master Barang'!B30)</f>
        <v>ctik plastik 6x10 100 pcs</v>
      </c>
      <c r="P12736">
        <f>IF(OR(M12736="",N12736=""),"",SUMIFS('Barang Keluar'!$E:$E,'Barang Keluar'!$A:$A,M12736,'Barang Keluar'!$C:$C,N12736))</f>
        <v>0</v>
      </c>
    </row>
    <row r="12737" spans="13:16">
      <c r="M12737" s="49">
        <f>IF($A$4+127&gt;$B$4,"",$A$4+127)</f>
        <v>46150</v>
      </c>
      <c r="N12737" t="str">
        <f>IF(M12737="","",'Master Barang'!A31)</f>
        <v>PRL-030</v>
      </c>
      <c r="O12737" t="str">
        <f>IF(N12737="","",'Master Barang'!B31)</f>
        <v>klip plastik 25x16 100 pcs</v>
      </c>
      <c r="P12737">
        <f>IF(OR(M12737="",N12737=""),"",SUMIFS('Barang Keluar'!$E:$E,'Barang Keluar'!$A:$A,M12737,'Barang Keluar'!$C:$C,N12737))</f>
        <v>0</v>
      </c>
    </row>
    <row r="12738" spans="13:16">
      <c r="M12738" s="49">
        <f>IF($A$4+127&gt;$B$4,"",$A$4+127)</f>
        <v>46150</v>
      </c>
      <c r="N12738" t="str">
        <f>IF(M12738="","",'Master Barang'!A32)</f>
        <v>PRL-031</v>
      </c>
      <c r="O12738" t="str">
        <f>IF(N12738="","",'Master Barang'!B32)</f>
        <v>tempat saus 20 ml</v>
      </c>
      <c r="P12738">
        <f>IF(OR(M12738="",N12738=""),"",SUMIFS('Barang Keluar'!$E:$E,'Barang Keluar'!$A:$A,M12738,'Barang Keluar'!$C:$C,N12738))</f>
        <v>0</v>
      </c>
    </row>
    <row r="12739" spans="13:16">
      <c r="M12739" s="49">
        <f>IF($A$4+127&gt;$B$4,"",$A$4+127)</f>
        <v>46150</v>
      </c>
      <c r="N12739" t="str">
        <f>IF(M12739="","",'Master Barang'!A33)</f>
        <v>PRL-032</v>
      </c>
      <c r="O12739" t="str">
        <f>IF(N12739="","",'Master Barang'!B33)</f>
        <v>plastik packaging ag box uk sedang</v>
      </c>
      <c r="P12739">
        <f>IF(OR(M12739="",N12739=""),"",SUMIFS('Barang Keluar'!$E:$E,'Barang Keluar'!$A:$A,M12739,'Barang Keluar'!$C:$C,N12739))</f>
        <v>0</v>
      </c>
    </row>
    <row r="12740" spans="13:16">
      <c r="M12740" s="49">
        <f>IF($A$4+127&gt;$B$4,"",$A$4+127)</f>
        <v>46150</v>
      </c>
      <c r="N12740" t="str">
        <f>IF(M12740="","",'Master Barang'!A34)</f>
        <v>PRL-033</v>
      </c>
      <c r="O12740">
        <f>IF(N12740="","",'Master Barang'!B34)</f>
        <v>0</v>
      </c>
      <c r="P12740">
        <f>IF(OR(M12740="",N12740=""),"",SUMIFS('Barang Keluar'!$E:$E,'Barang Keluar'!$A:$A,M12740,'Barang Keluar'!$C:$C,N12740))</f>
        <v>0</v>
      </c>
    </row>
    <row r="12741" spans="13:16">
      <c r="M12741" s="49">
        <f>IF($A$4+127&gt;$B$4,"",$A$4+127)</f>
        <v>46150</v>
      </c>
      <c r="N12741">
        <f>IF(M12741="","",'Master Barang'!A35)</f>
        <v>0</v>
      </c>
      <c r="O12741">
        <f>IF(N12741="","",'Master Barang'!B35)</f>
        <v>0</v>
      </c>
      <c r="P12741">
        <f>IF(OR(M12741="",N12741=""),"",SUMIFS('Barang Keluar'!$E:$E,'Barang Keluar'!$A:$A,M12741,'Barang Keluar'!$C:$C,N12741))</f>
        <v>0</v>
      </c>
    </row>
    <row r="12742" spans="13:16">
      <c r="M12742" s="49">
        <f>IF($A$4+127&gt;$B$4,"",$A$4+127)</f>
        <v>46150</v>
      </c>
      <c r="N12742">
        <f>IF(M12742="","",'Master Barang'!A36)</f>
        <v>0</v>
      </c>
      <c r="O12742">
        <f>IF(N12742="","",'Master Barang'!B36)</f>
        <v>0</v>
      </c>
      <c r="P12742">
        <f>IF(OR(M12742="",N12742=""),"",SUMIFS('Barang Keluar'!$E:$E,'Barang Keluar'!$A:$A,M12742,'Barang Keluar'!$C:$C,N12742))</f>
        <v>0</v>
      </c>
    </row>
    <row r="12743" spans="13:16">
      <c r="M12743" s="49">
        <f>IF($A$4+127&gt;$B$4,"",$A$4+127)</f>
        <v>46150</v>
      </c>
      <c r="N12743">
        <f>IF(M12743="","",'Master Barang'!A37)</f>
        <v>0</v>
      </c>
      <c r="O12743">
        <f>IF(N12743="","",'Master Barang'!B37)</f>
        <v>0</v>
      </c>
      <c r="P12743">
        <f>IF(OR(M12743="",N12743=""),"",SUMIFS('Barang Keluar'!$E:$E,'Barang Keluar'!$A:$A,M12743,'Barang Keluar'!$C:$C,N12743))</f>
        <v>0</v>
      </c>
    </row>
    <row r="12744" spans="13:16">
      <c r="M12744" s="49">
        <f>IF($A$4+127&gt;$B$4,"",$A$4+127)</f>
        <v>46150</v>
      </c>
      <c r="N12744">
        <f>IF(M12744="","",'Master Barang'!A38)</f>
        <v>0</v>
      </c>
      <c r="O12744">
        <f>IF(N12744="","",'Master Barang'!B38)</f>
        <v>0</v>
      </c>
      <c r="P12744">
        <f>IF(OR(M12744="",N12744=""),"",SUMIFS('Barang Keluar'!$E:$E,'Barang Keluar'!$A:$A,M12744,'Barang Keluar'!$C:$C,N12744))</f>
        <v>0</v>
      </c>
    </row>
    <row r="12745" spans="13:16">
      <c r="M12745" s="49">
        <f>IF($A$4+127&gt;$B$4,"",$A$4+127)</f>
        <v>46150</v>
      </c>
      <c r="N12745">
        <f>IF(M12745="","",'Master Barang'!A39)</f>
        <v>0</v>
      </c>
      <c r="O12745">
        <f>IF(N12745="","",'Master Barang'!B39)</f>
        <v>0</v>
      </c>
      <c r="P12745">
        <f>IF(OR(M12745="",N12745=""),"",SUMIFS('Barang Keluar'!$E:$E,'Barang Keluar'!$A:$A,M12745,'Barang Keluar'!$C:$C,N12745))</f>
        <v>0</v>
      </c>
    </row>
    <row r="12746" spans="13:16">
      <c r="M12746" s="49">
        <f>IF($A$4+127&gt;$B$4,"",$A$4+127)</f>
        <v>46150</v>
      </c>
      <c r="N12746">
        <f>IF(M12746="","",'Master Barang'!A40)</f>
        <v>0</v>
      </c>
      <c r="O12746">
        <f>IF(N12746="","",'Master Barang'!B40)</f>
        <v>0</v>
      </c>
      <c r="P12746">
        <f>IF(OR(M12746="",N12746=""),"",SUMIFS('Barang Keluar'!$E:$E,'Barang Keluar'!$A:$A,M12746,'Barang Keluar'!$C:$C,N12746))</f>
        <v>0</v>
      </c>
    </row>
    <row r="12747" spans="13:16">
      <c r="M12747" s="49">
        <f>IF($A$4+127&gt;$B$4,"",$A$4+127)</f>
        <v>46150</v>
      </c>
      <c r="N12747">
        <f>IF(M12747="","",'Master Barang'!A41)</f>
        <v>0</v>
      </c>
      <c r="O12747">
        <f>IF(N12747="","",'Master Barang'!B41)</f>
        <v>0</v>
      </c>
      <c r="P12747">
        <f>IF(OR(M12747="",N12747=""),"",SUMIFS('Barang Keluar'!$E:$E,'Barang Keluar'!$A:$A,M12747,'Barang Keluar'!$C:$C,N12747))</f>
        <v>0</v>
      </c>
    </row>
    <row r="12748" spans="13:16">
      <c r="M12748" s="49">
        <f>IF($A$4+127&gt;$B$4,"",$A$4+127)</f>
        <v>46150</v>
      </c>
      <c r="N12748">
        <f>IF(M12748="","",'Master Barang'!A42)</f>
        <v>0</v>
      </c>
      <c r="O12748">
        <f>IF(N12748="","",'Master Barang'!B42)</f>
        <v>0</v>
      </c>
      <c r="P12748">
        <f>IF(OR(M12748="",N12748=""),"",SUMIFS('Barang Keluar'!$E:$E,'Barang Keluar'!$A:$A,M12748,'Barang Keluar'!$C:$C,N12748))</f>
        <v>0</v>
      </c>
    </row>
    <row r="12749" spans="13:16">
      <c r="M12749" s="49">
        <f>IF($A$4+127&gt;$B$4,"",$A$4+127)</f>
        <v>46150</v>
      </c>
      <c r="N12749">
        <f>IF(M12749="","",'Master Barang'!A43)</f>
        <v>0</v>
      </c>
      <c r="O12749">
        <f>IF(N12749="","",'Master Barang'!B43)</f>
        <v>0</v>
      </c>
      <c r="P12749">
        <f>IF(OR(M12749="",N12749=""),"",SUMIFS('Barang Keluar'!$E:$E,'Barang Keluar'!$A:$A,M12749,'Barang Keluar'!$C:$C,N12749))</f>
        <v>0</v>
      </c>
    </row>
    <row r="12750" spans="13:16">
      <c r="M12750" s="49">
        <f>IF($A$4+127&gt;$B$4,"",$A$4+127)</f>
        <v>46150</v>
      </c>
      <c r="N12750">
        <f>IF(M12750="","",'Master Barang'!A44)</f>
        <v>0</v>
      </c>
      <c r="O12750">
        <f>IF(N12750="","",'Master Barang'!B44)</f>
        <v>0</v>
      </c>
      <c r="P12750">
        <f>IF(OR(M12750="",N12750=""),"",SUMIFS('Barang Keluar'!$E:$E,'Barang Keluar'!$A:$A,M12750,'Barang Keluar'!$C:$C,N12750))</f>
        <v>0</v>
      </c>
    </row>
    <row r="12751" spans="13:16">
      <c r="M12751" s="49">
        <f>IF($A$4+127&gt;$B$4,"",$A$4+127)</f>
        <v>46150</v>
      </c>
      <c r="N12751">
        <f>IF(M12751="","",'Master Barang'!A45)</f>
        <v>0</v>
      </c>
      <c r="O12751">
        <f>IF(N12751="","",'Master Barang'!B45)</f>
        <v>0</v>
      </c>
      <c r="P12751">
        <f>IF(OR(M12751="",N12751=""),"",SUMIFS('Barang Keluar'!$E:$E,'Barang Keluar'!$A:$A,M12751,'Barang Keluar'!$C:$C,N12751))</f>
        <v>0</v>
      </c>
    </row>
    <row r="12752" spans="13:16">
      <c r="M12752" s="49">
        <f>IF($A$4+127&gt;$B$4,"",$A$4+127)</f>
        <v>46150</v>
      </c>
      <c r="N12752">
        <f>IF(M12752="","",'Master Barang'!A46)</f>
        <v>0</v>
      </c>
      <c r="O12752">
        <f>IF(N12752="","",'Master Barang'!B46)</f>
        <v>0</v>
      </c>
      <c r="P12752">
        <f>IF(OR(M12752="",N12752=""),"",SUMIFS('Barang Keluar'!$E:$E,'Barang Keluar'!$A:$A,M12752,'Barang Keluar'!$C:$C,N12752))</f>
        <v>0</v>
      </c>
    </row>
    <row r="12753" spans="13:16">
      <c r="M12753" s="49">
        <f>IF($A$4+127&gt;$B$4,"",$A$4+127)</f>
        <v>46150</v>
      </c>
      <c r="N12753">
        <f>IF(M12753="","",'Master Barang'!A47)</f>
        <v>0</v>
      </c>
      <c r="O12753">
        <f>IF(N12753="","",'Master Barang'!B47)</f>
        <v>0</v>
      </c>
      <c r="P12753">
        <f>IF(OR(M12753="",N12753=""),"",SUMIFS('Barang Keluar'!$E:$E,'Barang Keluar'!$A:$A,M12753,'Barang Keluar'!$C:$C,N12753))</f>
        <v>0</v>
      </c>
    </row>
    <row r="12754" spans="13:16">
      <c r="M12754" s="49">
        <f>IF($A$4+127&gt;$B$4,"",$A$4+127)</f>
        <v>46150</v>
      </c>
      <c r="N12754">
        <f>IF(M12754="","",'Master Barang'!A48)</f>
        <v>0</v>
      </c>
      <c r="O12754">
        <f>IF(N12754="","",'Master Barang'!B48)</f>
        <v>0</v>
      </c>
      <c r="P12754">
        <f>IF(OR(M12754="",N12754=""),"",SUMIFS('Barang Keluar'!$E:$E,'Barang Keluar'!$A:$A,M12754,'Barang Keluar'!$C:$C,N12754))</f>
        <v>0</v>
      </c>
    </row>
    <row r="12755" spans="13:16">
      <c r="M12755" s="49">
        <f>IF($A$4+127&gt;$B$4,"",$A$4+127)</f>
        <v>46150</v>
      </c>
      <c r="N12755">
        <f>IF(M12755="","",'Master Barang'!A49)</f>
        <v>0</v>
      </c>
      <c r="O12755">
        <f>IF(N12755="","",'Master Barang'!B49)</f>
        <v>0</v>
      </c>
      <c r="P12755">
        <f>IF(OR(M12755="",N12755=""),"",SUMIFS('Barang Keluar'!$E:$E,'Barang Keluar'!$A:$A,M12755,'Barang Keluar'!$C:$C,N12755))</f>
        <v>0</v>
      </c>
    </row>
    <row r="12756" spans="13:16">
      <c r="M12756" s="49">
        <f>IF($A$4+127&gt;$B$4,"",$A$4+127)</f>
        <v>46150</v>
      </c>
      <c r="N12756">
        <f>IF(M12756="","",'Master Barang'!A50)</f>
        <v>0</v>
      </c>
      <c r="O12756">
        <f>IF(N12756="","",'Master Barang'!B50)</f>
        <v>0</v>
      </c>
      <c r="P12756">
        <f>IF(OR(M12756="",N12756=""),"",SUMIFS('Barang Keluar'!$E:$E,'Barang Keluar'!$A:$A,M12756,'Barang Keluar'!$C:$C,N12756))</f>
        <v>0</v>
      </c>
    </row>
    <row r="12757" spans="13:16">
      <c r="M12757" s="49">
        <f>IF($A$4+127&gt;$B$4,"",$A$4+127)</f>
        <v>46150</v>
      </c>
      <c r="N12757">
        <f>IF(M12757="","",'Master Barang'!A51)</f>
        <v>0</v>
      </c>
      <c r="O12757">
        <f>IF(N12757="","",'Master Barang'!B51)</f>
        <v>0</v>
      </c>
      <c r="P12757">
        <f>IF(OR(M12757="",N12757=""),"",SUMIFS('Barang Keluar'!$E:$E,'Barang Keluar'!$A:$A,M12757,'Barang Keluar'!$C:$C,N12757))</f>
        <v>0</v>
      </c>
    </row>
    <row r="12758" spans="13:16">
      <c r="M12758" s="49">
        <f>IF($A$4+127&gt;$B$4,"",$A$4+127)</f>
        <v>46150</v>
      </c>
      <c r="N12758">
        <f>IF(M12758="","",'Master Barang'!A52)</f>
        <v>0</v>
      </c>
      <c r="O12758">
        <f>IF(N12758="","",'Master Barang'!B52)</f>
        <v>0</v>
      </c>
      <c r="P12758">
        <f>IF(OR(M12758="",N12758=""),"",SUMIFS('Barang Keluar'!$E:$E,'Barang Keluar'!$A:$A,M12758,'Barang Keluar'!$C:$C,N12758))</f>
        <v>0</v>
      </c>
    </row>
    <row r="12759" spans="13:16">
      <c r="M12759" s="49">
        <f>IF($A$4+127&gt;$B$4,"",$A$4+127)</f>
        <v>46150</v>
      </c>
      <c r="N12759">
        <f>IF(M12759="","",'Master Barang'!A53)</f>
        <v>0</v>
      </c>
      <c r="O12759">
        <f>IF(N12759="","",'Master Barang'!B53)</f>
        <v>0</v>
      </c>
      <c r="P12759">
        <f>IF(OR(M12759="",N12759=""),"",SUMIFS('Barang Keluar'!$E:$E,'Barang Keluar'!$A:$A,M12759,'Barang Keluar'!$C:$C,N12759))</f>
        <v>0</v>
      </c>
    </row>
    <row r="12760" spans="13:16">
      <c r="M12760" s="49">
        <f>IF($A$4+127&gt;$B$4,"",$A$4+127)</f>
        <v>46150</v>
      </c>
      <c r="N12760">
        <f>IF(M12760="","",'Master Barang'!A54)</f>
        <v>0</v>
      </c>
      <c r="O12760">
        <f>IF(N12760="","",'Master Barang'!B54)</f>
        <v>0</v>
      </c>
      <c r="P12760">
        <f>IF(OR(M12760="",N12760=""),"",SUMIFS('Barang Keluar'!$E:$E,'Barang Keluar'!$A:$A,M12760,'Barang Keluar'!$C:$C,N12760))</f>
        <v>0</v>
      </c>
    </row>
    <row r="12761" spans="13:16">
      <c r="M12761" s="49">
        <f>IF($A$4+127&gt;$B$4,"",$A$4+127)</f>
        <v>46150</v>
      </c>
      <c r="N12761">
        <f>IF(M12761="","",'Master Barang'!A55)</f>
        <v>0</v>
      </c>
      <c r="O12761">
        <f>IF(N12761="","",'Master Barang'!B55)</f>
        <v>0</v>
      </c>
      <c r="P12761">
        <f>IF(OR(M12761="",N12761=""),"",SUMIFS('Barang Keluar'!$E:$E,'Barang Keluar'!$A:$A,M12761,'Barang Keluar'!$C:$C,N12761))</f>
        <v>0</v>
      </c>
    </row>
    <row r="12762" spans="13:16">
      <c r="M12762" s="49">
        <f>IF($A$4+127&gt;$B$4,"",$A$4+127)</f>
        <v>46150</v>
      </c>
      <c r="N12762">
        <f>IF(M12762="","",'Master Barang'!A56)</f>
        <v>0</v>
      </c>
      <c r="O12762">
        <f>IF(N12762="","",'Master Barang'!B56)</f>
        <v>0</v>
      </c>
      <c r="P12762">
        <f>IF(OR(M12762="",N12762=""),"",SUMIFS('Barang Keluar'!$E:$E,'Barang Keluar'!$A:$A,M12762,'Barang Keluar'!$C:$C,N12762))</f>
        <v>0</v>
      </c>
    </row>
    <row r="12763" spans="13:16">
      <c r="M12763" s="49">
        <f>IF($A$4+127&gt;$B$4,"",$A$4+127)</f>
        <v>46150</v>
      </c>
      <c r="N12763">
        <f>IF(M12763="","",'Master Barang'!A57)</f>
        <v>0</v>
      </c>
      <c r="O12763">
        <f>IF(N12763="","",'Master Barang'!B57)</f>
        <v>0</v>
      </c>
      <c r="P12763">
        <f>IF(OR(M12763="",N12763=""),"",SUMIFS('Barang Keluar'!$E:$E,'Barang Keluar'!$A:$A,M12763,'Barang Keluar'!$C:$C,N12763))</f>
        <v>0</v>
      </c>
    </row>
    <row r="12764" spans="13:16">
      <c r="M12764" s="49">
        <f>IF($A$4+127&gt;$B$4,"",$A$4+127)</f>
        <v>46150</v>
      </c>
      <c r="N12764">
        <f>IF(M12764="","",'Master Barang'!A58)</f>
        <v>0</v>
      </c>
      <c r="O12764">
        <f>IF(N12764="","",'Master Barang'!B58)</f>
        <v>0</v>
      </c>
      <c r="P12764">
        <f>IF(OR(M12764="",N12764=""),"",SUMIFS('Barang Keluar'!$E:$E,'Barang Keluar'!$A:$A,M12764,'Barang Keluar'!$C:$C,N12764))</f>
        <v>0</v>
      </c>
    </row>
    <row r="12765" spans="13:16">
      <c r="M12765" s="49">
        <f>IF($A$4+127&gt;$B$4,"",$A$4+127)</f>
        <v>46150</v>
      </c>
      <c r="N12765">
        <f>IF(M12765="","",'Master Barang'!A59)</f>
        <v>0</v>
      </c>
      <c r="O12765">
        <f>IF(N12765="","",'Master Barang'!B59)</f>
        <v>0</v>
      </c>
      <c r="P12765">
        <f>IF(OR(M12765="",N12765=""),"",SUMIFS('Barang Keluar'!$E:$E,'Barang Keluar'!$A:$A,M12765,'Barang Keluar'!$C:$C,N12765))</f>
        <v>0</v>
      </c>
    </row>
    <row r="12766" spans="13:16">
      <c r="M12766" s="49">
        <f>IF($A$4+127&gt;$B$4,"",$A$4+127)</f>
        <v>46150</v>
      </c>
      <c r="N12766">
        <f>IF(M12766="","",'Master Barang'!A60)</f>
        <v>0</v>
      </c>
      <c r="O12766">
        <f>IF(N12766="","",'Master Barang'!B60)</f>
        <v>0</v>
      </c>
      <c r="P12766">
        <f>IF(OR(M12766="",N12766=""),"",SUMIFS('Barang Keluar'!$E:$E,'Barang Keluar'!$A:$A,M12766,'Barang Keluar'!$C:$C,N12766))</f>
        <v>0</v>
      </c>
    </row>
    <row r="12767" spans="13:16">
      <c r="M12767" s="49">
        <f>IF($A$4+127&gt;$B$4,"",$A$4+127)</f>
        <v>46150</v>
      </c>
      <c r="N12767">
        <f>IF(M12767="","",'Master Barang'!A61)</f>
        <v>0</v>
      </c>
      <c r="O12767">
        <f>IF(N12767="","",'Master Barang'!B61)</f>
        <v>0</v>
      </c>
      <c r="P12767">
        <f>IF(OR(M12767="",N12767=""),"",SUMIFS('Barang Keluar'!$E:$E,'Barang Keluar'!$A:$A,M12767,'Barang Keluar'!$C:$C,N12767))</f>
        <v>0</v>
      </c>
    </row>
    <row r="12768" spans="13:16">
      <c r="M12768" s="49">
        <f>IF($A$4+127&gt;$B$4,"",$A$4+127)</f>
        <v>46150</v>
      </c>
      <c r="N12768">
        <f>IF(M12768="","",'Master Barang'!A62)</f>
        <v>0</v>
      </c>
      <c r="O12768">
        <f>IF(N12768="","",'Master Barang'!B62)</f>
        <v>0</v>
      </c>
      <c r="P12768">
        <f>IF(OR(M12768="",N12768=""),"",SUMIFS('Barang Keluar'!$E:$E,'Barang Keluar'!$A:$A,M12768,'Barang Keluar'!$C:$C,N12768))</f>
        <v>0</v>
      </c>
    </row>
    <row r="12769" spans="13:16">
      <c r="M12769" s="49">
        <f>IF($A$4+127&gt;$B$4,"",$A$4+127)</f>
        <v>46150</v>
      </c>
      <c r="N12769">
        <f>IF(M12769="","",'Master Barang'!A63)</f>
        <v>0</v>
      </c>
      <c r="O12769">
        <f>IF(N12769="","",'Master Barang'!B63)</f>
        <v>0</v>
      </c>
      <c r="P12769">
        <f>IF(OR(M12769="",N12769=""),"",SUMIFS('Barang Keluar'!$E:$E,'Barang Keluar'!$A:$A,M12769,'Barang Keluar'!$C:$C,N12769))</f>
        <v>0</v>
      </c>
    </row>
    <row r="12770" spans="13:16">
      <c r="M12770" s="49">
        <f>IF($A$4+127&gt;$B$4,"",$A$4+127)</f>
        <v>46150</v>
      </c>
      <c r="N12770">
        <f>IF(M12770="","",'Master Barang'!A64)</f>
        <v>0</v>
      </c>
      <c r="O12770">
        <f>IF(N12770="","",'Master Barang'!B64)</f>
        <v>0</v>
      </c>
      <c r="P12770">
        <f>IF(OR(M12770="",N12770=""),"",SUMIFS('Barang Keluar'!$E:$E,'Barang Keluar'!$A:$A,M12770,'Barang Keluar'!$C:$C,N12770))</f>
        <v>0</v>
      </c>
    </row>
    <row r="12771" spans="13:16">
      <c r="M12771" s="49">
        <f>IF($A$4+127&gt;$B$4,"",$A$4+127)</f>
        <v>46150</v>
      </c>
      <c r="N12771">
        <f>IF(M12771="","",'Master Barang'!A65)</f>
        <v>0</v>
      </c>
      <c r="O12771">
        <f>IF(N12771="","",'Master Barang'!B65)</f>
        <v>0</v>
      </c>
      <c r="P12771">
        <f>IF(OR(M12771="",N12771=""),"",SUMIFS('Barang Keluar'!$E:$E,'Barang Keluar'!$A:$A,M12771,'Barang Keluar'!$C:$C,N12771))</f>
        <v>0</v>
      </c>
    </row>
    <row r="12772" spans="13:16">
      <c r="M12772" s="49">
        <f>IF($A$4+127&gt;$B$4,"",$A$4+127)</f>
        <v>46150</v>
      </c>
      <c r="N12772">
        <f>IF(M12772="","",'Master Barang'!A66)</f>
        <v>0</v>
      </c>
      <c r="O12772">
        <f>IF(N12772="","",'Master Barang'!B66)</f>
        <v>0</v>
      </c>
      <c r="P12772">
        <f>IF(OR(M12772="",N12772=""),"",SUMIFS('Barang Keluar'!$E:$E,'Barang Keluar'!$A:$A,M12772,'Barang Keluar'!$C:$C,N12772))</f>
        <v>0</v>
      </c>
    </row>
    <row r="12773" spans="13:16">
      <c r="M12773" s="49">
        <f>IF($A$4+127&gt;$B$4,"",$A$4+127)</f>
        <v>46150</v>
      </c>
      <c r="N12773">
        <f>IF(M12773="","",'Master Barang'!A67)</f>
        <v>0</v>
      </c>
      <c r="O12773">
        <f>IF(N12773="","",'Master Barang'!B67)</f>
        <v>0</v>
      </c>
      <c r="P12773">
        <f>IF(OR(M12773="",N12773=""),"",SUMIFS('Barang Keluar'!$E:$E,'Barang Keluar'!$A:$A,M12773,'Barang Keluar'!$C:$C,N12773))</f>
        <v>0</v>
      </c>
    </row>
    <row r="12774" spans="13:16">
      <c r="M12774" s="49">
        <f>IF($A$4+127&gt;$B$4,"",$A$4+127)</f>
        <v>46150</v>
      </c>
      <c r="N12774">
        <f>IF(M12774="","",'Master Barang'!A68)</f>
        <v>0</v>
      </c>
      <c r="O12774">
        <f>IF(N12774="","",'Master Barang'!B68)</f>
        <v>0</v>
      </c>
      <c r="P12774">
        <f>IF(OR(M12774="",N12774=""),"",SUMIFS('Barang Keluar'!$E:$E,'Barang Keluar'!$A:$A,M12774,'Barang Keluar'!$C:$C,N12774))</f>
        <v>0</v>
      </c>
    </row>
    <row r="12775" spans="13:16">
      <c r="M12775" s="49">
        <f>IF($A$4+127&gt;$B$4,"",$A$4+127)</f>
        <v>46150</v>
      </c>
      <c r="N12775">
        <f>IF(M12775="","",'Master Barang'!A69)</f>
        <v>0</v>
      </c>
      <c r="O12775">
        <f>IF(N12775="","",'Master Barang'!B69)</f>
        <v>0</v>
      </c>
      <c r="P12775">
        <f>IF(OR(M12775="",N12775=""),"",SUMIFS('Barang Keluar'!$E:$E,'Barang Keluar'!$A:$A,M12775,'Barang Keluar'!$C:$C,N12775))</f>
        <v>0</v>
      </c>
    </row>
    <row r="12776" spans="13:16">
      <c r="M12776" s="49">
        <f>IF($A$4+127&gt;$B$4,"",$A$4+127)</f>
        <v>46150</v>
      </c>
      <c r="N12776">
        <f>IF(M12776="","",'Master Barang'!A70)</f>
        <v>0</v>
      </c>
      <c r="O12776">
        <f>IF(N12776="","",'Master Barang'!B70)</f>
        <v>0</v>
      </c>
      <c r="P12776">
        <f>IF(OR(M12776="",N12776=""),"",SUMIFS('Barang Keluar'!$E:$E,'Barang Keluar'!$A:$A,M12776,'Barang Keluar'!$C:$C,N12776))</f>
        <v>0</v>
      </c>
    </row>
    <row r="12777" spans="13:16">
      <c r="M12777" s="49">
        <f>IF($A$4+127&gt;$B$4,"",$A$4+127)</f>
        <v>46150</v>
      </c>
      <c r="N12777">
        <f>IF(M12777="","",'Master Barang'!A71)</f>
        <v>0</v>
      </c>
      <c r="O12777">
        <f>IF(N12777="","",'Master Barang'!B71)</f>
        <v>0</v>
      </c>
      <c r="P12777">
        <f>IF(OR(M12777="",N12777=""),"",SUMIFS('Barang Keluar'!$E:$E,'Barang Keluar'!$A:$A,M12777,'Barang Keluar'!$C:$C,N12777))</f>
        <v>0</v>
      </c>
    </row>
    <row r="12778" spans="13:16">
      <c r="M12778" s="49">
        <f>IF($A$4+127&gt;$B$4,"",$A$4+127)</f>
        <v>46150</v>
      </c>
      <c r="N12778">
        <f>IF(M12778="","",'Master Barang'!A72)</f>
        <v>0</v>
      </c>
      <c r="O12778">
        <f>IF(N12778="","",'Master Barang'!B72)</f>
        <v>0</v>
      </c>
      <c r="P12778">
        <f>IF(OR(M12778="",N12778=""),"",SUMIFS('Barang Keluar'!$E:$E,'Barang Keluar'!$A:$A,M12778,'Barang Keluar'!$C:$C,N12778))</f>
        <v>0</v>
      </c>
    </row>
    <row r="12779" spans="13:16">
      <c r="M12779" s="49">
        <f>IF($A$4+127&gt;$B$4,"",$A$4+127)</f>
        <v>46150</v>
      </c>
      <c r="N12779">
        <f>IF(M12779="","",'Master Barang'!A73)</f>
        <v>0</v>
      </c>
      <c r="O12779">
        <f>IF(N12779="","",'Master Barang'!B73)</f>
        <v>0</v>
      </c>
      <c r="P12779">
        <f>IF(OR(M12779="",N12779=""),"",SUMIFS('Barang Keluar'!$E:$E,'Barang Keluar'!$A:$A,M12779,'Barang Keluar'!$C:$C,N12779))</f>
        <v>0</v>
      </c>
    </row>
    <row r="12780" spans="13:16">
      <c r="M12780" s="49">
        <f>IF($A$4+127&gt;$B$4,"",$A$4+127)</f>
        <v>46150</v>
      </c>
      <c r="N12780">
        <f>IF(M12780="","",'Master Barang'!A74)</f>
        <v>0</v>
      </c>
      <c r="O12780">
        <f>IF(N12780="","",'Master Barang'!B74)</f>
        <v>0</v>
      </c>
      <c r="P12780">
        <f>IF(OR(M12780="",N12780=""),"",SUMIFS('Barang Keluar'!$E:$E,'Barang Keluar'!$A:$A,M12780,'Barang Keluar'!$C:$C,N12780))</f>
        <v>0</v>
      </c>
    </row>
    <row r="12781" spans="13:16">
      <c r="M12781" s="49">
        <f>IF($A$4+127&gt;$B$4,"",$A$4+127)</f>
        <v>46150</v>
      </c>
      <c r="N12781">
        <f>IF(M12781="","",'Master Barang'!A75)</f>
        <v>0</v>
      </c>
      <c r="O12781">
        <f>IF(N12781="","",'Master Barang'!B75)</f>
        <v>0</v>
      </c>
      <c r="P12781">
        <f>IF(OR(M12781="",N12781=""),"",SUMIFS('Barang Keluar'!$E:$E,'Barang Keluar'!$A:$A,M12781,'Barang Keluar'!$C:$C,N12781))</f>
        <v>0</v>
      </c>
    </row>
    <row r="12782" spans="13:16">
      <c r="M12782" s="49">
        <f>IF($A$4+127&gt;$B$4,"",$A$4+127)</f>
        <v>46150</v>
      </c>
      <c r="N12782">
        <f>IF(M12782="","",'Master Barang'!A76)</f>
        <v>0</v>
      </c>
      <c r="O12782">
        <f>IF(N12782="","",'Master Barang'!B76)</f>
        <v>0</v>
      </c>
      <c r="P12782">
        <f>IF(OR(M12782="",N12782=""),"",SUMIFS('Barang Keluar'!$E:$E,'Barang Keluar'!$A:$A,M12782,'Barang Keluar'!$C:$C,N12782))</f>
        <v>0</v>
      </c>
    </row>
    <row r="12783" spans="13:16">
      <c r="M12783" s="49">
        <f>IF($A$4+127&gt;$B$4,"",$A$4+127)</f>
        <v>46150</v>
      </c>
      <c r="N12783">
        <f>IF(M12783="","",'Master Barang'!A77)</f>
        <v>0</v>
      </c>
      <c r="O12783">
        <f>IF(N12783="","",'Master Barang'!B77)</f>
        <v>0</v>
      </c>
      <c r="P12783">
        <f>IF(OR(M12783="",N12783=""),"",SUMIFS('Barang Keluar'!$E:$E,'Barang Keluar'!$A:$A,M12783,'Barang Keluar'!$C:$C,N12783))</f>
        <v>0</v>
      </c>
    </row>
    <row r="12784" spans="13:16">
      <c r="M12784" s="49">
        <f>IF($A$4+127&gt;$B$4,"",$A$4+127)</f>
        <v>46150</v>
      </c>
      <c r="N12784">
        <f>IF(M12784="","",'Master Barang'!A78)</f>
        <v>0</v>
      </c>
      <c r="O12784">
        <f>IF(N12784="","",'Master Barang'!B78)</f>
        <v>0</v>
      </c>
      <c r="P12784">
        <f>IF(OR(M12784="",N12784=""),"",SUMIFS('Barang Keluar'!$E:$E,'Barang Keluar'!$A:$A,M12784,'Barang Keluar'!$C:$C,N12784))</f>
        <v>0</v>
      </c>
    </row>
    <row r="12785" spans="13:16">
      <c r="M12785" s="49">
        <f>IF($A$4+127&gt;$B$4,"",$A$4+127)</f>
        <v>46150</v>
      </c>
      <c r="N12785">
        <f>IF(M12785="","",'Master Barang'!A79)</f>
        <v>0</v>
      </c>
      <c r="O12785">
        <f>IF(N12785="","",'Master Barang'!B79)</f>
        <v>0</v>
      </c>
      <c r="P12785">
        <f>IF(OR(M12785="",N12785=""),"",SUMIFS('Barang Keluar'!$E:$E,'Barang Keluar'!$A:$A,M12785,'Barang Keluar'!$C:$C,N12785))</f>
        <v>0</v>
      </c>
    </row>
    <row r="12786" spans="13:16">
      <c r="M12786" s="49">
        <f>IF($A$4+127&gt;$B$4,"",$A$4+127)</f>
        <v>46150</v>
      </c>
      <c r="N12786">
        <f>IF(M12786="","",'Master Barang'!A80)</f>
        <v>0</v>
      </c>
      <c r="O12786">
        <f>IF(N12786="","",'Master Barang'!B80)</f>
        <v>0</v>
      </c>
      <c r="P12786">
        <f>IF(OR(M12786="",N12786=""),"",SUMIFS('Barang Keluar'!$E:$E,'Barang Keluar'!$A:$A,M12786,'Barang Keluar'!$C:$C,N12786))</f>
        <v>0</v>
      </c>
    </row>
    <row r="12787" spans="13:16">
      <c r="M12787" s="49">
        <f>IF($A$4+127&gt;$B$4,"",$A$4+127)</f>
        <v>46150</v>
      </c>
      <c r="N12787">
        <f>IF(M12787="","",'Master Barang'!A81)</f>
        <v>0</v>
      </c>
      <c r="O12787">
        <f>IF(N12787="","",'Master Barang'!B81)</f>
        <v>0</v>
      </c>
      <c r="P12787">
        <f>IF(OR(M12787="",N12787=""),"",SUMIFS('Barang Keluar'!$E:$E,'Barang Keluar'!$A:$A,M12787,'Barang Keluar'!$C:$C,N12787))</f>
        <v>0</v>
      </c>
    </row>
    <row r="12788" spans="13:16">
      <c r="M12788" s="49">
        <f>IF($A$4+127&gt;$B$4,"",$A$4+127)</f>
        <v>46150</v>
      </c>
      <c r="N12788">
        <f>IF(M12788="","",'Master Barang'!A82)</f>
        <v>0</v>
      </c>
      <c r="O12788">
        <f>IF(N12788="","",'Master Barang'!B82)</f>
        <v>0</v>
      </c>
      <c r="P12788">
        <f>IF(OR(M12788="",N12788=""),"",SUMIFS('Barang Keluar'!$E:$E,'Barang Keluar'!$A:$A,M12788,'Barang Keluar'!$C:$C,N12788))</f>
        <v>0</v>
      </c>
    </row>
    <row r="12789" spans="13:16">
      <c r="M12789" s="49">
        <f>IF($A$4+127&gt;$B$4,"",$A$4+127)</f>
        <v>46150</v>
      </c>
      <c r="N12789">
        <f>IF(M12789="","",'Master Barang'!A83)</f>
        <v>0</v>
      </c>
      <c r="O12789">
        <f>IF(N12789="","",'Master Barang'!B83)</f>
        <v>0</v>
      </c>
      <c r="P12789">
        <f>IF(OR(M12789="",N12789=""),"",SUMIFS('Barang Keluar'!$E:$E,'Barang Keluar'!$A:$A,M12789,'Barang Keluar'!$C:$C,N12789))</f>
        <v>0</v>
      </c>
    </row>
    <row r="12790" spans="13:16">
      <c r="M12790" s="49">
        <f>IF($A$4+127&gt;$B$4,"",$A$4+127)</f>
        <v>46150</v>
      </c>
      <c r="N12790">
        <f>IF(M12790="","",'Master Barang'!A84)</f>
        <v>0</v>
      </c>
      <c r="O12790">
        <f>IF(N12790="","",'Master Barang'!B84)</f>
        <v>0</v>
      </c>
      <c r="P12790">
        <f>IF(OR(M12790="",N12790=""),"",SUMIFS('Barang Keluar'!$E:$E,'Barang Keluar'!$A:$A,M12790,'Barang Keluar'!$C:$C,N12790))</f>
        <v>0</v>
      </c>
    </row>
    <row r="12791" spans="13:16">
      <c r="M12791" s="49">
        <f>IF($A$4+127&gt;$B$4,"",$A$4+127)</f>
        <v>46150</v>
      </c>
      <c r="N12791">
        <f>IF(M12791="","",'Master Barang'!A85)</f>
        <v>0</v>
      </c>
      <c r="O12791">
        <f>IF(N12791="","",'Master Barang'!B85)</f>
        <v>0</v>
      </c>
      <c r="P12791">
        <f>IF(OR(M12791="",N12791=""),"",SUMIFS('Barang Keluar'!$E:$E,'Barang Keluar'!$A:$A,M12791,'Barang Keluar'!$C:$C,N12791))</f>
        <v>0</v>
      </c>
    </row>
    <row r="12792" spans="13:16">
      <c r="M12792" s="49">
        <f>IF($A$4+127&gt;$B$4,"",$A$4+127)</f>
        <v>46150</v>
      </c>
      <c r="N12792">
        <f>IF(M12792="","",'Master Barang'!A86)</f>
        <v>0</v>
      </c>
      <c r="O12792">
        <f>IF(N12792="","",'Master Barang'!B86)</f>
        <v>0</v>
      </c>
      <c r="P12792">
        <f>IF(OR(M12792="",N12792=""),"",SUMIFS('Barang Keluar'!$E:$E,'Barang Keluar'!$A:$A,M12792,'Barang Keluar'!$C:$C,N12792))</f>
        <v>0</v>
      </c>
    </row>
    <row r="12793" spans="13:16">
      <c r="M12793" s="49">
        <f>IF($A$4+127&gt;$B$4,"",$A$4+127)</f>
        <v>46150</v>
      </c>
      <c r="N12793">
        <f>IF(M12793="","",'Master Barang'!A87)</f>
        <v>0</v>
      </c>
      <c r="O12793">
        <f>IF(N12793="","",'Master Barang'!B87)</f>
        <v>0</v>
      </c>
      <c r="P12793">
        <f>IF(OR(M12793="",N12793=""),"",SUMIFS('Barang Keluar'!$E:$E,'Barang Keluar'!$A:$A,M12793,'Barang Keluar'!$C:$C,N12793))</f>
        <v>0</v>
      </c>
    </row>
    <row r="12794" spans="13:16">
      <c r="M12794" s="49">
        <f>IF($A$4+127&gt;$B$4,"",$A$4+127)</f>
        <v>46150</v>
      </c>
      <c r="N12794">
        <f>IF(M12794="","",'Master Barang'!A88)</f>
        <v>0</v>
      </c>
      <c r="O12794">
        <f>IF(N12794="","",'Master Barang'!B88)</f>
        <v>0</v>
      </c>
      <c r="P12794">
        <f>IF(OR(M12794="",N12794=""),"",SUMIFS('Barang Keluar'!$E:$E,'Barang Keluar'!$A:$A,M12794,'Barang Keluar'!$C:$C,N12794))</f>
        <v>0</v>
      </c>
    </row>
    <row r="12795" spans="13:16">
      <c r="M12795" s="49">
        <f>IF($A$4+127&gt;$B$4,"",$A$4+127)</f>
        <v>46150</v>
      </c>
      <c r="N12795">
        <f>IF(M12795="","",'Master Barang'!A89)</f>
        <v>0</v>
      </c>
      <c r="O12795">
        <f>IF(N12795="","",'Master Barang'!B89)</f>
        <v>0</v>
      </c>
      <c r="P12795">
        <f>IF(OR(M12795="",N12795=""),"",SUMIFS('Barang Keluar'!$E:$E,'Barang Keluar'!$A:$A,M12795,'Barang Keluar'!$C:$C,N12795))</f>
        <v>0</v>
      </c>
    </row>
    <row r="12796" spans="13:16">
      <c r="M12796" s="49">
        <f>IF($A$4+127&gt;$B$4,"",$A$4+127)</f>
        <v>46150</v>
      </c>
      <c r="N12796">
        <f>IF(M12796="","",'Master Barang'!A90)</f>
        <v>0</v>
      </c>
      <c r="O12796">
        <f>IF(N12796="","",'Master Barang'!B90)</f>
        <v>0</v>
      </c>
      <c r="P12796">
        <f>IF(OR(M12796="",N12796=""),"",SUMIFS('Barang Keluar'!$E:$E,'Barang Keluar'!$A:$A,M12796,'Barang Keluar'!$C:$C,N12796))</f>
        <v>0</v>
      </c>
    </row>
    <row r="12797" spans="13:16">
      <c r="M12797" s="49">
        <f>IF($A$4+127&gt;$B$4,"",$A$4+127)</f>
        <v>46150</v>
      </c>
      <c r="N12797">
        <f>IF(M12797="","",'Master Barang'!A91)</f>
        <v>0</v>
      </c>
      <c r="O12797">
        <f>IF(N12797="","",'Master Barang'!B91)</f>
        <v>0</v>
      </c>
      <c r="P12797">
        <f>IF(OR(M12797="",N12797=""),"",SUMIFS('Barang Keluar'!$E:$E,'Barang Keluar'!$A:$A,M12797,'Barang Keluar'!$C:$C,N12797))</f>
        <v>0</v>
      </c>
    </row>
    <row r="12798" spans="13:16">
      <c r="M12798" s="49">
        <f>IF($A$4+127&gt;$B$4,"",$A$4+127)</f>
        <v>46150</v>
      </c>
      <c r="N12798">
        <f>IF(M12798="","",'Master Barang'!A92)</f>
        <v>0</v>
      </c>
      <c r="O12798">
        <f>IF(N12798="","",'Master Barang'!B92)</f>
        <v>0</v>
      </c>
      <c r="P12798">
        <f>IF(OR(M12798="",N12798=""),"",SUMIFS('Barang Keluar'!$E:$E,'Barang Keluar'!$A:$A,M12798,'Barang Keluar'!$C:$C,N12798))</f>
        <v>0</v>
      </c>
    </row>
    <row r="12799" spans="13:16">
      <c r="M12799" s="49">
        <f>IF($A$4+127&gt;$B$4,"",$A$4+127)</f>
        <v>46150</v>
      </c>
      <c r="N12799">
        <f>IF(M12799="","",'Master Barang'!A93)</f>
        <v>0</v>
      </c>
      <c r="O12799">
        <f>IF(N12799="","",'Master Barang'!B93)</f>
        <v>0</v>
      </c>
      <c r="P12799">
        <f>IF(OR(M12799="",N12799=""),"",SUMIFS('Barang Keluar'!$E:$E,'Barang Keluar'!$A:$A,M12799,'Barang Keluar'!$C:$C,N12799))</f>
        <v>0</v>
      </c>
    </row>
    <row r="12800" spans="13:16">
      <c r="M12800" s="49">
        <f>IF($A$4+127&gt;$B$4,"",$A$4+127)</f>
        <v>46150</v>
      </c>
      <c r="N12800">
        <f>IF(M12800="","",'Master Barang'!A94)</f>
        <v>0</v>
      </c>
      <c r="O12800">
        <f>IF(N12800="","",'Master Barang'!B94)</f>
        <v>0</v>
      </c>
      <c r="P12800">
        <f>IF(OR(M12800="",N12800=""),"",SUMIFS('Barang Keluar'!$E:$E,'Barang Keluar'!$A:$A,M12800,'Barang Keluar'!$C:$C,N12800))</f>
        <v>0</v>
      </c>
    </row>
    <row r="12801" spans="13:16">
      <c r="M12801" s="49">
        <f>IF($A$4+127&gt;$B$4,"",$A$4+127)</f>
        <v>46150</v>
      </c>
      <c r="N12801">
        <f>IF(M12801="","",'Master Barang'!A95)</f>
        <v>0</v>
      </c>
      <c r="O12801">
        <f>IF(N12801="","",'Master Barang'!B95)</f>
        <v>0</v>
      </c>
      <c r="P12801">
        <f>IF(OR(M12801="",N12801=""),"",SUMIFS('Barang Keluar'!$E:$E,'Barang Keluar'!$A:$A,M12801,'Barang Keluar'!$C:$C,N12801))</f>
        <v>0</v>
      </c>
    </row>
    <row r="12802" spans="13:16">
      <c r="M12802" s="49">
        <f>IF($A$4+127&gt;$B$4,"",$A$4+127)</f>
        <v>46150</v>
      </c>
      <c r="N12802">
        <f>IF(M12802="","",'Master Barang'!A96)</f>
        <v>0</v>
      </c>
      <c r="O12802">
        <f>IF(N12802="","",'Master Barang'!B96)</f>
        <v>0</v>
      </c>
      <c r="P12802">
        <f>IF(OR(M12802="",N12802=""),"",SUMIFS('Barang Keluar'!$E:$E,'Barang Keluar'!$A:$A,M12802,'Barang Keluar'!$C:$C,N12802))</f>
        <v>0</v>
      </c>
    </row>
    <row r="12803" spans="13:16">
      <c r="M12803" s="49">
        <f>IF($A$4+127&gt;$B$4,"",$A$4+127)</f>
        <v>46150</v>
      </c>
      <c r="N12803">
        <f>IF(M12803="","",'Master Barang'!A97)</f>
        <v>0</v>
      </c>
      <c r="O12803">
        <f>IF(N12803="","",'Master Barang'!B97)</f>
        <v>0</v>
      </c>
      <c r="P12803">
        <f>IF(OR(M12803="",N12803=""),"",SUMIFS('Barang Keluar'!$E:$E,'Barang Keluar'!$A:$A,M12803,'Barang Keluar'!$C:$C,N12803))</f>
        <v>0</v>
      </c>
    </row>
    <row r="12804" spans="13:16">
      <c r="M12804" s="49">
        <f>IF($A$4+127&gt;$B$4,"",$A$4+127)</f>
        <v>46150</v>
      </c>
      <c r="N12804">
        <f>IF(M12804="","",'Master Barang'!A98)</f>
        <v>0</v>
      </c>
      <c r="O12804">
        <f>IF(N12804="","",'Master Barang'!B98)</f>
        <v>0</v>
      </c>
      <c r="P12804">
        <f>IF(OR(M12804="",N12804=""),"",SUMIFS('Barang Keluar'!$E:$E,'Barang Keluar'!$A:$A,M12804,'Barang Keluar'!$C:$C,N12804))</f>
        <v>0</v>
      </c>
    </row>
    <row r="12805" spans="13:16">
      <c r="M12805" s="49">
        <f>IF($A$4+127&gt;$B$4,"",$A$4+127)</f>
        <v>46150</v>
      </c>
      <c r="N12805">
        <f>IF(M12805="","",'Master Barang'!A99)</f>
        <v>0</v>
      </c>
      <c r="O12805">
        <f>IF(N12805="","",'Master Barang'!B99)</f>
        <v>0</v>
      </c>
      <c r="P12805">
        <f>IF(OR(M12805="",N12805=""),"",SUMIFS('Barang Keluar'!$E:$E,'Barang Keluar'!$A:$A,M12805,'Barang Keluar'!$C:$C,N12805))</f>
        <v>0</v>
      </c>
    </row>
    <row r="12806" spans="13:16">
      <c r="M12806" s="49">
        <f>IF($A$4+127&gt;$B$4,"",$A$4+127)</f>
        <v>46150</v>
      </c>
      <c r="N12806">
        <f>IF(M12806="","",'Master Barang'!A100)</f>
        <v>0</v>
      </c>
      <c r="O12806">
        <f>IF(N12806="","",'Master Barang'!B100)</f>
        <v>0</v>
      </c>
      <c r="P12806">
        <f>IF(OR(M12806="",N12806=""),"",SUMIFS('Barang Keluar'!$E:$E,'Barang Keluar'!$A:$A,M12806,'Barang Keluar'!$C:$C,N12806))</f>
        <v>0</v>
      </c>
    </row>
    <row r="12807" spans="13:16">
      <c r="M12807" s="49">
        <f>IF($A$4+127&gt;$B$4,"",$A$4+127)</f>
        <v>46150</v>
      </c>
      <c r="N12807">
        <f>IF(M12807="","",'Master Barang'!A101)</f>
        <v>0</v>
      </c>
      <c r="O12807">
        <f>IF(N12807="","",'Master Barang'!B101)</f>
        <v>0</v>
      </c>
      <c r="P12807">
        <f>IF(OR(M12807="",N12807=""),"",SUMIFS('Barang Keluar'!$E:$E,'Barang Keluar'!$A:$A,M12807,'Barang Keluar'!$C:$C,N12807))</f>
        <v>0</v>
      </c>
    </row>
    <row r="12808" spans="13:16">
      <c r="M12808" s="49">
        <f>IF($A$4+128&gt;$B$4,"",$A$4+128)</f>
        <v>46151</v>
      </c>
      <c r="N12808" t="str">
        <f>IF(M12808="","",'Master Barang'!A2)</f>
        <v>PRL-001</v>
      </c>
      <c r="O12808" t="str">
        <f>IF(N12808="","",'Master Barang'!B2)</f>
        <v>natura desinfectant food grade 5l</v>
      </c>
      <c r="P12808">
        <f>IF(OR(M12808="",N12808=""),"",SUMIFS('Barang Keluar'!$E:$E,'Barang Keluar'!$A:$A,M12808,'Barang Keluar'!$C:$C,N12808))</f>
        <v>0</v>
      </c>
    </row>
    <row r="12809" spans="13:16">
      <c r="M12809" s="49">
        <f>IF($A$4+128&gt;$B$4,"",$A$4+128)</f>
        <v>46151</v>
      </c>
      <c r="N12809" t="str">
        <f>IF(M12809="","",'Master Barang'!A3)</f>
        <v>PRL-002</v>
      </c>
      <c r="O12809" t="str">
        <f>IF(N12809="","",'Master Barang'!B3)</f>
        <v>sunlight cairan pencuci piring 5l</v>
      </c>
      <c r="P12809">
        <f>IF(OR(M12809="",N12809=""),"",SUMIFS('Barang Keluar'!$E:$E,'Barang Keluar'!$A:$A,M12809,'Barang Keluar'!$C:$C,N12809))</f>
        <v>0</v>
      </c>
    </row>
    <row r="12810" spans="13:16">
      <c r="M12810" s="49">
        <f>IF($A$4+128&gt;$B$4,"",$A$4+128)</f>
        <v>46151</v>
      </c>
      <c r="N12810" t="str">
        <f>IF(M12810="","",'Master Barang'!A4)</f>
        <v>PRL-003</v>
      </c>
      <c r="O12810" t="str">
        <f>IF(N12810="","",'Master Barang'!B4)</f>
        <v>oixs cleaner 1l</v>
      </c>
      <c r="P12810">
        <f>IF(OR(M12810="",N12810=""),"",SUMIFS('Barang Keluar'!$E:$E,'Barang Keluar'!$A:$A,M12810,'Barang Keluar'!$C:$C,N12810))</f>
        <v>0</v>
      </c>
    </row>
    <row r="12811" spans="13:16">
      <c r="M12811" s="49">
        <f>IF($A$4+128&gt;$B$4,"",$A$4+128)</f>
        <v>46151</v>
      </c>
      <c r="N12811" t="str">
        <f>IF(M12811="","",'Master Barang'!A5)</f>
        <v>PRL-004</v>
      </c>
      <c r="O12811" t="str">
        <f>IF(N12811="","",'Master Barang'!B5)</f>
        <v>be clean tissue serbaguna</v>
      </c>
      <c r="P12811">
        <f>IF(OR(M12811="",N12811=""),"",SUMIFS('Barang Keluar'!$E:$E,'Barang Keluar'!$A:$A,M12811,'Barang Keluar'!$C:$C,N12811))</f>
        <v>0</v>
      </c>
    </row>
    <row r="12812" spans="13:16">
      <c r="M12812" s="49">
        <f>IF($A$4+128&gt;$B$4,"",$A$4+128)</f>
        <v>46151</v>
      </c>
      <c r="N12812" t="str">
        <f>IF(M12812="","",'Master Barang'!A6)</f>
        <v>PRL-005</v>
      </c>
      <c r="O12812" t="str">
        <f>IF(N12812="","",'Master Barang'!B6)</f>
        <v>spons cuci hijau</v>
      </c>
      <c r="P12812">
        <f>IF(OR(M12812="",N12812=""),"",SUMIFS('Barang Keluar'!$E:$E,'Barang Keluar'!$A:$A,M12812,'Barang Keluar'!$C:$C,N12812))</f>
        <v>0</v>
      </c>
    </row>
    <row r="12813" spans="13:16">
      <c r="M12813" s="49">
        <f>IF($A$4+128&gt;$B$4,"",$A$4+128)</f>
        <v>46151</v>
      </c>
      <c r="N12813" t="str">
        <f>IF(M12813="","",'Master Barang'!A7)</f>
        <v>PRL-006</v>
      </c>
      <c r="O12813" t="str">
        <f>IF(N12813="","",'Master Barang'!B7)</f>
        <v>sabut cuci stainless</v>
      </c>
      <c r="P12813">
        <f>IF(OR(M12813="",N12813=""),"",SUMIFS('Barang Keluar'!$E:$E,'Barang Keluar'!$A:$A,M12813,'Barang Keluar'!$C:$C,N12813))</f>
        <v>0</v>
      </c>
    </row>
    <row r="12814" spans="13:16">
      <c r="M12814" s="49">
        <f>IF($A$4+128&gt;$B$4,"",$A$4+128)</f>
        <v>46151</v>
      </c>
      <c r="N12814" t="str">
        <f>IF(M12814="","",'Master Barang'!A8)</f>
        <v>PRL-007</v>
      </c>
      <c r="O12814" t="str">
        <f>IF(N12814="","",'Master Barang'!B8)</f>
        <v>plastik kresek besar merah 50pc</v>
      </c>
      <c r="P12814">
        <f>IF(OR(M12814="",N12814=""),"",SUMIFS('Barang Keluar'!$E:$E,'Barang Keluar'!$A:$A,M12814,'Barang Keluar'!$C:$C,N12814))</f>
        <v>0</v>
      </c>
    </row>
    <row r="12815" spans="13:16">
      <c r="M12815" s="49">
        <f>IF($A$4+128&gt;$B$4,"",$A$4+128)</f>
        <v>46151</v>
      </c>
      <c r="N12815" t="str">
        <f>IF(M12815="","",'Master Barang'!A9)</f>
        <v>PRL-008</v>
      </c>
      <c r="O12815" t="str">
        <f>IF(N12815="","",'Master Barang'!B9)</f>
        <v>lap besar</v>
      </c>
      <c r="P12815">
        <f>IF(OR(M12815="",N12815=""),"",SUMIFS('Barang Keluar'!$E:$E,'Barang Keluar'!$A:$A,M12815,'Barang Keluar'!$C:$C,N12815))</f>
        <v>0</v>
      </c>
    </row>
    <row r="12816" spans="13:16">
      <c r="M12816" s="49">
        <f>IF($A$4+128&gt;$B$4,"",$A$4+128)</f>
        <v>46151</v>
      </c>
      <c r="N12816" t="str">
        <f>IF(M12816="","",'Master Barang'!A10)</f>
        <v>PRL-009</v>
      </c>
      <c r="O12816" t="str">
        <f>IF(N12816="","",'Master Barang'!B10)</f>
        <v>lap microfiber</v>
      </c>
      <c r="P12816">
        <f>IF(OR(M12816="",N12816=""),"",SUMIFS('Barang Keluar'!$E:$E,'Barang Keluar'!$A:$A,M12816,'Barang Keluar'!$C:$C,N12816))</f>
        <v>0</v>
      </c>
    </row>
    <row r="12817" spans="13:16">
      <c r="M12817" s="49">
        <f>IF($A$4+128&gt;$B$4,"",$A$4+128)</f>
        <v>46151</v>
      </c>
      <c r="N12817" t="str">
        <f>IF(M12817="","",'Master Barang'!A11)</f>
        <v>PRL-010</v>
      </c>
      <c r="O12817" t="str">
        <f>IF(N12817="","",'Master Barang'!B11)</f>
        <v>lap kecil</v>
      </c>
      <c r="P12817">
        <f>IF(OR(M12817="",N12817=""),"",SUMIFS('Barang Keluar'!$E:$E,'Barang Keluar'!$A:$A,M12817,'Barang Keluar'!$C:$C,N12817))</f>
        <v>0</v>
      </c>
    </row>
    <row r="12818" spans="13:16">
      <c r="M12818" s="49">
        <f>IF($A$4+128&gt;$B$4,"",$A$4+128)</f>
        <v>46151</v>
      </c>
      <c r="N12818" t="str">
        <f>IF(M12818="","",'Master Barang'!A12)</f>
        <v>PRL-011</v>
      </c>
      <c r="O12818" t="str">
        <f>IF(N12818="","",'Master Barang'!B12)</f>
        <v>kanebo kecil</v>
      </c>
      <c r="P12818">
        <f>IF(OR(M12818="",N12818=""),"",SUMIFS('Barang Keluar'!$E:$E,'Barang Keluar'!$A:$A,M12818,'Barang Keluar'!$C:$C,N12818))</f>
        <v>0</v>
      </c>
    </row>
    <row r="12819" spans="13:16">
      <c r="M12819" s="49">
        <f>IF($A$4+128&gt;$B$4,"",$A$4+128)</f>
        <v>46151</v>
      </c>
      <c r="N12819" t="str">
        <f>IF(M12819="","",'Master Barang'!A13)</f>
        <v>PRL-012</v>
      </c>
      <c r="O12819" t="str">
        <f>IF(N12819="","",'Master Barang'!B13)</f>
        <v>plastik 1/4kg joyoboyo 100 lembar</v>
      </c>
      <c r="P12819">
        <f>IF(OR(M12819="",N12819=""),"",SUMIFS('Barang Keluar'!$E:$E,'Barang Keluar'!$A:$A,M12819,'Barang Keluar'!$C:$C,N12819))</f>
        <v>0</v>
      </c>
    </row>
    <row r="12820" spans="13:16">
      <c r="M12820" s="49">
        <f>IF($A$4+128&gt;$B$4,"",$A$4+128)</f>
        <v>46151</v>
      </c>
      <c r="N12820" t="str">
        <f>IF(M12820="","",'Master Barang'!A14)</f>
        <v>PRL-013</v>
      </c>
      <c r="O12820" t="str">
        <f>IF(N12820="","",'Master Barang'!B14)</f>
        <v>sarung tangan plastik kaka 100 pcs</v>
      </c>
      <c r="P12820">
        <f>IF(OR(M12820="",N12820=""),"",SUMIFS('Barang Keluar'!$E:$E,'Barang Keluar'!$A:$A,M12820,'Barang Keluar'!$C:$C,N12820))</f>
        <v>0</v>
      </c>
    </row>
    <row r="12821" spans="13:16">
      <c r="M12821" s="49">
        <f>IF($A$4+128&gt;$B$4,"",$A$4+128)</f>
        <v>46151</v>
      </c>
      <c r="N12821" t="str">
        <f>IF(M12821="","",'Master Barang'!A15)</f>
        <v>PRL-014</v>
      </c>
      <c r="O12821" t="str">
        <f>IF(N12821="","",'Master Barang'!B15)</f>
        <v>optima trashbag 80x100</v>
      </c>
      <c r="P12821">
        <f>IF(OR(M12821="",N12821=""),"",SUMIFS('Barang Keluar'!$E:$E,'Barang Keluar'!$A:$A,M12821,'Barang Keluar'!$C:$C,N12821))</f>
        <v>0</v>
      </c>
    </row>
    <row r="12822" spans="13:16">
      <c r="M12822" s="49">
        <f>IF($A$4+128&gt;$B$4,"",$A$4+128)</f>
        <v>46151</v>
      </c>
      <c r="N12822" t="str">
        <f>IF(M12822="","",'Master Barang'!A16)</f>
        <v>PRL-015</v>
      </c>
      <c r="O12822" t="str">
        <f>IF(N12822="","",'Master Barang'!B16)</f>
        <v>optima trashbag 60x100</v>
      </c>
      <c r="P12822">
        <f>IF(OR(M12822="",N12822=""),"",SUMIFS('Barang Keluar'!$E:$E,'Barang Keluar'!$A:$A,M12822,'Barang Keluar'!$C:$C,N12822))</f>
        <v>0</v>
      </c>
    </row>
    <row r="12823" spans="13:16">
      <c r="M12823" s="49">
        <f>IF($A$4+128&gt;$B$4,"",$A$4+128)</f>
        <v>46151</v>
      </c>
      <c r="N12823" t="str">
        <f>IF(M12823="","",'Master Barang'!A17)</f>
        <v>PRL-016</v>
      </c>
      <c r="O12823" t="str">
        <f>IF(N12823="","",'Master Barang'!B17)</f>
        <v>rajawali trashbag 30x40</v>
      </c>
      <c r="P12823">
        <f>IF(OR(M12823="",N12823=""),"",SUMIFS('Barang Keluar'!$E:$E,'Barang Keluar'!$A:$A,M12823,'Barang Keluar'!$C:$C,N12823))</f>
        <v>0</v>
      </c>
    </row>
    <row r="12824" spans="13:16">
      <c r="M12824" s="49">
        <f>IF($A$4+128&gt;$B$4,"",$A$4+128)</f>
        <v>46151</v>
      </c>
      <c r="N12824" t="str">
        <f>IF(M12824="","",'Master Barang'!A18)</f>
        <v>PRL-017</v>
      </c>
      <c r="O12824" t="str">
        <f>IF(N12824="","",'Master Barang'!B18)</f>
        <v>onemed masker biru 3 play 50 pcs</v>
      </c>
      <c r="P12824">
        <f>IF(OR(M12824="",N12824=""),"",SUMIFS('Barang Keluar'!$E:$E,'Barang Keluar'!$A:$A,M12824,'Barang Keluar'!$C:$C,N12824))</f>
        <v>0</v>
      </c>
    </row>
    <row r="12825" spans="13:16">
      <c r="M12825" s="49">
        <f>IF($A$4+128&gt;$B$4,"",$A$4+128)</f>
        <v>46151</v>
      </c>
      <c r="N12825" t="str">
        <f>IF(M12825="","",'Master Barang'!A19)</f>
        <v>PRL-018</v>
      </c>
      <c r="O12825" t="str">
        <f>IF(N12825="","",'Master Barang'!B19)</f>
        <v>onemed masker biru 3 play hijab 50 pcs</v>
      </c>
      <c r="P12825">
        <f>IF(OR(M12825="",N12825=""),"",SUMIFS('Barang Keluar'!$E:$E,'Barang Keluar'!$A:$A,M12825,'Barang Keluar'!$C:$C,N12825))</f>
        <v>0</v>
      </c>
    </row>
    <row r="12826" spans="13:16">
      <c r="M12826" s="49">
        <f>IF($A$4+128&gt;$B$4,"",$A$4+128)</f>
        <v>46151</v>
      </c>
      <c r="N12826" t="str">
        <f>IF(M12826="","",'Master Barang'!A20)</f>
        <v>PRL-019</v>
      </c>
      <c r="O12826" t="str">
        <f>IF(N12826="","",'Master Barang'!B20)</f>
        <v>neo health masker biru 3 play 50 pcs</v>
      </c>
      <c r="P12826">
        <f>IF(OR(M12826="",N12826=""),"",SUMIFS('Barang Keluar'!$E:$E,'Barang Keluar'!$A:$A,M12826,'Barang Keluar'!$C:$C,N12826))</f>
        <v>0</v>
      </c>
    </row>
    <row r="12827" spans="13:16">
      <c r="M12827" s="49">
        <f>IF($A$4+128&gt;$B$4,"",$A$4+128)</f>
        <v>46151</v>
      </c>
      <c r="N12827" t="str">
        <f>IF(M12827="","",'Master Barang'!A21)</f>
        <v>PRL-020</v>
      </c>
      <c r="O12827" t="str">
        <f>IF(N12827="","",'Master Barang'!B21)</f>
        <v>baymed masker hijau 3 play hijau 50 pcs</v>
      </c>
      <c r="P12827">
        <f>IF(OR(M12827="",N12827=""),"",SUMIFS('Barang Keluar'!$E:$E,'Barang Keluar'!$A:$A,M12827,'Barang Keluar'!$C:$C,N12827))</f>
        <v>0</v>
      </c>
    </row>
    <row r="12828" spans="13:16">
      <c r="M12828" s="49">
        <f>IF($A$4+128&gt;$B$4,"",$A$4+128)</f>
        <v>46151</v>
      </c>
      <c r="N12828" t="str">
        <f>IF(M12828="","",'Master Barang'!A22)</f>
        <v>PRL-021</v>
      </c>
      <c r="O12828" t="str">
        <f>IF(N12828="","",'Master Barang'!B22)</f>
        <v>altamed nurse cap penutup kepala 100 pcs</v>
      </c>
      <c r="P12828">
        <f>IF(OR(M12828="",N12828=""),"",SUMIFS('Barang Keluar'!$E:$E,'Barang Keluar'!$A:$A,M12828,'Barang Keluar'!$C:$C,N12828))</f>
        <v>0</v>
      </c>
    </row>
    <row r="12829" spans="13:16">
      <c r="M12829" s="49">
        <f>IF($A$4+128&gt;$B$4,"",$A$4+128)</f>
        <v>46151</v>
      </c>
      <c r="N12829" t="str">
        <f>IF(M12829="","",'Master Barang'!A23)</f>
        <v>PRL-022</v>
      </c>
      <c r="O12829" t="str">
        <f>IF(N12829="","",'Master Barang'!B23)</f>
        <v>sabun cuci tangan</v>
      </c>
      <c r="P12829">
        <f>IF(OR(M12829="",N12829=""),"",SUMIFS('Barang Keluar'!$E:$E,'Barang Keluar'!$A:$A,M12829,'Barang Keluar'!$C:$C,N12829))</f>
        <v>0</v>
      </c>
    </row>
    <row r="12830" spans="13:16">
      <c r="M12830" s="49">
        <f>IF($A$4+128&gt;$B$4,"",$A$4+128)</f>
        <v>46151</v>
      </c>
      <c r="N12830" t="str">
        <f>IF(M12830="","",'Master Barang'!A24)</f>
        <v>PRL-023</v>
      </c>
      <c r="O12830" t="str">
        <f>IF(N12830="","",'Master Barang'!B24)</f>
        <v>gayung kecil</v>
      </c>
      <c r="P12830">
        <f>IF(OR(M12830="",N12830=""),"",SUMIFS('Barang Keluar'!$E:$E,'Barang Keluar'!$A:$A,M12830,'Barang Keluar'!$C:$C,N12830))</f>
        <v>0</v>
      </c>
    </row>
    <row r="12831" spans="13:16">
      <c r="M12831" s="49">
        <f>IF($A$4+128&gt;$B$4,"",$A$4+128)</f>
        <v>46151</v>
      </c>
      <c r="N12831" t="str">
        <f>IF(M12831="","",'Master Barang'!A25)</f>
        <v>PRL-024</v>
      </c>
      <c r="O12831" t="str">
        <f>IF(N12831="","",'Master Barang'!B25)</f>
        <v>cikrak kecil</v>
      </c>
      <c r="P12831">
        <f>IF(OR(M12831="",N12831=""),"",SUMIFS('Barang Keluar'!$E:$E,'Barang Keluar'!$A:$A,M12831,'Barang Keluar'!$C:$C,N12831))</f>
        <v>0</v>
      </c>
    </row>
    <row r="12832" spans="13:16">
      <c r="M12832" s="49">
        <f>IF($A$4+128&gt;$B$4,"",$A$4+128)</f>
        <v>46151</v>
      </c>
      <c r="N12832" t="str">
        <f>IF(M12832="","",'Master Barang'!A26)</f>
        <v>PRL-025</v>
      </c>
      <c r="O12832" t="str">
        <f>IF(N12832="","",'Master Barang'!B26)</f>
        <v>petromax plastik kecil 12x24 100 lembar</v>
      </c>
      <c r="P12832">
        <f>IF(OR(M12832="",N12832=""),"",SUMIFS('Barang Keluar'!$E:$E,'Barang Keluar'!$A:$A,M12832,'Barang Keluar'!$C:$C,N12832))</f>
        <v>0</v>
      </c>
    </row>
    <row r="12833" spans="13:16">
      <c r="M12833" s="49">
        <f>IF($A$4+128&gt;$B$4,"",$A$4+128)</f>
        <v>46151</v>
      </c>
      <c r="N12833" t="str">
        <f>IF(M12833="","",'Master Barang'!A27)</f>
        <v>PRL-026</v>
      </c>
      <c r="O12833" t="str">
        <f>IF(N12833="","",'Master Barang'!B27)</f>
        <v>lancar kresek kecil bening </v>
      </c>
      <c r="P12833">
        <f>IF(OR(M12833="",N12833=""),"",SUMIFS('Barang Keluar'!$E:$E,'Barang Keluar'!$A:$A,M12833,'Barang Keluar'!$C:$C,N12833))</f>
        <v>0</v>
      </c>
    </row>
    <row r="12834" spans="13:16">
      <c r="M12834" s="49">
        <f>IF($A$4+128&gt;$B$4,"",$A$4+128)</f>
        <v>46151</v>
      </c>
      <c r="N12834" t="str">
        <f>IF(M12834="","",'Master Barang'!A28)</f>
        <v>PRL-027</v>
      </c>
      <c r="O12834" t="str">
        <f>IF(N12834="","",'Master Barang'!B28)</f>
        <v>kresek klin warna warni kecil</v>
      </c>
      <c r="P12834">
        <f>IF(OR(M12834="",N12834=""),"",SUMIFS('Barang Keluar'!$E:$E,'Barang Keluar'!$A:$A,M12834,'Barang Keluar'!$C:$C,N12834))</f>
        <v>0</v>
      </c>
    </row>
    <row r="12835" spans="13:16">
      <c r="M12835" s="49">
        <f>IF($A$4+128&gt;$B$4,"",$A$4+128)</f>
        <v>46151</v>
      </c>
      <c r="N12835" t="str">
        <f>IF(M12835="","",'Master Barang'!A29)</f>
        <v>PRL-028</v>
      </c>
      <c r="O12835" t="str">
        <f>IF(N12835="","",'Master Barang'!B29)</f>
        <v>ctik plastik 7x10 100 pcs</v>
      </c>
      <c r="P12835">
        <f>IF(OR(M12835="",N12835=""),"",SUMIFS('Barang Keluar'!$E:$E,'Barang Keluar'!$A:$A,M12835,'Barang Keluar'!$C:$C,N12835))</f>
        <v>0</v>
      </c>
    </row>
    <row r="12836" spans="13:16">
      <c r="M12836" s="49">
        <f>IF($A$4+128&gt;$B$4,"",$A$4+128)</f>
        <v>46151</v>
      </c>
      <c r="N12836" t="str">
        <f>IF(M12836="","",'Master Barang'!A30)</f>
        <v>PRL-029</v>
      </c>
      <c r="O12836" t="str">
        <f>IF(N12836="","",'Master Barang'!B30)</f>
        <v>ctik plastik 6x10 100 pcs</v>
      </c>
      <c r="P12836">
        <f>IF(OR(M12836="",N12836=""),"",SUMIFS('Barang Keluar'!$E:$E,'Barang Keluar'!$A:$A,M12836,'Barang Keluar'!$C:$C,N12836))</f>
        <v>0</v>
      </c>
    </row>
    <row r="12837" spans="13:16">
      <c r="M12837" s="49">
        <f>IF($A$4+128&gt;$B$4,"",$A$4+128)</f>
        <v>46151</v>
      </c>
      <c r="N12837" t="str">
        <f>IF(M12837="","",'Master Barang'!A31)</f>
        <v>PRL-030</v>
      </c>
      <c r="O12837" t="str">
        <f>IF(N12837="","",'Master Barang'!B31)</f>
        <v>klip plastik 25x16 100 pcs</v>
      </c>
      <c r="P12837">
        <f>IF(OR(M12837="",N12837=""),"",SUMIFS('Barang Keluar'!$E:$E,'Barang Keluar'!$A:$A,M12837,'Barang Keluar'!$C:$C,N12837))</f>
        <v>0</v>
      </c>
    </row>
    <row r="12838" spans="13:16">
      <c r="M12838" s="49">
        <f>IF($A$4+128&gt;$B$4,"",$A$4+128)</f>
        <v>46151</v>
      </c>
      <c r="N12838" t="str">
        <f>IF(M12838="","",'Master Barang'!A32)</f>
        <v>PRL-031</v>
      </c>
      <c r="O12838" t="str">
        <f>IF(N12838="","",'Master Barang'!B32)</f>
        <v>tempat saus 20 ml</v>
      </c>
      <c r="P12838">
        <f>IF(OR(M12838="",N12838=""),"",SUMIFS('Barang Keluar'!$E:$E,'Barang Keluar'!$A:$A,M12838,'Barang Keluar'!$C:$C,N12838))</f>
        <v>0</v>
      </c>
    </row>
    <row r="12839" spans="13:16">
      <c r="M12839" s="49">
        <f>IF($A$4+128&gt;$B$4,"",$A$4+128)</f>
        <v>46151</v>
      </c>
      <c r="N12839" t="str">
        <f>IF(M12839="","",'Master Barang'!A33)</f>
        <v>PRL-032</v>
      </c>
      <c r="O12839" t="str">
        <f>IF(N12839="","",'Master Barang'!B33)</f>
        <v>plastik packaging ag box uk sedang</v>
      </c>
      <c r="P12839">
        <f>IF(OR(M12839="",N12839=""),"",SUMIFS('Barang Keluar'!$E:$E,'Barang Keluar'!$A:$A,M12839,'Barang Keluar'!$C:$C,N12839))</f>
        <v>0</v>
      </c>
    </row>
    <row r="12840" spans="13:16">
      <c r="M12840" s="49">
        <f>IF($A$4+128&gt;$B$4,"",$A$4+128)</f>
        <v>46151</v>
      </c>
      <c r="N12840" t="str">
        <f>IF(M12840="","",'Master Barang'!A34)</f>
        <v>PRL-033</v>
      </c>
      <c r="O12840">
        <f>IF(N12840="","",'Master Barang'!B34)</f>
        <v>0</v>
      </c>
      <c r="P12840">
        <f>IF(OR(M12840="",N12840=""),"",SUMIFS('Barang Keluar'!$E:$E,'Barang Keluar'!$A:$A,M12840,'Barang Keluar'!$C:$C,N12840))</f>
        <v>0</v>
      </c>
    </row>
    <row r="12841" spans="13:16">
      <c r="M12841" s="49">
        <f>IF($A$4+128&gt;$B$4,"",$A$4+128)</f>
        <v>46151</v>
      </c>
      <c r="N12841">
        <f>IF(M12841="","",'Master Barang'!A35)</f>
        <v>0</v>
      </c>
      <c r="O12841">
        <f>IF(N12841="","",'Master Barang'!B35)</f>
        <v>0</v>
      </c>
      <c r="P12841">
        <f>IF(OR(M12841="",N12841=""),"",SUMIFS('Barang Keluar'!$E:$E,'Barang Keluar'!$A:$A,M12841,'Barang Keluar'!$C:$C,N12841))</f>
        <v>0</v>
      </c>
    </row>
    <row r="12842" spans="13:16">
      <c r="M12842" s="49">
        <f>IF($A$4+128&gt;$B$4,"",$A$4+128)</f>
        <v>46151</v>
      </c>
      <c r="N12842">
        <f>IF(M12842="","",'Master Barang'!A36)</f>
        <v>0</v>
      </c>
      <c r="O12842">
        <f>IF(N12842="","",'Master Barang'!B36)</f>
        <v>0</v>
      </c>
      <c r="P12842">
        <f>IF(OR(M12842="",N12842=""),"",SUMIFS('Barang Keluar'!$E:$E,'Barang Keluar'!$A:$A,M12842,'Barang Keluar'!$C:$C,N12842))</f>
        <v>0</v>
      </c>
    </row>
    <row r="12843" spans="13:16">
      <c r="M12843" s="49">
        <f>IF($A$4+128&gt;$B$4,"",$A$4+128)</f>
        <v>46151</v>
      </c>
      <c r="N12843">
        <f>IF(M12843="","",'Master Barang'!A37)</f>
        <v>0</v>
      </c>
      <c r="O12843">
        <f>IF(N12843="","",'Master Barang'!B37)</f>
        <v>0</v>
      </c>
      <c r="P12843">
        <f>IF(OR(M12843="",N12843=""),"",SUMIFS('Barang Keluar'!$E:$E,'Barang Keluar'!$A:$A,M12843,'Barang Keluar'!$C:$C,N12843))</f>
        <v>0</v>
      </c>
    </row>
    <row r="12844" spans="13:16">
      <c r="M12844" s="49">
        <f>IF($A$4+128&gt;$B$4,"",$A$4+128)</f>
        <v>46151</v>
      </c>
      <c r="N12844">
        <f>IF(M12844="","",'Master Barang'!A38)</f>
        <v>0</v>
      </c>
      <c r="O12844">
        <f>IF(N12844="","",'Master Barang'!B38)</f>
        <v>0</v>
      </c>
      <c r="P12844">
        <f>IF(OR(M12844="",N12844=""),"",SUMIFS('Barang Keluar'!$E:$E,'Barang Keluar'!$A:$A,M12844,'Barang Keluar'!$C:$C,N12844))</f>
        <v>0</v>
      </c>
    </row>
    <row r="12845" spans="13:16">
      <c r="M12845" s="49">
        <f>IF($A$4+128&gt;$B$4,"",$A$4+128)</f>
        <v>46151</v>
      </c>
      <c r="N12845">
        <f>IF(M12845="","",'Master Barang'!A39)</f>
        <v>0</v>
      </c>
      <c r="O12845">
        <f>IF(N12845="","",'Master Barang'!B39)</f>
        <v>0</v>
      </c>
      <c r="P12845">
        <f>IF(OR(M12845="",N12845=""),"",SUMIFS('Barang Keluar'!$E:$E,'Barang Keluar'!$A:$A,M12845,'Barang Keluar'!$C:$C,N12845))</f>
        <v>0</v>
      </c>
    </row>
    <row r="12846" spans="13:16">
      <c r="M12846" s="49">
        <f>IF($A$4+128&gt;$B$4,"",$A$4+128)</f>
        <v>46151</v>
      </c>
      <c r="N12846">
        <f>IF(M12846="","",'Master Barang'!A40)</f>
        <v>0</v>
      </c>
      <c r="O12846">
        <f>IF(N12846="","",'Master Barang'!B40)</f>
        <v>0</v>
      </c>
      <c r="P12846">
        <f>IF(OR(M12846="",N12846=""),"",SUMIFS('Barang Keluar'!$E:$E,'Barang Keluar'!$A:$A,M12846,'Barang Keluar'!$C:$C,N12846))</f>
        <v>0</v>
      </c>
    </row>
    <row r="12847" spans="13:16">
      <c r="M12847" s="49">
        <f>IF($A$4+128&gt;$B$4,"",$A$4+128)</f>
        <v>46151</v>
      </c>
      <c r="N12847">
        <f>IF(M12847="","",'Master Barang'!A41)</f>
        <v>0</v>
      </c>
      <c r="O12847">
        <f>IF(N12847="","",'Master Barang'!B41)</f>
        <v>0</v>
      </c>
      <c r="P12847">
        <f>IF(OR(M12847="",N12847=""),"",SUMIFS('Barang Keluar'!$E:$E,'Barang Keluar'!$A:$A,M12847,'Barang Keluar'!$C:$C,N12847))</f>
        <v>0</v>
      </c>
    </row>
    <row r="12848" spans="13:16">
      <c r="M12848" s="49">
        <f>IF($A$4+128&gt;$B$4,"",$A$4+128)</f>
        <v>46151</v>
      </c>
      <c r="N12848">
        <f>IF(M12848="","",'Master Barang'!A42)</f>
        <v>0</v>
      </c>
      <c r="O12848">
        <f>IF(N12848="","",'Master Barang'!B42)</f>
        <v>0</v>
      </c>
      <c r="P12848">
        <f>IF(OR(M12848="",N12848=""),"",SUMIFS('Barang Keluar'!$E:$E,'Barang Keluar'!$A:$A,M12848,'Barang Keluar'!$C:$C,N12848))</f>
        <v>0</v>
      </c>
    </row>
    <row r="12849" spans="13:16">
      <c r="M12849" s="49">
        <f>IF($A$4+128&gt;$B$4,"",$A$4+128)</f>
        <v>46151</v>
      </c>
      <c r="N12849">
        <f>IF(M12849="","",'Master Barang'!A43)</f>
        <v>0</v>
      </c>
      <c r="O12849">
        <f>IF(N12849="","",'Master Barang'!B43)</f>
        <v>0</v>
      </c>
      <c r="P12849">
        <f>IF(OR(M12849="",N12849=""),"",SUMIFS('Barang Keluar'!$E:$E,'Barang Keluar'!$A:$A,M12849,'Barang Keluar'!$C:$C,N12849))</f>
        <v>0</v>
      </c>
    </row>
    <row r="12850" spans="13:16">
      <c r="M12850" s="49">
        <f>IF($A$4+128&gt;$B$4,"",$A$4+128)</f>
        <v>46151</v>
      </c>
      <c r="N12850">
        <f>IF(M12850="","",'Master Barang'!A44)</f>
        <v>0</v>
      </c>
      <c r="O12850">
        <f>IF(N12850="","",'Master Barang'!B44)</f>
        <v>0</v>
      </c>
      <c r="P12850">
        <f>IF(OR(M12850="",N12850=""),"",SUMIFS('Barang Keluar'!$E:$E,'Barang Keluar'!$A:$A,M12850,'Barang Keluar'!$C:$C,N12850))</f>
        <v>0</v>
      </c>
    </row>
    <row r="12851" spans="13:16">
      <c r="M12851" s="49">
        <f>IF($A$4+128&gt;$B$4,"",$A$4+128)</f>
        <v>46151</v>
      </c>
      <c r="N12851">
        <f>IF(M12851="","",'Master Barang'!A45)</f>
        <v>0</v>
      </c>
      <c r="O12851">
        <f>IF(N12851="","",'Master Barang'!B45)</f>
        <v>0</v>
      </c>
      <c r="P12851">
        <f>IF(OR(M12851="",N12851=""),"",SUMIFS('Barang Keluar'!$E:$E,'Barang Keluar'!$A:$A,M12851,'Barang Keluar'!$C:$C,N12851))</f>
        <v>0</v>
      </c>
    </row>
    <row r="12852" spans="13:16">
      <c r="M12852" s="49">
        <f>IF($A$4+128&gt;$B$4,"",$A$4+128)</f>
        <v>46151</v>
      </c>
      <c r="N12852">
        <f>IF(M12852="","",'Master Barang'!A46)</f>
        <v>0</v>
      </c>
      <c r="O12852">
        <f>IF(N12852="","",'Master Barang'!B46)</f>
        <v>0</v>
      </c>
      <c r="P12852">
        <f>IF(OR(M12852="",N12852=""),"",SUMIFS('Barang Keluar'!$E:$E,'Barang Keluar'!$A:$A,M12852,'Barang Keluar'!$C:$C,N12852))</f>
        <v>0</v>
      </c>
    </row>
    <row r="12853" spans="13:16">
      <c r="M12853" s="49">
        <f>IF($A$4+128&gt;$B$4,"",$A$4+128)</f>
        <v>46151</v>
      </c>
      <c r="N12853">
        <f>IF(M12853="","",'Master Barang'!A47)</f>
        <v>0</v>
      </c>
      <c r="O12853">
        <f>IF(N12853="","",'Master Barang'!B47)</f>
        <v>0</v>
      </c>
      <c r="P12853">
        <f>IF(OR(M12853="",N12853=""),"",SUMIFS('Barang Keluar'!$E:$E,'Barang Keluar'!$A:$A,M12853,'Barang Keluar'!$C:$C,N12853))</f>
        <v>0</v>
      </c>
    </row>
    <row r="12854" spans="13:16">
      <c r="M12854" s="49">
        <f>IF($A$4+128&gt;$B$4,"",$A$4+128)</f>
        <v>46151</v>
      </c>
      <c r="N12854">
        <f>IF(M12854="","",'Master Barang'!A48)</f>
        <v>0</v>
      </c>
      <c r="O12854">
        <f>IF(N12854="","",'Master Barang'!B48)</f>
        <v>0</v>
      </c>
      <c r="P12854">
        <f>IF(OR(M12854="",N12854=""),"",SUMIFS('Barang Keluar'!$E:$E,'Barang Keluar'!$A:$A,M12854,'Barang Keluar'!$C:$C,N12854))</f>
        <v>0</v>
      </c>
    </row>
    <row r="12855" spans="13:16">
      <c r="M12855" s="49">
        <f>IF($A$4+128&gt;$B$4,"",$A$4+128)</f>
        <v>46151</v>
      </c>
      <c r="N12855">
        <f>IF(M12855="","",'Master Barang'!A49)</f>
        <v>0</v>
      </c>
      <c r="O12855">
        <f>IF(N12855="","",'Master Barang'!B49)</f>
        <v>0</v>
      </c>
      <c r="P12855">
        <f>IF(OR(M12855="",N12855=""),"",SUMIFS('Barang Keluar'!$E:$E,'Barang Keluar'!$A:$A,M12855,'Barang Keluar'!$C:$C,N12855))</f>
        <v>0</v>
      </c>
    </row>
    <row r="12856" spans="13:16">
      <c r="M12856" s="49">
        <f>IF($A$4+128&gt;$B$4,"",$A$4+128)</f>
        <v>46151</v>
      </c>
      <c r="N12856">
        <f>IF(M12856="","",'Master Barang'!A50)</f>
        <v>0</v>
      </c>
      <c r="O12856">
        <f>IF(N12856="","",'Master Barang'!B50)</f>
        <v>0</v>
      </c>
      <c r="P12856">
        <f>IF(OR(M12856="",N12856=""),"",SUMIFS('Barang Keluar'!$E:$E,'Barang Keluar'!$A:$A,M12856,'Barang Keluar'!$C:$C,N12856))</f>
        <v>0</v>
      </c>
    </row>
    <row r="12857" spans="13:16">
      <c r="M12857" s="49">
        <f>IF($A$4+128&gt;$B$4,"",$A$4+128)</f>
        <v>46151</v>
      </c>
      <c r="N12857">
        <f>IF(M12857="","",'Master Barang'!A51)</f>
        <v>0</v>
      </c>
      <c r="O12857">
        <f>IF(N12857="","",'Master Barang'!B51)</f>
        <v>0</v>
      </c>
      <c r="P12857">
        <f>IF(OR(M12857="",N12857=""),"",SUMIFS('Barang Keluar'!$E:$E,'Barang Keluar'!$A:$A,M12857,'Barang Keluar'!$C:$C,N12857))</f>
        <v>0</v>
      </c>
    </row>
    <row r="12858" spans="13:16">
      <c r="M12858" s="49">
        <f>IF($A$4+128&gt;$B$4,"",$A$4+128)</f>
        <v>46151</v>
      </c>
      <c r="N12858">
        <f>IF(M12858="","",'Master Barang'!A52)</f>
        <v>0</v>
      </c>
      <c r="O12858">
        <f>IF(N12858="","",'Master Barang'!B52)</f>
        <v>0</v>
      </c>
      <c r="P12858">
        <f>IF(OR(M12858="",N12858=""),"",SUMIFS('Barang Keluar'!$E:$E,'Barang Keluar'!$A:$A,M12858,'Barang Keluar'!$C:$C,N12858))</f>
        <v>0</v>
      </c>
    </row>
    <row r="12859" spans="13:16">
      <c r="M12859" s="49">
        <f>IF($A$4+128&gt;$B$4,"",$A$4+128)</f>
        <v>46151</v>
      </c>
      <c r="N12859">
        <f>IF(M12859="","",'Master Barang'!A53)</f>
        <v>0</v>
      </c>
      <c r="O12859">
        <f>IF(N12859="","",'Master Barang'!B53)</f>
        <v>0</v>
      </c>
      <c r="P12859">
        <f>IF(OR(M12859="",N12859=""),"",SUMIFS('Barang Keluar'!$E:$E,'Barang Keluar'!$A:$A,M12859,'Barang Keluar'!$C:$C,N12859))</f>
        <v>0</v>
      </c>
    </row>
    <row r="12860" spans="13:16">
      <c r="M12860" s="49">
        <f>IF($A$4+128&gt;$B$4,"",$A$4+128)</f>
        <v>46151</v>
      </c>
      <c r="N12860">
        <f>IF(M12860="","",'Master Barang'!A54)</f>
        <v>0</v>
      </c>
      <c r="O12860">
        <f>IF(N12860="","",'Master Barang'!B54)</f>
        <v>0</v>
      </c>
      <c r="P12860">
        <f>IF(OR(M12860="",N12860=""),"",SUMIFS('Barang Keluar'!$E:$E,'Barang Keluar'!$A:$A,M12860,'Barang Keluar'!$C:$C,N12860))</f>
        <v>0</v>
      </c>
    </row>
    <row r="12861" spans="13:16">
      <c r="M12861" s="49">
        <f>IF($A$4+128&gt;$B$4,"",$A$4+128)</f>
        <v>46151</v>
      </c>
      <c r="N12861">
        <f>IF(M12861="","",'Master Barang'!A55)</f>
        <v>0</v>
      </c>
      <c r="O12861">
        <f>IF(N12861="","",'Master Barang'!B55)</f>
        <v>0</v>
      </c>
      <c r="P12861">
        <f>IF(OR(M12861="",N12861=""),"",SUMIFS('Barang Keluar'!$E:$E,'Barang Keluar'!$A:$A,M12861,'Barang Keluar'!$C:$C,N12861))</f>
        <v>0</v>
      </c>
    </row>
    <row r="12862" spans="13:16">
      <c r="M12862" s="49">
        <f>IF($A$4+128&gt;$B$4,"",$A$4+128)</f>
        <v>46151</v>
      </c>
      <c r="N12862">
        <f>IF(M12862="","",'Master Barang'!A56)</f>
        <v>0</v>
      </c>
      <c r="O12862">
        <f>IF(N12862="","",'Master Barang'!B56)</f>
        <v>0</v>
      </c>
      <c r="P12862">
        <f>IF(OR(M12862="",N12862=""),"",SUMIFS('Barang Keluar'!$E:$E,'Barang Keluar'!$A:$A,M12862,'Barang Keluar'!$C:$C,N12862))</f>
        <v>0</v>
      </c>
    </row>
    <row r="12863" spans="13:16">
      <c r="M12863" s="49">
        <f>IF($A$4+128&gt;$B$4,"",$A$4+128)</f>
        <v>46151</v>
      </c>
      <c r="N12863">
        <f>IF(M12863="","",'Master Barang'!A57)</f>
        <v>0</v>
      </c>
      <c r="O12863">
        <f>IF(N12863="","",'Master Barang'!B57)</f>
        <v>0</v>
      </c>
      <c r="P12863">
        <f>IF(OR(M12863="",N12863=""),"",SUMIFS('Barang Keluar'!$E:$E,'Barang Keluar'!$A:$A,M12863,'Barang Keluar'!$C:$C,N12863))</f>
        <v>0</v>
      </c>
    </row>
    <row r="12864" spans="13:16">
      <c r="M12864" s="49">
        <f>IF($A$4+128&gt;$B$4,"",$A$4+128)</f>
        <v>46151</v>
      </c>
      <c r="N12864">
        <f>IF(M12864="","",'Master Barang'!A58)</f>
        <v>0</v>
      </c>
      <c r="O12864">
        <f>IF(N12864="","",'Master Barang'!B58)</f>
        <v>0</v>
      </c>
      <c r="P12864">
        <f>IF(OR(M12864="",N12864=""),"",SUMIFS('Barang Keluar'!$E:$E,'Barang Keluar'!$A:$A,M12864,'Barang Keluar'!$C:$C,N12864))</f>
        <v>0</v>
      </c>
    </row>
    <row r="12865" spans="13:16">
      <c r="M12865" s="49">
        <f>IF($A$4+128&gt;$B$4,"",$A$4+128)</f>
        <v>46151</v>
      </c>
      <c r="N12865">
        <f>IF(M12865="","",'Master Barang'!A59)</f>
        <v>0</v>
      </c>
      <c r="O12865">
        <f>IF(N12865="","",'Master Barang'!B59)</f>
        <v>0</v>
      </c>
      <c r="P12865">
        <f>IF(OR(M12865="",N12865=""),"",SUMIFS('Barang Keluar'!$E:$E,'Barang Keluar'!$A:$A,M12865,'Barang Keluar'!$C:$C,N12865))</f>
        <v>0</v>
      </c>
    </row>
    <row r="12866" spans="13:16">
      <c r="M12866" s="49">
        <f>IF($A$4+128&gt;$B$4,"",$A$4+128)</f>
        <v>46151</v>
      </c>
      <c r="N12866">
        <f>IF(M12866="","",'Master Barang'!A60)</f>
        <v>0</v>
      </c>
      <c r="O12866">
        <f>IF(N12866="","",'Master Barang'!B60)</f>
        <v>0</v>
      </c>
      <c r="P12866">
        <f>IF(OR(M12866="",N12866=""),"",SUMIFS('Barang Keluar'!$E:$E,'Barang Keluar'!$A:$A,M12866,'Barang Keluar'!$C:$C,N12866))</f>
        <v>0</v>
      </c>
    </row>
    <row r="12867" spans="13:16">
      <c r="M12867" s="49">
        <f>IF($A$4+128&gt;$B$4,"",$A$4+128)</f>
        <v>46151</v>
      </c>
      <c r="N12867">
        <f>IF(M12867="","",'Master Barang'!A61)</f>
        <v>0</v>
      </c>
      <c r="O12867">
        <f>IF(N12867="","",'Master Barang'!B61)</f>
        <v>0</v>
      </c>
      <c r="P12867">
        <f>IF(OR(M12867="",N12867=""),"",SUMIFS('Barang Keluar'!$E:$E,'Barang Keluar'!$A:$A,M12867,'Barang Keluar'!$C:$C,N12867))</f>
        <v>0</v>
      </c>
    </row>
    <row r="12868" spans="13:16">
      <c r="M12868" s="49">
        <f>IF($A$4+128&gt;$B$4,"",$A$4+128)</f>
        <v>46151</v>
      </c>
      <c r="N12868">
        <f>IF(M12868="","",'Master Barang'!A62)</f>
        <v>0</v>
      </c>
      <c r="O12868">
        <f>IF(N12868="","",'Master Barang'!B62)</f>
        <v>0</v>
      </c>
      <c r="P12868">
        <f>IF(OR(M12868="",N12868=""),"",SUMIFS('Barang Keluar'!$E:$E,'Barang Keluar'!$A:$A,M12868,'Barang Keluar'!$C:$C,N12868))</f>
        <v>0</v>
      </c>
    </row>
    <row r="12869" spans="13:16">
      <c r="M12869" s="49">
        <f>IF($A$4+128&gt;$B$4,"",$A$4+128)</f>
        <v>46151</v>
      </c>
      <c r="N12869">
        <f>IF(M12869="","",'Master Barang'!A63)</f>
        <v>0</v>
      </c>
      <c r="O12869">
        <f>IF(N12869="","",'Master Barang'!B63)</f>
        <v>0</v>
      </c>
      <c r="P12869">
        <f>IF(OR(M12869="",N12869=""),"",SUMIFS('Barang Keluar'!$E:$E,'Barang Keluar'!$A:$A,M12869,'Barang Keluar'!$C:$C,N12869))</f>
        <v>0</v>
      </c>
    </row>
    <row r="12870" spans="13:16">
      <c r="M12870" s="49">
        <f>IF($A$4+128&gt;$B$4,"",$A$4+128)</f>
        <v>46151</v>
      </c>
      <c r="N12870">
        <f>IF(M12870="","",'Master Barang'!A64)</f>
        <v>0</v>
      </c>
      <c r="O12870">
        <f>IF(N12870="","",'Master Barang'!B64)</f>
        <v>0</v>
      </c>
      <c r="P12870">
        <f>IF(OR(M12870="",N12870=""),"",SUMIFS('Barang Keluar'!$E:$E,'Barang Keluar'!$A:$A,M12870,'Barang Keluar'!$C:$C,N12870))</f>
        <v>0</v>
      </c>
    </row>
    <row r="12871" spans="13:16">
      <c r="M12871" s="49">
        <f>IF($A$4+128&gt;$B$4,"",$A$4+128)</f>
        <v>46151</v>
      </c>
      <c r="N12871">
        <f>IF(M12871="","",'Master Barang'!A65)</f>
        <v>0</v>
      </c>
      <c r="O12871">
        <f>IF(N12871="","",'Master Barang'!B65)</f>
        <v>0</v>
      </c>
      <c r="P12871">
        <f>IF(OR(M12871="",N12871=""),"",SUMIFS('Barang Keluar'!$E:$E,'Barang Keluar'!$A:$A,M12871,'Barang Keluar'!$C:$C,N12871))</f>
        <v>0</v>
      </c>
    </row>
    <row r="12872" spans="13:16">
      <c r="M12872" s="49">
        <f>IF($A$4+128&gt;$B$4,"",$A$4+128)</f>
        <v>46151</v>
      </c>
      <c r="N12872">
        <f>IF(M12872="","",'Master Barang'!A66)</f>
        <v>0</v>
      </c>
      <c r="O12872">
        <f>IF(N12872="","",'Master Barang'!B66)</f>
        <v>0</v>
      </c>
      <c r="P12872">
        <f>IF(OR(M12872="",N12872=""),"",SUMIFS('Barang Keluar'!$E:$E,'Barang Keluar'!$A:$A,M12872,'Barang Keluar'!$C:$C,N12872))</f>
        <v>0</v>
      </c>
    </row>
    <row r="12873" spans="13:16">
      <c r="M12873" s="49">
        <f>IF($A$4+128&gt;$B$4,"",$A$4+128)</f>
        <v>46151</v>
      </c>
      <c r="N12873">
        <f>IF(M12873="","",'Master Barang'!A67)</f>
        <v>0</v>
      </c>
      <c r="O12873">
        <f>IF(N12873="","",'Master Barang'!B67)</f>
        <v>0</v>
      </c>
      <c r="P12873">
        <f>IF(OR(M12873="",N12873=""),"",SUMIFS('Barang Keluar'!$E:$E,'Barang Keluar'!$A:$A,M12873,'Barang Keluar'!$C:$C,N12873))</f>
        <v>0</v>
      </c>
    </row>
    <row r="12874" spans="13:16">
      <c r="M12874" s="49">
        <f>IF($A$4+128&gt;$B$4,"",$A$4+128)</f>
        <v>46151</v>
      </c>
      <c r="N12874">
        <f>IF(M12874="","",'Master Barang'!A68)</f>
        <v>0</v>
      </c>
      <c r="O12874">
        <f>IF(N12874="","",'Master Barang'!B68)</f>
        <v>0</v>
      </c>
      <c r="P12874">
        <f>IF(OR(M12874="",N12874=""),"",SUMIFS('Barang Keluar'!$E:$E,'Barang Keluar'!$A:$A,M12874,'Barang Keluar'!$C:$C,N12874))</f>
        <v>0</v>
      </c>
    </row>
    <row r="12875" spans="13:16">
      <c r="M12875" s="49">
        <f>IF($A$4+128&gt;$B$4,"",$A$4+128)</f>
        <v>46151</v>
      </c>
      <c r="N12875">
        <f>IF(M12875="","",'Master Barang'!A69)</f>
        <v>0</v>
      </c>
      <c r="O12875">
        <f>IF(N12875="","",'Master Barang'!B69)</f>
        <v>0</v>
      </c>
      <c r="P12875">
        <f>IF(OR(M12875="",N12875=""),"",SUMIFS('Barang Keluar'!$E:$E,'Barang Keluar'!$A:$A,M12875,'Barang Keluar'!$C:$C,N12875))</f>
        <v>0</v>
      </c>
    </row>
    <row r="12876" spans="13:16">
      <c r="M12876" s="49">
        <f>IF($A$4+128&gt;$B$4,"",$A$4+128)</f>
        <v>46151</v>
      </c>
      <c r="N12876">
        <f>IF(M12876="","",'Master Barang'!A70)</f>
        <v>0</v>
      </c>
      <c r="O12876">
        <f>IF(N12876="","",'Master Barang'!B70)</f>
        <v>0</v>
      </c>
      <c r="P12876">
        <f>IF(OR(M12876="",N12876=""),"",SUMIFS('Barang Keluar'!$E:$E,'Barang Keluar'!$A:$A,M12876,'Barang Keluar'!$C:$C,N12876))</f>
        <v>0</v>
      </c>
    </row>
    <row r="12877" spans="13:16">
      <c r="M12877" s="49">
        <f>IF($A$4+128&gt;$B$4,"",$A$4+128)</f>
        <v>46151</v>
      </c>
      <c r="N12877">
        <f>IF(M12877="","",'Master Barang'!A71)</f>
        <v>0</v>
      </c>
      <c r="O12877">
        <f>IF(N12877="","",'Master Barang'!B71)</f>
        <v>0</v>
      </c>
      <c r="P12877">
        <f>IF(OR(M12877="",N12877=""),"",SUMIFS('Barang Keluar'!$E:$E,'Barang Keluar'!$A:$A,M12877,'Barang Keluar'!$C:$C,N12877))</f>
        <v>0</v>
      </c>
    </row>
    <row r="12878" spans="13:16">
      <c r="M12878" s="49">
        <f>IF($A$4+128&gt;$B$4,"",$A$4+128)</f>
        <v>46151</v>
      </c>
      <c r="N12878">
        <f>IF(M12878="","",'Master Barang'!A72)</f>
        <v>0</v>
      </c>
      <c r="O12878">
        <f>IF(N12878="","",'Master Barang'!B72)</f>
        <v>0</v>
      </c>
      <c r="P12878">
        <f>IF(OR(M12878="",N12878=""),"",SUMIFS('Barang Keluar'!$E:$E,'Barang Keluar'!$A:$A,M12878,'Barang Keluar'!$C:$C,N12878))</f>
        <v>0</v>
      </c>
    </row>
    <row r="12879" spans="13:16">
      <c r="M12879" s="49">
        <f>IF($A$4+128&gt;$B$4,"",$A$4+128)</f>
        <v>46151</v>
      </c>
      <c r="N12879">
        <f>IF(M12879="","",'Master Barang'!A73)</f>
        <v>0</v>
      </c>
      <c r="O12879">
        <f>IF(N12879="","",'Master Barang'!B73)</f>
        <v>0</v>
      </c>
      <c r="P12879">
        <f>IF(OR(M12879="",N12879=""),"",SUMIFS('Barang Keluar'!$E:$E,'Barang Keluar'!$A:$A,M12879,'Barang Keluar'!$C:$C,N12879))</f>
        <v>0</v>
      </c>
    </row>
    <row r="12880" spans="13:16">
      <c r="M12880" s="49">
        <f>IF($A$4+128&gt;$B$4,"",$A$4+128)</f>
        <v>46151</v>
      </c>
      <c r="N12880">
        <f>IF(M12880="","",'Master Barang'!A74)</f>
        <v>0</v>
      </c>
      <c r="O12880">
        <f>IF(N12880="","",'Master Barang'!B74)</f>
        <v>0</v>
      </c>
      <c r="P12880">
        <f>IF(OR(M12880="",N12880=""),"",SUMIFS('Barang Keluar'!$E:$E,'Barang Keluar'!$A:$A,M12880,'Barang Keluar'!$C:$C,N12880))</f>
        <v>0</v>
      </c>
    </row>
    <row r="12881" spans="13:16">
      <c r="M12881" s="49">
        <f>IF($A$4+128&gt;$B$4,"",$A$4+128)</f>
        <v>46151</v>
      </c>
      <c r="N12881">
        <f>IF(M12881="","",'Master Barang'!A75)</f>
        <v>0</v>
      </c>
      <c r="O12881">
        <f>IF(N12881="","",'Master Barang'!B75)</f>
        <v>0</v>
      </c>
      <c r="P12881">
        <f>IF(OR(M12881="",N12881=""),"",SUMIFS('Barang Keluar'!$E:$E,'Barang Keluar'!$A:$A,M12881,'Barang Keluar'!$C:$C,N12881))</f>
        <v>0</v>
      </c>
    </row>
    <row r="12882" spans="13:16">
      <c r="M12882" s="49">
        <f>IF($A$4+128&gt;$B$4,"",$A$4+128)</f>
        <v>46151</v>
      </c>
      <c r="N12882">
        <f>IF(M12882="","",'Master Barang'!A76)</f>
        <v>0</v>
      </c>
      <c r="O12882">
        <f>IF(N12882="","",'Master Barang'!B76)</f>
        <v>0</v>
      </c>
      <c r="P12882">
        <f>IF(OR(M12882="",N12882=""),"",SUMIFS('Barang Keluar'!$E:$E,'Barang Keluar'!$A:$A,M12882,'Barang Keluar'!$C:$C,N12882))</f>
        <v>0</v>
      </c>
    </row>
    <row r="12883" spans="13:16">
      <c r="M12883" s="49">
        <f>IF($A$4+128&gt;$B$4,"",$A$4+128)</f>
        <v>46151</v>
      </c>
      <c r="N12883">
        <f>IF(M12883="","",'Master Barang'!A77)</f>
        <v>0</v>
      </c>
      <c r="O12883">
        <f>IF(N12883="","",'Master Barang'!B77)</f>
        <v>0</v>
      </c>
      <c r="P12883">
        <f>IF(OR(M12883="",N12883=""),"",SUMIFS('Barang Keluar'!$E:$E,'Barang Keluar'!$A:$A,M12883,'Barang Keluar'!$C:$C,N12883))</f>
        <v>0</v>
      </c>
    </row>
    <row r="12884" spans="13:16">
      <c r="M12884" s="49">
        <f>IF($A$4+128&gt;$B$4,"",$A$4+128)</f>
        <v>46151</v>
      </c>
      <c r="N12884">
        <f>IF(M12884="","",'Master Barang'!A78)</f>
        <v>0</v>
      </c>
      <c r="O12884">
        <f>IF(N12884="","",'Master Barang'!B78)</f>
        <v>0</v>
      </c>
      <c r="P12884">
        <f>IF(OR(M12884="",N12884=""),"",SUMIFS('Barang Keluar'!$E:$E,'Barang Keluar'!$A:$A,M12884,'Barang Keluar'!$C:$C,N12884))</f>
        <v>0</v>
      </c>
    </row>
    <row r="12885" spans="13:16">
      <c r="M12885" s="49">
        <f>IF($A$4+128&gt;$B$4,"",$A$4+128)</f>
        <v>46151</v>
      </c>
      <c r="N12885">
        <f>IF(M12885="","",'Master Barang'!A79)</f>
        <v>0</v>
      </c>
      <c r="O12885">
        <f>IF(N12885="","",'Master Barang'!B79)</f>
        <v>0</v>
      </c>
      <c r="P12885">
        <f>IF(OR(M12885="",N12885=""),"",SUMIFS('Barang Keluar'!$E:$E,'Barang Keluar'!$A:$A,M12885,'Barang Keluar'!$C:$C,N12885))</f>
        <v>0</v>
      </c>
    </row>
    <row r="12886" spans="13:16">
      <c r="M12886" s="49">
        <f>IF($A$4+128&gt;$B$4,"",$A$4+128)</f>
        <v>46151</v>
      </c>
      <c r="N12886">
        <f>IF(M12886="","",'Master Barang'!A80)</f>
        <v>0</v>
      </c>
      <c r="O12886">
        <f>IF(N12886="","",'Master Barang'!B80)</f>
        <v>0</v>
      </c>
      <c r="P12886">
        <f>IF(OR(M12886="",N12886=""),"",SUMIFS('Barang Keluar'!$E:$E,'Barang Keluar'!$A:$A,M12886,'Barang Keluar'!$C:$C,N12886))</f>
        <v>0</v>
      </c>
    </row>
    <row r="12887" spans="13:16">
      <c r="M12887" s="49">
        <f>IF($A$4+128&gt;$B$4,"",$A$4+128)</f>
        <v>46151</v>
      </c>
      <c r="N12887">
        <f>IF(M12887="","",'Master Barang'!A81)</f>
        <v>0</v>
      </c>
      <c r="O12887">
        <f>IF(N12887="","",'Master Barang'!B81)</f>
        <v>0</v>
      </c>
      <c r="P12887">
        <f>IF(OR(M12887="",N12887=""),"",SUMIFS('Barang Keluar'!$E:$E,'Barang Keluar'!$A:$A,M12887,'Barang Keluar'!$C:$C,N12887))</f>
        <v>0</v>
      </c>
    </row>
    <row r="12888" spans="13:16">
      <c r="M12888" s="49">
        <f>IF($A$4+128&gt;$B$4,"",$A$4+128)</f>
        <v>46151</v>
      </c>
      <c r="N12888">
        <f>IF(M12888="","",'Master Barang'!A82)</f>
        <v>0</v>
      </c>
      <c r="O12888">
        <f>IF(N12888="","",'Master Barang'!B82)</f>
        <v>0</v>
      </c>
      <c r="P12888">
        <f>IF(OR(M12888="",N12888=""),"",SUMIFS('Barang Keluar'!$E:$E,'Barang Keluar'!$A:$A,M12888,'Barang Keluar'!$C:$C,N12888))</f>
        <v>0</v>
      </c>
    </row>
    <row r="12889" spans="13:16">
      <c r="M12889" s="49">
        <f>IF($A$4+128&gt;$B$4,"",$A$4+128)</f>
        <v>46151</v>
      </c>
      <c r="N12889">
        <f>IF(M12889="","",'Master Barang'!A83)</f>
        <v>0</v>
      </c>
      <c r="O12889">
        <f>IF(N12889="","",'Master Barang'!B83)</f>
        <v>0</v>
      </c>
      <c r="P12889">
        <f>IF(OR(M12889="",N12889=""),"",SUMIFS('Barang Keluar'!$E:$E,'Barang Keluar'!$A:$A,M12889,'Barang Keluar'!$C:$C,N12889))</f>
        <v>0</v>
      </c>
    </row>
    <row r="12890" spans="13:16">
      <c r="M12890" s="49">
        <f>IF($A$4+128&gt;$B$4,"",$A$4+128)</f>
        <v>46151</v>
      </c>
      <c r="N12890">
        <f>IF(M12890="","",'Master Barang'!A84)</f>
        <v>0</v>
      </c>
      <c r="O12890">
        <f>IF(N12890="","",'Master Barang'!B84)</f>
        <v>0</v>
      </c>
      <c r="P12890">
        <f>IF(OR(M12890="",N12890=""),"",SUMIFS('Barang Keluar'!$E:$E,'Barang Keluar'!$A:$A,M12890,'Barang Keluar'!$C:$C,N12890))</f>
        <v>0</v>
      </c>
    </row>
    <row r="12891" spans="13:16">
      <c r="M12891" s="49">
        <f>IF($A$4+128&gt;$B$4,"",$A$4+128)</f>
        <v>46151</v>
      </c>
      <c r="N12891">
        <f>IF(M12891="","",'Master Barang'!A85)</f>
        <v>0</v>
      </c>
      <c r="O12891">
        <f>IF(N12891="","",'Master Barang'!B85)</f>
        <v>0</v>
      </c>
      <c r="P12891">
        <f>IF(OR(M12891="",N12891=""),"",SUMIFS('Barang Keluar'!$E:$E,'Barang Keluar'!$A:$A,M12891,'Barang Keluar'!$C:$C,N12891))</f>
        <v>0</v>
      </c>
    </row>
    <row r="12892" spans="13:16">
      <c r="M12892" s="49">
        <f>IF($A$4+128&gt;$B$4,"",$A$4+128)</f>
        <v>46151</v>
      </c>
      <c r="N12892">
        <f>IF(M12892="","",'Master Barang'!A86)</f>
        <v>0</v>
      </c>
      <c r="O12892">
        <f>IF(N12892="","",'Master Barang'!B86)</f>
        <v>0</v>
      </c>
      <c r="P12892">
        <f>IF(OR(M12892="",N12892=""),"",SUMIFS('Barang Keluar'!$E:$E,'Barang Keluar'!$A:$A,M12892,'Barang Keluar'!$C:$C,N12892))</f>
        <v>0</v>
      </c>
    </row>
    <row r="12893" spans="13:16">
      <c r="M12893" s="49">
        <f>IF($A$4+128&gt;$B$4,"",$A$4+128)</f>
        <v>46151</v>
      </c>
      <c r="N12893">
        <f>IF(M12893="","",'Master Barang'!A87)</f>
        <v>0</v>
      </c>
      <c r="O12893">
        <f>IF(N12893="","",'Master Barang'!B87)</f>
        <v>0</v>
      </c>
      <c r="P12893">
        <f>IF(OR(M12893="",N12893=""),"",SUMIFS('Barang Keluar'!$E:$E,'Barang Keluar'!$A:$A,M12893,'Barang Keluar'!$C:$C,N12893))</f>
        <v>0</v>
      </c>
    </row>
    <row r="12894" spans="13:16">
      <c r="M12894" s="49">
        <f>IF($A$4+128&gt;$B$4,"",$A$4+128)</f>
        <v>46151</v>
      </c>
      <c r="N12894">
        <f>IF(M12894="","",'Master Barang'!A88)</f>
        <v>0</v>
      </c>
      <c r="O12894">
        <f>IF(N12894="","",'Master Barang'!B88)</f>
        <v>0</v>
      </c>
      <c r="P12894">
        <f>IF(OR(M12894="",N12894=""),"",SUMIFS('Barang Keluar'!$E:$E,'Barang Keluar'!$A:$A,M12894,'Barang Keluar'!$C:$C,N12894))</f>
        <v>0</v>
      </c>
    </row>
    <row r="12895" spans="13:16">
      <c r="M12895" s="49">
        <f>IF($A$4+128&gt;$B$4,"",$A$4+128)</f>
        <v>46151</v>
      </c>
      <c r="N12895">
        <f>IF(M12895="","",'Master Barang'!A89)</f>
        <v>0</v>
      </c>
      <c r="O12895">
        <f>IF(N12895="","",'Master Barang'!B89)</f>
        <v>0</v>
      </c>
      <c r="P12895">
        <f>IF(OR(M12895="",N12895=""),"",SUMIFS('Barang Keluar'!$E:$E,'Barang Keluar'!$A:$A,M12895,'Barang Keluar'!$C:$C,N12895))</f>
        <v>0</v>
      </c>
    </row>
    <row r="12896" spans="13:16">
      <c r="M12896" s="49">
        <f>IF($A$4+128&gt;$B$4,"",$A$4+128)</f>
        <v>46151</v>
      </c>
      <c r="N12896">
        <f>IF(M12896="","",'Master Barang'!A90)</f>
        <v>0</v>
      </c>
      <c r="O12896">
        <f>IF(N12896="","",'Master Barang'!B90)</f>
        <v>0</v>
      </c>
      <c r="P12896">
        <f>IF(OR(M12896="",N12896=""),"",SUMIFS('Barang Keluar'!$E:$E,'Barang Keluar'!$A:$A,M12896,'Barang Keluar'!$C:$C,N12896))</f>
        <v>0</v>
      </c>
    </row>
    <row r="12897" spans="13:16">
      <c r="M12897" s="49">
        <f>IF($A$4+128&gt;$B$4,"",$A$4+128)</f>
        <v>46151</v>
      </c>
      <c r="N12897">
        <f>IF(M12897="","",'Master Barang'!A91)</f>
        <v>0</v>
      </c>
      <c r="O12897">
        <f>IF(N12897="","",'Master Barang'!B91)</f>
        <v>0</v>
      </c>
      <c r="P12897">
        <f>IF(OR(M12897="",N12897=""),"",SUMIFS('Barang Keluar'!$E:$E,'Barang Keluar'!$A:$A,M12897,'Barang Keluar'!$C:$C,N12897))</f>
        <v>0</v>
      </c>
    </row>
    <row r="12898" spans="13:16">
      <c r="M12898" s="49">
        <f>IF($A$4+128&gt;$B$4,"",$A$4+128)</f>
        <v>46151</v>
      </c>
      <c r="N12898">
        <f>IF(M12898="","",'Master Barang'!A92)</f>
        <v>0</v>
      </c>
      <c r="O12898">
        <f>IF(N12898="","",'Master Barang'!B92)</f>
        <v>0</v>
      </c>
      <c r="P12898">
        <f>IF(OR(M12898="",N12898=""),"",SUMIFS('Barang Keluar'!$E:$E,'Barang Keluar'!$A:$A,M12898,'Barang Keluar'!$C:$C,N12898))</f>
        <v>0</v>
      </c>
    </row>
    <row r="12899" spans="13:16">
      <c r="M12899" s="49">
        <f>IF($A$4+128&gt;$B$4,"",$A$4+128)</f>
        <v>46151</v>
      </c>
      <c r="N12899">
        <f>IF(M12899="","",'Master Barang'!A93)</f>
        <v>0</v>
      </c>
      <c r="O12899">
        <f>IF(N12899="","",'Master Barang'!B93)</f>
        <v>0</v>
      </c>
      <c r="P12899">
        <f>IF(OR(M12899="",N12899=""),"",SUMIFS('Barang Keluar'!$E:$E,'Barang Keluar'!$A:$A,M12899,'Barang Keluar'!$C:$C,N12899))</f>
        <v>0</v>
      </c>
    </row>
    <row r="12900" spans="13:16">
      <c r="M12900" s="49">
        <f>IF($A$4+128&gt;$B$4,"",$A$4+128)</f>
        <v>46151</v>
      </c>
      <c r="N12900">
        <f>IF(M12900="","",'Master Barang'!A94)</f>
        <v>0</v>
      </c>
      <c r="O12900">
        <f>IF(N12900="","",'Master Barang'!B94)</f>
        <v>0</v>
      </c>
      <c r="P12900">
        <f>IF(OR(M12900="",N12900=""),"",SUMIFS('Barang Keluar'!$E:$E,'Barang Keluar'!$A:$A,M12900,'Barang Keluar'!$C:$C,N12900))</f>
        <v>0</v>
      </c>
    </row>
    <row r="12901" spans="13:16">
      <c r="M12901" s="49">
        <f>IF($A$4+128&gt;$B$4,"",$A$4+128)</f>
        <v>46151</v>
      </c>
      <c r="N12901">
        <f>IF(M12901="","",'Master Barang'!A95)</f>
        <v>0</v>
      </c>
      <c r="O12901">
        <f>IF(N12901="","",'Master Barang'!B95)</f>
        <v>0</v>
      </c>
      <c r="P12901">
        <f>IF(OR(M12901="",N12901=""),"",SUMIFS('Barang Keluar'!$E:$E,'Barang Keluar'!$A:$A,M12901,'Barang Keluar'!$C:$C,N12901))</f>
        <v>0</v>
      </c>
    </row>
    <row r="12902" spans="13:16">
      <c r="M12902" s="49">
        <f>IF($A$4+128&gt;$B$4,"",$A$4+128)</f>
        <v>46151</v>
      </c>
      <c r="N12902">
        <f>IF(M12902="","",'Master Barang'!A96)</f>
        <v>0</v>
      </c>
      <c r="O12902">
        <f>IF(N12902="","",'Master Barang'!B96)</f>
        <v>0</v>
      </c>
      <c r="P12902">
        <f>IF(OR(M12902="",N12902=""),"",SUMIFS('Barang Keluar'!$E:$E,'Barang Keluar'!$A:$A,M12902,'Barang Keluar'!$C:$C,N12902))</f>
        <v>0</v>
      </c>
    </row>
    <row r="12903" spans="13:16">
      <c r="M12903" s="49">
        <f>IF($A$4+128&gt;$B$4,"",$A$4+128)</f>
        <v>46151</v>
      </c>
      <c r="N12903">
        <f>IF(M12903="","",'Master Barang'!A97)</f>
        <v>0</v>
      </c>
      <c r="O12903">
        <f>IF(N12903="","",'Master Barang'!B97)</f>
        <v>0</v>
      </c>
      <c r="P12903">
        <f>IF(OR(M12903="",N12903=""),"",SUMIFS('Barang Keluar'!$E:$E,'Barang Keluar'!$A:$A,M12903,'Barang Keluar'!$C:$C,N12903))</f>
        <v>0</v>
      </c>
    </row>
    <row r="12904" spans="13:16">
      <c r="M12904" s="49">
        <f>IF($A$4+128&gt;$B$4,"",$A$4+128)</f>
        <v>46151</v>
      </c>
      <c r="N12904">
        <f>IF(M12904="","",'Master Barang'!A98)</f>
        <v>0</v>
      </c>
      <c r="O12904">
        <f>IF(N12904="","",'Master Barang'!B98)</f>
        <v>0</v>
      </c>
      <c r="P12904">
        <f>IF(OR(M12904="",N12904=""),"",SUMIFS('Barang Keluar'!$E:$E,'Barang Keluar'!$A:$A,M12904,'Barang Keluar'!$C:$C,N12904))</f>
        <v>0</v>
      </c>
    </row>
    <row r="12905" spans="13:16">
      <c r="M12905" s="49">
        <f>IF($A$4+128&gt;$B$4,"",$A$4+128)</f>
        <v>46151</v>
      </c>
      <c r="N12905">
        <f>IF(M12905="","",'Master Barang'!A99)</f>
        <v>0</v>
      </c>
      <c r="O12905">
        <f>IF(N12905="","",'Master Barang'!B99)</f>
        <v>0</v>
      </c>
      <c r="P12905">
        <f>IF(OR(M12905="",N12905=""),"",SUMIFS('Barang Keluar'!$E:$E,'Barang Keluar'!$A:$A,M12905,'Barang Keluar'!$C:$C,N12905))</f>
        <v>0</v>
      </c>
    </row>
    <row r="12906" spans="13:16">
      <c r="M12906" s="49">
        <f>IF($A$4+128&gt;$B$4,"",$A$4+128)</f>
        <v>46151</v>
      </c>
      <c r="N12906">
        <f>IF(M12906="","",'Master Barang'!A100)</f>
        <v>0</v>
      </c>
      <c r="O12906">
        <f>IF(N12906="","",'Master Barang'!B100)</f>
        <v>0</v>
      </c>
      <c r="P12906">
        <f>IF(OR(M12906="",N12906=""),"",SUMIFS('Barang Keluar'!$E:$E,'Barang Keluar'!$A:$A,M12906,'Barang Keluar'!$C:$C,N12906))</f>
        <v>0</v>
      </c>
    </row>
    <row r="12907" spans="13:16">
      <c r="M12907" s="49">
        <f>IF($A$4+128&gt;$B$4,"",$A$4+128)</f>
        <v>46151</v>
      </c>
      <c r="N12907">
        <f>IF(M12907="","",'Master Barang'!A101)</f>
        <v>0</v>
      </c>
      <c r="O12907">
        <f>IF(N12907="","",'Master Barang'!B101)</f>
        <v>0</v>
      </c>
      <c r="P12907">
        <f>IF(OR(M12907="",N12907=""),"",SUMIFS('Barang Keluar'!$E:$E,'Barang Keluar'!$A:$A,M12907,'Barang Keluar'!$C:$C,N12907))</f>
        <v>0</v>
      </c>
    </row>
    <row r="12908" spans="13:16">
      <c r="M12908" s="49">
        <f>IF($A$4+129&gt;$B$4,"",$A$4+129)</f>
        <v>46152</v>
      </c>
      <c r="N12908" t="str">
        <f>IF(M12908="","",'Master Barang'!A2)</f>
        <v>PRL-001</v>
      </c>
      <c r="O12908" t="str">
        <f>IF(N12908="","",'Master Barang'!B2)</f>
        <v>natura desinfectant food grade 5l</v>
      </c>
      <c r="P12908">
        <f>IF(OR(M12908="",N12908=""),"",SUMIFS('Barang Keluar'!$E:$E,'Barang Keluar'!$A:$A,M12908,'Barang Keluar'!$C:$C,N12908))</f>
        <v>0</v>
      </c>
    </row>
    <row r="12909" spans="13:16">
      <c r="M12909" s="49">
        <f>IF($A$4+129&gt;$B$4,"",$A$4+129)</f>
        <v>46152</v>
      </c>
      <c r="N12909" t="str">
        <f>IF(M12909="","",'Master Barang'!A3)</f>
        <v>PRL-002</v>
      </c>
      <c r="O12909" t="str">
        <f>IF(N12909="","",'Master Barang'!B3)</f>
        <v>sunlight cairan pencuci piring 5l</v>
      </c>
      <c r="P12909">
        <f>IF(OR(M12909="",N12909=""),"",SUMIFS('Barang Keluar'!$E:$E,'Barang Keluar'!$A:$A,M12909,'Barang Keluar'!$C:$C,N12909))</f>
        <v>0</v>
      </c>
    </row>
    <row r="12910" spans="13:16">
      <c r="M12910" s="49">
        <f>IF($A$4+129&gt;$B$4,"",$A$4+129)</f>
        <v>46152</v>
      </c>
      <c r="N12910" t="str">
        <f>IF(M12910="","",'Master Barang'!A4)</f>
        <v>PRL-003</v>
      </c>
      <c r="O12910" t="str">
        <f>IF(N12910="","",'Master Barang'!B4)</f>
        <v>oixs cleaner 1l</v>
      </c>
      <c r="P12910">
        <f>IF(OR(M12910="",N12910=""),"",SUMIFS('Barang Keluar'!$E:$E,'Barang Keluar'!$A:$A,M12910,'Barang Keluar'!$C:$C,N12910))</f>
        <v>0</v>
      </c>
    </row>
    <row r="12911" spans="13:16">
      <c r="M12911" s="49">
        <f>IF($A$4+129&gt;$B$4,"",$A$4+129)</f>
        <v>46152</v>
      </c>
      <c r="N12911" t="str">
        <f>IF(M12911="","",'Master Barang'!A5)</f>
        <v>PRL-004</v>
      </c>
      <c r="O12911" t="str">
        <f>IF(N12911="","",'Master Barang'!B5)</f>
        <v>be clean tissue serbaguna</v>
      </c>
      <c r="P12911">
        <f>IF(OR(M12911="",N12911=""),"",SUMIFS('Barang Keluar'!$E:$E,'Barang Keluar'!$A:$A,M12911,'Barang Keluar'!$C:$C,N12911))</f>
        <v>0</v>
      </c>
    </row>
    <row r="12912" spans="13:16">
      <c r="M12912" s="49">
        <f>IF($A$4+129&gt;$B$4,"",$A$4+129)</f>
        <v>46152</v>
      </c>
      <c r="N12912" t="str">
        <f>IF(M12912="","",'Master Barang'!A6)</f>
        <v>PRL-005</v>
      </c>
      <c r="O12912" t="str">
        <f>IF(N12912="","",'Master Barang'!B6)</f>
        <v>spons cuci hijau</v>
      </c>
      <c r="P12912">
        <f>IF(OR(M12912="",N12912=""),"",SUMIFS('Barang Keluar'!$E:$E,'Barang Keluar'!$A:$A,M12912,'Barang Keluar'!$C:$C,N12912))</f>
        <v>0</v>
      </c>
    </row>
    <row r="12913" spans="13:16">
      <c r="M12913" s="49">
        <f>IF($A$4+129&gt;$B$4,"",$A$4+129)</f>
        <v>46152</v>
      </c>
      <c r="N12913" t="str">
        <f>IF(M12913="","",'Master Barang'!A7)</f>
        <v>PRL-006</v>
      </c>
      <c r="O12913" t="str">
        <f>IF(N12913="","",'Master Barang'!B7)</f>
        <v>sabut cuci stainless</v>
      </c>
      <c r="P12913">
        <f>IF(OR(M12913="",N12913=""),"",SUMIFS('Barang Keluar'!$E:$E,'Barang Keluar'!$A:$A,M12913,'Barang Keluar'!$C:$C,N12913))</f>
        <v>0</v>
      </c>
    </row>
    <row r="12914" spans="13:16">
      <c r="M12914" s="49">
        <f>IF($A$4+129&gt;$B$4,"",$A$4+129)</f>
        <v>46152</v>
      </c>
      <c r="N12914" t="str">
        <f>IF(M12914="","",'Master Barang'!A8)</f>
        <v>PRL-007</v>
      </c>
      <c r="O12914" t="str">
        <f>IF(N12914="","",'Master Barang'!B8)</f>
        <v>plastik kresek besar merah 50pc</v>
      </c>
      <c r="P12914">
        <f>IF(OR(M12914="",N12914=""),"",SUMIFS('Barang Keluar'!$E:$E,'Barang Keluar'!$A:$A,M12914,'Barang Keluar'!$C:$C,N12914))</f>
        <v>0</v>
      </c>
    </row>
    <row r="12915" spans="13:16">
      <c r="M12915" s="49">
        <f>IF($A$4+129&gt;$B$4,"",$A$4+129)</f>
        <v>46152</v>
      </c>
      <c r="N12915" t="str">
        <f>IF(M12915="","",'Master Barang'!A9)</f>
        <v>PRL-008</v>
      </c>
      <c r="O12915" t="str">
        <f>IF(N12915="","",'Master Barang'!B9)</f>
        <v>lap besar</v>
      </c>
      <c r="P12915">
        <f>IF(OR(M12915="",N12915=""),"",SUMIFS('Barang Keluar'!$E:$E,'Barang Keluar'!$A:$A,M12915,'Barang Keluar'!$C:$C,N12915))</f>
        <v>0</v>
      </c>
    </row>
    <row r="12916" spans="13:16">
      <c r="M12916" s="49">
        <f>IF($A$4+129&gt;$B$4,"",$A$4+129)</f>
        <v>46152</v>
      </c>
      <c r="N12916" t="str">
        <f>IF(M12916="","",'Master Barang'!A10)</f>
        <v>PRL-009</v>
      </c>
      <c r="O12916" t="str">
        <f>IF(N12916="","",'Master Barang'!B10)</f>
        <v>lap microfiber</v>
      </c>
      <c r="P12916">
        <f>IF(OR(M12916="",N12916=""),"",SUMIFS('Barang Keluar'!$E:$E,'Barang Keluar'!$A:$A,M12916,'Barang Keluar'!$C:$C,N12916))</f>
        <v>0</v>
      </c>
    </row>
    <row r="12917" spans="13:16">
      <c r="M12917" s="49">
        <f>IF($A$4+129&gt;$B$4,"",$A$4+129)</f>
        <v>46152</v>
      </c>
      <c r="N12917" t="str">
        <f>IF(M12917="","",'Master Barang'!A11)</f>
        <v>PRL-010</v>
      </c>
      <c r="O12917" t="str">
        <f>IF(N12917="","",'Master Barang'!B11)</f>
        <v>lap kecil</v>
      </c>
      <c r="P12917">
        <f>IF(OR(M12917="",N12917=""),"",SUMIFS('Barang Keluar'!$E:$E,'Barang Keluar'!$A:$A,M12917,'Barang Keluar'!$C:$C,N12917))</f>
        <v>0</v>
      </c>
    </row>
    <row r="12918" spans="13:16">
      <c r="M12918" s="49">
        <f>IF($A$4+129&gt;$B$4,"",$A$4+129)</f>
        <v>46152</v>
      </c>
      <c r="N12918" t="str">
        <f>IF(M12918="","",'Master Barang'!A12)</f>
        <v>PRL-011</v>
      </c>
      <c r="O12918" t="str">
        <f>IF(N12918="","",'Master Barang'!B12)</f>
        <v>kanebo kecil</v>
      </c>
      <c r="P12918">
        <f>IF(OR(M12918="",N12918=""),"",SUMIFS('Barang Keluar'!$E:$E,'Barang Keluar'!$A:$A,M12918,'Barang Keluar'!$C:$C,N12918))</f>
        <v>0</v>
      </c>
    </row>
    <row r="12919" spans="13:16">
      <c r="M12919" s="49">
        <f>IF($A$4+129&gt;$B$4,"",$A$4+129)</f>
        <v>46152</v>
      </c>
      <c r="N12919" t="str">
        <f>IF(M12919="","",'Master Barang'!A13)</f>
        <v>PRL-012</v>
      </c>
      <c r="O12919" t="str">
        <f>IF(N12919="","",'Master Barang'!B13)</f>
        <v>plastik 1/4kg joyoboyo 100 lembar</v>
      </c>
      <c r="P12919">
        <f>IF(OR(M12919="",N12919=""),"",SUMIFS('Barang Keluar'!$E:$E,'Barang Keluar'!$A:$A,M12919,'Barang Keluar'!$C:$C,N12919))</f>
        <v>0</v>
      </c>
    </row>
    <row r="12920" spans="13:16">
      <c r="M12920" s="49">
        <f>IF($A$4+129&gt;$B$4,"",$A$4+129)</f>
        <v>46152</v>
      </c>
      <c r="N12920" t="str">
        <f>IF(M12920="","",'Master Barang'!A14)</f>
        <v>PRL-013</v>
      </c>
      <c r="O12920" t="str">
        <f>IF(N12920="","",'Master Barang'!B14)</f>
        <v>sarung tangan plastik kaka 100 pcs</v>
      </c>
      <c r="P12920">
        <f>IF(OR(M12920="",N12920=""),"",SUMIFS('Barang Keluar'!$E:$E,'Barang Keluar'!$A:$A,M12920,'Barang Keluar'!$C:$C,N12920))</f>
        <v>0</v>
      </c>
    </row>
    <row r="12921" spans="13:16">
      <c r="M12921" s="49">
        <f>IF($A$4+129&gt;$B$4,"",$A$4+129)</f>
        <v>46152</v>
      </c>
      <c r="N12921" t="str">
        <f>IF(M12921="","",'Master Barang'!A15)</f>
        <v>PRL-014</v>
      </c>
      <c r="O12921" t="str">
        <f>IF(N12921="","",'Master Barang'!B15)</f>
        <v>optima trashbag 80x100</v>
      </c>
      <c r="P12921">
        <f>IF(OR(M12921="",N12921=""),"",SUMIFS('Barang Keluar'!$E:$E,'Barang Keluar'!$A:$A,M12921,'Barang Keluar'!$C:$C,N12921))</f>
        <v>0</v>
      </c>
    </row>
    <row r="12922" spans="13:16">
      <c r="M12922" s="49">
        <f>IF($A$4+129&gt;$B$4,"",$A$4+129)</f>
        <v>46152</v>
      </c>
      <c r="N12922" t="str">
        <f>IF(M12922="","",'Master Barang'!A16)</f>
        <v>PRL-015</v>
      </c>
      <c r="O12922" t="str">
        <f>IF(N12922="","",'Master Barang'!B16)</f>
        <v>optima trashbag 60x100</v>
      </c>
      <c r="P12922">
        <f>IF(OR(M12922="",N12922=""),"",SUMIFS('Barang Keluar'!$E:$E,'Barang Keluar'!$A:$A,M12922,'Barang Keluar'!$C:$C,N12922))</f>
        <v>0</v>
      </c>
    </row>
    <row r="12923" spans="13:16">
      <c r="M12923" s="49">
        <f>IF($A$4+129&gt;$B$4,"",$A$4+129)</f>
        <v>46152</v>
      </c>
      <c r="N12923" t="str">
        <f>IF(M12923="","",'Master Barang'!A17)</f>
        <v>PRL-016</v>
      </c>
      <c r="O12923" t="str">
        <f>IF(N12923="","",'Master Barang'!B17)</f>
        <v>rajawali trashbag 30x40</v>
      </c>
      <c r="P12923">
        <f>IF(OR(M12923="",N12923=""),"",SUMIFS('Barang Keluar'!$E:$E,'Barang Keluar'!$A:$A,M12923,'Barang Keluar'!$C:$C,N12923))</f>
        <v>0</v>
      </c>
    </row>
    <row r="12924" spans="13:16">
      <c r="M12924" s="49">
        <f>IF($A$4+129&gt;$B$4,"",$A$4+129)</f>
        <v>46152</v>
      </c>
      <c r="N12924" t="str">
        <f>IF(M12924="","",'Master Barang'!A18)</f>
        <v>PRL-017</v>
      </c>
      <c r="O12924" t="str">
        <f>IF(N12924="","",'Master Barang'!B18)</f>
        <v>onemed masker biru 3 play 50 pcs</v>
      </c>
      <c r="P12924">
        <f>IF(OR(M12924="",N12924=""),"",SUMIFS('Barang Keluar'!$E:$E,'Barang Keluar'!$A:$A,M12924,'Barang Keluar'!$C:$C,N12924))</f>
        <v>0</v>
      </c>
    </row>
    <row r="12925" spans="13:16">
      <c r="M12925" s="49">
        <f>IF($A$4+129&gt;$B$4,"",$A$4+129)</f>
        <v>46152</v>
      </c>
      <c r="N12925" t="str">
        <f>IF(M12925="","",'Master Barang'!A19)</f>
        <v>PRL-018</v>
      </c>
      <c r="O12925" t="str">
        <f>IF(N12925="","",'Master Barang'!B19)</f>
        <v>onemed masker biru 3 play hijab 50 pcs</v>
      </c>
      <c r="P12925">
        <f>IF(OR(M12925="",N12925=""),"",SUMIFS('Barang Keluar'!$E:$E,'Barang Keluar'!$A:$A,M12925,'Barang Keluar'!$C:$C,N12925))</f>
        <v>0</v>
      </c>
    </row>
    <row r="12926" spans="13:16">
      <c r="M12926" s="49">
        <f>IF($A$4+129&gt;$B$4,"",$A$4+129)</f>
        <v>46152</v>
      </c>
      <c r="N12926" t="str">
        <f>IF(M12926="","",'Master Barang'!A20)</f>
        <v>PRL-019</v>
      </c>
      <c r="O12926" t="str">
        <f>IF(N12926="","",'Master Barang'!B20)</f>
        <v>neo health masker biru 3 play 50 pcs</v>
      </c>
      <c r="P12926">
        <f>IF(OR(M12926="",N12926=""),"",SUMIFS('Barang Keluar'!$E:$E,'Barang Keluar'!$A:$A,M12926,'Barang Keluar'!$C:$C,N12926))</f>
        <v>0</v>
      </c>
    </row>
    <row r="12927" spans="13:16">
      <c r="M12927" s="49">
        <f>IF($A$4+129&gt;$B$4,"",$A$4+129)</f>
        <v>46152</v>
      </c>
      <c r="N12927" t="str">
        <f>IF(M12927="","",'Master Barang'!A21)</f>
        <v>PRL-020</v>
      </c>
      <c r="O12927" t="str">
        <f>IF(N12927="","",'Master Barang'!B21)</f>
        <v>baymed masker hijau 3 play hijau 50 pcs</v>
      </c>
      <c r="P12927">
        <f>IF(OR(M12927="",N12927=""),"",SUMIFS('Barang Keluar'!$E:$E,'Barang Keluar'!$A:$A,M12927,'Barang Keluar'!$C:$C,N12927))</f>
        <v>0</v>
      </c>
    </row>
    <row r="12928" spans="13:16">
      <c r="M12928" s="49">
        <f>IF($A$4+129&gt;$B$4,"",$A$4+129)</f>
        <v>46152</v>
      </c>
      <c r="N12928" t="str">
        <f>IF(M12928="","",'Master Barang'!A22)</f>
        <v>PRL-021</v>
      </c>
      <c r="O12928" t="str">
        <f>IF(N12928="","",'Master Barang'!B22)</f>
        <v>altamed nurse cap penutup kepala 100 pcs</v>
      </c>
      <c r="P12928">
        <f>IF(OR(M12928="",N12928=""),"",SUMIFS('Barang Keluar'!$E:$E,'Barang Keluar'!$A:$A,M12928,'Barang Keluar'!$C:$C,N12928))</f>
        <v>0</v>
      </c>
    </row>
    <row r="12929" spans="13:16">
      <c r="M12929" s="49">
        <f>IF($A$4+129&gt;$B$4,"",$A$4+129)</f>
        <v>46152</v>
      </c>
      <c r="N12929" t="str">
        <f>IF(M12929="","",'Master Barang'!A23)</f>
        <v>PRL-022</v>
      </c>
      <c r="O12929" t="str">
        <f>IF(N12929="","",'Master Barang'!B23)</f>
        <v>sabun cuci tangan</v>
      </c>
      <c r="P12929">
        <f>IF(OR(M12929="",N12929=""),"",SUMIFS('Barang Keluar'!$E:$E,'Barang Keluar'!$A:$A,M12929,'Barang Keluar'!$C:$C,N12929))</f>
        <v>0</v>
      </c>
    </row>
    <row r="12930" spans="13:16">
      <c r="M12930" s="49">
        <f>IF($A$4+129&gt;$B$4,"",$A$4+129)</f>
        <v>46152</v>
      </c>
      <c r="N12930" t="str">
        <f>IF(M12930="","",'Master Barang'!A24)</f>
        <v>PRL-023</v>
      </c>
      <c r="O12930" t="str">
        <f>IF(N12930="","",'Master Barang'!B24)</f>
        <v>gayung kecil</v>
      </c>
      <c r="P12930">
        <f>IF(OR(M12930="",N12930=""),"",SUMIFS('Barang Keluar'!$E:$E,'Barang Keluar'!$A:$A,M12930,'Barang Keluar'!$C:$C,N12930))</f>
        <v>0</v>
      </c>
    </row>
    <row r="12931" spans="13:16">
      <c r="M12931" s="49">
        <f>IF($A$4+129&gt;$B$4,"",$A$4+129)</f>
        <v>46152</v>
      </c>
      <c r="N12931" t="str">
        <f>IF(M12931="","",'Master Barang'!A25)</f>
        <v>PRL-024</v>
      </c>
      <c r="O12931" t="str">
        <f>IF(N12931="","",'Master Barang'!B25)</f>
        <v>cikrak kecil</v>
      </c>
      <c r="P12931">
        <f>IF(OR(M12931="",N12931=""),"",SUMIFS('Barang Keluar'!$E:$E,'Barang Keluar'!$A:$A,M12931,'Barang Keluar'!$C:$C,N12931))</f>
        <v>0</v>
      </c>
    </row>
    <row r="12932" spans="13:16">
      <c r="M12932" s="49">
        <f>IF($A$4+129&gt;$B$4,"",$A$4+129)</f>
        <v>46152</v>
      </c>
      <c r="N12932" t="str">
        <f>IF(M12932="","",'Master Barang'!A26)</f>
        <v>PRL-025</v>
      </c>
      <c r="O12932" t="str">
        <f>IF(N12932="","",'Master Barang'!B26)</f>
        <v>petromax plastik kecil 12x24 100 lembar</v>
      </c>
      <c r="P12932">
        <f>IF(OR(M12932="",N12932=""),"",SUMIFS('Barang Keluar'!$E:$E,'Barang Keluar'!$A:$A,M12932,'Barang Keluar'!$C:$C,N12932))</f>
        <v>0</v>
      </c>
    </row>
    <row r="12933" spans="13:16">
      <c r="M12933" s="49">
        <f>IF($A$4+129&gt;$B$4,"",$A$4+129)</f>
        <v>46152</v>
      </c>
      <c r="N12933" t="str">
        <f>IF(M12933="","",'Master Barang'!A27)</f>
        <v>PRL-026</v>
      </c>
      <c r="O12933" t="str">
        <f>IF(N12933="","",'Master Barang'!B27)</f>
        <v>lancar kresek kecil bening </v>
      </c>
      <c r="P12933">
        <f>IF(OR(M12933="",N12933=""),"",SUMIFS('Barang Keluar'!$E:$E,'Barang Keluar'!$A:$A,M12933,'Barang Keluar'!$C:$C,N12933))</f>
        <v>0</v>
      </c>
    </row>
    <row r="12934" spans="13:16">
      <c r="M12934" s="49">
        <f>IF($A$4+129&gt;$B$4,"",$A$4+129)</f>
        <v>46152</v>
      </c>
      <c r="N12934" t="str">
        <f>IF(M12934="","",'Master Barang'!A28)</f>
        <v>PRL-027</v>
      </c>
      <c r="O12934" t="str">
        <f>IF(N12934="","",'Master Barang'!B28)</f>
        <v>kresek klin warna warni kecil</v>
      </c>
      <c r="P12934">
        <f>IF(OR(M12934="",N12934=""),"",SUMIFS('Barang Keluar'!$E:$E,'Barang Keluar'!$A:$A,M12934,'Barang Keluar'!$C:$C,N12934))</f>
        <v>0</v>
      </c>
    </row>
    <row r="12935" spans="13:16">
      <c r="M12935" s="49">
        <f>IF($A$4+129&gt;$B$4,"",$A$4+129)</f>
        <v>46152</v>
      </c>
      <c r="N12935" t="str">
        <f>IF(M12935="","",'Master Barang'!A29)</f>
        <v>PRL-028</v>
      </c>
      <c r="O12935" t="str">
        <f>IF(N12935="","",'Master Barang'!B29)</f>
        <v>ctik plastik 7x10 100 pcs</v>
      </c>
      <c r="P12935">
        <f>IF(OR(M12935="",N12935=""),"",SUMIFS('Barang Keluar'!$E:$E,'Barang Keluar'!$A:$A,M12935,'Barang Keluar'!$C:$C,N12935))</f>
        <v>0</v>
      </c>
    </row>
    <row r="12936" spans="13:16">
      <c r="M12936" s="49">
        <f>IF($A$4+129&gt;$B$4,"",$A$4+129)</f>
        <v>46152</v>
      </c>
      <c r="N12936" t="str">
        <f>IF(M12936="","",'Master Barang'!A30)</f>
        <v>PRL-029</v>
      </c>
      <c r="O12936" t="str">
        <f>IF(N12936="","",'Master Barang'!B30)</f>
        <v>ctik plastik 6x10 100 pcs</v>
      </c>
      <c r="P12936">
        <f>IF(OR(M12936="",N12936=""),"",SUMIFS('Barang Keluar'!$E:$E,'Barang Keluar'!$A:$A,M12936,'Barang Keluar'!$C:$C,N12936))</f>
        <v>0</v>
      </c>
    </row>
    <row r="12937" spans="13:16">
      <c r="M12937" s="49">
        <f>IF($A$4+129&gt;$B$4,"",$A$4+129)</f>
        <v>46152</v>
      </c>
      <c r="N12937" t="str">
        <f>IF(M12937="","",'Master Barang'!A31)</f>
        <v>PRL-030</v>
      </c>
      <c r="O12937" t="str">
        <f>IF(N12937="","",'Master Barang'!B31)</f>
        <v>klip plastik 25x16 100 pcs</v>
      </c>
      <c r="P12937">
        <f>IF(OR(M12937="",N12937=""),"",SUMIFS('Barang Keluar'!$E:$E,'Barang Keluar'!$A:$A,M12937,'Barang Keluar'!$C:$C,N12937))</f>
        <v>0</v>
      </c>
    </row>
    <row r="12938" spans="13:16">
      <c r="M12938" s="49">
        <f>IF($A$4+129&gt;$B$4,"",$A$4+129)</f>
        <v>46152</v>
      </c>
      <c r="N12938" t="str">
        <f>IF(M12938="","",'Master Barang'!A32)</f>
        <v>PRL-031</v>
      </c>
      <c r="O12938" t="str">
        <f>IF(N12938="","",'Master Barang'!B32)</f>
        <v>tempat saus 20 ml</v>
      </c>
      <c r="P12938">
        <f>IF(OR(M12938="",N12938=""),"",SUMIFS('Barang Keluar'!$E:$E,'Barang Keluar'!$A:$A,M12938,'Barang Keluar'!$C:$C,N12938))</f>
        <v>0</v>
      </c>
    </row>
    <row r="12939" spans="13:16">
      <c r="M12939" s="49">
        <f>IF($A$4+129&gt;$B$4,"",$A$4+129)</f>
        <v>46152</v>
      </c>
      <c r="N12939" t="str">
        <f>IF(M12939="","",'Master Barang'!A33)</f>
        <v>PRL-032</v>
      </c>
      <c r="O12939" t="str">
        <f>IF(N12939="","",'Master Barang'!B33)</f>
        <v>plastik packaging ag box uk sedang</v>
      </c>
      <c r="P12939">
        <f>IF(OR(M12939="",N12939=""),"",SUMIFS('Barang Keluar'!$E:$E,'Barang Keluar'!$A:$A,M12939,'Barang Keluar'!$C:$C,N12939))</f>
        <v>0</v>
      </c>
    </row>
    <row r="12940" spans="13:16">
      <c r="M12940" s="49">
        <f>IF($A$4+129&gt;$B$4,"",$A$4+129)</f>
        <v>46152</v>
      </c>
      <c r="N12940" t="str">
        <f>IF(M12940="","",'Master Barang'!A34)</f>
        <v>PRL-033</v>
      </c>
      <c r="O12940">
        <f>IF(N12940="","",'Master Barang'!B34)</f>
        <v>0</v>
      </c>
      <c r="P12940">
        <f>IF(OR(M12940="",N12940=""),"",SUMIFS('Barang Keluar'!$E:$E,'Barang Keluar'!$A:$A,M12940,'Barang Keluar'!$C:$C,N12940))</f>
        <v>0</v>
      </c>
    </row>
    <row r="12941" spans="13:16">
      <c r="M12941" s="49">
        <f>IF($A$4+129&gt;$B$4,"",$A$4+129)</f>
        <v>46152</v>
      </c>
      <c r="N12941">
        <f>IF(M12941="","",'Master Barang'!A35)</f>
        <v>0</v>
      </c>
      <c r="O12941">
        <f>IF(N12941="","",'Master Barang'!B35)</f>
        <v>0</v>
      </c>
      <c r="P12941">
        <f>IF(OR(M12941="",N12941=""),"",SUMIFS('Barang Keluar'!$E:$E,'Barang Keluar'!$A:$A,M12941,'Barang Keluar'!$C:$C,N12941))</f>
        <v>0</v>
      </c>
    </row>
    <row r="12942" spans="13:16">
      <c r="M12942" s="49">
        <f>IF($A$4+129&gt;$B$4,"",$A$4+129)</f>
        <v>46152</v>
      </c>
      <c r="N12942">
        <f>IF(M12942="","",'Master Barang'!A36)</f>
        <v>0</v>
      </c>
      <c r="O12942">
        <f>IF(N12942="","",'Master Barang'!B36)</f>
        <v>0</v>
      </c>
      <c r="P12942">
        <f>IF(OR(M12942="",N12942=""),"",SUMIFS('Barang Keluar'!$E:$E,'Barang Keluar'!$A:$A,M12942,'Barang Keluar'!$C:$C,N12942))</f>
        <v>0</v>
      </c>
    </row>
    <row r="12943" spans="13:16">
      <c r="M12943" s="49">
        <f>IF($A$4+129&gt;$B$4,"",$A$4+129)</f>
        <v>46152</v>
      </c>
      <c r="N12943">
        <f>IF(M12943="","",'Master Barang'!A37)</f>
        <v>0</v>
      </c>
      <c r="O12943">
        <f>IF(N12943="","",'Master Barang'!B37)</f>
        <v>0</v>
      </c>
      <c r="P12943">
        <f>IF(OR(M12943="",N12943=""),"",SUMIFS('Barang Keluar'!$E:$E,'Barang Keluar'!$A:$A,M12943,'Barang Keluar'!$C:$C,N12943))</f>
        <v>0</v>
      </c>
    </row>
    <row r="12944" spans="13:16">
      <c r="M12944" s="49">
        <f>IF($A$4+129&gt;$B$4,"",$A$4+129)</f>
        <v>46152</v>
      </c>
      <c r="N12944">
        <f>IF(M12944="","",'Master Barang'!A38)</f>
        <v>0</v>
      </c>
      <c r="O12944">
        <f>IF(N12944="","",'Master Barang'!B38)</f>
        <v>0</v>
      </c>
      <c r="P12944">
        <f>IF(OR(M12944="",N12944=""),"",SUMIFS('Barang Keluar'!$E:$E,'Barang Keluar'!$A:$A,M12944,'Barang Keluar'!$C:$C,N12944))</f>
        <v>0</v>
      </c>
    </row>
    <row r="12945" spans="13:16">
      <c r="M12945" s="49">
        <f>IF($A$4+129&gt;$B$4,"",$A$4+129)</f>
        <v>46152</v>
      </c>
      <c r="N12945">
        <f>IF(M12945="","",'Master Barang'!A39)</f>
        <v>0</v>
      </c>
      <c r="O12945">
        <f>IF(N12945="","",'Master Barang'!B39)</f>
        <v>0</v>
      </c>
      <c r="P12945">
        <f>IF(OR(M12945="",N12945=""),"",SUMIFS('Barang Keluar'!$E:$E,'Barang Keluar'!$A:$A,M12945,'Barang Keluar'!$C:$C,N12945))</f>
        <v>0</v>
      </c>
    </row>
    <row r="12946" spans="13:16">
      <c r="M12946" s="49">
        <f>IF($A$4+129&gt;$B$4,"",$A$4+129)</f>
        <v>46152</v>
      </c>
      <c r="N12946">
        <f>IF(M12946="","",'Master Barang'!A40)</f>
        <v>0</v>
      </c>
      <c r="O12946">
        <f>IF(N12946="","",'Master Barang'!B40)</f>
        <v>0</v>
      </c>
      <c r="P12946">
        <f>IF(OR(M12946="",N12946=""),"",SUMIFS('Barang Keluar'!$E:$E,'Barang Keluar'!$A:$A,M12946,'Barang Keluar'!$C:$C,N12946))</f>
        <v>0</v>
      </c>
    </row>
    <row r="12947" spans="13:16">
      <c r="M12947" s="49">
        <f>IF($A$4+129&gt;$B$4,"",$A$4+129)</f>
        <v>46152</v>
      </c>
      <c r="N12947">
        <f>IF(M12947="","",'Master Barang'!A41)</f>
        <v>0</v>
      </c>
      <c r="O12947">
        <f>IF(N12947="","",'Master Barang'!B41)</f>
        <v>0</v>
      </c>
      <c r="P12947">
        <f>IF(OR(M12947="",N12947=""),"",SUMIFS('Barang Keluar'!$E:$E,'Barang Keluar'!$A:$A,M12947,'Barang Keluar'!$C:$C,N12947))</f>
        <v>0</v>
      </c>
    </row>
    <row r="12948" spans="13:16">
      <c r="M12948" s="49">
        <f>IF($A$4+129&gt;$B$4,"",$A$4+129)</f>
        <v>46152</v>
      </c>
      <c r="N12948">
        <f>IF(M12948="","",'Master Barang'!A42)</f>
        <v>0</v>
      </c>
      <c r="O12948">
        <f>IF(N12948="","",'Master Barang'!B42)</f>
        <v>0</v>
      </c>
      <c r="P12948">
        <f>IF(OR(M12948="",N12948=""),"",SUMIFS('Barang Keluar'!$E:$E,'Barang Keluar'!$A:$A,M12948,'Barang Keluar'!$C:$C,N12948))</f>
        <v>0</v>
      </c>
    </row>
    <row r="12949" spans="13:16">
      <c r="M12949" s="49">
        <f>IF($A$4+129&gt;$B$4,"",$A$4+129)</f>
        <v>46152</v>
      </c>
      <c r="N12949">
        <f>IF(M12949="","",'Master Barang'!A43)</f>
        <v>0</v>
      </c>
      <c r="O12949">
        <f>IF(N12949="","",'Master Barang'!B43)</f>
        <v>0</v>
      </c>
      <c r="P12949">
        <f>IF(OR(M12949="",N12949=""),"",SUMIFS('Barang Keluar'!$E:$E,'Barang Keluar'!$A:$A,M12949,'Barang Keluar'!$C:$C,N12949))</f>
        <v>0</v>
      </c>
    </row>
    <row r="12950" spans="13:16">
      <c r="M12950" s="49">
        <f>IF($A$4+129&gt;$B$4,"",$A$4+129)</f>
        <v>46152</v>
      </c>
      <c r="N12950">
        <f>IF(M12950="","",'Master Barang'!A44)</f>
        <v>0</v>
      </c>
      <c r="O12950">
        <f>IF(N12950="","",'Master Barang'!B44)</f>
        <v>0</v>
      </c>
      <c r="P12950">
        <f>IF(OR(M12950="",N12950=""),"",SUMIFS('Barang Keluar'!$E:$E,'Barang Keluar'!$A:$A,M12950,'Barang Keluar'!$C:$C,N12950))</f>
        <v>0</v>
      </c>
    </row>
    <row r="12951" spans="13:16">
      <c r="M12951" s="49">
        <f>IF($A$4+129&gt;$B$4,"",$A$4+129)</f>
        <v>46152</v>
      </c>
      <c r="N12951">
        <f>IF(M12951="","",'Master Barang'!A45)</f>
        <v>0</v>
      </c>
      <c r="O12951">
        <f>IF(N12951="","",'Master Barang'!B45)</f>
        <v>0</v>
      </c>
      <c r="P12951">
        <f>IF(OR(M12951="",N12951=""),"",SUMIFS('Barang Keluar'!$E:$E,'Barang Keluar'!$A:$A,M12951,'Barang Keluar'!$C:$C,N12951))</f>
        <v>0</v>
      </c>
    </row>
    <row r="12952" spans="13:16">
      <c r="M12952" s="49">
        <f>IF($A$4+129&gt;$B$4,"",$A$4+129)</f>
        <v>46152</v>
      </c>
      <c r="N12952">
        <f>IF(M12952="","",'Master Barang'!A46)</f>
        <v>0</v>
      </c>
      <c r="O12952">
        <f>IF(N12952="","",'Master Barang'!B46)</f>
        <v>0</v>
      </c>
      <c r="P12952">
        <f>IF(OR(M12952="",N12952=""),"",SUMIFS('Barang Keluar'!$E:$E,'Barang Keluar'!$A:$A,M12952,'Barang Keluar'!$C:$C,N12952))</f>
        <v>0</v>
      </c>
    </row>
    <row r="12953" spans="13:16">
      <c r="M12953" s="49">
        <f>IF($A$4+129&gt;$B$4,"",$A$4+129)</f>
        <v>46152</v>
      </c>
      <c r="N12953">
        <f>IF(M12953="","",'Master Barang'!A47)</f>
        <v>0</v>
      </c>
      <c r="O12953">
        <f>IF(N12953="","",'Master Barang'!B47)</f>
        <v>0</v>
      </c>
      <c r="P12953">
        <f>IF(OR(M12953="",N12953=""),"",SUMIFS('Barang Keluar'!$E:$E,'Barang Keluar'!$A:$A,M12953,'Barang Keluar'!$C:$C,N12953))</f>
        <v>0</v>
      </c>
    </row>
    <row r="12954" spans="13:16">
      <c r="M12954" s="49">
        <f>IF($A$4+129&gt;$B$4,"",$A$4+129)</f>
        <v>46152</v>
      </c>
      <c r="N12954">
        <f>IF(M12954="","",'Master Barang'!A48)</f>
        <v>0</v>
      </c>
      <c r="O12954">
        <f>IF(N12954="","",'Master Barang'!B48)</f>
        <v>0</v>
      </c>
      <c r="P12954">
        <f>IF(OR(M12954="",N12954=""),"",SUMIFS('Barang Keluar'!$E:$E,'Barang Keluar'!$A:$A,M12954,'Barang Keluar'!$C:$C,N12954))</f>
        <v>0</v>
      </c>
    </row>
    <row r="12955" spans="13:16">
      <c r="M12955" s="49">
        <f>IF($A$4+129&gt;$B$4,"",$A$4+129)</f>
        <v>46152</v>
      </c>
      <c r="N12955">
        <f>IF(M12955="","",'Master Barang'!A49)</f>
        <v>0</v>
      </c>
      <c r="O12955">
        <f>IF(N12955="","",'Master Barang'!B49)</f>
        <v>0</v>
      </c>
      <c r="P12955">
        <f>IF(OR(M12955="",N12955=""),"",SUMIFS('Barang Keluar'!$E:$E,'Barang Keluar'!$A:$A,M12955,'Barang Keluar'!$C:$C,N12955))</f>
        <v>0</v>
      </c>
    </row>
    <row r="12956" spans="13:16">
      <c r="M12956" s="49">
        <f>IF($A$4+129&gt;$B$4,"",$A$4+129)</f>
        <v>46152</v>
      </c>
      <c r="N12956">
        <f>IF(M12956="","",'Master Barang'!A50)</f>
        <v>0</v>
      </c>
      <c r="O12956">
        <f>IF(N12956="","",'Master Barang'!B50)</f>
        <v>0</v>
      </c>
      <c r="P12956">
        <f>IF(OR(M12956="",N12956=""),"",SUMIFS('Barang Keluar'!$E:$E,'Barang Keluar'!$A:$A,M12956,'Barang Keluar'!$C:$C,N12956))</f>
        <v>0</v>
      </c>
    </row>
    <row r="12957" spans="13:16">
      <c r="M12957" s="49">
        <f>IF($A$4+129&gt;$B$4,"",$A$4+129)</f>
        <v>46152</v>
      </c>
      <c r="N12957">
        <f>IF(M12957="","",'Master Barang'!A51)</f>
        <v>0</v>
      </c>
      <c r="O12957">
        <f>IF(N12957="","",'Master Barang'!B51)</f>
        <v>0</v>
      </c>
      <c r="P12957">
        <f>IF(OR(M12957="",N12957=""),"",SUMIFS('Barang Keluar'!$E:$E,'Barang Keluar'!$A:$A,M12957,'Barang Keluar'!$C:$C,N12957))</f>
        <v>0</v>
      </c>
    </row>
    <row r="12958" spans="13:16">
      <c r="M12958" s="49">
        <f>IF($A$4+129&gt;$B$4,"",$A$4+129)</f>
        <v>46152</v>
      </c>
      <c r="N12958">
        <f>IF(M12958="","",'Master Barang'!A52)</f>
        <v>0</v>
      </c>
      <c r="O12958">
        <f>IF(N12958="","",'Master Barang'!B52)</f>
        <v>0</v>
      </c>
      <c r="P12958">
        <f>IF(OR(M12958="",N12958=""),"",SUMIFS('Barang Keluar'!$E:$E,'Barang Keluar'!$A:$A,M12958,'Barang Keluar'!$C:$C,N12958))</f>
        <v>0</v>
      </c>
    </row>
    <row r="12959" spans="13:16">
      <c r="M12959" s="49">
        <f>IF($A$4+129&gt;$B$4,"",$A$4+129)</f>
        <v>46152</v>
      </c>
      <c r="N12959">
        <f>IF(M12959="","",'Master Barang'!A53)</f>
        <v>0</v>
      </c>
      <c r="O12959">
        <f>IF(N12959="","",'Master Barang'!B53)</f>
        <v>0</v>
      </c>
      <c r="P12959">
        <f>IF(OR(M12959="",N12959=""),"",SUMIFS('Barang Keluar'!$E:$E,'Barang Keluar'!$A:$A,M12959,'Barang Keluar'!$C:$C,N12959))</f>
        <v>0</v>
      </c>
    </row>
    <row r="12960" spans="13:16">
      <c r="M12960" s="49">
        <f>IF($A$4+129&gt;$B$4,"",$A$4+129)</f>
        <v>46152</v>
      </c>
      <c r="N12960">
        <f>IF(M12960="","",'Master Barang'!A54)</f>
        <v>0</v>
      </c>
      <c r="O12960">
        <f>IF(N12960="","",'Master Barang'!B54)</f>
        <v>0</v>
      </c>
      <c r="P12960">
        <f>IF(OR(M12960="",N12960=""),"",SUMIFS('Barang Keluar'!$E:$E,'Barang Keluar'!$A:$A,M12960,'Barang Keluar'!$C:$C,N12960))</f>
        <v>0</v>
      </c>
    </row>
    <row r="12961" spans="13:16">
      <c r="M12961" s="49">
        <f>IF($A$4+129&gt;$B$4,"",$A$4+129)</f>
        <v>46152</v>
      </c>
      <c r="N12961">
        <f>IF(M12961="","",'Master Barang'!A55)</f>
        <v>0</v>
      </c>
      <c r="O12961">
        <f>IF(N12961="","",'Master Barang'!B55)</f>
        <v>0</v>
      </c>
      <c r="P12961">
        <f>IF(OR(M12961="",N12961=""),"",SUMIFS('Barang Keluar'!$E:$E,'Barang Keluar'!$A:$A,M12961,'Barang Keluar'!$C:$C,N12961))</f>
        <v>0</v>
      </c>
    </row>
    <row r="12962" spans="13:16">
      <c r="M12962" s="49">
        <f>IF($A$4+129&gt;$B$4,"",$A$4+129)</f>
        <v>46152</v>
      </c>
      <c r="N12962">
        <f>IF(M12962="","",'Master Barang'!A56)</f>
        <v>0</v>
      </c>
      <c r="O12962">
        <f>IF(N12962="","",'Master Barang'!B56)</f>
        <v>0</v>
      </c>
      <c r="P12962">
        <f>IF(OR(M12962="",N12962=""),"",SUMIFS('Barang Keluar'!$E:$E,'Barang Keluar'!$A:$A,M12962,'Barang Keluar'!$C:$C,N12962))</f>
        <v>0</v>
      </c>
    </row>
    <row r="12963" spans="13:16">
      <c r="M12963" s="49">
        <f>IF($A$4+129&gt;$B$4,"",$A$4+129)</f>
        <v>46152</v>
      </c>
      <c r="N12963">
        <f>IF(M12963="","",'Master Barang'!A57)</f>
        <v>0</v>
      </c>
      <c r="O12963">
        <f>IF(N12963="","",'Master Barang'!B57)</f>
        <v>0</v>
      </c>
      <c r="P12963">
        <f>IF(OR(M12963="",N12963=""),"",SUMIFS('Barang Keluar'!$E:$E,'Barang Keluar'!$A:$A,M12963,'Barang Keluar'!$C:$C,N12963))</f>
        <v>0</v>
      </c>
    </row>
    <row r="12964" spans="13:16">
      <c r="M12964" s="49">
        <f>IF($A$4+129&gt;$B$4,"",$A$4+129)</f>
        <v>46152</v>
      </c>
      <c r="N12964">
        <f>IF(M12964="","",'Master Barang'!A58)</f>
        <v>0</v>
      </c>
      <c r="O12964">
        <f>IF(N12964="","",'Master Barang'!B58)</f>
        <v>0</v>
      </c>
      <c r="P12964">
        <f>IF(OR(M12964="",N12964=""),"",SUMIFS('Barang Keluar'!$E:$E,'Barang Keluar'!$A:$A,M12964,'Barang Keluar'!$C:$C,N12964))</f>
        <v>0</v>
      </c>
    </row>
    <row r="12965" spans="13:16">
      <c r="M12965" s="49">
        <f>IF($A$4+129&gt;$B$4,"",$A$4+129)</f>
        <v>46152</v>
      </c>
      <c r="N12965">
        <f>IF(M12965="","",'Master Barang'!A59)</f>
        <v>0</v>
      </c>
      <c r="O12965">
        <f>IF(N12965="","",'Master Barang'!B59)</f>
        <v>0</v>
      </c>
      <c r="P12965">
        <f>IF(OR(M12965="",N12965=""),"",SUMIFS('Barang Keluar'!$E:$E,'Barang Keluar'!$A:$A,M12965,'Barang Keluar'!$C:$C,N12965))</f>
        <v>0</v>
      </c>
    </row>
    <row r="12966" spans="13:16">
      <c r="M12966" s="49">
        <f>IF($A$4+129&gt;$B$4,"",$A$4+129)</f>
        <v>46152</v>
      </c>
      <c r="N12966">
        <f>IF(M12966="","",'Master Barang'!A60)</f>
        <v>0</v>
      </c>
      <c r="O12966">
        <f>IF(N12966="","",'Master Barang'!B60)</f>
        <v>0</v>
      </c>
      <c r="P12966">
        <f>IF(OR(M12966="",N12966=""),"",SUMIFS('Barang Keluar'!$E:$E,'Barang Keluar'!$A:$A,M12966,'Barang Keluar'!$C:$C,N12966))</f>
        <v>0</v>
      </c>
    </row>
    <row r="12967" spans="13:16">
      <c r="M12967" s="49">
        <f>IF($A$4+129&gt;$B$4,"",$A$4+129)</f>
        <v>46152</v>
      </c>
      <c r="N12967">
        <f>IF(M12967="","",'Master Barang'!A61)</f>
        <v>0</v>
      </c>
      <c r="O12967">
        <f>IF(N12967="","",'Master Barang'!B61)</f>
        <v>0</v>
      </c>
      <c r="P12967">
        <f>IF(OR(M12967="",N12967=""),"",SUMIFS('Barang Keluar'!$E:$E,'Barang Keluar'!$A:$A,M12967,'Barang Keluar'!$C:$C,N12967))</f>
        <v>0</v>
      </c>
    </row>
    <row r="12968" spans="13:16">
      <c r="M12968" s="49">
        <f>IF($A$4+129&gt;$B$4,"",$A$4+129)</f>
        <v>46152</v>
      </c>
      <c r="N12968">
        <f>IF(M12968="","",'Master Barang'!A62)</f>
        <v>0</v>
      </c>
      <c r="O12968">
        <f>IF(N12968="","",'Master Barang'!B62)</f>
        <v>0</v>
      </c>
      <c r="P12968">
        <f>IF(OR(M12968="",N12968=""),"",SUMIFS('Barang Keluar'!$E:$E,'Barang Keluar'!$A:$A,M12968,'Barang Keluar'!$C:$C,N12968))</f>
        <v>0</v>
      </c>
    </row>
    <row r="12969" spans="13:16">
      <c r="M12969" s="49">
        <f>IF($A$4+129&gt;$B$4,"",$A$4+129)</f>
        <v>46152</v>
      </c>
      <c r="N12969">
        <f>IF(M12969="","",'Master Barang'!A63)</f>
        <v>0</v>
      </c>
      <c r="O12969">
        <f>IF(N12969="","",'Master Barang'!B63)</f>
        <v>0</v>
      </c>
      <c r="P12969">
        <f>IF(OR(M12969="",N12969=""),"",SUMIFS('Barang Keluar'!$E:$E,'Barang Keluar'!$A:$A,M12969,'Barang Keluar'!$C:$C,N12969))</f>
        <v>0</v>
      </c>
    </row>
    <row r="12970" spans="13:16">
      <c r="M12970" s="49">
        <f>IF($A$4+129&gt;$B$4,"",$A$4+129)</f>
        <v>46152</v>
      </c>
      <c r="N12970">
        <f>IF(M12970="","",'Master Barang'!A64)</f>
        <v>0</v>
      </c>
      <c r="O12970">
        <f>IF(N12970="","",'Master Barang'!B64)</f>
        <v>0</v>
      </c>
      <c r="P12970">
        <f>IF(OR(M12970="",N12970=""),"",SUMIFS('Barang Keluar'!$E:$E,'Barang Keluar'!$A:$A,M12970,'Barang Keluar'!$C:$C,N12970))</f>
        <v>0</v>
      </c>
    </row>
    <row r="12971" spans="13:16">
      <c r="M12971" s="49">
        <f>IF($A$4+129&gt;$B$4,"",$A$4+129)</f>
        <v>46152</v>
      </c>
      <c r="N12971">
        <f>IF(M12971="","",'Master Barang'!A65)</f>
        <v>0</v>
      </c>
      <c r="O12971">
        <f>IF(N12971="","",'Master Barang'!B65)</f>
        <v>0</v>
      </c>
      <c r="P12971">
        <f>IF(OR(M12971="",N12971=""),"",SUMIFS('Barang Keluar'!$E:$E,'Barang Keluar'!$A:$A,M12971,'Barang Keluar'!$C:$C,N12971))</f>
        <v>0</v>
      </c>
    </row>
    <row r="12972" spans="13:16">
      <c r="M12972" s="49">
        <f>IF($A$4+129&gt;$B$4,"",$A$4+129)</f>
        <v>46152</v>
      </c>
      <c r="N12972">
        <f>IF(M12972="","",'Master Barang'!A66)</f>
        <v>0</v>
      </c>
      <c r="O12972">
        <f>IF(N12972="","",'Master Barang'!B66)</f>
        <v>0</v>
      </c>
      <c r="P12972">
        <f>IF(OR(M12972="",N12972=""),"",SUMIFS('Barang Keluar'!$E:$E,'Barang Keluar'!$A:$A,M12972,'Barang Keluar'!$C:$C,N12972))</f>
        <v>0</v>
      </c>
    </row>
    <row r="12973" spans="13:16">
      <c r="M12973" s="49">
        <f>IF($A$4+129&gt;$B$4,"",$A$4+129)</f>
        <v>46152</v>
      </c>
      <c r="N12973">
        <f>IF(M12973="","",'Master Barang'!A67)</f>
        <v>0</v>
      </c>
      <c r="O12973">
        <f>IF(N12973="","",'Master Barang'!B67)</f>
        <v>0</v>
      </c>
      <c r="P12973">
        <f>IF(OR(M12973="",N12973=""),"",SUMIFS('Barang Keluar'!$E:$E,'Barang Keluar'!$A:$A,M12973,'Barang Keluar'!$C:$C,N12973))</f>
        <v>0</v>
      </c>
    </row>
    <row r="12974" spans="13:16">
      <c r="M12974" s="49">
        <f>IF($A$4+129&gt;$B$4,"",$A$4+129)</f>
        <v>46152</v>
      </c>
      <c r="N12974">
        <f>IF(M12974="","",'Master Barang'!A68)</f>
        <v>0</v>
      </c>
      <c r="O12974">
        <f>IF(N12974="","",'Master Barang'!B68)</f>
        <v>0</v>
      </c>
      <c r="P12974">
        <f>IF(OR(M12974="",N12974=""),"",SUMIFS('Barang Keluar'!$E:$E,'Barang Keluar'!$A:$A,M12974,'Barang Keluar'!$C:$C,N12974))</f>
        <v>0</v>
      </c>
    </row>
    <row r="12975" spans="13:16">
      <c r="M12975" s="49">
        <f>IF($A$4+129&gt;$B$4,"",$A$4+129)</f>
        <v>46152</v>
      </c>
      <c r="N12975">
        <f>IF(M12975="","",'Master Barang'!A69)</f>
        <v>0</v>
      </c>
      <c r="O12975">
        <f>IF(N12975="","",'Master Barang'!B69)</f>
        <v>0</v>
      </c>
      <c r="P12975">
        <f>IF(OR(M12975="",N12975=""),"",SUMIFS('Barang Keluar'!$E:$E,'Barang Keluar'!$A:$A,M12975,'Barang Keluar'!$C:$C,N12975))</f>
        <v>0</v>
      </c>
    </row>
    <row r="12976" spans="13:16">
      <c r="M12976" s="49">
        <f>IF($A$4+129&gt;$B$4,"",$A$4+129)</f>
        <v>46152</v>
      </c>
      <c r="N12976">
        <f>IF(M12976="","",'Master Barang'!A70)</f>
        <v>0</v>
      </c>
      <c r="O12976">
        <f>IF(N12976="","",'Master Barang'!B70)</f>
        <v>0</v>
      </c>
      <c r="P12976">
        <f>IF(OR(M12976="",N12976=""),"",SUMIFS('Barang Keluar'!$E:$E,'Barang Keluar'!$A:$A,M12976,'Barang Keluar'!$C:$C,N12976))</f>
        <v>0</v>
      </c>
    </row>
    <row r="12977" spans="13:16">
      <c r="M12977" s="49">
        <f>IF($A$4+129&gt;$B$4,"",$A$4+129)</f>
        <v>46152</v>
      </c>
      <c r="N12977">
        <f>IF(M12977="","",'Master Barang'!A71)</f>
        <v>0</v>
      </c>
      <c r="O12977">
        <f>IF(N12977="","",'Master Barang'!B71)</f>
        <v>0</v>
      </c>
      <c r="P12977">
        <f>IF(OR(M12977="",N12977=""),"",SUMIFS('Barang Keluar'!$E:$E,'Barang Keluar'!$A:$A,M12977,'Barang Keluar'!$C:$C,N12977))</f>
        <v>0</v>
      </c>
    </row>
    <row r="12978" spans="13:16">
      <c r="M12978" s="49">
        <f>IF($A$4+129&gt;$B$4,"",$A$4+129)</f>
        <v>46152</v>
      </c>
      <c r="N12978">
        <f>IF(M12978="","",'Master Barang'!A72)</f>
        <v>0</v>
      </c>
      <c r="O12978">
        <f>IF(N12978="","",'Master Barang'!B72)</f>
        <v>0</v>
      </c>
      <c r="P12978">
        <f>IF(OR(M12978="",N12978=""),"",SUMIFS('Barang Keluar'!$E:$E,'Barang Keluar'!$A:$A,M12978,'Barang Keluar'!$C:$C,N12978))</f>
        <v>0</v>
      </c>
    </row>
    <row r="12979" spans="13:16">
      <c r="M12979" s="49">
        <f>IF($A$4+129&gt;$B$4,"",$A$4+129)</f>
        <v>46152</v>
      </c>
      <c r="N12979">
        <f>IF(M12979="","",'Master Barang'!A73)</f>
        <v>0</v>
      </c>
      <c r="O12979">
        <f>IF(N12979="","",'Master Barang'!B73)</f>
        <v>0</v>
      </c>
      <c r="P12979">
        <f>IF(OR(M12979="",N12979=""),"",SUMIFS('Barang Keluar'!$E:$E,'Barang Keluar'!$A:$A,M12979,'Barang Keluar'!$C:$C,N12979))</f>
        <v>0</v>
      </c>
    </row>
    <row r="12980" spans="13:16">
      <c r="M12980" s="49">
        <f>IF($A$4+129&gt;$B$4,"",$A$4+129)</f>
        <v>46152</v>
      </c>
      <c r="N12980">
        <f>IF(M12980="","",'Master Barang'!A74)</f>
        <v>0</v>
      </c>
      <c r="O12980">
        <f>IF(N12980="","",'Master Barang'!B74)</f>
        <v>0</v>
      </c>
      <c r="P12980">
        <f>IF(OR(M12980="",N12980=""),"",SUMIFS('Barang Keluar'!$E:$E,'Barang Keluar'!$A:$A,M12980,'Barang Keluar'!$C:$C,N12980))</f>
        <v>0</v>
      </c>
    </row>
    <row r="12981" spans="13:16">
      <c r="M12981" s="49">
        <f>IF($A$4+129&gt;$B$4,"",$A$4+129)</f>
        <v>46152</v>
      </c>
      <c r="N12981">
        <f>IF(M12981="","",'Master Barang'!A75)</f>
        <v>0</v>
      </c>
      <c r="O12981">
        <f>IF(N12981="","",'Master Barang'!B75)</f>
        <v>0</v>
      </c>
      <c r="P12981">
        <f>IF(OR(M12981="",N12981=""),"",SUMIFS('Barang Keluar'!$E:$E,'Barang Keluar'!$A:$A,M12981,'Barang Keluar'!$C:$C,N12981))</f>
        <v>0</v>
      </c>
    </row>
    <row r="12982" spans="13:16">
      <c r="M12982" s="49">
        <f>IF($A$4+129&gt;$B$4,"",$A$4+129)</f>
        <v>46152</v>
      </c>
      <c r="N12982">
        <f>IF(M12982="","",'Master Barang'!A76)</f>
        <v>0</v>
      </c>
      <c r="O12982">
        <f>IF(N12982="","",'Master Barang'!B76)</f>
        <v>0</v>
      </c>
      <c r="P12982">
        <f>IF(OR(M12982="",N12982=""),"",SUMIFS('Barang Keluar'!$E:$E,'Barang Keluar'!$A:$A,M12982,'Barang Keluar'!$C:$C,N12982))</f>
        <v>0</v>
      </c>
    </row>
    <row r="12983" spans="13:16">
      <c r="M12983" s="49">
        <f>IF($A$4+129&gt;$B$4,"",$A$4+129)</f>
        <v>46152</v>
      </c>
      <c r="N12983">
        <f>IF(M12983="","",'Master Barang'!A77)</f>
        <v>0</v>
      </c>
      <c r="O12983">
        <f>IF(N12983="","",'Master Barang'!B77)</f>
        <v>0</v>
      </c>
      <c r="P12983">
        <f>IF(OR(M12983="",N12983=""),"",SUMIFS('Barang Keluar'!$E:$E,'Barang Keluar'!$A:$A,M12983,'Barang Keluar'!$C:$C,N12983))</f>
        <v>0</v>
      </c>
    </row>
    <row r="12984" spans="13:16">
      <c r="M12984" s="49">
        <f>IF($A$4+129&gt;$B$4,"",$A$4+129)</f>
        <v>46152</v>
      </c>
      <c r="N12984">
        <f>IF(M12984="","",'Master Barang'!A78)</f>
        <v>0</v>
      </c>
      <c r="O12984">
        <f>IF(N12984="","",'Master Barang'!B78)</f>
        <v>0</v>
      </c>
      <c r="P12984">
        <f>IF(OR(M12984="",N12984=""),"",SUMIFS('Barang Keluar'!$E:$E,'Barang Keluar'!$A:$A,M12984,'Barang Keluar'!$C:$C,N12984))</f>
        <v>0</v>
      </c>
    </row>
    <row r="12985" spans="13:16">
      <c r="M12985" s="49">
        <f>IF($A$4+129&gt;$B$4,"",$A$4+129)</f>
        <v>46152</v>
      </c>
      <c r="N12985">
        <f>IF(M12985="","",'Master Barang'!A79)</f>
        <v>0</v>
      </c>
      <c r="O12985">
        <f>IF(N12985="","",'Master Barang'!B79)</f>
        <v>0</v>
      </c>
      <c r="P12985">
        <f>IF(OR(M12985="",N12985=""),"",SUMIFS('Barang Keluar'!$E:$E,'Barang Keluar'!$A:$A,M12985,'Barang Keluar'!$C:$C,N12985))</f>
        <v>0</v>
      </c>
    </row>
    <row r="12986" spans="13:16">
      <c r="M12986" s="49">
        <f>IF($A$4+129&gt;$B$4,"",$A$4+129)</f>
        <v>46152</v>
      </c>
      <c r="N12986">
        <f>IF(M12986="","",'Master Barang'!A80)</f>
        <v>0</v>
      </c>
      <c r="O12986">
        <f>IF(N12986="","",'Master Barang'!B80)</f>
        <v>0</v>
      </c>
      <c r="P12986">
        <f>IF(OR(M12986="",N12986=""),"",SUMIFS('Barang Keluar'!$E:$E,'Barang Keluar'!$A:$A,M12986,'Barang Keluar'!$C:$C,N12986))</f>
        <v>0</v>
      </c>
    </row>
    <row r="12987" spans="13:16">
      <c r="M12987" s="49">
        <f>IF($A$4+129&gt;$B$4,"",$A$4+129)</f>
        <v>46152</v>
      </c>
      <c r="N12987">
        <f>IF(M12987="","",'Master Barang'!A81)</f>
        <v>0</v>
      </c>
      <c r="O12987">
        <f>IF(N12987="","",'Master Barang'!B81)</f>
        <v>0</v>
      </c>
      <c r="P12987">
        <f>IF(OR(M12987="",N12987=""),"",SUMIFS('Barang Keluar'!$E:$E,'Barang Keluar'!$A:$A,M12987,'Barang Keluar'!$C:$C,N12987))</f>
        <v>0</v>
      </c>
    </row>
    <row r="12988" spans="13:16">
      <c r="M12988" s="49">
        <f>IF($A$4+129&gt;$B$4,"",$A$4+129)</f>
        <v>46152</v>
      </c>
      <c r="N12988">
        <f>IF(M12988="","",'Master Barang'!A82)</f>
        <v>0</v>
      </c>
      <c r="O12988">
        <f>IF(N12988="","",'Master Barang'!B82)</f>
        <v>0</v>
      </c>
      <c r="P12988">
        <f>IF(OR(M12988="",N12988=""),"",SUMIFS('Barang Keluar'!$E:$E,'Barang Keluar'!$A:$A,M12988,'Barang Keluar'!$C:$C,N12988))</f>
        <v>0</v>
      </c>
    </row>
    <row r="12989" spans="13:16">
      <c r="M12989" s="49">
        <f>IF($A$4+129&gt;$B$4,"",$A$4+129)</f>
        <v>46152</v>
      </c>
      <c r="N12989">
        <f>IF(M12989="","",'Master Barang'!A83)</f>
        <v>0</v>
      </c>
      <c r="O12989">
        <f>IF(N12989="","",'Master Barang'!B83)</f>
        <v>0</v>
      </c>
      <c r="P12989">
        <f>IF(OR(M12989="",N12989=""),"",SUMIFS('Barang Keluar'!$E:$E,'Barang Keluar'!$A:$A,M12989,'Barang Keluar'!$C:$C,N12989))</f>
        <v>0</v>
      </c>
    </row>
    <row r="12990" spans="13:16">
      <c r="M12990" s="49">
        <f>IF($A$4+129&gt;$B$4,"",$A$4+129)</f>
        <v>46152</v>
      </c>
      <c r="N12990">
        <f>IF(M12990="","",'Master Barang'!A84)</f>
        <v>0</v>
      </c>
      <c r="O12990">
        <f>IF(N12990="","",'Master Barang'!B84)</f>
        <v>0</v>
      </c>
      <c r="P12990">
        <f>IF(OR(M12990="",N12990=""),"",SUMIFS('Barang Keluar'!$E:$E,'Barang Keluar'!$A:$A,M12990,'Barang Keluar'!$C:$C,N12990))</f>
        <v>0</v>
      </c>
    </row>
    <row r="12991" spans="13:16">
      <c r="M12991" s="49">
        <f>IF($A$4+129&gt;$B$4,"",$A$4+129)</f>
        <v>46152</v>
      </c>
      <c r="N12991">
        <f>IF(M12991="","",'Master Barang'!A85)</f>
        <v>0</v>
      </c>
      <c r="O12991">
        <f>IF(N12991="","",'Master Barang'!B85)</f>
        <v>0</v>
      </c>
      <c r="P12991">
        <f>IF(OR(M12991="",N12991=""),"",SUMIFS('Barang Keluar'!$E:$E,'Barang Keluar'!$A:$A,M12991,'Barang Keluar'!$C:$C,N12991))</f>
        <v>0</v>
      </c>
    </row>
    <row r="12992" spans="13:16">
      <c r="M12992" s="49">
        <f>IF($A$4+129&gt;$B$4,"",$A$4+129)</f>
        <v>46152</v>
      </c>
      <c r="N12992">
        <f>IF(M12992="","",'Master Barang'!A86)</f>
        <v>0</v>
      </c>
      <c r="O12992">
        <f>IF(N12992="","",'Master Barang'!B86)</f>
        <v>0</v>
      </c>
      <c r="P12992">
        <f>IF(OR(M12992="",N12992=""),"",SUMIFS('Barang Keluar'!$E:$E,'Barang Keluar'!$A:$A,M12992,'Barang Keluar'!$C:$C,N12992))</f>
        <v>0</v>
      </c>
    </row>
    <row r="12993" spans="13:16">
      <c r="M12993" s="49">
        <f>IF($A$4+129&gt;$B$4,"",$A$4+129)</f>
        <v>46152</v>
      </c>
      <c r="N12993">
        <f>IF(M12993="","",'Master Barang'!A87)</f>
        <v>0</v>
      </c>
      <c r="O12993">
        <f>IF(N12993="","",'Master Barang'!B87)</f>
        <v>0</v>
      </c>
      <c r="P12993">
        <f>IF(OR(M12993="",N12993=""),"",SUMIFS('Barang Keluar'!$E:$E,'Barang Keluar'!$A:$A,M12993,'Barang Keluar'!$C:$C,N12993))</f>
        <v>0</v>
      </c>
    </row>
    <row r="12994" spans="13:16">
      <c r="M12994" s="49">
        <f>IF($A$4+129&gt;$B$4,"",$A$4+129)</f>
        <v>46152</v>
      </c>
      <c r="N12994">
        <f>IF(M12994="","",'Master Barang'!A88)</f>
        <v>0</v>
      </c>
      <c r="O12994">
        <f>IF(N12994="","",'Master Barang'!B88)</f>
        <v>0</v>
      </c>
      <c r="P12994">
        <f>IF(OR(M12994="",N12994=""),"",SUMIFS('Barang Keluar'!$E:$E,'Barang Keluar'!$A:$A,M12994,'Barang Keluar'!$C:$C,N12994))</f>
        <v>0</v>
      </c>
    </row>
    <row r="12995" spans="13:16">
      <c r="M12995" s="49">
        <f>IF($A$4+129&gt;$B$4,"",$A$4+129)</f>
        <v>46152</v>
      </c>
      <c r="N12995">
        <f>IF(M12995="","",'Master Barang'!A89)</f>
        <v>0</v>
      </c>
      <c r="O12995">
        <f>IF(N12995="","",'Master Barang'!B89)</f>
        <v>0</v>
      </c>
      <c r="P12995">
        <f>IF(OR(M12995="",N12995=""),"",SUMIFS('Barang Keluar'!$E:$E,'Barang Keluar'!$A:$A,M12995,'Barang Keluar'!$C:$C,N12995))</f>
        <v>0</v>
      </c>
    </row>
    <row r="12996" spans="13:16">
      <c r="M12996" s="49">
        <f>IF($A$4+129&gt;$B$4,"",$A$4+129)</f>
        <v>46152</v>
      </c>
      <c r="N12996">
        <f>IF(M12996="","",'Master Barang'!A90)</f>
        <v>0</v>
      </c>
      <c r="O12996">
        <f>IF(N12996="","",'Master Barang'!B90)</f>
        <v>0</v>
      </c>
      <c r="P12996">
        <f>IF(OR(M12996="",N12996=""),"",SUMIFS('Barang Keluar'!$E:$E,'Barang Keluar'!$A:$A,M12996,'Barang Keluar'!$C:$C,N12996))</f>
        <v>0</v>
      </c>
    </row>
    <row r="12997" spans="13:16">
      <c r="M12997" s="49">
        <f>IF($A$4+129&gt;$B$4,"",$A$4+129)</f>
        <v>46152</v>
      </c>
      <c r="N12997">
        <f>IF(M12997="","",'Master Barang'!A91)</f>
        <v>0</v>
      </c>
      <c r="O12997">
        <f>IF(N12997="","",'Master Barang'!B91)</f>
        <v>0</v>
      </c>
      <c r="P12997">
        <f>IF(OR(M12997="",N12997=""),"",SUMIFS('Barang Keluar'!$E:$E,'Barang Keluar'!$A:$A,M12997,'Barang Keluar'!$C:$C,N12997))</f>
        <v>0</v>
      </c>
    </row>
    <row r="12998" spans="13:16">
      <c r="M12998" s="49">
        <f>IF($A$4+129&gt;$B$4,"",$A$4+129)</f>
        <v>46152</v>
      </c>
      <c r="N12998">
        <f>IF(M12998="","",'Master Barang'!A92)</f>
        <v>0</v>
      </c>
      <c r="O12998">
        <f>IF(N12998="","",'Master Barang'!B92)</f>
        <v>0</v>
      </c>
      <c r="P12998">
        <f>IF(OR(M12998="",N12998=""),"",SUMIFS('Barang Keluar'!$E:$E,'Barang Keluar'!$A:$A,M12998,'Barang Keluar'!$C:$C,N12998))</f>
        <v>0</v>
      </c>
    </row>
    <row r="12999" spans="13:16">
      <c r="M12999" s="49">
        <f>IF($A$4+129&gt;$B$4,"",$A$4+129)</f>
        <v>46152</v>
      </c>
      <c r="N12999">
        <f>IF(M12999="","",'Master Barang'!A93)</f>
        <v>0</v>
      </c>
      <c r="O12999">
        <f>IF(N12999="","",'Master Barang'!B93)</f>
        <v>0</v>
      </c>
      <c r="P12999">
        <f>IF(OR(M12999="",N12999=""),"",SUMIFS('Barang Keluar'!$E:$E,'Barang Keluar'!$A:$A,M12999,'Barang Keluar'!$C:$C,N12999))</f>
        <v>0</v>
      </c>
    </row>
    <row r="13000" spans="13:16">
      <c r="M13000" s="49">
        <f>IF($A$4+129&gt;$B$4,"",$A$4+129)</f>
        <v>46152</v>
      </c>
      <c r="N13000">
        <f>IF(M13000="","",'Master Barang'!A94)</f>
        <v>0</v>
      </c>
      <c r="O13000">
        <f>IF(N13000="","",'Master Barang'!B94)</f>
        <v>0</v>
      </c>
      <c r="P13000">
        <f>IF(OR(M13000="",N13000=""),"",SUMIFS('Barang Keluar'!$E:$E,'Barang Keluar'!$A:$A,M13000,'Barang Keluar'!$C:$C,N13000))</f>
        <v>0</v>
      </c>
    </row>
    <row r="13001" spans="13:16">
      <c r="M13001" s="49">
        <f>IF($A$4+129&gt;$B$4,"",$A$4+129)</f>
        <v>46152</v>
      </c>
      <c r="N13001">
        <f>IF(M13001="","",'Master Barang'!A95)</f>
        <v>0</v>
      </c>
      <c r="O13001">
        <f>IF(N13001="","",'Master Barang'!B95)</f>
        <v>0</v>
      </c>
      <c r="P13001">
        <f>IF(OR(M13001="",N13001=""),"",SUMIFS('Barang Keluar'!$E:$E,'Barang Keluar'!$A:$A,M13001,'Barang Keluar'!$C:$C,N13001))</f>
        <v>0</v>
      </c>
    </row>
    <row r="13002" spans="13:16">
      <c r="M13002" s="49">
        <f>IF($A$4+129&gt;$B$4,"",$A$4+129)</f>
        <v>46152</v>
      </c>
      <c r="N13002">
        <f>IF(M13002="","",'Master Barang'!A96)</f>
        <v>0</v>
      </c>
      <c r="O13002">
        <f>IF(N13002="","",'Master Barang'!B96)</f>
        <v>0</v>
      </c>
      <c r="P13002">
        <f>IF(OR(M13002="",N13002=""),"",SUMIFS('Barang Keluar'!$E:$E,'Barang Keluar'!$A:$A,M13002,'Barang Keluar'!$C:$C,N13002))</f>
        <v>0</v>
      </c>
    </row>
    <row r="13003" spans="13:16">
      <c r="M13003" s="49">
        <f>IF($A$4+129&gt;$B$4,"",$A$4+129)</f>
        <v>46152</v>
      </c>
      <c r="N13003">
        <f>IF(M13003="","",'Master Barang'!A97)</f>
        <v>0</v>
      </c>
      <c r="O13003">
        <f>IF(N13003="","",'Master Barang'!B97)</f>
        <v>0</v>
      </c>
      <c r="P13003">
        <f>IF(OR(M13003="",N13003=""),"",SUMIFS('Barang Keluar'!$E:$E,'Barang Keluar'!$A:$A,M13003,'Barang Keluar'!$C:$C,N13003))</f>
        <v>0</v>
      </c>
    </row>
    <row r="13004" spans="13:16">
      <c r="M13004" s="49">
        <f>IF($A$4+129&gt;$B$4,"",$A$4+129)</f>
        <v>46152</v>
      </c>
      <c r="N13004">
        <f>IF(M13004="","",'Master Barang'!A98)</f>
        <v>0</v>
      </c>
      <c r="O13004">
        <f>IF(N13004="","",'Master Barang'!B98)</f>
        <v>0</v>
      </c>
      <c r="P13004">
        <f>IF(OR(M13004="",N13004=""),"",SUMIFS('Barang Keluar'!$E:$E,'Barang Keluar'!$A:$A,M13004,'Barang Keluar'!$C:$C,N13004))</f>
        <v>0</v>
      </c>
    </row>
    <row r="13005" spans="13:16">
      <c r="M13005" s="49">
        <f>IF($A$4+129&gt;$B$4,"",$A$4+129)</f>
        <v>46152</v>
      </c>
      <c r="N13005">
        <f>IF(M13005="","",'Master Barang'!A99)</f>
        <v>0</v>
      </c>
      <c r="O13005">
        <f>IF(N13005="","",'Master Barang'!B99)</f>
        <v>0</v>
      </c>
      <c r="P13005">
        <f>IF(OR(M13005="",N13005=""),"",SUMIFS('Barang Keluar'!$E:$E,'Barang Keluar'!$A:$A,M13005,'Barang Keluar'!$C:$C,N13005))</f>
        <v>0</v>
      </c>
    </row>
    <row r="13006" spans="13:16">
      <c r="M13006" s="49">
        <f>IF($A$4+129&gt;$B$4,"",$A$4+129)</f>
        <v>46152</v>
      </c>
      <c r="N13006">
        <f>IF(M13006="","",'Master Barang'!A100)</f>
        <v>0</v>
      </c>
      <c r="O13006">
        <f>IF(N13006="","",'Master Barang'!B100)</f>
        <v>0</v>
      </c>
      <c r="P13006">
        <f>IF(OR(M13006="",N13006=""),"",SUMIFS('Barang Keluar'!$E:$E,'Barang Keluar'!$A:$A,M13006,'Barang Keluar'!$C:$C,N13006))</f>
        <v>0</v>
      </c>
    </row>
    <row r="13007" spans="13:16">
      <c r="M13007" s="49">
        <f>IF($A$4+129&gt;$B$4,"",$A$4+129)</f>
        <v>46152</v>
      </c>
      <c r="N13007">
        <f>IF(M13007="","",'Master Barang'!A101)</f>
        <v>0</v>
      </c>
      <c r="O13007">
        <f>IF(N13007="","",'Master Barang'!B101)</f>
        <v>0</v>
      </c>
      <c r="P13007">
        <f>IF(OR(M13007="",N13007=""),"",SUMIFS('Barang Keluar'!$E:$E,'Barang Keluar'!$A:$A,M13007,'Barang Keluar'!$C:$C,N13007))</f>
        <v>0</v>
      </c>
    </row>
    <row r="13008" spans="13:16">
      <c r="M13008" s="49">
        <f>IF($A$4+130&gt;$B$4,"",$A$4+130)</f>
        <v>46153</v>
      </c>
      <c r="N13008" t="str">
        <f>IF(M13008="","",'Master Barang'!A2)</f>
        <v>PRL-001</v>
      </c>
      <c r="O13008" t="str">
        <f>IF(N13008="","",'Master Barang'!B2)</f>
        <v>natura desinfectant food grade 5l</v>
      </c>
      <c r="P13008">
        <f>IF(OR(M13008="",N13008=""),"",SUMIFS('Barang Keluar'!$E:$E,'Barang Keluar'!$A:$A,M13008,'Barang Keluar'!$C:$C,N13008))</f>
        <v>0</v>
      </c>
    </row>
    <row r="13009" spans="13:16">
      <c r="M13009" s="49">
        <f>IF($A$4+130&gt;$B$4,"",$A$4+130)</f>
        <v>46153</v>
      </c>
      <c r="N13009" t="str">
        <f>IF(M13009="","",'Master Barang'!A3)</f>
        <v>PRL-002</v>
      </c>
      <c r="O13009" t="str">
        <f>IF(N13009="","",'Master Barang'!B3)</f>
        <v>sunlight cairan pencuci piring 5l</v>
      </c>
      <c r="P13009">
        <f>IF(OR(M13009="",N13009=""),"",SUMIFS('Barang Keluar'!$E:$E,'Barang Keluar'!$A:$A,M13009,'Barang Keluar'!$C:$C,N13009))</f>
        <v>0</v>
      </c>
    </row>
    <row r="13010" spans="13:16">
      <c r="M13010" s="49">
        <f>IF($A$4+130&gt;$B$4,"",$A$4+130)</f>
        <v>46153</v>
      </c>
      <c r="N13010" t="str">
        <f>IF(M13010="","",'Master Barang'!A4)</f>
        <v>PRL-003</v>
      </c>
      <c r="O13010" t="str">
        <f>IF(N13010="","",'Master Barang'!B4)</f>
        <v>oixs cleaner 1l</v>
      </c>
      <c r="P13010">
        <f>IF(OR(M13010="",N13010=""),"",SUMIFS('Barang Keluar'!$E:$E,'Barang Keluar'!$A:$A,M13010,'Barang Keluar'!$C:$C,N13010))</f>
        <v>0</v>
      </c>
    </row>
    <row r="13011" spans="13:16">
      <c r="M13011" s="49">
        <f>IF($A$4+130&gt;$B$4,"",$A$4+130)</f>
        <v>46153</v>
      </c>
      <c r="N13011" t="str">
        <f>IF(M13011="","",'Master Barang'!A5)</f>
        <v>PRL-004</v>
      </c>
      <c r="O13011" t="str">
        <f>IF(N13011="","",'Master Barang'!B5)</f>
        <v>be clean tissue serbaguna</v>
      </c>
      <c r="P13011">
        <f>IF(OR(M13011="",N13011=""),"",SUMIFS('Barang Keluar'!$E:$E,'Barang Keluar'!$A:$A,M13011,'Barang Keluar'!$C:$C,N13011))</f>
        <v>0</v>
      </c>
    </row>
    <row r="13012" spans="13:16">
      <c r="M13012" s="49">
        <f>IF($A$4+130&gt;$B$4,"",$A$4+130)</f>
        <v>46153</v>
      </c>
      <c r="N13012" t="str">
        <f>IF(M13012="","",'Master Barang'!A6)</f>
        <v>PRL-005</v>
      </c>
      <c r="O13012" t="str">
        <f>IF(N13012="","",'Master Barang'!B6)</f>
        <v>spons cuci hijau</v>
      </c>
      <c r="P13012">
        <f>IF(OR(M13012="",N13012=""),"",SUMIFS('Barang Keluar'!$E:$E,'Barang Keluar'!$A:$A,M13012,'Barang Keluar'!$C:$C,N13012))</f>
        <v>0</v>
      </c>
    </row>
    <row r="13013" spans="13:16">
      <c r="M13013" s="49">
        <f>IF($A$4+130&gt;$B$4,"",$A$4+130)</f>
        <v>46153</v>
      </c>
      <c r="N13013" t="str">
        <f>IF(M13013="","",'Master Barang'!A7)</f>
        <v>PRL-006</v>
      </c>
      <c r="O13013" t="str">
        <f>IF(N13013="","",'Master Barang'!B7)</f>
        <v>sabut cuci stainless</v>
      </c>
      <c r="P13013">
        <f>IF(OR(M13013="",N13013=""),"",SUMIFS('Barang Keluar'!$E:$E,'Barang Keluar'!$A:$A,M13013,'Barang Keluar'!$C:$C,N13013))</f>
        <v>0</v>
      </c>
    </row>
    <row r="13014" spans="13:16">
      <c r="M13014" s="49">
        <f>IF($A$4+130&gt;$B$4,"",$A$4+130)</f>
        <v>46153</v>
      </c>
      <c r="N13014" t="str">
        <f>IF(M13014="","",'Master Barang'!A8)</f>
        <v>PRL-007</v>
      </c>
      <c r="O13014" t="str">
        <f>IF(N13014="","",'Master Barang'!B8)</f>
        <v>plastik kresek besar merah 50pc</v>
      </c>
      <c r="P13014">
        <f>IF(OR(M13014="",N13014=""),"",SUMIFS('Barang Keluar'!$E:$E,'Barang Keluar'!$A:$A,M13014,'Barang Keluar'!$C:$C,N13014))</f>
        <v>0</v>
      </c>
    </row>
    <row r="13015" spans="13:16">
      <c r="M13015" s="49">
        <f>IF($A$4+130&gt;$B$4,"",$A$4+130)</f>
        <v>46153</v>
      </c>
      <c r="N13015" t="str">
        <f>IF(M13015="","",'Master Barang'!A9)</f>
        <v>PRL-008</v>
      </c>
      <c r="O13015" t="str">
        <f>IF(N13015="","",'Master Barang'!B9)</f>
        <v>lap besar</v>
      </c>
      <c r="P13015">
        <f>IF(OR(M13015="",N13015=""),"",SUMIFS('Barang Keluar'!$E:$E,'Barang Keluar'!$A:$A,M13015,'Barang Keluar'!$C:$C,N13015))</f>
        <v>0</v>
      </c>
    </row>
    <row r="13016" spans="13:16">
      <c r="M13016" s="49">
        <f>IF($A$4+130&gt;$B$4,"",$A$4+130)</f>
        <v>46153</v>
      </c>
      <c r="N13016" t="str">
        <f>IF(M13016="","",'Master Barang'!A10)</f>
        <v>PRL-009</v>
      </c>
      <c r="O13016" t="str">
        <f>IF(N13016="","",'Master Barang'!B10)</f>
        <v>lap microfiber</v>
      </c>
      <c r="P13016">
        <f>IF(OR(M13016="",N13016=""),"",SUMIFS('Barang Keluar'!$E:$E,'Barang Keluar'!$A:$A,M13016,'Barang Keluar'!$C:$C,N13016))</f>
        <v>0</v>
      </c>
    </row>
    <row r="13017" spans="13:16">
      <c r="M13017" s="49">
        <f>IF($A$4+130&gt;$B$4,"",$A$4+130)</f>
        <v>46153</v>
      </c>
      <c r="N13017" t="str">
        <f>IF(M13017="","",'Master Barang'!A11)</f>
        <v>PRL-010</v>
      </c>
      <c r="O13017" t="str">
        <f>IF(N13017="","",'Master Barang'!B11)</f>
        <v>lap kecil</v>
      </c>
      <c r="P13017">
        <f>IF(OR(M13017="",N13017=""),"",SUMIFS('Barang Keluar'!$E:$E,'Barang Keluar'!$A:$A,M13017,'Barang Keluar'!$C:$C,N13017))</f>
        <v>0</v>
      </c>
    </row>
    <row r="13018" spans="13:16">
      <c r="M13018" s="49">
        <f>IF($A$4+130&gt;$B$4,"",$A$4+130)</f>
        <v>46153</v>
      </c>
      <c r="N13018" t="str">
        <f>IF(M13018="","",'Master Barang'!A12)</f>
        <v>PRL-011</v>
      </c>
      <c r="O13018" t="str">
        <f>IF(N13018="","",'Master Barang'!B12)</f>
        <v>kanebo kecil</v>
      </c>
      <c r="P13018">
        <f>IF(OR(M13018="",N13018=""),"",SUMIFS('Barang Keluar'!$E:$E,'Barang Keluar'!$A:$A,M13018,'Barang Keluar'!$C:$C,N13018))</f>
        <v>0</v>
      </c>
    </row>
    <row r="13019" spans="13:16">
      <c r="M13019" s="49">
        <f>IF($A$4+130&gt;$B$4,"",$A$4+130)</f>
        <v>46153</v>
      </c>
      <c r="N13019" t="str">
        <f>IF(M13019="","",'Master Barang'!A13)</f>
        <v>PRL-012</v>
      </c>
      <c r="O13019" t="str">
        <f>IF(N13019="","",'Master Barang'!B13)</f>
        <v>plastik 1/4kg joyoboyo 100 lembar</v>
      </c>
      <c r="P13019">
        <f>IF(OR(M13019="",N13019=""),"",SUMIFS('Barang Keluar'!$E:$E,'Barang Keluar'!$A:$A,M13019,'Barang Keluar'!$C:$C,N13019))</f>
        <v>0</v>
      </c>
    </row>
    <row r="13020" spans="13:16">
      <c r="M13020" s="49">
        <f>IF($A$4+130&gt;$B$4,"",$A$4+130)</f>
        <v>46153</v>
      </c>
      <c r="N13020" t="str">
        <f>IF(M13020="","",'Master Barang'!A14)</f>
        <v>PRL-013</v>
      </c>
      <c r="O13020" t="str">
        <f>IF(N13020="","",'Master Barang'!B14)</f>
        <v>sarung tangan plastik kaka 100 pcs</v>
      </c>
      <c r="P13020">
        <f>IF(OR(M13020="",N13020=""),"",SUMIFS('Barang Keluar'!$E:$E,'Barang Keluar'!$A:$A,M13020,'Barang Keluar'!$C:$C,N13020))</f>
        <v>0</v>
      </c>
    </row>
    <row r="13021" spans="13:16">
      <c r="M13021" s="49">
        <f>IF($A$4+130&gt;$B$4,"",$A$4+130)</f>
        <v>46153</v>
      </c>
      <c r="N13021" t="str">
        <f>IF(M13021="","",'Master Barang'!A15)</f>
        <v>PRL-014</v>
      </c>
      <c r="O13021" t="str">
        <f>IF(N13021="","",'Master Barang'!B15)</f>
        <v>optima trashbag 80x100</v>
      </c>
      <c r="P13021">
        <f>IF(OR(M13021="",N13021=""),"",SUMIFS('Barang Keluar'!$E:$E,'Barang Keluar'!$A:$A,M13021,'Barang Keluar'!$C:$C,N13021))</f>
        <v>0</v>
      </c>
    </row>
    <row r="13022" spans="13:16">
      <c r="M13022" s="49">
        <f>IF($A$4+130&gt;$B$4,"",$A$4+130)</f>
        <v>46153</v>
      </c>
      <c r="N13022" t="str">
        <f>IF(M13022="","",'Master Barang'!A16)</f>
        <v>PRL-015</v>
      </c>
      <c r="O13022" t="str">
        <f>IF(N13022="","",'Master Barang'!B16)</f>
        <v>optima trashbag 60x100</v>
      </c>
      <c r="P13022">
        <f>IF(OR(M13022="",N13022=""),"",SUMIFS('Barang Keluar'!$E:$E,'Barang Keluar'!$A:$A,M13022,'Barang Keluar'!$C:$C,N13022))</f>
        <v>0</v>
      </c>
    </row>
    <row r="13023" spans="13:16">
      <c r="M13023" s="49">
        <f>IF($A$4+130&gt;$B$4,"",$A$4+130)</f>
        <v>46153</v>
      </c>
      <c r="N13023" t="str">
        <f>IF(M13023="","",'Master Barang'!A17)</f>
        <v>PRL-016</v>
      </c>
      <c r="O13023" t="str">
        <f>IF(N13023="","",'Master Barang'!B17)</f>
        <v>rajawali trashbag 30x40</v>
      </c>
      <c r="P13023">
        <f>IF(OR(M13023="",N13023=""),"",SUMIFS('Barang Keluar'!$E:$E,'Barang Keluar'!$A:$A,M13023,'Barang Keluar'!$C:$C,N13023))</f>
        <v>0</v>
      </c>
    </row>
    <row r="13024" spans="13:16">
      <c r="M13024" s="49">
        <f>IF($A$4+130&gt;$B$4,"",$A$4+130)</f>
        <v>46153</v>
      </c>
      <c r="N13024" t="str">
        <f>IF(M13024="","",'Master Barang'!A18)</f>
        <v>PRL-017</v>
      </c>
      <c r="O13024" t="str">
        <f>IF(N13024="","",'Master Barang'!B18)</f>
        <v>onemed masker biru 3 play 50 pcs</v>
      </c>
      <c r="P13024">
        <f>IF(OR(M13024="",N13024=""),"",SUMIFS('Barang Keluar'!$E:$E,'Barang Keluar'!$A:$A,M13024,'Barang Keluar'!$C:$C,N13024))</f>
        <v>0</v>
      </c>
    </row>
    <row r="13025" spans="13:16">
      <c r="M13025" s="49">
        <f>IF($A$4+130&gt;$B$4,"",$A$4+130)</f>
        <v>46153</v>
      </c>
      <c r="N13025" t="str">
        <f>IF(M13025="","",'Master Barang'!A19)</f>
        <v>PRL-018</v>
      </c>
      <c r="O13025" t="str">
        <f>IF(N13025="","",'Master Barang'!B19)</f>
        <v>onemed masker biru 3 play hijab 50 pcs</v>
      </c>
      <c r="P13025">
        <f>IF(OR(M13025="",N13025=""),"",SUMIFS('Barang Keluar'!$E:$E,'Barang Keluar'!$A:$A,M13025,'Barang Keluar'!$C:$C,N13025))</f>
        <v>0</v>
      </c>
    </row>
    <row r="13026" spans="13:16">
      <c r="M13026" s="49">
        <f>IF($A$4+130&gt;$B$4,"",$A$4+130)</f>
        <v>46153</v>
      </c>
      <c r="N13026" t="str">
        <f>IF(M13026="","",'Master Barang'!A20)</f>
        <v>PRL-019</v>
      </c>
      <c r="O13026" t="str">
        <f>IF(N13026="","",'Master Barang'!B20)</f>
        <v>neo health masker biru 3 play 50 pcs</v>
      </c>
      <c r="P13026">
        <f>IF(OR(M13026="",N13026=""),"",SUMIFS('Barang Keluar'!$E:$E,'Barang Keluar'!$A:$A,M13026,'Barang Keluar'!$C:$C,N13026))</f>
        <v>0</v>
      </c>
    </row>
    <row r="13027" spans="13:16">
      <c r="M13027" s="49">
        <f>IF($A$4+130&gt;$B$4,"",$A$4+130)</f>
        <v>46153</v>
      </c>
      <c r="N13027" t="str">
        <f>IF(M13027="","",'Master Barang'!A21)</f>
        <v>PRL-020</v>
      </c>
      <c r="O13027" t="str">
        <f>IF(N13027="","",'Master Barang'!B21)</f>
        <v>baymed masker hijau 3 play hijau 50 pcs</v>
      </c>
      <c r="P13027">
        <f>IF(OR(M13027="",N13027=""),"",SUMIFS('Barang Keluar'!$E:$E,'Barang Keluar'!$A:$A,M13027,'Barang Keluar'!$C:$C,N13027))</f>
        <v>0</v>
      </c>
    </row>
    <row r="13028" spans="13:16">
      <c r="M13028" s="49">
        <f>IF($A$4+130&gt;$B$4,"",$A$4+130)</f>
        <v>46153</v>
      </c>
      <c r="N13028" t="str">
        <f>IF(M13028="","",'Master Barang'!A22)</f>
        <v>PRL-021</v>
      </c>
      <c r="O13028" t="str">
        <f>IF(N13028="","",'Master Barang'!B22)</f>
        <v>altamed nurse cap penutup kepala 100 pcs</v>
      </c>
      <c r="P13028">
        <f>IF(OR(M13028="",N13028=""),"",SUMIFS('Barang Keluar'!$E:$E,'Barang Keluar'!$A:$A,M13028,'Barang Keluar'!$C:$C,N13028))</f>
        <v>0</v>
      </c>
    </row>
    <row r="13029" spans="13:16">
      <c r="M13029" s="49">
        <f>IF($A$4+130&gt;$B$4,"",$A$4+130)</f>
        <v>46153</v>
      </c>
      <c r="N13029" t="str">
        <f>IF(M13029="","",'Master Barang'!A23)</f>
        <v>PRL-022</v>
      </c>
      <c r="O13029" t="str">
        <f>IF(N13029="","",'Master Barang'!B23)</f>
        <v>sabun cuci tangan</v>
      </c>
      <c r="P13029">
        <f>IF(OR(M13029="",N13029=""),"",SUMIFS('Barang Keluar'!$E:$E,'Barang Keluar'!$A:$A,M13029,'Barang Keluar'!$C:$C,N13029))</f>
        <v>0</v>
      </c>
    </row>
    <row r="13030" spans="13:16">
      <c r="M13030" s="49">
        <f>IF($A$4+130&gt;$B$4,"",$A$4+130)</f>
        <v>46153</v>
      </c>
      <c r="N13030" t="str">
        <f>IF(M13030="","",'Master Barang'!A24)</f>
        <v>PRL-023</v>
      </c>
      <c r="O13030" t="str">
        <f>IF(N13030="","",'Master Barang'!B24)</f>
        <v>gayung kecil</v>
      </c>
      <c r="P13030">
        <f>IF(OR(M13030="",N13030=""),"",SUMIFS('Barang Keluar'!$E:$E,'Barang Keluar'!$A:$A,M13030,'Barang Keluar'!$C:$C,N13030))</f>
        <v>0</v>
      </c>
    </row>
    <row r="13031" spans="13:16">
      <c r="M13031" s="49">
        <f>IF($A$4+130&gt;$B$4,"",$A$4+130)</f>
        <v>46153</v>
      </c>
      <c r="N13031" t="str">
        <f>IF(M13031="","",'Master Barang'!A25)</f>
        <v>PRL-024</v>
      </c>
      <c r="O13031" t="str">
        <f>IF(N13031="","",'Master Barang'!B25)</f>
        <v>cikrak kecil</v>
      </c>
      <c r="P13031">
        <f>IF(OR(M13031="",N13031=""),"",SUMIFS('Barang Keluar'!$E:$E,'Barang Keluar'!$A:$A,M13031,'Barang Keluar'!$C:$C,N13031))</f>
        <v>0</v>
      </c>
    </row>
    <row r="13032" spans="13:16">
      <c r="M13032" s="49">
        <f>IF($A$4+130&gt;$B$4,"",$A$4+130)</f>
        <v>46153</v>
      </c>
      <c r="N13032" t="str">
        <f>IF(M13032="","",'Master Barang'!A26)</f>
        <v>PRL-025</v>
      </c>
      <c r="O13032" t="str">
        <f>IF(N13032="","",'Master Barang'!B26)</f>
        <v>petromax plastik kecil 12x24 100 lembar</v>
      </c>
      <c r="P13032">
        <f>IF(OR(M13032="",N13032=""),"",SUMIFS('Barang Keluar'!$E:$E,'Barang Keluar'!$A:$A,M13032,'Barang Keluar'!$C:$C,N13032))</f>
        <v>0</v>
      </c>
    </row>
    <row r="13033" spans="13:16">
      <c r="M13033" s="49">
        <f>IF($A$4+130&gt;$B$4,"",$A$4+130)</f>
        <v>46153</v>
      </c>
      <c r="N13033" t="str">
        <f>IF(M13033="","",'Master Barang'!A27)</f>
        <v>PRL-026</v>
      </c>
      <c r="O13033" t="str">
        <f>IF(N13033="","",'Master Barang'!B27)</f>
        <v>lancar kresek kecil bening </v>
      </c>
      <c r="P13033">
        <f>IF(OR(M13033="",N13033=""),"",SUMIFS('Barang Keluar'!$E:$E,'Barang Keluar'!$A:$A,M13033,'Barang Keluar'!$C:$C,N13033))</f>
        <v>0</v>
      </c>
    </row>
    <row r="13034" spans="13:16">
      <c r="M13034" s="49">
        <f>IF($A$4+130&gt;$B$4,"",$A$4+130)</f>
        <v>46153</v>
      </c>
      <c r="N13034" t="str">
        <f>IF(M13034="","",'Master Barang'!A28)</f>
        <v>PRL-027</v>
      </c>
      <c r="O13034" t="str">
        <f>IF(N13034="","",'Master Barang'!B28)</f>
        <v>kresek klin warna warni kecil</v>
      </c>
      <c r="P13034">
        <f>IF(OR(M13034="",N13034=""),"",SUMIFS('Barang Keluar'!$E:$E,'Barang Keluar'!$A:$A,M13034,'Barang Keluar'!$C:$C,N13034))</f>
        <v>0</v>
      </c>
    </row>
    <row r="13035" spans="13:16">
      <c r="M13035" s="49">
        <f>IF($A$4+130&gt;$B$4,"",$A$4+130)</f>
        <v>46153</v>
      </c>
      <c r="N13035" t="str">
        <f>IF(M13035="","",'Master Barang'!A29)</f>
        <v>PRL-028</v>
      </c>
      <c r="O13035" t="str">
        <f>IF(N13035="","",'Master Barang'!B29)</f>
        <v>ctik plastik 7x10 100 pcs</v>
      </c>
      <c r="P13035">
        <f>IF(OR(M13035="",N13035=""),"",SUMIFS('Barang Keluar'!$E:$E,'Barang Keluar'!$A:$A,M13035,'Barang Keluar'!$C:$C,N13035))</f>
        <v>0</v>
      </c>
    </row>
    <row r="13036" spans="13:16">
      <c r="M13036" s="49">
        <f>IF($A$4+130&gt;$B$4,"",$A$4+130)</f>
        <v>46153</v>
      </c>
      <c r="N13036" t="str">
        <f>IF(M13036="","",'Master Barang'!A30)</f>
        <v>PRL-029</v>
      </c>
      <c r="O13036" t="str">
        <f>IF(N13036="","",'Master Barang'!B30)</f>
        <v>ctik plastik 6x10 100 pcs</v>
      </c>
      <c r="P13036">
        <f>IF(OR(M13036="",N13036=""),"",SUMIFS('Barang Keluar'!$E:$E,'Barang Keluar'!$A:$A,M13036,'Barang Keluar'!$C:$C,N13036))</f>
        <v>0</v>
      </c>
    </row>
    <row r="13037" spans="13:16">
      <c r="M13037" s="49">
        <f>IF($A$4+130&gt;$B$4,"",$A$4+130)</f>
        <v>46153</v>
      </c>
      <c r="N13037" t="str">
        <f>IF(M13037="","",'Master Barang'!A31)</f>
        <v>PRL-030</v>
      </c>
      <c r="O13037" t="str">
        <f>IF(N13037="","",'Master Barang'!B31)</f>
        <v>klip plastik 25x16 100 pcs</v>
      </c>
      <c r="P13037">
        <f>IF(OR(M13037="",N13037=""),"",SUMIFS('Barang Keluar'!$E:$E,'Barang Keluar'!$A:$A,M13037,'Barang Keluar'!$C:$C,N13037))</f>
        <v>0</v>
      </c>
    </row>
    <row r="13038" spans="13:16">
      <c r="M13038" s="49">
        <f>IF($A$4+130&gt;$B$4,"",$A$4+130)</f>
        <v>46153</v>
      </c>
      <c r="N13038" t="str">
        <f>IF(M13038="","",'Master Barang'!A32)</f>
        <v>PRL-031</v>
      </c>
      <c r="O13038" t="str">
        <f>IF(N13038="","",'Master Barang'!B32)</f>
        <v>tempat saus 20 ml</v>
      </c>
      <c r="P13038">
        <f>IF(OR(M13038="",N13038=""),"",SUMIFS('Barang Keluar'!$E:$E,'Barang Keluar'!$A:$A,M13038,'Barang Keluar'!$C:$C,N13038))</f>
        <v>0</v>
      </c>
    </row>
    <row r="13039" spans="13:16">
      <c r="M13039" s="49">
        <f>IF($A$4+130&gt;$B$4,"",$A$4+130)</f>
        <v>46153</v>
      </c>
      <c r="N13039" t="str">
        <f>IF(M13039="","",'Master Barang'!A33)</f>
        <v>PRL-032</v>
      </c>
      <c r="O13039" t="str">
        <f>IF(N13039="","",'Master Barang'!B33)</f>
        <v>plastik packaging ag box uk sedang</v>
      </c>
      <c r="P13039">
        <f>IF(OR(M13039="",N13039=""),"",SUMIFS('Barang Keluar'!$E:$E,'Barang Keluar'!$A:$A,M13039,'Barang Keluar'!$C:$C,N13039))</f>
        <v>0</v>
      </c>
    </row>
    <row r="13040" spans="13:16">
      <c r="M13040" s="49">
        <f>IF($A$4+130&gt;$B$4,"",$A$4+130)</f>
        <v>46153</v>
      </c>
      <c r="N13040" t="str">
        <f>IF(M13040="","",'Master Barang'!A34)</f>
        <v>PRL-033</v>
      </c>
      <c r="O13040">
        <f>IF(N13040="","",'Master Barang'!B34)</f>
        <v>0</v>
      </c>
      <c r="P13040">
        <f>IF(OR(M13040="",N13040=""),"",SUMIFS('Barang Keluar'!$E:$E,'Barang Keluar'!$A:$A,M13040,'Barang Keluar'!$C:$C,N13040))</f>
        <v>0</v>
      </c>
    </row>
    <row r="13041" spans="13:16">
      <c r="M13041" s="49">
        <f>IF($A$4+130&gt;$B$4,"",$A$4+130)</f>
        <v>46153</v>
      </c>
      <c r="N13041">
        <f>IF(M13041="","",'Master Barang'!A35)</f>
        <v>0</v>
      </c>
      <c r="O13041">
        <f>IF(N13041="","",'Master Barang'!B35)</f>
        <v>0</v>
      </c>
      <c r="P13041">
        <f>IF(OR(M13041="",N13041=""),"",SUMIFS('Barang Keluar'!$E:$E,'Barang Keluar'!$A:$A,M13041,'Barang Keluar'!$C:$C,N13041))</f>
        <v>0</v>
      </c>
    </row>
    <row r="13042" spans="13:16">
      <c r="M13042" s="49">
        <f>IF($A$4+130&gt;$B$4,"",$A$4+130)</f>
        <v>46153</v>
      </c>
      <c r="N13042">
        <f>IF(M13042="","",'Master Barang'!A36)</f>
        <v>0</v>
      </c>
      <c r="O13042">
        <f>IF(N13042="","",'Master Barang'!B36)</f>
        <v>0</v>
      </c>
      <c r="P13042">
        <f>IF(OR(M13042="",N13042=""),"",SUMIFS('Barang Keluar'!$E:$E,'Barang Keluar'!$A:$A,M13042,'Barang Keluar'!$C:$C,N13042))</f>
        <v>0</v>
      </c>
    </row>
    <row r="13043" spans="13:16">
      <c r="M13043" s="49">
        <f>IF($A$4+130&gt;$B$4,"",$A$4+130)</f>
        <v>46153</v>
      </c>
      <c r="N13043">
        <f>IF(M13043="","",'Master Barang'!A37)</f>
        <v>0</v>
      </c>
      <c r="O13043">
        <f>IF(N13043="","",'Master Barang'!B37)</f>
        <v>0</v>
      </c>
      <c r="P13043">
        <f>IF(OR(M13043="",N13043=""),"",SUMIFS('Barang Keluar'!$E:$E,'Barang Keluar'!$A:$A,M13043,'Barang Keluar'!$C:$C,N13043))</f>
        <v>0</v>
      </c>
    </row>
    <row r="13044" spans="13:16">
      <c r="M13044" s="49">
        <f>IF($A$4+130&gt;$B$4,"",$A$4+130)</f>
        <v>46153</v>
      </c>
      <c r="N13044">
        <f>IF(M13044="","",'Master Barang'!A38)</f>
        <v>0</v>
      </c>
      <c r="O13044">
        <f>IF(N13044="","",'Master Barang'!B38)</f>
        <v>0</v>
      </c>
      <c r="P13044">
        <f>IF(OR(M13044="",N13044=""),"",SUMIFS('Barang Keluar'!$E:$E,'Barang Keluar'!$A:$A,M13044,'Barang Keluar'!$C:$C,N13044))</f>
        <v>0</v>
      </c>
    </row>
    <row r="13045" spans="13:16">
      <c r="M13045" s="49">
        <f>IF($A$4+130&gt;$B$4,"",$A$4+130)</f>
        <v>46153</v>
      </c>
      <c r="N13045">
        <f>IF(M13045="","",'Master Barang'!A39)</f>
        <v>0</v>
      </c>
      <c r="O13045">
        <f>IF(N13045="","",'Master Barang'!B39)</f>
        <v>0</v>
      </c>
      <c r="P13045">
        <f>IF(OR(M13045="",N13045=""),"",SUMIFS('Barang Keluar'!$E:$E,'Barang Keluar'!$A:$A,M13045,'Barang Keluar'!$C:$C,N13045))</f>
        <v>0</v>
      </c>
    </row>
    <row r="13046" spans="13:16">
      <c r="M13046" s="49">
        <f>IF($A$4+130&gt;$B$4,"",$A$4+130)</f>
        <v>46153</v>
      </c>
      <c r="N13046">
        <f>IF(M13046="","",'Master Barang'!A40)</f>
        <v>0</v>
      </c>
      <c r="O13046">
        <f>IF(N13046="","",'Master Barang'!B40)</f>
        <v>0</v>
      </c>
      <c r="P13046">
        <f>IF(OR(M13046="",N13046=""),"",SUMIFS('Barang Keluar'!$E:$E,'Barang Keluar'!$A:$A,M13046,'Barang Keluar'!$C:$C,N13046))</f>
        <v>0</v>
      </c>
    </row>
    <row r="13047" spans="13:16">
      <c r="M13047" s="49">
        <f>IF($A$4+130&gt;$B$4,"",$A$4+130)</f>
        <v>46153</v>
      </c>
      <c r="N13047">
        <f>IF(M13047="","",'Master Barang'!A41)</f>
        <v>0</v>
      </c>
      <c r="O13047">
        <f>IF(N13047="","",'Master Barang'!B41)</f>
        <v>0</v>
      </c>
      <c r="P13047">
        <f>IF(OR(M13047="",N13047=""),"",SUMIFS('Barang Keluar'!$E:$E,'Barang Keluar'!$A:$A,M13047,'Barang Keluar'!$C:$C,N13047))</f>
        <v>0</v>
      </c>
    </row>
    <row r="13048" spans="13:16">
      <c r="M13048" s="49">
        <f>IF($A$4+130&gt;$B$4,"",$A$4+130)</f>
        <v>46153</v>
      </c>
      <c r="N13048">
        <f>IF(M13048="","",'Master Barang'!A42)</f>
        <v>0</v>
      </c>
      <c r="O13048">
        <f>IF(N13048="","",'Master Barang'!B42)</f>
        <v>0</v>
      </c>
      <c r="P13048">
        <f>IF(OR(M13048="",N13048=""),"",SUMIFS('Barang Keluar'!$E:$E,'Barang Keluar'!$A:$A,M13048,'Barang Keluar'!$C:$C,N13048))</f>
        <v>0</v>
      </c>
    </row>
    <row r="13049" spans="13:16">
      <c r="M13049" s="49">
        <f>IF($A$4+130&gt;$B$4,"",$A$4+130)</f>
        <v>46153</v>
      </c>
      <c r="N13049">
        <f>IF(M13049="","",'Master Barang'!A43)</f>
        <v>0</v>
      </c>
      <c r="O13049">
        <f>IF(N13049="","",'Master Barang'!B43)</f>
        <v>0</v>
      </c>
      <c r="P13049">
        <f>IF(OR(M13049="",N13049=""),"",SUMIFS('Barang Keluar'!$E:$E,'Barang Keluar'!$A:$A,M13049,'Barang Keluar'!$C:$C,N13049))</f>
        <v>0</v>
      </c>
    </row>
    <row r="13050" spans="13:16">
      <c r="M13050" s="49">
        <f>IF($A$4+130&gt;$B$4,"",$A$4+130)</f>
        <v>46153</v>
      </c>
      <c r="N13050">
        <f>IF(M13050="","",'Master Barang'!A44)</f>
        <v>0</v>
      </c>
      <c r="O13050">
        <f>IF(N13050="","",'Master Barang'!B44)</f>
        <v>0</v>
      </c>
      <c r="P13050">
        <f>IF(OR(M13050="",N13050=""),"",SUMIFS('Barang Keluar'!$E:$E,'Barang Keluar'!$A:$A,M13050,'Barang Keluar'!$C:$C,N13050))</f>
        <v>0</v>
      </c>
    </row>
    <row r="13051" spans="13:16">
      <c r="M13051" s="49">
        <f>IF($A$4+130&gt;$B$4,"",$A$4+130)</f>
        <v>46153</v>
      </c>
      <c r="N13051">
        <f>IF(M13051="","",'Master Barang'!A45)</f>
        <v>0</v>
      </c>
      <c r="O13051">
        <f>IF(N13051="","",'Master Barang'!B45)</f>
        <v>0</v>
      </c>
      <c r="P13051">
        <f>IF(OR(M13051="",N13051=""),"",SUMIFS('Barang Keluar'!$E:$E,'Barang Keluar'!$A:$A,M13051,'Barang Keluar'!$C:$C,N13051))</f>
        <v>0</v>
      </c>
    </row>
    <row r="13052" spans="13:16">
      <c r="M13052" s="49">
        <f>IF($A$4+130&gt;$B$4,"",$A$4+130)</f>
        <v>46153</v>
      </c>
      <c r="N13052">
        <f>IF(M13052="","",'Master Barang'!A46)</f>
        <v>0</v>
      </c>
      <c r="O13052">
        <f>IF(N13052="","",'Master Barang'!B46)</f>
        <v>0</v>
      </c>
      <c r="P13052">
        <f>IF(OR(M13052="",N13052=""),"",SUMIFS('Barang Keluar'!$E:$E,'Barang Keluar'!$A:$A,M13052,'Barang Keluar'!$C:$C,N13052))</f>
        <v>0</v>
      </c>
    </row>
    <row r="13053" spans="13:16">
      <c r="M13053" s="49">
        <f>IF($A$4+130&gt;$B$4,"",$A$4+130)</f>
        <v>46153</v>
      </c>
      <c r="N13053">
        <f>IF(M13053="","",'Master Barang'!A47)</f>
        <v>0</v>
      </c>
      <c r="O13053">
        <f>IF(N13053="","",'Master Barang'!B47)</f>
        <v>0</v>
      </c>
      <c r="P13053">
        <f>IF(OR(M13053="",N13053=""),"",SUMIFS('Barang Keluar'!$E:$E,'Barang Keluar'!$A:$A,M13053,'Barang Keluar'!$C:$C,N13053))</f>
        <v>0</v>
      </c>
    </row>
    <row r="13054" spans="13:16">
      <c r="M13054" s="49">
        <f>IF($A$4+130&gt;$B$4,"",$A$4+130)</f>
        <v>46153</v>
      </c>
      <c r="N13054">
        <f>IF(M13054="","",'Master Barang'!A48)</f>
        <v>0</v>
      </c>
      <c r="O13054">
        <f>IF(N13054="","",'Master Barang'!B48)</f>
        <v>0</v>
      </c>
      <c r="P13054">
        <f>IF(OR(M13054="",N13054=""),"",SUMIFS('Barang Keluar'!$E:$E,'Barang Keluar'!$A:$A,M13054,'Barang Keluar'!$C:$C,N13054))</f>
        <v>0</v>
      </c>
    </row>
    <row r="13055" spans="13:16">
      <c r="M13055" s="49">
        <f>IF($A$4+130&gt;$B$4,"",$A$4+130)</f>
        <v>46153</v>
      </c>
      <c r="N13055">
        <f>IF(M13055="","",'Master Barang'!A49)</f>
        <v>0</v>
      </c>
      <c r="O13055">
        <f>IF(N13055="","",'Master Barang'!B49)</f>
        <v>0</v>
      </c>
      <c r="P13055">
        <f>IF(OR(M13055="",N13055=""),"",SUMIFS('Barang Keluar'!$E:$E,'Barang Keluar'!$A:$A,M13055,'Barang Keluar'!$C:$C,N13055))</f>
        <v>0</v>
      </c>
    </row>
    <row r="13056" spans="13:16">
      <c r="M13056" s="49">
        <f>IF($A$4+130&gt;$B$4,"",$A$4+130)</f>
        <v>46153</v>
      </c>
      <c r="N13056">
        <f>IF(M13056="","",'Master Barang'!A50)</f>
        <v>0</v>
      </c>
      <c r="O13056">
        <f>IF(N13056="","",'Master Barang'!B50)</f>
        <v>0</v>
      </c>
      <c r="P13056">
        <f>IF(OR(M13056="",N13056=""),"",SUMIFS('Barang Keluar'!$E:$E,'Barang Keluar'!$A:$A,M13056,'Barang Keluar'!$C:$C,N13056))</f>
        <v>0</v>
      </c>
    </row>
    <row r="13057" spans="13:16">
      <c r="M13057" s="49">
        <f>IF($A$4+130&gt;$B$4,"",$A$4+130)</f>
        <v>46153</v>
      </c>
      <c r="N13057">
        <f>IF(M13057="","",'Master Barang'!A51)</f>
        <v>0</v>
      </c>
      <c r="O13057">
        <f>IF(N13057="","",'Master Barang'!B51)</f>
        <v>0</v>
      </c>
      <c r="P13057">
        <f>IF(OR(M13057="",N13057=""),"",SUMIFS('Barang Keluar'!$E:$E,'Barang Keluar'!$A:$A,M13057,'Barang Keluar'!$C:$C,N13057))</f>
        <v>0</v>
      </c>
    </row>
    <row r="13058" spans="13:16">
      <c r="M13058" s="49">
        <f>IF($A$4+130&gt;$B$4,"",$A$4+130)</f>
        <v>46153</v>
      </c>
      <c r="N13058">
        <f>IF(M13058="","",'Master Barang'!A52)</f>
        <v>0</v>
      </c>
      <c r="O13058">
        <f>IF(N13058="","",'Master Barang'!B52)</f>
        <v>0</v>
      </c>
      <c r="P13058">
        <f>IF(OR(M13058="",N13058=""),"",SUMIFS('Barang Keluar'!$E:$E,'Barang Keluar'!$A:$A,M13058,'Barang Keluar'!$C:$C,N13058))</f>
        <v>0</v>
      </c>
    </row>
    <row r="13059" spans="13:16">
      <c r="M13059" s="49">
        <f>IF($A$4+130&gt;$B$4,"",$A$4+130)</f>
        <v>46153</v>
      </c>
      <c r="N13059">
        <f>IF(M13059="","",'Master Barang'!A53)</f>
        <v>0</v>
      </c>
      <c r="O13059">
        <f>IF(N13059="","",'Master Barang'!B53)</f>
        <v>0</v>
      </c>
      <c r="P13059">
        <f>IF(OR(M13059="",N13059=""),"",SUMIFS('Barang Keluar'!$E:$E,'Barang Keluar'!$A:$A,M13059,'Barang Keluar'!$C:$C,N13059))</f>
        <v>0</v>
      </c>
    </row>
    <row r="13060" spans="13:16">
      <c r="M13060" s="49">
        <f>IF($A$4+130&gt;$B$4,"",$A$4+130)</f>
        <v>46153</v>
      </c>
      <c r="N13060">
        <f>IF(M13060="","",'Master Barang'!A54)</f>
        <v>0</v>
      </c>
      <c r="O13060">
        <f>IF(N13060="","",'Master Barang'!B54)</f>
        <v>0</v>
      </c>
      <c r="P13060">
        <f>IF(OR(M13060="",N13060=""),"",SUMIFS('Barang Keluar'!$E:$E,'Barang Keluar'!$A:$A,M13060,'Barang Keluar'!$C:$C,N13060))</f>
        <v>0</v>
      </c>
    </row>
    <row r="13061" spans="13:16">
      <c r="M13061" s="49">
        <f>IF($A$4+130&gt;$B$4,"",$A$4+130)</f>
        <v>46153</v>
      </c>
      <c r="N13061">
        <f>IF(M13061="","",'Master Barang'!A55)</f>
        <v>0</v>
      </c>
      <c r="O13061">
        <f>IF(N13061="","",'Master Barang'!B55)</f>
        <v>0</v>
      </c>
      <c r="P13061">
        <f>IF(OR(M13061="",N13061=""),"",SUMIFS('Barang Keluar'!$E:$E,'Barang Keluar'!$A:$A,M13061,'Barang Keluar'!$C:$C,N13061))</f>
        <v>0</v>
      </c>
    </row>
    <row r="13062" spans="13:16">
      <c r="M13062" s="49">
        <f>IF($A$4+130&gt;$B$4,"",$A$4+130)</f>
        <v>46153</v>
      </c>
      <c r="N13062">
        <f>IF(M13062="","",'Master Barang'!A56)</f>
        <v>0</v>
      </c>
      <c r="O13062">
        <f>IF(N13062="","",'Master Barang'!B56)</f>
        <v>0</v>
      </c>
      <c r="P13062">
        <f>IF(OR(M13062="",N13062=""),"",SUMIFS('Barang Keluar'!$E:$E,'Barang Keluar'!$A:$A,M13062,'Barang Keluar'!$C:$C,N13062))</f>
        <v>0</v>
      </c>
    </row>
    <row r="13063" spans="13:16">
      <c r="M13063" s="49">
        <f>IF($A$4+130&gt;$B$4,"",$A$4+130)</f>
        <v>46153</v>
      </c>
      <c r="N13063">
        <f>IF(M13063="","",'Master Barang'!A57)</f>
        <v>0</v>
      </c>
      <c r="O13063">
        <f>IF(N13063="","",'Master Barang'!B57)</f>
        <v>0</v>
      </c>
      <c r="P13063">
        <f>IF(OR(M13063="",N13063=""),"",SUMIFS('Barang Keluar'!$E:$E,'Barang Keluar'!$A:$A,M13063,'Barang Keluar'!$C:$C,N13063))</f>
        <v>0</v>
      </c>
    </row>
    <row r="13064" spans="13:16">
      <c r="M13064" s="49">
        <f>IF($A$4+130&gt;$B$4,"",$A$4+130)</f>
        <v>46153</v>
      </c>
      <c r="N13064">
        <f>IF(M13064="","",'Master Barang'!A58)</f>
        <v>0</v>
      </c>
      <c r="O13064">
        <f>IF(N13064="","",'Master Barang'!B58)</f>
        <v>0</v>
      </c>
      <c r="P13064">
        <f>IF(OR(M13064="",N13064=""),"",SUMIFS('Barang Keluar'!$E:$E,'Barang Keluar'!$A:$A,M13064,'Barang Keluar'!$C:$C,N13064))</f>
        <v>0</v>
      </c>
    </row>
    <row r="13065" spans="13:16">
      <c r="M13065" s="49">
        <f>IF($A$4+130&gt;$B$4,"",$A$4+130)</f>
        <v>46153</v>
      </c>
      <c r="N13065">
        <f>IF(M13065="","",'Master Barang'!A59)</f>
        <v>0</v>
      </c>
      <c r="O13065">
        <f>IF(N13065="","",'Master Barang'!B59)</f>
        <v>0</v>
      </c>
      <c r="P13065">
        <f>IF(OR(M13065="",N13065=""),"",SUMIFS('Barang Keluar'!$E:$E,'Barang Keluar'!$A:$A,M13065,'Barang Keluar'!$C:$C,N13065))</f>
        <v>0</v>
      </c>
    </row>
    <row r="13066" spans="13:16">
      <c r="M13066" s="49">
        <f>IF($A$4+130&gt;$B$4,"",$A$4+130)</f>
        <v>46153</v>
      </c>
      <c r="N13066">
        <f>IF(M13066="","",'Master Barang'!A60)</f>
        <v>0</v>
      </c>
      <c r="O13066">
        <f>IF(N13066="","",'Master Barang'!B60)</f>
        <v>0</v>
      </c>
      <c r="P13066">
        <f>IF(OR(M13066="",N13066=""),"",SUMIFS('Barang Keluar'!$E:$E,'Barang Keluar'!$A:$A,M13066,'Barang Keluar'!$C:$C,N13066))</f>
        <v>0</v>
      </c>
    </row>
    <row r="13067" spans="13:16">
      <c r="M13067" s="49">
        <f>IF($A$4+130&gt;$B$4,"",$A$4+130)</f>
        <v>46153</v>
      </c>
      <c r="N13067">
        <f>IF(M13067="","",'Master Barang'!A61)</f>
        <v>0</v>
      </c>
      <c r="O13067">
        <f>IF(N13067="","",'Master Barang'!B61)</f>
        <v>0</v>
      </c>
      <c r="P13067">
        <f>IF(OR(M13067="",N13067=""),"",SUMIFS('Barang Keluar'!$E:$E,'Barang Keluar'!$A:$A,M13067,'Barang Keluar'!$C:$C,N13067))</f>
        <v>0</v>
      </c>
    </row>
    <row r="13068" spans="13:16">
      <c r="M13068" s="49">
        <f>IF($A$4+130&gt;$B$4,"",$A$4+130)</f>
        <v>46153</v>
      </c>
      <c r="N13068">
        <f>IF(M13068="","",'Master Barang'!A62)</f>
        <v>0</v>
      </c>
      <c r="O13068">
        <f>IF(N13068="","",'Master Barang'!B62)</f>
        <v>0</v>
      </c>
      <c r="P13068">
        <f>IF(OR(M13068="",N13068=""),"",SUMIFS('Barang Keluar'!$E:$E,'Barang Keluar'!$A:$A,M13068,'Barang Keluar'!$C:$C,N13068))</f>
        <v>0</v>
      </c>
    </row>
    <row r="13069" spans="13:16">
      <c r="M13069" s="49">
        <f>IF($A$4+130&gt;$B$4,"",$A$4+130)</f>
        <v>46153</v>
      </c>
      <c r="N13069">
        <f>IF(M13069="","",'Master Barang'!A63)</f>
        <v>0</v>
      </c>
      <c r="O13069">
        <f>IF(N13069="","",'Master Barang'!B63)</f>
        <v>0</v>
      </c>
      <c r="P13069">
        <f>IF(OR(M13069="",N13069=""),"",SUMIFS('Barang Keluar'!$E:$E,'Barang Keluar'!$A:$A,M13069,'Barang Keluar'!$C:$C,N13069))</f>
        <v>0</v>
      </c>
    </row>
    <row r="13070" spans="13:16">
      <c r="M13070" s="49">
        <f>IF($A$4+130&gt;$B$4,"",$A$4+130)</f>
        <v>46153</v>
      </c>
      <c r="N13070">
        <f>IF(M13070="","",'Master Barang'!A64)</f>
        <v>0</v>
      </c>
      <c r="O13070">
        <f>IF(N13070="","",'Master Barang'!B64)</f>
        <v>0</v>
      </c>
      <c r="P13070">
        <f>IF(OR(M13070="",N13070=""),"",SUMIFS('Barang Keluar'!$E:$E,'Barang Keluar'!$A:$A,M13070,'Barang Keluar'!$C:$C,N13070))</f>
        <v>0</v>
      </c>
    </row>
    <row r="13071" spans="13:16">
      <c r="M13071" s="49">
        <f>IF($A$4+130&gt;$B$4,"",$A$4+130)</f>
        <v>46153</v>
      </c>
      <c r="N13071">
        <f>IF(M13071="","",'Master Barang'!A65)</f>
        <v>0</v>
      </c>
      <c r="O13071">
        <f>IF(N13071="","",'Master Barang'!B65)</f>
        <v>0</v>
      </c>
      <c r="P13071">
        <f>IF(OR(M13071="",N13071=""),"",SUMIFS('Barang Keluar'!$E:$E,'Barang Keluar'!$A:$A,M13071,'Barang Keluar'!$C:$C,N13071))</f>
        <v>0</v>
      </c>
    </row>
    <row r="13072" spans="13:16">
      <c r="M13072" s="49">
        <f>IF($A$4+130&gt;$B$4,"",$A$4+130)</f>
        <v>46153</v>
      </c>
      <c r="N13072">
        <f>IF(M13072="","",'Master Barang'!A66)</f>
        <v>0</v>
      </c>
      <c r="O13072">
        <f>IF(N13072="","",'Master Barang'!B66)</f>
        <v>0</v>
      </c>
      <c r="P13072">
        <f>IF(OR(M13072="",N13072=""),"",SUMIFS('Barang Keluar'!$E:$E,'Barang Keluar'!$A:$A,M13072,'Barang Keluar'!$C:$C,N13072))</f>
        <v>0</v>
      </c>
    </row>
    <row r="13073" spans="13:16">
      <c r="M13073" s="49">
        <f>IF($A$4+130&gt;$B$4,"",$A$4+130)</f>
        <v>46153</v>
      </c>
      <c r="N13073">
        <f>IF(M13073="","",'Master Barang'!A67)</f>
        <v>0</v>
      </c>
      <c r="O13073">
        <f>IF(N13073="","",'Master Barang'!B67)</f>
        <v>0</v>
      </c>
      <c r="P13073">
        <f>IF(OR(M13073="",N13073=""),"",SUMIFS('Barang Keluar'!$E:$E,'Barang Keluar'!$A:$A,M13073,'Barang Keluar'!$C:$C,N13073))</f>
        <v>0</v>
      </c>
    </row>
    <row r="13074" spans="13:16">
      <c r="M13074" s="49">
        <f>IF($A$4+130&gt;$B$4,"",$A$4+130)</f>
        <v>46153</v>
      </c>
      <c r="N13074">
        <f>IF(M13074="","",'Master Barang'!A68)</f>
        <v>0</v>
      </c>
      <c r="O13074">
        <f>IF(N13074="","",'Master Barang'!B68)</f>
        <v>0</v>
      </c>
      <c r="P13074">
        <f>IF(OR(M13074="",N13074=""),"",SUMIFS('Barang Keluar'!$E:$E,'Barang Keluar'!$A:$A,M13074,'Barang Keluar'!$C:$C,N13074))</f>
        <v>0</v>
      </c>
    </row>
    <row r="13075" spans="13:16">
      <c r="M13075" s="49">
        <f>IF($A$4+130&gt;$B$4,"",$A$4+130)</f>
        <v>46153</v>
      </c>
      <c r="N13075">
        <f>IF(M13075="","",'Master Barang'!A69)</f>
        <v>0</v>
      </c>
      <c r="O13075">
        <f>IF(N13075="","",'Master Barang'!B69)</f>
        <v>0</v>
      </c>
      <c r="P13075">
        <f>IF(OR(M13075="",N13075=""),"",SUMIFS('Barang Keluar'!$E:$E,'Barang Keluar'!$A:$A,M13075,'Barang Keluar'!$C:$C,N13075))</f>
        <v>0</v>
      </c>
    </row>
    <row r="13076" spans="13:16">
      <c r="M13076" s="49">
        <f>IF($A$4+130&gt;$B$4,"",$A$4+130)</f>
        <v>46153</v>
      </c>
      <c r="N13076">
        <f>IF(M13076="","",'Master Barang'!A70)</f>
        <v>0</v>
      </c>
      <c r="O13076">
        <f>IF(N13076="","",'Master Barang'!B70)</f>
        <v>0</v>
      </c>
      <c r="P13076">
        <f>IF(OR(M13076="",N13076=""),"",SUMIFS('Barang Keluar'!$E:$E,'Barang Keluar'!$A:$A,M13076,'Barang Keluar'!$C:$C,N13076))</f>
        <v>0</v>
      </c>
    </row>
    <row r="13077" spans="13:16">
      <c r="M13077" s="49">
        <f>IF($A$4+130&gt;$B$4,"",$A$4+130)</f>
        <v>46153</v>
      </c>
      <c r="N13077">
        <f>IF(M13077="","",'Master Barang'!A71)</f>
        <v>0</v>
      </c>
      <c r="O13077">
        <f>IF(N13077="","",'Master Barang'!B71)</f>
        <v>0</v>
      </c>
      <c r="P13077">
        <f>IF(OR(M13077="",N13077=""),"",SUMIFS('Barang Keluar'!$E:$E,'Barang Keluar'!$A:$A,M13077,'Barang Keluar'!$C:$C,N13077))</f>
        <v>0</v>
      </c>
    </row>
    <row r="13078" spans="13:16">
      <c r="M13078" s="49">
        <f>IF($A$4+130&gt;$B$4,"",$A$4+130)</f>
        <v>46153</v>
      </c>
      <c r="N13078">
        <f>IF(M13078="","",'Master Barang'!A72)</f>
        <v>0</v>
      </c>
      <c r="O13078">
        <f>IF(N13078="","",'Master Barang'!B72)</f>
        <v>0</v>
      </c>
      <c r="P13078">
        <f>IF(OR(M13078="",N13078=""),"",SUMIFS('Barang Keluar'!$E:$E,'Barang Keluar'!$A:$A,M13078,'Barang Keluar'!$C:$C,N13078))</f>
        <v>0</v>
      </c>
    </row>
    <row r="13079" spans="13:16">
      <c r="M13079" s="49">
        <f>IF($A$4+130&gt;$B$4,"",$A$4+130)</f>
        <v>46153</v>
      </c>
      <c r="N13079">
        <f>IF(M13079="","",'Master Barang'!A73)</f>
        <v>0</v>
      </c>
      <c r="O13079">
        <f>IF(N13079="","",'Master Barang'!B73)</f>
        <v>0</v>
      </c>
      <c r="P13079">
        <f>IF(OR(M13079="",N13079=""),"",SUMIFS('Barang Keluar'!$E:$E,'Barang Keluar'!$A:$A,M13079,'Barang Keluar'!$C:$C,N13079))</f>
        <v>0</v>
      </c>
    </row>
    <row r="13080" spans="13:16">
      <c r="M13080" s="49">
        <f>IF($A$4+130&gt;$B$4,"",$A$4+130)</f>
        <v>46153</v>
      </c>
      <c r="N13080">
        <f>IF(M13080="","",'Master Barang'!A74)</f>
        <v>0</v>
      </c>
      <c r="O13080">
        <f>IF(N13080="","",'Master Barang'!B74)</f>
        <v>0</v>
      </c>
      <c r="P13080">
        <f>IF(OR(M13080="",N13080=""),"",SUMIFS('Barang Keluar'!$E:$E,'Barang Keluar'!$A:$A,M13080,'Barang Keluar'!$C:$C,N13080))</f>
        <v>0</v>
      </c>
    </row>
    <row r="13081" spans="13:16">
      <c r="M13081" s="49">
        <f>IF($A$4+130&gt;$B$4,"",$A$4+130)</f>
        <v>46153</v>
      </c>
      <c r="N13081">
        <f>IF(M13081="","",'Master Barang'!A75)</f>
        <v>0</v>
      </c>
      <c r="O13081">
        <f>IF(N13081="","",'Master Barang'!B75)</f>
        <v>0</v>
      </c>
      <c r="P13081">
        <f>IF(OR(M13081="",N13081=""),"",SUMIFS('Barang Keluar'!$E:$E,'Barang Keluar'!$A:$A,M13081,'Barang Keluar'!$C:$C,N13081))</f>
        <v>0</v>
      </c>
    </row>
    <row r="13082" spans="13:16">
      <c r="M13082" s="49">
        <f>IF($A$4+130&gt;$B$4,"",$A$4+130)</f>
        <v>46153</v>
      </c>
      <c r="N13082">
        <f>IF(M13082="","",'Master Barang'!A76)</f>
        <v>0</v>
      </c>
      <c r="O13082">
        <f>IF(N13082="","",'Master Barang'!B76)</f>
        <v>0</v>
      </c>
      <c r="P13082">
        <f>IF(OR(M13082="",N13082=""),"",SUMIFS('Barang Keluar'!$E:$E,'Barang Keluar'!$A:$A,M13082,'Barang Keluar'!$C:$C,N13082))</f>
        <v>0</v>
      </c>
    </row>
    <row r="13083" spans="13:16">
      <c r="M13083" s="49">
        <f>IF($A$4+130&gt;$B$4,"",$A$4+130)</f>
        <v>46153</v>
      </c>
      <c r="N13083">
        <f>IF(M13083="","",'Master Barang'!A77)</f>
        <v>0</v>
      </c>
      <c r="O13083">
        <f>IF(N13083="","",'Master Barang'!B77)</f>
        <v>0</v>
      </c>
      <c r="P13083">
        <f>IF(OR(M13083="",N13083=""),"",SUMIFS('Barang Keluar'!$E:$E,'Barang Keluar'!$A:$A,M13083,'Barang Keluar'!$C:$C,N13083))</f>
        <v>0</v>
      </c>
    </row>
    <row r="13084" spans="13:16">
      <c r="M13084" s="49">
        <f>IF($A$4+130&gt;$B$4,"",$A$4+130)</f>
        <v>46153</v>
      </c>
      <c r="N13084">
        <f>IF(M13084="","",'Master Barang'!A78)</f>
        <v>0</v>
      </c>
      <c r="O13084">
        <f>IF(N13084="","",'Master Barang'!B78)</f>
        <v>0</v>
      </c>
      <c r="P13084">
        <f>IF(OR(M13084="",N13084=""),"",SUMIFS('Barang Keluar'!$E:$E,'Barang Keluar'!$A:$A,M13084,'Barang Keluar'!$C:$C,N13084))</f>
        <v>0</v>
      </c>
    </row>
    <row r="13085" spans="13:16">
      <c r="M13085" s="49">
        <f>IF($A$4+130&gt;$B$4,"",$A$4+130)</f>
        <v>46153</v>
      </c>
      <c r="N13085">
        <f>IF(M13085="","",'Master Barang'!A79)</f>
        <v>0</v>
      </c>
      <c r="O13085">
        <f>IF(N13085="","",'Master Barang'!B79)</f>
        <v>0</v>
      </c>
      <c r="P13085">
        <f>IF(OR(M13085="",N13085=""),"",SUMIFS('Barang Keluar'!$E:$E,'Barang Keluar'!$A:$A,M13085,'Barang Keluar'!$C:$C,N13085))</f>
        <v>0</v>
      </c>
    </row>
    <row r="13086" spans="13:16">
      <c r="M13086" s="49">
        <f>IF($A$4+130&gt;$B$4,"",$A$4+130)</f>
        <v>46153</v>
      </c>
      <c r="N13086">
        <f>IF(M13086="","",'Master Barang'!A80)</f>
        <v>0</v>
      </c>
      <c r="O13086">
        <f>IF(N13086="","",'Master Barang'!B80)</f>
        <v>0</v>
      </c>
      <c r="P13086">
        <f>IF(OR(M13086="",N13086=""),"",SUMIFS('Barang Keluar'!$E:$E,'Barang Keluar'!$A:$A,M13086,'Barang Keluar'!$C:$C,N13086))</f>
        <v>0</v>
      </c>
    </row>
    <row r="13087" spans="13:16">
      <c r="M13087" s="49">
        <f>IF($A$4+130&gt;$B$4,"",$A$4+130)</f>
        <v>46153</v>
      </c>
      <c r="N13087">
        <f>IF(M13087="","",'Master Barang'!A81)</f>
        <v>0</v>
      </c>
      <c r="O13087">
        <f>IF(N13087="","",'Master Barang'!B81)</f>
        <v>0</v>
      </c>
      <c r="P13087">
        <f>IF(OR(M13087="",N13087=""),"",SUMIFS('Barang Keluar'!$E:$E,'Barang Keluar'!$A:$A,M13087,'Barang Keluar'!$C:$C,N13087))</f>
        <v>0</v>
      </c>
    </row>
    <row r="13088" spans="13:16">
      <c r="M13088" s="49">
        <f>IF($A$4+130&gt;$B$4,"",$A$4+130)</f>
        <v>46153</v>
      </c>
      <c r="N13088">
        <f>IF(M13088="","",'Master Barang'!A82)</f>
        <v>0</v>
      </c>
      <c r="O13088">
        <f>IF(N13088="","",'Master Barang'!B82)</f>
        <v>0</v>
      </c>
      <c r="P13088">
        <f>IF(OR(M13088="",N13088=""),"",SUMIFS('Barang Keluar'!$E:$E,'Barang Keluar'!$A:$A,M13088,'Barang Keluar'!$C:$C,N13088))</f>
        <v>0</v>
      </c>
    </row>
    <row r="13089" spans="13:16">
      <c r="M13089" s="49">
        <f>IF($A$4+130&gt;$B$4,"",$A$4+130)</f>
        <v>46153</v>
      </c>
      <c r="N13089">
        <f>IF(M13089="","",'Master Barang'!A83)</f>
        <v>0</v>
      </c>
      <c r="O13089">
        <f>IF(N13089="","",'Master Barang'!B83)</f>
        <v>0</v>
      </c>
      <c r="P13089">
        <f>IF(OR(M13089="",N13089=""),"",SUMIFS('Barang Keluar'!$E:$E,'Barang Keluar'!$A:$A,M13089,'Barang Keluar'!$C:$C,N13089))</f>
        <v>0</v>
      </c>
    </row>
    <row r="13090" spans="13:16">
      <c r="M13090" s="49">
        <f>IF($A$4+130&gt;$B$4,"",$A$4+130)</f>
        <v>46153</v>
      </c>
      <c r="N13090">
        <f>IF(M13090="","",'Master Barang'!A84)</f>
        <v>0</v>
      </c>
      <c r="O13090">
        <f>IF(N13090="","",'Master Barang'!B84)</f>
        <v>0</v>
      </c>
      <c r="P13090">
        <f>IF(OR(M13090="",N13090=""),"",SUMIFS('Barang Keluar'!$E:$E,'Barang Keluar'!$A:$A,M13090,'Barang Keluar'!$C:$C,N13090))</f>
        <v>0</v>
      </c>
    </row>
    <row r="13091" spans="13:16">
      <c r="M13091" s="49">
        <f>IF($A$4+130&gt;$B$4,"",$A$4+130)</f>
        <v>46153</v>
      </c>
      <c r="N13091">
        <f>IF(M13091="","",'Master Barang'!A85)</f>
        <v>0</v>
      </c>
      <c r="O13091">
        <f>IF(N13091="","",'Master Barang'!B85)</f>
        <v>0</v>
      </c>
      <c r="P13091">
        <f>IF(OR(M13091="",N13091=""),"",SUMIFS('Barang Keluar'!$E:$E,'Barang Keluar'!$A:$A,M13091,'Barang Keluar'!$C:$C,N13091))</f>
        <v>0</v>
      </c>
    </row>
    <row r="13092" spans="13:16">
      <c r="M13092" s="49">
        <f>IF($A$4+130&gt;$B$4,"",$A$4+130)</f>
        <v>46153</v>
      </c>
      <c r="N13092">
        <f>IF(M13092="","",'Master Barang'!A86)</f>
        <v>0</v>
      </c>
      <c r="O13092">
        <f>IF(N13092="","",'Master Barang'!B86)</f>
        <v>0</v>
      </c>
      <c r="P13092">
        <f>IF(OR(M13092="",N13092=""),"",SUMIFS('Barang Keluar'!$E:$E,'Barang Keluar'!$A:$A,M13092,'Barang Keluar'!$C:$C,N13092))</f>
        <v>0</v>
      </c>
    </row>
    <row r="13093" spans="13:16">
      <c r="M13093" s="49">
        <f>IF($A$4+130&gt;$B$4,"",$A$4+130)</f>
        <v>46153</v>
      </c>
      <c r="N13093">
        <f>IF(M13093="","",'Master Barang'!A87)</f>
        <v>0</v>
      </c>
      <c r="O13093">
        <f>IF(N13093="","",'Master Barang'!B87)</f>
        <v>0</v>
      </c>
      <c r="P13093">
        <f>IF(OR(M13093="",N13093=""),"",SUMIFS('Barang Keluar'!$E:$E,'Barang Keluar'!$A:$A,M13093,'Barang Keluar'!$C:$C,N13093))</f>
        <v>0</v>
      </c>
    </row>
    <row r="13094" spans="13:16">
      <c r="M13094" s="49">
        <f>IF($A$4+130&gt;$B$4,"",$A$4+130)</f>
        <v>46153</v>
      </c>
      <c r="N13094">
        <f>IF(M13094="","",'Master Barang'!A88)</f>
        <v>0</v>
      </c>
      <c r="O13094">
        <f>IF(N13094="","",'Master Barang'!B88)</f>
        <v>0</v>
      </c>
      <c r="P13094">
        <f>IF(OR(M13094="",N13094=""),"",SUMIFS('Barang Keluar'!$E:$E,'Barang Keluar'!$A:$A,M13094,'Barang Keluar'!$C:$C,N13094))</f>
        <v>0</v>
      </c>
    </row>
    <row r="13095" spans="13:16">
      <c r="M13095" s="49">
        <f>IF($A$4+130&gt;$B$4,"",$A$4+130)</f>
        <v>46153</v>
      </c>
      <c r="N13095">
        <f>IF(M13095="","",'Master Barang'!A89)</f>
        <v>0</v>
      </c>
      <c r="O13095">
        <f>IF(N13095="","",'Master Barang'!B89)</f>
        <v>0</v>
      </c>
      <c r="P13095">
        <f>IF(OR(M13095="",N13095=""),"",SUMIFS('Barang Keluar'!$E:$E,'Barang Keluar'!$A:$A,M13095,'Barang Keluar'!$C:$C,N13095))</f>
        <v>0</v>
      </c>
    </row>
    <row r="13096" spans="13:16">
      <c r="M13096" s="49">
        <f>IF($A$4+130&gt;$B$4,"",$A$4+130)</f>
        <v>46153</v>
      </c>
      <c r="N13096">
        <f>IF(M13096="","",'Master Barang'!A90)</f>
        <v>0</v>
      </c>
      <c r="O13096">
        <f>IF(N13096="","",'Master Barang'!B90)</f>
        <v>0</v>
      </c>
      <c r="P13096">
        <f>IF(OR(M13096="",N13096=""),"",SUMIFS('Barang Keluar'!$E:$E,'Barang Keluar'!$A:$A,M13096,'Barang Keluar'!$C:$C,N13096))</f>
        <v>0</v>
      </c>
    </row>
    <row r="13097" spans="13:16">
      <c r="M13097" s="49">
        <f>IF($A$4+130&gt;$B$4,"",$A$4+130)</f>
        <v>46153</v>
      </c>
      <c r="N13097">
        <f>IF(M13097="","",'Master Barang'!A91)</f>
        <v>0</v>
      </c>
      <c r="O13097">
        <f>IF(N13097="","",'Master Barang'!B91)</f>
        <v>0</v>
      </c>
      <c r="P13097">
        <f>IF(OR(M13097="",N13097=""),"",SUMIFS('Barang Keluar'!$E:$E,'Barang Keluar'!$A:$A,M13097,'Barang Keluar'!$C:$C,N13097))</f>
        <v>0</v>
      </c>
    </row>
    <row r="13098" spans="13:16">
      <c r="M13098" s="49">
        <f>IF($A$4+130&gt;$B$4,"",$A$4+130)</f>
        <v>46153</v>
      </c>
      <c r="N13098">
        <f>IF(M13098="","",'Master Barang'!A92)</f>
        <v>0</v>
      </c>
      <c r="O13098">
        <f>IF(N13098="","",'Master Barang'!B92)</f>
        <v>0</v>
      </c>
      <c r="P13098">
        <f>IF(OR(M13098="",N13098=""),"",SUMIFS('Barang Keluar'!$E:$E,'Barang Keluar'!$A:$A,M13098,'Barang Keluar'!$C:$C,N13098))</f>
        <v>0</v>
      </c>
    </row>
    <row r="13099" spans="13:16">
      <c r="M13099" s="49">
        <f>IF($A$4+130&gt;$B$4,"",$A$4+130)</f>
        <v>46153</v>
      </c>
      <c r="N13099">
        <f>IF(M13099="","",'Master Barang'!A93)</f>
        <v>0</v>
      </c>
      <c r="O13099">
        <f>IF(N13099="","",'Master Barang'!B93)</f>
        <v>0</v>
      </c>
      <c r="P13099">
        <f>IF(OR(M13099="",N13099=""),"",SUMIFS('Barang Keluar'!$E:$E,'Barang Keluar'!$A:$A,M13099,'Barang Keluar'!$C:$C,N13099))</f>
        <v>0</v>
      </c>
    </row>
    <row r="13100" spans="13:16">
      <c r="M13100" s="49">
        <f>IF($A$4+130&gt;$B$4,"",$A$4+130)</f>
        <v>46153</v>
      </c>
      <c r="N13100">
        <f>IF(M13100="","",'Master Barang'!A94)</f>
        <v>0</v>
      </c>
      <c r="O13100">
        <f>IF(N13100="","",'Master Barang'!B94)</f>
        <v>0</v>
      </c>
      <c r="P13100">
        <f>IF(OR(M13100="",N13100=""),"",SUMIFS('Barang Keluar'!$E:$E,'Barang Keluar'!$A:$A,M13100,'Barang Keluar'!$C:$C,N13100))</f>
        <v>0</v>
      </c>
    </row>
    <row r="13101" spans="13:16">
      <c r="M13101" s="49">
        <f>IF($A$4+130&gt;$B$4,"",$A$4+130)</f>
        <v>46153</v>
      </c>
      <c r="N13101">
        <f>IF(M13101="","",'Master Barang'!A95)</f>
        <v>0</v>
      </c>
      <c r="O13101">
        <f>IF(N13101="","",'Master Barang'!B95)</f>
        <v>0</v>
      </c>
      <c r="P13101">
        <f>IF(OR(M13101="",N13101=""),"",SUMIFS('Barang Keluar'!$E:$E,'Barang Keluar'!$A:$A,M13101,'Barang Keluar'!$C:$C,N13101))</f>
        <v>0</v>
      </c>
    </row>
    <row r="13102" spans="13:16">
      <c r="M13102" s="49">
        <f>IF($A$4+130&gt;$B$4,"",$A$4+130)</f>
        <v>46153</v>
      </c>
      <c r="N13102">
        <f>IF(M13102="","",'Master Barang'!A96)</f>
        <v>0</v>
      </c>
      <c r="O13102">
        <f>IF(N13102="","",'Master Barang'!B96)</f>
        <v>0</v>
      </c>
      <c r="P13102">
        <f>IF(OR(M13102="",N13102=""),"",SUMIFS('Barang Keluar'!$E:$E,'Barang Keluar'!$A:$A,M13102,'Barang Keluar'!$C:$C,N13102))</f>
        <v>0</v>
      </c>
    </row>
    <row r="13103" spans="13:16">
      <c r="M13103" s="49">
        <f>IF($A$4+130&gt;$B$4,"",$A$4+130)</f>
        <v>46153</v>
      </c>
      <c r="N13103">
        <f>IF(M13103="","",'Master Barang'!A97)</f>
        <v>0</v>
      </c>
      <c r="O13103">
        <f>IF(N13103="","",'Master Barang'!B97)</f>
        <v>0</v>
      </c>
      <c r="P13103">
        <f>IF(OR(M13103="",N13103=""),"",SUMIFS('Barang Keluar'!$E:$E,'Barang Keluar'!$A:$A,M13103,'Barang Keluar'!$C:$C,N13103))</f>
        <v>0</v>
      </c>
    </row>
    <row r="13104" spans="13:16">
      <c r="M13104" s="49">
        <f>IF($A$4+130&gt;$B$4,"",$A$4+130)</f>
        <v>46153</v>
      </c>
      <c r="N13104">
        <f>IF(M13104="","",'Master Barang'!A98)</f>
        <v>0</v>
      </c>
      <c r="O13104">
        <f>IF(N13104="","",'Master Barang'!B98)</f>
        <v>0</v>
      </c>
      <c r="P13104">
        <f>IF(OR(M13104="",N13104=""),"",SUMIFS('Barang Keluar'!$E:$E,'Barang Keluar'!$A:$A,M13104,'Barang Keluar'!$C:$C,N13104))</f>
        <v>0</v>
      </c>
    </row>
    <row r="13105" spans="13:16">
      <c r="M13105" s="49">
        <f>IF($A$4+130&gt;$B$4,"",$A$4+130)</f>
        <v>46153</v>
      </c>
      <c r="N13105">
        <f>IF(M13105="","",'Master Barang'!A99)</f>
        <v>0</v>
      </c>
      <c r="O13105">
        <f>IF(N13105="","",'Master Barang'!B99)</f>
        <v>0</v>
      </c>
      <c r="P13105">
        <f>IF(OR(M13105="",N13105=""),"",SUMIFS('Barang Keluar'!$E:$E,'Barang Keluar'!$A:$A,M13105,'Barang Keluar'!$C:$C,N13105))</f>
        <v>0</v>
      </c>
    </row>
    <row r="13106" spans="13:16">
      <c r="M13106" s="49">
        <f>IF($A$4+130&gt;$B$4,"",$A$4+130)</f>
        <v>46153</v>
      </c>
      <c r="N13106">
        <f>IF(M13106="","",'Master Barang'!A100)</f>
        <v>0</v>
      </c>
      <c r="O13106">
        <f>IF(N13106="","",'Master Barang'!B100)</f>
        <v>0</v>
      </c>
      <c r="P13106">
        <f>IF(OR(M13106="",N13106=""),"",SUMIFS('Barang Keluar'!$E:$E,'Barang Keluar'!$A:$A,M13106,'Barang Keluar'!$C:$C,N13106))</f>
        <v>0</v>
      </c>
    </row>
    <row r="13107" spans="13:16">
      <c r="M13107" s="49">
        <f>IF($A$4+130&gt;$B$4,"",$A$4+130)</f>
        <v>46153</v>
      </c>
      <c r="N13107">
        <f>IF(M13107="","",'Master Barang'!A101)</f>
        <v>0</v>
      </c>
      <c r="O13107">
        <f>IF(N13107="","",'Master Barang'!B101)</f>
        <v>0</v>
      </c>
      <c r="P13107">
        <f>IF(OR(M13107="",N13107=""),"",SUMIFS('Barang Keluar'!$E:$E,'Barang Keluar'!$A:$A,M13107,'Barang Keluar'!$C:$C,N13107))</f>
        <v>0</v>
      </c>
    </row>
    <row r="13108" spans="13:16">
      <c r="M13108" s="49">
        <f>IF($A$4+131&gt;$B$4,"",$A$4+131)</f>
        <v>46154</v>
      </c>
      <c r="N13108" t="str">
        <f>IF(M13108="","",'Master Barang'!A2)</f>
        <v>PRL-001</v>
      </c>
      <c r="O13108" t="str">
        <f>IF(N13108="","",'Master Barang'!B2)</f>
        <v>natura desinfectant food grade 5l</v>
      </c>
      <c r="P13108">
        <f>IF(OR(M13108="",N13108=""),"",SUMIFS('Barang Keluar'!$E:$E,'Barang Keluar'!$A:$A,M13108,'Barang Keluar'!$C:$C,N13108))</f>
        <v>0</v>
      </c>
    </row>
    <row r="13109" spans="13:16">
      <c r="M13109" s="49">
        <f>IF($A$4+131&gt;$B$4,"",$A$4+131)</f>
        <v>46154</v>
      </c>
      <c r="N13109" t="str">
        <f>IF(M13109="","",'Master Barang'!A3)</f>
        <v>PRL-002</v>
      </c>
      <c r="O13109" t="str">
        <f>IF(N13109="","",'Master Barang'!B3)</f>
        <v>sunlight cairan pencuci piring 5l</v>
      </c>
      <c r="P13109">
        <f>IF(OR(M13109="",N13109=""),"",SUMIFS('Barang Keluar'!$E:$E,'Barang Keluar'!$A:$A,M13109,'Barang Keluar'!$C:$C,N13109))</f>
        <v>0</v>
      </c>
    </row>
    <row r="13110" spans="13:16">
      <c r="M13110" s="49">
        <f>IF($A$4+131&gt;$B$4,"",$A$4+131)</f>
        <v>46154</v>
      </c>
      <c r="N13110" t="str">
        <f>IF(M13110="","",'Master Barang'!A4)</f>
        <v>PRL-003</v>
      </c>
      <c r="O13110" t="str">
        <f>IF(N13110="","",'Master Barang'!B4)</f>
        <v>oixs cleaner 1l</v>
      </c>
      <c r="P13110">
        <f>IF(OR(M13110="",N13110=""),"",SUMIFS('Barang Keluar'!$E:$E,'Barang Keluar'!$A:$A,M13110,'Barang Keluar'!$C:$C,N13110))</f>
        <v>0</v>
      </c>
    </row>
    <row r="13111" spans="13:16">
      <c r="M13111" s="49">
        <f>IF($A$4+131&gt;$B$4,"",$A$4+131)</f>
        <v>46154</v>
      </c>
      <c r="N13111" t="str">
        <f>IF(M13111="","",'Master Barang'!A5)</f>
        <v>PRL-004</v>
      </c>
      <c r="O13111" t="str">
        <f>IF(N13111="","",'Master Barang'!B5)</f>
        <v>be clean tissue serbaguna</v>
      </c>
      <c r="P13111">
        <f>IF(OR(M13111="",N13111=""),"",SUMIFS('Barang Keluar'!$E:$E,'Barang Keluar'!$A:$A,M13111,'Barang Keluar'!$C:$C,N13111))</f>
        <v>0</v>
      </c>
    </row>
    <row r="13112" spans="13:16">
      <c r="M13112" s="49">
        <f>IF($A$4+131&gt;$B$4,"",$A$4+131)</f>
        <v>46154</v>
      </c>
      <c r="N13112" t="str">
        <f>IF(M13112="","",'Master Barang'!A6)</f>
        <v>PRL-005</v>
      </c>
      <c r="O13112" t="str">
        <f>IF(N13112="","",'Master Barang'!B6)</f>
        <v>spons cuci hijau</v>
      </c>
      <c r="P13112">
        <f>IF(OR(M13112="",N13112=""),"",SUMIFS('Barang Keluar'!$E:$E,'Barang Keluar'!$A:$A,M13112,'Barang Keluar'!$C:$C,N13112))</f>
        <v>0</v>
      </c>
    </row>
    <row r="13113" spans="13:16">
      <c r="M13113" s="49">
        <f>IF($A$4+131&gt;$B$4,"",$A$4+131)</f>
        <v>46154</v>
      </c>
      <c r="N13113" t="str">
        <f>IF(M13113="","",'Master Barang'!A7)</f>
        <v>PRL-006</v>
      </c>
      <c r="O13113" t="str">
        <f>IF(N13113="","",'Master Barang'!B7)</f>
        <v>sabut cuci stainless</v>
      </c>
      <c r="P13113">
        <f>IF(OR(M13113="",N13113=""),"",SUMIFS('Barang Keluar'!$E:$E,'Barang Keluar'!$A:$A,M13113,'Barang Keluar'!$C:$C,N13113))</f>
        <v>0</v>
      </c>
    </row>
    <row r="13114" spans="13:16">
      <c r="M13114" s="49">
        <f>IF($A$4+131&gt;$B$4,"",$A$4+131)</f>
        <v>46154</v>
      </c>
      <c r="N13114" t="str">
        <f>IF(M13114="","",'Master Barang'!A8)</f>
        <v>PRL-007</v>
      </c>
      <c r="O13114" t="str">
        <f>IF(N13114="","",'Master Barang'!B8)</f>
        <v>plastik kresek besar merah 50pc</v>
      </c>
      <c r="P13114">
        <f>IF(OR(M13114="",N13114=""),"",SUMIFS('Barang Keluar'!$E:$E,'Barang Keluar'!$A:$A,M13114,'Barang Keluar'!$C:$C,N13114))</f>
        <v>0</v>
      </c>
    </row>
    <row r="13115" spans="13:16">
      <c r="M13115" s="49">
        <f>IF($A$4+131&gt;$B$4,"",$A$4+131)</f>
        <v>46154</v>
      </c>
      <c r="N13115" t="str">
        <f>IF(M13115="","",'Master Barang'!A9)</f>
        <v>PRL-008</v>
      </c>
      <c r="O13115" t="str">
        <f>IF(N13115="","",'Master Barang'!B9)</f>
        <v>lap besar</v>
      </c>
      <c r="P13115">
        <f>IF(OR(M13115="",N13115=""),"",SUMIFS('Barang Keluar'!$E:$E,'Barang Keluar'!$A:$A,M13115,'Barang Keluar'!$C:$C,N13115))</f>
        <v>0</v>
      </c>
    </row>
    <row r="13116" spans="13:16">
      <c r="M13116" s="49">
        <f>IF($A$4+131&gt;$B$4,"",$A$4+131)</f>
        <v>46154</v>
      </c>
      <c r="N13116" t="str">
        <f>IF(M13116="","",'Master Barang'!A10)</f>
        <v>PRL-009</v>
      </c>
      <c r="O13116" t="str">
        <f>IF(N13116="","",'Master Barang'!B10)</f>
        <v>lap microfiber</v>
      </c>
      <c r="P13116">
        <f>IF(OR(M13116="",N13116=""),"",SUMIFS('Barang Keluar'!$E:$E,'Barang Keluar'!$A:$A,M13116,'Barang Keluar'!$C:$C,N13116))</f>
        <v>0</v>
      </c>
    </row>
    <row r="13117" spans="13:16">
      <c r="M13117" s="49">
        <f>IF($A$4+131&gt;$B$4,"",$A$4+131)</f>
        <v>46154</v>
      </c>
      <c r="N13117" t="str">
        <f>IF(M13117="","",'Master Barang'!A11)</f>
        <v>PRL-010</v>
      </c>
      <c r="O13117" t="str">
        <f>IF(N13117="","",'Master Barang'!B11)</f>
        <v>lap kecil</v>
      </c>
      <c r="P13117">
        <f>IF(OR(M13117="",N13117=""),"",SUMIFS('Barang Keluar'!$E:$E,'Barang Keluar'!$A:$A,M13117,'Barang Keluar'!$C:$C,N13117))</f>
        <v>0</v>
      </c>
    </row>
    <row r="13118" spans="13:16">
      <c r="M13118" s="49">
        <f>IF($A$4+131&gt;$B$4,"",$A$4+131)</f>
        <v>46154</v>
      </c>
      <c r="N13118" t="str">
        <f>IF(M13118="","",'Master Barang'!A12)</f>
        <v>PRL-011</v>
      </c>
      <c r="O13118" t="str">
        <f>IF(N13118="","",'Master Barang'!B12)</f>
        <v>kanebo kecil</v>
      </c>
      <c r="P13118">
        <f>IF(OR(M13118="",N13118=""),"",SUMIFS('Barang Keluar'!$E:$E,'Barang Keluar'!$A:$A,M13118,'Barang Keluar'!$C:$C,N13118))</f>
        <v>0</v>
      </c>
    </row>
    <row r="13119" spans="13:16">
      <c r="M13119" s="49">
        <f>IF($A$4+131&gt;$B$4,"",$A$4+131)</f>
        <v>46154</v>
      </c>
      <c r="N13119" t="str">
        <f>IF(M13119="","",'Master Barang'!A13)</f>
        <v>PRL-012</v>
      </c>
      <c r="O13119" t="str">
        <f>IF(N13119="","",'Master Barang'!B13)</f>
        <v>plastik 1/4kg joyoboyo 100 lembar</v>
      </c>
      <c r="P13119">
        <f>IF(OR(M13119="",N13119=""),"",SUMIFS('Barang Keluar'!$E:$E,'Barang Keluar'!$A:$A,M13119,'Barang Keluar'!$C:$C,N13119))</f>
        <v>0</v>
      </c>
    </row>
    <row r="13120" spans="13:16">
      <c r="M13120" s="49">
        <f>IF($A$4+131&gt;$B$4,"",$A$4+131)</f>
        <v>46154</v>
      </c>
      <c r="N13120" t="str">
        <f>IF(M13120="","",'Master Barang'!A14)</f>
        <v>PRL-013</v>
      </c>
      <c r="O13120" t="str">
        <f>IF(N13120="","",'Master Barang'!B14)</f>
        <v>sarung tangan plastik kaka 100 pcs</v>
      </c>
      <c r="P13120">
        <f>IF(OR(M13120="",N13120=""),"",SUMIFS('Barang Keluar'!$E:$E,'Barang Keluar'!$A:$A,M13120,'Barang Keluar'!$C:$C,N13120))</f>
        <v>0</v>
      </c>
    </row>
    <row r="13121" spans="13:16">
      <c r="M13121" s="49">
        <f>IF($A$4+131&gt;$B$4,"",$A$4+131)</f>
        <v>46154</v>
      </c>
      <c r="N13121" t="str">
        <f>IF(M13121="","",'Master Barang'!A15)</f>
        <v>PRL-014</v>
      </c>
      <c r="O13121" t="str">
        <f>IF(N13121="","",'Master Barang'!B15)</f>
        <v>optima trashbag 80x100</v>
      </c>
      <c r="P13121">
        <f>IF(OR(M13121="",N13121=""),"",SUMIFS('Barang Keluar'!$E:$E,'Barang Keluar'!$A:$A,M13121,'Barang Keluar'!$C:$C,N13121))</f>
        <v>0</v>
      </c>
    </row>
    <row r="13122" spans="13:16">
      <c r="M13122" s="49">
        <f>IF($A$4+131&gt;$B$4,"",$A$4+131)</f>
        <v>46154</v>
      </c>
      <c r="N13122" t="str">
        <f>IF(M13122="","",'Master Barang'!A16)</f>
        <v>PRL-015</v>
      </c>
      <c r="O13122" t="str">
        <f>IF(N13122="","",'Master Barang'!B16)</f>
        <v>optima trashbag 60x100</v>
      </c>
      <c r="P13122">
        <f>IF(OR(M13122="",N13122=""),"",SUMIFS('Barang Keluar'!$E:$E,'Barang Keluar'!$A:$A,M13122,'Barang Keluar'!$C:$C,N13122))</f>
        <v>0</v>
      </c>
    </row>
    <row r="13123" spans="13:16">
      <c r="M13123" s="49">
        <f>IF($A$4+131&gt;$B$4,"",$A$4+131)</f>
        <v>46154</v>
      </c>
      <c r="N13123" t="str">
        <f>IF(M13123="","",'Master Barang'!A17)</f>
        <v>PRL-016</v>
      </c>
      <c r="O13123" t="str">
        <f>IF(N13123="","",'Master Barang'!B17)</f>
        <v>rajawali trashbag 30x40</v>
      </c>
      <c r="P13123">
        <f>IF(OR(M13123="",N13123=""),"",SUMIFS('Barang Keluar'!$E:$E,'Barang Keluar'!$A:$A,M13123,'Barang Keluar'!$C:$C,N13123))</f>
        <v>0</v>
      </c>
    </row>
    <row r="13124" spans="13:16">
      <c r="M13124" s="49">
        <f>IF($A$4+131&gt;$B$4,"",$A$4+131)</f>
        <v>46154</v>
      </c>
      <c r="N13124" t="str">
        <f>IF(M13124="","",'Master Barang'!A18)</f>
        <v>PRL-017</v>
      </c>
      <c r="O13124" t="str">
        <f>IF(N13124="","",'Master Barang'!B18)</f>
        <v>onemed masker biru 3 play 50 pcs</v>
      </c>
      <c r="P13124">
        <f>IF(OR(M13124="",N13124=""),"",SUMIFS('Barang Keluar'!$E:$E,'Barang Keluar'!$A:$A,M13124,'Barang Keluar'!$C:$C,N13124))</f>
        <v>0</v>
      </c>
    </row>
    <row r="13125" spans="13:16">
      <c r="M13125" s="49">
        <f>IF($A$4+131&gt;$B$4,"",$A$4+131)</f>
        <v>46154</v>
      </c>
      <c r="N13125" t="str">
        <f>IF(M13125="","",'Master Barang'!A19)</f>
        <v>PRL-018</v>
      </c>
      <c r="O13125" t="str">
        <f>IF(N13125="","",'Master Barang'!B19)</f>
        <v>onemed masker biru 3 play hijab 50 pcs</v>
      </c>
      <c r="P13125">
        <f>IF(OR(M13125="",N13125=""),"",SUMIFS('Barang Keluar'!$E:$E,'Barang Keluar'!$A:$A,M13125,'Barang Keluar'!$C:$C,N13125))</f>
        <v>0</v>
      </c>
    </row>
    <row r="13126" spans="13:16">
      <c r="M13126" s="49">
        <f>IF($A$4+131&gt;$B$4,"",$A$4+131)</f>
        <v>46154</v>
      </c>
      <c r="N13126" t="str">
        <f>IF(M13126="","",'Master Barang'!A20)</f>
        <v>PRL-019</v>
      </c>
      <c r="O13126" t="str">
        <f>IF(N13126="","",'Master Barang'!B20)</f>
        <v>neo health masker biru 3 play 50 pcs</v>
      </c>
      <c r="P13126">
        <f>IF(OR(M13126="",N13126=""),"",SUMIFS('Barang Keluar'!$E:$E,'Barang Keluar'!$A:$A,M13126,'Barang Keluar'!$C:$C,N13126))</f>
        <v>0</v>
      </c>
    </row>
    <row r="13127" spans="13:16">
      <c r="M13127" s="49">
        <f>IF($A$4+131&gt;$B$4,"",$A$4+131)</f>
        <v>46154</v>
      </c>
      <c r="N13127" t="str">
        <f>IF(M13127="","",'Master Barang'!A21)</f>
        <v>PRL-020</v>
      </c>
      <c r="O13127" t="str">
        <f>IF(N13127="","",'Master Barang'!B21)</f>
        <v>baymed masker hijau 3 play hijau 50 pcs</v>
      </c>
      <c r="P13127">
        <f>IF(OR(M13127="",N13127=""),"",SUMIFS('Barang Keluar'!$E:$E,'Barang Keluar'!$A:$A,M13127,'Barang Keluar'!$C:$C,N13127))</f>
        <v>0</v>
      </c>
    </row>
    <row r="13128" spans="13:16">
      <c r="M13128" s="49">
        <f>IF($A$4+131&gt;$B$4,"",$A$4+131)</f>
        <v>46154</v>
      </c>
      <c r="N13128" t="str">
        <f>IF(M13128="","",'Master Barang'!A22)</f>
        <v>PRL-021</v>
      </c>
      <c r="O13128" t="str">
        <f>IF(N13128="","",'Master Barang'!B22)</f>
        <v>altamed nurse cap penutup kepala 100 pcs</v>
      </c>
      <c r="P13128">
        <f>IF(OR(M13128="",N13128=""),"",SUMIFS('Barang Keluar'!$E:$E,'Barang Keluar'!$A:$A,M13128,'Barang Keluar'!$C:$C,N13128))</f>
        <v>0</v>
      </c>
    </row>
    <row r="13129" spans="13:16">
      <c r="M13129" s="49">
        <f>IF($A$4+131&gt;$B$4,"",$A$4+131)</f>
        <v>46154</v>
      </c>
      <c r="N13129" t="str">
        <f>IF(M13129="","",'Master Barang'!A23)</f>
        <v>PRL-022</v>
      </c>
      <c r="O13129" t="str">
        <f>IF(N13129="","",'Master Barang'!B23)</f>
        <v>sabun cuci tangan</v>
      </c>
      <c r="P13129">
        <f>IF(OR(M13129="",N13129=""),"",SUMIFS('Barang Keluar'!$E:$E,'Barang Keluar'!$A:$A,M13129,'Barang Keluar'!$C:$C,N13129))</f>
        <v>0</v>
      </c>
    </row>
    <row r="13130" spans="13:16">
      <c r="M13130" s="49">
        <f>IF($A$4+131&gt;$B$4,"",$A$4+131)</f>
        <v>46154</v>
      </c>
      <c r="N13130" t="str">
        <f>IF(M13130="","",'Master Barang'!A24)</f>
        <v>PRL-023</v>
      </c>
      <c r="O13130" t="str">
        <f>IF(N13130="","",'Master Barang'!B24)</f>
        <v>gayung kecil</v>
      </c>
      <c r="P13130">
        <f>IF(OR(M13130="",N13130=""),"",SUMIFS('Barang Keluar'!$E:$E,'Barang Keluar'!$A:$A,M13130,'Barang Keluar'!$C:$C,N13130))</f>
        <v>0</v>
      </c>
    </row>
    <row r="13131" spans="13:16">
      <c r="M13131" s="49">
        <f>IF($A$4+131&gt;$B$4,"",$A$4+131)</f>
        <v>46154</v>
      </c>
      <c r="N13131" t="str">
        <f>IF(M13131="","",'Master Barang'!A25)</f>
        <v>PRL-024</v>
      </c>
      <c r="O13131" t="str">
        <f>IF(N13131="","",'Master Barang'!B25)</f>
        <v>cikrak kecil</v>
      </c>
      <c r="P13131">
        <f>IF(OR(M13131="",N13131=""),"",SUMIFS('Barang Keluar'!$E:$E,'Barang Keluar'!$A:$A,M13131,'Barang Keluar'!$C:$C,N13131))</f>
        <v>0</v>
      </c>
    </row>
    <row r="13132" spans="13:16">
      <c r="M13132" s="49">
        <f>IF($A$4+131&gt;$B$4,"",$A$4+131)</f>
        <v>46154</v>
      </c>
      <c r="N13132" t="str">
        <f>IF(M13132="","",'Master Barang'!A26)</f>
        <v>PRL-025</v>
      </c>
      <c r="O13132" t="str">
        <f>IF(N13132="","",'Master Barang'!B26)</f>
        <v>petromax plastik kecil 12x24 100 lembar</v>
      </c>
      <c r="P13132">
        <f>IF(OR(M13132="",N13132=""),"",SUMIFS('Barang Keluar'!$E:$E,'Barang Keluar'!$A:$A,M13132,'Barang Keluar'!$C:$C,N13132))</f>
        <v>0</v>
      </c>
    </row>
    <row r="13133" spans="13:16">
      <c r="M13133" s="49">
        <f>IF($A$4+131&gt;$B$4,"",$A$4+131)</f>
        <v>46154</v>
      </c>
      <c r="N13133" t="str">
        <f>IF(M13133="","",'Master Barang'!A27)</f>
        <v>PRL-026</v>
      </c>
      <c r="O13133" t="str">
        <f>IF(N13133="","",'Master Barang'!B27)</f>
        <v>lancar kresek kecil bening </v>
      </c>
      <c r="P13133">
        <f>IF(OR(M13133="",N13133=""),"",SUMIFS('Barang Keluar'!$E:$E,'Barang Keluar'!$A:$A,M13133,'Barang Keluar'!$C:$C,N13133))</f>
        <v>0</v>
      </c>
    </row>
    <row r="13134" spans="13:16">
      <c r="M13134" s="49">
        <f>IF($A$4+131&gt;$B$4,"",$A$4+131)</f>
        <v>46154</v>
      </c>
      <c r="N13134" t="str">
        <f>IF(M13134="","",'Master Barang'!A28)</f>
        <v>PRL-027</v>
      </c>
      <c r="O13134" t="str">
        <f>IF(N13134="","",'Master Barang'!B28)</f>
        <v>kresek klin warna warni kecil</v>
      </c>
      <c r="P13134">
        <f>IF(OR(M13134="",N13134=""),"",SUMIFS('Barang Keluar'!$E:$E,'Barang Keluar'!$A:$A,M13134,'Barang Keluar'!$C:$C,N13134))</f>
        <v>0</v>
      </c>
    </row>
    <row r="13135" spans="13:16">
      <c r="M13135" s="49">
        <f>IF($A$4+131&gt;$B$4,"",$A$4+131)</f>
        <v>46154</v>
      </c>
      <c r="N13135" t="str">
        <f>IF(M13135="","",'Master Barang'!A29)</f>
        <v>PRL-028</v>
      </c>
      <c r="O13135" t="str">
        <f>IF(N13135="","",'Master Barang'!B29)</f>
        <v>ctik plastik 7x10 100 pcs</v>
      </c>
      <c r="P13135">
        <f>IF(OR(M13135="",N13135=""),"",SUMIFS('Barang Keluar'!$E:$E,'Barang Keluar'!$A:$A,M13135,'Barang Keluar'!$C:$C,N13135))</f>
        <v>0</v>
      </c>
    </row>
    <row r="13136" spans="13:16">
      <c r="M13136" s="49">
        <f>IF($A$4+131&gt;$B$4,"",$A$4+131)</f>
        <v>46154</v>
      </c>
      <c r="N13136" t="str">
        <f>IF(M13136="","",'Master Barang'!A30)</f>
        <v>PRL-029</v>
      </c>
      <c r="O13136" t="str">
        <f>IF(N13136="","",'Master Barang'!B30)</f>
        <v>ctik plastik 6x10 100 pcs</v>
      </c>
      <c r="P13136">
        <f>IF(OR(M13136="",N13136=""),"",SUMIFS('Barang Keluar'!$E:$E,'Barang Keluar'!$A:$A,M13136,'Barang Keluar'!$C:$C,N13136))</f>
        <v>0</v>
      </c>
    </row>
    <row r="13137" spans="13:16">
      <c r="M13137" s="49">
        <f>IF($A$4+131&gt;$B$4,"",$A$4+131)</f>
        <v>46154</v>
      </c>
      <c r="N13137" t="str">
        <f>IF(M13137="","",'Master Barang'!A31)</f>
        <v>PRL-030</v>
      </c>
      <c r="O13137" t="str">
        <f>IF(N13137="","",'Master Barang'!B31)</f>
        <v>klip plastik 25x16 100 pcs</v>
      </c>
      <c r="P13137">
        <f>IF(OR(M13137="",N13137=""),"",SUMIFS('Barang Keluar'!$E:$E,'Barang Keluar'!$A:$A,M13137,'Barang Keluar'!$C:$C,N13137))</f>
        <v>0</v>
      </c>
    </row>
    <row r="13138" spans="13:16">
      <c r="M13138" s="49">
        <f>IF($A$4+131&gt;$B$4,"",$A$4+131)</f>
        <v>46154</v>
      </c>
      <c r="N13138" t="str">
        <f>IF(M13138="","",'Master Barang'!A32)</f>
        <v>PRL-031</v>
      </c>
      <c r="O13138" t="str">
        <f>IF(N13138="","",'Master Barang'!B32)</f>
        <v>tempat saus 20 ml</v>
      </c>
      <c r="P13138">
        <f>IF(OR(M13138="",N13138=""),"",SUMIFS('Barang Keluar'!$E:$E,'Barang Keluar'!$A:$A,M13138,'Barang Keluar'!$C:$C,N13138))</f>
        <v>0</v>
      </c>
    </row>
    <row r="13139" spans="13:16">
      <c r="M13139" s="49">
        <f>IF($A$4+131&gt;$B$4,"",$A$4+131)</f>
        <v>46154</v>
      </c>
      <c r="N13139" t="str">
        <f>IF(M13139="","",'Master Barang'!A33)</f>
        <v>PRL-032</v>
      </c>
      <c r="O13139" t="str">
        <f>IF(N13139="","",'Master Barang'!B33)</f>
        <v>plastik packaging ag box uk sedang</v>
      </c>
      <c r="P13139">
        <f>IF(OR(M13139="",N13139=""),"",SUMIFS('Barang Keluar'!$E:$E,'Barang Keluar'!$A:$A,M13139,'Barang Keluar'!$C:$C,N13139))</f>
        <v>0</v>
      </c>
    </row>
    <row r="13140" spans="13:16">
      <c r="M13140" s="49">
        <f>IF($A$4+131&gt;$B$4,"",$A$4+131)</f>
        <v>46154</v>
      </c>
      <c r="N13140" t="str">
        <f>IF(M13140="","",'Master Barang'!A34)</f>
        <v>PRL-033</v>
      </c>
      <c r="O13140">
        <f>IF(N13140="","",'Master Barang'!B34)</f>
        <v>0</v>
      </c>
      <c r="P13140">
        <f>IF(OR(M13140="",N13140=""),"",SUMIFS('Barang Keluar'!$E:$E,'Barang Keluar'!$A:$A,M13140,'Barang Keluar'!$C:$C,N13140))</f>
        <v>0</v>
      </c>
    </row>
    <row r="13141" spans="13:16">
      <c r="M13141" s="49">
        <f>IF($A$4+131&gt;$B$4,"",$A$4+131)</f>
        <v>46154</v>
      </c>
      <c r="N13141">
        <f>IF(M13141="","",'Master Barang'!A35)</f>
        <v>0</v>
      </c>
      <c r="O13141">
        <f>IF(N13141="","",'Master Barang'!B35)</f>
        <v>0</v>
      </c>
      <c r="P13141">
        <f>IF(OR(M13141="",N13141=""),"",SUMIFS('Barang Keluar'!$E:$E,'Barang Keluar'!$A:$A,M13141,'Barang Keluar'!$C:$C,N13141))</f>
        <v>0</v>
      </c>
    </row>
    <row r="13142" spans="13:16">
      <c r="M13142" s="49">
        <f>IF($A$4+131&gt;$B$4,"",$A$4+131)</f>
        <v>46154</v>
      </c>
      <c r="N13142">
        <f>IF(M13142="","",'Master Barang'!A36)</f>
        <v>0</v>
      </c>
      <c r="O13142">
        <f>IF(N13142="","",'Master Barang'!B36)</f>
        <v>0</v>
      </c>
      <c r="P13142">
        <f>IF(OR(M13142="",N13142=""),"",SUMIFS('Barang Keluar'!$E:$E,'Barang Keluar'!$A:$A,M13142,'Barang Keluar'!$C:$C,N13142))</f>
        <v>0</v>
      </c>
    </row>
    <row r="13143" spans="13:16">
      <c r="M13143" s="49">
        <f>IF($A$4+131&gt;$B$4,"",$A$4+131)</f>
        <v>46154</v>
      </c>
      <c r="N13143">
        <f>IF(M13143="","",'Master Barang'!A37)</f>
        <v>0</v>
      </c>
      <c r="O13143">
        <f>IF(N13143="","",'Master Barang'!B37)</f>
        <v>0</v>
      </c>
      <c r="P13143">
        <f>IF(OR(M13143="",N13143=""),"",SUMIFS('Barang Keluar'!$E:$E,'Barang Keluar'!$A:$A,M13143,'Barang Keluar'!$C:$C,N13143))</f>
        <v>0</v>
      </c>
    </row>
    <row r="13144" spans="13:16">
      <c r="M13144" s="49">
        <f>IF($A$4+131&gt;$B$4,"",$A$4+131)</f>
        <v>46154</v>
      </c>
      <c r="N13144">
        <f>IF(M13144="","",'Master Barang'!A38)</f>
        <v>0</v>
      </c>
      <c r="O13144">
        <f>IF(N13144="","",'Master Barang'!B38)</f>
        <v>0</v>
      </c>
      <c r="P13144">
        <f>IF(OR(M13144="",N13144=""),"",SUMIFS('Barang Keluar'!$E:$E,'Barang Keluar'!$A:$A,M13144,'Barang Keluar'!$C:$C,N13144))</f>
        <v>0</v>
      </c>
    </row>
    <row r="13145" spans="13:16">
      <c r="M13145" s="49">
        <f>IF($A$4+131&gt;$B$4,"",$A$4+131)</f>
        <v>46154</v>
      </c>
      <c r="N13145">
        <f>IF(M13145="","",'Master Barang'!A39)</f>
        <v>0</v>
      </c>
      <c r="O13145">
        <f>IF(N13145="","",'Master Barang'!B39)</f>
        <v>0</v>
      </c>
      <c r="P13145">
        <f>IF(OR(M13145="",N13145=""),"",SUMIFS('Barang Keluar'!$E:$E,'Barang Keluar'!$A:$A,M13145,'Barang Keluar'!$C:$C,N13145))</f>
        <v>0</v>
      </c>
    </row>
    <row r="13146" spans="13:16">
      <c r="M13146" s="49">
        <f>IF($A$4+131&gt;$B$4,"",$A$4+131)</f>
        <v>46154</v>
      </c>
      <c r="N13146">
        <f>IF(M13146="","",'Master Barang'!A40)</f>
        <v>0</v>
      </c>
      <c r="O13146">
        <f>IF(N13146="","",'Master Barang'!B40)</f>
        <v>0</v>
      </c>
      <c r="P13146">
        <f>IF(OR(M13146="",N13146=""),"",SUMIFS('Barang Keluar'!$E:$E,'Barang Keluar'!$A:$A,M13146,'Barang Keluar'!$C:$C,N13146))</f>
        <v>0</v>
      </c>
    </row>
    <row r="13147" spans="13:16">
      <c r="M13147" s="49">
        <f>IF($A$4+131&gt;$B$4,"",$A$4+131)</f>
        <v>46154</v>
      </c>
      <c r="N13147">
        <f>IF(M13147="","",'Master Barang'!A41)</f>
        <v>0</v>
      </c>
      <c r="O13147">
        <f>IF(N13147="","",'Master Barang'!B41)</f>
        <v>0</v>
      </c>
      <c r="P13147">
        <f>IF(OR(M13147="",N13147=""),"",SUMIFS('Barang Keluar'!$E:$E,'Barang Keluar'!$A:$A,M13147,'Barang Keluar'!$C:$C,N13147))</f>
        <v>0</v>
      </c>
    </row>
    <row r="13148" spans="13:16">
      <c r="M13148" s="49">
        <f>IF($A$4+131&gt;$B$4,"",$A$4+131)</f>
        <v>46154</v>
      </c>
      <c r="N13148">
        <f>IF(M13148="","",'Master Barang'!A42)</f>
        <v>0</v>
      </c>
      <c r="O13148">
        <f>IF(N13148="","",'Master Barang'!B42)</f>
        <v>0</v>
      </c>
      <c r="P13148">
        <f>IF(OR(M13148="",N13148=""),"",SUMIFS('Barang Keluar'!$E:$E,'Barang Keluar'!$A:$A,M13148,'Barang Keluar'!$C:$C,N13148))</f>
        <v>0</v>
      </c>
    </row>
    <row r="13149" spans="13:16">
      <c r="M13149" s="49">
        <f>IF($A$4+131&gt;$B$4,"",$A$4+131)</f>
        <v>46154</v>
      </c>
      <c r="N13149">
        <f>IF(M13149="","",'Master Barang'!A43)</f>
        <v>0</v>
      </c>
      <c r="O13149">
        <f>IF(N13149="","",'Master Barang'!B43)</f>
        <v>0</v>
      </c>
      <c r="P13149">
        <f>IF(OR(M13149="",N13149=""),"",SUMIFS('Barang Keluar'!$E:$E,'Barang Keluar'!$A:$A,M13149,'Barang Keluar'!$C:$C,N13149))</f>
        <v>0</v>
      </c>
    </row>
    <row r="13150" spans="13:16">
      <c r="M13150" s="49">
        <f>IF($A$4+131&gt;$B$4,"",$A$4+131)</f>
        <v>46154</v>
      </c>
      <c r="N13150">
        <f>IF(M13150="","",'Master Barang'!A44)</f>
        <v>0</v>
      </c>
      <c r="O13150">
        <f>IF(N13150="","",'Master Barang'!B44)</f>
        <v>0</v>
      </c>
      <c r="P13150">
        <f>IF(OR(M13150="",N13150=""),"",SUMIFS('Barang Keluar'!$E:$E,'Barang Keluar'!$A:$A,M13150,'Barang Keluar'!$C:$C,N13150))</f>
        <v>0</v>
      </c>
    </row>
    <row r="13151" spans="13:16">
      <c r="M13151" s="49">
        <f>IF($A$4+131&gt;$B$4,"",$A$4+131)</f>
        <v>46154</v>
      </c>
      <c r="N13151">
        <f>IF(M13151="","",'Master Barang'!A45)</f>
        <v>0</v>
      </c>
      <c r="O13151">
        <f>IF(N13151="","",'Master Barang'!B45)</f>
        <v>0</v>
      </c>
      <c r="P13151">
        <f>IF(OR(M13151="",N13151=""),"",SUMIFS('Barang Keluar'!$E:$E,'Barang Keluar'!$A:$A,M13151,'Barang Keluar'!$C:$C,N13151))</f>
        <v>0</v>
      </c>
    </row>
    <row r="13152" spans="13:16">
      <c r="M13152" s="49">
        <f>IF($A$4+131&gt;$B$4,"",$A$4+131)</f>
        <v>46154</v>
      </c>
      <c r="N13152">
        <f>IF(M13152="","",'Master Barang'!A46)</f>
        <v>0</v>
      </c>
      <c r="O13152">
        <f>IF(N13152="","",'Master Barang'!B46)</f>
        <v>0</v>
      </c>
      <c r="P13152">
        <f>IF(OR(M13152="",N13152=""),"",SUMIFS('Barang Keluar'!$E:$E,'Barang Keluar'!$A:$A,M13152,'Barang Keluar'!$C:$C,N13152))</f>
        <v>0</v>
      </c>
    </row>
    <row r="13153" spans="13:16">
      <c r="M13153" s="49">
        <f>IF($A$4+131&gt;$B$4,"",$A$4+131)</f>
        <v>46154</v>
      </c>
      <c r="N13153">
        <f>IF(M13153="","",'Master Barang'!A47)</f>
        <v>0</v>
      </c>
      <c r="O13153">
        <f>IF(N13153="","",'Master Barang'!B47)</f>
        <v>0</v>
      </c>
      <c r="P13153">
        <f>IF(OR(M13153="",N13153=""),"",SUMIFS('Barang Keluar'!$E:$E,'Barang Keluar'!$A:$A,M13153,'Barang Keluar'!$C:$C,N13153))</f>
        <v>0</v>
      </c>
    </row>
    <row r="13154" spans="13:16">
      <c r="M13154" s="49">
        <f>IF($A$4+131&gt;$B$4,"",$A$4+131)</f>
        <v>46154</v>
      </c>
      <c r="N13154">
        <f>IF(M13154="","",'Master Barang'!A48)</f>
        <v>0</v>
      </c>
      <c r="O13154">
        <f>IF(N13154="","",'Master Barang'!B48)</f>
        <v>0</v>
      </c>
      <c r="P13154">
        <f>IF(OR(M13154="",N13154=""),"",SUMIFS('Barang Keluar'!$E:$E,'Barang Keluar'!$A:$A,M13154,'Barang Keluar'!$C:$C,N13154))</f>
        <v>0</v>
      </c>
    </row>
    <row r="13155" spans="13:16">
      <c r="M13155" s="49">
        <f>IF($A$4+131&gt;$B$4,"",$A$4+131)</f>
        <v>46154</v>
      </c>
      <c r="N13155">
        <f>IF(M13155="","",'Master Barang'!A49)</f>
        <v>0</v>
      </c>
      <c r="O13155">
        <f>IF(N13155="","",'Master Barang'!B49)</f>
        <v>0</v>
      </c>
      <c r="P13155">
        <f>IF(OR(M13155="",N13155=""),"",SUMIFS('Barang Keluar'!$E:$E,'Barang Keluar'!$A:$A,M13155,'Barang Keluar'!$C:$C,N13155))</f>
        <v>0</v>
      </c>
    </row>
    <row r="13156" spans="13:16">
      <c r="M13156" s="49">
        <f>IF($A$4+131&gt;$B$4,"",$A$4+131)</f>
        <v>46154</v>
      </c>
      <c r="N13156">
        <f>IF(M13156="","",'Master Barang'!A50)</f>
        <v>0</v>
      </c>
      <c r="O13156">
        <f>IF(N13156="","",'Master Barang'!B50)</f>
        <v>0</v>
      </c>
      <c r="P13156">
        <f>IF(OR(M13156="",N13156=""),"",SUMIFS('Barang Keluar'!$E:$E,'Barang Keluar'!$A:$A,M13156,'Barang Keluar'!$C:$C,N13156))</f>
        <v>0</v>
      </c>
    </row>
    <row r="13157" spans="13:16">
      <c r="M13157" s="49">
        <f>IF($A$4+131&gt;$B$4,"",$A$4+131)</f>
        <v>46154</v>
      </c>
      <c r="N13157">
        <f>IF(M13157="","",'Master Barang'!A51)</f>
        <v>0</v>
      </c>
      <c r="O13157">
        <f>IF(N13157="","",'Master Barang'!B51)</f>
        <v>0</v>
      </c>
      <c r="P13157">
        <f>IF(OR(M13157="",N13157=""),"",SUMIFS('Barang Keluar'!$E:$E,'Barang Keluar'!$A:$A,M13157,'Barang Keluar'!$C:$C,N13157))</f>
        <v>0</v>
      </c>
    </row>
    <row r="13158" spans="13:16">
      <c r="M13158" s="49">
        <f>IF($A$4+131&gt;$B$4,"",$A$4+131)</f>
        <v>46154</v>
      </c>
      <c r="N13158">
        <f>IF(M13158="","",'Master Barang'!A52)</f>
        <v>0</v>
      </c>
      <c r="O13158">
        <f>IF(N13158="","",'Master Barang'!B52)</f>
        <v>0</v>
      </c>
      <c r="P13158">
        <f>IF(OR(M13158="",N13158=""),"",SUMIFS('Barang Keluar'!$E:$E,'Barang Keluar'!$A:$A,M13158,'Barang Keluar'!$C:$C,N13158))</f>
        <v>0</v>
      </c>
    </row>
    <row r="13159" spans="13:16">
      <c r="M13159" s="49">
        <f>IF($A$4+131&gt;$B$4,"",$A$4+131)</f>
        <v>46154</v>
      </c>
      <c r="N13159">
        <f>IF(M13159="","",'Master Barang'!A53)</f>
        <v>0</v>
      </c>
      <c r="O13159">
        <f>IF(N13159="","",'Master Barang'!B53)</f>
        <v>0</v>
      </c>
      <c r="P13159">
        <f>IF(OR(M13159="",N13159=""),"",SUMIFS('Barang Keluar'!$E:$E,'Barang Keluar'!$A:$A,M13159,'Barang Keluar'!$C:$C,N13159))</f>
        <v>0</v>
      </c>
    </row>
    <row r="13160" spans="13:16">
      <c r="M13160" s="49">
        <f>IF($A$4+131&gt;$B$4,"",$A$4+131)</f>
        <v>46154</v>
      </c>
      <c r="N13160">
        <f>IF(M13160="","",'Master Barang'!A54)</f>
        <v>0</v>
      </c>
      <c r="O13160">
        <f>IF(N13160="","",'Master Barang'!B54)</f>
        <v>0</v>
      </c>
      <c r="P13160">
        <f>IF(OR(M13160="",N13160=""),"",SUMIFS('Barang Keluar'!$E:$E,'Barang Keluar'!$A:$A,M13160,'Barang Keluar'!$C:$C,N13160))</f>
        <v>0</v>
      </c>
    </row>
    <row r="13161" spans="13:16">
      <c r="M13161" s="49">
        <f>IF($A$4+131&gt;$B$4,"",$A$4+131)</f>
        <v>46154</v>
      </c>
      <c r="N13161">
        <f>IF(M13161="","",'Master Barang'!A55)</f>
        <v>0</v>
      </c>
      <c r="O13161">
        <f>IF(N13161="","",'Master Barang'!B55)</f>
        <v>0</v>
      </c>
      <c r="P13161">
        <f>IF(OR(M13161="",N13161=""),"",SUMIFS('Barang Keluar'!$E:$E,'Barang Keluar'!$A:$A,M13161,'Barang Keluar'!$C:$C,N13161))</f>
        <v>0</v>
      </c>
    </row>
    <row r="13162" spans="13:16">
      <c r="M13162" s="49">
        <f>IF($A$4+131&gt;$B$4,"",$A$4+131)</f>
        <v>46154</v>
      </c>
      <c r="N13162">
        <f>IF(M13162="","",'Master Barang'!A56)</f>
        <v>0</v>
      </c>
      <c r="O13162">
        <f>IF(N13162="","",'Master Barang'!B56)</f>
        <v>0</v>
      </c>
      <c r="P13162">
        <f>IF(OR(M13162="",N13162=""),"",SUMIFS('Barang Keluar'!$E:$E,'Barang Keluar'!$A:$A,M13162,'Barang Keluar'!$C:$C,N13162))</f>
        <v>0</v>
      </c>
    </row>
    <row r="13163" spans="13:16">
      <c r="M13163" s="49">
        <f>IF($A$4+131&gt;$B$4,"",$A$4+131)</f>
        <v>46154</v>
      </c>
      <c r="N13163">
        <f>IF(M13163="","",'Master Barang'!A57)</f>
        <v>0</v>
      </c>
      <c r="O13163">
        <f>IF(N13163="","",'Master Barang'!B57)</f>
        <v>0</v>
      </c>
      <c r="P13163">
        <f>IF(OR(M13163="",N13163=""),"",SUMIFS('Barang Keluar'!$E:$E,'Barang Keluar'!$A:$A,M13163,'Barang Keluar'!$C:$C,N13163))</f>
        <v>0</v>
      </c>
    </row>
    <row r="13164" spans="13:16">
      <c r="M13164" s="49">
        <f>IF($A$4+131&gt;$B$4,"",$A$4+131)</f>
        <v>46154</v>
      </c>
      <c r="N13164">
        <f>IF(M13164="","",'Master Barang'!A58)</f>
        <v>0</v>
      </c>
      <c r="O13164">
        <f>IF(N13164="","",'Master Barang'!B58)</f>
        <v>0</v>
      </c>
      <c r="P13164">
        <f>IF(OR(M13164="",N13164=""),"",SUMIFS('Barang Keluar'!$E:$E,'Barang Keluar'!$A:$A,M13164,'Barang Keluar'!$C:$C,N13164))</f>
        <v>0</v>
      </c>
    </row>
    <row r="13165" spans="13:16">
      <c r="M13165" s="49">
        <f>IF($A$4+131&gt;$B$4,"",$A$4+131)</f>
        <v>46154</v>
      </c>
      <c r="N13165">
        <f>IF(M13165="","",'Master Barang'!A59)</f>
        <v>0</v>
      </c>
      <c r="O13165">
        <f>IF(N13165="","",'Master Barang'!B59)</f>
        <v>0</v>
      </c>
      <c r="P13165">
        <f>IF(OR(M13165="",N13165=""),"",SUMIFS('Barang Keluar'!$E:$E,'Barang Keluar'!$A:$A,M13165,'Barang Keluar'!$C:$C,N13165))</f>
        <v>0</v>
      </c>
    </row>
    <row r="13166" spans="13:16">
      <c r="M13166" s="49">
        <f>IF($A$4+131&gt;$B$4,"",$A$4+131)</f>
        <v>46154</v>
      </c>
      <c r="N13166">
        <f>IF(M13166="","",'Master Barang'!A60)</f>
        <v>0</v>
      </c>
      <c r="O13166">
        <f>IF(N13166="","",'Master Barang'!B60)</f>
        <v>0</v>
      </c>
      <c r="P13166">
        <f>IF(OR(M13166="",N13166=""),"",SUMIFS('Barang Keluar'!$E:$E,'Barang Keluar'!$A:$A,M13166,'Barang Keluar'!$C:$C,N13166))</f>
        <v>0</v>
      </c>
    </row>
    <row r="13167" spans="13:16">
      <c r="M13167" s="49">
        <f>IF($A$4+131&gt;$B$4,"",$A$4+131)</f>
        <v>46154</v>
      </c>
      <c r="N13167">
        <f>IF(M13167="","",'Master Barang'!A61)</f>
        <v>0</v>
      </c>
      <c r="O13167">
        <f>IF(N13167="","",'Master Barang'!B61)</f>
        <v>0</v>
      </c>
      <c r="P13167">
        <f>IF(OR(M13167="",N13167=""),"",SUMIFS('Barang Keluar'!$E:$E,'Barang Keluar'!$A:$A,M13167,'Barang Keluar'!$C:$C,N13167))</f>
        <v>0</v>
      </c>
    </row>
    <row r="13168" spans="13:16">
      <c r="M13168" s="49">
        <f>IF($A$4+131&gt;$B$4,"",$A$4+131)</f>
        <v>46154</v>
      </c>
      <c r="N13168">
        <f>IF(M13168="","",'Master Barang'!A62)</f>
        <v>0</v>
      </c>
      <c r="O13168">
        <f>IF(N13168="","",'Master Barang'!B62)</f>
        <v>0</v>
      </c>
      <c r="P13168">
        <f>IF(OR(M13168="",N13168=""),"",SUMIFS('Barang Keluar'!$E:$E,'Barang Keluar'!$A:$A,M13168,'Barang Keluar'!$C:$C,N13168))</f>
        <v>0</v>
      </c>
    </row>
    <row r="13169" spans="13:16">
      <c r="M13169" s="49">
        <f>IF($A$4+131&gt;$B$4,"",$A$4+131)</f>
        <v>46154</v>
      </c>
      <c r="N13169">
        <f>IF(M13169="","",'Master Barang'!A63)</f>
        <v>0</v>
      </c>
      <c r="O13169">
        <f>IF(N13169="","",'Master Barang'!B63)</f>
        <v>0</v>
      </c>
      <c r="P13169">
        <f>IF(OR(M13169="",N13169=""),"",SUMIFS('Barang Keluar'!$E:$E,'Barang Keluar'!$A:$A,M13169,'Barang Keluar'!$C:$C,N13169))</f>
        <v>0</v>
      </c>
    </row>
    <row r="13170" spans="13:16">
      <c r="M13170" s="49">
        <f>IF($A$4+131&gt;$B$4,"",$A$4+131)</f>
        <v>46154</v>
      </c>
      <c r="N13170">
        <f>IF(M13170="","",'Master Barang'!A64)</f>
        <v>0</v>
      </c>
      <c r="O13170">
        <f>IF(N13170="","",'Master Barang'!B64)</f>
        <v>0</v>
      </c>
      <c r="P13170">
        <f>IF(OR(M13170="",N13170=""),"",SUMIFS('Barang Keluar'!$E:$E,'Barang Keluar'!$A:$A,M13170,'Barang Keluar'!$C:$C,N13170))</f>
        <v>0</v>
      </c>
    </row>
    <row r="13171" spans="13:16">
      <c r="M13171" s="49">
        <f>IF($A$4+131&gt;$B$4,"",$A$4+131)</f>
        <v>46154</v>
      </c>
      <c r="N13171">
        <f>IF(M13171="","",'Master Barang'!A65)</f>
        <v>0</v>
      </c>
      <c r="O13171">
        <f>IF(N13171="","",'Master Barang'!B65)</f>
        <v>0</v>
      </c>
      <c r="P13171">
        <f>IF(OR(M13171="",N13171=""),"",SUMIFS('Barang Keluar'!$E:$E,'Barang Keluar'!$A:$A,M13171,'Barang Keluar'!$C:$C,N13171))</f>
        <v>0</v>
      </c>
    </row>
    <row r="13172" spans="13:16">
      <c r="M13172" s="49">
        <f>IF($A$4+131&gt;$B$4,"",$A$4+131)</f>
        <v>46154</v>
      </c>
      <c r="N13172">
        <f>IF(M13172="","",'Master Barang'!A66)</f>
        <v>0</v>
      </c>
      <c r="O13172">
        <f>IF(N13172="","",'Master Barang'!B66)</f>
        <v>0</v>
      </c>
      <c r="P13172">
        <f>IF(OR(M13172="",N13172=""),"",SUMIFS('Barang Keluar'!$E:$E,'Barang Keluar'!$A:$A,M13172,'Barang Keluar'!$C:$C,N13172))</f>
        <v>0</v>
      </c>
    </row>
    <row r="13173" spans="13:16">
      <c r="M13173" s="49">
        <f>IF($A$4+131&gt;$B$4,"",$A$4+131)</f>
        <v>46154</v>
      </c>
      <c r="N13173">
        <f>IF(M13173="","",'Master Barang'!A67)</f>
        <v>0</v>
      </c>
      <c r="O13173">
        <f>IF(N13173="","",'Master Barang'!B67)</f>
        <v>0</v>
      </c>
      <c r="P13173">
        <f>IF(OR(M13173="",N13173=""),"",SUMIFS('Barang Keluar'!$E:$E,'Barang Keluar'!$A:$A,M13173,'Barang Keluar'!$C:$C,N13173))</f>
        <v>0</v>
      </c>
    </row>
    <row r="13174" spans="13:16">
      <c r="M13174" s="49">
        <f>IF($A$4+131&gt;$B$4,"",$A$4+131)</f>
        <v>46154</v>
      </c>
      <c r="N13174">
        <f>IF(M13174="","",'Master Barang'!A68)</f>
        <v>0</v>
      </c>
      <c r="O13174">
        <f>IF(N13174="","",'Master Barang'!B68)</f>
        <v>0</v>
      </c>
      <c r="P13174">
        <f>IF(OR(M13174="",N13174=""),"",SUMIFS('Barang Keluar'!$E:$E,'Barang Keluar'!$A:$A,M13174,'Barang Keluar'!$C:$C,N13174))</f>
        <v>0</v>
      </c>
    </row>
    <row r="13175" spans="13:16">
      <c r="M13175" s="49">
        <f>IF($A$4+131&gt;$B$4,"",$A$4+131)</f>
        <v>46154</v>
      </c>
      <c r="N13175">
        <f>IF(M13175="","",'Master Barang'!A69)</f>
        <v>0</v>
      </c>
      <c r="O13175">
        <f>IF(N13175="","",'Master Barang'!B69)</f>
        <v>0</v>
      </c>
      <c r="P13175">
        <f>IF(OR(M13175="",N13175=""),"",SUMIFS('Barang Keluar'!$E:$E,'Barang Keluar'!$A:$A,M13175,'Barang Keluar'!$C:$C,N13175))</f>
        <v>0</v>
      </c>
    </row>
    <row r="13176" spans="13:16">
      <c r="M13176" s="49">
        <f>IF($A$4+131&gt;$B$4,"",$A$4+131)</f>
        <v>46154</v>
      </c>
      <c r="N13176">
        <f>IF(M13176="","",'Master Barang'!A70)</f>
        <v>0</v>
      </c>
      <c r="O13176">
        <f>IF(N13176="","",'Master Barang'!B70)</f>
        <v>0</v>
      </c>
      <c r="P13176">
        <f>IF(OR(M13176="",N13176=""),"",SUMIFS('Barang Keluar'!$E:$E,'Barang Keluar'!$A:$A,M13176,'Barang Keluar'!$C:$C,N13176))</f>
        <v>0</v>
      </c>
    </row>
    <row r="13177" spans="13:16">
      <c r="M13177" s="49">
        <f>IF($A$4+131&gt;$B$4,"",$A$4+131)</f>
        <v>46154</v>
      </c>
      <c r="N13177">
        <f>IF(M13177="","",'Master Barang'!A71)</f>
        <v>0</v>
      </c>
      <c r="O13177">
        <f>IF(N13177="","",'Master Barang'!B71)</f>
        <v>0</v>
      </c>
      <c r="P13177">
        <f>IF(OR(M13177="",N13177=""),"",SUMIFS('Barang Keluar'!$E:$E,'Barang Keluar'!$A:$A,M13177,'Barang Keluar'!$C:$C,N13177))</f>
        <v>0</v>
      </c>
    </row>
    <row r="13178" spans="13:16">
      <c r="M13178" s="49">
        <f>IF($A$4+131&gt;$B$4,"",$A$4+131)</f>
        <v>46154</v>
      </c>
      <c r="N13178">
        <f>IF(M13178="","",'Master Barang'!A72)</f>
        <v>0</v>
      </c>
      <c r="O13178">
        <f>IF(N13178="","",'Master Barang'!B72)</f>
        <v>0</v>
      </c>
      <c r="P13178">
        <f>IF(OR(M13178="",N13178=""),"",SUMIFS('Barang Keluar'!$E:$E,'Barang Keluar'!$A:$A,M13178,'Barang Keluar'!$C:$C,N13178))</f>
        <v>0</v>
      </c>
    </row>
    <row r="13179" spans="13:16">
      <c r="M13179" s="49">
        <f>IF($A$4+131&gt;$B$4,"",$A$4+131)</f>
        <v>46154</v>
      </c>
      <c r="N13179">
        <f>IF(M13179="","",'Master Barang'!A73)</f>
        <v>0</v>
      </c>
      <c r="O13179">
        <f>IF(N13179="","",'Master Barang'!B73)</f>
        <v>0</v>
      </c>
      <c r="P13179">
        <f>IF(OR(M13179="",N13179=""),"",SUMIFS('Barang Keluar'!$E:$E,'Barang Keluar'!$A:$A,M13179,'Barang Keluar'!$C:$C,N13179))</f>
        <v>0</v>
      </c>
    </row>
    <row r="13180" spans="13:16">
      <c r="M13180" s="49">
        <f>IF($A$4+131&gt;$B$4,"",$A$4+131)</f>
        <v>46154</v>
      </c>
      <c r="N13180">
        <f>IF(M13180="","",'Master Barang'!A74)</f>
        <v>0</v>
      </c>
      <c r="O13180">
        <f>IF(N13180="","",'Master Barang'!B74)</f>
        <v>0</v>
      </c>
      <c r="P13180">
        <f>IF(OR(M13180="",N13180=""),"",SUMIFS('Barang Keluar'!$E:$E,'Barang Keluar'!$A:$A,M13180,'Barang Keluar'!$C:$C,N13180))</f>
        <v>0</v>
      </c>
    </row>
    <row r="13181" spans="13:16">
      <c r="M13181" s="49">
        <f>IF($A$4+131&gt;$B$4,"",$A$4+131)</f>
        <v>46154</v>
      </c>
      <c r="N13181">
        <f>IF(M13181="","",'Master Barang'!A75)</f>
        <v>0</v>
      </c>
      <c r="O13181">
        <f>IF(N13181="","",'Master Barang'!B75)</f>
        <v>0</v>
      </c>
      <c r="P13181">
        <f>IF(OR(M13181="",N13181=""),"",SUMIFS('Barang Keluar'!$E:$E,'Barang Keluar'!$A:$A,M13181,'Barang Keluar'!$C:$C,N13181))</f>
        <v>0</v>
      </c>
    </row>
    <row r="13182" spans="13:16">
      <c r="M13182" s="49">
        <f>IF($A$4+131&gt;$B$4,"",$A$4+131)</f>
        <v>46154</v>
      </c>
      <c r="N13182">
        <f>IF(M13182="","",'Master Barang'!A76)</f>
        <v>0</v>
      </c>
      <c r="O13182">
        <f>IF(N13182="","",'Master Barang'!B76)</f>
        <v>0</v>
      </c>
      <c r="P13182">
        <f>IF(OR(M13182="",N13182=""),"",SUMIFS('Barang Keluar'!$E:$E,'Barang Keluar'!$A:$A,M13182,'Barang Keluar'!$C:$C,N13182))</f>
        <v>0</v>
      </c>
    </row>
    <row r="13183" spans="13:16">
      <c r="M13183" s="49">
        <f>IF($A$4+131&gt;$B$4,"",$A$4+131)</f>
        <v>46154</v>
      </c>
      <c r="N13183">
        <f>IF(M13183="","",'Master Barang'!A77)</f>
        <v>0</v>
      </c>
      <c r="O13183">
        <f>IF(N13183="","",'Master Barang'!B77)</f>
        <v>0</v>
      </c>
      <c r="P13183">
        <f>IF(OR(M13183="",N13183=""),"",SUMIFS('Barang Keluar'!$E:$E,'Barang Keluar'!$A:$A,M13183,'Barang Keluar'!$C:$C,N13183))</f>
        <v>0</v>
      </c>
    </row>
    <row r="13184" spans="13:16">
      <c r="M13184" s="49">
        <f>IF($A$4+131&gt;$B$4,"",$A$4+131)</f>
        <v>46154</v>
      </c>
      <c r="N13184">
        <f>IF(M13184="","",'Master Barang'!A78)</f>
        <v>0</v>
      </c>
      <c r="O13184">
        <f>IF(N13184="","",'Master Barang'!B78)</f>
        <v>0</v>
      </c>
      <c r="P13184">
        <f>IF(OR(M13184="",N13184=""),"",SUMIFS('Barang Keluar'!$E:$E,'Barang Keluar'!$A:$A,M13184,'Barang Keluar'!$C:$C,N13184))</f>
        <v>0</v>
      </c>
    </row>
    <row r="13185" spans="13:16">
      <c r="M13185" s="49">
        <f>IF($A$4+131&gt;$B$4,"",$A$4+131)</f>
        <v>46154</v>
      </c>
      <c r="N13185">
        <f>IF(M13185="","",'Master Barang'!A79)</f>
        <v>0</v>
      </c>
      <c r="O13185">
        <f>IF(N13185="","",'Master Barang'!B79)</f>
        <v>0</v>
      </c>
      <c r="P13185">
        <f>IF(OR(M13185="",N13185=""),"",SUMIFS('Barang Keluar'!$E:$E,'Barang Keluar'!$A:$A,M13185,'Barang Keluar'!$C:$C,N13185))</f>
        <v>0</v>
      </c>
    </row>
    <row r="13186" spans="13:16">
      <c r="M13186" s="49">
        <f>IF($A$4+131&gt;$B$4,"",$A$4+131)</f>
        <v>46154</v>
      </c>
      <c r="N13186">
        <f>IF(M13186="","",'Master Barang'!A80)</f>
        <v>0</v>
      </c>
      <c r="O13186">
        <f>IF(N13186="","",'Master Barang'!B80)</f>
        <v>0</v>
      </c>
      <c r="P13186">
        <f>IF(OR(M13186="",N13186=""),"",SUMIFS('Barang Keluar'!$E:$E,'Barang Keluar'!$A:$A,M13186,'Barang Keluar'!$C:$C,N13186))</f>
        <v>0</v>
      </c>
    </row>
    <row r="13187" spans="13:16">
      <c r="M13187" s="49">
        <f>IF($A$4+131&gt;$B$4,"",$A$4+131)</f>
        <v>46154</v>
      </c>
      <c r="N13187">
        <f>IF(M13187="","",'Master Barang'!A81)</f>
        <v>0</v>
      </c>
      <c r="O13187">
        <f>IF(N13187="","",'Master Barang'!B81)</f>
        <v>0</v>
      </c>
      <c r="P13187">
        <f>IF(OR(M13187="",N13187=""),"",SUMIFS('Barang Keluar'!$E:$E,'Barang Keluar'!$A:$A,M13187,'Barang Keluar'!$C:$C,N13187))</f>
        <v>0</v>
      </c>
    </row>
    <row r="13188" spans="13:16">
      <c r="M13188" s="49">
        <f>IF($A$4+131&gt;$B$4,"",$A$4+131)</f>
        <v>46154</v>
      </c>
      <c r="N13188">
        <f>IF(M13188="","",'Master Barang'!A82)</f>
        <v>0</v>
      </c>
      <c r="O13188">
        <f>IF(N13188="","",'Master Barang'!B82)</f>
        <v>0</v>
      </c>
      <c r="P13188">
        <f>IF(OR(M13188="",N13188=""),"",SUMIFS('Barang Keluar'!$E:$E,'Barang Keluar'!$A:$A,M13188,'Barang Keluar'!$C:$C,N13188))</f>
        <v>0</v>
      </c>
    </row>
    <row r="13189" spans="13:16">
      <c r="M13189" s="49">
        <f>IF($A$4+131&gt;$B$4,"",$A$4+131)</f>
        <v>46154</v>
      </c>
      <c r="N13189">
        <f>IF(M13189="","",'Master Barang'!A83)</f>
        <v>0</v>
      </c>
      <c r="O13189">
        <f>IF(N13189="","",'Master Barang'!B83)</f>
        <v>0</v>
      </c>
      <c r="P13189">
        <f>IF(OR(M13189="",N13189=""),"",SUMIFS('Barang Keluar'!$E:$E,'Barang Keluar'!$A:$A,M13189,'Barang Keluar'!$C:$C,N13189))</f>
        <v>0</v>
      </c>
    </row>
    <row r="13190" spans="13:16">
      <c r="M13190" s="49">
        <f>IF($A$4+131&gt;$B$4,"",$A$4+131)</f>
        <v>46154</v>
      </c>
      <c r="N13190">
        <f>IF(M13190="","",'Master Barang'!A84)</f>
        <v>0</v>
      </c>
      <c r="O13190">
        <f>IF(N13190="","",'Master Barang'!B84)</f>
        <v>0</v>
      </c>
      <c r="P13190">
        <f>IF(OR(M13190="",N13190=""),"",SUMIFS('Barang Keluar'!$E:$E,'Barang Keluar'!$A:$A,M13190,'Barang Keluar'!$C:$C,N13190))</f>
        <v>0</v>
      </c>
    </row>
    <row r="13191" spans="13:16">
      <c r="M13191" s="49">
        <f>IF($A$4+131&gt;$B$4,"",$A$4+131)</f>
        <v>46154</v>
      </c>
      <c r="N13191">
        <f>IF(M13191="","",'Master Barang'!A85)</f>
        <v>0</v>
      </c>
      <c r="O13191">
        <f>IF(N13191="","",'Master Barang'!B85)</f>
        <v>0</v>
      </c>
      <c r="P13191">
        <f>IF(OR(M13191="",N13191=""),"",SUMIFS('Barang Keluar'!$E:$E,'Barang Keluar'!$A:$A,M13191,'Barang Keluar'!$C:$C,N13191))</f>
        <v>0</v>
      </c>
    </row>
    <row r="13192" spans="13:16">
      <c r="M13192" s="49">
        <f>IF($A$4+131&gt;$B$4,"",$A$4+131)</f>
        <v>46154</v>
      </c>
      <c r="N13192">
        <f>IF(M13192="","",'Master Barang'!A86)</f>
        <v>0</v>
      </c>
      <c r="O13192">
        <f>IF(N13192="","",'Master Barang'!B86)</f>
        <v>0</v>
      </c>
      <c r="P13192">
        <f>IF(OR(M13192="",N13192=""),"",SUMIFS('Barang Keluar'!$E:$E,'Barang Keluar'!$A:$A,M13192,'Barang Keluar'!$C:$C,N13192))</f>
        <v>0</v>
      </c>
    </row>
    <row r="13193" spans="13:16">
      <c r="M13193" s="49">
        <f>IF($A$4+131&gt;$B$4,"",$A$4+131)</f>
        <v>46154</v>
      </c>
      <c r="N13193">
        <f>IF(M13193="","",'Master Barang'!A87)</f>
        <v>0</v>
      </c>
      <c r="O13193">
        <f>IF(N13193="","",'Master Barang'!B87)</f>
        <v>0</v>
      </c>
      <c r="P13193">
        <f>IF(OR(M13193="",N13193=""),"",SUMIFS('Barang Keluar'!$E:$E,'Barang Keluar'!$A:$A,M13193,'Barang Keluar'!$C:$C,N13193))</f>
        <v>0</v>
      </c>
    </row>
    <row r="13194" spans="13:16">
      <c r="M13194" s="49">
        <f>IF($A$4+131&gt;$B$4,"",$A$4+131)</f>
        <v>46154</v>
      </c>
      <c r="N13194">
        <f>IF(M13194="","",'Master Barang'!A88)</f>
        <v>0</v>
      </c>
      <c r="O13194">
        <f>IF(N13194="","",'Master Barang'!B88)</f>
        <v>0</v>
      </c>
      <c r="P13194">
        <f>IF(OR(M13194="",N13194=""),"",SUMIFS('Barang Keluar'!$E:$E,'Barang Keluar'!$A:$A,M13194,'Barang Keluar'!$C:$C,N13194))</f>
        <v>0</v>
      </c>
    </row>
    <row r="13195" spans="13:16">
      <c r="M13195" s="49">
        <f>IF($A$4+131&gt;$B$4,"",$A$4+131)</f>
        <v>46154</v>
      </c>
      <c r="N13195">
        <f>IF(M13195="","",'Master Barang'!A89)</f>
        <v>0</v>
      </c>
      <c r="O13195">
        <f>IF(N13195="","",'Master Barang'!B89)</f>
        <v>0</v>
      </c>
      <c r="P13195">
        <f>IF(OR(M13195="",N13195=""),"",SUMIFS('Barang Keluar'!$E:$E,'Barang Keluar'!$A:$A,M13195,'Barang Keluar'!$C:$C,N13195))</f>
        <v>0</v>
      </c>
    </row>
    <row r="13196" spans="13:16">
      <c r="M13196" s="49">
        <f>IF($A$4+131&gt;$B$4,"",$A$4+131)</f>
        <v>46154</v>
      </c>
      <c r="N13196">
        <f>IF(M13196="","",'Master Barang'!A90)</f>
        <v>0</v>
      </c>
      <c r="O13196">
        <f>IF(N13196="","",'Master Barang'!B90)</f>
        <v>0</v>
      </c>
      <c r="P13196">
        <f>IF(OR(M13196="",N13196=""),"",SUMIFS('Barang Keluar'!$E:$E,'Barang Keluar'!$A:$A,M13196,'Barang Keluar'!$C:$C,N13196))</f>
        <v>0</v>
      </c>
    </row>
    <row r="13197" spans="13:16">
      <c r="M13197" s="49">
        <f>IF($A$4+131&gt;$B$4,"",$A$4+131)</f>
        <v>46154</v>
      </c>
      <c r="N13197">
        <f>IF(M13197="","",'Master Barang'!A91)</f>
        <v>0</v>
      </c>
      <c r="O13197">
        <f>IF(N13197="","",'Master Barang'!B91)</f>
        <v>0</v>
      </c>
      <c r="P13197">
        <f>IF(OR(M13197="",N13197=""),"",SUMIFS('Barang Keluar'!$E:$E,'Barang Keluar'!$A:$A,M13197,'Barang Keluar'!$C:$C,N13197))</f>
        <v>0</v>
      </c>
    </row>
    <row r="13198" spans="13:16">
      <c r="M13198" s="49">
        <f>IF($A$4+131&gt;$B$4,"",$A$4+131)</f>
        <v>46154</v>
      </c>
      <c r="N13198">
        <f>IF(M13198="","",'Master Barang'!A92)</f>
        <v>0</v>
      </c>
      <c r="O13198">
        <f>IF(N13198="","",'Master Barang'!B92)</f>
        <v>0</v>
      </c>
      <c r="P13198">
        <f>IF(OR(M13198="",N13198=""),"",SUMIFS('Barang Keluar'!$E:$E,'Barang Keluar'!$A:$A,M13198,'Barang Keluar'!$C:$C,N13198))</f>
        <v>0</v>
      </c>
    </row>
    <row r="13199" spans="13:16">
      <c r="M13199" s="49">
        <f>IF($A$4+131&gt;$B$4,"",$A$4+131)</f>
        <v>46154</v>
      </c>
      <c r="N13199">
        <f>IF(M13199="","",'Master Barang'!A93)</f>
        <v>0</v>
      </c>
      <c r="O13199">
        <f>IF(N13199="","",'Master Barang'!B93)</f>
        <v>0</v>
      </c>
      <c r="P13199">
        <f>IF(OR(M13199="",N13199=""),"",SUMIFS('Barang Keluar'!$E:$E,'Barang Keluar'!$A:$A,M13199,'Barang Keluar'!$C:$C,N13199))</f>
        <v>0</v>
      </c>
    </row>
    <row r="13200" spans="13:16">
      <c r="M13200" s="49">
        <f>IF($A$4+131&gt;$B$4,"",$A$4+131)</f>
        <v>46154</v>
      </c>
      <c r="N13200">
        <f>IF(M13200="","",'Master Barang'!A94)</f>
        <v>0</v>
      </c>
      <c r="O13200">
        <f>IF(N13200="","",'Master Barang'!B94)</f>
        <v>0</v>
      </c>
      <c r="P13200">
        <f>IF(OR(M13200="",N13200=""),"",SUMIFS('Barang Keluar'!$E:$E,'Barang Keluar'!$A:$A,M13200,'Barang Keluar'!$C:$C,N13200))</f>
        <v>0</v>
      </c>
    </row>
    <row r="13201" spans="13:16">
      <c r="M13201" s="49">
        <f>IF($A$4+131&gt;$B$4,"",$A$4+131)</f>
        <v>46154</v>
      </c>
      <c r="N13201">
        <f>IF(M13201="","",'Master Barang'!A95)</f>
        <v>0</v>
      </c>
      <c r="O13201">
        <f>IF(N13201="","",'Master Barang'!B95)</f>
        <v>0</v>
      </c>
      <c r="P13201">
        <f>IF(OR(M13201="",N13201=""),"",SUMIFS('Barang Keluar'!$E:$E,'Barang Keluar'!$A:$A,M13201,'Barang Keluar'!$C:$C,N13201))</f>
        <v>0</v>
      </c>
    </row>
    <row r="13202" spans="13:16">
      <c r="M13202" s="49">
        <f>IF($A$4+131&gt;$B$4,"",$A$4+131)</f>
        <v>46154</v>
      </c>
      <c r="N13202">
        <f>IF(M13202="","",'Master Barang'!A96)</f>
        <v>0</v>
      </c>
      <c r="O13202">
        <f>IF(N13202="","",'Master Barang'!B96)</f>
        <v>0</v>
      </c>
      <c r="P13202">
        <f>IF(OR(M13202="",N13202=""),"",SUMIFS('Barang Keluar'!$E:$E,'Barang Keluar'!$A:$A,M13202,'Barang Keluar'!$C:$C,N13202))</f>
        <v>0</v>
      </c>
    </row>
    <row r="13203" spans="13:16">
      <c r="M13203" s="49">
        <f>IF($A$4+131&gt;$B$4,"",$A$4+131)</f>
        <v>46154</v>
      </c>
      <c r="N13203">
        <f>IF(M13203="","",'Master Barang'!A97)</f>
        <v>0</v>
      </c>
      <c r="O13203">
        <f>IF(N13203="","",'Master Barang'!B97)</f>
        <v>0</v>
      </c>
      <c r="P13203">
        <f>IF(OR(M13203="",N13203=""),"",SUMIFS('Barang Keluar'!$E:$E,'Barang Keluar'!$A:$A,M13203,'Barang Keluar'!$C:$C,N13203))</f>
        <v>0</v>
      </c>
    </row>
    <row r="13204" spans="13:16">
      <c r="M13204" s="49">
        <f>IF($A$4+131&gt;$B$4,"",$A$4+131)</f>
        <v>46154</v>
      </c>
      <c r="N13204">
        <f>IF(M13204="","",'Master Barang'!A98)</f>
        <v>0</v>
      </c>
      <c r="O13204">
        <f>IF(N13204="","",'Master Barang'!B98)</f>
        <v>0</v>
      </c>
      <c r="P13204">
        <f>IF(OR(M13204="",N13204=""),"",SUMIFS('Barang Keluar'!$E:$E,'Barang Keluar'!$A:$A,M13204,'Barang Keluar'!$C:$C,N13204))</f>
        <v>0</v>
      </c>
    </row>
    <row r="13205" spans="13:16">
      <c r="M13205" s="49">
        <f>IF($A$4+131&gt;$B$4,"",$A$4+131)</f>
        <v>46154</v>
      </c>
      <c r="N13205">
        <f>IF(M13205="","",'Master Barang'!A99)</f>
        <v>0</v>
      </c>
      <c r="O13205">
        <f>IF(N13205="","",'Master Barang'!B99)</f>
        <v>0</v>
      </c>
      <c r="P13205">
        <f>IF(OR(M13205="",N13205=""),"",SUMIFS('Barang Keluar'!$E:$E,'Barang Keluar'!$A:$A,M13205,'Barang Keluar'!$C:$C,N13205))</f>
        <v>0</v>
      </c>
    </row>
    <row r="13206" spans="13:16">
      <c r="M13206" s="49">
        <f>IF($A$4+131&gt;$B$4,"",$A$4+131)</f>
        <v>46154</v>
      </c>
      <c r="N13206">
        <f>IF(M13206="","",'Master Barang'!A100)</f>
        <v>0</v>
      </c>
      <c r="O13206">
        <f>IF(N13206="","",'Master Barang'!B100)</f>
        <v>0</v>
      </c>
      <c r="P13206">
        <f>IF(OR(M13206="",N13206=""),"",SUMIFS('Barang Keluar'!$E:$E,'Barang Keluar'!$A:$A,M13206,'Barang Keluar'!$C:$C,N13206))</f>
        <v>0</v>
      </c>
    </row>
    <row r="13207" spans="13:16">
      <c r="M13207" s="49">
        <f>IF($A$4+131&gt;$B$4,"",$A$4+131)</f>
        <v>46154</v>
      </c>
      <c r="N13207">
        <f>IF(M13207="","",'Master Barang'!A101)</f>
        <v>0</v>
      </c>
      <c r="O13207">
        <f>IF(N13207="","",'Master Barang'!B101)</f>
        <v>0</v>
      </c>
      <c r="P13207">
        <f>IF(OR(M13207="",N13207=""),"",SUMIFS('Barang Keluar'!$E:$E,'Barang Keluar'!$A:$A,M13207,'Barang Keluar'!$C:$C,N13207))</f>
        <v>0</v>
      </c>
    </row>
    <row r="13208" spans="13:16">
      <c r="M13208" s="49">
        <f>IF($A$4+132&gt;$B$4,"",$A$4+132)</f>
        <v>46155</v>
      </c>
      <c r="N13208" t="str">
        <f>IF(M13208="","",'Master Barang'!A2)</f>
        <v>PRL-001</v>
      </c>
      <c r="O13208" t="str">
        <f>IF(N13208="","",'Master Barang'!B2)</f>
        <v>natura desinfectant food grade 5l</v>
      </c>
      <c r="P13208">
        <f>IF(OR(M13208="",N13208=""),"",SUMIFS('Barang Keluar'!$E:$E,'Barang Keluar'!$A:$A,M13208,'Barang Keluar'!$C:$C,N13208))</f>
        <v>0</v>
      </c>
    </row>
    <row r="13209" spans="13:16">
      <c r="M13209" s="49">
        <f>IF($A$4+132&gt;$B$4,"",$A$4+132)</f>
        <v>46155</v>
      </c>
      <c r="N13209" t="str">
        <f>IF(M13209="","",'Master Barang'!A3)</f>
        <v>PRL-002</v>
      </c>
      <c r="O13209" t="str">
        <f>IF(N13209="","",'Master Barang'!B3)</f>
        <v>sunlight cairan pencuci piring 5l</v>
      </c>
      <c r="P13209">
        <f>IF(OR(M13209="",N13209=""),"",SUMIFS('Barang Keluar'!$E:$E,'Barang Keluar'!$A:$A,M13209,'Barang Keluar'!$C:$C,N13209))</f>
        <v>0</v>
      </c>
    </row>
    <row r="13210" spans="13:16">
      <c r="M13210" s="49">
        <f>IF($A$4+132&gt;$B$4,"",$A$4+132)</f>
        <v>46155</v>
      </c>
      <c r="N13210" t="str">
        <f>IF(M13210="","",'Master Barang'!A4)</f>
        <v>PRL-003</v>
      </c>
      <c r="O13210" t="str">
        <f>IF(N13210="","",'Master Barang'!B4)</f>
        <v>oixs cleaner 1l</v>
      </c>
      <c r="P13210">
        <f>IF(OR(M13210="",N13210=""),"",SUMIFS('Barang Keluar'!$E:$E,'Barang Keluar'!$A:$A,M13210,'Barang Keluar'!$C:$C,N13210))</f>
        <v>0</v>
      </c>
    </row>
    <row r="13211" spans="13:16">
      <c r="M13211" s="49">
        <f>IF($A$4+132&gt;$B$4,"",$A$4+132)</f>
        <v>46155</v>
      </c>
      <c r="N13211" t="str">
        <f>IF(M13211="","",'Master Barang'!A5)</f>
        <v>PRL-004</v>
      </c>
      <c r="O13211" t="str">
        <f>IF(N13211="","",'Master Barang'!B5)</f>
        <v>be clean tissue serbaguna</v>
      </c>
      <c r="P13211">
        <f>IF(OR(M13211="",N13211=""),"",SUMIFS('Barang Keluar'!$E:$E,'Barang Keluar'!$A:$A,M13211,'Barang Keluar'!$C:$C,N13211))</f>
        <v>0</v>
      </c>
    </row>
    <row r="13212" spans="13:16">
      <c r="M13212" s="49">
        <f>IF($A$4+132&gt;$B$4,"",$A$4+132)</f>
        <v>46155</v>
      </c>
      <c r="N13212" t="str">
        <f>IF(M13212="","",'Master Barang'!A6)</f>
        <v>PRL-005</v>
      </c>
      <c r="O13212" t="str">
        <f>IF(N13212="","",'Master Barang'!B6)</f>
        <v>spons cuci hijau</v>
      </c>
      <c r="P13212">
        <f>IF(OR(M13212="",N13212=""),"",SUMIFS('Barang Keluar'!$E:$E,'Barang Keluar'!$A:$A,M13212,'Barang Keluar'!$C:$C,N13212))</f>
        <v>0</v>
      </c>
    </row>
    <row r="13213" spans="13:16">
      <c r="M13213" s="49">
        <f>IF($A$4+132&gt;$B$4,"",$A$4+132)</f>
        <v>46155</v>
      </c>
      <c r="N13213" t="str">
        <f>IF(M13213="","",'Master Barang'!A7)</f>
        <v>PRL-006</v>
      </c>
      <c r="O13213" t="str">
        <f>IF(N13213="","",'Master Barang'!B7)</f>
        <v>sabut cuci stainless</v>
      </c>
      <c r="P13213">
        <f>IF(OR(M13213="",N13213=""),"",SUMIFS('Barang Keluar'!$E:$E,'Barang Keluar'!$A:$A,M13213,'Barang Keluar'!$C:$C,N13213))</f>
        <v>0</v>
      </c>
    </row>
    <row r="13214" spans="13:16">
      <c r="M13214" s="49">
        <f>IF($A$4+132&gt;$B$4,"",$A$4+132)</f>
        <v>46155</v>
      </c>
      <c r="N13214" t="str">
        <f>IF(M13214="","",'Master Barang'!A8)</f>
        <v>PRL-007</v>
      </c>
      <c r="O13214" t="str">
        <f>IF(N13214="","",'Master Barang'!B8)</f>
        <v>plastik kresek besar merah 50pc</v>
      </c>
      <c r="P13214">
        <f>IF(OR(M13214="",N13214=""),"",SUMIFS('Barang Keluar'!$E:$E,'Barang Keluar'!$A:$A,M13214,'Barang Keluar'!$C:$C,N13214))</f>
        <v>0</v>
      </c>
    </row>
    <row r="13215" spans="13:16">
      <c r="M13215" s="49">
        <f>IF($A$4+132&gt;$B$4,"",$A$4+132)</f>
        <v>46155</v>
      </c>
      <c r="N13215" t="str">
        <f>IF(M13215="","",'Master Barang'!A9)</f>
        <v>PRL-008</v>
      </c>
      <c r="O13215" t="str">
        <f>IF(N13215="","",'Master Barang'!B9)</f>
        <v>lap besar</v>
      </c>
      <c r="P13215">
        <f>IF(OR(M13215="",N13215=""),"",SUMIFS('Barang Keluar'!$E:$E,'Barang Keluar'!$A:$A,M13215,'Barang Keluar'!$C:$C,N13215))</f>
        <v>0</v>
      </c>
    </row>
    <row r="13216" spans="13:16">
      <c r="M13216" s="49">
        <f>IF($A$4+132&gt;$B$4,"",$A$4+132)</f>
        <v>46155</v>
      </c>
      <c r="N13216" t="str">
        <f>IF(M13216="","",'Master Barang'!A10)</f>
        <v>PRL-009</v>
      </c>
      <c r="O13216" t="str">
        <f>IF(N13216="","",'Master Barang'!B10)</f>
        <v>lap microfiber</v>
      </c>
      <c r="P13216">
        <f>IF(OR(M13216="",N13216=""),"",SUMIFS('Barang Keluar'!$E:$E,'Barang Keluar'!$A:$A,M13216,'Barang Keluar'!$C:$C,N13216))</f>
        <v>0</v>
      </c>
    </row>
    <row r="13217" spans="13:16">
      <c r="M13217" s="49">
        <f>IF($A$4+132&gt;$B$4,"",$A$4+132)</f>
        <v>46155</v>
      </c>
      <c r="N13217" t="str">
        <f>IF(M13217="","",'Master Barang'!A11)</f>
        <v>PRL-010</v>
      </c>
      <c r="O13217" t="str">
        <f>IF(N13217="","",'Master Barang'!B11)</f>
        <v>lap kecil</v>
      </c>
      <c r="P13217">
        <f>IF(OR(M13217="",N13217=""),"",SUMIFS('Barang Keluar'!$E:$E,'Barang Keluar'!$A:$A,M13217,'Barang Keluar'!$C:$C,N13217))</f>
        <v>0</v>
      </c>
    </row>
    <row r="13218" spans="13:16">
      <c r="M13218" s="49">
        <f>IF($A$4+132&gt;$B$4,"",$A$4+132)</f>
        <v>46155</v>
      </c>
      <c r="N13218" t="str">
        <f>IF(M13218="","",'Master Barang'!A12)</f>
        <v>PRL-011</v>
      </c>
      <c r="O13218" t="str">
        <f>IF(N13218="","",'Master Barang'!B12)</f>
        <v>kanebo kecil</v>
      </c>
      <c r="P13218">
        <f>IF(OR(M13218="",N13218=""),"",SUMIFS('Barang Keluar'!$E:$E,'Barang Keluar'!$A:$A,M13218,'Barang Keluar'!$C:$C,N13218))</f>
        <v>0</v>
      </c>
    </row>
    <row r="13219" spans="13:16">
      <c r="M13219" s="49">
        <f>IF($A$4+132&gt;$B$4,"",$A$4+132)</f>
        <v>46155</v>
      </c>
      <c r="N13219" t="str">
        <f>IF(M13219="","",'Master Barang'!A13)</f>
        <v>PRL-012</v>
      </c>
      <c r="O13219" t="str">
        <f>IF(N13219="","",'Master Barang'!B13)</f>
        <v>plastik 1/4kg joyoboyo 100 lembar</v>
      </c>
      <c r="P13219">
        <f>IF(OR(M13219="",N13219=""),"",SUMIFS('Barang Keluar'!$E:$E,'Barang Keluar'!$A:$A,M13219,'Barang Keluar'!$C:$C,N13219))</f>
        <v>0</v>
      </c>
    </row>
    <row r="13220" spans="13:16">
      <c r="M13220" s="49">
        <f>IF($A$4+132&gt;$B$4,"",$A$4+132)</f>
        <v>46155</v>
      </c>
      <c r="N13220" t="str">
        <f>IF(M13220="","",'Master Barang'!A14)</f>
        <v>PRL-013</v>
      </c>
      <c r="O13220" t="str">
        <f>IF(N13220="","",'Master Barang'!B14)</f>
        <v>sarung tangan plastik kaka 100 pcs</v>
      </c>
      <c r="P13220">
        <f>IF(OR(M13220="",N13220=""),"",SUMIFS('Barang Keluar'!$E:$E,'Barang Keluar'!$A:$A,M13220,'Barang Keluar'!$C:$C,N13220))</f>
        <v>0</v>
      </c>
    </row>
    <row r="13221" spans="13:16">
      <c r="M13221" s="49">
        <f>IF($A$4+132&gt;$B$4,"",$A$4+132)</f>
        <v>46155</v>
      </c>
      <c r="N13221" t="str">
        <f>IF(M13221="","",'Master Barang'!A15)</f>
        <v>PRL-014</v>
      </c>
      <c r="O13221" t="str">
        <f>IF(N13221="","",'Master Barang'!B15)</f>
        <v>optima trashbag 80x100</v>
      </c>
      <c r="P13221">
        <f>IF(OR(M13221="",N13221=""),"",SUMIFS('Barang Keluar'!$E:$E,'Barang Keluar'!$A:$A,M13221,'Barang Keluar'!$C:$C,N13221))</f>
        <v>0</v>
      </c>
    </row>
    <row r="13222" spans="13:16">
      <c r="M13222" s="49">
        <f>IF($A$4+132&gt;$B$4,"",$A$4+132)</f>
        <v>46155</v>
      </c>
      <c r="N13222" t="str">
        <f>IF(M13222="","",'Master Barang'!A16)</f>
        <v>PRL-015</v>
      </c>
      <c r="O13222" t="str">
        <f>IF(N13222="","",'Master Barang'!B16)</f>
        <v>optima trashbag 60x100</v>
      </c>
      <c r="P13222">
        <f>IF(OR(M13222="",N13222=""),"",SUMIFS('Barang Keluar'!$E:$E,'Barang Keluar'!$A:$A,M13222,'Barang Keluar'!$C:$C,N13222))</f>
        <v>0</v>
      </c>
    </row>
    <row r="13223" spans="13:16">
      <c r="M13223" s="49">
        <f>IF($A$4+132&gt;$B$4,"",$A$4+132)</f>
        <v>46155</v>
      </c>
      <c r="N13223" t="str">
        <f>IF(M13223="","",'Master Barang'!A17)</f>
        <v>PRL-016</v>
      </c>
      <c r="O13223" t="str">
        <f>IF(N13223="","",'Master Barang'!B17)</f>
        <v>rajawali trashbag 30x40</v>
      </c>
      <c r="P13223">
        <f>IF(OR(M13223="",N13223=""),"",SUMIFS('Barang Keluar'!$E:$E,'Barang Keluar'!$A:$A,M13223,'Barang Keluar'!$C:$C,N13223))</f>
        <v>0</v>
      </c>
    </row>
    <row r="13224" spans="13:16">
      <c r="M13224" s="49">
        <f>IF($A$4+132&gt;$B$4,"",$A$4+132)</f>
        <v>46155</v>
      </c>
      <c r="N13224" t="str">
        <f>IF(M13224="","",'Master Barang'!A18)</f>
        <v>PRL-017</v>
      </c>
      <c r="O13224" t="str">
        <f>IF(N13224="","",'Master Barang'!B18)</f>
        <v>onemed masker biru 3 play 50 pcs</v>
      </c>
      <c r="P13224">
        <f>IF(OR(M13224="",N13224=""),"",SUMIFS('Barang Keluar'!$E:$E,'Barang Keluar'!$A:$A,M13224,'Barang Keluar'!$C:$C,N13224))</f>
        <v>0</v>
      </c>
    </row>
    <row r="13225" spans="13:16">
      <c r="M13225" s="49">
        <f>IF($A$4+132&gt;$B$4,"",$A$4+132)</f>
        <v>46155</v>
      </c>
      <c r="N13225" t="str">
        <f>IF(M13225="","",'Master Barang'!A19)</f>
        <v>PRL-018</v>
      </c>
      <c r="O13225" t="str">
        <f>IF(N13225="","",'Master Barang'!B19)</f>
        <v>onemed masker biru 3 play hijab 50 pcs</v>
      </c>
      <c r="P13225">
        <f>IF(OR(M13225="",N13225=""),"",SUMIFS('Barang Keluar'!$E:$E,'Barang Keluar'!$A:$A,M13225,'Barang Keluar'!$C:$C,N13225))</f>
        <v>0</v>
      </c>
    </row>
    <row r="13226" spans="13:16">
      <c r="M13226" s="49">
        <f>IF($A$4+132&gt;$B$4,"",$A$4+132)</f>
        <v>46155</v>
      </c>
      <c r="N13226" t="str">
        <f>IF(M13226="","",'Master Barang'!A20)</f>
        <v>PRL-019</v>
      </c>
      <c r="O13226" t="str">
        <f>IF(N13226="","",'Master Barang'!B20)</f>
        <v>neo health masker biru 3 play 50 pcs</v>
      </c>
      <c r="P13226">
        <f>IF(OR(M13226="",N13226=""),"",SUMIFS('Barang Keluar'!$E:$E,'Barang Keluar'!$A:$A,M13226,'Barang Keluar'!$C:$C,N13226))</f>
        <v>0</v>
      </c>
    </row>
    <row r="13227" spans="13:16">
      <c r="M13227" s="49">
        <f>IF($A$4+132&gt;$B$4,"",$A$4+132)</f>
        <v>46155</v>
      </c>
      <c r="N13227" t="str">
        <f>IF(M13227="","",'Master Barang'!A21)</f>
        <v>PRL-020</v>
      </c>
      <c r="O13227" t="str">
        <f>IF(N13227="","",'Master Barang'!B21)</f>
        <v>baymed masker hijau 3 play hijau 50 pcs</v>
      </c>
      <c r="P13227">
        <f>IF(OR(M13227="",N13227=""),"",SUMIFS('Barang Keluar'!$E:$E,'Barang Keluar'!$A:$A,M13227,'Barang Keluar'!$C:$C,N13227))</f>
        <v>0</v>
      </c>
    </row>
    <row r="13228" spans="13:16">
      <c r="M13228" s="49">
        <f>IF($A$4+132&gt;$B$4,"",$A$4+132)</f>
        <v>46155</v>
      </c>
      <c r="N13228" t="str">
        <f>IF(M13228="","",'Master Barang'!A22)</f>
        <v>PRL-021</v>
      </c>
      <c r="O13228" t="str">
        <f>IF(N13228="","",'Master Barang'!B22)</f>
        <v>altamed nurse cap penutup kepala 100 pcs</v>
      </c>
      <c r="P13228">
        <f>IF(OR(M13228="",N13228=""),"",SUMIFS('Barang Keluar'!$E:$E,'Barang Keluar'!$A:$A,M13228,'Barang Keluar'!$C:$C,N13228))</f>
        <v>0</v>
      </c>
    </row>
    <row r="13229" spans="13:16">
      <c r="M13229" s="49">
        <f>IF($A$4+132&gt;$B$4,"",$A$4+132)</f>
        <v>46155</v>
      </c>
      <c r="N13229" t="str">
        <f>IF(M13229="","",'Master Barang'!A23)</f>
        <v>PRL-022</v>
      </c>
      <c r="O13229" t="str">
        <f>IF(N13229="","",'Master Barang'!B23)</f>
        <v>sabun cuci tangan</v>
      </c>
      <c r="P13229">
        <f>IF(OR(M13229="",N13229=""),"",SUMIFS('Barang Keluar'!$E:$E,'Barang Keluar'!$A:$A,M13229,'Barang Keluar'!$C:$C,N13229))</f>
        <v>0</v>
      </c>
    </row>
    <row r="13230" spans="13:16">
      <c r="M13230" s="49">
        <f>IF($A$4+132&gt;$B$4,"",$A$4+132)</f>
        <v>46155</v>
      </c>
      <c r="N13230" t="str">
        <f>IF(M13230="","",'Master Barang'!A24)</f>
        <v>PRL-023</v>
      </c>
      <c r="O13230" t="str">
        <f>IF(N13230="","",'Master Barang'!B24)</f>
        <v>gayung kecil</v>
      </c>
      <c r="P13230">
        <f>IF(OR(M13230="",N13230=""),"",SUMIFS('Barang Keluar'!$E:$E,'Barang Keluar'!$A:$A,M13230,'Barang Keluar'!$C:$C,N13230))</f>
        <v>0</v>
      </c>
    </row>
    <row r="13231" spans="13:16">
      <c r="M13231" s="49">
        <f>IF($A$4+132&gt;$B$4,"",$A$4+132)</f>
        <v>46155</v>
      </c>
      <c r="N13231" t="str">
        <f>IF(M13231="","",'Master Barang'!A25)</f>
        <v>PRL-024</v>
      </c>
      <c r="O13231" t="str">
        <f>IF(N13231="","",'Master Barang'!B25)</f>
        <v>cikrak kecil</v>
      </c>
      <c r="P13231">
        <f>IF(OR(M13231="",N13231=""),"",SUMIFS('Barang Keluar'!$E:$E,'Barang Keluar'!$A:$A,M13231,'Barang Keluar'!$C:$C,N13231))</f>
        <v>0</v>
      </c>
    </row>
    <row r="13232" spans="13:16">
      <c r="M13232" s="49">
        <f>IF($A$4+132&gt;$B$4,"",$A$4+132)</f>
        <v>46155</v>
      </c>
      <c r="N13232" t="str">
        <f>IF(M13232="","",'Master Barang'!A26)</f>
        <v>PRL-025</v>
      </c>
      <c r="O13232" t="str">
        <f>IF(N13232="","",'Master Barang'!B26)</f>
        <v>petromax plastik kecil 12x24 100 lembar</v>
      </c>
      <c r="P13232">
        <f>IF(OR(M13232="",N13232=""),"",SUMIFS('Barang Keluar'!$E:$E,'Barang Keluar'!$A:$A,M13232,'Barang Keluar'!$C:$C,N13232))</f>
        <v>0</v>
      </c>
    </row>
    <row r="13233" spans="13:16">
      <c r="M13233" s="49">
        <f>IF($A$4+132&gt;$B$4,"",$A$4+132)</f>
        <v>46155</v>
      </c>
      <c r="N13233" t="str">
        <f>IF(M13233="","",'Master Barang'!A27)</f>
        <v>PRL-026</v>
      </c>
      <c r="O13233" t="str">
        <f>IF(N13233="","",'Master Barang'!B27)</f>
        <v>lancar kresek kecil bening </v>
      </c>
      <c r="P13233">
        <f>IF(OR(M13233="",N13233=""),"",SUMIFS('Barang Keluar'!$E:$E,'Barang Keluar'!$A:$A,M13233,'Barang Keluar'!$C:$C,N13233))</f>
        <v>0</v>
      </c>
    </row>
    <row r="13234" spans="13:16">
      <c r="M13234" s="49">
        <f>IF($A$4+132&gt;$B$4,"",$A$4+132)</f>
        <v>46155</v>
      </c>
      <c r="N13234" t="str">
        <f>IF(M13234="","",'Master Barang'!A28)</f>
        <v>PRL-027</v>
      </c>
      <c r="O13234" t="str">
        <f>IF(N13234="","",'Master Barang'!B28)</f>
        <v>kresek klin warna warni kecil</v>
      </c>
      <c r="P13234">
        <f>IF(OR(M13234="",N13234=""),"",SUMIFS('Barang Keluar'!$E:$E,'Barang Keluar'!$A:$A,M13234,'Barang Keluar'!$C:$C,N13234))</f>
        <v>0</v>
      </c>
    </row>
    <row r="13235" spans="13:16">
      <c r="M13235" s="49">
        <f>IF($A$4+132&gt;$B$4,"",$A$4+132)</f>
        <v>46155</v>
      </c>
      <c r="N13235" t="str">
        <f>IF(M13235="","",'Master Barang'!A29)</f>
        <v>PRL-028</v>
      </c>
      <c r="O13235" t="str">
        <f>IF(N13235="","",'Master Barang'!B29)</f>
        <v>ctik plastik 7x10 100 pcs</v>
      </c>
      <c r="P13235">
        <f>IF(OR(M13235="",N13235=""),"",SUMIFS('Barang Keluar'!$E:$E,'Barang Keluar'!$A:$A,M13235,'Barang Keluar'!$C:$C,N13235))</f>
        <v>0</v>
      </c>
    </row>
    <row r="13236" spans="13:16">
      <c r="M13236" s="49">
        <f>IF($A$4+132&gt;$B$4,"",$A$4+132)</f>
        <v>46155</v>
      </c>
      <c r="N13236" t="str">
        <f>IF(M13236="","",'Master Barang'!A30)</f>
        <v>PRL-029</v>
      </c>
      <c r="O13236" t="str">
        <f>IF(N13236="","",'Master Barang'!B30)</f>
        <v>ctik plastik 6x10 100 pcs</v>
      </c>
      <c r="P13236">
        <f>IF(OR(M13236="",N13236=""),"",SUMIFS('Barang Keluar'!$E:$E,'Barang Keluar'!$A:$A,M13236,'Barang Keluar'!$C:$C,N13236))</f>
        <v>0</v>
      </c>
    </row>
    <row r="13237" spans="13:16">
      <c r="M13237" s="49">
        <f>IF($A$4+132&gt;$B$4,"",$A$4+132)</f>
        <v>46155</v>
      </c>
      <c r="N13237" t="str">
        <f>IF(M13237="","",'Master Barang'!A31)</f>
        <v>PRL-030</v>
      </c>
      <c r="O13237" t="str">
        <f>IF(N13237="","",'Master Barang'!B31)</f>
        <v>klip plastik 25x16 100 pcs</v>
      </c>
      <c r="P13237">
        <f>IF(OR(M13237="",N13237=""),"",SUMIFS('Barang Keluar'!$E:$E,'Barang Keluar'!$A:$A,M13237,'Barang Keluar'!$C:$C,N13237))</f>
        <v>0</v>
      </c>
    </row>
    <row r="13238" spans="13:16">
      <c r="M13238" s="49">
        <f>IF($A$4+132&gt;$B$4,"",$A$4+132)</f>
        <v>46155</v>
      </c>
      <c r="N13238" t="str">
        <f>IF(M13238="","",'Master Barang'!A32)</f>
        <v>PRL-031</v>
      </c>
      <c r="O13238" t="str">
        <f>IF(N13238="","",'Master Barang'!B32)</f>
        <v>tempat saus 20 ml</v>
      </c>
      <c r="P13238">
        <f>IF(OR(M13238="",N13238=""),"",SUMIFS('Barang Keluar'!$E:$E,'Barang Keluar'!$A:$A,M13238,'Barang Keluar'!$C:$C,N13238))</f>
        <v>0</v>
      </c>
    </row>
    <row r="13239" spans="13:16">
      <c r="M13239" s="49">
        <f>IF($A$4+132&gt;$B$4,"",$A$4+132)</f>
        <v>46155</v>
      </c>
      <c r="N13239" t="str">
        <f>IF(M13239="","",'Master Barang'!A33)</f>
        <v>PRL-032</v>
      </c>
      <c r="O13239" t="str">
        <f>IF(N13239="","",'Master Barang'!B33)</f>
        <v>plastik packaging ag box uk sedang</v>
      </c>
      <c r="P13239">
        <f>IF(OR(M13239="",N13239=""),"",SUMIFS('Barang Keluar'!$E:$E,'Barang Keluar'!$A:$A,M13239,'Barang Keluar'!$C:$C,N13239))</f>
        <v>0</v>
      </c>
    </row>
    <row r="13240" spans="13:16">
      <c r="M13240" s="49">
        <f>IF($A$4+132&gt;$B$4,"",$A$4+132)</f>
        <v>46155</v>
      </c>
      <c r="N13240" t="str">
        <f>IF(M13240="","",'Master Barang'!A34)</f>
        <v>PRL-033</v>
      </c>
      <c r="O13240">
        <f>IF(N13240="","",'Master Barang'!B34)</f>
        <v>0</v>
      </c>
      <c r="P13240">
        <f>IF(OR(M13240="",N13240=""),"",SUMIFS('Barang Keluar'!$E:$E,'Barang Keluar'!$A:$A,M13240,'Barang Keluar'!$C:$C,N13240))</f>
        <v>0</v>
      </c>
    </row>
    <row r="13241" spans="13:16">
      <c r="M13241" s="49">
        <f>IF($A$4+132&gt;$B$4,"",$A$4+132)</f>
        <v>46155</v>
      </c>
      <c r="N13241">
        <f>IF(M13241="","",'Master Barang'!A35)</f>
        <v>0</v>
      </c>
      <c r="O13241">
        <f>IF(N13241="","",'Master Barang'!B35)</f>
        <v>0</v>
      </c>
      <c r="P13241">
        <f>IF(OR(M13241="",N13241=""),"",SUMIFS('Barang Keluar'!$E:$E,'Barang Keluar'!$A:$A,M13241,'Barang Keluar'!$C:$C,N13241))</f>
        <v>0</v>
      </c>
    </row>
    <row r="13242" spans="13:16">
      <c r="M13242" s="49">
        <f>IF($A$4+132&gt;$B$4,"",$A$4+132)</f>
        <v>46155</v>
      </c>
      <c r="N13242">
        <f>IF(M13242="","",'Master Barang'!A36)</f>
        <v>0</v>
      </c>
      <c r="O13242">
        <f>IF(N13242="","",'Master Barang'!B36)</f>
        <v>0</v>
      </c>
      <c r="P13242">
        <f>IF(OR(M13242="",N13242=""),"",SUMIFS('Barang Keluar'!$E:$E,'Barang Keluar'!$A:$A,M13242,'Barang Keluar'!$C:$C,N13242))</f>
        <v>0</v>
      </c>
    </row>
    <row r="13243" spans="13:16">
      <c r="M13243" s="49">
        <f>IF($A$4+132&gt;$B$4,"",$A$4+132)</f>
        <v>46155</v>
      </c>
      <c r="N13243">
        <f>IF(M13243="","",'Master Barang'!A37)</f>
        <v>0</v>
      </c>
      <c r="O13243">
        <f>IF(N13243="","",'Master Barang'!B37)</f>
        <v>0</v>
      </c>
      <c r="P13243">
        <f>IF(OR(M13243="",N13243=""),"",SUMIFS('Barang Keluar'!$E:$E,'Barang Keluar'!$A:$A,M13243,'Barang Keluar'!$C:$C,N13243))</f>
        <v>0</v>
      </c>
    </row>
    <row r="13244" spans="13:16">
      <c r="M13244" s="49">
        <f>IF($A$4+132&gt;$B$4,"",$A$4+132)</f>
        <v>46155</v>
      </c>
      <c r="N13244">
        <f>IF(M13244="","",'Master Barang'!A38)</f>
        <v>0</v>
      </c>
      <c r="O13244">
        <f>IF(N13244="","",'Master Barang'!B38)</f>
        <v>0</v>
      </c>
      <c r="P13244">
        <f>IF(OR(M13244="",N13244=""),"",SUMIFS('Barang Keluar'!$E:$E,'Barang Keluar'!$A:$A,M13244,'Barang Keluar'!$C:$C,N13244))</f>
        <v>0</v>
      </c>
    </row>
    <row r="13245" spans="13:16">
      <c r="M13245" s="49">
        <f>IF($A$4+132&gt;$B$4,"",$A$4+132)</f>
        <v>46155</v>
      </c>
      <c r="N13245">
        <f>IF(M13245="","",'Master Barang'!A39)</f>
        <v>0</v>
      </c>
      <c r="O13245">
        <f>IF(N13245="","",'Master Barang'!B39)</f>
        <v>0</v>
      </c>
      <c r="P13245">
        <f>IF(OR(M13245="",N13245=""),"",SUMIFS('Barang Keluar'!$E:$E,'Barang Keluar'!$A:$A,M13245,'Barang Keluar'!$C:$C,N13245))</f>
        <v>0</v>
      </c>
    </row>
    <row r="13246" spans="13:16">
      <c r="M13246" s="49">
        <f>IF($A$4+132&gt;$B$4,"",$A$4+132)</f>
        <v>46155</v>
      </c>
      <c r="N13246">
        <f>IF(M13246="","",'Master Barang'!A40)</f>
        <v>0</v>
      </c>
      <c r="O13246">
        <f>IF(N13246="","",'Master Barang'!B40)</f>
        <v>0</v>
      </c>
      <c r="P13246">
        <f>IF(OR(M13246="",N13246=""),"",SUMIFS('Barang Keluar'!$E:$E,'Barang Keluar'!$A:$A,M13246,'Barang Keluar'!$C:$C,N13246))</f>
        <v>0</v>
      </c>
    </row>
    <row r="13247" spans="13:16">
      <c r="M13247" s="49">
        <f>IF($A$4+132&gt;$B$4,"",$A$4+132)</f>
        <v>46155</v>
      </c>
      <c r="N13247">
        <f>IF(M13247="","",'Master Barang'!A41)</f>
        <v>0</v>
      </c>
      <c r="O13247">
        <f>IF(N13247="","",'Master Barang'!B41)</f>
        <v>0</v>
      </c>
      <c r="P13247">
        <f>IF(OR(M13247="",N13247=""),"",SUMIFS('Barang Keluar'!$E:$E,'Barang Keluar'!$A:$A,M13247,'Barang Keluar'!$C:$C,N13247))</f>
        <v>0</v>
      </c>
    </row>
    <row r="13248" spans="13:16">
      <c r="M13248" s="49">
        <f>IF($A$4+132&gt;$B$4,"",$A$4+132)</f>
        <v>46155</v>
      </c>
      <c r="N13248">
        <f>IF(M13248="","",'Master Barang'!A42)</f>
        <v>0</v>
      </c>
      <c r="O13248">
        <f>IF(N13248="","",'Master Barang'!B42)</f>
        <v>0</v>
      </c>
      <c r="P13248">
        <f>IF(OR(M13248="",N13248=""),"",SUMIFS('Barang Keluar'!$E:$E,'Barang Keluar'!$A:$A,M13248,'Barang Keluar'!$C:$C,N13248))</f>
        <v>0</v>
      </c>
    </row>
    <row r="13249" spans="13:16">
      <c r="M13249" s="49">
        <f>IF($A$4+132&gt;$B$4,"",$A$4+132)</f>
        <v>46155</v>
      </c>
      <c r="N13249">
        <f>IF(M13249="","",'Master Barang'!A43)</f>
        <v>0</v>
      </c>
      <c r="O13249">
        <f>IF(N13249="","",'Master Barang'!B43)</f>
        <v>0</v>
      </c>
      <c r="P13249">
        <f>IF(OR(M13249="",N13249=""),"",SUMIFS('Barang Keluar'!$E:$E,'Barang Keluar'!$A:$A,M13249,'Barang Keluar'!$C:$C,N13249))</f>
        <v>0</v>
      </c>
    </row>
    <row r="13250" spans="13:16">
      <c r="M13250" s="49">
        <f>IF($A$4+132&gt;$B$4,"",$A$4+132)</f>
        <v>46155</v>
      </c>
      <c r="N13250">
        <f>IF(M13250="","",'Master Barang'!A44)</f>
        <v>0</v>
      </c>
      <c r="O13250">
        <f>IF(N13250="","",'Master Barang'!B44)</f>
        <v>0</v>
      </c>
      <c r="P13250">
        <f>IF(OR(M13250="",N13250=""),"",SUMIFS('Barang Keluar'!$E:$E,'Barang Keluar'!$A:$A,M13250,'Barang Keluar'!$C:$C,N13250))</f>
        <v>0</v>
      </c>
    </row>
    <row r="13251" spans="13:16">
      <c r="M13251" s="49">
        <f>IF($A$4+132&gt;$B$4,"",$A$4+132)</f>
        <v>46155</v>
      </c>
      <c r="N13251">
        <f>IF(M13251="","",'Master Barang'!A45)</f>
        <v>0</v>
      </c>
      <c r="O13251">
        <f>IF(N13251="","",'Master Barang'!B45)</f>
        <v>0</v>
      </c>
      <c r="P13251">
        <f>IF(OR(M13251="",N13251=""),"",SUMIFS('Barang Keluar'!$E:$E,'Barang Keluar'!$A:$A,M13251,'Barang Keluar'!$C:$C,N13251))</f>
        <v>0</v>
      </c>
    </row>
    <row r="13252" spans="13:16">
      <c r="M13252" s="49">
        <f>IF($A$4+132&gt;$B$4,"",$A$4+132)</f>
        <v>46155</v>
      </c>
      <c r="N13252">
        <f>IF(M13252="","",'Master Barang'!A46)</f>
        <v>0</v>
      </c>
      <c r="O13252">
        <f>IF(N13252="","",'Master Barang'!B46)</f>
        <v>0</v>
      </c>
      <c r="P13252">
        <f>IF(OR(M13252="",N13252=""),"",SUMIFS('Barang Keluar'!$E:$E,'Barang Keluar'!$A:$A,M13252,'Barang Keluar'!$C:$C,N13252))</f>
        <v>0</v>
      </c>
    </row>
    <row r="13253" spans="13:16">
      <c r="M13253" s="49">
        <f>IF($A$4+132&gt;$B$4,"",$A$4+132)</f>
        <v>46155</v>
      </c>
      <c r="N13253">
        <f>IF(M13253="","",'Master Barang'!A47)</f>
        <v>0</v>
      </c>
      <c r="O13253">
        <f>IF(N13253="","",'Master Barang'!B47)</f>
        <v>0</v>
      </c>
      <c r="P13253">
        <f>IF(OR(M13253="",N13253=""),"",SUMIFS('Barang Keluar'!$E:$E,'Barang Keluar'!$A:$A,M13253,'Barang Keluar'!$C:$C,N13253))</f>
        <v>0</v>
      </c>
    </row>
    <row r="13254" spans="13:16">
      <c r="M13254" s="49">
        <f>IF($A$4+132&gt;$B$4,"",$A$4+132)</f>
        <v>46155</v>
      </c>
      <c r="N13254">
        <f>IF(M13254="","",'Master Barang'!A48)</f>
        <v>0</v>
      </c>
      <c r="O13254">
        <f>IF(N13254="","",'Master Barang'!B48)</f>
        <v>0</v>
      </c>
      <c r="P13254">
        <f>IF(OR(M13254="",N13254=""),"",SUMIFS('Barang Keluar'!$E:$E,'Barang Keluar'!$A:$A,M13254,'Barang Keluar'!$C:$C,N13254))</f>
        <v>0</v>
      </c>
    </row>
    <row r="13255" spans="13:16">
      <c r="M13255" s="49">
        <f>IF($A$4+132&gt;$B$4,"",$A$4+132)</f>
        <v>46155</v>
      </c>
      <c r="N13255">
        <f>IF(M13255="","",'Master Barang'!A49)</f>
        <v>0</v>
      </c>
      <c r="O13255">
        <f>IF(N13255="","",'Master Barang'!B49)</f>
        <v>0</v>
      </c>
      <c r="P13255">
        <f>IF(OR(M13255="",N13255=""),"",SUMIFS('Barang Keluar'!$E:$E,'Barang Keluar'!$A:$A,M13255,'Barang Keluar'!$C:$C,N13255))</f>
        <v>0</v>
      </c>
    </row>
    <row r="13256" spans="13:16">
      <c r="M13256" s="49">
        <f>IF($A$4+132&gt;$B$4,"",$A$4+132)</f>
        <v>46155</v>
      </c>
      <c r="N13256">
        <f>IF(M13256="","",'Master Barang'!A50)</f>
        <v>0</v>
      </c>
      <c r="O13256">
        <f>IF(N13256="","",'Master Barang'!B50)</f>
        <v>0</v>
      </c>
      <c r="P13256">
        <f>IF(OR(M13256="",N13256=""),"",SUMIFS('Barang Keluar'!$E:$E,'Barang Keluar'!$A:$A,M13256,'Barang Keluar'!$C:$C,N13256))</f>
        <v>0</v>
      </c>
    </row>
    <row r="13257" spans="13:16">
      <c r="M13257" s="49">
        <f>IF($A$4+132&gt;$B$4,"",$A$4+132)</f>
        <v>46155</v>
      </c>
      <c r="N13257">
        <f>IF(M13257="","",'Master Barang'!A51)</f>
        <v>0</v>
      </c>
      <c r="O13257">
        <f>IF(N13257="","",'Master Barang'!B51)</f>
        <v>0</v>
      </c>
      <c r="P13257">
        <f>IF(OR(M13257="",N13257=""),"",SUMIFS('Barang Keluar'!$E:$E,'Barang Keluar'!$A:$A,M13257,'Barang Keluar'!$C:$C,N13257))</f>
        <v>0</v>
      </c>
    </row>
    <row r="13258" spans="13:16">
      <c r="M13258" s="49">
        <f>IF($A$4+132&gt;$B$4,"",$A$4+132)</f>
        <v>46155</v>
      </c>
      <c r="N13258">
        <f>IF(M13258="","",'Master Barang'!A52)</f>
        <v>0</v>
      </c>
      <c r="O13258">
        <f>IF(N13258="","",'Master Barang'!B52)</f>
        <v>0</v>
      </c>
      <c r="P13258">
        <f>IF(OR(M13258="",N13258=""),"",SUMIFS('Barang Keluar'!$E:$E,'Barang Keluar'!$A:$A,M13258,'Barang Keluar'!$C:$C,N13258))</f>
        <v>0</v>
      </c>
    </row>
    <row r="13259" spans="13:16">
      <c r="M13259" s="49">
        <f>IF($A$4+132&gt;$B$4,"",$A$4+132)</f>
        <v>46155</v>
      </c>
      <c r="N13259">
        <f>IF(M13259="","",'Master Barang'!A53)</f>
        <v>0</v>
      </c>
      <c r="O13259">
        <f>IF(N13259="","",'Master Barang'!B53)</f>
        <v>0</v>
      </c>
      <c r="P13259">
        <f>IF(OR(M13259="",N13259=""),"",SUMIFS('Barang Keluar'!$E:$E,'Barang Keluar'!$A:$A,M13259,'Barang Keluar'!$C:$C,N13259))</f>
        <v>0</v>
      </c>
    </row>
    <row r="13260" spans="13:16">
      <c r="M13260" s="49">
        <f>IF($A$4+132&gt;$B$4,"",$A$4+132)</f>
        <v>46155</v>
      </c>
      <c r="N13260">
        <f>IF(M13260="","",'Master Barang'!A54)</f>
        <v>0</v>
      </c>
      <c r="O13260">
        <f>IF(N13260="","",'Master Barang'!B54)</f>
        <v>0</v>
      </c>
      <c r="P13260">
        <f>IF(OR(M13260="",N13260=""),"",SUMIFS('Barang Keluar'!$E:$E,'Barang Keluar'!$A:$A,M13260,'Barang Keluar'!$C:$C,N13260))</f>
        <v>0</v>
      </c>
    </row>
    <row r="13261" spans="13:16">
      <c r="M13261" s="49">
        <f>IF($A$4+132&gt;$B$4,"",$A$4+132)</f>
        <v>46155</v>
      </c>
      <c r="N13261">
        <f>IF(M13261="","",'Master Barang'!A55)</f>
        <v>0</v>
      </c>
      <c r="O13261">
        <f>IF(N13261="","",'Master Barang'!B55)</f>
        <v>0</v>
      </c>
      <c r="P13261">
        <f>IF(OR(M13261="",N13261=""),"",SUMIFS('Barang Keluar'!$E:$E,'Barang Keluar'!$A:$A,M13261,'Barang Keluar'!$C:$C,N13261))</f>
        <v>0</v>
      </c>
    </row>
    <row r="13262" spans="13:16">
      <c r="M13262" s="49">
        <f>IF($A$4+132&gt;$B$4,"",$A$4+132)</f>
        <v>46155</v>
      </c>
      <c r="N13262">
        <f>IF(M13262="","",'Master Barang'!A56)</f>
        <v>0</v>
      </c>
      <c r="O13262">
        <f>IF(N13262="","",'Master Barang'!B56)</f>
        <v>0</v>
      </c>
      <c r="P13262">
        <f>IF(OR(M13262="",N13262=""),"",SUMIFS('Barang Keluar'!$E:$E,'Barang Keluar'!$A:$A,M13262,'Barang Keluar'!$C:$C,N13262))</f>
        <v>0</v>
      </c>
    </row>
    <row r="13263" spans="13:16">
      <c r="M13263" s="49">
        <f>IF($A$4+132&gt;$B$4,"",$A$4+132)</f>
        <v>46155</v>
      </c>
      <c r="N13263">
        <f>IF(M13263="","",'Master Barang'!A57)</f>
        <v>0</v>
      </c>
      <c r="O13263">
        <f>IF(N13263="","",'Master Barang'!B57)</f>
        <v>0</v>
      </c>
      <c r="P13263">
        <f>IF(OR(M13263="",N13263=""),"",SUMIFS('Barang Keluar'!$E:$E,'Barang Keluar'!$A:$A,M13263,'Barang Keluar'!$C:$C,N13263))</f>
        <v>0</v>
      </c>
    </row>
    <row r="13264" spans="13:16">
      <c r="M13264" s="49">
        <f>IF($A$4+132&gt;$B$4,"",$A$4+132)</f>
        <v>46155</v>
      </c>
      <c r="N13264">
        <f>IF(M13264="","",'Master Barang'!A58)</f>
        <v>0</v>
      </c>
      <c r="O13264">
        <f>IF(N13264="","",'Master Barang'!B58)</f>
        <v>0</v>
      </c>
      <c r="P13264">
        <f>IF(OR(M13264="",N13264=""),"",SUMIFS('Barang Keluar'!$E:$E,'Barang Keluar'!$A:$A,M13264,'Barang Keluar'!$C:$C,N13264))</f>
        <v>0</v>
      </c>
    </row>
    <row r="13265" spans="13:16">
      <c r="M13265" s="49">
        <f>IF($A$4+132&gt;$B$4,"",$A$4+132)</f>
        <v>46155</v>
      </c>
      <c r="N13265">
        <f>IF(M13265="","",'Master Barang'!A59)</f>
        <v>0</v>
      </c>
      <c r="O13265">
        <f>IF(N13265="","",'Master Barang'!B59)</f>
        <v>0</v>
      </c>
      <c r="P13265">
        <f>IF(OR(M13265="",N13265=""),"",SUMIFS('Barang Keluar'!$E:$E,'Barang Keluar'!$A:$A,M13265,'Barang Keluar'!$C:$C,N13265))</f>
        <v>0</v>
      </c>
    </row>
    <row r="13266" spans="13:16">
      <c r="M13266" s="49">
        <f>IF($A$4+132&gt;$B$4,"",$A$4+132)</f>
        <v>46155</v>
      </c>
      <c r="N13266">
        <f>IF(M13266="","",'Master Barang'!A60)</f>
        <v>0</v>
      </c>
      <c r="O13266">
        <f>IF(N13266="","",'Master Barang'!B60)</f>
        <v>0</v>
      </c>
      <c r="P13266">
        <f>IF(OR(M13266="",N13266=""),"",SUMIFS('Barang Keluar'!$E:$E,'Barang Keluar'!$A:$A,M13266,'Barang Keluar'!$C:$C,N13266))</f>
        <v>0</v>
      </c>
    </row>
    <row r="13267" spans="13:16">
      <c r="M13267" s="49">
        <f>IF($A$4+132&gt;$B$4,"",$A$4+132)</f>
        <v>46155</v>
      </c>
      <c r="N13267">
        <f>IF(M13267="","",'Master Barang'!A61)</f>
        <v>0</v>
      </c>
      <c r="O13267">
        <f>IF(N13267="","",'Master Barang'!B61)</f>
        <v>0</v>
      </c>
      <c r="P13267">
        <f>IF(OR(M13267="",N13267=""),"",SUMIFS('Barang Keluar'!$E:$E,'Barang Keluar'!$A:$A,M13267,'Barang Keluar'!$C:$C,N13267))</f>
        <v>0</v>
      </c>
    </row>
    <row r="13268" spans="13:16">
      <c r="M13268" s="49">
        <f>IF($A$4+132&gt;$B$4,"",$A$4+132)</f>
        <v>46155</v>
      </c>
      <c r="N13268">
        <f>IF(M13268="","",'Master Barang'!A62)</f>
        <v>0</v>
      </c>
      <c r="O13268">
        <f>IF(N13268="","",'Master Barang'!B62)</f>
        <v>0</v>
      </c>
      <c r="P13268">
        <f>IF(OR(M13268="",N13268=""),"",SUMIFS('Barang Keluar'!$E:$E,'Barang Keluar'!$A:$A,M13268,'Barang Keluar'!$C:$C,N13268))</f>
        <v>0</v>
      </c>
    </row>
    <row r="13269" spans="13:16">
      <c r="M13269" s="49">
        <f>IF($A$4+132&gt;$B$4,"",$A$4+132)</f>
        <v>46155</v>
      </c>
      <c r="N13269">
        <f>IF(M13269="","",'Master Barang'!A63)</f>
        <v>0</v>
      </c>
      <c r="O13269">
        <f>IF(N13269="","",'Master Barang'!B63)</f>
        <v>0</v>
      </c>
      <c r="P13269">
        <f>IF(OR(M13269="",N13269=""),"",SUMIFS('Barang Keluar'!$E:$E,'Barang Keluar'!$A:$A,M13269,'Barang Keluar'!$C:$C,N13269))</f>
        <v>0</v>
      </c>
    </row>
    <row r="13270" spans="13:16">
      <c r="M13270" s="49">
        <f>IF($A$4+132&gt;$B$4,"",$A$4+132)</f>
        <v>46155</v>
      </c>
      <c r="N13270">
        <f>IF(M13270="","",'Master Barang'!A64)</f>
        <v>0</v>
      </c>
      <c r="O13270">
        <f>IF(N13270="","",'Master Barang'!B64)</f>
        <v>0</v>
      </c>
      <c r="P13270">
        <f>IF(OR(M13270="",N13270=""),"",SUMIFS('Barang Keluar'!$E:$E,'Barang Keluar'!$A:$A,M13270,'Barang Keluar'!$C:$C,N13270))</f>
        <v>0</v>
      </c>
    </row>
    <row r="13271" spans="13:16">
      <c r="M13271" s="49">
        <f>IF($A$4+132&gt;$B$4,"",$A$4+132)</f>
        <v>46155</v>
      </c>
      <c r="N13271">
        <f>IF(M13271="","",'Master Barang'!A65)</f>
        <v>0</v>
      </c>
      <c r="O13271">
        <f>IF(N13271="","",'Master Barang'!B65)</f>
        <v>0</v>
      </c>
      <c r="P13271">
        <f>IF(OR(M13271="",N13271=""),"",SUMIFS('Barang Keluar'!$E:$E,'Barang Keluar'!$A:$A,M13271,'Barang Keluar'!$C:$C,N13271))</f>
        <v>0</v>
      </c>
    </row>
    <row r="13272" spans="13:16">
      <c r="M13272" s="49">
        <f>IF($A$4+132&gt;$B$4,"",$A$4+132)</f>
        <v>46155</v>
      </c>
      <c r="N13272">
        <f>IF(M13272="","",'Master Barang'!A66)</f>
        <v>0</v>
      </c>
      <c r="O13272">
        <f>IF(N13272="","",'Master Barang'!B66)</f>
        <v>0</v>
      </c>
      <c r="P13272">
        <f>IF(OR(M13272="",N13272=""),"",SUMIFS('Barang Keluar'!$E:$E,'Barang Keluar'!$A:$A,M13272,'Barang Keluar'!$C:$C,N13272))</f>
        <v>0</v>
      </c>
    </row>
    <row r="13273" spans="13:16">
      <c r="M13273" s="49">
        <f>IF($A$4+132&gt;$B$4,"",$A$4+132)</f>
        <v>46155</v>
      </c>
      <c r="N13273">
        <f>IF(M13273="","",'Master Barang'!A67)</f>
        <v>0</v>
      </c>
      <c r="O13273">
        <f>IF(N13273="","",'Master Barang'!B67)</f>
        <v>0</v>
      </c>
      <c r="P13273">
        <f>IF(OR(M13273="",N13273=""),"",SUMIFS('Barang Keluar'!$E:$E,'Barang Keluar'!$A:$A,M13273,'Barang Keluar'!$C:$C,N13273))</f>
        <v>0</v>
      </c>
    </row>
    <row r="13274" spans="13:16">
      <c r="M13274" s="49">
        <f>IF($A$4+132&gt;$B$4,"",$A$4+132)</f>
        <v>46155</v>
      </c>
      <c r="N13274">
        <f>IF(M13274="","",'Master Barang'!A68)</f>
        <v>0</v>
      </c>
      <c r="O13274">
        <f>IF(N13274="","",'Master Barang'!B68)</f>
        <v>0</v>
      </c>
      <c r="P13274">
        <f>IF(OR(M13274="",N13274=""),"",SUMIFS('Barang Keluar'!$E:$E,'Barang Keluar'!$A:$A,M13274,'Barang Keluar'!$C:$C,N13274))</f>
        <v>0</v>
      </c>
    </row>
    <row r="13275" spans="13:16">
      <c r="M13275" s="49">
        <f>IF($A$4+132&gt;$B$4,"",$A$4+132)</f>
        <v>46155</v>
      </c>
      <c r="N13275">
        <f>IF(M13275="","",'Master Barang'!A69)</f>
        <v>0</v>
      </c>
      <c r="O13275">
        <f>IF(N13275="","",'Master Barang'!B69)</f>
        <v>0</v>
      </c>
      <c r="P13275">
        <f>IF(OR(M13275="",N13275=""),"",SUMIFS('Barang Keluar'!$E:$E,'Barang Keluar'!$A:$A,M13275,'Barang Keluar'!$C:$C,N13275))</f>
        <v>0</v>
      </c>
    </row>
    <row r="13276" spans="13:16">
      <c r="M13276" s="49">
        <f>IF($A$4+132&gt;$B$4,"",$A$4+132)</f>
        <v>46155</v>
      </c>
      <c r="N13276">
        <f>IF(M13276="","",'Master Barang'!A70)</f>
        <v>0</v>
      </c>
      <c r="O13276">
        <f>IF(N13276="","",'Master Barang'!B70)</f>
        <v>0</v>
      </c>
      <c r="P13276">
        <f>IF(OR(M13276="",N13276=""),"",SUMIFS('Barang Keluar'!$E:$E,'Barang Keluar'!$A:$A,M13276,'Barang Keluar'!$C:$C,N13276))</f>
        <v>0</v>
      </c>
    </row>
    <row r="13277" spans="13:16">
      <c r="M13277" s="49">
        <f>IF($A$4+132&gt;$B$4,"",$A$4+132)</f>
        <v>46155</v>
      </c>
      <c r="N13277">
        <f>IF(M13277="","",'Master Barang'!A71)</f>
        <v>0</v>
      </c>
      <c r="O13277">
        <f>IF(N13277="","",'Master Barang'!B71)</f>
        <v>0</v>
      </c>
      <c r="P13277">
        <f>IF(OR(M13277="",N13277=""),"",SUMIFS('Barang Keluar'!$E:$E,'Barang Keluar'!$A:$A,M13277,'Barang Keluar'!$C:$C,N13277))</f>
        <v>0</v>
      </c>
    </row>
    <row r="13278" spans="13:16">
      <c r="M13278" s="49">
        <f>IF($A$4+132&gt;$B$4,"",$A$4+132)</f>
        <v>46155</v>
      </c>
      <c r="N13278">
        <f>IF(M13278="","",'Master Barang'!A72)</f>
        <v>0</v>
      </c>
      <c r="O13278">
        <f>IF(N13278="","",'Master Barang'!B72)</f>
        <v>0</v>
      </c>
      <c r="P13278">
        <f>IF(OR(M13278="",N13278=""),"",SUMIFS('Barang Keluar'!$E:$E,'Barang Keluar'!$A:$A,M13278,'Barang Keluar'!$C:$C,N13278))</f>
        <v>0</v>
      </c>
    </row>
    <row r="13279" spans="13:16">
      <c r="M13279" s="49">
        <f>IF($A$4+132&gt;$B$4,"",$A$4+132)</f>
        <v>46155</v>
      </c>
      <c r="N13279">
        <f>IF(M13279="","",'Master Barang'!A73)</f>
        <v>0</v>
      </c>
      <c r="O13279">
        <f>IF(N13279="","",'Master Barang'!B73)</f>
        <v>0</v>
      </c>
      <c r="P13279">
        <f>IF(OR(M13279="",N13279=""),"",SUMIFS('Barang Keluar'!$E:$E,'Barang Keluar'!$A:$A,M13279,'Barang Keluar'!$C:$C,N13279))</f>
        <v>0</v>
      </c>
    </row>
    <row r="13280" spans="13:16">
      <c r="M13280" s="49">
        <f>IF($A$4+132&gt;$B$4,"",$A$4+132)</f>
        <v>46155</v>
      </c>
      <c r="N13280">
        <f>IF(M13280="","",'Master Barang'!A74)</f>
        <v>0</v>
      </c>
      <c r="O13280">
        <f>IF(N13280="","",'Master Barang'!B74)</f>
        <v>0</v>
      </c>
      <c r="P13280">
        <f>IF(OR(M13280="",N13280=""),"",SUMIFS('Barang Keluar'!$E:$E,'Barang Keluar'!$A:$A,M13280,'Barang Keluar'!$C:$C,N13280))</f>
        <v>0</v>
      </c>
    </row>
    <row r="13281" spans="13:16">
      <c r="M13281" s="49">
        <f>IF($A$4+132&gt;$B$4,"",$A$4+132)</f>
        <v>46155</v>
      </c>
      <c r="N13281">
        <f>IF(M13281="","",'Master Barang'!A75)</f>
        <v>0</v>
      </c>
      <c r="O13281">
        <f>IF(N13281="","",'Master Barang'!B75)</f>
        <v>0</v>
      </c>
      <c r="P13281">
        <f>IF(OR(M13281="",N13281=""),"",SUMIFS('Barang Keluar'!$E:$E,'Barang Keluar'!$A:$A,M13281,'Barang Keluar'!$C:$C,N13281))</f>
        <v>0</v>
      </c>
    </row>
    <row r="13282" spans="13:16">
      <c r="M13282" s="49">
        <f>IF($A$4+132&gt;$B$4,"",$A$4+132)</f>
        <v>46155</v>
      </c>
      <c r="N13282">
        <f>IF(M13282="","",'Master Barang'!A76)</f>
        <v>0</v>
      </c>
      <c r="O13282">
        <f>IF(N13282="","",'Master Barang'!B76)</f>
        <v>0</v>
      </c>
      <c r="P13282">
        <f>IF(OR(M13282="",N13282=""),"",SUMIFS('Barang Keluar'!$E:$E,'Barang Keluar'!$A:$A,M13282,'Barang Keluar'!$C:$C,N13282))</f>
        <v>0</v>
      </c>
    </row>
    <row r="13283" spans="13:16">
      <c r="M13283" s="49">
        <f>IF($A$4+132&gt;$B$4,"",$A$4+132)</f>
        <v>46155</v>
      </c>
      <c r="N13283">
        <f>IF(M13283="","",'Master Barang'!A77)</f>
        <v>0</v>
      </c>
      <c r="O13283">
        <f>IF(N13283="","",'Master Barang'!B77)</f>
        <v>0</v>
      </c>
      <c r="P13283">
        <f>IF(OR(M13283="",N13283=""),"",SUMIFS('Barang Keluar'!$E:$E,'Barang Keluar'!$A:$A,M13283,'Barang Keluar'!$C:$C,N13283))</f>
        <v>0</v>
      </c>
    </row>
    <row r="13284" spans="13:16">
      <c r="M13284" s="49">
        <f>IF($A$4+132&gt;$B$4,"",$A$4+132)</f>
        <v>46155</v>
      </c>
      <c r="N13284">
        <f>IF(M13284="","",'Master Barang'!A78)</f>
        <v>0</v>
      </c>
      <c r="O13284">
        <f>IF(N13284="","",'Master Barang'!B78)</f>
        <v>0</v>
      </c>
      <c r="P13284">
        <f>IF(OR(M13284="",N13284=""),"",SUMIFS('Barang Keluar'!$E:$E,'Barang Keluar'!$A:$A,M13284,'Barang Keluar'!$C:$C,N13284))</f>
        <v>0</v>
      </c>
    </row>
    <row r="13285" spans="13:16">
      <c r="M13285" s="49">
        <f>IF($A$4+132&gt;$B$4,"",$A$4+132)</f>
        <v>46155</v>
      </c>
      <c r="N13285">
        <f>IF(M13285="","",'Master Barang'!A79)</f>
        <v>0</v>
      </c>
      <c r="O13285">
        <f>IF(N13285="","",'Master Barang'!B79)</f>
        <v>0</v>
      </c>
      <c r="P13285">
        <f>IF(OR(M13285="",N13285=""),"",SUMIFS('Barang Keluar'!$E:$E,'Barang Keluar'!$A:$A,M13285,'Barang Keluar'!$C:$C,N13285))</f>
        <v>0</v>
      </c>
    </row>
    <row r="13286" spans="13:16">
      <c r="M13286" s="49">
        <f>IF($A$4+132&gt;$B$4,"",$A$4+132)</f>
        <v>46155</v>
      </c>
      <c r="N13286">
        <f>IF(M13286="","",'Master Barang'!A80)</f>
        <v>0</v>
      </c>
      <c r="O13286">
        <f>IF(N13286="","",'Master Barang'!B80)</f>
        <v>0</v>
      </c>
      <c r="P13286">
        <f>IF(OR(M13286="",N13286=""),"",SUMIFS('Barang Keluar'!$E:$E,'Barang Keluar'!$A:$A,M13286,'Barang Keluar'!$C:$C,N13286))</f>
        <v>0</v>
      </c>
    </row>
    <row r="13287" spans="13:16">
      <c r="M13287" s="49">
        <f>IF($A$4+132&gt;$B$4,"",$A$4+132)</f>
        <v>46155</v>
      </c>
      <c r="N13287">
        <f>IF(M13287="","",'Master Barang'!A81)</f>
        <v>0</v>
      </c>
      <c r="O13287">
        <f>IF(N13287="","",'Master Barang'!B81)</f>
        <v>0</v>
      </c>
      <c r="P13287">
        <f>IF(OR(M13287="",N13287=""),"",SUMIFS('Barang Keluar'!$E:$E,'Barang Keluar'!$A:$A,M13287,'Barang Keluar'!$C:$C,N13287))</f>
        <v>0</v>
      </c>
    </row>
    <row r="13288" spans="13:16">
      <c r="M13288" s="49">
        <f>IF($A$4+132&gt;$B$4,"",$A$4+132)</f>
        <v>46155</v>
      </c>
      <c r="N13288">
        <f>IF(M13288="","",'Master Barang'!A82)</f>
        <v>0</v>
      </c>
      <c r="O13288">
        <f>IF(N13288="","",'Master Barang'!B82)</f>
        <v>0</v>
      </c>
      <c r="P13288">
        <f>IF(OR(M13288="",N13288=""),"",SUMIFS('Barang Keluar'!$E:$E,'Barang Keluar'!$A:$A,M13288,'Barang Keluar'!$C:$C,N13288))</f>
        <v>0</v>
      </c>
    </row>
    <row r="13289" spans="13:16">
      <c r="M13289" s="49">
        <f>IF($A$4+132&gt;$B$4,"",$A$4+132)</f>
        <v>46155</v>
      </c>
      <c r="N13289">
        <f>IF(M13289="","",'Master Barang'!A83)</f>
        <v>0</v>
      </c>
      <c r="O13289">
        <f>IF(N13289="","",'Master Barang'!B83)</f>
        <v>0</v>
      </c>
      <c r="P13289">
        <f>IF(OR(M13289="",N13289=""),"",SUMIFS('Barang Keluar'!$E:$E,'Barang Keluar'!$A:$A,M13289,'Barang Keluar'!$C:$C,N13289))</f>
        <v>0</v>
      </c>
    </row>
    <row r="13290" spans="13:16">
      <c r="M13290" s="49">
        <f>IF($A$4+132&gt;$B$4,"",$A$4+132)</f>
        <v>46155</v>
      </c>
      <c r="N13290">
        <f>IF(M13290="","",'Master Barang'!A84)</f>
        <v>0</v>
      </c>
      <c r="O13290">
        <f>IF(N13290="","",'Master Barang'!B84)</f>
        <v>0</v>
      </c>
      <c r="P13290">
        <f>IF(OR(M13290="",N13290=""),"",SUMIFS('Barang Keluar'!$E:$E,'Barang Keluar'!$A:$A,M13290,'Barang Keluar'!$C:$C,N13290))</f>
        <v>0</v>
      </c>
    </row>
    <row r="13291" spans="13:16">
      <c r="M13291" s="49">
        <f>IF($A$4+132&gt;$B$4,"",$A$4+132)</f>
        <v>46155</v>
      </c>
      <c r="N13291">
        <f>IF(M13291="","",'Master Barang'!A85)</f>
        <v>0</v>
      </c>
      <c r="O13291">
        <f>IF(N13291="","",'Master Barang'!B85)</f>
        <v>0</v>
      </c>
      <c r="P13291">
        <f>IF(OR(M13291="",N13291=""),"",SUMIFS('Barang Keluar'!$E:$E,'Barang Keluar'!$A:$A,M13291,'Barang Keluar'!$C:$C,N13291))</f>
        <v>0</v>
      </c>
    </row>
    <row r="13292" spans="13:16">
      <c r="M13292" s="49">
        <f>IF($A$4+132&gt;$B$4,"",$A$4+132)</f>
        <v>46155</v>
      </c>
      <c r="N13292">
        <f>IF(M13292="","",'Master Barang'!A86)</f>
        <v>0</v>
      </c>
      <c r="O13292">
        <f>IF(N13292="","",'Master Barang'!B86)</f>
        <v>0</v>
      </c>
      <c r="P13292">
        <f>IF(OR(M13292="",N13292=""),"",SUMIFS('Barang Keluar'!$E:$E,'Barang Keluar'!$A:$A,M13292,'Barang Keluar'!$C:$C,N13292))</f>
        <v>0</v>
      </c>
    </row>
    <row r="13293" spans="13:16">
      <c r="M13293" s="49">
        <f>IF($A$4+132&gt;$B$4,"",$A$4+132)</f>
        <v>46155</v>
      </c>
      <c r="N13293">
        <f>IF(M13293="","",'Master Barang'!A87)</f>
        <v>0</v>
      </c>
      <c r="O13293">
        <f>IF(N13293="","",'Master Barang'!B87)</f>
        <v>0</v>
      </c>
      <c r="P13293">
        <f>IF(OR(M13293="",N13293=""),"",SUMIFS('Barang Keluar'!$E:$E,'Barang Keluar'!$A:$A,M13293,'Barang Keluar'!$C:$C,N13293))</f>
        <v>0</v>
      </c>
    </row>
    <row r="13294" spans="13:16">
      <c r="M13294" s="49">
        <f>IF($A$4+132&gt;$B$4,"",$A$4+132)</f>
        <v>46155</v>
      </c>
      <c r="N13294">
        <f>IF(M13294="","",'Master Barang'!A88)</f>
        <v>0</v>
      </c>
      <c r="O13294">
        <f>IF(N13294="","",'Master Barang'!B88)</f>
        <v>0</v>
      </c>
      <c r="P13294">
        <f>IF(OR(M13294="",N13294=""),"",SUMIFS('Barang Keluar'!$E:$E,'Barang Keluar'!$A:$A,M13294,'Barang Keluar'!$C:$C,N13294))</f>
        <v>0</v>
      </c>
    </row>
    <row r="13295" spans="13:16">
      <c r="M13295" s="49">
        <f>IF($A$4+132&gt;$B$4,"",$A$4+132)</f>
        <v>46155</v>
      </c>
      <c r="N13295">
        <f>IF(M13295="","",'Master Barang'!A89)</f>
        <v>0</v>
      </c>
      <c r="O13295">
        <f>IF(N13295="","",'Master Barang'!B89)</f>
        <v>0</v>
      </c>
      <c r="P13295">
        <f>IF(OR(M13295="",N13295=""),"",SUMIFS('Barang Keluar'!$E:$E,'Barang Keluar'!$A:$A,M13295,'Barang Keluar'!$C:$C,N13295))</f>
        <v>0</v>
      </c>
    </row>
    <row r="13296" spans="13:16">
      <c r="M13296" s="49">
        <f>IF($A$4+132&gt;$B$4,"",$A$4+132)</f>
        <v>46155</v>
      </c>
      <c r="N13296">
        <f>IF(M13296="","",'Master Barang'!A90)</f>
        <v>0</v>
      </c>
      <c r="O13296">
        <f>IF(N13296="","",'Master Barang'!B90)</f>
        <v>0</v>
      </c>
      <c r="P13296">
        <f>IF(OR(M13296="",N13296=""),"",SUMIFS('Barang Keluar'!$E:$E,'Barang Keluar'!$A:$A,M13296,'Barang Keluar'!$C:$C,N13296))</f>
        <v>0</v>
      </c>
    </row>
    <row r="13297" spans="13:16">
      <c r="M13297" s="49">
        <f>IF($A$4+132&gt;$B$4,"",$A$4+132)</f>
        <v>46155</v>
      </c>
      <c r="N13297">
        <f>IF(M13297="","",'Master Barang'!A91)</f>
        <v>0</v>
      </c>
      <c r="O13297">
        <f>IF(N13297="","",'Master Barang'!B91)</f>
        <v>0</v>
      </c>
      <c r="P13297">
        <f>IF(OR(M13297="",N13297=""),"",SUMIFS('Barang Keluar'!$E:$E,'Barang Keluar'!$A:$A,M13297,'Barang Keluar'!$C:$C,N13297))</f>
        <v>0</v>
      </c>
    </row>
    <row r="13298" spans="13:16">
      <c r="M13298" s="49">
        <f>IF($A$4+132&gt;$B$4,"",$A$4+132)</f>
        <v>46155</v>
      </c>
      <c r="N13298">
        <f>IF(M13298="","",'Master Barang'!A92)</f>
        <v>0</v>
      </c>
      <c r="O13298">
        <f>IF(N13298="","",'Master Barang'!B92)</f>
        <v>0</v>
      </c>
      <c r="P13298">
        <f>IF(OR(M13298="",N13298=""),"",SUMIFS('Barang Keluar'!$E:$E,'Barang Keluar'!$A:$A,M13298,'Barang Keluar'!$C:$C,N13298))</f>
        <v>0</v>
      </c>
    </row>
    <row r="13299" spans="13:16">
      <c r="M13299" s="49">
        <f>IF($A$4+132&gt;$B$4,"",$A$4+132)</f>
        <v>46155</v>
      </c>
      <c r="N13299">
        <f>IF(M13299="","",'Master Barang'!A93)</f>
        <v>0</v>
      </c>
      <c r="O13299">
        <f>IF(N13299="","",'Master Barang'!B93)</f>
        <v>0</v>
      </c>
      <c r="P13299">
        <f>IF(OR(M13299="",N13299=""),"",SUMIFS('Barang Keluar'!$E:$E,'Barang Keluar'!$A:$A,M13299,'Barang Keluar'!$C:$C,N13299))</f>
        <v>0</v>
      </c>
    </row>
    <row r="13300" spans="13:16">
      <c r="M13300" s="49">
        <f>IF($A$4+132&gt;$B$4,"",$A$4+132)</f>
        <v>46155</v>
      </c>
      <c r="N13300">
        <f>IF(M13300="","",'Master Barang'!A94)</f>
        <v>0</v>
      </c>
      <c r="O13300">
        <f>IF(N13300="","",'Master Barang'!B94)</f>
        <v>0</v>
      </c>
      <c r="P13300">
        <f>IF(OR(M13300="",N13300=""),"",SUMIFS('Barang Keluar'!$E:$E,'Barang Keluar'!$A:$A,M13300,'Barang Keluar'!$C:$C,N13300))</f>
        <v>0</v>
      </c>
    </row>
    <row r="13301" spans="13:16">
      <c r="M13301" s="49">
        <f>IF($A$4+132&gt;$B$4,"",$A$4+132)</f>
        <v>46155</v>
      </c>
      <c r="N13301">
        <f>IF(M13301="","",'Master Barang'!A95)</f>
        <v>0</v>
      </c>
      <c r="O13301">
        <f>IF(N13301="","",'Master Barang'!B95)</f>
        <v>0</v>
      </c>
      <c r="P13301">
        <f>IF(OR(M13301="",N13301=""),"",SUMIFS('Barang Keluar'!$E:$E,'Barang Keluar'!$A:$A,M13301,'Barang Keluar'!$C:$C,N13301))</f>
        <v>0</v>
      </c>
    </row>
    <row r="13302" spans="13:16">
      <c r="M13302" s="49">
        <f>IF($A$4+132&gt;$B$4,"",$A$4+132)</f>
        <v>46155</v>
      </c>
      <c r="N13302">
        <f>IF(M13302="","",'Master Barang'!A96)</f>
        <v>0</v>
      </c>
      <c r="O13302">
        <f>IF(N13302="","",'Master Barang'!B96)</f>
        <v>0</v>
      </c>
      <c r="P13302">
        <f>IF(OR(M13302="",N13302=""),"",SUMIFS('Barang Keluar'!$E:$E,'Barang Keluar'!$A:$A,M13302,'Barang Keluar'!$C:$C,N13302))</f>
        <v>0</v>
      </c>
    </row>
    <row r="13303" spans="13:16">
      <c r="M13303" s="49">
        <f>IF($A$4+132&gt;$B$4,"",$A$4+132)</f>
        <v>46155</v>
      </c>
      <c r="N13303">
        <f>IF(M13303="","",'Master Barang'!A97)</f>
        <v>0</v>
      </c>
      <c r="O13303">
        <f>IF(N13303="","",'Master Barang'!B97)</f>
        <v>0</v>
      </c>
      <c r="P13303">
        <f>IF(OR(M13303="",N13303=""),"",SUMIFS('Barang Keluar'!$E:$E,'Barang Keluar'!$A:$A,M13303,'Barang Keluar'!$C:$C,N13303))</f>
        <v>0</v>
      </c>
    </row>
    <row r="13304" spans="13:16">
      <c r="M13304" s="49">
        <f>IF($A$4+132&gt;$B$4,"",$A$4+132)</f>
        <v>46155</v>
      </c>
      <c r="N13304">
        <f>IF(M13304="","",'Master Barang'!A98)</f>
        <v>0</v>
      </c>
      <c r="O13304">
        <f>IF(N13304="","",'Master Barang'!B98)</f>
        <v>0</v>
      </c>
      <c r="P13304">
        <f>IF(OR(M13304="",N13304=""),"",SUMIFS('Barang Keluar'!$E:$E,'Barang Keluar'!$A:$A,M13304,'Barang Keluar'!$C:$C,N13304))</f>
        <v>0</v>
      </c>
    </row>
    <row r="13305" spans="13:16">
      <c r="M13305" s="49">
        <f>IF($A$4+132&gt;$B$4,"",$A$4+132)</f>
        <v>46155</v>
      </c>
      <c r="N13305">
        <f>IF(M13305="","",'Master Barang'!A99)</f>
        <v>0</v>
      </c>
      <c r="O13305">
        <f>IF(N13305="","",'Master Barang'!B99)</f>
        <v>0</v>
      </c>
      <c r="P13305">
        <f>IF(OR(M13305="",N13305=""),"",SUMIFS('Barang Keluar'!$E:$E,'Barang Keluar'!$A:$A,M13305,'Barang Keluar'!$C:$C,N13305))</f>
        <v>0</v>
      </c>
    </row>
    <row r="13306" spans="13:16">
      <c r="M13306" s="49">
        <f>IF($A$4+132&gt;$B$4,"",$A$4+132)</f>
        <v>46155</v>
      </c>
      <c r="N13306">
        <f>IF(M13306="","",'Master Barang'!A100)</f>
        <v>0</v>
      </c>
      <c r="O13306">
        <f>IF(N13306="","",'Master Barang'!B100)</f>
        <v>0</v>
      </c>
      <c r="P13306">
        <f>IF(OR(M13306="",N13306=""),"",SUMIFS('Barang Keluar'!$E:$E,'Barang Keluar'!$A:$A,M13306,'Barang Keluar'!$C:$C,N13306))</f>
        <v>0</v>
      </c>
    </row>
    <row r="13307" spans="13:16">
      <c r="M13307" s="49">
        <f>IF($A$4+132&gt;$B$4,"",$A$4+132)</f>
        <v>46155</v>
      </c>
      <c r="N13307">
        <f>IF(M13307="","",'Master Barang'!A101)</f>
        <v>0</v>
      </c>
      <c r="O13307">
        <f>IF(N13307="","",'Master Barang'!B101)</f>
        <v>0</v>
      </c>
      <c r="P13307">
        <f>IF(OR(M13307="",N13307=""),"",SUMIFS('Barang Keluar'!$E:$E,'Barang Keluar'!$A:$A,M13307,'Barang Keluar'!$C:$C,N13307))</f>
        <v>0</v>
      </c>
    </row>
    <row r="13308" spans="13:16">
      <c r="M13308" s="49">
        <f>IF($A$4+133&gt;$B$4,"",$A$4+133)</f>
        <v>46156</v>
      </c>
      <c r="N13308" t="str">
        <f>IF(M13308="","",'Master Barang'!A2)</f>
        <v>PRL-001</v>
      </c>
      <c r="O13308" t="str">
        <f>IF(N13308="","",'Master Barang'!B2)</f>
        <v>natura desinfectant food grade 5l</v>
      </c>
      <c r="P13308">
        <f>IF(OR(M13308="",N13308=""),"",SUMIFS('Barang Keluar'!$E:$E,'Barang Keluar'!$A:$A,M13308,'Barang Keluar'!$C:$C,N13308))</f>
        <v>0</v>
      </c>
    </row>
    <row r="13309" spans="13:16">
      <c r="M13309" s="49">
        <f>IF($A$4+133&gt;$B$4,"",$A$4+133)</f>
        <v>46156</v>
      </c>
      <c r="N13309" t="str">
        <f>IF(M13309="","",'Master Barang'!A3)</f>
        <v>PRL-002</v>
      </c>
      <c r="O13309" t="str">
        <f>IF(N13309="","",'Master Barang'!B3)</f>
        <v>sunlight cairan pencuci piring 5l</v>
      </c>
      <c r="P13309">
        <f>IF(OR(M13309="",N13309=""),"",SUMIFS('Barang Keluar'!$E:$E,'Barang Keluar'!$A:$A,M13309,'Barang Keluar'!$C:$C,N13309))</f>
        <v>0</v>
      </c>
    </row>
    <row r="13310" spans="13:16">
      <c r="M13310" s="49">
        <f>IF($A$4+133&gt;$B$4,"",$A$4+133)</f>
        <v>46156</v>
      </c>
      <c r="N13310" t="str">
        <f>IF(M13310="","",'Master Barang'!A4)</f>
        <v>PRL-003</v>
      </c>
      <c r="O13310" t="str">
        <f>IF(N13310="","",'Master Barang'!B4)</f>
        <v>oixs cleaner 1l</v>
      </c>
      <c r="P13310">
        <f>IF(OR(M13310="",N13310=""),"",SUMIFS('Barang Keluar'!$E:$E,'Barang Keluar'!$A:$A,M13310,'Barang Keluar'!$C:$C,N13310))</f>
        <v>0</v>
      </c>
    </row>
    <row r="13311" spans="13:16">
      <c r="M13311" s="49">
        <f>IF($A$4+133&gt;$B$4,"",$A$4+133)</f>
        <v>46156</v>
      </c>
      <c r="N13311" t="str">
        <f>IF(M13311="","",'Master Barang'!A5)</f>
        <v>PRL-004</v>
      </c>
      <c r="O13311" t="str">
        <f>IF(N13311="","",'Master Barang'!B5)</f>
        <v>be clean tissue serbaguna</v>
      </c>
      <c r="P13311">
        <f>IF(OR(M13311="",N13311=""),"",SUMIFS('Barang Keluar'!$E:$E,'Barang Keluar'!$A:$A,M13311,'Barang Keluar'!$C:$C,N13311))</f>
        <v>0</v>
      </c>
    </row>
    <row r="13312" spans="13:16">
      <c r="M13312" s="49">
        <f>IF($A$4+133&gt;$B$4,"",$A$4+133)</f>
        <v>46156</v>
      </c>
      <c r="N13312" t="str">
        <f>IF(M13312="","",'Master Barang'!A6)</f>
        <v>PRL-005</v>
      </c>
      <c r="O13312" t="str">
        <f>IF(N13312="","",'Master Barang'!B6)</f>
        <v>spons cuci hijau</v>
      </c>
      <c r="P13312">
        <f>IF(OR(M13312="",N13312=""),"",SUMIFS('Barang Keluar'!$E:$E,'Barang Keluar'!$A:$A,M13312,'Barang Keluar'!$C:$C,N13312))</f>
        <v>0</v>
      </c>
    </row>
    <row r="13313" spans="13:16">
      <c r="M13313" s="49">
        <f>IF($A$4+133&gt;$B$4,"",$A$4+133)</f>
        <v>46156</v>
      </c>
      <c r="N13313" t="str">
        <f>IF(M13313="","",'Master Barang'!A7)</f>
        <v>PRL-006</v>
      </c>
      <c r="O13313" t="str">
        <f>IF(N13313="","",'Master Barang'!B7)</f>
        <v>sabut cuci stainless</v>
      </c>
      <c r="P13313">
        <f>IF(OR(M13313="",N13313=""),"",SUMIFS('Barang Keluar'!$E:$E,'Barang Keluar'!$A:$A,M13313,'Barang Keluar'!$C:$C,N13313))</f>
        <v>0</v>
      </c>
    </row>
    <row r="13314" spans="13:16">
      <c r="M13314" s="49">
        <f>IF($A$4+133&gt;$B$4,"",$A$4+133)</f>
        <v>46156</v>
      </c>
      <c r="N13314" t="str">
        <f>IF(M13314="","",'Master Barang'!A8)</f>
        <v>PRL-007</v>
      </c>
      <c r="O13314" t="str">
        <f>IF(N13314="","",'Master Barang'!B8)</f>
        <v>plastik kresek besar merah 50pc</v>
      </c>
      <c r="P13314">
        <f>IF(OR(M13314="",N13314=""),"",SUMIFS('Barang Keluar'!$E:$E,'Barang Keluar'!$A:$A,M13314,'Barang Keluar'!$C:$C,N13314))</f>
        <v>0</v>
      </c>
    </row>
    <row r="13315" spans="13:16">
      <c r="M13315" s="49">
        <f>IF($A$4+133&gt;$B$4,"",$A$4+133)</f>
        <v>46156</v>
      </c>
      <c r="N13315" t="str">
        <f>IF(M13315="","",'Master Barang'!A9)</f>
        <v>PRL-008</v>
      </c>
      <c r="O13315" t="str">
        <f>IF(N13315="","",'Master Barang'!B9)</f>
        <v>lap besar</v>
      </c>
      <c r="P13315">
        <f>IF(OR(M13315="",N13315=""),"",SUMIFS('Barang Keluar'!$E:$E,'Barang Keluar'!$A:$A,M13315,'Barang Keluar'!$C:$C,N13315))</f>
        <v>0</v>
      </c>
    </row>
    <row r="13316" spans="13:16">
      <c r="M13316" s="49">
        <f>IF($A$4+133&gt;$B$4,"",$A$4+133)</f>
        <v>46156</v>
      </c>
      <c r="N13316" t="str">
        <f>IF(M13316="","",'Master Barang'!A10)</f>
        <v>PRL-009</v>
      </c>
      <c r="O13316" t="str">
        <f>IF(N13316="","",'Master Barang'!B10)</f>
        <v>lap microfiber</v>
      </c>
      <c r="P13316">
        <f>IF(OR(M13316="",N13316=""),"",SUMIFS('Barang Keluar'!$E:$E,'Barang Keluar'!$A:$A,M13316,'Barang Keluar'!$C:$C,N13316))</f>
        <v>0</v>
      </c>
    </row>
    <row r="13317" spans="13:16">
      <c r="M13317" s="49">
        <f>IF($A$4+133&gt;$B$4,"",$A$4+133)</f>
        <v>46156</v>
      </c>
      <c r="N13317" t="str">
        <f>IF(M13317="","",'Master Barang'!A11)</f>
        <v>PRL-010</v>
      </c>
      <c r="O13317" t="str">
        <f>IF(N13317="","",'Master Barang'!B11)</f>
        <v>lap kecil</v>
      </c>
      <c r="P13317">
        <f>IF(OR(M13317="",N13317=""),"",SUMIFS('Barang Keluar'!$E:$E,'Barang Keluar'!$A:$A,M13317,'Barang Keluar'!$C:$C,N13317))</f>
        <v>0</v>
      </c>
    </row>
    <row r="13318" spans="13:16">
      <c r="M13318" s="49">
        <f>IF($A$4+133&gt;$B$4,"",$A$4+133)</f>
        <v>46156</v>
      </c>
      <c r="N13318" t="str">
        <f>IF(M13318="","",'Master Barang'!A12)</f>
        <v>PRL-011</v>
      </c>
      <c r="O13318" t="str">
        <f>IF(N13318="","",'Master Barang'!B12)</f>
        <v>kanebo kecil</v>
      </c>
      <c r="P13318">
        <f>IF(OR(M13318="",N13318=""),"",SUMIFS('Barang Keluar'!$E:$E,'Barang Keluar'!$A:$A,M13318,'Barang Keluar'!$C:$C,N13318))</f>
        <v>0</v>
      </c>
    </row>
    <row r="13319" spans="13:16">
      <c r="M13319" s="49">
        <f>IF($A$4+133&gt;$B$4,"",$A$4+133)</f>
        <v>46156</v>
      </c>
      <c r="N13319" t="str">
        <f>IF(M13319="","",'Master Barang'!A13)</f>
        <v>PRL-012</v>
      </c>
      <c r="O13319" t="str">
        <f>IF(N13319="","",'Master Barang'!B13)</f>
        <v>plastik 1/4kg joyoboyo 100 lembar</v>
      </c>
      <c r="P13319">
        <f>IF(OR(M13319="",N13319=""),"",SUMIFS('Barang Keluar'!$E:$E,'Barang Keluar'!$A:$A,M13319,'Barang Keluar'!$C:$C,N13319))</f>
        <v>0</v>
      </c>
    </row>
    <row r="13320" spans="13:16">
      <c r="M13320" s="49">
        <f>IF($A$4+133&gt;$B$4,"",$A$4+133)</f>
        <v>46156</v>
      </c>
      <c r="N13320" t="str">
        <f>IF(M13320="","",'Master Barang'!A14)</f>
        <v>PRL-013</v>
      </c>
      <c r="O13320" t="str">
        <f>IF(N13320="","",'Master Barang'!B14)</f>
        <v>sarung tangan plastik kaka 100 pcs</v>
      </c>
      <c r="P13320">
        <f>IF(OR(M13320="",N13320=""),"",SUMIFS('Barang Keluar'!$E:$E,'Barang Keluar'!$A:$A,M13320,'Barang Keluar'!$C:$C,N13320))</f>
        <v>0</v>
      </c>
    </row>
    <row r="13321" spans="13:16">
      <c r="M13321" s="49">
        <f>IF($A$4+133&gt;$B$4,"",$A$4+133)</f>
        <v>46156</v>
      </c>
      <c r="N13321" t="str">
        <f>IF(M13321="","",'Master Barang'!A15)</f>
        <v>PRL-014</v>
      </c>
      <c r="O13321" t="str">
        <f>IF(N13321="","",'Master Barang'!B15)</f>
        <v>optima trashbag 80x100</v>
      </c>
      <c r="P13321">
        <f>IF(OR(M13321="",N13321=""),"",SUMIFS('Barang Keluar'!$E:$E,'Barang Keluar'!$A:$A,M13321,'Barang Keluar'!$C:$C,N13321))</f>
        <v>0</v>
      </c>
    </row>
    <row r="13322" spans="13:16">
      <c r="M13322" s="49">
        <f>IF($A$4+133&gt;$B$4,"",$A$4+133)</f>
        <v>46156</v>
      </c>
      <c r="N13322" t="str">
        <f>IF(M13322="","",'Master Barang'!A16)</f>
        <v>PRL-015</v>
      </c>
      <c r="O13322" t="str">
        <f>IF(N13322="","",'Master Barang'!B16)</f>
        <v>optima trashbag 60x100</v>
      </c>
      <c r="P13322">
        <f>IF(OR(M13322="",N13322=""),"",SUMIFS('Barang Keluar'!$E:$E,'Barang Keluar'!$A:$A,M13322,'Barang Keluar'!$C:$C,N13322))</f>
        <v>0</v>
      </c>
    </row>
    <row r="13323" spans="13:16">
      <c r="M13323" s="49">
        <f>IF($A$4+133&gt;$B$4,"",$A$4+133)</f>
        <v>46156</v>
      </c>
      <c r="N13323" t="str">
        <f>IF(M13323="","",'Master Barang'!A17)</f>
        <v>PRL-016</v>
      </c>
      <c r="O13323" t="str">
        <f>IF(N13323="","",'Master Barang'!B17)</f>
        <v>rajawali trashbag 30x40</v>
      </c>
      <c r="P13323">
        <f>IF(OR(M13323="",N13323=""),"",SUMIFS('Barang Keluar'!$E:$E,'Barang Keluar'!$A:$A,M13323,'Barang Keluar'!$C:$C,N13323))</f>
        <v>0</v>
      </c>
    </row>
    <row r="13324" spans="13:16">
      <c r="M13324" s="49">
        <f>IF($A$4+133&gt;$B$4,"",$A$4+133)</f>
        <v>46156</v>
      </c>
      <c r="N13324" t="str">
        <f>IF(M13324="","",'Master Barang'!A18)</f>
        <v>PRL-017</v>
      </c>
      <c r="O13324" t="str">
        <f>IF(N13324="","",'Master Barang'!B18)</f>
        <v>onemed masker biru 3 play 50 pcs</v>
      </c>
      <c r="P13324">
        <f>IF(OR(M13324="",N13324=""),"",SUMIFS('Barang Keluar'!$E:$E,'Barang Keluar'!$A:$A,M13324,'Barang Keluar'!$C:$C,N13324))</f>
        <v>0</v>
      </c>
    </row>
    <row r="13325" spans="13:16">
      <c r="M13325" s="49">
        <f>IF($A$4+133&gt;$B$4,"",$A$4+133)</f>
        <v>46156</v>
      </c>
      <c r="N13325" t="str">
        <f>IF(M13325="","",'Master Barang'!A19)</f>
        <v>PRL-018</v>
      </c>
      <c r="O13325" t="str">
        <f>IF(N13325="","",'Master Barang'!B19)</f>
        <v>onemed masker biru 3 play hijab 50 pcs</v>
      </c>
      <c r="P13325">
        <f>IF(OR(M13325="",N13325=""),"",SUMIFS('Barang Keluar'!$E:$E,'Barang Keluar'!$A:$A,M13325,'Barang Keluar'!$C:$C,N13325))</f>
        <v>0</v>
      </c>
    </row>
    <row r="13326" spans="13:16">
      <c r="M13326" s="49">
        <f>IF($A$4+133&gt;$B$4,"",$A$4+133)</f>
        <v>46156</v>
      </c>
      <c r="N13326" t="str">
        <f>IF(M13326="","",'Master Barang'!A20)</f>
        <v>PRL-019</v>
      </c>
      <c r="O13326" t="str">
        <f>IF(N13326="","",'Master Barang'!B20)</f>
        <v>neo health masker biru 3 play 50 pcs</v>
      </c>
      <c r="P13326">
        <f>IF(OR(M13326="",N13326=""),"",SUMIFS('Barang Keluar'!$E:$E,'Barang Keluar'!$A:$A,M13326,'Barang Keluar'!$C:$C,N13326))</f>
        <v>0</v>
      </c>
    </row>
    <row r="13327" spans="13:16">
      <c r="M13327" s="49">
        <f>IF($A$4+133&gt;$B$4,"",$A$4+133)</f>
        <v>46156</v>
      </c>
      <c r="N13327" t="str">
        <f>IF(M13327="","",'Master Barang'!A21)</f>
        <v>PRL-020</v>
      </c>
      <c r="O13327" t="str">
        <f>IF(N13327="","",'Master Barang'!B21)</f>
        <v>baymed masker hijau 3 play hijau 50 pcs</v>
      </c>
      <c r="P13327">
        <f>IF(OR(M13327="",N13327=""),"",SUMIFS('Barang Keluar'!$E:$E,'Barang Keluar'!$A:$A,M13327,'Barang Keluar'!$C:$C,N13327))</f>
        <v>0</v>
      </c>
    </row>
    <row r="13328" spans="13:16">
      <c r="M13328" s="49">
        <f>IF($A$4+133&gt;$B$4,"",$A$4+133)</f>
        <v>46156</v>
      </c>
      <c r="N13328" t="str">
        <f>IF(M13328="","",'Master Barang'!A22)</f>
        <v>PRL-021</v>
      </c>
      <c r="O13328" t="str">
        <f>IF(N13328="","",'Master Barang'!B22)</f>
        <v>altamed nurse cap penutup kepala 100 pcs</v>
      </c>
      <c r="P13328">
        <f>IF(OR(M13328="",N13328=""),"",SUMIFS('Barang Keluar'!$E:$E,'Barang Keluar'!$A:$A,M13328,'Barang Keluar'!$C:$C,N13328))</f>
        <v>0</v>
      </c>
    </row>
    <row r="13329" spans="13:16">
      <c r="M13329" s="49">
        <f>IF($A$4+133&gt;$B$4,"",$A$4+133)</f>
        <v>46156</v>
      </c>
      <c r="N13329" t="str">
        <f>IF(M13329="","",'Master Barang'!A23)</f>
        <v>PRL-022</v>
      </c>
      <c r="O13329" t="str">
        <f>IF(N13329="","",'Master Barang'!B23)</f>
        <v>sabun cuci tangan</v>
      </c>
      <c r="P13329">
        <f>IF(OR(M13329="",N13329=""),"",SUMIFS('Barang Keluar'!$E:$E,'Barang Keluar'!$A:$A,M13329,'Barang Keluar'!$C:$C,N13329))</f>
        <v>0</v>
      </c>
    </row>
    <row r="13330" spans="13:16">
      <c r="M13330" s="49">
        <f>IF($A$4+133&gt;$B$4,"",$A$4+133)</f>
        <v>46156</v>
      </c>
      <c r="N13330" t="str">
        <f>IF(M13330="","",'Master Barang'!A24)</f>
        <v>PRL-023</v>
      </c>
      <c r="O13330" t="str">
        <f>IF(N13330="","",'Master Barang'!B24)</f>
        <v>gayung kecil</v>
      </c>
      <c r="P13330">
        <f>IF(OR(M13330="",N13330=""),"",SUMIFS('Barang Keluar'!$E:$E,'Barang Keluar'!$A:$A,M13330,'Barang Keluar'!$C:$C,N13330))</f>
        <v>0</v>
      </c>
    </row>
    <row r="13331" spans="13:16">
      <c r="M13331" s="49">
        <f>IF($A$4+133&gt;$B$4,"",$A$4+133)</f>
        <v>46156</v>
      </c>
      <c r="N13331" t="str">
        <f>IF(M13331="","",'Master Barang'!A25)</f>
        <v>PRL-024</v>
      </c>
      <c r="O13331" t="str">
        <f>IF(N13331="","",'Master Barang'!B25)</f>
        <v>cikrak kecil</v>
      </c>
      <c r="P13331">
        <f>IF(OR(M13331="",N13331=""),"",SUMIFS('Barang Keluar'!$E:$E,'Barang Keluar'!$A:$A,M13331,'Barang Keluar'!$C:$C,N13331))</f>
        <v>0</v>
      </c>
    </row>
    <row r="13332" spans="13:16">
      <c r="M13332" s="49">
        <f>IF($A$4+133&gt;$B$4,"",$A$4+133)</f>
        <v>46156</v>
      </c>
      <c r="N13332" t="str">
        <f>IF(M13332="","",'Master Barang'!A26)</f>
        <v>PRL-025</v>
      </c>
      <c r="O13332" t="str">
        <f>IF(N13332="","",'Master Barang'!B26)</f>
        <v>petromax plastik kecil 12x24 100 lembar</v>
      </c>
      <c r="P13332">
        <f>IF(OR(M13332="",N13332=""),"",SUMIFS('Barang Keluar'!$E:$E,'Barang Keluar'!$A:$A,M13332,'Barang Keluar'!$C:$C,N13332))</f>
        <v>0</v>
      </c>
    </row>
    <row r="13333" spans="13:16">
      <c r="M13333" s="49">
        <f>IF($A$4+133&gt;$B$4,"",$A$4+133)</f>
        <v>46156</v>
      </c>
      <c r="N13333" t="str">
        <f>IF(M13333="","",'Master Barang'!A27)</f>
        <v>PRL-026</v>
      </c>
      <c r="O13333" t="str">
        <f>IF(N13333="","",'Master Barang'!B27)</f>
        <v>lancar kresek kecil bening </v>
      </c>
      <c r="P13333">
        <f>IF(OR(M13333="",N13333=""),"",SUMIFS('Barang Keluar'!$E:$E,'Barang Keluar'!$A:$A,M13333,'Barang Keluar'!$C:$C,N13333))</f>
        <v>0</v>
      </c>
    </row>
    <row r="13334" spans="13:16">
      <c r="M13334" s="49">
        <f>IF($A$4+133&gt;$B$4,"",$A$4+133)</f>
        <v>46156</v>
      </c>
      <c r="N13334" t="str">
        <f>IF(M13334="","",'Master Barang'!A28)</f>
        <v>PRL-027</v>
      </c>
      <c r="O13334" t="str">
        <f>IF(N13334="","",'Master Barang'!B28)</f>
        <v>kresek klin warna warni kecil</v>
      </c>
      <c r="P13334">
        <f>IF(OR(M13334="",N13334=""),"",SUMIFS('Barang Keluar'!$E:$E,'Barang Keluar'!$A:$A,M13334,'Barang Keluar'!$C:$C,N13334))</f>
        <v>0</v>
      </c>
    </row>
    <row r="13335" spans="13:16">
      <c r="M13335" s="49">
        <f>IF($A$4+133&gt;$B$4,"",$A$4+133)</f>
        <v>46156</v>
      </c>
      <c r="N13335" t="str">
        <f>IF(M13335="","",'Master Barang'!A29)</f>
        <v>PRL-028</v>
      </c>
      <c r="O13335" t="str">
        <f>IF(N13335="","",'Master Barang'!B29)</f>
        <v>ctik plastik 7x10 100 pcs</v>
      </c>
      <c r="P13335">
        <f>IF(OR(M13335="",N13335=""),"",SUMIFS('Barang Keluar'!$E:$E,'Barang Keluar'!$A:$A,M13335,'Barang Keluar'!$C:$C,N13335))</f>
        <v>0</v>
      </c>
    </row>
    <row r="13336" spans="13:16">
      <c r="M13336" s="49">
        <f>IF($A$4+133&gt;$B$4,"",$A$4+133)</f>
        <v>46156</v>
      </c>
      <c r="N13336" t="str">
        <f>IF(M13336="","",'Master Barang'!A30)</f>
        <v>PRL-029</v>
      </c>
      <c r="O13336" t="str">
        <f>IF(N13336="","",'Master Barang'!B30)</f>
        <v>ctik plastik 6x10 100 pcs</v>
      </c>
      <c r="P13336">
        <f>IF(OR(M13336="",N13336=""),"",SUMIFS('Barang Keluar'!$E:$E,'Barang Keluar'!$A:$A,M13336,'Barang Keluar'!$C:$C,N13336))</f>
        <v>0</v>
      </c>
    </row>
    <row r="13337" spans="13:16">
      <c r="M13337" s="49">
        <f>IF($A$4+133&gt;$B$4,"",$A$4+133)</f>
        <v>46156</v>
      </c>
      <c r="N13337" t="str">
        <f>IF(M13337="","",'Master Barang'!A31)</f>
        <v>PRL-030</v>
      </c>
      <c r="O13337" t="str">
        <f>IF(N13337="","",'Master Barang'!B31)</f>
        <v>klip plastik 25x16 100 pcs</v>
      </c>
      <c r="P13337">
        <f>IF(OR(M13337="",N13337=""),"",SUMIFS('Barang Keluar'!$E:$E,'Barang Keluar'!$A:$A,M13337,'Barang Keluar'!$C:$C,N13337))</f>
        <v>0</v>
      </c>
    </row>
    <row r="13338" spans="13:16">
      <c r="M13338" s="49">
        <f>IF($A$4+133&gt;$B$4,"",$A$4+133)</f>
        <v>46156</v>
      </c>
      <c r="N13338" t="str">
        <f>IF(M13338="","",'Master Barang'!A32)</f>
        <v>PRL-031</v>
      </c>
      <c r="O13338" t="str">
        <f>IF(N13338="","",'Master Barang'!B32)</f>
        <v>tempat saus 20 ml</v>
      </c>
      <c r="P13338">
        <f>IF(OR(M13338="",N13338=""),"",SUMIFS('Barang Keluar'!$E:$E,'Barang Keluar'!$A:$A,M13338,'Barang Keluar'!$C:$C,N13338))</f>
        <v>0</v>
      </c>
    </row>
    <row r="13339" spans="13:16">
      <c r="M13339" s="49">
        <f>IF($A$4+133&gt;$B$4,"",$A$4+133)</f>
        <v>46156</v>
      </c>
      <c r="N13339" t="str">
        <f>IF(M13339="","",'Master Barang'!A33)</f>
        <v>PRL-032</v>
      </c>
      <c r="O13339" t="str">
        <f>IF(N13339="","",'Master Barang'!B33)</f>
        <v>plastik packaging ag box uk sedang</v>
      </c>
      <c r="P13339">
        <f>IF(OR(M13339="",N13339=""),"",SUMIFS('Barang Keluar'!$E:$E,'Barang Keluar'!$A:$A,M13339,'Barang Keluar'!$C:$C,N13339))</f>
        <v>0</v>
      </c>
    </row>
    <row r="13340" spans="13:16">
      <c r="M13340" s="49">
        <f>IF($A$4+133&gt;$B$4,"",$A$4+133)</f>
        <v>46156</v>
      </c>
      <c r="N13340" t="str">
        <f>IF(M13340="","",'Master Barang'!A34)</f>
        <v>PRL-033</v>
      </c>
      <c r="O13340">
        <f>IF(N13340="","",'Master Barang'!B34)</f>
        <v>0</v>
      </c>
      <c r="P13340">
        <f>IF(OR(M13340="",N13340=""),"",SUMIFS('Barang Keluar'!$E:$E,'Barang Keluar'!$A:$A,M13340,'Barang Keluar'!$C:$C,N13340))</f>
        <v>0</v>
      </c>
    </row>
    <row r="13341" spans="13:16">
      <c r="M13341" s="49">
        <f>IF($A$4+133&gt;$B$4,"",$A$4+133)</f>
        <v>46156</v>
      </c>
      <c r="N13341">
        <f>IF(M13341="","",'Master Barang'!A35)</f>
        <v>0</v>
      </c>
      <c r="O13341">
        <f>IF(N13341="","",'Master Barang'!B35)</f>
        <v>0</v>
      </c>
      <c r="P13341">
        <f>IF(OR(M13341="",N13341=""),"",SUMIFS('Barang Keluar'!$E:$E,'Barang Keluar'!$A:$A,M13341,'Barang Keluar'!$C:$C,N13341))</f>
        <v>0</v>
      </c>
    </row>
    <row r="13342" spans="13:16">
      <c r="M13342" s="49">
        <f>IF($A$4+133&gt;$B$4,"",$A$4+133)</f>
        <v>46156</v>
      </c>
      <c r="N13342">
        <f>IF(M13342="","",'Master Barang'!A36)</f>
        <v>0</v>
      </c>
      <c r="O13342">
        <f>IF(N13342="","",'Master Barang'!B36)</f>
        <v>0</v>
      </c>
      <c r="P13342">
        <f>IF(OR(M13342="",N13342=""),"",SUMIFS('Barang Keluar'!$E:$E,'Barang Keluar'!$A:$A,M13342,'Barang Keluar'!$C:$C,N13342))</f>
        <v>0</v>
      </c>
    </row>
    <row r="13343" spans="13:16">
      <c r="M13343" s="49">
        <f>IF($A$4+133&gt;$B$4,"",$A$4+133)</f>
        <v>46156</v>
      </c>
      <c r="N13343">
        <f>IF(M13343="","",'Master Barang'!A37)</f>
        <v>0</v>
      </c>
      <c r="O13343">
        <f>IF(N13343="","",'Master Barang'!B37)</f>
        <v>0</v>
      </c>
      <c r="P13343">
        <f>IF(OR(M13343="",N13343=""),"",SUMIFS('Barang Keluar'!$E:$E,'Barang Keluar'!$A:$A,M13343,'Barang Keluar'!$C:$C,N13343))</f>
        <v>0</v>
      </c>
    </row>
    <row r="13344" spans="13:16">
      <c r="M13344" s="49">
        <f>IF($A$4+133&gt;$B$4,"",$A$4+133)</f>
        <v>46156</v>
      </c>
      <c r="N13344">
        <f>IF(M13344="","",'Master Barang'!A38)</f>
        <v>0</v>
      </c>
      <c r="O13344">
        <f>IF(N13344="","",'Master Barang'!B38)</f>
        <v>0</v>
      </c>
      <c r="P13344">
        <f>IF(OR(M13344="",N13344=""),"",SUMIFS('Barang Keluar'!$E:$E,'Barang Keluar'!$A:$A,M13344,'Barang Keluar'!$C:$C,N13344))</f>
        <v>0</v>
      </c>
    </row>
    <row r="13345" spans="13:16">
      <c r="M13345" s="49">
        <f>IF($A$4+133&gt;$B$4,"",$A$4+133)</f>
        <v>46156</v>
      </c>
      <c r="N13345">
        <f>IF(M13345="","",'Master Barang'!A39)</f>
        <v>0</v>
      </c>
      <c r="O13345">
        <f>IF(N13345="","",'Master Barang'!B39)</f>
        <v>0</v>
      </c>
      <c r="P13345">
        <f>IF(OR(M13345="",N13345=""),"",SUMIFS('Barang Keluar'!$E:$E,'Barang Keluar'!$A:$A,M13345,'Barang Keluar'!$C:$C,N13345))</f>
        <v>0</v>
      </c>
    </row>
    <row r="13346" spans="13:16">
      <c r="M13346" s="49">
        <f>IF($A$4+133&gt;$B$4,"",$A$4+133)</f>
        <v>46156</v>
      </c>
      <c r="N13346">
        <f>IF(M13346="","",'Master Barang'!A40)</f>
        <v>0</v>
      </c>
      <c r="O13346">
        <f>IF(N13346="","",'Master Barang'!B40)</f>
        <v>0</v>
      </c>
      <c r="P13346">
        <f>IF(OR(M13346="",N13346=""),"",SUMIFS('Barang Keluar'!$E:$E,'Barang Keluar'!$A:$A,M13346,'Barang Keluar'!$C:$C,N13346))</f>
        <v>0</v>
      </c>
    </row>
    <row r="13347" spans="13:16">
      <c r="M13347" s="49">
        <f>IF($A$4+133&gt;$B$4,"",$A$4+133)</f>
        <v>46156</v>
      </c>
      <c r="N13347">
        <f>IF(M13347="","",'Master Barang'!A41)</f>
        <v>0</v>
      </c>
      <c r="O13347">
        <f>IF(N13347="","",'Master Barang'!B41)</f>
        <v>0</v>
      </c>
      <c r="P13347">
        <f>IF(OR(M13347="",N13347=""),"",SUMIFS('Barang Keluar'!$E:$E,'Barang Keluar'!$A:$A,M13347,'Barang Keluar'!$C:$C,N13347))</f>
        <v>0</v>
      </c>
    </row>
    <row r="13348" spans="13:16">
      <c r="M13348" s="49">
        <f>IF($A$4+133&gt;$B$4,"",$A$4+133)</f>
        <v>46156</v>
      </c>
      <c r="N13348">
        <f>IF(M13348="","",'Master Barang'!A42)</f>
        <v>0</v>
      </c>
      <c r="O13348">
        <f>IF(N13348="","",'Master Barang'!B42)</f>
        <v>0</v>
      </c>
      <c r="P13348">
        <f>IF(OR(M13348="",N13348=""),"",SUMIFS('Barang Keluar'!$E:$E,'Barang Keluar'!$A:$A,M13348,'Barang Keluar'!$C:$C,N13348))</f>
        <v>0</v>
      </c>
    </row>
    <row r="13349" spans="13:16">
      <c r="M13349" s="49">
        <f>IF($A$4+133&gt;$B$4,"",$A$4+133)</f>
        <v>46156</v>
      </c>
      <c r="N13349">
        <f>IF(M13349="","",'Master Barang'!A43)</f>
        <v>0</v>
      </c>
      <c r="O13349">
        <f>IF(N13349="","",'Master Barang'!B43)</f>
        <v>0</v>
      </c>
      <c r="P13349">
        <f>IF(OR(M13349="",N13349=""),"",SUMIFS('Barang Keluar'!$E:$E,'Barang Keluar'!$A:$A,M13349,'Barang Keluar'!$C:$C,N13349))</f>
        <v>0</v>
      </c>
    </row>
    <row r="13350" spans="13:16">
      <c r="M13350" s="49">
        <f>IF($A$4+133&gt;$B$4,"",$A$4+133)</f>
        <v>46156</v>
      </c>
      <c r="N13350">
        <f>IF(M13350="","",'Master Barang'!A44)</f>
        <v>0</v>
      </c>
      <c r="O13350">
        <f>IF(N13350="","",'Master Barang'!B44)</f>
        <v>0</v>
      </c>
      <c r="P13350">
        <f>IF(OR(M13350="",N13350=""),"",SUMIFS('Barang Keluar'!$E:$E,'Barang Keluar'!$A:$A,M13350,'Barang Keluar'!$C:$C,N13350))</f>
        <v>0</v>
      </c>
    </row>
    <row r="13351" spans="13:16">
      <c r="M13351" s="49">
        <f>IF($A$4+133&gt;$B$4,"",$A$4+133)</f>
        <v>46156</v>
      </c>
      <c r="N13351">
        <f>IF(M13351="","",'Master Barang'!A45)</f>
        <v>0</v>
      </c>
      <c r="O13351">
        <f>IF(N13351="","",'Master Barang'!B45)</f>
        <v>0</v>
      </c>
      <c r="P13351">
        <f>IF(OR(M13351="",N13351=""),"",SUMIFS('Barang Keluar'!$E:$E,'Barang Keluar'!$A:$A,M13351,'Barang Keluar'!$C:$C,N13351))</f>
        <v>0</v>
      </c>
    </row>
    <row r="13352" spans="13:16">
      <c r="M13352" s="49">
        <f>IF($A$4+133&gt;$B$4,"",$A$4+133)</f>
        <v>46156</v>
      </c>
      <c r="N13352">
        <f>IF(M13352="","",'Master Barang'!A46)</f>
        <v>0</v>
      </c>
      <c r="O13352">
        <f>IF(N13352="","",'Master Barang'!B46)</f>
        <v>0</v>
      </c>
      <c r="P13352">
        <f>IF(OR(M13352="",N13352=""),"",SUMIFS('Barang Keluar'!$E:$E,'Barang Keluar'!$A:$A,M13352,'Barang Keluar'!$C:$C,N13352))</f>
        <v>0</v>
      </c>
    </row>
    <row r="13353" spans="13:16">
      <c r="M13353" s="49">
        <f>IF($A$4+133&gt;$B$4,"",$A$4+133)</f>
        <v>46156</v>
      </c>
      <c r="N13353">
        <f>IF(M13353="","",'Master Barang'!A47)</f>
        <v>0</v>
      </c>
      <c r="O13353">
        <f>IF(N13353="","",'Master Barang'!B47)</f>
        <v>0</v>
      </c>
      <c r="P13353">
        <f>IF(OR(M13353="",N13353=""),"",SUMIFS('Barang Keluar'!$E:$E,'Barang Keluar'!$A:$A,M13353,'Barang Keluar'!$C:$C,N13353))</f>
        <v>0</v>
      </c>
    </row>
    <row r="13354" spans="13:16">
      <c r="M13354" s="49">
        <f>IF($A$4+133&gt;$B$4,"",$A$4+133)</f>
        <v>46156</v>
      </c>
      <c r="N13354">
        <f>IF(M13354="","",'Master Barang'!A48)</f>
        <v>0</v>
      </c>
      <c r="O13354">
        <f>IF(N13354="","",'Master Barang'!B48)</f>
        <v>0</v>
      </c>
      <c r="P13354">
        <f>IF(OR(M13354="",N13354=""),"",SUMIFS('Barang Keluar'!$E:$E,'Barang Keluar'!$A:$A,M13354,'Barang Keluar'!$C:$C,N13354))</f>
        <v>0</v>
      </c>
    </row>
    <row r="13355" spans="13:16">
      <c r="M13355" s="49">
        <f>IF($A$4+133&gt;$B$4,"",$A$4+133)</f>
        <v>46156</v>
      </c>
      <c r="N13355">
        <f>IF(M13355="","",'Master Barang'!A49)</f>
        <v>0</v>
      </c>
      <c r="O13355">
        <f>IF(N13355="","",'Master Barang'!B49)</f>
        <v>0</v>
      </c>
      <c r="P13355">
        <f>IF(OR(M13355="",N13355=""),"",SUMIFS('Barang Keluar'!$E:$E,'Barang Keluar'!$A:$A,M13355,'Barang Keluar'!$C:$C,N13355))</f>
        <v>0</v>
      </c>
    </row>
    <row r="13356" spans="13:16">
      <c r="M13356" s="49">
        <f>IF($A$4+133&gt;$B$4,"",$A$4+133)</f>
        <v>46156</v>
      </c>
      <c r="N13356">
        <f>IF(M13356="","",'Master Barang'!A50)</f>
        <v>0</v>
      </c>
      <c r="O13356">
        <f>IF(N13356="","",'Master Barang'!B50)</f>
        <v>0</v>
      </c>
      <c r="P13356">
        <f>IF(OR(M13356="",N13356=""),"",SUMIFS('Barang Keluar'!$E:$E,'Barang Keluar'!$A:$A,M13356,'Barang Keluar'!$C:$C,N13356))</f>
        <v>0</v>
      </c>
    </row>
    <row r="13357" spans="13:16">
      <c r="M13357" s="49">
        <f>IF($A$4+133&gt;$B$4,"",$A$4+133)</f>
        <v>46156</v>
      </c>
      <c r="N13357">
        <f>IF(M13357="","",'Master Barang'!A51)</f>
        <v>0</v>
      </c>
      <c r="O13357">
        <f>IF(N13357="","",'Master Barang'!B51)</f>
        <v>0</v>
      </c>
      <c r="P13357">
        <f>IF(OR(M13357="",N13357=""),"",SUMIFS('Barang Keluar'!$E:$E,'Barang Keluar'!$A:$A,M13357,'Barang Keluar'!$C:$C,N13357))</f>
        <v>0</v>
      </c>
    </row>
    <row r="13358" spans="13:16">
      <c r="M13358" s="49">
        <f>IF($A$4+133&gt;$B$4,"",$A$4+133)</f>
        <v>46156</v>
      </c>
      <c r="N13358">
        <f>IF(M13358="","",'Master Barang'!A52)</f>
        <v>0</v>
      </c>
      <c r="O13358">
        <f>IF(N13358="","",'Master Barang'!B52)</f>
        <v>0</v>
      </c>
      <c r="P13358">
        <f>IF(OR(M13358="",N13358=""),"",SUMIFS('Barang Keluar'!$E:$E,'Barang Keluar'!$A:$A,M13358,'Barang Keluar'!$C:$C,N13358))</f>
        <v>0</v>
      </c>
    </row>
    <row r="13359" spans="13:16">
      <c r="M13359" s="49">
        <f>IF($A$4+133&gt;$B$4,"",$A$4+133)</f>
        <v>46156</v>
      </c>
      <c r="N13359">
        <f>IF(M13359="","",'Master Barang'!A53)</f>
        <v>0</v>
      </c>
      <c r="O13359">
        <f>IF(N13359="","",'Master Barang'!B53)</f>
        <v>0</v>
      </c>
      <c r="P13359">
        <f>IF(OR(M13359="",N13359=""),"",SUMIFS('Barang Keluar'!$E:$E,'Barang Keluar'!$A:$A,M13359,'Barang Keluar'!$C:$C,N13359))</f>
        <v>0</v>
      </c>
    </row>
    <row r="13360" spans="13:16">
      <c r="M13360" s="49">
        <f>IF($A$4+133&gt;$B$4,"",$A$4+133)</f>
        <v>46156</v>
      </c>
      <c r="N13360">
        <f>IF(M13360="","",'Master Barang'!A54)</f>
        <v>0</v>
      </c>
      <c r="O13360">
        <f>IF(N13360="","",'Master Barang'!B54)</f>
        <v>0</v>
      </c>
      <c r="P13360">
        <f>IF(OR(M13360="",N13360=""),"",SUMIFS('Barang Keluar'!$E:$E,'Barang Keluar'!$A:$A,M13360,'Barang Keluar'!$C:$C,N13360))</f>
        <v>0</v>
      </c>
    </row>
    <row r="13361" spans="13:16">
      <c r="M13361" s="49">
        <f>IF($A$4+133&gt;$B$4,"",$A$4+133)</f>
        <v>46156</v>
      </c>
      <c r="N13361">
        <f>IF(M13361="","",'Master Barang'!A55)</f>
        <v>0</v>
      </c>
      <c r="O13361">
        <f>IF(N13361="","",'Master Barang'!B55)</f>
        <v>0</v>
      </c>
      <c r="P13361">
        <f>IF(OR(M13361="",N13361=""),"",SUMIFS('Barang Keluar'!$E:$E,'Barang Keluar'!$A:$A,M13361,'Barang Keluar'!$C:$C,N13361))</f>
        <v>0</v>
      </c>
    </row>
    <row r="13362" spans="13:16">
      <c r="M13362" s="49">
        <f>IF($A$4+133&gt;$B$4,"",$A$4+133)</f>
        <v>46156</v>
      </c>
      <c r="N13362">
        <f>IF(M13362="","",'Master Barang'!A56)</f>
        <v>0</v>
      </c>
      <c r="O13362">
        <f>IF(N13362="","",'Master Barang'!B56)</f>
        <v>0</v>
      </c>
      <c r="P13362">
        <f>IF(OR(M13362="",N13362=""),"",SUMIFS('Barang Keluar'!$E:$E,'Barang Keluar'!$A:$A,M13362,'Barang Keluar'!$C:$C,N13362))</f>
        <v>0</v>
      </c>
    </row>
    <row r="13363" spans="13:16">
      <c r="M13363" s="49">
        <f>IF($A$4+133&gt;$B$4,"",$A$4+133)</f>
        <v>46156</v>
      </c>
      <c r="N13363">
        <f>IF(M13363="","",'Master Barang'!A57)</f>
        <v>0</v>
      </c>
      <c r="O13363">
        <f>IF(N13363="","",'Master Barang'!B57)</f>
        <v>0</v>
      </c>
      <c r="P13363">
        <f>IF(OR(M13363="",N13363=""),"",SUMIFS('Barang Keluar'!$E:$E,'Barang Keluar'!$A:$A,M13363,'Barang Keluar'!$C:$C,N13363))</f>
        <v>0</v>
      </c>
    </row>
    <row r="13364" spans="13:16">
      <c r="M13364" s="49">
        <f>IF($A$4+133&gt;$B$4,"",$A$4+133)</f>
        <v>46156</v>
      </c>
      <c r="N13364">
        <f>IF(M13364="","",'Master Barang'!A58)</f>
        <v>0</v>
      </c>
      <c r="O13364">
        <f>IF(N13364="","",'Master Barang'!B58)</f>
        <v>0</v>
      </c>
      <c r="P13364">
        <f>IF(OR(M13364="",N13364=""),"",SUMIFS('Barang Keluar'!$E:$E,'Barang Keluar'!$A:$A,M13364,'Barang Keluar'!$C:$C,N13364))</f>
        <v>0</v>
      </c>
    </row>
    <row r="13365" spans="13:16">
      <c r="M13365" s="49">
        <f>IF($A$4+133&gt;$B$4,"",$A$4+133)</f>
        <v>46156</v>
      </c>
      <c r="N13365">
        <f>IF(M13365="","",'Master Barang'!A59)</f>
        <v>0</v>
      </c>
      <c r="O13365">
        <f>IF(N13365="","",'Master Barang'!B59)</f>
        <v>0</v>
      </c>
      <c r="P13365">
        <f>IF(OR(M13365="",N13365=""),"",SUMIFS('Barang Keluar'!$E:$E,'Barang Keluar'!$A:$A,M13365,'Barang Keluar'!$C:$C,N13365))</f>
        <v>0</v>
      </c>
    </row>
    <row r="13366" spans="13:16">
      <c r="M13366" s="49">
        <f>IF($A$4+133&gt;$B$4,"",$A$4+133)</f>
        <v>46156</v>
      </c>
      <c r="N13366">
        <f>IF(M13366="","",'Master Barang'!A60)</f>
        <v>0</v>
      </c>
      <c r="O13366">
        <f>IF(N13366="","",'Master Barang'!B60)</f>
        <v>0</v>
      </c>
      <c r="P13366">
        <f>IF(OR(M13366="",N13366=""),"",SUMIFS('Barang Keluar'!$E:$E,'Barang Keluar'!$A:$A,M13366,'Barang Keluar'!$C:$C,N13366))</f>
        <v>0</v>
      </c>
    </row>
    <row r="13367" spans="13:16">
      <c r="M13367" s="49">
        <f>IF($A$4+133&gt;$B$4,"",$A$4+133)</f>
        <v>46156</v>
      </c>
      <c r="N13367">
        <f>IF(M13367="","",'Master Barang'!A61)</f>
        <v>0</v>
      </c>
      <c r="O13367">
        <f>IF(N13367="","",'Master Barang'!B61)</f>
        <v>0</v>
      </c>
      <c r="P13367">
        <f>IF(OR(M13367="",N13367=""),"",SUMIFS('Barang Keluar'!$E:$E,'Barang Keluar'!$A:$A,M13367,'Barang Keluar'!$C:$C,N13367))</f>
        <v>0</v>
      </c>
    </row>
    <row r="13368" spans="13:16">
      <c r="M13368" s="49">
        <f>IF($A$4+133&gt;$B$4,"",$A$4+133)</f>
        <v>46156</v>
      </c>
      <c r="N13368">
        <f>IF(M13368="","",'Master Barang'!A62)</f>
        <v>0</v>
      </c>
      <c r="O13368">
        <f>IF(N13368="","",'Master Barang'!B62)</f>
        <v>0</v>
      </c>
      <c r="P13368">
        <f>IF(OR(M13368="",N13368=""),"",SUMIFS('Barang Keluar'!$E:$E,'Barang Keluar'!$A:$A,M13368,'Barang Keluar'!$C:$C,N13368))</f>
        <v>0</v>
      </c>
    </row>
    <row r="13369" spans="13:16">
      <c r="M13369" s="49">
        <f>IF($A$4+133&gt;$B$4,"",$A$4+133)</f>
        <v>46156</v>
      </c>
      <c r="N13369">
        <f>IF(M13369="","",'Master Barang'!A63)</f>
        <v>0</v>
      </c>
      <c r="O13369">
        <f>IF(N13369="","",'Master Barang'!B63)</f>
        <v>0</v>
      </c>
      <c r="P13369">
        <f>IF(OR(M13369="",N13369=""),"",SUMIFS('Barang Keluar'!$E:$E,'Barang Keluar'!$A:$A,M13369,'Barang Keluar'!$C:$C,N13369))</f>
        <v>0</v>
      </c>
    </row>
    <row r="13370" spans="13:16">
      <c r="M13370" s="49">
        <f>IF($A$4+133&gt;$B$4,"",$A$4+133)</f>
        <v>46156</v>
      </c>
      <c r="N13370">
        <f>IF(M13370="","",'Master Barang'!A64)</f>
        <v>0</v>
      </c>
      <c r="O13370">
        <f>IF(N13370="","",'Master Barang'!B64)</f>
        <v>0</v>
      </c>
      <c r="P13370">
        <f>IF(OR(M13370="",N13370=""),"",SUMIFS('Barang Keluar'!$E:$E,'Barang Keluar'!$A:$A,M13370,'Barang Keluar'!$C:$C,N13370))</f>
        <v>0</v>
      </c>
    </row>
    <row r="13371" spans="13:16">
      <c r="M13371" s="49">
        <f>IF($A$4+133&gt;$B$4,"",$A$4+133)</f>
        <v>46156</v>
      </c>
      <c r="N13371">
        <f>IF(M13371="","",'Master Barang'!A65)</f>
        <v>0</v>
      </c>
      <c r="O13371">
        <f>IF(N13371="","",'Master Barang'!B65)</f>
        <v>0</v>
      </c>
      <c r="P13371">
        <f>IF(OR(M13371="",N13371=""),"",SUMIFS('Barang Keluar'!$E:$E,'Barang Keluar'!$A:$A,M13371,'Barang Keluar'!$C:$C,N13371))</f>
        <v>0</v>
      </c>
    </row>
    <row r="13372" spans="13:16">
      <c r="M13372" s="49">
        <f>IF($A$4+133&gt;$B$4,"",$A$4+133)</f>
        <v>46156</v>
      </c>
      <c r="N13372">
        <f>IF(M13372="","",'Master Barang'!A66)</f>
        <v>0</v>
      </c>
      <c r="O13372">
        <f>IF(N13372="","",'Master Barang'!B66)</f>
        <v>0</v>
      </c>
      <c r="P13372">
        <f>IF(OR(M13372="",N13372=""),"",SUMIFS('Barang Keluar'!$E:$E,'Barang Keluar'!$A:$A,M13372,'Barang Keluar'!$C:$C,N13372))</f>
        <v>0</v>
      </c>
    </row>
    <row r="13373" spans="13:16">
      <c r="M13373" s="49">
        <f>IF($A$4+133&gt;$B$4,"",$A$4+133)</f>
        <v>46156</v>
      </c>
      <c r="N13373">
        <f>IF(M13373="","",'Master Barang'!A67)</f>
        <v>0</v>
      </c>
      <c r="O13373">
        <f>IF(N13373="","",'Master Barang'!B67)</f>
        <v>0</v>
      </c>
      <c r="P13373">
        <f>IF(OR(M13373="",N13373=""),"",SUMIFS('Barang Keluar'!$E:$E,'Barang Keluar'!$A:$A,M13373,'Barang Keluar'!$C:$C,N13373))</f>
        <v>0</v>
      </c>
    </row>
    <row r="13374" spans="13:16">
      <c r="M13374" s="49">
        <f>IF($A$4+133&gt;$B$4,"",$A$4+133)</f>
        <v>46156</v>
      </c>
      <c r="N13374">
        <f>IF(M13374="","",'Master Barang'!A68)</f>
        <v>0</v>
      </c>
      <c r="O13374">
        <f>IF(N13374="","",'Master Barang'!B68)</f>
        <v>0</v>
      </c>
      <c r="P13374">
        <f>IF(OR(M13374="",N13374=""),"",SUMIFS('Barang Keluar'!$E:$E,'Barang Keluar'!$A:$A,M13374,'Barang Keluar'!$C:$C,N13374))</f>
        <v>0</v>
      </c>
    </row>
    <row r="13375" spans="13:16">
      <c r="M13375" s="49">
        <f>IF($A$4+133&gt;$B$4,"",$A$4+133)</f>
        <v>46156</v>
      </c>
      <c r="N13375">
        <f>IF(M13375="","",'Master Barang'!A69)</f>
        <v>0</v>
      </c>
      <c r="O13375">
        <f>IF(N13375="","",'Master Barang'!B69)</f>
        <v>0</v>
      </c>
      <c r="P13375">
        <f>IF(OR(M13375="",N13375=""),"",SUMIFS('Barang Keluar'!$E:$E,'Barang Keluar'!$A:$A,M13375,'Barang Keluar'!$C:$C,N13375))</f>
        <v>0</v>
      </c>
    </row>
    <row r="13376" spans="13:16">
      <c r="M13376" s="49">
        <f>IF($A$4+133&gt;$B$4,"",$A$4+133)</f>
        <v>46156</v>
      </c>
      <c r="N13376">
        <f>IF(M13376="","",'Master Barang'!A70)</f>
        <v>0</v>
      </c>
      <c r="O13376">
        <f>IF(N13376="","",'Master Barang'!B70)</f>
        <v>0</v>
      </c>
      <c r="P13376">
        <f>IF(OR(M13376="",N13376=""),"",SUMIFS('Barang Keluar'!$E:$E,'Barang Keluar'!$A:$A,M13376,'Barang Keluar'!$C:$C,N13376))</f>
        <v>0</v>
      </c>
    </row>
    <row r="13377" spans="13:16">
      <c r="M13377" s="49">
        <f>IF($A$4+133&gt;$B$4,"",$A$4+133)</f>
        <v>46156</v>
      </c>
      <c r="N13377">
        <f>IF(M13377="","",'Master Barang'!A71)</f>
        <v>0</v>
      </c>
      <c r="O13377">
        <f>IF(N13377="","",'Master Barang'!B71)</f>
        <v>0</v>
      </c>
      <c r="P13377">
        <f>IF(OR(M13377="",N13377=""),"",SUMIFS('Barang Keluar'!$E:$E,'Barang Keluar'!$A:$A,M13377,'Barang Keluar'!$C:$C,N13377))</f>
        <v>0</v>
      </c>
    </row>
    <row r="13378" spans="13:16">
      <c r="M13378" s="49">
        <f>IF($A$4+133&gt;$B$4,"",$A$4+133)</f>
        <v>46156</v>
      </c>
      <c r="N13378">
        <f>IF(M13378="","",'Master Barang'!A72)</f>
        <v>0</v>
      </c>
      <c r="O13378">
        <f>IF(N13378="","",'Master Barang'!B72)</f>
        <v>0</v>
      </c>
      <c r="P13378">
        <f>IF(OR(M13378="",N13378=""),"",SUMIFS('Barang Keluar'!$E:$E,'Barang Keluar'!$A:$A,M13378,'Barang Keluar'!$C:$C,N13378))</f>
        <v>0</v>
      </c>
    </row>
    <row r="13379" spans="13:16">
      <c r="M13379" s="49">
        <f>IF($A$4+133&gt;$B$4,"",$A$4+133)</f>
        <v>46156</v>
      </c>
      <c r="N13379">
        <f>IF(M13379="","",'Master Barang'!A73)</f>
        <v>0</v>
      </c>
      <c r="O13379">
        <f>IF(N13379="","",'Master Barang'!B73)</f>
        <v>0</v>
      </c>
      <c r="P13379">
        <f>IF(OR(M13379="",N13379=""),"",SUMIFS('Barang Keluar'!$E:$E,'Barang Keluar'!$A:$A,M13379,'Barang Keluar'!$C:$C,N13379))</f>
        <v>0</v>
      </c>
    </row>
    <row r="13380" spans="13:16">
      <c r="M13380" s="49">
        <f>IF($A$4+133&gt;$B$4,"",$A$4+133)</f>
        <v>46156</v>
      </c>
      <c r="N13380">
        <f>IF(M13380="","",'Master Barang'!A74)</f>
        <v>0</v>
      </c>
      <c r="O13380">
        <f>IF(N13380="","",'Master Barang'!B74)</f>
        <v>0</v>
      </c>
      <c r="P13380">
        <f>IF(OR(M13380="",N13380=""),"",SUMIFS('Barang Keluar'!$E:$E,'Barang Keluar'!$A:$A,M13380,'Barang Keluar'!$C:$C,N13380))</f>
        <v>0</v>
      </c>
    </row>
    <row r="13381" spans="13:16">
      <c r="M13381" s="49">
        <f>IF($A$4+133&gt;$B$4,"",$A$4+133)</f>
        <v>46156</v>
      </c>
      <c r="N13381">
        <f>IF(M13381="","",'Master Barang'!A75)</f>
        <v>0</v>
      </c>
      <c r="O13381">
        <f>IF(N13381="","",'Master Barang'!B75)</f>
        <v>0</v>
      </c>
      <c r="P13381">
        <f>IF(OR(M13381="",N13381=""),"",SUMIFS('Barang Keluar'!$E:$E,'Barang Keluar'!$A:$A,M13381,'Barang Keluar'!$C:$C,N13381))</f>
        <v>0</v>
      </c>
    </row>
    <row r="13382" spans="13:16">
      <c r="M13382" s="49">
        <f>IF($A$4+133&gt;$B$4,"",$A$4+133)</f>
        <v>46156</v>
      </c>
      <c r="N13382">
        <f>IF(M13382="","",'Master Barang'!A76)</f>
        <v>0</v>
      </c>
      <c r="O13382">
        <f>IF(N13382="","",'Master Barang'!B76)</f>
        <v>0</v>
      </c>
      <c r="P13382">
        <f>IF(OR(M13382="",N13382=""),"",SUMIFS('Barang Keluar'!$E:$E,'Barang Keluar'!$A:$A,M13382,'Barang Keluar'!$C:$C,N13382))</f>
        <v>0</v>
      </c>
    </row>
    <row r="13383" spans="13:16">
      <c r="M13383" s="49">
        <f>IF($A$4+133&gt;$B$4,"",$A$4+133)</f>
        <v>46156</v>
      </c>
      <c r="N13383">
        <f>IF(M13383="","",'Master Barang'!A77)</f>
        <v>0</v>
      </c>
      <c r="O13383">
        <f>IF(N13383="","",'Master Barang'!B77)</f>
        <v>0</v>
      </c>
      <c r="P13383">
        <f>IF(OR(M13383="",N13383=""),"",SUMIFS('Barang Keluar'!$E:$E,'Barang Keluar'!$A:$A,M13383,'Barang Keluar'!$C:$C,N13383))</f>
        <v>0</v>
      </c>
    </row>
    <row r="13384" spans="13:16">
      <c r="M13384" s="49">
        <f>IF($A$4+133&gt;$B$4,"",$A$4+133)</f>
        <v>46156</v>
      </c>
      <c r="N13384">
        <f>IF(M13384="","",'Master Barang'!A78)</f>
        <v>0</v>
      </c>
      <c r="O13384">
        <f>IF(N13384="","",'Master Barang'!B78)</f>
        <v>0</v>
      </c>
      <c r="P13384">
        <f>IF(OR(M13384="",N13384=""),"",SUMIFS('Barang Keluar'!$E:$E,'Barang Keluar'!$A:$A,M13384,'Barang Keluar'!$C:$C,N13384))</f>
        <v>0</v>
      </c>
    </row>
    <row r="13385" spans="13:16">
      <c r="M13385" s="49">
        <f>IF($A$4+133&gt;$B$4,"",$A$4+133)</f>
        <v>46156</v>
      </c>
      <c r="N13385">
        <f>IF(M13385="","",'Master Barang'!A79)</f>
        <v>0</v>
      </c>
      <c r="O13385">
        <f>IF(N13385="","",'Master Barang'!B79)</f>
        <v>0</v>
      </c>
      <c r="P13385">
        <f>IF(OR(M13385="",N13385=""),"",SUMIFS('Barang Keluar'!$E:$E,'Barang Keluar'!$A:$A,M13385,'Barang Keluar'!$C:$C,N13385))</f>
        <v>0</v>
      </c>
    </row>
    <row r="13386" spans="13:16">
      <c r="M13386" s="49">
        <f>IF($A$4+133&gt;$B$4,"",$A$4+133)</f>
        <v>46156</v>
      </c>
      <c r="N13386">
        <f>IF(M13386="","",'Master Barang'!A80)</f>
        <v>0</v>
      </c>
      <c r="O13386">
        <f>IF(N13386="","",'Master Barang'!B80)</f>
        <v>0</v>
      </c>
      <c r="P13386">
        <f>IF(OR(M13386="",N13386=""),"",SUMIFS('Barang Keluar'!$E:$E,'Barang Keluar'!$A:$A,M13386,'Barang Keluar'!$C:$C,N13386))</f>
        <v>0</v>
      </c>
    </row>
    <row r="13387" spans="13:16">
      <c r="M13387" s="49">
        <f>IF($A$4+133&gt;$B$4,"",$A$4+133)</f>
        <v>46156</v>
      </c>
      <c r="N13387">
        <f>IF(M13387="","",'Master Barang'!A81)</f>
        <v>0</v>
      </c>
      <c r="O13387">
        <f>IF(N13387="","",'Master Barang'!B81)</f>
        <v>0</v>
      </c>
      <c r="P13387">
        <f>IF(OR(M13387="",N13387=""),"",SUMIFS('Barang Keluar'!$E:$E,'Barang Keluar'!$A:$A,M13387,'Barang Keluar'!$C:$C,N13387))</f>
        <v>0</v>
      </c>
    </row>
    <row r="13388" spans="13:16">
      <c r="M13388" s="49">
        <f>IF($A$4+133&gt;$B$4,"",$A$4+133)</f>
        <v>46156</v>
      </c>
      <c r="N13388">
        <f>IF(M13388="","",'Master Barang'!A82)</f>
        <v>0</v>
      </c>
      <c r="O13388">
        <f>IF(N13388="","",'Master Barang'!B82)</f>
        <v>0</v>
      </c>
      <c r="P13388">
        <f>IF(OR(M13388="",N13388=""),"",SUMIFS('Barang Keluar'!$E:$E,'Barang Keluar'!$A:$A,M13388,'Barang Keluar'!$C:$C,N13388))</f>
        <v>0</v>
      </c>
    </row>
    <row r="13389" spans="13:16">
      <c r="M13389" s="49">
        <f>IF($A$4+133&gt;$B$4,"",$A$4+133)</f>
        <v>46156</v>
      </c>
      <c r="N13389">
        <f>IF(M13389="","",'Master Barang'!A83)</f>
        <v>0</v>
      </c>
      <c r="O13389">
        <f>IF(N13389="","",'Master Barang'!B83)</f>
        <v>0</v>
      </c>
      <c r="P13389">
        <f>IF(OR(M13389="",N13389=""),"",SUMIFS('Barang Keluar'!$E:$E,'Barang Keluar'!$A:$A,M13389,'Barang Keluar'!$C:$C,N13389))</f>
        <v>0</v>
      </c>
    </row>
    <row r="13390" spans="13:16">
      <c r="M13390" s="49">
        <f>IF($A$4+133&gt;$B$4,"",$A$4+133)</f>
        <v>46156</v>
      </c>
      <c r="N13390">
        <f>IF(M13390="","",'Master Barang'!A84)</f>
        <v>0</v>
      </c>
      <c r="O13390">
        <f>IF(N13390="","",'Master Barang'!B84)</f>
        <v>0</v>
      </c>
      <c r="P13390">
        <f>IF(OR(M13390="",N13390=""),"",SUMIFS('Barang Keluar'!$E:$E,'Barang Keluar'!$A:$A,M13390,'Barang Keluar'!$C:$C,N13390))</f>
        <v>0</v>
      </c>
    </row>
    <row r="13391" spans="13:16">
      <c r="M13391" s="49">
        <f>IF($A$4+133&gt;$B$4,"",$A$4+133)</f>
        <v>46156</v>
      </c>
      <c r="N13391">
        <f>IF(M13391="","",'Master Barang'!A85)</f>
        <v>0</v>
      </c>
      <c r="O13391">
        <f>IF(N13391="","",'Master Barang'!B85)</f>
        <v>0</v>
      </c>
      <c r="P13391">
        <f>IF(OR(M13391="",N13391=""),"",SUMIFS('Barang Keluar'!$E:$E,'Barang Keluar'!$A:$A,M13391,'Barang Keluar'!$C:$C,N13391))</f>
        <v>0</v>
      </c>
    </row>
    <row r="13392" spans="13:16">
      <c r="M13392" s="49">
        <f>IF($A$4+133&gt;$B$4,"",$A$4+133)</f>
        <v>46156</v>
      </c>
      <c r="N13392">
        <f>IF(M13392="","",'Master Barang'!A86)</f>
        <v>0</v>
      </c>
      <c r="O13392">
        <f>IF(N13392="","",'Master Barang'!B86)</f>
        <v>0</v>
      </c>
      <c r="P13392">
        <f>IF(OR(M13392="",N13392=""),"",SUMIFS('Barang Keluar'!$E:$E,'Barang Keluar'!$A:$A,M13392,'Barang Keluar'!$C:$C,N13392))</f>
        <v>0</v>
      </c>
    </row>
    <row r="13393" spans="13:16">
      <c r="M13393" s="49">
        <f>IF($A$4+133&gt;$B$4,"",$A$4+133)</f>
        <v>46156</v>
      </c>
      <c r="N13393">
        <f>IF(M13393="","",'Master Barang'!A87)</f>
        <v>0</v>
      </c>
      <c r="O13393">
        <f>IF(N13393="","",'Master Barang'!B87)</f>
        <v>0</v>
      </c>
      <c r="P13393">
        <f>IF(OR(M13393="",N13393=""),"",SUMIFS('Barang Keluar'!$E:$E,'Barang Keluar'!$A:$A,M13393,'Barang Keluar'!$C:$C,N13393))</f>
        <v>0</v>
      </c>
    </row>
    <row r="13394" spans="13:16">
      <c r="M13394" s="49">
        <f>IF($A$4+133&gt;$B$4,"",$A$4+133)</f>
        <v>46156</v>
      </c>
      <c r="N13394">
        <f>IF(M13394="","",'Master Barang'!A88)</f>
        <v>0</v>
      </c>
      <c r="O13394">
        <f>IF(N13394="","",'Master Barang'!B88)</f>
        <v>0</v>
      </c>
      <c r="P13394">
        <f>IF(OR(M13394="",N13394=""),"",SUMIFS('Barang Keluar'!$E:$E,'Barang Keluar'!$A:$A,M13394,'Barang Keluar'!$C:$C,N13394))</f>
        <v>0</v>
      </c>
    </row>
    <row r="13395" spans="13:16">
      <c r="M13395" s="49">
        <f>IF($A$4+133&gt;$B$4,"",$A$4+133)</f>
        <v>46156</v>
      </c>
      <c r="N13395">
        <f>IF(M13395="","",'Master Barang'!A89)</f>
        <v>0</v>
      </c>
      <c r="O13395">
        <f>IF(N13395="","",'Master Barang'!B89)</f>
        <v>0</v>
      </c>
      <c r="P13395">
        <f>IF(OR(M13395="",N13395=""),"",SUMIFS('Barang Keluar'!$E:$E,'Barang Keluar'!$A:$A,M13395,'Barang Keluar'!$C:$C,N13395))</f>
        <v>0</v>
      </c>
    </row>
    <row r="13396" spans="13:16">
      <c r="M13396" s="49">
        <f>IF($A$4+133&gt;$B$4,"",$A$4+133)</f>
        <v>46156</v>
      </c>
      <c r="N13396">
        <f>IF(M13396="","",'Master Barang'!A90)</f>
        <v>0</v>
      </c>
      <c r="O13396">
        <f>IF(N13396="","",'Master Barang'!B90)</f>
        <v>0</v>
      </c>
      <c r="P13396">
        <f>IF(OR(M13396="",N13396=""),"",SUMIFS('Barang Keluar'!$E:$E,'Barang Keluar'!$A:$A,M13396,'Barang Keluar'!$C:$C,N13396))</f>
        <v>0</v>
      </c>
    </row>
    <row r="13397" spans="13:16">
      <c r="M13397" s="49">
        <f>IF($A$4+133&gt;$B$4,"",$A$4+133)</f>
        <v>46156</v>
      </c>
      <c r="N13397">
        <f>IF(M13397="","",'Master Barang'!A91)</f>
        <v>0</v>
      </c>
      <c r="O13397">
        <f>IF(N13397="","",'Master Barang'!B91)</f>
        <v>0</v>
      </c>
      <c r="P13397">
        <f>IF(OR(M13397="",N13397=""),"",SUMIFS('Barang Keluar'!$E:$E,'Barang Keluar'!$A:$A,M13397,'Barang Keluar'!$C:$C,N13397))</f>
        <v>0</v>
      </c>
    </row>
    <row r="13398" spans="13:16">
      <c r="M13398" s="49">
        <f>IF($A$4+133&gt;$B$4,"",$A$4+133)</f>
        <v>46156</v>
      </c>
      <c r="N13398">
        <f>IF(M13398="","",'Master Barang'!A92)</f>
        <v>0</v>
      </c>
      <c r="O13398">
        <f>IF(N13398="","",'Master Barang'!B92)</f>
        <v>0</v>
      </c>
      <c r="P13398">
        <f>IF(OR(M13398="",N13398=""),"",SUMIFS('Barang Keluar'!$E:$E,'Barang Keluar'!$A:$A,M13398,'Barang Keluar'!$C:$C,N13398))</f>
        <v>0</v>
      </c>
    </row>
    <row r="13399" spans="13:16">
      <c r="M13399" s="49">
        <f>IF($A$4+133&gt;$B$4,"",$A$4+133)</f>
        <v>46156</v>
      </c>
      <c r="N13399">
        <f>IF(M13399="","",'Master Barang'!A93)</f>
        <v>0</v>
      </c>
      <c r="O13399">
        <f>IF(N13399="","",'Master Barang'!B93)</f>
        <v>0</v>
      </c>
      <c r="P13399">
        <f>IF(OR(M13399="",N13399=""),"",SUMIFS('Barang Keluar'!$E:$E,'Barang Keluar'!$A:$A,M13399,'Barang Keluar'!$C:$C,N13399))</f>
        <v>0</v>
      </c>
    </row>
    <row r="13400" spans="13:16">
      <c r="M13400" s="49">
        <f>IF($A$4+133&gt;$B$4,"",$A$4+133)</f>
        <v>46156</v>
      </c>
      <c r="N13400">
        <f>IF(M13400="","",'Master Barang'!A94)</f>
        <v>0</v>
      </c>
      <c r="O13400">
        <f>IF(N13400="","",'Master Barang'!B94)</f>
        <v>0</v>
      </c>
      <c r="P13400">
        <f>IF(OR(M13400="",N13400=""),"",SUMIFS('Barang Keluar'!$E:$E,'Barang Keluar'!$A:$A,M13400,'Barang Keluar'!$C:$C,N13400))</f>
        <v>0</v>
      </c>
    </row>
    <row r="13401" spans="13:16">
      <c r="M13401" s="49">
        <f>IF($A$4+133&gt;$B$4,"",$A$4+133)</f>
        <v>46156</v>
      </c>
      <c r="N13401">
        <f>IF(M13401="","",'Master Barang'!A95)</f>
        <v>0</v>
      </c>
      <c r="O13401">
        <f>IF(N13401="","",'Master Barang'!B95)</f>
        <v>0</v>
      </c>
      <c r="P13401">
        <f>IF(OR(M13401="",N13401=""),"",SUMIFS('Barang Keluar'!$E:$E,'Barang Keluar'!$A:$A,M13401,'Barang Keluar'!$C:$C,N13401))</f>
        <v>0</v>
      </c>
    </row>
    <row r="13402" spans="13:16">
      <c r="M13402" s="49">
        <f>IF($A$4+133&gt;$B$4,"",$A$4+133)</f>
        <v>46156</v>
      </c>
      <c r="N13402">
        <f>IF(M13402="","",'Master Barang'!A96)</f>
        <v>0</v>
      </c>
      <c r="O13402">
        <f>IF(N13402="","",'Master Barang'!B96)</f>
        <v>0</v>
      </c>
      <c r="P13402">
        <f>IF(OR(M13402="",N13402=""),"",SUMIFS('Barang Keluar'!$E:$E,'Barang Keluar'!$A:$A,M13402,'Barang Keluar'!$C:$C,N13402))</f>
        <v>0</v>
      </c>
    </row>
    <row r="13403" spans="13:16">
      <c r="M13403" s="49">
        <f>IF($A$4+133&gt;$B$4,"",$A$4+133)</f>
        <v>46156</v>
      </c>
      <c r="N13403">
        <f>IF(M13403="","",'Master Barang'!A97)</f>
        <v>0</v>
      </c>
      <c r="O13403">
        <f>IF(N13403="","",'Master Barang'!B97)</f>
        <v>0</v>
      </c>
      <c r="P13403">
        <f>IF(OR(M13403="",N13403=""),"",SUMIFS('Barang Keluar'!$E:$E,'Barang Keluar'!$A:$A,M13403,'Barang Keluar'!$C:$C,N13403))</f>
        <v>0</v>
      </c>
    </row>
    <row r="13404" spans="13:16">
      <c r="M13404" s="49">
        <f>IF($A$4+133&gt;$B$4,"",$A$4+133)</f>
        <v>46156</v>
      </c>
      <c r="N13404">
        <f>IF(M13404="","",'Master Barang'!A98)</f>
        <v>0</v>
      </c>
      <c r="O13404">
        <f>IF(N13404="","",'Master Barang'!B98)</f>
        <v>0</v>
      </c>
      <c r="P13404">
        <f>IF(OR(M13404="",N13404=""),"",SUMIFS('Barang Keluar'!$E:$E,'Barang Keluar'!$A:$A,M13404,'Barang Keluar'!$C:$C,N13404))</f>
        <v>0</v>
      </c>
    </row>
    <row r="13405" spans="13:16">
      <c r="M13405" s="49">
        <f>IF($A$4+133&gt;$B$4,"",$A$4+133)</f>
        <v>46156</v>
      </c>
      <c r="N13405">
        <f>IF(M13405="","",'Master Barang'!A99)</f>
        <v>0</v>
      </c>
      <c r="O13405">
        <f>IF(N13405="","",'Master Barang'!B99)</f>
        <v>0</v>
      </c>
      <c r="P13405">
        <f>IF(OR(M13405="",N13405=""),"",SUMIFS('Barang Keluar'!$E:$E,'Barang Keluar'!$A:$A,M13405,'Barang Keluar'!$C:$C,N13405))</f>
        <v>0</v>
      </c>
    </row>
    <row r="13406" spans="13:16">
      <c r="M13406" s="49">
        <f>IF($A$4+133&gt;$B$4,"",$A$4+133)</f>
        <v>46156</v>
      </c>
      <c r="N13406">
        <f>IF(M13406="","",'Master Barang'!A100)</f>
        <v>0</v>
      </c>
      <c r="O13406">
        <f>IF(N13406="","",'Master Barang'!B100)</f>
        <v>0</v>
      </c>
      <c r="P13406">
        <f>IF(OR(M13406="",N13406=""),"",SUMIFS('Barang Keluar'!$E:$E,'Barang Keluar'!$A:$A,M13406,'Barang Keluar'!$C:$C,N13406))</f>
        <v>0</v>
      </c>
    </row>
    <row r="13407" spans="13:16">
      <c r="M13407" s="49">
        <f>IF($A$4+133&gt;$B$4,"",$A$4+133)</f>
        <v>46156</v>
      </c>
      <c r="N13407">
        <f>IF(M13407="","",'Master Barang'!A101)</f>
        <v>0</v>
      </c>
      <c r="O13407">
        <f>IF(N13407="","",'Master Barang'!B101)</f>
        <v>0</v>
      </c>
      <c r="P13407">
        <f>IF(OR(M13407="",N13407=""),"",SUMIFS('Barang Keluar'!$E:$E,'Barang Keluar'!$A:$A,M13407,'Barang Keluar'!$C:$C,N13407))</f>
        <v>0</v>
      </c>
    </row>
    <row r="13408" spans="13:16">
      <c r="M13408" s="49">
        <f>IF($A$4+134&gt;$B$4,"",$A$4+134)</f>
        <v>46157</v>
      </c>
      <c r="N13408" t="str">
        <f>IF(M13408="","",'Master Barang'!A2)</f>
        <v>PRL-001</v>
      </c>
      <c r="O13408" t="str">
        <f>IF(N13408="","",'Master Barang'!B2)</f>
        <v>natura desinfectant food grade 5l</v>
      </c>
      <c r="P13408">
        <f>IF(OR(M13408="",N13408=""),"",SUMIFS('Barang Keluar'!$E:$E,'Barang Keluar'!$A:$A,M13408,'Barang Keluar'!$C:$C,N13408))</f>
        <v>0</v>
      </c>
    </row>
    <row r="13409" spans="13:16">
      <c r="M13409" s="49">
        <f>IF($A$4+134&gt;$B$4,"",$A$4+134)</f>
        <v>46157</v>
      </c>
      <c r="N13409" t="str">
        <f>IF(M13409="","",'Master Barang'!A3)</f>
        <v>PRL-002</v>
      </c>
      <c r="O13409" t="str">
        <f>IF(N13409="","",'Master Barang'!B3)</f>
        <v>sunlight cairan pencuci piring 5l</v>
      </c>
      <c r="P13409">
        <f>IF(OR(M13409="",N13409=""),"",SUMIFS('Barang Keluar'!$E:$E,'Barang Keluar'!$A:$A,M13409,'Barang Keluar'!$C:$C,N13409))</f>
        <v>0</v>
      </c>
    </row>
    <row r="13410" spans="13:16">
      <c r="M13410" s="49">
        <f>IF($A$4+134&gt;$B$4,"",$A$4+134)</f>
        <v>46157</v>
      </c>
      <c r="N13410" t="str">
        <f>IF(M13410="","",'Master Barang'!A4)</f>
        <v>PRL-003</v>
      </c>
      <c r="O13410" t="str">
        <f>IF(N13410="","",'Master Barang'!B4)</f>
        <v>oixs cleaner 1l</v>
      </c>
      <c r="P13410">
        <f>IF(OR(M13410="",N13410=""),"",SUMIFS('Barang Keluar'!$E:$E,'Barang Keluar'!$A:$A,M13410,'Barang Keluar'!$C:$C,N13410))</f>
        <v>0</v>
      </c>
    </row>
    <row r="13411" spans="13:16">
      <c r="M13411" s="49">
        <f>IF($A$4+134&gt;$B$4,"",$A$4+134)</f>
        <v>46157</v>
      </c>
      <c r="N13411" t="str">
        <f>IF(M13411="","",'Master Barang'!A5)</f>
        <v>PRL-004</v>
      </c>
      <c r="O13411" t="str">
        <f>IF(N13411="","",'Master Barang'!B5)</f>
        <v>be clean tissue serbaguna</v>
      </c>
      <c r="P13411">
        <f>IF(OR(M13411="",N13411=""),"",SUMIFS('Barang Keluar'!$E:$E,'Barang Keluar'!$A:$A,M13411,'Barang Keluar'!$C:$C,N13411))</f>
        <v>0</v>
      </c>
    </row>
    <row r="13412" spans="13:16">
      <c r="M13412" s="49">
        <f>IF($A$4+134&gt;$B$4,"",$A$4+134)</f>
        <v>46157</v>
      </c>
      <c r="N13412" t="str">
        <f>IF(M13412="","",'Master Barang'!A6)</f>
        <v>PRL-005</v>
      </c>
      <c r="O13412" t="str">
        <f>IF(N13412="","",'Master Barang'!B6)</f>
        <v>spons cuci hijau</v>
      </c>
      <c r="P13412">
        <f>IF(OR(M13412="",N13412=""),"",SUMIFS('Barang Keluar'!$E:$E,'Barang Keluar'!$A:$A,M13412,'Barang Keluar'!$C:$C,N13412))</f>
        <v>0</v>
      </c>
    </row>
    <row r="13413" spans="13:16">
      <c r="M13413" s="49">
        <f>IF($A$4+134&gt;$B$4,"",$A$4+134)</f>
        <v>46157</v>
      </c>
      <c r="N13413" t="str">
        <f>IF(M13413="","",'Master Barang'!A7)</f>
        <v>PRL-006</v>
      </c>
      <c r="O13413" t="str">
        <f>IF(N13413="","",'Master Barang'!B7)</f>
        <v>sabut cuci stainless</v>
      </c>
      <c r="P13413">
        <f>IF(OR(M13413="",N13413=""),"",SUMIFS('Barang Keluar'!$E:$E,'Barang Keluar'!$A:$A,M13413,'Barang Keluar'!$C:$C,N13413))</f>
        <v>0</v>
      </c>
    </row>
    <row r="13414" spans="13:16">
      <c r="M13414" s="49">
        <f>IF($A$4+134&gt;$B$4,"",$A$4+134)</f>
        <v>46157</v>
      </c>
      <c r="N13414" t="str">
        <f>IF(M13414="","",'Master Barang'!A8)</f>
        <v>PRL-007</v>
      </c>
      <c r="O13414" t="str">
        <f>IF(N13414="","",'Master Barang'!B8)</f>
        <v>plastik kresek besar merah 50pc</v>
      </c>
      <c r="P13414">
        <f>IF(OR(M13414="",N13414=""),"",SUMIFS('Barang Keluar'!$E:$E,'Barang Keluar'!$A:$A,M13414,'Barang Keluar'!$C:$C,N13414))</f>
        <v>0</v>
      </c>
    </row>
    <row r="13415" spans="13:16">
      <c r="M13415" s="49">
        <f>IF($A$4+134&gt;$B$4,"",$A$4+134)</f>
        <v>46157</v>
      </c>
      <c r="N13415" t="str">
        <f>IF(M13415="","",'Master Barang'!A9)</f>
        <v>PRL-008</v>
      </c>
      <c r="O13415" t="str">
        <f>IF(N13415="","",'Master Barang'!B9)</f>
        <v>lap besar</v>
      </c>
      <c r="P13415">
        <f>IF(OR(M13415="",N13415=""),"",SUMIFS('Barang Keluar'!$E:$E,'Barang Keluar'!$A:$A,M13415,'Barang Keluar'!$C:$C,N13415))</f>
        <v>0</v>
      </c>
    </row>
    <row r="13416" spans="13:16">
      <c r="M13416" s="49">
        <f>IF($A$4+134&gt;$B$4,"",$A$4+134)</f>
        <v>46157</v>
      </c>
      <c r="N13416" t="str">
        <f>IF(M13416="","",'Master Barang'!A10)</f>
        <v>PRL-009</v>
      </c>
      <c r="O13416" t="str">
        <f>IF(N13416="","",'Master Barang'!B10)</f>
        <v>lap microfiber</v>
      </c>
      <c r="P13416">
        <f>IF(OR(M13416="",N13416=""),"",SUMIFS('Barang Keluar'!$E:$E,'Barang Keluar'!$A:$A,M13416,'Barang Keluar'!$C:$C,N13416))</f>
        <v>0</v>
      </c>
    </row>
    <row r="13417" spans="13:16">
      <c r="M13417" s="49">
        <f>IF($A$4+134&gt;$B$4,"",$A$4+134)</f>
        <v>46157</v>
      </c>
      <c r="N13417" t="str">
        <f>IF(M13417="","",'Master Barang'!A11)</f>
        <v>PRL-010</v>
      </c>
      <c r="O13417" t="str">
        <f>IF(N13417="","",'Master Barang'!B11)</f>
        <v>lap kecil</v>
      </c>
      <c r="P13417">
        <f>IF(OR(M13417="",N13417=""),"",SUMIFS('Barang Keluar'!$E:$E,'Barang Keluar'!$A:$A,M13417,'Barang Keluar'!$C:$C,N13417))</f>
        <v>0</v>
      </c>
    </row>
    <row r="13418" spans="13:16">
      <c r="M13418" s="49">
        <f>IF($A$4+134&gt;$B$4,"",$A$4+134)</f>
        <v>46157</v>
      </c>
      <c r="N13418" t="str">
        <f>IF(M13418="","",'Master Barang'!A12)</f>
        <v>PRL-011</v>
      </c>
      <c r="O13418" t="str">
        <f>IF(N13418="","",'Master Barang'!B12)</f>
        <v>kanebo kecil</v>
      </c>
      <c r="P13418">
        <f>IF(OR(M13418="",N13418=""),"",SUMIFS('Barang Keluar'!$E:$E,'Barang Keluar'!$A:$A,M13418,'Barang Keluar'!$C:$C,N13418))</f>
        <v>0</v>
      </c>
    </row>
    <row r="13419" spans="13:16">
      <c r="M13419" s="49">
        <f>IF($A$4+134&gt;$B$4,"",$A$4+134)</f>
        <v>46157</v>
      </c>
      <c r="N13419" t="str">
        <f>IF(M13419="","",'Master Barang'!A13)</f>
        <v>PRL-012</v>
      </c>
      <c r="O13419" t="str">
        <f>IF(N13419="","",'Master Barang'!B13)</f>
        <v>plastik 1/4kg joyoboyo 100 lembar</v>
      </c>
      <c r="P13419">
        <f>IF(OR(M13419="",N13419=""),"",SUMIFS('Barang Keluar'!$E:$E,'Barang Keluar'!$A:$A,M13419,'Barang Keluar'!$C:$C,N13419))</f>
        <v>0</v>
      </c>
    </row>
    <row r="13420" spans="13:16">
      <c r="M13420" s="49">
        <f>IF($A$4+134&gt;$B$4,"",$A$4+134)</f>
        <v>46157</v>
      </c>
      <c r="N13420" t="str">
        <f>IF(M13420="","",'Master Barang'!A14)</f>
        <v>PRL-013</v>
      </c>
      <c r="O13420" t="str">
        <f>IF(N13420="","",'Master Barang'!B14)</f>
        <v>sarung tangan plastik kaka 100 pcs</v>
      </c>
      <c r="P13420">
        <f>IF(OR(M13420="",N13420=""),"",SUMIFS('Barang Keluar'!$E:$E,'Barang Keluar'!$A:$A,M13420,'Barang Keluar'!$C:$C,N13420))</f>
        <v>0</v>
      </c>
    </row>
    <row r="13421" spans="13:16">
      <c r="M13421" s="49">
        <f>IF($A$4+134&gt;$B$4,"",$A$4+134)</f>
        <v>46157</v>
      </c>
      <c r="N13421" t="str">
        <f>IF(M13421="","",'Master Barang'!A15)</f>
        <v>PRL-014</v>
      </c>
      <c r="O13421" t="str">
        <f>IF(N13421="","",'Master Barang'!B15)</f>
        <v>optima trashbag 80x100</v>
      </c>
      <c r="P13421">
        <f>IF(OR(M13421="",N13421=""),"",SUMIFS('Barang Keluar'!$E:$E,'Barang Keluar'!$A:$A,M13421,'Barang Keluar'!$C:$C,N13421))</f>
        <v>0</v>
      </c>
    </row>
    <row r="13422" spans="13:16">
      <c r="M13422" s="49">
        <f>IF($A$4+134&gt;$B$4,"",$A$4+134)</f>
        <v>46157</v>
      </c>
      <c r="N13422" t="str">
        <f>IF(M13422="","",'Master Barang'!A16)</f>
        <v>PRL-015</v>
      </c>
      <c r="O13422" t="str">
        <f>IF(N13422="","",'Master Barang'!B16)</f>
        <v>optima trashbag 60x100</v>
      </c>
      <c r="P13422">
        <f>IF(OR(M13422="",N13422=""),"",SUMIFS('Barang Keluar'!$E:$E,'Barang Keluar'!$A:$A,M13422,'Barang Keluar'!$C:$C,N13422))</f>
        <v>0</v>
      </c>
    </row>
    <row r="13423" spans="13:16">
      <c r="M13423" s="49">
        <f>IF($A$4+134&gt;$B$4,"",$A$4+134)</f>
        <v>46157</v>
      </c>
      <c r="N13423" t="str">
        <f>IF(M13423="","",'Master Barang'!A17)</f>
        <v>PRL-016</v>
      </c>
      <c r="O13423" t="str">
        <f>IF(N13423="","",'Master Barang'!B17)</f>
        <v>rajawali trashbag 30x40</v>
      </c>
      <c r="P13423">
        <f>IF(OR(M13423="",N13423=""),"",SUMIFS('Barang Keluar'!$E:$E,'Barang Keluar'!$A:$A,M13423,'Barang Keluar'!$C:$C,N13423))</f>
        <v>0</v>
      </c>
    </row>
    <row r="13424" spans="13:16">
      <c r="M13424" s="49">
        <f>IF($A$4+134&gt;$B$4,"",$A$4+134)</f>
        <v>46157</v>
      </c>
      <c r="N13424" t="str">
        <f>IF(M13424="","",'Master Barang'!A18)</f>
        <v>PRL-017</v>
      </c>
      <c r="O13424" t="str">
        <f>IF(N13424="","",'Master Barang'!B18)</f>
        <v>onemed masker biru 3 play 50 pcs</v>
      </c>
      <c r="P13424">
        <f>IF(OR(M13424="",N13424=""),"",SUMIFS('Barang Keluar'!$E:$E,'Barang Keluar'!$A:$A,M13424,'Barang Keluar'!$C:$C,N13424))</f>
        <v>0</v>
      </c>
    </row>
    <row r="13425" spans="13:16">
      <c r="M13425" s="49">
        <f>IF($A$4+134&gt;$B$4,"",$A$4+134)</f>
        <v>46157</v>
      </c>
      <c r="N13425" t="str">
        <f>IF(M13425="","",'Master Barang'!A19)</f>
        <v>PRL-018</v>
      </c>
      <c r="O13425" t="str">
        <f>IF(N13425="","",'Master Barang'!B19)</f>
        <v>onemed masker biru 3 play hijab 50 pcs</v>
      </c>
      <c r="P13425">
        <f>IF(OR(M13425="",N13425=""),"",SUMIFS('Barang Keluar'!$E:$E,'Barang Keluar'!$A:$A,M13425,'Barang Keluar'!$C:$C,N13425))</f>
        <v>0</v>
      </c>
    </row>
    <row r="13426" spans="13:16">
      <c r="M13426" s="49">
        <f>IF($A$4+134&gt;$B$4,"",$A$4+134)</f>
        <v>46157</v>
      </c>
      <c r="N13426" t="str">
        <f>IF(M13426="","",'Master Barang'!A20)</f>
        <v>PRL-019</v>
      </c>
      <c r="O13426" t="str">
        <f>IF(N13426="","",'Master Barang'!B20)</f>
        <v>neo health masker biru 3 play 50 pcs</v>
      </c>
      <c r="P13426">
        <f>IF(OR(M13426="",N13426=""),"",SUMIFS('Barang Keluar'!$E:$E,'Barang Keluar'!$A:$A,M13426,'Barang Keluar'!$C:$C,N13426))</f>
        <v>0</v>
      </c>
    </row>
    <row r="13427" spans="13:16">
      <c r="M13427" s="49">
        <f>IF($A$4+134&gt;$B$4,"",$A$4+134)</f>
        <v>46157</v>
      </c>
      <c r="N13427" t="str">
        <f>IF(M13427="","",'Master Barang'!A21)</f>
        <v>PRL-020</v>
      </c>
      <c r="O13427" t="str">
        <f>IF(N13427="","",'Master Barang'!B21)</f>
        <v>baymed masker hijau 3 play hijau 50 pcs</v>
      </c>
      <c r="P13427">
        <f>IF(OR(M13427="",N13427=""),"",SUMIFS('Barang Keluar'!$E:$E,'Barang Keluar'!$A:$A,M13427,'Barang Keluar'!$C:$C,N13427))</f>
        <v>0</v>
      </c>
    </row>
    <row r="13428" spans="13:16">
      <c r="M13428" s="49">
        <f>IF($A$4+134&gt;$B$4,"",$A$4+134)</f>
        <v>46157</v>
      </c>
      <c r="N13428" t="str">
        <f>IF(M13428="","",'Master Barang'!A22)</f>
        <v>PRL-021</v>
      </c>
      <c r="O13428" t="str">
        <f>IF(N13428="","",'Master Barang'!B22)</f>
        <v>altamed nurse cap penutup kepala 100 pcs</v>
      </c>
      <c r="P13428">
        <f>IF(OR(M13428="",N13428=""),"",SUMIFS('Barang Keluar'!$E:$E,'Barang Keluar'!$A:$A,M13428,'Barang Keluar'!$C:$C,N13428))</f>
        <v>0</v>
      </c>
    </row>
    <row r="13429" spans="13:16">
      <c r="M13429" s="49">
        <f>IF($A$4+134&gt;$B$4,"",$A$4+134)</f>
        <v>46157</v>
      </c>
      <c r="N13429" t="str">
        <f>IF(M13429="","",'Master Barang'!A23)</f>
        <v>PRL-022</v>
      </c>
      <c r="O13429" t="str">
        <f>IF(N13429="","",'Master Barang'!B23)</f>
        <v>sabun cuci tangan</v>
      </c>
      <c r="P13429">
        <f>IF(OR(M13429="",N13429=""),"",SUMIFS('Barang Keluar'!$E:$E,'Barang Keluar'!$A:$A,M13429,'Barang Keluar'!$C:$C,N13429))</f>
        <v>0</v>
      </c>
    </row>
    <row r="13430" spans="13:16">
      <c r="M13430" s="49">
        <f>IF($A$4+134&gt;$B$4,"",$A$4+134)</f>
        <v>46157</v>
      </c>
      <c r="N13430" t="str">
        <f>IF(M13430="","",'Master Barang'!A24)</f>
        <v>PRL-023</v>
      </c>
      <c r="O13430" t="str">
        <f>IF(N13430="","",'Master Barang'!B24)</f>
        <v>gayung kecil</v>
      </c>
      <c r="P13430">
        <f>IF(OR(M13430="",N13430=""),"",SUMIFS('Barang Keluar'!$E:$E,'Barang Keluar'!$A:$A,M13430,'Barang Keluar'!$C:$C,N13430))</f>
        <v>0</v>
      </c>
    </row>
    <row r="13431" spans="13:16">
      <c r="M13431" s="49">
        <f>IF($A$4+134&gt;$B$4,"",$A$4+134)</f>
        <v>46157</v>
      </c>
      <c r="N13431" t="str">
        <f>IF(M13431="","",'Master Barang'!A25)</f>
        <v>PRL-024</v>
      </c>
      <c r="O13431" t="str">
        <f>IF(N13431="","",'Master Barang'!B25)</f>
        <v>cikrak kecil</v>
      </c>
      <c r="P13431">
        <f>IF(OR(M13431="",N13431=""),"",SUMIFS('Barang Keluar'!$E:$E,'Barang Keluar'!$A:$A,M13431,'Barang Keluar'!$C:$C,N13431))</f>
        <v>0</v>
      </c>
    </row>
    <row r="13432" spans="13:16">
      <c r="M13432" s="49">
        <f>IF($A$4+134&gt;$B$4,"",$A$4+134)</f>
        <v>46157</v>
      </c>
      <c r="N13432" t="str">
        <f>IF(M13432="","",'Master Barang'!A26)</f>
        <v>PRL-025</v>
      </c>
      <c r="O13432" t="str">
        <f>IF(N13432="","",'Master Barang'!B26)</f>
        <v>petromax plastik kecil 12x24 100 lembar</v>
      </c>
      <c r="P13432">
        <f>IF(OR(M13432="",N13432=""),"",SUMIFS('Barang Keluar'!$E:$E,'Barang Keluar'!$A:$A,M13432,'Barang Keluar'!$C:$C,N13432))</f>
        <v>0</v>
      </c>
    </row>
    <row r="13433" spans="13:16">
      <c r="M13433" s="49">
        <f>IF($A$4+134&gt;$B$4,"",$A$4+134)</f>
        <v>46157</v>
      </c>
      <c r="N13433" t="str">
        <f>IF(M13433="","",'Master Barang'!A27)</f>
        <v>PRL-026</v>
      </c>
      <c r="O13433" t="str">
        <f>IF(N13433="","",'Master Barang'!B27)</f>
        <v>lancar kresek kecil bening </v>
      </c>
      <c r="P13433">
        <f>IF(OR(M13433="",N13433=""),"",SUMIFS('Barang Keluar'!$E:$E,'Barang Keluar'!$A:$A,M13433,'Barang Keluar'!$C:$C,N13433))</f>
        <v>0</v>
      </c>
    </row>
    <row r="13434" spans="13:16">
      <c r="M13434" s="49">
        <f>IF($A$4+134&gt;$B$4,"",$A$4+134)</f>
        <v>46157</v>
      </c>
      <c r="N13434" t="str">
        <f>IF(M13434="","",'Master Barang'!A28)</f>
        <v>PRL-027</v>
      </c>
      <c r="O13434" t="str">
        <f>IF(N13434="","",'Master Barang'!B28)</f>
        <v>kresek klin warna warni kecil</v>
      </c>
      <c r="P13434">
        <f>IF(OR(M13434="",N13434=""),"",SUMIFS('Barang Keluar'!$E:$E,'Barang Keluar'!$A:$A,M13434,'Barang Keluar'!$C:$C,N13434))</f>
        <v>0</v>
      </c>
    </row>
    <row r="13435" spans="13:16">
      <c r="M13435" s="49">
        <f>IF($A$4+134&gt;$B$4,"",$A$4+134)</f>
        <v>46157</v>
      </c>
      <c r="N13435" t="str">
        <f>IF(M13435="","",'Master Barang'!A29)</f>
        <v>PRL-028</v>
      </c>
      <c r="O13435" t="str">
        <f>IF(N13435="","",'Master Barang'!B29)</f>
        <v>ctik plastik 7x10 100 pcs</v>
      </c>
      <c r="P13435">
        <f>IF(OR(M13435="",N13435=""),"",SUMIFS('Barang Keluar'!$E:$E,'Barang Keluar'!$A:$A,M13435,'Barang Keluar'!$C:$C,N13435))</f>
        <v>0</v>
      </c>
    </row>
    <row r="13436" spans="13:16">
      <c r="M13436" s="49">
        <f>IF($A$4+134&gt;$B$4,"",$A$4+134)</f>
        <v>46157</v>
      </c>
      <c r="N13436" t="str">
        <f>IF(M13436="","",'Master Barang'!A30)</f>
        <v>PRL-029</v>
      </c>
      <c r="O13436" t="str">
        <f>IF(N13436="","",'Master Barang'!B30)</f>
        <v>ctik plastik 6x10 100 pcs</v>
      </c>
      <c r="P13436">
        <f>IF(OR(M13436="",N13436=""),"",SUMIFS('Barang Keluar'!$E:$E,'Barang Keluar'!$A:$A,M13436,'Barang Keluar'!$C:$C,N13436))</f>
        <v>0</v>
      </c>
    </row>
    <row r="13437" spans="13:16">
      <c r="M13437" s="49">
        <f>IF($A$4+134&gt;$B$4,"",$A$4+134)</f>
        <v>46157</v>
      </c>
      <c r="N13437" t="str">
        <f>IF(M13437="","",'Master Barang'!A31)</f>
        <v>PRL-030</v>
      </c>
      <c r="O13437" t="str">
        <f>IF(N13437="","",'Master Barang'!B31)</f>
        <v>klip plastik 25x16 100 pcs</v>
      </c>
      <c r="P13437">
        <f>IF(OR(M13437="",N13437=""),"",SUMIFS('Barang Keluar'!$E:$E,'Barang Keluar'!$A:$A,M13437,'Barang Keluar'!$C:$C,N13437))</f>
        <v>0</v>
      </c>
    </row>
    <row r="13438" spans="13:16">
      <c r="M13438" s="49">
        <f>IF($A$4+134&gt;$B$4,"",$A$4+134)</f>
        <v>46157</v>
      </c>
      <c r="N13438" t="str">
        <f>IF(M13438="","",'Master Barang'!A32)</f>
        <v>PRL-031</v>
      </c>
      <c r="O13438" t="str">
        <f>IF(N13438="","",'Master Barang'!B32)</f>
        <v>tempat saus 20 ml</v>
      </c>
      <c r="P13438">
        <f>IF(OR(M13438="",N13438=""),"",SUMIFS('Barang Keluar'!$E:$E,'Barang Keluar'!$A:$A,M13438,'Barang Keluar'!$C:$C,N13438))</f>
        <v>0</v>
      </c>
    </row>
    <row r="13439" spans="13:16">
      <c r="M13439" s="49">
        <f>IF($A$4+134&gt;$B$4,"",$A$4+134)</f>
        <v>46157</v>
      </c>
      <c r="N13439" t="str">
        <f>IF(M13439="","",'Master Barang'!A33)</f>
        <v>PRL-032</v>
      </c>
      <c r="O13439" t="str">
        <f>IF(N13439="","",'Master Barang'!B33)</f>
        <v>plastik packaging ag box uk sedang</v>
      </c>
      <c r="P13439">
        <f>IF(OR(M13439="",N13439=""),"",SUMIFS('Barang Keluar'!$E:$E,'Barang Keluar'!$A:$A,M13439,'Barang Keluar'!$C:$C,N13439))</f>
        <v>0</v>
      </c>
    </row>
    <row r="13440" spans="13:16">
      <c r="M13440" s="49">
        <f>IF($A$4+134&gt;$B$4,"",$A$4+134)</f>
        <v>46157</v>
      </c>
      <c r="N13440" t="str">
        <f>IF(M13440="","",'Master Barang'!A34)</f>
        <v>PRL-033</v>
      </c>
      <c r="O13440">
        <f>IF(N13440="","",'Master Barang'!B34)</f>
        <v>0</v>
      </c>
      <c r="P13440">
        <f>IF(OR(M13440="",N13440=""),"",SUMIFS('Barang Keluar'!$E:$E,'Barang Keluar'!$A:$A,M13440,'Barang Keluar'!$C:$C,N13440))</f>
        <v>0</v>
      </c>
    </row>
    <row r="13441" spans="13:16">
      <c r="M13441" s="49">
        <f>IF($A$4+134&gt;$B$4,"",$A$4+134)</f>
        <v>46157</v>
      </c>
      <c r="N13441">
        <f>IF(M13441="","",'Master Barang'!A35)</f>
        <v>0</v>
      </c>
      <c r="O13441">
        <f>IF(N13441="","",'Master Barang'!B35)</f>
        <v>0</v>
      </c>
      <c r="P13441">
        <f>IF(OR(M13441="",N13441=""),"",SUMIFS('Barang Keluar'!$E:$E,'Barang Keluar'!$A:$A,M13441,'Barang Keluar'!$C:$C,N13441))</f>
        <v>0</v>
      </c>
    </row>
    <row r="13442" spans="13:16">
      <c r="M13442" s="49">
        <f>IF($A$4+134&gt;$B$4,"",$A$4+134)</f>
        <v>46157</v>
      </c>
      <c r="N13442">
        <f>IF(M13442="","",'Master Barang'!A36)</f>
        <v>0</v>
      </c>
      <c r="O13442">
        <f>IF(N13442="","",'Master Barang'!B36)</f>
        <v>0</v>
      </c>
      <c r="P13442">
        <f>IF(OR(M13442="",N13442=""),"",SUMIFS('Barang Keluar'!$E:$E,'Barang Keluar'!$A:$A,M13442,'Barang Keluar'!$C:$C,N13442))</f>
        <v>0</v>
      </c>
    </row>
    <row r="13443" spans="13:16">
      <c r="M13443" s="49">
        <f>IF($A$4+134&gt;$B$4,"",$A$4+134)</f>
        <v>46157</v>
      </c>
      <c r="N13443">
        <f>IF(M13443="","",'Master Barang'!A37)</f>
        <v>0</v>
      </c>
      <c r="O13443">
        <f>IF(N13443="","",'Master Barang'!B37)</f>
        <v>0</v>
      </c>
      <c r="P13443">
        <f>IF(OR(M13443="",N13443=""),"",SUMIFS('Barang Keluar'!$E:$E,'Barang Keluar'!$A:$A,M13443,'Barang Keluar'!$C:$C,N13443))</f>
        <v>0</v>
      </c>
    </row>
    <row r="13444" spans="13:16">
      <c r="M13444" s="49">
        <f>IF($A$4+134&gt;$B$4,"",$A$4+134)</f>
        <v>46157</v>
      </c>
      <c r="N13444">
        <f>IF(M13444="","",'Master Barang'!A38)</f>
        <v>0</v>
      </c>
      <c r="O13444">
        <f>IF(N13444="","",'Master Barang'!B38)</f>
        <v>0</v>
      </c>
      <c r="P13444">
        <f>IF(OR(M13444="",N13444=""),"",SUMIFS('Barang Keluar'!$E:$E,'Barang Keluar'!$A:$A,M13444,'Barang Keluar'!$C:$C,N13444))</f>
        <v>0</v>
      </c>
    </row>
    <row r="13445" spans="13:16">
      <c r="M13445" s="49">
        <f>IF($A$4+134&gt;$B$4,"",$A$4+134)</f>
        <v>46157</v>
      </c>
      <c r="N13445">
        <f>IF(M13445="","",'Master Barang'!A39)</f>
        <v>0</v>
      </c>
      <c r="O13445">
        <f>IF(N13445="","",'Master Barang'!B39)</f>
        <v>0</v>
      </c>
      <c r="P13445">
        <f>IF(OR(M13445="",N13445=""),"",SUMIFS('Barang Keluar'!$E:$E,'Barang Keluar'!$A:$A,M13445,'Barang Keluar'!$C:$C,N13445))</f>
        <v>0</v>
      </c>
    </row>
    <row r="13446" spans="13:16">
      <c r="M13446" s="49">
        <f>IF($A$4+134&gt;$B$4,"",$A$4+134)</f>
        <v>46157</v>
      </c>
      <c r="N13446">
        <f>IF(M13446="","",'Master Barang'!A40)</f>
        <v>0</v>
      </c>
      <c r="O13446">
        <f>IF(N13446="","",'Master Barang'!B40)</f>
        <v>0</v>
      </c>
      <c r="P13446">
        <f>IF(OR(M13446="",N13446=""),"",SUMIFS('Barang Keluar'!$E:$E,'Barang Keluar'!$A:$A,M13446,'Barang Keluar'!$C:$C,N13446))</f>
        <v>0</v>
      </c>
    </row>
    <row r="13447" spans="13:16">
      <c r="M13447" s="49">
        <f>IF($A$4+134&gt;$B$4,"",$A$4+134)</f>
        <v>46157</v>
      </c>
      <c r="N13447">
        <f>IF(M13447="","",'Master Barang'!A41)</f>
        <v>0</v>
      </c>
      <c r="O13447">
        <f>IF(N13447="","",'Master Barang'!B41)</f>
        <v>0</v>
      </c>
      <c r="P13447">
        <f>IF(OR(M13447="",N13447=""),"",SUMIFS('Barang Keluar'!$E:$E,'Barang Keluar'!$A:$A,M13447,'Barang Keluar'!$C:$C,N13447))</f>
        <v>0</v>
      </c>
    </row>
    <row r="13448" spans="13:16">
      <c r="M13448" s="49">
        <f>IF($A$4+134&gt;$B$4,"",$A$4+134)</f>
        <v>46157</v>
      </c>
      <c r="N13448">
        <f>IF(M13448="","",'Master Barang'!A42)</f>
        <v>0</v>
      </c>
      <c r="O13448">
        <f>IF(N13448="","",'Master Barang'!B42)</f>
        <v>0</v>
      </c>
      <c r="P13448">
        <f>IF(OR(M13448="",N13448=""),"",SUMIFS('Barang Keluar'!$E:$E,'Barang Keluar'!$A:$A,M13448,'Barang Keluar'!$C:$C,N13448))</f>
        <v>0</v>
      </c>
    </row>
    <row r="13449" spans="13:16">
      <c r="M13449" s="49">
        <f>IF($A$4+134&gt;$B$4,"",$A$4+134)</f>
        <v>46157</v>
      </c>
      <c r="N13449">
        <f>IF(M13449="","",'Master Barang'!A43)</f>
        <v>0</v>
      </c>
      <c r="O13449">
        <f>IF(N13449="","",'Master Barang'!B43)</f>
        <v>0</v>
      </c>
      <c r="P13449">
        <f>IF(OR(M13449="",N13449=""),"",SUMIFS('Barang Keluar'!$E:$E,'Barang Keluar'!$A:$A,M13449,'Barang Keluar'!$C:$C,N13449))</f>
        <v>0</v>
      </c>
    </row>
    <row r="13450" spans="13:16">
      <c r="M13450" s="49">
        <f>IF($A$4+134&gt;$B$4,"",$A$4+134)</f>
        <v>46157</v>
      </c>
      <c r="N13450">
        <f>IF(M13450="","",'Master Barang'!A44)</f>
        <v>0</v>
      </c>
      <c r="O13450">
        <f>IF(N13450="","",'Master Barang'!B44)</f>
        <v>0</v>
      </c>
      <c r="P13450">
        <f>IF(OR(M13450="",N13450=""),"",SUMIFS('Barang Keluar'!$E:$E,'Barang Keluar'!$A:$A,M13450,'Barang Keluar'!$C:$C,N13450))</f>
        <v>0</v>
      </c>
    </row>
    <row r="13451" spans="13:16">
      <c r="M13451" s="49">
        <f>IF($A$4+134&gt;$B$4,"",$A$4+134)</f>
        <v>46157</v>
      </c>
      <c r="N13451">
        <f>IF(M13451="","",'Master Barang'!A45)</f>
        <v>0</v>
      </c>
      <c r="O13451">
        <f>IF(N13451="","",'Master Barang'!B45)</f>
        <v>0</v>
      </c>
      <c r="P13451">
        <f>IF(OR(M13451="",N13451=""),"",SUMIFS('Barang Keluar'!$E:$E,'Barang Keluar'!$A:$A,M13451,'Barang Keluar'!$C:$C,N13451))</f>
        <v>0</v>
      </c>
    </row>
    <row r="13452" spans="13:16">
      <c r="M13452" s="49">
        <f>IF($A$4+134&gt;$B$4,"",$A$4+134)</f>
        <v>46157</v>
      </c>
      <c r="N13452">
        <f>IF(M13452="","",'Master Barang'!A46)</f>
        <v>0</v>
      </c>
      <c r="O13452">
        <f>IF(N13452="","",'Master Barang'!B46)</f>
        <v>0</v>
      </c>
      <c r="P13452">
        <f>IF(OR(M13452="",N13452=""),"",SUMIFS('Barang Keluar'!$E:$E,'Barang Keluar'!$A:$A,M13452,'Barang Keluar'!$C:$C,N13452))</f>
        <v>0</v>
      </c>
    </row>
    <row r="13453" spans="13:16">
      <c r="M13453" s="49">
        <f>IF($A$4+134&gt;$B$4,"",$A$4+134)</f>
        <v>46157</v>
      </c>
      <c r="N13453">
        <f>IF(M13453="","",'Master Barang'!A47)</f>
        <v>0</v>
      </c>
      <c r="O13453">
        <f>IF(N13453="","",'Master Barang'!B47)</f>
        <v>0</v>
      </c>
      <c r="P13453">
        <f>IF(OR(M13453="",N13453=""),"",SUMIFS('Barang Keluar'!$E:$E,'Barang Keluar'!$A:$A,M13453,'Barang Keluar'!$C:$C,N13453))</f>
        <v>0</v>
      </c>
    </row>
    <row r="13454" spans="13:16">
      <c r="M13454" s="49">
        <f>IF($A$4+134&gt;$B$4,"",$A$4+134)</f>
        <v>46157</v>
      </c>
      <c r="N13454">
        <f>IF(M13454="","",'Master Barang'!A48)</f>
        <v>0</v>
      </c>
      <c r="O13454">
        <f>IF(N13454="","",'Master Barang'!B48)</f>
        <v>0</v>
      </c>
      <c r="P13454">
        <f>IF(OR(M13454="",N13454=""),"",SUMIFS('Barang Keluar'!$E:$E,'Barang Keluar'!$A:$A,M13454,'Barang Keluar'!$C:$C,N13454))</f>
        <v>0</v>
      </c>
    </row>
    <row r="13455" spans="13:16">
      <c r="M13455" s="49">
        <f>IF($A$4+134&gt;$B$4,"",$A$4+134)</f>
        <v>46157</v>
      </c>
      <c r="N13455">
        <f>IF(M13455="","",'Master Barang'!A49)</f>
        <v>0</v>
      </c>
      <c r="O13455">
        <f>IF(N13455="","",'Master Barang'!B49)</f>
        <v>0</v>
      </c>
      <c r="P13455">
        <f>IF(OR(M13455="",N13455=""),"",SUMIFS('Barang Keluar'!$E:$E,'Barang Keluar'!$A:$A,M13455,'Barang Keluar'!$C:$C,N13455))</f>
        <v>0</v>
      </c>
    </row>
    <row r="13456" spans="13:16">
      <c r="M13456" s="49">
        <f>IF($A$4+134&gt;$B$4,"",$A$4+134)</f>
        <v>46157</v>
      </c>
      <c r="N13456">
        <f>IF(M13456="","",'Master Barang'!A50)</f>
        <v>0</v>
      </c>
      <c r="O13456">
        <f>IF(N13456="","",'Master Barang'!B50)</f>
        <v>0</v>
      </c>
      <c r="P13456">
        <f>IF(OR(M13456="",N13456=""),"",SUMIFS('Barang Keluar'!$E:$E,'Barang Keluar'!$A:$A,M13456,'Barang Keluar'!$C:$C,N13456))</f>
        <v>0</v>
      </c>
    </row>
    <row r="13457" spans="13:16">
      <c r="M13457" s="49">
        <f>IF($A$4+134&gt;$B$4,"",$A$4+134)</f>
        <v>46157</v>
      </c>
      <c r="N13457">
        <f>IF(M13457="","",'Master Barang'!A51)</f>
        <v>0</v>
      </c>
      <c r="O13457">
        <f>IF(N13457="","",'Master Barang'!B51)</f>
        <v>0</v>
      </c>
      <c r="P13457">
        <f>IF(OR(M13457="",N13457=""),"",SUMIFS('Barang Keluar'!$E:$E,'Barang Keluar'!$A:$A,M13457,'Barang Keluar'!$C:$C,N13457))</f>
        <v>0</v>
      </c>
    </row>
    <row r="13458" spans="13:16">
      <c r="M13458" s="49">
        <f>IF($A$4+134&gt;$B$4,"",$A$4+134)</f>
        <v>46157</v>
      </c>
      <c r="N13458">
        <f>IF(M13458="","",'Master Barang'!A52)</f>
        <v>0</v>
      </c>
      <c r="O13458">
        <f>IF(N13458="","",'Master Barang'!B52)</f>
        <v>0</v>
      </c>
      <c r="P13458">
        <f>IF(OR(M13458="",N13458=""),"",SUMIFS('Barang Keluar'!$E:$E,'Barang Keluar'!$A:$A,M13458,'Barang Keluar'!$C:$C,N13458))</f>
        <v>0</v>
      </c>
    </row>
    <row r="13459" spans="13:16">
      <c r="M13459" s="49">
        <f>IF($A$4+134&gt;$B$4,"",$A$4+134)</f>
        <v>46157</v>
      </c>
      <c r="N13459">
        <f>IF(M13459="","",'Master Barang'!A53)</f>
        <v>0</v>
      </c>
      <c r="O13459">
        <f>IF(N13459="","",'Master Barang'!B53)</f>
        <v>0</v>
      </c>
      <c r="P13459">
        <f>IF(OR(M13459="",N13459=""),"",SUMIFS('Barang Keluar'!$E:$E,'Barang Keluar'!$A:$A,M13459,'Barang Keluar'!$C:$C,N13459))</f>
        <v>0</v>
      </c>
    </row>
    <row r="13460" spans="13:16">
      <c r="M13460" s="49">
        <f>IF($A$4+134&gt;$B$4,"",$A$4+134)</f>
        <v>46157</v>
      </c>
      <c r="N13460">
        <f>IF(M13460="","",'Master Barang'!A54)</f>
        <v>0</v>
      </c>
      <c r="O13460">
        <f>IF(N13460="","",'Master Barang'!B54)</f>
        <v>0</v>
      </c>
      <c r="P13460">
        <f>IF(OR(M13460="",N13460=""),"",SUMIFS('Barang Keluar'!$E:$E,'Barang Keluar'!$A:$A,M13460,'Barang Keluar'!$C:$C,N13460))</f>
        <v>0</v>
      </c>
    </row>
    <row r="13461" spans="13:16">
      <c r="M13461" s="49">
        <f>IF($A$4+134&gt;$B$4,"",$A$4+134)</f>
        <v>46157</v>
      </c>
      <c r="N13461">
        <f>IF(M13461="","",'Master Barang'!A55)</f>
        <v>0</v>
      </c>
      <c r="O13461">
        <f>IF(N13461="","",'Master Barang'!B55)</f>
        <v>0</v>
      </c>
      <c r="P13461">
        <f>IF(OR(M13461="",N13461=""),"",SUMIFS('Barang Keluar'!$E:$E,'Barang Keluar'!$A:$A,M13461,'Barang Keluar'!$C:$C,N13461))</f>
        <v>0</v>
      </c>
    </row>
    <row r="13462" spans="13:16">
      <c r="M13462" s="49">
        <f>IF($A$4+134&gt;$B$4,"",$A$4+134)</f>
        <v>46157</v>
      </c>
      <c r="N13462">
        <f>IF(M13462="","",'Master Barang'!A56)</f>
        <v>0</v>
      </c>
      <c r="O13462">
        <f>IF(N13462="","",'Master Barang'!B56)</f>
        <v>0</v>
      </c>
      <c r="P13462">
        <f>IF(OR(M13462="",N13462=""),"",SUMIFS('Barang Keluar'!$E:$E,'Barang Keluar'!$A:$A,M13462,'Barang Keluar'!$C:$C,N13462))</f>
        <v>0</v>
      </c>
    </row>
    <row r="13463" spans="13:16">
      <c r="M13463" s="49">
        <f>IF($A$4+134&gt;$B$4,"",$A$4+134)</f>
        <v>46157</v>
      </c>
      <c r="N13463">
        <f>IF(M13463="","",'Master Barang'!A57)</f>
        <v>0</v>
      </c>
      <c r="O13463">
        <f>IF(N13463="","",'Master Barang'!B57)</f>
        <v>0</v>
      </c>
      <c r="P13463">
        <f>IF(OR(M13463="",N13463=""),"",SUMIFS('Barang Keluar'!$E:$E,'Barang Keluar'!$A:$A,M13463,'Barang Keluar'!$C:$C,N13463))</f>
        <v>0</v>
      </c>
    </row>
    <row r="13464" spans="13:16">
      <c r="M13464" s="49">
        <f>IF($A$4+134&gt;$B$4,"",$A$4+134)</f>
        <v>46157</v>
      </c>
      <c r="N13464">
        <f>IF(M13464="","",'Master Barang'!A58)</f>
        <v>0</v>
      </c>
      <c r="O13464">
        <f>IF(N13464="","",'Master Barang'!B58)</f>
        <v>0</v>
      </c>
      <c r="P13464">
        <f>IF(OR(M13464="",N13464=""),"",SUMIFS('Barang Keluar'!$E:$E,'Barang Keluar'!$A:$A,M13464,'Barang Keluar'!$C:$C,N13464))</f>
        <v>0</v>
      </c>
    </row>
    <row r="13465" spans="13:16">
      <c r="M13465" s="49">
        <f>IF($A$4+134&gt;$B$4,"",$A$4+134)</f>
        <v>46157</v>
      </c>
      <c r="N13465">
        <f>IF(M13465="","",'Master Barang'!A59)</f>
        <v>0</v>
      </c>
      <c r="O13465">
        <f>IF(N13465="","",'Master Barang'!B59)</f>
        <v>0</v>
      </c>
      <c r="P13465">
        <f>IF(OR(M13465="",N13465=""),"",SUMIFS('Barang Keluar'!$E:$E,'Barang Keluar'!$A:$A,M13465,'Barang Keluar'!$C:$C,N13465))</f>
        <v>0</v>
      </c>
    </row>
    <row r="13466" spans="13:16">
      <c r="M13466" s="49">
        <f>IF($A$4+134&gt;$B$4,"",$A$4+134)</f>
        <v>46157</v>
      </c>
      <c r="N13466">
        <f>IF(M13466="","",'Master Barang'!A60)</f>
        <v>0</v>
      </c>
      <c r="O13466">
        <f>IF(N13466="","",'Master Barang'!B60)</f>
        <v>0</v>
      </c>
      <c r="P13466">
        <f>IF(OR(M13466="",N13466=""),"",SUMIFS('Barang Keluar'!$E:$E,'Barang Keluar'!$A:$A,M13466,'Barang Keluar'!$C:$C,N13466))</f>
        <v>0</v>
      </c>
    </row>
    <row r="13467" spans="13:16">
      <c r="M13467" s="49">
        <f>IF($A$4+134&gt;$B$4,"",$A$4+134)</f>
        <v>46157</v>
      </c>
      <c r="N13467">
        <f>IF(M13467="","",'Master Barang'!A61)</f>
        <v>0</v>
      </c>
      <c r="O13467">
        <f>IF(N13467="","",'Master Barang'!B61)</f>
        <v>0</v>
      </c>
      <c r="P13467">
        <f>IF(OR(M13467="",N13467=""),"",SUMIFS('Barang Keluar'!$E:$E,'Barang Keluar'!$A:$A,M13467,'Barang Keluar'!$C:$C,N13467))</f>
        <v>0</v>
      </c>
    </row>
    <row r="13468" spans="13:16">
      <c r="M13468" s="49">
        <f>IF($A$4+134&gt;$B$4,"",$A$4+134)</f>
        <v>46157</v>
      </c>
      <c r="N13468">
        <f>IF(M13468="","",'Master Barang'!A62)</f>
        <v>0</v>
      </c>
      <c r="O13468">
        <f>IF(N13468="","",'Master Barang'!B62)</f>
        <v>0</v>
      </c>
      <c r="P13468">
        <f>IF(OR(M13468="",N13468=""),"",SUMIFS('Barang Keluar'!$E:$E,'Barang Keluar'!$A:$A,M13468,'Barang Keluar'!$C:$C,N13468))</f>
        <v>0</v>
      </c>
    </row>
    <row r="13469" spans="13:16">
      <c r="M13469" s="49">
        <f>IF($A$4+134&gt;$B$4,"",$A$4+134)</f>
        <v>46157</v>
      </c>
      <c r="N13469">
        <f>IF(M13469="","",'Master Barang'!A63)</f>
        <v>0</v>
      </c>
      <c r="O13469">
        <f>IF(N13469="","",'Master Barang'!B63)</f>
        <v>0</v>
      </c>
      <c r="P13469">
        <f>IF(OR(M13469="",N13469=""),"",SUMIFS('Barang Keluar'!$E:$E,'Barang Keluar'!$A:$A,M13469,'Barang Keluar'!$C:$C,N13469))</f>
        <v>0</v>
      </c>
    </row>
    <row r="13470" spans="13:16">
      <c r="M13470" s="49">
        <f>IF($A$4+134&gt;$B$4,"",$A$4+134)</f>
        <v>46157</v>
      </c>
      <c r="N13470">
        <f>IF(M13470="","",'Master Barang'!A64)</f>
        <v>0</v>
      </c>
      <c r="O13470">
        <f>IF(N13470="","",'Master Barang'!B64)</f>
        <v>0</v>
      </c>
      <c r="P13470">
        <f>IF(OR(M13470="",N13470=""),"",SUMIFS('Barang Keluar'!$E:$E,'Barang Keluar'!$A:$A,M13470,'Barang Keluar'!$C:$C,N13470))</f>
        <v>0</v>
      </c>
    </row>
    <row r="13471" spans="13:16">
      <c r="M13471" s="49">
        <f>IF($A$4+134&gt;$B$4,"",$A$4+134)</f>
        <v>46157</v>
      </c>
      <c r="N13471">
        <f>IF(M13471="","",'Master Barang'!A65)</f>
        <v>0</v>
      </c>
      <c r="O13471">
        <f>IF(N13471="","",'Master Barang'!B65)</f>
        <v>0</v>
      </c>
      <c r="P13471">
        <f>IF(OR(M13471="",N13471=""),"",SUMIFS('Barang Keluar'!$E:$E,'Barang Keluar'!$A:$A,M13471,'Barang Keluar'!$C:$C,N13471))</f>
        <v>0</v>
      </c>
    </row>
    <row r="13472" spans="13:16">
      <c r="M13472" s="49">
        <f>IF($A$4+134&gt;$B$4,"",$A$4+134)</f>
        <v>46157</v>
      </c>
      <c r="N13472">
        <f>IF(M13472="","",'Master Barang'!A66)</f>
        <v>0</v>
      </c>
      <c r="O13472">
        <f>IF(N13472="","",'Master Barang'!B66)</f>
        <v>0</v>
      </c>
      <c r="P13472">
        <f>IF(OR(M13472="",N13472=""),"",SUMIFS('Barang Keluar'!$E:$E,'Barang Keluar'!$A:$A,M13472,'Barang Keluar'!$C:$C,N13472))</f>
        <v>0</v>
      </c>
    </row>
    <row r="13473" spans="13:16">
      <c r="M13473" s="49">
        <f>IF($A$4+134&gt;$B$4,"",$A$4+134)</f>
        <v>46157</v>
      </c>
      <c r="N13473">
        <f>IF(M13473="","",'Master Barang'!A67)</f>
        <v>0</v>
      </c>
      <c r="O13473">
        <f>IF(N13473="","",'Master Barang'!B67)</f>
        <v>0</v>
      </c>
      <c r="P13473">
        <f>IF(OR(M13473="",N13473=""),"",SUMIFS('Barang Keluar'!$E:$E,'Barang Keluar'!$A:$A,M13473,'Barang Keluar'!$C:$C,N13473))</f>
        <v>0</v>
      </c>
    </row>
    <row r="13474" spans="13:16">
      <c r="M13474" s="49">
        <f>IF($A$4+134&gt;$B$4,"",$A$4+134)</f>
        <v>46157</v>
      </c>
      <c r="N13474">
        <f>IF(M13474="","",'Master Barang'!A68)</f>
        <v>0</v>
      </c>
      <c r="O13474">
        <f>IF(N13474="","",'Master Barang'!B68)</f>
        <v>0</v>
      </c>
      <c r="P13474">
        <f>IF(OR(M13474="",N13474=""),"",SUMIFS('Barang Keluar'!$E:$E,'Barang Keluar'!$A:$A,M13474,'Barang Keluar'!$C:$C,N13474))</f>
        <v>0</v>
      </c>
    </row>
    <row r="13475" spans="13:16">
      <c r="M13475" s="49">
        <f>IF($A$4+134&gt;$B$4,"",$A$4+134)</f>
        <v>46157</v>
      </c>
      <c r="N13475">
        <f>IF(M13475="","",'Master Barang'!A69)</f>
        <v>0</v>
      </c>
      <c r="O13475">
        <f>IF(N13475="","",'Master Barang'!B69)</f>
        <v>0</v>
      </c>
      <c r="P13475">
        <f>IF(OR(M13475="",N13475=""),"",SUMIFS('Barang Keluar'!$E:$E,'Barang Keluar'!$A:$A,M13475,'Barang Keluar'!$C:$C,N13475))</f>
        <v>0</v>
      </c>
    </row>
    <row r="13476" spans="13:16">
      <c r="M13476" s="49">
        <f>IF($A$4+134&gt;$B$4,"",$A$4+134)</f>
        <v>46157</v>
      </c>
      <c r="N13476">
        <f>IF(M13476="","",'Master Barang'!A70)</f>
        <v>0</v>
      </c>
      <c r="O13476">
        <f>IF(N13476="","",'Master Barang'!B70)</f>
        <v>0</v>
      </c>
      <c r="P13476">
        <f>IF(OR(M13476="",N13476=""),"",SUMIFS('Barang Keluar'!$E:$E,'Barang Keluar'!$A:$A,M13476,'Barang Keluar'!$C:$C,N13476))</f>
        <v>0</v>
      </c>
    </row>
    <row r="13477" spans="13:16">
      <c r="M13477" s="49">
        <f>IF($A$4+134&gt;$B$4,"",$A$4+134)</f>
        <v>46157</v>
      </c>
      <c r="N13477">
        <f>IF(M13477="","",'Master Barang'!A71)</f>
        <v>0</v>
      </c>
      <c r="O13477">
        <f>IF(N13477="","",'Master Barang'!B71)</f>
        <v>0</v>
      </c>
      <c r="P13477">
        <f>IF(OR(M13477="",N13477=""),"",SUMIFS('Barang Keluar'!$E:$E,'Barang Keluar'!$A:$A,M13477,'Barang Keluar'!$C:$C,N13477))</f>
        <v>0</v>
      </c>
    </row>
    <row r="13478" spans="13:16">
      <c r="M13478" s="49">
        <f>IF($A$4+134&gt;$B$4,"",$A$4+134)</f>
        <v>46157</v>
      </c>
      <c r="N13478">
        <f>IF(M13478="","",'Master Barang'!A72)</f>
        <v>0</v>
      </c>
      <c r="O13478">
        <f>IF(N13478="","",'Master Barang'!B72)</f>
        <v>0</v>
      </c>
      <c r="P13478">
        <f>IF(OR(M13478="",N13478=""),"",SUMIFS('Barang Keluar'!$E:$E,'Barang Keluar'!$A:$A,M13478,'Barang Keluar'!$C:$C,N13478))</f>
        <v>0</v>
      </c>
    </row>
    <row r="13479" spans="13:16">
      <c r="M13479" s="49">
        <f>IF($A$4+134&gt;$B$4,"",$A$4+134)</f>
        <v>46157</v>
      </c>
      <c r="N13479">
        <f>IF(M13479="","",'Master Barang'!A73)</f>
        <v>0</v>
      </c>
      <c r="O13479">
        <f>IF(N13479="","",'Master Barang'!B73)</f>
        <v>0</v>
      </c>
      <c r="P13479">
        <f>IF(OR(M13479="",N13479=""),"",SUMIFS('Barang Keluar'!$E:$E,'Barang Keluar'!$A:$A,M13479,'Barang Keluar'!$C:$C,N13479))</f>
        <v>0</v>
      </c>
    </row>
    <row r="13480" spans="13:16">
      <c r="M13480" s="49">
        <f>IF($A$4+134&gt;$B$4,"",$A$4+134)</f>
        <v>46157</v>
      </c>
      <c r="N13480">
        <f>IF(M13480="","",'Master Barang'!A74)</f>
        <v>0</v>
      </c>
      <c r="O13480">
        <f>IF(N13480="","",'Master Barang'!B74)</f>
        <v>0</v>
      </c>
      <c r="P13480">
        <f>IF(OR(M13480="",N13480=""),"",SUMIFS('Barang Keluar'!$E:$E,'Barang Keluar'!$A:$A,M13480,'Barang Keluar'!$C:$C,N13480))</f>
        <v>0</v>
      </c>
    </row>
    <row r="13481" spans="13:16">
      <c r="M13481" s="49">
        <f>IF($A$4+134&gt;$B$4,"",$A$4+134)</f>
        <v>46157</v>
      </c>
      <c r="N13481">
        <f>IF(M13481="","",'Master Barang'!A75)</f>
        <v>0</v>
      </c>
      <c r="O13481">
        <f>IF(N13481="","",'Master Barang'!B75)</f>
        <v>0</v>
      </c>
      <c r="P13481">
        <f>IF(OR(M13481="",N13481=""),"",SUMIFS('Barang Keluar'!$E:$E,'Barang Keluar'!$A:$A,M13481,'Barang Keluar'!$C:$C,N13481))</f>
        <v>0</v>
      </c>
    </row>
    <row r="13482" spans="13:16">
      <c r="M13482" s="49">
        <f>IF($A$4+134&gt;$B$4,"",$A$4+134)</f>
        <v>46157</v>
      </c>
      <c r="N13482">
        <f>IF(M13482="","",'Master Barang'!A76)</f>
        <v>0</v>
      </c>
      <c r="O13482">
        <f>IF(N13482="","",'Master Barang'!B76)</f>
        <v>0</v>
      </c>
      <c r="P13482">
        <f>IF(OR(M13482="",N13482=""),"",SUMIFS('Barang Keluar'!$E:$E,'Barang Keluar'!$A:$A,M13482,'Barang Keluar'!$C:$C,N13482))</f>
        <v>0</v>
      </c>
    </row>
    <row r="13483" spans="13:16">
      <c r="M13483" s="49">
        <f>IF($A$4+134&gt;$B$4,"",$A$4+134)</f>
        <v>46157</v>
      </c>
      <c r="N13483">
        <f>IF(M13483="","",'Master Barang'!A77)</f>
        <v>0</v>
      </c>
      <c r="O13483">
        <f>IF(N13483="","",'Master Barang'!B77)</f>
        <v>0</v>
      </c>
      <c r="P13483">
        <f>IF(OR(M13483="",N13483=""),"",SUMIFS('Barang Keluar'!$E:$E,'Barang Keluar'!$A:$A,M13483,'Barang Keluar'!$C:$C,N13483))</f>
        <v>0</v>
      </c>
    </row>
    <row r="13484" spans="13:16">
      <c r="M13484" s="49">
        <f>IF($A$4+134&gt;$B$4,"",$A$4+134)</f>
        <v>46157</v>
      </c>
      <c r="N13484">
        <f>IF(M13484="","",'Master Barang'!A78)</f>
        <v>0</v>
      </c>
      <c r="O13484">
        <f>IF(N13484="","",'Master Barang'!B78)</f>
        <v>0</v>
      </c>
      <c r="P13484">
        <f>IF(OR(M13484="",N13484=""),"",SUMIFS('Barang Keluar'!$E:$E,'Barang Keluar'!$A:$A,M13484,'Barang Keluar'!$C:$C,N13484))</f>
        <v>0</v>
      </c>
    </row>
    <row r="13485" spans="13:16">
      <c r="M13485" s="49">
        <f>IF($A$4+134&gt;$B$4,"",$A$4+134)</f>
        <v>46157</v>
      </c>
      <c r="N13485">
        <f>IF(M13485="","",'Master Barang'!A79)</f>
        <v>0</v>
      </c>
      <c r="O13485">
        <f>IF(N13485="","",'Master Barang'!B79)</f>
        <v>0</v>
      </c>
      <c r="P13485">
        <f>IF(OR(M13485="",N13485=""),"",SUMIFS('Barang Keluar'!$E:$E,'Barang Keluar'!$A:$A,M13485,'Barang Keluar'!$C:$C,N13485))</f>
        <v>0</v>
      </c>
    </row>
    <row r="13486" spans="13:16">
      <c r="M13486" s="49">
        <f>IF($A$4+134&gt;$B$4,"",$A$4+134)</f>
        <v>46157</v>
      </c>
      <c r="N13486">
        <f>IF(M13486="","",'Master Barang'!A80)</f>
        <v>0</v>
      </c>
      <c r="O13486">
        <f>IF(N13486="","",'Master Barang'!B80)</f>
        <v>0</v>
      </c>
      <c r="P13486">
        <f>IF(OR(M13486="",N13486=""),"",SUMIFS('Barang Keluar'!$E:$E,'Barang Keluar'!$A:$A,M13486,'Barang Keluar'!$C:$C,N13486))</f>
        <v>0</v>
      </c>
    </row>
    <row r="13487" spans="13:16">
      <c r="M13487" s="49">
        <f>IF($A$4+134&gt;$B$4,"",$A$4+134)</f>
        <v>46157</v>
      </c>
      <c r="N13487">
        <f>IF(M13487="","",'Master Barang'!A81)</f>
        <v>0</v>
      </c>
      <c r="O13487">
        <f>IF(N13487="","",'Master Barang'!B81)</f>
        <v>0</v>
      </c>
      <c r="P13487">
        <f>IF(OR(M13487="",N13487=""),"",SUMIFS('Barang Keluar'!$E:$E,'Barang Keluar'!$A:$A,M13487,'Barang Keluar'!$C:$C,N13487))</f>
        <v>0</v>
      </c>
    </row>
    <row r="13488" spans="13:16">
      <c r="M13488" s="49">
        <f>IF($A$4+134&gt;$B$4,"",$A$4+134)</f>
        <v>46157</v>
      </c>
      <c r="N13488">
        <f>IF(M13488="","",'Master Barang'!A82)</f>
        <v>0</v>
      </c>
      <c r="O13488">
        <f>IF(N13488="","",'Master Barang'!B82)</f>
        <v>0</v>
      </c>
      <c r="P13488">
        <f>IF(OR(M13488="",N13488=""),"",SUMIFS('Barang Keluar'!$E:$E,'Barang Keluar'!$A:$A,M13488,'Barang Keluar'!$C:$C,N13488))</f>
        <v>0</v>
      </c>
    </row>
    <row r="13489" spans="13:16">
      <c r="M13489" s="49">
        <f>IF($A$4+134&gt;$B$4,"",$A$4+134)</f>
        <v>46157</v>
      </c>
      <c r="N13489">
        <f>IF(M13489="","",'Master Barang'!A83)</f>
        <v>0</v>
      </c>
      <c r="O13489">
        <f>IF(N13489="","",'Master Barang'!B83)</f>
        <v>0</v>
      </c>
      <c r="P13489">
        <f>IF(OR(M13489="",N13489=""),"",SUMIFS('Barang Keluar'!$E:$E,'Barang Keluar'!$A:$A,M13489,'Barang Keluar'!$C:$C,N13489))</f>
        <v>0</v>
      </c>
    </row>
    <row r="13490" spans="13:16">
      <c r="M13490" s="49">
        <f>IF($A$4+134&gt;$B$4,"",$A$4+134)</f>
        <v>46157</v>
      </c>
      <c r="N13490">
        <f>IF(M13490="","",'Master Barang'!A84)</f>
        <v>0</v>
      </c>
      <c r="O13490">
        <f>IF(N13490="","",'Master Barang'!B84)</f>
        <v>0</v>
      </c>
      <c r="P13490">
        <f>IF(OR(M13490="",N13490=""),"",SUMIFS('Barang Keluar'!$E:$E,'Barang Keluar'!$A:$A,M13490,'Barang Keluar'!$C:$C,N13490))</f>
        <v>0</v>
      </c>
    </row>
    <row r="13491" spans="13:16">
      <c r="M13491" s="49">
        <f>IF($A$4+134&gt;$B$4,"",$A$4+134)</f>
        <v>46157</v>
      </c>
      <c r="N13491">
        <f>IF(M13491="","",'Master Barang'!A85)</f>
        <v>0</v>
      </c>
      <c r="O13491">
        <f>IF(N13491="","",'Master Barang'!B85)</f>
        <v>0</v>
      </c>
      <c r="P13491">
        <f>IF(OR(M13491="",N13491=""),"",SUMIFS('Barang Keluar'!$E:$E,'Barang Keluar'!$A:$A,M13491,'Barang Keluar'!$C:$C,N13491))</f>
        <v>0</v>
      </c>
    </row>
    <row r="13492" spans="13:16">
      <c r="M13492" s="49">
        <f>IF($A$4+134&gt;$B$4,"",$A$4+134)</f>
        <v>46157</v>
      </c>
      <c r="N13492">
        <f>IF(M13492="","",'Master Barang'!A86)</f>
        <v>0</v>
      </c>
      <c r="O13492">
        <f>IF(N13492="","",'Master Barang'!B86)</f>
        <v>0</v>
      </c>
      <c r="P13492">
        <f>IF(OR(M13492="",N13492=""),"",SUMIFS('Barang Keluar'!$E:$E,'Barang Keluar'!$A:$A,M13492,'Barang Keluar'!$C:$C,N13492))</f>
        <v>0</v>
      </c>
    </row>
    <row r="13493" spans="13:16">
      <c r="M13493" s="49">
        <f>IF($A$4+134&gt;$B$4,"",$A$4+134)</f>
        <v>46157</v>
      </c>
      <c r="N13493">
        <f>IF(M13493="","",'Master Barang'!A87)</f>
        <v>0</v>
      </c>
      <c r="O13493">
        <f>IF(N13493="","",'Master Barang'!B87)</f>
        <v>0</v>
      </c>
      <c r="P13493">
        <f>IF(OR(M13493="",N13493=""),"",SUMIFS('Barang Keluar'!$E:$E,'Barang Keluar'!$A:$A,M13493,'Barang Keluar'!$C:$C,N13493))</f>
        <v>0</v>
      </c>
    </row>
    <row r="13494" spans="13:16">
      <c r="M13494" s="49">
        <f>IF($A$4+134&gt;$B$4,"",$A$4+134)</f>
        <v>46157</v>
      </c>
      <c r="N13494">
        <f>IF(M13494="","",'Master Barang'!A88)</f>
        <v>0</v>
      </c>
      <c r="O13494">
        <f>IF(N13494="","",'Master Barang'!B88)</f>
        <v>0</v>
      </c>
      <c r="P13494">
        <f>IF(OR(M13494="",N13494=""),"",SUMIFS('Barang Keluar'!$E:$E,'Barang Keluar'!$A:$A,M13494,'Barang Keluar'!$C:$C,N13494))</f>
        <v>0</v>
      </c>
    </row>
    <row r="13495" spans="13:16">
      <c r="M13495" s="49">
        <f>IF($A$4+134&gt;$B$4,"",$A$4+134)</f>
        <v>46157</v>
      </c>
      <c r="N13495">
        <f>IF(M13495="","",'Master Barang'!A89)</f>
        <v>0</v>
      </c>
      <c r="O13495">
        <f>IF(N13495="","",'Master Barang'!B89)</f>
        <v>0</v>
      </c>
      <c r="P13495">
        <f>IF(OR(M13495="",N13495=""),"",SUMIFS('Barang Keluar'!$E:$E,'Barang Keluar'!$A:$A,M13495,'Barang Keluar'!$C:$C,N13495))</f>
        <v>0</v>
      </c>
    </row>
    <row r="13496" spans="13:16">
      <c r="M13496" s="49">
        <f>IF($A$4+134&gt;$B$4,"",$A$4+134)</f>
        <v>46157</v>
      </c>
      <c r="N13496">
        <f>IF(M13496="","",'Master Barang'!A90)</f>
        <v>0</v>
      </c>
      <c r="O13496">
        <f>IF(N13496="","",'Master Barang'!B90)</f>
        <v>0</v>
      </c>
      <c r="P13496">
        <f>IF(OR(M13496="",N13496=""),"",SUMIFS('Barang Keluar'!$E:$E,'Barang Keluar'!$A:$A,M13496,'Barang Keluar'!$C:$C,N13496))</f>
        <v>0</v>
      </c>
    </row>
    <row r="13497" spans="13:16">
      <c r="M13497" s="49">
        <f>IF($A$4+134&gt;$B$4,"",$A$4+134)</f>
        <v>46157</v>
      </c>
      <c r="N13497">
        <f>IF(M13497="","",'Master Barang'!A91)</f>
        <v>0</v>
      </c>
      <c r="O13497">
        <f>IF(N13497="","",'Master Barang'!B91)</f>
        <v>0</v>
      </c>
      <c r="P13497">
        <f>IF(OR(M13497="",N13497=""),"",SUMIFS('Barang Keluar'!$E:$E,'Barang Keluar'!$A:$A,M13497,'Barang Keluar'!$C:$C,N13497))</f>
        <v>0</v>
      </c>
    </row>
    <row r="13498" spans="13:16">
      <c r="M13498" s="49">
        <f>IF($A$4+134&gt;$B$4,"",$A$4+134)</f>
        <v>46157</v>
      </c>
      <c r="N13498">
        <f>IF(M13498="","",'Master Barang'!A92)</f>
        <v>0</v>
      </c>
      <c r="O13498">
        <f>IF(N13498="","",'Master Barang'!B92)</f>
        <v>0</v>
      </c>
      <c r="P13498">
        <f>IF(OR(M13498="",N13498=""),"",SUMIFS('Barang Keluar'!$E:$E,'Barang Keluar'!$A:$A,M13498,'Barang Keluar'!$C:$C,N13498))</f>
        <v>0</v>
      </c>
    </row>
    <row r="13499" spans="13:16">
      <c r="M13499" s="49">
        <f>IF($A$4+134&gt;$B$4,"",$A$4+134)</f>
        <v>46157</v>
      </c>
      <c r="N13499">
        <f>IF(M13499="","",'Master Barang'!A93)</f>
        <v>0</v>
      </c>
      <c r="O13499">
        <f>IF(N13499="","",'Master Barang'!B93)</f>
        <v>0</v>
      </c>
      <c r="P13499">
        <f>IF(OR(M13499="",N13499=""),"",SUMIFS('Barang Keluar'!$E:$E,'Barang Keluar'!$A:$A,M13499,'Barang Keluar'!$C:$C,N13499))</f>
        <v>0</v>
      </c>
    </row>
    <row r="13500" spans="13:16">
      <c r="M13500" s="49">
        <f>IF($A$4+134&gt;$B$4,"",$A$4+134)</f>
        <v>46157</v>
      </c>
      <c r="N13500">
        <f>IF(M13500="","",'Master Barang'!A94)</f>
        <v>0</v>
      </c>
      <c r="O13500">
        <f>IF(N13500="","",'Master Barang'!B94)</f>
        <v>0</v>
      </c>
      <c r="P13500">
        <f>IF(OR(M13500="",N13500=""),"",SUMIFS('Barang Keluar'!$E:$E,'Barang Keluar'!$A:$A,M13500,'Barang Keluar'!$C:$C,N13500))</f>
        <v>0</v>
      </c>
    </row>
    <row r="13501" spans="13:16">
      <c r="M13501" s="49">
        <f>IF($A$4+134&gt;$B$4,"",$A$4+134)</f>
        <v>46157</v>
      </c>
      <c r="N13501">
        <f>IF(M13501="","",'Master Barang'!A95)</f>
        <v>0</v>
      </c>
      <c r="O13501">
        <f>IF(N13501="","",'Master Barang'!B95)</f>
        <v>0</v>
      </c>
      <c r="P13501">
        <f>IF(OR(M13501="",N13501=""),"",SUMIFS('Barang Keluar'!$E:$E,'Barang Keluar'!$A:$A,M13501,'Barang Keluar'!$C:$C,N13501))</f>
        <v>0</v>
      </c>
    </row>
    <row r="13502" spans="13:16">
      <c r="M13502" s="49">
        <f>IF($A$4+134&gt;$B$4,"",$A$4+134)</f>
        <v>46157</v>
      </c>
      <c r="N13502">
        <f>IF(M13502="","",'Master Barang'!A96)</f>
        <v>0</v>
      </c>
      <c r="O13502">
        <f>IF(N13502="","",'Master Barang'!B96)</f>
        <v>0</v>
      </c>
      <c r="P13502">
        <f>IF(OR(M13502="",N13502=""),"",SUMIFS('Barang Keluar'!$E:$E,'Barang Keluar'!$A:$A,M13502,'Barang Keluar'!$C:$C,N13502))</f>
        <v>0</v>
      </c>
    </row>
    <row r="13503" spans="13:16">
      <c r="M13503" s="49">
        <f>IF($A$4+134&gt;$B$4,"",$A$4+134)</f>
        <v>46157</v>
      </c>
      <c r="N13503">
        <f>IF(M13503="","",'Master Barang'!A97)</f>
        <v>0</v>
      </c>
      <c r="O13503">
        <f>IF(N13503="","",'Master Barang'!B97)</f>
        <v>0</v>
      </c>
      <c r="P13503">
        <f>IF(OR(M13503="",N13503=""),"",SUMIFS('Barang Keluar'!$E:$E,'Barang Keluar'!$A:$A,M13503,'Barang Keluar'!$C:$C,N13503))</f>
        <v>0</v>
      </c>
    </row>
    <row r="13504" spans="13:16">
      <c r="M13504" s="49">
        <f>IF($A$4+134&gt;$B$4,"",$A$4+134)</f>
        <v>46157</v>
      </c>
      <c r="N13504">
        <f>IF(M13504="","",'Master Barang'!A98)</f>
        <v>0</v>
      </c>
      <c r="O13504">
        <f>IF(N13504="","",'Master Barang'!B98)</f>
        <v>0</v>
      </c>
      <c r="P13504">
        <f>IF(OR(M13504="",N13504=""),"",SUMIFS('Barang Keluar'!$E:$E,'Barang Keluar'!$A:$A,M13504,'Barang Keluar'!$C:$C,N13504))</f>
        <v>0</v>
      </c>
    </row>
    <row r="13505" spans="13:16">
      <c r="M13505" s="49">
        <f>IF($A$4+134&gt;$B$4,"",$A$4+134)</f>
        <v>46157</v>
      </c>
      <c r="N13505">
        <f>IF(M13505="","",'Master Barang'!A99)</f>
        <v>0</v>
      </c>
      <c r="O13505">
        <f>IF(N13505="","",'Master Barang'!B99)</f>
        <v>0</v>
      </c>
      <c r="P13505">
        <f>IF(OR(M13505="",N13505=""),"",SUMIFS('Barang Keluar'!$E:$E,'Barang Keluar'!$A:$A,M13505,'Barang Keluar'!$C:$C,N13505))</f>
        <v>0</v>
      </c>
    </row>
    <row r="13506" spans="13:16">
      <c r="M13506" s="49">
        <f>IF($A$4+134&gt;$B$4,"",$A$4+134)</f>
        <v>46157</v>
      </c>
      <c r="N13506">
        <f>IF(M13506="","",'Master Barang'!A100)</f>
        <v>0</v>
      </c>
      <c r="O13506">
        <f>IF(N13506="","",'Master Barang'!B100)</f>
        <v>0</v>
      </c>
      <c r="P13506">
        <f>IF(OR(M13506="",N13506=""),"",SUMIFS('Barang Keluar'!$E:$E,'Barang Keluar'!$A:$A,M13506,'Barang Keluar'!$C:$C,N13506))</f>
        <v>0</v>
      </c>
    </row>
    <row r="13507" spans="13:16">
      <c r="M13507" s="49">
        <f>IF($A$4+134&gt;$B$4,"",$A$4+134)</f>
        <v>46157</v>
      </c>
      <c r="N13507">
        <f>IF(M13507="","",'Master Barang'!A101)</f>
        <v>0</v>
      </c>
      <c r="O13507">
        <f>IF(N13507="","",'Master Barang'!B101)</f>
        <v>0</v>
      </c>
      <c r="P13507">
        <f>IF(OR(M13507="",N13507=""),"",SUMIFS('Barang Keluar'!$E:$E,'Barang Keluar'!$A:$A,M13507,'Barang Keluar'!$C:$C,N13507))</f>
        <v>0</v>
      </c>
    </row>
    <row r="13508" spans="13:16">
      <c r="M13508" s="49">
        <f>IF($A$4+135&gt;$B$4,"",$A$4+135)</f>
        <v>46158</v>
      </c>
      <c r="N13508" t="str">
        <f>IF(M13508="","",'Master Barang'!A2)</f>
        <v>PRL-001</v>
      </c>
      <c r="O13508" t="str">
        <f>IF(N13508="","",'Master Barang'!B2)</f>
        <v>natura desinfectant food grade 5l</v>
      </c>
      <c r="P13508">
        <f>IF(OR(M13508="",N13508=""),"",SUMIFS('Barang Keluar'!$E:$E,'Barang Keluar'!$A:$A,M13508,'Barang Keluar'!$C:$C,N13508))</f>
        <v>0</v>
      </c>
    </row>
    <row r="13509" spans="13:16">
      <c r="M13509" s="49">
        <f>IF($A$4+135&gt;$B$4,"",$A$4+135)</f>
        <v>46158</v>
      </c>
      <c r="N13509" t="str">
        <f>IF(M13509="","",'Master Barang'!A3)</f>
        <v>PRL-002</v>
      </c>
      <c r="O13509" t="str">
        <f>IF(N13509="","",'Master Barang'!B3)</f>
        <v>sunlight cairan pencuci piring 5l</v>
      </c>
      <c r="P13509">
        <f>IF(OR(M13509="",N13509=""),"",SUMIFS('Barang Keluar'!$E:$E,'Barang Keluar'!$A:$A,M13509,'Barang Keluar'!$C:$C,N13509))</f>
        <v>0</v>
      </c>
    </row>
    <row r="13510" spans="13:16">
      <c r="M13510" s="49">
        <f>IF($A$4+135&gt;$B$4,"",$A$4+135)</f>
        <v>46158</v>
      </c>
      <c r="N13510" t="str">
        <f>IF(M13510="","",'Master Barang'!A4)</f>
        <v>PRL-003</v>
      </c>
      <c r="O13510" t="str">
        <f>IF(N13510="","",'Master Barang'!B4)</f>
        <v>oixs cleaner 1l</v>
      </c>
      <c r="P13510">
        <f>IF(OR(M13510="",N13510=""),"",SUMIFS('Barang Keluar'!$E:$E,'Barang Keluar'!$A:$A,M13510,'Barang Keluar'!$C:$C,N13510))</f>
        <v>0</v>
      </c>
    </row>
    <row r="13511" spans="13:16">
      <c r="M13511" s="49">
        <f>IF($A$4+135&gt;$B$4,"",$A$4+135)</f>
        <v>46158</v>
      </c>
      <c r="N13511" t="str">
        <f>IF(M13511="","",'Master Barang'!A5)</f>
        <v>PRL-004</v>
      </c>
      <c r="O13511" t="str">
        <f>IF(N13511="","",'Master Barang'!B5)</f>
        <v>be clean tissue serbaguna</v>
      </c>
      <c r="P13511">
        <f>IF(OR(M13511="",N13511=""),"",SUMIFS('Barang Keluar'!$E:$E,'Barang Keluar'!$A:$A,M13511,'Barang Keluar'!$C:$C,N13511))</f>
        <v>0</v>
      </c>
    </row>
    <row r="13512" spans="13:16">
      <c r="M13512" s="49">
        <f>IF($A$4+135&gt;$B$4,"",$A$4+135)</f>
        <v>46158</v>
      </c>
      <c r="N13512" t="str">
        <f>IF(M13512="","",'Master Barang'!A6)</f>
        <v>PRL-005</v>
      </c>
      <c r="O13512" t="str">
        <f>IF(N13512="","",'Master Barang'!B6)</f>
        <v>spons cuci hijau</v>
      </c>
      <c r="P13512">
        <f>IF(OR(M13512="",N13512=""),"",SUMIFS('Barang Keluar'!$E:$E,'Barang Keluar'!$A:$A,M13512,'Barang Keluar'!$C:$C,N13512))</f>
        <v>0</v>
      </c>
    </row>
    <row r="13513" spans="13:16">
      <c r="M13513" s="49">
        <f>IF($A$4+135&gt;$B$4,"",$A$4+135)</f>
        <v>46158</v>
      </c>
      <c r="N13513" t="str">
        <f>IF(M13513="","",'Master Barang'!A7)</f>
        <v>PRL-006</v>
      </c>
      <c r="O13513" t="str">
        <f>IF(N13513="","",'Master Barang'!B7)</f>
        <v>sabut cuci stainless</v>
      </c>
      <c r="P13513">
        <f>IF(OR(M13513="",N13513=""),"",SUMIFS('Barang Keluar'!$E:$E,'Barang Keluar'!$A:$A,M13513,'Barang Keluar'!$C:$C,N13513))</f>
        <v>0</v>
      </c>
    </row>
    <row r="13514" spans="13:16">
      <c r="M13514" s="49">
        <f>IF($A$4+135&gt;$B$4,"",$A$4+135)</f>
        <v>46158</v>
      </c>
      <c r="N13514" t="str">
        <f>IF(M13514="","",'Master Barang'!A8)</f>
        <v>PRL-007</v>
      </c>
      <c r="O13514" t="str">
        <f>IF(N13514="","",'Master Barang'!B8)</f>
        <v>plastik kresek besar merah 50pc</v>
      </c>
      <c r="P13514">
        <f>IF(OR(M13514="",N13514=""),"",SUMIFS('Barang Keluar'!$E:$E,'Barang Keluar'!$A:$A,M13514,'Barang Keluar'!$C:$C,N13514))</f>
        <v>0</v>
      </c>
    </row>
    <row r="13515" spans="13:16">
      <c r="M13515" s="49">
        <f>IF($A$4+135&gt;$B$4,"",$A$4+135)</f>
        <v>46158</v>
      </c>
      <c r="N13515" t="str">
        <f>IF(M13515="","",'Master Barang'!A9)</f>
        <v>PRL-008</v>
      </c>
      <c r="O13515" t="str">
        <f>IF(N13515="","",'Master Barang'!B9)</f>
        <v>lap besar</v>
      </c>
      <c r="P13515">
        <f>IF(OR(M13515="",N13515=""),"",SUMIFS('Barang Keluar'!$E:$E,'Barang Keluar'!$A:$A,M13515,'Barang Keluar'!$C:$C,N13515))</f>
        <v>0</v>
      </c>
    </row>
    <row r="13516" spans="13:16">
      <c r="M13516" s="49">
        <f>IF($A$4+135&gt;$B$4,"",$A$4+135)</f>
        <v>46158</v>
      </c>
      <c r="N13516" t="str">
        <f>IF(M13516="","",'Master Barang'!A10)</f>
        <v>PRL-009</v>
      </c>
      <c r="O13516" t="str">
        <f>IF(N13516="","",'Master Barang'!B10)</f>
        <v>lap microfiber</v>
      </c>
      <c r="P13516">
        <f>IF(OR(M13516="",N13516=""),"",SUMIFS('Barang Keluar'!$E:$E,'Barang Keluar'!$A:$A,M13516,'Barang Keluar'!$C:$C,N13516))</f>
        <v>0</v>
      </c>
    </row>
    <row r="13517" spans="13:16">
      <c r="M13517" s="49">
        <f>IF($A$4+135&gt;$B$4,"",$A$4+135)</f>
        <v>46158</v>
      </c>
      <c r="N13517" t="str">
        <f>IF(M13517="","",'Master Barang'!A11)</f>
        <v>PRL-010</v>
      </c>
      <c r="O13517" t="str">
        <f>IF(N13517="","",'Master Barang'!B11)</f>
        <v>lap kecil</v>
      </c>
      <c r="P13517">
        <f>IF(OR(M13517="",N13517=""),"",SUMIFS('Barang Keluar'!$E:$E,'Barang Keluar'!$A:$A,M13517,'Barang Keluar'!$C:$C,N13517))</f>
        <v>0</v>
      </c>
    </row>
    <row r="13518" spans="13:16">
      <c r="M13518" s="49">
        <f>IF($A$4+135&gt;$B$4,"",$A$4+135)</f>
        <v>46158</v>
      </c>
      <c r="N13518" t="str">
        <f>IF(M13518="","",'Master Barang'!A12)</f>
        <v>PRL-011</v>
      </c>
      <c r="O13518" t="str">
        <f>IF(N13518="","",'Master Barang'!B12)</f>
        <v>kanebo kecil</v>
      </c>
      <c r="P13518">
        <f>IF(OR(M13518="",N13518=""),"",SUMIFS('Barang Keluar'!$E:$E,'Barang Keluar'!$A:$A,M13518,'Barang Keluar'!$C:$C,N13518))</f>
        <v>0</v>
      </c>
    </row>
    <row r="13519" spans="13:16">
      <c r="M13519" s="49">
        <f>IF($A$4+135&gt;$B$4,"",$A$4+135)</f>
        <v>46158</v>
      </c>
      <c r="N13519" t="str">
        <f>IF(M13519="","",'Master Barang'!A13)</f>
        <v>PRL-012</v>
      </c>
      <c r="O13519" t="str">
        <f>IF(N13519="","",'Master Barang'!B13)</f>
        <v>plastik 1/4kg joyoboyo 100 lembar</v>
      </c>
      <c r="P13519">
        <f>IF(OR(M13519="",N13519=""),"",SUMIFS('Barang Keluar'!$E:$E,'Barang Keluar'!$A:$A,M13519,'Barang Keluar'!$C:$C,N13519))</f>
        <v>0</v>
      </c>
    </row>
    <row r="13520" spans="13:16">
      <c r="M13520" s="49">
        <f>IF($A$4+135&gt;$B$4,"",$A$4+135)</f>
        <v>46158</v>
      </c>
      <c r="N13520" t="str">
        <f>IF(M13520="","",'Master Barang'!A14)</f>
        <v>PRL-013</v>
      </c>
      <c r="O13520" t="str">
        <f>IF(N13520="","",'Master Barang'!B14)</f>
        <v>sarung tangan plastik kaka 100 pcs</v>
      </c>
      <c r="P13520">
        <f>IF(OR(M13520="",N13520=""),"",SUMIFS('Barang Keluar'!$E:$E,'Barang Keluar'!$A:$A,M13520,'Barang Keluar'!$C:$C,N13520))</f>
        <v>0</v>
      </c>
    </row>
    <row r="13521" spans="13:16">
      <c r="M13521" s="49">
        <f>IF($A$4+135&gt;$B$4,"",$A$4+135)</f>
        <v>46158</v>
      </c>
      <c r="N13521" t="str">
        <f>IF(M13521="","",'Master Barang'!A15)</f>
        <v>PRL-014</v>
      </c>
      <c r="O13521" t="str">
        <f>IF(N13521="","",'Master Barang'!B15)</f>
        <v>optima trashbag 80x100</v>
      </c>
      <c r="P13521">
        <f>IF(OR(M13521="",N13521=""),"",SUMIFS('Barang Keluar'!$E:$E,'Barang Keluar'!$A:$A,M13521,'Barang Keluar'!$C:$C,N13521))</f>
        <v>0</v>
      </c>
    </row>
    <row r="13522" spans="13:16">
      <c r="M13522" s="49">
        <f>IF($A$4+135&gt;$B$4,"",$A$4+135)</f>
        <v>46158</v>
      </c>
      <c r="N13522" t="str">
        <f>IF(M13522="","",'Master Barang'!A16)</f>
        <v>PRL-015</v>
      </c>
      <c r="O13522" t="str">
        <f>IF(N13522="","",'Master Barang'!B16)</f>
        <v>optima trashbag 60x100</v>
      </c>
      <c r="P13522">
        <f>IF(OR(M13522="",N13522=""),"",SUMIFS('Barang Keluar'!$E:$E,'Barang Keluar'!$A:$A,M13522,'Barang Keluar'!$C:$C,N13522))</f>
        <v>0</v>
      </c>
    </row>
    <row r="13523" spans="13:16">
      <c r="M13523" s="49">
        <f>IF($A$4+135&gt;$B$4,"",$A$4+135)</f>
        <v>46158</v>
      </c>
      <c r="N13523" t="str">
        <f>IF(M13523="","",'Master Barang'!A17)</f>
        <v>PRL-016</v>
      </c>
      <c r="O13523" t="str">
        <f>IF(N13523="","",'Master Barang'!B17)</f>
        <v>rajawali trashbag 30x40</v>
      </c>
      <c r="P13523">
        <f>IF(OR(M13523="",N13523=""),"",SUMIFS('Barang Keluar'!$E:$E,'Barang Keluar'!$A:$A,M13523,'Barang Keluar'!$C:$C,N13523))</f>
        <v>0</v>
      </c>
    </row>
    <row r="13524" spans="13:16">
      <c r="M13524" s="49">
        <f>IF($A$4+135&gt;$B$4,"",$A$4+135)</f>
        <v>46158</v>
      </c>
      <c r="N13524" t="str">
        <f>IF(M13524="","",'Master Barang'!A18)</f>
        <v>PRL-017</v>
      </c>
      <c r="O13524" t="str">
        <f>IF(N13524="","",'Master Barang'!B18)</f>
        <v>onemed masker biru 3 play 50 pcs</v>
      </c>
      <c r="P13524">
        <f>IF(OR(M13524="",N13524=""),"",SUMIFS('Barang Keluar'!$E:$E,'Barang Keluar'!$A:$A,M13524,'Barang Keluar'!$C:$C,N13524))</f>
        <v>0</v>
      </c>
    </row>
    <row r="13525" spans="13:16">
      <c r="M13525" s="49">
        <f>IF($A$4+135&gt;$B$4,"",$A$4+135)</f>
        <v>46158</v>
      </c>
      <c r="N13525" t="str">
        <f>IF(M13525="","",'Master Barang'!A19)</f>
        <v>PRL-018</v>
      </c>
      <c r="O13525" t="str">
        <f>IF(N13525="","",'Master Barang'!B19)</f>
        <v>onemed masker biru 3 play hijab 50 pcs</v>
      </c>
      <c r="P13525">
        <f>IF(OR(M13525="",N13525=""),"",SUMIFS('Barang Keluar'!$E:$E,'Barang Keluar'!$A:$A,M13525,'Barang Keluar'!$C:$C,N13525))</f>
        <v>0</v>
      </c>
    </row>
    <row r="13526" spans="13:16">
      <c r="M13526" s="49">
        <f>IF($A$4+135&gt;$B$4,"",$A$4+135)</f>
        <v>46158</v>
      </c>
      <c r="N13526" t="str">
        <f>IF(M13526="","",'Master Barang'!A20)</f>
        <v>PRL-019</v>
      </c>
      <c r="O13526" t="str">
        <f>IF(N13526="","",'Master Barang'!B20)</f>
        <v>neo health masker biru 3 play 50 pcs</v>
      </c>
      <c r="P13526">
        <f>IF(OR(M13526="",N13526=""),"",SUMIFS('Barang Keluar'!$E:$E,'Barang Keluar'!$A:$A,M13526,'Barang Keluar'!$C:$C,N13526))</f>
        <v>0</v>
      </c>
    </row>
    <row r="13527" spans="13:16">
      <c r="M13527" s="49">
        <f>IF($A$4+135&gt;$B$4,"",$A$4+135)</f>
        <v>46158</v>
      </c>
      <c r="N13527" t="str">
        <f>IF(M13527="","",'Master Barang'!A21)</f>
        <v>PRL-020</v>
      </c>
      <c r="O13527" t="str">
        <f>IF(N13527="","",'Master Barang'!B21)</f>
        <v>baymed masker hijau 3 play hijau 50 pcs</v>
      </c>
      <c r="P13527">
        <f>IF(OR(M13527="",N13527=""),"",SUMIFS('Barang Keluar'!$E:$E,'Barang Keluar'!$A:$A,M13527,'Barang Keluar'!$C:$C,N13527))</f>
        <v>0</v>
      </c>
    </row>
    <row r="13528" spans="13:16">
      <c r="M13528" s="49">
        <f>IF($A$4+135&gt;$B$4,"",$A$4+135)</f>
        <v>46158</v>
      </c>
      <c r="N13528" t="str">
        <f>IF(M13528="","",'Master Barang'!A22)</f>
        <v>PRL-021</v>
      </c>
      <c r="O13528" t="str">
        <f>IF(N13528="","",'Master Barang'!B22)</f>
        <v>altamed nurse cap penutup kepala 100 pcs</v>
      </c>
      <c r="P13528">
        <f>IF(OR(M13528="",N13528=""),"",SUMIFS('Barang Keluar'!$E:$E,'Barang Keluar'!$A:$A,M13528,'Barang Keluar'!$C:$C,N13528))</f>
        <v>0</v>
      </c>
    </row>
    <row r="13529" spans="13:16">
      <c r="M13529" s="49">
        <f>IF($A$4+135&gt;$B$4,"",$A$4+135)</f>
        <v>46158</v>
      </c>
      <c r="N13529" t="str">
        <f>IF(M13529="","",'Master Barang'!A23)</f>
        <v>PRL-022</v>
      </c>
      <c r="O13529" t="str">
        <f>IF(N13529="","",'Master Barang'!B23)</f>
        <v>sabun cuci tangan</v>
      </c>
      <c r="P13529">
        <f>IF(OR(M13529="",N13529=""),"",SUMIFS('Barang Keluar'!$E:$E,'Barang Keluar'!$A:$A,M13529,'Barang Keluar'!$C:$C,N13529))</f>
        <v>0</v>
      </c>
    </row>
    <row r="13530" spans="13:16">
      <c r="M13530" s="49">
        <f>IF($A$4+135&gt;$B$4,"",$A$4+135)</f>
        <v>46158</v>
      </c>
      <c r="N13530" t="str">
        <f>IF(M13530="","",'Master Barang'!A24)</f>
        <v>PRL-023</v>
      </c>
      <c r="O13530" t="str">
        <f>IF(N13530="","",'Master Barang'!B24)</f>
        <v>gayung kecil</v>
      </c>
      <c r="P13530">
        <f>IF(OR(M13530="",N13530=""),"",SUMIFS('Barang Keluar'!$E:$E,'Barang Keluar'!$A:$A,M13530,'Barang Keluar'!$C:$C,N13530))</f>
        <v>0</v>
      </c>
    </row>
    <row r="13531" spans="13:16">
      <c r="M13531" s="49">
        <f>IF($A$4+135&gt;$B$4,"",$A$4+135)</f>
        <v>46158</v>
      </c>
      <c r="N13531" t="str">
        <f>IF(M13531="","",'Master Barang'!A25)</f>
        <v>PRL-024</v>
      </c>
      <c r="O13531" t="str">
        <f>IF(N13531="","",'Master Barang'!B25)</f>
        <v>cikrak kecil</v>
      </c>
      <c r="P13531">
        <f>IF(OR(M13531="",N13531=""),"",SUMIFS('Barang Keluar'!$E:$E,'Barang Keluar'!$A:$A,M13531,'Barang Keluar'!$C:$C,N13531))</f>
        <v>0</v>
      </c>
    </row>
    <row r="13532" spans="13:16">
      <c r="M13532" s="49">
        <f>IF($A$4+135&gt;$B$4,"",$A$4+135)</f>
        <v>46158</v>
      </c>
      <c r="N13532" t="str">
        <f>IF(M13532="","",'Master Barang'!A26)</f>
        <v>PRL-025</v>
      </c>
      <c r="O13532" t="str">
        <f>IF(N13532="","",'Master Barang'!B26)</f>
        <v>petromax plastik kecil 12x24 100 lembar</v>
      </c>
      <c r="P13532">
        <f>IF(OR(M13532="",N13532=""),"",SUMIFS('Barang Keluar'!$E:$E,'Barang Keluar'!$A:$A,M13532,'Barang Keluar'!$C:$C,N13532))</f>
        <v>0</v>
      </c>
    </row>
    <row r="13533" spans="13:16">
      <c r="M13533" s="49">
        <f>IF($A$4+135&gt;$B$4,"",$A$4+135)</f>
        <v>46158</v>
      </c>
      <c r="N13533" t="str">
        <f>IF(M13533="","",'Master Barang'!A27)</f>
        <v>PRL-026</v>
      </c>
      <c r="O13533" t="str">
        <f>IF(N13533="","",'Master Barang'!B27)</f>
        <v>lancar kresek kecil bening </v>
      </c>
      <c r="P13533">
        <f>IF(OR(M13533="",N13533=""),"",SUMIFS('Barang Keluar'!$E:$E,'Barang Keluar'!$A:$A,M13533,'Barang Keluar'!$C:$C,N13533))</f>
        <v>0</v>
      </c>
    </row>
    <row r="13534" spans="13:16">
      <c r="M13534" s="49">
        <f>IF($A$4+135&gt;$B$4,"",$A$4+135)</f>
        <v>46158</v>
      </c>
      <c r="N13534" t="str">
        <f>IF(M13534="","",'Master Barang'!A28)</f>
        <v>PRL-027</v>
      </c>
      <c r="O13534" t="str">
        <f>IF(N13534="","",'Master Barang'!B28)</f>
        <v>kresek klin warna warni kecil</v>
      </c>
      <c r="P13534">
        <f>IF(OR(M13534="",N13534=""),"",SUMIFS('Barang Keluar'!$E:$E,'Barang Keluar'!$A:$A,M13534,'Barang Keluar'!$C:$C,N13534))</f>
        <v>0</v>
      </c>
    </row>
    <row r="13535" spans="13:16">
      <c r="M13535" s="49">
        <f>IF($A$4+135&gt;$B$4,"",$A$4+135)</f>
        <v>46158</v>
      </c>
      <c r="N13535" t="str">
        <f>IF(M13535="","",'Master Barang'!A29)</f>
        <v>PRL-028</v>
      </c>
      <c r="O13535" t="str">
        <f>IF(N13535="","",'Master Barang'!B29)</f>
        <v>ctik plastik 7x10 100 pcs</v>
      </c>
      <c r="P13535">
        <f>IF(OR(M13535="",N13535=""),"",SUMIFS('Barang Keluar'!$E:$E,'Barang Keluar'!$A:$A,M13535,'Barang Keluar'!$C:$C,N13535))</f>
        <v>0</v>
      </c>
    </row>
    <row r="13536" spans="13:16">
      <c r="M13536" s="49">
        <f>IF($A$4+135&gt;$B$4,"",$A$4+135)</f>
        <v>46158</v>
      </c>
      <c r="N13536" t="str">
        <f>IF(M13536="","",'Master Barang'!A30)</f>
        <v>PRL-029</v>
      </c>
      <c r="O13536" t="str">
        <f>IF(N13536="","",'Master Barang'!B30)</f>
        <v>ctik plastik 6x10 100 pcs</v>
      </c>
      <c r="P13536">
        <f>IF(OR(M13536="",N13536=""),"",SUMIFS('Barang Keluar'!$E:$E,'Barang Keluar'!$A:$A,M13536,'Barang Keluar'!$C:$C,N13536))</f>
        <v>0</v>
      </c>
    </row>
    <row r="13537" spans="13:16">
      <c r="M13537" s="49">
        <f>IF($A$4+135&gt;$B$4,"",$A$4+135)</f>
        <v>46158</v>
      </c>
      <c r="N13537" t="str">
        <f>IF(M13537="","",'Master Barang'!A31)</f>
        <v>PRL-030</v>
      </c>
      <c r="O13537" t="str">
        <f>IF(N13537="","",'Master Barang'!B31)</f>
        <v>klip plastik 25x16 100 pcs</v>
      </c>
      <c r="P13537">
        <f>IF(OR(M13537="",N13537=""),"",SUMIFS('Barang Keluar'!$E:$E,'Barang Keluar'!$A:$A,M13537,'Barang Keluar'!$C:$C,N13537))</f>
        <v>0</v>
      </c>
    </row>
    <row r="13538" spans="13:16">
      <c r="M13538" s="49">
        <f>IF($A$4+135&gt;$B$4,"",$A$4+135)</f>
        <v>46158</v>
      </c>
      <c r="N13538" t="str">
        <f>IF(M13538="","",'Master Barang'!A32)</f>
        <v>PRL-031</v>
      </c>
      <c r="O13538" t="str">
        <f>IF(N13538="","",'Master Barang'!B32)</f>
        <v>tempat saus 20 ml</v>
      </c>
      <c r="P13538">
        <f>IF(OR(M13538="",N13538=""),"",SUMIFS('Barang Keluar'!$E:$E,'Barang Keluar'!$A:$A,M13538,'Barang Keluar'!$C:$C,N13538))</f>
        <v>0</v>
      </c>
    </row>
    <row r="13539" spans="13:16">
      <c r="M13539" s="49">
        <f>IF($A$4+135&gt;$B$4,"",$A$4+135)</f>
        <v>46158</v>
      </c>
      <c r="N13539" t="str">
        <f>IF(M13539="","",'Master Barang'!A33)</f>
        <v>PRL-032</v>
      </c>
      <c r="O13539" t="str">
        <f>IF(N13539="","",'Master Barang'!B33)</f>
        <v>plastik packaging ag box uk sedang</v>
      </c>
      <c r="P13539">
        <f>IF(OR(M13539="",N13539=""),"",SUMIFS('Barang Keluar'!$E:$E,'Barang Keluar'!$A:$A,M13539,'Barang Keluar'!$C:$C,N13539))</f>
        <v>0</v>
      </c>
    </row>
    <row r="13540" spans="13:16">
      <c r="M13540" s="49">
        <f>IF($A$4+135&gt;$B$4,"",$A$4+135)</f>
        <v>46158</v>
      </c>
      <c r="N13540" t="str">
        <f>IF(M13540="","",'Master Barang'!A34)</f>
        <v>PRL-033</v>
      </c>
      <c r="O13540">
        <f>IF(N13540="","",'Master Barang'!B34)</f>
        <v>0</v>
      </c>
      <c r="P13540">
        <f>IF(OR(M13540="",N13540=""),"",SUMIFS('Barang Keluar'!$E:$E,'Barang Keluar'!$A:$A,M13540,'Barang Keluar'!$C:$C,N13540))</f>
        <v>0</v>
      </c>
    </row>
    <row r="13541" spans="13:16">
      <c r="M13541" s="49">
        <f>IF($A$4+135&gt;$B$4,"",$A$4+135)</f>
        <v>46158</v>
      </c>
      <c r="N13541">
        <f>IF(M13541="","",'Master Barang'!A35)</f>
        <v>0</v>
      </c>
      <c r="O13541">
        <f>IF(N13541="","",'Master Barang'!B35)</f>
        <v>0</v>
      </c>
      <c r="P13541">
        <f>IF(OR(M13541="",N13541=""),"",SUMIFS('Barang Keluar'!$E:$E,'Barang Keluar'!$A:$A,M13541,'Barang Keluar'!$C:$C,N13541))</f>
        <v>0</v>
      </c>
    </row>
    <row r="13542" spans="13:16">
      <c r="M13542" s="49">
        <f>IF($A$4+135&gt;$B$4,"",$A$4+135)</f>
        <v>46158</v>
      </c>
      <c r="N13542">
        <f>IF(M13542="","",'Master Barang'!A36)</f>
        <v>0</v>
      </c>
      <c r="O13542">
        <f>IF(N13542="","",'Master Barang'!B36)</f>
        <v>0</v>
      </c>
      <c r="P13542">
        <f>IF(OR(M13542="",N13542=""),"",SUMIFS('Barang Keluar'!$E:$E,'Barang Keluar'!$A:$A,M13542,'Barang Keluar'!$C:$C,N13542))</f>
        <v>0</v>
      </c>
    </row>
    <row r="13543" spans="13:16">
      <c r="M13543" s="49">
        <f>IF($A$4+135&gt;$B$4,"",$A$4+135)</f>
        <v>46158</v>
      </c>
      <c r="N13543">
        <f>IF(M13543="","",'Master Barang'!A37)</f>
        <v>0</v>
      </c>
      <c r="O13543">
        <f>IF(N13543="","",'Master Barang'!B37)</f>
        <v>0</v>
      </c>
      <c r="P13543">
        <f>IF(OR(M13543="",N13543=""),"",SUMIFS('Barang Keluar'!$E:$E,'Barang Keluar'!$A:$A,M13543,'Barang Keluar'!$C:$C,N13543))</f>
        <v>0</v>
      </c>
    </row>
    <row r="13544" spans="13:16">
      <c r="M13544" s="49">
        <f>IF($A$4+135&gt;$B$4,"",$A$4+135)</f>
        <v>46158</v>
      </c>
      <c r="N13544">
        <f>IF(M13544="","",'Master Barang'!A38)</f>
        <v>0</v>
      </c>
      <c r="O13544">
        <f>IF(N13544="","",'Master Barang'!B38)</f>
        <v>0</v>
      </c>
      <c r="P13544">
        <f>IF(OR(M13544="",N13544=""),"",SUMIFS('Barang Keluar'!$E:$E,'Barang Keluar'!$A:$A,M13544,'Barang Keluar'!$C:$C,N13544))</f>
        <v>0</v>
      </c>
    </row>
    <row r="13545" spans="13:16">
      <c r="M13545" s="49">
        <f>IF($A$4+135&gt;$B$4,"",$A$4+135)</f>
        <v>46158</v>
      </c>
      <c r="N13545">
        <f>IF(M13545="","",'Master Barang'!A39)</f>
        <v>0</v>
      </c>
      <c r="O13545">
        <f>IF(N13545="","",'Master Barang'!B39)</f>
        <v>0</v>
      </c>
      <c r="P13545">
        <f>IF(OR(M13545="",N13545=""),"",SUMIFS('Barang Keluar'!$E:$E,'Barang Keluar'!$A:$A,M13545,'Barang Keluar'!$C:$C,N13545))</f>
        <v>0</v>
      </c>
    </row>
    <row r="13546" spans="13:16">
      <c r="M13546" s="49">
        <f>IF($A$4+135&gt;$B$4,"",$A$4+135)</f>
        <v>46158</v>
      </c>
      <c r="N13546">
        <f>IF(M13546="","",'Master Barang'!A40)</f>
        <v>0</v>
      </c>
      <c r="O13546">
        <f>IF(N13546="","",'Master Barang'!B40)</f>
        <v>0</v>
      </c>
      <c r="P13546">
        <f>IF(OR(M13546="",N13546=""),"",SUMIFS('Barang Keluar'!$E:$E,'Barang Keluar'!$A:$A,M13546,'Barang Keluar'!$C:$C,N13546))</f>
        <v>0</v>
      </c>
    </row>
    <row r="13547" spans="13:16">
      <c r="M13547" s="49">
        <f>IF($A$4+135&gt;$B$4,"",$A$4+135)</f>
        <v>46158</v>
      </c>
      <c r="N13547">
        <f>IF(M13547="","",'Master Barang'!A41)</f>
        <v>0</v>
      </c>
      <c r="O13547">
        <f>IF(N13547="","",'Master Barang'!B41)</f>
        <v>0</v>
      </c>
      <c r="P13547">
        <f>IF(OR(M13547="",N13547=""),"",SUMIFS('Barang Keluar'!$E:$E,'Barang Keluar'!$A:$A,M13547,'Barang Keluar'!$C:$C,N13547))</f>
        <v>0</v>
      </c>
    </row>
    <row r="13548" spans="13:16">
      <c r="M13548" s="49">
        <f>IF($A$4+135&gt;$B$4,"",$A$4+135)</f>
        <v>46158</v>
      </c>
      <c r="N13548">
        <f>IF(M13548="","",'Master Barang'!A42)</f>
        <v>0</v>
      </c>
      <c r="O13548">
        <f>IF(N13548="","",'Master Barang'!B42)</f>
        <v>0</v>
      </c>
      <c r="P13548">
        <f>IF(OR(M13548="",N13548=""),"",SUMIFS('Barang Keluar'!$E:$E,'Barang Keluar'!$A:$A,M13548,'Barang Keluar'!$C:$C,N13548))</f>
        <v>0</v>
      </c>
    </row>
    <row r="13549" spans="13:16">
      <c r="M13549" s="49">
        <f>IF($A$4+135&gt;$B$4,"",$A$4+135)</f>
        <v>46158</v>
      </c>
      <c r="N13549">
        <f>IF(M13549="","",'Master Barang'!A43)</f>
        <v>0</v>
      </c>
      <c r="O13549">
        <f>IF(N13549="","",'Master Barang'!B43)</f>
        <v>0</v>
      </c>
      <c r="P13549">
        <f>IF(OR(M13549="",N13549=""),"",SUMIFS('Barang Keluar'!$E:$E,'Barang Keluar'!$A:$A,M13549,'Barang Keluar'!$C:$C,N13549))</f>
        <v>0</v>
      </c>
    </row>
    <row r="13550" spans="13:16">
      <c r="M13550" s="49">
        <f>IF($A$4+135&gt;$B$4,"",$A$4+135)</f>
        <v>46158</v>
      </c>
      <c r="N13550">
        <f>IF(M13550="","",'Master Barang'!A44)</f>
        <v>0</v>
      </c>
      <c r="O13550">
        <f>IF(N13550="","",'Master Barang'!B44)</f>
        <v>0</v>
      </c>
      <c r="P13550">
        <f>IF(OR(M13550="",N13550=""),"",SUMIFS('Barang Keluar'!$E:$E,'Barang Keluar'!$A:$A,M13550,'Barang Keluar'!$C:$C,N13550))</f>
        <v>0</v>
      </c>
    </row>
    <row r="13551" spans="13:16">
      <c r="M13551" s="49">
        <f>IF($A$4+135&gt;$B$4,"",$A$4+135)</f>
        <v>46158</v>
      </c>
      <c r="N13551">
        <f>IF(M13551="","",'Master Barang'!A45)</f>
        <v>0</v>
      </c>
      <c r="O13551">
        <f>IF(N13551="","",'Master Barang'!B45)</f>
        <v>0</v>
      </c>
      <c r="P13551">
        <f>IF(OR(M13551="",N13551=""),"",SUMIFS('Barang Keluar'!$E:$E,'Barang Keluar'!$A:$A,M13551,'Barang Keluar'!$C:$C,N13551))</f>
        <v>0</v>
      </c>
    </row>
    <row r="13552" spans="13:16">
      <c r="M13552" s="49">
        <f>IF($A$4+135&gt;$B$4,"",$A$4+135)</f>
        <v>46158</v>
      </c>
      <c r="N13552">
        <f>IF(M13552="","",'Master Barang'!A46)</f>
        <v>0</v>
      </c>
      <c r="O13552">
        <f>IF(N13552="","",'Master Barang'!B46)</f>
        <v>0</v>
      </c>
      <c r="P13552">
        <f>IF(OR(M13552="",N13552=""),"",SUMIFS('Barang Keluar'!$E:$E,'Barang Keluar'!$A:$A,M13552,'Barang Keluar'!$C:$C,N13552))</f>
        <v>0</v>
      </c>
    </row>
    <row r="13553" spans="13:16">
      <c r="M13553" s="49">
        <f>IF($A$4+135&gt;$B$4,"",$A$4+135)</f>
        <v>46158</v>
      </c>
      <c r="N13553">
        <f>IF(M13553="","",'Master Barang'!A47)</f>
        <v>0</v>
      </c>
      <c r="O13553">
        <f>IF(N13553="","",'Master Barang'!B47)</f>
        <v>0</v>
      </c>
      <c r="P13553">
        <f>IF(OR(M13553="",N13553=""),"",SUMIFS('Barang Keluar'!$E:$E,'Barang Keluar'!$A:$A,M13553,'Barang Keluar'!$C:$C,N13553))</f>
        <v>0</v>
      </c>
    </row>
    <row r="13554" spans="13:16">
      <c r="M13554" s="49">
        <f>IF($A$4+135&gt;$B$4,"",$A$4+135)</f>
        <v>46158</v>
      </c>
      <c r="N13554">
        <f>IF(M13554="","",'Master Barang'!A48)</f>
        <v>0</v>
      </c>
      <c r="O13554">
        <f>IF(N13554="","",'Master Barang'!B48)</f>
        <v>0</v>
      </c>
      <c r="P13554">
        <f>IF(OR(M13554="",N13554=""),"",SUMIFS('Barang Keluar'!$E:$E,'Barang Keluar'!$A:$A,M13554,'Barang Keluar'!$C:$C,N13554))</f>
        <v>0</v>
      </c>
    </row>
    <row r="13555" spans="13:16">
      <c r="M13555" s="49">
        <f>IF($A$4+135&gt;$B$4,"",$A$4+135)</f>
        <v>46158</v>
      </c>
      <c r="N13555">
        <f>IF(M13555="","",'Master Barang'!A49)</f>
        <v>0</v>
      </c>
      <c r="O13555">
        <f>IF(N13555="","",'Master Barang'!B49)</f>
        <v>0</v>
      </c>
      <c r="P13555">
        <f>IF(OR(M13555="",N13555=""),"",SUMIFS('Barang Keluar'!$E:$E,'Barang Keluar'!$A:$A,M13555,'Barang Keluar'!$C:$C,N13555))</f>
        <v>0</v>
      </c>
    </row>
    <row r="13556" spans="13:16">
      <c r="M13556" s="49">
        <f>IF($A$4+135&gt;$B$4,"",$A$4+135)</f>
        <v>46158</v>
      </c>
      <c r="N13556">
        <f>IF(M13556="","",'Master Barang'!A50)</f>
        <v>0</v>
      </c>
      <c r="O13556">
        <f>IF(N13556="","",'Master Barang'!B50)</f>
        <v>0</v>
      </c>
      <c r="P13556">
        <f>IF(OR(M13556="",N13556=""),"",SUMIFS('Barang Keluar'!$E:$E,'Barang Keluar'!$A:$A,M13556,'Barang Keluar'!$C:$C,N13556))</f>
        <v>0</v>
      </c>
    </row>
    <row r="13557" spans="13:16">
      <c r="M13557" s="49">
        <f>IF($A$4+135&gt;$B$4,"",$A$4+135)</f>
        <v>46158</v>
      </c>
      <c r="N13557">
        <f>IF(M13557="","",'Master Barang'!A51)</f>
        <v>0</v>
      </c>
      <c r="O13557">
        <f>IF(N13557="","",'Master Barang'!B51)</f>
        <v>0</v>
      </c>
      <c r="P13557">
        <f>IF(OR(M13557="",N13557=""),"",SUMIFS('Barang Keluar'!$E:$E,'Barang Keluar'!$A:$A,M13557,'Barang Keluar'!$C:$C,N13557))</f>
        <v>0</v>
      </c>
    </row>
    <row r="13558" spans="13:16">
      <c r="M13558" s="49">
        <f>IF($A$4+135&gt;$B$4,"",$A$4+135)</f>
        <v>46158</v>
      </c>
      <c r="N13558">
        <f>IF(M13558="","",'Master Barang'!A52)</f>
        <v>0</v>
      </c>
      <c r="O13558">
        <f>IF(N13558="","",'Master Barang'!B52)</f>
        <v>0</v>
      </c>
      <c r="P13558">
        <f>IF(OR(M13558="",N13558=""),"",SUMIFS('Barang Keluar'!$E:$E,'Barang Keluar'!$A:$A,M13558,'Barang Keluar'!$C:$C,N13558))</f>
        <v>0</v>
      </c>
    </row>
    <row r="13559" spans="13:16">
      <c r="M13559" s="49">
        <f>IF($A$4+135&gt;$B$4,"",$A$4+135)</f>
        <v>46158</v>
      </c>
      <c r="N13559">
        <f>IF(M13559="","",'Master Barang'!A53)</f>
        <v>0</v>
      </c>
      <c r="O13559">
        <f>IF(N13559="","",'Master Barang'!B53)</f>
        <v>0</v>
      </c>
      <c r="P13559">
        <f>IF(OR(M13559="",N13559=""),"",SUMIFS('Barang Keluar'!$E:$E,'Barang Keluar'!$A:$A,M13559,'Barang Keluar'!$C:$C,N13559))</f>
        <v>0</v>
      </c>
    </row>
    <row r="13560" spans="13:16">
      <c r="M13560" s="49">
        <f>IF($A$4+135&gt;$B$4,"",$A$4+135)</f>
        <v>46158</v>
      </c>
      <c r="N13560">
        <f>IF(M13560="","",'Master Barang'!A54)</f>
        <v>0</v>
      </c>
      <c r="O13560">
        <f>IF(N13560="","",'Master Barang'!B54)</f>
        <v>0</v>
      </c>
      <c r="P13560">
        <f>IF(OR(M13560="",N13560=""),"",SUMIFS('Barang Keluar'!$E:$E,'Barang Keluar'!$A:$A,M13560,'Barang Keluar'!$C:$C,N13560))</f>
        <v>0</v>
      </c>
    </row>
    <row r="13561" spans="13:16">
      <c r="M13561" s="49">
        <f>IF($A$4+135&gt;$B$4,"",$A$4+135)</f>
        <v>46158</v>
      </c>
      <c r="N13561">
        <f>IF(M13561="","",'Master Barang'!A55)</f>
        <v>0</v>
      </c>
      <c r="O13561">
        <f>IF(N13561="","",'Master Barang'!B55)</f>
        <v>0</v>
      </c>
      <c r="P13561">
        <f>IF(OR(M13561="",N13561=""),"",SUMIFS('Barang Keluar'!$E:$E,'Barang Keluar'!$A:$A,M13561,'Barang Keluar'!$C:$C,N13561))</f>
        <v>0</v>
      </c>
    </row>
    <row r="13562" spans="13:16">
      <c r="M13562" s="49">
        <f>IF($A$4+135&gt;$B$4,"",$A$4+135)</f>
        <v>46158</v>
      </c>
      <c r="N13562">
        <f>IF(M13562="","",'Master Barang'!A56)</f>
        <v>0</v>
      </c>
      <c r="O13562">
        <f>IF(N13562="","",'Master Barang'!B56)</f>
        <v>0</v>
      </c>
      <c r="P13562">
        <f>IF(OR(M13562="",N13562=""),"",SUMIFS('Barang Keluar'!$E:$E,'Barang Keluar'!$A:$A,M13562,'Barang Keluar'!$C:$C,N13562))</f>
        <v>0</v>
      </c>
    </row>
    <row r="13563" spans="13:16">
      <c r="M13563" s="49">
        <f>IF($A$4+135&gt;$B$4,"",$A$4+135)</f>
        <v>46158</v>
      </c>
      <c r="N13563">
        <f>IF(M13563="","",'Master Barang'!A57)</f>
        <v>0</v>
      </c>
      <c r="O13563">
        <f>IF(N13563="","",'Master Barang'!B57)</f>
        <v>0</v>
      </c>
      <c r="P13563">
        <f>IF(OR(M13563="",N13563=""),"",SUMIFS('Barang Keluar'!$E:$E,'Barang Keluar'!$A:$A,M13563,'Barang Keluar'!$C:$C,N13563))</f>
        <v>0</v>
      </c>
    </row>
    <row r="13564" spans="13:16">
      <c r="M13564" s="49">
        <f>IF($A$4+135&gt;$B$4,"",$A$4+135)</f>
        <v>46158</v>
      </c>
      <c r="N13564">
        <f>IF(M13564="","",'Master Barang'!A58)</f>
        <v>0</v>
      </c>
      <c r="O13564">
        <f>IF(N13564="","",'Master Barang'!B58)</f>
        <v>0</v>
      </c>
      <c r="P13564">
        <f>IF(OR(M13564="",N13564=""),"",SUMIFS('Barang Keluar'!$E:$E,'Barang Keluar'!$A:$A,M13564,'Barang Keluar'!$C:$C,N13564))</f>
        <v>0</v>
      </c>
    </row>
    <row r="13565" spans="13:16">
      <c r="M13565" s="49">
        <f>IF($A$4+135&gt;$B$4,"",$A$4+135)</f>
        <v>46158</v>
      </c>
      <c r="N13565">
        <f>IF(M13565="","",'Master Barang'!A59)</f>
        <v>0</v>
      </c>
      <c r="O13565">
        <f>IF(N13565="","",'Master Barang'!B59)</f>
        <v>0</v>
      </c>
      <c r="P13565">
        <f>IF(OR(M13565="",N13565=""),"",SUMIFS('Barang Keluar'!$E:$E,'Barang Keluar'!$A:$A,M13565,'Barang Keluar'!$C:$C,N13565))</f>
        <v>0</v>
      </c>
    </row>
    <row r="13566" spans="13:16">
      <c r="M13566" s="49">
        <f>IF($A$4+135&gt;$B$4,"",$A$4+135)</f>
        <v>46158</v>
      </c>
      <c r="N13566">
        <f>IF(M13566="","",'Master Barang'!A60)</f>
        <v>0</v>
      </c>
      <c r="O13566">
        <f>IF(N13566="","",'Master Barang'!B60)</f>
        <v>0</v>
      </c>
      <c r="P13566">
        <f>IF(OR(M13566="",N13566=""),"",SUMIFS('Barang Keluar'!$E:$E,'Barang Keluar'!$A:$A,M13566,'Barang Keluar'!$C:$C,N13566))</f>
        <v>0</v>
      </c>
    </row>
    <row r="13567" spans="13:16">
      <c r="M13567" s="49">
        <f>IF($A$4+135&gt;$B$4,"",$A$4+135)</f>
        <v>46158</v>
      </c>
      <c r="N13567">
        <f>IF(M13567="","",'Master Barang'!A61)</f>
        <v>0</v>
      </c>
      <c r="O13567">
        <f>IF(N13567="","",'Master Barang'!B61)</f>
        <v>0</v>
      </c>
      <c r="P13567">
        <f>IF(OR(M13567="",N13567=""),"",SUMIFS('Barang Keluar'!$E:$E,'Barang Keluar'!$A:$A,M13567,'Barang Keluar'!$C:$C,N13567))</f>
        <v>0</v>
      </c>
    </row>
    <row r="13568" spans="13:16">
      <c r="M13568" s="49">
        <f>IF($A$4+135&gt;$B$4,"",$A$4+135)</f>
        <v>46158</v>
      </c>
      <c r="N13568">
        <f>IF(M13568="","",'Master Barang'!A62)</f>
        <v>0</v>
      </c>
      <c r="O13568">
        <f>IF(N13568="","",'Master Barang'!B62)</f>
        <v>0</v>
      </c>
      <c r="P13568">
        <f>IF(OR(M13568="",N13568=""),"",SUMIFS('Barang Keluar'!$E:$E,'Barang Keluar'!$A:$A,M13568,'Barang Keluar'!$C:$C,N13568))</f>
        <v>0</v>
      </c>
    </row>
    <row r="13569" spans="13:16">
      <c r="M13569" s="49">
        <f>IF($A$4+135&gt;$B$4,"",$A$4+135)</f>
        <v>46158</v>
      </c>
      <c r="N13569">
        <f>IF(M13569="","",'Master Barang'!A63)</f>
        <v>0</v>
      </c>
      <c r="O13569">
        <f>IF(N13569="","",'Master Barang'!B63)</f>
        <v>0</v>
      </c>
      <c r="P13569">
        <f>IF(OR(M13569="",N13569=""),"",SUMIFS('Barang Keluar'!$E:$E,'Barang Keluar'!$A:$A,M13569,'Barang Keluar'!$C:$C,N13569))</f>
        <v>0</v>
      </c>
    </row>
    <row r="13570" spans="13:16">
      <c r="M13570" s="49">
        <f>IF($A$4+135&gt;$B$4,"",$A$4+135)</f>
        <v>46158</v>
      </c>
      <c r="N13570">
        <f>IF(M13570="","",'Master Barang'!A64)</f>
        <v>0</v>
      </c>
      <c r="O13570">
        <f>IF(N13570="","",'Master Barang'!B64)</f>
        <v>0</v>
      </c>
      <c r="P13570">
        <f>IF(OR(M13570="",N13570=""),"",SUMIFS('Barang Keluar'!$E:$E,'Barang Keluar'!$A:$A,M13570,'Barang Keluar'!$C:$C,N13570))</f>
        <v>0</v>
      </c>
    </row>
    <row r="13571" spans="13:16">
      <c r="M13571" s="49">
        <f>IF($A$4+135&gt;$B$4,"",$A$4+135)</f>
        <v>46158</v>
      </c>
      <c r="N13571">
        <f>IF(M13571="","",'Master Barang'!A65)</f>
        <v>0</v>
      </c>
      <c r="O13571">
        <f>IF(N13571="","",'Master Barang'!B65)</f>
        <v>0</v>
      </c>
      <c r="P13571">
        <f>IF(OR(M13571="",N13571=""),"",SUMIFS('Barang Keluar'!$E:$E,'Barang Keluar'!$A:$A,M13571,'Barang Keluar'!$C:$C,N13571))</f>
        <v>0</v>
      </c>
    </row>
    <row r="13572" spans="13:16">
      <c r="M13572" s="49">
        <f>IF($A$4+135&gt;$B$4,"",$A$4+135)</f>
        <v>46158</v>
      </c>
      <c r="N13572">
        <f>IF(M13572="","",'Master Barang'!A66)</f>
        <v>0</v>
      </c>
      <c r="O13572">
        <f>IF(N13572="","",'Master Barang'!B66)</f>
        <v>0</v>
      </c>
      <c r="P13572">
        <f>IF(OR(M13572="",N13572=""),"",SUMIFS('Barang Keluar'!$E:$E,'Barang Keluar'!$A:$A,M13572,'Barang Keluar'!$C:$C,N13572))</f>
        <v>0</v>
      </c>
    </row>
    <row r="13573" spans="13:16">
      <c r="M13573" s="49">
        <f>IF($A$4+135&gt;$B$4,"",$A$4+135)</f>
        <v>46158</v>
      </c>
      <c r="N13573">
        <f>IF(M13573="","",'Master Barang'!A67)</f>
        <v>0</v>
      </c>
      <c r="O13573">
        <f>IF(N13573="","",'Master Barang'!B67)</f>
        <v>0</v>
      </c>
      <c r="P13573">
        <f>IF(OR(M13573="",N13573=""),"",SUMIFS('Barang Keluar'!$E:$E,'Barang Keluar'!$A:$A,M13573,'Barang Keluar'!$C:$C,N13573))</f>
        <v>0</v>
      </c>
    </row>
    <row r="13574" spans="13:16">
      <c r="M13574" s="49">
        <f>IF($A$4+135&gt;$B$4,"",$A$4+135)</f>
        <v>46158</v>
      </c>
      <c r="N13574">
        <f>IF(M13574="","",'Master Barang'!A68)</f>
        <v>0</v>
      </c>
      <c r="O13574">
        <f>IF(N13574="","",'Master Barang'!B68)</f>
        <v>0</v>
      </c>
      <c r="P13574">
        <f>IF(OR(M13574="",N13574=""),"",SUMIFS('Barang Keluar'!$E:$E,'Barang Keluar'!$A:$A,M13574,'Barang Keluar'!$C:$C,N13574))</f>
        <v>0</v>
      </c>
    </row>
    <row r="13575" spans="13:16">
      <c r="M13575" s="49">
        <f>IF($A$4+135&gt;$B$4,"",$A$4+135)</f>
        <v>46158</v>
      </c>
      <c r="N13575">
        <f>IF(M13575="","",'Master Barang'!A69)</f>
        <v>0</v>
      </c>
      <c r="O13575">
        <f>IF(N13575="","",'Master Barang'!B69)</f>
        <v>0</v>
      </c>
      <c r="P13575">
        <f>IF(OR(M13575="",N13575=""),"",SUMIFS('Barang Keluar'!$E:$E,'Barang Keluar'!$A:$A,M13575,'Barang Keluar'!$C:$C,N13575))</f>
        <v>0</v>
      </c>
    </row>
    <row r="13576" spans="13:16">
      <c r="M13576" s="49">
        <f>IF($A$4+135&gt;$B$4,"",$A$4+135)</f>
        <v>46158</v>
      </c>
      <c r="N13576">
        <f>IF(M13576="","",'Master Barang'!A70)</f>
        <v>0</v>
      </c>
      <c r="O13576">
        <f>IF(N13576="","",'Master Barang'!B70)</f>
        <v>0</v>
      </c>
      <c r="P13576">
        <f>IF(OR(M13576="",N13576=""),"",SUMIFS('Barang Keluar'!$E:$E,'Barang Keluar'!$A:$A,M13576,'Barang Keluar'!$C:$C,N13576))</f>
        <v>0</v>
      </c>
    </row>
    <row r="13577" spans="13:16">
      <c r="M13577" s="49">
        <f>IF($A$4+135&gt;$B$4,"",$A$4+135)</f>
        <v>46158</v>
      </c>
      <c r="N13577">
        <f>IF(M13577="","",'Master Barang'!A71)</f>
        <v>0</v>
      </c>
      <c r="O13577">
        <f>IF(N13577="","",'Master Barang'!B71)</f>
        <v>0</v>
      </c>
      <c r="P13577">
        <f>IF(OR(M13577="",N13577=""),"",SUMIFS('Barang Keluar'!$E:$E,'Barang Keluar'!$A:$A,M13577,'Barang Keluar'!$C:$C,N13577))</f>
        <v>0</v>
      </c>
    </row>
    <row r="13578" spans="13:16">
      <c r="M13578" s="49">
        <f>IF($A$4+135&gt;$B$4,"",$A$4+135)</f>
        <v>46158</v>
      </c>
      <c r="N13578">
        <f>IF(M13578="","",'Master Barang'!A72)</f>
        <v>0</v>
      </c>
      <c r="O13578">
        <f>IF(N13578="","",'Master Barang'!B72)</f>
        <v>0</v>
      </c>
      <c r="P13578">
        <f>IF(OR(M13578="",N13578=""),"",SUMIFS('Barang Keluar'!$E:$E,'Barang Keluar'!$A:$A,M13578,'Barang Keluar'!$C:$C,N13578))</f>
        <v>0</v>
      </c>
    </row>
    <row r="13579" spans="13:16">
      <c r="M13579" s="49">
        <f>IF($A$4+135&gt;$B$4,"",$A$4+135)</f>
        <v>46158</v>
      </c>
      <c r="N13579">
        <f>IF(M13579="","",'Master Barang'!A73)</f>
        <v>0</v>
      </c>
      <c r="O13579">
        <f>IF(N13579="","",'Master Barang'!B73)</f>
        <v>0</v>
      </c>
      <c r="P13579">
        <f>IF(OR(M13579="",N13579=""),"",SUMIFS('Barang Keluar'!$E:$E,'Barang Keluar'!$A:$A,M13579,'Barang Keluar'!$C:$C,N13579))</f>
        <v>0</v>
      </c>
    </row>
    <row r="13580" spans="13:16">
      <c r="M13580" s="49">
        <f>IF($A$4+135&gt;$B$4,"",$A$4+135)</f>
        <v>46158</v>
      </c>
      <c r="N13580">
        <f>IF(M13580="","",'Master Barang'!A74)</f>
        <v>0</v>
      </c>
      <c r="O13580">
        <f>IF(N13580="","",'Master Barang'!B74)</f>
        <v>0</v>
      </c>
      <c r="P13580">
        <f>IF(OR(M13580="",N13580=""),"",SUMIFS('Barang Keluar'!$E:$E,'Barang Keluar'!$A:$A,M13580,'Barang Keluar'!$C:$C,N13580))</f>
        <v>0</v>
      </c>
    </row>
    <row r="13581" spans="13:16">
      <c r="M13581" s="49">
        <f>IF($A$4+135&gt;$B$4,"",$A$4+135)</f>
        <v>46158</v>
      </c>
      <c r="N13581">
        <f>IF(M13581="","",'Master Barang'!A75)</f>
        <v>0</v>
      </c>
      <c r="O13581">
        <f>IF(N13581="","",'Master Barang'!B75)</f>
        <v>0</v>
      </c>
      <c r="P13581">
        <f>IF(OR(M13581="",N13581=""),"",SUMIFS('Barang Keluar'!$E:$E,'Barang Keluar'!$A:$A,M13581,'Barang Keluar'!$C:$C,N13581))</f>
        <v>0</v>
      </c>
    </row>
    <row r="13582" spans="13:16">
      <c r="M13582" s="49">
        <f>IF($A$4+135&gt;$B$4,"",$A$4+135)</f>
        <v>46158</v>
      </c>
      <c r="N13582">
        <f>IF(M13582="","",'Master Barang'!A76)</f>
        <v>0</v>
      </c>
      <c r="O13582">
        <f>IF(N13582="","",'Master Barang'!B76)</f>
        <v>0</v>
      </c>
      <c r="P13582">
        <f>IF(OR(M13582="",N13582=""),"",SUMIFS('Barang Keluar'!$E:$E,'Barang Keluar'!$A:$A,M13582,'Barang Keluar'!$C:$C,N13582))</f>
        <v>0</v>
      </c>
    </row>
    <row r="13583" spans="13:16">
      <c r="M13583" s="49">
        <f>IF($A$4+135&gt;$B$4,"",$A$4+135)</f>
        <v>46158</v>
      </c>
      <c r="N13583">
        <f>IF(M13583="","",'Master Barang'!A77)</f>
        <v>0</v>
      </c>
      <c r="O13583">
        <f>IF(N13583="","",'Master Barang'!B77)</f>
        <v>0</v>
      </c>
      <c r="P13583">
        <f>IF(OR(M13583="",N13583=""),"",SUMIFS('Barang Keluar'!$E:$E,'Barang Keluar'!$A:$A,M13583,'Barang Keluar'!$C:$C,N13583))</f>
        <v>0</v>
      </c>
    </row>
    <row r="13584" spans="13:16">
      <c r="M13584" s="49">
        <f>IF($A$4+135&gt;$B$4,"",$A$4+135)</f>
        <v>46158</v>
      </c>
      <c r="N13584">
        <f>IF(M13584="","",'Master Barang'!A78)</f>
        <v>0</v>
      </c>
      <c r="O13584">
        <f>IF(N13584="","",'Master Barang'!B78)</f>
        <v>0</v>
      </c>
      <c r="P13584">
        <f>IF(OR(M13584="",N13584=""),"",SUMIFS('Barang Keluar'!$E:$E,'Barang Keluar'!$A:$A,M13584,'Barang Keluar'!$C:$C,N13584))</f>
        <v>0</v>
      </c>
    </row>
    <row r="13585" spans="13:16">
      <c r="M13585" s="49">
        <f>IF($A$4+135&gt;$B$4,"",$A$4+135)</f>
        <v>46158</v>
      </c>
      <c r="N13585">
        <f>IF(M13585="","",'Master Barang'!A79)</f>
        <v>0</v>
      </c>
      <c r="O13585">
        <f>IF(N13585="","",'Master Barang'!B79)</f>
        <v>0</v>
      </c>
      <c r="P13585">
        <f>IF(OR(M13585="",N13585=""),"",SUMIFS('Barang Keluar'!$E:$E,'Barang Keluar'!$A:$A,M13585,'Barang Keluar'!$C:$C,N13585))</f>
        <v>0</v>
      </c>
    </row>
    <row r="13586" spans="13:16">
      <c r="M13586" s="49">
        <f>IF($A$4+135&gt;$B$4,"",$A$4+135)</f>
        <v>46158</v>
      </c>
      <c r="N13586">
        <f>IF(M13586="","",'Master Barang'!A80)</f>
        <v>0</v>
      </c>
      <c r="O13586">
        <f>IF(N13586="","",'Master Barang'!B80)</f>
        <v>0</v>
      </c>
      <c r="P13586">
        <f>IF(OR(M13586="",N13586=""),"",SUMIFS('Barang Keluar'!$E:$E,'Barang Keluar'!$A:$A,M13586,'Barang Keluar'!$C:$C,N13586))</f>
        <v>0</v>
      </c>
    </row>
    <row r="13587" spans="13:16">
      <c r="M13587" s="49">
        <f>IF($A$4+135&gt;$B$4,"",$A$4+135)</f>
        <v>46158</v>
      </c>
      <c r="N13587">
        <f>IF(M13587="","",'Master Barang'!A81)</f>
        <v>0</v>
      </c>
      <c r="O13587">
        <f>IF(N13587="","",'Master Barang'!B81)</f>
        <v>0</v>
      </c>
      <c r="P13587">
        <f>IF(OR(M13587="",N13587=""),"",SUMIFS('Barang Keluar'!$E:$E,'Barang Keluar'!$A:$A,M13587,'Barang Keluar'!$C:$C,N13587))</f>
        <v>0</v>
      </c>
    </row>
    <row r="13588" spans="13:16">
      <c r="M13588" s="49">
        <f>IF($A$4+135&gt;$B$4,"",$A$4+135)</f>
        <v>46158</v>
      </c>
      <c r="N13588">
        <f>IF(M13588="","",'Master Barang'!A82)</f>
        <v>0</v>
      </c>
      <c r="O13588">
        <f>IF(N13588="","",'Master Barang'!B82)</f>
        <v>0</v>
      </c>
      <c r="P13588">
        <f>IF(OR(M13588="",N13588=""),"",SUMIFS('Barang Keluar'!$E:$E,'Barang Keluar'!$A:$A,M13588,'Barang Keluar'!$C:$C,N13588))</f>
        <v>0</v>
      </c>
    </row>
    <row r="13589" spans="13:16">
      <c r="M13589" s="49">
        <f>IF($A$4+135&gt;$B$4,"",$A$4+135)</f>
        <v>46158</v>
      </c>
      <c r="N13589">
        <f>IF(M13589="","",'Master Barang'!A83)</f>
        <v>0</v>
      </c>
      <c r="O13589">
        <f>IF(N13589="","",'Master Barang'!B83)</f>
        <v>0</v>
      </c>
      <c r="P13589">
        <f>IF(OR(M13589="",N13589=""),"",SUMIFS('Barang Keluar'!$E:$E,'Barang Keluar'!$A:$A,M13589,'Barang Keluar'!$C:$C,N13589))</f>
        <v>0</v>
      </c>
    </row>
    <row r="13590" spans="13:16">
      <c r="M13590" s="49">
        <f>IF($A$4+135&gt;$B$4,"",$A$4+135)</f>
        <v>46158</v>
      </c>
      <c r="N13590">
        <f>IF(M13590="","",'Master Barang'!A84)</f>
        <v>0</v>
      </c>
      <c r="O13590">
        <f>IF(N13590="","",'Master Barang'!B84)</f>
        <v>0</v>
      </c>
      <c r="P13590">
        <f>IF(OR(M13590="",N13590=""),"",SUMIFS('Barang Keluar'!$E:$E,'Barang Keluar'!$A:$A,M13590,'Barang Keluar'!$C:$C,N13590))</f>
        <v>0</v>
      </c>
    </row>
    <row r="13591" spans="13:16">
      <c r="M13591" s="49">
        <f>IF($A$4+135&gt;$B$4,"",$A$4+135)</f>
        <v>46158</v>
      </c>
      <c r="N13591">
        <f>IF(M13591="","",'Master Barang'!A85)</f>
        <v>0</v>
      </c>
      <c r="O13591">
        <f>IF(N13591="","",'Master Barang'!B85)</f>
        <v>0</v>
      </c>
      <c r="P13591">
        <f>IF(OR(M13591="",N13591=""),"",SUMIFS('Barang Keluar'!$E:$E,'Barang Keluar'!$A:$A,M13591,'Barang Keluar'!$C:$C,N13591))</f>
        <v>0</v>
      </c>
    </row>
    <row r="13592" spans="13:16">
      <c r="M13592" s="49">
        <f>IF($A$4+135&gt;$B$4,"",$A$4+135)</f>
        <v>46158</v>
      </c>
      <c r="N13592">
        <f>IF(M13592="","",'Master Barang'!A86)</f>
        <v>0</v>
      </c>
      <c r="O13592">
        <f>IF(N13592="","",'Master Barang'!B86)</f>
        <v>0</v>
      </c>
      <c r="P13592">
        <f>IF(OR(M13592="",N13592=""),"",SUMIFS('Barang Keluar'!$E:$E,'Barang Keluar'!$A:$A,M13592,'Barang Keluar'!$C:$C,N13592))</f>
        <v>0</v>
      </c>
    </row>
    <row r="13593" spans="13:16">
      <c r="M13593" s="49">
        <f>IF($A$4+135&gt;$B$4,"",$A$4+135)</f>
        <v>46158</v>
      </c>
      <c r="N13593">
        <f>IF(M13593="","",'Master Barang'!A87)</f>
        <v>0</v>
      </c>
      <c r="O13593">
        <f>IF(N13593="","",'Master Barang'!B87)</f>
        <v>0</v>
      </c>
      <c r="P13593">
        <f>IF(OR(M13593="",N13593=""),"",SUMIFS('Barang Keluar'!$E:$E,'Barang Keluar'!$A:$A,M13593,'Barang Keluar'!$C:$C,N13593))</f>
        <v>0</v>
      </c>
    </row>
    <row r="13594" spans="13:16">
      <c r="M13594" s="49">
        <f>IF($A$4+135&gt;$B$4,"",$A$4+135)</f>
        <v>46158</v>
      </c>
      <c r="N13594">
        <f>IF(M13594="","",'Master Barang'!A88)</f>
        <v>0</v>
      </c>
      <c r="O13594">
        <f>IF(N13594="","",'Master Barang'!B88)</f>
        <v>0</v>
      </c>
      <c r="P13594">
        <f>IF(OR(M13594="",N13594=""),"",SUMIFS('Barang Keluar'!$E:$E,'Barang Keluar'!$A:$A,M13594,'Barang Keluar'!$C:$C,N13594))</f>
        <v>0</v>
      </c>
    </row>
    <row r="13595" spans="13:16">
      <c r="M13595" s="49">
        <f>IF($A$4+135&gt;$B$4,"",$A$4+135)</f>
        <v>46158</v>
      </c>
      <c r="N13595">
        <f>IF(M13595="","",'Master Barang'!A89)</f>
        <v>0</v>
      </c>
      <c r="O13595">
        <f>IF(N13595="","",'Master Barang'!B89)</f>
        <v>0</v>
      </c>
      <c r="P13595">
        <f>IF(OR(M13595="",N13595=""),"",SUMIFS('Barang Keluar'!$E:$E,'Barang Keluar'!$A:$A,M13595,'Barang Keluar'!$C:$C,N13595))</f>
        <v>0</v>
      </c>
    </row>
    <row r="13596" spans="13:16">
      <c r="M13596" s="49">
        <f>IF($A$4+135&gt;$B$4,"",$A$4+135)</f>
        <v>46158</v>
      </c>
      <c r="N13596">
        <f>IF(M13596="","",'Master Barang'!A90)</f>
        <v>0</v>
      </c>
      <c r="O13596">
        <f>IF(N13596="","",'Master Barang'!B90)</f>
        <v>0</v>
      </c>
      <c r="P13596">
        <f>IF(OR(M13596="",N13596=""),"",SUMIFS('Barang Keluar'!$E:$E,'Barang Keluar'!$A:$A,M13596,'Barang Keluar'!$C:$C,N13596))</f>
        <v>0</v>
      </c>
    </row>
    <row r="13597" spans="13:16">
      <c r="M13597" s="49">
        <f>IF($A$4+135&gt;$B$4,"",$A$4+135)</f>
        <v>46158</v>
      </c>
      <c r="N13597">
        <f>IF(M13597="","",'Master Barang'!A91)</f>
        <v>0</v>
      </c>
      <c r="O13597">
        <f>IF(N13597="","",'Master Barang'!B91)</f>
        <v>0</v>
      </c>
      <c r="P13597">
        <f>IF(OR(M13597="",N13597=""),"",SUMIFS('Barang Keluar'!$E:$E,'Barang Keluar'!$A:$A,M13597,'Barang Keluar'!$C:$C,N13597))</f>
        <v>0</v>
      </c>
    </row>
    <row r="13598" spans="13:16">
      <c r="M13598" s="49">
        <f>IF($A$4+135&gt;$B$4,"",$A$4+135)</f>
        <v>46158</v>
      </c>
      <c r="N13598">
        <f>IF(M13598="","",'Master Barang'!A92)</f>
        <v>0</v>
      </c>
      <c r="O13598">
        <f>IF(N13598="","",'Master Barang'!B92)</f>
        <v>0</v>
      </c>
      <c r="P13598">
        <f>IF(OR(M13598="",N13598=""),"",SUMIFS('Barang Keluar'!$E:$E,'Barang Keluar'!$A:$A,M13598,'Barang Keluar'!$C:$C,N13598))</f>
        <v>0</v>
      </c>
    </row>
    <row r="13599" spans="13:16">
      <c r="M13599" s="49">
        <f>IF($A$4+135&gt;$B$4,"",$A$4+135)</f>
        <v>46158</v>
      </c>
      <c r="N13599">
        <f>IF(M13599="","",'Master Barang'!A93)</f>
        <v>0</v>
      </c>
      <c r="O13599">
        <f>IF(N13599="","",'Master Barang'!B93)</f>
        <v>0</v>
      </c>
      <c r="P13599">
        <f>IF(OR(M13599="",N13599=""),"",SUMIFS('Barang Keluar'!$E:$E,'Barang Keluar'!$A:$A,M13599,'Barang Keluar'!$C:$C,N13599))</f>
        <v>0</v>
      </c>
    </row>
    <row r="13600" spans="13:16">
      <c r="M13600" s="49">
        <f>IF($A$4+135&gt;$B$4,"",$A$4+135)</f>
        <v>46158</v>
      </c>
      <c r="N13600">
        <f>IF(M13600="","",'Master Barang'!A94)</f>
        <v>0</v>
      </c>
      <c r="O13600">
        <f>IF(N13600="","",'Master Barang'!B94)</f>
        <v>0</v>
      </c>
      <c r="P13600">
        <f>IF(OR(M13600="",N13600=""),"",SUMIFS('Barang Keluar'!$E:$E,'Barang Keluar'!$A:$A,M13600,'Barang Keluar'!$C:$C,N13600))</f>
        <v>0</v>
      </c>
    </row>
    <row r="13601" spans="13:16">
      <c r="M13601" s="49">
        <f>IF($A$4+135&gt;$B$4,"",$A$4+135)</f>
        <v>46158</v>
      </c>
      <c r="N13601">
        <f>IF(M13601="","",'Master Barang'!A95)</f>
        <v>0</v>
      </c>
      <c r="O13601">
        <f>IF(N13601="","",'Master Barang'!B95)</f>
        <v>0</v>
      </c>
      <c r="P13601">
        <f>IF(OR(M13601="",N13601=""),"",SUMIFS('Barang Keluar'!$E:$E,'Barang Keluar'!$A:$A,M13601,'Barang Keluar'!$C:$C,N13601))</f>
        <v>0</v>
      </c>
    </row>
    <row r="13602" spans="13:16">
      <c r="M13602" s="49">
        <f>IF($A$4+135&gt;$B$4,"",$A$4+135)</f>
        <v>46158</v>
      </c>
      <c r="N13602">
        <f>IF(M13602="","",'Master Barang'!A96)</f>
        <v>0</v>
      </c>
      <c r="O13602">
        <f>IF(N13602="","",'Master Barang'!B96)</f>
        <v>0</v>
      </c>
      <c r="P13602">
        <f>IF(OR(M13602="",N13602=""),"",SUMIFS('Barang Keluar'!$E:$E,'Barang Keluar'!$A:$A,M13602,'Barang Keluar'!$C:$C,N13602))</f>
        <v>0</v>
      </c>
    </row>
    <row r="13603" spans="13:16">
      <c r="M13603" s="49">
        <f>IF($A$4+135&gt;$B$4,"",$A$4+135)</f>
        <v>46158</v>
      </c>
      <c r="N13603">
        <f>IF(M13603="","",'Master Barang'!A97)</f>
        <v>0</v>
      </c>
      <c r="O13603">
        <f>IF(N13603="","",'Master Barang'!B97)</f>
        <v>0</v>
      </c>
      <c r="P13603">
        <f>IF(OR(M13603="",N13603=""),"",SUMIFS('Barang Keluar'!$E:$E,'Barang Keluar'!$A:$A,M13603,'Barang Keluar'!$C:$C,N13603))</f>
        <v>0</v>
      </c>
    </row>
    <row r="13604" spans="13:16">
      <c r="M13604" s="49">
        <f>IF($A$4+135&gt;$B$4,"",$A$4+135)</f>
        <v>46158</v>
      </c>
      <c r="N13604">
        <f>IF(M13604="","",'Master Barang'!A98)</f>
        <v>0</v>
      </c>
      <c r="O13604">
        <f>IF(N13604="","",'Master Barang'!B98)</f>
        <v>0</v>
      </c>
      <c r="P13604">
        <f>IF(OR(M13604="",N13604=""),"",SUMIFS('Barang Keluar'!$E:$E,'Barang Keluar'!$A:$A,M13604,'Barang Keluar'!$C:$C,N13604))</f>
        <v>0</v>
      </c>
    </row>
    <row r="13605" spans="13:16">
      <c r="M13605" s="49">
        <f>IF($A$4+135&gt;$B$4,"",$A$4+135)</f>
        <v>46158</v>
      </c>
      <c r="N13605">
        <f>IF(M13605="","",'Master Barang'!A99)</f>
        <v>0</v>
      </c>
      <c r="O13605">
        <f>IF(N13605="","",'Master Barang'!B99)</f>
        <v>0</v>
      </c>
      <c r="P13605">
        <f>IF(OR(M13605="",N13605=""),"",SUMIFS('Barang Keluar'!$E:$E,'Barang Keluar'!$A:$A,M13605,'Barang Keluar'!$C:$C,N13605))</f>
        <v>0</v>
      </c>
    </row>
    <row r="13606" spans="13:16">
      <c r="M13606" s="49">
        <f>IF($A$4+135&gt;$B$4,"",$A$4+135)</f>
        <v>46158</v>
      </c>
      <c r="N13606">
        <f>IF(M13606="","",'Master Barang'!A100)</f>
        <v>0</v>
      </c>
      <c r="O13606">
        <f>IF(N13606="","",'Master Barang'!B100)</f>
        <v>0</v>
      </c>
      <c r="P13606">
        <f>IF(OR(M13606="",N13606=""),"",SUMIFS('Barang Keluar'!$E:$E,'Barang Keluar'!$A:$A,M13606,'Barang Keluar'!$C:$C,N13606))</f>
        <v>0</v>
      </c>
    </row>
    <row r="13607" spans="13:16">
      <c r="M13607" s="49">
        <f>IF($A$4+135&gt;$B$4,"",$A$4+135)</f>
        <v>46158</v>
      </c>
      <c r="N13607">
        <f>IF(M13607="","",'Master Barang'!A101)</f>
        <v>0</v>
      </c>
      <c r="O13607">
        <f>IF(N13607="","",'Master Barang'!B101)</f>
        <v>0</v>
      </c>
      <c r="P13607">
        <f>IF(OR(M13607="",N13607=""),"",SUMIFS('Barang Keluar'!$E:$E,'Barang Keluar'!$A:$A,M13607,'Barang Keluar'!$C:$C,N13607))</f>
        <v>0</v>
      </c>
    </row>
    <row r="13608" spans="13:16">
      <c r="M13608" s="49">
        <f>IF($A$4+136&gt;$B$4,"",$A$4+136)</f>
        <v>46159</v>
      </c>
      <c r="N13608" t="str">
        <f>IF(M13608="","",'Master Barang'!A2)</f>
        <v>PRL-001</v>
      </c>
      <c r="O13608" t="str">
        <f>IF(N13608="","",'Master Barang'!B2)</f>
        <v>natura desinfectant food grade 5l</v>
      </c>
      <c r="P13608">
        <f>IF(OR(M13608="",N13608=""),"",SUMIFS('Barang Keluar'!$E:$E,'Barang Keluar'!$A:$A,M13608,'Barang Keluar'!$C:$C,N13608))</f>
        <v>0</v>
      </c>
    </row>
    <row r="13609" spans="13:16">
      <c r="M13609" s="49">
        <f>IF($A$4+136&gt;$B$4,"",$A$4+136)</f>
        <v>46159</v>
      </c>
      <c r="N13609" t="str">
        <f>IF(M13609="","",'Master Barang'!A3)</f>
        <v>PRL-002</v>
      </c>
      <c r="O13609" t="str">
        <f>IF(N13609="","",'Master Barang'!B3)</f>
        <v>sunlight cairan pencuci piring 5l</v>
      </c>
      <c r="P13609">
        <f>IF(OR(M13609="",N13609=""),"",SUMIFS('Barang Keluar'!$E:$E,'Barang Keluar'!$A:$A,M13609,'Barang Keluar'!$C:$C,N13609))</f>
        <v>0</v>
      </c>
    </row>
    <row r="13610" spans="13:16">
      <c r="M13610" s="49">
        <f>IF($A$4+136&gt;$B$4,"",$A$4+136)</f>
        <v>46159</v>
      </c>
      <c r="N13610" t="str">
        <f>IF(M13610="","",'Master Barang'!A4)</f>
        <v>PRL-003</v>
      </c>
      <c r="O13610" t="str">
        <f>IF(N13610="","",'Master Barang'!B4)</f>
        <v>oixs cleaner 1l</v>
      </c>
      <c r="P13610">
        <f>IF(OR(M13610="",N13610=""),"",SUMIFS('Barang Keluar'!$E:$E,'Barang Keluar'!$A:$A,M13610,'Barang Keluar'!$C:$C,N13610))</f>
        <v>0</v>
      </c>
    </row>
    <row r="13611" spans="13:16">
      <c r="M13611" s="49">
        <f>IF($A$4+136&gt;$B$4,"",$A$4+136)</f>
        <v>46159</v>
      </c>
      <c r="N13611" t="str">
        <f>IF(M13611="","",'Master Barang'!A5)</f>
        <v>PRL-004</v>
      </c>
      <c r="O13611" t="str">
        <f>IF(N13611="","",'Master Barang'!B5)</f>
        <v>be clean tissue serbaguna</v>
      </c>
      <c r="P13611">
        <f>IF(OR(M13611="",N13611=""),"",SUMIFS('Barang Keluar'!$E:$E,'Barang Keluar'!$A:$A,M13611,'Barang Keluar'!$C:$C,N13611))</f>
        <v>0</v>
      </c>
    </row>
    <row r="13612" spans="13:16">
      <c r="M13612" s="49">
        <f>IF($A$4+136&gt;$B$4,"",$A$4+136)</f>
        <v>46159</v>
      </c>
      <c r="N13612" t="str">
        <f>IF(M13612="","",'Master Barang'!A6)</f>
        <v>PRL-005</v>
      </c>
      <c r="O13612" t="str">
        <f>IF(N13612="","",'Master Barang'!B6)</f>
        <v>spons cuci hijau</v>
      </c>
      <c r="P13612">
        <f>IF(OR(M13612="",N13612=""),"",SUMIFS('Barang Keluar'!$E:$E,'Barang Keluar'!$A:$A,M13612,'Barang Keluar'!$C:$C,N13612))</f>
        <v>0</v>
      </c>
    </row>
    <row r="13613" spans="13:16">
      <c r="M13613" s="49">
        <f>IF($A$4+136&gt;$B$4,"",$A$4+136)</f>
        <v>46159</v>
      </c>
      <c r="N13613" t="str">
        <f>IF(M13613="","",'Master Barang'!A7)</f>
        <v>PRL-006</v>
      </c>
      <c r="O13613" t="str">
        <f>IF(N13613="","",'Master Barang'!B7)</f>
        <v>sabut cuci stainless</v>
      </c>
      <c r="P13613">
        <f>IF(OR(M13613="",N13613=""),"",SUMIFS('Barang Keluar'!$E:$E,'Barang Keluar'!$A:$A,M13613,'Barang Keluar'!$C:$C,N13613))</f>
        <v>0</v>
      </c>
    </row>
    <row r="13614" spans="13:16">
      <c r="M13614" s="49">
        <f>IF($A$4+136&gt;$B$4,"",$A$4+136)</f>
        <v>46159</v>
      </c>
      <c r="N13614" t="str">
        <f>IF(M13614="","",'Master Barang'!A8)</f>
        <v>PRL-007</v>
      </c>
      <c r="O13614" t="str">
        <f>IF(N13614="","",'Master Barang'!B8)</f>
        <v>plastik kresek besar merah 50pc</v>
      </c>
      <c r="P13614">
        <f>IF(OR(M13614="",N13614=""),"",SUMIFS('Barang Keluar'!$E:$E,'Barang Keluar'!$A:$A,M13614,'Barang Keluar'!$C:$C,N13614))</f>
        <v>0</v>
      </c>
    </row>
    <row r="13615" spans="13:16">
      <c r="M13615" s="49">
        <f>IF($A$4+136&gt;$B$4,"",$A$4+136)</f>
        <v>46159</v>
      </c>
      <c r="N13615" t="str">
        <f>IF(M13615="","",'Master Barang'!A9)</f>
        <v>PRL-008</v>
      </c>
      <c r="O13615" t="str">
        <f>IF(N13615="","",'Master Barang'!B9)</f>
        <v>lap besar</v>
      </c>
      <c r="P13615">
        <f>IF(OR(M13615="",N13615=""),"",SUMIFS('Barang Keluar'!$E:$E,'Barang Keluar'!$A:$A,M13615,'Barang Keluar'!$C:$C,N13615))</f>
        <v>0</v>
      </c>
    </row>
    <row r="13616" spans="13:16">
      <c r="M13616" s="49">
        <f>IF($A$4+136&gt;$B$4,"",$A$4+136)</f>
        <v>46159</v>
      </c>
      <c r="N13616" t="str">
        <f>IF(M13616="","",'Master Barang'!A10)</f>
        <v>PRL-009</v>
      </c>
      <c r="O13616" t="str">
        <f>IF(N13616="","",'Master Barang'!B10)</f>
        <v>lap microfiber</v>
      </c>
      <c r="P13616">
        <f>IF(OR(M13616="",N13616=""),"",SUMIFS('Barang Keluar'!$E:$E,'Barang Keluar'!$A:$A,M13616,'Barang Keluar'!$C:$C,N13616))</f>
        <v>0</v>
      </c>
    </row>
    <row r="13617" spans="13:16">
      <c r="M13617" s="49">
        <f>IF($A$4+136&gt;$B$4,"",$A$4+136)</f>
        <v>46159</v>
      </c>
      <c r="N13617" t="str">
        <f>IF(M13617="","",'Master Barang'!A11)</f>
        <v>PRL-010</v>
      </c>
      <c r="O13617" t="str">
        <f>IF(N13617="","",'Master Barang'!B11)</f>
        <v>lap kecil</v>
      </c>
      <c r="P13617">
        <f>IF(OR(M13617="",N13617=""),"",SUMIFS('Barang Keluar'!$E:$E,'Barang Keluar'!$A:$A,M13617,'Barang Keluar'!$C:$C,N13617))</f>
        <v>0</v>
      </c>
    </row>
    <row r="13618" spans="13:16">
      <c r="M13618" s="49">
        <f>IF($A$4+136&gt;$B$4,"",$A$4+136)</f>
        <v>46159</v>
      </c>
      <c r="N13618" t="str">
        <f>IF(M13618="","",'Master Barang'!A12)</f>
        <v>PRL-011</v>
      </c>
      <c r="O13618" t="str">
        <f>IF(N13618="","",'Master Barang'!B12)</f>
        <v>kanebo kecil</v>
      </c>
      <c r="P13618">
        <f>IF(OR(M13618="",N13618=""),"",SUMIFS('Barang Keluar'!$E:$E,'Barang Keluar'!$A:$A,M13618,'Barang Keluar'!$C:$C,N13618))</f>
        <v>0</v>
      </c>
    </row>
    <row r="13619" spans="13:16">
      <c r="M13619" s="49">
        <f>IF($A$4+136&gt;$B$4,"",$A$4+136)</f>
        <v>46159</v>
      </c>
      <c r="N13619" t="str">
        <f>IF(M13619="","",'Master Barang'!A13)</f>
        <v>PRL-012</v>
      </c>
      <c r="O13619" t="str">
        <f>IF(N13619="","",'Master Barang'!B13)</f>
        <v>plastik 1/4kg joyoboyo 100 lembar</v>
      </c>
      <c r="P13619">
        <f>IF(OR(M13619="",N13619=""),"",SUMIFS('Barang Keluar'!$E:$E,'Barang Keluar'!$A:$A,M13619,'Barang Keluar'!$C:$C,N13619))</f>
        <v>0</v>
      </c>
    </row>
    <row r="13620" spans="13:16">
      <c r="M13620" s="49">
        <f>IF($A$4+136&gt;$B$4,"",$A$4+136)</f>
        <v>46159</v>
      </c>
      <c r="N13620" t="str">
        <f>IF(M13620="","",'Master Barang'!A14)</f>
        <v>PRL-013</v>
      </c>
      <c r="O13620" t="str">
        <f>IF(N13620="","",'Master Barang'!B14)</f>
        <v>sarung tangan plastik kaka 100 pcs</v>
      </c>
      <c r="P13620">
        <f>IF(OR(M13620="",N13620=""),"",SUMIFS('Barang Keluar'!$E:$E,'Barang Keluar'!$A:$A,M13620,'Barang Keluar'!$C:$C,N13620))</f>
        <v>0</v>
      </c>
    </row>
    <row r="13621" spans="13:16">
      <c r="M13621" s="49">
        <f>IF($A$4+136&gt;$B$4,"",$A$4+136)</f>
        <v>46159</v>
      </c>
      <c r="N13621" t="str">
        <f>IF(M13621="","",'Master Barang'!A15)</f>
        <v>PRL-014</v>
      </c>
      <c r="O13621" t="str">
        <f>IF(N13621="","",'Master Barang'!B15)</f>
        <v>optima trashbag 80x100</v>
      </c>
      <c r="P13621">
        <f>IF(OR(M13621="",N13621=""),"",SUMIFS('Barang Keluar'!$E:$E,'Barang Keluar'!$A:$A,M13621,'Barang Keluar'!$C:$C,N13621))</f>
        <v>0</v>
      </c>
    </row>
    <row r="13622" spans="13:16">
      <c r="M13622" s="49">
        <f>IF($A$4+136&gt;$B$4,"",$A$4+136)</f>
        <v>46159</v>
      </c>
      <c r="N13622" t="str">
        <f>IF(M13622="","",'Master Barang'!A16)</f>
        <v>PRL-015</v>
      </c>
      <c r="O13622" t="str">
        <f>IF(N13622="","",'Master Barang'!B16)</f>
        <v>optima trashbag 60x100</v>
      </c>
      <c r="P13622">
        <f>IF(OR(M13622="",N13622=""),"",SUMIFS('Barang Keluar'!$E:$E,'Barang Keluar'!$A:$A,M13622,'Barang Keluar'!$C:$C,N13622))</f>
        <v>0</v>
      </c>
    </row>
    <row r="13623" spans="13:16">
      <c r="M13623" s="49">
        <f>IF($A$4+136&gt;$B$4,"",$A$4+136)</f>
        <v>46159</v>
      </c>
      <c r="N13623" t="str">
        <f>IF(M13623="","",'Master Barang'!A17)</f>
        <v>PRL-016</v>
      </c>
      <c r="O13623" t="str">
        <f>IF(N13623="","",'Master Barang'!B17)</f>
        <v>rajawali trashbag 30x40</v>
      </c>
      <c r="P13623">
        <f>IF(OR(M13623="",N13623=""),"",SUMIFS('Barang Keluar'!$E:$E,'Barang Keluar'!$A:$A,M13623,'Barang Keluar'!$C:$C,N13623))</f>
        <v>0</v>
      </c>
    </row>
    <row r="13624" spans="13:16">
      <c r="M13624" s="49">
        <f>IF($A$4+136&gt;$B$4,"",$A$4+136)</f>
        <v>46159</v>
      </c>
      <c r="N13624" t="str">
        <f>IF(M13624="","",'Master Barang'!A18)</f>
        <v>PRL-017</v>
      </c>
      <c r="O13624" t="str">
        <f>IF(N13624="","",'Master Barang'!B18)</f>
        <v>onemed masker biru 3 play 50 pcs</v>
      </c>
      <c r="P13624">
        <f>IF(OR(M13624="",N13624=""),"",SUMIFS('Barang Keluar'!$E:$E,'Barang Keluar'!$A:$A,M13624,'Barang Keluar'!$C:$C,N13624))</f>
        <v>0</v>
      </c>
    </row>
    <row r="13625" spans="13:16">
      <c r="M13625" s="49">
        <f>IF($A$4+136&gt;$B$4,"",$A$4+136)</f>
        <v>46159</v>
      </c>
      <c r="N13625" t="str">
        <f>IF(M13625="","",'Master Barang'!A19)</f>
        <v>PRL-018</v>
      </c>
      <c r="O13625" t="str">
        <f>IF(N13625="","",'Master Barang'!B19)</f>
        <v>onemed masker biru 3 play hijab 50 pcs</v>
      </c>
      <c r="P13625">
        <f>IF(OR(M13625="",N13625=""),"",SUMIFS('Barang Keluar'!$E:$E,'Barang Keluar'!$A:$A,M13625,'Barang Keluar'!$C:$C,N13625))</f>
        <v>0</v>
      </c>
    </row>
    <row r="13626" spans="13:16">
      <c r="M13626" s="49">
        <f>IF($A$4+136&gt;$B$4,"",$A$4+136)</f>
        <v>46159</v>
      </c>
      <c r="N13626" t="str">
        <f>IF(M13626="","",'Master Barang'!A20)</f>
        <v>PRL-019</v>
      </c>
      <c r="O13626" t="str">
        <f>IF(N13626="","",'Master Barang'!B20)</f>
        <v>neo health masker biru 3 play 50 pcs</v>
      </c>
      <c r="P13626">
        <f>IF(OR(M13626="",N13626=""),"",SUMIFS('Barang Keluar'!$E:$E,'Barang Keluar'!$A:$A,M13626,'Barang Keluar'!$C:$C,N13626))</f>
        <v>0</v>
      </c>
    </row>
    <row r="13627" spans="13:16">
      <c r="M13627" s="49">
        <f>IF($A$4+136&gt;$B$4,"",$A$4+136)</f>
        <v>46159</v>
      </c>
      <c r="N13627" t="str">
        <f>IF(M13627="","",'Master Barang'!A21)</f>
        <v>PRL-020</v>
      </c>
      <c r="O13627" t="str">
        <f>IF(N13627="","",'Master Barang'!B21)</f>
        <v>baymed masker hijau 3 play hijau 50 pcs</v>
      </c>
      <c r="P13627">
        <f>IF(OR(M13627="",N13627=""),"",SUMIFS('Barang Keluar'!$E:$E,'Barang Keluar'!$A:$A,M13627,'Barang Keluar'!$C:$C,N13627))</f>
        <v>0</v>
      </c>
    </row>
    <row r="13628" spans="13:16">
      <c r="M13628" s="49">
        <f>IF($A$4+136&gt;$B$4,"",$A$4+136)</f>
        <v>46159</v>
      </c>
      <c r="N13628" t="str">
        <f>IF(M13628="","",'Master Barang'!A22)</f>
        <v>PRL-021</v>
      </c>
      <c r="O13628" t="str">
        <f>IF(N13628="","",'Master Barang'!B22)</f>
        <v>altamed nurse cap penutup kepala 100 pcs</v>
      </c>
      <c r="P13628">
        <f>IF(OR(M13628="",N13628=""),"",SUMIFS('Barang Keluar'!$E:$E,'Barang Keluar'!$A:$A,M13628,'Barang Keluar'!$C:$C,N13628))</f>
        <v>0</v>
      </c>
    </row>
    <row r="13629" spans="13:16">
      <c r="M13629" s="49">
        <f>IF($A$4+136&gt;$B$4,"",$A$4+136)</f>
        <v>46159</v>
      </c>
      <c r="N13629" t="str">
        <f>IF(M13629="","",'Master Barang'!A23)</f>
        <v>PRL-022</v>
      </c>
      <c r="O13629" t="str">
        <f>IF(N13629="","",'Master Barang'!B23)</f>
        <v>sabun cuci tangan</v>
      </c>
      <c r="P13629">
        <f>IF(OR(M13629="",N13629=""),"",SUMIFS('Barang Keluar'!$E:$E,'Barang Keluar'!$A:$A,M13629,'Barang Keluar'!$C:$C,N13629))</f>
        <v>0</v>
      </c>
    </row>
    <row r="13630" spans="13:16">
      <c r="M13630" s="49">
        <f>IF($A$4+136&gt;$B$4,"",$A$4+136)</f>
        <v>46159</v>
      </c>
      <c r="N13630" t="str">
        <f>IF(M13630="","",'Master Barang'!A24)</f>
        <v>PRL-023</v>
      </c>
      <c r="O13630" t="str">
        <f>IF(N13630="","",'Master Barang'!B24)</f>
        <v>gayung kecil</v>
      </c>
      <c r="P13630">
        <f>IF(OR(M13630="",N13630=""),"",SUMIFS('Barang Keluar'!$E:$E,'Barang Keluar'!$A:$A,M13630,'Barang Keluar'!$C:$C,N13630))</f>
        <v>0</v>
      </c>
    </row>
    <row r="13631" spans="13:16">
      <c r="M13631" s="49">
        <f>IF($A$4+136&gt;$B$4,"",$A$4+136)</f>
        <v>46159</v>
      </c>
      <c r="N13631" t="str">
        <f>IF(M13631="","",'Master Barang'!A25)</f>
        <v>PRL-024</v>
      </c>
      <c r="O13631" t="str">
        <f>IF(N13631="","",'Master Barang'!B25)</f>
        <v>cikrak kecil</v>
      </c>
      <c r="P13631">
        <f>IF(OR(M13631="",N13631=""),"",SUMIFS('Barang Keluar'!$E:$E,'Barang Keluar'!$A:$A,M13631,'Barang Keluar'!$C:$C,N13631))</f>
        <v>0</v>
      </c>
    </row>
    <row r="13632" spans="13:16">
      <c r="M13632" s="49">
        <f>IF($A$4+136&gt;$B$4,"",$A$4+136)</f>
        <v>46159</v>
      </c>
      <c r="N13632" t="str">
        <f>IF(M13632="","",'Master Barang'!A26)</f>
        <v>PRL-025</v>
      </c>
      <c r="O13632" t="str">
        <f>IF(N13632="","",'Master Barang'!B26)</f>
        <v>petromax plastik kecil 12x24 100 lembar</v>
      </c>
      <c r="P13632">
        <f>IF(OR(M13632="",N13632=""),"",SUMIFS('Barang Keluar'!$E:$E,'Barang Keluar'!$A:$A,M13632,'Barang Keluar'!$C:$C,N13632))</f>
        <v>0</v>
      </c>
    </row>
    <row r="13633" spans="13:16">
      <c r="M13633" s="49">
        <f>IF($A$4+136&gt;$B$4,"",$A$4+136)</f>
        <v>46159</v>
      </c>
      <c r="N13633" t="str">
        <f>IF(M13633="","",'Master Barang'!A27)</f>
        <v>PRL-026</v>
      </c>
      <c r="O13633" t="str">
        <f>IF(N13633="","",'Master Barang'!B27)</f>
        <v>lancar kresek kecil bening </v>
      </c>
      <c r="P13633">
        <f>IF(OR(M13633="",N13633=""),"",SUMIFS('Barang Keluar'!$E:$E,'Barang Keluar'!$A:$A,M13633,'Barang Keluar'!$C:$C,N13633))</f>
        <v>0</v>
      </c>
    </row>
    <row r="13634" spans="13:16">
      <c r="M13634" s="49">
        <f>IF($A$4+136&gt;$B$4,"",$A$4+136)</f>
        <v>46159</v>
      </c>
      <c r="N13634" t="str">
        <f>IF(M13634="","",'Master Barang'!A28)</f>
        <v>PRL-027</v>
      </c>
      <c r="O13634" t="str">
        <f>IF(N13634="","",'Master Barang'!B28)</f>
        <v>kresek klin warna warni kecil</v>
      </c>
      <c r="P13634">
        <f>IF(OR(M13634="",N13634=""),"",SUMIFS('Barang Keluar'!$E:$E,'Barang Keluar'!$A:$A,M13634,'Barang Keluar'!$C:$C,N13634))</f>
        <v>0</v>
      </c>
    </row>
    <row r="13635" spans="13:16">
      <c r="M13635" s="49">
        <f>IF($A$4+136&gt;$B$4,"",$A$4+136)</f>
        <v>46159</v>
      </c>
      <c r="N13635" t="str">
        <f>IF(M13635="","",'Master Barang'!A29)</f>
        <v>PRL-028</v>
      </c>
      <c r="O13635" t="str">
        <f>IF(N13635="","",'Master Barang'!B29)</f>
        <v>ctik plastik 7x10 100 pcs</v>
      </c>
      <c r="P13635">
        <f>IF(OR(M13635="",N13635=""),"",SUMIFS('Barang Keluar'!$E:$E,'Barang Keluar'!$A:$A,M13635,'Barang Keluar'!$C:$C,N13635))</f>
        <v>0</v>
      </c>
    </row>
    <row r="13636" spans="13:16">
      <c r="M13636" s="49">
        <f>IF($A$4+136&gt;$B$4,"",$A$4+136)</f>
        <v>46159</v>
      </c>
      <c r="N13636" t="str">
        <f>IF(M13636="","",'Master Barang'!A30)</f>
        <v>PRL-029</v>
      </c>
      <c r="O13636" t="str">
        <f>IF(N13636="","",'Master Barang'!B30)</f>
        <v>ctik plastik 6x10 100 pcs</v>
      </c>
      <c r="P13636">
        <f>IF(OR(M13636="",N13636=""),"",SUMIFS('Barang Keluar'!$E:$E,'Barang Keluar'!$A:$A,M13636,'Barang Keluar'!$C:$C,N13636))</f>
        <v>0</v>
      </c>
    </row>
    <row r="13637" spans="13:16">
      <c r="M13637" s="49">
        <f>IF($A$4+136&gt;$B$4,"",$A$4+136)</f>
        <v>46159</v>
      </c>
      <c r="N13637" t="str">
        <f>IF(M13637="","",'Master Barang'!A31)</f>
        <v>PRL-030</v>
      </c>
      <c r="O13637" t="str">
        <f>IF(N13637="","",'Master Barang'!B31)</f>
        <v>klip plastik 25x16 100 pcs</v>
      </c>
      <c r="P13637">
        <f>IF(OR(M13637="",N13637=""),"",SUMIFS('Barang Keluar'!$E:$E,'Barang Keluar'!$A:$A,M13637,'Barang Keluar'!$C:$C,N13637))</f>
        <v>0</v>
      </c>
    </row>
    <row r="13638" spans="13:16">
      <c r="M13638" s="49">
        <f>IF($A$4+136&gt;$B$4,"",$A$4+136)</f>
        <v>46159</v>
      </c>
      <c r="N13638" t="str">
        <f>IF(M13638="","",'Master Barang'!A32)</f>
        <v>PRL-031</v>
      </c>
      <c r="O13638" t="str">
        <f>IF(N13638="","",'Master Barang'!B32)</f>
        <v>tempat saus 20 ml</v>
      </c>
      <c r="P13638">
        <f>IF(OR(M13638="",N13638=""),"",SUMIFS('Barang Keluar'!$E:$E,'Barang Keluar'!$A:$A,M13638,'Barang Keluar'!$C:$C,N13638))</f>
        <v>0</v>
      </c>
    </row>
    <row r="13639" spans="13:16">
      <c r="M13639" s="49">
        <f>IF($A$4+136&gt;$B$4,"",$A$4+136)</f>
        <v>46159</v>
      </c>
      <c r="N13639" t="str">
        <f>IF(M13639="","",'Master Barang'!A33)</f>
        <v>PRL-032</v>
      </c>
      <c r="O13639" t="str">
        <f>IF(N13639="","",'Master Barang'!B33)</f>
        <v>plastik packaging ag box uk sedang</v>
      </c>
      <c r="P13639">
        <f>IF(OR(M13639="",N13639=""),"",SUMIFS('Barang Keluar'!$E:$E,'Barang Keluar'!$A:$A,M13639,'Barang Keluar'!$C:$C,N13639))</f>
        <v>0</v>
      </c>
    </row>
    <row r="13640" spans="13:16">
      <c r="M13640" s="49">
        <f>IF($A$4+136&gt;$B$4,"",$A$4+136)</f>
        <v>46159</v>
      </c>
      <c r="N13640" t="str">
        <f>IF(M13640="","",'Master Barang'!A34)</f>
        <v>PRL-033</v>
      </c>
      <c r="O13640">
        <f>IF(N13640="","",'Master Barang'!B34)</f>
        <v>0</v>
      </c>
      <c r="P13640">
        <f>IF(OR(M13640="",N13640=""),"",SUMIFS('Barang Keluar'!$E:$E,'Barang Keluar'!$A:$A,M13640,'Barang Keluar'!$C:$C,N13640))</f>
        <v>0</v>
      </c>
    </row>
    <row r="13641" spans="13:16">
      <c r="M13641" s="49">
        <f>IF($A$4+136&gt;$B$4,"",$A$4+136)</f>
        <v>46159</v>
      </c>
      <c r="N13641">
        <f>IF(M13641="","",'Master Barang'!A35)</f>
        <v>0</v>
      </c>
      <c r="O13641">
        <f>IF(N13641="","",'Master Barang'!B35)</f>
        <v>0</v>
      </c>
      <c r="P13641">
        <f>IF(OR(M13641="",N13641=""),"",SUMIFS('Barang Keluar'!$E:$E,'Barang Keluar'!$A:$A,M13641,'Barang Keluar'!$C:$C,N13641))</f>
        <v>0</v>
      </c>
    </row>
    <row r="13642" spans="13:16">
      <c r="M13642" s="49">
        <f>IF($A$4+136&gt;$B$4,"",$A$4+136)</f>
        <v>46159</v>
      </c>
      <c r="N13642">
        <f>IF(M13642="","",'Master Barang'!A36)</f>
        <v>0</v>
      </c>
      <c r="O13642">
        <f>IF(N13642="","",'Master Barang'!B36)</f>
        <v>0</v>
      </c>
      <c r="P13642">
        <f>IF(OR(M13642="",N13642=""),"",SUMIFS('Barang Keluar'!$E:$E,'Barang Keluar'!$A:$A,M13642,'Barang Keluar'!$C:$C,N13642))</f>
        <v>0</v>
      </c>
    </row>
    <row r="13643" spans="13:16">
      <c r="M13643" s="49">
        <f>IF($A$4+136&gt;$B$4,"",$A$4+136)</f>
        <v>46159</v>
      </c>
      <c r="N13643">
        <f>IF(M13643="","",'Master Barang'!A37)</f>
        <v>0</v>
      </c>
      <c r="O13643">
        <f>IF(N13643="","",'Master Barang'!B37)</f>
        <v>0</v>
      </c>
      <c r="P13643">
        <f>IF(OR(M13643="",N13643=""),"",SUMIFS('Barang Keluar'!$E:$E,'Barang Keluar'!$A:$A,M13643,'Barang Keluar'!$C:$C,N13643))</f>
        <v>0</v>
      </c>
    </row>
    <row r="13644" spans="13:16">
      <c r="M13644" s="49">
        <f>IF($A$4+136&gt;$B$4,"",$A$4+136)</f>
        <v>46159</v>
      </c>
      <c r="N13644">
        <f>IF(M13644="","",'Master Barang'!A38)</f>
        <v>0</v>
      </c>
      <c r="O13644">
        <f>IF(N13644="","",'Master Barang'!B38)</f>
        <v>0</v>
      </c>
      <c r="P13644">
        <f>IF(OR(M13644="",N13644=""),"",SUMIFS('Barang Keluar'!$E:$E,'Barang Keluar'!$A:$A,M13644,'Barang Keluar'!$C:$C,N13644))</f>
        <v>0</v>
      </c>
    </row>
    <row r="13645" spans="13:16">
      <c r="M13645" s="49">
        <f>IF($A$4+136&gt;$B$4,"",$A$4+136)</f>
        <v>46159</v>
      </c>
      <c r="N13645">
        <f>IF(M13645="","",'Master Barang'!A39)</f>
        <v>0</v>
      </c>
      <c r="O13645">
        <f>IF(N13645="","",'Master Barang'!B39)</f>
        <v>0</v>
      </c>
      <c r="P13645">
        <f>IF(OR(M13645="",N13645=""),"",SUMIFS('Barang Keluar'!$E:$E,'Barang Keluar'!$A:$A,M13645,'Barang Keluar'!$C:$C,N13645))</f>
        <v>0</v>
      </c>
    </row>
    <row r="13646" spans="13:16">
      <c r="M13646" s="49">
        <f>IF($A$4+136&gt;$B$4,"",$A$4+136)</f>
        <v>46159</v>
      </c>
      <c r="N13646">
        <f>IF(M13646="","",'Master Barang'!A40)</f>
        <v>0</v>
      </c>
      <c r="O13646">
        <f>IF(N13646="","",'Master Barang'!B40)</f>
        <v>0</v>
      </c>
      <c r="P13646">
        <f>IF(OR(M13646="",N13646=""),"",SUMIFS('Barang Keluar'!$E:$E,'Barang Keluar'!$A:$A,M13646,'Barang Keluar'!$C:$C,N13646))</f>
        <v>0</v>
      </c>
    </row>
    <row r="13647" spans="13:16">
      <c r="M13647" s="49">
        <f>IF($A$4+136&gt;$B$4,"",$A$4+136)</f>
        <v>46159</v>
      </c>
      <c r="N13647">
        <f>IF(M13647="","",'Master Barang'!A41)</f>
        <v>0</v>
      </c>
      <c r="O13647">
        <f>IF(N13647="","",'Master Barang'!B41)</f>
        <v>0</v>
      </c>
      <c r="P13647">
        <f>IF(OR(M13647="",N13647=""),"",SUMIFS('Barang Keluar'!$E:$E,'Barang Keluar'!$A:$A,M13647,'Barang Keluar'!$C:$C,N13647))</f>
        <v>0</v>
      </c>
    </row>
    <row r="13648" spans="13:16">
      <c r="M13648" s="49">
        <f>IF($A$4+136&gt;$B$4,"",$A$4+136)</f>
        <v>46159</v>
      </c>
      <c r="N13648">
        <f>IF(M13648="","",'Master Barang'!A42)</f>
        <v>0</v>
      </c>
      <c r="O13648">
        <f>IF(N13648="","",'Master Barang'!B42)</f>
        <v>0</v>
      </c>
      <c r="P13648">
        <f>IF(OR(M13648="",N13648=""),"",SUMIFS('Barang Keluar'!$E:$E,'Barang Keluar'!$A:$A,M13648,'Barang Keluar'!$C:$C,N13648))</f>
        <v>0</v>
      </c>
    </row>
    <row r="13649" spans="13:16">
      <c r="M13649" s="49">
        <f>IF($A$4+136&gt;$B$4,"",$A$4+136)</f>
        <v>46159</v>
      </c>
      <c r="N13649">
        <f>IF(M13649="","",'Master Barang'!A43)</f>
        <v>0</v>
      </c>
      <c r="O13649">
        <f>IF(N13649="","",'Master Barang'!B43)</f>
        <v>0</v>
      </c>
      <c r="P13649">
        <f>IF(OR(M13649="",N13649=""),"",SUMIFS('Barang Keluar'!$E:$E,'Barang Keluar'!$A:$A,M13649,'Barang Keluar'!$C:$C,N13649))</f>
        <v>0</v>
      </c>
    </row>
    <row r="13650" spans="13:16">
      <c r="M13650" s="49">
        <f>IF($A$4+136&gt;$B$4,"",$A$4+136)</f>
        <v>46159</v>
      </c>
      <c r="N13650">
        <f>IF(M13650="","",'Master Barang'!A44)</f>
        <v>0</v>
      </c>
      <c r="O13650">
        <f>IF(N13650="","",'Master Barang'!B44)</f>
        <v>0</v>
      </c>
      <c r="P13650">
        <f>IF(OR(M13650="",N13650=""),"",SUMIFS('Barang Keluar'!$E:$E,'Barang Keluar'!$A:$A,M13650,'Barang Keluar'!$C:$C,N13650))</f>
        <v>0</v>
      </c>
    </row>
    <row r="13651" spans="13:16">
      <c r="M13651" s="49">
        <f>IF($A$4+136&gt;$B$4,"",$A$4+136)</f>
        <v>46159</v>
      </c>
      <c r="N13651">
        <f>IF(M13651="","",'Master Barang'!A45)</f>
        <v>0</v>
      </c>
      <c r="O13651">
        <f>IF(N13651="","",'Master Barang'!B45)</f>
        <v>0</v>
      </c>
      <c r="P13651">
        <f>IF(OR(M13651="",N13651=""),"",SUMIFS('Barang Keluar'!$E:$E,'Barang Keluar'!$A:$A,M13651,'Barang Keluar'!$C:$C,N13651))</f>
        <v>0</v>
      </c>
    </row>
    <row r="13652" spans="13:16">
      <c r="M13652" s="49">
        <f>IF($A$4+136&gt;$B$4,"",$A$4+136)</f>
        <v>46159</v>
      </c>
      <c r="N13652">
        <f>IF(M13652="","",'Master Barang'!A46)</f>
        <v>0</v>
      </c>
      <c r="O13652">
        <f>IF(N13652="","",'Master Barang'!B46)</f>
        <v>0</v>
      </c>
      <c r="P13652">
        <f>IF(OR(M13652="",N13652=""),"",SUMIFS('Barang Keluar'!$E:$E,'Barang Keluar'!$A:$A,M13652,'Barang Keluar'!$C:$C,N13652))</f>
        <v>0</v>
      </c>
    </row>
    <row r="13653" spans="13:16">
      <c r="M13653" s="49">
        <f>IF($A$4+136&gt;$B$4,"",$A$4+136)</f>
        <v>46159</v>
      </c>
      <c r="N13653">
        <f>IF(M13653="","",'Master Barang'!A47)</f>
        <v>0</v>
      </c>
      <c r="O13653">
        <f>IF(N13653="","",'Master Barang'!B47)</f>
        <v>0</v>
      </c>
      <c r="P13653">
        <f>IF(OR(M13653="",N13653=""),"",SUMIFS('Barang Keluar'!$E:$E,'Barang Keluar'!$A:$A,M13653,'Barang Keluar'!$C:$C,N13653))</f>
        <v>0</v>
      </c>
    </row>
    <row r="13654" spans="13:16">
      <c r="M13654" s="49">
        <f>IF($A$4+136&gt;$B$4,"",$A$4+136)</f>
        <v>46159</v>
      </c>
      <c r="N13654">
        <f>IF(M13654="","",'Master Barang'!A48)</f>
        <v>0</v>
      </c>
      <c r="O13654">
        <f>IF(N13654="","",'Master Barang'!B48)</f>
        <v>0</v>
      </c>
      <c r="P13654">
        <f>IF(OR(M13654="",N13654=""),"",SUMIFS('Barang Keluar'!$E:$E,'Barang Keluar'!$A:$A,M13654,'Barang Keluar'!$C:$C,N13654))</f>
        <v>0</v>
      </c>
    </row>
    <row r="13655" spans="13:16">
      <c r="M13655" s="49">
        <f>IF($A$4+136&gt;$B$4,"",$A$4+136)</f>
        <v>46159</v>
      </c>
      <c r="N13655">
        <f>IF(M13655="","",'Master Barang'!A49)</f>
        <v>0</v>
      </c>
      <c r="O13655">
        <f>IF(N13655="","",'Master Barang'!B49)</f>
        <v>0</v>
      </c>
      <c r="P13655">
        <f>IF(OR(M13655="",N13655=""),"",SUMIFS('Barang Keluar'!$E:$E,'Barang Keluar'!$A:$A,M13655,'Barang Keluar'!$C:$C,N13655))</f>
        <v>0</v>
      </c>
    </row>
    <row r="13656" spans="13:16">
      <c r="M13656" s="49">
        <f>IF($A$4+136&gt;$B$4,"",$A$4+136)</f>
        <v>46159</v>
      </c>
      <c r="N13656">
        <f>IF(M13656="","",'Master Barang'!A50)</f>
        <v>0</v>
      </c>
      <c r="O13656">
        <f>IF(N13656="","",'Master Barang'!B50)</f>
        <v>0</v>
      </c>
      <c r="P13656">
        <f>IF(OR(M13656="",N13656=""),"",SUMIFS('Barang Keluar'!$E:$E,'Barang Keluar'!$A:$A,M13656,'Barang Keluar'!$C:$C,N13656))</f>
        <v>0</v>
      </c>
    </row>
    <row r="13657" spans="13:16">
      <c r="M13657" s="49">
        <f>IF($A$4+136&gt;$B$4,"",$A$4+136)</f>
        <v>46159</v>
      </c>
      <c r="N13657">
        <f>IF(M13657="","",'Master Barang'!A51)</f>
        <v>0</v>
      </c>
      <c r="O13657">
        <f>IF(N13657="","",'Master Barang'!B51)</f>
        <v>0</v>
      </c>
      <c r="P13657">
        <f>IF(OR(M13657="",N13657=""),"",SUMIFS('Barang Keluar'!$E:$E,'Barang Keluar'!$A:$A,M13657,'Barang Keluar'!$C:$C,N13657))</f>
        <v>0</v>
      </c>
    </row>
    <row r="13658" spans="13:16">
      <c r="M13658" s="49">
        <f>IF($A$4+136&gt;$B$4,"",$A$4+136)</f>
        <v>46159</v>
      </c>
      <c r="N13658">
        <f>IF(M13658="","",'Master Barang'!A52)</f>
        <v>0</v>
      </c>
      <c r="O13658">
        <f>IF(N13658="","",'Master Barang'!B52)</f>
        <v>0</v>
      </c>
      <c r="P13658">
        <f>IF(OR(M13658="",N13658=""),"",SUMIFS('Barang Keluar'!$E:$E,'Barang Keluar'!$A:$A,M13658,'Barang Keluar'!$C:$C,N13658))</f>
        <v>0</v>
      </c>
    </row>
    <row r="13659" spans="13:16">
      <c r="M13659" s="49">
        <f>IF($A$4+136&gt;$B$4,"",$A$4+136)</f>
        <v>46159</v>
      </c>
      <c r="N13659">
        <f>IF(M13659="","",'Master Barang'!A53)</f>
        <v>0</v>
      </c>
      <c r="O13659">
        <f>IF(N13659="","",'Master Barang'!B53)</f>
        <v>0</v>
      </c>
      <c r="P13659">
        <f>IF(OR(M13659="",N13659=""),"",SUMIFS('Barang Keluar'!$E:$E,'Barang Keluar'!$A:$A,M13659,'Barang Keluar'!$C:$C,N13659))</f>
        <v>0</v>
      </c>
    </row>
    <row r="13660" spans="13:16">
      <c r="M13660" s="49">
        <f>IF($A$4+136&gt;$B$4,"",$A$4+136)</f>
        <v>46159</v>
      </c>
      <c r="N13660">
        <f>IF(M13660="","",'Master Barang'!A54)</f>
        <v>0</v>
      </c>
      <c r="O13660">
        <f>IF(N13660="","",'Master Barang'!B54)</f>
        <v>0</v>
      </c>
      <c r="P13660">
        <f>IF(OR(M13660="",N13660=""),"",SUMIFS('Barang Keluar'!$E:$E,'Barang Keluar'!$A:$A,M13660,'Barang Keluar'!$C:$C,N13660))</f>
        <v>0</v>
      </c>
    </row>
    <row r="13661" spans="13:16">
      <c r="M13661" s="49">
        <f>IF($A$4+136&gt;$B$4,"",$A$4+136)</f>
        <v>46159</v>
      </c>
      <c r="N13661">
        <f>IF(M13661="","",'Master Barang'!A55)</f>
        <v>0</v>
      </c>
      <c r="O13661">
        <f>IF(N13661="","",'Master Barang'!B55)</f>
        <v>0</v>
      </c>
      <c r="P13661">
        <f>IF(OR(M13661="",N13661=""),"",SUMIFS('Barang Keluar'!$E:$E,'Barang Keluar'!$A:$A,M13661,'Barang Keluar'!$C:$C,N13661))</f>
        <v>0</v>
      </c>
    </row>
    <row r="13662" spans="13:16">
      <c r="M13662" s="49">
        <f>IF($A$4+136&gt;$B$4,"",$A$4+136)</f>
        <v>46159</v>
      </c>
      <c r="N13662">
        <f>IF(M13662="","",'Master Barang'!A56)</f>
        <v>0</v>
      </c>
      <c r="O13662">
        <f>IF(N13662="","",'Master Barang'!B56)</f>
        <v>0</v>
      </c>
      <c r="P13662">
        <f>IF(OR(M13662="",N13662=""),"",SUMIFS('Barang Keluar'!$E:$E,'Barang Keluar'!$A:$A,M13662,'Barang Keluar'!$C:$C,N13662))</f>
        <v>0</v>
      </c>
    </row>
    <row r="13663" spans="13:16">
      <c r="M13663" s="49">
        <f>IF($A$4+136&gt;$B$4,"",$A$4+136)</f>
        <v>46159</v>
      </c>
      <c r="N13663">
        <f>IF(M13663="","",'Master Barang'!A57)</f>
        <v>0</v>
      </c>
      <c r="O13663">
        <f>IF(N13663="","",'Master Barang'!B57)</f>
        <v>0</v>
      </c>
      <c r="P13663">
        <f>IF(OR(M13663="",N13663=""),"",SUMIFS('Barang Keluar'!$E:$E,'Barang Keluar'!$A:$A,M13663,'Barang Keluar'!$C:$C,N13663))</f>
        <v>0</v>
      </c>
    </row>
    <row r="13664" spans="13:16">
      <c r="M13664" s="49">
        <f>IF($A$4+136&gt;$B$4,"",$A$4+136)</f>
        <v>46159</v>
      </c>
      <c r="N13664">
        <f>IF(M13664="","",'Master Barang'!A58)</f>
        <v>0</v>
      </c>
      <c r="O13664">
        <f>IF(N13664="","",'Master Barang'!B58)</f>
        <v>0</v>
      </c>
      <c r="P13664">
        <f>IF(OR(M13664="",N13664=""),"",SUMIFS('Barang Keluar'!$E:$E,'Barang Keluar'!$A:$A,M13664,'Barang Keluar'!$C:$C,N13664))</f>
        <v>0</v>
      </c>
    </row>
    <row r="13665" spans="13:16">
      <c r="M13665" s="49">
        <f>IF($A$4+136&gt;$B$4,"",$A$4+136)</f>
        <v>46159</v>
      </c>
      <c r="N13665">
        <f>IF(M13665="","",'Master Barang'!A59)</f>
        <v>0</v>
      </c>
      <c r="O13665">
        <f>IF(N13665="","",'Master Barang'!B59)</f>
        <v>0</v>
      </c>
      <c r="P13665">
        <f>IF(OR(M13665="",N13665=""),"",SUMIFS('Barang Keluar'!$E:$E,'Barang Keluar'!$A:$A,M13665,'Barang Keluar'!$C:$C,N13665))</f>
        <v>0</v>
      </c>
    </row>
    <row r="13666" spans="13:16">
      <c r="M13666" s="49">
        <f>IF($A$4+136&gt;$B$4,"",$A$4+136)</f>
        <v>46159</v>
      </c>
      <c r="N13666">
        <f>IF(M13666="","",'Master Barang'!A60)</f>
        <v>0</v>
      </c>
      <c r="O13666">
        <f>IF(N13666="","",'Master Barang'!B60)</f>
        <v>0</v>
      </c>
      <c r="P13666">
        <f>IF(OR(M13666="",N13666=""),"",SUMIFS('Barang Keluar'!$E:$E,'Barang Keluar'!$A:$A,M13666,'Barang Keluar'!$C:$C,N13666))</f>
        <v>0</v>
      </c>
    </row>
    <row r="13667" spans="13:16">
      <c r="M13667" s="49">
        <f>IF($A$4+136&gt;$B$4,"",$A$4+136)</f>
        <v>46159</v>
      </c>
      <c r="N13667">
        <f>IF(M13667="","",'Master Barang'!A61)</f>
        <v>0</v>
      </c>
      <c r="O13667">
        <f>IF(N13667="","",'Master Barang'!B61)</f>
        <v>0</v>
      </c>
      <c r="P13667">
        <f>IF(OR(M13667="",N13667=""),"",SUMIFS('Barang Keluar'!$E:$E,'Barang Keluar'!$A:$A,M13667,'Barang Keluar'!$C:$C,N13667))</f>
        <v>0</v>
      </c>
    </row>
    <row r="13668" spans="13:16">
      <c r="M13668" s="49">
        <f>IF($A$4+136&gt;$B$4,"",$A$4+136)</f>
        <v>46159</v>
      </c>
      <c r="N13668">
        <f>IF(M13668="","",'Master Barang'!A62)</f>
        <v>0</v>
      </c>
      <c r="O13668">
        <f>IF(N13668="","",'Master Barang'!B62)</f>
        <v>0</v>
      </c>
      <c r="P13668">
        <f>IF(OR(M13668="",N13668=""),"",SUMIFS('Barang Keluar'!$E:$E,'Barang Keluar'!$A:$A,M13668,'Barang Keluar'!$C:$C,N13668))</f>
        <v>0</v>
      </c>
    </row>
    <row r="13669" spans="13:16">
      <c r="M13669" s="49">
        <f>IF($A$4+136&gt;$B$4,"",$A$4+136)</f>
        <v>46159</v>
      </c>
      <c r="N13669">
        <f>IF(M13669="","",'Master Barang'!A63)</f>
        <v>0</v>
      </c>
      <c r="O13669">
        <f>IF(N13669="","",'Master Barang'!B63)</f>
        <v>0</v>
      </c>
      <c r="P13669">
        <f>IF(OR(M13669="",N13669=""),"",SUMIFS('Barang Keluar'!$E:$E,'Barang Keluar'!$A:$A,M13669,'Barang Keluar'!$C:$C,N13669))</f>
        <v>0</v>
      </c>
    </row>
    <row r="13670" spans="13:16">
      <c r="M13670" s="49">
        <f>IF($A$4+136&gt;$B$4,"",$A$4+136)</f>
        <v>46159</v>
      </c>
      <c r="N13670">
        <f>IF(M13670="","",'Master Barang'!A64)</f>
        <v>0</v>
      </c>
      <c r="O13670">
        <f>IF(N13670="","",'Master Barang'!B64)</f>
        <v>0</v>
      </c>
      <c r="P13670">
        <f>IF(OR(M13670="",N13670=""),"",SUMIFS('Barang Keluar'!$E:$E,'Barang Keluar'!$A:$A,M13670,'Barang Keluar'!$C:$C,N13670))</f>
        <v>0</v>
      </c>
    </row>
    <row r="13671" spans="13:16">
      <c r="M13671" s="49">
        <f>IF($A$4+136&gt;$B$4,"",$A$4+136)</f>
        <v>46159</v>
      </c>
      <c r="N13671">
        <f>IF(M13671="","",'Master Barang'!A65)</f>
        <v>0</v>
      </c>
      <c r="O13671">
        <f>IF(N13671="","",'Master Barang'!B65)</f>
        <v>0</v>
      </c>
      <c r="P13671">
        <f>IF(OR(M13671="",N13671=""),"",SUMIFS('Barang Keluar'!$E:$E,'Barang Keluar'!$A:$A,M13671,'Barang Keluar'!$C:$C,N13671))</f>
        <v>0</v>
      </c>
    </row>
    <row r="13672" spans="13:16">
      <c r="M13672" s="49">
        <f>IF($A$4+136&gt;$B$4,"",$A$4+136)</f>
        <v>46159</v>
      </c>
      <c r="N13672">
        <f>IF(M13672="","",'Master Barang'!A66)</f>
        <v>0</v>
      </c>
      <c r="O13672">
        <f>IF(N13672="","",'Master Barang'!B66)</f>
        <v>0</v>
      </c>
      <c r="P13672">
        <f>IF(OR(M13672="",N13672=""),"",SUMIFS('Barang Keluar'!$E:$E,'Barang Keluar'!$A:$A,M13672,'Barang Keluar'!$C:$C,N13672))</f>
        <v>0</v>
      </c>
    </row>
    <row r="13673" spans="13:16">
      <c r="M13673" s="49">
        <f>IF($A$4+136&gt;$B$4,"",$A$4+136)</f>
        <v>46159</v>
      </c>
      <c r="N13673">
        <f>IF(M13673="","",'Master Barang'!A67)</f>
        <v>0</v>
      </c>
      <c r="O13673">
        <f>IF(N13673="","",'Master Barang'!B67)</f>
        <v>0</v>
      </c>
      <c r="P13673">
        <f>IF(OR(M13673="",N13673=""),"",SUMIFS('Barang Keluar'!$E:$E,'Barang Keluar'!$A:$A,M13673,'Barang Keluar'!$C:$C,N13673))</f>
        <v>0</v>
      </c>
    </row>
    <row r="13674" spans="13:16">
      <c r="M13674" s="49">
        <f>IF($A$4+136&gt;$B$4,"",$A$4+136)</f>
        <v>46159</v>
      </c>
      <c r="N13674">
        <f>IF(M13674="","",'Master Barang'!A68)</f>
        <v>0</v>
      </c>
      <c r="O13674">
        <f>IF(N13674="","",'Master Barang'!B68)</f>
        <v>0</v>
      </c>
      <c r="P13674">
        <f>IF(OR(M13674="",N13674=""),"",SUMIFS('Barang Keluar'!$E:$E,'Barang Keluar'!$A:$A,M13674,'Barang Keluar'!$C:$C,N13674))</f>
        <v>0</v>
      </c>
    </row>
    <row r="13675" spans="13:16">
      <c r="M13675" s="49">
        <f>IF($A$4+136&gt;$B$4,"",$A$4+136)</f>
        <v>46159</v>
      </c>
      <c r="N13675">
        <f>IF(M13675="","",'Master Barang'!A69)</f>
        <v>0</v>
      </c>
      <c r="O13675">
        <f>IF(N13675="","",'Master Barang'!B69)</f>
        <v>0</v>
      </c>
      <c r="P13675">
        <f>IF(OR(M13675="",N13675=""),"",SUMIFS('Barang Keluar'!$E:$E,'Barang Keluar'!$A:$A,M13675,'Barang Keluar'!$C:$C,N13675))</f>
        <v>0</v>
      </c>
    </row>
    <row r="13676" spans="13:16">
      <c r="M13676" s="49">
        <f>IF($A$4+136&gt;$B$4,"",$A$4+136)</f>
        <v>46159</v>
      </c>
      <c r="N13676">
        <f>IF(M13676="","",'Master Barang'!A70)</f>
        <v>0</v>
      </c>
      <c r="O13676">
        <f>IF(N13676="","",'Master Barang'!B70)</f>
        <v>0</v>
      </c>
      <c r="P13676">
        <f>IF(OR(M13676="",N13676=""),"",SUMIFS('Barang Keluar'!$E:$E,'Barang Keluar'!$A:$A,M13676,'Barang Keluar'!$C:$C,N13676))</f>
        <v>0</v>
      </c>
    </row>
    <row r="13677" spans="13:16">
      <c r="M13677" s="49">
        <f>IF($A$4+136&gt;$B$4,"",$A$4+136)</f>
        <v>46159</v>
      </c>
      <c r="N13677">
        <f>IF(M13677="","",'Master Barang'!A71)</f>
        <v>0</v>
      </c>
      <c r="O13677">
        <f>IF(N13677="","",'Master Barang'!B71)</f>
        <v>0</v>
      </c>
      <c r="P13677">
        <f>IF(OR(M13677="",N13677=""),"",SUMIFS('Barang Keluar'!$E:$E,'Barang Keluar'!$A:$A,M13677,'Barang Keluar'!$C:$C,N13677))</f>
        <v>0</v>
      </c>
    </row>
    <row r="13678" spans="13:16">
      <c r="M13678" s="49">
        <f>IF($A$4+136&gt;$B$4,"",$A$4+136)</f>
        <v>46159</v>
      </c>
      <c r="N13678">
        <f>IF(M13678="","",'Master Barang'!A72)</f>
        <v>0</v>
      </c>
      <c r="O13678">
        <f>IF(N13678="","",'Master Barang'!B72)</f>
        <v>0</v>
      </c>
      <c r="P13678">
        <f>IF(OR(M13678="",N13678=""),"",SUMIFS('Barang Keluar'!$E:$E,'Barang Keluar'!$A:$A,M13678,'Barang Keluar'!$C:$C,N13678))</f>
        <v>0</v>
      </c>
    </row>
    <row r="13679" spans="13:16">
      <c r="M13679" s="49">
        <f>IF($A$4+136&gt;$B$4,"",$A$4+136)</f>
        <v>46159</v>
      </c>
      <c r="N13679">
        <f>IF(M13679="","",'Master Barang'!A73)</f>
        <v>0</v>
      </c>
      <c r="O13679">
        <f>IF(N13679="","",'Master Barang'!B73)</f>
        <v>0</v>
      </c>
      <c r="P13679">
        <f>IF(OR(M13679="",N13679=""),"",SUMIFS('Barang Keluar'!$E:$E,'Barang Keluar'!$A:$A,M13679,'Barang Keluar'!$C:$C,N13679))</f>
        <v>0</v>
      </c>
    </row>
    <row r="13680" spans="13:16">
      <c r="M13680" s="49">
        <f>IF($A$4+136&gt;$B$4,"",$A$4+136)</f>
        <v>46159</v>
      </c>
      <c r="N13680">
        <f>IF(M13680="","",'Master Barang'!A74)</f>
        <v>0</v>
      </c>
      <c r="O13680">
        <f>IF(N13680="","",'Master Barang'!B74)</f>
        <v>0</v>
      </c>
      <c r="P13680">
        <f>IF(OR(M13680="",N13680=""),"",SUMIFS('Barang Keluar'!$E:$E,'Barang Keluar'!$A:$A,M13680,'Barang Keluar'!$C:$C,N13680))</f>
        <v>0</v>
      </c>
    </row>
    <row r="13681" spans="13:16">
      <c r="M13681" s="49">
        <f>IF($A$4+136&gt;$B$4,"",$A$4+136)</f>
        <v>46159</v>
      </c>
      <c r="N13681">
        <f>IF(M13681="","",'Master Barang'!A75)</f>
        <v>0</v>
      </c>
      <c r="O13681">
        <f>IF(N13681="","",'Master Barang'!B75)</f>
        <v>0</v>
      </c>
      <c r="P13681">
        <f>IF(OR(M13681="",N13681=""),"",SUMIFS('Barang Keluar'!$E:$E,'Barang Keluar'!$A:$A,M13681,'Barang Keluar'!$C:$C,N13681))</f>
        <v>0</v>
      </c>
    </row>
    <row r="13682" spans="13:16">
      <c r="M13682" s="49">
        <f>IF($A$4+136&gt;$B$4,"",$A$4+136)</f>
        <v>46159</v>
      </c>
      <c r="N13682">
        <f>IF(M13682="","",'Master Barang'!A76)</f>
        <v>0</v>
      </c>
      <c r="O13682">
        <f>IF(N13682="","",'Master Barang'!B76)</f>
        <v>0</v>
      </c>
      <c r="P13682">
        <f>IF(OR(M13682="",N13682=""),"",SUMIFS('Barang Keluar'!$E:$E,'Barang Keluar'!$A:$A,M13682,'Barang Keluar'!$C:$C,N13682))</f>
        <v>0</v>
      </c>
    </row>
    <row r="13683" spans="13:16">
      <c r="M13683" s="49">
        <f>IF($A$4+136&gt;$B$4,"",$A$4+136)</f>
        <v>46159</v>
      </c>
      <c r="N13683">
        <f>IF(M13683="","",'Master Barang'!A77)</f>
        <v>0</v>
      </c>
      <c r="O13683">
        <f>IF(N13683="","",'Master Barang'!B77)</f>
        <v>0</v>
      </c>
      <c r="P13683">
        <f>IF(OR(M13683="",N13683=""),"",SUMIFS('Barang Keluar'!$E:$E,'Barang Keluar'!$A:$A,M13683,'Barang Keluar'!$C:$C,N13683))</f>
        <v>0</v>
      </c>
    </row>
    <row r="13684" spans="13:16">
      <c r="M13684" s="49">
        <f>IF($A$4+136&gt;$B$4,"",$A$4+136)</f>
        <v>46159</v>
      </c>
      <c r="N13684">
        <f>IF(M13684="","",'Master Barang'!A78)</f>
        <v>0</v>
      </c>
      <c r="O13684">
        <f>IF(N13684="","",'Master Barang'!B78)</f>
        <v>0</v>
      </c>
      <c r="P13684">
        <f>IF(OR(M13684="",N13684=""),"",SUMIFS('Barang Keluar'!$E:$E,'Barang Keluar'!$A:$A,M13684,'Barang Keluar'!$C:$C,N13684))</f>
        <v>0</v>
      </c>
    </row>
    <row r="13685" spans="13:16">
      <c r="M13685" s="49">
        <f>IF($A$4+136&gt;$B$4,"",$A$4+136)</f>
        <v>46159</v>
      </c>
      <c r="N13685">
        <f>IF(M13685="","",'Master Barang'!A79)</f>
        <v>0</v>
      </c>
      <c r="O13685">
        <f>IF(N13685="","",'Master Barang'!B79)</f>
        <v>0</v>
      </c>
      <c r="P13685">
        <f>IF(OR(M13685="",N13685=""),"",SUMIFS('Barang Keluar'!$E:$E,'Barang Keluar'!$A:$A,M13685,'Barang Keluar'!$C:$C,N13685))</f>
        <v>0</v>
      </c>
    </row>
    <row r="13686" spans="13:16">
      <c r="M13686" s="49">
        <f>IF($A$4+136&gt;$B$4,"",$A$4+136)</f>
        <v>46159</v>
      </c>
      <c r="N13686">
        <f>IF(M13686="","",'Master Barang'!A80)</f>
        <v>0</v>
      </c>
      <c r="O13686">
        <f>IF(N13686="","",'Master Barang'!B80)</f>
        <v>0</v>
      </c>
      <c r="P13686">
        <f>IF(OR(M13686="",N13686=""),"",SUMIFS('Barang Keluar'!$E:$E,'Barang Keluar'!$A:$A,M13686,'Barang Keluar'!$C:$C,N13686))</f>
        <v>0</v>
      </c>
    </row>
    <row r="13687" spans="13:16">
      <c r="M13687" s="49">
        <f>IF($A$4+136&gt;$B$4,"",$A$4+136)</f>
        <v>46159</v>
      </c>
      <c r="N13687">
        <f>IF(M13687="","",'Master Barang'!A81)</f>
        <v>0</v>
      </c>
      <c r="O13687">
        <f>IF(N13687="","",'Master Barang'!B81)</f>
        <v>0</v>
      </c>
      <c r="P13687">
        <f>IF(OR(M13687="",N13687=""),"",SUMIFS('Barang Keluar'!$E:$E,'Barang Keluar'!$A:$A,M13687,'Barang Keluar'!$C:$C,N13687))</f>
        <v>0</v>
      </c>
    </row>
    <row r="13688" spans="13:16">
      <c r="M13688" s="49">
        <f>IF($A$4+136&gt;$B$4,"",$A$4+136)</f>
        <v>46159</v>
      </c>
      <c r="N13688">
        <f>IF(M13688="","",'Master Barang'!A82)</f>
        <v>0</v>
      </c>
      <c r="O13688">
        <f>IF(N13688="","",'Master Barang'!B82)</f>
        <v>0</v>
      </c>
      <c r="P13688">
        <f>IF(OR(M13688="",N13688=""),"",SUMIFS('Barang Keluar'!$E:$E,'Barang Keluar'!$A:$A,M13688,'Barang Keluar'!$C:$C,N13688))</f>
        <v>0</v>
      </c>
    </row>
    <row r="13689" spans="13:16">
      <c r="M13689" s="49">
        <f>IF($A$4+136&gt;$B$4,"",$A$4+136)</f>
        <v>46159</v>
      </c>
      <c r="N13689">
        <f>IF(M13689="","",'Master Barang'!A83)</f>
        <v>0</v>
      </c>
      <c r="O13689">
        <f>IF(N13689="","",'Master Barang'!B83)</f>
        <v>0</v>
      </c>
      <c r="P13689">
        <f>IF(OR(M13689="",N13689=""),"",SUMIFS('Barang Keluar'!$E:$E,'Barang Keluar'!$A:$A,M13689,'Barang Keluar'!$C:$C,N13689))</f>
        <v>0</v>
      </c>
    </row>
    <row r="13690" spans="13:16">
      <c r="M13690" s="49">
        <f>IF($A$4+136&gt;$B$4,"",$A$4+136)</f>
        <v>46159</v>
      </c>
      <c r="N13690">
        <f>IF(M13690="","",'Master Barang'!A84)</f>
        <v>0</v>
      </c>
      <c r="O13690">
        <f>IF(N13690="","",'Master Barang'!B84)</f>
        <v>0</v>
      </c>
      <c r="P13690">
        <f>IF(OR(M13690="",N13690=""),"",SUMIFS('Barang Keluar'!$E:$E,'Barang Keluar'!$A:$A,M13690,'Barang Keluar'!$C:$C,N13690))</f>
        <v>0</v>
      </c>
    </row>
    <row r="13691" spans="13:16">
      <c r="M13691" s="49">
        <f>IF($A$4+136&gt;$B$4,"",$A$4+136)</f>
        <v>46159</v>
      </c>
      <c r="N13691">
        <f>IF(M13691="","",'Master Barang'!A85)</f>
        <v>0</v>
      </c>
      <c r="O13691">
        <f>IF(N13691="","",'Master Barang'!B85)</f>
        <v>0</v>
      </c>
      <c r="P13691">
        <f>IF(OR(M13691="",N13691=""),"",SUMIFS('Barang Keluar'!$E:$E,'Barang Keluar'!$A:$A,M13691,'Barang Keluar'!$C:$C,N13691))</f>
        <v>0</v>
      </c>
    </row>
    <row r="13692" spans="13:16">
      <c r="M13692" s="49">
        <f>IF($A$4+136&gt;$B$4,"",$A$4+136)</f>
        <v>46159</v>
      </c>
      <c r="N13692">
        <f>IF(M13692="","",'Master Barang'!A86)</f>
        <v>0</v>
      </c>
      <c r="O13692">
        <f>IF(N13692="","",'Master Barang'!B86)</f>
        <v>0</v>
      </c>
      <c r="P13692">
        <f>IF(OR(M13692="",N13692=""),"",SUMIFS('Barang Keluar'!$E:$E,'Barang Keluar'!$A:$A,M13692,'Barang Keluar'!$C:$C,N13692))</f>
        <v>0</v>
      </c>
    </row>
    <row r="13693" spans="13:16">
      <c r="M13693" s="49">
        <f>IF($A$4+136&gt;$B$4,"",$A$4+136)</f>
        <v>46159</v>
      </c>
      <c r="N13693">
        <f>IF(M13693="","",'Master Barang'!A87)</f>
        <v>0</v>
      </c>
      <c r="O13693">
        <f>IF(N13693="","",'Master Barang'!B87)</f>
        <v>0</v>
      </c>
      <c r="P13693">
        <f>IF(OR(M13693="",N13693=""),"",SUMIFS('Barang Keluar'!$E:$E,'Barang Keluar'!$A:$A,M13693,'Barang Keluar'!$C:$C,N13693))</f>
        <v>0</v>
      </c>
    </row>
    <row r="13694" spans="13:16">
      <c r="M13694" s="49">
        <f>IF($A$4+136&gt;$B$4,"",$A$4+136)</f>
        <v>46159</v>
      </c>
      <c r="N13694">
        <f>IF(M13694="","",'Master Barang'!A88)</f>
        <v>0</v>
      </c>
      <c r="O13694">
        <f>IF(N13694="","",'Master Barang'!B88)</f>
        <v>0</v>
      </c>
      <c r="P13694">
        <f>IF(OR(M13694="",N13694=""),"",SUMIFS('Barang Keluar'!$E:$E,'Barang Keluar'!$A:$A,M13694,'Barang Keluar'!$C:$C,N13694))</f>
        <v>0</v>
      </c>
    </row>
    <row r="13695" spans="13:16">
      <c r="M13695" s="49">
        <f>IF($A$4+136&gt;$B$4,"",$A$4+136)</f>
        <v>46159</v>
      </c>
      <c r="N13695">
        <f>IF(M13695="","",'Master Barang'!A89)</f>
        <v>0</v>
      </c>
      <c r="O13695">
        <f>IF(N13695="","",'Master Barang'!B89)</f>
        <v>0</v>
      </c>
      <c r="P13695">
        <f>IF(OR(M13695="",N13695=""),"",SUMIFS('Barang Keluar'!$E:$E,'Barang Keluar'!$A:$A,M13695,'Barang Keluar'!$C:$C,N13695))</f>
        <v>0</v>
      </c>
    </row>
    <row r="13696" spans="13:16">
      <c r="M13696" s="49">
        <f>IF($A$4+136&gt;$B$4,"",$A$4+136)</f>
        <v>46159</v>
      </c>
      <c r="N13696">
        <f>IF(M13696="","",'Master Barang'!A90)</f>
        <v>0</v>
      </c>
      <c r="O13696">
        <f>IF(N13696="","",'Master Barang'!B90)</f>
        <v>0</v>
      </c>
      <c r="P13696">
        <f>IF(OR(M13696="",N13696=""),"",SUMIFS('Barang Keluar'!$E:$E,'Barang Keluar'!$A:$A,M13696,'Barang Keluar'!$C:$C,N13696))</f>
        <v>0</v>
      </c>
    </row>
    <row r="13697" spans="13:16">
      <c r="M13697" s="49">
        <f>IF($A$4+136&gt;$B$4,"",$A$4+136)</f>
        <v>46159</v>
      </c>
      <c r="N13697">
        <f>IF(M13697="","",'Master Barang'!A91)</f>
        <v>0</v>
      </c>
      <c r="O13697">
        <f>IF(N13697="","",'Master Barang'!B91)</f>
        <v>0</v>
      </c>
      <c r="P13697">
        <f>IF(OR(M13697="",N13697=""),"",SUMIFS('Barang Keluar'!$E:$E,'Barang Keluar'!$A:$A,M13697,'Barang Keluar'!$C:$C,N13697))</f>
        <v>0</v>
      </c>
    </row>
    <row r="13698" spans="13:16">
      <c r="M13698" s="49">
        <f>IF($A$4+136&gt;$B$4,"",$A$4+136)</f>
        <v>46159</v>
      </c>
      <c r="N13698">
        <f>IF(M13698="","",'Master Barang'!A92)</f>
        <v>0</v>
      </c>
      <c r="O13698">
        <f>IF(N13698="","",'Master Barang'!B92)</f>
        <v>0</v>
      </c>
      <c r="P13698">
        <f>IF(OR(M13698="",N13698=""),"",SUMIFS('Barang Keluar'!$E:$E,'Barang Keluar'!$A:$A,M13698,'Barang Keluar'!$C:$C,N13698))</f>
        <v>0</v>
      </c>
    </row>
    <row r="13699" spans="13:16">
      <c r="M13699" s="49">
        <f>IF($A$4+136&gt;$B$4,"",$A$4+136)</f>
        <v>46159</v>
      </c>
      <c r="N13699">
        <f>IF(M13699="","",'Master Barang'!A93)</f>
        <v>0</v>
      </c>
      <c r="O13699">
        <f>IF(N13699="","",'Master Barang'!B93)</f>
        <v>0</v>
      </c>
      <c r="P13699">
        <f>IF(OR(M13699="",N13699=""),"",SUMIFS('Barang Keluar'!$E:$E,'Barang Keluar'!$A:$A,M13699,'Barang Keluar'!$C:$C,N13699))</f>
        <v>0</v>
      </c>
    </row>
    <row r="13700" spans="13:16">
      <c r="M13700" s="49">
        <f>IF($A$4+136&gt;$B$4,"",$A$4+136)</f>
        <v>46159</v>
      </c>
      <c r="N13700">
        <f>IF(M13700="","",'Master Barang'!A94)</f>
        <v>0</v>
      </c>
      <c r="O13700">
        <f>IF(N13700="","",'Master Barang'!B94)</f>
        <v>0</v>
      </c>
      <c r="P13700">
        <f>IF(OR(M13700="",N13700=""),"",SUMIFS('Barang Keluar'!$E:$E,'Barang Keluar'!$A:$A,M13700,'Barang Keluar'!$C:$C,N13700))</f>
        <v>0</v>
      </c>
    </row>
    <row r="13701" spans="13:16">
      <c r="M13701" s="49">
        <f>IF($A$4+136&gt;$B$4,"",$A$4+136)</f>
        <v>46159</v>
      </c>
      <c r="N13701">
        <f>IF(M13701="","",'Master Barang'!A95)</f>
        <v>0</v>
      </c>
      <c r="O13701">
        <f>IF(N13701="","",'Master Barang'!B95)</f>
        <v>0</v>
      </c>
      <c r="P13701">
        <f>IF(OR(M13701="",N13701=""),"",SUMIFS('Barang Keluar'!$E:$E,'Barang Keluar'!$A:$A,M13701,'Barang Keluar'!$C:$C,N13701))</f>
        <v>0</v>
      </c>
    </row>
    <row r="13702" spans="13:16">
      <c r="M13702" s="49">
        <f>IF($A$4+136&gt;$B$4,"",$A$4+136)</f>
        <v>46159</v>
      </c>
      <c r="N13702">
        <f>IF(M13702="","",'Master Barang'!A96)</f>
        <v>0</v>
      </c>
      <c r="O13702">
        <f>IF(N13702="","",'Master Barang'!B96)</f>
        <v>0</v>
      </c>
      <c r="P13702">
        <f>IF(OR(M13702="",N13702=""),"",SUMIFS('Barang Keluar'!$E:$E,'Barang Keluar'!$A:$A,M13702,'Barang Keluar'!$C:$C,N13702))</f>
        <v>0</v>
      </c>
    </row>
    <row r="13703" spans="13:16">
      <c r="M13703" s="49">
        <f>IF($A$4+136&gt;$B$4,"",$A$4+136)</f>
        <v>46159</v>
      </c>
      <c r="N13703">
        <f>IF(M13703="","",'Master Barang'!A97)</f>
        <v>0</v>
      </c>
      <c r="O13703">
        <f>IF(N13703="","",'Master Barang'!B97)</f>
        <v>0</v>
      </c>
      <c r="P13703">
        <f>IF(OR(M13703="",N13703=""),"",SUMIFS('Barang Keluar'!$E:$E,'Barang Keluar'!$A:$A,M13703,'Barang Keluar'!$C:$C,N13703))</f>
        <v>0</v>
      </c>
    </row>
    <row r="13704" spans="13:16">
      <c r="M13704" s="49">
        <f>IF($A$4+136&gt;$B$4,"",$A$4+136)</f>
        <v>46159</v>
      </c>
      <c r="N13704">
        <f>IF(M13704="","",'Master Barang'!A98)</f>
        <v>0</v>
      </c>
      <c r="O13704">
        <f>IF(N13704="","",'Master Barang'!B98)</f>
        <v>0</v>
      </c>
      <c r="P13704">
        <f>IF(OR(M13704="",N13704=""),"",SUMIFS('Barang Keluar'!$E:$E,'Barang Keluar'!$A:$A,M13704,'Barang Keluar'!$C:$C,N13704))</f>
        <v>0</v>
      </c>
    </row>
    <row r="13705" spans="13:16">
      <c r="M13705" s="49">
        <f>IF($A$4+136&gt;$B$4,"",$A$4+136)</f>
        <v>46159</v>
      </c>
      <c r="N13705">
        <f>IF(M13705="","",'Master Barang'!A99)</f>
        <v>0</v>
      </c>
      <c r="O13705">
        <f>IF(N13705="","",'Master Barang'!B99)</f>
        <v>0</v>
      </c>
      <c r="P13705">
        <f>IF(OR(M13705="",N13705=""),"",SUMIFS('Barang Keluar'!$E:$E,'Barang Keluar'!$A:$A,M13705,'Barang Keluar'!$C:$C,N13705))</f>
        <v>0</v>
      </c>
    </row>
    <row r="13706" spans="13:16">
      <c r="M13706" s="49">
        <f>IF($A$4+136&gt;$B$4,"",$A$4+136)</f>
        <v>46159</v>
      </c>
      <c r="N13706">
        <f>IF(M13706="","",'Master Barang'!A100)</f>
        <v>0</v>
      </c>
      <c r="O13706">
        <f>IF(N13706="","",'Master Barang'!B100)</f>
        <v>0</v>
      </c>
      <c r="P13706">
        <f>IF(OR(M13706="",N13706=""),"",SUMIFS('Barang Keluar'!$E:$E,'Barang Keluar'!$A:$A,M13706,'Barang Keluar'!$C:$C,N13706))</f>
        <v>0</v>
      </c>
    </row>
    <row r="13707" spans="13:16">
      <c r="M13707" s="49">
        <f>IF($A$4+136&gt;$B$4,"",$A$4+136)</f>
        <v>46159</v>
      </c>
      <c r="N13707">
        <f>IF(M13707="","",'Master Barang'!A101)</f>
        <v>0</v>
      </c>
      <c r="O13707">
        <f>IF(N13707="","",'Master Barang'!B101)</f>
        <v>0</v>
      </c>
      <c r="P13707">
        <f>IF(OR(M13707="",N13707=""),"",SUMIFS('Barang Keluar'!$E:$E,'Barang Keluar'!$A:$A,M13707,'Barang Keluar'!$C:$C,N13707))</f>
        <v>0</v>
      </c>
    </row>
    <row r="13708" spans="13:16">
      <c r="M13708" s="49">
        <f>IF($A$4+137&gt;$B$4,"",$A$4+137)</f>
        <v>46160</v>
      </c>
      <c r="N13708" t="str">
        <f>IF(M13708="","",'Master Barang'!A2)</f>
        <v>PRL-001</v>
      </c>
      <c r="O13708" t="str">
        <f>IF(N13708="","",'Master Barang'!B2)</f>
        <v>natura desinfectant food grade 5l</v>
      </c>
      <c r="P13708">
        <f>IF(OR(M13708="",N13708=""),"",SUMIFS('Barang Keluar'!$E:$E,'Barang Keluar'!$A:$A,M13708,'Barang Keluar'!$C:$C,N13708))</f>
        <v>0</v>
      </c>
    </row>
    <row r="13709" spans="13:16">
      <c r="M13709" s="49">
        <f>IF($A$4+137&gt;$B$4,"",$A$4+137)</f>
        <v>46160</v>
      </c>
      <c r="N13709" t="str">
        <f>IF(M13709="","",'Master Barang'!A3)</f>
        <v>PRL-002</v>
      </c>
      <c r="O13709" t="str">
        <f>IF(N13709="","",'Master Barang'!B3)</f>
        <v>sunlight cairan pencuci piring 5l</v>
      </c>
      <c r="P13709">
        <f>IF(OR(M13709="",N13709=""),"",SUMIFS('Barang Keluar'!$E:$E,'Barang Keluar'!$A:$A,M13709,'Barang Keluar'!$C:$C,N13709))</f>
        <v>0</v>
      </c>
    </row>
    <row r="13710" spans="13:16">
      <c r="M13710" s="49">
        <f>IF($A$4+137&gt;$B$4,"",$A$4+137)</f>
        <v>46160</v>
      </c>
      <c r="N13710" t="str">
        <f>IF(M13710="","",'Master Barang'!A4)</f>
        <v>PRL-003</v>
      </c>
      <c r="O13710" t="str">
        <f>IF(N13710="","",'Master Barang'!B4)</f>
        <v>oixs cleaner 1l</v>
      </c>
      <c r="P13710">
        <f>IF(OR(M13710="",N13710=""),"",SUMIFS('Barang Keluar'!$E:$E,'Barang Keluar'!$A:$A,M13710,'Barang Keluar'!$C:$C,N13710))</f>
        <v>0</v>
      </c>
    </row>
    <row r="13711" spans="13:16">
      <c r="M13711" s="49">
        <f>IF($A$4+137&gt;$B$4,"",$A$4+137)</f>
        <v>46160</v>
      </c>
      <c r="N13711" t="str">
        <f>IF(M13711="","",'Master Barang'!A5)</f>
        <v>PRL-004</v>
      </c>
      <c r="O13711" t="str">
        <f>IF(N13711="","",'Master Barang'!B5)</f>
        <v>be clean tissue serbaguna</v>
      </c>
      <c r="P13711">
        <f>IF(OR(M13711="",N13711=""),"",SUMIFS('Barang Keluar'!$E:$E,'Barang Keluar'!$A:$A,M13711,'Barang Keluar'!$C:$C,N13711))</f>
        <v>0</v>
      </c>
    </row>
    <row r="13712" spans="13:16">
      <c r="M13712" s="49">
        <f>IF($A$4+137&gt;$B$4,"",$A$4+137)</f>
        <v>46160</v>
      </c>
      <c r="N13712" t="str">
        <f>IF(M13712="","",'Master Barang'!A6)</f>
        <v>PRL-005</v>
      </c>
      <c r="O13712" t="str">
        <f>IF(N13712="","",'Master Barang'!B6)</f>
        <v>spons cuci hijau</v>
      </c>
      <c r="P13712">
        <f>IF(OR(M13712="",N13712=""),"",SUMIFS('Barang Keluar'!$E:$E,'Barang Keluar'!$A:$A,M13712,'Barang Keluar'!$C:$C,N13712))</f>
        <v>0</v>
      </c>
    </row>
    <row r="13713" spans="13:16">
      <c r="M13713" s="49">
        <f>IF($A$4+137&gt;$B$4,"",$A$4+137)</f>
        <v>46160</v>
      </c>
      <c r="N13713" t="str">
        <f>IF(M13713="","",'Master Barang'!A7)</f>
        <v>PRL-006</v>
      </c>
      <c r="O13713" t="str">
        <f>IF(N13713="","",'Master Barang'!B7)</f>
        <v>sabut cuci stainless</v>
      </c>
      <c r="P13713">
        <f>IF(OR(M13713="",N13713=""),"",SUMIFS('Barang Keluar'!$E:$E,'Barang Keluar'!$A:$A,M13713,'Barang Keluar'!$C:$C,N13713))</f>
        <v>0</v>
      </c>
    </row>
    <row r="13714" spans="13:16">
      <c r="M13714" s="49">
        <f>IF($A$4+137&gt;$B$4,"",$A$4+137)</f>
        <v>46160</v>
      </c>
      <c r="N13714" t="str">
        <f>IF(M13714="","",'Master Barang'!A8)</f>
        <v>PRL-007</v>
      </c>
      <c r="O13714" t="str">
        <f>IF(N13714="","",'Master Barang'!B8)</f>
        <v>plastik kresek besar merah 50pc</v>
      </c>
      <c r="P13714">
        <f>IF(OR(M13714="",N13714=""),"",SUMIFS('Barang Keluar'!$E:$E,'Barang Keluar'!$A:$A,M13714,'Barang Keluar'!$C:$C,N13714))</f>
        <v>0</v>
      </c>
    </row>
    <row r="13715" spans="13:16">
      <c r="M13715" s="49">
        <f>IF($A$4+137&gt;$B$4,"",$A$4+137)</f>
        <v>46160</v>
      </c>
      <c r="N13715" t="str">
        <f>IF(M13715="","",'Master Barang'!A9)</f>
        <v>PRL-008</v>
      </c>
      <c r="O13715" t="str">
        <f>IF(N13715="","",'Master Barang'!B9)</f>
        <v>lap besar</v>
      </c>
      <c r="P13715">
        <f>IF(OR(M13715="",N13715=""),"",SUMIFS('Barang Keluar'!$E:$E,'Barang Keluar'!$A:$A,M13715,'Barang Keluar'!$C:$C,N13715))</f>
        <v>0</v>
      </c>
    </row>
    <row r="13716" spans="13:16">
      <c r="M13716" s="49">
        <f>IF($A$4+137&gt;$B$4,"",$A$4+137)</f>
        <v>46160</v>
      </c>
      <c r="N13716" t="str">
        <f>IF(M13716="","",'Master Barang'!A10)</f>
        <v>PRL-009</v>
      </c>
      <c r="O13716" t="str">
        <f>IF(N13716="","",'Master Barang'!B10)</f>
        <v>lap microfiber</v>
      </c>
      <c r="P13716">
        <f>IF(OR(M13716="",N13716=""),"",SUMIFS('Barang Keluar'!$E:$E,'Barang Keluar'!$A:$A,M13716,'Barang Keluar'!$C:$C,N13716))</f>
        <v>0</v>
      </c>
    </row>
    <row r="13717" spans="13:16">
      <c r="M13717" s="49">
        <f>IF($A$4+137&gt;$B$4,"",$A$4+137)</f>
        <v>46160</v>
      </c>
      <c r="N13717" t="str">
        <f>IF(M13717="","",'Master Barang'!A11)</f>
        <v>PRL-010</v>
      </c>
      <c r="O13717" t="str">
        <f>IF(N13717="","",'Master Barang'!B11)</f>
        <v>lap kecil</v>
      </c>
      <c r="P13717">
        <f>IF(OR(M13717="",N13717=""),"",SUMIFS('Barang Keluar'!$E:$E,'Barang Keluar'!$A:$A,M13717,'Barang Keluar'!$C:$C,N13717))</f>
        <v>0</v>
      </c>
    </row>
    <row r="13718" spans="13:16">
      <c r="M13718" s="49">
        <f>IF($A$4+137&gt;$B$4,"",$A$4+137)</f>
        <v>46160</v>
      </c>
      <c r="N13718" t="str">
        <f>IF(M13718="","",'Master Barang'!A12)</f>
        <v>PRL-011</v>
      </c>
      <c r="O13718" t="str">
        <f>IF(N13718="","",'Master Barang'!B12)</f>
        <v>kanebo kecil</v>
      </c>
      <c r="P13718">
        <f>IF(OR(M13718="",N13718=""),"",SUMIFS('Barang Keluar'!$E:$E,'Barang Keluar'!$A:$A,M13718,'Barang Keluar'!$C:$C,N13718))</f>
        <v>0</v>
      </c>
    </row>
    <row r="13719" spans="13:16">
      <c r="M13719" s="49">
        <f>IF($A$4+137&gt;$B$4,"",$A$4+137)</f>
        <v>46160</v>
      </c>
      <c r="N13719" t="str">
        <f>IF(M13719="","",'Master Barang'!A13)</f>
        <v>PRL-012</v>
      </c>
      <c r="O13719" t="str">
        <f>IF(N13719="","",'Master Barang'!B13)</f>
        <v>plastik 1/4kg joyoboyo 100 lembar</v>
      </c>
      <c r="P13719">
        <f>IF(OR(M13719="",N13719=""),"",SUMIFS('Barang Keluar'!$E:$E,'Barang Keluar'!$A:$A,M13719,'Barang Keluar'!$C:$C,N13719))</f>
        <v>0</v>
      </c>
    </row>
    <row r="13720" spans="13:16">
      <c r="M13720" s="49">
        <f>IF($A$4+137&gt;$B$4,"",$A$4+137)</f>
        <v>46160</v>
      </c>
      <c r="N13720" t="str">
        <f>IF(M13720="","",'Master Barang'!A14)</f>
        <v>PRL-013</v>
      </c>
      <c r="O13720" t="str">
        <f>IF(N13720="","",'Master Barang'!B14)</f>
        <v>sarung tangan plastik kaka 100 pcs</v>
      </c>
      <c r="P13720">
        <f>IF(OR(M13720="",N13720=""),"",SUMIFS('Barang Keluar'!$E:$E,'Barang Keluar'!$A:$A,M13720,'Barang Keluar'!$C:$C,N13720))</f>
        <v>0</v>
      </c>
    </row>
    <row r="13721" spans="13:16">
      <c r="M13721" s="49">
        <f>IF($A$4+137&gt;$B$4,"",$A$4+137)</f>
        <v>46160</v>
      </c>
      <c r="N13721" t="str">
        <f>IF(M13721="","",'Master Barang'!A15)</f>
        <v>PRL-014</v>
      </c>
      <c r="O13721" t="str">
        <f>IF(N13721="","",'Master Barang'!B15)</f>
        <v>optima trashbag 80x100</v>
      </c>
      <c r="P13721">
        <f>IF(OR(M13721="",N13721=""),"",SUMIFS('Barang Keluar'!$E:$E,'Barang Keluar'!$A:$A,M13721,'Barang Keluar'!$C:$C,N13721))</f>
        <v>0</v>
      </c>
    </row>
    <row r="13722" spans="13:16">
      <c r="M13722" s="49">
        <f>IF($A$4+137&gt;$B$4,"",$A$4+137)</f>
        <v>46160</v>
      </c>
      <c r="N13722" t="str">
        <f>IF(M13722="","",'Master Barang'!A16)</f>
        <v>PRL-015</v>
      </c>
      <c r="O13722" t="str">
        <f>IF(N13722="","",'Master Barang'!B16)</f>
        <v>optima trashbag 60x100</v>
      </c>
      <c r="P13722">
        <f>IF(OR(M13722="",N13722=""),"",SUMIFS('Barang Keluar'!$E:$E,'Barang Keluar'!$A:$A,M13722,'Barang Keluar'!$C:$C,N13722))</f>
        <v>0</v>
      </c>
    </row>
    <row r="13723" spans="13:16">
      <c r="M13723" s="49">
        <f>IF($A$4+137&gt;$B$4,"",$A$4+137)</f>
        <v>46160</v>
      </c>
      <c r="N13723" t="str">
        <f>IF(M13723="","",'Master Barang'!A17)</f>
        <v>PRL-016</v>
      </c>
      <c r="O13723" t="str">
        <f>IF(N13723="","",'Master Barang'!B17)</f>
        <v>rajawali trashbag 30x40</v>
      </c>
      <c r="P13723">
        <f>IF(OR(M13723="",N13723=""),"",SUMIFS('Barang Keluar'!$E:$E,'Barang Keluar'!$A:$A,M13723,'Barang Keluar'!$C:$C,N13723))</f>
        <v>0</v>
      </c>
    </row>
    <row r="13724" spans="13:16">
      <c r="M13724" s="49">
        <f>IF($A$4+137&gt;$B$4,"",$A$4+137)</f>
        <v>46160</v>
      </c>
      <c r="N13724" t="str">
        <f>IF(M13724="","",'Master Barang'!A18)</f>
        <v>PRL-017</v>
      </c>
      <c r="O13724" t="str">
        <f>IF(N13724="","",'Master Barang'!B18)</f>
        <v>onemed masker biru 3 play 50 pcs</v>
      </c>
      <c r="P13724">
        <f>IF(OR(M13724="",N13724=""),"",SUMIFS('Barang Keluar'!$E:$E,'Barang Keluar'!$A:$A,M13724,'Barang Keluar'!$C:$C,N13724))</f>
        <v>0</v>
      </c>
    </row>
    <row r="13725" spans="13:16">
      <c r="M13725" s="49">
        <f>IF($A$4+137&gt;$B$4,"",$A$4+137)</f>
        <v>46160</v>
      </c>
      <c r="N13725" t="str">
        <f>IF(M13725="","",'Master Barang'!A19)</f>
        <v>PRL-018</v>
      </c>
      <c r="O13725" t="str">
        <f>IF(N13725="","",'Master Barang'!B19)</f>
        <v>onemed masker biru 3 play hijab 50 pcs</v>
      </c>
      <c r="P13725">
        <f>IF(OR(M13725="",N13725=""),"",SUMIFS('Barang Keluar'!$E:$E,'Barang Keluar'!$A:$A,M13725,'Barang Keluar'!$C:$C,N13725))</f>
        <v>0</v>
      </c>
    </row>
    <row r="13726" spans="13:16">
      <c r="M13726" s="49">
        <f>IF($A$4+137&gt;$B$4,"",$A$4+137)</f>
        <v>46160</v>
      </c>
      <c r="N13726" t="str">
        <f>IF(M13726="","",'Master Barang'!A20)</f>
        <v>PRL-019</v>
      </c>
      <c r="O13726" t="str">
        <f>IF(N13726="","",'Master Barang'!B20)</f>
        <v>neo health masker biru 3 play 50 pcs</v>
      </c>
      <c r="P13726">
        <f>IF(OR(M13726="",N13726=""),"",SUMIFS('Barang Keluar'!$E:$E,'Barang Keluar'!$A:$A,M13726,'Barang Keluar'!$C:$C,N13726))</f>
        <v>0</v>
      </c>
    </row>
    <row r="13727" spans="13:16">
      <c r="M13727" s="49">
        <f>IF($A$4+137&gt;$B$4,"",$A$4+137)</f>
        <v>46160</v>
      </c>
      <c r="N13727" t="str">
        <f>IF(M13727="","",'Master Barang'!A21)</f>
        <v>PRL-020</v>
      </c>
      <c r="O13727" t="str">
        <f>IF(N13727="","",'Master Barang'!B21)</f>
        <v>baymed masker hijau 3 play hijau 50 pcs</v>
      </c>
      <c r="P13727">
        <f>IF(OR(M13727="",N13727=""),"",SUMIFS('Barang Keluar'!$E:$E,'Barang Keluar'!$A:$A,M13727,'Barang Keluar'!$C:$C,N13727))</f>
        <v>0</v>
      </c>
    </row>
    <row r="13728" spans="13:16">
      <c r="M13728" s="49">
        <f>IF($A$4+137&gt;$B$4,"",$A$4+137)</f>
        <v>46160</v>
      </c>
      <c r="N13728" t="str">
        <f>IF(M13728="","",'Master Barang'!A22)</f>
        <v>PRL-021</v>
      </c>
      <c r="O13728" t="str">
        <f>IF(N13728="","",'Master Barang'!B22)</f>
        <v>altamed nurse cap penutup kepala 100 pcs</v>
      </c>
      <c r="P13728">
        <f>IF(OR(M13728="",N13728=""),"",SUMIFS('Barang Keluar'!$E:$E,'Barang Keluar'!$A:$A,M13728,'Barang Keluar'!$C:$C,N13728))</f>
        <v>0</v>
      </c>
    </row>
    <row r="13729" spans="13:16">
      <c r="M13729" s="49">
        <f>IF($A$4+137&gt;$B$4,"",$A$4+137)</f>
        <v>46160</v>
      </c>
      <c r="N13729" t="str">
        <f>IF(M13729="","",'Master Barang'!A23)</f>
        <v>PRL-022</v>
      </c>
      <c r="O13729" t="str">
        <f>IF(N13729="","",'Master Barang'!B23)</f>
        <v>sabun cuci tangan</v>
      </c>
      <c r="P13729">
        <f>IF(OR(M13729="",N13729=""),"",SUMIFS('Barang Keluar'!$E:$E,'Barang Keluar'!$A:$A,M13729,'Barang Keluar'!$C:$C,N13729))</f>
        <v>0</v>
      </c>
    </row>
    <row r="13730" spans="13:16">
      <c r="M13730" s="49">
        <f>IF($A$4+137&gt;$B$4,"",$A$4+137)</f>
        <v>46160</v>
      </c>
      <c r="N13730" t="str">
        <f>IF(M13730="","",'Master Barang'!A24)</f>
        <v>PRL-023</v>
      </c>
      <c r="O13730" t="str">
        <f>IF(N13730="","",'Master Barang'!B24)</f>
        <v>gayung kecil</v>
      </c>
      <c r="P13730">
        <f>IF(OR(M13730="",N13730=""),"",SUMIFS('Barang Keluar'!$E:$E,'Barang Keluar'!$A:$A,M13730,'Barang Keluar'!$C:$C,N13730))</f>
        <v>0</v>
      </c>
    </row>
    <row r="13731" spans="13:16">
      <c r="M13731" s="49">
        <f>IF($A$4+137&gt;$B$4,"",$A$4+137)</f>
        <v>46160</v>
      </c>
      <c r="N13731" t="str">
        <f>IF(M13731="","",'Master Barang'!A25)</f>
        <v>PRL-024</v>
      </c>
      <c r="O13731" t="str">
        <f>IF(N13731="","",'Master Barang'!B25)</f>
        <v>cikrak kecil</v>
      </c>
      <c r="P13731">
        <f>IF(OR(M13731="",N13731=""),"",SUMIFS('Barang Keluar'!$E:$E,'Barang Keluar'!$A:$A,M13731,'Barang Keluar'!$C:$C,N13731))</f>
        <v>0</v>
      </c>
    </row>
    <row r="13732" spans="13:16">
      <c r="M13732" s="49">
        <f>IF($A$4+137&gt;$B$4,"",$A$4+137)</f>
        <v>46160</v>
      </c>
      <c r="N13732" t="str">
        <f>IF(M13732="","",'Master Barang'!A26)</f>
        <v>PRL-025</v>
      </c>
      <c r="O13732" t="str">
        <f>IF(N13732="","",'Master Barang'!B26)</f>
        <v>petromax plastik kecil 12x24 100 lembar</v>
      </c>
      <c r="P13732">
        <f>IF(OR(M13732="",N13732=""),"",SUMIFS('Barang Keluar'!$E:$E,'Barang Keluar'!$A:$A,M13732,'Barang Keluar'!$C:$C,N13732))</f>
        <v>0</v>
      </c>
    </row>
    <row r="13733" spans="13:16">
      <c r="M13733" s="49">
        <f>IF($A$4+137&gt;$B$4,"",$A$4+137)</f>
        <v>46160</v>
      </c>
      <c r="N13733" t="str">
        <f>IF(M13733="","",'Master Barang'!A27)</f>
        <v>PRL-026</v>
      </c>
      <c r="O13733" t="str">
        <f>IF(N13733="","",'Master Barang'!B27)</f>
        <v>lancar kresek kecil bening </v>
      </c>
      <c r="P13733">
        <f>IF(OR(M13733="",N13733=""),"",SUMIFS('Barang Keluar'!$E:$E,'Barang Keluar'!$A:$A,M13733,'Barang Keluar'!$C:$C,N13733))</f>
        <v>0</v>
      </c>
    </row>
    <row r="13734" spans="13:16">
      <c r="M13734" s="49">
        <f>IF($A$4+137&gt;$B$4,"",$A$4+137)</f>
        <v>46160</v>
      </c>
      <c r="N13734" t="str">
        <f>IF(M13734="","",'Master Barang'!A28)</f>
        <v>PRL-027</v>
      </c>
      <c r="O13734" t="str">
        <f>IF(N13734="","",'Master Barang'!B28)</f>
        <v>kresek klin warna warni kecil</v>
      </c>
      <c r="P13734">
        <f>IF(OR(M13734="",N13734=""),"",SUMIFS('Barang Keluar'!$E:$E,'Barang Keluar'!$A:$A,M13734,'Barang Keluar'!$C:$C,N13734))</f>
        <v>0</v>
      </c>
    </row>
    <row r="13735" spans="13:16">
      <c r="M13735" s="49">
        <f>IF($A$4+137&gt;$B$4,"",$A$4+137)</f>
        <v>46160</v>
      </c>
      <c r="N13735" t="str">
        <f>IF(M13735="","",'Master Barang'!A29)</f>
        <v>PRL-028</v>
      </c>
      <c r="O13735" t="str">
        <f>IF(N13735="","",'Master Barang'!B29)</f>
        <v>ctik plastik 7x10 100 pcs</v>
      </c>
      <c r="P13735">
        <f>IF(OR(M13735="",N13735=""),"",SUMIFS('Barang Keluar'!$E:$E,'Barang Keluar'!$A:$A,M13735,'Barang Keluar'!$C:$C,N13735))</f>
        <v>0</v>
      </c>
    </row>
    <row r="13736" spans="13:16">
      <c r="M13736" s="49">
        <f>IF($A$4+137&gt;$B$4,"",$A$4+137)</f>
        <v>46160</v>
      </c>
      <c r="N13736" t="str">
        <f>IF(M13736="","",'Master Barang'!A30)</f>
        <v>PRL-029</v>
      </c>
      <c r="O13736" t="str">
        <f>IF(N13736="","",'Master Barang'!B30)</f>
        <v>ctik plastik 6x10 100 pcs</v>
      </c>
      <c r="P13736">
        <f>IF(OR(M13736="",N13736=""),"",SUMIFS('Barang Keluar'!$E:$E,'Barang Keluar'!$A:$A,M13736,'Barang Keluar'!$C:$C,N13736))</f>
        <v>0</v>
      </c>
    </row>
    <row r="13737" spans="13:16">
      <c r="M13737" s="49">
        <f>IF($A$4+137&gt;$B$4,"",$A$4+137)</f>
        <v>46160</v>
      </c>
      <c r="N13737" t="str">
        <f>IF(M13737="","",'Master Barang'!A31)</f>
        <v>PRL-030</v>
      </c>
      <c r="O13737" t="str">
        <f>IF(N13737="","",'Master Barang'!B31)</f>
        <v>klip plastik 25x16 100 pcs</v>
      </c>
      <c r="P13737">
        <f>IF(OR(M13737="",N13737=""),"",SUMIFS('Barang Keluar'!$E:$E,'Barang Keluar'!$A:$A,M13737,'Barang Keluar'!$C:$C,N13737))</f>
        <v>0</v>
      </c>
    </row>
    <row r="13738" spans="13:16">
      <c r="M13738" s="49">
        <f>IF($A$4+137&gt;$B$4,"",$A$4+137)</f>
        <v>46160</v>
      </c>
      <c r="N13738" t="str">
        <f>IF(M13738="","",'Master Barang'!A32)</f>
        <v>PRL-031</v>
      </c>
      <c r="O13738" t="str">
        <f>IF(N13738="","",'Master Barang'!B32)</f>
        <v>tempat saus 20 ml</v>
      </c>
      <c r="P13738">
        <f>IF(OR(M13738="",N13738=""),"",SUMIFS('Barang Keluar'!$E:$E,'Barang Keluar'!$A:$A,M13738,'Barang Keluar'!$C:$C,N13738))</f>
        <v>0</v>
      </c>
    </row>
    <row r="13739" spans="13:16">
      <c r="M13739" s="49">
        <f>IF($A$4+137&gt;$B$4,"",$A$4+137)</f>
        <v>46160</v>
      </c>
      <c r="N13739" t="str">
        <f>IF(M13739="","",'Master Barang'!A33)</f>
        <v>PRL-032</v>
      </c>
      <c r="O13739" t="str">
        <f>IF(N13739="","",'Master Barang'!B33)</f>
        <v>plastik packaging ag box uk sedang</v>
      </c>
      <c r="P13739">
        <f>IF(OR(M13739="",N13739=""),"",SUMIFS('Barang Keluar'!$E:$E,'Barang Keluar'!$A:$A,M13739,'Barang Keluar'!$C:$C,N13739))</f>
        <v>0</v>
      </c>
    </row>
    <row r="13740" spans="13:16">
      <c r="M13740" s="49">
        <f>IF($A$4+137&gt;$B$4,"",$A$4+137)</f>
        <v>46160</v>
      </c>
      <c r="N13740" t="str">
        <f>IF(M13740="","",'Master Barang'!A34)</f>
        <v>PRL-033</v>
      </c>
      <c r="O13740">
        <f>IF(N13740="","",'Master Barang'!B34)</f>
        <v>0</v>
      </c>
      <c r="P13740">
        <f>IF(OR(M13740="",N13740=""),"",SUMIFS('Barang Keluar'!$E:$E,'Barang Keluar'!$A:$A,M13740,'Barang Keluar'!$C:$C,N13740))</f>
        <v>0</v>
      </c>
    </row>
    <row r="13741" spans="13:16">
      <c r="M13741" s="49">
        <f>IF($A$4+137&gt;$B$4,"",$A$4+137)</f>
        <v>46160</v>
      </c>
      <c r="N13741">
        <f>IF(M13741="","",'Master Barang'!A35)</f>
        <v>0</v>
      </c>
      <c r="O13741">
        <f>IF(N13741="","",'Master Barang'!B35)</f>
        <v>0</v>
      </c>
      <c r="P13741">
        <f>IF(OR(M13741="",N13741=""),"",SUMIFS('Barang Keluar'!$E:$E,'Barang Keluar'!$A:$A,M13741,'Barang Keluar'!$C:$C,N13741))</f>
        <v>0</v>
      </c>
    </row>
    <row r="13742" spans="13:16">
      <c r="M13742" s="49">
        <f>IF($A$4+137&gt;$B$4,"",$A$4+137)</f>
        <v>46160</v>
      </c>
      <c r="N13742">
        <f>IF(M13742="","",'Master Barang'!A36)</f>
        <v>0</v>
      </c>
      <c r="O13742">
        <f>IF(N13742="","",'Master Barang'!B36)</f>
        <v>0</v>
      </c>
      <c r="P13742">
        <f>IF(OR(M13742="",N13742=""),"",SUMIFS('Barang Keluar'!$E:$E,'Barang Keluar'!$A:$A,M13742,'Barang Keluar'!$C:$C,N13742))</f>
        <v>0</v>
      </c>
    </row>
    <row r="13743" spans="13:16">
      <c r="M13743" s="49">
        <f>IF($A$4+137&gt;$B$4,"",$A$4+137)</f>
        <v>46160</v>
      </c>
      <c r="N13743">
        <f>IF(M13743="","",'Master Barang'!A37)</f>
        <v>0</v>
      </c>
      <c r="O13743">
        <f>IF(N13743="","",'Master Barang'!B37)</f>
        <v>0</v>
      </c>
      <c r="P13743">
        <f>IF(OR(M13743="",N13743=""),"",SUMIFS('Barang Keluar'!$E:$E,'Barang Keluar'!$A:$A,M13743,'Barang Keluar'!$C:$C,N13743))</f>
        <v>0</v>
      </c>
    </row>
    <row r="13744" spans="13:16">
      <c r="M13744" s="49">
        <f>IF($A$4+137&gt;$B$4,"",$A$4+137)</f>
        <v>46160</v>
      </c>
      <c r="N13744">
        <f>IF(M13744="","",'Master Barang'!A38)</f>
        <v>0</v>
      </c>
      <c r="O13744">
        <f>IF(N13744="","",'Master Barang'!B38)</f>
        <v>0</v>
      </c>
      <c r="P13744">
        <f>IF(OR(M13744="",N13744=""),"",SUMIFS('Barang Keluar'!$E:$E,'Barang Keluar'!$A:$A,M13744,'Barang Keluar'!$C:$C,N13744))</f>
        <v>0</v>
      </c>
    </row>
    <row r="13745" spans="13:16">
      <c r="M13745" s="49">
        <f>IF($A$4+137&gt;$B$4,"",$A$4+137)</f>
        <v>46160</v>
      </c>
      <c r="N13745">
        <f>IF(M13745="","",'Master Barang'!A39)</f>
        <v>0</v>
      </c>
      <c r="O13745">
        <f>IF(N13745="","",'Master Barang'!B39)</f>
        <v>0</v>
      </c>
      <c r="P13745">
        <f>IF(OR(M13745="",N13745=""),"",SUMIFS('Barang Keluar'!$E:$E,'Barang Keluar'!$A:$A,M13745,'Barang Keluar'!$C:$C,N13745))</f>
        <v>0</v>
      </c>
    </row>
    <row r="13746" spans="13:16">
      <c r="M13746" s="49">
        <f>IF($A$4+137&gt;$B$4,"",$A$4+137)</f>
        <v>46160</v>
      </c>
      <c r="N13746">
        <f>IF(M13746="","",'Master Barang'!A40)</f>
        <v>0</v>
      </c>
      <c r="O13746">
        <f>IF(N13746="","",'Master Barang'!B40)</f>
        <v>0</v>
      </c>
      <c r="P13746">
        <f>IF(OR(M13746="",N13746=""),"",SUMIFS('Barang Keluar'!$E:$E,'Barang Keluar'!$A:$A,M13746,'Barang Keluar'!$C:$C,N13746))</f>
        <v>0</v>
      </c>
    </row>
    <row r="13747" spans="13:16">
      <c r="M13747" s="49">
        <f>IF($A$4+137&gt;$B$4,"",$A$4+137)</f>
        <v>46160</v>
      </c>
      <c r="N13747">
        <f>IF(M13747="","",'Master Barang'!A41)</f>
        <v>0</v>
      </c>
      <c r="O13747">
        <f>IF(N13747="","",'Master Barang'!B41)</f>
        <v>0</v>
      </c>
      <c r="P13747">
        <f>IF(OR(M13747="",N13747=""),"",SUMIFS('Barang Keluar'!$E:$E,'Barang Keluar'!$A:$A,M13747,'Barang Keluar'!$C:$C,N13747))</f>
        <v>0</v>
      </c>
    </row>
    <row r="13748" spans="13:16">
      <c r="M13748" s="49">
        <f>IF($A$4+137&gt;$B$4,"",$A$4+137)</f>
        <v>46160</v>
      </c>
      <c r="N13748">
        <f>IF(M13748="","",'Master Barang'!A42)</f>
        <v>0</v>
      </c>
      <c r="O13748">
        <f>IF(N13748="","",'Master Barang'!B42)</f>
        <v>0</v>
      </c>
      <c r="P13748">
        <f>IF(OR(M13748="",N13748=""),"",SUMIFS('Barang Keluar'!$E:$E,'Barang Keluar'!$A:$A,M13748,'Barang Keluar'!$C:$C,N13748))</f>
        <v>0</v>
      </c>
    </row>
    <row r="13749" spans="13:16">
      <c r="M13749" s="49">
        <f>IF($A$4+137&gt;$B$4,"",$A$4+137)</f>
        <v>46160</v>
      </c>
      <c r="N13749">
        <f>IF(M13749="","",'Master Barang'!A43)</f>
        <v>0</v>
      </c>
      <c r="O13749">
        <f>IF(N13749="","",'Master Barang'!B43)</f>
        <v>0</v>
      </c>
      <c r="P13749">
        <f>IF(OR(M13749="",N13749=""),"",SUMIFS('Barang Keluar'!$E:$E,'Barang Keluar'!$A:$A,M13749,'Barang Keluar'!$C:$C,N13749))</f>
        <v>0</v>
      </c>
    </row>
    <row r="13750" spans="13:16">
      <c r="M13750" s="49">
        <f>IF($A$4+137&gt;$B$4,"",$A$4+137)</f>
        <v>46160</v>
      </c>
      <c r="N13750">
        <f>IF(M13750="","",'Master Barang'!A44)</f>
        <v>0</v>
      </c>
      <c r="O13750">
        <f>IF(N13750="","",'Master Barang'!B44)</f>
        <v>0</v>
      </c>
      <c r="P13750">
        <f>IF(OR(M13750="",N13750=""),"",SUMIFS('Barang Keluar'!$E:$E,'Barang Keluar'!$A:$A,M13750,'Barang Keluar'!$C:$C,N13750))</f>
        <v>0</v>
      </c>
    </row>
    <row r="13751" spans="13:16">
      <c r="M13751" s="49">
        <f>IF($A$4+137&gt;$B$4,"",$A$4+137)</f>
        <v>46160</v>
      </c>
      <c r="N13751">
        <f>IF(M13751="","",'Master Barang'!A45)</f>
        <v>0</v>
      </c>
      <c r="O13751">
        <f>IF(N13751="","",'Master Barang'!B45)</f>
        <v>0</v>
      </c>
      <c r="P13751">
        <f>IF(OR(M13751="",N13751=""),"",SUMIFS('Barang Keluar'!$E:$E,'Barang Keluar'!$A:$A,M13751,'Barang Keluar'!$C:$C,N13751))</f>
        <v>0</v>
      </c>
    </row>
    <row r="13752" spans="13:16">
      <c r="M13752" s="49">
        <f>IF($A$4+137&gt;$B$4,"",$A$4+137)</f>
        <v>46160</v>
      </c>
      <c r="N13752">
        <f>IF(M13752="","",'Master Barang'!A46)</f>
        <v>0</v>
      </c>
      <c r="O13752">
        <f>IF(N13752="","",'Master Barang'!B46)</f>
        <v>0</v>
      </c>
      <c r="P13752">
        <f>IF(OR(M13752="",N13752=""),"",SUMIFS('Barang Keluar'!$E:$E,'Barang Keluar'!$A:$A,M13752,'Barang Keluar'!$C:$C,N13752))</f>
        <v>0</v>
      </c>
    </row>
    <row r="13753" spans="13:16">
      <c r="M13753" s="49">
        <f>IF($A$4+137&gt;$B$4,"",$A$4+137)</f>
        <v>46160</v>
      </c>
      <c r="N13753">
        <f>IF(M13753="","",'Master Barang'!A47)</f>
        <v>0</v>
      </c>
      <c r="O13753">
        <f>IF(N13753="","",'Master Barang'!B47)</f>
        <v>0</v>
      </c>
      <c r="P13753">
        <f>IF(OR(M13753="",N13753=""),"",SUMIFS('Barang Keluar'!$E:$E,'Barang Keluar'!$A:$A,M13753,'Barang Keluar'!$C:$C,N13753))</f>
        <v>0</v>
      </c>
    </row>
    <row r="13754" spans="13:16">
      <c r="M13754" s="49">
        <f>IF($A$4+137&gt;$B$4,"",$A$4+137)</f>
        <v>46160</v>
      </c>
      <c r="N13754">
        <f>IF(M13754="","",'Master Barang'!A48)</f>
        <v>0</v>
      </c>
      <c r="O13754">
        <f>IF(N13754="","",'Master Barang'!B48)</f>
        <v>0</v>
      </c>
      <c r="P13754">
        <f>IF(OR(M13754="",N13754=""),"",SUMIFS('Barang Keluar'!$E:$E,'Barang Keluar'!$A:$A,M13754,'Barang Keluar'!$C:$C,N13754))</f>
        <v>0</v>
      </c>
    </row>
    <row r="13755" spans="13:16">
      <c r="M13755" s="49">
        <f>IF($A$4+137&gt;$B$4,"",$A$4+137)</f>
        <v>46160</v>
      </c>
      <c r="N13755">
        <f>IF(M13755="","",'Master Barang'!A49)</f>
        <v>0</v>
      </c>
      <c r="O13755">
        <f>IF(N13755="","",'Master Barang'!B49)</f>
        <v>0</v>
      </c>
      <c r="P13755">
        <f>IF(OR(M13755="",N13755=""),"",SUMIFS('Barang Keluar'!$E:$E,'Barang Keluar'!$A:$A,M13755,'Barang Keluar'!$C:$C,N13755))</f>
        <v>0</v>
      </c>
    </row>
    <row r="13756" spans="13:16">
      <c r="M13756" s="49">
        <f>IF($A$4+137&gt;$B$4,"",$A$4+137)</f>
        <v>46160</v>
      </c>
      <c r="N13756">
        <f>IF(M13756="","",'Master Barang'!A50)</f>
        <v>0</v>
      </c>
      <c r="O13756">
        <f>IF(N13756="","",'Master Barang'!B50)</f>
        <v>0</v>
      </c>
      <c r="P13756">
        <f>IF(OR(M13756="",N13756=""),"",SUMIFS('Barang Keluar'!$E:$E,'Barang Keluar'!$A:$A,M13756,'Barang Keluar'!$C:$C,N13756))</f>
        <v>0</v>
      </c>
    </row>
    <row r="13757" spans="13:16">
      <c r="M13757" s="49">
        <f>IF($A$4+137&gt;$B$4,"",$A$4+137)</f>
        <v>46160</v>
      </c>
      <c r="N13757">
        <f>IF(M13757="","",'Master Barang'!A51)</f>
        <v>0</v>
      </c>
      <c r="O13757">
        <f>IF(N13757="","",'Master Barang'!B51)</f>
        <v>0</v>
      </c>
      <c r="P13757">
        <f>IF(OR(M13757="",N13757=""),"",SUMIFS('Barang Keluar'!$E:$E,'Barang Keluar'!$A:$A,M13757,'Barang Keluar'!$C:$C,N13757))</f>
        <v>0</v>
      </c>
    </row>
    <row r="13758" spans="13:16">
      <c r="M13758" s="49">
        <f>IF($A$4+137&gt;$B$4,"",$A$4+137)</f>
        <v>46160</v>
      </c>
      <c r="N13758">
        <f>IF(M13758="","",'Master Barang'!A52)</f>
        <v>0</v>
      </c>
      <c r="O13758">
        <f>IF(N13758="","",'Master Barang'!B52)</f>
        <v>0</v>
      </c>
      <c r="P13758">
        <f>IF(OR(M13758="",N13758=""),"",SUMIFS('Barang Keluar'!$E:$E,'Barang Keluar'!$A:$A,M13758,'Barang Keluar'!$C:$C,N13758))</f>
        <v>0</v>
      </c>
    </row>
    <row r="13759" spans="13:16">
      <c r="M13759" s="49">
        <f>IF($A$4+137&gt;$B$4,"",$A$4+137)</f>
        <v>46160</v>
      </c>
      <c r="N13759">
        <f>IF(M13759="","",'Master Barang'!A53)</f>
        <v>0</v>
      </c>
      <c r="O13759">
        <f>IF(N13759="","",'Master Barang'!B53)</f>
        <v>0</v>
      </c>
      <c r="P13759">
        <f>IF(OR(M13759="",N13759=""),"",SUMIFS('Barang Keluar'!$E:$E,'Barang Keluar'!$A:$A,M13759,'Barang Keluar'!$C:$C,N13759))</f>
        <v>0</v>
      </c>
    </row>
    <row r="13760" spans="13:16">
      <c r="M13760" s="49">
        <f>IF($A$4+137&gt;$B$4,"",$A$4+137)</f>
        <v>46160</v>
      </c>
      <c r="N13760">
        <f>IF(M13760="","",'Master Barang'!A54)</f>
        <v>0</v>
      </c>
      <c r="O13760">
        <f>IF(N13760="","",'Master Barang'!B54)</f>
        <v>0</v>
      </c>
      <c r="P13760">
        <f>IF(OR(M13760="",N13760=""),"",SUMIFS('Barang Keluar'!$E:$E,'Barang Keluar'!$A:$A,M13760,'Barang Keluar'!$C:$C,N13760))</f>
        <v>0</v>
      </c>
    </row>
    <row r="13761" spans="13:16">
      <c r="M13761" s="49">
        <f>IF($A$4+137&gt;$B$4,"",$A$4+137)</f>
        <v>46160</v>
      </c>
      <c r="N13761">
        <f>IF(M13761="","",'Master Barang'!A55)</f>
        <v>0</v>
      </c>
      <c r="O13761">
        <f>IF(N13761="","",'Master Barang'!B55)</f>
        <v>0</v>
      </c>
      <c r="P13761">
        <f>IF(OR(M13761="",N13761=""),"",SUMIFS('Barang Keluar'!$E:$E,'Barang Keluar'!$A:$A,M13761,'Barang Keluar'!$C:$C,N13761))</f>
        <v>0</v>
      </c>
    </row>
    <row r="13762" spans="13:16">
      <c r="M13762" s="49">
        <f>IF($A$4+137&gt;$B$4,"",$A$4+137)</f>
        <v>46160</v>
      </c>
      <c r="N13762">
        <f>IF(M13762="","",'Master Barang'!A56)</f>
        <v>0</v>
      </c>
      <c r="O13762">
        <f>IF(N13762="","",'Master Barang'!B56)</f>
        <v>0</v>
      </c>
      <c r="P13762">
        <f>IF(OR(M13762="",N13762=""),"",SUMIFS('Barang Keluar'!$E:$E,'Barang Keluar'!$A:$A,M13762,'Barang Keluar'!$C:$C,N13762))</f>
        <v>0</v>
      </c>
    </row>
    <row r="13763" spans="13:16">
      <c r="M13763" s="49">
        <f>IF($A$4+137&gt;$B$4,"",$A$4+137)</f>
        <v>46160</v>
      </c>
      <c r="N13763">
        <f>IF(M13763="","",'Master Barang'!A57)</f>
        <v>0</v>
      </c>
      <c r="O13763">
        <f>IF(N13763="","",'Master Barang'!B57)</f>
        <v>0</v>
      </c>
      <c r="P13763">
        <f>IF(OR(M13763="",N13763=""),"",SUMIFS('Barang Keluar'!$E:$E,'Barang Keluar'!$A:$A,M13763,'Barang Keluar'!$C:$C,N13763))</f>
        <v>0</v>
      </c>
    </row>
    <row r="13764" spans="13:16">
      <c r="M13764" s="49">
        <f>IF($A$4+137&gt;$B$4,"",$A$4+137)</f>
        <v>46160</v>
      </c>
      <c r="N13764">
        <f>IF(M13764="","",'Master Barang'!A58)</f>
        <v>0</v>
      </c>
      <c r="O13764">
        <f>IF(N13764="","",'Master Barang'!B58)</f>
        <v>0</v>
      </c>
      <c r="P13764">
        <f>IF(OR(M13764="",N13764=""),"",SUMIFS('Barang Keluar'!$E:$E,'Barang Keluar'!$A:$A,M13764,'Barang Keluar'!$C:$C,N13764))</f>
        <v>0</v>
      </c>
    </row>
    <row r="13765" spans="13:16">
      <c r="M13765" s="49">
        <f>IF($A$4+137&gt;$B$4,"",$A$4+137)</f>
        <v>46160</v>
      </c>
      <c r="N13765">
        <f>IF(M13765="","",'Master Barang'!A59)</f>
        <v>0</v>
      </c>
      <c r="O13765">
        <f>IF(N13765="","",'Master Barang'!B59)</f>
        <v>0</v>
      </c>
      <c r="P13765">
        <f>IF(OR(M13765="",N13765=""),"",SUMIFS('Barang Keluar'!$E:$E,'Barang Keluar'!$A:$A,M13765,'Barang Keluar'!$C:$C,N13765))</f>
        <v>0</v>
      </c>
    </row>
    <row r="13766" spans="13:16">
      <c r="M13766" s="49">
        <f>IF($A$4+137&gt;$B$4,"",$A$4+137)</f>
        <v>46160</v>
      </c>
      <c r="N13766">
        <f>IF(M13766="","",'Master Barang'!A60)</f>
        <v>0</v>
      </c>
      <c r="O13766">
        <f>IF(N13766="","",'Master Barang'!B60)</f>
        <v>0</v>
      </c>
      <c r="P13766">
        <f>IF(OR(M13766="",N13766=""),"",SUMIFS('Barang Keluar'!$E:$E,'Barang Keluar'!$A:$A,M13766,'Barang Keluar'!$C:$C,N13766))</f>
        <v>0</v>
      </c>
    </row>
    <row r="13767" spans="13:16">
      <c r="M13767" s="49">
        <f>IF($A$4+137&gt;$B$4,"",$A$4+137)</f>
        <v>46160</v>
      </c>
      <c r="N13767">
        <f>IF(M13767="","",'Master Barang'!A61)</f>
        <v>0</v>
      </c>
      <c r="O13767">
        <f>IF(N13767="","",'Master Barang'!B61)</f>
        <v>0</v>
      </c>
      <c r="P13767">
        <f>IF(OR(M13767="",N13767=""),"",SUMIFS('Barang Keluar'!$E:$E,'Barang Keluar'!$A:$A,M13767,'Barang Keluar'!$C:$C,N13767))</f>
        <v>0</v>
      </c>
    </row>
    <row r="13768" spans="13:16">
      <c r="M13768" s="49">
        <f>IF($A$4+137&gt;$B$4,"",$A$4+137)</f>
        <v>46160</v>
      </c>
      <c r="N13768">
        <f>IF(M13768="","",'Master Barang'!A62)</f>
        <v>0</v>
      </c>
      <c r="O13768">
        <f>IF(N13768="","",'Master Barang'!B62)</f>
        <v>0</v>
      </c>
      <c r="P13768">
        <f>IF(OR(M13768="",N13768=""),"",SUMIFS('Barang Keluar'!$E:$E,'Barang Keluar'!$A:$A,M13768,'Barang Keluar'!$C:$C,N13768))</f>
        <v>0</v>
      </c>
    </row>
    <row r="13769" spans="13:16">
      <c r="M13769" s="49">
        <f>IF($A$4+137&gt;$B$4,"",$A$4+137)</f>
        <v>46160</v>
      </c>
      <c r="N13769">
        <f>IF(M13769="","",'Master Barang'!A63)</f>
        <v>0</v>
      </c>
      <c r="O13769">
        <f>IF(N13769="","",'Master Barang'!B63)</f>
        <v>0</v>
      </c>
      <c r="P13769">
        <f>IF(OR(M13769="",N13769=""),"",SUMIFS('Barang Keluar'!$E:$E,'Barang Keluar'!$A:$A,M13769,'Barang Keluar'!$C:$C,N13769))</f>
        <v>0</v>
      </c>
    </row>
    <row r="13770" spans="13:16">
      <c r="M13770" s="49">
        <f>IF($A$4+137&gt;$B$4,"",$A$4+137)</f>
        <v>46160</v>
      </c>
      <c r="N13770">
        <f>IF(M13770="","",'Master Barang'!A64)</f>
        <v>0</v>
      </c>
      <c r="O13770">
        <f>IF(N13770="","",'Master Barang'!B64)</f>
        <v>0</v>
      </c>
      <c r="P13770">
        <f>IF(OR(M13770="",N13770=""),"",SUMIFS('Barang Keluar'!$E:$E,'Barang Keluar'!$A:$A,M13770,'Barang Keluar'!$C:$C,N13770))</f>
        <v>0</v>
      </c>
    </row>
    <row r="13771" spans="13:16">
      <c r="M13771" s="49">
        <f>IF($A$4+137&gt;$B$4,"",$A$4+137)</f>
        <v>46160</v>
      </c>
      <c r="N13771">
        <f>IF(M13771="","",'Master Barang'!A65)</f>
        <v>0</v>
      </c>
      <c r="O13771">
        <f>IF(N13771="","",'Master Barang'!B65)</f>
        <v>0</v>
      </c>
      <c r="P13771">
        <f>IF(OR(M13771="",N13771=""),"",SUMIFS('Barang Keluar'!$E:$E,'Barang Keluar'!$A:$A,M13771,'Barang Keluar'!$C:$C,N13771))</f>
        <v>0</v>
      </c>
    </row>
    <row r="13772" spans="13:16">
      <c r="M13772" s="49">
        <f>IF($A$4+137&gt;$B$4,"",$A$4+137)</f>
        <v>46160</v>
      </c>
      <c r="N13772">
        <f>IF(M13772="","",'Master Barang'!A66)</f>
        <v>0</v>
      </c>
      <c r="O13772">
        <f>IF(N13772="","",'Master Barang'!B66)</f>
        <v>0</v>
      </c>
      <c r="P13772">
        <f>IF(OR(M13772="",N13772=""),"",SUMIFS('Barang Keluar'!$E:$E,'Barang Keluar'!$A:$A,M13772,'Barang Keluar'!$C:$C,N13772))</f>
        <v>0</v>
      </c>
    </row>
    <row r="13773" spans="13:16">
      <c r="M13773" s="49">
        <f>IF($A$4+137&gt;$B$4,"",$A$4+137)</f>
        <v>46160</v>
      </c>
      <c r="N13773">
        <f>IF(M13773="","",'Master Barang'!A67)</f>
        <v>0</v>
      </c>
      <c r="O13773">
        <f>IF(N13773="","",'Master Barang'!B67)</f>
        <v>0</v>
      </c>
      <c r="P13773">
        <f>IF(OR(M13773="",N13773=""),"",SUMIFS('Barang Keluar'!$E:$E,'Barang Keluar'!$A:$A,M13773,'Barang Keluar'!$C:$C,N13773))</f>
        <v>0</v>
      </c>
    </row>
    <row r="13774" spans="13:16">
      <c r="M13774" s="49">
        <f>IF($A$4+137&gt;$B$4,"",$A$4+137)</f>
        <v>46160</v>
      </c>
      <c r="N13774">
        <f>IF(M13774="","",'Master Barang'!A68)</f>
        <v>0</v>
      </c>
      <c r="O13774">
        <f>IF(N13774="","",'Master Barang'!B68)</f>
        <v>0</v>
      </c>
      <c r="P13774">
        <f>IF(OR(M13774="",N13774=""),"",SUMIFS('Barang Keluar'!$E:$E,'Barang Keluar'!$A:$A,M13774,'Barang Keluar'!$C:$C,N13774))</f>
        <v>0</v>
      </c>
    </row>
    <row r="13775" spans="13:16">
      <c r="M13775" s="49">
        <f>IF($A$4+137&gt;$B$4,"",$A$4+137)</f>
        <v>46160</v>
      </c>
      <c r="N13775">
        <f>IF(M13775="","",'Master Barang'!A69)</f>
        <v>0</v>
      </c>
      <c r="O13775">
        <f>IF(N13775="","",'Master Barang'!B69)</f>
        <v>0</v>
      </c>
      <c r="P13775">
        <f>IF(OR(M13775="",N13775=""),"",SUMIFS('Barang Keluar'!$E:$E,'Barang Keluar'!$A:$A,M13775,'Barang Keluar'!$C:$C,N13775))</f>
        <v>0</v>
      </c>
    </row>
    <row r="13776" spans="13:16">
      <c r="M13776" s="49">
        <f>IF($A$4+137&gt;$B$4,"",$A$4+137)</f>
        <v>46160</v>
      </c>
      <c r="N13776">
        <f>IF(M13776="","",'Master Barang'!A70)</f>
        <v>0</v>
      </c>
      <c r="O13776">
        <f>IF(N13776="","",'Master Barang'!B70)</f>
        <v>0</v>
      </c>
      <c r="P13776">
        <f>IF(OR(M13776="",N13776=""),"",SUMIFS('Barang Keluar'!$E:$E,'Barang Keluar'!$A:$A,M13776,'Barang Keluar'!$C:$C,N13776))</f>
        <v>0</v>
      </c>
    </row>
    <row r="13777" spans="13:16">
      <c r="M13777" s="49">
        <f>IF($A$4+137&gt;$B$4,"",$A$4+137)</f>
        <v>46160</v>
      </c>
      <c r="N13777">
        <f>IF(M13777="","",'Master Barang'!A71)</f>
        <v>0</v>
      </c>
      <c r="O13777">
        <f>IF(N13777="","",'Master Barang'!B71)</f>
        <v>0</v>
      </c>
      <c r="P13777">
        <f>IF(OR(M13777="",N13777=""),"",SUMIFS('Barang Keluar'!$E:$E,'Barang Keluar'!$A:$A,M13777,'Barang Keluar'!$C:$C,N13777))</f>
        <v>0</v>
      </c>
    </row>
    <row r="13778" spans="13:16">
      <c r="M13778" s="49">
        <f>IF($A$4+137&gt;$B$4,"",$A$4+137)</f>
        <v>46160</v>
      </c>
      <c r="N13778">
        <f>IF(M13778="","",'Master Barang'!A72)</f>
        <v>0</v>
      </c>
      <c r="O13778">
        <f>IF(N13778="","",'Master Barang'!B72)</f>
        <v>0</v>
      </c>
      <c r="P13778">
        <f>IF(OR(M13778="",N13778=""),"",SUMIFS('Barang Keluar'!$E:$E,'Barang Keluar'!$A:$A,M13778,'Barang Keluar'!$C:$C,N13778))</f>
        <v>0</v>
      </c>
    </row>
    <row r="13779" spans="13:16">
      <c r="M13779" s="49">
        <f>IF($A$4+137&gt;$B$4,"",$A$4+137)</f>
        <v>46160</v>
      </c>
      <c r="N13779">
        <f>IF(M13779="","",'Master Barang'!A73)</f>
        <v>0</v>
      </c>
      <c r="O13779">
        <f>IF(N13779="","",'Master Barang'!B73)</f>
        <v>0</v>
      </c>
      <c r="P13779">
        <f>IF(OR(M13779="",N13779=""),"",SUMIFS('Barang Keluar'!$E:$E,'Barang Keluar'!$A:$A,M13779,'Barang Keluar'!$C:$C,N13779))</f>
        <v>0</v>
      </c>
    </row>
    <row r="13780" spans="13:16">
      <c r="M13780" s="49">
        <f>IF($A$4+137&gt;$B$4,"",$A$4+137)</f>
        <v>46160</v>
      </c>
      <c r="N13780">
        <f>IF(M13780="","",'Master Barang'!A74)</f>
        <v>0</v>
      </c>
      <c r="O13780">
        <f>IF(N13780="","",'Master Barang'!B74)</f>
        <v>0</v>
      </c>
      <c r="P13780">
        <f>IF(OR(M13780="",N13780=""),"",SUMIFS('Barang Keluar'!$E:$E,'Barang Keluar'!$A:$A,M13780,'Barang Keluar'!$C:$C,N13780))</f>
        <v>0</v>
      </c>
    </row>
    <row r="13781" spans="13:16">
      <c r="M13781" s="49">
        <f>IF($A$4+137&gt;$B$4,"",$A$4+137)</f>
        <v>46160</v>
      </c>
      <c r="N13781">
        <f>IF(M13781="","",'Master Barang'!A75)</f>
        <v>0</v>
      </c>
      <c r="O13781">
        <f>IF(N13781="","",'Master Barang'!B75)</f>
        <v>0</v>
      </c>
      <c r="P13781">
        <f>IF(OR(M13781="",N13781=""),"",SUMIFS('Barang Keluar'!$E:$E,'Barang Keluar'!$A:$A,M13781,'Barang Keluar'!$C:$C,N13781))</f>
        <v>0</v>
      </c>
    </row>
    <row r="13782" spans="13:16">
      <c r="M13782" s="49">
        <f>IF($A$4+137&gt;$B$4,"",$A$4+137)</f>
        <v>46160</v>
      </c>
      <c r="N13782">
        <f>IF(M13782="","",'Master Barang'!A76)</f>
        <v>0</v>
      </c>
      <c r="O13782">
        <f>IF(N13782="","",'Master Barang'!B76)</f>
        <v>0</v>
      </c>
      <c r="P13782">
        <f>IF(OR(M13782="",N13782=""),"",SUMIFS('Barang Keluar'!$E:$E,'Barang Keluar'!$A:$A,M13782,'Barang Keluar'!$C:$C,N13782))</f>
        <v>0</v>
      </c>
    </row>
    <row r="13783" spans="13:16">
      <c r="M13783" s="49">
        <f>IF($A$4+137&gt;$B$4,"",$A$4+137)</f>
        <v>46160</v>
      </c>
      <c r="N13783">
        <f>IF(M13783="","",'Master Barang'!A77)</f>
        <v>0</v>
      </c>
      <c r="O13783">
        <f>IF(N13783="","",'Master Barang'!B77)</f>
        <v>0</v>
      </c>
      <c r="P13783">
        <f>IF(OR(M13783="",N13783=""),"",SUMIFS('Barang Keluar'!$E:$E,'Barang Keluar'!$A:$A,M13783,'Barang Keluar'!$C:$C,N13783))</f>
        <v>0</v>
      </c>
    </row>
    <row r="13784" spans="13:16">
      <c r="M13784" s="49">
        <f>IF($A$4+137&gt;$B$4,"",$A$4+137)</f>
        <v>46160</v>
      </c>
      <c r="N13784">
        <f>IF(M13784="","",'Master Barang'!A78)</f>
        <v>0</v>
      </c>
      <c r="O13784">
        <f>IF(N13784="","",'Master Barang'!B78)</f>
        <v>0</v>
      </c>
      <c r="P13784">
        <f>IF(OR(M13784="",N13784=""),"",SUMIFS('Barang Keluar'!$E:$E,'Barang Keluar'!$A:$A,M13784,'Barang Keluar'!$C:$C,N13784))</f>
        <v>0</v>
      </c>
    </row>
    <row r="13785" spans="13:16">
      <c r="M13785" s="49">
        <f>IF($A$4+137&gt;$B$4,"",$A$4+137)</f>
        <v>46160</v>
      </c>
      <c r="N13785">
        <f>IF(M13785="","",'Master Barang'!A79)</f>
        <v>0</v>
      </c>
      <c r="O13785">
        <f>IF(N13785="","",'Master Barang'!B79)</f>
        <v>0</v>
      </c>
      <c r="P13785">
        <f>IF(OR(M13785="",N13785=""),"",SUMIFS('Barang Keluar'!$E:$E,'Barang Keluar'!$A:$A,M13785,'Barang Keluar'!$C:$C,N13785))</f>
        <v>0</v>
      </c>
    </row>
    <row r="13786" spans="13:16">
      <c r="M13786" s="49">
        <f>IF($A$4+137&gt;$B$4,"",$A$4+137)</f>
        <v>46160</v>
      </c>
      <c r="N13786">
        <f>IF(M13786="","",'Master Barang'!A80)</f>
        <v>0</v>
      </c>
      <c r="O13786">
        <f>IF(N13786="","",'Master Barang'!B80)</f>
        <v>0</v>
      </c>
      <c r="P13786">
        <f>IF(OR(M13786="",N13786=""),"",SUMIFS('Barang Keluar'!$E:$E,'Barang Keluar'!$A:$A,M13786,'Barang Keluar'!$C:$C,N13786))</f>
        <v>0</v>
      </c>
    </row>
    <row r="13787" spans="13:16">
      <c r="M13787" s="49">
        <f>IF($A$4+137&gt;$B$4,"",$A$4+137)</f>
        <v>46160</v>
      </c>
      <c r="N13787">
        <f>IF(M13787="","",'Master Barang'!A81)</f>
        <v>0</v>
      </c>
      <c r="O13787">
        <f>IF(N13787="","",'Master Barang'!B81)</f>
        <v>0</v>
      </c>
      <c r="P13787">
        <f>IF(OR(M13787="",N13787=""),"",SUMIFS('Barang Keluar'!$E:$E,'Barang Keluar'!$A:$A,M13787,'Barang Keluar'!$C:$C,N13787))</f>
        <v>0</v>
      </c>
    </row>
    <row r="13788" spans="13:16">
      <c r="M13788" s="49">
        <f>IF($A$4+137&gt;$B$4,"",$A$4+137)</f>
        <v>46160</v>
      </c>
      <c r="N13788">
        <f>IF(M13788="","",'Master Barang'!A82)</f>
        <v>0</v>
      </c>
      <c r="O13788">
        <f>IF(N13788="","",'Master Barang'!B82)</f>
        <v>0</v>
      </c>
      <c r="P13788">
        <f>IF(OR(M13788="",N13788=""),"",SUMIFS('Barang Keluar'!$E:$E,'Barang Keluar'!$A:$A,M13788,'Barang Keluar'!$C:$C,N13788))</f>
        <v>0</v>
      </c>
    </row>
    <row r="13789" spans="13:16">
      <c r="M13789" s="49">
        <f>IF($A$4+137&gt;$B$4,"",$A$4+137)</f>
        <v>46160</v>
      </c>
      <c r="N13789">
        <f>IF(M13789="","",'Master Barang'!A83)</f>
        <v>0</v>
      </c>
      <c r="O13789">
        <f>IF(N13789="","",'Master Barang'!B83)</f>
        <v>0</v>
      </c>
      <c r="P13789">
        <f>IF(OR(M13789="",N13789=""),"",SUMIFS('Barang Keluar'!$E:$E,'Barang Keluar'!$A:$A,M13789,'Barang Keluar'!$C:$C,N13789))</f>
        <v>0</v>
      </c>
    </row>
    <row r="13790" spans="13:16">
      <c r="M13790" s="49">
        <f>IF($A$4+137&gt;$B$4,"",$A$4+137)</f>
        <v>46160</v>
      </c>
      <c r="N13790">
        <f>IF(M13790="","",'Master Barang'!A84)</f>
        <v>0</v>
      </c>
      <c r="O13790">
        <f>IF(N13790="","",'Master Barang'!B84)</f>
        <v>0</v>
      </c>
      <c r="P13790">
        <f>IF(OR(M13790="",N13790=""),"",SUMIFS('Barang Keluar'!$E:$E,'Barang Keluar'!$A:$A,M13790,'Barang Keluar'!$C:$C,N13790))</f>
        <v>0</v>
      </c>
    </row>
    <row r="13791" spans="13:16">
      <c r="M13791" s="49">
        <f>IF($A$4+137&gt;$B$4,"",$A$4+137)</f>
        <v>46160</v>
      </c>
      <c r="N13791">
        <f>IF(M13791="","",'Master Barang'!A85)</f>
        <v>0</v>
      </c>
      <c r="O13791">
        <f>IF(N13791="","",'Master Barang'!B85)</f>
        <v>0</v>
      </c>
      <c r="P13791">
        <f>IF(OR(M13791="",N13791=""),"",SUMIFS('Barang Keluar'!$E:$E,'Barang Keluar'!$A:$A,M13791,'Barang Keluar'!$C:$C,N13791))</f>
        <v>0</v>
      </c>
    </row>
    <row r="13792" spans="13:16">
      <c r="M13792" s="49">
        <f>IF($A$4+137&gt;$B$4,"",$A$4+137)</f>
        <v>46160</v>
      </c>
      <c r="N13792">
        <f>IF(M13792="","",'Master Barang'!A86)</f>
        <v>0</v>
      </c>
      <c r="O13792">
        <f>IF(N13792="","",'Master Barang'!B86)</f>
        <v>0</v>
      </c>
      <c r="P13792">
        <f>IF(OR(M13792="",N13792=""),"",SUMIFS('Barang Keluar'!$E:$E,'Barang Keluar'!$A:$A,M13792,'Barang Keluar'!$C:$C,N13792))</f>
        <v>0</v>
      </c>
    </row>
    <row r="13793" spans="13:16">
      <c r="M13793" s="49">
        <f>IF($A$4+137&gt;$B$4,"",$A$4+137)</f>
        <v>46160</v>
      </c>
      <c r="N13793">
        <f>IF(M13793="","",'Master Barang'!A87)</f>
        <v>0</v>
      </c>
      <c r="O13793">
        <f>IF(N13793="","",'Master Barang'!B87)</f>
        <v>0</v>
      </c>
      <c r="P13793">
        <f>IF(OR(M13793="",N13793=""),"",SUMIFS('Barang Keluar'!$E:$E,'Barang Keluar'!$A:$A,M13793,'Barang Keluar'!$C:$C,N13793))</f>
        <v>0</v>
      </c>
    </row>
    <row r="13794" spans="13:16">
      <c r="M13794" s="49">
        <f>IF($A$4+137&gt;$B$4,"",$A$4+137)</f>
        <v>46160</v>
      </c>
      <c r="N13794">
        <f>IF(M13794="","",'Master Barang'!A88)</f>
        <v>0</v>
      </c>
      <c r="O13794">
        <f>IF(N13794="","",'Master Barang'!B88)</f>
        <v>0</v>
      </c>
      <c r="P13794">
        <f>IF(OR(M13794="",N13794=""),"",SUMIFS('Barang Keluar'!$E:$E,'Barang Keluar'!$A:$A,M13794,'Barang Keluar'!$C:$C,N13794))</f>
        <v>0</v>
      </c>
    </row>
    <row r="13795" spans="13:16">
      <c r="M13795" s="49">
        <f>IF($A$4+137&gt;$B$4,"",$A$4+137)</f>
        <v>46160</v>
      </c>
      <c r="N13795">
        <f>IF(M13795="","",'Master Barang'!A89)</f>
        <v>0</v>
      </c>
      <c r="O13795">
        <f>IF(N13795="","",'Master Barang'!B89)</f>
        <v>0</v>
      </c>
      <c r="P13795">
        <f>IF(OR(M13795="",N13795=""),"",SUMIFS('Barang Keluar'!$E:$E,'Barang Keluar'!$A:$A,M13795,'Barang Keluar'!$C:$C,N13795))</f>
        <v>0</v>
      </c>
    </row>
    <row r="13796" spans="13:16">
      <c r="M13796" s="49">
        <f>IF($A$4+137&gt;$B$4,"",$A$4+137)</f>
        <v>46160</v>
      </c>
      <c r="N13796">
        <f>IF(M13796="","",'Master Barang'!A90)</f>
        <v>0</v>
      </c>
      <c r="O13796">
        <f>IF(N13796="","",'Master Barang'!B90)</f>
        <v>0</v>
      </c>
      <c r="P13796">
        <f>IF(OR(M13796="",N13796=""),"",SUMIFS('Barang Keluar'!$E:$E,'Barang Keluar'!$A:$A,M13796,'Barang Keluar'!$C:$C,N13796))</f>
        <v>0</v>
      </c>
    </row>
    <row r="13797" spans="13:16">
      <c r="M13797" s="49">
        <f>IF($A$4+137&gt;$B$4,"",$A$4+137)</f>
        <v>46160</v>
      </c>
      <c r="N13797">
        <f>IF(M13797="","",'Master Barang'!A91)</f>
        <v>0</v>
      </c>
      <c r="O13797">
        <f>IF(N13797="","",'Master Barang'!B91)</f>
        <v>0</v>
      </c>
      <c r="P13797">
        <f>IF(OR(M13797="",N13797=""),"",SUMIFS('Barang Keluar'!$E:$E,'Barang Keluar'!$A:$A,M13797,'Barang Keluar'!$C:$C,N13797))</f>
        <v>0</v>
      </c>
    </row>
    <row r="13798" spans="13:16">
      <c r="M13798" s="49">
        <f>IF($A$4+137&gt;$B$4,"",$A$4+137)</f>
        <v>46160</v>
      </c>
      <c r="N13798">
        <f>IF(M13798="","",'Master Barang'!A92)</f>
        <v>0</v>
      </c>
      <c r="O13798">
        <f>IF(N13798="","",'Master Barang'!B92)</f>
        <v>0</v>
      </c>
      <c r="P13798">
        <f>IF(OR(M13798="",N13798=""),"",SUMIFS('Barang Keluar'!$E:$E,'Barang Keluar'!$A:$A,M13798,'Barang Keluar'!$C:$C,N13798))</f>
        <v>0</v>
      </c>
    </row>
    <row r="13799" spans="13:16">
      <c r="M13799" s="49">
        <f>IF($A$4+137&gt;$B$4,"",$A$4+137)</f>
        <v>46160</v>
      </c>
      <c r="N13799">
        <f>IF(M13799="","",'Master Barang'!A93)</f>
        <v>0</v>
      </c>
      <c r="O13799">
        <f>IF(N13799="","",'Master Barang'!B93)</f>
        <v>0</v>
      </c>
      <c r="P13799">
        <f>IF(OR(M13799="",N13799=""),"",SUMIFS('Barang Keluar'!$E:$E,'Barang Keluar'!$A:$A,M13799,'Barang Keluar'!$C:$C,N13799))</f>
        <v>0</v>
      </c>
    </row>
    <row r="13800" spans="13:16">
      <c r="M13800" s="49">
        <f>IF($A$4+137&gt;$B$4,"",$A$4+137)</f>
        <v>46160</v>
      </c>
      <c r="N13800">
        <f>IF(M13800="","",'Master Barang'!A94)</f>
        <v>0</v>
      </c>
      <c r="O13800">
        <f>IF(N13800="","",'Master Barang'!B94)</f>
        <v>0</v>
      </c>
      <c r="P13800">
        <f>IF(OR(M13800="",N13800=""),"",SUMIFS('Barang Keluar'!$E:$E,'Barang Keluar'!$A:$A,M13800,'Barang Keluar'!$C:$C,N13800))</f>
        <v>0</v>
      </c>
    </row>
    <row r="13801" spans="13:16">
      <c r="M13801" s="49">
        <f>IF($A$4+137&gt;$B$4,"",$A$4+137)</f>
        <v>46160</v>
      </c>
      <c r="N13801">
        <f>IF(M13801="","",'Master Barang'!A95)</f>
        <v>0</v>
      </c>
      <c r="O13801">
        <f>IF(N13801="","",'Master Barang'!B95)</f>
        <v>0</v>
      </c>
      <c r="P13801">
        <f>IF(OR(M13801="",N13801=""),"",SUMIFS('Barang Keluar'!$E:$E,'Barang Keluar'!$A:$A,M13801,'Barang Keluar'!$C:$C,N13801))</f>
        <v>0</v>
      </c>
    </row>
    <row r="13802" spans="13:16">
      <c r="M13802" s="49">
        <f>IF($A$4+137&gt;$B$4,"",$A$4+137)</f>
        <v>46160</v>
      </c>
      <c r="N13802">
        <f>IF(M13802="","",'Master Barang'!A96)</f>
        <v>0</v>
      </c>
      <c r="O13802">
        <f>IF(N13802="","",'Master Barang'!B96)</f>
        <v>0</v>
      </c>
      <c r="P13802">
        <f>IF(OR(M13802="",N13802=""),"",SUMIFS('Barang Keluar'!$E:$E,'Barang Keluar'!$A:$A,M13802,'Barang Keluar'!$C:$C,N13802))</f>
        <v>0</v>
      </c>
    </row>
    <row r="13803" spans="13:16">
      <c r="M13803" s="49">
        <f>IF($A$4+137&gt;$B$4,"",$A$4+137)</f>
        <v>46160</v>
      </c>
      <c r="N13803">
        <f>IF(M13803="","",'Master Barang'!A97)</f>
        <v>0</v>
      </c>
      <c r="O13803">
        <f>IF(N13803="","",'Master Barang'!B97)</f>
        <v>0</v>
      </c>
      <c r="P13803">
        <f>IF(OR(M13803="",N13803=""),"",SUMIFS('Barang Keluar'!$E:$E,'Barang Keluar'!$A:$A,M13803,'Barang Keluar'!$C:$C,N13803))</f>
        <v>0</v>
      </c>
    </row>
    <row r="13804" spans="13:16">
      <c r="M13804" s="49">
        <f>IF($A$4+137&gt;$B$4,"",$A$4+137)</f>
        <v>46160</v>
      </c>
      <c r="N13804">
        <f>IF(M13804="","",'Master Barang'!A98)</f>
        <v>0</v>
      </c>
      <c r="O13804">
        <f>IF(N13804="","",'Master Barang'!B98)</f>
        <v>0</v>
      </c>
      <c r="P13804">
        <f>IF(OR(M13804="",N13804=""),"",SUMIFS('Barang Keluar'!$E:$E,'Barang Keluar'!$A:$A,M13804,'Barang Keluar'!$C:$C,N13804))</f>
        <v>0</v>
      </c>
    </row>
    <row r="13805" spans="13:16">
      <c r="M13805" s="49">
        <f>IF($A$4+137&gt;$B$4,"",$A$4+137)</f>
        <v>46160</v>
      </c>
      <c r="N13805">
        <f>IF(M13805="","",'Master Barang'!A99)</f>
        <v>0</v>
      </c>
      <c r="O13805">
        <f>IF(N13805="","",'Master Barang'!B99)</f>
        <v>0</v>
      </c>
      <c r="P13805">
        <f>IF(OR(M13805="",N13805=""),"",SUMIFS('Barang Keluar'!$E:$E,'Barang Keluar'!$A:$A,M13805,'Barang Keluar'!$C:$C,N13805))</f>
        <v>0</v>
      </c>
    </row>
    <row r="13806" spans="13:16">
      <c r="M13806" s="49">
        <f>IF($A$4+137&gt;$B$4,"",$A$4+137)</f>
        <v>46160</v>
      </c>
      <c r="N13806">
        <f>IF(M13806="","",'Master Barang'!A100)</f>
        <v>0</v>
      </c>
      <c r="O13806">
        <f>IF(N13806="","",'Master Barang'!B100)</f>
        <v>0</v>
      </c>
      <c r="P13806">
        <f>IF(OR(M13806="",N13806=""),"",SUMIFS('Barang Keluar'!$E:$E,'Barang Keluar'!$A:$A,M13806,'Barang Keluar'!$C:$C,N13806))</f>
        <v>0</v>
      </c>
    </row>
    <row r="13807" spans="13:16">
      <c r="M13807" s="49">
        <f>IF($A$4+137&gt;$B$4,"",$A$4+137)</f>
        <v>46160</v>
      </c>
      <c r="N13807">
        <f>IF(M13807="","",'Master Barang'!A101)</f>
        <v>0</v>
      </c>
      <c r="O13807">
        <f>IF(N13807="","",'Master Barang'!B101)</f>
        <v>0</v>
      </c>
      <c r="P13807">
        <f>IF(OR(M13807="",N13807=""),"",SUMIFS('Barang Keluar'!$E:$E,'Barang Keluar'!$A:$A,M13807,'Barang Keluar'!$C:$C,N13807))</f>
        <v>0</v>
      </c>
    </row>
    <row r="13808" spans="13:16">
      <c r="M13808" s="49">
        <f>IF($A$4+138&gt;$B$4,"",$A$4+138)</f>
        <v>46161</v>
      </c>
      <c r="N13808" t="str">
        <f>IF(M13808="","",'Master Barang'!A2)</f>
        <v>PRL-001</v>
      </c>
      <c r="O13808" t="str">
        <f>IF(N13808="","",'Master Barang'!B2)</f>
        <v>natura desinfectant food grade 5l</v>
      </c>
      <c r="P13808">
        <f>IF(OR(M13808="",N13808=""),"",SUMIFS('Barang Keluar'!$E:$E,'Barang Keluar'!$A:$A,M13808,'Barang Keluar'!$C:$C,N13808))</f>
        <v>0</v>
      </c>
    </row>
    <row r="13809" spans="13:16">
      <c r="M13809" s="49">
        <f>IF($A$4+138&gt;$B$4,"",$A$4+138)</f>
        <v>46161</v>
      </c>
      <c r="N13809" t="str">
        <f>IF(M13809="","",'Master Barang'!A3)</f>
        <v>PRL-002</v>
      </c>
      <c r="O13809" t="str">
        <f>IF(N13809="","",'Master Barang'!B3)</f>
        <v>sunlight cairan pencuci piring 5l</v>
      </c>
      <c r="P13809">
        <f>IF(OR(M13809="",N13809=""),"",SUMIFS('Barang Keluar'!$E:$E,'Barang Keluar'!$A:$A,M13809,'Barang Keluar'!$C:$C,N13809))</f>
        <v>0</v>
      </c>
    </row>
    <row r="13810" spans="13:16">
      <c r="M13810" s="49">
        <f>IF($A$4+138&gt;$B$4,"",$A$4+138)</f>
        <v>46161</v>
      </c>
      <c r="N13810" t="str">
        <f>IF(M13810="","",'Master Barang'!A4)</f>
        <v>PRL-003</v>
      </c>
      <c r="O13810" t="str">
        <f>IF(N13810="","",'Master Barang'!B4)</f>
        <v>oixs cleaner 1l</v>
      </c>
      <c r="P13810">
        <f>IF(OR(M13810="",N13810=""),"",SUMIFS('Barang Keluar'!$E:$E,'Barang Keluar'!$A:$A,M13810,'Barang Keluar'!$C:$C,N13810))</f>
        <v>0</v>
      </c>
    </row>
    <row r="13811" spans="13:16">
      <c r="M13811" s="49">
        <f>IF($A$4+138&gt;$B$4,"",$A$4+138)</f>
        <v>46161</v>
      </c>
      <c r="N13811" t="str">
        <f>IF(M13811="","",'Master Barang'!A5)</f>
        <v>PRL-004</v>
      </c>
      <c r="O13811" t="str">
        <f>IF(N13811="","",'Master Barang'!B5)</f>
        <v>be clean tissue serbaguna</v>
      </c>
      <c r="P13811">
        <f>IF(OR(M13811="",N13811=""),"",SUMIFS('Barang Keluar'!$E:$E,'Barang Keluar'!$A:$A,M13811,'Barang Keluar'!$C:$C,N13811))</f>
        <v>0</v>
      </c>
    </row>
    <row r="13812" spans="13:16">
      <c r="M13812" s="49">
        <f>IF($A$4+138&gt;$B$4,"",$A$4+138)</f>
        <v>46161</v>
      </c>
      <c r="N13812" t="str">
        <f>IF(M13812="","",'Master Barang'!A6)</f>
        <v>PRL-005</v>
      </c>
      <c r="O13812" t="str">
        <f>IF(N13812="","",'Master Barang'!B6)</f>
        <v>spons cuci hijau</v>
      </c>
      <c r="P13812">
        <f>IF(OR(M13812="",N13812=""),"",SUMIFS('Barang Keluar'!$E:$E,'Barang Keluar'!$A:$A,M13812,'Barang Keluar'!$C:$C,N13812))</f>
        <v>0</v>
      </c>
    </row>
    <row r="13813" spans="13:16">
      <c r="M13813" s="49">
        <f>IF($A$4+138&gt;$B$4,"",$A$4+138)</f>
        <v>46161</v>
      </c>
      <c r="N13813" t="str">
        <f>IF(M13813="","",'Master Barang'!A7)</f>
        <v>PRL-006</v>
      </c>
      <c r="O13813" t="str">
        <f>IF(N13813="","",'Master Barang'!B7)</f>
        <v>sabut cuci stainless</v>
      </c>
      <c r="P13813">
        <f>IF(OR(M13813="",N13813=""),"",SUMIFS('Barang Keluar'!$E:$E,'Barang Keluar'!$A:$A,M13813,'Barang Keluar'!$C:$C,N13813))</f>
        <v>0</v>
      </c>
    </row>
    <row r="13814" spans="13:16">
      <c r="M13814" s="49">
        <f>IF($A$4+138&gt;$B$4,"",$A$4+138)</f>
        <v>46161</v>
      </c>
      <c r="N13814" t="str">
        <f>IF(M13814="","",'Master Barang'!A8)</f>
        <v>PRL-007</v>
      </c>
      <c r="O13814" t="str">
        <f>IF(N13814="","",'Master Barang'!B8)</f>
        <v>plastik kresek besar merah 50pc</v>
      </c>
      <c r="P13814">
        <f>IF(OR(M13814="",N13814=""),"",SUMIFS('Barang Keluar'!$E:$E,'Barang Keluar'!$A:$A,M13814,'Barang Keluar'!$C:$C,N13814))</f>
        <v>0</v>
      </c>
    </row>
    <row r="13815" spans="13:16">
      <c r="M13815" s="49">
        <f>IF($A$4+138&gt;$B$4,"",$A$4+138)</f>
        <v>46161</v>
      </c>
      <c r="N13815" t="str">
        <f>IF(M13815="","",'Master Barang'!A9)</f>
        <v>PRL-008</v>
      </c>
      <c r="O13815" t="str">
        <f>IF(N13815="","",'Master Barang'!B9)</f>
        <v>lap besar</v>
      </c>
      <c r="P13815">
        <f>IF(OR(M13815="",N13815=""),"",SUMIFS('Barang Keluar'!$E:$E,'Barang Keluar'!$A:$A,M13815,'Barang Keluar'!$C:$C,N13815))</f>
        <v>0</v>
      </c>
    </row>
    <row r="13816" spans="13:16">
      <c r="M13816" s="49">
        <f>IF($A$4+138&gt;$B$4,"",$A$4+138)</f>
        <v>46161</v>
      </c>
      <c r="N13816" t="str">
        <f>IF(M13816="","",'Master Barang'!A10)</f>
        <v>PRL-009</v>
      </c>
      <c r="O13816" t="str">
        <f>IF(N13816="","",'Master Barang'!B10)</f>
        <v>lap microfiber</v>
      </c>
      <c r="P13816">
        <f>IF(OR(M13816="",N13816=""),"",SUMIFS('Barang Keluar'!$E:$E,'Barang Keluar'!$A:$A,M13816,'Barang Keluar'!$C:$C,N13816))</f>
        <v>0</v>
      </c>
    </row>
    <row r="13817" spans="13:16">
      <c r="M13817" s="49">
        <f>IF($A$4+138&gt;$B$4,"",$A$4+138)</f>
        <v>46161</v>
      </c>
      <c r="N13817" t="str">
        <f>IF(M13817="","",'Master Barang'!A11)</f>
        <v>PRL-010</v>
      </c>
      <c r="O13817" t="str">
        <f>IF(N13817="","",'Master Barang'!B11)</f>
        <v>lap kecil</v>
      </c>
      <c r="P13817">
        <f>IF(OR(M13817="",N13817=""),"",SUMIFS('Barang Keluar'!$E:$E,'Barang Keluar'!$A:$A,M13817,'Barang Keluar'!$C:$C,N13817))</f>
        <v>0</v>
      </c>
    </row>
    <row r="13818" spans="13:16">
      <c r="M13818" s="49">
        <f>IF($A$4+138&gt;$B$4,"",$A$4+138)</f>
        <v>46161</v>
      </c>
      <c r="N13818" t="str">
        <f>IF(M13818="","",'Master Barang'!A12)</f>
        <v>PRL-011</v>
      </c>
      <c r="O13818" t="str">
        <f>IF(N13818="","",'Master Barang'!B12)</f>
        <v>kanebo kecil</v>
      </c>
      <c r="P13818">
        <f>IF(OR(M13818="",N13818=""),"",SUMIFS('Barang Keluar'!$E:$E,'Barang Keluar'!$A:$A,M13818,'Barang Keluar'!$C:$C,N13818))</f>
        <v>0</v>
      </c>
    </row>
    <row r="13819" spans="13:16">
      <c r="M13819" s="49">
        <f>IF($A$4+138&gt;$B$4,"",$A$4+138)</f>
        <v>46161</v>
      </c>
      <c r="N13819" t="str">
        <f>IF(M13819="","",'Master Barang'!A13)</f>
        <v>PRL-012</v>
      </c>
      <c r="O13819" t="str">
        <f>IF(N13819="","",'Master Barang'!B13)</f>
        <v>plastik 1/4kg joyoboyo 100 lembar</v>
      </c>
      <c r="P13819">
        <f>IF(OR(M13819="",N13819=""),"",SUMIFS('Barang Keluar'!$E:$E,'Barang Keluar'!$A:$A,M13819,'Barang Keluar'!$C:$C,N13819))</f>
        <v>0</v>
      </c>
    </row>
    <row r="13820" spans="13:16">
      <c r="M13820" s="49">
        <f>IF($A$4+138&gt;$B$4,"",$A$4+138)</f>
        <v>46161</v>
      </c>
      <c r="N13820" t="str">
        <f>IF(M13820="","",'Master Barang'!A14)</f>
        <v>PRL-013</v>
      </c>
      <c r="O13820" t="str">
        <f>IF(N13820="","",'Master Barang'!B14)</f>
        <v>sarung tangan plastik kaka 100 pcs</v>
      </c>
      <c r="P13820">
        <f>IF(OR(M13820="",N13820=""),"",SUMIFS('Barang Keluar'!$E:$E,'Barang Keluar'!$A:$A,M13820,'Barang Keluar'!$C:$C,N13820))</f>
        <v>0</v>
      </c>
    </row>
    <row r="13821" spans="13:16">
      <c r="M13821" s="49">
        <f>IF($A$4+138&gt;$B$4,"",$A$4+138)</f>
        <v>46161</v>
      </c>
      <c r="N13821" t="str">
        <f>IF(M13821="","",'Master Barang'!A15)</f>
        <v>PRL-014</v>
      </c>
      <c r="O13821" t="str">
        <f>IF(N13821="","",'Master Barang'!B15)</f>
        <v>optima trashbag 80x100</v>
      </c>
      <c r="P13821">
        <f>IF(OR(M13821="",N13821=""),"",SUMIFS('Barang Keluar'!$E:$E,'Barang Keluar'!$A:$A,M13821,'Barang Keluar'!$C:$C,N13821))</f>
        <v>0</v>
      </c>
    </row>
    <row r="13822" spans="13:16">
      <c r="M13822" s="49">
        <f>IF($A$4+138&gt;$B$4,"",$A$4+138)</f>
        <v>46161</v>
      </c>
      <c r="N13822" t="str">
        <f>IF(M13822="","",'Master Barang'!A16)</f>
        <v>PRL-015</v>
      </c>
      <c r="O13822" t="str">
        <f>IF(N13822="","",'Master Barang'!B16)</f>
        <v>optima trashbag 60x100</v>
      </c>
      <c r="P13822">
        <f>IF(OR(M13822="",N13822=""),"",SUMIFS('Barang Keluar'!$E:$E,'Barang Keluar'!$A:$A,M13822,'Barang Keluar'!$C:$C,N13822))</f>
        <v>0</v>
      </c>
    </row>
    <row r="13823" spans="13:16">
      <c r="M13823" s="49">
        <f>IF($A$4+138&gt;$B$4,"",$A$4+138)</f>
        <v>46161</v>
      </c>
      <c r="N13823" t="str">
        <f>IF(M13823="","",'Master Barang'!A17)</f>
        <v>PRL-016</v>
      </c>
      <c r="O13823" t="str">
        <f>IF(N13823="","",'Master Barang'!B17)</f>
        <v>rajawali trashbag 30x40</v>
      </c>
      <c r="P13823">
        <f>IF(OR(M13823="",N13823=""),"",SUMIFS('Barang Keluar'!$E:$E,'Barang Keluar'!$A:$A,M13823,'Barang Keluar'!$C:$C,N13823))</f>
        <v>0</v>
      </c>
    </row>
    <row r="13824" spans="13:16">
      <c r="M13824" s="49">
        <f>IF($A$4+138&gt;$B$4,"",$A$4+138)</f>
        <v>46161</v>
      </c>
      <c r="N13824" t="str">
        <f>IF(M13824="","",'Master Barang'!A18)</f>
        <v>PRL-017</v>
      </c>
      <c r="O13824" t="str">
        <f>IF(N13824="","",'Master Barang'!B18)</f>
        <v>onemed masker biru 3 play 50 pcs</v>
      </c>
      <c r="P13824">
        <f>IF(OR(M13824="",N13824=""),"",SUMIFS('Barang Keluar'!$E:$E,'Barang Keluar'!$A:$A,M13824,'Barang Keluar'!$C:$C,N13824))</f>
        <v>0</v>
      </c>
    </row>
    <row r="13825" spans="13:16">
      <c r="M13825" s="49">
        <f>IF($A$4+138&gt;$B$4,"",$A$4+138)</f>
        <v>46161</v>
      </c>
      <c r="N13825" t="str">
        <f>IF(M13825="","",'Master Barang'!A19)</f>
        <v>PRL-018</v>
      </c>
      <c r="O13825" t="str">
        <f>IF(N13825="","",'Master Barang'!B19)</f>
        <v>onemed masker biru 3 play hijab 50 pcs</v>
      </c>
      <c r="P13825">
        <f>IF(OR(M13825="",N13825=""),"",SUMIFS('Barang Keluar'!$E:$E,'Barang Keluar'!$A:$A,M13825,'Barang Keluar'!$C:$C,N13825))</f>
        <v>0</v>
      </c>
    </row>
    <row r="13826" spans="13:16">
      <c r="M13826" s="49">
        <f>IF($A$4+138&gt;$B$4,"",$A$4+138)</f>
        <v>46161</v>
      </c>
      <c r="N13826" t="str">
        <f>IF(M13826="","",'Master Barang'!A20)</f>
        <v>PRL-019</v>
      </c>
      <c r="O13826" t="str">
        <f>IF(N13826="","",'Master Barang'!B20)</f>
        <v>neo health masker biru 3 play 50 pcs</v>
      </c>
      <c r="P13826">
        <f>IF(OR(M13826="",N13826=""),"",SUMIFS('Barang Keluar'!$E:$E,'Barang Keluar'!$A:$A,M13826,'Barang Keluar'!$C:$C,N13826))</f>
        <v>0</v>
      </c>
    </row>
    <row r="13827" spans="13:16">
      <c r="M13827" s="49">
        <f>IF($A$4+138&gt;$B$4,"",$A$4+138)</f>
        <v>46161</v>
      </c>
      <c r="N13827" t="str">
        <f>IF(M13827="","",'Master Barang'!A21)</f>
        <v>PRL-020</v>
      </c>
      <c r="O13827" t="str">
        <f>IF(N13827="","",'Master Barang'!B21)</f>
        <v>baymed masker hijau 3 play hijau 50 pcs</v>
      </c>
      <c r="P13827">
        <f>IF(OR(M13827="",N13827=""),"",SUMIFS('Barang Keluar'!$E:$E,'Barang Keluar'!$A:$A,M13827,'Barang Keluar'!$C:$C,N13827))</f>
        <v>0</v>
      </c>
    </row>
    <row r="13828" spans="13:16">
      <c r="M13828" s="49">
        <f>IF($A$4+138&gt;$B$4,"",$A$4+138)</f>
        <v>46161</v>
      </c>
      <c r="N13828" t="str">
        <f>IF(M13828="","",'Master Barang'!A22)</f>
        <v>PRL-021</v>
      </c>
      <c r="O13828" t="str">
        <f>IF(N13828="","",'Master Barang'!B22)</f>
        <v>altamed nurse cap penutup kepala 100 pcs</v>
      </c>
      <c r="P13828">
        <f>IF(OR(M13828="",N13828=""),"",SUMIFS('Barang Keluar'!$E:$E,'Barang Keluar'!$A:$A,M13828,'Barang Keluar'!$C:$C,N13828))</f>
        <v>0</v>
      </c>
    </row>
    <row r="13829" spans="13:16">
      <c r="M13829" s="49">
        <f>IF($A$4+138&gt;$B$4,"",$A$4+138)</f>
        <v>46161</v>
      </c>
      <c r="N13829" t="str">
        <f>IF(M13829="","",'Master Barang'!A23)</f>
        <v>PRL-022</v>
      </c>
      <c r="O13829" t="str">
        <f>IF(N13829="","",'Master Barang'!B23)</f>
        <v>sabun cuci tangan</v>
      </c>
      <c r="P13829">
        <f>IF(OR(M13829="",N13829=""),"",SUMIFS('Barang Keluar'!$E:$E,'Barang Keluar'!$A:$A,M13829,'Barang Keluar'!$C:$C,N13829))</f>
        <v>0</v>
      </c>
    </row>
    <row r="13830" spans="13:16">
      <c r="M13830" s="49">
        <f>IF($A$4+138&gt;$B$4,"",$A$4+138)</f>
        <v>46161</v>
      </c>
      <c r="N13830" t="str">
        <f>IF(M13830="","",'Master Barang'!A24)</f>
        <v>PRL-023</v>
      </c>
      <c r="O13830" t="str">
        <f>IF(N13830="","",'Master Barang'!B24)</f>
        <v>gayung kecil</v>
      </c>
      <c r="P13830">
        <f>IF(OR(M13830="",N13830=""),"",SUMIFS('Barang Keluar'!$E:$E,'Barang Keluar'!$A:$A,M13830,'Barang Keluar'!$C:$C,N13830))</f>
        <v>0</v>
      </c>
    </row>
    <row r="13831" spans="13:16">
      <c r="M13831" s="49">
        <f>IF($A$4+138&gt;$B$4,"",$A$4+138)</f>
        <v>46161</v>
      </c>
      <c r="N13831" t="str">
        <f>IF(M13831="","",'Master Barang'!A25)</f>
        <v>PRL-024</v>
      </c>
      <c r="O13831" t="str">
        <f>IF(N13831="","",'Master Barang'!B25)</f>
        <v>cikrak kecil</v>
      </c>
      <c r="P13831">
        <f>IF(OR(M13831="",N13831=""),"",SUMIFS('Barang Keluar'!$E:$E,'Barang Keluar'!$A:$A,M13831,'Barang Keluar'!$C:$C,N13831))</f>
        <v>0</v>
      </c>
    </row>
    <row r="13832" spans="13:16">
      <c r="M13832" s="49">
        <f>IF($A$4+138&gt;$B$4,"",$A$4+138)</f>
        <v>46161</v>
      </c>
      <c r="N13832" t="str">
        <f>IF(M13832="","",'Master Barang'!A26)</f>
        <v>PRL-025</v>
      </c>
      <c r="O13832" t="str">
        <f>IF(N13832="","",'Master Barang'!B26)</f>
        <v>petromax plastik kecil 12x24 100 lembar</v>
      </c>
      <c r="P13832">
        <f>IF(OR(M13832="",N13832=""),"",SUMIFS('Barang Keluar'!$E:$E,'Barang Keluar'!$A:$A,M13832,'Barang Keluar'!$C:$C,N13832))</f>
        <v>0</v>
      </c>
    </row>
    <row r="13833" spans="13:16">
      <c r="M13833" s="49">
        <f>IF($A$4+138&gt;$B$4,"",$A$4+138)</f>
        <v>46161</v>
      </c>
      <c r="N13833" t="str">
        <f>IF(M13833="","",'Master Barang'!A27)</f>
        <v>PRL-026</v>
      </c>
      <c r="O13833" t="str">
        <f>IF(N13833="","",'Master Barang'!B27)</f>
        <v>lancar kresek kecil bening </v>
      </c>
      <c r="P13833">
        <f>IF(OR(M13833="",N13833=""),"",SUMIFS('Barang Keluar'!$E:$E,'Barang Keluar'!$A:$A,M13833,'Barang Keluar'!$C:$C,N13833))</f>
        <v>0</v>
      </c>
    </row>
    <row r="13834" spans="13:16">
      <c r="M13834" s="49">
        <f>IF($A$4+138&gt;$B$4,"",$A$4+138)</f>
        <v>46161</v>
      </c>
      <c r="N13834" t="str">
        <f>IF(M13834="","",'Master Barang'!A28)</f>
        <v>PRL-027</v>
      </c>
      <c r="O13834" t="str">
        <f>IF(N13834="","",'Master Barang'!B28)</f>
        <v>kresek klin warna warni kecil</v>
      </c>
      <c r="P13834">
        <f>IF(OR(M13834="",N13834=""),"",SUMIFS('Barang Keluar'!$E:$E,'Barang Keluar'!$A:$A,M13834,'Barang Keluar'!$C:$C,N13834))</f>
        <v>0</v>
      </c>
    </row>
    <row r="13835" spans="13:16">
      <c r="M13835" s="49">
        <f>IF($A$4+138&gt;$B$4,"",$A$4+138)</f>
        <v>46161</v>
      </c>
      <c r="N13835" t="str">
        <f>IF(M13835="","",'Master Barang'!A29)</f>
        <v>PRL-028</v>
      </c>
      <c r="O13835" t="str">
        <f>IF(N13835="","",'Master Barang'!B29)</f>
        <v>ctik plastik 7x10 100 pcs</v>
      </c>
      <c r="P13835">
        <f>IF(OR(M13835="",N13835=""),"",SUMIFS('Barang Keluar'!$E:$E,'Barang Keluar'!$A:$A,M13835,'Barang Keluar'!$C:$C,N13835))</f>
        <v>0</v>
      </c>
    </row>
    <row r="13836" spans="13:16">
      <c r="M13836" s="49">
        <f>IF($A$4+138&gt;$B$4,"",$A$4+138)</f>
        <v>46161</v>
      </c>
      <c r="N13836" t="str">
        <f>IF(M13836="","",'Master Barang'!A30)</f>
        <v>PRL-029</v>
      </c>
      <c r="O13836" t="str">
        <f>IF(N13836="","",'Master Barang'!B30)</f>
        <v>ctik plastik 6x10 100 pcs</v>
      </c>
      <c r="P13836">
        <f>IF(OR(M13836="",N13836=""),"",SUMIFS('Barang Keluar'!$E:$E,'Barang Keluar'!$A:$A,M13836,'Barang Keluar'!$C:$C,N13836))</f>
        <v>0</v>
      </c>
    </row>
    <row r="13837" spans="13:16">
      <c r="M13837" s="49">
        <f>IF($A$4+138&gt;$B$4,"",$A$4+138)</f>
        <v>46161</v>
      </c>
      <c r="N13837" t="str">
        <f>IF(M13837="","",'Master Barang'!A31)</f>
        <v>PRL-030</v>
      </c>
      <c r="O13837" t="str">
        <f>IF(N13837="","",'Master Barang'!B31)</f>
        <v>klip plastik 25x16 100 pcs</v>
      </c>
      <c r="P13837">
        <f>IF(OR(M13837="",N13837=""),"",SUMIFS('Barang Keluar'!$E:$E,'Barang Keluar'!$A:$A,M13837,'Barang Keluar'!$C:$C,N13837))</f>
        <v>0</v>
      </c>
    </row>
    <row r="13838" spans="13:16">
      <c r="M13838" s="49">
        <f>IF($A$4+138&gt;$B$4,"",$A$4+138)</f>
        <v>46161</v>
      </c>
      <c r="N13838" t="str">
        <f>IF(M13838="","",'Master Barang'!A32)</f>
        <v>PRL-031</v>
      </c>
      <c r="O13838" t="str">
        <f>IF(N13838="","",'Master Barang'!B32)</f>
        <v>tempat saus 20 ml</v>
      </c>
      <c r="P13838">
        <f>IF(OR(M13838="",N13838=""),"",SUMIFS('Barang Keluar'!$E:$E,'Barang Keluar'!$A:$A,M13838,'Barang Keluar'!$C:$C,N13838))</f>
        <v>0</v>
      </c>
    </row>
    <row r="13839" spans="13:16">
      <c r="M13839" s="49">
        <f>IF($A$4+138&gt;$B$4,"",$A$4+138)</f>
        <v>46161</v>
      </c>
      <c r="N13839" t="str">
        <f>IF(M13839="","",'Master Barang'!A33)</f>
        <v>PRL-032</v>
      </c>
      <c r="O13839" t="str">
        <f>IF(N13839="","",'Master Barang'!B33)</f>
        <v>plastik packaging ag box uk sedang</v>
      </c>
      <c r="P13839">
        <f>IF(OR(M13839="",N13839=""),"",SUMIFS('Barang Keluar'!$E:$E,'Barang Keluar'!$A:$A,M13839,'Barang Keluar'!$C:$C,N13839))</f>
        <v>0</v>
      </c>
    </row>
    <row r="13840" spans="13:16">
      <c r="M13840" s="49">
        <f>IF($A$4+138&gt;$B$4,"",$A$4+138)</f>
        <v>46161</v>
      </c>
      <c r="N13840" t="str">
        <f>IF(M13840="","",'Master Barang'!A34)</f>
        <v>PRL-033</v>
      </c>
      <c r="O13840">
        <f>IF(N13840="","",'Master Barang'!B34)</f>
        <v>0</v>
      </c>
      <c r="P13840">
        <f>IF(OR(M13840="",N13840=""),"",SUMIFS('Barang Keluar'!$E:$E,'Barang Keluar'!$A:$A,M13840,'Barang Keluar'!$C:$C,N13840))</f>
        <v>0</v>
      </c>
    </row>
    <row r="13841" spans="13:16">
      <c r="M13841" s="49">
        <f>IF($A$4+138&gt;$B$4,"",$A$4+138)</f>
        <v>46161</v>
      </c>
      <c r="N13841">
        <f>IF(M13841="","",'Master Barang'!A35)</f>
        <v>0</v>
      </c>
      <c r="O13841">
        <f>IF(N13841="","",'Master Barang'!B35)</f>
        <v>0</v>
      </c>
      <c r="P13841">
        <f>IF(OR(M13841="",N13841=""),"",SUMIFS('Barang Keluar'!$E:$E,'Barang Keluar'!$A:$A,M13841,'Barang Keluar'!$C:$C,N13841))</f>
        <v>0</v>
      </c>
    </row>
    <row r="13842" spans="13:16">
      <c r="M13842" s="49">
        <f>IF($A$4+138&gt;$B$4,"",$A$4+138)</f>
        <v>46161</v>
      </c>
      <c r="N13842">
        <f>IF(M13842="","",'Master Barang'!A36)</f>
        <v>0</v>
      </c>
      <c r="O13842">
        <f>IF(N13842="","",'Master Barang'!B36)</f>
        <v>0</v>
      </c>
      <c r="P13842">
        <f>IF(OR(M13842="",N13842=""),"",SUMIFS('Barang Keluar'!$E:$E,'Barang Keluar'!$A:$A,M13842,'Barang Keluar'!$C:$C,N13842))</f>
        <v>0</v>
      </c>
    </row>
    <row r="13843" spans="13:16">
      <c r="M13843" s="49">
        <f>IF($A$4+138&gt;$B$4,"",$A$4+138)</f>
        <v>46161</v>
      </c>
      <c r="N13843">
        <f>IF(M13843="","",'Master Barang'!A37)</f>
        <v>0</v>
      </c>
      <c r="O13843">
        <f>IF(N13843="","",'Master Barang'!B37)</f>
        <v>0</v>
      </c>
      <c r="P13843">
        <f>IF(OR(M13843="",N13843=""),"",SUMIFS('Barang Keluar'!$E:$E,'Barang Keluar'!$A:$A,M13843,'Barang Keluar'!$C:$C,N13843))</f>
        <v>0</v>
      </c>
    </row>
    <row r="13844" spans="13:16">
      <c r="M13844" s="49">
        <f>IF($A$4+138&gt;$B$4,"",$A$4+138)</f>
        <v>46161</v>
      </c>
      <c r="N13844">
        <f>IF(M13844="","",'Master Barang'!A38)</f>
        <v>0</v>
      </c>
      <c r="O13844">
        <f>IF(N13844="","",'Master Barang'!B38)</f>
        <v>0</v>
      </c>
      <c r="P13844">
        <f>IF(OR(M13844="",N13844=""),"",SUMIFS('Barang Keluar'!$E:$E,'Barang Keluar'!$A:$A,M13844,'Barang Keluar'!$C:$C,N13844))</f>
        <v>0</v>
      </c>
    </row>
    <row r="13845" spans="13:16">
      <c r="M13845" s="49">
        <f>IF($A$4+138&gt;$B$4,"",$A$4+138)</f>
        <v>46161</v>
      </c>
      <c r="N13845">
        <f>IF(M13845="","",'Master Barang'!A39)</f>
        <v>0</v>
      </c>
      <c r="O13845">
        <f>IF(N13845="","",'Master Barang'!B39)</f>
        <v>0</v>
      </c>
      <c r="P13845">
        <f>IF(OR(M13845="",N13845=""),"",SUMIFS('Barang Keluar'!$E:$E,'Barang Keluar'!$A:$A,M13845,'Barang Keluar'!$C:$C,N13845))</f>
        <v>0</v>
      </c>
    </row>
    <row r="13846" spans="13:16">
      <c r="M13846" s="49">
        <f>IF($A$4+138&gt;$B$4,"",$A$4+138)</f>
        <v>46161</v>
      </c>
      <c r="N13846">
        <f>IF(M13846="","",'Master Barang'!A40)</f>
        <v>0</v>
      </c>
      <c r="O13846">
        <f>IF(N13846="","",'Master Barang'!B40)</f>
        <v>0</v>
      </c>
      <c r="P13846">
        <f>IF(OR(M13846="",N13846=""),"",SUMIFS('Barang Keluar'!$E:$E,'Barang Keluar'!$A:$A,M13846,'Barang Keluar'!$C:$C,N13846))</f>
        <v>0</v>
      </c>
    </row>
    <row r="13847" spans="13:16">
      <c r="M13847" s="49">
        <f>IF($A$4+138&gt;$B$4,"",$A$4+138)</f>
        <v>46161</v>
      </c>
      <c r="N13847">
        <f>IF(M13847="","",'Master Barang'!A41)</f>
        <v>0</v>
      </c>
      <c r="O13847">
        <f>IF(N13847="","",'Master Barang'!B41)</f>
        <v>0</v>
      </c>
      <c r="P13847">
        <f>IF(OR(M13847="",N13847=""),"",SUMIFS('Barang Keluar'!$E:$E,'Barang Keluar'!$A:$A,M13847,'Barang Keluar'!$C:$C,N13847))</f>
        <v>0</v>
      </c>
    </row>
    <row r="13848" spans="13:16">
      <c r="M13848" s="49">
        <f>IF($A$4+138&gt;$B$4,"",$A$4+138)</f>
        <v>46161</v>
      </c>
      <c r="N13848">
        <f>IF(M13848="","",'Master Barang'!A42)</f>
        <v>0</v>
      </c>
      <c r="O13848">
        <f>IF(N13848="","",'Master Barang'!B42)</f>
        <v>0</v>
      </c>
      <c r="P13848">
        <f>IF(OR(M13848="",N13848=""),"",SUMIFS('Barang Keluar'!$E:$E,'Barang Keluar'!$A:$A,M13848,'Barang Keluar'!$C:$C,N13848))</f>
        <v>0</v>
      </c>
    </row>
    <row r="13849" spans="13:16">
      <c r="M13849" s="49">
        <f>IF($A$4+138&gt;$B$4,"",$A$4+138)</f>
        <v>46161</v>
      </c>
      <c r="N13849">
        <f>IF(M13849="","",'Master Barang'!A43)</f>
        <v>0</v>
      </c>
      <c r="O13849">
        <f>IF(N13849="","",'Master Barang'!B43)</f>
        <v>0</v>
      </c>
      <c r="P13849">
        <f>IF(OR(M13849="",N13849=""),"",SUMIFS('Barang Keluar'!$E:$E,'Barang Keluar'!$A:$A,M13849,'Barang Keluar'!$C:$C,N13849))</f>
        <v>0</v>
      </c>
    </row>
    <row r="13850" spans="13:16">
      <c r="M13850" s="49">
        <f>IF($A$4+138&gt;$B$4,"",$A$4+138)</f>
        <v>46161</v>
      </c>
      <c r="N13850">
        <f>IF(M13850="","",'Master Barang'!A44)</f>
        <v>0</v>
      </c>
      <c r="O13850">
        <f>IF(N13850="","",'Master Barang'!B44)</f>
        <v>0</v>
      </c>
      <c r="P13850">
        <f>IF(OR(M13850="",N13850=""),"",SUMIFS('Barang Keluar'!$E:$E,'Barang Keluar'!$A:$A,M13850,'Barang Keluar'!$C:$C,N13850))</f>
        <v>0</v>
      </c>
    </row>
    <row r="13851" spans="13:16">
      <c r="M13851" s="49">
        <f>IF($A$4+138&gt;$B$4,"",$A$4+138)</f>
        <v>46161</v>
      </c>
      <c r="N13851">
        <f>IF(M13851="","",'Master Barang'!A45)</f>
        <v>0</v>
      </c>
      <c r="O13851">
        <f>IF(N13851="","",'Master Barang'!B45)</f>
        <v>0</v>
      </c>
      <c r="P13851">
        <f>IF(OR(M13851="",N13851=""),"",SUMIFS('Barang Keluar'!$E:$E,'Barang Keluar'!$A:$A,M13851,'Barang Keluar'!$C:$C,N13851))</f>
        <v>0</v>
      </c>
    </row>
    <row r="13852" spans="13:16">
      <c r="M13852" s="49">
        <f>IF($A$4+138&gt;$B$4,"",$A$4+138)</f>
        <v>46161</v>
      </c>
      <c r="N13852">
        <f>IF(M13852="","",'Master Barang'!A46)</f>
        <v>0</v>
      </c>
      <c r="O13852">
        <f>IF(N13852="","",'Master Barang'!B46)</f>
        <v>0</v>
      </c>
      <c r="P13852">
        <f>IF(OR(M13852="",N13852=""),"",SUMIFS('Barang Keluar'!$E:$E,'Barang Keluar'!$A:$A,M13852,'Barang Keluar'!$C:$C,N13852))</f>
        <v>0</v>
      </c>
    </row>
    <row r="13853" spans="13:16">
      <c r="M13853" s="49">
        <f>IF($A$4+138&gt;$B$4,"",$A$4+138)</f>
        <v>46161</v>
      </c>
      <c r="N13853">
        <f>IF(M13853="","",'Master Barang'!A47)</f>
        <v>0</v>
      </c>
      <c r="O13853">
        <f>IF(N13853="","",'Master Barang'!B47)</f>
        <v>0</v>
      </c>
      <c r="P13853">
        <f>IF(OR(M13853="",N13853=""),"",SUMIFS('Barang Keluar'!$E:$E,'Barang Keluar'!$A:$A,M13853,'Barang Keluar'!$C:$C,N13853))</f>
        <v>0</v>
      </c>
    </row>
    <row r="13854" spans="13:16">
      <c r="M13854" s="49">
        <f>IF($A$4+138&gt;$B$4,"",$A$4+138)</f>
        <v>46161</v>
      </c>
      <c r="N13854">
        <f>IF(M13854="","",'Master Barang'!A48)</f>
        <v>0</v>
      </c>
      <c r="O13854">
        <f>IF(N13854="","",'Master Barang'!B48)</f>
        <v>0</v>
      </c>
      <c r="P13854">
        <f>IF(OR(M13854="",N13854=""),"",SUMIFS('Barang Keluar'!$E:$E,'Barang Keluar'!$A:$A,M13854,'Barang Keluar'!$C:$C,N13854))</f>
        <v>0</v>
      </c>
    </row>
    <row r="13855" spans="13:16">
      <c r="M13855" s="49">
        <f>IF($A$4+138&gt;$B$4,"",$A$4+138)</f>
        <v>46161</v>
      </c>
      <c r="N13855">
        <f>IF(M13855="","",'Master Barang'!A49)</f>
        <v>0</v>
      </c>
      <c r="O13855">
        <f>IF(N13855="","",'Master Barang'!B49)</f>
        <v>0</v>
      </c>
      <c r="P13855">
        <f>IF(OR(M13855="",N13855=""),"",SUMIFS('Barang Keluar'!$E:$E,'Barang Keluar'!$A:$A,M13855,'Barang Keluar'!$C:$C,N13855))</f>
        <v>0</v>
      </c>
    </row>
    <row r="13856" spans="13:16">
      <c r="M13856" s="49">
        <f>IF($A$4+138&gt;$B$4,"",$A$4+138)</f>
        <v>46161</v>
      </c>
      <c r="N13856">
        <f>IF(M13856="","",'Master Barang'!A50)</f>
        <v>0</v>
      </c>
      <c r="O13856">
        <f>IF(N13856="","",'Master Barang'!B50)</f>
        <v>0</v>
      </c>
      <c r="P13856">
        <f>IF(OR(M13856="",N13856=""),"",SUMIFS('Barang Keluar'!$E:$E,'Barang Keluar'!$A:$A,M13856,'Barang Keluar'!$C:$C,N13856))</f>
        <v>0</v>
      </c>
    </row>
    <row r="13857" spans="13:16">
      <c r="M13857" s="49">
        <f>IF($A$4+138&gt;$B$4,"",$A$4+138)</f>
        <v>46161</v>
      </c>
      <c r="N13857">
        <f>IF(M13857="","",'Master Barang'!A51)</f>
        <v>0</v>
      </c>
      <c r="O13857">
        <f>IF(N13857="","",'Master Barang'!B51)</f>
        <v>0</v>
      </c>
      <c r="P13857">
        <f>IF(OR(M13857="",N13857=""),"",SUMIFS('Barang Keluar'!$E:$E,'Barang Keluar'!$A:$A,M13857,'Barang Keluar'!$C:$C,N13857))</f>
        <v>0</v>
      </c>
    </row>
    <row r="13858" spans="13:16">
      <c r="M13858" s="49">
        <f>IF($A$4+138&gt;$B$4,"",$A$4+138)</f>
        <v>46161</v>
      </c>
      <c r="N13858">
        <f>IF(M13858="","",'Master Barang'!A52)</f>
        <v>0</v>
      </c>
      <c r="O13858">
        <f>IF(N13858="","",'Master Barang'!B52)</f>
        <v>0</v>
      </c>
      <c r="P13858">
        <f>IF(OR(M13858="",N13858=""),"",SUMIFS('Barang Keluar'!$E:$E,'Barang Keluar'!$A:$A,M13858,'Barang Keluar'!$C:$C,N13858))</f>
        <v>0</v>
      </c>
    </row>
    <row r="13859" spans="13:16">
      <c r="M13859" s="49">
        <f>IF($A$4+138&gt;$B$4,"",$A$4+138)</f>
        <v>46161</v>
      </c>
      <c r="N13859">
        <f>IF(M13859="","",'Master Barang'!A53)</f>
        <v>0</v>
      </c>
      <c r="O13859">
        <f>IF(N13859="","",'Master Barang'!B53)</f>
        <v>0</v>
      </c>
      <c r="P13859">
        <f>IF(OR(M13859="",N13859=""),"",SUMIFS('Barang Keluar'!$E:$E,'Barang Keluar'!$A:$A,M13859,'Barang Keluar'!$C:$C,N13859))</f>
        <v>0</v>
      </c>
    </row>
    <row r="13860" spans="13:16">
      <c r="M13860" s="49">
        <f>IF($A$4+138&gt;$B$4,"",$A$4+138)</f>
        <v>46161</v>
      </c>
      <c r="N13860">
        <f>IF(M13860="","",'Master Barang'!A54)</f>
        <v>0</v>
      </c>
      <c r="O13860">
        <f>IF(N13860="","",'Master Barang'!B54)</f>
        <v>0</v>
      </c>
      <c r="P13860">
        <f>IF(OR(M13860="",N13860=""),"",SUMIFS('Barang Keluar'!$E:$E,'Barang Keluar'!$A:$A,M13860,'Barang Keluar'!$C:$C,N13860))</f>
        <v>0</v>
      </c>
    </row>
    <row r="13861" spans="13:16">
      <c r="M13861" s="49">
        <f>IF($A$4+138&gt;$B$4,"",$A$4+138)</f>
        <v>46161</v>
      </c>
      <c r="N13861">
        <f>IF(M13861="","",'Master Barang'!A55)</f>
        <v>0</v>
      </c>
      <c r="O13861">
        <f>IF(N13861="","",'Master Barang'!B55)</f>
        <v>0</v>
      </c>
      <c r="P13861">
        <f>IF(OR(M13861="",N13861=""),"",SUMIFS('Barang Keluar'!$E:$E,'Barang Keluar'!$A:$A,M13861,'Barang Keluar'!$C:$C,N13861))</f>
        <v>0</v>
      </c>
    </row>
    <row r="13862" spans="13:16">
      <c r="M13862" s="49">
        <f>IF($A$4+138&gt;$B$4,"",$A$4+138)</f>
        <v>46161</v>
      </c>
      <c r="N13862">
        <f>IF(M13862="","",'Master Barang'!A56)</f>
        <v>0</v>
      </c>
      <c r="O13862">
        <f>IF(N13862="","",'Master Barang'!B56)</f>
        <v>0</v>
      </c>
      <c r="P13862">
        <f>IF(OR(M13862="",N13862=""),"",SUMIFS('Barang Keluar'!$E:$E,'Barang Keluar'!$A:$A,M13862,'Barang Keluar'!$C:$C,N13862))</f>
        <v>0</v>
      </c>
    </row>
    <row r="13863" spans="13:16">
      <c r="M13863" s="49">
        <f>IF($A$4+138&gt;$B$4,"",$A$4+138)</f>
        <v>46161</v>
      </c>
      <c r="N13863">
        <f>IF(M13863="","",'Master Barang'!A57)</f>
        <v>0</v>
      </c>
      <c r="O13863">
        <f>IF(N13863="","",'Master Barang'!B57)</f>
        <v>0</v>
      </c>
      <c r="P13863">
        <f>IF(OR(M13863="",N13863=""),"",SUMIFS('Barang Keluar'!$E:$E,'Barang Keluar'!$A:$A,M13863,'Barang Keluar'!$C:$C,N13863))</f>
        <v>0</v>
      </c>
    </row>
    <row r="13864" spans="13:16">
      <c r="M13864" s="49">
        <f>IF($A$4+138&gt;$B$4,"",$A$4+138)</f>
        <v>46161</v>
      </c>
      <c r="N13864">
        <f>IF(M13864="","",'Master Barang'!A58)</f>
        <v>0</v>
      </c>
      <c r="O13864">
        <f>IF(N13864="","",'Master Barang'!B58)</f>
        <v>0</v>
      </c>
      <c r="P13864">
        <f>IF(OR(M13864="",N13864=""),"",SUMIFS('Barang Keluar'!$E:$E,'Barang Keluar'!$A:$A,M13864,'Barang Keluar'!$C:$C,N13864))</f>
        <v>0</v>
      </c>
    </row>
    <row r="13865" spans="13:16">
      <c r="M13865" s="49">
        <f>IF($A$4+138&gt;$B$4,"",$A$4+138)</f>
        <v>46161</v>
      </c>
      <c r="N13865">
        <f>IF(M13865="","",'Master Barang'!A59)</f>
        <v>0</v>
      </c>
      <c r="O13865">
        <f>IF(N13865="","",'Master Barang'!B59)</f>
        <v>0</v>
      </c>
      <c r="P13865">
        <f>IF(OR(M13865="",N13865=""),"",SUMIFS('Barang Keluar'!$E:$E,'Barang Keluar'!$A:$A,M13865,'Barang Keluar'!$C:$C,N13865))</f>
        <v>0</v>
      </c>
    </row>
    <row r="13866" spans="13:16">
      <c r="M13866" s="49">
        <f>IF($A$4+138&gt;$B$4,"",$A$4+138)</f>
        <v>46161</v>
      </c>
      <c r="N13866">
        <f>IF(M13866="","",'Master Barang'!A60)</f>
        <v>0</v>
      </c>
      <c r="O13866">
        <f>IF(N13866="","",'Master Barang'!B60)</f>
        <v>0</v>
      </c>
      <c r="P13866">
        <f>IF(OR(M13866="",N13866=""),"",SUMIFS('Barang Keluar'!$E:$E,'Barang Keluar'!$A:$A,M13866,'Barang Keluar'!$C:$C,N13866))</f>
        <v>0</v>
      </c>
    </row>
    <row r="13867" spans="13:16">
      <c r="M13867" s="49">
        <f>IF($A$4+138&gt;$B$4,"",$A$4+138)</f>
        <v>46161</v>
      </c>
      <c r="N13867">
        <f>IF(M13867="","",'Master Barang'!A61)</f>
        <v>0</v>
      </c>
      <c r="O13867">
        <f>IF(N13867="","",'Master Barang'!B61)</f>
        <v>0</v>
      </c>
      <c r="P13867">
        <f>IF(OR(M13867="",N13867=""),"",SUMIFS('Barang Keluar'!$E:$E,'Barang Keluar'!$A:$A,M13867,'Barang Keluar'!$C:$C,N13867))</f>
        <v>0</v>
      </c>
    </row>
    <row r="13868" spans="13:16">
      <c r="M13868" s="49">
        <f>IF($A$4+138&gt;$B$4,"",$A$4+138)</f>
        <v>46161</v>
      </c>
      <c r="N13868">
        <f>IF(M13868="","",'Master Barang'!A62)</f>
        <v>0</v>
      </c>
      <c r="O13868">
        <f>IF(N13868="","",'Master Barang'!B62)</f>
        <v>0</v>
      </c>
      <c r="P13868">
        <f>IF(OR(M13868="",N13868=""),"",SUMIFS('Barang Keluar'!$E:$E,'Barang Keluar'!$A:$A,M13868,'Barang Keluar'!$C:$C,N13868))</f>
        <v>0</v>
      </c>
    </row>
    <row r="13869" spans="13:16">
      <c r="M13869" s="49">
        <f>IF($A$4+138&gt;$B$4,"",$A$4+138)</f>
        <v>46161</v>
      </c>
      <c r="N13869">
        <f>IF(M13869="","",'Master Barang'!A63)</f>
        <v>0</v>
      </c>
      <c r="O13869">
        <f>IF(N13869="","",'Master Barang'!B63)</f>
        <v>0</v>
      </c>
      <c r="P13869">
        <f>IF(OR(M13869="",N13869=""),"",SUMIFS('Barang Keluar'!$E:$E,'Barang Keluar'!$A:$A,M13869,'Barang Keluar'!$C:$C,N13869))</f>
        <v>0</v>
      </c>
    </row>
    <row r="13870" spans="13:16">
      <c r="M13870" s="49">
        <f>IF($A$4+138&gt;$B$4,"",$A$4+138)</f>
        <v>46161</v>
      </c>
      <c r="N13870">
        <f>IF(M13870="","",'Master Barang'!A64)</f>
        <v>0</v>
      </c>
      <c r="O13870">
        <f>IF(N13870="","",'Master Barang'!B64)</f>
        <v>0</v>
      </c>
      <c r="P13870">
        <f>IF(OR(M13870="",N13870=""),"",SUMIFS('Barang Keluar'!$E:$E,'Barang Keluar'!$A:$A,M13870,'Barang Keluar'!$C:$C,N13870))</f>
        <v>0</v>
      </c>
    </row>
    <row r="13871" spans="13:16">
      <c r="M13871" s="49">
        <f>IF($A$4+138&gt;$B$4,"",$A$4+138)</f>
        <v>46161</v>
      </c>
      <c r="N13871">
        <f>IF(M13871="","",'Master Barang'!A65)</f>
        <v>0</v>
      </c>
      <c r="O13871">
        <f>IF(N13871="","",'Master Barang'!B65)</f>
        <v>0</v>
      </c>
      <c r="P13871">
        <f>IF(OR(M13871="",N13871=""),"",SUMIFS('Barang Keluar'!$E:$E,'Barang Keluar'!$A:$A,M13871,'Barang Keluar'!$C:$C,N13871))</f>
        <v>0</v>
      </c>
    </row>
    <row r="13872" spans="13:16">
      <c r="M13872" s="49">
        <f>IF($A$4+138&gt;$B$4,"",$A$4+138)</f>
        <v>46161</v>
      </c>
      <c r="N13872">
        <f>IF(M13872="","",'Master Barang'!A66)</f>
        <v>0</v>
      </c>
      <c r="O13872">
        <f>IF(N13872="","",'Master Barang'!B66)</f>
        <v>0</v>
      </c>
      <c r="P13872">
        <f>IF(OR(M13872="",N13872=""),"",SUMIFS('Barang Keluar'!$E:$E,'Barang Keluar'!$A:$A,M13872,'Barang Keluar'!$C:$C,N13872))</f>
        <v>0</v>
      </c>
    </row>
    <row r="13873" spans="13:16">
      <c r="M13873" s="49">
        <f>IF($A$4+138&gt;$B$4,"",$A$4+138)</f>
        <v>46161</v>
      </c>
      <c r="N13873">
        <f>IF(M13873="","",'Master Barang'!A67)</f>
        <v>0</v>
      </c>
      <c r="O13873">
        <f>IF(N13873="","",'Master Barang'!B67)</f>
        <v>0</v>
      </c>
      <c r="P13873">
        <f>IF(OR(M13873="",N13873=""),"",SUMIFS('Barang Keluar'!$E:$E,'Barang Keluar'!$A:$A,M13873,'Barang Keluar'!$C:$C,N13873))</f>
        <v>0</v>
      </c>
    </row>
    <row r="13874" spans="13:16">
      <c r="M13874" s="49">
        <f>IF($A$4+138&gt;$B$4,"",$A$4+138)</f>
        <v>46161</v>
      </c>
      <c r="N13874">
        <f>IF(M13874="","",'Master Barang'!A68)</f>
        <v>0</v>
      </c>
      <c r="O13874">
        <f>IF(N13874="","",'Master Barang'!B68)</f>
        <v>0</v>
      </c>
      <c r="P13874">
        <f>IF(OR(M13874="",N13874=""),"",SUMIFS('Barang Keluar'!$E:$E,'Barang Keluar'!$A:$A,M13874,'Barang Keluar'!$C:$C,N13874))</f>
        <v>0</v>
      </c>
    </row>
    <row r="13875" spans="13:16">
      <c r="M13875" s="49">
        <f>IF($A$4+138&gt;$B$4,"",$A$4+138)</f>
        <v>46161</v>
      </c>
      <c r="N13875">
        <f>IF(M13875="","",'Master Barang'!A69)</f>
        <v>0</v>
      </c>
      <c r="O13875">
        <f>IF(N13875="","",'Master Barang'!B69)</f>
        <v>0</v>
      </c>
      <c r="P13875">
        <f>IF(OR(M13875="",N13875=""),"",SUMIFS('Barang Keluar'!$E:$E,'Barang Keluar'!$A:$A,M13875,'Barang Keluar'!$C:$C,N13875))</f>
        <v>0</v>
      </c>
    </row>
    <row r="13876" spans="13:16">
      <c r="M13876" s="49">
        <f>IF($A$4+138&gt;$B$4,"",$A$4+138)</f>
        <v>46161</v>
      </c>
      <c r="N13876">
        <f>IF(M13876="","",'Master Barang'!A70)</f>
        <v>0</v>
      </c>
      <c r="O13876">
        <f>IF(N13876="","",'Master Barang'!B70)</f>
        <v>0</v>
      </c>
      <c r="P13876">
        <f>IF(OR(M13876="",N13876=""),"",SUMIFS('Barang Keluar'!$E:$E,'Barang Keluar'!$A:$A,M13876,'Barang Keluar'!$C:$C,N13876))</f>
        <v>0</v>
      </c>
    </row>
    <row r="13877" spans="13:16">
      <c r="M13877" s="49">
        <f>IF($A$4+138&gt;$B$4,"",$A$4+138)</f>
        <v>46161</v>
      </c>
      <c r="N13877">
        <f>IF(M13877="","",'Master Barang'!A71)</f>
        <v>0</v>
      </c>
      <c r="O13877">
        <f>IF(N13877="","",'Master Barang'!B71)</f>
        <v>0</v>
      </c>
      <c r="P13877">
        <f>IF(OR(M13877="",N13877=""),"",SUMIFS('Barang Keluar'!$E:$E,'Barang Keluar'!$A:$A,M13877,'Barang Keluar'!$C:$C,N13877))</f>
        <v>0</v>
      </c>
    </row>
    <row r="13878" spans="13:16">
      <c r="M13878" s="49">
        <f>IF($A$4+138&gt;$B$4,"",$A$4+138)</f>
        <v>46161</v>
      </c>
      <c r="N13878">
        <f>IF(M13878="","",'Master Barang'!A72)</f>
        <v>0</v>
      </c>
      <c r="O13878">
        <f>IF(N13878="","",'Master Barang'!B72)</f>
        <v>0</v>
      </c>
      <c r="P13878">
        <f>IF(OR(M13878="",N13878=""),"",SUMIFS('Barang Keluar'!$E:$E,'Barang Keluar'!$A:$A,M13878,'Barang Keluar'!$C:$C,N13878))</f>
        <v>0</v>
      </c>
    </row>
    <row r="13879" spans="13:16">
      <c r="M13879" s="49">
        <f>IF($A$4+138&gt;$B$4,"",$A$4+138)</f>
        <v>46161</v>
      </c>
      <c r="N13879">
        <f>IF(M13879="","",'Master Barang'!A73)</f>
        <v>0</v>
      </c>
      <c r="O13879">
        <f>IF(N13879="","",'Master Barang'!B73)</f>
        <v>0</v>
      </c>
      <c r="P13879">
        <f>IF(OR(M13879="",N13879=""),"",SUMIFS('Barang Keluar'!$E:$E,'Barang Keluar'!$A:$A,M13879,'Barang Keluar'!$C:$C,N13879))</f>
        <v>0</v>
      </c>
    </row>
    <row r="13880" spans="13:16">
      <c r="M13880" s="49">
        <f>IF($A$4+138&gt;$B$4,"",$A$4+138)</f>
        <v>46161</v>
      </c>
      <c r="N13880">
        <f>IF(M13880="","",'Master Barang'!A74)</f>
        <v>0</v>
      </c>
      <c r="O13880">
        <f>IF(N13880="","",'Master Barang'!B74)</f>
        <v>0</v>
      </c>
      <c r="P13880">
        <f>IF(OR(M13880="",N13880=""),"",SUMIFS('Barang Keluar'!$E:$E,'Barang Keluar'!$A:$A,M13880,'Barang Keluar'!$C:$C,N13880))</f>
        <v>0</v>
      </c>
    </row>
    <row r="13881" spans="13:16">
      <c r="M13881" s="49">
        <f>IF($A$4+138&gt;$B$4,"",$A$4+138)</f>
        <v>46161</v>
      </c>
      <c r="N13881">
        <f>IF(M13881="","",'Master Barang'!A75)</f>
        <v>0</v>
      </c>
      <c r="O13881">
        <f>IF(N13881="","",'Master Barang'!B75)</f>
        <v>0</v>
      </c>
      <c r="P13881">
        <f>IF(OR(M13881="",N13881=""),"",SUMIFS('Barang Keluar'!$E:$E,'Barang Keluar'!$A:$A,M13881,'Barang Keluar'!$C:$C,N13881))</f>
        <v>0</v>
      </c>
    </row>
    <row r="13882" spans="13:16">
      <c r="M13882" s="49">
        <f>IF($A$4+138&gt;$B$4,"",$A$4+138)</f>
        <v>46161</v>
      </c>
      <c r="N13882">
        <f>IF(M13882="","",'Master Barang'!A76)</f>
        <v>0</v>
      </c>
      <c r="O13882">
        <f>IF(N13882="","",'Master Barang'!B76)</f>
        <v>0</v>
      </c>
      <c r="P13882">
        <f>IF(OR(M13882="",N13882=""),"",SUMIFS('Barang Keluar'!$E:$E,'Barang Keluar'!$A:$A,M13882,'Barang Keluar'!$C:$C,N13882))</f>
        <v>0</v>
      </c>
    </row>
    <row r="13883" spans="13:16">
      <c r="M13883" s="49">
        <f>IF($A$4+138&gt;$B$4,"",$A$4+138)</f>
        <v>46161</v>
      </c>
      <c r="N13883">
        <f>IF(M13883="","",'Master Barang'!A77)</f>
        <v>0</v>
      </c>
      <c r="O13883">
        <f>IF(N13883="","",'Master Barang'!B77)</f>
        <v>0</v>
      </c>
      <c r="P13883">
        <f>IF(OR(M13883="",N13883=""),"",SUMIFS('Barang Keluar'!$E:$E,'Barang Keluar'!$A:$A,M13883,'Barang Keluar'!$C:$C,N13883))</f>
        <v>0</v>
      </c>
    </row>
    <row r="13884" spans="13:16">
      <c r="M13884" s="49">
        <f>IF($A$4+138&gt;$B$4,"",$A$4+138)</f>
        <v>46161</v>
      </c>
      <c r="N13884">
        <f>IF(M13884="","",'Master Barang'!A78)</f>
        <v>0</v>
      </c>
      <c r="O13884">
        <f>IF(N13884="","",'Master Barang'!B78)</f>
        <v>0</v>
      </c>
      <c r="P13884">
        <f>IF(OR(M13884="",N13884=""),"",SUMIFS('Barang Keluar'!$E:$E,'Barang Keluar'!$A:$A,M13884,'Barang Keluar'!$C:$C,N13884))</f>
        <v>0</v>
      </c>
    </row>
    <row r="13885" spans="13:16">
      <c r="M13885" s="49">
        <f>IF($A$4+138&gt;$B$4,"",$A$4+138)</f>
        <v>46161</v>
      </c>
      <c r="N13885">
        <f>IF(M13885="","",'Master Barang'!A79)</f>
        <v>0</v>
      </c>
      <c r="O13885">
        <f>IF(N13885="","",'Master Barang'!B79)</f>
        <v>0</v>
      </c>
      <c r="P13885">
        <f>IF(OR(M13885="",N13885=""),"",SUMIFS('Barang Keluar'!$E:$E,'Barang Keluar'!$A:$A,M13885,'Barang Keluar'!$C:$C,N13885))</f>
        <v>0</v>
      </c>
    </row>
    <row r="13886" spans="13:16">
      <c r="M13886" s="49">
        <f>IF($A$4+138&gt;$B$4,"",$A$4+138)</f>
        <v>46161</v>
      </c>
      <c r="N13886">
        <f>IF(M13886="","",'Master Barang'!A80)</f>
        <v>0</v>
      </c>
      <c r="O13886">
        <f>IF(N13886="","",'Master Barang'!B80)</f>
        <v>0</v>
      </c>
      <c r="P13886">
        <f>IF(OR(M13886="",N13886=""),"",SUMIFS('Barang Keluar'!$E:$E,'Barang Keluar'!$A:$A,M13886,'Barang Keluar'!$C:$C,N13886))</f>
        <v>0</v>
      </c>
    </row>
    <row r="13887" spans="13:16">
      <c r="M13887" s="49">
        <f>IF($A$4+138&gt;$B$4,"",$A$4+138)</f>
        <v>46161</v>
      </c>
      <c r="N13887">
        <f>IF(M13887="","",'Master Barang'!A81)</f>
        <v>0</v>
      </c>
      <c r="O13887">
        <f>IF(N13887="","",'Master Barang'!B81)</f>
        <v>0</v>
      </c>
      <c r="P13887">
        <f>IF(OR(M13887="",N13887=""),"",SUMIFS('Barang Keluar'!$E:$E,'Barang Keluar'!$A:$A,M13887,'Barang Keluar'!$C:$C,N13887))</f>
        <v>0</v>
      </c>
    </row>
    <row r="13888" spans="13:16">
      <c r="M13888" s="49">
        <f>IF($A$4+138&gt;$B$4,"",$A$4+138)</f>
        <v>46161</v>
      </c>
      <c r="N13888">
        <f>IF(M13888="","",'Master Barang'!A82)</f>
        <v>0</v>
      </c>
      <c r="O13888">
        <f>IF(N13888="","",'Master Barang'!B82)</f>
        <v>0</v>
      </c>
      <c r="P13888">
        <f>IF(OR(M13888="",N13888=""),"",SUMIFS('Barang Keluar'!$E:$E,'Barang Keluar'!$A:$A,M13888,'Barang Keluar'!$C:$C,N13888))</f>
        <v>0</v>
      </c>
    </row>
    <row r="13889" spans="13:16">
      <c r="M13889" s="49">
        <f>IF($A$4+138&gt;$B$4,"",$A$4+138)</f>
        <v>46161</v>
      </c>
      <c r="N13889">
        <f>IF(M13889="","",'Master Barang'!A83)</f>
        <v>0</v>
      </c>
      <c r="O13889">
        <f>IF(N13889="","",'Master Barang'!B83)</f>
        <v>0</v>
      </c>
      <c r="P13889">
        <f>IF(OR(M13889="",N13889=""),"",SUMIFS('Barang Keluar'!$E:$E,'Barang Keluar'!$A:$A,M13889,'Barang Keluar'!$C:$C,N13889))</f>
        <v>0</v>
      </c>
    </row>
    <row r="13890" spans="13:16">
      <c r="M13890" s="49">
        <f>IF($A$4+138&gt;$B$4,"",$A$4+138)</f>
        <v>46161</v>
      </c>
      <c r="N13890">
        <f>IF(M13890="","",'Master Barang'!A84)</f>
        <v>0</v>
      </c>
      <c r="O13890">
        <f>IF(N13890="","",'Master Barang'!B84)</f>
        <v>0</v>
      </c>
      <c r="P13890">
        <f>IF(OR(M13890="",N13890=""),"",SUMIFS('Barang Keluar'!$E:$E,'Barang Keluar'!$A:$A,M13890,'Barang Keluar'!$C:$C,N13890))</f>
        <v>0</v>
      </c>
    </row>
    <row r="13891" spans="13:16">
      <c r="M13891" s="49">
        <f>IF($A$4+138&gt;$B$4,"",$A$4+138)</f>
        <v>46161</v>
      </c>
      <c r="N13891">
        <f>IF(M13891="","",'Master Barang'!A85)</f>
        <v>0</v>
      </c>
      <c r="O13891">
        <f>IF(N13891="","",'Master Barang'!B85)</f>
        <v>0</v>
      </c>
      <c r="P13891">
        <f>IF(OR(M13891="",N13891=""),"",SUMIFS('Barang Keluar'!$E:$E,'Barang Keluar'!$A:$A,M13891,'Barang Keluar'!$C:$C,N13891))</f>
        <v>0</v>
      </c>
    </row>
    <row r="13892" spans="13:16">
      <c r="M13892" s="49">
        <f>IF($A$4+138&gt;$B$4,"",$A$4+138)</f>
        <v>46161</v>
      </c>
      <c r="N13892">
        <f>IF(M13892="","",'Master Barang'!A86)</f>
        <v>0</v>
      </c>
      <c r="O13892">
        <f>IF(N13892="","",'Master Barang'!B86)</f>
        <v>0</v>
      </c>
      <c r="P13892">
        <f>IF(OR(M13892="",N13892=""),"",SUMIFS('Barang Keluar'!$E:$E,'Barang Keluar'!$A:$A,M13892,'Barang Keluar'!$C:$C,N13892))</f>
        <v>0</v>
      </c>
    </row>
    <row r="13893" spans="13:16">
      <c r="M13893" s="49">
        <f>IF($A$4+138&gt;$B$4,"",$A$4+138)</f>
        <v>46161</v>
      </c>
      <c r="N13893">
        <f>IF(M13893="","",'Master Barang'!A87)</f>
        <v>0</v>
      </c>
      <c r="O13893">
        <f>IF(N13893="","",'Master Barang'!B87)</f>
        <v>0</v>
      </c>
      <c r="P13893">
        <f>IF(OR(M13893="",N13893=""),"",SUMIFS('Barang Keluar'!$E:$E,'Barang Keluar'!$A:$A,M13893,'Barang Keluar'!$C:$C,N13893))</f>
        <v>0</v>
      </c>
    </row>
    <row r="13894" spans="13:16">
      <c r="M13894" s="49">
        <f>IF($A$4+138&gt;$B$4,"",$A$4+138)</f>
        <v>46161</v>
      </c>
      <c r="N13894">
        <f>IF(M13894="","",'Master Barang'!A88)</f>
        <v>0</v>
      </c>
      <c r="O13894">
        <f>IF(N13894="","",'Master Barang'!B88)</f>
        <v>0</v>
      </c>
      <c r="P13894">
        <f>IF(OR(M13894="",N13894=""),"",SUMIFS('Barang Keluar'!$E:$E,'Barang Keluar'!$A:$A,M13894,'Barang Keluar'!$C:$C,N13894))</f>
        <v>0</v>
      </c>
    </row>
    <row r="13895" spans="13:16">
      <c r="M13895" s="49">
        <f>IF($A$4+138&gt;$B$4,"",$A$4+138)</f>
        <v>46161</v>
      </c>
      <c r="N13895">
        <f>IF(M13895="","",'Master Barang'!A89)</f>
        <v>0</v>
      </c>
      <c r="O13895">
        <f>IF(N13895="","",'Master Barang'!B89)</f>
        <v>0</v>
      </c>
      <c r="P13895">
        <f>IF(OR(M13895="",N13895=""),"",SUMIFS('Barang Keluar'!$E:$E,'Barang Keluar'!$A:$A,M13895,'Barang Keluar'!$C:$C,N13895))</f>
        <v>0</v>
      </c>
    </row>
    <row r="13896" spans="13:16">
      <c r="M13896" s="49">
        <f>IF($A$4+138&gt;$B$4,"",$A$4+138)</f>
        <v>46161</v>
      </c>
      <c r="N13896">
        <f>IF(M13896="","",'Master Barang'!A90)</f>
        <v>0</v>
      </c>
      <c r="O13896">
        <f>IF(N13896="","",'Master Barang'!B90)</f>
        <v>0</v>
      </c>
      <c r="P13896">
        <f>IF(OR(M13896="",N13896=""),"",SUMIFS('Barang Keluar'!$E:$E,'Barang Keluar'!$A:$A,M13896,'Barang Keluar'!$C:$C,N13896))</f>
        <v>0</v>
      </c>
    </row>
    <row r="13897" spans="13:16">
      <c r="M13897" s="49">
        <f>IF($A$4+138&gt;$B$4,"",$A$4+138)</f>
        <v>46161</v>
      </c>
      <c r="N13897">
        <f>IF(M13897="","",'Master Barang'!A91)</f>
        <v>0</v>
      </c>
      <c r="O13897">
        <f>IF(N13897="","",'Master Barang'!B91)</f>
        <v>0</v>
      </c>
      <c r="P13897">
        <f>IF(OR(M13897="",N13897=""),"",SUMIFS('Barang Keluar'!$E:$E,'Barang Keluar'!$A:$A,M13897,'Barang Keluar'!$C:$C,N13897))</f>
        <v>0</v>
      </c>
    </row>
    <row r="13898" spans="13:16">
      <c r="M13898" s="49">
        <f>IF($A$4+138&gt;$B$4,"",$A$4+138)</f>
        <v>46161</v>
      </c>
      <c r="N13898">
        <f>IF(M13898="","",'Master Barang'!A92)</f>
        <v>0</v>
      </c>
      <c r="O13898">
        <f>IF(N13898="","",'Master Barang'!B92)</f>
        <v>0</v>
      </c>
      <c r="P13898">
        <f>IF(OR(M13898="",N13898=""),"",SUMIFS('Barang Keluar'!$E:$E,'Barang Keluar'!$A:$A,M13898,'Barang Keluar'!$C:$C,N13898))</f>
        <v>0</v>
      </c>
    </row>
    <row r="13899" spans="13:16">
      <c r="M13899" s="49">
        <f>IF($A$4+138&gt;$B$4,"",$A$4+138)</f>
        <v>46161</v>
      </c>
      <c r="N13899">
        <f>IF(M13899="","",'Master Barang'!A93)</f>
        <v>0</v>
      </c>
      <c r="O13899">
        <f>IF(N13899="","",'Master Barang'!B93)</f>
        <v>0</v>
      </c>
      <c r="P13899">
        <f>IF(OR(M13899="",N13899=""),"",SUMIFS('Barang Keluar'!$E:$E,'Barang Keluar'!$A:$A,M13899,'Barang Keluar'!$C:$C,N13899))</f>
        <v>0</v>
      </c>
    </row>
    <row r="13900" spans="13:16">
      <c r="M13900" s="49">
        <f>IF($A$4+138&gt;$B$4,"",$A$4+138)</f>
        <v>46161</v>
      </c>
      <c r="N13900">
        <f>IF(M13900="","",'Master Barang'!A94)</f>
        <v>0</v>
      </c>
      <c r="O13900">
        <f>IF(N13900="","",'Master Barang'!B94)</f>
        <v>0</v>
      </c>
      <c r="P13900">
        <f>IF(OR(M13900="",N13900=""),"",SUMIFS('Barang Keluar'!$E:$E,'Barang Keluar'!$A:$A,M13900,'Barang Keluar'!$C:$C,N13900))</f>
        <v>0</v>
      </c>
    </row>
    <row r="13901" spans="13:16">
      <c r="M13901" s="49">
        <f>IF($A$4+138&gt;$B$4,"",$A$4+138)</f>
        <v>46161</v>
      </c>
      <c r="N13901">
        <f>IF(M13901="","",'Master Barang'!A95)</f>
        <v>0</v>
      </c>
      <c r="O13901">
        <f>IF(N13901="","",'Master Barang'!B95)</f>
        <v>0</v>
      </c>
      <c r="P13901">
        <f>IF(OR(M13901="",N13901=""),"",SUMIFS('Barang Keluar'!$E:$E,'Barang Keluar'!$A:$A,M13901,'Barang Keluar'!$C:$C,N13901))</f>
        <v>0</v>
      </c>
    </row>
    <row r="13902" spans="13:16">
      <c r="M13902" s="49">
        <f>IF($A$4+138&gt;$B$4,"",$A$4+138)</f>
        <v>46161</v>
      </c>
      <c r="N13902">
        <f>IF(M13902="","",'Master Barang'!A96)</f>
        <v>0</v>
      </c>
      <c r="O13902">
        <f>IF(N13902="","",'Master Barang'!B96)</f>
        <v>0</v>
      </c>
      <c r="P13902">
        <f>IF(OR(M13902="",N13902=""),"",SUMIFS('Barang Keluar'!$E:$E,'Barang Keluar'!$A:$A,M13902,'Barang Keluar'!$C:$C,N13902))</f>
        <v>0</v>
      </c>
    </row>
    <row r="13903" spans="13:16">
      <c r="M13903" s="49">
        <f>IF($A$4+138&gt;$B$4,"",$A$4+138)</f>
        <v>46161</v>
      </c>
      <c r="N13903">
        <f>IF(M13903="","",'Master Barang'!A97)</f>
        <v>0</v>
      </c>
      <c r="O13903">
        <f>IF(N13903="","",'Master Barang'!B97)</f>
        <v>0</v>
      </c>
      <c r="P13903">
        <f>IF(OR(M13903="",N13903=""),"",SUMIFS('Barang Keluar'!$E:$E,'Barang Keluar'!$A:$A,M13903,'Barang Keluar'!$C:$C,N13903))</f>
        <v>0</v>
      </c>
    </row>
    <row r="13904" spans="13:16">
      <c r="M13904" s="49">
        <f>IF($A$4+138&gt;$B$4,"",$A$4+138)</f>
        <v>46161</v>
      </c>
      <c r="N13904">
        <f>IF(M13904="","",'Master Barang'!A98)</f>
        <v>0</v>
      </c>
      <c r="O13904">
        <f>IF(N13904="","",'Master Barang'!B98)</f>
        <v>0</v>
      </c>
      <c r="P13904">
        <f>IF(OR(M13904="",N13904=""),"",SUMIFS('Barang Keluar'!$E:$E,'Barang Keluar'!$A:$A,M13904,'Barang Keluar'!$C:$C,N13904))</f>
        <v>0</v>
      </c>
    </row>
    <row r="13905" spans="13:16">
      <c r="M13905" s="49">
        <f>IF($A$4+138&gt;$B$4,"",$A$4+138)</f>
        <v>46161</v>
      </c>
      <c r="N13905">
        <f>IF(M13905="","",'Master Barang'!A99)</f>
        <v>0</v>
      </c>
      <c r="O13905">
        <f>IF(N13905="","",'Master Barang'!B99)</f>
        <v>0</v>
      </c>
      <c r="P13905">
        <f>IF(OR(M13905="",N13905=""),"",SUMIFS('Barang Keluar'!$E:$E,'Barang Keluar'!$A:$A,M13905,'Barang Keluar'!$C:$C,N13905))</f>
        <v>0</v>
      </c>
    </row>
    <row r="13906" spans="13:16">
      <c r="M13906" s="49">
        <f>IF($A$4+138&gt;$B$4,"",$A$4+138)</f>
        <v>46161</v>
      </c>
      <c r="N13906">
        <f>IF(M13906="","",'Master Barang'!A100)</f>
        <v>0</v>
      </c>
      <c r="O13906">
        <f>IF(N13906="","",'Master Barang'!B100)</f>
        <v>0</v>
      </c>
      <c r="P13906">
        <f>IF(OR(M13906="",N13906=""),"",SUMIFS('Barang Keluar'!$E:$E,'Barang Keluar'!$A:$A,M13906,'Barang Keluar'!$C:$C,N13906))</f>
        <v>0</v>
      </c>
    </row>
    <row r="13907" spans="13:16">
      <c r="M13907" s="49">
        <f>IF($A$4+138&gt;$B$4,"",$A$4+138)</f>
        <v>46161</v>
      </c>
      <c r="N13907">
        <f>IF(M13907="","",'Master Barang'!A101)</f>
        <v>0</v>
      </c>
      <c r="O13907">
        <f>IF(N13907="","",'Master Barang'!B101)</f>
        <v>0</v>
      </c>
      <c r="P13907">
        <f>IF(OR(M13907="",N13907=""),"",SUMIFS('Barang Keluar'!$E:$E,'Barang Keluar'!$A:$A,M13907,'Barang Keluar'!$C:$C,N13907))</f>
        <v>0</v>
      </c>
    </row>
    <row r="13908" spans="13:16">
      <c r="M13908" s="49">
        <f>IF($A$4+139&gt;$B$4,"",$A$4+139)</f>
        <v>46162</v>
      </c>
      <c r="N13908" t="str">
        <f>IF(M13908="","",'Master Barang'!A2)</f>
        <v>PRL-001</v>
      </c>
      <c r="O13908" t="str">
        <f>IF(N13908="","",'Master Barang'!B2)</f>
        <v>natura desinfectant food grade 5l</v>
      </c>
      <c r="P13908">
        <f>IF(OR(M13908="",N13908=""),"",SUMIFS('Barang Keluar'!$E:$E,'Barang Keluar'!$A:$A,M13908,'Barang Keluar'!$C:$C,N13908))</f>
        <v>0</v>
      </c>
    </row>
    <row r="13909" spans="13:16">
      <c r="M13909" s="49">
        <f>IF($A$4+139&gt;$B$4,"",$A$4+139)</f>
        <v>46162</v>
      </c>
      <c r="N13909" t="str">
        <f>IF(M13909="","",'Master Barang'!A3)</f>
        <v>PRL-002</v>
      </c>
      <c r="O13909" t="str">
        <f>IF(N13909="","",'Master Barang'!B3)</f>
        <v>sunlight cairan pencuci piring 5l</v>
      </c>
      <c r="P13909">
        <f>IF(OR(M13909="",N13909=""),"",SUMIFS('Barang Keluar'!$E:$E,'Barang Keluar'!$A:$A,M13909,'Barang Keluar'!$C:$C,N13909))</f>
        <v>0</v>
      </c>
    </row>
    <row r="13910" spans="13:16">
      <c r="M13910" s="49">
        <f>IF($A$4+139&gt;$B$4,"",$A$4+139)</f>
        <v>46162</v>
      </c>
      <c r="N13910" t="str">
        <f>IF(M13910="","",'Master Barang'!A4)</f>
        <v>PRL-003</v>
      </c>
      <c r="O13910" t="str">
        <f>IF(N13910="","",'Master Barang'!B4)</f>
        <v>oixs cleaner 1l</v>
      </c>
      <c r="P13910">
        <f>IF(OR(M13910="",N13910=""),"",SUMIFS('Barang Keluar'!$E:$E,'Barang Keluar'!$A:$A,M13910,'Barang Keluar'!$C:$C,N13910))</f>
        <v>0</v>
      </c>
    </row>
    <row r="13911" spans="13:16">
      <c r="M13911" s="49">
        <f>IF($A$4+139&gt;$B$4,"",$A$4+139)</f>
        <v>46162</v>
      </c>
      <c r="N13911" t="str">
        <f>IF(M13911="","",'Master Barang'!A5)</f>
        <v>PRL-004</v>
      </c>
      <c r="O13911" t="str">
        <f>IF(N13911="","",'Master Barang'!B5)</f>
        <v>be clean tissue serbaguna</v>
      </c>
      <c r="P13911">
        <f>IF(OR(M13911="",N13911=""),"",SUMIFS('Barang Keluar'!$E:$E,'Barang Keluar'!$A:$A,M13911,'Barang Keluar'!$C:$C,N13911))</f>
        <v>0</v>
      </c>
    </row>
    <row r="13912" spans="13:16">
      <c r="M13912" s="49">
        <f>IF($A$4+139&gt;$B$4,"",$A$4+139)</f>
        <v>46162</v>
      </c>
      <c r="N13912" t="str">
        <f>IF(M13912="","",'Master Barang'!A6)</f>
        <v>PRL-005</v>
      </c>
      <c r="O13912" t="str">
        <f>IF(N13912="","",'Master Barang'!B6)</f>
        <v>spons cuci hijau</v>
      </c>
      <c r="P13912">
        <f>IF(OR(M13912="",N13912=""),"",SUMIFS('Barang Keluar'!$E:$E,'Barang Keluar'!$A:$A,M13912,'Barang Keluar'!$C:$C,N13912))</f>
        <v>0</v>
      </c>
    </row>
    <row r="13913" spans="13:16">
      <c r="M13913" s="49">
        <f>IF($A$4+139&gt;$B$4,"",$A$4+139)</f>
        <v>46162</v>
      </c>
      <c r="N13913" t="str">
        <f>IF(M13913="","",'Master Barang'!A7)</f>
        <v>PRL-006</v>
      </c>
      <c r="O13913" t="str">
        <f>IF(N13913="","",'Master Barang'!B7)</f>
        <v>sabut cuci stainless</v>
      </c>
      <c r="P13913">
        <f>IF(OR(M13913="",N13913=""),"",SUMIFS('Barang Keluar'!$E:$E,'Barang Keluar'!$A:$A,M13913,'Barang Keluar'!$C:$C,N13913))</f>
        <v>0</v>
      </c>
    </row>
    <row r="13914" spans="13:16">
      <c r="M13914" s="49">
        <f>IF($A$4+139&gt;$B$4,"",$A$4+139)</f>
        <v>46162</v>
      </c>
      <c r="N13914" t="str">
        <f>IF(M13914="","",'Master Barang'!A8)</f>
        <v>PRL-007</v>
      </c>
      <c r="O13914" t="str">
        <f>IF(N13914="","",'Master Barang'!B8)</f>
        <v>plastik kresek besar merah 50pc</v>
      </c>
      <c r="P13914">
        <f>IF(OR(M13914="",N13914=""),"",SUMIFS('Barang Keluar'!$E:$E,'Barang Keluar'!$A:$A,M13914,'Barang Keluar'!$C:$C,N13914))</f>
        <v>0</v>
      </c>
    </row>
    <row r="13915" spans="13:16">
      <c r="M13915" s="49">
        <f>IF($A$4+139&gt;$B$4,"",$A$4+139)</f>
        <v>46162</v>
      </c>
      <c r="N13915" t="str">
        <f>IF(M13915="","",'Master Barang'!A9)</f>
        <v>PRL-008</v>
      </c>
      <c r="O13915" t="str">
        <f>IF(N13915="","",'Master Barang'!B9)</f>
        <v>lap besar</v>
      </c>
      <c r="P13915">
        <f>IF(OR(M13915="",N13915=""),"",SUMIFS('Barang Keluar'!$E:$E,'Barang Keluar'!$A:$A,M13915,'Barang Keluar'!$C:$C,N13915))</f>
        <v>0</v>
      </c>
    </row>
    <row r="13916" spans="13:16">
      <c r="M13916" s="49">
        <f>IF($A$4+139&gt;$B$4,"",$A$4+139)</f>
        <v>46162</v>
      </c>
      <c r="N13916" t="str">
        <f>IF(M13916="","",'Master Barang'!A10)</f>
        <v>PRL-009</v>
      </c>
      <c r="O13916" t="str">
        <f>IF(N13916="","",'Master Barang'!B10)</f>
        <v>lap microfiber</v>
      </c>
      <c r="P13916">
        <f>IF(OR(M13916="",N13916=""),"",SUMIFS('Barang Keluar'!$E:$E,'Barang Keluar'!$A:$A,M13916,'Barang Keluar'!$C:$C,N13916))</f>
        <v>0</v>
      </c>
    </row>
    <row r="13917" spans="13:16">
      <c r="M13917" s="49">
        <f>IF($A$4+139&gt;$B$4,"",$A$4+139)</f>
        <v>46162</v>
      </c>
      <c r="N13917" t="str">
        <f>IF(M13917="","",'Master Barang'!A11)</f>
        <v>PRL-010</v>
      </c>
      <c r="O13917" t="str">
        <f>IF(N13917="","",'Master Barang'!B11)</f>
        <v>lap kecil</v>
      </c>
      <c r="P13917">
        <f>IF(OR(M13917="",N13917=""),"",SUMIFS('Barang Keluar'!$E:$E,'Barang Keluar'!$A:$A,M13917,'Barang Keluar'!$C:$C,N13917))</f>
        <v>0</v>
      </c>
    </row>
    <row r="13918" spans="13:16">
      <c r="M13918" s="49">
        <f>IF($A$4+139&gt;$B$4,"",$A$4+139)</f>
        <v>46162</v>
      </c>
      <c r="N13918" t="str">
        <f>IF(M13918="","",'Master Barang'!A12)</f>
        <v>PRL-011</v>
      </c>
      <c r="O13918" t="str">
        <f>IF(N13918="","",'Master Barang'!B12)</f>
        <v>kanebo kecil</v>
      </c>
      <c r="P13918">
        <f>IF(OR(M13918="",N13918=""),"",SUMIFS('Barang Keluar'!$E:$E,'Barang Keluar'!$A:$A,M13918,'Barang Keluar'!$C:$C,N13918))</f>
        <v>0</v>
      </c>
    </row>
    <row r="13919" spans="13:16">
      <c r="M13919" s="49">
        <f>IF($A$4+139&gt;$B$4,"",$A$4+139)</f>
        <v>46162</v>
      </c>
      <c r="N13919" t="str">
        <f>IF(M13919="","",'Master Barang'!A13)</f>
        <v>PRL-012</v>
      </c>
      <c r="O13919" t="str">
        <f>IF(N13919="","",'Master Barang'!B13)</f>
        <v>plastik 1/4kg joyoboyo 100 lembar</v>
      </c>
      <c r="P13919">
        <f>IF(OR(M13919="",N13919=""),"",SUMIFS('Barang Keluar'!$E:$E,'Barang Keluar'!$A:$A,M13919,'Barang Keluar'!$C:$C,N13919))</f>
        <v>0</v>
      </c>
    </row>
    <row r="13920" spans="13:16">
      <c r="M13920" s="49">
        <f>IF($A$4+139&gt;$B$4,"",$A$4+139)</f>
        <v>46162</v>
      </c>
      <c r="N13920" t="str">
        <f>IF(M13920="","",'Master Barang'!A14)</f>
        <v>PRL-013</v>
      </c>
      <c r="O13920" t="str">
        <f>IF(N13920="","",'Master Barang'!B14)</f>
        <v>sarung tangan plastik kaka 100 pcs</v>
      </c>
      <c r="P13920">
        <f>IF(OR(M13920="",N13920=""),"",SUMIFS('Barang Keluar'!$E:$E,'Barang Keluar'!$A:$A,M13920,'Barang Keluar'!$C:$C,N13920))</f>
        <v>0</v>
      </c>
    </row>
    <row r="13921" spans="13:16">
      <c r="M13921" s="49">
        <f>IF($A$4+139&gt;$B$4,"",$A$4+139)</f>
        <v>46162</v>
      </c>
      <c r="N13921" t="str">
        <f>IF(M13921="","",'Master Barang'!A15)</f>
        <v>PRL-014</v>
      </c>
      <c r="O13921" t="str">
        <f>IF(N13921="","",'Master Barang'!B15)</f>
        <v>optima trashbag 80x100</v>
      </c>
      <c r="P13921">
        <f>IF(OR(M13921="",N13921=""),"",SUMIFS('Barang Keluar'!$E:$E,'Barang Keluar'!$A:$A,M13921,'Barang Keluar'!$C:$C,N13921))</f>
        <v>0</v>
      </c>
    </row>
    <row r="13922" spans="13:16">
      <c r="M13922" s="49">
        <f>IF($A$4+139&gt;$B$4,"",$A$4+139)</f>
        <v>46162</v>
      </c>
      <c r="N13922" t="str">
        <f>IF(M13922="","",'Master Barang'!A16)</f>
        <v>PRL-015</v>
      </c>
      <c r="O13922" t="str">
        <f>IF(N13922="","",'Master Barang'!B16)</f>
        <v>optima trashbag 60x100</v>
      </c>
      <c r="P13922">
        <f>IF(OR(M13922="",N13922=""),"",SUMIFS('Barang Keluar'!$E:$E,'Barang Keluar'!$A:$A,M13922,'Barang Keluar'!$C:$C,N13922))</f>
        <v>0</v>
      </c>
    </row>
    <row r="13923" spans="13:16">
      <c r="M13923" s="49">
        <f>IF($A$4+139&gt;$B$4,"",$A$4+139)</f>
        <v>46162</v>
      </c>
      <c r="N13923" t="str">
        <f>IF(M13923="","",'Master Barang'!A17)</f>
        <v>PRL-016</v>
      </c>
      <c r="O13923" t="str">
        <f>IF(N13923="","",'Master Barang'!B17)</f>
        <v>rajawali trashbag 30x40</v>
      </c>
      <c r="P13923">
        <f>IF(OR(M13923="",N13923=""),"",SUMIFS('Barang Keluar'!$E:$E,'Barang Keluar'!$A:$A,M13923,'Barang Keluar'!$C:$C,N13923))</f>
        <v>0</v>
      </c>
    </row>
    <row r="13924" spans="13:16">
      <c r="M13924" s="49">
        <f>IF($A$4+139&gt;$B$4,"",$A$4+139)</f>
        <v>46162</v>
      </c>
      <c r="N13924" t="str">
        <f>IF(M13924="","",'Master Barang'!A18)</f>
        <v>PRL-017</v>
      </c>
      <c r="O13924" t="str">
        <f>IF(N13924="","",'Master Barang'!B18)</f>
        <v>onemed masker biru 3 play 50 pcs</v>
      </c>
      <c r="P13924">
        <f>IF(OR(M13924="",N13924=""),"",SUMIFS('Barang Keluar'!$E:$E,'Barang Keluar'!$A:$A,M13924,'Barang Keluar'!$C:$C,N13924))</f>
        <v>0</v>
      </c>
    </row>
    <row r="13925" spans="13:16">
      <c r="M13925" s="49">
        <f>IF($A$4+139&gt;$B$4,"",$A$4+139)</f>
        <v>46162</v>
      </c>
      <c r="N13925" t="str">
        <f>IF(M13925="","",'Master Barang'!A19)</f>
        <v>PRL-018</v>
      </c>
      <c r="O13925" t="str">
        <f>IF(N13925="","",'Master Barang'!B19)</f>
        <v>onemed masker biru 3 play hijab 50 pcs</v>
      </c>
      <c r="P13925">
        <f>IF(OR(M13925="",N13925=""),"",SUMIFS('Barang Keluar'!$E:$E,'Barang Keluar'!$A:$A,M13925,'Barang Keluar'!$C:$C,N13925))</f>
        <v>0</v>
      </c>
    </row>
    <row r="13926" spans="13:16">
      <c r="M13926" s="49">
        <f>IF($A$4+139&gt;$B$4,"",$A$4+139)</f>
        <v>46162</v>
      </c>
      <c r="N13926" t="str">
        <f>IF(M13926="","",'Master Barang'!A20)</f>
        <v>PRL-019</v>
      </c>
      <c r="O13926" t="str">
        <f>IF(N13926="","",'Master Barang'!B20)</f>
        <v>neo health masker biru 3 play 50 pcs</v>
      </c>
      <c r="P13926">
        <f>IF(OR(M13926="",N13926=""),"",SUMIFS('Barang Keluar'!$E:$E,'Barang Keluar'!$A:$A,M13926,'Barang Keluar'!$C:$C,N13926))</f>
        <v>0</v>
      </c>
    </row>
    <row r="13927" spans="13:16">
      <c r="M13927" s="49">
        <f>IF($A$4+139&gt;$B$4,"",$A$4+139)</f>
        <v>46162</v>
      </c>
      <c r="N13927" t="str">
        <f>IF(M13927="","",'Master Barang'!A21)</f>
        <v>PRL-020</v>
      </c>
      <c r="O13927" t="str">
        <f>IF(N13927="","",'Master Barang'!B21)</f>
        <v>baymed masker hijau 3 play hijau 50 pcs</v>
      </c>
      <c r="P13927">
        <f>IF(OR(M13927="",N13927=""),"",SUMIFS('Barang Keluar'!$E:$E,'Barang Keluar'!$A:$A,M13927,'Barang Keluar'!$C:$C,N13927))</f>
        <v>0</v>
      </c>
    </row>
    <row r="13928" spans="13:16">
      <c r="M13928" s="49">
        <f>IF($A$4+139&gt;$B$4,"",$A$4+139)</f>
        <v>46162</v>
      </c>
      <c r="N13928" t="str">
        <f>IF(M13928="","",'Master Barang'!A22)</f>
        <v>PRL-021</v>
      </c>
      <c r="O13928" t="str">
        <f>IF(N13928="","",'Master Barang'!B22)</f>
        <v>altamed nurse cap penutup kepala 100 pcs</v>
      </c>
      <c r="P13928">
        <f>IF(OR(M13928="",N13928=""),"",SUMIFS('Barang Keluar'!$E:$E,'Barang Keluar'!$A:$A,M13928,'Barang Keluar'!$C:$C,N13928))</f>
        <v>0</v>
      </c>
    </row>
    <row r="13929" spans="13:16">
      <c r="M13929" s="49">
        <f>IF($A$4+139&gt;$B$4,"",$A$4+139)</f>
        <v>46162</v>
      </c>
      <c r="N13929" t="str">
        <f>IF(M13929="","",'Master Barang'!A23)</f>
        <v>PRL-022</v>
      </c>
      <c r="O13929" t="str">
        <f>IF(N13929="","",'Master Barang'!B23)</f>
        <v>sabun cuci tangan</v>
      </c>
      <c r="P13929">
        <f>IF(OR(M13929="",N13929=""),"",SUMIFS('Barang Keluar'!$E:$E,'Barang Keluar'!$A:$A,M13929,'Barang Keluar'!$C:$C,N13929))</f>
        <v>0</v>
      </c>
    </row>
    <row r="13930" spans="13:16">
      <c r="M13930" s="49">
        <f>IF($A$4+139&gt;$B$4,"",$A$4+139)</f>
        <v>46162</v>
      </c>
      <c r="N13930" t="str">
        <f>IF(M13930="","",'Master Barang'!A24)</f>
        <v>PRL-023</v>
      </c>
      <c r="O13930" t="str">
        <f>IF(N13930="","",'Master Barang'!B24)</f>
        <v>gayung kecil</v>
      </c>
      <c r="P13930">
        <f>IF(OR(M13930="",N13930=""),"",SUMIFS('Barang Keluar'!$E:$E,'Barang Keluar'!$A:$A,M13930,'Barang Keluar'!$C:$C,N13930))</f>
        <v>0</v>
      </c>
    </row>
    <row r="13931" spans="13:16">
      <c r="M13931" s="49">
        <f>IF($A$4+139&gt;$B$4,"",$A$4+139)</f>
        <v>46162</v>
      </c>
      <c r="N13931" t="str">
        <f>IF(M13931="","",'Master Barang'!A25)</f>
        <v>PRL-024</v>
      </c>
      <c r="O13931" t="str">
        <f>IF(N13931="","",'Master Barang'!B25)</f>
        <v>cikrak kecil</v>
      </c>
      <c r="P13931">
        <f>IF(OR(M13931="",N13931=""),"",SUMIFS('Barang Keluar'!$E:$E,'Barang Keluar'!$A:$A,M13931,'Barang Keluar'!$C:$C,N13931))</f>
        <v>0</v>
      </c>
    </row>
    <row r="13932" spans="13:16">
      <c r="M13932" s="49">
        <f>IF($A$4+139&gt;$B$4,"",$A$4+139)</f>
        <v>46162</v>
      </c>
      <c r="N13932" t="str">
        <f>IF(M13932="","",'Master Barang'!A26)</f>
        <v>PRL-025</v>
      </c>
      <c r="O13932" t="str">
        <f>IF(N13932="","",'Master Barang'!B26)</f>
        <v>petromax plastik kecil 12x24 100 lembar</v>
      </c>
      <c r="P13932">
        <f>IF(OR(M13932="",N13932=""),"",SUMIFS('Barang Keluar'!$E:$E,'Barang Keluar'!$A:$A,M13932,'Barang Keluar'!$C:$C,N13932))</f>
        <v>0</v>
      </c>
    </row>
    <row r="13933" spans="13:16">
      <c r="M13933" s="49">
        <f>IF($A$4+139&gt;$B$4,"",$A$4+139)</f>
        <v>46162</v>
      </c>
      <c r="N13933" t="str">
        <f>IF(M13933="","",'Master Barang'!A27)</f>
        <v>PRL-026</v>
      </c>
      <c r="O13933" t="str">
        <f>IF(N13933="","",'Master Barang'!B27)</f>
        <v>lancar kresek kecil bening </v>
      </c>
      <c r="P13933">
        <f>IF(OR(M13933="",N13933=""),"",SUMIFS('Barang Keluar'!$E:$E,'Barang Keluar'!$A:$A,M13933,'Barang Keluar'!$C:$C,N13933))</f>
        <v>0</v>
      </c>
    </row>
    <row r="13934" spans="13:16">
      <c r="M13934" s="49">
        <f>IF($A$4+139&gt;$B$4,"",$A$4+139)</f>
        <v>46162</v>
      </c>
      <c r="N13934" t="str">
        <f>IF(M13934="","",'Master Barang'!A28)</f>
        <v>PRL-027</v>
      </c>
      <c r="O13934" t="str">
        <f>IF(N13934="","",'Master Barang'!B28)</f>
        <v>kresek klin warna warni kecil</v>
      </c>
      <c r="P13934">
        <f>IF(OR(M13934="",N13934=""),"",SUMIFS('Barang Keluar'!$E:$E,'Barang Keluar'!$A:$A,M13934,'Barang Keluar'!$C:$C,N13934))</f>
        <v>0</v>
      </c>
    </row>
    <row r="13935" spans="13:16">
      <c r="M13935" s="49">
        <f>IF($A$4+139&gt;$B$4,"",$A$4+139)</f>
        <v>46162</v>
      </c>
      <c r="N13935" t="str">
        <f>IF(M13935="","",'Master Barang'!A29)</f>
        <v>PRL-028</v>
      </c>
      <c r="O13935" t="str">
        <f>IF(N13935="","",'Master Barang'!B29)</f>
        <v>ctik plastik 7x10 100 pcs</v>
      </c>
      <c r="P13935">
        <f>IF(OR(M13935="",N13935=""),"",SUMIFS('Barang Keluar'!$E:$E,'Barang Keluar'!$A:$A,M13935,'Barang Keluar'!$C:$C,N13935))</f>
        <v>0</v>
      </c>
    </row>
    <row r="13936" spans="13:16">
      <c r="M13936" s="49">
        <f>IF($A$4+139&gt;$B$4,"",$A$4+139)</f>
        <v>46162</v>
      </c>
      <c r="N13936" t="str">
        <f>IF(M13936="","",'Master Barang'!A30)</f>
        <v>PRL-029</v>
      </c>
      <c r="O13936" t="str">
        <f>IF(N13936="","",'Master Barang'!B30)</f>
        <v>ctik plastik 6x10 100 pcs</v>
      </c>
      <c r="P13936">
        <f>IF(OR(M13936="",N13936=""),"",SUMIFS('Barang Keluar'!$E:$E,'Barang Keluar'!$A:$A,M13936,'Barang Keluar'!$C:$C,N13936))</f>
        <v>0</v>
      </c>
    </row>
    <row r="13937" spans="13:16">
      <c r="M13937" s="49">
        <f>IF($A$4+139&gt;$B$4,"",$A$4+139)</f>
        <v>46162</v>
      </c>
      <c r="N13937" t="str">
        <f>IF(M13937="","",'Master Barang'!A31)</f>
        <v>PRL-030</v>
      </c>
      <c r="O13937" t="str">
        <f>IF(N13937="","",'Master Barang'!B31)</f>
        <v>klip plastik 25x16 100 pcs</v>
      </c>
      <c r="P13937">
        <f>IF(OR(M13937="",N13937=""),"",SUMIFS('Barang Keluar'!$E:$E,'Barang Keluar'!$A:$A,M13937,'Barang Keluar'!$C:$C,N13937))</f>
        <v>0</v>
      </c>
    </row>
    <row r="13938" spans="13:16">
      <c r="M13938" s="49">
        <f>IF($A$4+139&gt;$B$4,"",$A$4+139)</f>
        <v>46162</v>
      </c>
      <c r="N13938" t="str">
        <f>IF(M13938="","",'Master Barang'!A32)</f>
        <v>PRL-031</v>
      </c>
      <c r="O13938" t="str">
        <f>IF(N13938="","",'Master Barang'!B32)</f>
        <v>tempat saus 20 ml</v>
      </c>
      <c r="P13938">
        <f>IF(OR(M13938="",N13938=""),"",SUMIFS('Barang Keluar'!$E:$E,'Barang Keluar'!$A:$A,M13938,'Barang Keluar'!$C:$C,N13938))</f>
        <v>0</v>
      </c>
    </row>
    <row r="13939" spans="13:16">
      <c r="M13939" s="49">
        <f>IF($A$4+139&gt;$B$4,"",$A$4+139)</f>
        <v>46162</v>
      </c>
      <c r="N13939" t="str">
        <f>IF(M13939="","",'Master Barang'!A33)</f>
        <v>PRL-032</v>
      </c>
      <c r="O13939" t="str">
        <f>IF(N13939="","",'Master Barang'!B33)</f>
        <v>plastik packaging ag box uk sedang</v>
      </c>
      <c r="P13939">
        <f>IF(OR(M13939="",N13939=""),"",SUMIFS('Barang Keluar'!$E:$E,'Barang Keluar'!$A:$A,M13939,'Barang Keluar'!$C:$C,N13939))</f>
        <v>0</v>
      </c>
    </row>
    <row r="13940" spans="13:16">
      <c r="M13940" s="49">
        <f>IF($A$4+139&gt;$B$4,"",$A$4+139)</f>
        <v>46162</v>
      </c>
      <c r="N13940" t="str">
        <f>IF(M13940="","",'Master Barang'!A34)</f>
        <v>PRL-033</v>
      </c>
      <c r="O13940">
        <f>IF(N13940="","",'Master Barang'!B34)</f>
        <v>0</v>
      </c>
      <c r="P13940">
        <f>IF(OR(M13940="",N13940=""),"",SUMIFS('Barang Keluar'!$E:$E,'Barang Keluar'!$A:$A,M13940,'Barang Keluar'!$C:$C,N13940))</f>
        <v>0</v>
      </c>
    </row>
    <row r="13941" spans="13:16">
      <c r="M13941" s="49">
        <f>IF($A$4+139&gt;$B$4,"",$A$4+139)</f>
        <v>46162</v>
      </c>
      <c r="N13941">
        <f>IF(M13941="","",'Master Barang'!A35)</f>
        <v>0</v>
      </c>
      <c r="O13941">
        <f>IF(N13941="","",'Master Barang'!B35)</f>
        <v>0</v>
      </c>
      <c r="P13941">
        <f>IF(OR(M13941="",N13941=""),"",SUMIFS('Barang Keluar'!$E:$E,'Barang Keluar'!$A:$A,M13941,'Barang Keluar'!$C:$C,N13941))</f>
        <v>0</v>
      </c>
    </row>
    <row r="13942" spans="13:16">
      <c r="M13942" s="49">
        <f>IF($A$4+139&gt;$B$4,"",$A$4+139)</f>
        <v>46162</v>
      </c>
      <c r="N13942">
        <f>IF(M13942="","",'Master Barang'!A36)</f>
        <v>0</v>
      </c>
      <c r="O13942">
        <f>IF(N13942="","",'Master Barang'!B36)</f>
        <v>0</v>
      </c>
      <c r="P13942">
        <f>IF(OR(M13942="",N13942=""),"",SUMIFS('Barang Keluar'!$E:$E,'Barang Keluar'!$A:$A,M13942,'Barang Keluar'!$C:$C,N13942))</f>
        <v>0</v>
      </c>
    </row>
    <row r="13943" spans="13:16">
      <c r="M13943" s="49">
        <f>IF($A$4+139&gt;$B$4,"",$A$4+139)</f>
        <v>46162</v>
      </c>
      <c r="N13943">
        <f>IF(M13943="","",'Master Barang'!A37)</f>
        <v>0</v>
      </c>
      <c r="O13943">
        <f>IF(N13943="","",'Master Barang'!B37)</f>
        <v>0</v>
      </c>
      <c r="P13943">
        <f>IF(OR(M13943="",N13943=""),"",SUMIFS('Barang Keluar'!$E:$E,'Barang Keluar'!$A:$A,M13943,'Barang Keluar'!$C:$C,N13943))</f>
        <v>0</v>
      </c>
    </row>
    <row r="13944" spans="13:16">
      <c r="M13944" s="49">
        <f>IF($A$4+139&gt;$B$4,"",$A$4+139)</f>
        <v>46162</v>
      </c>
      <c r="N13944">
        <f>IF(M13944="","",'Master Barang'!A38)</f>
        <v>0</v>
      </c>
      <c r="O13944">
        <f>IF(N13944="","",'Master Barang'!B38)</f>
        <v>0</v>
      </c>
      <c r="P13944">
        <f>IF(OR(M13944="",N13944=""),"",SUMIFS('Barang Keluar'!$E:$E,'Barang Keluar'!$A:$A,M13944,'Barang Keluar'!$C:$C,N13944))</f>
        <v>0</v>
      </c>
    </row>
    <row r="13945" spans="13:16">
      <c r="M13945" s="49">
        <f>IF($A$4+139&gt;$B$4,"",$A$4+139)</f>
        <v>46162</v>
      </c>
      <c r="N13945">
        <f>IF(M13945="","",'Master Barang'!A39)</f>
        <v>0</v>
      </c>
      <c r="O13945">
        <f>IF(N13945="","",'Master Barang'!B39)</f>
        <v>0</v>
      </c>
      <c r="P13945">
        <f>IF(OR(M13945="",N13945=""),"",SUMIFS('Barang Keluar'!$E:$E,'Barang Keluar'!$A:$A,M13945,'Barang Keluar'!$C:$C,N13945))</f>
        <v>0</v>
      </c>
    </row>
    <row r="13946" spans="13:16">
      <c r="M13946" s="49">
        <f>IF($A$4+139&gt;$B$4,"",$A$4+139)</f>
        <v>46162</v>
      </c>
      <c r="N13946">
        <f>IF(M13946="","",'Master Barang'!A40)</f>
        <v>0</v>
      </c>
      <c r="O13946">
        <f>IF(N13946="","",'Master Barang'!B40)</f>
        <v>0</v>
      </c>
      <c r="P13946">
        <f>IF(OR(M13946="",N13946=""),"",SUMIFS('Barang Keluar'!$E:$E,'Barang Keluar'!$A:$A,M13946,'Barang Keluar'!$C:$C,N13946))</f>
        <v>0</v>
      </c>
    </row>
    <row r="13947" spans="13:16">
      <c r="M13947" s="49">
        <f>IF($A$4+139&gt;$B$4,"",$A$4+139)</f>
        <v>46162</v>
      </c>
      <c r="N13947">
        <f>IF(M13947="","",'Master Barang'!A41)</f>
        <v>0</v>
      </c>
      <c r="O13947">
        <f>IF(N13947="","",'Master Barang'!B41)</f>
        <v>0</v>
      </c>
      <c r="P13947">
        <f>IF(OR(M13947="",N13947=""),"",SUMIFS('Barang Keluar'!$E:$E,'Barang Keluar'!$A:$A,M13947,'Barang Keluar'!$C:$C,N13947))</f>
        <v>0</v>
      </c>
    </row>
    <row r="13948" spans="13:16">
      <c r="M13948" s="49">
        <f>IF($A$4+139&gt;$B$4,"",$A$4+139)</f>
        <v>46162</v>
      </c>
      <c r="N13948">
        <f>IF(M13948="","",'Master Barang'!A42)</f>
        <v>0</v>
      </c>
      <c r="O13948">
        <f>IF(N13948="","",'Master Barang'!B42)</f>
        <v>0</v>
      </c>
      <c r="P13948">
        <f>IF(OR(M13948="",N13948=""),"",SUMIFS('Barang Keluar'!$E:$E,'Barang Keluar'!$A:$A,M13948,'Barang Keluar'!$C:$C,N13948))</f>
        <v>0</v>
      </c>
    </row>
    <row r="13949" spans="13:16">
      <c r="M13949" s="49">
        <f>IF($A$4+139&gt;$B$4,"",$A$4+139)</f>
        <v>46162</v>
      </c>
      <c r="N13949">
        <f>IF(M13949="","",'Master Barang'!A43)</f>
        <v>0</v>
      </c>
      <c r="O13949">
        <f>IF(N13949="","",'Master Barang'!B43)</f>
        <v>0</v>
      </c>
      <c r="P13949">
        <f>IF(OR(M13949="",N13949=""),"",SUMIFS('Barang Keluar'!$E:$E,'Barang Keluar'!$A:$A,M13949,'Barang Keluar'!$C:$C,N13949))</f>
        <v>0</v>
      </c>
    </row>
    <row r="13950" spans="13:16">
      <c r="M13950" s="49">
        <f>IF($A$4+139&gt;$B$4,"",$A$4+139)</f>
        <v>46162</v>
      </c>
      <c r="N13950">
        <f>IF(M13950="","",'Master Barang'!A44)</f>
        <v>0</v>
      </c>
      <c r="O13950">
        <f>IF(N13950="","",'Master Barang'!B44)</f>
        <v>0</v>
      </c>
      <c r="P13950">
        <f>IF(OR(M13950="",N13950=""),"",SUMIFS('Barang Keluar'!$E:$E,'Barang Keluar'!$A:$A,M13950,'Barang Keluar'!$C:$C,N13950))</f>
        <v>0</v>
      </c>
    </row>
    <row r="13951" spans="13:16">
      <c r="M13951" s="49">
        <f>IF($A$4+139&gt;$B$4,"",$A$4+139)</f>
        <v>46162</v>
      </c>
      <c r="N13951">
        <f>IF(M13951="","",'Master Barang'!A45)</f>
        <v>0</v>
      </c>
      <c r="O13951">
        <f>IF(N13951="","",'Master Barang'!B45)</f>
        <v>0</v>
      </c>
      <c r="P13951">
        <f>IF(OR(M13951="",N13951=""),"",SUMIFS('Barang Keluar'!$E:$E,'Barang Keluar'!$A:$A,M13951,'Barang Keluar'!$C:$C,N13951))</f>
        <v>0</v>
      </c>
    </row>
    <row r="13952" spans="13:16">
      <c r="M13952" s="49">
        <f>IF($A$4+139&gt;$B$4,"",$A$4+139)</f>
        <v>46162</v>
      </c>
      <c r="N13952">
        <f>IF(M13952="","",'Master Barang'!A46)</f>
        <v>0</v>
      </c>
      <c r="O13952">
        <f>IF(N13952="","",'Master Barang'!B46)</f>
        <v>0</v>
      </c>
      <c r="P13952">
        <f>IF(OR(M13952="",N13952=""),"",SUMIFS('Barang Keluar'!$E:$E,'Barang Keluar'!$A:$A,M13952,'Barang Keluar'!$C:$C,N13952))</f>
        <v>0</v>
      </c>
    </row>
    <row r="13953" spans="13:16">
      <c r="M13953" s="49">
        <f>IF($A$4+139&gt;$B$4,"",$A$4+139)</f>
        <v>46162</v>
      </c>
      <c r="N13953">
        <f>IF(M13953="","",'Master Barang'!A47)</f>
        <v>0</v>
      </c>
      <c r="O13953">
        <f>IF(N13953="","",'Master Barang'!B47)</f>
        <v>0</v>
      </c>
      <c r="P13953">
        <f>IF(OR(M13953="",N13953=""),"",SUMIFS('Barang Keluar'!$E:$E,'Barang Keluar'!$A:$A,M13953,'Barang Keluar'!$C:$C,N13953))</f>
        <v>0</v>
      </c>
    </row>
    <row r="13954" spans="13:16">
      <c r="M13954" s="49">
        <f>IF($A$4+139&gt;$B$4,"",$A$4+139)</f>
        <v>46162</v>
      </c>
      <c r="N13954">
        <f>IF(M13954="","",'Master Barang'!A48)</f>
        <v>0</v>
      </c>
      <c r="O13954">
        <f>IF(N13954="","",'Master Barang'!B48)</f>
        <v>0</v>
      </c>
      <c r="P13954">
        <f>IF(OR(M13954="",N13954=""),"",SUMIFS('Barang Keluar'!$E:$E,'Barang Keluar'!$A:$A,M13954,'Barang Keluar'!$C:$C,N13954))</f>
        <v>0</v>
      </c>
    </row>
    <row r="13955" spans="13:16">
      <c r="M13955" s="49">
        <f>IF($A$4+139&gt;$B$4,"",$A$4+139)</f>
        <v>46162</v>
      </c>
      <c r="N13955">
        <f>IF(M13955="","",'Master Barang'!A49)</f>
        <v>0</v>
      </c>
      <c r="O13955">
        <f>IF(N13955="","",'Master Barang'!B49)</f>
        <v>0</v>
      </c>
      <c r="P13955">
        <f>IF(OR(M13955="",N13955=""),"",SUMIFS('Barang Keluar'!$E:$E,'Barang Keluar'!$A:$A,M13955,'Barang Keluar'!$C:$C,N13955))</f>
        <v>0</v>
      </c>
    </row>
    <row r="13956" spans="13:16">
      <c r="M13956" s="49">
        <f>IF($A$4+139&gt;$B$4,"",$A$4+139)</f>
        <v>46162</v>
      </c>
      <c r="N13956">
        <f>IF(M13956="","",'Master Barang'!A50)</f>
        <v>0</v>
      </c>
      <c r="O13956">
        <f>IF(N13956="","",'Master Barang'!B50)</f>
        <v>0</v>
      </c>
      <c r="P13956">
        <f>IF(OR(M13956="",N13956=""),"",SUMIFS('Barang Keluar'!$E:$E,'Barang Keluar'!$A:$A,M13956,'Barang Keluar'!$C:$C,N13956))</f>
        <v>0</v>
      </c>
    </row>
    <row r="13957" spans="13:16">
      <c r="M13957" s="49">
        <f>IF($A$4+139&gt;$B$4,"",$A$4+139)</f>
        <v>46162</v>
      </c>
      <c r="N13957">
        <f>IF(M13957="","",'Master Barang'!A51)</f>
        <v>0</v>
      </c>
      <c r="O13957">
        <f>IF(N13957="","",'Master Barang'!B51)</f>
        <v>0</v>
      </c>
      <c r="P13957">
        <f>IF(OR(M13957="",N13957=""),"",SUMIFS('Barang Keluar'!$E:$E,'Barang Keluar'!$A:$A,M13957,'Barang Keluar'!$C:$C,N13957))</f>
        <v>0</v>
      </c>
    </row>
    <row r="13958" spans="13:16">
      <c r="M13958" s="49">
        <f>IF($A$4+139&gt;$B$4,"",$A$4+139)</f>
        <v>46162</v>
      </c>
      <c r="N13958">
        <f>IF(M13958="","",'Master Barang'!A52)</f>
        <v>0</v>
      </c>
      <c r="O13958">
        <f>IF(N13958="","",'Master Barang'!B52)</f>
        <v>0</v>
      </c>
      <c r="P13958">
        <f>IF(OR(M13958="",N13958=""),"",SUMIFS('Barang Keluar'!$E:$E,'Barang Keluar'!$A:$A,M13958,'Barang Keluar'!$C:$C,N13958))</f>
        <v>0</v>
      </c>
    </row>
    <row r="13959" spans="13:16">
      <c r="M13959" s="49">
        <f>IF($A$4+139&gt;$B$4,"",$A$4+139)</f>
        <v>46162</v>
      </c>
      <c r="N13959">
        <f>IF(M13959="","",'Master Barang'!A53)</f>
        <v>0</v>
      </c>
      <c r="O13959">
        <f>IF(N13959="","",'Master Barang'!B53)</f>
        <v>0</v>
      </c>
      <c r="P13959">
        <f>IF(OR(M13959="",N13959=""),"",SUMIFS('Barang Keluar'!$E:$E,'Barang Keluar'!$A:$A,M13959,'Barang Keluar'!$C:$C,N13959))</f>
        <v>0</v>
      </c>
    </row>
    <row r="13960" spans="13:16">
      <c r="M13960" s="49">
        <f>IF($A$4+139&gt;$B$4,"",$A$4+139)</f>
        <v>46162</v>
      </c>
      <c r="N13960">
        <f>IF(M13960="","",'Master Barang'!A54)</f>
        <v>0</v>
      </c>
      <c r="O13960">
        <f>IF(N13960="","",'Master Barang'!B54)</f>
        <v>0</v>
      </c>
      <c r="P13960">
        <f>IF(OR(M13960="",N13960=""),"",SUMIFS('Barang Keluar'!$E:$E,'Barang Keluar'!$A:$A,M13960,'Barang Keluar'!$C:$C,N13960))</f>
        <v>0</v>
      </c>
    </row>
    <row r="13961" spans="13:16">
      <c r="M13961" s="49">
        <f>IF($A$4+139&gt;$B$4,"",$A$4+139)</f>
        <v>46162</v>
      </c>
      <c r="N13961">
        <f>IF(M13961="","",'Master Barang'!A55)</f>
        <v>0</v>
      </c>
      <c r="O13961">
        <f>IF(N13961="","",'Master Barang'!B55)</f>
        <v>0</v>
      </c>
      <c r="P13961">
        <f>IF(OR(M13961="",N13961=""),"",SUMIFS('Barang Keluar'!$E:$E,'Barang Keluar'!$A:$A,M13961,'Barang Keluar'!$C:$C,N13961))</f>
        <v>0</v>
      </c>
    </row>
    <row r="13962" spans="13:16">
      <c r="M13962" s="49">
        <f>IF($A$4+139&gt;$B$4,"",$A$4+139)</f>
        <v>46162</v>
      </c>
      <c r="N13962">
        <f>IF(M13962="","",'Master Barang'!A56)</f>
        <v>0</v>
      </c>
      <c r="O13962">
        <f>IF(N13962="","",'Master Barang'!B56)</f>
        <v>0</v>
      </c>
      <c r="P13962">
        <f>IF(OR(M13962="",N13962=""),"",SUMIFS('Barang Keluar'!$E:$E,'Barang Keluar'!$A:$A,M13962,'Barang Keluar'!$C:$C,N13962))</f>
        <v>0</v>
      </c>
    </row>
    <row r="13963" spans="13:16">
      <c r="M13963" s="49">
        <f>IF($A$4+139&gt;$B$4,"",$A$4+139)</f>
        <v>46162</v>
      </c>
      <c r="N13963">
        <f>IF(M13963="","",'Master Barang'!A57)</f>
        <v>0</v>
      </c>
      <c r="O13963">
        <f>IF(N13963="","",'Master Barang'!B57)</f>
        <v>0</v>
      </c>
      <c r="P13963">
        <f>IF(OR(M13963="",N13963=""),"",SUMIFS('Barang Keluar'!$E:$E,'Barang Keluar'!$A:$A,M13963,'Barang Keluar'!$C:$C,N13963))</f>
        <v>0</v>
      </c>
    </row>
    <row r="13964" spans="13:16">
      <c r="M13964" s="49">
        <f>IF($A$4+139&gt;$B$4,"",$A$4+139)</f>
        <v>46162</v>
      </c>
      <c r="N13964">
        <f>IF(M13964="","",'Master Barang'!A58)</f>
        <v>0</v>
      </c>
      <c r="O13964">
        <f>IF(N13964="","",'Master Barang'!B58)</f>
        <v>0</v>
      </c>
      <c r="P13964">
        <f>IF(OR(M13964="",N13964=""),"",SUMIFS('Barang Keluar'!$E:$E,'Barang Keluar'!$A:$A,M13964,'Barang Keluar'!$C:$C,N13964))</f>
        <v>0</v>
      </c>
    </row>
    <row r="13965" spans="13:16">
      <c r="M13965" s="49">
        <f>IF($A$4+139&gt;$B$4,"",$A$4+139)</f>
        <v>46162</v>
      </c>
      <c r="N13965">
        <f>IF(M13965="","",'Master Barang'!A59)</f>
        <v>0</v>
      </c>
      <c r="O13965">
        <f>IF(N13965="","",'Master Barang'!B59)</f>
        <v>0</v>
      </c>
      <c r="P13965">
        <f>IF(OR(M13965="",N13965=""),"",SUMIFS('Barang Keluar'!$E:$E,'Barang Keluar'!$A:$A,M13965,'Barang Keluar'!$C:$C,N13965))</f>
        <v>0</v>
      </c>
    </row>
    <row r="13966" spans="13:16">
      <c r="M13966" s="49">
        <f>IF($A$4+139&gt;$B$4,"",$A$4+139)</f>
        <v>46162</v>
      </c>
      <c r="N13966">
        <f>IF(M13966="","",'Master Barang'!A60)</f>
        <v>0</v>
      </c>
      <c r="O13966">
        <f>IF(N13966="","",'Master Barang'!B60)</f>
        <v>0</v>
      </c>
      <c r="P13966">
        <f>IF(OR(M13966="",N13966=""),"",SUMIFS('Barang Keluar'!$E:$E,'Barang Keluar'!$A:$A,M13966,'Barang Keluar'!$C:$C,N13966))</f>
        <v>0</v>
      </c>
    </row>
    <row r="13967" spans="13:16">
      <c r="M13967" s="49">
        <f>IF($A$4+139&gt;$B$4,"",$A$4+139)</f>
        <v>46162</v>
      </c>
      <c r="N13967">
        <f>IF(M13967="","",'Master Barang'!A61)</f>
        <v>0</v>
      </c>
      <c r="O13967">
        <f>IF(N13967="","",'Master Barang'!B61)</f>
        <v>0</v>
      </c>
      <c r="P13967">
        <f>IF(OR(M13967="",N13967=""),"",SUMIFS('Barang Keluar'!$E:$E,'Barang Keluar'!$A:$A,M13967,'Barang Keluar'!$C:$C,N13967))</f>
        <v>0</v>
      </c>
    </row>
    <row r="13968" spans="13:16">
      <c r="M13968" s="49">
        <f>IF($A$4+139&gt;$B$4,"",$A$4+139)</f>
        <v>46162</v>
      </c>
      <c r="N13968">
        <f>IF(M13968="","",'Master Barang'!A62)</f>
        <v>0</v>
      </c>
      <c r="O13968">
        <f>IF(N13968="","",'Master Barang'!B62)</f>
        <v>0</v>
      </c>
      <c r="P13968">
        <f>IF(OR(M13968="",N13968=""),"",SUMIFS('Barang Keluar'!$E:$E,'Barang Keluar'!$A:$A,M13968,'Barang Keluar'!$C:$C,N13968))</f>
        <v>0</v>
      </c>
    </row>
    <row r="13969" spans="13:16">
      <c r="M13969" s="49">
        <f>IF($A$4+139&gt;$B$4,"",$A$4+139)</f>
        <v>46162</v>
      </c>
      <c r="N13969">
        <f>IF(M13969="","",'Master Barang'!A63)</f>
        <v>0</v>
      </c>
      <c r="O13969">
        <f>IF(N13969="","",'Master Barang'!B63)</f>
        <v>0</v>
      </c>
      <c r="P13969">
        <f>IF(OR(M13969="",N13969=""),"",SUMIFS('Barang Keluar'!$E:$E,'Barang Keluar'!$A:$A,M13969,'Barang Keluar'!$C:$C,N13969))</f>
        <v>0</v>
      </c>
    </row>
    <row r="13970" spans="13:16">
      <c r="M13970" s="49">
        <f>IF($A$4+139&gt;$B$4,"",$A$4+139)</f>
        <v>46162</v>
      </c>
      <c r="N13970">
        <f>IF(M13970="","",'Master Barang'!A64)</f>
        <v>0</v>
      </c>
      <c r="O13970">
        <f>IF(N13970="","",'Master Barang'!B64)</f>
        <v>0</v>
      </c>
      <c r="P13970">
        <f>IF(OR(M13970="",N13970=""),"",SUMIFS('Barang Keluar'!$E:$E,'Barang Keluar'!$A:$A,M13970,'Barang Keluar'!$C:$C,N13970))</f>
        <v>0</v>
      </c>
    </row>
    <row r="13971" spans="13:16">
      <c r="M13971" s="49">
        <f>IF($A$4+139&gt;$B$4,"",$A$4+139)</f>
        <v>46162</v>
      </c>
      <c r="N13971">
        <f>IF(M13971="","",'Master Barang'!A65)</f>
        <v>0</v>
      </c>
      <c r="O13971">
        <f>IF(N13971="","",'Master Barang'!B65)</f>
        <v>0</v>
      </c>
      <c r="P13971">
        <f>IF(OR(M13971="",N13971=""),"",SUMIFS('Barang Keluar'!$E:$E,'Barang Keluar'!$A:$A,M13971,'Barang Keluar'!$C:$C,N13971))</f>
        <v>0</v>
      </c>
    </row>
    <row r="13972" spans="13:16">
      <c r="M13972" s="49">
        <f>IF($A$4+139&gt;$B$4,"",$A$4+139)</f>
        <v>46162</v>
      </c>
      <c r="N13972">
        <f>IF(M13972="","",'Master Barang'!A66)</f>
        <v>0</v>
      </c>
      <c r="O13972">
        <f>IF(N13972="","",'Master Barang'!B66)</f>
        <v>0</v>
      </c>
      <c r="P13972">
        <f>IF(OR(M13972="",N13972=""),"",SUMIFS('Barang Keluar'!$E:$E,'Barang Keluar'!$A:$A,M13972,'Barang Keluar'!$C:$C,N13972))</f>
        <v>0</v>
      </c>
    </row>
    <row r="13973" spans="13:16">
      <c r="M13973" s="49">
        <f>IF($A$4+139&gt;$B$4,"",$A$4+139)</f>
        <v>46162</v>
      </c>
      <c r="N13973">
        <f>IF(M13973="","",'Master Barang'!A67)</f>
        <v>0</v>
      </c>
      <c r="O13973">
        <f>IF(N13973="","",'Master Barang'!B67)</f>
        <v>0</v>
      </c>
      <c r="P13973">
        <f>IF(OR(M13973="",N13973=""),"",SUMIFS('Barang Keluar'!$E:$E,'Barang Keluar'!$A:$A,M13973,'Barang Keluar'!$C:$C,N13973))</f>
        <v>0</v>
      </c>
    </row>
    <row r="13974" spans="13:16">
      <c r="M13974" s="49">
        <f>IF($A$4+139&gt;$B$4,"",$A$4+139)</f>
        <v>46162</v>
      </c>
      <c r="N13974">
        <f>IF(M13974="","",'Master Barang'!A68)</f>
        <v>0</v>
      </c>
      <c r="O13974">
        <f>IF(N13974="","",'Master Barang'!B68)</f>
        <v>0</v>
      </c>
      <c r="P13974">
        <f>IF(OR(M13974="",N13974=""),"",SUMIFS('Barang Keluar'!$E:$E,'Barang Keluar'!$A:$A,M13974,'Barang Keluar'!$C:$C,N13974))</f>
        <v>0</v>
      </c>
    </row>
    <row r="13975" spans="13:16">
      <c r="M13975" s="49">
        <f>IF($A$4+139&gt;$B$4,"",$A$4+139)</f>
        <v>46162</v>
      </c>
      <c r="N13975">
        <f>IF(M13975="","",'Master Barang'!A69)</f>
        <v>0</v>
      </c>
      <c r="O13975">
        <f>IF(N13975="","",'Master Barang'!B69)</f>
        <v>0</v>
      </c>
      <c r="P13975">
        <f>IF(OR(M13975="",N13975=""),"",SUMIFS('Barang Keluar'!$E:$E,'Barang Keluar'!$A:$A,M13975,'Barang Keluar'!$C:$C,N13975))</f>
        <v>0</v>
      </c>
    </row>
    <row r="13976" spans="13:16">
      <c r="M13976" s="49">
        <f>IF($A$4+139&gt;$B$4,"",$A$4+139)</f>
        <v>46162</v>
      </c>
      <c r="N13976">
        <f>IF(M13976="","",'Master Barang'!A70)</f>
        <v>0</v>
      </c>
      <c r="O13976">
        <f>IF(N13976="","",'Master Barang'!B70)</f>
        <v>0</v>
      </c>
      <c r="P13976">
        <f>IF(OR(M13976="",N13976=""),"",SUMIFS('Barang Keluar'!$E:$E,'Barang Keluar'!$A:$A,M13976,'Barang Keluar'!$C:$C,N13976))</f>
        <v>0</v>
      </c>
    </row>
    <row r="13977" spans="13:16">
      <c r="M13977" s="49">
        <f>IF($A$4+139&gt;$B$4,"",$A$4+139)</f>
        <v>46162</v>
      </c>
      <c r="N13977">
        <f>IF(M13977="","",'Master Barang'!A71)</f>
        <v>0</v>
      </c>
      <c r="O13977">
        <f>IF(N13977="","",'Master Barang'!B71)</f>
        <v>0</v>
      </c>
      <c r="P13977">
        <f>IF(OR(M13977="",N13977=""),"",SUMIFS('Barang Keluar'!$E:$E,'Barang Keluar'!$A:$A,M13977,'Barang Keluar'!$C:$C,N13977))</f>
        <v>0</v>
      </c>
    </row>
    <row r="13978" spans="13:16">
      <c r="M13978" s="49">
        <f>IF($A$4+139&gt;$B$4,"",$A$4+139)</f>
        <v>46162</v>
      </c>
      <c r="N13978">
        <f>IF(M13978="","",'Master Barang'!A72)</f>
        <v>0</v>
      </c>
      <c r="O13978">
        <f>IF(N13978="","",'Master Barang'!B72)</f>
        <v>0</v>
      </c>
      <c r="P13978">
        <f>IF(OR(M13978="",N13978=""),"",SUMIFS('Barang Keluar'!$E:$E,'Barang Keluar'!$A:$A,M13978,'Barang Keluar'!$C:$C,N13978))</f>
        <v>0</v>
      </c>
    </row>
    <row r="13979" spans="13:16">
      <c r="M13979" s="49">
        <f>IF($A$4+139&gt;$B$4,"",$A$4+139)</f>
        <v>46162</v>
      </c>
      <c r="N13979">
        <f>IF(M13979="","",'Master Barang'!A73)</f>
        <v>0</v>
      </c>
      <c r="O13979">
        <f>IF(N13979="","",'Master Barang'!B73)</f>
        <v>0</v>
      </c>
      <c r="P13979">
        <f>IF(OR(M13979="",N13979=""),"",SUMIFS('Barang Keluar'!$E:$E,'Barang Keluar'!$A:$A,M13979,'Barang Keluar'!$C:$C,N13979))</f>
        <v>0</v>
      </c>
    </row>
    <row r="13980" spans="13:16">
      <c r="M13980" s="49">
        <f>IF($A$4+139&gt;$B$4,"",$A$4+139)</f>
        <v>46162</v>
      </c>
      <c r="N13980">
        <f>IF(M13980="","",'Master Barang'!A74)</f>
        <v>0</v>
      </c>
      <c r="O13980">
        <f>IF(N13980="","",'Master Barang'!B74)</f>
        <v>0</v>
      </c>
      <c r="P13980">
        <f>IF(OR(M13980="",N13980=""),"",SUMIFS('Barang Keluar'!$E:$E,'Barang Keluar'!$A:$A,M13980,'Barang Keluar'!$C:$C,N13980))</f>
        <v>0</v>
      </c>
    </row>
    <row r="13981" spans="13:16">
      <c r="M13981" s="49">
        <f>IF($A$4+139&gt;$B$4,"",$A$4+139)</f>
        <v>46162</v>
      </c>
      <c r="N13981">
        <f>IF(M13981="","",'Master Barang'!A75)</f>
        <v>0</v>
      </c>
      <c r="O13981">
        <f>IF(N13981="","",'Master Barang'!B75)</f>
        <v>0</v>
      </c>
      <c r="P13981">
        <f>IF(OR(M13981="",N13981=""),"",SUMIFS('Barang Keluar'!$E:$E,'Barang Keluar'!$A:$A,M13981,'Barang Keluar'!$C:$C,N13981))</f>
        <v>0</v>
      </c>
    </row>
    <row r="13982" spans="13:16">
      <c r="M13982" s="49">
        <f>IF($A$4+139&gt;$B$4,"",$A$4+139)</f>
        <v>46162</v>
      </c>
      <c r="N13982">
        <f>IF(M13982="","",'Master Barang'!A76)</f>
        <v>0</v>
      </c>
      <c r="O13982">
        <f>IF(N13982="","",'Master Barang'!B76)</f>
        <v>0</v>
      </c>
      <c r="P13982">
        <f>IF(OR(M13982="",N13982=""),"",SUMIFS('Barang Keluar'!$E:$E,'Barang Keluar'!$A:$A,M13982,'Barang Keluar'!$C:$C,N13982))</f>
        <v>0</v>
      </c>
    </row>
    <row r="13983" spans="13:16">
      <c r="M13983" s="49">
        <f>IF($A$4+139&gt;$B$4,"",$A$4+139)</f>
        <v>46162</v>
      </c>
      <c r="N13983">
        <f>IF(M13983="","",'Master Barang'!A77)</f>
        <v>0</v>
      </c>
      <c r="O13983">
        <f>IF(N13983="","",'Master Barang'!B77)</f>
        <v>0</v>
      </c>
      <c r="P13983">
        <f>IF(OR(M13983="",N13983=""),"",SUMIFS('Barang Keluar'!$E:$E,'Barang Keluar'!$A:$A,M13983,'Barang Keluar'!$C:$C,N13983))</f>
        <v>0</v>
      </c>
    </row>
    <row r="13984" spans="13:16">
      <c r="M13984" s="49">
        <f>IF($A$4+139&gt;$B$4,"",$A$4+139)</f>
        <v>46162</v>
      </c>
      <c r="N13984">
        <f>IF(M13984="","",'Master Barang'!A78)</f>
        <v>0</v>
      </c>
      <c r="O13984">
        <f>IF(N13984="","",'Master Barang'!B78)</f>
        <v>0</v>
      </c>
      <c r="P13984">
        <f>IF(OR(M13984="",N13984=""),"",SUMIFS('Barang Keluar'!$E:$E,'Barang Keluar'!$A:$A,M13984,'Barang Keluar'!$C:$C,N13984))</f>
        <v>0</v>
      </c>
    </row>
    <row r="13985" spans="13:16">
      <c r="M13985" s="49">
        <f>IF($A$4+139&gt;$B$4,"",$A$4+139)</f>
        <v>46162</v>
      </c>
      <c r="N13985">
        <f>IF(M13985="","",'Master Barang'!A79)</f>
        <v>0</v>
      </c>
      <c r="O13985">
        <f>IF(N13985="","",'Master Barang'!B79)</f>
        <v>0</v>
      </c>
      <c r="P13985">
        <f>IF(OR(M13985="",N13985=""),"",SUMIFS('Barang Keluar'!$E:$E,'Barang Keluar'!$A:$A,M13985,'Barang Keluar'!$C:$C,N13985))</f>
        <v>0</v>
      </c>
    </row>
    <row r="13986" spans="13:16">
      <c r="M13986" s="49">
        <f>IF($A$4+139&gt;$B$4,"",$A$4+139)</f>
        <v>46162</v>
      </c>
      <c r="N13986">
        <f>IF(M13986="","",'Master Barang'!A80)</f>
        <v>0</v>
      </c>
      <c r="O13986">
        <f>IF(N13986="","",'Master Barang'!B80)</f>
        <v>0</v>
      </c>
      <c r="P13986">
        <f>IF(OR(M13986="",N13986=""),"",SUMIFS('Barang Keluar'!$E:$E,'Barang Keluar'!$A:$A,M13986,'Barang Keluar'!$C:$C,N13986))</f>
        <v>0</v>
      </c>
    </row>
    <row r="13987" spans="13:16">
      <c r="M13987" s="49">
        <f>IF($A$4+139&gt;$B$4,"",$A$4+139)</f>
        <v>46162</v>
      </c>
      <c r="N13987">
        <f>IF(M13987="","",'Master Barang'!A81)</f>
        <v>0</v>
      </c>
      <c r="O13987">
        <f>IF(N13987="","",'Master Barang'!B81)</f>
        <v>0</v>
      </c>
      <c r="P13987">
        <f>IF(OR(M13987="",N13987=""),"",SUMIFS('Barang Keluar'!$E:$E,'Barang Keluar'!$A:$A,M13987,'Barang Keluar'!$C:$C,N13987))</f>
        <v>0</v>
      </c>
    </row>
    <row r="13988" spans="13:16">
      <c r="M13988" s="49">
        <f>IF($A$4+139&gt;$B$4,"",$A$4+139)</f>
        <v>46162</v>
      </c>
      <c r="N13988">
        <f>IF(M13988="","",'Master Barang'!A82)</f>
        <v>0</v>
      </c>
      <c r="O13988">
        <f>IF(N13988="","",'Master Barang'!B82)</f>
        <v>0</v>
      </c>
      <c r="P13988">
        <f>IF(OR(M13988="",N13988=""),"",SUMIFS('Barang Keluar'!$E:$E,'Barang Keluar'!$A:$A,M13988,'Barang Keluar'!$C:$C,N13988))</f>
        <v>0</v>
      </c>
    </row>
    <row r="13989" spans="13:16">
      <c r="M13989" s="49">
        <f>IF($A$4+139&gt;$B$4,"",$A$4+139)</f>
        <v>46162</v>
      </c>
      <c r="N13989">
        <f>IF(M13989="","",'Master Barang'!A83)</f>
        <v>0</v>
      </c>
      <c r="O13989">
        <f>IF(N13989="","",'Master Barang'!B83)</f>
        <v>0</v>
      </c>
      <c r="P13989">
        <f>IF(OR(M13989="",N13989=""),"",SUMIFS('Barang Keluar'!$E:$E,'Barang Keluar'!$A:$A,M13989,'Barang Keluar'!$C:$C,N13989))</f>
        <v>0</v>
      </c>
    </row>
    <row r="13990" spans="13:16">
      <c r="M13990" s="49">
        <f>IF($A$4+139&gt;$B$4,"",$A$4+139)</f>
        <v>46162</v>
      </c>
      <c r="N13990">
        <f>IF(M13990="","",'Master Barang'!A84)</f>
        <v>0</v>
      </c>
      <c r="O13990">
        <f>IF(N13990="","",'Master Barang'!B84)</f>
        <v>0</v>
      </c>
      <c r="P13990">
        <f>IF(OR(M13990="",N13990=""),"",SUMIFS('Barang Keluar'!$E:$E,'Barang Keluar'!$A:$A,M13990,'Barang Keluar'!$C:$C,N13990))</f>
        <v>0</v>
      </c>
    </row>
    <row r="13991" spans="13:16">
      <c r="M13991" s="49">
        <f>IF($A$4+139&gt;$B$4,"",$A$4+139)</f>
        <v>46162</v>
      </c>
      <c r="N13991">
        <f>IF(M13991="","",'Master Barang'!A85)</f>
        <v>0</v>
      </c>
      <c r="O13991">
        <f>IF(N13991="","",'Master Barang'!B85)</f>
        <v>0</v>
      </c>
      <c r="P13991">
        <f>IF(OR(M13991="",N13991=""),"",SUMIFS('Barang Keluar'!$E:$E,'Barang Keluar'!$A:$A,M13991,'Barang Keluar'!$C:$C,N13991))</f>
        <v>0</v>
      </c>
    </row>
    <row r="13992" spans="13:16">
      <c r="M13992" s="49">
        <f>IF($A$4+139&gt;$B$4,"",$A$4+139)</f>
        <v>46162</v>
      </c>
      <c r="N13992">
        <f>IF(M13992="","",'Master Barang'!A86)</f>
        <v>0</v>
      </c>
      <c r="O13992">
        <f>IF(N13992="","",'Master Barang'!B86)</f>
        <v>0</v>
      </c>
      <c r="P13992">
        <f>IF(OR(M13992="",N13992=""),"",SUMIFS('Barang Keluar'!$E:$E,'Barang Keluar'!$A:$A,M13992,'Barang Keluar'!$C:$C,N13992))</f>
        <v>0</v>
      </c>
    </row>
    <row r="13993" spans="13:16">
      <c r="M13993" s="49">
        <f>IF($A$4+139&gt;$B$4,"",$A$4+139)</f>
        <v>46162</v>
      </c>
      <c r="N13993">
        <f>IF(M13993="","",'Master Barang'!A87)</f>
        <v>0</v>
      </c>
      <c r="O13993">
        <f>IF(N13993="","",'Master Barang'!B87)</f>
        <v>0</v>
      </c>
      <c r="P13993">
        <f>IF(OR(M13993="",N13993=""),"",SUMIFS('Barang Keluar'!$E:$E,'Barang Keluar'!$A:$A,M13993,'Barang Keluar'!$C:$C,N13993))</f>
        <v>0</v>
      </c>
    </row>
    <row r="13994" spans="13:16">
      <c r="M13994" s="49">
        <f>IF($A$4+139&gt;$B$4,"",$A$4+139)</f>
        <v>46162</v>
      </c>
      <c r="N13994">
        <f>IF(M13994="","",'Master Barang'!A88)</f>
        <v>0</v>
      </c>
      <c r="O13994">
        <f>IF(N13994="","",'Master Barang'!B88)</f>
        <v>0</v>
      </c>
      <c r="P13994">
        <f>IF(OR(M13994="",N13994=""),"",SUMIFS('Barang Keluar'!$E:$E,'Barang Keluar'!$A:$A,M13994,'Barang Keluar'!$C:$C,N13994))</f>
        <v>0</v>
      </c>
    </row>
    <row r="13995" spans="13:16">
      <c r="M13995" s="49">
        <f>IF($A$4+139&gt;$B$4,"",$A$4+139)</f>
        <v>46162</v>
      </c>
      <c r="N13995">
        <f>IF(M13995="","",'Master Barang'!A89)</f>
        <v>0</v>
      </c>
      <c r="O13995">
        <f>IF(N13995="","",'Master Barang'!B89)</f>
        <v>0</v>
      </c>
      <c r="P13995">
        <f>IF(OR(M13995="",N13995=""),"",SUMIFS('Barang Keluar'!$E:$E,'Barang Keluar'!$A:$A,M13995,'Barang Keluar'!$C:$C,N13995))</f>
        <v>0</v>
      </c>
    </row>
    <row r="13996" spans="13:16">
      <c r="M13996" s="49">
        <f>IF($A$4+139&gt;$B$4,"",$A$4+139)</f>
        <v>46162</v>
      </c>
      <c r="N13996">
        <f>IF(M13996="","",'Master Barang'!A90)</f>
        <v>0</v>
      </c>
      <c r="O13996">
        <f>IF(N13996="","",'Master Barang'!B90)</f>
        <v>0</v>
      </c>
      <c r="P13996">
        <f>IF(OR(M13996="",N13996=""),"",SUMIFS('Barang Keluar'!$E:$E,'Barang Keluar'!$A:$A,M13996,'Barang Keluar'!$C:$C,N13996))</f>
        <v>0</v>
      </c>
    </row>
    <row r="13997" spans="13:16">
      <c r="M13997" s="49">
        <f>IF($A$4+139&gt;$B$4,"",$A$4+139)</f>
        <v>46162</v>
      </c>
      <c r="N13997">
        <f>IF(M13997="","",'Master Barang'!A91)</f>
        <v>0</v>
      </c>
      <c r="O13997">
        <f>IF(N13997="","",'Master Barang'!B91)</f>
        <v>0</v>
      </c>
      <c r="P13997">
        <f>IF(OR(M13997="",N13997=""),"",SUMIFS('Barang Keluar'!$E:$E,'Barang Keluar'!$A:$A,M13997,'Barang Keluar'!$C:$C,N13997))</f>
        <v>0</v>
      </c>
    </row>
    <row r="13998" spans="13:16">
      <c r="M13998" s="49">
        <f>IF($A$4+139&gt;$B$4,"",$A$4+139)</f>
        <v>46162</v>
      </c>
      <c r="N13998">
        <f>IF(M13998="","",'Master Barang'!A92)</f>
        <v>0</v>
      </c>
      <c r="O13998">
        <f>IF(N13998="","",'Master Barang'!B92)</f>
        <v>0</v>
      </c>
      <c r="P13998">
        <f>IF(OR(M13998="",N13998=""),"",SUMIFS('Barang Keluar'!$E:$E,'Barang Keluar'!$A:$A,M13998,'Barang Keluar'!$C:$C,N13998))</f>
        <v>0</v>
      </c>
    </row>
    <row r="13999" spans="13:16">
      <c r="M13999" s="49">
        <f>IF($A$4+139&gt;$B$4,"",$A$4+139)</f>
        <v>46162</v>
      </c>
      <c r="N13999">
        <f>IF(M13999="","",'Master Barang'!A93)</f>
        <v>0</v>
      </c>
      <c r="O13999">
        <f>IF(N13999="","",'Master Barang'!B93)</f>
        <v>0</v>
      </c>
      <c r="P13999">
        <f>IF(OR(M13999="",N13999=""),"",SUMIFS('Barang Keluar'!$E:$E,'Barang Keluar'!$A:$A,M13999,'Barang Keluar'!$C:$C,N13999))</f>
        <v>0</v>
      </c>
    </row>
    <row r="14000" spans="13:16">
      <c r="M14000" s="49">
        <f>IF($A$4+139&gt;$B$4,"",$A$4+139)</f>
        <v>46162</v>
      </c>
      <c r="N14000">
        <f>IF(M14000="","",'Master Barang'!A94)</f>
        <v>0</v>
      </c>
      <c r="O14000">
        <f>IF(N14000="","",'Master Barang'!B94)</f>
        <v>0</v>
      </c>
      <c r="P14000">
        <f>IF(OR(M14000="",N14000=""),"",SUMIFS('Barang Keluar'!$E:$E,'Barang Keluar'!$A:$A,M14000,'Barang Keluar'!$C:$C,N14000))</f>
        <v>0</v>
      </c>
    </row>
    <row r="14001" spans="13:16">
      <c r="M14001" s="49">
        <f>IF($A$4+139&gt;$B$4,"",$A$4+139)</f>
        <v>46162</v>
      </c>
      <c r="N14001">
        <f>IF(M14001="","",'Master Barang'!A95)</f>
        <v>0</v>
      </c>
      <c r="O14001">
        <f>IF(N14001="","",'Master Barang'!B95)</f>
        <v>0</v>
      </c>
      <c r="P14001">
        <f>IF(OR(M14001="",N14001=""),"",SUMIFS('Barang Keluar'!$E:$E,'Barang Keluar'!$A:$A,M14001,'Barang Keluar'!$C:$C,N14001))</f>
        <v>0</v>
      </c>
    </row>
    <row r="14002" spans="13:16">
      <c r="M14002" s="49">
        <f>IF($A$4+139&gt;$B$4,"",$A$4+139)</f>
        <v>46162</v>
      </c>
      <c r="N14002">
        <f>IF(M14002="","",'Master Barang'!A96)</f>
        <v>0</v>
      </c>
      <c r="O14002">
        <f>IF(N14002="","",'Master Barang'!B96)</f>
        <v>0</v>
      </c>
      <c r="P14002">
        <f>IF(OR(M14002="",N14002=""),"",SUMIFS('Barang Keluar'!$E:$E,'Barang Keluar'!$A:$A,M14002,'Barang Keluar'!$C:$C,N14002))</f>
        <v>0</v>
      </c>
    </row>
    <row r="14003" spans="13:16">
      <c r="M14003" s="49">
        <f>IF($A$4+139&gt;$B$4,"",$A$4+139)</f>
        <v>46162</v>
      </c>
      <c r="N14003">
        <f>IF(M14003="","",'Master Barang'!A97)</f>
        <v>0</v>
      </c>
      <c r="O14003">
        <f>IF(N14003="","",'Master Barang'!B97)</f>
        <v>0</v>
      </c>
      <c r="P14003">
        <f>IF(OR(M14003="",N14003=""),"",SUMIFS('Barang Keluar'!$E:$E,'Barang Keluar'!$A:$A,M14003,'Barang Keluar'!$C:$C,N14003))</f>
        <v>0</v>
      </c>
    </row>
    <row r="14004" spans="13:16">
      <c r="M14004" s="49">
        <f>IF($A$4+139&gt;$B$4,"",$A$4+139)</f>
        <v>46162</v>
      </c>
      <c r="N14004">
        <f>IF(M14004="","",'Master Barang'!A98)</f>
        <v>0</v>
      </c>
      <c r="O14004">
        <f>IF(N14004="","",'Master Barang'!B98)</f>
        <v>0</v>
      </c>
      <c r="P14004">
        <f>IF(OR(M14004="",N14004=""),"",SUMIFS('Barang Keluar'!$E:$E,'Barang Keluar'!$A:$A,M14004,'Barang Keluar'!$C:$C,N14004))</f>
        <v>0</v>
      </c>
    </row>
    <row r="14005" spans="13:16">
      <c r="M14005" s="49">
        <f>IF($A$4+139&gt;$B$4,"",$A$4+139)</f>
        <v>46162</v>
      </c>
      <c r="N14005">
        <f>IF(M14005="","",'Master Barang'!A99)</f>
        <v>0</v>
      </c>
      <c r="O14005">
        <f>IF(N14005="","",'Master Barang'!B99)</f>
        <v>0</v>
      </c>
      <c r="P14005">
        <f>IF(OR(M14005="",N14005=""),"",SUMIFS('Barang Keluar'!$E:$E,'Barang Keluar'!$A:$A,M14005,'Barang Keluar'!$C:$C,N14005))</f>
        <v>0</v>
      </c>
    </row>
    <row r="14006" spans="13:16">
      <c r="M14006" s="49">
        <f>IF($A$4+139&gt;$B$4,"",$A$4+139)</f>
        <v>46162</v>
      </c>
      <c r="N14006">
        <f>IF(M14006="","",'Master Barang'!A100)</f>
        <v>0</v>
      </c>
      <c r="O14006">
        <f>IF(N14006="","",'Master Barang'!B100)</f>
        <v>0</v>
      </c>
      <c r="P14006">
        <f>IF(OR(M14006="",N14006=""),"",SUMIFS('Barang Keluar'!$E:$E,'Barang Keluar'!$A:$A,M14006,'Barang Keluar'!$C:$C,N14006))</f>
        <v>0</v>
      </c>
    </row>
    <row r="14007" spans="13:16">
      <c r="M14007" s="49">
        <f>IF($A$4+139&gt;$B$4,"",$A$4+139)</f>
        <v>46162</v>
      </c>
      <c r="N14007">
        <f>IF(M14007="","",'Master Barang'!A101)</f>
        <v>0</v>
      </c>
      <c r="O14007">
        <f>IF(N14007="","",'Master Barang'!B101)</f>
        <v>0</v>
      </c>
      <c r="P14007">
        <f>IF(OR(M14007="",N14007=""),"",SUMIFS('Barang Keluar'!$E:$E,'Barang Keluar'!$A:$A,M14007,'Barang Keluar'!$C:$C,N14007))</f>
        <v>0</v>
      </c>
    </row>
    <row r="14008" spans="13:16">
      <c r="M14008" s="49">
        <f>IF($A$4+140&gt;$B$4,"",$A$4+140)</f>
        <v>46163</v>
      </c>
      <c r="N14008" t="str">
        <f>IF(M14008="","",'Master Barang'!A2)</f>
        <v>PRL-001</v>
      </c>
      <c r="O14008" t="str">
        <f>IF(N14008="","",'Master Barang'!B2)</f>
        <v>natura desinfectant food grade 5l</v>
      </c>
      <c r="P14008">
        <f>IF(OR(M14008="",N14008=""),"",SUMIFS('Barang Keluar'!$E:$E,'Barang Keluar'!$A:$A,M14008,'Barang Keluar'!$C:$C,N14008))</f>
        <v>0</v>
      </c>
    </row>
    <row r="14009" spans="13:16">
      <c r="M14009" s="49">
        <f>IF($A$4+140&gt;$B$4,"",$A$4+140)</f>
        <v>46163</v>
      </c>
      <c r="N14009" t="str">
        <f>IF(M14009="","",'Master Barang'!A3)</f>
        <v>PRL-002</v>
      </c>
      <c r="O14009" t="str">
        <f>IF(N14009="","",'Master Barang'!B3)</f>
        <v>sunlight cairan pencuci piring 5l</v>
      </c>
      <c r="P14009">
        <f>IF(OR(M14009="",N14009=""),"",SUMIFS('Barang Keluar'!$E:$E,'Barang Keluar'!$A:$A,M14009,'Barang Keluar'!$C:$C,N14009))</f>
        <v>0</v>
      </c>
    </row>
    <row r="14010" spans="13:16">
      <c r="M14010" s="49">
        <f>IF($A$4+140&gt;$B$4,"",$A$4+140)</f>
        <v>46163</v>
      </c>
      <c r="N14010" t="str">
        <f>IF(M14010="","",'Master Barang'!A4)</f>
        <v>PRL-003</v>
      </c>
      <c r="O14010" t="str">
        <f>IF(N14010="","",'Master Barang'!B4)</f>
        <v>oixs cleaner 1l</v>
      </c>
      <c r="P14010">
        <f>IF(OR(M14010="",N14010=""),"",SUMIFS('Barang Keluar'!$E:$E,'Barang Keluar'!$A:$A,M14010,'Barang Keluar'!$C:$C,N14010))</f>
        <v>0</v>
      </c>
    </row>
    <row r="14011" spans="13:16">
      <c r="M14011" s="49">
        <f>IF($A$4+140&gt;$B$4,"",$A$4+140)</f>
        <v>46163</v>
      </c>
      <c r="N14011" t="str">
        <f>IF(M14011="","",'Master Barang'!A5)</f>
        <v>PRL-004</v>
      </c>
      <c r="O14011" t="str">
        <f>IF(N14011="","",'Master Barang'!B5)</f>
        <v>be clean tissue serbaguna</v>
      </c>
      <c r="P14011">
        <f>IF(OR(M14011="",N14011=""),"",SUMIFS('Barang Keluar'!$E:$E,'Barang Keluar'!$A:$A,M14011,'Barang Keluar'!$C:$C,N14011))</f>
        <v>0</v>
      </c>
    </row>
    <row r="14012" spans="13:16">
      <c r="M14012" s="49">
        <f>IF($A$4+140&gt;$B$4,"",$A$4+140)</f>
        <v>46163</v>
      </c>
      <c r="N14012" t="str">
        <f>IF(M14012="","",'Master Barang'!A6)</f>
        <v>PRL-005</v>
      </c>
      <c r="O14012" t="str">
        <f>IF(N14012="","",'Master Barang'!B6)</f>
        <v>spons cuci hijau</v>
      </c>
      <c r="P14012">
        <f>IF(OR(M14012="",N14012=""),"",SUMIFS('Barang Keluar'!$E:$E,'Barang Keluar'!$A:$A,M14012,'Barang Keluar'!$C:$C,N14012))</f>
        <v>0</v>
      </c>
    </row>
    <row r="14013" spans="13:16">
      <c r="M14013" s="49">
        <f>IF($A$4+140&gt;$B$4,"",$A$4+140)</f>
        <v>46163</v>
      </c>
      <c r="N14013" t="str">
        <f>IF(M14013="","",'Master Barang'!A7)</f>
        <v>PRL-006</v>
      </c>
      <c r="O14013" t="str">
        <f>IF(N14013="","",'Master Barang'!B7)</f>
        <v>sabut cuci stainless</v>
      </c>
      <c r="P14013">
        <f>IF(OR(M14013="",N14013=""),"",SUMIFS('Barang Keluar'!$E:$E,'Barang Keluar'!$A:$A,M14013,'Barang Keluar'!$C:$C,N14013))</f>
        <v>0</v>
      </c>
    </row>
    <row r="14014" spans="13:16">
      <c r="M14014" s="49">
        <f>IF($A$4+140&gt;$B$4,"",$A$4+140)</f>
        <v>46163</v>
      </c>
      <c r="N14014" t="str">
        <f>IF(M14014="","",'Master Barang'!A8)</f>
        <v>PRL-007</v>
      </c>
      <c r="O14014" t="str">
        <f>IF(N14014="","",'Master Barang'!B8)</f>
        <v>plastik kresek besar merah 50pc</v>
      </c>
      <c r="P14014">
        <f>IF(OR(M14014="",N14014=""),"",SUMIFS('Barang Keluar'!$E:$E,'Barang Keluar'!$A:$A,M14014,'Barang Keluar'!$C:$C,N14014))</f>
        <v>0</v>
      </c>
    </row>
    <row r="14015" spans="13:16">
      <c r="M14015" s="49">
        <f>IF($A$4+140&gt;$B$4,"",$A$4+140)</f>
        <v>46163</v>
      </c>
      <c r="N14015" t="str">
        <f>IF(M14015="","",'Master Barang'!A9)</f>
        <v>PRL-008</v>
      </c>
      <c r="O14015" t="str">
        <f>IF(N14015="","",'Master Barang'!B9)</f>
        <v>lap besar</v>
      </c>
      <c r="P14015">
        <f>IF(OR(M14015="",N14015=""),"",SUMIFS('Barang Keluar'!$E:$E,'Barang Keluar'!$A:$A,M14015,'Barang Keluar'!$C:$C,N14015))</f>
        <v>0</v>
      </c>
    </row>
    <row r="14016" spans="13:16">
      <c r="M14016" s="49">
        <f>IF($A$4+140&gt;$B$4,"",$A$4+140)</f>
        <v>46163</v>
      </c>
      <c r="N14016" t="str">
        <f>IF(M14016="","",'Master Barang'!A10)</f>
        <v>PRL-009</v>
      </c>
      <c r="O14016" t="str">
        <f>IF(N14016="","",'Master Barang'!B10)</f>
        <v>lap microfiber</v>
      </c>
      <c r="P14016">
        <f>IF(OR(M14016="",N14016=""),"",SUMIFS('Barang Keluar'!$E:$E,'Barang Keluar'!$A:$A,M14016,'Barang Keluar'!$C:$C,N14016))</f>
        <v>0</v>
      </c>
    </row>
    <row r="14017" spans="13:16">
      <c r="M14017" s="49">
        <f>IF($A$4+140&gt;$B$4,"",$A$4+140)</f>
        <v>46163</v>
      </c>
      <c r="N14017" t="str">
        <f>IF(M14017="","",'Master Barang'!A11)</f>
        <v>PRL-010</v>
      </c>
      <c r="O14017" t="str">
        <f>IF(N14017="","",'Master Barang'!B11)</f>
        <v>lap kecil</v>
      </c>
      <c r="P14017">
        <f>IF(OR(M14017="",N14017=""),"",SUMIFS('Barang Keluar'!$E:$E,'Barang Keluar'!$A:$A,M14017,'Barang Keluar'!$C:$C,N14017))</f>
        <v>0</v>
      </c>
    </row>
    <row r="14018" spans="13:16">
      <c r="M14018" s="49">
        <f>IF($A$4+140&gt;$B$4,"",$A$4+140)</f>
        <v>46163</v>
      </c>
      <c r="N14018" t="str">
        <f>IF(M14018="","",'Master Barang'!A12)</f>
        <v>PRL-011</v>
      </c>
      <c r="O14018" t="str">
        <f>IF(N14018="","",'Master Barang'!B12)</f>
        <v>kanebo kecil</v>
      </c>
      <c r="P14018">
        <f>IF(OR(M14018="",N14018=""),"",SUMIFS('Barang Keluar'!$E:$E,'Barang Keluar'!$A:$A,M14018,'Barang Keluar'!$C:$C,N14018))</f>
        <v>0</v>
      </c>
    </row>
    <row r="14019" spans="13:16">
      <c r="M14019" s="49">
        <f>IF($A$4+140&gt;$B$4,"",$A$4+140)</f>
        <v>46163</v>
      </c>
      <c r="N14019" t="str">
        <f>IF(M14019="","",'Master Barang'!A13)</f>
        <v>PRL-012</v>
      </c>
      <c r="O14019" t="str">
        <f>IF(N14019="","",'Master Barang'!B13)</f>
        <v>plastik 1/4kg joyoboyo 100 lembar</v>
      </c>
      <c r="P14019">
        <f>IF(OR(M14019="",N14019=""),"",SUMIFS('Barang Keluar'!$E:$E,'Barang Keluar'!$A:$A,M14019,'Barang Keluar'!$C:$C,N14019))</f>
        <v>0</v>
      </c>
    </row>
    <row r="14020" spans="13:16">
      <c r="M14020" s="49">
        <f>IF($A$4+140&gt;$B$4,"",$A$4+140)</f>
        <v>46163</v>
      </c>
      <c r="N14020" t="str">
        <f>IF(M14020="","",'Master Barang'!A14)</f>
        <v>PRL-013</v>
      </c>
      <c r="O14020" t="str">
        <f>IF(N14020="","",'Master Barang'!B14)</f>
        <v>sarung tangan plastik kaka 100 pcs</v>
      </c>
      <c r="P14020">
        <f>IF(OR(M14020="",N14020=""),"",SUMIFS('Barang Keluar'!$E:$E,'Barang Keluar'!$A:$A,M14020,'Barang Keluar'!$C:$C,N14020))</f>
        <v>0</v>
      </c>
    </row>
    <row r="14021" spans="13:16">
      <c r="M14021" s="49">
        <f>IF($A$4+140&gt;$B$4,"",$A$4+140)</f>
        <v>46163</v>
      </c>
      <c r="N14021" t="str">
        <f>IF(M14021="","",'Master Barang'!A15)</f>
        <v>PRL-014</v>
      </c>
      <c r="O14021" t="str">
        <f>IF(N14021="","",'Master Barang'!B15)</f>
        <v>optima trashbag 80x100</v>
      </c>
      <c r="P14021">
        <f>IF(OR(M14021="",N14021=""),"",SUMIFS('Barang Keluar'!$E:$E,'Barang Keluar'!$A:$A,M14021,'Barang Keluar'!$C:$C,N14021))</f>
        <v>0</v>
      </c>
    </row>
    <row r="14022" spans="13:16">
      <c r="M14022" s="49">
        <f>IF($A$4+140&gt;$B$4,"",$A$4+140)</f>
        <v>46163</v>
      </c>
      <c r="N14022" t="str">
        <f>IF(M14022="","",'Master Barang'!A16)</f>
        <v>PRL-015</v>
      </c>
      <c r="O14022" t="str">
        <f>IF(N14022="","",'Master Barang'!B16)</f>
        <v>optima trashbag 60x100</v>
      </c>
      <c r="P14022">
        <f>IF(OR(M14022="",N14022=""),"",SUMIFS('Barang Keluar'!$E:$E,'Barang Keluar'!$A:$A,M14022,'Barang Keluar'!$C:$C,N14022))</f>
        <v>0</v>
      </c>
    </row>
    <row r="14023" spans="13:16">
      <c r="M14023" s="49">
        <f>IF($A$4+140&gt;$B$4,"",$A$4+140)</f>
        <v>46163</v>
      </c>
      <c r="N14023" t="str">
        <f>IF(M14023="","",'Master Barang'!A17)</f>
        <v>PRL-016</v>
      </c>
      <c r="O14023" t="str">
        <f>IF(N14023="","",'Master Barang'!B17)</f>
        <v>rajawali trashbag 30x40</v>
      </c>
      <c r="P14023">
        <f>IF(OR(M14023="",N14023=""),"",SUMIFS('Barang Keluar'!$E:$E,'Barang Keluar'!$A:$A,M14023,'Barang Keluar'!$C:$C,N14023))</f>
        <v>0</v>
      </c>
    </row>
    <row r="14024" spans="13:16">
      <c r="M14024" s="49">
        <f>IF($A$4+140&gt;$B$4,"",$A$4+140)</f>
        <v>46163</v>
      </c>
      <c r="N14024" t="str">
        <f>IF(M14024="","",'Master Barang'!A18)</f>
        <v>PRL-017</v>
      </c>
      <c r="O14024" t="str">
        <f>IF(N14024="","",'Master Barang'!B18)</f>
        <v>onemed masker biru 3 play 50 pcs</v>
      </c>
      <c r="P14024">
        <f>IF(OR(M14024="",N14024=""),"",SUMIFS('Barang Keluar'!$E:$E,'Barang Keluar'!$A:$A,M14024,'Barang Keluar'!$C:$C,N14024))</f>
        <v>0</v>
      </c>
    </row>
    <row r="14025" spans="13:16">
      <c r="M14025" s="49">
        <f>IF($A$4+140&gt;$B$4,"",$A$4+140)</f>
        <v>46163</v>
      </c>
      <c r="N14025" t="str">
        <f>IF(M14025="","",'Master Barang'!A19)</f>
        <v>PRL-018</v>
      </c>
      <c r="O14025" t="str">
        <f>IF(N14025="","",'Master Barang'!B19)</f>
        <v>onemed masker biru 3 play hijab 50 pcs</v>
      </c>
      <c r="P14025">
        <f>IF(OR(M14025="",N14025=""),"",SUMIFS('Barang Keluar'!$E:$E,'Barang Keluar'!$A:$A,M14025,'Barang Keluar'!$C:$C,N14025))</f>
        <v>0</v>
      </c>
    </row>
    <row r="14026" spans="13:16">
      <c r="M14026" s="49">
        <f>IF($A$4+140&gt;$B$4,"",$A$4+140)</f>
        <v>46163</v>
      </c>
      <c r="N14026" t="str">
        <f>IF(M14026="","",'Master Barang'!A20)</f>
        <v>PRL-019</v>
      </c>
      <c r="O14026" t="str">
        <f>IF(N14026="","",'Master Barang'!B20)</f>
        <v>neo health masker biru 3 play 50 pcs</v>
      </c>
      <c r="P14026">
        <f>IF(OR(M14026="",N14026=""),"",SUMIFS('Barang Keluar'!$E:$E,'Barang Keluar'!$A:$A,M14026,'Barang Keluar'!$C:$C,N14026))</f>
        <v>0</v>
      </c>
    </row>
    <row r="14027" spans="13:16">
      <c r="M14027" s="49">
        <f>IF($A$4+140&gt;$B$4,"",$A$4+140)</f>
        <v>46163</v>
      </c>
      <c r="N14027" t="str">
        <f>IF(M14027="","",'Master Barang'!A21)</f>
        <v>PRL-020</v>
      </c>
      <c r="O14027" t="str">
        <f>IF(N14027="","",'Master Barang'!B21)</f>
        <v>baymed masker hijau 3 play hijau 50 pcs</v>
      </c>
      <c r="P14027">
        <f>IF(OR(M14027="",N14027=""),"",SUMIFS('Barang Keluar'!$E:$E,'Barang Keluar'!$A:$A,M14027,'Barang Keluar'!$C:$C,N14027))</f>
        <v>0</v>
      </c>
    </row>
    <row r="14028" spans="13:16">
      <c r="M14028" s="49">
        <f>IF($A$4+140&gt;$B$4,"",$A$4+140)</f>
        <v>46163</v>
      </c>
      <c r="N14028" t="str">
        <f>IF(M14028="","",'Master Barang'!A22)</f>
        <v>PRL-021</v>
      </c>
      <c r="O14028" t="str">
        <f>IF(N14028="","",'Master Barang'!B22)</f>
        <v>altamed nurse cap penutup kepala 100 pcs</v>
      </c>
      <c r="P14028">
        <f>IF(OR(M14028="",N14028=""),"",SUMIFS('Barang Keluar'!$E:$E,'Barang Keluar'!$A:$A,M14028,'Barang Keluar'!$C:$C,N14028))</f>
        <v>0</v>
      </c>
    </row>
    <row r="14029" spans="13:16">
      <c r="M14029" s="49">
        <f>IF($A$4+140&gt;$B$4,"",$A$4+140)</f>
        <v>46163</v>
      </c>
      <c r="N14029" t="str">
        <f>IF(M14029="","",'Master Barang'!A23)</f>
        <v>PRL-022</v>
      </c>
      <c r="O14029" t="str">
        <f>IF(N14029="","",'Master Barang'!B23)</f>
        <v>sabun cuci tangan</v>
      </c>
      <c r="P14029">
        <f>IF(OR(M14029="",N14029=""),"",SUMIFS('Barang Keluar'!$E:$E,'Barang Keluar'!$A:$A,M14029,'Barang Keluar'!$C:$C,N14029))</f>
        <v>0</v>
      </c>
    </row>
    <row r="14030" spans="13:16">
      <c r="M14030" s="49">
        <f>IF($A$4+140&gt;$B$4,"",$A$4+140)</f>
        <v>46163</v>
      </c>
      <c r="N14030" t="str">
        <f>IF(M14030="","",'Master Barang'!A24)</f>
        <v>PRL-023</v>
      </c>
      <c r="O14030" t="str">
        <f>IF(N14030="","",'Master Barang'!B24)</f>
        <v>gayung kecil</v>
      </c>
      <c r="P14030">
        <f>IF(OR(M14030="",N14030=""),"",SUMIFS('Barang Keluar'!$E:$E,'Barang Keluar'!$A:$A,M14030,'Barang Keluar'!$C:$C,N14030))</f>
        <v>0</v>
      </c>
    </row>
    <row r="14031" spans="13:16">
      <c r="M14031" s="49">
        <f>IF($A$4+140&gt;$B$4,"",$A$4+140)</f>
        <v>46163</v>
      </c>
      <c r="N14031" t="str">
        <f>IF(M14031="","",'Master Barang'!A25)</f>
        <v>PRL-024</v>
      </c>
      <c r="O14031" t="str">
        <f>IF(N14031="","",'Master Barang'!B25)</f>
        <v>cikrak kecil</v>
      </c>
      <c r="P14031">
        <f>IF(OR(M14031="",N14031=""),"",SUMIFS('Barang Keluar'!$E:$E,'Barang Keluar'!$A:$A,M14031,'Barang Keluar'!$C:$C,N14031))</f>
        <v>0</v>
      </c>
    </row>
    <row r="14032" spans="13:16">
      <c r="M14032" s="49">
        <f>IF($A$4+140&gt;$B$4,"",$A$4+140)</f>
        <v>46163</v>
      </c>
      <c r="N14032" t="str">
        <f>IF(M14032="","",'Master Barang'!A26)</f>
        <v>PRL-025</v>
      </c>
      <c r="O14032" t="str">
        <f>IF(N14032="","",'Master Barang'!B26)</f>
        <v>petromax plastik kecil 12x24 100 lembar</v>
      </c>
      <c r="P14032">
        <f>IF(OR(M14032="",N14032=""),"",SUMIFS('Barang Keluar'!$E:$E,'Barang Keluar'!$A:$A,M14032,'Barang Keluar'!$C:$C,N14032))</f>
        <v>0</v>
      </c>
    </row>
    <row r="14033" spans="13:16">
      <c r="M14033" s="49">
        <f>IF($A$4+140&gt;$B$4,"",$A$4+140)</f>
        <v>46163</v>
      </c>
      <c r="N14033" t="str">
        <f>IF(M14033="","",'Master Barang'!A27)</f>
        <v>PRL-026</v>
      </c>
      <c r="O14033" t="str">
        <f>IF(N14033="","",'Master Barang'!B27)</f>
        <v>lancar kresek kecil bening </v>
      </c>
      <c r="P14033">
        <f>IF(OR(M14033="",N14033=""),"",SUMIFS('Barang Keluar'!$E:$E,'Barang Keluar'!$A:$A,M14033,'Barang Keluar'!$C:$C,N14033))</f>
        <v>0</v>
      </c>
    </row>
    <row r="14034" spans="13:16">
      <c r="M14034" s="49">
        <f>IF($A$4+140&gt;$B$4,"",$A$4+140)</f>
        <v>46163</v>
      </c>
      <c r="N14034" t="str">
        <f>IF(M14034="","",'Master Barang'!A28)</f>
        <v>PRL-027</v>
      </c>
      <c r="O14034" t="str">
        <f>IF(N14034="","",'Master Barang'!B28)</f>
        <v>kresek klin warna warni kecil</v>
      </c>
      <c r="P14034">
        <f>IF(OR(M14034="",N14034=""),"",SUMIFS('Barang Keluar'!$E:$E,'Barang Keluar'!$A:$A,M14034,'Barang Keluar'!$C:$C,N14034))</f>
        <v>0</v>
      </c>
    </row>
    <row r="14035" spans="13:16">
      <c r="M14035" s="49">
        <f>IF($A$4+140&gt;$B$4,"",$A$4+140)</f>
        <v>46163</v>
      </c>
      <c r="N14035" t="str">
        <f>IF(M14035="","",'Master Barang'!A29)</f>
        <v>PRL-028</v>
      </c>
      <c r="O14035" t="str">
        <f>IF(N14035="","",'Master Barang'!B29)</f>
        <v>ctik plastik 7x10 100 pcs</v>
      </c>
      <c r="P14035">
        <f>IF(OR(M14035="",N14035=""),"",SUMIFS('Barang Keluar'!$E:$E,'Barang Keluar'!$A:$A,M14035,'Barang Keluar'!$C:$C,N14035))</f>
        <v>0</v>
      </c>
    </row>
    <row r="14036" spans="13:16">
      <c r="M14036" s="49">
        <f>IF($A$4+140&gt;$B$4,"",$A$4+140)</f>
        <v>46163</v>
      </c>
      <c r="N14036" t="str">
        <f>IF(M14036="","",'Master Barang'!A30)</f>
        <v>PRL-029</v>
      </c>
      <c r="O14036" t="str">
        <f>IF(N14036="","",'Master Barang'!B30)</f>
        <v>ctik plastik 6x10 100 pcs</v>
      </c>
      <c r="P14036">
        <f>IF(OR(M14036="",N14036=""),"",SUMIFS('Barang Keluar'!$E:$E,'Barang Keluar'!$A:$A,M14036,'Barang Keluar'!$C:$C,N14036))</f>
        <v>0</v>
      </c>
    </row>
    <row r="14037" spans="13:16">
      <c r="M14037" s="49">
        <f>IF($A$4+140&gt;$B$4,"",$A$4+140)</f>
        <v>46163</v>
      </c>
      <c r="N14037" t="str">
        <f>IF(M14037="","",'Master Barang'!A31)</f>
        <v>PRL-030</v>
      </c>
      <c r="O14037" t="str">
        <f>IF(N14037="","",'Master Barang'!B31)</f>
        <v>klip plastik 25x16 100 pcs</v>
      </c>
      <c r="P14037">
        <f>IF(OR(M14037="",N14037=""),"",SUMIFS('Barang Keluar'!$E:$E,'Barang Keluar'!$A:$A,M14037,'Barang Keluar'!$C:$C,N14037))</f>
        <v>0</v>
      </c>
    </row>
    <row r="14038" spans="13:16">
      <c r="M14038" s="49">
        <f>IF($A$4+140&gt;$B$4,"",$A$4+140)</f>
        <v>46163</v>
      </c>
      <c r="N14038" t="str">
        <f>IF(M14038="","",'Master Barang'!A32)</f>
        <v>PRL-031</v>
      </c>
      <c r="O14038" t="str">
        <f>IF(N14038="","",'Master Barang'!B32)</f>
        <v>tempat saus 20 ml</v>
      </c>
      <c r="P14038">
        <f>IF(OR(M14038="",N14038=""),"",SUMIFS('Barang Keluar'!$E:$E,'Barang Keluar'!$A:$A,M14038,'Barang Keluar'!$C:$C,N14038))</f>
        <v>0</v>
      </c>
    </row>
    <row r="14039" spans="13:16">
      <c r="M14039" s="49">
        <f>IF($A$4+140&gt;$B$4,"",$A$4+140)</f>
        <v>46163</v>
      </c>
      <c r="N14039" t="str">
        <f>IF(M14039="","",'Master Barang'!A33)</f>
        <v>PRL-032</v>
      </c>
      <c r="O14039" t="str">
        <f>IF(N14039="","",'Master Barang'!B33)</f>
        <v>plastik packaging ag box uk sedang</v>
      </c>
      <c r="P14039">
        <f>IF(OR(M14039="",N14039=""),"",SUMIFS('Barang Keluar'!$E:$E,'Barang Keluar'!$A:$A,M14039,'Barang Keluar'!$C:$C,N14039))</f>
        <v>0</v>
      </c>
    </row>
    <row r="14040" spans="13:16">
      <c r="M14040" s="49">
        <f>IF($A$4+140&gt;$B$4,"",$A$4+140)</f>
        <v>46163</v>
      </c>
      <c r="N14040" t="str">
        <f>IF(M14040="","",'Master Barang'!A34)</f>
        <v>PRL-033</v>
      </c>
      <c r="O14040">
        <f>IF(N14040="","",'Master Barang'!B34)</f>
        <v>0</v>
      </c>
      <c r="P14040">
        <f>IF(OR(M14040="",N14040=""),"",SUMIFS('Barang Keluar'!$E:$E,'Barang Keluar'!$A:$A,M14040,'Barang Keluar'!$C:$C,N14040))</f>
        <v>0</v>
      </c>
    </row>
    <row r="14041" spans="13:16">
      <c r="M14041" s="49">
        <f>IF($A$4+140&gt;$B$4,"",$A$4+140)</f>
        <v>46163</v>
      </c>
      <c r="N14041">
        <f>IF(M14041="","",'Master Barang'!A35)</f>
        <v>0</v>
      </c>
      <c r="O14041">
        <f>IF(N14041="","",'Master Barang'!B35)</f>
        <v>0</v>
      </c>
      <c r="P14041">
        <f>IF(OR(M14041="",N14041=""),"",SUMIFS('Barang Keluar'!$E:$E,'Barang Keluar'!$A:$A,M14041,'Barang Keluar'!$C:$C,N14041))</f>
        <v>0</v>
      </c>
    </row>
    <row r="14042" spans="13:16">
      <c r="M14042" s="49">
        <f>IF($A$4+140&gt;$B$4,"",$A$4+140)</f>
        <v>46163</v>
      </c>
      <c r="N14042">
        <f>IF(M14042="","",'Master Barang'!A36)</f>
        <v>0</v>
      </c>
      <c r="O14042">
        <f>IF(N14042="","",'Master Barang'!B36)</f>
        <v>0</v>
      </c>
      <c r="P14042">
        <f>IF(OR(M14042="",N14042=""),"",SUMIFS('Barang Keluar'!$E:$E,'Barang Keluar'!$A:$A,M14042,'Barang Keluar'!$C:$C,N14042))</f>
        <v>0</v>
      </c>
    </row>
    <row r="14043" spans="13:16">
      <c r="M14043" s="49">
        <f>IF($A$4+140&gt;$B$4,"",$A$4+140)</f>
        <v>46163</v>
      </c>
      <c r="N14043">
        <f>IF(M14043="","",'Master Barang'!A37)</f>
        <v>0</v>
      </c>
      <c r="O14043">
        <f>IF(N14043="","",'Master Barang'!B37)</f>
        <v>0</v>
      </c>
      <c r="P14043">
        <f>IF(OR(M14043="",N14043=""),"",SUMIFS('Barang Keluar'!$E:$E,'Barang Keluar'!$A:$A,M14043,'Barang Keluar'!$C:$C,N14043))</f>
        <v>0</v>
      </c>
    </row>
    <row r="14044" spans="13:16">
      <c r="M14044" s="49">
        <f>IF($A$4+140&gt;$B$4,"",$A$4+140)</f>
        <v>46163</v>
      </c>
      <c r="N14044">
        <f>IF(M14044="","",'Master Barang'!A38)</f>
        <v>0</v>
      </c>
      <c r="O14044">
        <f>IF(N14044="","",'Master Barang'!B38)</f>
        <v>0</v>
      </c>
      <c r="P14044">
        <f>IF(OR(M14044="",N14044=""),"",SUMIFS('Barang Keluar'!$E:$E,'Barang Keluar'!$A:$A,M14044,'Barang Keluar'!$C:$C,N14044))</f>
        <v>0</v>
      </c>
    </row>
    <row r="14045" spans="13:16">
      <c r="M14045" s="49">
        <f>IF($A$4+140&gt;$B$4,"",$A$4+140)</f>
        <v>46163</v>
      </c>
      <c r="N14045">
        <f>IF(M14045="","",'Master Barang'!A39)</f>
        <v>0</v>
      </c>
      <c r="O14045">
        <f>IF(N14045="","",'Master Barang'!B39)</f>
        <v>0</v>
      </c>
      <c r="P14045">
        <f>IF(OR(M14045="",N14045=""),"",SUMIFS('Barang Keluar'!$E:$E,'Barang Keluar'!$A:$A,M14045,'Barang Keluar'!$C:$C,N14045))</f>
        <v>0</v>
      </c>
    </row>
    <row r="14046" spans="13:16">
      <c r="M14046" s="49">
        <f>IF($A$4+140&gt;$B$4,"",$A$4+140)</f>
        <v>46163</v>
      </c>
      <c r="N14046">
        <f>IF(M14046="","",'Master Barang'!A40)</f>
        <v>0</v>
      </c>
      <c r="O14046">
        <f>IF(N14046="","",'Master Barang'!B40)</f>
        <v>0</v>
      </c>
      <c r="P14046">
        <f>IF(OR(M14046="",N14046=""),"",SUMIFS('Barang Keluar'!$E:$E,'Barang Keluar'!$A:$A,M14046,'Barang Keluar'!$C:$C,N14046))</f>
        <v>0</v>
      </c>
    </row>
    <row r="14047" spans="13:16">
      <c r="M14047" s="49">
        <f>IF($A$4+140&gt;$B$4,"",$A$4+140)</f>
        <v>46163</v>
      </c>
      <c r="N14047">
        <f>IF(M14047="","",'Master Barang'!A41)</f>
        <v>0</v>
      </c>
      <c r="O14047">
        <f>IF(N14047="","",'Master Barang'!B41)</f>
        <v>0</v>
      </c>
      <c r="P14047">
        <f>IF(OR(M14047="",N14047=""),"",SUMIFS('Barang Keluar'!$E:$E,'Barang Keluar'!$A:$A,M14047,'Barang Keluar'!$C:$C,N14047))</f>
        <v>0</v>
      </c>
    </row>
    <row r="14048" spans="13:16">
      <c r="M14048" s="49">
        <f>IF($A$4+140&gt;$B$4,"",$A$4+140)</f>
        <v>46163</v>
      </c>
      <c r="N14048">
        <f>IF(M14048="","",'Master Barang'!A42)</f>
        <v>0</v>
      </c>
      <c r="O14048">
        <f>IF(N14048="","",'Master Barang'!B42)</f>
        <v>0</v>
      </c>
      <c r="P14048">
        <f>IF(OR(M14048="",N14048=""),"",SUMIFS('Barang Keluar'!$E:$E,'Barang Keluar'!$A:$A,M14048,'Barang Keluar'!$C:$C,N14048))</f>
        <v>0</v>
      </c>
    </row>
    <row r="14049" spans="13:16">
      <c r="M14049" s="49">
        <f>IF($A$4+140&gt;$B$4,"",$A$4+140)</f>
        <v>46163</v>
      </c>
      <c r="N14049">
        <f>IF(M14049="","",'Master Barang'!A43)</f>
        <v>0</v>
      </c>
      <c r="O14049">
        <f>IF(N14049="","",'Master Barang'!B43)</f>
        <v>0</v>
      </c>
      <c r="P14049">
        <f>IF(OR(M14049="",N14049=""),"",SUMIFS('Barang Keluar'!$E:$E,'Barang Keluar'!$A:$A,M14049,'Barang Keluar'!$C:$C,N14049))</f>
        <v>0</v>
      </c>
    </row>
    <row r="14050" spans="13:16">
      <c r="M14050" s="49">
        <f>IF($A$4+140&gt;$B$4,"",$A$4+140)</f>
        <v>46163</v>
      </c>
      <c r="N14050">
        <f>IF(M14050="","",'Master Barang'!A44)</f>
        <v>0</v>
      </c>
      <c r="O14050">
        <f>IF(N14050="","",'Master Barang'!B44)</f>
        <v>0</v>
      </c>
      <c r="P14050">
        <f>IF(OR(M14050="",N14050=""),"",SUMIFS('Barang Keluar'!$E:$E,'Barang Keluar'!$A:$A,M14050,'Barang Keluar'!$C:$C,N14050))</f>
        <v>0</v>
      </c>
    </row>
    <row r="14051" spans="13:16">
      <c r="M14051" s="49">
        <f>IF($A$4+140&gt;$B$4,"",$A$4+140)</f>
        <v>46163</v>
      </c>
      <c r="N14051">
        <f>IF(M14051="","",'Master Barang'!A45)</f>
        <v>0</v>
      </c>
      <c r="O14051">
        <f>IF(N14051="","",'Master Barang'!B45)</f>
        <v>0</v>
      </c>
      <c r="P14051">
        <f>IF(OR(M14051="",N14051=""),"",SUMIFS('Barang Keluar'!$E:$E,'Barang Keluar'!$A:$A,M14051,'Barang Keluar'!$C:$C,N14051))</f>
        <v>0</v>
      </c>
    </row>
    <row r="14052" spans="13:16">
      <c r="M14052" s="49">
        <f>IF($A$4+140&gt;$B$4,"",$A$4+140)</f>
        <v>46163</v>
      </c>
      <c r="N14052">
        <f>IF(M14052="","",'Master Barang'!A46)</f>
        <v>0</v>
      </c>
      <c r="O14052">
        <f>IF(N14052="","",'Master Barang'!B46)</f>
        <v>0</v>
      </c>
      <c r="P14052">
        <f>IF(OR(M14052="",N14052=""),"",SUMIFS('Barang Keluar'!$E:$E,'Barang Keluar'!$A:$A,M14052,'Barang Keluar'!$C:$C,N14052))</f>
        <v>0</v>
      </c>
    </row>
    <row r="14053" spans="13:16">
      <c r="M14053" s="49">
        <f>IF($A$4+140&gt;$B$4,"",$A$4+140)</f>
        <v>46163</v>
      </c>
      <c r="N14053">
        <f>IF(M14053="","",'Master Barang'!A47)</f>
        <v>0</v>
      </c>
      <c r="O14053">
        <f>IF(N14053="","",'Master Barang'!B47)</f>
        <v>0</v>
      </c>
      <c r="P14053">
        <f>IF(OR(M14053="",N14053=""),"",SUMIFS('Barang Keluar'!$E:$E,'Barang Keluar'!$A:$A,M14053,'Barang Keluar'!$C:$C,N14053))</f>
        <v>0</v>
      </c>
    </row>
    <row r="14054" spans="13:16">
      <c r="M14054" s="49">
        <f>IF($A$4+140&gt;$B$4,"",$A$4+140)</f>
        <v>46163</v>
      </c>
      <c r="N14054">
        <f>IF(M14054="","",'Master Barang'!A48)</f>
        <v>0</v>
      </c>
      <c r="O14054">
        <f>IF(N14054="","",'Master Barang'!B48)</f>
        <v>0</v>
      </c>
      <c r="P14054">
        <f>IF(OR(M14054="",N14054=""),"",SUMIFS('Barang Keluar'!$E:$E,'Barang Keluar'!$A:$A,M14054,'Barang Keluar'!$C:$C,N14054))</f>
        <v>0</v>
      </c>
    </row>
    <row r="14055" spans="13:16">
      <c r="M14055" s="49">
        <f>IF($A$4+140&gt;$B$4,"",$A$4+140)</f>
        <v>46163</v>
      </c>
      <c r="N14055">
        <f>IF(M14055="","",'Master Barang'!A49)</f>
        <v>0</v>
      </c>
      <c r="O14055">
        <f>IF(N14055="","",'Master Barang'!B49)</f>
        <v>0</v>
      </c>
      <c r="P14055">
        <f>IF(OR(M14055="",N14055=""),"",SUMIFS('Barang Keluar'!$E:$E,'Barang Keluar'!$A:$A,M14055,'Barang Keluar'!$C:$C,N14055))</f>
        <v>0</v>
      </c>
    </row>
    <row r="14056" spans="13:16">
      <c r="M14056" s="49">
        <f>IF($A$4+140&gt;$B$4,"",$A$4+140)</f>
        <v>46163</v>
      </c>
      <c r="N14056">
        <f>IF(M14056="","",'Master Barang'!A50)</f>
        <v>0</v>
      </c>
      <c r="O14056">
        <f>IF(N14056="","",'Master Barang'!B50)</f>
        <v>0</v>
      </c>
      <c r="P14056">
        <f>IF(OR(M14056="",N14056=""),"",SUMIFS('Barang Keluar'!$E:$E,'Barang Keluar'!$A:$A,M14056,'Barang Keluar'!$C:$C,N14056))</f>
        <v>0</v>
      </c>
    </row>
    <row r="14057" spans="13:16">
      <c r="M14057" s="49">
        <f>IF($A$4+140&gt;$B$4,"",$A$4+140)</f>
        <v>46163</v>
      </c>
      <c r="N14057">
        <f>IF(M14057="","",'Master Barang'!A51)</f>
        <v>0</v>
      </c>
      <c r="O14057">
        <f>IF(N14057="","",'Master Barang'!B51)</f>
        <v>0</v>
      </c>
      <c r="P14057">
        <f>IF(OR(M14057="",N14057=""),"",SUMIFS('Barang Keluar'!$E:$E,'Barang Keluar'!$A:$A,M14057,'Barang Keluar'!$C:$C,N14057))</f>
        <v>0</v>
      </c>
    </row>
    <row r="14058" spans="13:16">
      <c r="M14058" s="49">
        <f>IF($A$4+140&gt;$B$4,"",$A$4+140)</f>
        <v>46163</v>
      </c>
      <c r="N14058">
        <f>IF(M14058="","",'Master Barang'!A52)</f>
        <v>0</v>
      </c>
      <c r="O14058">
        <f>IF(N14058="","",'Master Barang'!B52)</f>
        <v>0</v>
      </c>
      <c r="P14058">
        <f>IF(OR(M14058="",N14058=""),"",SUMIFS('Barang Keluar'!$E:$E,'Barang Keluar'!$A:$A,M14058,'Barang Keluar'!$C:$C,N14058))</f>
        <v>0</v>
      </c>
    </row>
    <row r="14059" spans="13:16">
      <c r="M14059" s="49">
        <f>IF($A$4+140&gt;$B$4,"",$A$4+140)</f>
        <v>46163</v>
      </c>
      <c r="N14059">
        <f>IF(M14059="","",'Master Barang'!A53)</f>
        <v>0</v>
      </c>
      <c r="O14059">
        <f>IF(N14059="","",'Master Barang'!B53)</f>
        <v>0</v>
      </c>
      <c r="P14059">
        <f>IF(OR(M14059="",N14059=""),"",SUMIFS('Barang Keluar'!$E:$E,'Barang Keluar'!$A:$A,M14059,'Barang Keluar'!$C:$C,N14059))</f>
        <v>0</v>
      </c>
    </row>
    <row r="14060" spans="13:16">
      <c r="M14060" s="49">
        <f>IF($A$4+140&gt;$B$4,"",$A$4+140)</f>
        <v>46163</v>
      </c>
      <c r="N14060">
        <f>IF(M14060="","",'Master Barang'!A54)</f>
        <v>0</v>
      </c>
      <c r="O14060">
        <f>IF(N14060="","",'Master Barang'!B54)</f>
        <v>0</v>
      </c>
      <c r="P14060">
        <f>IF(OR(M14060="",N14060=""),"",SUMIFS('Barang Keluar'!$E:$E,'Barang Keluar'!$A:$A,M14060,'Barang Keluar'!$C:$C,N14060))</f>
        <v>0</v>
      </c>
    </row>
    <row r="14061" spans="13:16">
      <c r="M14061" s="49">
        <f>IF($A$4+140&gt;$B$4,"",$A$4+140)</f>
        <v>46163</v>
      </c>
      <c r="N14061">
        <f>IF(M14061="","",'Master Barang'!A55)</f>
        <v>0</v>
      </c>
      <c r="O14061">
        <f>IF(N14061="","",'Master Barang'!B55)</f>
        <v>0</v>
      </c>
      <c r="P14061">
        <f>IF(OR(M14061="",N14061=""),"",SUMIFS('Barang Keluar'!$E:$E,'Barang Keluar'!$A:$A,M14061,'Barang Keluar'!$C:$C,N14061))</f>
        <v>0</v>
      </c>
    </row>
    <row r="14062" spans="13:16">
      <c r="M14062" s="49">
        <f>IF($A$4+140&gt;$B$4,"",$A$4+140)</f>
        <v>46163</v>
      </c>
      <c r="N14062">
        <f>IF(M14062="","",'Master Barang'!A56)</f>
        <v>0</v>
      </c>
      <c r="O14062">
        <f>IF(N14062="","",'Master Barang'!B56)</f>
        <v>0</v>
      </c>
      <c r="P14062">
        <f>IF(OR(M14062="",N14062=""),"",SUMIFS('Barang Keluar'!$E:$E,'Barang Keluar'!$A:$A,M14062,'Barang Keluar'!$C:$C,N14062))</f>
        <v>0</v>
      </c>
    </row>
    <row r="14063" spans="13:16">
      <c r="M14063" s="49">
        <f>IF($A$4+140&gt;$B$4,"",$A$4+140)</f>
        <v>46163</v>
      </c>
      <c r="N14063">
        <f>IF(M14063="","",'Master Barang'!A57)</f>
        <v>0</v>
      </c>
      <c r="O14063">
        <f>IF(N14063="","",'Master Barang'!B57)</f>
        <v>0</v>
      </c>
      <c r="P14063">
        <f>IF(OR(M14063="",N14063=""),"",SUMIFS('Barang Keluar'!$E:$E,'Barang Keluar'!$A:$A,M14063,'Barang Keluar'!$C:$C,N14063))</f>
        <v>0</v>
      </c>
    </row>
    <row r="14064" spans="13:16">
      <c r="M14064" s="49">
        <f>IF($A$4+140&gt;$B$4,"",$A$4+140)</f>
        <v>46163</v>
      </c>
      <c r="N14064">
        <f>IF(M14064="","",'Master Barang'!A58)</f>
        <v>0</v>
      </c>
      <c r="O14064">
        <f>IF(N14064="","",'Master Barang'!B58)</f>
        <v>0</v>
      </c>
      <c r="P14064">
        <f>IF(OR(M14064="",N14064=""),"",SUMIFS('Barang Keluar'!$E:$E,'Barang Keluar'!$A:$A,M14064,'Barang Keluar'!$C:$C,N14064))</f>
        <v>0</v>
      </c>
    </row>
    <row r="14065" spans="13:16">
      <c r="M14065" s="49">
        <f>IF($A$4+140&gt;$B$4,"",$A$4+140)</f>
        <v>46163</v>
      </c>
      <c r="N14065">
        <f>IF(M14065="","",'Master Barang'!A59)</f>
        <v>0</v>
      </c>
      <c r="O14065">
        <f>IF(N14065="","",'Master Barang'!B59)</f>
        <v>0</v>
      </c>
      <c r="P14065">
        <f>IF(OR(M14065="",N14065=""),"",SUMIFS('Barang Keluar'!$E:$E,'Barang Keluar'!$A:$A,M14065,'Barang Keluar'!$C:$C,N14065))</f>
        <v>0</v>
      </c>
    </row>
    <row r="14066" spans="13:16">
      <c r="M14066" s="49">
        <f>IF($A$4+140&gt;$B$4,"",$A$4+140)</f>
        <v>46163</v>
      </c>
      <c r="N14066">
        <f>IF(M14066="","",'Master Barang'!A60)</f>
        <v>0</v>
      </c>
      <c r="O14066">
        <f>IF(N14066="","",'Master Barang'!B60)</f>
        <v>0</v>
      </c>
      <c r="P14066">
        <f>IF(OR(M14066="",N14066=""),"",SUMIFS('Barang Keluar'!$E:$E,'Barang Keluar'!$A:$A,M14066,'Barang Keluar'!$C:$C,N14066))</f>
        <v>0</v>
      </c>
    </row>
    <row r="14067" spans="13:16">
      <c r="M14067" s="49">
        <f>IF($A$4+140&gt;$B$4,"",$A$4+140)</f>
        <v>46163</v>
      </c>
      <c r="N14067">
        <f>IF(M14067="","",'Master Barang'!A61)</f>
        <v>0</v>
      </c>
      <c r="O14067">
        <f>IF(N14067="","",'Master Barang'!B61)</f>
        <v>0</v>
      </c>
      <c r="P14067">
        <f>IF(OR(M14067="",N14067=""),"",SUMIFS('Barang Keluar'!$E:$E,'Barang Keluar'!$A:$A,M14067,'Barang Keluar'!$C:$C,N14067))</f>
        <v>0</v>
      </c>
    </row>
    <row r="14068" spans="13:16">
      <c r="M14068" s="49">
        <f>IF($A$4+140&gt;$B$4,"",$A$4+140)</f>
        <v>46163</v>
      </c>
      <c r="N14068">
        <f>IF(M14068="","",'Master Barang'!A62)</f>
        <v>0</v>
      </c>
      <c r="O14068">
        <f>IF(N14068="","",'Master Barang'!B62)</f>
        <v>0</v>
      </c>
      <c r="P14068">
        <f>IF(OR(M14068="",N14068=""),"",SUMIFS('Barang Keluar'!$E:$E,'Barang Keluar'!$A:$A,M14068,'Barang Keluar'!$C:$C,N14068))</f>
        <v>0</v>
      </c>
    </row>
    <row r="14069" spans="13:16">
      <c r="M14069" s="49">
        <f>IF($A$4+140&gt;$B$4,"",$A$4+140)</f>
        <v>46163</v>
      </c>
      <c r="N14069">
        <f>IF(M14069="","",'Master Barang'!A63)</f>
        <v>0</v>
      </c>
      <c r="O14069">
        <f>IF(N14069="","",'Master Barang'!B63)</f>
        <v>0</v>
      </c>
      <c r="P14069">
        <f>IF(OR(M14069="",N14069=""),"",SUMIFS('Barang Keluar'!$E:$E,'Barang Keluar'!$A:$A,M14069,'Barang Keluar'!$C:$C,N14069))</f>
        <v>0</v>
      </c>
    </row>
    <row r="14070" spans="13:16">
      <c r="M14070" s="49">
        <f>IF($A$4+140&gt;$B$4,"",$A$4+140)</f>
        <v>46163</v>
      </c>
      <c r="N14070">
        <f>IF(M14070="","",'Master Barang'!A64)</f>
        <v>0</v>
      </c>
      <c r="O14070">
        <f>IF(N14070="","",'Master Barang'!B64)</f>
        <v>0</v>
      </c>
      <c r="P14070">
        <f>IF(OR(M14070="",N14070=""),"",SUMIFS('Barang Keluar'!$E:$E,'Barang Keluar'!$A:$A,M14070,'Barang Keluar'!$C:$C,N14070))</f>
        <v>0</v>
      </c>
    </row>
    <row r="14071" spans="13:16">
      <c r="M14071" s="49">
        <f>IF($A$4+140&gt;$B$4,"",$A$4+140)</f>
        <v>46163</v>
      </c>
      <c r="N14071">
        <f>IF(M14071="","",'Master Barang'!A65)</f>
        <v>0</v>
      </c>
      <c r="O14071">
        <f>IF(N14071="","",'Master Barang'!B65)</f>
        <v>0</v>
      </c>
      <c r="P14071">
        <f>IF(OR(M14071="",N14071=""),"",SUMIFS('Barang Keluar'!$E:$E,'Barang Keluar'!$A:$A,M14071,'Barang Keluar'!$C:$C,N14071))</f>
        <v>0</v>
      </c>
    </row>
    <row r="14072" spans="13:16">
      <c r="M14072" s="49">
        <f>IF($A$4+140&gt;$B$4,"",$A$4+140)</f>
        <v>46163</v>
      </c>
      <c r="N14072">
        <f>IF(M14072="","",'Master Barang'!A66)</f>
        <v>0</v>
      </c>
      <c r="O14072">
        <f>IF(N14072="","",'Master Barang'!B66)</f>
        <v>0</v>
      </c>
      <c r="P14072">
        <f>IF(OR(M14072="",N14072=""),"",SUMIFS('Barang Keluar'!$E:$E,'Barang Keluar'!$A:$A,M14072,'Barang Keluar'!$C:$C,N14072))</f>
        <v>0</v>
      </c>
    </row>
    <row r="14073" spans="13:16">
      <c r="M14073" s="49">
        <f>IF($A$4+140&gt;$B$4,"",$A$4+140)</f>
        <v>46163</v>
      </c>
      <c r="N14073">
        <f>IF(M14073="","",'Master Barang'!A67)</f>
        <v>0</v>
      </c>
      <c r="O14073">
        <f>IF(N14073="","",'Master Barang'!B67)</f>
        <v>0</v>
      </c>
      <c r="P14073">
        <f>IF(OR(M14073="",N14073=""),"",SUMIFS('Barang Keluar'!$E:$E,'Barang Keluar'!$A:$A,M14073,'Barang Keluar'!$C:$C,N14073))</f>
        <v>0</v>
      </c>
    </row>
    <row r="14074" spans="13:16">
      <c r="M14074" s="49">
        <f>IF($A$4+140&gt;$B$4,"",$A$4+140)</f>
        <v>46163</v>
      </c>
      <c r="N14074">
        <f>IF(M14074="","",'Master Barang'!A68)</f>
        <v>0</v>
      </c>
      <c r="O14074">
        <f>IF(N14074="","",'Master Barang'!B68)</f>
        <v>0</v>
      </c>
      <c r="P14074">
        <f>IF(OR(M14074="",N14074=""),"",SUMIFS('Barang Keluar'!$E:$E,'Barang Keluar'!$A:$A,M14074,'Barang Keluar'!$C:$C,N14074))</f>
        <v>0</v>
      </c>
    </row>
    <row r="14075" spans="13:16">
      <c r="M14075" s="49">
        <f>IF($A$4+140&gt;$B$4,"",$A$4+140)</f>
        <v>46163</v>
      </c>
      <c r="N14075">
        <f>IF(M14075="","",'Master Barang'!A69)</f>
        <v>0</v>
      </c>
      <c r="O14075">
        <f>IF(N14075="","",'Master Barang'!B69)</f>
        <v>0</v>
      </c>
      <c r="P14075">
        <f>IF(OR(M14075="",N14075=""),"",SUMIFS('Barang Keluar'!$E:$E,'Barang Keluar'!$A:$A,M14075,'Barang Keluar'!$C:$C,N14075))</f>
        <v>0</v>
      </c>
    </row>
    <row r="14076" spans="13:16">
      <c r="M14076" s="49">
        <f>IF($A$4+140&gt;$B$4,"",$A$4+140)</f>
        <v>46163</v>
      </c>
      <c r="N14076">
        <f>IF(M14076="","",'Master Barang'!A70)</f>
        <v>0</v>
      </c>
      <c r="O14076">
        <f>IF(N14076="","",'Master Barang'!B70)</f>
        <v>0</v>
      </c>
      <c r="P14076">
        <f>IF(OR(M14076="",N14076=""),"",SUMIFS('Barang Keluar'!$E:$E,'Barang Keluar'!$A:$A,M14076,'Barang Keluar'!$C:$C,N14076))</f>
        <v>0</v>
      </c>
    </row>
    <row r="14077" spans="13:16">
      <c r="M14077" s="49">
        <f>IF($A$4+140&gt;$B$4,"",$A$4+140)</f>
        <v>46163</v>
      </c>
      <c r="N14077">
        <f>IF(M14077="","",'Master Barang'!A71)</f>
        <v>0</v>
      </c>
      <c r="O14077">
        <f>IF(N14077="","",'Master Barang'!B71)</f>
        <v>0</v>
      </c>
      <c r="P14077">
        <f>IF(OR(M14077="",N14077=""),"",SUMIFS('Barang Keluar'!$E:$E,'Barang Keluar'!$A:$A,M14077,'Barang Keluar'!$C:$C,N14077))</f>
        <v>0</v>
      </c>
    </row>
    <row r="14078" spans="13:16">
      <c r="M14078" s="49">
        <f>IF($A$4+140&gt;$B$4,"",$A$4+140)</f>
        <v>46163</v>
      </c>
      <c r="N14078">
        <f>IF(M14078="","",'Master Barang'!A72)</f>
        <v>0</v>
      </c>
      <c r="O14078">
        <f>IF(N14078="","",'Master Barang'!B72)</f>
        <v>0</v>
      </c>
      <c r="P14078">
        <f>IF(OR(M14078="",N14078=""),"",SUMIFS('Barang Keluar'!$E:$E,'Barang Keluar'!$A:$A,M14078,'Barang Keluar'!$C:$C,N14078))</f>
        <v>0</v>
      </c>
    </row>
    <row r="14079" spans="13:16">
      <c r="M14079" s="49">
        <f>IF($A$4+140&gt;$B$4,"",$A$4+140)</f>
        <v>46163</v>
      </c>
      <c r="N14079">
        <f>IF(M14079="","",'Master Barang'!A73)</f>
        <v>0</v>
      </c>
      <c r="O14079">
        <f>IF(N14079="","",'Master Barang'!B73)</f>
        <v>0</v>
      </c>
      <c r="P14079">
        <f>IF(OR(M14079="",N14079=""),"",SUMIFS('Barang Keluar'!$E:$E,'Barang Keluar'!$A:$A,M14079,'Barang Keluar'!$C:$C,N14079))</f>
        <v>0</v>
      </c>
    </row>
    <row r="14080" spans="13:16">
      <c r="M14080" s="49">
        <f>IF($A$4+140&gt;$B$4,"",$A$4+140)</f>
        <v>46163</v>
      </c>
      <c r="N14080">
        <f>IF(M14080="","",'Master Barang'!A74)</f>
        <v>0</v>
      </c>
      <c r="O14080">
        <f>IF(N14080="","",'Master Barang'!B74)</f>
        <v>0</v>
      </c>
      <c r="P14080">
        <f>IF(OR(M14080="",N14080=""),"",SUMIFS('Barang Keluar'!$E:$E,'Barang Keluar'!$A:$A,M14080,'Barang Keluar'!$C:$C,N14080))</f>
        <v>0</v>
      </c>
    </row>
    <row r="14081" spans="13:16">
      <c r="M14081" s="49">
        <f>IF($A$4+140&gt;$B$4,"",$A$4+140)</f>
        <v>46163</v>
      </c>
      <c r="N14081">
        <f>IF(M14081="","",'Master Barang'!A75)</f>
        <v>0</v>
      </c>
      <c r="O14081">
        <f>IF(N14081="","",'Master Barang'!B75)</f>
        <v>0</v>
      </c>
      <c r="P14081">
        <f>IF(OR(M14081="",N14081=""),"",SUMIFS('Barang Keluar'!$E:$E,'Barang Keluar'!$A:$A,M14081,'Barang Keluar'!$C:$C,N14081))</f>
        <v>0</v>
      </c>
    </row>
    <row r="14082" spans="13:16">
      <c r="M14082" s="49">
        <f>IF($A$4+140&gt;$B$4,"",$A$4+140)</f>
        <v>46163</v>
      </c>
      <c r="N14082">
        <f>IF(M14082="","",'Master Barang'!A76)</f>
        <v>0</v>
      </c>
      <c r="O14082">
        <f>IF(N14082="","",'Master Barang'!B76)</f>
        <v>0</v>
      </c>
      <c r="P14082">
        <f>IF(OR(M14082="",N14082=""),"",SUMIFS('Barang Keluar'!$E:$E,'Barang Keluar'!$A:$A,M14082,'Barang Keluar'!$C:$C,N14082))</f>
        <v>0</v>
      </c>
    </row>
    <row r="14083" spans="13:16">
      <c r="M14083" s="49">
        <f>IF($A$4+140&gt;$B$4,"",$A$4+140)</f>
        <v>46163</v>
      </c>
      <c r="N14083">
        <f>IF(M14083="","",'Master Barang'!A77)</f>
        <v>0</v>
      </c>
      <c r="O14083">
        <f>IF(N14083="","",'Master Barang'!B77)</f>
        <v>0</v>
      </c>
      <c r="P14083">
        <f>IF(OR(M14083="",N14083=""),"",SUMIFS('Barang Keluar'!$E:$E,'Barang Keluar'!$A:$A,M14083,'Barang Keluar'!$C:$C,N14083))</f>
        <v>0</v>
      </c>
    </row>
    <row r="14084" spans="13:16">
      <c r="M14084" s="49">
        <f>IF($A$4+140&gt;$B$4,"",$A$4+140)</f>
        <v>46163</v>
      </c>
      <c r="N14084">
        <f>IF(M14084="","",'Master Barang'!A78)</f>
        <v>0</v>
      </c>
      <c r="O14084">
        <f>IF(N14084="","",'Master Barang'!B78)</f>
        <v>0</v>
      </c>
      <c r="P14084">
        <f>IF(OR(M14084="",N14084=""),"",SUMIFS('Barang Keluar'!$E:$E,'Barang Keluar'!$A:$A,M14084,'Barang Keluar'!$C:$C,N14084))</f>
        <v>0</v>
      </c>
    </row>
    <row r="14085" spans="13:16">
      <c r="M14085" s="49">
        <f>IF($A$4+140&gt;$B$4,"",$A$4+140)</f>
        <v>46163</v>
      </c>
      <c r="N14085">
        <f>IF(M14085="","",'Master Barang'!A79)</f>
        <v>0</v>
      </c>
      <c r="O14085">
        <f>IF(N14085="","",'Master Barang'!B79)</f>
        <v>0</v>
      </c>
      <c r="P14085">
        <f>IF(OR(M14085="",N14085=""),"",SUMIFS('Barang Keluar'!$E:$E,'Barang Keluar'!$A:$A,M14085,'Barang Keluar'!$C:$C,N14085))</f>
        <v>0</v>
      </c>
    </row>
    <row r="14086" spans="13:16">
      <c r="M14086" s="49">
        <f>IF($A$4+140&gt;$B$4,"",$A$4+140)</f>
        <v>46163</v>
      </c>
      <c r="N14086">
        <f>IF(M14086="","",'Master Barang'!A80)</f>
        <v>0</v>
      </c>
      <c r="O14086">
        <f>IF(N14086="","",'Master Barang'!B80)</f>
        <v>0</v>
      </c>
      <c r="P14086">
        <f>IF(OR(M14086="",N14086=""),"",SUMIFS('Barang Keluar'!$E:$E,'Barang Keluar'!$A:$A,M14086,'Barang Keluar'!$C:$C,N14086))</f>
        <v>0</v>
      </c>
    </row>
    <row r="14087" spans="13:16">
      <c r="M14087" s="49">
        <f>IF($A$4+140&gt;$B$4,"",$A$4+140)</f>
        <v>46163</v>
      </c>
      <c r="N14087">
        <f>IF(M14087="","",'Master Barang'!A81)</f>
        <v>0</v>
      </c>
      <c r="O14087">
        <f>IF(N14087="","",'Master Barang'!B81)</f>
        <v>0</v>
      </c>
      <c r="P14087">
        <f>IF(OR(M14087="",N14087=""),"",SUMIFS('Barang Keluar'!$E:$E,'Barang Keluar'!$A:$A,M14087,'Barang Keluar'!$C:$C,N14087))</f>
        <v>0</v>
      </c>
    </row>
    <row r="14088" spans="13:16">
      <c r="M14088" s="49">
        <f>IF($A$4+140&gt;$B$4,"",$A$4+140)</f>
        <v>46163</v>
      </c>
      <c r="N14088">
        <f>IF(M14088="","",'Master Barang'!A82)</f>
        <v>0</v>
      </c>
      <c r="O14088">
        <f>IF(N14088="","",'Master Barang'!B82)</f>
        <v>0</v>
      </c>
      <c r="P14088">
        <f>IF(OR(M14088="",N14088=""),"",SUMIFS('Barang Keluar'!$E:$E,'Barang Keluar'!$A:$A,M14088,'Barang Keluar'!$C:$C,N14088))</f>
        <v>0</v>
      </c>
    </row>
    <row r="14089" spans="13:16">
      <c r="M14089" s="49">
        <f>IF($A$4+140&gt;$B$4,"",$A$4+140)</f>
        <v>46163</v>
      </c>
      <c r="N14089">
        <f>IF(M14089="","",'Master Barang'!A83)</f>
        <v>0</v>
      </c>
      <c r="O14089">
        <f>IF(N14089="","",'Master Barang'!B83)</f>
        <v>0</v>
      </c>
      <c r="P14089">
        <f>IF(OR(M14089="",N14089=""),"",SUMIFS('Barang Keluar'!$E:$E,'Barang Keluar'!$A:$A,M14089,'Barang Keluar'!$C:$C,N14089))</f>
        <v>0</v>
      </c>
    </row>
    <row r="14090" spans="13:16">
      <c r="M14090" s="49">
        <f>IF($A$4+140&gt;$B$4,"",$A$4+140)</f>
        <v>46163</v>
      </c>
      <c r="N14090">
        <f>IF(M14090="","",'Master Barang'!A84)</f>
        <v>0</v>
      </c>
      <c r="O14090">
        <f>IF(N14090="","",'Master Barang'!B84)</f>
        <v>0</v>
      </c>
      <c r="P14090">
        <f>IF(OR(M14090="",N14090=""),"",SUMIFS('Barang Keluar'!$E:$E,'Barang Keluar'!$A:$A,M14090,'Barang Keluar'!$C:$C,N14090))</f>
        <v>0</v>
      </c>
    </row>
    <row r="14091" spans="13:16">
      <c r="M14091" s="49">
        <f>IF($A$4+140&gt;$B$4,"",$A$4+140)</f>
        <v>46163</v>
      </c>
      <c r="N14091">
        <f>IF(M14091="","",'Master Barang'!A85)</f>
        <v>0</v>
      </c>
      <c r="O14091">
        <f>IF(N14091="","",'Master Barang'!B85)</f>
        <v>0</v>
      </c>
      <c r="P14091">
        <f>IF(OR(M14091="",N14091=""),"",SUMIFS('Barang Keluar'!$E:$E,'Barang Keluar'!$A:$A,M14091,'Barang Keluar'!$C:$C,N14091))</f>
        <v>0</v>
      </c>
    </row>
    <row r="14092" spans="13:16">
      <c r="M14092" s="49">
        <f>IF($A$4+140&gt;$B$4,"",$A$4+140)</f>
        <v>46163</v>
      </c>
      <c r="N14092">
        <f>IF(M14092="","",'Master Barang'!A86)</f>
        <v>0</v>
      </c>
      <c r="O14092">
        <f>IF(N14092="","",'Master Barang'!B86)</f>
        <v>0</v>
      </c>
      <c r="P14092">
        <f>IF(OR(M14092="",N14092=""),"",SUMIFS('Barang Keluar'!$E:$E,'Barang Keluar'!$A:$A,M14092,'Barang Keluar'!$C:$C,N14092))</f>
        <v>0</v>
      </c>
    </row>
    <row r="14093" spans="13:16">
      <c r="M14093" s="49">
        <f>IF($A$4+140&gt;$B$4,"",$A$4+140)</f>
        <v>46163</v>
      </c>
      <c r="N14093">
        <f>IF(M14093="","",'Master Barang'!A87)</f>
        <v>0</v>
      </c>
      <c r="O14093">
        <f>IF(N14093="","",'Master Barang'!B87)</f>
        <v>0</v>
      </c>
      <c r="P14093">
        <f>IF(OR(M14093="",N14093=""),"",SUMIFS('Barang Keluar'!$E:$E,'Barang Keluar'!$A:$A,M14093,'Barang Keluar'!$C:$C,N14093))</f>
        <v>0</v>
      </c>
    </row>
    <row r="14094" spans="13:16">
      <c r="M14094" s="49">
        <f>IF($A$4+140&gt;$B$4,"",$A$4+140)</f>
        <v>46163</v>
      </c>
      <c r="N14094">
        <f>IF(M14094="","",'Master Barang'!A88)</f>
        <v>0</v>
      </c>
      <c r="O14094">
        <f>IF(N14094="","",'Master Barang'!B88)</f>
        <v>0</v>
      </c>
      <c r="P14094">
        <f>IF(OR(M14094="",N14094=""),"",SUMIFS('Barang Keluar'!$E:$E,'Barang Keluar'!$A:$A,M14094,'Barang Keluar'!$C:$C,N14094))</f>
        <v>0</v>
      </c>
    </row>
    <row r="14095" spans="13:16">
      <c r="M14095" s="49">
        <f>IF($A$4+140&gt;$B$4,"",$A$4+140)</f>
        <v>46163</v>
      </c>
      <c r="N14095">
        <f>IF(M14095="","",'Master Barang'!A89)</f>
        <v>0</v>
      </c>
      <c r="O14095">
        <f>IF(N14095="","",'Master Barang'!B89)</f>
        <v>0</v>
      </c>
      <c r="P14095">
        <f>IF(OR(M14095="",N14095=""),"",SUMIFS('Barang Keluar'!$E:$E,'Barang Keluar'!$A:$A,M14095,'Barang Keluar'!$C:$C,N14095))</f>
        <v>0</v>
      </c>
    </row>
    <row r="14096" spans="13:16">
      <c r="M14096" s="49">
        <f>IF($A$4+140&gt;$B$4,"",$A$4+140)</f>
        <v>46163</v>
      </c>
      <c r="N14096">
        <f>IF(M14096="","",'Master Barang'!A90)</f>
        <v>0</v>
      </c>
      <c r="O14096">
        <f>IF(N14096="","",'Master Barang'!B90)</f>
        <v>0</v>
      </c>
      <c r="P14096">
        <f>IF(OR(M14096="",N14096=""),"",SUMIFS('Barang Keluar'!$E:$E,'Barang Keluar'!$A:$A,M14096,'Barang Keluar'!$C:$C,N14096))</f>
        <v>0</v>
      </c>
    </row>
    <row r="14097" spans="13:16">
      <c r="M14097" s="49">
        <f>IF($A$4+140&gt;$B$4,"",$A$4+140)</f>
        <v>46163</v>
      </c>
      <c r="N14097">
        <f>IF(M14097="","",'Master Barang'!A91)</f>
        <v>0</v>
      </c>
      <c r="O14097">
        <f>IF(N14097="","",'Master Barang'!B91)</f>
        <v>0</v>
      </c>
      <c r="P14097">
        <f>IF(OR(M14097="",N14097=""),"",SUMIFS('Barang Keluar'!$E:$E,'Barang Keluar'!$A:$A,M14097,'Barang Keluar'!$C:$C,N14097))</f>
        <v>0</v>
      </c>
    </row>
    <row r="14098" spans="13:16">
      <c r="M14098" s="49">
        <f>IF($A$4+140&gt;$B$4,"",$A$4+140)</f>
        <v>46163</v>
      </c>
      <c r="N14098">
        <f>IF(M14098="","",'Master Barang'!A92)</f>
        <v>0</v>
      </c>
      <c r="O14098">
        <f>IF(N14098="","",'Master Barang'!B92)</f>
        <v>0</v>
      </c>
      <c r="P14098">
        <f>IF(OR(M14098="",N14098=""),"",SUMIFS('Barang Keluar'!$E:$E,'Barang Keluar'!$A:$A,M14098,'Barang Keluar'!$C:$C,N14098))</f>
        <v>0</v>
      </c>
    </row>
    <row r="14099" spans="13:16">
      <c r="M14099" s="49">
        <f>IF($A$4+140&gt;$B$4,"",$A$4+140)</f>
        <v>46163</v>
      </c>
      <c r="N14099">
        <f>IF(M14099="","",'Master Barang'!A93)</f>
        <v>0</v>
      </c>
      <c r="O14099">
        <f>IF(N14099="","",'Master Barang'!B93)</f>
        <v>0</v>
      </c>
      <c r="P14099">
        <f>IF(OR(M14099="",N14099=""),"",SUMIFS('Barang Keluar'!$E:$E,'Barang Keluar'!$A:$A,M14099,'Barang Keluar'!$C:$C,N14099))</f>
        <v>0</v>
      </c>
    </row>
    <row r="14100" spans="13:16">
      <c r="M14100" s="49">
        <f>IF($A$4+140&gt;$B$4,"",$A$4+140)</f>
        <v>46163</v>
      </c>
      <c r="N14100">
        <f>IF(M14100="","",'Master Barang'!A94)</f>
        <v>0</v>
      </c>
      <c r="O14100">
        <f>IF(N14100="","",'Master Barang'!B94)</f>
        <v>0</v>
      </c>
      <c r="P14100">
        <f>IF(OR(M14100="",N14100=""),"",SUMIFS('Barang Keluar'!$E:$E,'Barang Keluar'!$A:$A,M14100,'Barang Keluar'!$C:$C,N14100))</f>
        <v>0</v>
      </c>
    </row>
    <row r="14101" spans="13:16">
      <c r="M14101" s="49">
        <f>IF($A$4+140&gt;$B$4,"",$A$4+140)</f>
        <v>46163</v>
      </c>
      <c r="N14101">
        <f>IF(M14101="","",'Master Barang'!A95)</f>
        <v>0</v>
      </c>
      <c r="O14101">
        <f>IF(N14101="","",'Master Barang'!B95)</f>
        <v>0</v>
      </c>
      <c r="P14101">
        <f>IF(OR(M14101="",N14101=""),"",SUMIFS('Barang Keluar'!$E:$E,'Barang Keluar'!$A:$A,M14101,'Barang Keluar'!$C:$C,N14101))</f>
        <v>0</v>
      </c>
    </row>
    <row r="14102" spans="13:16">
      <c r="M14102" s="49">
        <f>IF($A$4+140&gt;$B$4,"",$A$4+140)</f>
        <v>46163</v>
      </c>
      <c r="N14102">
        <f>IF(M14102="","",'Master Barang'!A96)</f>
        <v>0</v>
      </c>
      <c r="O14102">
        <f>IF(N14102="","",'Master Barang'!B96)</f>
        <v>0</v>
      </c>
      <c r="P14102">
        <f>IF(OR(M14102="",N14102=""),"",SUMIFS('Barang Keluar'!$E:$E,'Barang Keluar'!$A:$A,M14102,'Barang Keluar'!$C:$C,N14102))</f>
        <v>0</v>
      </c>
    </row>
    <row r="14103" spans="13:16">
      <c r="M14103" s="49">
        <f>IF($A$4+140&gt;$B$4,"",$A$4+140)</f>
        <v>46163</v>
      </c>
      <c r="N14103">
        <f>IF(M14103="","",'Master Barang'!A97)</f>
        <v>0</v>
      </c>
      <c r="O14103">
        <f>IF(N14103="","",'Master Barang'!B97)</f>
        <v>0</v>
      </c>
      <c r="P14103">
        <f>IF(OR(M14103="",N14103=""),"",SUMIFS('Barang Keluar'!$E:$E,'Barang Keluar'!$A:$A,M14103,'Barang Keluar'!$C:$C,N14103))</f>
        <v>0</v>
      </c>
    </row>
    <row r="14104" spans="13:16">
      <c r="M14104" s="49">
        <f>IF($A$4+140&gt;$B$4,"",$A$4+140)</f>
        <v>46163</v>
      </c>
      <c r="N14104">
        <f>IF(M14104="","",'Master Barang'!A98)</f>
        <v>0</v>
      </c>
      <c r="O14104">
        <f>IF(N14104="","",'Master Barang'!B98)</f>
        <v>0</v>
      </c>
      <c r="P14104">
        <f>IF(OR(M14104="",N14104=""),"",SUMIFS('Barang Keluar'!$E:$E,'Barang Keluar'!$A:$A,M14104,'Barang Keluar'!$C:$C,N14104))</f>
        <v>0</v>
      </c>
    </row>
    <row r="14105" spans="13:16">
      <c r="M14105" s="49">
        <f>IF($A$4+140&gt;$B$4,"",$A$4+140)</f>
        <v>46163</v>
      </c>
      <c r="N14105">
        <f>IF(M14105="","",'Master Barang'!A99)</f>
        <v>0</v>
      </c>
      <c r="O14105">
        <f>IF(N14105="","",'Master Barang'!B99)</f>
        <v>0</v>
      </c>
      <c r="P14105">
        <f>IF(OR(M14105="",N14105=""),"",SUMIFS('Barang Keluar'!$E:$E,'Barang Keluar'!$A:$A,M14105,'Barang Keluar'!$C:$C,N14105))</f>
        <v>0</v>
      </c>
    </row>
    <row r="14106" spans="13:16">
      <c r="M14106" s="49">
        <f>IF($A$4+140&gt;$B$4,"",$A$4+140)</f>
        <v>46163</v>
      </c>
      <c r="N14106">
        <f>IF(M14106="","",'Master Barang'!A100)</f>
        <v>0</v>
      </c>
      <c r="O14106">
        <f>IF(N14106="","",'Master Barang'!B100)</f>
        <v>0</v>
      </c>
      <c r="P14106">
        <f>IF(OR(M14106="",N14106=""),"",SUMIFS('Barang Keluar'!$E:$E,'Barang Keluar'!$A:$A,M14106,'Barang Keluar'!$C:$C,N14106))</f>
        <v>0</v>
      </c>
    </row>
    <row r="14107" spans="13:16">
      <c r="M14107" s="49">
        <f>IF($A$4+140&gt;$B$4,"",$A$4+140)</f>
        <v>46163</v>
      </c>
      <c r="N14107">
        <f>IF(M14107="","",'Master Barang'!A101)</f>
        <v>0</v>
      </c>
      <c r="O14107">
        <f>IF(N14107="","",'Master Barang'!B101)</f>
        <v>0</v>
      </c>
      <c r="P14107">
        <f>IF(OR(M14107="",N14107=""),"",SUMIFS('Barang Keluar'!$E:$E,'Barang Keluar'!$A:$A,M14107,'Barang Keluar'!$C:$C,N14107))</f>
        <v>0</v>
      </c>
    </row>
    <row r="14108" spans="13:16">
      <c r="M14108" s="49">
        <f>IF($A$4+141&gt;$B$4,"",$A$4+141)</f>
        <v>46164</v>
      </c>
      <c r="N14108" t="str">
        <f>IF(M14108="","",'Master Barang'!A2)</f>
        <v>PRL-001</v>
      </c>
      <c r="O14108" t="str">
        <f>IF(N14108="","",'Master Barang'!B2)</f>
        <v>natura desinfectant food grade 5l</v>
      </c>
      <c r="P14108">
        <f>IF(OR(M14108="",N14108=""),"",SUMIFS('Barang Keluar'!$E:$E,'Barang Keluar'!$A:$A,M14108,'Barang Keluar'!$C:$C,N14108))</f>
        <v>0</v>
      </c>
    </row>
    <row r="14109" spans="13:16">
      <c r="M14109" s="49">
        <f>IF($A$4+141&gt;$B$4,"",$A$4+141)</f>
        <v>46164</v>
      </c>
      <c r="N14109" t="str">
        <f>IF(M14109="","",'Master Barang'!A3)</f>
        <v>PRL-002</v>
      </c>
      <c r="O14109" t="str">
        <f>IF(N14109="","",'Master Barang'!B3)</f>
        <v>sunlight cairan pencuci piring 5l</v>
      </c>
      <c r="P14109">
        <f>IF(OR(M14109="",N14109=""),"",SUMIFS('Barang Keluar'!$E:$E,'Barang Keluar'!$A:$A,M14109,'Barang Keluar'!$C:$C,N14109))</f>
        <v>0</v>
      </c>
    </row>
    <row r="14110" spans="13:16">
      <c r="M14110" s="49">
        <f>IF($A$4+141&gt;$B$4,"",$A$4+141)</f>
        <v>46164</v>
      </c>
      <c r="N14110" t="str">
        <f>IF(M14110="","",'Master Barang'!A4)</f>
        <v>PRL-003</v>
      </c>
      <c r="O14110" t="str">
        <f>IF(N14110="","",'Master Barang'!B4)</f>
        <v>oixs cleaner 1l</v>
      </c>
      <c r="P14110">
        <f>IF(OR(M14110="",N14110=""),"",SUMIFS('Barang Keluar'!$E:$E,'Barang Keluar'!$A:$A,M14110,'Barang Keluar'!$C:$C,N14110))</f>
        <v>0</v>
      </c>
    </row>
    <row r="14111" spans="13:16">
      <c r="M14111" s="49">
        <f>IF($A$4+141&gt;$B$4,"",$A$4+141)</f>
        <v>46164</v>
      </c>
      <c r="N14111" t="str">
        <f>IF(M14111="","",'Master Barang'!A5)</f>
        <v>PRL-004</v>
      </c>
      <c r="O14111" t="str">
        <f>IF(N14111="","",'Master Barang'!B5)</f>
        <v>be clean tissue serbaguna</v>
      </c>
      <c r="P14111">
        <f>IF(OR(M14111="",N14111=""),"",SUMIFS('Barang Keluar'!$E:$E,'Barang Keluar'!$A:$A,M14111,'Barang Keluar'!$C:$C,N14111))</f>
        <v>0</v>
      </c>
    </row>
    <row r="14112" spans="13:16">
      <c r="M14112" s="49">
        <f>IF($A$4+141&gt;$B$4,"",$A$4+141)</f>
        <v>46164</v>
      </c>
      <c r="N14112" t="str">
        <f>IF(M14112="","",'Master Barang'!A6)</f>
        <v>PRL-005</v>
      </c>
      <c r="O14112" t="str">
        <f>IF(N14112="","",'Master Barang'!B6)</f>
        <v>spons cuci hijau</v>
      </c>
      <c r="P14112">
        <f>IF(OR(M14112="",N14112=""),"",SUMIFS('Barang Keluar'!$E:$E,'Barang Keluar'!$A:$A,M14112,'Barang Keluar'!$C:$C,N14112))</f>
        <v>0</v>
      </c>
    </row>
    <row r="14113" spans="13:16">
      <c r="M14113" s="49">
        <f>IF($A$4+141&gt;$B$4,"",$A$4+141)</f>
        <v>46164</v>
      </c>
      <c r="N14113" t="str">
        <f>IF(M14113="","",'Master Barang'!A7)</f>
        <v>PRL-006</v>
      </c>
      <c r="O14113" t="str">
        <f>IF(N14113="","",'Master Barang'!B7)</f>
        <v>sabut cuci stainless</v>
      </c>
      <c r="P14113">
        <f>IF(OR(M14113="",N14113=""),"",SUMIFS('Barang Keluar'!$E:$E,'Barang Keluar'!$A:$A,M14113,'Barang Keluar'!$C:$C,N14113))</f>
        <v>0</v>
      </c>
    </row>
    <row r="14114" spans="13:16">
      <c r="M14114" s="49">
        <f>IF($A$4+141&gt;$B$4,"",$A$4+141)</f>
        <v>46164</v>
      </c>
      <c r="N14114" t="str">
        <f>IF(M14114="","",'Master Barang'!A8)</f>
        <v>PRL-007</v>
      </c>
      <c r="O14114" t="str">
        <f>IF(N14114="","",'Master Barang'!B8)</f>
        <v>plastik kresek besar merah 50pc</v>
      </c>
      <c r="P14114">
        <f>IF(OR(M14114="",N14114=""),"",SUMIFS('Barang Keluar'!$E:$E,'Barang Keluar'!$A:$A,M14114,'Barang Keluar'!$C:$C,N14114))</f>
        <v>0</v>
      </c>
    </row>
    <row r="14115" spans="13:16">
      <c r="M14115" s="49">
        <f>IF($A$4+141&gt;$B$4,"",$A$4+141)</f>
        <v>46164</v>
      </c>
      <c r="N14115" t="str">
        <f>IF(M14115="","",'Master Barang'!A9)</f>
        <v>PRL-008</v>
      </c>
      <c r="O14115" t="str">
        <f>IF(N14115="","",'Master Barang'!B9)</f>
        <v>lap besar</v>
      </c>
      <c r="P14115">
        <f>IF(OR(M14115="",N14115=""),"",SUMIFS('Barang Keluar'!$E:$E,'Barang Keluar'!$A:$A,M14115,'Barang Keluar'!$C:$C,N14115))</f>
        <v>0</v>
      </c>
    </row>
    <row r="14116" spans="13:16">
      <c r="M14116" s="49">
        <f>IF($A$4+141&gt;$B$4,"",$A$4+141)</f>
        <v>46164</v>
      </c>
      <c r="N14116" t="str">
        <f>IF(M14116="","",'Master Barang'!A10)</f>
        <v>PRL-009</v>
      </c>
      <c r="O14116" t="str">
        <f>IF(N14116="","",'Master Barang'!B10)</f>
        <v>lap microfiber</v>
      </c>
      <c r="P14116">
        <f>IF(OR(M14116="",N14116=""),"",SUMIFS('Barang Keluar'!$E:$E,'Barang Keluar'!$A:$A,M14116,'Barang Keluar'!$C:$C,N14116))</f>
        <v>0</v>
      </c>
    </row>
    <row r="14117" spans="13:16">
      <c r="M14117" s="49">
        <f>IF($A$4+141&gt;$B$4,"",$A$4+141)</f>
        <v>46164</v>
      </c>
      <c r="N14117" t="str">
        <f>IF(M14117="","",'Master Barang'!A11)</f>
        <v>PRL-010</v>
      </c>
      <c r="O14117" t="str">
        <f>IF(N14117="","",'Master Barang'!B11)</f>
        <v>lap kecil</v>
      </c>
      <c r="P14117">
        <f>IF(OR(M14117="",N14117=""),"",SUMIFS('Barang Keluar'!$E:$E,'Barang Keluar'!$A:$A,M14117,'Barang Keluar'!$C:$C,N14117))</f>
        <v>0</v>
      </c>
    </row>
    <row r="14118" spans="13:16">
      <c r="M14118" s="49">
        <f>IF($A$4+141&gt;$B$4,"",$A$4+141)</f>
        <v>46164</v>
      </c>
      <c r="N14118" t="str">
        <f>IF(M14118="","",'Master Barang'!A12)</f>
        <v>PRL-011</v>
      </c>
      <c r="O14118" t="str">
        <f>IF(N14118="","",'Master Barang'!B12)</f>
        <v>kanebo kecil</v>
      </c>
      <c r="P14118">
        <f>IF(OR(M14118="",N14118=""),"",SUMIFS('Barang Keluar'!$E:$E,'Barang Keluar'!$A:$A,M14118,'Barang Keluar'!$C:$C,N14118))</f>
        <v>0</v>
      </c>
    </row>
    <row r="14119" spans="13:16">
      <c r="M14119" s="49">
        <f>IF($A$4+141&gt;$B$4,"",$A$4+141)</f>
        <v>46164</v>
      </c>
      <c r="N14119" t="str">
        <f>IF(M14119="","",'Master Barang'!A13)</f>
        <v>PRL-012</v>
      </c>
      <c r="O14119" t="str">
        <f>IF(N14119="","",'Master Barang'!B13)</f>
        <v>plastik 1/4kg joyoboyo 100 lembar</v>
      </c>
      <c r="P14119">
        <f>IF(OR(M14119="",N14119=""),"",SUMIFS('Barang Keluar'!$E:$E,'Barang Keluar'!$A:$A,M14119,'Barang Keluar'!$C:$C,N14119))</f>
        <v>0</v>
      </c>
    </row>
    <row r="14120" spans="13:16">
      <c r="M14120" s="49">
        <f>IF($A$4+141&gt;$B$4,"",$A$4+141)</f>
        <v>46164</v>
      </c>
      <c r="N14120" t="str">
        <f>IF(M14120="","",'Master Barang'!A14)</f>
        <v>PRL-013</v>
      </c>
      <c r="O14120" t="str">
        <f>IF(N14120="","",'Master Barang'!B14)</f>
        <v>sarung tangan plastik kaka 100 pcs</v>
      </c>
      <c r="P14120">
        <f>IF(OR(M14120="",N14120=""),"",SUMIFS('Barang Keluar'!$E:$E,'Barang Keluar'!$A:$A,M14120,'Barang Keluar'!$C:$C,N14120))</f>
        <v>0</v>
      </c>
    </row>
    <row r="14121" spans="13:16">
      <c r="M14121" s="49">
        <f>IF($A$4+141&gt;$B$4,"",$A$4+141)</f>
        <v>46164</v>
      </c>
      <c r="N14121" t="str">
        <f>IF(M14121="","",'Master Barang'!A15)</f>
        <v>PRL-014</v>
      </c>
      <c r="O14121" t="str">
        <f>IF(N14121="","",'Master Barang'!B15)</f>
        <v>optima trashbag 80x100</v>
      </c>
      <c r="P14121">
        <f>IF(OR(M14121="",N14121=""),"",SUMIFS('Barang Keluar'!$E:$E,'Barang Keluar'!$A:$A,M14121,'Barang Keluar'!$C:$C,N14121))</f>
        <v>0</v>
      </c>
    </row>
    <row r="14122" spans="13:16">
      <c r="M14122" s="49">
        <f>IF($A$4+141&gt;$B$4,"",$A$4+141)</f>
        <v>46164</v>
      </c>
      <c r="N14122" t="str">
        <f>IF(M14122="","",'Master Barang'!A16)</f>
        <v>PRL-015</v>
      </c>
      <c r="O14122" t="str">
        <f>IF(N14122="","",'Master Barang'!B16)</f>
        <v>optima trashbag 60x100</v>
      </c>
      <c r="P14122">
        <f>IF(OR(M14122="",N14122=""),"",SUMIFS('Barang Keluar'!$E:$E,'Barang Keluar'!$A:$A,M14122,'Barang Keluar'!$C:$C,N14122))</f>
        <v>0</v>
      </c>
    </row>
    <row r="14123" spans="13:16">
      <c r="M14123" s="49">
        <f>IF($A$4+141&gt;$B$4,"",$A$4+141)</f>
        <v>46164</v>
      </c>
      <c r="N14123" t="str">
        <f>IF(M14123="","",'Master Barang'!A17)</f>
        <v>PRL-016</v>
      </c>
      <c r="O14123" t="str">
        <f>IF(N14123="","",'Master Barang'!B17)</f>
        <v>rajawali trashbag 30x40</v>
      </c>
      <c r="P14123">
        <f>IF(OR(M14123="",N14123=""),"",SUMIFS('Barang Keluar'!$E:$E,'Barang Keluar'!$A:$A,M14123,'Barang Keluar'!$C:$C,N14123))</f>
        <v>0</v>
      </c>
    </row>
    <row r="14124" spans="13:16">
      <c r="M14124" s="49">
        <f>IF($A$4+141&gt;$B$4,"",$A$4+141)</f>
        <v>46164</v>
      </c>
      <c r="N14124" t="str">
        <f>IF(M14124="","",'Master Barang'!A18)</f>
        <v>PRL-017</v>
      </c>
      <c r="O14124" t="str">
        <f>IF(N14124="","",'Master Barang'!B18)</f>
        <v>onemed masker biru 3 play 50 pcs</v>
      </c>
      <c r="P14124">
        <f>IF(OR(M14124="",N14124=""),"",SUMIFS('Barang Keluar'!$E:$E,'Barang Keluar'!$A:$A,M14124,'Barang Keluar'!$C:$C,N14124))</f>
        <v>0</v>
      </c>
    </row>
    <row r="14125" spans="13:16">
      <c r="M14125" s="49">
        <f>IF($A$4+141&gt;$B$4,"",$A$4+141)</f>
        <v>46164</v>
      </c>
      <c r="N14125" t="str">
        <f>IF(M14125="","",'Master Barang'!A19)</f>
        <v>PRL-018</v>
      </c>
      <c r="O14125" t="str">
        <f>IF(N14125="","",'Master Barang'!B19)</f>
        <v>onemed masker biru 3 play hijab 50 pcs</v>
      </c>
      <c r="P14125">
        <f>IF(OR(M14125="",N14125=""),"",SUMIFS('Barang Keluar'!$E:$E,'Barang Keluar'!$A:$A,M14125,'Barang Keluar'!$C:$C,N14125))</f>
        <v>0</v>
      </c>
    </row>
    <row r="14126" spans="13:16">
      <c r="M14126" s="49">
        <f>IF($A$4+141&gt;$B$4,"",$A$4+141)</f>
        <v>46164</v>
      </c>
      <c r="N14126" t="str">
        <f>IF(M14126="","",'Master Barang'!A20)</f>
        <v>PRL-019</v>
      </c>
      <c r="O14126" t="str">
        <f>IF(N14126="","",'Master Barang'!B20)</f>
        <v>neo health masker biru 3 play 50 pcs</v>
      </c>
      <c r="P14126">
        <f>IF(OR(M14126="",N14126=""),"",SUMIFS('Barang Keluar'!$E:$E,'Barang Keluar'!$A:$A,M14126,'Barang Keluar'!$C:$C,N14126))</f>
        <v>0</v>
      </c>
    </row>
    <row r="14127" spans="13:16">
      <c r="M14127" s="49">
        <f>IF($A$4+141&gt;$B$4,"",$A$4+141)</f>
        <v>46164</v>
      </c>
      <c r="N14127" t="str">
        <f>IF(M14127="","",'Master Barang'!A21)</f>
        <v>PRL-020</v>
      </c>
      <c r="O14127" t="str">
        <f>IF(N14127="","",'Master Barang'!B21)</f>
        <v>baymed masker hijau 3 play hijau 50 pcs</v>
      </c>
      <c r="P14127">
        <f>IF(OR(M14127="",N14127=""),"",SUMIFS('Barang Keluar'!$E:$E,'Barang Keluar'!$A:$A,M14127,'Barang Keluar'!$C:$C,N14127))</f>
        <v>0</v>
      </c>
    </row>
    <row r="14128" spans="13:16">
      <c r="M14128" s="49">
        <f>IF($A$4+141&gt;$B$4,"",$A$4+141)</f>
        <v>46164</v>
      </c>
      <c r="N14128" t="str">
        <f>IF(M14128="","",'Master Barang'!A22)</f>
        <v>PRL-021</v>
      </c>
      <c r="O14128" t="str">
        <f>IF(N14128="","",'Master Barang'!B22)</f>
        <v>altamed nurse cap penutup kepala 100 pcs</v>
      </c>
      <c r="P14128">
        <f>IF(OR(M14128="",N14128=""),"",SUMIFS('Barang Keluar'!$E:$E,'Barang Keluar'!$A:$A,M14128,'Barang Keluar'!$C:$C,N14128))</f>
        <v>0</v>
      </c>
    </row>
    <row r="14129" spans="13:16">
      <c r="M14129" s="49">
        <f>IF($A$4+141&gt;$B$4,"",$A$4+141)</f>
        <v>46164</v>
      </c>
      <c r="N14129" t="str">
        <f>IF(M14129="","",'Master Barang'!A23)</f>
        <v>PRL-022</v>
      </c>
      <c r="O14129" t="str">
        <f>IF(N14129="","",'Master Barang'!B23)</f>
        <v>sabun cuci tangan</v>
      </c>
      <c r="P14129">
        <f>IF(OR(M14129="",N14129=""),"",SUMIFS('Barang Keluar'!$E:$E,'Barang Keluar'!$A:$A,M14129,'Barang Keluar'!$C:$C,N14129))</f>
        <v>0</v>
      </c>
    </row>
    <row r="14130" spans="13:16">
      <c r="M14130" s="49">
        <f>IF($A$4+141&gt;$B$4,"",$A$4+141)</f>
        <v>46164</v>
      </c>
      <c r="N14130" t="str">
        <f>IF(M14130="","",'Master Barang'!A24)</f>
        <v>PRL-023</v>
      </c>
      <c r="O14130" t="str">
        <f>IF(N14130="","",'Master Barang'!B24)</f>
        <v>gayung kecil</v>
      </c>
      <c r="P14130">
        <f>IF(OR(M14130="",N14130=""),"",SUMIFS('Barang Keluar'!$E:$E,'Barang Keluar'!$A:$A,M14130,'Barang Keluar'!$C:$C,N14130))</f>
        <v>0</v>
      </c>
    </row>
    <row r="14131" spans="13:16">
      <c r="M14131" s="49">
        <f>IF($A$4+141&gt;$B$4,"",$A$4+141)</f>
        <v>46164</v>
      </c>
      <c r="N14131" t="str">
        <f>IF(M14131="","",'Master Barang'!A25)</f>
        <v>PRL-024</v>
      </c>
      <c r="O14131" t="str">
        <f>IF(N14131="","",'Master Barang'!B25)</f>
        <v>cikrak kecil</v>
      </c>
      <c r="P14131">
        <f>IF(OR(M14131="",N14131=""),"",SUMIFS('Barang Keluar'!$E:$E,'Barang Keluar'!$A:$A,M14131,'Barang Keluar'!$C:$C,N14131))</f>
        <v>0</v>
      </c>
    </row>
    <row r="14132" spans="13:16">
      <c r="M14132" s="49">
        <f>IF($A$4+141&gt;$B$4,"",$A$4+141)</f>
        <v>46164</v>
      </c>
      <c r="N14132" t="str">
        <f>IF(M14132="","",'Master Barang'!A26)</f>
        <v>PRL-025</v>
      </c>
      <c r="O14132" t="str">
        <f>IF(N14132="","",'Master Barang'!B26)</f>
        <v>petromax plastik kecil 12x24 100 lembar</v>
      </c>
      <c r="P14132">
        <f>IF(OR(M14132="",N14132=""),"",SUMIFS('Barang Keluar'!$E:$E,'Barang Keluar'!$A:$A,M14132,'Barang Keluar'!$C:$C,N14132))</f>
        <v>0</v>
      </c>
    </row>
    <row r="14133" spans="13:16">
      <c r="M14133" s="49">
        <f>IF($A$4+141&gt;$B$4,"",$A$4+141)</f>
        <v>46164</v>
      </c>
      <c r="N14133" t="str">
        <f>IF(M14133="","",'Master Barang'!A27)</f>
        <v>PRL-026</v>
      </c>
      <c r="O14133" t="str">
        <f>IF(N14133="","",'Master Barang'!B27)</f>
        <v>lancar kresek kecil bening </v>
      </c>
      <c r="P14133">
        <f>IF(OR(M14133="",N14133=""),"",SUMIFS('Barang Keluar'!$E:$E,'Barang Keluar'!$A:$A,M14133,'Barang Keluar'!$C:$C,N14133))</f>
        <v>0</v>
      </c>
    </row>
    <row r="14134" spans="13:16">
      <c r="M14134" s="49">
        <f>IF($A$4+141&gt;$B$4,"",$A$4+141)</f>
        <v>46164</v>
      </c>
      <c r="N14134" t="str">
        <f>IF(M14134="","",'Master Barang'!A28)</f>
        <v>PRL-027</v>
      </c>
      <c r="O14134" t="str">
        <f>IF(N14134="","",'Master Barang'!B28)</f>
        <v>kresek klin warna warni kecil</v>
      </c>
      <c r="P14134">
        <f>IF(OR(M14134="",N14134=""),"",SUMIFS('Barang Keluar'!$E:$E,'Barang Keluar'!$A:$A,M14134,'Barang Keluar'!$C:$C,N14134))</f>
        <v>0</v>
      </c>
    </row>
    <row r="14135" spans="13:16">
      <c r="M14135" s="49">
        <f>IF($A$4+141&gt;$B$4,"",$A$4+141)</f>
        <v>46164</v>
      </c>
      <c r="N14135" t="str">
        <f>IF(M14135="","",'Master Barang'!A29)</f>
        <v>PRL-028</v>
      </c>
      <c r="O14135" t="str">
        <f>IF(N14135="","",'Master Barang'!B29)</f>
        <v>ctik plastik 7x10 100 pcs</v>
      </c>
      <c r="P14135">
        <f>IF(OR(M14135="",N14135=""),"",SUMIFS('Barang Keluar'!$E:$E,'Barang Keluar'!$A:$A,M14135,'Barang Keluar'!$C:$C,N14135))</f>
        <v>0</v>
      </c>
    </row>
    <row r="14136" spans="13:16">
      <c r="M14136" s="49">
        <f>IF($A$4+141&gt;$B$4,"",$A$4+141)</f>
        <v>46164</v>
      </c>
      <c r="N14136" t="str">
        <f>IF(M14136="","",'Master Barang'!A30)</f>
        <v>PRL-029</v>
      </c>
      <c r="O14136" t="str">
        <f>IF(N14136="","",'Master Barang'!B30)</f>
        <v>ctik plastik 6x10 100 pcs</v>
      </c>
      <c r="P14136">
        <f>IF(OR(M14136="",N14136=""),"",SUMIFS('Barang Keluar'!$E:$E,'Barang Keluar'!$A:$A,M14136,'Barang Keluar'!$C:$C,N14136))</f>
        <v>0</v>
      </c>
    </row>
    <row r="14137" spans="13:16">
      <c r="M14137" s="49">
        <f>IF($A$4+141&gt;$B$4,"",$A$4+141)</f>
        <v>46164</v>
      </c>
      <c r="N14137" t="str">
        <f>IF(M14137="","",'Master Barang'!A31)</f>
        <v>PRL-030</v>
      </c>
      <c r="O14137" t="str">
        <f>IF(N14137="","",'Master Barang'!B31)</f>
        <v>klip plastik 25x16 100 pcs</v>
      </c>
      <c r="P14137">
        <f>IF(OR(M14137="",N14137=""),"",SUMIFS('Barang Keluar'!$E:$E,'Barang Keluar'!$A:$A,M14137,'Barang Keluar'!$C:$C,N14137))</f>
        <v>0</v>
      </c>
    </row>
    <row r="14138" spans="13:16">
      <c r="M14138" s="49">
        <f>IF($A$4+141&gt;$B$4,"",$A$4+141)</f>
        <v>46164</v>
      </c>
      <c r="N14138" t="str">
        <f>IF(M14138="","",'Master Barang'!A32)</f>
        <v>PRL-031</v>
      </c>
      <c r="O14138" t="str">
        <f>IF(N14138="","",'Master Barang'!B32)</f>
        <v>tempat saus 20 ml</v>
      </c>
      <c r="P14138">
        <f>IF(OR(M14138="",N14138=""),"",SUMIFS('Barang Keluar'!$E:$E,'Barang Keluar'!$A:$A,M14138,'Barang Keluar'!$C:$C,N14138))</f>
        <v>0</v>
      </c>
    </row>
    <row r="14139" spans="13:16">
      <c r="M14139" s="49">
        <f>IF($A$4+141&gt;$B$4,"",$A$4+141)</f>
        <v>46164</v>
      </c>
      <c r="N14139" t="str">
        <f>IF(M14139="","",'Master Barang'!A33)</f>
        <v>PRL-032</v>
      </c>
      <c r="O14139" t="str">
        <f>IF(N14139="","",'Master Barang'!B33)</f>
        <v>plastik packaging ag box uk sedang</v>
      </c>
      <c r="P14139">
        <f>IF(OR(M14139="",N14139=""),"",SUMIFS('Barang Keluar'!$E:$E,'Barang Keluar'!$A:$A,M14139,'Barang Keluar'!$C:$C,N14139))</f>
        <v>0</v>
      </c>
    </row>
    <row r="14140" spans="13:16">
      <c r="M14140" s="49">
        <f>IF($A$4+141&gt;$B$4,"",$A$4+141)</f>
        <v>46164</v>
      </c>
      <c r="N14140" t="str">
        <f>IF(M14140="","",'Master Barang'!A34)</f>
        <v>PRL-033</v>
      </c>
      <c r="O14140">
        <f>IF(N14140="","",'Master Barang'!B34)</f>
        <v>0</v>
      </c>
      <c r="P14140">
        <f>IF(OR(M14140="",N14140=""),"",SUMIFS('Barang Keluar'!$E:$E,'Barang Keluar'!$A:$A,M14140,'Barang Keluar'!$C:$C,N14140))</f>
        <v>0</v>
      </c>
    </row>
    <row r="14141" spans="13:16">
      <c r="M14141" s="49">
        <f>IF($A$4+141&gt;$B$4,"",$A$4+141)</f>
        <v>46164</v>
      </c>
      <c r="N14141">
        <f>IF(M14141="","",'Master Barang'!A35)</f>
        <v>0</v>
      </c>
      <c r="O14141">
        <f>IF(N14141="","",'Master Barang'!B35)</f>
        <v>0</v>
      </c>
      <c r="P14141">
        <f>IF(OR(M14141="",N14141=""),"",SUMIFS('Barang Keluar'!$E:$E,'Barang Keluar'!$A:$A,M14141,'Barang Keluar'!$C:$C,N14141))</f>
        <v>0</v>
      </c>
    </row>
    <row r="14142" spans="13:16">
      <c r="M14142" s="49">
        <f>IF($A$4+141&gt;$B$4,"",$A$4+141)</f>
        <v>46164</v>
      </c>
      <c r="N14142">
        <f>IF(M14142="","",'Master Barang'!A36)</f>
        <v>0</v>
      </c>
      <c r="O14142">
        <f>IF(N14142="","",'Master Barang'!B36)</f>
        <v>0</v>
      </c>
      <c r="P14142">
        <f>IF(OR(M14142="",N14142=""),"",SUMIFS('Barang Keluar'!$E:$E,'Barang Keluar'!$A:$A,M14142,'Barang Keluar'!$C:$C,N14142))</f>
        <v>0</v>
      </c>
    </row>
    <row r="14143" spans="13:16">
      <c r="M14143" s="49">
        <f>IF($A$4+141&gt;$B$4,"",$A$4+141)</f>
        <v>46164</v>
      </c>
      <c r="N14143">
        <f>IF(M14143="","",'Master Barang'!A37)</f>
        <v>0</v>
      </c>
      <c r="O14143">
        <f>IF(N14143="","",'Master Barang'!B37)</f>
        <v>0</v>
      </c>
      <c r="P14143">
        <f>IF(OR(M14143="",N14143=""),"",SUMIFS('Barang Keluar'!$E:$E,'Barang Keluar'!$A:$A,M14143,'Barang Keluar'!$C:$C,N14143))</f>
        <v>0</v>
      </c>
    </row>
    <row r="14144" spans="13:16">
      <c r="M14144" s="49">
        <f>IF($A$4+141&gt;$B$4,"",$A$4+141)</f>
        <v>46164</v>
      </c>
      <c r="N14144">
        <f>IF(M14144="","",'Master Barang'!A38)</f>
        <v>0</v>
      </c>
      <c r="O14144">
        <f>IF(N14144="","",'Master Barang'!B38)</f>
        <v>0</v>
      </c>
      <c r="P14144">
        <f>IF(OR(M14144="",N14144=""),"",SUMIFS('Barang Keluar'!$E:$E,'Barang Keluar'!$A:$A,M14144,'Barang Keluar'!$C:$C,N14144))</f>
        <v>0</v>
      </c>
    </row>
    <row r="14145" spans="13:16">
      <c r="M14145" s="49">
        <f>IF($A$4+141&gt;$B$4,"",$A$4+141)</f>
        <v>46164</v>
      </c>
      <c r="N14145">
        <f>IF(M14145="","",'Master Barang'!A39)</f>
        <v>0</v>
      </c>
      <c r="O14145">
        <f>IF(N14145="","",'Master Barang'!B39)</f>
        <v>0</v>
      </c>
      <c r="P14145">
        <f>IF(OR(M14145="",N14145=""),"",SUMIFS('Barang Keluar'!$E:$E,'Barang Keluar'!$A:$A,M14145,'Barang Keluar'!$C:$C,N14145))</f>
        <v>0</v>
      </c>
    </row>
    <row r="14146" spans="13:16">
      <c r="M14146" s="49">
        <f>IF($A$4+141&gt;$B$4,"",$A$4+141)</f>
        <v>46164</v>
      </c>
      <c r="N14146">
        <f>IF(M14146="","",'Master Barang'!A40)</f>
        <v>0</v>
      </c>
      <c r="O14146">
        <f>IF(N14146="","",'Master Barang'!B40)</f>
        <v>0</v>
      </c>
      <c r="P14146">
        <f>IF(OR(M14146="",N14146=""),"",SUMIFS('Barang Keluar'!$E:$E,'Barang Keluar'!$A:$A,M14146,'Barang Keluar'!$C:$C,N14146))</f>
        <v>0</v>
      </c>
    </row>
    <row r="14147" spans="13:16">
      <c r="M14147" s="49">
        <f>IF($A$4+141&gt;$B$4,"",$A$4+141)</f>
        <v>46164</v>
      </c>
      <c r="N14147">
        <f>IF(M14147="","",'Master Barang'!A41)</f>
        <v>0</v>
      </c>
      <c r="O14147">
        <f>IF(N14147="","",'Master Barang'!B41)</f>
        <v>0</v>
      </c>
      <c r="P14147">
        <f>IF(OR(M14147="",N14147=""),"",SUMIFS('Barang Keluar'!$E:$E,'Barang Keluar'!$A:$A,M14147,'Barang Keluar'!$C:$C,N14147))</f>
        <v>0</v>
      </c>
    </row>
    <row r="14148" spans="13:16">
      <c r="M14148" s="49">
        <f>IF($A$4+141&gt;$B$4,"",$A$4+141)</f>
        <v>46164</v>
      </c>
      <c r="N14148">
        <f>IF(M14148="","",'Master Barang'!A42)</f>
        <v>0</v>
      </c>
      <c r="O14148">
        <f>IF(N14148="","",'Master Barang'!B42)</f>
        <v>0</v>
      </c>
      <c r="P14148">
        <f>IF(OR(M14148="",N14148=""),"",SUMIFS('Barang Keluar'!$E:$E,'Barang Keluar'!$A:$A,M14148,'Barang Keluar'!$C:$C,N14148))</f>
        <v>0</v>
      </c>
    </row>
    <row r="14149" spans="13:16">
      <c r="M14149" s="49">
        <f>IF($A$4+141&gt;$B$4,"",$A$4+141)</f>
        <v>46164</v>
      </c>
      <c r="N14149">
        <f>IF(M14149="","",'Master Barang'!A43)</f>
        <v>0</v>
      </c>
      <c r="O14149">
        <f>IF(N14149="","",'Master Barang'!B43)</f>
        <v>0</v>
      </c>
      <c r="P14149">
        <f>IF(OR(M14149="",N14149=""),"",SUMIFS('Barang Keluar'!$E:$E,'Barang Keluar'!$A:$A,M14149,'Barang Keluar'!$C:$C,N14149))</f>
        <v>0</v>
      </c>
    </row>
    <row r="14150" spans="13:16">
      <c r="M14150" s="49">
        <f>IF($A$4+141&gt;$B$4,"",$A$4+141)</f>
        <v>46164</v>
      </c>
      <c r="N14150">
        <f>IF(M14150="","",'Master Barang'!A44)</f>
        <v>0</v>
      </c>
      <c r="O14150">
        <f>IF(N14150="","",'Master Barang'!B44)</f>
        <v>0</v>
      </c>
      <c r="P14150">
        <f>IF(OR(M14150="",N14150=""),"",SUMIFS('Barang Keluar'!$E:$E,'Barang Keluar'!$A:$A,M14150,'Barang Keluar'!$C:$C,N14150))</f>
        <v>0</v>
      </c>
    </row>
    <row r="14151" spans="13:16">
      <c r="M14151" s="49">
        <f>IF($A$4+141&gt;$B$4,"",$A$4+141)</f>
        <v>46164</v>
      </c>
      <c r="N14151">
        <f>IF(M14151="","",'Master Barang'!A45)</f>
        <v>0</v>
      </c>
      <c r="O14151">
        <f>IF(N14151="","",'Master Barang'!B45)</f>
        <v>0</v>
      </c>
      <c r="P14151">
        <f>IF(OR(M14151="",N14151=""),"",SUMIFS('Barang Keluar'!$E:$E,'Barang Keluar'!$A:$A,M14151,'Barang Keluar'!$C:$C,N14151))</f>
        <v>0</v>
      </c>
    </row>
    <row r="14152" spans="13:16">
      <c r="M14152" s="49">
        <f>IF($A$4+141&gt;$B$4,"",$A$4+141)</f>
        <v>46164</v>
      </c>
      <c r="N14152">
        <f>IF(M14152="","",'Master Barang'!A46)</f>
        <v>0</v>
      </c>
      <c r="O14152">
        <f>IF(N14152="","",'Master Barang'!B46)</f>
        <v>0</v>
      </c>
      <c r="P14152">
        <f>IF(OR(M14152="",N14152=""),"",SUMIFS('Barang Keluar'!$E:$E,'Barang Keluar'!$A:$A,M14152,'Barang Keluar'!$C:$C,N14152))</f>
        <v>0</v>
      </c>
    </row>
    <row r="14153" spans="13:16">
      <c r="M14153" s="49">
        <f>IF($A$4+141&gt;$B$4,"",$A$4+141)</f>
        <v>46164</v>
      </c>
      <c r="N14153">
        <f>IF(M14153="","",'Master Barang'!A47)</f>
        <v>0</v>
      </c>
      <c r="O14153">
        <f>IF(N14153="","",'Master Barang'!B47)</f>
        <v>0</v>
      </c>
      <c r="P14153">
        <f>IF(OR(M14153="",N14153=""),"",SUMIFS('Barang Keluar'!$E:$E,'Barang Keluar'!$A:$A,M14153,'Barang Keluar'!$C:$C,N14153))</f>
        <v>0</v>
      </c>
    </row>
    <row r="14154" spans="13:16">
      <c r="M14154" s="49">
        <f>IF($A$4+141&gt;$B$4,"",$A$4+141)</f>
        <v>46164</v>
      </c>
      <c r="N14154">
        <f>IF(M14154="","",'Master Barang'!A48)</f>
        <v>0</v>
      </c>
      <c r="O14154">
        <f>IF(N14154="","",'Master Barang'!B48)</f>
        <v>0</v>
      </c>
      <c r="P14154">
        <f>IF(OR(M14154="",N14154=""),"",SUMIFS('Barang Keluar'!$E:$E,'Barang Keluar'!$A:$A,M14154,'Barang Keluar'!$C:$C,N14154))</f>
        <v>0</v>
      </c>
    </row>
    <row r="14155" spans="13:16">
      <c r="M14155" s="49">
        <f>IF($A$4+141&gt;$B$4,"",$A$4+141)</f>
        <v>46164</v>
      </c>
      <c r="N14155">
        <f>IF(M14155="","",'Master Barang'!A49)</f>
        <v>0</v>
      </c>
      <c r="O14155">
        <f>IF(N14155="","",'Master Barang'!B49)</f>
        <v>0</v>
      </c>
      <c r="P14155">
        <f>IF(OR(M14155="",N14155=""),"",SUMIFS('Barang Keluar'!$E:$E,'Barang Keluar'!$A:$A,M14155,'Barang Keluar'!$C:$C,N14155))</f>
        <v>0</v>
      </c>
    </row>
    <row r="14156" spans="13:16">
      <c r="M14156" s="49">
        <f>IF($A$4+141&gt;$B$4,"",$A$4+141)</f>
        <v>46164</v>
      </c>
      <c r="N14156">
        <f>IF(M14156="","",'Master Barang'!A50)</f>
        <v>0</v>
      </c>
      <c r="O14156">
        <f>IF(N14156="","",'Master Barang'!B50)</f>
        <v>0</v>
      </c>
      <c r="P14156">
        <f>IF(OR(M14156="",N14156=""),"",SUMIFS('Barang Keluar'!$E:$E,'Barang Keluar'!$A:$A,M14156,'Barang Keluar'!$C:$C,N14156))</f>
        <v>0</v>
      </c>
    </row>
    <row r="14157" spans="13:16">
      <c r="M14157" s="49">
        <f>IF($A$4+141&gt;$B$4,"",$A$4+141)</f>
        <v>46164</v>
      </c>
      <c r="N14157">
        <f>IF(M14157="","",'Master Barang'!A51)</f>
        <v>0</v>
      </c>
      <c r="O14157">
        <f>IF(N14157="","",'Master Barang'!B51)</f>
        <v>0</v>
      </c>
      <c r="P14157">
        <f>IF(OR(M14157="",N14157=""),"",SUMIFS('Barang Keluar'!$E:$E,'Barang Keluar'!$A:$A,M14157,'Barang Keluar'!$C:$C,N14157))</f>
        <v>0</v>
      </c>
    </row>
    <row r="14158" spans="13:16">
      <c r="M14158" s="49">
        <f>IF($A$4+141&gt;$B$4,"",$A$4+141)</f>
        <v>46164</v>
      </c>
      <c r="N14158">
        <f>IF(M14158="","",'Master Barang'!A52)</f>
        <v>0</v>
      </c>
      <c r="O14158">
        <f>IF(N14158="","",'Master Barang'!B52)</f>
        <v>0</v>
      </c>
      <c r="P14158">
        <f>IF(OR(M14158="",N14158=""),"",SUMIFS('Barang Keluar'!$E:$E,'Barang Keluar'!$A:$A,M14158,'Barang Keluar'!$C:$C,N14158))</f>
        <v>0</v>
      </c>
    </row>
    <row r="14159" spans="13:16">
      <c r="M14159" s="49">
        <f>IF($A$4+141&gt;$B$4,"",$A$4+141)</f>
        <v>46164</v>
      </c>
      <c r="N14159">
        <f>IF(M14159="","",'Master Barang'!A53)</f>
        <v>0</v>
      </c>
      <c r="O14159">
        <f>IF(N14159="","",'Master Barang'!B53)</f>
        <v>0</v>
      </c>
      <c r="P14159">
        <f>IF(OR(M14159="",N14159=""),"",SUMIFS('Barang Keluar'!$E:$E,'Barang Keluar'!$A:$A,M14159,'Barang Keluar'!$C:$C,N14159))</f>
        <v>0</v>
      </c>
    </row>
    <row r="14160" spans="13:16">
      <c r="M14160" s="49">
        <f>IF($A$4+141&gt;$B$4,"",$A$4+141)</f>
        <v>46164</v>
      </c>
      <c r="N14160">
        <f>IF(M14160="","",'Master Barang'!A54)</f>
        <v>0</v>
      </c>
      <c r="O14160">
        <f>IF(N14160="","",'Master Barang'!B54)</f>
        <v>0</v>
      </c>
      <c r="P14160">
        <f>IF(OR(M14160="",N14160=""),"",SUMIFS('Barang Keluar'!$E:$E,'Barang Keluar'!$A:$A,M14160,'Barang Keluar'!$C:$C,N14160))</f>
        <v>0</v>
      </c>
    </row>
    <row r="14161" spans="13:16">
      <c r="M14161" s="49">
        <f>IF($A$4+141&gt;$B$4,"",$A$4+141)</f>
        <v>46164</v>
      </c>
      <c r="N14161">
        <f>IF(M14161="","",'Master Barang'!A55)</f>
        <v>0</v>
      </c>
      <c r="O14161">
        <f>IF(N14161="","",'Master Barang'!B55)</f>
        <v>0</v>
      </c>
      <c r="P14161">
        <f>IF(OR(M14161="",N14161=""),"",SUMIFS('Barang Keluar'!$E:$E,'Barang Keluar'!$A:$A,M14161,'Barang Keluar'!$C:$C,N14161))</f>
        <v>0</v>
      </c>
    </row>
    <row r="14162" spans="13:16">
      <c r="M14162" s="49">
        <f>IF($A$4+141&gt;$B$4,"",$A$4+141)</f>
        <v>46164</v>
      </c>
      <c r="N14162">
        <f>IF(M14162="","",'Master Barang'!A56)</f>
        <v>0</v>
      </c>
      <c r="O14162">
        <f>IF(N14162="","",'Master Barang'!B56)</f>
        <v>0</v>
      </c>
      <c r="P14162">
        <f>IF(OR(M14162="",N14162=""),"",SUMIFS('Barang Keluar'!$E:$E,'Barang Keluar'!$A:$A,M14162,'Barang Keluar'!$C:$C,N14162))</f>
        <v>0</v>
      </c>
    </row>
    <row r="14163" spans="13:16">
      <c r="M14163" s="49">
        <f>IF($A$4+141&gt;$B$4,"",$A$4+141)</f>
        <v>46164</v>
      </c>
      <c r="N14163">
        <f>IF(M14163="","",'Master Barang'!A57)</f>
        <v>0</v>
      </c>
      <c r="O14163">
        <f>IF(N14163="","",'Master Barang'!B57)</f>
        <v>0</v>
      </c>
      <c r="P14163">
        <f>IF(OR(M14163="",N14163=""),"",SUMIFS('Barang Keluar'!$E:$E,'Barang Keluar'!$A:$A,M14163,'Barang Keluar'!$C:$C,N14163))</f>
        <v>0</v>
      </c>
    </row>
    <row r="14164" spans="13:16">
      <c r="M14164" s="49">
        <f>IF($A$4+141&gt;$B$4,"",$A$4+141)</f>
        <v>46164</v>
      </c>
      <c r="N14164">
        <f>IF(M14164="","",'Master Barang'!A58)</f>
        <v>0</v>
      </c>
      <c r="O14164">
        <f>IF(N14164="","",'Master Barang'!B58)</f>
        <v>0</v>
      </c>
      <c r="P14164">
        <f>IF(OR(M14164="",N14164=""),"",SUMIFS('Barang Keluar'!$E:$E,'Barang Keluar'!$A:$A,M14164,'Barang Keluar'!$C:$C,N14164))</f>
        <v>0</v>
      </c>
    </row>
    <row r="14165" spans="13:16">
      <c r="M14165" s="49">
        <f>IF($A$4+141&gt;$B$4,"",$A$4+141)</f>
        <v>46164</v>
      </c>
      <c r="N14165">
        <f>IF(M14165="","",'Master Barang'!A59)</f>
        <v>0</v>
      </c>
      <c r="O14165">
        <f>IF(N14165="","",'Master Barang'!B59)</f>
        <v>0</v>
      </c>
      <c r="P14165">
        <f>IF(OR(M14165="",N14165=""),"",SUMIFS('Barang Keluar'!$E:$E,'Barang Keluar'!$A:$A,M14165,'Barang Keluar'!$C:$C,N14165))</f>
        <v>0</v>
      </c>
    </row>
    <row r="14166" spans="13:16">
      <c r="M14166" s="49">
        <f>IF($A$4+141&gt;$B$4,"",$A$4+141)</f>
        <v>46164</v>
      </c>
      <c r="N14166">
        <f>IF(M14166="","",'Master Barang'!A60)</f>
        <v>0</v>
      </c>
      <c r="O14166">
        <f>IF(N14166="","",'Master Barang'!B60)</f>
        <v>0</v>
      </c>
      <c r="P14166">
        <f>IF(OR(M14166="",N14166=""),"",SUMIFS('Barang Keluar'!$E:$E,'Barang Keluar'!$A:$A,M14166,'Barang Keluar'!$C:$C,N14166))</f>
        <v>0</v>
      </c>
    </row>
    <row r="14167" spans="13:16">
      <c r="M14167" s="49">
        <f>IF($A$4+141&gt;$B$4,"",$A$4+141)</f>
        <v>46164</v>
      </c>
      <c r="N14167">
        <f>IF(M14167="","",'Master Barang'!A61)</f>
        <v>0</v>
      </c>
      <c r="O14167">
        <f>IF(N14167="","",'Master Barang'!B61)</f>
        <v>0</v>
      </c>
      <c r="P14167">
        <f>IF(OR(M14167="",N14167=""),"",SUMIFS('Barang Keluar'!$E:$E,'Barang Keluar'!$A:$A,M14167,'Barang Keluar'!$C:$C,N14167))</f>
        <v>0</v>
      </c>
    </row>
    <row r="14168" spans="13:16">
      <c r="M14168" s="49">
        <f>IF($A$4+141&gt;$B$4,"",$A$4+141)</f>
        <v>46164</v>
      </c>
      <c r="N14168">
        <f>IF(M14168="","",'Master Barang'!A62)</f>
        <v>0</v>
      </c>
      <c r="O14168">
        <f>IF(N14168="","",'Master Barang'!B62)</f>
        <v>0</v>
      </c>
      <c r="P14168">
        <f>IF(OR(M14168="",N14168=""),"",SUMIFS('Barang Keluar'!$E:$E,'Barang Keluar'!$A:$A,M14168,'Barang Keluar'!$C:$C,N14168))</f>
        <v>0</v>
      </c>
    </row>
    <row r="14169" spans="13:16">
      <c r="M14169" s="49">
        <f>IF($A$4+141&gt;$B$4,"",$A$4+141)</f>
        <v>46164</v>
      </c>
      <c r="N14169">
        <f>IF(M14169="","",'Master Barang'!A63)</f>
        <v>0</v>
      </c>
      <c r="O14169">
        <f>IF(N14169="","",'Master Barang'!B63)</f>
        <v>0</v>
      </c>
      <c r="P14169">
        <f>IF(OR(M14169="",N14169=""),"",SUMIFS('Barang Keluar'!$E:$E,'Barang Keluar'!$A:$A,M14169,'Barang Keluar'!$C:$C,N14169))</f>
        <v>0</v>
      </c>
    </row>
    <row r="14170" spans="13:16">
      <c r="M14170" s="49">
        <f>IF($A$4+141&gt;$B$4,"",$A$4+141)</f>
        <v>46164</v>
      </c>
      <c r="N14170">
        <f>IF(M14170="","",'Master Barang'!A64)</f>
        <v>0</v>
      </c>
      <c r="O14170">
        <f>IF(N14170="","",'Master Barang'!B64)</f>
        <v>0</v>
      </c>
      <c r="P14170">
        <f>IF(OR(M14170="",N14170=""),"",SUMIFS('Barang Keluar'!$E:$E,'Barang Keluar'!$A:$A,M14170,'Barang Keluar'!$C:$C,N14170))</f>
        <v>0</v>
      </c>
    </row>
    <row r="14171" spans="13:16">
      <c r="M14171" s="49">
        <f>IF($A$4+141&gt;$B$4,"",$A$4+141)</f>
        <v>46164</v>
      </c>
      <c r="N14171">
        <f>IF(M14171="","",'Master Barang'!A65)</f>
        <v>0</v>
      </c>
      <c r="O14171">
        <f>IF(N14171="","",'Master Barang'!B65)</f>
        <v>0</v>
      </c>
      <c r="P14171">
        <f>IF(OR(M14171="",N14171=""),"",SUMIFS('Barang Keluar'!$E:$E,'Barang Keluar'!$A:$A,M14171,'Barang Keluar'!$C:$C,N14171))</f>
        <v>0</v>
      </c>
    </row>
    <row r="14172" spans="13:16">
      <c r="M14172" s="49">
        <f>IF($A$4+141&gt;$B$4,"",$A$4+141)</f>
        <v>46164</v>
      </c>
      <c r="N14172">
        <f>IF(M14172="","",'Master Barang'!A66)</f>
        <v>0</v>
      </c>
      <c r="O14172">
        <f>IF(N14172="","",'Master Barang'!B66)</f>
        <v>0</v>
      </c>
      <c r="P14172">
        <f>IF(OR(M14172="",N14172=""),"",SUMIFS('Barang Keluar'!$E:$E,'Barang Keluar'!$A:$A,M14172,'Barang Keluar'!$C:$C,N14172))</f>
        <v>0</v>
      </c>
    </row>
    <row r="14173" spans="13:16">
      <c r="M14173" s="49">
        <f>IF($A$4+141&gt;$B$4,"",$A$4+141)</f>
        <v>46164</v>
      </c>
      <c r="N14173">
        <f>IF(M14173="","",'Master Barang'!A67)</f>
        <v>0</v>
      </c>
      <c r="O14173">
        <f>IF(N14173="","",'Master Barang'!B67)</f>
        <v>0</v>
      </c>
      <c r="P14173">
        <f>IF(OR(M14173="",N14173=""),"",SUMIFS('Barang Keluar'!$E:$E,'Barang Keluar'!$A:$A,M14173,'Barang Keluar'!$C:$C,N14173))</f>
        <v>0</v>
      </c>
    </row>
    <row r="14174" spans="13:16">
      <c r="M14174" s="49">
        <f>IF($A$4+141&gt;$B$4,"",$A$4+141)</f>
        <v>46164</v>
      </c>
      <c r="N14174">
        <f>IF(M14174="","",'Master Barang'!A68)</f>
        <v>0</v>
      </c>
      <c r="O14174">
        <f>IF(N14174="","",'Master Barang'!B68)</f>
        <v>0</v>
      </c>
      <c r="P14174">
        <f>IF(OR(M14174="",N14174=""),"",SUMIFS('Barang Keluar'!$E:$E,'Barang Keluar'!$A:$A,M14174,'Barang Keluar'!$C:$C,N14174))</f>
        <v>0</v>
      </c>
    </row>
    <row r="14175" spans="13:16">
      <c r="M14175" s="49">
        <f>IF($A$4+141&gt;$B$4,"",$A$4+141)</f>
        <v>46164</v>
      </c>
      <c r="N14175">
        <f>IF(M14175="","",'Master Barang'!A69)</f>
        <v>0</v>
      </c>
      <c r="O14175">
        <f>IF(N14175="","",'Master Barang'!B69)</f>
        <v>0</v>
      </c>
      <c r="P14175">
        <f>IF(OR(M14175="",N14175=""),"",SUMIFS('Barang Keluar'!$E:$E,'Barang Keluar'!$A:$A,M14175,'Barang Keluar'!$C:$C,N14175))</f>
        <v>0</v>
      </c>
    </row>
    <row r="14176" spans="13:16">
      <c r="M14176" s="49">
        <f>IF($A$4+141&gt;$B$4,"",$A$4+141)</f>
        <v>46164</v>
      </c>
      <c r="N14176">
        <f>IF(M14176="","",'Master Barang'!A70)</f>
        <v>0</v>
      </c>
      <c r="O14176">
        <f>IF(N14176="","",'Master Barang'!B70)</f>
        <v>0</v>
      </c>
      <c r="P14176">
        <f>IF(OR(M14176="",N14176=""),"",SUMIFS('Barang Keluar'!$E:$E,'Barang Keluar'!$A:$A,M14176,'Barang Keluar'!$C:$C,N14176))</f>
        <v>0</v>
      </c>
    </row>
    <row r="14177" spans="13:16">
      <c r="M14177" s="49">
        <f>IF($A$4+141&gt;$B$4,"",$A$4+141)</f>
        <v>46164</v>
      </c>
      <c r="N14177">
        <f>IF(M14177="","",'Master Barang'!A71)</f>
        <v>0</v>
      </c>
      <c r="O14177">
        <f>IF(N14177="","",'Master Barang'!B71)</f>
        <v>0</v>
      </c>
      <c r="P14177">
        <f>IF(OR(M14177="",N14177=""),"",SUMIFS('Barang Keluar'!$E:$E,'Barang Keluar'!$A:$A,M14177,'Barang Keluar'!$C:$C,N14177))</f>
        <v>0</v>
      </c>
    </row>
    <row r="14178" spans="13:16">
      <c r="M14178" s="49">
        <f>IF($A$4+141&gt;$B$4,"",$A$4+141)</f>
        <v>46164</v>
      </c>
      <c r="N14178">
        <f>IF(M14178="","",'Master Barang'!A72)</f>
        <v>0</v>
      </c>
      <c r="O14178">
        <f>IF(N14178="","",'Master Barang'!B72)</f>
        <v>0</v>
      </c>
      <c r="P14178">
        <f>IF(OR(M14178="",N14178=""),"",SUMIFS('Barang Keluar'!$E:$E,'Barang Keluar'!$A:$A,M14178,'Barang Keluar'!$C:$C,N14178))</f>
        <v>0</v>
      </c>
    </row>
    <row r="14179" spans="13:16">
      <c r="M14179" s="49">
        <f>IF($A$4+141&gt;$B$4,"",$A$4+141)</f>
        <v>46164</v>
      </c>
      <c r="N14179">
        <f>IF(M14179="","",'Master Barang'!A73)</f>
        <v>0</v>
      </c>
      <c r="O14179">
        <f>IF(N14179="","",'Master Barang'!B73)</f>
        <v>0</v>
      </c>
      <c r="P14179">
        <f>IF(OR(M14179="",N14179=""),"",SUMIFS('Barang Keluar'!$E:$E,'Barang Keluar'!$A:$A,M14179,'Barang Keluar'!$C:$C,N14179))</f>
        <v>0</v>
      </c>
    </row>
    <row r="14180" spans="13:16">
      <c r="M14180" s="49">
        <f>IF($A$4+141&gt;$B$4,"",$A$4+141)</f>
        <v>46164</v>
      </c>
      <c r="N14180">
        <f>IF(M14180="","",'Master Barang'!A74)</f>
        <v>0</v>
      </c>
      <c r="O14180">
        <f>IF(N14180="","",'Master Barang'!B74)</f>
        <v>0</v>
      </c>
      <c r="P14180">
        <f>IF(OR(M14180="",N14180=""),"",SUMIFS('Barang Keluar'!$E:$E,'Barang Keluar'!$A:$A,M14180,'Barang Keluar'!$C:$C,N14180))</f>
        <v>0</v>
      </c>
    </row>
    <row r="14181" spans="13:16">
      <c r="M14181" s="49">
        <f>IF($A$4+141&gt;$B$4,"",$A$4+141)</f>
        <v>46164</v>
      </c>
      <c r="N14181">
        <f>IF(M14181="","",'Master Barang'!A75)</f>
        <v>0</v>
      </c>
      <c r="O14181">
        <f>IF(N14181="","",'Master Barang'!B75)</f>
        <v>0</v>
      </c>
      <c r="P14181">
        <f>IF(OR(M14181="",N14181=""),"",SUMIFS('Barang Keluar'!$E:$E,'Barang Keluar'!$A:$A,M14181,'Barang Keluar'!$C:$C,N14181))</f>
        <v>0</v>
      </c>
    </row>
    <row r="14182" spans="13:16">
      <c r="M14182" s="49">
        <f>IF($A$4+141&gt;$B$4,"",$A$4+141)</f>
        <v>46164</v>
      </c>
      <c r="N14182">
        <f>IF(M14182="","",'Master Barang'!A76)</f>
        <v>0</v>
      </c>
      <c r="O14182">
        <f>IF(N14182="","",'Master Barang'!B76)</f>
        <v>0</v>
      </c>
      <c r="P14182">
        <f>IF(OR(M14182="",N14182=""),"",SUMIFS('Barang Keluar'!$E:$E,'Barang Keluar'!$A:$A,M14182,'Barang Keluar'!$C:$C,N14182))</f>
        <v>0</v>
      </c>
    </row>
    <row r="14183" spans="13:16">
      <c r="M14183" s="49">
        <f>IF($A$4+141&gt;$B$4,"",$A$4+141)</f>
        <v>46164</v>
      </c>
      <c r="N14183">
        <f>IF(M14183="","",'Master Barang'!A77)</f>
        <v>0</v>
      </c>
      <c r="O14183">
        <f>IF(N14183="","",'Master Barang'!B77)</f>
        <v>0</v>
      </c>
      <c r="P14183">
        <f>IF(OR(M14183="",N14183=""),"",SUMIFS('Barang Keluar'!$E:$E,'Barang Keluar'!$A:$A,M14183,'Barang Keluar'!$C:$C,N14183))</f>
        <v>0</v>
      </c>
    </row>
    <row r="14184" spans="13:16">
      <c r="M14184" s="49">
        <f>IF($A$4+141&gt;$B$4,"",$A$4+141)</f>
        <v>46164</v>
      </c>
      <c r="N14184">
        <f>IF(M14184="","",'Master Barang'!A78)</f>
        <v>0</v>
      </c>
      <c r="O14184">
        <f>IF(N14184="","",'Master Barang'!B78)</f>
        <v>0</v>
      </c>
      <c r="P14184">
        <f>IF(OR(M14184="",N14184=""),"",SUMIFS('Barang Keluar'!$E:$E,'Barang Keluar'!$A:$A,M14184,'Barang Keluar'!$C:$C,N14184))</f>
        <v>0</v>
      </c>
    </row>
    <row r="14185" spans="13:16">
      <c r="M14185" s="49">
        <f>IF($A$4+141&gt;$B$4,"",$A$4+141)</f>
        <v>46164</v>
      </c>
      <c r="N14185">
        <f>IF(M14185="","",'Master Barang'!A79)</f>
        <v>0</v>
      </c>
      <c r="O14185">
        <f>IF(N14185="","",'Master Barang'!B79)</f>
        <v>0</v>
      </c>
      <c r="P14185">
        <f>IF(OR(M14185="",N14185=""),"",SUMIFS('Barang Keluar'!$E:$E,'Barang Keluar'!$A:$A,M14185,'Barang Keluar'!$C:$C,N14185))</f>
        <v>0</v>
      </c>
    </row>
    <row r="14186" spans="13:16">
      <c r="M14186" s="49">
        <f>IF($A$4+141&gt;$B$4,"",$A$4+141)</f>
        <v>46164</v>
      </c>
      <c r="N14186">
        <f>IF(M14186="","",'Master Barang'!A80)</f>
        <v>0</v>
      </c>
      <c r="O14186">
        <f>IF(N14186="","",'Master Barang'!B80)</f>
        <v>0</v>
      </c>
      <c r="P14186">
        <f>IF(OR(M14186="",N14186=""),"",SUMIFS('Barang Keluar'!$E:$E,'Barang Keluar'!$A:$A,M14186,'Barang Keluar'!$C:$C,N14186))</f>
        <v>0</v>
      </c>
    </row>
    <row r="14187" spans="13:16">
      <c r="M14187" s="49">
        <f>IF($A$4+141&gt;$B$4,"",$A$4+141)</f>
        <v>46164</v>
      </c>
      <c r="N14187">
        <f>IF(M14187="","",'Master Barang'!A81)</f>
        <v>0</v>
      </c>
      <c r="O14187">
        <f>IF(N14187="","",'Master Barang'!B81)</f>
        <v>0</v>
      </c>
      <c r="P14187">
        <f>IF(OR(M14187="",N14187=""),"",SUMIFS('Barang Keluar'!$E:$E,'Barang Keluar'!$A:$A,M14187,'Barang Keluar'!$C:$C,N14187))</f>
        <v>0</v>
      </c>
    </row>
    <row r="14188" spans="13:16">
      <c r="M14188" s="49">
        <f>IF($A$4+141&gt;$B$4,"",$A$4+141)</f>
        <v>46164</v>
      </c>
      <c r="N14188">
        <f>IF(M14188="","",'Master Barang'!A82)</f>
        <v>0</v>
      </c>
      <c r="O14188">
        <f>IF(N14188="","",'Master Barang'!B82)</f>
        <v>0</v>
      </c>
      <c r="P14188">
        <f>IF(OR(M14188="",N14188=""),"",SUMIFS('Barang Keluar'!$E:$E,'Barang Keluar'!$A:$A,M14188,'Barang Keluar'!$C:$C,N14188))</f>
        <v>0</v>
      </c>
    </row>
    <row r="14189" spans="13:16">
      <c r="M14189" s="49">
        <f>IF($A$4+141&gt;$B$4,"",$A$4+141)</f>
        <v>46164</v>
      </c>
      <c r="N14189">
        <f>IF(M14189="","",'Master Barang'!A83)</f>
        <v>0</v>
      </c>
      <c r="O14189">
        <f>IF(N14189="","",'Master Barang'!B83)</f>
        <v>0</v>
      </c>
      <c r="P14189">
        <f>IF(OR(M14189="",N14189=""),"",SUMIFS('Barang Keluar'!$E:$E,'Barang Keluar'!$A:$A,M14189,'Barang Keluar'!$C:$C,N14189))</f>
        <v>0</v>
      </c>
    </row>
    <row r="14190" spans="13:16">
      <c r="M14190" s="49">
        <f>IF($A$4+141&gt;$B$4,"",$A$4+141)</f>
        <v>46164</v>
      </c>
      <c r="N14190">
        <f>IF(M14190="","",'Master Barang'!A84)</f>
        <v>0</v>
      </c>
      <c r="O14190">
        <f>IF(N14190="","",'Master Barang'!B84)</f>
        <v>0</v>
      </c>
      <c r="P14190">
        <f>IF(OR(M14190="",N14190=""),"",SUMIFS('Barang Keluar'!$E:$E,'Barang Keluar'!$A:$A,M14190,'Barang Keluar'!$C:$C,N14190))</f>
        <v>0</v>
      </c>
    </row>
    <row r="14191" spans="13:16">
      <c r="M14191" s="49">
        <f>IF($A$4+141&gt;$B$4,"",$A$4+141)</f>
        <v>46164</v>
      </c>
      <c r="N14191">
        <f>IF(M14191="","",'Master Barang'!A85)</f>
        <v>0</v>
      </c>
      <c r="O14191">
        <f>IF(N14191="","",'Master Barang'!B85)</f>
        <v>0</v>
      </c>
      <c r="P14191">
        <f>IF(OR(M14191="",N14191=""),"",SUMIFS('Barang Keluar'!$E:$E,'Barang Keluar'!$A:$A,M14191,'Barang Keluar'!$C:$C,N14191))</f>
        <v>0</v>
      </c>
    </row>
    <row r="14192" spans="13:16">
      <c r="M14192" s="49">
        <f>IF($A$4+141&gt;$B$4,"",$A$4+141)</f>
        <v>46164</v>
      </c>
      <c r="N14192">
        <f>IF(M14192="","",'Master Barang'!A86)</f>
        <v>0</v>
      </c>
      <c r="O14192">
        <f>IF(N14192="","",'Master Barang'!B86)</f>
        <v>0</v>
      </c>
      <c r="P14192">
        <f>IF(OR(M14192="",N14192=""),"",SUMIFS('Barang Keluar'!$E:$E,'Barang Keluar'!$A:$A,M14192,'Barang Keluar'!$C:$C,N14192))</f>
        <v>0</v>
      </c>
    </row>
    <row r="14193" spans="13:16">
      <c r="M14193" s="49">
        <f>IF($A$4+141&gt;$B$4,"",$A$4+141)</f>
        <v>46164</v>
      </c>
      <c r="N14193">
        <f>IF(M14193="","",'Master Barang'!A87)</f>
        <v>0</v>
      </c>
      <c r="O14193">
        <f>IF(N14193="","",'Master Barang'!B87)</f>
        <v>0</v>
      </c>
      <c r="P14193">
        <f>IF(OR(M14193="",N14193=""),"",SUMIFS('Barang Keluar'!$E:$E,'Barang Keluar'!$A:$A,M14193,'Barang Keluar'!$C:$C,N14193))</f>
        <v>0</v>
      </c>
    </row>
    <row r="14194" spans="13:16">
      <c r="M14194" s="49">
        <f>IF($A$4+141&gt;$B$4,"",$A$4+141)</f>
        <v>46164</v>
      </c>
      <c r="N14194">
        <f>IF(M14194="","",'Master Barang'!A88)</f>
        <v>0</v>
      </c>
      <c r="O14194">
        <f>IF(N14194="","",'Master Barang'!B88)</f>
        <v>0</v>
      </c>
      <c r="P14194">
        <f>IF(OR(M14194="",N14194=""),"",SUMIFS('Barang Keluar'!$E:$E,'Barang Keluar'!$A:$A,M14194,'Barang Keluar'!$C:$C,N14194))</f>
        <v>0</v>
      </c>
    </row>
    <row r="14195" spans="13:16">
      <c r="M14195" s="49">
        <f>IF($A$4+141&gt;$B$4,"",$A$4+141)</f>
        <v>46164</v>
      </c>
      <c r="N14195">
        <f>IF(M14195="","",'Master Barang'!A89)</f>
        <v>0</v>
      </c>
      <c r="O14195">
        <f>IF(N14195="","",'Master Barang'!B89)</f>
        <v>0</v>
      </c>
      <c r="P14195">
        <f>IF(OR(M14195="",N14195=""),"",SUMIFS('Barang Keluar'!$E:$E,'Barang Keluar'!$A:$A,M14195,'Barang Keluar'!$C:$C,N14195))</f>
        <v>0</v>
      </c>
    </row>
    <row r="14196" spans="13:16">
      <c r="M14196" s="49">
        <f>IF($A$4+141&gt;$B$4,"",$A$4+141)</f>
        <v>46164</v>
      </c>
      <c r="N14196">
        <f>IF(M14196="","",'Master Barang'!A90)</f>
        <v>0</v>
      </c>
      <c r="O14196">
        <f>IF(N14196="","",'Master Barang'!B90)</f>
        <v>0</v>
      </c>
      <c r="P14196">
        <f>IF(OR(M14196="",N14196=""),"",SUMIFS('Barang Keluar'!$E:$E,'Barang Keluar'!$A:$A,M14196,'Barang Keluar'!$C:$C,N14196))</f>
        <v>0</v>
      </c>
    </row>
    <row r="14197" spans="13:16">
      <c r="M14197" s="49">
        <f>IF($A$4+141&gt;$B$4,"",$A$4+141)</f>
        <v>46164</v>
      </c>
      <c r="N14197">
        <f>IF(M14197="","",'Master Barang'!A91)</f>
        <v>0</v>
      </c>
      <c r="O14197">
        <f>IF(N14197="","",'Master Barang'!B91)</f>
        <v>0</v>
      </c>
      <c r="P14197">
        <f>IF(OR(M14197="",N14197=""),"",SUMIFS('Barang Keluar'!$E:$E,'Barang Keluar'!$A:$A,M14197,'Barang Keluar'!$C:$C,N14197))</f>
        <v>0</v>
      </c>
    </row>
    <row r="14198" spans="13:16">
      <c r="M14198" s="49">
        <f>IF($A$4+141&gt;$B$4,"",$A$4+141)</f>
        <v>46164</v>
      </c>
      <c r="N14198">
        <f>IF(M14198="","",'Master Barang'!A92)</f>
        <v>0</v>
      </c>
      <c r="O14198">
        <f>IF(N14198="","",'Master Barang'!B92)</f>
        <v>0</v>
      </c>
      <c r="P14198">
        <f>IF(OR(M14198="",N14198=""),"",SUMIFS('Barang Keluar'!$E:$E,'Barang Keluar'!$A:$A,M14198,'Barang Keluar'!$C:$C,N14198))</f>
        <v>0</v>
      </c>
    </row>
    <row r="14199" spans="13:16">
      <c r="M14199" s="49">
        <f>IF($A$4+141&gt;$B$4,"",$A$4+141)</f>
        <v>46164</v>
      </c>
      <c r="N14199">
        <f>IF(M14199="","",'Master Barang'!A93)</f>
        <v>0</v>
      </c>
      <c r="O14199">
        <f>IF(N14199="","",'Master Barang'!B93)</f>
        <v>0</v>
      </c>
      <c r="P14199">
        <f>IF(OR(M14199="",N14199=""),"",SUMIFS('Barang Keluar'!$E:$E,'Barang Keluar'!$A:$A,M14199,'Barang Keluar'!$C:$C,N14199))</f>
        <v>0</v>
      </c>
    </row>
    <row r="14200" spans="13:16">
      <c r="M14200" s="49">
        <f>IF($A$4+141&gt;$B$4,"",$A$4+141)</f>
        <v>46164</v>
      </c>
      <c r="N14200">
        <f>IF(M14200="","",'Master Barang'!A94)</f>
        <v>0</v>
      </c>
      <c r="O14200">
        <f>IF(N14200="","",'Master Barang'!B94)</f>
        <v>0</v>
      </c>
      <c r="P14200">
        <f>IF(OR(M14200="",N14200=""),"",SUMIFS('Barang Keluar'!$E:$E,'Barang Keluar'!$A:$A,M14200,'Barang Keluar'!$C:$C,N14200))</f>
        <v>0</v>
      </c>
    </row>
    <row r="14201" spans="13:16">
      <c r="M14201" s="49">
        <f>IF($A$4+141&gt;$B$4,"",$A$4+141)</f>
        <v>46164</v>
      </c>
      <c r="N14201">
        <f>IF(M14201="","",'Master Barang'!A95)</f>
        <v>0</v>
      </c>
      <c r="O14201">
        <f>IF(N14201="","",'Master Barang'!B95)</f>
        <v>0</v>
      </c>
      <c r="P14201">
        <f>IF(OR(M14201="",N14201=""),"",SUMIFS('Barang Keluar'!$E:$E,'Barang Keluar'!$A:$A,M14201,'Barang Keluar'!$C:$C,N14201))</f>
        <v>0</v>
      </c>
    </row>
    <row r="14202" spans="13:16">
      <c r="M14202" s="49">
        <f>IF($A$4+141&gt;$B$4,"",$A$4+141)</f>
        <v>46164</v>
      </c>
      <c r="N14202">
        <f>IF(M14202="","",'Master Barang'!A96)</f>
        <v>0</v>
      </c>
      <c r="O14202">
        <f>IF(N14202="","",'Master Barang'!B96)</f>
        <v>0</v>
      </c>
      <c r="P14202">
        <f>IF(OR(M14202="",N14202=""),"",SUMIFS('Barang Keluar'!$E:$E,'Barang Keluar'!$A:$A,M14202,'Barang Keluar'!$C:$C,N14202))</f>
        <v>0</v>
      </c>
    </row>
    <row r="14203" spans="13:16">
      <c r="M14203" s="49">
        <f>IF($A$4+141&gt;$B$4,"",$A$4+141)</f>
        <v>46164</v>
      </c>
      <c r="N14203">
        <f>IF(M14203="","",'Master Barang'!A97)</f>
        <v>0</v>
      </c>
      <c r="O14203">
        <f>IF(N14203="","",'Master Barang'!B97)</f>
        <v>0</v>
      </c>
      <c r="P14203">
        <f>IF(OR(M14203="",N14203=""),"",SUMIFS('Barang Keluar'!$E:$E,'Barang Keluar'!$A:$A,M14203,'Barang Keluar'!$C:$C,N14203))</f>
        <v>0</v>
      </c>
    </row>
    <row r="14204" spans="13:16">
      <c r="M14204" s="49">
        <f>IF($A$4+141&gt;$B$4,"",$A$4+141)</f>
        <v>46164</v>
      </c>
      <c r="N14204">
        <f>IF(M14204="","",'Master Barang'!A98)</f>
        <v>0</v>
      </c>
      <c r="O14204">
        <f>IF(N14204="","",'Master Barang'!B98)</f>
        <v>0</v>
      </c>
      <c r="P14204">
        <f>IF(OR(M14204="",N14204=""),"",SUMIFS('Barang Keluar'!$E:$E,'Barang Keluar'!$A:$A,M14204,'Barang Keluar'!$C:$C,N14204))</f>
        <v>0</v>
      </c>
    </row>
    <row r="14205" spans="13:16">
      <c r="M14205" s="49">
        <f>IF($A$4+141&gt;$B$4,"",$A$4+141)</f>
        <v>46164</v>
      </c>
      <c r="N14205">
        <f>IF(M14205="","",'Master Barang'!A99)</f>
        <v>0</v>
      </c>
      <c r="O14205">
        <f>IF(N14205="","",'Master Barang'!B99)</f>
        <v>0</v>
      </c>
      <c r="P14205">
        <f>IF(OR(M14205="",N14205=""),"",SUMIFS('Barang Keluar'!$E:$E,'Barang Keluar'!$A:$A,M14205,'Barang Keluar'!$C:$C,N14205))</f>
        <v>0</v>
      </c>
    </row>
    <row r="14206" spans="13:16">
      <c r="M14206" s="49">
        <f>IF($A$4+141&gt;$B$4,"",$A$4+141)</f>
        <v>46164</v>
      </c>
      <c r="N14206">
        <f>IF(M14206="","",'Master Barang'!A100)</f>
        <v>0</v>
      </c>
      <c r="O14206">
        <f>IF(N14206="","",'Master Barang'!B100)</f>
        <v>0</v>
      </c>
      <c r="P14206">
        <f>IF(OR(M14206="",N14206=""),"",SUMIFS('Barang Keluar'!$E:$E,'Barang Keluar'!$A:$A,M14206,'Barang Keluar'!$C:$C,N14206))</f>
        <v>0</v>
      </c>
    </row>
    <row r="14207" spans="13:16">
      <c r="M14207" s="49">
        <f>IF($A$4+141&gt;$B$4,"",$A$4+141)</f>
        <v>46164</v>
      </c>
      <c r="N14207">
        <f>IF(M14207="","",'Master Barang'!A101)</f>
        <v>0</v>
      </c>
      <c r="O14207">
        <f>IF(N14207="","",'Master Barang'!B101)</f>
        <v>0</v>
      </c>
      <c r="P14207">
        <f>IF(OR(M14207="",N14207=""),"",SUMIFS('Barang Keluar'!$E:$E,'Barang Keluar'!$A:$A,M14207,'Barang Keluar'!$C:$C,N14207))</f>
        <v>0</v>
      </c>
    </row>
    <row r="14208" spans="13:16">
      <c r="M14208" s="49">
        <f>IF($A$4+142&gt;$B$4,"",$A$4+142)</f>
        <v>46165</v>
      </c>
      <c r="N14208" t="str">
        <f>IF(M14208="","",'Master Barang'!A2)</f>
        <v>PRL-001</v>
      </c>
      <c r="O14208" t="str">
        <f>IF(N14208="","",'Master Barang'!B2)</f>
        <v>natura desinfectant food grade 5l</v>
      </c>
      <c r="P14208">
        <f>IF(OR(M14208="",N14208=""),"",SUMIFS('Barang Keluar'!$E:$E,'Barang Keluar'!$A:$A,M14208,'Barang Keluar'!$C:$C,N14208))</f>
        <v>0</v>
      </c>
    </row>
    <row r="14209" spans="13:16">
      <c r="M14209" s="49">
        <f>IF($A$4+142&gt;$B$4,"",$A$4+142)</f>
        <v>46165</v>
      </c>
      <c r="N14209" t="str">
        <f>IF(M14209="","",'Master Barang'!A3)</f>
        <v>PRL-002</v>
      </c>
      <c r="O14209" t="str">
        <f>IF(N14209="","",'Master Barang'!B3)</f>
        <v>sunlight cairan pencuci piring 5l</v>
      </c>
      <c r="P14209">
        <f>IF(OR(M14209="",N14209=""),"",SUMIFS('Barang Keluar'!$E:$E,'Barang Keluar'!$A:$A,M14209,'Barang Keluar'!$C:$C,N14209))</f>
        <v>0</v>
      </c>
    </row>
    <row r="14210" spans="13:16">
      <c r="M14210" s="49">
        <f>IF($A$4+142&gt;$B$4,"",$A$4+142)</f>
        <v>46165</v>
      </c>
      <c r="N14210" t="str">
        <f>IF(M14210="","",'Master Barang'!A4)</f>
        <v>PRL-003</v>
      </c>
      <c r="O14210" t="str">
        <f>IF(N14210="","",'Master Barang'!B4)</f>
        <v>oixs cleaner 1l</v>
      </c>
      <c r="P14210">
        <f>IF(OR(M14210="",N14210=""),"",SUMIFS('Barang Keluar'!$E:$E,'Barang Keluar'!$A:$A,M14210,'Barang Keluar'!$C:$C,N14210))</f>
        <v>0</v>
      </c>
    </row>
    <row r="14211" spans="13:16">
      <c r="M14211" s="49">
        <f>IF($A$4+142&gt;$B$4,"",$A$4+142)</f>
        <v>46165</v>
      </c>
      <c r="N14211" t="str">
        <f>IF(M14211="","",'Master Barang'!A5)</f>
        <v>PRL-004</v>
      </c>
      <c r="O14211" t="str">
        <f>IF(N14211="","",'Master Barang'!B5)</f>
        <v>be clean tissue serbaguna</v>
      </c>
      <c r="P14211">
        <f>IF(OR(M14211="",N14211=""),"",SUMIFS('Barang Keluar'!$E:$E,'Barang Keluar'!$A:$A,M14211,'Barang Keluar'!$C:$C,N14211))</f>
        <v>0</v>
      </c>
    </row>
    <row r="14212" spans="13:16">
      <c r="M14212" s="49">
        <f>IF($A$4+142&gt;$B$4,"",$A$4+142)</f>
        <v>46165</v>
      </c>
      <c r="N14212" t="str">
        <f>IF(M14212="","",'Master Barang'!A6)</f>
        <v>PRL-005</v>
      </c>
      <c r="O14212" t="str">
        <f>IF(N14212="","",'Master Barang'!B6)</f>
        <v>spons cuci hijau</v>
      </c>
      <c r="P14212">
        <f>IF(OR(M14212="",N14212=""),"",SUMIFS('Barang Keluar'!$E:$E,'Barang Keluar'!$A:$A,M14212,'Barang Keluar'!$C:$C,N14212))</f>
        <v>0</v>
      </c>
    </row>
    <row r="14213" spans="13:16">
      <c r="M14213" s="49">
        <f>IF($A$4+142&gt;$B$4,"",$A$4+142)</f>
        <v>46165</v>
      </c>
      <c r="N14213" t="str">
        <f>IF(M14213="","",'Master Barang'!A7)</f>
        <v>PRL-006</v>
      </c>
      <c r="O14213" t="str">
        <f>IF(N14213="","",'Master Barang'!B7)</f>
        <v>sabut cuci stainless</v>
      </c>
      <c r="P14213">
        <f>IF(OR(M14213="",N14213=""),"",SUMIFS('Barang Keluar'!$E:$E,'Barang Keluar'!$A:$A,M14213,'Barang Keluar'!$C:$C,N14213))</f>
        <v>0</v>
      </c>
    </row>
    <row r="14214" spans="13:16">
      <c r="M14214" s="49">
        <f>IF($A$4+142&gt;$B$4,"",$A$4+142)</f>
        <v>46165</v>
      </c>
      <c r="N14214" t="str">
        <f>IF(M14214="","",'Master Barang'!A8)</f>
        <v>PRL-007</v>
      </c>
      <c r="O14214" t="str">
        <f>IF(N14214="","",'Master Barang'!B8)</f>
        <v>plastik kresek besar merah 50pc</v>
      </c>
      <c r="P14214">
        <f>IF(OR(M14214="",N14214=""),"",SUMIFS('Barang Keluar'!$E:$E,'Barang Keluar'!$A:$A,M14214,'Barang Keluar'!$C:$C,N14214))</f>
        <v>0</v>
      </c>
    </row>
    <row r="14215" spans="13:16">
      <c r="M14215" s="49">
        <f>IF($A$4+142&gt;$B$4,"",$A$4+142)</f>
        <v>46165</v>
      </c>
      <c r="N14215" t="str">
        <f>IF(M14215="","",'Master Barang'!A9)</f>
        <v>PRL-008</v>
      </c>
      <c r="O14215" t="str">
        <f>IF(N14215="","",'Master Barang'!B9)</f>
        <v>lap besar</v>
      </c>
      <c r="P14215">
        <f>IF(OR(M14215="",N14215=""),"",SUMIFS('Barang Keluar'!$E:$E,'Barang Keluar'!$A:$A,M14215,'Barang Keluar'!$C:$C,N14215))</f>
        <v>0</v>
      </c>
    </row>
    <row r="14216" spans="13:16">
      <c r="M14216" s="49">
        <f>IF($A$4+142&gt;$B$4,"",$A$4+142)</f>
        <v>46165</v>
      </c>
      <c r="N14216" t="str">
        <f>IF(M14216="","",'Master Barang'!A10)</f>
        <v>PRL-009</v>
      </c>
      <c r="O14216" t="str">
        <f>IF(N14216="","",'Master Barang'!B10)</f>
        <v>lap microfiber</v>
      </c>
      <c r="P14216">
        <f>IF(OR(M14216="",N14216=""),"",SUMIFS('Barang Keluar'!$E:$E,'Barang Keluar'!$A:$A,M14216,'Barang Keluar'!$C:$C,N14216))</f>
        <v>0</v>
      </c>
    </row>
    <row r="14217" spans="13:16">
      <c r="M14217" s="49">
        <f>IF($A$4+142&gt;$B$4,"",$A$4+142)</f>
        <v>46165</v>
      </c>
      <c r="N14217" t="str">
        <f>IF(M14217="","",'Master Barang'!A11)</f>
        <v>PRL-010</v>
      </c>
      <c r="O14217" t="str">
        <f>IF(N14217="","",'Master Barang'!B11)</f>
        <v>lap kecil</v>
      </c>
      <c r="P14217">
        <f>IF(OR(M14217="",N14217=""),"",SUMIFS('Barang Keluar'!$E:$E,'Barang Keluar'!$A:$A,M14217,'Barang Keluar'!$C:$C,N14217))</f>
        <v>0</v>
      </c>
    </row>
    <row r="14218" spans="13:16">
      <c r="M14218" s="49">
        <f>IF($A$4+142&gt;$B$4,"",$A$4+142)</f>
        <v>46165</v>
      </c>
      <c r="N14218" t="str">
        <f>IF(M14218="","",'Master Barang'!A12)</f>
        <v>PRL-011</v>
      </c>
      <c r="O14218" t="str">
        <f>IF(N14218="","",'Master Barang'!B12)</f>
        <v>kanebo kecil</v>
      </c>
      <c r="P14218">
        <f>IF(OR(M14218="",N14218=""),"",SUMIFS('Barang Keluar'!$E:$E,'Barang Keluar'!$A:$A,M14218,'Barang Keluar'!$C:$C,N14218))</f>
        <v>0</v>
      </c>
    </row>
    <row r="14219" spans="13:16">
      <c r="M14219" s="49">
        <f>IF($A$4+142&gt;$B$4,"",$A$4+142)</f>
        <v>46165</v>
      </c>
      <c r="N14219" t="str">
        <f>IF(M14219="","",'Master Barang'!A13)</f>
        <v>PRL-012</v>
      </c>
      <c r="O14219" t="str">
        <f>IF(N14219="","",'Master Barang'!B13)</f>
        <v>plastik 1/4kg joyoboyo 100 lembar</v>
      </c>
      <c r="P14219">
        <f>IF(OR(M14219="",N14219=""),"",SUMIFS('Barang Keluar'!$E:$E,'Barang Keluar'!$A:$A,M14219,'Barang Keluar'!$C:$C,N14219))</f>
        <v>0</v>
      </c>
    </row>
    <row r="14220" spans="13:16">
      <c r="M14220" s="49">
        <f>IF($A$4+142&gt;$B$4,"",$A$4+142)</f>
        <v>46165</v>
      </c>
      <c r="N14220" t="str">
        <f>IF(M14220="","",'Master Barang'!A14)</f>
        <v>PRL-013</v>
      </c>
      <c r="O14220" t="str">
        <f>IF(N14220="","",'Master Barang'!B14)</f>
        <v>sarung tangan plastik kaka 100 pcs</v>
      </c>
      <c r="P14220">
        <f>IF(OR(M14220="",N14220=""),"",SUMIFS('Barang Keluar'!$E:$E,'Barang Keluar'!$A:$A,M14220,'Barang Keluar'!$C:$C,N14220))</f>
        <v>0</v>
      </c>
    </row>
    <row r="14221" spans="13:16">
      <c r="M14221" s="49">
        <f>IF($A$4+142&gt;$B$4,"",$A$4+142)</f>
        <v>46165</v>
      </c>
      <c r="N14221" t="str">
        <f>IF(M14221="","",'Master Barang'!A15)</f>
        <v>PRL-014</v>
      </c>
      <c r="O14221" t="str">
        <f>IF(N14221="","",'Master Barang'!B15)</f>
        <v>optima trashbag 80x100</v>
      </c>
      <c r="P14221">
        <f>IF(OR(M14221="",N14221=""),"",SUMIFS('Barang Keluar'!$E:$E,'Barang Keluar'!$A:$A,M14221,'Barang Keluar'!$C:$C,N14221))</f>
        <v>0</v>
      </c>
    </row>
    <row r="14222" spans="13:16">
      <c r="M14222" s="49">
        <f>IF($A$4+142&gt;$B$4,"",$A$4+142)</f>
        <v>46165</v>
      </c>
      <c r="N14222" t="str">
        <f>IF(M14222="","",'Master Barang'!A16)</f>
        <v>PRL-015</v>
      </c>
      <c r="O14222" t="str">
        <f>IF(N14222="","",'Master Barang'!B16)</f>
        <v>optima trashbag 60x100</v>
      </c>
      <c r="P14222">
        <f>IF(OR(M14222="",N14222=""),"",SUMIFS('Barang Keluar'!$E:$E,'Barang Keluar'!$A:$A,M14222,'Barang Keluar'!$C:$C,N14222))</f>
        <v>0</v>
      </c>
    </row>
    <row r="14223" spans="13:16">
      <c r="M14223" s="49">
        <f>IF($A$4+142&gt;$B$4,"",$A$4+142)</f>
        <v>46165</v>
      </c>
      <c r="N14223" t="str">
        <f>IF(M14223="","",'Master Barang'!A17)</f>
        <v>PRL-016</v>
      </c>
      <c r="O14223" t="str">
        <f>IF(N14223="","",'Master Barang'!B17)</f>
        <v>rajawali trashbag 30x40</v>
      </c>
      <c r="P14223">
        <f>IF(OR(M14223="",N14223=""),"",SUMIFS('Barang Keluar'!$E:$E,'Barang Keluar'!$A:$A,M14223,'Barang Keluar'!$C:$C,N14223))</f>
        <v>0</v>
      </c>
    </row>
    <row r="14224" spans="13:16">
      <c r="M14224" s="49">
        <f>IF($A$4+142&gt;$B$4,"",$A$4+142)</f>
        <v>46165</v>
      </c>
      <c r="N14224" t="str">
        <f>IF(M14224="","",'Master Barang'!A18)</f>
        <v>PRL-017</v>
      </c>
      <c r="O14224" t="str">
        <f>IF(N14224="","",'Master Barang'!B18)</f>
        <v>onemed masker biru 3 play 50 pcs</v>
      </c>
      <c r="P14224">
        <f>IF(OR(M14224="",N14224=""),"",SUMIFS('Barang Keluar'!$E:$E,'Barang Keluar'!$A:$A,M14224,'Barang Keluar'!$C:$C,N14224))</f>
        <v>0</v>
      </c>
    </row>
    <row r="14225" spans="13:16">
      <c r="M14225" s="49">
        <f>IF($A$4+142&gt;$B$4,"",$A$4+142)</f>
        <v>46165</v>
      </c>
      <c r="N14225" t="str">
        <f>IF(M14225="","",'Master Barang'!A19)</f>
        <v>PRL-018</v>
      </c>
      <c r="O14225" t="str">
        <f>IF(N14225="","",'Master Barang'!B19)</f>
        <v>onemed masker biru 3 play hijab 50 pcs</v>
      </c>
      <c r="P14225">
        <f>IF(OR(M14225="",N14225=""),"",SUMIFS('Barang Keluar'!$E:$E,'Barang Keluar'!$A:$A,M14225,'Barang Keluar'!$C:$C,N14225))</f>
        <v>0</v>
      </c>
    </row>
    <row r="14226" spans="13:16">
      <c r="M14226" s="49">
        <f>IF($A$4+142&gt;$B$4,"",$A$4+142)</f>
        <v>46165</v>
      </c>
      <c r="N14226" t="str">
        <f>IF(M14226="","",'Master Barang'!A20)</f>
        <v>PRL-019</v>
      </c>
      <c r="O14226" t="str">
        <f>IF(N14226="","",'Master Barang'!B20)</f>
        <v>neo health masker biru 3 play 50 pcs</v>
      </c>
      <c r="P14226">
        <f>IF(OR(M14226="",N14226=""),"",SUMIFS('Barang Keluar'!$E:$E,'Barang Keluar'!$A:$A,M14226,'Barang Keluar'!$C:$C,N14226))</f>
        <v>0</v>
      </c>
    </row>
    <row r="14227" spans="13:16">
      <c r="M14227" s="49">
        <f>IF($A$4+142&gt;$B$4,"",$A$4+142)</f>
        <v>46165</v>
      </c>
      <c r="N14227" t="str">
        <f>IF(M14227="","",'Master Barang'!A21)</f>
        <v>PRL-020</v>
      </c>
      <c r="O14227" t="str">
        <f>IF(N14227="","",'Master Barang'!B21)</f>
        <v>baymed masker hijau 3 play hijau 50 pcs</v>
      </c>
      <c r="P14227">
        <f>IF(OR(M14227="",N14227=""),"",SUMIFS('Barang Keluar'!$E:$E,'Barang Keluar'!$A:$A,M14227,'Barang Keluar'!$C:$C,N14227))</f>
        <v>0</v>
      </c>
    </row>
    <row r="14228" spans="13:16">
      <c r="M14228" s="49">
        <f>IF($A$4+142&gt;$B$4,"",$A$4+142)</f>
        <v>46165</v>
      </c>
      <c r="N14228" t="str">
        <f>IF(M14228="","",'Master Barang'!A22)</f>
        <v>PRL-021</v>
      </c>
      <c r="O14228" t="str">
        <f>IF(N14228="","",'Master Barang'!B22)</f>
        <v>altamed nurse cap penutup kepala 100 pcs</v>
      </c>
      <c r="P14228">
        <f>IF(OR(M14228="",N14228=""),"",SUMIFS('Barang Keluar'!$E:$E,'Barang Keluar'!$A:$A,M14228,'Barang Keluar'!$C:$C,N14228))</f>
        <v>0</v>
      </c>
    </row>
    <row r="14229" spans="13:16">
      <c r="M14229" s="49">
        <f>IF($A$4+142&gt;$B$4,"",$A$4+142)</f>
        <v>46165</v>
      </c>
      <c r="N14229" t="str">
        <f>IF(M14229="","",'Master Barang'!A23)</f>
        <v>PRL-022</v>
      </c>
      <c r="O14229" t="str">
        <f>IF(N14229="","",'Master Barang'!B23)</f>
        <v>sabun cuci tangan</v>
      </c>
      <c r="P14229">
        <f>IF(OR(M14229="",N14229=""),"",SUMIFS('Barang Keluar'!$E:$E,'Barang Keluar'!$A:$A,M14229,'Barang Keluar'!$C:$C,N14229))</f>
        <v>0</v>
      </c>
    </row>
    <row r="14230" spans="13:16">
      <c r="M14230" s="49">
        <f>IF($A$4+142&gt;$B$4,"",$A$4+142)</f>
        <v>46165</v>
      </c>
      <c r="N14230" t="str">
        <f>IF(M14230="","",'Master Barang'!A24)</f>
        <v>PRL-023</v>
      </c>
      <c r="O14230" t="str">
        <f>IF(N14230="","",'Master Barang'!B24)</f>
        <v>gayung kecil</v>
      </c>
      <c r="P14230">
        <f>IF(OR(M14230="",N14230=""),"",SUMIFS('Barang Keluar'!$E:$E,'Barang Keluar'!$A:$A,M14230,'Barang Keluar'!$C:$C,N14230))</f>
        <v>0</v>
      </c>
    </row>
    <row r="14231" spans="13:16">
      <c r="M14231" s="49">
        <f>IF($A$4+142&gt;$B$4,"",$A$4+142)</f>
        <v>46165</v>
      </c>
      <c r="N14231" t="str">
        <f>IF(M14231="","",'Master Barang'!A25)</f>
        <v>PRL-024</v>
      </c>
      <c r="O14231" t="str">
        <f>IF(N14231="","",'Master Barang'!B25)</f>
        <v>cikrak kecil</v>
      </c>
      <c r="P14231">
        <f>IF(OR(M14231="",N14231=""),"",SUMIFS('Barang Keluar'!$E:$E,'Barang Keluar'!$A:$A,M14231,'Barang Keluar'!$C:$C,N14231))</f>
        <v>0</v>
      </c>
    </row>
    <row r="14232" spans="13:16">
      <c r="M14232" s="49">
        <f>IF($A$4+142&gt;$B$4,"",$A$4+142)</f>
        <v>46165</v>
      </c>
      <c r="N14232" t="str">
        <f>IF(M14232="","",'Master Barang'!A26)</f>
        <v>PRL-025</v>
      </c>
      <c r="O14232" t="str">
        <f>IF(N14232="","",'Master Barang'!B26)</f>
        <v>petromax plastik kecil 12x24 100 lembar</v>
      </c>
      <c r="P14232">
        <f>IF(OR(M14232="",N14232=""),"",SUMIFS('Barang Keluar'!$E:$E,'Barang Keluar'!$A:$A,M14232,'Barang Keluar'!$C:$C,N14232))</f>
        <v>0</v>
      </c>
    </row>
    <row r="14233" spans="13:16">
      <c r="M14233" s="49">
        <f>IF($A$4+142&gt;$B$4,"",$A$4+142)</f>
        <v>46165</v>
      </c>
      <c r="N14233" t="str">
        <f>IF(M14233="","",'Master Barang'!A27)</f>
        <v>PRL-026</v>
      </c>
      <c r="O14233" t="str">
        <f>IF(N14233="","",'Master Barang'!B27)</f>
        <v>lancar kresek kecil bening </v>
      </c>
      <c r="P14233">
        <f>IF(OR(M14233="",N14233=""),"",SUMIFS('Barang Keluar'!$E:$E,'Barang Keluar'!$A:$A,M14233,'Barang Keluar'!$C:$C,N14233))</f>
        <v>0</v>
      </c>
    </row>
    <row r="14234" spans="13:16">
      <c r="M14234" s="49">
        <f>IF($A$4+142&gt;$B$4,"",$A$4+142)</f>
        <v>46165</v>
      </c>
      <c r="N14234" t="str">
        <f>IF(M14234="","",'Master Barang'!A28)</f>
        <v>PRL-027</v>
      </c>
      <c r="O14234" t="str">
        <f>IF(N14234="","",'Master Barang'!B28)</f>
        <v>kresek klin warna warni kecil</v>
      </c>
      <c r="P14234">
        <f>IF(OR(M14234="",N14234=""),"",SUMIFS('Barang Keluar'!$E:$E,'Barang Keluar'!$A:$A,M14234,'Barang Keluar'!$C:$C,N14234))</f>
        <v>0</v>
      </c>
    </row>
    <row r="14235" spans="13:16">
      <c r="M14235" s="49">
        <f>IF($A$4+142&gt;$B$4,"",$A$4+142)</f>
        <v>46165</v>
      </c>
      <c r="N14235" t="str">
        <f>IF(M14235="","",'Master Barang'!A29)</f>
        <v>PRL-028</v>
      </c>
      <c r="O14235" t="str">
        <f>IF(N14235="","",'Master Barang'!B29)</f>
        <v>ctik plastik 7x10 100 pcs</v>
      </c>
      <c r="P14235">
        <f>IF(OR(M14235="",N14235=""),"",SUMIFS('Barang Keluar'!$E:$E,'Barang Keluar'!$A:$A,M14235,'Barang Keluar'!$C:$C,N14235))</f>
        <v>0</v>
      </c>
    </row>
    <row r="14236" spans="13:16">
      <c r="M14236" s="49">
        <f>IF($A$4+142&gt;$B$4,"",$A$4+142)</f>
        <v>46165</v>
      </c>
      <c r="N14236" t="str">
        <f>IF(M14236="","",'Master Barang'!A30)</f>
        <v>PRL-029</v>
      </c>
      <c r="O14236" t="str">
        <f>IF(N14236="","",'Master Barang'!B30)</f>
        <v>ctik plastik 6x10 100 pcs</v>
      </c>
      <c r="P14236">
        <f>IF(OR(M14236="",N14236=""),"",SUMIFS('Barang Keluar'!$E:$E,'Barang Keluar'!$A:$A,M14236,'Barang Keluar'!$C:$C,N14236))</f>
        <v>0</v>
      </c>
    </row>
    <row r="14237" spans="13:16">
      <c r="M14237" s="49">
        <f>IF($A$4+142&gt;$B$4,"",$A$4+142)</f>
        <v>46165</v>
      </c>
      <c r="N14237" t="str">
        <f>IF(M14237="","",'Master Barang'!A31)</f>
        <v>PRL-030</v>
      </c>
      <c r="O14237" t="str">
        <f>IF(N14237="","",'Master Barang'!B31)</f>
        <v>klip plastik 25x16 100 pcs</v>
      </c>
      <c r="P14237">
        <f>IF(OR(M14237="",N14237=""),"",SUMIFS('Barang Keluar'!$E:$E,'Barang Keluar'!$A:$A,M14237,'Barang Keluar'!$C:$C,N14237))</f>
        <v>0</v>
      </c>
    </row>
    <row r="14238" spans="13:16">
      <c r="M14238" s="49">
        <f>IF($A$4+142&gt;$B$4,"",$A$4+142)</f>
        <v>46165</v>
      </c>
      <c r="N14238" t="str">
        <f>IF(M14238="","",'Master Barang'!A32)</f>
        <v>PRL-031</v>
      </c>
      <c r="O14238" t="str">
        <f>IF(N14238="","",'Master Barang'!B32)</f>
        <v>tempat saus 20 ml</v>
      </c>
      <c r="P14238">
        <f>IF(OR(M14238="",N14238=""),"",SUMIFS('Barang Keluar'!$E:$E,'Barang Keluar'!$A:$A,M14238,'Barang Keluar'!$C:$C,N14238))</f>
        <v>0</v>
      </c>
    </row>
    <row r="14239" spans="13:16">
      <c r="M14239" s="49">
        <f>IF($A$4+142&gt;$B$4,"",$A$4+142)</f>
        <v>46165</v>
      </c>
      <c r="N14239" t="str">
        <f>IF(M14239="","",'Master Barang'!A33)</f>
        <v>PRL-032</v>
      </c>
      <c r="O14239" t="str">
        <f>IF(N14239="","",'Master Barang'!B33)</f>
        <v>plastik packaging ag box uk sedang</v>
      </c>
      <c r="P14239">
        <f>IF(OR(M14239="",N14239=""),"",SUMIFS('Barang Keluar'!$E:$E,'Barang Keluar'!$A:$A,M14239,'Barang Keluar'!$C:$C,N14239))</f>
        <v>0</v>
      </c>
    </row>
    <row r="14240" spans="13:16">
      <c r="M14240" s="49">
        <f>IF($A$4+142&gt;$B$4,"",$A$4+142)</f>
        <v>46165</v>
      </c>
      <c r="N14240" t="str">
        <f>IF(M14240="","",'Master Barang'!A34)</f>
        <v>PRL-033</v>
      </c>
      <c r="O14240">
        <f>IF(N14240="","",'Master Barang'!B34)</f>
        <v>0</v>
      </c>
      <c r="P14240">
        <f>IF(OR(M14240="",N14240=""),"",SUMIFS('Barang Keluar'!$E:$E,'Barang Keluar'!$A:$A,M14240,'Barang Keluar'!$C:$C,N14240))</f>
        <v>0</v>
      </c>
    </row>
    <row r="14241" spans="13:16">
      <c r="M14241" s="49">
        <f>IF($A$4+142&gt;$B$4,"",$A$4+142)</f>
        <v>46165</v>
      </c>
      <c r="N14241">
        <f>IF(M14241="","",'Master Barang'!A35)</f>
        <v>0</v>
      </c>
      <c r="O14241">
        <f>IF(N14241="","",'Master Barang'!B35)</f>
        <v>0</v>
      </c>
      <c r="P14241">
        <f>IF(OR(M14241="",N14241=""),"",SUMIFS('Barang Keluar'!$E:$E,'Barang Keluar'!$A:$A,M14241,'Barang Keluar'!$C:$C,N14241))</f>
        <v>0</v>
      </c>
    </row>
    <row r="14242" spans="13:16">
      <c r="M14242" s="49">
        <f>IF($A$4+142&gt;$B$4,"",$A$4+142)</f>
        <v>46165</v>
      </c>
      <c r="N14242">
        <f>IF(M14242="","",'Master Barang'!A36)</f>
        <v>0</v>
      </c>
      <c r="O14242">
        <f>IF(N14242="","",'Master Barang'!B36)</f>
        <v>0</v>
      </c>
      <c r="P14242">
        <f>IF(OR(M14242="",N14242=""),"",SUMIFS('Barang Keluar'!$E:$E,'Barang Keluar'!$A:$A,M14242,'Barang Keluar'!$C:$C,N14242))</f>
        <v>0</v>
      </c>
    </row>
    <row r="14243" spans="13:16">
      <c r="M14243" s="49">
        <f>IF($A$4+142&gt;$B$4,"",$A$4+142)</f>
        <v>46165</v>
      </c>
      <c r="N14243">
        <f>IF(M14243="","",'Master Barang'!A37)</f>
        <v>0</v>
      </c>
      <c r="O14243">
        <f>IF(N14243="","",'Master Barang'!B37)</f>
        <v>0</v>
      </c>
      <c r="P14243">
        <f>IF(OR(M14243="",N14243=""),"",SUMIFS('Barang Keluar'!$E:$E,'Barang Keluar'!$A:$A,M14243,'Barang Keluar'!$C:$C,N14243))</f>
        <v>0</v>
      </c>
    </row>
    <row r="14244" spans="13:16">
      <c r="M14244" s="49">
        <f>IF($A$4+142&gt;$B$4,"",$A$4+142)</f>
        <v>46165</v>
      </c>
      <c r="N14244">
        <f>IF(M14244="","",'Master Barang'!A38)</f>
        <v>0</v>
      </c>
      <c r="O14244">
        <f>IF(N14244="","",'Master Barang'!B38)</f>
        <v>0</v>
      </c>
      <c r="P14244">
        <f>IF(OR(M14244="",N14244=""),"",SUMIFS('Barang Keluar'!$E:$E,'Barang Keluar'!$A:$A,M14244,'Barang Keluar'!$C:$C,N14244))</f>
        <v>0</v>
      </c>
    </row>
    <row r="14245" spans="13:16">
      <c r="M14245" s="49">
        <f>IF($A$4+142&gt;$B$4,"",$A$4+142)</f>
        <v>46165</v>
      </c>
      <c r="N14245">
        <f>IF(M14245="","",'Master Barang'!A39)</f>
        <v>0</v>
      </c>
      <c r="O14245">
        <f>IF(N14245="","",'Master Barang'!B39)</f>
        <v>0</v>
      </c>
      <c r="P14245">
        <f>IF(OR(M14245="",N14245=""),"",SUMIFS('Barang Keluar'!$E:$E,'Barang Keluar'!$A:$A,M14245,'Barang Keluar'!$C:$C,N14245))</f>
        <v>0</v>
      </c>
    </row>
    <row r="14246" spans="13:16">
      <c r="M14246" s="49">
        <f>IF($A$4+142&gt;$B$4,"",$A$4+142)</f>
        <v>46165</v>
      </c>
      <c r="N14246">
        <f>IF(M14246="","",'Master Barang'!A40)</f>
        <v>0</v>
      </c>
      <c r="O14246">
        <f>IF(N14246="","",'Master Barang'!B40)</f>
        <v>0</v>
      </c>
      <c r="P14246">
        <f>IF(OR(M14246="",N14246=""),"",SUMIFS('Barang Keluar'!$E:$E,'Barang Keluar'!$A:$A,M14246,'Barang Keluar'!$C:$C,N14246))</f>
        <v>0</v>
      </c>
    </row>
    <row r="14247" spans="13:16">
      <c r="M14247" s="49">
        <f>IF($A$4+142&gt;$B$4,"",$A$4+142)</f>
        <v>46165</v>
      </c>
      <c r="N14247">
        <f>IF(M14247="","",'Master Barang'!A41)</f>
        <v>0</v>
      </c>
      <c r="O14247">
        <f>IF(N14247="","",'Master Barang'!B41)</f>
        <v>0</v>
      </c>
      <c r="P14247">
        <f>IF(OR(M14247="",N14247=""),"",SUMIFS('Barang Keluar'!$E:$E,'Barang Keluar'!$A:$A,M14247,'Barang Keluar'!$C:$C,N14247))</f>
        <v>0</v>
      </c>
    </row>
    <row r="14248" spans="13:16">
      <c r="M14248" s="49">
        <f>IF($A$4+142&gt;$B$4,"",$A$4+142)</f>
        <v>46165</v>
      </c>
      <c r="N14248">
        <f>IF(M14248="","",'Master Barang'!A42)</f>
        <v>0</v>
      </c>
      <c r="O14248">
        <f>IF(N14248="","",'Master Barang'!B42)</f>
        <v>0</v>
      </c>
      <c r="P14248">
        <f>IF(OR(M14248="",N14248=""),"",SUMIFS('Barang Keluar'!$E:$E,'Barang Keluar'!$A:$A,M14248,'Barang Keluar'!$C:$C,N14248))</f>
        <v>0</v>
      </c>
    </row>
    <row r="14249" spans="13:16">
      <c r="M14249" s="49">
        <f>IF($A$4+142&gt;$B$4,"",$A$4+142)</f>
        <v>46165</v>
      </c>
      <c r="N14249">
        <f>IF(M14249="","",'Master Barang'!A43)</f>
        <v>0</v>
      </c>
      <c r="O14249">
        <f>IF(N14249="","",'Master Barang'!B43)</f>
        <v>0</v>
      </c>
      <c r="P14249">
        <f>IF(OR(M14249="",N14249=""),"",SUMIFS('Barang Keluar'!$E:$E,'Barang Keluar'!$A:$A,M14249,'Barang Keluar'!$C:$C,N14249))</f>
        <v>0</v>
      </c>
    </row>
    <row r="14250" spans="13:16">
      <c r="M14250" s="49">
        <f>IF($A$4+142&gt;$B$4,"",$A$4+142)</f>
        <v>46165</v>
      </c>
      <c r="N14250">
        <f>IF(M14250="","",'Master Barang'!A44)</f>
        <v>0</v>
      </c>
      <c r="O14250">
        <f>IF(N14250="","",'Master Barang'!B44)</f>
        <v>0</v>
      </c>
      <c r="P14250">
        <f>IF(OR(M14250="",N14250=""),"",SUMIFS('Barang Keluar'!$E:$E,'Barang Keluar'!$A:$A,M14250,'Barang Keluar'!$C:$C,N14250))</f>
        <v>0</v>
      </c>
    </row>
    <row r="14251" spans="13:16">
      <c r="M14251" s="49">
        <f>IF($A$4+142&gt;$B$4,"",$A$4+142)</f>
        <v>46165</v>
      </c>
      <c r="N14251">
        <f>IF(M14251="","",'Master Barang'!A45)</f>
        <v>0</v>
      </c>
      <c r="O14251">
        <f>IF(N14251="","",'Master Barang'!B45)</f>
        <v>0</v>
      </c>
      <c r="P14251">
        <f>IF(OR(M14251="",N14251=""),"",SUMIFS('Barang Keluar'!$E:$E,'Barang Keluar'!$A:$A,M14251,'Barang Keluar'!$C:$C,N14251))</f>
        <v>0</v>
      </c>
    </row>
    <row r="14252" spans="13:16">
      <c r="M14252" s="49">
        <f>IF($A$4+142&gt;$B$4,"",$A$4+142)</f>
        <v>46165</v>
      </c>
      <c r="N14252">
        <f>IF(M14252="","",'Master Barang'!A46)</f>
        <v>0</v>
      </c>
      <c r="O14252">
        <f>IF(N14252="","",'Master Barang'!B46)</f>
        <v>0</v>
      </c>
      <c r="P14252">
        <f>IF(OR(M14252="",N14252=""),"",SUMIFS('Barang Keluar'!$E:$E,'Barang Keluar'!$A:$A,M14252,'Barang Keluar'!$C:$C,N14252))</f>
        <v>0</v>
      </c>
    </row>
    <row r="14253" spans="13:16">
      <c r="M14253" s="49">
        <f>IF($A$4+142&gt;$B$4,"",$A$4+142)</f>
        <v>46165</v>
      </c>
      <c r="N14253">
        <f>IF(M14253="","",'Master Barang'!A47)</f>
        <v>0</v>
      </c>
      <c r="O14253">
        <f>IF(N14253="","",'Master Barang'!B47)</f>
        <v>0</v>
      </c>
      <c r="P14253">
        <f>IF(OR(M14253="",N14253=""),"",SUMIFS('Barang Keluar'!$E:$E,'Barang Keluar'!$A:$A,M14253,'Barang Keluar'!$C:$C,N14253))</f>
        <v>0</v>
      </c>
    </row>
    <row r="14254" spans="13:16">
      <c r="M14254" s="49">
        <f>IF($A$4+142&gt;$B$4,"",$A$4+142)</f>
        <v>46165</v>
      </c>
      <c r="N14254">
        <f>IF(M14254="","",'Master Barang'!A48)</f>
        <v>0</v>
      </c>
      <c r="O14254">
        <f>IF(N14254="","",'Master Barang'!B48)</f>
        <v>0</v>
      </c>
      <c r="P14254">
        <f>IF(OR(M14254="",N14254=""),"",SUMIFS('Barang Keluar'!$E:$E,'Barang Keluar'!$A:$A,M14254,'Barang Keluar'!$C:$C,N14254))</f>
        <v>0</v>
      </c>
    </row>
    <row r="14255" spans="13:16">
      <c r="M14255" s="49">
        <f>IF($A$4+142&gt;$B$4,"",$A$4+142)</f>
        <v>46165</v>
      </c>
      <c r="N14255">
        <f>IF(M14255="","",'Master Barang'!A49)</f>
        <v>0</v>
      </c>
      <c r="O14255">
        <f>IF(N14255="","",'Master Barang'!B49)</f>
        <v>0</v>
      </c>
      <c r="P14255">
        <f>IF(OR(M14255="",N14255=""),"",SUMIFS('Barang Keluar'!$E:$E,'Barang Keluar'!$A:$A,M14255,'Barang Keluar'!$C:$C,N14255))</f>
        <v>0</v>
      </c>
    </row>
    <row r="14256" spans="13:16">
      <c r="M14256" s="49">
        <f>IF($A$4+142&gt;$B$4,"",$A$4+142)</f>
        <v>46165</v>
      </c>
      <c r="N14256">
        <f>IF(M14256="","",'Master Barang'!A50)</f>
        <v>0</v>
      </c>
      <c r="O14256">
        <f>IF(N14256="","",'Master Barang'!B50)</f>
        <v>0</v>
      </c>
      <c r="P14256">
        <f>IF(OR(M14256="",N14256=""),"",SUMIFS('Barang Keluar'!$E:$E,'Barang Keluar'!$A:$A,M14256,'Barang Keluar'!$C:$C,N14256))</f>
        <v>0</v>
      </c>
    </row>
    <row r="14257" spans="13:16">
      <c r="M14257" s="49">
        <f>IF($A$4+142&gt;$B$4,"",$A$4+142)</f>
        <v>46165</v>
      </c>
      <c r="N14257">
        <f>IF(M14257="","",'Master Barang'!A51)</f>
        <v>0</v>
      </c>
      <c r="O14257">
        <f>IF(N14257="","",'Master Barang'!B51)</f>
        <v>0</v>
      </c>
      <c r="P14257">
        <f>IF(OR(M14257="",N14257=""),"",SUMIFS('Barang Keluar'!$E:$E,'Barang Keluar'!$A:$A,M14257,'Barang Keluar'!$C:$C,N14257))</f>
        <v>0</v>
      </c>
    </row>
    <row r="14258" spans="13:16">
      <c r="M14258" s="49">
        <f>IF($A$4+142&gt;$B$4,"",$A$4+142)</f>
        <v>46165</v>
      </c>
      <c r="N14258">
        <f>IF(M14258="","",'Master Barang'!A52)</f>
        <v>0</v>
      </c>
      <c r="O14258">
        <f>IF(N14258="","",'Master Barang'!B52)</f>
        <v>0</v>
      </c>
      <c r="P14258">
        <f>IF(OR(M14258="",N14258=""),"",SUMIFS('Barang Keluar'!$E:$E,'Barang Keluar'!$A:$A,M14258,'Barang Keluar'!$C:$C,N14258))</f>
        <v>0</v>
      </c>
    </row>
    <row r="14259" spans="13:16">
      <c r="M14259" s="49">
        <f>IF($A$4+142&gt;$B$4,"",$A$4+142)</f>
        <v>46165</v>
      </c>
      <c r="N14259">
        <f>IF(M14259="","",'Master Barang'!A53)</f>
        <v>0</v>
      </c>
      <c r="O14259">
        <f>IF(N14259="","",'Master Barang'!B53)</f>
        <v>0</v>
      </c>
      <c r="P14259">
        <f>IF(OR(M14259="",N14259=""),"",SUMIFS('Barang Keluar'!$E:$E,'Barang Keluar'!$A:$A,M14259,'Barang Keluar'!$C:$C,N14259))</f>
        <v>0</v>
      </c>
    </row>
    <row r="14260" spans="13:16">
      <c r="M14260" s="49">
        <f>IF($A$4+142&gt;$B$4,"",$A$4+142)</f>
        <v>46165</v>
      </c>
      <c r="N14260">
        <f>IF(M14260="","",'Master Barang'!A54)</f>
        <v>0</v>
      </c>
      <c r="O14260">
        <f>IF(N14260="","",'Master Barang'!B54)</f>
        <v>0</v>
      </c>
      <c r="P14260">
        <f>IF(OR(M14260="",N14260=""),"",SUMIFS('Barang Keluar'!$E:$E,'Barang Keluar'!$A:$A,M14260,'Barang Keluar'!$C:$C,N14260))</f>
        <v>0</v>
      </c>
    </row>
    <row r="14261" spans="13:16">
      <c r="M14261" s="49">
        <f>IF($A$4+142&gt;$B$4,"",$A$4+142)</f>
        <v>46165</v>
      </c>
      <c r="N14261">
        <f>IF(M14261="","",'Master Barang'!A55)</f>
        <v>0</v>
      </c>
      <c r="O14261">
        <f>IF(N14261="","",'Master Barang'!B55)</f>
        <v>0</v>
      </c>
      <c r="P14261">
        <f>IF(OR(M14261="",N14261=""),"",SUMIFS('Barang Keluar'!$E:$E,'Barang Keluar'!$A:$A,M14261,'Barang Keluar'!$C:$C,N14261))</f>
        <v>0</v>
      </c>
    </row>
    <row r="14262" spans="13:16">
      <c r="M14262" s="49">
        <f>IF($A$4+142&gt;$B$4,"",$A$4+142)</f>
        <v>46165</v>
      </c>
      <c r="N14262">
        <f>IF(M14262="","",'Master Barang'!A56)</f>
        <v>0</v>
      </c>
      <c r="O14262">
        <f>IF(N14262="","",'Master Barang'!B56)</f>
        <v>0</v>
      </c>
      <c r="P14262">
        <f>IF(OR(M14262="",N14262=""),"",SUMIFS('Barang Keluar'!$E:$E,'Barang Keluar'!$A:$A,M14262,'Barang Keluar'!$C:$C,N14262))</f>
        <v>0</v>
      </c>
    </row>
    <row r="14263" spans="13:16">
      <c r="M14263" s="49">
        <f>IF($A$4+142&gt;$B$4,"",$A$4+142)</f>
        <v>46165</v>
      </c>
      <c r="N14263">
        <f>IF(M14263="","",'Master Barang'!A57)</f>
        <v>0</v>
      </c>
      <c r="O14263">
        <f>IF(N14263="","",'Master Barang'!B57)</f>
        <v>0</v>
      </c>
      <c r="P14263">
        <f>IF(OR(M14263="",N14263=""),"",SUMIFS('Barang Keluar'!$E:$E,'Barang Keluar'!$A:$A,M14263,'Barang Keluar'!$C:$C,N14263))</f>
        <v>0</v>
      </c>
    </row>
    <row r="14264" spans="13:16">
      <c r="M14264" s="49">
        <f>IF($A$4+142&gt;$B$4,"",$A$4+142)</f>
        <v>46165</v>
      </c>
      <c r="N14264">
        <f>IF(M14264="","",'Master Barang'!A58)</f>
        <v>0</v>
      </c>
      <c r="O14264">
        <f>IF(N14264="","",'Master Barang'!B58)</f>
        <v>0</v>
      </c>
      <c r="P14264">
        <f>IF(OR(M14264="",N14264=""),"",SUMIFS('Barang Keluar'!$E:$E,'Barang Keluar'!$A:$A,M14264,'Barang Keluar'!$C:$C,N14264))</f>
        <v>0</v>
      </c>
    </row>
    <row r="14265" spans="13:16">
      <c r="M14265" s="49">
        <f>IF($A$4+142&gt;$B$4,"",$A$4+142)</f>
        <v>46165</v>
      </c>
      <c r="N14265">
        <f>IF(M14265="","",'Master Barang'!A59)</f>
        <v>0</v>
      </c>
      <c r="O14265">
        <f>IF(N14265="","",'Master Barang'!B59)</f>
        <v>0</v>
      </c>
      <c r="P14265">
        <f>IF(OR(M14265="",N14265=""),"",SUMIFS('Barang Keluar'!$E:$E,'Barang Keluar'!$A:$A,M14265,'Barang Keluar'!$C:$C,N14265))</f>
        <v>0</v>
      </c>
    </row>
    <row r="14266" spans="13:16">
      <c r="M14266" s="49">
        <f>IF($A$4+142&gt;$B$4,"",$A$4+142)</f>
        <v>46165</v>
      </c>
      <c r="N14266">
        <f>IF(M14266="","",'Master Barang'!A60)</f>
        <v>0</v>
      </c>
      <c r="O14266">
        <f>IF(N14266="","",'Master Barang'!B60)</f>
        <v>0</v>
      </c>
      <c r="P14266">
        <f>IF(OR(M14266="",N14266=""),"",SUMIFS('Barang Keluar'!$E:$E,'Barang Keluar'!$A:$A,M14266,'Barang Keluar'!$C:$C,N14266))</f>
        <v>0</v>
      </c>
    </row>
    <row r="14267" spans="13:16">
      <c r="M14267" s="49">
        <f>IF($A$4+142&gt;$B$4,"",$A$4+142)</f>
        <v>46165</v>
      </c>
      <c r="N14267">
        <f>IF(M14267="","",'Master Barang'!A61)</f>
        <v>0</v>
      </c>
      <c r="O14267">
        <f>IF(N14267="","",'Master Barang'!B61)</f>
        <v>0</v>
      </c>
      <c r="P14267">
        <f>IF(OR(M14267="",N14267=""),"",SUMIFS('Barang Keluar'!$E:$E,'Barang Keluar'!$A:$A,M14267,'Barang Keluar'!$C:$C,N14267))</f>
        <v>0</v>
      </c>
    </row>
    <row r="14268" spans="13:16">
      <c r="M14268" s="49">
        <f>IF($A$4+142&gt;$B$4,"",$A$4+142)</f>
        <v>46165</v>
      </c>
      <c r="N14268">
        <f>IF(M14268="","",'Master Barang'!A62)</f>
        <v>0</v>
      </c>
      <c r="O14268">
        <f>IF(N14268="","",'Master Barang'!B62)</f>
        <v>0</v>
      </c>
      <c r="P14268">
        <f>IF(OR(M14268="",N14268=""),"",SUMIFS('Barang Keluar'!$E:$E,'Barang Keluar'!$A:$A,M14268,'Barang Keluar'!$C:$C,N14268))</f>
        <v>0</v>
      </c>
    </row>
    <row r="14269" spans="13:16">
      <c r="M14269" s="49">
        <f>IF($A$4+142&gt;$B$4,"",$A$4+142)</f>
        <v>46165</v>
      </c>
      <c r="N14269">
        <f>IF(M14269="","",'Master Barang'!A63)</f>
        <v>0</v>
      </c>
      <c r="O14269">
        <f>IF(N14269="","",'Master Barang'!B63)</f>
        <v>0</v>
      </c>
      <c r="P14269">
        <f>IF(OR(M14269="",N14269=""),"",SUMIFS('Barang Keluar'!$E:$E,'Barang Keluar'!$A:$A,M14269,'Barang Keluar'!$C:$C,N14269))</f>
        <v>0</v>
      </c>
    </row>
    <row r="14270" spans="13:16">
      <c r="M14270" s="49">
        <f>IF($A$4+142&gt;$B$4,"",$A$4+142)</f>
        <v>46165</v>
      </c>
      <c r="N14270">
        <f>IF(M14270="","",'Master Barang'!A64)</f>
        <v>0</v>
      </c>
      <c r="O14270">
        <f>IF(N14270="","",'Master Barang'!B64)</f>
        <v>0</v>
      </c>
      <c r="P14270">
        <f>IF(OR(M14270="",N14270=""),"",SUMIFS('Barang Keluar'!$E:$E,'Barang Keluar'!$A:$A,M14270,'Barang Keluar'!$C:$C,N14270))</f>
        <v>0</v>
      </c>
    </row>
    <row r="14271" spans="13:16">
      <c r="M14271" s="49">
        <f>IF($A$4+142&gt;$B$4,"",$A$4+142)</f>
        <v>46165</v>
      </c>
      <c r="N14271">
        <f>IF(M14271="","",'Master Barang'!A65)</f>
        <v>0</v>
      </c>
      <c r="O14271">
        <f>IF(N14271="","",'Master Barang'!B65)</f>
        <v>0</v>
      </c>
      <c r="P14271">
        <f>IF(OR(M14271="",N14271=""),"",SUMIFS('Barang Keluar'!$E:$E,'Barang Keluar'!$A:$A,M14271,'Barang Keluar'!$C:$C,N14271))</f>
        <v>0</v>
      </c>
    </row>
    <row r="14272" spans="13:16">
      <c r="M14272" s="49">
        <f>IF($A$4+142&gt;$B$4,"",$A$4+142)</f>
        <v>46165</v>
      </c>
      <c r="N14272">
        <f>IF(M14272="","",'Master Barang'!A66)</f>
        <v>0</v>
      </c>
      <c r="O14272">
        <f>IF(N14272="","",'Master Barang'!B66)</f>
        <v>0</v>
      </c>
      <c r="P14272">
        <f>IF(OR(M14272="",N14272=""),"",SUMIFS('Barang Keluar'!$E:$E,'Barang Keluar'!$A:$A,M14272,'Barang Keluar'!$C:$C,N14272))</f>
        <v>0</v>
      </c>
    </row>
    <row r="14273" spans="13:16">
      <c r="M14273" s="49">
        <f>IF($A$4+142&gt;$B$4,"",$A$4+142)</f>
        <v>46165</v>
      </c>
      <c r="N14273">
        <f>IF(M14273="","",'Master Barang'!A67)</f>
        <v>0</v>
      </c>
      <c r="O14273">
        <f>IF(N14273="","",'Master Barang'!B67)</f>
        <v>0</v>
      </c>
      <c r="P14273">
        <f>IF(OR(M14273="",N14273=""),"",SUMIFS('Barang Keluar'!$E:$E,'Barang Keluar'!$A:$A,M14273,'Barang Keluar'!$C:$C,N14273))</f>
        <v>0</v>
      </c>
    </row>
    <row r="14274" spans="13:16">
      <c r="M14274" s="49">
        <f>IF($A$4+142&gt;$B$4,"",$A$4+142)</f>
        <v>46165</v>
      </c>
      <c r="N14274">
        <f>IF(M14274="","",'Master Barang'!A68)</f>
        <v>0</v>
      </c>
      <c r="O14274">
        <f>IF(N14274="","",'Master Barang'!B68)</f>
        <v>0</v>
      </c>
      <c r="P14274">
        <f>IF(OR(M14274="",N14274=""),"",SUMIFS('Barang Keluar'!$E:$E,'Barang Keluar'!$A:$A,M14274,'Barang Keluar'!$C:$C,N14274))</f>
        <v>0</v>
      </c>
    </row>
    <row r="14275" spans="13:16">
      <c r="M14275" s="49">
        <f>IF($A$4+142&gt;$B$4,"",$A$4+142)</f>
        <v>46165</v>
      </c>
      <c r="N14275">
        <f>IF(M14275="","",'Master Barang'!A69)</f>
        <v>0</v>
      </c>
      <c r="O14275">
        <f>IF(N14275="","",'Master Barang'!B69)</f>
        <v>0</v>
      </c>
      <c r="P14275">
        <f>IF(OR(M14275="",N14275=""),"",SUMIFS('Barang Keluar'!$E:$E,'Barang Keluar'!$A:$A,M14275,'Barang Keluar'!$C:$C,N14275))</f>
        <v>0</v>
      </c>
    </row>
    <row r="14276" spans="13:16">
      <c r="M14276" s="49">
        <f>IF($A$4+142&gt;$B$4,"",$A$4+142)</f>
        <v>46165</v>
      </c>
      <c r="N14276">
        <f>IF(M14276="","",'Master Barang'!A70)</f>
        <v>0</v>
      </c>
      <c r="O14276">
        <f>IF(N14276="","",'Master Barang'!B70)</f>
        <v>0</v>
      </c>
      <c r="P14276">
        <f>IF(OR(M14276="",N14276=""),"",SUMIFS('Barang Keluar'!$E:$E,'Barang Keluar'!$A:$A,M14276,'Barang Keluar'!$C:$C,N14276))</f>
        <v>0</v>
      </c>
    </row>
    <row r="14277" spans="13:16">
      <c r="M14277" s="49">
        <f>IF($A$4+142&gt;$B$4,"",$A$4+142)</f>
        <v>46165</v>
      </c>
      <c r="N14277">
        <f>IF(M14277="","",'Master Barang'!A71)</f>
        <v>0</v>
      </c>
      <c r="O14277">
        <f>IF(N14277="","",'Master Barang'!B71)</f>
        <v>0</v>
      </c>
      <c r="P14277">
        <f>IF(OR(M14277="",N14277=""),"",SUMIFS('Barang Keluar'!$E:$E,'Barang Keluar'!$A:$A,M14277,'Barang Keluar'!$C:$C,N14277))</f>
        <v>0</v>
      </c>
    </row>
    <row r="14278" spans="13:16">
      <c r="M14278" s="49">
        <f>IF($A$4+142&gt;$B$4,"",$A$4+142)</f>
        <v>46165</v>
      </c>
      <c r="N14278">
        <f>IF(M14278="","",'Master Barang'!A72)</f>
        <v>0</v>
      </c>
      <c r="O14278">
        <f>IF(N14278="","",'Master Barang'!B72)</f>
        <v>0</v>
      </c>
      <c r="P14278">
        <f>IF(OR(M14278="",N14278=""),"",SUMIFS('Barang Keluar'!$E:$E,'Barang Keluar'!$A:$A,M14278,'Barang Keluar'!$C:$C,N14278))</f>
        <v>0</v>
      </c>
    </row>
    <row r="14279" spans="13:16">
      <c r="M14279" s="49">
        <f>IF($A$4+142&gt;$B$4,"",$A$4+142)</f>
        <v>46165</v>
      </c>
      <c r="N14279">
        <f>IF(M14279="","",'Master Barang'!A73)</f>
        <v>0</v>
      </c>
      <c r="O14279">
        <f>IF(N14279="","",'Master Barang'!B73)</f>
        <v>0</v>
      </c>
      <c r="P14279">
        <f>IF(OR(M14279="",N14279=""),"",SUMIFS('Barang Keluar'!$E:$E,'Barang Keluar'!$A:$A,M14279,'Barang Keluar'!$C:$C,N14279))</f>
        <v>0</v>
      </c>
    </row>
    <row r="14280" spans="13:16">
      <c r="M14280" s="49">
        <f>IF($A$4+142&gt;$B$4,"",$A$4+142)</f>
        <v>46165</v>
      </c>
      <c r="N14280">
        <f>IF(M14280="","",'Master Barang'!A74)</f>
        <v>0</v>
      </c>
      <c r="O14280">
        <f>IF(N14280="","",'Master Barang'!B74)</f>
        <v>0</v>
      </c>
      <c r="P14280">
        <f>IF(OR(M14280="",N14280=""),"",SUMIFS('Barang Keluar'!$E:$E,'Barang Keluar'!$A:$A,M14280,'Barang Keluar'!$C:$C,N14280))</f>
        <v>0</v>
      </c>
    </row>
    <row r="14281" spans="13:16">
      <c r="M14281" s="49">
        <f>IF($A$4+142&gt;$B$4,"",$A$4+142)</f>
        <v>46165</v>
      </c>
      <c r="N14281">
        <f>IF(M14281="","",'Master Barang'!A75)</f>
        <v>0</v>
      </c>
      <c r="O14281">
        <f>IF(N14281="","",'Master Barang'!B75)</f>
        <v>0</v>
      </c>
      <c r="P14281">
        <f>IF(OR(M14281="",N14281=""),"",SUMIFS('Barang Keluar'!$E:$E,'Barang Keluar'!$A:$A,M14281,'Barang Keluar'!$C:$C,N14281))</f>
        <v>0</v>
      </c>
    </row>
    <row r="14282" spans="13:16">
      <c r="M14282" s="49">
        <f>IF($A$4+142&gt;$B$4,"",$A$4+142)</f>
        <v>46165</v>
      </c>
      <c r="N14282">
        <f>IF(M14282="","",'Master Barang'!A76)</f>
        <v>0</v>
      </c>
      <c r="O14282">
        <f>IF(N14282="","",'Master Barang'!B76)</f>
        <v>0</v>
      </c>
      <c r="P14282">
        <f>IF(OR(M14282="",N14282=""),"",SUMIFS('Barang Keluar'!$E:$E,'Barang Keluar'!$A:$A,M14282,'Barang Keluar'!$C:$C,N14282))</f>
        <v>0</v>
      </c>
    </row>
    <row r="14283" spans="13:16">
      <c r="M14283" s="49">
        <f>IF($A$4+142&gt;$B$4,"",$A$4+142)</f>
        <v>46165</v>
      </c>
      <c r="N14283">
        <f>IF(M14283="","",'Master Barang'!A77)</f>
        <v>0</v>
      </c>
      <c r="O14283">
        <f>IF(N14283="","",'Master Barang'!B77)</f>
        <v>0</v>
      </c>
      <c r="P14283">
        <f>IF(OR(M14283="",N14283=""),"",SUMIFS('Barang Keluar'!$E:$E,'Barang Keluar'!$A:$A,M14283,'Barang Keluar'!$C:$C,N14283))</f>
        <v>0</v>
      </c>
    </row>
    <row r="14284" spans="13:16">
      <c r="M14284" s="49">
        <f>IF($A$4+142&gt;$B$4,"",$A$4+142)</f>
        <v>46165</v>
      </c>
      <c r="N14284">
        <f>IF(M14284="","",'Master Barang'!A78)</f>
        <v>0</v>
      </c>
      <c r="O14284">
        <f>IF(N14284="","",'Master Barang'!B78)</f>
        <v>0</v>
      </c>
      <c r="P14284">
        <f>IF(OR(M14284="",N14284=""),"",SUMIFS('Barang Keluar'!$E:$E,'Barang Keluar'!$A:$A,M14284,'Barang Keluar'!$C:$C,N14284))</f>
        <v>0</v>
      </c>
    </row>
    <row r="14285" spans="13:16">
      <c r="M14285" s="49">
        <f>IF($A$4+142&gt;$B$4,"",$A$4+142)</f>
        <v>46165</v>
      </c>
      <c r="N14285">
        <f>IF(M14285="","",'Master Barang'!A79)</f>
        <v>0</v>
      </c>
      <c r="O14285">
        <f>IF(N14285="","",'Master Barang'!B79)</f>
        <v>0</v>
      </c>
      <c r="P14285">
        <f>IF(OR(M14285="",N14285=""),"",SUMIFS('Barang Keluar'!$E:$E,'Barang Keluar'!$A:$A,M14285,'Barang Keluar'!$C:$C,N14285))</f>
        <v>0</v>
      </c>
    </row>
    <row r="14286" spans="13:16">
      <c r="M14286" s="49">
        <f>IF($A$4+142&gt;$B$4,"",$A$4+142)</f>
        <v>46165</v>
      </c>
      <c r="N14286">
        <f>IF(M14286="","",'Master Barang'!A80)</f>
        <v>0</v>
      </c>
      <c r="O14286">
        <f>IF(N14286="","",'Master Barang'!B80)</f>
        <v>0</v>
      </c>
      <c r="P14286">
        <f>IF(OR(M14286="",N14286=""),"",SUMIFS('Barang Keluar'!$E:$E,'Barang Keluar'!$A:$A,M14286,'Barang Keluar'!$C:$C,N14286))</f>
        <v>0</v>
      </c>
    </row>
    <row r="14287" spans="13:16">
      <c r="M14287" s="49">
        <f>IF($A$4+142&gt;$B$4,"",$A$4+142)</f>
        <v>46165</v>
      </c>
      <c r="N14287">
        <f>IF(M14287="","",'Master Barang'!A81)</f>
        <v>0</v>
      </c>
      <c r="O14287">
        <f>IF(N14287="","",'Master Barang'!B81)</f>
        <v>0</v>
      </c>
      <c r="P14287">
        <f>IF(OR(M14287="",N14287=""),"",SUMIFS('Barang Keluar'!$E:$E,'Barang Keluar'!$A:$A,M14287,'Barang Keluar'!$C:$C,N14287))</f>
        <v>0</v>
      </c>
    </row>
    <row r="14288" spans="13:16">
      <c r="M14288" s="49">
        <f>IF($A$4+142&gt;$B$4,"",$A$4+142)</f>
        <v>46165</v>
      </c>
      <c r="N14288">
        <f>IF(M14288="","",'Master Barang'!A82)</f>
        <v>0</v>
      </c>
      <c r="O14288">
        <f>IF(N14288="","",'Master Barang'!B82)</f>
        <v>0</v>
      </c>
      <c r="P14288">
        <f>IF(OR(M14288="",N14288=""),"",SUMIFS('Barang Keluar'!$E:$E,'Barang Keluar'!$A:$A,M14288,'Barang Keluar'!$C:$C,N14288))</f>
        <v>0</v>
      </c>
    </row>
    <row r="14289" spans="13:16">
      <c r="M14289" s="49">
        <f>IF($A$4+142&gt;$B$4,"",$A$4+142)</f>
        <v>46165</v>
      </c>
      <c r="N14289">
        <f>IF(M14289="","",'Master Barang'!A83)</f>
        <v>0</v>
      </c>
      <c r="O14289">
        <f>IF(N14289="","",'Master Barang'!B83)</f>
        <v>0</v>
      </c>
      <c r="P14289">
        <f>IF(OR(M14289="",N14289=""),"",SUMIFS('Barang Keluar'!$E:$E,'Barang Keluar'!$A:$A,M14289,'Barang Keluar'!$C:$C,N14289))</f>
        <v>0</v>
      </c>
    </row>
    <row r="14290" spans="13:16">
      <c r="M14290" s="49">
        <f>IF($A$4+142&gt;$B$4,"",$A$4+142)</f>
        <v>46165</v>
      </c>
      <c r="N14290">
        <f>IF(M14290="","",'Master Barang'!A84)</f>
        <v>0</v>
      </c>
      <c r="O14290">
        <f>IF(N14290="","",'Master Barang'!B84)</f>
        <v>0</v>
      </c>
      <c r="P14290">
        <f>IF(OR(M14290="",N14290=""),"",SUMIFS('Barang Keluar'!$E:$E,'Barang Keluar'!$A:$A,M14290,'Barang Keluar'!$C:$C,N14290))</f>
        <v>0</v>
      </c>
    </row>
    <row r="14291" spans="13:16">
      <c r="M14291" s="49">
        <f>IF($A$4+142&gt;$B$4,"",$A$4+142)</f>
        <v>46165</v>
      </c>
      <c r="N14291">
        <f>IF(M14291="","",'Master Barang'!A85)</f>
        <v>0</v>
      </c>
      <c r="O14291">
        <f>IF(N14291="","",'Master Barang'!B85)</f>
        <v>0</v>
      </c>
      <c r="P14291">
        <f>IF(OR(M14291="",N14291=""),"",SUMIFS('Barang Keluar'!$E:$E,'Barang Keluar'!$A:$A,M14291,'Barang Keluar'!$C:$C,N14291))</f>
        <v>0</v>
      </c>
    </row>
    <row r="14292" spans="13:16">
      <c r="M14292" s="49">
        <f>IF($A$4+142&gt;$B$4,"",$A$4+142)</f>
        <v>46165</v>
      </c>
      <c r="N14292">
        <f>IF(M14292="","",'Master Barang'!A86)</f>
        <v>0</v>
      </c>
      <c r="O14292">
        <f>IF(N14292="","",'Master Barang'!B86)</f>
        <v>0</v>
      </c>
      <c r="P14292">
        <f>IF(OR(M14292="",N14292=""),"",SUMIFS('Barang Keluar'!$E:$E,'Barang Keluar'!$A:$A,M14292,'Barang Keluar'!$C:$C,N14292))</f>
        <v>0</v>
      </c>
    </row>
    <row r="14293" spans="13:16">
      <c r="M14293" s="49">
        <f>IF($A$4+142&gt;$B$4,"",$A$4+142)</f>
        <v>46165</v>
      </c>
      <c r="N14293">
        <f>IF(M14293="","",'Master Barang'!A87)</f>
        <v>0</v>
      </c>
      <c r="O14293">
        <f>IF(N14293="","",'Master Barang'!B87)</f>
        <v>0</v>
      </c>
      <c r="P14293">
        <f>IF(OR(M14293="",N14293=""),"",SUMIFS('Barang Keluar'!$E:$E,'Barang Keluar'!$A:$A,M14293,'Barang Keluar'!$C:$C,N14293))</f>
        <v>0</v>
      </c>
    </row>
    <row r="14294" spans="13:16">
      <c r="M14294" s="49">
        <f>IF($A$4+142&gt;$B$4,"",$A$4+142)</f>
        <v>46165</v>
      </c>
      <c r="N14294">
        <f>IF(M14294="","",'Master Barang'!A88)</f>
        <v>0</v>
      </c>
      <c r="O14294">
        <f>IF(N14294="","",'Master Barang'!B88)</f>
        <v>0</v>
      </c>
      <c r="P14294">
        <f>IF(OR(M14294="",N14294=""),"",SUMIFS('Barang Keluar'!$E:$E,'Barang Keluar'!$A:$A,M14294,'Barang Keluar'!$C:$C,N14294))</f>
        <v>0</v>
      </c>
    </row>
    <row r="14295" spans="13:16">
      <c r="M14295" s="49">
        <f>IF($A$4+142&gt;$B$4,"",$A$4+142)</f>
        <v>46165</v>
      </c>
      <c r="N14295">
        <f>IF(M14295="","",'Master Barang'!A89)</f>
        <v>0</v>
      </c>
      <c r="O14295">
        <f>IF(N14295="","",'Master Barang'!B89)</f>
        <v>0</v>
      </c>
      <c r="P14295">
        <f>IF(OR(M14295="",N14295=""),"",SUMIFS('Barang Keluar'!$E:$E,'Barang Keluar'!$A:$A,M14295,'Barang Keluar'!$C:$C,N14295))</f>
        <v>0</v>
      </c>
    </row>
    <row r="14296" spans="13:16">
      <c r="M14296" s="49">
        <f>IF($A$4+142&gt;$B$4,"",$A$4+142)</f>
        <v>46165</v>
      </c>
      <c r="N14296">
        <f>IF(M14296="","",'Master Barang'!A90)</f>
        <v>0</v>
      </c>
      <c r="O14296">
        <f>IF(N14296="","",'Master Barang'!B90)</f>
        <v>0</v>
      </c>
      <c r="P14296">
        <f>IF(OR(M14296="",N14296=""),"",SUMIFS('Barang Keluar'!$E:$E,'Barang Keluar'!$A:$A,M14296,'Barang Keluar'!$C:$C,N14296))</f>
        <v>0</v>
      </c>
    </row>
    <row r="14297" spans="13:16">
      <c r="M14297" s="49">
        <f>IF($A$4+142&gt;$B$4,"",$A$4+142)</f>
        <v>46165</v>
      </c>
      <c r="N14297">
        <f>IF(M14297="","",'Master Barang'!A91)</f>
        <v>0</v>
      </c>
      <c r="O14297">
        <f>IF(N14297="","",'Master Barang'!B91)</f>
        <v>0</v>
      </c>
      <c r="P14297">
        <f>IF(OR(M14297="",N14297=""),"",SUMIFS('Barang Keluar'!$E:$E,'Barang Keluar'!$A:$A,M14297,'Barang Keluar'!$C:$C,N14297))</f>
        <v>0</v>
      </c>
    </row>
    <row r="14298" spans="13:16">
      <c r="M14298" s="49">
        <f>IF($A$4+142&gt;$B$4,"",$A$4+142)</f>
        <v>46165</v>
      </c>
      <c r="N14298">
        <f>IF(M14298="","",'Master Barang'!A92)</f>
        <v>0</v>
      </c>
      <c r="O14298">
        <f>IF(N14298="","",'Master Barang'!B92)</f>
        <v>0</v>
      </c>
      <c r="P14298">
        <f>IF(OR(M14298="",N14298=""),"",SUMIFS('Barang Keluar'!$E:$E,'Barang Keluar'!$A:$A,M14298,'Barang Keluar'!$C:$C,N14298))</f>
        <v>0</v>
      </c>
    </row>
    <row r="14299" spans="13:16">
      <c r="M14299" s="49">
        <f>IF($A$4+142&gt;$B$4,"",$A$4+142)</f>
        <v>46165</v>
      </c>
      <c r="N14299">
        <f>IF(M14299="","",'Master Barang'!A93)</f>
        <v>0</v>
      </c>
      <c r="O14299">
        <f>IF(N14299="","",'Master Barang'!B93)</f>
        <v>0</v>
      </c>
      <c r="P14299">
        <f>IF(OR(M14299="",N14299=""),"",SUMIFS('Barang Keluar'!$E:$E,'Barang Keluar'!$A:$A,M14299,'Barang Keluar'!$C:$C,N14299))</f>
        <v>0</v>
      </c>
    </row>
    <row r="14300" spans="13:16">
      <c r="M14300" s="49">
        <f>IF($A$4+142&gt;$B$4,"",$A$4+142)</f>
        <v>46165</v>
      </c>
      <c r="N14300">
        <f>IF(M14300="","",'Master Barang'!A94)</f>
        <v>0</v>
      </c>
      <c r="O14300">
        <f>IF(N14300="","",'Master Barang'!B94)</f>
        <v>0</v>
      </c>
      <c r="P14300">
        <f>IF(OR(M14300="",N14300=""),"",SUMIFS('Barang Keluar'!$E:$E,'Barang Keluar'!$A:$A,M14300,'Barang Keluar'!$C:$C,N14300))</f>
        <v>0</v>
      </c>
    </row>
    <row r="14301" spans="13:16">
      <c r="M14301" s="49">
        <f>IF($A$4+142&gt;$B$4,"",$A$4+142)</f>
        <v>46165</v>
      </c>
      <c r="N14301">
        <f>IF(M14301="","",'Master Barang'!A95)</f>
        <v>0</v>
      </c>
      <c r="O14301">
        <f>IF(N14301="","",'Master Barang'!B95)</f>
        <v>0</v>
      </c>
      <c r="P14301">
        <f>IF(OR(M14301="",N14301=""),"",SUMIFS('Barang Keluar'!$E:$E,'Barang Keluar'!$A:$A,M14301,'Barang Keluar'!$C:$C,N14301))</f>
        <v>0</v>
      </c>
    </row>
    <row r="14302" spans="13:16">
      <c r="M14302" s="49">
        <f>IF($A$4+142&gt;$B$4,"",$A$4+142)</f>
        <v>46165</v>
      </c>
      <c r="N14302">
        <f>IF(M14302="","",'Master Barang'!A96)</f>
        <v>0</v>
      </c>
      <c r="O14302">
        <f>IF(N14302="","",'Master Barang'!B96)</f>
        <v>0</v>
      </c>
      <c r="P14302">
        <f>IF(OR(M14302="",N14302=""),"",SUMIFS('Barang Keluar'!$E:$E,'Barang Keluar'!$A:$A,M14302,'Barang Keluar'!$C:$C,N14302))</f>
        <v>0</v>
      </c>
    </row>
    <row r="14303" spans="13:16">
      <c r="M14303" s="49">
        <f>IF($A$4+142&gt;$B$4,"",$A$4+142)</f>
        <v>46165</v>
      </c>
      <c r="N14303">
        <f>IF(M14303="","",'Master Barang'!A97)</f>
        <v>0</v>
      </c>
      <c r="O14303">
        <f>IF(N14303="","",'Master Barang'!B97)</f>
        <v>0</v>
      </c>
      <c r="P14303">
        <f>IF(OR(M14303="",N14303=""),"",SUMIFS('Barang Keluar'!$E:$E,'Barang Keluar'!$A:$A,M14303,'Barang Keluar'!$C:$C,N14303))</f>
        <v>0</v>
      </c>
    </row>
    <row r="14304" spans="13:16">
      <c r="M14304" s="49">
        <f>IF($A$4+142&gt;$B$4,"",$A$4+142)</f>
        <v>46165</v>
      </c>
      <c r="N14304">
        <f>IF(M14304="","",'Master Barang'!A98)</f>
        <v>0</v>
      </c>
      <c r="O14304">
        <f>IF(N14304="","",'Master Barang'!B98)</f>
        <v>0</v>
      </c>
      <c r="P14304">
        <f>IF(OR(M14304="",N14304=""),"",SUMIFS('Barang Keluar'!$E:$E,'Barang Keluar'!$A:$A,M14304,'Barang Keluar'!$C:$C,N14304))</f>
        <v>0</v>
      </c>
    </row>
    <row r="14305" spans="13:16">
      <c r="M14305" s="49">
        <f>IF($A$4+142&gt;$B$4,"",$A$4+142)</f>
        <v>46165</v>
      </c>
      <c r="N14305">
        <f>IF(M14305="","",'Master Barang'!A99)</f>
        <v>0</v>
      </c>
      <c r="O14305">
        <f>IF(N14305="","",'Master Barang'!B99)</f>
        <v>0</v>
      </c>
      <c r="P14305">
        <f>IF(OR(M14305="",N14305=""),"",SUMIFS('Barang Keluar'!$E:$E,'Barang Keluar'!$A:$A,M14305,'Barang Keluar'!$C:$C,N14305))</f>
        <v>0</v>
      </c>
    </row>
    <row r="14306" spans="13:16">
      <c r="M14306" s="49">
        <f>IF($A$4+142&gt;$B$4,"",$A$4+142)</f>
        <v>46165</v>
      </c>
      <c r="N14306">
        <f>IF(M14306="","",'Master Barang'!A100)</f>
        <v>0</v>
      </c>
      <c r="O14306">
        <f>IF(N14306="","",'Master Barang'!B100)</f>
        <v>0</v>
      </c>
      <c r="P14306">
        <f>IF(OR(M14306="",N14306=""),"",SUMIFS('Barang Keluar'!$E:$E,'Barang Keluar'!$A:$A,M14306,'Barang Keluar'!$C:$C,N14306))</f>
        <v>0</v>
      </c>
    </row>
    <row r="14307" spans="13:16">
      <c r="M14307" s="49">
        <f>IF($A$4+142&gt;$B$4,"",$A$4+142)</f>
        <v>46165</v>
      </c>
      <c r="N14307">
        <f>IF(M14307="","",'Master Barang'!A101)</f>
        <v>0</v>
      </c>
      <c r="O14307">
        <f>IF(N14307="","",'Master Barang'!B101)</f>
        <v>0</v>
      </c>
      <c r="P14307">
        <f>IF(OR(M14307="",N14307=""),"",SUMIFS('Barang Keluar'!$E:$E,'Barang Keluar'!$A:$A,M14307,'Barang Keluar'!$C:$C,N14307))</f>
        <v>0</v>
      </c>
    </row>
    <row r="14308" spans="13:16">
      <c r="M14308" s="49">
        <f>IF($A$4+143&gt;$B$4,"",$A$4+143)</f>
        <v>46166</v>
      </c>
      <c r="N14308" t="str">
        <f>IF(M14308="","",'Master Barang'!A2)</f>
        <v>PRL-001</v>
      </c>
      <c r="O14308" t="str">
        <f>IF(N14308="","",'Master Barang'!B2)</f>
        <v>natura desinfectant food grade 5l</v>
      </c>
      <c r="P14308">
        <f>IF(OR(M14308="",N14308=""),"",SUMIFS('Barang Keluar'!$E:$E,'Barang Keluar'!$A:$A,M14308,'Barang Keluar'!$C:$C,N14308))</f>
        <v>0</v>
      </c>
    </row>
    <row r="14309" spans="13:16">
      <c r="M14309" s="49">
        <f>IF($A$4+143&gt;$B$4,"",$A$4+143)</f>
        <v>46166</v>
      </c>
      <c r="N14309" t="str">
        <f>IF(M14309="","",'Master Barang'!A3)</f>
        <v>PRL-002</v>
      </c>
      <c r="O14309" t="str">
        <f>IF(N14309="","",'Master Barang'!B3)</f>
        <v>sunlight cairan pencuci piring 5l</v>
      </c>
      <c r="P14309">
        <f>IF(OR(M14309="",N14309=""),"",SUMIFS('Barang Keluar'!$E:$E,'Barang Keluar'!$A:$A,M14309,'Barang Keluar'!$C:$C,N14309))</f>
        <v>0</v>
      </c>
    </row>
    <row r="14310" spans="13:16">
      <c r="M14310" s="49">
        <f>IF($A$4+143&gt;$B$4,"",$A$4+143)</f>
        <v>46166</v>
      </c>
      <c r="N14310" t="str">
        <f>IF(M14310="","",'Master Barang'!A4)</f>
        <v>PRL-003</v>
      </c>
      <c r="O14310" t="str">
        <f>IF(N14310="","",'Master Barang'!B4)</f>
        <v>oixs cleaner 1l</v>
      </c>
      <c r="P14310">
        <f>IF(OR(M14310="",N14310=""),"",SUMIFS('Barang Keluar'!$E:$E,'Barang Keluar'!$A:$A,M14310,'Barang Keluar'!$C:$C,N14310))</f>
        <v>0</v>
      </c>
    </row>
    <row r="14311" spans="13:16">
      <c r="M14311" s="49">
        <f>IF($A$4+143&gt;$B$4,"",$A$4+143)</f>
        <v>46166</v>
      </c>
      <c r="N14311" t="str">
        <f>IF(M14311="","",'Master Barang'!A5)</f>
        <v>PRL-004</v>
      </c>
      <c r="O14311" t="str">
        <f>IF(N14311="","",'Master Barang'!B5)</f>
        <v>be clean tissue serbaguna</v>
      </c>
      <c r="P14311">
        <f>IF(OR(M14311="",N14311=""),"",SUMIFS('Barang Keluar'!$E:$E,'Barang Keluar'!$A:$A,M14311,'Barang Keluar'!$C:$C,N14311))</f>
        <v>0</v>
      </c>
    </row>
    <row r="14312" spans="13:16">
      <c r="M14312" s="49">
        <f>IF($A$4+143&gt;$B$4,"",$A$4+143)</f>
        <v>46166</v>
      </c>
      <c r="N14312" t="str">
        <f>IF(M14312="","",'Master Barang'!A6)</f>
        <v>PRL-005</v>
      </c>
      <c r="O14312" t="str">
        <f>IF(N14312="","",'Master Barang'!B6)</f>
        <v>spons cuci hijau</v>
      </c>
      <c r="P14312">
        <f>IF(OR(M14312="",N14312=""),"",SUMIFS('Barang Keluar'!$E:$E,'Barang Keluar'!$A:$A,M14312,'Barang Keluar'!$C:$C,N14312))</f>
        <v>0</v>
      </c>
    </row>
    <row r="14313" spans="13:16">
      <c r="M14313" s="49">
        <f>IF($A$4+143&gt;$B$4,"",$A$4+143)</f>
        <v>46166</v>
      </c>
      <c r="N14313" t="str">
        <f>IF(M14313="","",'Master Barang'!A7)</f>
        <v>PRL-006</v>
      </c>
      <c r="O14313" t="str">
        <f>IF(N14313="","",'Master Barang'!B7)</f>
        <v>sabut cuci stainless</v>
      </c>
      <c r="P14313">
        <f>IF(OR(M14313="",N14313=""),"",SUMIFS('Barang Keluar'!$E:$E,'Barang Keluar'!$A:$A,M14313,'Barang Keluar'!$C:$C,N14313))</f>
        <v>0</v>
      </c>
    </row>
    <row r="14314" spans="13:16">
      <c r="M14314" s="49">
        <f>IF($A$4+143&gt;$B$4,"",$A$4+143)</f>
        <v>46166</v>
      </c>
      <c r="N14314" t="str">
        <f>IF(M14314="","",'Master Barang'!A8)</f>
        <v>PRL-007</v>
      </c>
      <c r="O14314" t="str">
        <f>IF(N14314="","",'Master Barang'!B8)</f>
        <v>plastik kresek besar merah 50pc</v>
      </c>
      <c r="P14314">
        <f>IF(OR(M14314="",N14314=""),"",SUMIFS('Barang Keluar'!$E:$E,'Barang Keluar'!$A:$A,M14314,'Barang Keluar'!$C:$C,N14314))</f>
        <v>0</v>
      </c>
    </row>
    <row r="14315" spans="13:16">
      <c r="M14315" s="49">
        <f>IF($A$4+143&gt;$B$4,"",$A$4+143)</f>
        <v>46166</v>
      </c>
      <c r="N14315" t="str">
        <f>IF(M14315="","",'Master Barang'!A9)</f>
        <v>PRL-008</v>
      </c>
      <c r="O14315" t="str">
        <f>IF(N14315="","",'Master Barang'!B9)</f>
        <v>lap besar</v>
      </c>
      <c r="P14315">
        <f>IF(OR(M14315="",N14315=""),"",SUMIFS('Barang Keluar'!$E:$E,'Barang Keluar'!$A:$A,M14315,'Barang Keluar'!$C:$C,N14315))</f>
        <v>0</v>
      </c>
    </row>
    <row r="14316" spans="13:16">
      <c r="M14316" s="49">
        <f>IF($A$4+143&gt;$B$4,"",$A$4+143)</f>
        <v>46166</v>
      </c>
      <c r="N14316" t="str">
        <f>IF(M14316="","",'Master Barang'!A10)</f>
        <v>PRL-009</v>
      </c>
      <c r="O14316" t="str">
        <f>IF(N14316="","",'Master Barang'!B10)</f>
        <v>lap microfiber</v>
      </c>
      <c r="P14316">
        <f>IF(OR(M14316="",N14316=""),"",SUMIFS('Barang Keluar'!$E:$E,'Barang Keluar'!$A:$A,M14316,'Barang Keluar'!$C:$C,N14316))</f>
        <v>0</v>
      </c>
    </row>
    <row r="14317" spans="13:16">
      <c r="M14317" s="49">
        <f>IF($A$4+143&gt;$B$4,"",$A$4+143)</f>
        <v>46166</v>
      </c>
      <c r="N14317" t="str">
        <f>IF(M14317="","",'Master Barang'!A11)</f>
        <v>PRL-010</v>
      </c>
      <c r="O14317" t="str">
        <f>IF(N14317="","",'Master Barang'!B11)</f>
        <v>lap kecil</v>
      </c>
      <c r="P14317">
        <f>IF(OR(M14317="",N14317=""),"",SUMIFS('Barang Keluar'!$E:$E,'Barang Keluar'!$A:$A,M14317,'Barang Keluar'!$C:$C,N14317))</f>
        <v>0</v>
      </c>
    </row>
    <row r="14318" spans="13:16">
      <c r="M14318" s="49">
        <f>IF($A$4+143&gt;$B$4,"",$A$4+143)</f>
        <v>46166</v>
      </c>
      <c r="N14318" t="str">
        <f>IF(M14318="","",'Master Barang'!A12)</f>
        <v>PRL-011</v>
      </c>
      <c r="O14318" t="str">
        <f>IF(N14318="","",'Master Barang'!B12)</f>
        <v>kanebo kecil</v>
      </c>
      <c r="P14318">
        <f>IF(OR(M14318="",N14318=""),"",SUMIFS('Barang Keluar'!$E:$E,'Barang Keluar'!$A:$A,M14318,'Barang Keluar'!$C:$C,N14318))</f>
        <v>0</v>
      </c>
    </row>
    <row r="14319" spans="13:16">
      <c r="M14319" s="49">
        <f>IF($A$4+143&gt;$B$4,"",$A$4+143)</f>
        <v>46166</v>
      </c>
      <c r="N14319" t="str">
        <f>IF(M14319="","",'Master Barang'!A13)</f>
        <v>PRL-012</v>
      </c>
      <c r="O14319" t="str">
        <f>IF(N14319="","",'Master Barang'!B13)</f>
        <v>plastik 1/4kg joyoboyo 100 lembar</v>
      </c>
      <c r="P14319">
        <f>IF(OR(M14319="",N14319=""),"",SUMIFS('Barang Keluar'!$E:$E,'Barang Keluar'!$A:$A,M14319,'Barang Keluar'!$C:$C,N14319))</f>
        <v>0</v>
      </c>
    </row>
    <row r="14320" spans="13:16">
      <c r="M14320" s="49">
        <f>IF($A$4+143&gt;$B$4,"",$A$4+143)</f>
        <v>46166</v>
      </c>
      <c r="N14320" t="str">
        <f>IF(M14320="","",'Master Barang'!A14)</f>
        <v>PRL-013</v>
      </c>
      <c r="O14320" t="str">
        <f>IF(N14320="","",'Master Barang'!B14)</f>
        <v>sarung tangan plastik kaka 100 pcs</v>
      </c>
      <c r="P14320">
        <f>IF(OR(M14320="",N14320=""),"",SUMIFS('Barang Keluar'!$E:$E,'Barang Keluar'!$A:$A,M14320,'Barang Keluar'!$C:$C,N14320))</f>
        <v>0</v>
      </c>
    </row>
    <row r="14321" spans="13:16">
      <c r="M14321" s="49">
        <f>IF($A$4+143&gt;$B$4,"",$A$4+143)</f>
        <v>46166</v>
      </c>
      <c r="N14321" t="str">
        <f>IF(M14321="","",'Master Barang'!A15)</f>
        <v>PRL-014</v>
      </c>
      <c r="O14321" t="str">
        <f>IF(N14321="","",'Master Barang'!B15)</f>
        <v>optima trashbag 80x100</v>
      </c>
      <c r="P14321">
        <f>IF(OR(M14321="",N14321=""),"",SUMIFS('Barang Keluar'!$E:$E,'Barang Keluar'!$A:$A,M14321,'Barang Keluar'!$C:$C,N14321))</f>
        <v>0</v>
      </c>
    </row>
    <row r="14322" spans="13:16">
      <c r="M14322" s="49">
        <f>IF($A$4+143&gt;$B$4,"",$A$4+143)</f>
        <v>46166</v>
      </c>
      <c r="N14322" t="str">
        <f>IF(M14322="","",'Master Barang'!A16)</f>
        <v>PRL-015</v>
      </c>
      <c r="O14322" t="str">
        <f>IF(N14322="","",'Master Barang'!B16)</f>
        <v>optima trashbag 60x100</v>
      </c>
      <c r="P14322">
        <f>IF(OR(M14322="",N14322=""),"",SUMIFS('Barang Keluar'!$E:$E,'Barang Keluar'!$A:$A,M14322,'Barang Keluar'!$C:$C,N14322))</f>
        <v>0</v>
      </c>
    </row>
    <row r="14323" spans="13:16">
      <c r="M14323" s="49">
        <f>IF($A$4+143&gt;$B$4,"",$A$4+143)</f>
        <v>46166</v>
      </c>
      <c r="N14323" t="str">
        <f>IF(M14323="","",'Master Barang'!A17)</f>
        <v>PRL-016</v>
      </c>
      <c r="O14323" t="str">
        <f>IF(N14323="","",'Master Barang'!B17)</f>
        <v>rajawali trashbag 30x40</v>
      </c>
      <c r="P14323">
        <f>IF(OR(M14323="",N14323=""),"",SUMIFS('Barang Keluar'!$E:$E,'Barang Keluar'!$A:$A,M14323,'Barang Keluar'!$C:$C,N14323))</f>
        <v>0</v>
      </c>
    </row>
    <row r="14324" spans="13:16">
      <c r="M14324" s="49">
        <f>IF($A$4+143&gt;$B$4,"",$A$4+143)</f>
        <v>46166</v>
      </c>
      <c r="N14324" t="str">
        <f>IF(M14324="","",'Master Barang'!A18)</f>
        <v>PRL-017</v>
      </c>
      <c r="O14324" t="str">
        <f>IF(N14324="","",'Master Barang'!B18)</f>
        <v>onemed masker biru 3 play 50 pcs</v>
      </c>
      <c r="P14324">
        <f>IF(OR(M14324="",N14324=""),"",SUMIFS('Barang Keluar'!$E:$E,'Barang Keluar'!$A:$A,M14324,'Barang Keluar'!$C:$C,N14324))</f>
        <v>0</v>
      </c>
    </row>
    <row r="14325" spans="13:16">
      <c r="M14325" s="49">
        <f>IF($A$4+143&gt;$B$4,"",$A$4+143)</f>
        <v>46166</v>
      </c>
      <c r="N14325" t="str">
        <f>IF(M14325="","",'Master Barang'!A19)</f>
        <v>PRL-018</v>
      </c>
      <c r="O14325" t="str">
        <f>IF(N14325="","",'Master Barang'!B19)</f>
        <v>onemed masker biru 3 play hijab 50 pcs</v>
      </c>
      <c r="P14325">
        <f>IF(OR(M14325="",N14325=""),"",SUMIFS('Barang Keluar'!$E:$E,'Barang Keluar'!$A:$A,M14325,'Barang Keluar'!$C:$C,N14325))</f>
        <v>0</v>
      </c>
    </row>
    <row r="14326" spans="13:16">
      <c r="M14326" s="49">
        <f>IF($A$4+143&gt;$B$4,"",$A$4+143)</f>
        <v>46166</v>
      </c>
      <c r="N14326" t="str">
        <f>IF(M14326="","",'Master Barang'!A20)</f>
        <v>PRL-019</v>
      </c>
      <c r="O14326" t="str">
        <f>IF(N14326="","",'Master Barang'!B20)</f>
        <v>neo health masker biru 3 play 50 pcs</v>
      </c>
      <c r="P14326">
        <f>IF(OR(M14326="",N14326=""),"",SUMIFS('Barang Keluar'!$E:$E,'Barang Keluar'!$A:$A,M14326,'Barang Keluar'!$C:$C,N14326))</f>
        <v>0</v>
      </c>
    </row>
    <row r="14327" spans="13:16">
      <c r="M14327" s="49">
        <f>IF($A$4+143&gt;$B$4,"",$A$4+143)</f>
        <v>46166</v>
      </c>
      <c r="N14327" t="str">
        <f>IF(M14327="","",'Master Barang'!A21)</f>
        <v>PRL-020</v>
      </c>
      <c r="O14327" t="str">
        <f>IF(N14327="","",'Master Barang'!B21)</f>
        <v>baymed masker hijau 3 play hijau 50 pcs</v>
      </c>
      <c r="P14327">
        <f>IF(OR(M14327="",N14327=""),"",SUMIFS('Barang Keluar'!$E:$E,'Barang Keluar'!$A:$A,M14327,'Barang Keluar'!$C:$C,N14327))</f>
        <v>0</v>
      </c>
    </row>
    <row r="14328" spans="13:16">
      <c r="M14328" s="49">
        <f>IF($A$4+143&gt;$B$4,"",$A$4+143)</f>
        <v>46166</v>
      </c>
      <c r="N14328" t="str">
        <f>IF(M14328="","",'Master Barang'!A22)</f>
        <v>PRL-021</v>
      </c>
      <c r="O14328" t="str">
        <f>IF(N14328="","",'Master Barang'!B22)</f>
        <v>altamed nurse cap penutup kepala 100 pcs</v>
      </c>
      <c r="P14328">
        <f>IF(OR(M14328="",N14328=""),"",SUMIFS('Barang Keluar'!$E:$E,'Barang Keluar'!$A:$A,M14328,'Barang Keluar'!$C:$C,N14328))</f>
        <v>0</v>
      </c>
    </row>
    <row r="14329" spans="13:16">
      <c r="M14329" s="49">
        <f>IF($A$4+143&gt;$B$4,"",$A$4+143)</f>
        <v>46166</v>
      </c>
      <c r="N14329" t="str">
        <f>IF(M14329="","",'Master Barang'!A23)</f>
        <v>PRL-022</v>
      </c>
      <c r="O14329" t="str">
        <f>IF(N14329="","",'Master Barang'!B23)</f>
        <v>sabun cuci tangan</v>
      </c>
      <c r="P14329">
        <f>IF(OR(M14329="",N14329=""),"",SUMIFS('Barang Keluar'!$E:$E,'Barang Keluar'!$A:$A,M14329,'Barang Keluar'!$C:$C,N14329))</f>
        <v>0</v>
      </c>
    </row>
    <row r="14330" spans="13:16">
      <c r="M14330" s="49">
        <f>IF($A$4+143&gt;$B$4,"",$A$4+143)</f>
        <v>46166</v>
      </c>
      <c r="N14330" t="str">
        <f>IF(M14330="","",'Master Barang'!A24)</f>
        <v>PRL-023</v>
      </c>
      <c r="O14330" t="str">
        <f>IF(N14330="","",'Master Barang'!B24)</f>
        <v>gayung kecil</v>
      </c>
      <c r="P14330">
        <f>IF(OR(M14330="",N14330=""),"",SUMIFS('Barang Keluar'!$E:$E,'Barang Keluar'!$A:$A,M14330,'Barang Keluar'!$C:$C,N14330))</f>
        <v>0</v>
      </c>
    </row>
    <row r="14331" spans="13:16">
      <c r="M14331" s="49">
        <f>IF($A$4+143&gt;$B$4,"",$A$4+143)</f>
        <v>46166</v>
      </c>
      <c r="N14331" t="str">
        <f>IF(M14331="","",'Master Barang'!A25)</f>
        <v>PRL-024</v>
      </c>
      <c r="O14331" t="str">
        <f>IF(N14331="","",'Master Barang'!B25)</f>
        <v>cikrak kecil</v>
      </c>
      <c r="P14331">
        <f>IF(OR(M14331="",N14331=""),"",SUMIFS('Barang Keluar'!$E:$E,'Barang Keluar'!$A:$A,M14331,'Barang Keluar'!$C:$C,N14331))</f>
        <v>0</v>
      </c>
    </row>
    <row r="14332" spans="13:16">
      <c r="M14332" s="49">
        <f>IF($A$4+143&gt;$B$4,"",$A$4+143)</f>
        <v>46166</v>
      </c>
      <c r="N14332" t="str">
        <f>IF(M14332="","",'Master Barang'!A26)</f>
        <v>PRL-025</v>
      </c>
      <c r="O14332" t="str">
        <f>IF(N14332="","",'Master Barang'!B26)</f>
        <v>petromax plastik kecil 12x24 100 lembar</v>
      </c>
      <c r="P14332">
        <f>IF(OR(M14332="",N14332=""),"",SUMIFS('Barang Keluar'!$E:$E,'Barang Keluar'!$A:$A,M14332,'Barang Keluar'!$C:$C,N14332))</f>
        <v>0</v>
      </c>
    </row>
    <row r="14333" spans="13:16">
      <c r="M14333" s="49">
        <f>IF($A$4+143&gt;$B$4,"",$A$4+143)</f>
        <v>46166</v>
      </c>
      <c r="N14333" t="str">
        <f>IF(M14333="","",'Master Barang'!A27)</f>
        <v>PRL-026</v>
      </c>
      <c r="O14333" t="str">
        <f>IF(N14333="","",'Master Barang'!B27)</f>
        <v>lancar kresek kecil bening </v>
      </c>
      <c r="P14333">
        <f>IF(OR(M14333="",N14333=""),"",SUMIFS('Barang Keluar'!$E:$E,'Barang Keluar'!$A:$A,M14333,'Barang Keluar'!$C:$C,N14333))</f>
        <v>0</v>
      </c>
    </row>
    <row r="14334" spans="13:16">
      <c r="M14334" s="49">
        <f>IF($A$4+143&gt;$B$4,"",$A$4+143)</f>
        <v>46166</v>
      </c>
      <c r="N14334" t="str">
        <f>IF(M14334="","",'Master Barang'!A28)</f>
        <v>PRL-027</v>
      </c>
      <c r="O14334" t="str">
        <f>IF(N14334="","",'Master Barang'!B28)</f>
        <v>kresek klin warna warni kecil</v>
      </c>
      <c r="P14334">
        <f>IF(OR(M14334="",N14334=""),"",SUMIFS('Barang Keluar'!$E:$E,'Barang Keluar'!$A:$A,M14334,'Barang Keluar'!$C:$C,N14334))</f>
        <v>0</v>
      </c>
    </row>
    <row r="14335" spans="13:16">
      <c r="M14335" s="49">
        <f>IF($A$4+143&gt;$B$4,"",$A$4+143)</f>
        <v>46166</v>
      </c>
      <c r="N14335" t="str">
        <f>IF(M14335="","",'Master Barang'!A29)</f>
        <v>PRL-028</v>
      </c>
      <c r="O14335" t="str">
        <f>IF(N14335="","",'Master Barang'!B29)</f>
        <v>ctik plastik 7x10 100 pcs</v>
      </c>
      <c r="P14335">
        <f>IF(OR(M14335="",N14335=""),"",SUMIFS('Barang Keluar'!$E:$E,'Barang Keluar'!$A:$A,M14335,'Barang Keluar'!$C:$C,N14335))</f>
        <v>0</v>
      </c>
    </row>
    <row r="14336" spans="13:16">
      <c r="M14336" s="49">
        <f>IF($A$4+143&gt;$B$4,"",$A$4+143)</f>
        <v>46166</v>
      </c>
      <c r="N14336" t="str">
        <f>IF(M14336="","",'Master Barang'!A30)</f>
        <v>PRL-029</v>
      </c>
      <c r="O14336" t="str">
        <f>IF(N14336="","",'Master Barang'!B30)</f>
        <v>ctik plastik 6x10 100 pcs</v>
      </c>
      <c r="P14336">
        <f>IF(OR(M14336="",N14336=""),"",SUMIFS('Barang Keluar'!$E:$E,'Barang Keluar'!$A:$A,M14336,'Barang Keluar'!$C:$C,N14336))</f>
        <v>0</v>
      </c>
    </row>
    <row r="14337" spans="13:16">
      <c r="M14337" s="49">
        <f>IF($A$4+143&gt;$B$4,"",$A$4+143)</f>
        <v>46166</v>
      </c>
      <c r="N14337" t="str">
        <f>IF(M14337="","",'Master Barang'!A31)</f>
        <v>PRL-030</v>
      </c>
      <c r="O14337" t="str">
        <f>IF(N14337="","",'Master Barang'!B31)</f>
        <v>klip plastik 25x16 100 pcs</v>
      </c>
      <c r="P14337">
        <f>IF(OR(M14337="",N14337=""),"",SUMIFS('Barang Keluar'!$E:$E,'Barang Keluar'!$A:$A,M14337,'Barang Keluar'!$C:$C,N14337))</f>
        <v>0</v>
      </c>
    </row>
    <row r="14338" spans="13:16">
      <c r="M14338" s="49">
        <f>IF($A$4+143&gt;$B$4,"",$A$4+143)</f>
        <v>46166</v>
      </c>
      <c r="N14338" t="str">
        <f>IF(M14338="","",'Master Barang'!A32)</f>
        <v>PRL-031</v>
      </c>
      <c r="O14338" t="str">
        <f>IF(N14338="","",'Master Barang'!B32)</f>
        <v>tempat saus 20 ml</v>
      </c>
      <c r="P14338">
        <f>IF(OR(M14338="",N14338=""),"",SUMIFS('Barang Keluar'!$E:$E,'Barang Keluar'!$A:$A,M14338,'Barang Keluar'!$C:$C,N14338))</f>
        <v>0</v>
      </c>
    </row>
    <row r="14339" spans="13:16">
      <c r="M14339" s="49">
        <f>IF($A$4+143&gt;$B$4,"",$A$4+143)</f>
        <v>46166</v>
      </c>
      <c r="N14339" t="str">
        <f>IF(M14339="","",'Master Barang'!A33)</f>
        <v>PRL-032</v>
      </c>
      <c r="O14339" t="str">
        <f>IF(N14339="","",'Master Barang'!B33)</f>
        <v>plastik packaging ag box uk sedang</v>
      </c>
      <c r="P14339">
        <f>IF(OR(M14339="",N14339=""),"",SUMIFS('Barang Keluar'!$E:$E,'Barang Keluar'!$A:$A,M14339,'Barang Keluar'!$C:$C,N14339))</f>
        <v>0</v>
      </c>
    </row>
    <row r="14340" spans="13:16">
      <c r="M14340" s="49">
        <f>IF($A$4+143&gt;$B$4,"",$A$4+143)</f>
        <v>46166</v>
      </c>
      <c r="N14340" t="str">
        <f>IF(M14340="","",'Master Barang'!A34)</f>
        <v>PRL-033</v>
      </c>
      <c r="O14340">
        <f>IF(N14340="","",'Master Barang'!B34)</f>
        <v>0</v>
      </c>
      <c r="P14340">
        <f>IF(OR(M14340="",N14340=""),"",SUMIFS('Barang Keluar'!$E:$E,'Barang Keluar'!$A:$A,M14340,'Barang Keluar'!$C:$C,N14340))</f>
        <v>0</v>
      </c>
    </row>
    <row r="14341" spans="13:16">
      <c r="M14341" s="49">
        <f>IF($A$4+143&gt;$B$4,"",$A$4+143)</f>
        <v>46166</v>
      </c>
      <c r="N14341">
        <f>IF(M14341="","",'Master Barang'!A35)</f>
        <v>0</v>
      </c>
      <c r="O14341">
        <f>IF(N14341="","",'Master Barang'!B35)</f>
        <v>0</v>
      </c>
      <c r="P14341">
        <f>IF(OR(M14341="",N14341=""),"",SUMIFS('Barang Keluar'!$E:$E,'Barang Keluar'!$A:$A,M14341,'Barang Keluar'!$C:$C,N14341))</f>
        <v>0</v>
      </c>
    </row>
    <row r="14342" spans="13:16">
      <c r="M14342" s="49">
        <f>IF($A$4+143&gt;$B$4,"",$A$4+143)</f>
        <v>46166</v>
      </c>
      <c r="N14342">
        <f>IF(M14342="","",'Master Barang'!A36)</f>
        <v>0</v>
      </c>
      <c r="O14342">
        <f>IF(N14342="","",'Master Barang'!B36)</f>
        <v>0</v>
      </c>
      <c r="P14342">
        <f>IF(OR(M14342="",N14342=""),"",SUMIFS('Barang Keluar'!$E:$E,'Barang Keluar'!$A:$A,M14342,'Barang Keluar'!$C:$C,N14342))</f>
        <v>0</v>
      </c>
    </row>
    <row r="14343" spans="13:16">
      <c r="M14343" s="49">
        <f>IF($A$4+143&gt;$B$4,"",$A$4+143)</f>
        <v>46166</v>
      </c>
      <c r="N14343">
        <f>IF(M14343="","",'Master Barang'!A37)</f>
        <v>0</v>
      </c>
      <c r="O14343">
        <f>IF(N14343="","",'Master Barang'!B37)</f>
        <v>0</v>
      </c>
      <c r="P14343">
        <f>IF(OR(M14343="",N14343=""),"",SUMIFS('Barang Keluar'!$E:$E,'Barang Keluar'!$A:$A,M14343,'Barang Keluar'!$C:$C,N14343))</f>
        <v>0</v>
      </c>
    </row>
    <row r="14344" spans="13:16">
      <c r="M14344" s="49">
        <f>IF($A$4+143&gt;$B$4,"",$A$4+143)</f>
        <v>46166</v>
      </c>
      <c r="N14344">
        <f>IF(M14344="","",'Master Barang'!A38)</f>
        <v>0</v>
      </c>
      <c r="O14344">
        <f>IF(N14344="","",'Master Barang'!B38)</f>
        <v>0</v>
      </c>
      <c r="P14344">
        <f>IF(OR(M14344="",N14344=""),"",SUMIFS('Barang Keluar'!$E:$E,'Barang Keluar'!$A:$A,M14344,'Barang Keluar'!$C:$C,N14344))</f>
        <v>0</v>
      </c>
    </row>
    <row r="14345" spans="13:16">
      <c r="M14345" s="49">
        <f>IF($A$4+143&gt;$B$4,"",$A$4+143)</f>
        <v>46166</v>
      </c>
      <c r="N14345">
        <f>IF(M14345="","",'Master Barang'!A39)</f>
        <v>0</v>
      </c>
      <c r="O14345">
        <f>IF(N14345="","",'Master Barang'!B39)</f>
        <v>0</v>
      </c>
      <c r="P14345">
        <f>IF(OR(M14345="",N14345=""),"",SUMIFS('Barang Keluar'!$E:$E,'Barang Keluar'!$A:$A,M14345,'Barang Keluar'!$C:$C,N14345))</f>
        <v>0</v>
      </c>
    </row>
    <row r="14346" spans="13:16">
      <c r="M14346" s="49">
        <f>IF($A$4+143&gt;$B$4,"",$A$4+143)</f>
        <v>46166</v>
      </c>
      <c r="N14346">
        <f>IF(M14346="","",'Master Barang'!A40)</f>
        <v>0</v>
      </c>
      <c r="O14346">
        <f>IF(N14346="","",'Master Barang'!B40)</f>
        <v>0</v>
      </c>
      <c r="P14346">
        <f>IF(OR(M14346="",N14346=""),"",SUMIFS('Barang Keluar'!$E:$E,'Barang Keluar'!$A:$A,M14346,'Barang Keluar'!$C:$C,N14346))</f>
        <v>0</v>
      </c>
    </row>
    <row r="14347" spans="13:16">
      <c r="M14347" s="49">
        <f>IF($A$4+143&gt;$B$4,"",$A$4+143)</f>
        <v>46166</v>
      </c>
      <c r="N14347">
        <f>IF(M14347="","",'Master Barang'!A41)</f>
        <v>0</v>
      </c>
      <c r="O14347">
        <f>IF(N14347="","",'Master Barang'!B41)</f>
        <v>0</v>
      </c>
      <c r="P14347">
        <f>IF(OR(M14347="",N14347=""),"",SUMIFS('Barang Keluar'!$E:$E,'Barang Keluar'!$A:$A,M14347,'Barang Keluar'!$C:$C,N14347))</f>
        <v>0</v>
      </c>
    </row>
    <row r="14348" spans="13:16">
      <c r="M14348" s="49">
        <f>IF($A$4+143&gt;$B$4,"",$A$4+143)</f>
        <v>46166</v>
      </c>
      <c r="N14348">
        <f>IF(M14348="","",'Master Barang'!A42)</f>
        <v>0</v>
      </c>
      <c r="O14348">
        <f>IF(N14348="","",'Master Barang'!B42)</f>
        <v>0</v>
      </c>
      <c r="P14348">
        <f>IF(OR(M14348="",N14348=""),"",SUMIFS('Barang Keluar'!$E:$E,'Barang Keluar'!$A:$A,M14348,'Barang Keluar'!$C:$C,N14348))</f>
        <v>0</v>
      </c>
    </row>
    <row r="14349" spans="13:16">
      <c r="M14349" s="49">
        <f>IF($A$4+143&gt;$B$4,"",$A$4+143)</f>
        <v>46166</v>
      </c>
      <c r="N14349">
        <f>IF(M14349="","",'Master Barang'!A43)</f>
        <v>0</v>
      </c>
      <c r="O14349">
        <f>IF(N14349="","",'Master Barang'!B43)</f>
        <v>0</v>
      </c>
      <c r="P14349">
        <f>IF(OR(M14349="",N14349=""),"",SUMIFS('Barang Keluar'!$E:$E,'Barang Keluar'!$A:$A,M14349,'Barang Keluar'!$C:$C,N14349))</f>
        <v>0</v>
      </c>
    </row>
    <row r="14350" spans="13:16">
      <c r="M14350" s="49">
        <f>IF($A$4+143&gt;$B$4,"",$A$4+143)</f>
        <v>46166</v>
      </c>
      <c r="N14350">
        <f>IF(M14350="","",'Master Barang'!A44)</f>
        <v>0</v>
      </c>
      <c r="O14350">
        <f>IF(N14350="","",'Master Barang'!B44)</f>
        <v>0</v>
      </c>
      <c r="P14350">
        <f>IF(OR(M14350="",N14350=""),"",SUMIFS('Barang Keluar'!$E:$E,'Barang Keluar'!$A:$A,M14350,'Barang Keluar'!$C:$C,N14350))</f>
        <v>0</v>
      </c>
    </row>
    <row r="14351" spans="13:16">
      <c r="M14351" s="49">
        <f>IF($A$4+143&gt;$B$4,"",$A$4+143)</f>
        <v>46166</v>
      </c>
      <c r="N14351">
        <f>IF(M14351="","",'Master Barang'!A45)</f>
        <v>0</v>
      </c>
      <c r="O14351">
        <f>IF(N14351="","",'Master Barang'!B45)</f>
        <v>0</v>
      </c>
      <c r="P14351">
        <f>IF(OR(M14351="",N14351=""),"",SUMIFS('Barang Keluar'!$E:$E,'Barang Keluar'!$A:$A,M14351,'Barang Keluar'!$C:$C,N14351))</f>
        <v>0</v>
      </c>
    </row>
    <row r="14352" spans="13:16">
      <c r="M14352" s="49">
        <f>IF($A$4+143&gt;$B$4,"",$A$4+143)</f>
        <v>46166</v>
      </c>
      <c r="N14352">
        <f>IF(M14352="","",'Master Barang'!A46)</f>
        <v>0</v>
      </c>
      <c r="O14352">
        <f>IF(N14352="","",'Master Barang'!B46)</f>
        <v>0</v>
      </c>
      <c r="P14352">
        <f>IF(OR(M14352="",N14352=""),"",SUMIFS('Barang Keluar'!$E:$E,'Barang Keluar'!$A:$A,M14352,'Barang Keluar'!$C:$C,N14352))</f>
        <v>0</v>
      </c>
    </row>
    <row r="14353" spans="13:16">
      <c r="M14353" s="49">
        <f>IF($A$4+143&gt;$B$4,"",$A$4+143)</f>
        <v>46166</v>
      </c>
      <c r="N14353">
        <f>IF(M14353="","",'Master Barang'!A47)</f>
        <v>0</v>
      </c>
      <c r="O14353">
        <f>IF(N14353="","",'Master Barang'!B47)</f>
        <v>0</v>
      </c>
      <c r="P14353">
        <f>IF(OR(M14353="",N14353=""),"",SUMIFS('Barang Keluar'!$E:$E,'Barang Keluar'!$A:$A,M14353,'Barang Keluar'!$C:$C,N14353))</f>
        <v>0</v>
      </c>
    </row>
    <row r="14354" spans="13:16">
      <c r="M14354" s="49">
        <f>IF($A$4+143&gt;$B$4,"",$A$4+143)</f>
        <v>46166</v>
      </c>
      <c r="N14354">
        <f>IF(M14354="","",'Master Barang'!A48)</f>
        <v>0</v>
      </c>
      <c r="O14354">
        <f>IF(N14354="","",'Master Barang'!B48)</f>
        <v>0</v>
      </c>
      <c r="P14354">
        <f>IF(OR(M14354="",N14354=""),"",SUMIFS('Barang Keluar'!$E:$E,'Barang Keluar'!$A:$A,M14354,'Barang Keluar'!$C:$C,N14354))</f>
        <v>0</v>
      </c>
    </row>
    <row r="14355" spans="13:16">
      <c r="M14355" s="49">
        <f>IF($A$4+143&gt;$B$4,"",$A$4+143)</f>
        <v>46166</v>
      </c>
      <c r="N14355">
        <f>IF(M14355="","",'Master Barang'!A49)</f>
        <v>0</v>
      </c>
      <c r="O14355">
        <f>IF(N14355="","",'Master Barang'!B49)</f>
        <v>0</v>
      </c>
      <c r="P14355">
        <f>IF(OR(M14355="",N14355=""),"",SUMIFS('Barang Keluar'!$E:$E,'Barang Keluar'!$A:$A,M14355,'Barang Keluar'!$C:$C,N14355))</f>
        <v>0</v>
      </c>
    </row>
    <row r="14356" spans="13:16">
      <c r="M14356" s="49">
        <f>IF($A$4+143&gt;$B$4,"",$A$4+143)</f>
        <v>46166</v>
      </c>
      <c r="N14356">
        <f>IF(M14356="","",'Master Barang'!A50)</f>
        <v>0</v>
      </c>
      <c r="O14356">
        <f>IF(N14356="","",'Master Barang'!B50)</f>
        <v>0</v>
      </c>
      <c r="P14356">
        <f>IF(OR(M14356="",N14356=""),"",SUMIFS('Barang Keluar'!$E:$E,'Barang Keluar'!$A:$A,M14356,'Barang Keluar'!$C:$C,N14356))</f>
        <v>0</v>
      </c>
    </row>
    <row r="14357" spans="13:16">
      <c r="M14357" s="49">
        <f>IF($A$4+143&gt;$B$4,"",$A$4+143)</f>
        <v>46166</v>
      </c>
      <c r="N14357">
        <f>IF(M14357="","",'Master Barang'!A51)</f>
        <v>0</v>
      </c>
      <c r="O14357">
        <f>IF(N14357="","",'Master Barang'!B51)</f>
        <v>0</v>
      </c>
      <c r="P14357">
        <f>IF(OR(M14357="",N14357=""),"",SUMIFS('Barang Keluar'!$E:$E,'Barang Keluar'!$A:$A,M14357,'Barang Keluar'!$C:$C,N14357))</f>
        <v>0</v>
      </c>
    </row>
    <row r="14358" spans="13:16">
      <c r="M14358" s="49">
        <f>IF($A$4+143&gt;$B$4,"",$A$4+143)</f>
        <v>46166</v>
      </c>
      <c r="N14358">
        <f>IF(M14358="","",'Master Barang'!A52)</f>
        <v>0</v>
      </c>
      <c r="O14358">
        <f>IF(N14358="","",'Master Barang'!B52)</f>
        <v>0</v>
      </c>
      <c r="P14358">
        <f>IF(OR(M14358="",N14358=""),"",SUMIFS('Barang Keluar'!$E:$E,'Barang Keluar'!$A:$A,M14358,'Barang Keluar'!$C:$C,N14358))</f>
        <v>0</v>
      </c>
    </row>
    <row r="14359" spans="13:16">
      <c r="M14359" s="49">
        <f>IF($A$4+143&gt;$B$4,"",$A$4+143)</f>
        <v>46166</v>
      </c>
      <c r="N14359">
        <f>IF(M14359="","",'Master Barang'!A53)</f>
        <v>0</v>
      </c>
      <c r="O14359">
        <f>IF(N14359="","",'Master Barang'!B53)</f>
        <v>0</v>
      </c>
      <c r="P14359">
        <f>IF(OR(M14359="",N14359=""),"",SUMIFS('Barang Keluar'!$E:$E,'Barang Keluar'!$A:$A,M14359,'Barang Keluar'!$C:$C,N14359))</f>
        <v>0</v>
      </c>
    </row>
    <row r="14360" spans="13:16">
      <c r="M14360" s="49">
        <f>IF($A$4+143&gt;$B$4,"",$A$4+143)</f>
        <v>46166</v>
      </c>
      <c r="N14360">
        <f>IF(M14360="","",'Master Barang'!A54)</f>
        <v>0</v>
      </c>
      <c r="O14360">
        <f>IF(N14360="","",'Master Barang'!B54)</f>
        <v>0</v>
      </c>
      <c r="P14360">
        <f>IF(OR(M14360="",N14360=""),"",SUMIFS('Barang Keluar'!$E:$E,'Barang Keluar'!$A:$A,M14360,'Barang Keluar'!$C:$C,N14360))</f>
        <v>0</v>
      </c>
    </row>
    <row r="14361" spans="13:16">
      <c r="M14361" s="49">
        <f>IF($A$4+143&gt;$B$4,"",$A$4+143)</f>
        <v>46166</v>
      </c>
      <c r="N14361">
        <f>IF(M14361="","",'Master Barang'!A55)</f>
        <v>0</v>
      </c>
      <c r="O14361">
        <f>IF(N14361="","",'Master Barang'!B55)</f>
        <v>0</v>
      </c>
      <c r="P14361">
        <f>IF(OR(M14361="",N14361=""),"",SUMIFS('Barang Keluar'!$E:$E,'Barang Keluar'!$A:$A,M14361,'Barang Keluar'!$C:$C,N14361))</f>
        <v>0</v>
      </c>
    </row>
    <row r="14362" spans="13:16">
      <c r="M14362" s="49">
        <f>IF($A$4+143&gt;$B$4,"",$A$4+143)</f>
        <v>46166</v>
      </c>
      <c r="N14362">
        <f>IF(M14362="","",'Master Barang'!A56)</f>
        <v>0</v>
      </c>
      <c r="O14362">
        <f>IF(N14362="","",'Master Barang'!B56)</f>
        <v>0</v>
      </c>
      <c r="P14362">
        <f>IF(OR(M14362="",N14362=""),"",SUMIFS('Barang Keluar'!$E:$E,'Barang Keluar'!$A:$A,M14362,'Barang Keluar'!$C:$C,N14362))</f>
        <v>0</v>
      </c>
    </row>
    <row r="14363" spans="13:16">
      <c r="M14363" s="49">
        <f>IF($A$4+143&gt;$B$4,"",$A$4+143)</f>
        <v>46166</v>
      </c>
      <c r="N14363">
        <f>IF(M14363="","",'Master Barang'!A57)</f>
        <v>0</v>
      </c>
      <c r="O14363">
        <f>IF(N14363="","",'Master Barang'!B57)</f>
        <v>0</v>
      </c>
      <c r="P14363">
        <f>IF(OR(M14363="",N14363=""),"",SUMIFS('Barang Keluar'!$E:$E,'Barang Keluar'!$A:$A,M14363,'Barang Keluar'!$C:$C,N14363))</f>
        <v>0</v>
      </c>
    </row>
    <row r="14364" spans="13:16">
      <c r="M14364" s="49">
        <f>IF($A$4+143&gt;$B$4,"",$A$4+143)</f>
        <v>46166</v>
      </c>
      <c r="N14364">
        <f>IF(M14364="","",'Master Barang'!A58)</f>
        <v>0</v>
      </c>
      <c r="O14364">
        <f>IF(N14364="","",'Master Barang'!B58)</f>
        <v>0</v>
      </c>
      <c r="P14364">
        <f>IF(OR(M14364="",N14364=""),"",SUMIFS('Barang Keluar'!$E:$E,'Barang Keluar'!$A:$A,M14364,'Barang Keluar'!$C:$C,N14364))</f>
        <v>0</v>
      </c>
    </row>
    <row r="14365" spans="13:16">
      <c r="M14365" s="49">
        <f>IF($A$4+143&gt;$B$4,"",$A$4+143)</f>
        <v>46166</v>
      </c>
      <c r="N14365">
        <f>IF(M14365="","",'Master Barang'!A59)</f>
        <v>0</v>
      </c>
      <c r="O14365">
        <f>IF(N14365="","",'Master Barang'!B59)</f>
        <v>0</v>
      </c>
      <c r="P14365">
        <f>IF(OR(M14365="",N14365=""),"",SUMIFS('Barang Keluar'!$E:$E,'Barang Keluar'!$A:$A,M14365,'Barang Keluar'!$C:$C,N14365))</f>
        <v>0</v>
      </c>
    </row>
    <row r="14366" spans="13:16">
      <c r="M14366" s="49">
        <f>IF($A$4+143&gt;$B$4,"",$A$4+143)</f>
        <v>46166</v>
      </c>
      <c r="N14366">
        <f>IF(M14366="","",'Master Barang'!A60)</f>
        <v>0</v>
      </c>
      <c r="O14366">
        <f>IF(N14366="","",'Master Barang'!B60)</f>
        <v>0</v>
      </c>
      <c r="P14366">
        <f>IF(OR(M14366="",N14366=""),"",SUMIFS('Barang Keluar'!$E:$E,'Barang Keluar'!$A:$A,M14366,'Barang Keluar'!$C:$C,N14366))</f>
        <v>0</v>
      </c>
    </row>
    <row r="14367" spans="13:16">
      <c r="M14367" s="49">
        <f>IF($A$4+143&gt;$B$4,"",$A$4+143)</f>
        <v>46166</v>
      </c>
      <c r="N14367">
        <f>IF(M14367="","",'Master Barang'!A61)</f>
        <v>0</v>
      </c>
      <c r="O14367">
        <f>IF(N14367="","",'Master Barang'!B61)</f>
        <v>0</v>
      </c>
      <c r="P14367">
        <f>IF(OR(M14367="",N14367=""),"",SUMIFS('Barang Keluar'!$E:$E,'Barang Keluar'!$A:$A,M14367,'Barang Keluar'!$C:$C,N14367))</f>
        <v>0</v>
      </c>
    </row>
    <row r="14368" spans="13:16">
      <c r="M14368" s="49">
        <f>IF($A$4+143&gt;$B$4,"",$A$4+143)</f>
        <v>46166</v>
      </c>
      <c r="N14368">
        <f>IF(M14368="","",'Master Barang'!A62)</f>
        <v>0</v>
      </c>
      <c r="O14368">
        <f>IF(N14368="","",'Master Barang'!B62)</f>
        <v>0</v>
      </c>
      <c r="P14368">
        <f>IF(OR(M14368="",N14368=""),"",SUMIFS('Barang Keluar'!$E:$E,'Barang Keluar'!$A:$A,M14368,'Barang Keluar'!$C:$C,N14368))</f>
        <v>0</v>
      </c>
    </row>
    <row r="14369" spans="13:16">
      <c r="M14369" s="49">
        <f>IF($A$4+143&gt;$B$4,"",$A$4+143)</f>
        <v>46166</v>
      </c>
      <c r="N14369">
        <f>IF(M14369="","",'Master Barang'!A63)</f>
        <v>0</v>
      </c>
      <c r="O14369">
        <f>IF(N14369="","",'Master Barang'!B63)</f>
        <v>0</v>
      </c>
      <c r="P14369">
        <f>IF(OR(M14369="",N14369=""),"",SUMIFS('Barang Keluar'!$E:$E,'Barang Keluar'!$A:$A,M14369,'Barang Keluar'!$C:$C,N14369))</f>
        <v>0</v>
      </c>
    </row>
    <row r="14370" spans="13:16">
      <c r="M14370" s="49">
        <f>IF($A$4+143&gt;$B$4,"",$A$4+143)</f>
        <v>46166</v>
      </c>
      <c r="N14370">
        <f>IF(M14370="","",'Master Barang'!A64)</f>
        <v>0</v>
      </c>
      <c r="O14370">
        <f>IF(N14370="","",'Master Barang'!B64)</f>
        <v>0</v>
      </c>
      <c r="P14370">
        <f>IF(OR(M14370="",N14370=""),"",SUMIFS('Barang Keluar'!$E:$E,'Barang Keluar'!$A:$A,M14370,'Barang Keluar'!$C:$C,N14370))</f>
        <v>0</v>
      </c>
    </row>
    <row r="14371" spans="13:16">
      <c r="M14371" s="49">
        <f>IF($A$4+143&gt;$B$4,"",$A$4+143)</f>
        <v>46166</v>
      </c>
      <c r="N14371">
        <f>IF(M14371="","",'Master Barang'!A65)</f>
        <v>0</v>
      </c>
      <c r="O14371">
        <f>IF(N14371="","",'Master Barang'!B65)</f>
        <v>0</v>
      </c>
      <c r="P14371">
        <f>IF(OR(M14371="",N14371=""),"",SUMIFS('Barang Keluar'!$E:$E,'Barang Keluar'!$A:$A,M14371,'Barang Keluar'!$C:$C,N14371))</f>
        <v>0</v>
      </c>
    </row>
    <row r="14372" spans="13:16">
      <c r="M14372" s="49">
        <f>IF($A$4+143&gt;$B$4,"",$A$4+143)</f>
        <v>46166</v>
      </c>
      <c r="N14372">
        <f>IF(M14372="","",'Master Barang'!A66)</f>
        <v>0</v>
      </c>
      <c r="O14372">
        <f>IF(N14372="","",'Master Barang'!B66)</f>
        <v>0</v>
      </c>
      <c r="P14372">
        <f>IF(OR(M14372="",N14372=""),"",SUMIFS('Barang Keluar'!$E:$E,'Barang Keluar'!$A:$A,M14372,'Barang Keluar'!$C:$C,N14372))</f>
        <v>0</v>
      </c>
    </row>
    <row r="14373" spans="13:16">
      <c r="M14373" s="49">
        <f>IF($A$4+143&gt;$B$4,"",$A$4+143)</f>
        <v>46166</v>
      </c>
      <c r="N14373">
        <f>IF(M14373="","",'Master Barang'!A67)</f>
        <v>0</v>
      </c>
      <c r="O14373">
        <f>IF(N14373="","",'Master Barang'!B67)</f>
        <v>0</v>
      </c>
      <c r="P14373">
        <f>IF(OR(M14373="",N14373=""),"",SUMIFS('Barang Keluar'!$E:$E,'Barang Keluar'!$A:$A,M14373,'Barang Keluar'!$C:$C,N14373))</f>
        <v>0</v>
      </c>
    </row>
    <row r="14374" spans="13:16">
      <c r="M14374" s="49">
        <f>IF($A$4+143&gt;$B$4,"",$A$4+143)</f>
        <v>46166</v>
      </c>
      <c r="N14374">
        <f>IF(M14374="","",'Master Barang'!A68)</f>
        <v>0</v>
      </c>
      <c r="O14374">
        <f>IF(N14374="","",'Master Barang'!B68)</f>
        <v>0</v>
      </c>
      <c r="P14374">
        <f>IF(OR(M14374="",N14374=""),"",SUMIFS('Barang Keluar'!$E:$E,'Barang Keluar'!$A:$A,M14374,'Barang Keluar'!$C:$C,N14374))</f>
        <v>0</v>
      </c>
    </row>
    <row r="14375" spans="13:16">
      <c r="M14375" s="49">
        <f>IF($A$4+143&gt;$B$4,"",$A$4+143)</f>
        <v>46166</v>
      </c>
      <c r="N14375">
        <f>IF(M14375="","",'Master Barang'!A69)</f>
        <v>0</v>
      </c>
      <c r="O14375">
        <f>IF(N14375="","",'Master Barang'!B69)</f>
        <v>0</v>
      </c>
      <c r="P14375">
        <f>IF(OR(M14375="",N14375=""),"",SUMIFS('Barang Keluar'!$E:$E,'Barang Keluar'!$A:$A,M14375,'Barang Keluar'!$C:$C,N14375))</f>
        <v>0</v>
      </c>
    </row>
    <row r="14376" spans="13:16">
      <c r="M14376" s="49">
        <f>IF($A$4+143&gt;$B$4,"",$A$4+143)</f>
        <v>46166</v>
      </c>
      <c r="N14376">
        <f>IF(M14376="","",'Master Barang'!A70)</f>
        <v>0</v>
      </c>
      <c r="O14376">
        <f>IF(N14376="","",'Master Barang'!B70)</f>
        <v>0</v>
      </c>
      <c r="P14376">
        <f>IF(OR(M14376="",N14376=""),"",SUMIFS('Barang Keluar'!$E:$E,'Barang Keluar'!$A:$A,M14376,'Barang Keluar'!$C:$C,N14376))</f>
        <v>0</v>
      </c>
    </row>
    <row r="14377" spans="13:16">
      <c r="M14377" s="49">
        <f>IF($A$4+143&gt;$B$4,"",$A$4+143)</f>
        <v>46166</v>
      </c>
      <c r="N14377">
        <f>IF(M14377="","",'Master Barang'!A71)</f>
        <v>0</v>
      </c>
      <c r="O14377">
        <f>IF(N14377="","",'Master Barang'!B71)</f>
        <v>0</v>
      </c>
      <c r="P14377">
        <f>IF(OR(M14377="",N14377=""),"",SUMIFS('Barang Keluar'!$E:$E,'Barang Keluar'!$A:$A,M14377,'Barang Keluar'!$C:$C,N14377))</f>
        <v>0</v>
      </c>
    </row>
    <row r="14378" spans="13:16">
      <c r="M14378" s="49">
        <f>IF($A$4+143&gt;$B$4,"",$A$4+143)</f>
        <v>46166</v>
      </c>
      <c r="N14378">
        <f>IF(M14378="","",'Master Barang'!A72)</f>
        <v>0</v>
      </c>
      <c r="O14378">
        <f>IF(N14378="","",'Master Barang'!B72)</f>
        <v>0</v>
      </c>
      <c r="P14378">
        <f>IF(OR(M14378="",N14378=""),"",SUMIFS('Barang Keluar'!$E:$E,'Barang Keluar'!$A:$A,M14378,'Barang Keluar'!$C:$C,N14378))</f>
        <v>0</v>
      </c>
    </row>
    <row r="14379" spans="13:16">
      <c r="M14379" s="49">
        <f>IF($A$4+143&gt;$B$4,"",$A$4+143)</f>
        <v>46166</v>
      </c>
      <c r="N14379">
        <f>IF(M14379="","",'Master Barang'!A73)</f>
        <v>0</v>
      </c>
      <c r="O14379">
        <f>IF(N14379="","",'Master Barang'!B73)</f>
        <v>0</v>
      </c>
      <c r="P14379">
        <f>IF(OR(M14379="",N14379=""),"",SUMIFS('Barang Keluar'!$E:$E,'Barang Keluar'!$A:$A,M14379,'Barang Keluar'!$C:$C,N14379))</f>
        <v>0</v>
      </c>
    </row>
    <row r="14380" spans="13:16">
      <c r="M14380" s="49">
        <f>IF($A$4+143&gt;$B$4,"",$A$4+143)</f>
        <v>46166</v>
      </c>
      <c r="N14380">
        <f>IF(M14380="","",'Master Barang'!A74)</f>
        <v>0</v>
      </c>
      <c r="O14380">
        <f>IF(N14380="","",'Master Barang'!B74)</f>
        <v>0</v>
      </c>
      <c r="P14380">
        <f>IF(OR(M14380="",N14380=""),"",SUMIFS('Barang Keluar'!$E:$E,'Barang Keluar'!$A:$A,M14380,'Barang Keluar'!$C:$C,N14380))</f>
        <v>0</v>
      </c>
    </row>
    <row r="14381" spans="13:16">
      <c r="M14381" s="49">
        <f>IF($A$4+143&gt;$B$4,"",$A$4+143)</f>
        <v>46166</v>
      </c>
      <c r="N14381">
        <f>IF(M14381="","",'Master Barang'!A75)</f>
        <v>0</v>
      </c>
      <c r="O14381">
        <f>IF(N14381="","",'Master Barang'!B75)</f>
        <v>0</v>
      </c>
      <c r="P14381">
        <f>IF(OR(M14381="",N14381=""),"",SUMIFS('Barang Keluar'!$E:$E,'Barang Keluar'!$A:$A,M14381,'Barang Keluar'!$C:$C,N14381))</f>
        <v>0</v>
      </c>
    </row>
    <row r="14382" spans="13:16">
      <c r="M14382" s="49">
        <f>IF($A$4+143&gt;$B$4,"",$A$4+143)</f>
        <v>46166</v>
      </c>
      <c r="N14382">
        <f>IF(M14382="","",'Master Barang'!A76)</f>
        <v>0</v>
      </c>
      <c r="O14382">
        <f>IF(N14382="","",'Master Barang'!B76)</f>
        <v>0</v>
      </c>
      <c r="P14382">
        <f>IF(OR(M14382="",N14382=""),"",SUMIFS('Barang Keluar'!$E:$E,'Barang Keluar'!$A:$A,M14382,'Barang Keluar'!$C:$C,N14382))</f>
        <v>0</v>
      </c>
    </row>
    <row r="14383" spans="13:16">
      <c r="M14383" s="49">
        <f>IF($A$4+143&gt;$B$4,"",$A$4+143)</f>
        <v>46166</v>
      </c>
      <c r="N14383">
        <f>IF(M14383="","",'Master Barang'!A77)</f>
        <v>0</v>
      </c>
      <c r="O14383">
        <f>IF(N14383="","",'Master Barang'!B77)</f>
        <v>0</v>
      </c>
      <c r="P14383">
        <f>IF(OR(M14383="",N14383=""),"",SUMIFS('Barang Keluar'!$E:$E,'Barang Keluar'!$A:$A,M14383,'Barang Keluar'!$C:$C,N14383))</f>
        <v>0</v>
      </c>
    </row>
    <row r="14384" spans="13:16">
      <c r="M14384" s="49">
        <f>IF($A$4+143&gt;$B$4,"",$A$4+143)</f>
        <v>46166</v>
      </c>
      <c r="N14384">
        <f>IF(M14384="","",'Master Barang'!A78)</f>
        <v>0</v>
      </c>
      <c r="O14384">
        <f>IF(N14384="","",'Master Barang'!B78)</f>
        <v>0</v>
      </c>
      <c r="P14384">
        <f>IF(OR(M14384="",N14384=""),"",SUMIFS('Barang Keluar'!$E:$E,'Barang Keluar'!$A:$A,M14384,'Barang Keluar'!$C:$C,N14384))</f>
        <v>0</v>
      </c>
    </row>
    <row r="14385" spans="13:16">
      <c r="M14385" s="49">
        <f>IF($A$4+143&gt;$B$4,"",$A$4+143)</f>
        <v>46166</v>
      </c>
      <c r="N14385">
        <f>IF(M14385="","",'Master Barang'!A79)</f>
        <v>0</v>
      </c>
      <c r="O14385">
        <f>IF(N14385="","",'Master Barang'!B79)</f>
        <v>0</v>
      </c>
      <c r="P14385">
        <f>IF(OR(M14385="",N14385=""),"",SUMIFS('Barang Keluar'!$E:$E,'Barang Keluar'!$A:$A,M14385,'Barang Keluar'!$C:$C,N14385))</f>
        <v>0</v>
      </c>
    </row>
    <row r="14386" spans="13:16">
      <c r="M14386" s="49">
        <f>IF($A$4+143&gt;$B$4,"",$A$4+143)</f>
        <v>46166</v>
      </c>
      <c r="N14386">
        <f>IF(M14386="","",'Master Barang'!A80)</f>
        <v>0</v>
      </c>
      <c r="O14386">
        <f>IF(N14386="","",'Master Barang'!B80)</f>
        <v>0</v>
      </c>
      <c r="P14386">
        <f>IF(OR(M14386="",N14386=""),"",SUMIFS('Barang Keluar'!$E:$E,'Barang Keluar'!$A:$A,M14386,'Barang Keluar'!$C:$C,N14386))</f>
        <v>0</v>
      </c>
    </row>
    <row r="14387" spans="13:16">
      <c r="M14387" s="49">
        <f>IF($A$4+143&gt;$B$4,"",$A$4+143)</f>
        <v>46166</v>
      </c>
      <c r="N14387">
        <f>IF(M14387="","",'Master Barang'!A81)</f>
        <v>0</v>
      </c>
      <c r="O14387">
        <f>IF(N14387="","",'Master Barang'!B81)</f>
        <v>0</v>
      </c>
      <c r="P14387">
        <f>IF(OR(M14387="",N14387=""),"",SUMIFS('Barang Keluar'!$E:$E,'Barang Keluar'!$A:$A,M14387,'Barang Keluar'!$C:$C,N14387))</f>
        <v>0</v>
      </c>
    </row>
    <row r="14388" spans="13:16">
      <c r="M14388" s="49">
        <f>IF($A$4+143&gt;$B$4,"",$A$4+143)</f>
        <v>46166</v>
      </c>
      <c r="N14388">
        <f>IF(M14388="","",'Master Barang'!A82)</f>
        <v>0</v>
      </c>
      <c r="O14388">
        <f>IF(N14388="","",'Master Barang'!B82)</f>
        <v>0</v>
      </c>
      <c r="P14388">
        <f>IF(OR(M14388="",N14388=""),"",SUMIFS('Barang Keluar'!$E:$E,'Barang Keluar'!$A:$A,M14388,'Barang Keluar'!$C:$C,N14388))</f>
        <v>0</v>
      </c>
    </row>
    <row r="14389" spans="13:16">
      <c r="M14389" s="49">
        <f>IF($A$4+143&gt;$B$4,"",$A$4+143)</f>
        <v>46166</v>
      </c>
      <c r="N14389">
        <f>IF(M14389="","",'Master Barang'!A83)</f>
        <v>0</v>
      </c>
      <c r="O14389">
        <f>IF(N14389="","",'Master Barang'!B83)</f>
        <v>0</v>
      </c>
      <c r="P14389">
        <f>IF(OR(M14389="",N14389=""),"",SUMIFS('Barang Keluar'!$E:$E,'Barang Keluar'!$A:$A,M14389,'Barang Keluar'!$C:$C,N14389))</f>
        <v>0</v>
      </c>
    </row>
    <row r="14390" spans="13:16">
      <c r="M14390" s="49">
        <f>IF($A$4+143&gt;$B$4,"",$A$4+143)</f>
        <v>46166</v>
      </c>
      <c r="N14390">
        <f>IF(M14390="","",'Master Barang'!A84)</f>
        <v>0</v>
      </c>
      <c r="O14390">
        <f>IF(N14390="","",'Master Barang'!B84)</f>
        <v>0</v>
      </c>
      <c r="P14390">
        <f>IF(OR(M14390="",N14390=""),"",SUMIFS('Barang Keluar'!$E:$E,'Barang Keluar'!$A:$A,M14390,'Barang Keluar'!$C:$C,N14390))</f>
        <v>0</v>
      </c>
    </row>
    <row r="14391" spans="13:16">
      <c r="M14391" s="49">
        <f>IF($A$4+143&gt;$B$4,"",$A$4+143)</f>
        <v>46166</v>
      </c>
      <c r="N14391">
        <f>IF(M14391="","",'Master Barang'!A85)</f>
        <v>0</v>
      </c>
      <c r="O14391">
        <f>IF(N14391="","",'Master Barang'!B85)</f>
        <v>0</v>
      </c>
      <c r="P14391">
        <f>IF(OR(M14391="",N14391=""),"",SUMIFS('Barang Keluar'!$E:$E,'Barang Keluar'!$A:$A,M14391,'Barang Keluar'!$C:$C,N14391))</f>
        <v>0</v>
      </c>
    </row>
    <row r="14392" spans="13:16">
      <c r="M14392" s="49">
        <f>IF($A$4+143&gt;$B$4,"",$A$4+143)</f>
        <v>46166</v>
      </c>
      <c r="N14392">
        <f>IF(M14392="","",'Master Barang'!A86)</f>
        <v>0</v>
      </c>
      <c r="O14392">
        <f>IF(N14392="","",'Master Barang'!B86)</f>
        <v>0</v>
      </c>
      <c r="P14392">
        <f>IF(OR(M14392="",N14392=""),"",SUMIFS('Barang Keluar'!$E:$E,'Barang Keluar'!$A:$A,M14392,'Barang Keluar'!$C:$C,N14392))</f>
        <v>0</v>
      </c>
    </row>
    <row r="14393" spans="13:16">
      <c r="M14393" s="49">
        <f>IF($A$4+143&gt;$B$4,"",$A$4+143)</f>
        <v>46166</v>
      </c>
      <c r="N14393">
        <f>IF(M14393="","",'Master Barang'!A87)</f>
        <v>0</v>
      </c>
      <c r="O14393">
        <f>IF(N14393="","",'Master Barang'!B87)</f>
        <v>0</v>
      </c>
      <c r="P14393">
        <f>IF(OR(M14393="",N14393=""),"",SUMIFS('Barang Keluar'!$E:$E,'Barang Keluar'!$A:$A,M14393,'Barang Keluar'!$C:$C,N14393))</f>
        <v>0</v>
      </c>
    </row>
    <row r="14394" spans="13:16">
      <c r="M14394" s="49">
        <f>IF($A$4+143&gt;$B$4,"",$A$4+143)</f>
        <v>46166</v>
      </c>
      <c r="N14394">
        <f>IF(M14394="","",'Master Barang'!A88)</f>
        <v>0</v>
      </c>
      <c r="O14394">
        <f>IF(N14394="","",'Master Barang'!B88)</f>
        <v>0</v>
      </c>
      <c r="P14394">
        <f>IF(OR(M14394="",N14394=""),"",SUMIFS('Barang Keluar'!$E:$E,'Barang Keluar'!$A:$A,M14394,'Barang Keluar'!$C:$C,N14394))</f>
        <v>0</v>
      </c>
    </row>
    <row r="14395" spans="13:16">
      <c r="M14395" s="49">
        <f>IF($A$4+143&gt;$B$4,"",$A$4+143)</f>
        <v>46166</v>
      </c>
      <c r="N14395">
        <f>IF(M14395="","",'Master Barang'!A89)</f>
        <v>0</v>
      </c>
      <c r="O14395">
        <f>IF(N14395="","",'Master Barang'!B89)</f>
        <v>0</v>
      </c>
      <c r="P14395">
        <f>IF(OR(M14395="",N14395=""),"",SUMIFS('Barang Keluar'!$E:$E,'Barang Keluar'!$A:$A,M14395,'Barang Keluar'!$C:$C,N14395))</f>
        <v>0</v>
      </c>
    </row>
    <row r="14396" spans="13:16">
      <c r="M14396" s="49">
        <f>IF($A$4+143&gt;$B$4,"",$A$4+143)</f>
        <v>46166</v>
      </c>
      <c r="N14396">
        <f>IF(M14396="","",'Master Barang'!A90)</f>
        <v>0</v>
      </c>
      <c r="O14396">
        <f>IF(N14396="","",'Master Barang'!B90)</f>
        <v>0</v>
      </c>
      <c r="P14396">
        <f>IF(OR(M14396="",N14396=""),"",SUMIFS('Barang Keluar'!$E:$E,'Barang Keluar'!$A:$A,M14396,'Barang Keluar'!$C:$C,N14396))</f>
        <v>0</v>
      </c>
    </row>
    <row r="14397" spans="13:16">
      <c r="M14397" s="49">
        <f>IF($A$4+143&gt;$B$4,"",$A$4+143)</f>
        <v>46166</v>
      </c>
      <c r="N14397">
        <f>IF(M14397="","",'Master Barang'!A91)</f>
        <v>0</v>
      </c>
      <c r="O14397">
        <f>IF(N14397="","",'Master Barang'!B91)</f>
        <v>0</v>
      </c>
      <c r="P14397">
        <f>IF(OR(M14397="",N14397=""),"",SUMIFS('Barang Keluar'!$E:$E,'Barang Keluar'!$A:$A,M14397,'Barang Keluar'!$C:$C,N14397))</f>
        <v>0</v>
      </c>
    </row>
    <row r="14398" spans="13:16">
      <c r="M14398" s="49">
        <f>IF($A$4+143&gt;$B$4,"",$A$4+143)</f>
        <v>46166</v>
      </c>
      <c r="N14398">
        <f>IF(M14398="","",'Master Barang'!A92)</f>
        <v>0</v>
      </c>
      <c r="O14398">
        <f>IF(N14398="","",'Master Barang'!B92)</f>
        <v>0</v>
      </c>
      <c r="P14398">
        <f>IF(OR(M14398="",N14398=""),"",SUMIFS('Barang Keluar'!$E:$E,'Barang Keluar'!$A:$A,M14398,'Barang Keluar'!$C:$C,N14398))</f>
        <v>0</v>
      </c>
    </row>
    <row r="14399" spans="13:16">
      <c r="M14399" s="49">
        <f>IF($A$4+143&gt;$B$4,"",$A$4+143)</f>
        <v>46166</v>
      </c>
      <c r="N14399">
        <f>IF(M14399="","",'Master Barang'!A93)</f>
        <v>0</v>
      </c>
      <c r="O14399">
        <f>IF(N14399="","",'Master Barang'!B93)</f>
        <v>0</v>
      </c>
      <c r="P14399">
        <f>IF(OR(M14399="",N14399=""),"",SUMIFS('Barang Keluar'!$E:$E,'Barang Keluar'!$A:$A,M14399,'Barang Keluar'!$C:$C,N14399))</f>
        <v>0</v>
      </c>
    </row>
    <row r="14400" spans="13:16">
      <c r="M14400" s="49">
        <f>IF($A$4+143&gt;$B$4,"",$A$4+143)</f>
        <v>46166</v>
      </c>
      <c r="N14400">
        <f>IF(M14400="","",'Master Barang'!A94)</f>
        <v>0</v>
      </c>
      <c r="O14400">
        <f>IF(N14400="","",'Master Barang'!B94)</f>
        <v>0</v>
      </c>
      <c r="P14400">
        <f>IF(OR(M14400="",N14400=""),"",SUMIFS('Barang Keluar'!$E:$E,'Barang Keluar'!$A:$A,M14400,'Barang Keluar'!$C:$C,N14400))</f>
        <v>0</v>
      </c>
    </row>
    <row r="14401" spans="13:16">
      <c r="M14401" s="49">
        <f>IF($A$4+143&gt;$B$4,"",$A$4+143)</f>
        <v>46166</v>
      </c>
      <c r="N14401">
        <f>IF(M14401="","",'Master Barang'!A95)</f>
        <v>0</v>
      </c>
      <c r="O14401">
        <f>IF(N14401="","",'Master Barang'!B95)</f>
        <v>0</v>
      </c>
      <c r="P14401">
        <f>IF(OR(M14401="",N14401=""),"",SUMIFS('Barang Keluar'!$E:$E,'Barang Keluar'!$A:$A,M14401,'Barang Keluar'!$C:$C,N14401))</f>
        <v>0</v>
      </c>
    </row>
    <row r="14402" spans="13:16">
      <c r="M14402" s="49">
        <f>IF($A$4+143&gt;$B$4,"",$A$4+143)</f>
        <v>46166</v>
      </c>
      <c r="N14402">
        <f>IF(M14402="","",'Master Barang'!A96)</f>
        <v>0</v>
      </c>
      <c r="O14402">
        <f>IF(N14402="","",'Master Barang'!B96)</f>
        <v>0</v>
      </c>
      <c r="P14402">
        <f>IF(OR(M14402="",N14402=""),"",SUMIFS('Barang Keluar'!$E:$E,'Barang Keluar'!$A:$A,M14402,'Barang Keluar'!$C:$C,N14402))</f>
        <v>0</v>
      </c>
    </row>
    <row r="14403" spans="13:16">
      <c r="M14403" s="49">
        <f>IF($A$4+143&gt;$B$4,"",$A$4+143)</f>
        <v>46166</v>
      </c>
      <c r="N14403">
        <f>IF(M14403="","",'Master Barang'!A97)</f>
        <v>0</v>
      </c>
      <c r="O14403">
        <f>IF(N14403="","",'Master Barang'!B97)</f>
        <v>0</v>
      </c>
      <c r="P14403">
        <f>IF(OR(M14403="",N14403=""),"",SUMIFS('Barang Keluar'!$E:$E,'Barang Keluar'!$A:$A,M14403,'Barang Keluar'!$C:$C,N14403))</f>
        <v>0</v>
      </c>
    </row>
    <row r="14404" spans="13:16">
      <c r="M14404" s="49">
        <f>IF($A$4+143&gt;$B$4,"",$A$4+143)</f>
        <v>46166</v>
      </c>
      <c r="N14404">
        <f>IF(M14404="","",'Master Barang'!A98)</f>
        <v>0</v>
      </c>
      <c r="O14404">
        <f>IF(N14404="","",'Master Barang'!B98)</f>
        <v>0</v>
      </c>
      <c r="P14404">
        <f>IF(OR(M14404="",N14404=""),"",SUMIFS('Barang Keluar'!$E:$E,'Barang Keluar'!$A:$A,M14404,'Barang Keluar'!$C:$C,N14404))</f>
        <v>0</v>
      </c>
    </row>
    <row r="14405" spans="13:16">
      <c r="M14405" s="49">
        <f>IF($A$4+143&gt;$B$4,"",$A$4+143)</f>
        <v>46166</v>
      </c>
      <c r="N14405">
        <f>IF(M14405="","",'Master Barang'!A99)</f>
        <v>0</v>
      </c>
      <c r="O14405">
        <f>IF(N14405="","",'Master Barang'!B99)</f>
        <v>0</v>
      </c>
      <c r="P14405">
        <f>IF(OR(M14405="",N14405=""),"",SUMIFS('Barang Keluar'!$E:$E,'Barang Keluar'!$A:$A,M14405,'Barang Keluar'!$C:$C,N14405))</f>
        <v>0</v>
      </c>
    </row>
    <row r="14406" spans="13:16">
      <c r="M14406" s="49">
        <f>IF($A$4+143&gt;$B$4,"",$A$4+143)</f>
        <v>46166</v>
      </c>
      <c r="N14406">
        <f>IF(M14406="","",'Master Barang'!A100)</f>
        <v>0</v>
      </c>
      <c r="O14406">
        <f>IF(N14406="","",'Master Barang'!B100)</f>
        <v>0</v>
      </c>
      <c r="P14406">
        <f>IF(OR(M14406="",N14406=""),"",SUMIFS('Barang Keluar'!$E:$E,'Barang Keluar'!$A:$A,M14406,'Barang Keluar'!$C:$C,N14406))</f>
        <v>0</v>
      </c>
    </row>
    <row r="14407" spans="13:16">
      <c r="M14407" s="49">
        <f>IF($A$4+143&gt;$B$4,"",$A$4+143)</f>
        <v>46166</v>
      </c>
      <c r="N14407">
        <f>IF(M14407="","",'Master Barang'!A101)</f>
        <v>0</v>
      </c>
      <c r="O14407">
        <f>IF(N14407="","",'Master Barang'!B101)</f>
        <v>0</v>
      </c>
      <c r="P14407">
        <f>IF(OR(M14407="",N14407=""),"",SUMIFS('Barang Keluar'!$E:$E,'Barang Keluar'!$A:$A,M14407,'Barang Keluar'!$C:$C,N14407))</f>
        <v>0</v>
      </c>
    </row>
    <row r="14408" spans="13:16">
      <c r="M14408" s="49">
        <f>IF($A$4+144&gt;$B$4,"",$A$4+144)</f>
        <v>46167</v>
      </c>
      <c r="N14408" t="str">
        <f>IF(M14408="","",'Master Barang'!A2)</f>
        <v>PRL-001</v>
      </c>
      <c r="O14408" t="str">
        <f>IF(N14408="","",'Master Barang'!B2)</f>
        <v>natura desinfectant food grade 5l</v>
      </c>
      <c r="P14408">
        <f>IF(OR(M14408="",N14408=""),"",SUMIFS('Barang Keluar'!$E:$E,'Barang Keluar'!$A:$A,M14408,'Barang Keluar'!$C:$C,N14408))</f>
        <v>0</v>
      </c>
    </row>
    <row r="14409" spans="13:16">
      <c r="M14409" s="49">
        <f>IF($A$4+144&gt;$B$4,"",$A$4+144)</f>
        <v>46167</v>
      </c>
      <c r="N14409" t="str">
        <f>IF(M14409="","",'Master Barang'!A3)</f>
        <v>PRL-002</v>
      </c>
      <c r="O14409" t="str">
        <f>IF(N14409="","",'Master Barang'!B3)</f>
        <v>sunlight cairan pencuci piring 5l</v>
      </c>
      <c r="P14409">
        <f>IF(OR(M14409="",N14409=""),"",SUMIFS('Barang Keluar'!$E:$E,'Barang Keluar'!$A:$A,M14409,'Barang Keluar'!$C:$C,N14409))</f>
        <v>0</v>
      </c>
    </row>
    <row r="14410" spans="13:16">
      <c r="M14410" s="49">
        <f>IF($A$4+144&gt;$B$4,"",$A$4+144)</f>
        <v>46167</v>
      </c>
      <c r="N14410" t="str">
        <f>IF(M14410="","",'Master Barang'!A4)</f>
        <v>PRL-003</v>
      </c>
      <c r="O14410" t="str">
        <f>IF(N14410="","",'Master Barang'!B4)</f>
        <v>oixs cleaner 1l</v>
      </c>
      <c r="P14410">
        <f>IF(OR(M14410="",N14410=""),"",SUMIFS('Barang Keluar'!$E:$E,'Barang Keluar'!$A:$A,M14410,'Barang Keluar'!$C:$C,N14410))</f>
        <v>0</v>
      </c>
    </row>
    <row r="14411" spans="13:16">
      <c r="M14411" s="49">
        <f>IF($A$4+144&gt;$B$4,"",$A$4+144)</f>
        <v>46167</v>
      </c>
      <c r="N14411" t="str">
        <f>IF(M14411="","",'Master Barang'!A5)</f>
        <v>PRL-004</v>
      </c>
      <c r="O14411" t="str">
        <f>IF(N14411="","",'Master Barang'!B5)</f>
        <v>be clean tissue serbaguna</v>
      </c>
      <c r="P14411">
        <f>IF(OR(M14411="",N14411=""),"",SUMIFS('Barang Keluar'!$E:$E,'Barang Keluar'!$A:$A,M14411,'Barang Keluar'!$C:$C,N14411))</f>
        <v>0</v>
      </c>
    </row>
    <row r="14412" spans="13:16">
      <c r="M14412" s="49">
        <f>IF($A$4+144&gt;$B$4,"",$A$4+144)</f>
        <v>46167</v>
      </c>
      <c r="N14412" t="str">
        <f>IF(M14412="","",'Master Barang'!A6)</f>
        <v>PRL-005</v>
      </c>
      <c r="O14412" t="str">
        <f>IF(N14412="","",'Master Barang'!B6)</f>
        <v>spons cuci hijau</v>
      </c>
      <c r="P14412">
        <f>IF(OR(M14412="",N14412=""),"",SUMIFS('Barang Keluar'!$E:$E,'Barang Keluar'!$A:$A,M14412,'Barang Keluar'!$C:$C,N14412))</f>
        <v>0</v>
      </c>
    </row>
    <row r="14413" spans="13:16">
      <c r="M14413" s="49">
        <f>IF($A$4+144&gt;$B$4,"",$A$4+144)</f>
        <v>46167</v>
      </c>
      <c r="N14413" t="str">
        <f>IF(M14413="","",'Master Barang'!A7)</f>
        <v>PRL-006</v>
      </c>
      <c r="O14413" t="str">
        <f>IF(N14413="","",'Master Barang'!B7)</f>
        <v>sabut cuci stainless</v>
      </c>
      <c r="P14413">
        <f>IF(OR(M14413="",N14413=""),"",SUMIFS('Barang Keluar'!$E:$E,'Barang Keluar'!$A:$A,M14413,'Barang Keluar'!$C:$C,N14413))</f>
        <v>0</v>
      </c>
    </row>
    <row r="14414" spans="13:16">
      <c r="M14414" s="49">
        <f>IF($A$4+144&gt;$B$4,"",$A$4+144)</f>
        <v>46167</v>
      </c>
      <c r="N14414" t="str">
        <f>IF(M14414="","",'Master Barang'!A8)</f>
        <v>PRL-007</v>
      </c>
      <c r="O14414" t="str">
        <f>IF(N14414="","",'Master Barang'!B8)</f>
        <v>plastik kresek besar merah 50pc</v>
      </c>
      <c r="P14414">
        <f>IF(OR(M14414="",N14414=""),"",SUMIFS('Barang Keluar'!$E:$E,'Barang Keluar'!$A:$A,M14414,'Barang Keluar'!$C:$C,N14414))</f>
        <v>0</v>
      </c>
    </row>
    <row r="14415" spans="13:16">
      <c r="M14415" s="49">
        <f>IF($A$4+144&gt;$B$4,"",$A$4+144)</f>
        <v>46167</v>
      </c>
      <c r="N14415" t="str">
        <f>IF(M14415="","",'Master Barang'!A9)</f>
        <v>PRL-008</v>
      </c>
      <c r="O14415" t="str">
        <f>IF(N14415="","",'Master Barang'!B9)</f>
        <v>lap besar</v>
      </c>
      <c r="P14415">
        <f>IF(OR(M14415="",N14415=""),"",SUMIFS('Barang Keluar'!$E:$E,'Barang Keluar'!$A:$A,M14415,'Barang Keluar'!$C:$C,N14415))</f>
        <v>0</v>
      </c>
    </row>
    <row r="14416" spans="13:16">
      <c r="M14416" s="49">
        <f>IF($A$4+144&gt;$B$4,"",$A$4+144)</f>
        <v>46167</v>
      </c>
      <c r="N14416" t="str">
        <f>IF(M14416="","",'Master Barang'!A10)</f>
        <v>PRL-009</v>
      </c>
      <c r="O14416" t="str">
        <f>IF(N14416="","",'Master Barang'!B10)</f>
        <v>lap microfiber</v>
      </c>
      <c r="P14416">
        <f>IF(OR(M14416="",N14416=""),"",SUMIFS('Barang Keluar'!$E:$E,'Barang Keluar'!$A:$A,M14416,'Barang Keluar'!$C:$C,N14416))</f>
        <v>0</v>
      </c>
    </row>
    <row r="14417" spans="13:16">
      <c r="M14417" s="49">
        <f>IF($A$4+144&gt;$B$4,"",$A$4+144)</f>
        <v>46167</v>
      </c>
      <c r="N14417" t="str">
        <f>IF(M14417="","",'Master Barang'!A11)</f>
        <v>PRL-010</v>
      </c>
      <c r="O14417" t="str">
        <f>IF(N14417="","",'Master Barang'!B11)</f>
        <v>lap kecil</v>
      </c>
      <c r="P14417">
        <f>IF(OR(M14417="",N14417=""),"",SUMIFS('Barang Keluar'!$E:$E,'Barang Keluar'!$A:$A,M14417,'Barang Keluar'!$C:$C,N14417))</f>
        <v>0</v>
      </c>
    </row>
    <row r="14418" spans="13:16">
      <c r="M14418" s="49">
        <f>IF($A$4+144&gt;$B$4,"",$A$4+144)</f>
        <v>46167</v>
      </c>
      <c r="N14418" t="str">
        <f>IF(M14418="","",'Master Barang'!A12)</f>
        <v>PRL-011</v>
      </c>
      <c r="O14418" t="str">
        <f>IF(N14418="","",'Master Barang'!B12)</f>
        <v>kanebo kecil</v>
      </c>
      <c r="P14418">
        <f>IF(OR(M14418="",N14418=""),"",SUMIFS('Barang Keluar'!$E:$E,'Barang Keluar'!$A:$A,M14418,'Barang Keluar'!$C:$C,N14418))</f>
        <v>0</v>
      </c>
    </row>
    <row r="14419" spans="13:16">
      <c r="M14419" s="49">
        <f>IF($A$4+144&gt;$B$4,"",$A$4+144)</f>
        <v>46167</v>
      </c>
      <c r="N14419" t="str">
        <f>IF(M14419="","",'Master Barang'!A13)</f>
        <v>PRL-012</v>
      </c>
      <c r="O14419" t="str">
        <f>IF(N14419="","",'Master Barang'!B13)</f>
        <v>plastik 1/4kg joyoboyo 100 lembar</v>
      </c>
      <c r="P14419">
        <f>IF(OR(M14419="",N14419=""),"",SUMIFS('Barang Keluar'!$E:$E,'Barang Keluar'!$A:$A,M14419,'Barang Keluar'!$C:$C,N14419))</f>
        <v>0</v>
      </c>
    </row>
    <row r="14420" spans="13:16">
      <c r="M14420" s="49">
        <f>IF($A$4+144&gt;$B$4,"",$A$4+144)</f>
        <v>46167</v>
      </c>
      <c r="N14420" t="str">
        <f>IF(M14420="","",'Master Barang'!A14)</f>
        <v>PRL-013</v>
      </c>
      <c r="O14420" t="str">
        <f>IF(N14420="","",'Master Barang'!B14)</f>
        <v>sarung tangan plastik kaka 100 pcs</v>
      </c>
      <c r="P14420">
        <f>IF(OR(M14420="",N14420=""),"",SUMIFS('Barang Keluar'!$E:$E,'Barang Keluar'!$A:$A,M14420,'Barang Keluar'!$C:$C,N14420))</f>
        <v>0</v>
      </c>
    </row>
    <row r="14421" spans="13:16">
      <c r="M14421" s="49">
        <f>IF($A$4+144&gt;$B$4,"",$A$4+144)</f>
        <v>46167</v>
      </c>
      <c r="N14421" t="str">
        <f>IF(M14421="","",'Master Barang'!A15)</f>
        <v>PRL-014</v>
      </c>
      <c r="O14421" t="str">
        <f>IF(N14421="","",'Master Barang'!B15)</f>
        <v>optima trashbag 80x100</v>
      </c>
      <c r="P14421">
        <f>IF(OR(M14421="",N14421=""),"",SUMIFS('Barang Keluar'!$E:$E,'Barang Keluar'!$A:$A,M14421,'Barang Keluar'!$C:$C,N14421))</f>
        <v>0</v>
      </c>
    </row>
    <row r="14422" spans="13:16">
      <c r="M14422" s="49">
        <f>IF($A$4+144&gt;$B$4,"",$A$4+144)</f>
        <v>46167</v>
      </c>
      <c r="N14422" t="str">
        <f>IF(M14422="","",'Master Barang'!A16)</f>
        <v>PRL-015</v>
      </c>
      <c r="O14422" t="str">
        <f>IF(N14422="","",'Master Barang'!B16)</f>
        <v>optima trashbag 60x100</v>
      </c>
      <c r="P14422">
        <f>IF(OR(M14422="",N14422=""),"",SUMIFS('Barang Keluar'!$E:$E,'Barang Keluar'!$A:$A,M14422,'Barang Keluar'!$C:$C,N14422))</f>
        <v>0</v>
      </c>
    </row>
    <row r="14423" spans="13:16">
      <c r="M14423" s="49">
        <f>IF($A$4+144&gt;$B$4,"",$A$4+144)</f>
        <v>46167</v>
      </c>
      <c r="N14423" t="str">
        <f>IF(M14423="","",'Master Barang'!A17)</f>
        <v>PRL-016</v>
      </c>
      <c r="O14423" t="str">
        <f>IF(N14423="","",'Master Barang'!B17)</f>
        <v>rajawali trashbag 30x40</v>
      </c>
      <c r="P14423">
        <f>IF(OR(M14423="",N14423=""),"",SUMIFS('Barang Keluar'!$E:$E,'Barang Keluar'!$A:$A,M14423,'Barang Keluar'!$C:$C,N14423))</f>
        <v>0</v>
      </c>
    </row>
    <row r="14424" spans="13:16">
      <c r="M14424" s="49">
        <f>IF($A$4+144&gt;$B$4,"",$A$4+144)</f>
        <v>46167</v>
      </c>
      <c r="N14424" t="str">
        <f>IF(M14424="","",'Master Barang'!A18)</f>
        <v>PRL-017</v>
      </c>
      <c r="O14424" t="str">
        <f>IF(N14424="","",'Master Barang'!B18)</f>
        <v>onemed masker biru 3 play 50 pcs</v>
      </c>
      <c r="P14424">
        <f>IF(OR(M14424="",N14424=""),"",SUMIFS('Barang Keluar'!$E:$E,'Barang Keluar'!$A:$A,M14424,'Barang Keluar'!$C:$C,N14424))</f>
        <v>0</v>
      </c>
    </row>
    <row r="14425" spans="13:16">
      <c r="M14425" s="49">
        <f>IF($A$4+144&gt;$B$4,"",$A$4+144)</f>
        <v>46167</v>
      </c>
      <c r="N14425" t="str">
        <f>IF(M14425="","",'Master Barang'!A19)</f>
        <v>PRL-018</v>
      </c>
      <c r="O14425" t="str">
        <f>IF(N14425="","",'Master Barang'!B19)</f>
        <v>onemed masker biru 3 play hijab 50 pcs</v>
      </c>
      <c r="P14425">
        <f>IF(OR(M14425="",N14425=""),"",SUMIFS('Barang Keluar'!$E:$E,'Barang Keluar'!$A:$A,M14425,'Barang Keluar'!$C:$C,N14425))</f>
        <v>0</v>
      </c>
    </row>
    <row r="14426" spans="13:16">
      <c r="M14426" s="49">
        <f>IF($A$4+144&gt;$B$4,"",$A$4+144)</f>
        <v>46167</v>
      </c>
      <c r="N14426" t="str">
        <f>IF(M14426="","",'Master Barang'!A20)</f>
        <v>PRL-019</v>
      </c>
      <c r="O14426" t="str">
        <f>IF(N14426="","",'Master Barang'!B20)</f>
        <v>neo health masker biru 3 play 50 pcs</v>
      </c>
      <c r="P14426">
        <f>IF(OR(M14426="",N14426=""),"",SUMIFS('Barang Keluar'!$E:$E,'Barang Keluar'!$A:$A,M14426,'Barang Keluar'!$C:$C,N14426))</f>
        <v>0</v>
      </c>
    </row>
    <row r="14427" spans="13:16">
      <c r="M14427" s="49">
        <f>IF($A$4+144&gt;$B$4,"",$A$4+144)</f>
        <v>46167</v>
      </c>
      <c r="N14427" t="str">
        <f>IF(M14427="","",'Master Barang'!A21)</f>
        <v>PRL-020</v>
      </c>
      <c r="O14427" t="str">
        <f>IF(N14427="","",'Master Barang'!B21)</f>
        <v>baymed masker hijau 3 play hijau 50 pcs</v>
      </c>
      <c r="P14427">
        <f>IF(OR(M14427="",N14427=""),"",SUMIFS('Barang Keluar'!$E:$E,'Barang Keluar'!$A:$A,M14427,'Barang Keluar'!$C:$C,N14427))</f>
        <v>0</v>
      </c>
    </row>
    <row r="14428" spans="13:16">
      <c r="M14428" s="49">
        <f>IF($A$4+144&gt;$B$4,"",$A$4+144)</f>
        <v>46167</v>
      </c>
      <c r="N14428" t="str">
        <f>IF(M14428="","",'Master Barang'!A22)</f>
        <v>PRL-021</v>
      </c>
      <c r="O14428" t="str">
        <f>IF(N14428="","",'Master Barang'!B22)</f>
        <v>altamed nurse cap penutup kepala 100 pcs</v>
      </c>
      <c r="P14428">
        <f>IF(OR(M14428="",N14428=""),"",SUMIFS('Barang Keluar'!$E:$E,'Barang Keluar'!$A:$A,M14428,'Barang Keluar'!$C:$C,N14428))</f>
        <v>0</v>
      </c>
    </row>
    <row r="14429" spans="13:16">
      <c r="M14429" s="49">
        <f>IF($A$4+144&gt;$B$4,"",$A$4+144)</f>
        <v>46167</v>
      </c>
      <c r="N14429" t="str">
        <f>IF(M14429="","",'Master Barang'!A23)</f>
        <v>PRL-022</v>
      </c>
      <c r="O14429" t="str">
        <f>IF(N14429="","",'Master Barang'!B23)</f>
        <v>sabun cuci tangan</v>
      </c>
      <c r="P14429">
        <f>IF(OR(M14429="",N14429=""),"",SUMIFS('Barang Keluar'!$E:$E,'Barang Keluar'!$A:$A,M14429,'Barang Keluar'!$C:$C,N14429))</f>
        <v>0</v>
      </c>
    </row>
    <row r="14430" spans="13:16">
      <c r="M14430" s="49">
        <f>IF($A$4+144&gt;$B$4,"",$A$4+144)</f>
        <v>46167</v>
      </c>
      <c r="N14430" t="str">
        <f>IF(M14430="","",'Master Barang'!A24)</f>
        <v>PRL-023</v>
      </c>
      <c r="O14430" t="str">
        <f>IF(N14430="","",'Master Barang'!B24)</f>
        <v>gayung kecil</v>
      </c>
      <c r="P14430">
        <f>IF(OR(M14430="",N14430=""),"",SUMIFS('Barang Keluar'!$E:$E,'Barang Keluar'!$A:$A,M14430,'Barang Keluar'!$C:$C,N14430))</f>
        <v>0</v>
      </c>
    </row>
    <row r="14431" spans="13:16">
      <c r="M14431" s="49">
        <f>IF($A$4+144&gt;$B$4,"",$A$4+144)</f>
        <v>46167</v>
      </c>
      <c r="N14431" t="str">
        <f>IF(M14431="","",'Master Barang'!A25)</f>
        <v>PRL-024</v>
      </c>
      <c r="O14431" t="str">
        <f>IF(N14431="","",'Master Barang'!B25)</f>
        <v>cikrak kecil</v>
      </c>
      <c r="P14431">
        <f>IF(OR(M14431="",N14431=""),"",SUMIFS('Barang Keluar'!$E:$E,'Barang Keluar'!$A:$A,M14431,'Barang Keluar'!$C:$C,N14431))</f>
        <v>0</v>
      </c>
    </row>
    <row r="14432" spans="13:16">
      <c r="M14432" s="49">
        <f>IF($A$4+144&gt;$B$4,"",$A$4+144)</f>
        <v>46167</v>
      </c>
      <c r="N14432" t="str">
        <f>IF(M14432="","",'Master Barang'!A26)</f>
        <v>PRL-025</v>
      </c>
      <c r="O14432" t="str">
        <f>IF(N14432="","",'Master Barang'!B26)</f>
        <v>petromax plastik kecil 12x24 100 lembar</v>
      </c>
      <c r="P14432">
        <f>IF(OR(M14432="",N14432=""),"",SUMIFS('Barang Keluar'!$E:$E,'Barang Keluar'!$A:$A,M14432,'Barang Keluar'!$C:$C,N14432))</f>
        <v>0</v>
      </c>
    </row>
    <row r="14433" spans="13:16">
      <c r="M14433" s="49">
        <f>IF($A$4+144&gt;$B$4,"",$A$4+144)</f>
        <v>46167</v>
      </c>
      <c r="N14433" t="str">
        <f>IF(M14433="","",'Master Barang'!A27)</f>
        <v>PRL-026</v>
      </c>
      <c r="O14433" t="str">
        <f>IF(N14433="","",'Master Barang'!B27)</f>
        <v>lancar kresek kecil bening </v>
      </c>
      <c r="P14433">
        <f>IF(OR(M14433="",N14433=""),"",SUMIFS('Barang Keluar'!$E:$E,'Barang Keluar'!$A:$A,M14433,'Barang Keluar'!$C:$C,N14433))</f>
        <v>0</v>
      </c>
    </row>
    <row r="14434" spans="13:16">
      <c r="M14434" s="49">
        <f>IF($A$4+144&gt;$B$4,"",$A$4+144)</f>
        <v>46167</v>
      </c>
      <c r="N14434" t="str">
        <f>IF(M14434="","",'Master Barang'!A28)</f>
        <v>PRL-027</v>
      </c>
      <c r="O14434" t="str">
        <f>IF(N14434="","",'Master Barang'!B28)</f>
        <v>kresek klin warna warni kecil</v>
      </c>
      <c r="P14434">
        <f>IF(OR(M14434="",N14434=""),"",SUMIFS('Barang Keluar'!$E:$E,'Barang Keluar'!$A:$A,M14434,'Barang Keluar'!$C:$C,N14434))</f>
        <v>0</v>
      </c>
    </row>
    <row r="14435" spans="13:16">
      <c r="M14435" s="49">
        <f>IF($A$4+144&gt;$B$4,"",$A$4+144)</f>
        <v>46167</v>
      </c>
      <c r="N14435" t="str">
        <f>IF(M14435="","",'Master Barang'!A29)</f>
        <v>PRL-028</v>
      </c>
      <c r="O14435" t="str">
        <f>IF(N14435="","",'Master Barang'!B29)</f>
        <v>ctik plastik 7x10 100 pcs</v>
      </c>
      <c r="P14435">
        <f>IF(OR(M14435="",N14435=""),"",SUMIFS('Barang Keluar'!$E:$E,'Barang Keluar'!$A:$A,M14435,'Barang Keluar'!$C:$C,N14435))</f>
        <v>0</v>
      </c>
    </row>
    <row r="14436" spans="13:16">
      <c r="M14436" s="49">
        <f>IF($A$4+144&gt;$B$4,"",$A$4+144)</f>
        <v>46167</v>
      </c>
      <c r="N14436" t="str">
        <f>IF(M14436="","",'Master Barang'!A30)</f>
        <v>PRL-029</v>
      </c>
      <c r="O14436" t="str">
        <f>IF(N14436="","",'Master Barang'!B30)</f>
        <v>ctik plastik 6x10 100 pcs</v>
      </c>
      <c r="P14436">
        <f>IF(OR(M14436="",N14436=""),"",SUMIFS('Barang Keluar'!$E:$E,'Barang Keluar'!$A:$A,M14436,'Barang Keluar'!$C:$C,N14436))</f>
        <v>0</v>
      </c>
    </row>
    <row r="14437" spans="13:16">
      <c r="M14437" s="49">
        <f>IF($A$4+144&gt;$B$4,"",$A$4+144)</f>
        <v>46167</v>
      </c>
      <c r="N14437" t="str">
        <f>IF(M14437="","",'Master Barang'!A31)</f>
        <v>PRL-030</v>
      </c>
      <c r="O14437" t="str">
        <f>IF(N14437="","",'Master Barang'!B31)</f>
        <v>klip plastik 25x16 100 pcs</v>
      </c>
      <c r="P14437">
        <f>IF(OR(M14437="",N14437=""),"",SUMIFS('Barang Keluar'!$E:$E,'Barang Keluar'!$A:$A,M14437,'Barang Keluar'!$C:$C,N14437))</f>
        <v>0</v>
      </c>
    </row>
    <row r="14438" spans="13:16">
      <c r="M14438" s="49">
        <f>IF($A$4+144&gt;$B$4,"",$A$4+144)</f>
        <v>46167</v>
      </c>
      <c r="N14438" t="str">
        <f>IF(M14438="","",'Master Barang'!A32)</f>
        <v>PRL-031</v>
      </c>
      <c r="O14438" t="str">
        <f>IF(N14438="","",'Master Barang'!B32)</f>
        <v>tempat saus 20 ml</v>
      </c>
      <c r="P14438">
        <f>IF(OR(M14438="",N14438=""),"",SUMIFS('Barang Keluar'!$E:$E,'Barang Keluar'!$A:$A,M14438,'Barang Keluar'!$C:$C,N14438))</f>
        <v>0</v>
      </c>
    </row>
    <row r="14439" spans="13:16">
      <c r="M14439" s="49">
        <f>IF($A$4+144&gt;$B$4,"",$A$4+144)</f>
        <v>46167</v>
      </c>
      <c r="N14439" t="str">
        <f>IF(M14439="","",'Master Barang'!A33)</f>
        <v>PRL-032</v>
      </c>
      <c r="O14439" t="str">
        <f>IF(N14439="","",'Master Barang'!B33)</f>
        <v>plastik packaging ag box uk sedang</v>
      </c>
      <c r="P14439">
        <f>IF(OR(M14439="",N14439=""),"",SUMIFS('Barang Keluar'!$E:$E,'Barang Keluar'!$A:$A,M14439,'Barang Keluar'!$C:$C,N14439))</f>
        <v>0</v>
      </c>
    </row>
    <row r="14440" spans="13:16">
      <c r="M14440" s="49">
        <f>IF($A$4+144&gt;$B$4,"",$A$4+144)</f>
        <v>46167</v>
      </c>
      <c r="N14440" t="str">
        <f>IF(M14440="","",'Master Barang'!A34)</f>
        <v>PRL-033</v>
      </c>
      <c r="O14440">
        <f>IF(N14440="","",'Master Barang'!B34)</f>
        <v>0</v>
      </c>
      <c r="P14440">
        <f>IF(OR(M14440="",N14440=""),"",SUMIFS('Barang Keluar'!$E:$E,'Barang Keluar'!$A:$A,M14440,'Barang Keluar'!$C:$C,N14440))</f>
        <v>0</v>
      </c>
    </row>
    <row r="14441" spans="13:16">
      <c r="M14441" s="49">
        <f>IF($A$4+144&gt;$B$4,"",$A$4+144)</f>
        <v>46167</v>
      </c>
      <c r="N14441">
        <f>IF(M14441="","",'Master Barang'!A35)</f>
        <v>0</v>
      </c>
      <c r="O14441">
        <f>IF(N14441="","",'Master Barang'!B35)</f>
        <v>0</v>
      </c>
      <c r="P14441">
        <f>IF(OR(M14441="",N14441=""),"",SUMIFS('Barang Keluar'!$E:$E,'Barang Keluar'!$A:$A,M14441,'Barang Keluar'!$C:$C,N14441))</f>
        <v>0</v>
      </c>
    </row>
    <row r="14442" spans="13:16">
      <c r="M14442" s="49">
        <f>IF($A$4+144&gt;$B$4,"",$A$4+144)</f>
        <v>46167</v>
      </c>
      <c r="N14442">
        <f>IF(M14442="","",'Master Barang'!A36)</f>
        <v>0</v>
      </c>
      <c r="O14442">
        <f>IF(N14442="","",'Master Barang'!B36)</f>
        <v>0</v>
      </c>
      <c r="P14442">
        <f>IF(OR(M14442="",N14442=""),"",SUMIFS('Barang Keluar'!$E:$E,'Barang Keluar'!$A:$A,M14442,'Barang Keluar'!$C:$C,N14442))</f>
        <v>0</v>
      </c>
    </row>
    <row r="14443" spans="13:16">
      <c r="M14443" s="49">
        <f>IF($A$4+144&gt;$B$4,"",$A$4+144)</f>
        <v>46167</v>
      </c>
      <c r="N14443">
        <f>IF(M14443="","",'Master Barang'!A37)</f>
        <v>0</v>
      </c>
      <c r="O14443">
        <f>IF(N14443="","",'Master Barang'!B37)</f>
        <v>0</v>
      </c>
      <c r="P14443">
        <f>IF(OR(M14443="",N14443=""),"",SUMIFS('Barang Keluar'!$E:$E,'Barang Keluar'!$A:$A,M14443,'Barang Keluar'!$C:$C,N14443))</f>
        <v>0</v>
      </c>
    </row>
    <row r="14444" spans="13:16">
      <c r="M14444" s="49">
        <f>IF($A$4+144&gt;$B$4,"",$A$4+144)</f>
        <v>46167</v>
      </c>
      <c r="N14444">
        <f>IF(M14444="","",'Master Barang'!A38)</f>
        <v>0</v>
      </c>
      <c r="O14444">
        <f>IF(N14444="","",'Master Barang'!B38)</f>
        <v>0</v>
      </c>
      <c r="P14444">
        <f>IF(OR(M14444="",N14444=""),"",SUMIFS('Barang Keluar'!$E:$E,'Barang Keluar'!$A:$A,M14444,'Barang Keluar'!$C:$C,N14444))</f>
        <v>0</v>
      </c>
    </row>
    <row r="14445" spans="13:16">
      <c r="M14445" s="49">
        <f>IF($A$4+144&gt;$B$4,"",$A$4+144)</f>
        <v>46167</v>
      </c>
      <c r="N14445">
        <f>IF(M14445="","",'Master Barang'!A39)</f>
        <v>0</v>
      </c>
      <c r="O14445">
        <f>IF(N14445="","",'Master Barang'!B39)</f>
        <v>0</v>
      </c>
      <c r="P14445">
        <f>IF(OR(M14445="",N14445=""),"",SUMIFS('Barang Keluar'!$E:$E,'Barang Keluar'!$A:$A,M14445,'Barang Keluar'!$C:$C,N14445))</f>
        <v>0</v>
      </c>
    </row>
    <row r="14446" spans="13:16">
      <c r="M14446" s="49">
        <f>IF($A$4+144&gt;$B$4,"",$A$4+144)</f>
        <v>46167</v>
      </c>
      <c r="N14446">
        <f>IF(M14446="","",'Master Barang'!A40)</f>
        <v>0</v>
      </c>
      <c r="O14446">
        <f>IF(N14446="","",'Master Barang'!B40)</f>
        <v>0</v>
      </c>
      <c r="P14446">
        <f>IF(OR(M14446="",N14446=""),"",SUMIFS('Barang Keluar'!$E:$E,'Barang Keluar'!$A:$A,M14446,'Barang Keluar'!$C:$C,N14446))</f>
        <v>0</v>
      </c>
    </row>
    <row r="14447" spans="13:16">
      <c r="M14447" s="49">
        <f>IF($A$4+144&gt;$B$4,"",$A$4+144)</f>
        <v>46167</v>
      </c>
      <c r="N14447">
        <f>IF(M14447="","",'Master Barang'!A41)</f>
        <v>0</v>
      </c>
      <c r="O14447">
        <f>IF(N14447="","",'Master Barang'!B41)</f>
        <v>0</v>
      </c>
      <c r="P14447">
        <f>IF(OR(M14447="",N14447=""),"",SUMIFS('Barang Keluar'!$E:$E,'Barang Keluar'!$A:$A,M14447,'Barang Keluar'!$C:$C,N14447))</f>
        <v>0</v>
      </c>
    </row>
    <row r="14448" spans="13:16">
      <c r="M14448" s="49">
        <f>IF($A$4+144&gt;$B$4,"",$A$4+144)</f>
        <v>46167</v>
      </c>
      <c r="N14448">
        <f>IF(M14448="","",'Master Barang'!A42)</f>
        <v>0</v>
      </c>
      <c r="O14448">
        <f>IF(N14448="","",'Master Barang'!B42)</f>
        <v>0</v>
      </c>
      <c r="P14448">
        <f>IF(OR(M14448="",N14448=""),"",SUMIFS('Barang Keluar'!$E:$E,'Barang Keluar'!$A:$A,M14448,'Barang Keluar'!$C:$C,N14448))</f>
        <v>0</v>
      </c>
    </row>
    <row r="14449" spans="13:16">
      <c r="M14449" s="49">
        <f>IF($A$4+144&gt;$B$4,"",$A$4+144)</f>
        <v>46167</v>
      </c>
      <c r="N14449">
        <f>IF(M14449="","",'Master Barang'!A43)</f>
        <v>0</v>
      </c>
      <c r="O14449">
        <f>IF(N14449="","",'Master Barang'!B43)</f>
        <v>0</v>
      </c>
      <c r="P14449">
        <f>IF(OR(M14449="",N14449=""),"",SUMIFS('Barang Keluar'!$E:$E,'Barang Keluar'!$A:$A,M14449,'Barang Keluar'!$C:$C,N14449))</f>
        <v>0</v>
      </c>
    </row>
    <row r="14450" spans="13:16">
      <c r="M14450" s="49">
        <f>IF($A$4+144&gt;$B$4,"",$A$4+144)</f>
        <v>46167</v>
      </c>
      <c r="N14450">
        <f>IF(M14450="","",'Master Barang'!A44)</f>
        <v>0</v>
      </c>
      <c r="O14450">
        <f>IF(N14450="","",'Master Barang'!B44)</f>
        <v>0</v>
      </c>
      <c r="P14450">
        <f>IF(OR(M14450="",N14450=""),"",SUMIFS('Barang Keluar'!$E:$E,'Barang Keluar'!$A:$A,M14450,'Barang Keluar'!$C:$C,N14450))</f>
        <v>0</v>
      </c>
    </row>
    <row r="14451" spans="13:16">
      <c r="M14451" s="49">
        <f>IF($A$4+144&gt;$B$4,"",$A$4+144)</f>
        <v>46167</v>
      </c>
      <c r="N14451">
        <f>IF(M14451="","",'Master Barang'!A45)</f>
        <v>0</v>
      </c>
      <c r="O14451">
        <f>IF(N14451="","",'Master Barang'!B45)</f>
        <v>0</v>
      </c>
      <c r="P14451">
        <f>IF(OR(M14451="",N14451=""),"",SUMIFS('Barang Keluar'!$E:$E,'Barang Keluar'!$A:$A,M14451,'Barang Keluar'!$C:$C,N14451))</f>
        <v>0</v>
      </c>
    </row>
    <row r="14452" spans="13:16">
      <c r="M14452" s="49">
        <f>IF($A$4+144&gt;$B$4,"",$A$4+144)</f>
        <v>46167</v>
      </c>
      <c r="N14452">
        <f>IF(M14452="","",'Master Barang'!A46)</f>
        <v>0</v>
      </c>
      <c r="O14452">
        <f>IF(N14452="","",'Master Barang'!B46)</f>
        <v>0</v>
      </c>
      <c r="P14452">
        <f>IF(OR(M14452="",N14452=""),"",SUMIFS('Barang Keluar'!$E:$E,'Barang Keluar'!$A:$A,M14452,'Barang Keluar'!$C:$C,N14452))</f>
        <v>0</v>
      </c>
    </row>
    <row r="14453" spans="13:16">
      <c r="M14453" s="49">
        <f>IF($A$4+144&gt;$B$4,"",$A$4+144)</f>
        <v>46167</v>
      </c>
      <c r="N14453">
        <f>IF(M14453="","",'Master Barang'!A47)</f>
        <v>0</v>
      </c>
      <c r="O14453">
        <f>IF(N14453="","",'Master Barang'!B47)</f>
        <v>0</v>
      </c>
      <c r="P14453">
        <f>IF(OR(M14453="",N14453=""),"",SUMIFS('Barang Keluar'!$E:$E,'Barang Keluar'!$A:$A,M14453,'Barang Keluar'!$C:$C,N14453))</f>
        <v>0</v>
      </c>
    </row>
    <row r="14454" spans="13:16">
      <c r="M14454" s="49">
        <f>IF($A$4+144&gt;$B$4,"",$A$4+144)</f>
        <v>46167</v>
      </c>
      <c r="N14454">
        <f>IF(M14454="","",'Master Barang'!A48)</f>
        <v>0</v>
      </c>
      <c r="O14454">
        <f>IF(N14454="","",'Master Barang'!B48)</f>
        <v>0</v>
      </c>
      <c r="P14454">
        <f>IF(OR(M14454="",N14454=""),"",SUMIFS('Barang Keluar'!$E:$E,'Barang Keluar'!$A:$A,M14454,'Barang Keluar'!$C:$C,N14454))</f>
        <v>0</v>
      </c>
    </row>
    <row r="14455" spans="13:16">
      <c r="M14455" s="49">
        <f>IF($A$4+144&gt;$B$4,"",$A$4+144)</f>
        <v>46167</v>
      </c>
      <c r="N14455">
        <f>IF(M14455="","",'Master Barang'!A49)</f>
        <v>0</v>
      </c>
      <c r="O14455">
        <f>IF(N14455="","",'Master Barang'!B49)</f>
        <v>0</v>
      </c>
      <c r="P14455">
        <f>IF(OR(M14455="",N14455=""),"",SUMIFS('Barang Keluar'!$E:$E,'Barang Keluar'!$A:$A,M14455,'Barang Keluar'!$C:$C,N14455))</f>
        <v>0</v>
      </c>
    </row>
    <row r="14456" spans="13:16">
      <c r="M14456" s="49">
        <f>IF($A$4+144&gt;$B$4,"",$A$4+144)</f>
        <v>46167</v>
      </c>
      <c r="N14456">
        <f>IF(M14456="","",'Master Barang'!A50)</f>
        <v>0</v>
      </c>
      <c r="O14456">
        <f>IF(N14456="","",'Master Barang'!B50)</f>
        <v>0</v>
      </c>
      <c r="P14456">
        <f>IF(OR(M14456="",N14456=""),"",SUMIFS('Barang Keluar'!$E:$E,'Barang Keluar'!$A:$A,M14456,'Barang Keluar'!$C:$C,N14456))</f>
        <v>0</v>
      </c>
    </row>
    <row r="14457" spans="13:16">
      <c r="M14457" s="49">
        <f>IF($A$4+144&gt;$B$4,"",$A$4+144)</f>
        <v>46167</v>
      </c>
      <c r="N14457">
        <f>IF(M14457="","",'Master Barang'!A51)</f>
        <v>0</v>
      </c>
      <c r="O14457">
        <f>IF(N14457="","",'Master Barang'!B51)</f>
        <v>0</v>
      </c>
      <c r="P14457">
        <f>IF(OR(M14457="",N14457=""),"",SUMIFS('Barang Keluar'!$E:$E,'Barang Keluar'!$A:$A,M14457,'Barang Keluar'!$C:$C,N14457))</f>
        <v>0</v>
      </c>
    </row>
    <row r="14458" spans="13:16">
      <c r="M14458" s="49">
        <f>IF($A$4+144&gt;$B$4,"",$A$4+144)</f>
        <v>46167</v>
      </c>
      <c r="N14458">
        <f>IF(M14458="","",'Master Barang'!A52)</f>
        <v>0</v>
      </c>
      <c r="O14458">
        <f>IF(N14458="","",'Master Barang'!B52)</f>
        <v>0</v>
      </c>
      <c r="P14458">
        <f>IF(OR(M14458="",N14458=""),"",SUMIFS('Barang Keluar'!$E:$E,'Barang Keluar'!$A:$A,M14458,'Barang Keluar'!$C:$C,N14458))</f>
        <v>0</v>
      </c>
    </row>
    <row r="14459" spans="13:16">
      <c r="M14459" s="49">
        <f>IF($A$4+144&gt;$B$4,"",$A$4+144)</f>
        <v>46167</v>
      </c>
      <c r="N14459">
        <f>IF(M14459="","",'Master Barang'!A53)</f>
        <v>0</v>
      </c>
      <c r="O14459">
        <f>IF(N14459="","",'Master Barang'!B53)</f>
        <v>0</v>
      </c>
      <c r="P14459">
        <f>IF(OR(M14459="",N14459=""),"",SUMIFS('Barang Keluar'!$E:$E,'Barang Keluar'!$A:$A,M14459,'Barang Keluar'!$C:$C,N14459))</f>
        <v>0</v>
      </c>
    </row>
    <row r="14460" spans="13:16">
      <c r="M14460" s="49">
        <f>IF($A$4+144&gt;$B$4,"",$A$4+144)</f>
        <v>46167</v>
      </c>
      <c r="N14460">
        <f>IF(M14460="","",'Master Barang'!A54)</f>
        <v>0</v>
      </c>
      <c r="O14460">
        <f>IF(N14460="","",'Master Barang'!B54)</f>
        <v>0</v>
      </c>
      <c r="P14460">
        <f>IF(OR(M14460="",N14460=""),"",SUMIFS('Barang Keluar'!$E:$E,'Barang Keluar'!$A:$A,M14460,'Barang Keluar'!$C:$C,N14460))</f>
        <v>0</v>
      </c>
    </row>
    <row r="14461" spans="13:16">
      <c r="M14461" s="49">
        <f>IF($A$4+144&gt;$B$4,"",$A$4+144)</f>
        <v>46167</v>
      </c>
      <c r="N14461">
        <f>IF(M14461="","",'Master Barang'!A55)</f>
        <v>0</v>
      </c>
      <c r="O14461">
        <f>IF(N14461="","",'Master Barang'!B55)</f>
        <v>0</v>
      </c>
      <c r="P14461">
        <f>IF(OR(M14461="",N14461=""),"",SUMIFS('Barang Keluar'!$E:$E,'Barang Keluar'!$A:$A,M14461,'Barang Keluar'!$C:$C,N14461))</f>
        <v>0</v>
      </c>
    </row>
    <row r="14462" spans="13:16">
      <c r="M14462" s="49">
        <f>IF($A$4+144&gt;$B$4,"",$A$4+144)</f>
        <v>46167</v>
      </c>
      <c r="N14462">
        <f>IF(M14462="","",'Master Barang'!A56)</f>
        <v>0</v>
      </c>
      <c r="O14462">
        <f>IF(N14462="","",'Master Barang'!B56)</f>
        <v>0</v>
      </c>
      <c r="P14462">
        <f>IF(OR(M14462="",N14462=""),"",SUMIFS('Barang Keluar'!$E:$E,'Barang Keluar'!$A:$A,M14462,'Barang Keluar'!$C:$C,N14462))</f>
        <v>0</v>
      </c>
    </row>
    <row r="14463" spans="13:16">
      <c r="M14463" s="49">
        <f>IF($A$4+144&gt;$B$4,"",$A$4+144)</f>
        <v>46167</v>
      </c>
      <c r="N14463">
        <f>IF(M14463="","",'Master Barang'!A57)</f>
        <v>0</v>
      </c>
      <c r="O14463">
        <f>IF(N14463="","",'Master Barang'!B57)</f>
        <v>0</v>
      </c>
      <c r="P14463">
        <f>IF(OR(M14463="",N14463=""),"",SUMIFS('Barang Keluar'!$E:$E,'Barang Keluar'!$A:$A,M14463,'Barang Keluar'!$C:$C,N14463))</f>
        <v>0</v>
      </c>
    </row>
    <row r="14464" spans="13:16">
      <c r="M14464" s="49">
        <f>IF($A$4+144&gt;$B$4,"",$A$4+144)</f>
        <v>46167</v>
      </c>
      <c r="N14464">
        <f>IF(M14464="","",'Master Barang'!A58)</f>
        <v>0</v>
      </c>
      <c r="O14464">
        <f>IF(N14464="","",'Master Barang'!B58)</f>
        <v>0</v>
      </c>
      <c r="P14464">
        <f>IF(OR(M14464="",N14464=""),"",SUMIFS('Barang Keluar'!$E:$E,'Barang Keluar'!$A:$A,M14464,'Barang Keluar'!$C:$C,N14464))</f>
        <v>0</v>
      </c>
    </row>
    <row r="14465" spans="13:16">
      <c r="M14465" s="49">
        <f>IF($A$4+144&gt;$B$4,"",$A$4+144)</f>
        <v>46167</v>
      </c>
      <c r="N14465">
        <f>IF(M14465="","",'Master Barang'!A59)</f>
        <v>0</v>
      </c>
      <c r="O14465">
        <f>IF(N14465="","",'Master Barang'!B59)</f>
        <v>0</v>
      </c>
      <c r="P14465">
        <f>IF(OR(M14465="",N14465=""),"",SUMIFS('Barang Keluar'!$E:$E,'Barang Keluar'!$A:$A,M14465,'Barang Keluar'!$C:$C,N14465))</f>
        <v>0</v>
      </c>
    </row>
    <row r="14466" spans="13:16">
      <c r="M14466" s="49">
        <f>IF($A$4+144&gt;$B$4,"",$A$4+144)</f>
        <v>46167</v>
      </c>
      <c r="N14466">
        <f>IF(M14466="","",'Master Barang'!A60)</f>
        <v>0</v>
      </c>
      <c r="O14466">
        <f>IF(N14466="","",'Master Barang'!B60)</f>
        <v>0</v>
      </c>
      <c r="P14466">
        <f>IF(OR(M14466="",N14466=""),"",SUMIFS('Barang Keluar'!$E:$E,'Barang Keluar'!$A:$A,M14466,'Barang Keluar'!$C:$C,N14466))</f>
        <v>0</v>
      </c>
    </row>
    <row r="14467" spans="13:16">
      <c r="M14467" s="49">
        <f>IF($A$4+144&gt;$B$4,"",$A$4+144)</f>
        <v>46167</v>
      </c>
      <c r="N14467">
        <f>IF(M14467="","",'Master Barang'!A61)</f>
        <v>0</v>
      </c>
      <c r="O14467">
        <f>IF(N14467="","",'Master Barang'!B61)</f>
        <v>0</v>
      </c>
      <c r="P14467">
        <f>IF(OR(M14467="",N14467=""),"",SUMIFS('Barang Keluar'!$E:$E,'Barang Keluar'!$A:$A,M14467,'Barang Keluar'!$C:$C,N14467))</f>
        <v>0</v>
      </c>
    </row>
    <row r="14468" spans="13:16">
      <c r="M14468" s="49">
        <f>IF($A$4+144&gt;$B$4,"",$A$4+144)</f>
        <v>46167</v>
      </c>
      <c r="N14468">
        <f>IF(M14468="","",'Master Barang'!A62)</f>
        <v>0</v>
      </c>
      <c r="O14468">
        <f>IF(N14468="","",'Master Barang'!B62)</f>
        <v>0</v>
      </c>
      <c r="P14468">
        <f>IF(OR(M14468="",N14468=""),"",SUMIFS('Barang Keluar'!$E:$E,'Barang Keluar'!$A:$A,M14468,'Barang Keluar'!$C:$C,N14468))</f>
        <v>0</v>
      </c>
    </row>
    <row r="14469" spans="13:16">
      <c r="M14469" s="49">
        <f>IF($A$4+144&gt;$B$4,"",$A$4+144)</f>
        <v>46167</v>
      </c>
      <c r="N14469">
        <f>IF(M14469="","",'Master Barang'!A63)</f>
        <v>0</v>
      </c>
      <c r="O14469">
        <f>IF(N14469="","",'Master Barang'!B63)</f>
        <v>0</v>
      </c>
      <c r="P14469">
        <f>IF(OR(M14469="",N14469=""),"",SUMIFS('Barang Keluar'!$E:$E,'Barang Keluar'!$A:$A,M14469,'Barang Keluar'!$C:$C,N14469))</f>
        <v>0</v>
      </c>
    </row>
    <row r="14470" spans="13:16">
      <c r="M14470" s="49">
        <f>IF($A$4+144&gt;$B$4,"",$A$4+144)</f>
        <v>46167</v>
      </c>
      <c r="N14470">
        <f>IF(M14470="","",'Master Barang'!A64)</f>
        <v>0</v>
      </c>
      <c r="O14470">
        <f>IF(N14470="","",'Master Barang'!B64)</f>
        <v>0</v>
      </c>
      <c r="P14470">
        <f>IF(OR(M14470="",N14470=""),"",SUMIFS('Barang Keluar'!$E:$E,'Barang Keluar'!$A:$A,M14470,'Barang Keluar'!$C:$C,N14470))</f>
        <v>0</v>
      </c>
    </row>
    <row r="14471" spans="13:16">
      <c r="M14471" s="49">
        <f>IF($A$4+144&gt;$B$4,"",$A$4+144)</f>
        <v>46167</v>
      </c>
      <c r="N14471">
        <f>IF(M14471="","",'Master Barang'!A65)</f>
        <v>0</v>
      </c>
      <c r="O14471">
        <f>IF(N14471="","",'Master Barang'!B65)</f>
        <v>0</v>
      </c>
      <c r="P14471">
        <f>IF(OR(M14471="",N14471=""),"",SUMIFS('Barang Keluar'!$E:$E,'Barang Keluar'!$A:$A,M14471,'Barang Keluar'!$C:$C,N14471))</f>
        <v>0</v>
      </c>
    </row>
    <row r="14472" spans="13:16">
      <c r="M14472" s="49">
        <f>IF($A$4+144&gt;$B$4,"",$A$4+144)</f>
        <v>46167</v>
      </c>
      <c r="N14472">
        <f>IF(M14472="","",'Master Barang'!A66)</f>
        <v>0</v>
      </c>
      <c r="O14472">
        <f>IF(N14472="","",'Master Barang'!B66)</f>
        <v>0</v>
      </c>
      <c r="P14472">
        <f>IF(OR(M14472="",N14472=""),"",SUMIFS('Barang Keluar'!$E:$E,'Barang Keluar'!$A:$A,M14472,'Barang Keluar'!$C:$C,N14472))</f>
        <v>0</v>
      </c>
    </row>
    <row r="14473" spans="13:16">
      <c r="M14473" s="49">
        <f>IF($A$4+144&gt;$B$4,"",$A$4+144)</f>
        <v>46167</v>
      </c>
      <c r="N14473">
        <f>IF(M14473="","",'Master Barang'!A67)</f>
        <v>0</v>
      </c>
      <c r="O14473">
        <f>IF(N14473="","",'Master Barang'!B67)</f>
        <v>0</v>
      </c>
      <c r="P14473">
        <f>IF(OR(M14473="",N14473=""),"",SUMIFS('Barang Keluar'!$E:$E,'Barang Keluar'!$A:$A,M14473,'Barang Keluar'!$C:$C,N14473))</f>
        <v>0</v>
      </c>
    </row>
    <row r="14474" spans="13:16">
      <c r="M14474" s="49">
        <f>IF($A$4+144&gt;$B$4,"",$A$4+144)</f>
        <v>46167</v>
      </c>
      <c r="N14474">
        <f>IF(M14474="","",'Master Barang'!A68)</f>
        <v>0</v>
      </c>
      <c r="O14474">
        <f>IF(N14474="","",'Master Barang'!B68)</f>
        <v>0</v>
      </c>
      <c r="P14474">
        <f>IF(OR(M14474="",N14474=""),"",SUMIFS('Barang Keluar'!$E:$E,'Barang Keluar'!$A:$A,M14474,'Barang Keluar'!$C:$C,N14474))</f>
        <v>0</v>
      </c>
    </row>
    <row r="14475" spans="13:16">
      <c r="M14475" s="49">
        <f>IF($A$4+144&gt;$B$4,"",$A$4+144)</f>
        <v>46167</v>
      </c>
      <c r="N14475">
        <f>IF(M14475="","",'Master Barang'!A69)</f>
        <v>0</v>
      </c>
      <c r="O14475">
        <f>IF(N14475="","",'Master Barang'!B69)</f>
        <v>0</v>
      </c>
      <c r="P14475">
        <f>IF(OR(M14475="",N14475=""),"",SUMIFS('Barang Keluar'!$E:$E,'Barang Keluar'!$A:$A,M14475,'Barang Keluar'!$C:$C,N14475))</f>
        <v>0</v>
      </c>
    </row>
    <row r="14476" spans="13:16">
      <c r="M14476" s="49">
        <f>IF($A$4+144&gt;$B$4,"",$A$4+144)</f>
        <v>46167</v>
      </c>
      <c r="N14476">
        <f>IF(M14476="","",'Master Barang'!A70)</f>
        <v>0</v>
      </c>
      <c r="O14476">
        <f>IF(N14476="","",'Master Barang'!B70)</f>
        <v>0</v>
      </c>
      <c r="P14476">
        <f>IF(OR(M14476="",N14476=""),"",SUMIFS('Barang Keluar'!$E:$E,'Barang Keluar'!$A:$A,M14476,'Barang Keluar'!$C:$C,N14476))</f>
        <v>0</v>
      </c>
    </row>
    <row r="14477" spans="13:16">
      <c r="M14477" s="49">
        <f>IF($A$4+144&gt;$B$4,"",$A$4+144)</f>
        <v>46167</v>
      </c>
      <c r="N14477">
        <f>IF(M14477="","",'Master Barang'!A71)</f>
        <v>0</v>
      </c>
      <c r="O14477">
        <f>IF(N14477="","",'Master Barang'!B71)</f>
        <v>0</v>
      </c>
      <c r="P14477">
        <f>IF(OR(M14477="",N14477=""),"",SUMIFS('Barang Keluar'!$E:$E,'Barang Keluar'!$A:$A,M14477,'Barang Keluar'!$C:$C,N14477))</f>
        <v>0</v>
      </c>
    </row>
    <row r="14478" spans="13:16">
      <c r="M14478" s="49">
        <f>IF($A$4+144&gt;$B$4,"",$A$4+144)</f>
        <v>46167</v>
      </c>
      <c r="N14478">
        <f>IF(M14478="","",'Master Barang'!A72)</f>
        <v>0</v>
      </c>
      <c r="O14478">
        <f>IF(N14478="","",'Master Barang'!B72)</f>
        <v>0</v>
      </c>
      <c r="P14478">
        <f>IF(OR(M14478="",N14478=""),"",SUMIFS('Barang Keluar'!$E:$E,'Barang Keluar'!$A:$A,M14478,'Barang Keluar'!$C:$C,N14478))</f>
        <v>0</v>
      </c>
    </row>
    <row r="14479" spans="13:16">
      <c r="M14479" s="49">
        <f>IF($A$4+144&gt;$B$4,"",$A$4+144)</f>
        <v>46167</v>
      </c>
      <c r="N14479">
        <f>IF(M14479="","",'Master Barang'!A73)</f>
        <v>0</v>
      </c>
      <c r="O14479">
        <f>IF(N14479="","",'Master Barang'!B73)</f>
        <v>0</v>
      </c>
      <c r="P14479">
        <f>IF(OR(M14479="",N14479=""),"",SUMIFS('Barang Keluar'!$E:$E,'Barang Keluar'!$A:$A,M14479,'Barang Keluar'!$C:$C,N14479))</f>
        <v>0</v>
      </c>
    </row>
    <row r="14480" spans="13:16">
      <c r="M14480" s="49">
        <f>IF($A$4+144&gt;$B$4,"",$A$4+144)</f>
        <v>46167</v>
      </c>
      <c r="N14480">
        <f>IF(M14480="","",'Master Barang'!A74)</f>
        <v>0</v>
      </c>
      <c r="O14480">
        <f>IF(N14480="","",'Master Barang'!B74)</f>
        <v>0</v>
      </c>
      <c r="P14480">
        <f>IF(OR(M14480="",N14480=""),"",SUMIFS('Barang Keluar'!$E:$E,'Barang Keluar'!$A:$A,M14480,'Barang Keluar'!$C:$C,N14480))</f>
        <v>0</v>
      </c>
    </row>
    <row r="14481" spans="13:16">
      <c r="M14481" s="49">
        <f>IF($A$4+144&gt;$B$4,"",$A$4+144)</f>
        <v>46167</v>
      </c>
      <c r="N14481">
        <f>IF(M14481="","",'Master Barang'!A75)</f>
        <v>0</v>
      </c>
      <c r="O14481">
        <f>IF(N14481="","",'Master Barang'!B75)</f>
        <v>0</v>
      </c>
      <c r="P14481">
        <f>IF(OR(M14481="",N14481=""),"",SUMIFS('Barang Keluar'!$E:$E,'Barang Keluar'!$A:$A,M14481,'Barang Keluar'!$C:$C,N14481))</f>
        <v>0</v>
      </c>
    </row>
    <row r="14482" spans="13:16">
      <c r="M14482" s="49">
        <f>IF($A$4+144&gt;$B$4,"",$A$4+144)</f>
        <v>46167</v>
      </c>
      <c r="N14482">
        <f>IF(M14482="","",'Master Barang'!A76)</f>
        <v>0</v>
      </c>
      <c r="O14482">
        <f>IF(N14482="","",'Master Barang'!B76)</f>
        <v>0</v>
      </c>
      <c r="P14482">
        <f>IF(OR(M14482="",N14482=""),"",SUMIFS('Barang Keluar'!$E:$E,'Barang Keluar'!$A:$A,M14482,'Barang Keluar'!$C:$C,N14482))</f>
        <v>0</v>
      </c>
    </row>
    <row r="14483" spans="13:16">
      <c r="M14483" s="49">
        <f>IF($A$4+144&gt;$B$4,"",$A$4+144)</f>
        <v>46167</v>
      </c>
      <c r="N14483">
        <f>IF(M14483="","",'Master Barang'!A77)</f>
        <v>0</v>
      </c>
      <c r="O14483">
        <f>IF(N14483="","",'Master Barang'!B77)</f>
        <v>0</v>
      </c>
      <c r="P14483">
        <f>IF(OR(M14483="",N14483=""),"",SUMIFS('Barang Keluar'!$E:$E,'Barang Keluar'!$A:$A,M14483,'Barang Keluar'!$C:$C,N14483))</f>
        <v>0</v>
      </c>
    </row>
    <row r="14484" spans="13:16">
      <c r="M14484" s="49">
        <f>IF($A$4+144&gt;$B$4,"",$A$4+144)</f>
        <v>46167</v>
      </c>
      <c r="N14484">
        <f>IF(M14484="","",'Master Barang'!A78)</f>
        <v>0</v>
      </c>
      <c r="O14484">
        <f>IF(N14484="","",'Master Barang'!B78)</f>
        <v>0</v>
      </c>
      <c r="P14484">
        <f>IF(OR(M14484="",N14484=""),"",SUMIFS('Barang Keluar'!$E:$E,'Barang Keluar'!$A:$A,M14484,'Barang Keluar'!$C:$C,N14484))</f>
        <v>0</v>
      </c>
    </row>
    <row r="14485" spans="13:16">
      <c r="M14485" s="49">
        <f>IF($A$4+144&gt;$B$4,"",$A$4+144)</f>
        <v>46167</v>
      </c>
      <c r="N14485">
        <f>IF(M14485="","",'Master Barang'!A79)</f>
        <v>0</v>
      </c>
      <c r="O14485">
        <f>IF(N14485="","",'Master Barang'!B79)</f>
        <v>0</v>
      </c>
      <c r="P14485">
        <f>IF(OR(M14485="",N14485=""),"",SUMIFS('Barang Keluar'!$E:$E,'Barang Keluar'!$A:$A,M14485,'Barang Keluar'!$C:$C,N14485))</f>
        <v>0</v>
      </c>
    </row>
    <row r="14486" spans="13:16">
      <c r="M14486" s="49">
        <f>IF($A$4+144&gt;$B$4,"",$A$4+144)</f>
        <v>46167</v>
      </c>
      <c r="N14486">
        <f>IF(M14486="","",'Master Barang'!A80)</f>
        <v>0</v>
      </c>
      <c r="O14486">
        <f>IF(N14486="","",'Master Barang'!B80)</f>
        <v>0</v>
      </c>
      <c r="P14486">
        <f>IF(OR(M14486="",N14486=""),"",SUMIFS('Barang Keluar'!$E:$E,'Barang Keluar'!$A:$A,M14486,'Barang Keluar'!$C:$C,N14486))</f>
        <v>0</v>
      </c>
    </row>
    <row r="14487" spans="13:16">
      <c r="M14487" s="49">
        <f>IF($A$4+144&gt;$B$4,"",$A$4+144)</f>
        <v>46167</v>
      </c>
      <c r="N14487">
        <f>IF(M14487="","",'Master Barang'!A81)</f>
        <v>0</v>
      </c>
      <c r="O14487">
        <f>IF(N14487="","",'Master Barang'!B81)</f>
        <v>0</v>
      </c>
      <c r="P14487">
        <f>IF(OR(M14487="",N14487=""),"",SUMIFS('Barang Keluar'!$E:$E,'Barang Keluar'!$A:$A,M14487,'Barang Keluar'!$C:$C,N14487))</f>
        <v>0</v>
      </c>
    </row>
    <row r="14488" spans="13:16">
      <c r="M14488" s="49">
        <f>IF($A$4+144&gt;$B$4,"",$A$4+144)</f>
        <v>46167</v>
      </c>
      <c r="N14488">
        <f>IF(M14488="","",'Master Barang'!A82)</f>
        <v>0</v>
      </c>
      <c r="O14488">
        <f>IF(N14488="","",'Master Barang'!B82)</f>
        <v>0</v>
      </c>
      <c r="P14488">
        <f>IF(OR(M14488="",N14488=""),"",SUMIFS('Barang Keluar'!$E:$E,'Barang Keluar'!$A:$A,M14488,'Barang Keluar'!$C:$C,N14488))</f>
        <v>0</v>
      </c>
    </row>
    <row r="14489" spans="13:16">
      <c r="M14489" s="49">
        <f>IF($A$4+144&gt;$B$4,"",$A$4+144)</f>
        <v>46167</v>
      </c>
      <c r="N14489">
        <f>IF(M14489="","",'Master Barang'!A83)</f>
        <v>0</v>
      </c>
      <c r="O14489">
        <f>IF(N14489="","",'Master Barang'!B83)</f>
        <v>0</v>
      </c>
      <c r="P14489">
        <f>IF(OR(M14489="",N14489=""),"",SUMIFS('Barang Keluar'!$E:$E,'Barang Keluar'!$A:$A,M14489,'Barang Keluar'!$C:$C,N14489))</f>
        <v>0</v>
      </c>
    </row>
    <row r="14490" spans="13:16">
      <c r="M14490" s="49">
        <f>IF($A$4+144&gt;$B$4,"",$A$4+144)</f>
        <v>46167</v>
      </c>
      <c r="N14490">
        <f>IF(M14490="","",'Master Barang'!A84)</f>
        <v>0</v>
      </c>
      <c r="O14490">
        <f>IF(N14490="","",'Master Barang'!B84)</f>
        <v>0</v>
      </c>
      <c r="P14490">
        <f>IF(OR(M14490="",N14490=""),"",SUMIFS('Barang Keluar'!$E:$E,'Barang Keluar'!$A:$A,M14490,'Barang Keluar'!$C:$C,N14490))</f>
        <v>0</v>
      </c>
    </row>
    <row r="14491" spans="13:16">
      <c r="M14491" s="49">
        <f>IF($A$4+144&gt;$B$4,"",$A$4+144)</f>
        <v>46167</v>
      </c>
      <c r="N14491">
        <f>IF(M14491="","",'Master Barang'!A85)</f>
        <v>0</v>
      </c>
      <c r="O14491">
        <f>IF(N14491="","",'Master Barang'!B85)</f>
        <v>0</v>
      </c>
      <c r="P14491">
        <f>IF(OR(M14491="",N14491=""),"",SUMIFS('Barang Keluar'!$E:$E,'Barang Keluar'!$A:$A,M14491,'Barang Keluar'!$C:$C,N14491))</f>
        <v>0</v>
      </c>
    </row>
    <row r="14492" spans="13:16">
      <c r="M14492" s="49">
        <f>IF($A$4+144&gt;$B$4,"",$A$4+144)</f>
        <v>46167</v>
      </c>
      <c r="N14492">
        <f>IF(M14492="","",'Master Barang'!A86)</f>
        <v>0</v>
      </c>
      <c r="O14492">
        <f>IF(N14492="","",'Master Barang'!B86)</f>
        <v>0</v>
      </c>
      <c r="P14492">
        <f>IF(OR(M14492="",N14492=""),"",SUMIFS('Barang Keluar'!$E:$E,'Barang Keluar'!$A:$A,M14492,'Barang Keluar'!$C:$C,N14492))</f>
        <v>0</v>
      </c>
    </row>
    <row r="14493" spans="13:16">
      <c r="M14493" s="49">
        <f>IF($A$4+144&gt;$B$4,"",$A$4+144)</f>
        <v>46167</v>
      </c>
      <c r="N14493">
        <f>IF(M14493="","",'Master Barang'!A87)</f>
        <v>0</v>
      </c>
      <c r="O14493">
        <f>IF(N14493="","",'Master Barang'!B87)</f>
        <v>0</v>
      </c>
      <c r="P14493">
        <f>IF(OR(M14493="",N14493=""),"",SUMIFS('Barang Keluar'!$E:$E,'Barang Keluar'!$A:$A,M14493,'Barang Keluar'!$C:$C,N14493))</f>
        <v>0</v>
      </c>
    </row>
    <row r="14494" spans="13:16">
      <c r="M14494" s="49">
        <f>IF($A$4+144&gt;$B$4,"",$A$4+144)</f>
        <v>46167</v>
      </c>
      <c r="N14494">
        <f>IF(M14494="","",'Master Barang'!A88)</f>
        <v>0</v>
      </c>
      <c r="O14494">
        <f>IF(N14494="","",'Master Barang'!B88)</f>
        <v>0</v>
      </c>
      <c r="P14494">
        <f>IF(OR(M14494="",N14494=""),"",SUMIFS('Barang Keluar'!$E:$E,'Barang Keluar'!$A:$A,M14494,'Barang Keluar'!$C:$C,N14494))</f>
        <v>0</v>
      </c>
    </row>
    <row r="14495" spans="13:16">
      <c r="M14495" s="49">
        <f>IF($A$4+144&gt;$B$4,"",$A$4+144)</f>
        <v>46167</v>
      </c>
      <c r="N14495">
        <f>IF(M14495="","",'Master Barang'!A89)</f>
        <v>0</v>
      </c>
      <c r="O14495">
        <f>IF(N14495="","",'Master Barang'!B89)</f>
        <v>0</v>
      </c>
      <c r="P14495">
        <f>IF(OR(M14495="",N14495=""),"",SUMIFS('Barang Keluar'!$E:$E,'Barang Keluar'!$A:$A,M14495,'Barang Keluar'!$C:$C,N14495))</f>
        <v>0</v>
      </c>
    </row>
    <row r="14496" spans="13:16">
      <c r="M14496" s="49">
        <f>IF($A$4+144&gt;$B$4,"",$A$4+144)</f>
        <v>46167</v>
      </c>
      <c r="N14496">
        <f>IF(M14496="","",'Master Barang'!A90)</f>
        <v>0</v>
      </c>
      <c r="O14496">
        <f>IF(N14496="","",'Master Barang'!B90)</f>
        <v>0</v>
      </c>
      <c r="P14496">
        <f>IF(OR(M14496="",N14496=""),"",SUMIFS('Barang Keluar'!$E:$E,'Barang Keluar'!$A:$A,M14496,'Barang Keluar'!$C:$C,N14496))</f>
        <v>0</v>
      </c>
    </row>
    <row r="14497" spans="13:16">
      <c r="M14497" s="49">
        <f>IF($A$4+144&gt;$B$4,"",$A$4+144)</f>
        <v>46167</v>
      </c>
      <c r="N14497">
        <f>IF(M14497="","",'Master Barang'!A91)</f>
        <v>0</v>
      </c>
      <c r="O14497">
        <f>IF(N14497="","",'Master Barang'!B91)</f>
        <v>0</v>
      </c>
      <c r="P14497">
        <f>IF(OR(M14497="",N14497=""),"",SUMIFS('Barang Keluar'!$E:$E,'Barang Keluar'!$A:$A,M14497,'Barang Keluar'!$C:$C,N14497))</f>
        <v>0</v>
      </c>
    </row>
    <row r="14498" spans="13:16">
      <c r="M14498" s="49">
        <f>IF($A$4+144&gt;$B$4,"",$A$4+144)</f>
        <v>46167</v>
      </c>
      <c r="N14498">
        <f>IF(M14498="","",'Master Barang'!A92)</f>
        <v>0</v>
      </c>
      <c r="O14498">
        <f>IF(N14498="","",'Master Barang'!B92)</f>
        <v>0</v>
      </c>
      <c r="P14498">
        <f>IF(OR(M14498="",N14498=""),"",SUMIFS('Barang Keluar'!$E:$E,'Barang Keluar'!$A:$A,M14498,'Barang Keluar'!$C:$C,N14498))</f>
        <v>0</v>
      </c>
    </row>
    <row r="14499" spans="13:16">
      <c r="M14499" s="49">
        <f>IF($A$4+144&gt;$B$4,"",$A$4+144)</f>
        <v>46167</v>
      </c>
      <c r="N14499">
        <f>IF(M14499="","",'Master Barang'!A93)</f>
        <v>0</v>
      </c>
      <c r="O14499">
        <f>IF(N14499="","",'Master Barang'!B93)</f>
        <v>0</v>
      </c>
      <c r="P14499">
        <f>IF(OR(M14499="",N14499=""),"",SUMIFS('Barang Keluar'!$E:$E,'Barang Keluar'!$A:$A,M14499,'Barang Keluar'!$C:$C,N14499))</f>
        <v>0</v>
      </c>
    </row>
    <row r="14500" spans="13:16">
      <c r="M14500" s="49">
        <f>IF($A$4+144&gt;$B$4,"",$A$4+144)</f>
        <v>46167</v>
      </c>
      <c r="N14500">
        <f>IF(M14500="","",'Master Barang'!A94)</f>
        <v>0</v>
      </c>
      <c r="O14500">
        <f>IF(N14500="","",'Master Barang'!B94)</f>
        <v>0</v>
      </c>
      <c r="P14500">
        <f>IF(OR(M14500="",N14500=""),"",SUMIFS('Barang Keluar'!$E:$E,'Barang Keluar'!$A:$A,M14500,'Barang Keluar'!$C:$C,N14500))</f>
        <v>0</v>
      </c>
    </row>
    <row r="14501" spans="13:16">
      <c r="M14501" s="49">
        <f>IF($A$4+144&gt;$B$4,"",$A$4+144)</f>
        <v>46167</v>
      </c>
      <c r="N14501">
        <f>IF(M14501="","",'Master Barang'!A95)</f>
        <v>0</v>
      </c>
      <c r="O14501">
        <f>IF(N14501="","",'Master Barang'!B95)</f>
        <v>0</v>
      </c>
      <c r="P14501">
        <f>IF(OR(M14501="",N14501=""),"",SUMIFS('Barang Keluar'!$E:$E,'Barang Keluar'!$A:$A,M14501,'Barang Keluar'!$C:$C,N14501))</f>
        <v>0</v>
      </c>
    </row>
    <row r="14502" spans="13:16">
      <c r="M14502" s="49">
        <f>IF($A$4+144&gt;$B$4,"",$A$4+144)</f>
        <v>46167</v>
      </c>
      <c r="N14502">
        <f>IF(M14502="","",'Master Barang'!A96)</f>
        <v>0</v>
      </c>
      <c r="O14502">
        <f>IF(N14502="","",'Master Barang'!B96)</f>
        <v>0</v>
      </c>
      <c r="P14502">
        <f>IF(OR(M14502="",N14502=""),"",SUMIFS('Barang Keluar'!$E:$E,'Barang Keluar'!$A:$A,M14502,'Barang Keluar'!$C:$C,N14502))</f>
        <v>0</v>
      </c>
    </row>
    <row r="14503" spans="13:16">
      <c r="M14503" s="49">
        <f>IF($A$4+144&gt;$B$4,"",$A$4+144)</f>
        <v>46167</v>
      </c>
      <c r="N14503">
        <f>IF(M14503="","",'Master Barang'!A97)</f>
        <v>0</v>
      </c>
      <c r="O14503">
        <f>IF(N14503="","",'Master Barang'!B97)</f>
        <v>0</v>
      </c>
      <c r="P14503">
        <f>IF(OR(M14503="",N14503=""),"",SUMIFS('Barang Keluar'!$E:$E,'Barang Keluar'!$A:$A,M14503,'Barang Keluar'!$C:$C,N14503))</f>
        <v>0</v>
      </c>
    </row>
    <row r="14504" spans="13:16">
      <c r="M14504" s="49">
        <f>IF($A$4+144&gt;$B$4,"",$A$4+144)</f>
        <v>46167</v>
      </c>
      <c r="N14504">
        <f>IF(M14504="","",'Master Barang'!A98)</f>
        <v>0</v>
      </c>
      <c r="O14504">
        <f>IF(N14504="","",'Master Barang'!B98)</f>
        <v>0</v>
      </c>
      <c r="P14504">
        <f>IF(OR(M14504="",N14504=""),"",SUMIFS('Barang Keluar'!$E:$E,'Barang Keluar'!$A:$A,M14504,'Barang Keluar'!$C:$C,N14504))</f>
        <v>0</v>
      </c>
    </row>
    <row r="14505" spans="13:16">
      <c r="M14505" s="49">
        <f>IF($A$4+144&gt;$B$4,"",$A$4+144)</f>
        <v>46167</v>
      </c>
      <c r="N14505">
        <f>IF(M14505="","",'Master Barang'!A99)</f>
        <v>0</v>
      </c>
      <c r="O14505">
        <f>IF(N14505="","",'Master Barang'!B99)</f>
        <v>0</v>
      </c>
      <c r="P14505">
        <f>IF(OR(M14505="",N14505=""),"",SUMIFS('Barang Keluar'!$E:$E,'Barang Keluar'!$A:$A,M14505,'Barang Keluar'!$C:$C,N14505))</f>
        <v>0</v>
      </c>
    </row>
    <row r="14506" spans="13:16">
      <c r="M14506" s="49">
        <f>IF($A$4+144&gt;$B$4,"",$A$4+144)</f>
        <v>46167</v>
      </c>
      <c r="N14506">
        <f>IF(M14506="","",'Master Barang'!A100)</f>
        <v>0</v>
      </c>
      <c r="O14506">
        <f>IF(N14506="","",'Master Barang'!B100)</f>
        <v>0</v>
      </c>
      <c r="P14506">
        <f>IF(OR(M14506="",N14506=""),"",SUMIFS('Barang Keluar'!$E:$E,'Barang Keluar'!$A:$A,M14506,'Barang Keluar'!$C:$C,N14506))</f>
        <v>0</v>
      </c>
    </row>
    <row r="14507" spans="13:16">
      <c r="M14507" s="49">
        <f>IF($A$4+144&gt;$B$4,"",$A$4+144)</f>
        <v>46167</v>
      </c>
      <c r="N14507">
        <f>IF(M14507="","",'Master Barang'!A101)</f>
        <v>0</v>
      </c>
      <c r="O14507">
        <f>IF(N14507="","",'Master Barang'!B101)</f>
        <v>0</v>
      </c>
      <c r="P14507">
        <f>IF(OR(M14507="",N14507=""),"",SUMIFS('Barang Keluar'!$E:$E,'Barang Keluar'!$A:$A,M14507,'Barang Keluar'!$C:$C,N14507))</f>
        <v>0</v>
      </c>
    </row>
    <row r="14508" spans="13:16">
      <c r="M14508" s="49">
        <f>IF($A$4+145&gt;$B$4,"",$A$4+145)</f>
        <v>46168</v>
      </c>
      <c r="N14508" t="str">
        <f>IF(M14508="","",'Master Barang'!A2)</f>
        <v>PRL-001</v>
      </c>
      <c r="O14508" t="str">
        <f>IF(N14508="","",'Master Barang'!B2)</f>
        <v>natura desinfectant food grade 5l</v>
      </c>
      <c r="P14508">
        <f>IF(OR(M14508="",N14508=""),"",SUMIFS('Barang Keluar'!$E:$E,'Barang Keluar'!$A:$A,M14508,'Barang Keluar'!$C:$C,N14508))</f>
        <v>0</v>
      </c>
    </row>
    <row r="14509" spans="13:16">
      <c r="M14509" s="49">
        <f>IF($A$4+145&gt;$B$4,"",$A$4+145)</f>
        <v>46168</v>
      </c>
      <c r="N14509" t="str">
        <f>IF(M14509="","",'Master Barang'!A3)</f>
        <v>PRL-002</v>
      </c>
      <c r="O14509" t="str">
        <f>IF(N14509="","",'Master Barang'!B3)</f>
        <v>sunlight cairan pencuci piring 5l</v>
      </c>
      <c r="P14509">
        <f>IF(OR(M14509="",N14509=""),"",SUMIFS('Barang Keluar'!$E:$E,'Barang Keluar'!$A:$A,M14509,'Barang Keluar'!$C:$C,N14509))</f>
        <v>0</v>
      </c>
    </row>
    <row r="14510" spans="13:16">
      <c r="M14510" s="49">
        <f>IF($A$4+145&gt;$B$4,"",$A$4+145)</f>
        <v>46168</v>
      </c>
      <c r="N14510" t="str">
        <f>IF(M14510="","",'Master Barang'!A4)</f>
        <v>PRL-003</v>
      </c>
      <c r="O14510" t="str">
        <f>IF(N14510="","",'Master Barang'!B4)</f>
        <v>oixs cleaner 1l</v>
      </c>
      <c r="P14510">
        <f>IF(OR(M14510="",N14510=""),"",SUMIFS('Barang Keluar'!$E:$E,'Barang Keluar'!$A:$A,M14510,'Barang Keluar'!$C:$C,N14510))</f>
        <v>0</v>
      </c>
    </row>
    <row r="14511" spans="13:16">
      <c r="M14511" s="49">
        <f>IF($A$4+145&gt;$B$4,"",$A$4+145)</f>
        <v>46168</v>
      </c>
      <c r="N14511" t="str">
        <f>IF(M14511="","",'Master Barang'!A5)</f>
        <v>PRL-004</v>
      </c>
      <c r="O14511" t="str">
        <f>IF(N14511="","",'Master Barang'!B5)</f>
        <v>be clean tissue serbaguna</v>
      </c>
      <c r="P14511">
        <f>IF(OR(M14511="",N14511=""),"",SUMIFS('Barang Keluar'!$E:$E,'Barang Keluar'!$A:$A,M14511,'Barang Keluar'!$C:$C,N14511))</f>
        <v>0</v>
      </c>
    </row>
    <row r="14512" spans="13:16">
      <c r="M14512" s="49">
        <f>IF($A$4+145&gt;$B$4,"",$A$4+145)</f>
        <v>46168</v>
      </c>
      <c r="N14512" t="str">
        <f>IF(M14512="","",'Master Barang'!A6)</f>
        <v>PRL-005</v>
      </c>
      <c r="O14512" t="str">
        <f>IF(N14512="","",'Master Barang'!B6)</f>
        <v>spons cuci hijau</v>
      </c>
      <c r="P14512">
        <f>IF(OR(M14512="",N14512=""),"",SUMIFS('Barang Keluar'!$E:$E,'Barang Keluar'!$A:$A,M14512,'Barang Keluar'!$C:$C,N14512))</f>
        <v>0</v>
      </c>
    </row>
    <row r="14513" spans="13:16">
      <c r="M14513" s="49">
        <f>IF($A$4+145&gt;$B$4,"",$A$4+145)</f>
        <v>46168</v>
      </c>
      <c r="N14513" t="str">
        <f>IF(M14513="","",'Master Barang'!A7)</f>
        <v>PRL-006</v>
      </c>
      <c r="O14513" t="str">
        <f>IF(N14513="","",'Master Barang'!B7)</f>
        <v>sabut cuci stainless</v>
      </c>
      <c r="P14513">
        <f>IF(OR(M14513="",N14513=""),"",SUMIFS('Barang Keluar'!$E:$E,'Barang Keluar'!$A:$A,M14513,'Barang Keluar'!$C:$C,N14513))</f>
        <v>0</v>
      </c>
    </row>
    <row r="14514" spans="13:16">
      <c r="M14514" s="49">
        <f>IF($A$4+145&gt;$B$4,"",$A$4+145)</f>
        <v>46168</v>
      </c>
      <c r="N14514" t="str">
        <f>IF(M14514="","",'Master Barang'!A8)</f>
        <v>PRL-007</v>
      </c>
      <c r="O14514" t="str">
        <f>IF(N14514="","",'Master Barang'!B8)</f>
        <v>plastik kresek besar merah 50pc</v>
      </c>
      <c r="P14514">
        <f>IF(OR(M14514="",N14514=""),"",SUMIFS('Barang Keluar'!$E:$E,'Barang Keluar'!$A:$A,M14514,'Barang Keluar'!$C:$C,N14514))</f>
        <v>0</v>
      </c>
    </row>
    <row r="14515" spans="13:16">
      <c r="M14515" s="49">
        <f>IF($A$4+145&gt;$B$4,"",$A$4+145)</f>
        <v>46168</v>
      </c>
      <c r="N14515" t="str">
        <f>IF(M14515="","",'Master Barang'!A9)</f>
        <v>PRL-008</v>
      </c>
      <c r="O14515" t="str">
        <f>IF(N14515="","",'Master Barang'!B9)</f>
        <v>lap besar</v>
      </c>
      <c r="P14515">
        <f>IF(OR(M14515="",N14515=""),"",SUMIFS('Barang Keluar'!$E:$E,'Barang Keluar'!$A:$A,M14515,'Barang Keluar'!$C:$C,N14515))</f>
        <v>0</v>
      </c>
    </row>
    <row r="14516" spans="13:16">
      <c r="M14516" s="49">
        <f>IF($A$4+145&gt;$B$4,"",$A$4+145)</f>
        <v>46168</v>
      </c>
      <c r="N14516" t="str">
        <f>IF(M14516="","",'Master Barang'!A10)</f>
        <v>PRL-009</v>
      </c>
      <c r="O14516" t="str">
        <f>IF(N14516="","",'Master Barang'!B10)</f>
        <v>lap microfiber</v>
      </c>
      <c r="P14516">
        <f>IF(OR(M14516="",N14516=""),"",SUMIFS('Barang Keluar'!$E:$E,'Barang Keluar'!$A:$A,M14516,'Barang Keluar'!$C:$C,N14516))</f>
        <v>0</v>
      </c>
    </row>
    <row r="14517" spans="13:16">
      <c r="M14517" s="49">
        <f>IF($A$4+145&gt;$B$4,"",$A$4+145)</f>
        <v>46168</v>
      </c>
      <c r="N14517" t="str">
        <f>IF(M14517="","",'Master Barang'!A11)</f>
        <v>PRL-010</v>
      </c>
      <c r="O14517" t="str">
        <f>IF(N14517="","",'Master Barang'!B11)</f>
        <v>lap kecil</v>
      </c>
      <c r="P14517">
        <f>IF(OR(M14517="",N14517=""),"",SUMIFS('Barang Keluar'!$E:$E,'Barang Keluar'!$A:$A,M14517,'Barang Keluar'!$C:$C,N14517))</f>
        <v>0</v>
      </c>
    </row>
    <row r="14518" spans="13:16">
      <c r="M14518" s="49">
        <f>IF($A$4+145&gt;$B$4,"",$A$4+145)</f>
        <v>46168</v>
      </c>
      <c r="N14518" t="str">
        <f>IF(M14518="","",'Master Barang'!A12)</f>
        <v>PRL-011</v>
      </c>
      <c r="O14518" t="str">
        <f>IF(N14518="","",'Master Barang'!B12)</f>
        <v>kanebo kecil</v>
      </c>
      <c r="P14518">
        <f>IF(OR(M14518="",N14518=""),"",SUMIFS('Barang Keluar'!$E:$E,'Barang Keluar'!$A:$A,M14518,'Barang Keluar'!$C:$C,N14518))</f>
        <v>0</v>
      </c>
    </row>
    <row r="14519" spans="13:16">
      <c r="M14519" s="49">
        <f>IF($A$4+145&gt;$B$4,"",$A$4+145)</f>
        <v>46168</v>
      </c>
      <c r="N14519" t="str">
        <f>IF(M14519="","",'Master Barang'!A13)</f>
        <v>PRL-012</v>
      </c>
      <c r="O14519" t="str">
        <f>IF(N14519="","",'Master Barang'!B13)</f>
        <v>plastik 1/4kg joyoboyo 100 lembar</v>
      </c>
      <c r="P14519">
        <f>IF(OR(M14519="",N14519=""),"",SUMIFS('Barang Keluar'!$E:$E,'Barang Keluar'!$A:$A,M14519,'Barang Keluar'!$C:$C,N14519))</f>
        <v>0</v>
      </c>
    </row>
    <row r="14520" spans="13:16">
      <c r="M14520" s="49">
        <f>IF($A$4+145&gt;$B$4,"",$A$4+145)</f>
        <v>46168</v>
      </c>
      <c r="N14520" t="str">
        <f>IF(M14520="","",'Master Barang'!A14)</f>
        <v>PRL-013</v>
      </c>
      <c r="O14520" t="str">
        <f>IF(N14520="","",'Master Barang'!B14)</f>
        <v>sarung tangan plastik kaka 100 pcs</v>
      </c>
      <c r="P14520">
        <f>IF(OR(M14520="",N14520=""),"",SUMIFS('Barang Keluar'!$E:$E,'Barang Keluar'!$A:$A,M14520,'Barang Keluar'!$C:$C,N14520))</f>
        <v>0</v>
      </c>
    </row>
    <row r="14521" spans="13:16">
      <c r="M14521" s="49">
        <f>IF($A$4+145&gt;$B$4,"",$A$4+145)</f>
        <v>46168</v>
      </c>
      <c r="N14521" t="str">
        <f>IF(M14521="","",'Master Barang'!A15)</f>
        <v>PRL-014</v>
      </c>
      <c r="O14521" t="str">
        <f>IF(N14521="","",'Master Barang'!B15)</f>
        <v>optima trashbag 80x100</v>
      </c>
      <c r="P14521">
        <f>IF(OR(M14521="",N14521=""),"",SUMIFS('Barang Keluar'!$E:$E,'Barang Keluar'!$A:$A,M14521,'Barang Keluar'!$C:$C,N14521))</f>
        <v>0</v>
      </c>
    </row>
    <row r="14522" spans="13:16">
      <c r="M14522" s="49">
        <f>IF($A$4+145&gt;$B$4,"",$A$4+145)</f>
        <v>46168</v>
      </c>
      <c r="N14522" t="str">
        <f>IF(M14522="","",'Master Barang'!A16)</f>
        <v>PRL-015</v>
      </c>
      <c r="O14522" t="str">
        <f>IF(N14522="","",'Master Barang'!B16)</f>
        <v>optima trashbag 60x100</v>
      </c>
      <c r="P14522">
        <f>IF(OR(M14522="",N14522=""),"",SUMIFS('Barang Keluar'!$E:$E,'Barang Keluar'!$A:$A,M14522,'Barang Keluar'!$C:$C,N14522))</f>
        <v>0</v>
      </c>
    </row>
    <row r="14523" spans="13:16">
      <c r="M14523" s="49">
        <f>IF($A$4+145&gt;$B$4,"",$A$4+145)</f>
        <v>46168</v>
      </c>
      <c r="N14523" t="str">
        <f>IF(M14523="","",'Master Barang'!A17)</f>
        <v>PRL-016</v>
      </c>
      <c r="O14523" t="str">
        <f>IF(N14523="","",'Master Barang'!B17)</f>
        <v>rajawali trashbag 30x40</v>
      </c>
      <c r="P14523">
        <f>IF(OR(M14523="",N14523=""),"",SUMIFS('Barang Keluar'!$E:$E,'Barang Keluar'!$A:$A,M14523,'Barang Keluar'!$C:$C,N14523))</f>
        <v>0</v>
      </c>
    </row>
    <row r="14524" spans="13:16">
      <c r="M14524" s="49">
        <f>IF($A$4+145&gt;$B$4,"",$A$4+145)</f>
        <v>46168</v>
      </c>
      <c r="N14524" t="str">
        <f>IF(M14524="","",'Master Barang'!A18)</f>
        <v>PRL-017</v>
      </c>
      <c r="O14524" t="str">
        <f>IF(N14524="","",'Master Barang'!B18)</f>
        <v>onemed masker biru 3 play 50 pcs</v>
      </c>
      <c r="P14524">
        <f>IF(OR(M14524="",N14524=""),"",SUMIFS('Barang Keluar'!$E:$E,'Barang Keluar'!$A:$A,M14524,'Barang Keluar'!$C:$C,N14524))</f>
        <v>0</v>
      </c>
    </row>
    <row r="14525" spans="13:16">
      <c r="M14525" s="49">
        <f>IF($A$4+145&gt;$B$4,"",$A$4+145)</f>
        <v>46168</v>
      </c>
      <c r="N14525" t="str">
        <f>IF(M14525="","",'Master Barang'!A19)</f>
        <v>PRL-018</v>
      </c>
      <c r="O14525" t="str">
        <f>IF(N14525="","",'Master Barang'!B19)</f>
        <v>onemed masker biru 3 play hijab 50 pcs</v>
      </c>
      <c r="P14525">
        <f>IF(OR(M14525="",N14525=""),"",SUMIFS('Barang Keluar'!$E:$E,'Barang Keluar'!$A:$A,M14525,'Barang Keluar'!$C:$C,N14525))</f>
        <v>0</v>
      </c>
    </row>
    <row r="14526" spans="13:16">
      <c r="M14526" s="49">
        <f>IF($A$4+145&gt;$B$4,"",$A$4+145)</f>
        <v>46168</v>
      </c>
      <c r="N14526" t="str">
        <f>IF(M14526="","",'Master Barang'!A20)</f>
        <v>PRL-019</v>
      </c>
      <c r="O14526" t="str">
        <f>IF(N14526="","",'Master Barang'!B20)</f>
        <v>neo health masker biru 3 play 50 pcs</v>
      </c>
      <c r="P14526">
        <f>IF(OR(M14526="",N14526=""),"",SUMIFS('Barang Keluar'!$E:$E,'Barang Keluar'!$A:$A,M14526,'Barang Keluar'!$C:$C,N14526))</f>
        <v>0</v>
      </c>
    </row>
    <row r="14527" spans="13:16">
      <c r="M14527" s="49">
        <f>IF($A$4+145&gt;$B$4,"",$A$4+145)</f>
        <v>46168</v>
      </c>
      <c r="N14527" t="str">
        <f>IF(M14527="","",'Master Barang'!A21)</f>
        <v>PRL-020</v>
      </c>
      <c r="O14527" t="str">
        <f>IF(N14527="","",'Master Barang'!B21)</f>
        <v>baymed masker hijau 3 play hijau 50 pcs</v>
      </c>
      <c r="P14527">
        <f>IF(OR(M14527="",N14527=""),"",SUMIFS('Barang Keluar'!$E:$E,'Barang Keluar'!$A:$A,M14527,'Barang Keluar'!$C:$C,N14527))</f>
        <v>0</v>
      </c>
    </row>
    <row r="14528" spans="13:16">
      <c r="M14528" s="49">
        <f>IF($A$4+145&gt;$B$4,"",$A$4+145)</f>
        <v>46168</v>
      </c>
      <c r="N14528" t="str">
        <f>IF(M14528="","",'Master Barang'!A22)</f>
        <v>PRL-021</v>
      </c>
      <c r="O14528" t="str">
        <f>IF(N14528="","",'Master Barang'!B22)</f>
        <v>altamed nurse cap penutup kepala 100 pcs</v>
      </c>
      <c r="P14528">
        <f>IF(OR(M14528="",N14528=""),"",SUMIFS('Barang Keluar'!$E:$E,'Barang Keluar'!$A:$A,M14528,'Barang Keluar'!$C:$C,N14528))</f>
        <v>0</v>
      </c>
    </row>
    <row r="14529" spans="13:16">
      <c r="M14529" s="49">
        <f>IF($A$4+145&gt;$B$4,"",$A$4+145)</f>
        <v>46168</v>
      </c>
      <c r="N14529" t="str">
        <f>IF(M14529="","",'Master Barang'!A23)</f>
        <v>PRL-022</v>
      </c>
      <c r="O14529" t="str">
        <f>IF(N14529="","",'Master Barang'!B23)</f>
        <v>sabun cuci tangan</v>
      </c>
      <c r="P14529">
        <f>IF(OR(M14529="",N14529=""),"",SUMIFS('Barang Keluar'!$E:$E,'Barang Keluar'!$A:$A,M14529,'Barang Keluar'!$C:$C,N14529))</f>
        <v>0</v>
      </c>
    </row>
    <row r="14530" spans="13:16">
      <c r="M14530" s="49">
        <f>IF($A$4+145&gt;$B$4,"",$A$4+145)</f>
        <v>46168</v>
      </c>
      <c r="N14530" t="str">
        <f>IF(M14530="","",'Master Barang'!A24)</f>
        <v>PRL-023</v>
      </c>
      <c r="O14530" t="str">
        <f>IF(N14530="","",'Master Barang'!B24)</f>
        <v>gayung kecil</v>
      </c>
      <c r="P14530">
        <f>IF(OR(M14530="",N14530=""),"",SUMIFS('Barang Keluar'!$E:$E,'Barang Keluar'!$A:$A,M14530,'Barang Keluar'!$C:$C,N14530))</f>
        <v>0</v>
      </c>
    </row>
    <row r="14531" spans="13:16">
      <c r="M14531" s="49">
        <f>IF($A$4+145&gt;$B$4,"",$A$4+145)</f>
        <v>46168</v>
      </c>
      <c r="N14531" t="str">
        <f>IF(M14531="","",'Master Barang'!A25)</f>
        <v>PRL-024</v>
      </c>
      <c r="O14531" t="str">
        <f>IF(N14531="","",'Master Barang'!B25)</f>
        <v>cikrak kecil</v>
      </c>
      <c r="P14531">
        <f>IF(OR(M14531="",N14531=""),"",SUMIFS('Barang Keluar'!$E:$E,'Barang Keluar'!$A:$A,M14531,'Barang Keluar'!$C:$C,N14531))</f>
        <v>0</v>
      </c>
    </row>
    <row r="14532" spans="13:16">
      <c r="M14532" s="49">
        <f>IF($A$4+145&gt;$B$4,"",$A$4+145)</f>
        <v>46168</v>
      </c>
      <c r="N14532" t="str">
        <f>IF(M14532="","",'Master Barang'!A26)</f>
        <v>PRL-025</v>
      </c>
      <c r="O14532" t="str">
        <f>IF(N14532="","",'Master Barang'!B26)</f>
        <v>petromax plastik kecil 12x24 100 lembar</v>
      </c>
      <c r="P14532">
        <f>IF(OR(M14532="",N14532=""),"",SUMIFS('Barang Keluar'!$E:$E,'Barang Keluar'!$A:$A,M14532,'Barang Keluar'!$C:$C,N14532))</f>
        <v>0</v>
      </c>
    </row>
    <row r="14533" spans="13:16">
      <c r="M14533" s="49">
        <f>IF($A$4+145&gt;$B$4,"",$A$4+145)</f>
        <v>46168</v>
      </c>
      <c r="N14533" t="str">
        <f>IF(M14533="","",'Master Barang'!A27)</f>
        <v>PRL-026</v>
      </c>
      <c r="O14533" t="str">
        <f>IF(N14533="","",'Master Barang'!B27)</f>
        <v>lancar kresek kecil bening </v>
      </c>
      <c r="P14533">
        <f>IF(OR(M14533="",N14533=""),"",SUMIFS('Barang Keluar'!$E:$E,'Barang Keluar'!$A:$A,M14533,'Barang Keluar'!$C:$C,N14533))</f>
        <v>0</v>
      </c>
    </row>
    <row r="14534" spans="13:16">
      <c r="M14534" s="49">
        <f>IF($A$4+145&gt;$B$4,"",$A$4+145)</f>
        <v>46168</v>
      </c>
      <c r="N14534" t="str">
        <f>IF(M14534="","",'Master Barang'!A28)</f>
        <v>PRL-027</v>
      </c>
      <c r="O14534" t="str">
        <f>IF(N14534="","",'Master Barang'!B28)</f>
        <v>kresek klin warna warni kecil</v>
      </c>
      <c r="P14534">
        <f>IF(OR(M14534="",N14534=""),"",SUMIFS('Barang Keluar'!$E:$E,'Barang Keluar'!$A:$A,M14534,'Barang Keluar'!$C:$C,N14534))</f>
        <v>0</v>
      </c>
    </row>
    <row r="14535" spans="13:16">
      <c r="M14535" s="49">
        <f>IF($A$4+145&gt;$B$4,"",$A$4+145)</f>
        <v>46168</v>
      </c>
      <c r="N14535" t="str">
        <f>IF(M14535="","",'Master Barang'!A29)</f>
        <v>PRL-028</v>
      </c>
      <c r="O14535" t="str">
        <f>IF(N14535="","",'Master Barang'!B29)</f>
        <v>ctik plastik 7x10 100 pcs</v>
      </c>
      <c r="P14535">
        <f>IF(OR(M14535="",N14535=""),"",SUMIFS('Barang Keluar'!$E:$E,'Barang Keluar'!$A:$A,M14535,'Barang Keluar'!$C:$C,N14535))</f>
        <v>0</v>
      </c>
    </row>
    <row r="14536" spans="13:16">
      <c r="M14536" s="49">
        <f>IF($A$4+145&gt;$B$4,"",$A$4+145)</f>
        <v>46168</v>
      </c>
      <c r="N14536" t="str">
        <f>IF(M14536="","",'Master Barang'!A30)</f>
        <v>PRL-029</v>
      </c>
      <c r="O14536" t="str">
        <f>IF(N14536="","",'Master Barang'!B30)</f>
        <v>ctik plastik 6x10 100 pcs</v>
      </c>
      <c r="P14536">
        <f>IF(OR(M14536="",N14536=""),"",SUMIFS('Barang Keluar'!$E:$E,'Barang Keluar'!$A:$A,M14536,'Barang Keluar'!$C:$C,N14536))</f>
        <v>0</v>
      </c>
    </row>
    <row r="14537" spans="13:16">
      <c r="M14537" s="49">
        <f>IF($A$4+145&gt;$B$4,"",$A$4+145)</f>
        <v>46168</v>
      </c>
      <c r="N14537" t="str">
        <f>IF(M14537="","",'Master Barang'!A31)</f>
        <v>PRL-030</v>
      </c>
      <c r="O14537" t="str">
        <f>IF(N14537="","",'Master Barang'!B31)</f>
        <v>klip plastik 25x16 100 pcs</v>
      </c>
      <c r="P14537">
        <f>IF(OR(M14537="",N14537=""),"",SUMIFS('Barang Keluar'!$E:$E,'Barang Keluar'!$A:$A,M14537,'Barang Keluar'!$C:$C,N14537))</f>
        <v>0</v>
      </c>
    </row>
    <row r="14538" spans="13:16">
      <c r="M14538" s="49">
        <f>IF($A$4+145&gt;$B$4,"",$A$4+145)</f>
        <v>46168</v>
      </c>
      <c r="N14538" t="str">
        <f>IF(M14538="","",'Master Barang'!A32)</f>
        <v>PRL-031</v>
      </c>
      <c r="O14538" t="str">
        <f>IF(N14538="","",'Master Barang'!B32)</f>
        <v>tempat saus 20 ml</v>
      </c>
      <c r="P14538">
        <f>IF(OR(M14538="",N14538=""),"",SUMIFS('Barang Keluar'!$E:$E,'Barang Keluar'!$A:$A,M14538,'Barang Keluar'!$C:$C,N14538))</f>
        <v>0</v>
      </c>
    </row>
    <row r="14539" spans="13:16">
      <c r="M14539" s="49">
        <f>IF($A$4+145&gt;$B$4,"",$A$4+145)</f>
        <v>46168</v>
      </c>
      <c r="N14539" t="str">
        <f>IF(M14539="","",'Master Barang'!A33)</f>
        <v>PRL-032</v>
      </c>
      <c r="O14539" t="str">
        <f>IF(N14539="","",'Master Barang'!B33)</f>
        <v>plastik packaging ag box uk sedang</v>
      </c>
      <c r="P14539">
        <f>IF(OR(M14539="",N14539=""),"",SUMIFS('Barang Keluar'!$E:$E,'Barang Keluar'!$A:$A,M14539,'Barang Keluar'!$C:$C,N14539))</f>
        <v>0</v>
      </c>
    </row>
    <row r="14540" spans="13:16">
      <c r="M14540" s="49">
        <f>IF($A$4+145&gt;$B$4,"",$A$4+145)</f>
        <v>46168</v>
      </c>
      <c r="N14540" t="str">
        <f>IF(M14540="","",'Master Barang'!A34)</f>
        <v>PRL-033</v>
      </c>
      <c r="O14540">
        <f>IF(N14540="","",'Master Barang'!B34)</f>
        <v>0</v>
      </c>
      <c r="P14540">
        <f>IF(OR(M14540="",N14540=""),"",SUMIFS('Barang Keluar'!$E:$E,'Barang Keluar'!$A:$A,M14540,'Barang Keluar'!$C:$C,N14540))</f>
        <v>0</v>
      </c>
    </row>
    <row r="14541" spans="13:16">
      <c r="M14541" s="49">
        <f>IF($A$4+145&gt;$B$4,"",$A$4+145)</f>
        <v>46168</v>
      </c>
      <c r="N14541">
        <f>IF(M14541="","",'Master Barang'!A35)</f>
        <v>0</v>
      </c>
      <c r="O14541">
        <f>IF(N14541="","",'Master Barang'!B35)</f>
        <v>0</v>
      </c>
      <c r="P14541">
        <f>IF(OR(M14541="",N14541=""),"",SUMIFS('Barang Keluar'!$E:$E,'Barang Keluar'!$A:$A,M14541,'Barang Keluar'!$C:$C,N14541))</f>
        <v>0</v>
      </c>
    </row>
    <row r="14542" spans="13:16">
      <c r="M14542" s="49">
        <f>IF($A$4+145&gt;$B$4,"",$A$4+145)</f>
        <v>46168</v>
      </c>
      <c r="N14542">
        <f>IF(M14542="","",'Master Barang'!A36)</f>
        <v>0</v>
      </c>
      <c r="O14542">
        <f>IF(N14542="","",'Master Barang'!B36)</f>
        <v>0</v>
      </c>
      <c r="P14542">
        <f>IF(OR(M14542="",N14542=""),"",SUMIFS('Barang Keluar'!$E:$E,'Barang Keluar'!$A:$A,M14542,'Barang Keluar'!$C:$C,N14542))</f>
        <v>0</v>
      </c>
    </row>
    <row r="14543" spans="13:16">
      <c r="M14543" s="49">
        <f>IF($A$4+145&gt;$B$4,"",$A$4+145)</f>
        <v>46168</v>
      </c>
      <c r="N14543">
        <f>IF(M14543="","",'Master Barang'!A37)</f>
        <v>0</v>
      </c>
      <c r="O14543">
        <f>IF(N14543="","",'Master Barang'!B37)</f>
        <v>0</v>
      </c>
      <c r="P14543">
        <f>IF(OR(M14543="",N14543=""),"",SUMIFS('Barang Keluar'!$E:$E,'Barang Keluar'!$A:$A,M14543,'Barang Keluar'!$C:$C,N14543))</f>
        <v>0</v>
      </c>
    </row>
    <row r="14544" spans="13:16">
      <c r="M14544" s="49">
        <f>IF($A$4+145&gt;$B$4,"",$A$4+145)</f>
        <v>46168</v>
      </c>
      <c r="N14544">
        <f>IF(M14544="","",'Master Barang'!A38)</f>
        <v>0</v>
      </c>
      <c r="O14544">
        <f>IF(N14544="","",'Master Barang'!B38)</f>
        <v>0</v>
      </c>
      <c r="P14544">
        <f>IF(OR(M14544="",N14544=""),"",SUMIFS('Barang Keluar'!$E:$E,'Barang Keluar'!$A:$A,M14544,'Barang Keluar'!$C:$C,N14544))</f>
        <v>0</v>
      </c>
    </row>
    <row r="14545" spans="13:16">
      <c r="M14545" s="49">
        <f>IF($A$4+145&gt;$B$4,"",$A$4+145)</f>
        <v>46168</v>
      </c>
      <c r="N14545">
        <f>IF(M14545="","",'Master Barang'!A39)</f>
        <v>0</v>
      </c>
      <c r="O14545">
        <f>IF(N14545="","",'Master Barang'!B39)</f>
        <v>0</v>
      </c>
      <c r="P14545">
        <f>IF(OR(M14545="",N14545=""),"",SUMIFS('Barang Keluar'!$E:$E,'Barang Keluar'!$A:$A,M14545,'Barang Keluar'!$C:$C,N14545))</f>
        <v>0</v>
      </c>
    </row>
    <row r="14546" spans="13:16">
      <c r="M14546" s="49">
        <f>IF($A$4+145&gt;$B$4,"",$A$4+145)</f>
        <v>46168</v>
      </c>
      <c r="N14546">
        <f>IF(M14546="","",'Master Barang'!A40)</f>
        <v>0</v>
      </c>
      <c r="O14546">
        <f>IF(N14546="","",'Master Barang'!B40)</f>
        <v>0</v>
      </c>
      <c r="P14546">
        <f>IF(OR(M14546="",N14546=""),"",SUMIFS('Barang Keluar'!$E:$E,'Barang Keluar'!$A:$A,M14546,'Barang Keluar'!$C:$C,N14546))</f>
        <v>0</v>
      </c>
    </row>
    <row r="14547" spans="13:16">
      <c r="M14547" s="49">
        <f>IF($A$4+145&gt;$B$4,"",$A$4+145)</f>
        <v>46168</v>
      </c>
      <c r="N14547">
        <f>IF(M14547="","",'Master Barang'!A41)</f>
        <v>0</v>
      </c>
      <c r="O14547">
        <f>IF(N14547="","",'Master Barang'!B41)</f>
        <v>0</v>
      </c>
      <c r="P14547">
        <f>IF(OR(M14547="",N14547=""),"",SUMIFS('Barang Keluar'!$E:$E,'Barang Keluar'!$A:$A,M14547,'Barang Keluar'!$C:$C,N14547))</f>
        <v>0</v>
      </c>
    </row>
    <row r="14548" spans="13:16">
      <c r="M14548" s="49">
        <f>IF($A$4+145&gt;$B$4,"",$A$4+145)</f>
        <v>46168</v>
      </c>
      <c r="N14548">
        <f>IF(M14548="","",'Master Barang'!A42)</f>
        <v>0</v>
      </c>
      <c r="O14548">
        <f>IF(N14548="","",'Master Barang'!B42)</f>
        <v>0</v>
      </c>
      <c r="P14548">
        <f>IF(OR(M14548="",N14548=""),"",SUMIFS('Barang Keluar'!$E:$E,'Barang Keluar'!$A:$A,M14548,'Barang Keluar'!$C:$C,N14548))</f>
        <v>0</v>
      </c>
    </row>
    <row r="14549" spans="13:16">
      <c r="M14549" s="49">
        <f>IF($A$4+145&gt;$B$4,"",$A$4+145)</f>
        <v>46168</v>
      </c>
      <c r="N14549">
        <f>IF(M14549="","",'Master Barang'!A43)</f>
        <v>0</v>
      </c>
      <c r="O14549">
        <f>IF(N14549="","",'Master Barang'!B43)</f>
        <v>0</v>
      </c>
      <c r="P14549">
        <f>IF(OR(M14549="",N14549=""),"",SUMIFS('Barang Keluar'!$E:$E,'Barang Keluar'!$A:$A,M14549,'Barang Keluar'!$C:$C,N14549))</f>
        <v>0</v>
      </c>
    </row>
    <row r="14550" spans="13:16">
      <c r="M14550" s="49">
        <f>IF($A$4+145&gt;$B$4,"",$A$4+145)</f>
        <v>46168</v>
      </c>
      <c r="N14550">
        <f>IF(M14550="","",'Master Barang'!A44)</f>
        <v>0</v>
      </c>
      <c r="O14550">
        <f>IF(N14550="","",'Master Barang'!B44)</f>
        <v>0</v>
      </c>
      <c r="P14550">
        <f>IF(OR(M14550="",N14550=""),"",SUMIFS('Barang Keluar'!$E:$E,'Barang Keluar'!$A:$A,M14550,'Barang Keluar'!$C:$C,N14550))</f>
        <v>0</v>
      </c>
    </row>
    <row r="14551" spans="13:16">
      <c r="M14551" s="49">
        <f>IF($A$4+145&gt;$B$4,"",$A$4+145)</f>
        <v>46168</v>
      </c>
      <c r="N14551">
        <f>IF(M14551="","",'Master Barang'!A45)</f>
        <v>0</v>
      </c>
      <c r="O14551">
        <f>IF(N14551="","",'Master Barang'!B45)</f>
        <v>0</v>
      </c>
      <c r="P14551">
        <f>IF(OR(M14551="",N14551=""),"",SUMIFS('Barang Keluar'!$E:$E,'Barang Keluar'!$A:$A,M14551,'Barang Keluar'!$C:$C,N14551))</f>
        <v>0</v>
      </c>
    </row>
    <row r="14552" spans="13:16">
      <c r="M14552" s="49">
        <f>IF($A$4+145&gt;$B$4,"",$A$4+145)</f>
        <v>46168</v>
      </c>
      <c r="N14552">
        <f>IF(M14552="","",'Master Barang'!A46)</f>
        <v>0</v>
      </c>
      <c r="O14552">
        <f>IF(N14552="","",'Master Barang'!B46)</f>
        <v>0</v>
      </c>
      <c r="P14552">
        <f>IF(OR(M14552="",N14552=""),"",SUMIFS('Barang Keluar'!$E:$E,'Barang Keluar'!$A:$A,M14552,'Barang Keluar'!$C:$C,N14552))</f>
        <v>0</v>
      </c>
    </row>
    <row r="14553" spans="13:16">
      <c r="M14553" s="49">
        <f>IF($A$4+145&gt;$B$4,"",$A$4+145)</f>
        <v>46168</v>
      </c>
      <c r="N14553">
        <f>IF(M14553="","",'Master Barang'!A47)</f>
        <v>0</v>
      </c>
      <c r="O14553">
        <f>IF(N14553="","",'Master Barang'!B47)</f>
        <v>0</v>
      </c>
      <c r="P14553">
        <f>IF(OR(M14553="",N14553=""),"",SUMIFS('Barang Keluar'!$E:$E,'Barang Keluar'!$A:$A,M14553,'Barang Keluar'!$C:$C,N14553))</f>
        <v>0</v>
      </c>
    </row>
    <row r="14554" spans="13:16">
      <c r="M14554" s="49">
        <f>IF($A$4+145&gt;$B$4,"",$A$4+145)</f>
        <v>46168</v>
      </c>
      <c r="N14554">
        <f>IF(M14554="","",'Master Barang'!A48)</f>
        <v>0</v>
      </c>
      <c r="O14554">
        <f>IF(N14554="","",'Master Barang'!B48)</f>
        <v>0</v>
      </c>
      <c r="P14554">
        <f>IF(OR(M14554="",N14554=""),"",SUMIFS('Barang Keluar'!$E:$E,'Barang Keluar'!$A:$A,M14554,'Barang Keluar'!$C:$C,N14554))</f>
        <v>0</v>
      </c>
    </row>
    <row r="14555" spans="13:16">
      <c r="M14555" s="49">
        <f>IF($A$4+145&gt;$B$4,"",$A$4+145)</f>
        <v>46168</v>
      </c>
      <c r="N14555">
        <f>IF(M14555="","",'Master Barang'!A49)</f>
        <v>0</v>
      </c>
      <c r="O14555">
        <f>IF(N14555="","",'Master Barang'!B49)</f>
        <v>0</v>
      </c>
      <c r="P14555">
        <f>IF(OR(M14555="",N14555=""),"",SUMIFS('Barang Keluar'!$E:$E,'Barang Keluar'!$A:$A,M14555,'Barang Keluar'!$C:$C,N14555))</f>
        <v>0</v>
      </c>
    </row>
    <row r="14556" spans="13:16">
      <c r="M14556" s="49">
        <f>IF($A$4+145&gt;$B$4,"",$A$4+145)</f>
        <v>46168</v>
      </c>
      <c r="N14556">
        <f>IF(M14556="","",'Master Barang'!A50)</f>
        <v>0</v>
      </c>
      <c r="O14556">
        <f>IF(N14556="","",'Master Barang'!B50)</f>
        <v>0</v>
      </c>
      <c r="P14556">
        <f>IF(OR(M14556="",N14556=""),"",SUMIFS('Barang Keluar'!$E:$E,'Barang Keluar'!$A:$A,M14556,'Barang Keluar'!$C:$C,N14556))</f>
        <v>0</v>
      </c>
    </row>
    <row r="14557" spans="13:16">
      <c r="M14557" s="49">
        <f>IF($A$4+145&gt;$B$4,"",$A$4+145)</f>
        <v>46168</v>
      </c>
      <c r="N14557">
        <f>IF(M14557="","",'Master Barang'!A51)</f>
        <v>0</v>
      </c>
      <c r="O14557">
        <f>IF(N14557="","",'Master Barang'!B51)</f>
        <v>0</v>
      </c>
      <c r="P14557">
        <f>IF(OR(M14557="",N14557=""),"",SUMIFS('Barang Keluar'!$E:$E,'Barang Keluar'!$A:$A,M14557,'Barang Keluar'!$C:$C,N14557))</f>
        <v>0</v>
      </c>
    </row>
    <row r="14558" spans="13:16">
      <c r="M14558" s="49">
        <f>IF($A$4+145&gt;$B$4,"",$A$4+145)</f>
        <v>46168</v>
      </c>
      <c r="N14558">
        <f>IF(M14558="","",'Master Barang'!A52)</f>
        <v>0</v>
      </c>
      <c r="O14558">
        <f>IF(N14558="","",'Master Barang'!B52)</f>
        <v>0</v>
      </c>
      <c r="P14558">
        <f>IF(OR(M14558="",N14558=""),"",SUMIFS('Barang Keluar'!$E:$E,'Barang Keluar'!$A:$A,M14558,'Barang Keluar'!$C:$C,N14558))</f>
        <v>0</v>
      </c>
    </row>
    <row r="14559" spans="13:16">
      <c r="M14559" s="49">
        <f>IF($A$4+145&gt;$B$4,"",$A$4+145)</f>
        <v>46168</v>
      </c>
      <c r="N14559">
        <f>IF(M14559="","",'Master Barang'!A53)</f>
        <v>0</v>
      </c>
      <c r="O14559">
        <f>IF(N14559="","",'Master Barang'!B53)</f>
        <v>0</v>
      </c>
      <c r="P14559">
        <f>IF(OR(M14559="",N14559=""),"",SUMIFS('Barang Keluar'!$E:$E,'Barang Keluar'!$A:$A,M14559,'Barang Keluar'!$C:$C,N14559))</f>
        <v>0</v>
      </c>
    </row>
    <row r="14560" spans="13:16">
      <c r="M14560" s="49">
        <f>IF($A$4+145&gt;$B$4,"",$A$4+145)</f>
        <v>46168</v>
      </c>
      <c r="N14560">
        <f>IF(M14560="","",'Master Barang'!A54)</f>
        <v>0</v>
      </c>
      <c r="O14560">
        <f>IF(N14560="","",'Master Barang'!B54)</f>
        <v>0</v>
      </c>
      <c r="P14560">
        <f>IF(OR(M14560="",N14560=""),"",SUMIFS('Barang Keluar'!$E:$E,'Barang Keluar'!$A:$A,M14560,'Barang Keluar'!$C:$C,N14560))</f>
        <v>0</v>
      </c>
    </row>
    <row r="14561" spans="13:16">
      <c r="M14561" s="49">
        <f>IF($A$4+145&gt;$B$4,"",$A$4+145)</f>
        <v>46168</v>
      </c>
      <c r="N14561">
        <f>IF(M14561="","",'Master Barang'!A55)</f>
        <v>0</v>
      </c>
      <c r="O14561">
        <f>IF(N14561="","",'Master Barang'!B55)</f>
        <v>0</v>
      </c>
      <c r="P14561">
        <f>IF(OR(M14561="",N14561=""),"",SUMIFS('Barang Keluar'!$E:$E,'Barang Keluar'!$A:$A,M14561,'Barang Keluar'!$C:$C,N14561))</f>
        <v>0</v>
      </c>
    </row>
    <row r="14562" spans="13:16">
      <c r="M14562" s="49">
        <f>IF($A$4+145&gt;$B$4,"",$A$4+145)</f>
        <v>46168</v>
      </c>
      <c r="N14562">
        <f>IF(M14562="","",'Master Barang'!A56)</f>
        <v>0</v>
      </c>
      <c r="O14562">
        <f>IF(N14562="","",'Master Barang'!B56)</f>
        <v>0</v>
      </c>
      <c r="P14562">
        <f>IF(OR(M14562="",N14562=""),"",SUMIFS('Barang Keluar'!$E:$E,'Barang Keluar'!$A:$A,M14562,'Barang Keluar'!$C:$C,N14562))</f>
        <v>0</v>
      </c>
    </row>
    <row r="14563" spans="13:16">
      <c r="M14563" s="49">
        <f>IF($A$4+145&gt;$B$4,"",$A$4+145)</f>
        <v>46168</v>
      </c>
      <c r="N14563">
        <f>IF(M14563="","",'Master Barang'!A57)</f>
        <v>0</v>
      </c>
      <c r="O14563">
        <f>IF(N14563="","",'Master Barang'!B57)</f>
        <v>0</v>
      </c>
      <c r="P14563">
        <f>IF(OR(M14563="",N14563=""),"",SUMIFS('Barang Keluar'!$E:$E,'Barang Keluar'!$A:$A,M14563,'Barang Keluar'!$C:$C,N14563))</f>
        <v>0</v>
      </c>
    </row>
    <row r="14564" spans="13:16">
      <c r="M14564" s="49">
        <f>IF($A$4+145&gt;$B$4,"",$A$4+145)</f>
        <v>46168</v>
      </c>
      <c r="N14564">
        <f>IF(M14564="","",'Master Barang'!A58)</f>
        <v>0</v>
      </c>
      <c r="O14564">
        <f>IF(N14564="","",'Master Barang'!B58)</f>
        <v>0</v>
      </c>
      <c r="P14564">
        <f>IF(OR(M14564="",N14564=""),"",SUMIFS('Barang Keluar'!$E:$E,'Barang Keluar'!$A:$A,M14564,'Barang Keluar'!$C:$C,N14564))</f>
        <v>0</v>
      </c>
    </row>
    <row r="14565" spans="13:16">
      <c r="M14565" s="49">
        <f>IF($A$4+145&gt;$B$4,"",$A$4+145)</f>
        <v>46168</v>
      </c>
      <c r="N14565">
        <f>IF(M14565="","",'Master Barang'!A59)</f>
        <v>0</v>
      </c>
      <c r="O14565">
        <f>IF(N14565="","",'Master Barang'!B59)</f>
        <v>0</v>
      </c>
      <c r="P14565">
        <f>IF(OR(M14565="",N14565=""),"",SUMIFS('Barang Keluar'!$E:$E,'Barang Keluar'!$A:$A,M14565,'Barang Keluar'!$C:$C,N14565))</f>
        <v>0</v>
      </c>
    </row>
    <row r="14566" spans="13:16">
      <c r="M14566" s="49">
        <f>IF($A$4+145&gt;$B$4,"",$A$4+145)</f>
        <v>46168</v>
      </c>
      <c r="N14566">
        <f>IF(M14566="","",'Master Barang'!A60)</f>
        <v>0</v>
      </c>
      <c r="O14566">
        <f>IF(N14566="","",'Master Barang'!B60)</f>
        <v>0</v>
      </c>
      <c r="P14566">
        <f>IF(OR(M14566="",N14566=""),"",SUMIFS('Barang Keluar'!$E:$E,'Barang Keluar'!$A:$A,M14566,'Barang Keluar'!$C:$C,N14566))</f>
        <v>0</v>
      </c>
    </row>
    <row r="14567" spans="13:16">
      <c r="M14567" s="49">
        <f>IF($A$4+145&gt;$B$4,"",$A$4+145)</f>
        <v>46168</v>
      </c>
      <c r="N14567">
        <f>IF(M14567="","",'Master Barang'!A61)</f>
        <v>0</v>
      </c>
      <c r="O14567">
        <f>IF(N14567="","",'Master Barang'!B61)</f>
        <v>0</v>
      </c>
      <c r="P14567">
        <f>IF(OR(M14567="",N14567=""),"",SUMIFS('Barang Keluar'!$E:$E,'Barang Keluar'!$A:$A,M14567,'Barang Keluar'!$C:$C,N14567))</f>
        <v>0</v>
      </c>
    </row>
    <row r="14568" spans="13:16">
      <c r="M14568" s="49">
        <f>IF($A$4+145&gt;$B$4,"",$A$4+145)</f>
        <v>46168</v>
      </c>
      <c r="N14568">
        <f>IF(M14568="","",'Master Barang'!A62)</f>
        <v>0</v>
      </c>
      <c r="O14568">
        <f>IF(N14568="","",'Master Barang'!B62)</f>
        <v>0</v>
      </c>
      <c r="P14568">
        <f>IF(OR(M14568="",N14568=""),"",SUMIFS('Barang Keluar'!$E:$E,'Barang Keluar'!$A:$A,M14568,'Barang Keluar'!$C:$C,N14568))</f>
        <v>0</v>
      </c>
    </row>
    <row r="14569" spans="13:16">
      <c r="M14569" s="49">
        <f>IF($A$4+145&gt;$B$4,"",$A$4+145)</f>
        <v>46168</v>
      </c>
      <c r="N14569">
        <f>IF(M14569="","",'Master Barang'!A63)</f>
        <v>0</v>
      </c>
      <c r="O14569">
        <f>IF(N14569="","",'Master Barang'!B63)</f>
        <v>0</v>
      </c>
      <c r="P14569">
        <f>IF(OR(M14569="",N14569=""),"",SUMIFS('Barang Keluar'!$E:$E,'Barang Keluar'!$A:$A,M14569,'Barang Keluar'!$C:$C,N14569))</f>
        <v>0</v>
      </c>
    </row>
    <row r="14570" spans="13:16">
      <c r="M14570" s="49">
        <f>IF($A$4+145&gt;$B$4,"",$A$4+145)</f>
        <v>46168</v>
      </c>
      <c r="N14570">
        <f>IF(M14570="","",'Master Barang'!A64)</f>
        <v>0</v>
      </c>
      <c r="O14570">
        <f>IF(N14570="","",'Master Barang'!B64)</f>
        <v>0</v>
      </c>
      <c r="P14570">
        <f>IF(OR(M14570="",N14570=""),"",SUMIFS('Barang Keluar'!$E:$E,'Barang Keluar'!$A:$A,M14570,'Barang Keluar'!$C:$C,N14570))</f>
        <v>0</v>
      </c>
    </row>
    <row r="14571" spans="13:16">
      <c r="M14571" s="49">
        <f>IF($A$4+145&gt;$B$4,"",$A$4+145)</f>
        <v>46168</v>
      </c>
      <c r="N14571">
        <f>IF(M14571="","",'Master Barang'!A65)</f>
        <v>0</v>
      </c>
      <c r="O14571">
        <f>IF(N14571="","",'Master Barang'!B65)</f>
        <v>0</v>
      </c>
      <c r="P14571">
        <f>IF(OR(M14571="",N14571=""),"",SUMIFS('Barang Keluar'!$E:$E,'Barang Keluar'!$A:$A,M14571,'Barang Keluar'!$C:$C,N14571))</f>
        <v>0</v>
      </c>
    </row>
    <row r="14572" spans="13:16">
      <c r="M14572" s="49">
        <f>IF($A$4+145&gt;$B$4,"",$A$4+145)</f>
        <v>46168</v>
      </c>
      <c r="N14572">
        <f>IF(M14572="","",'Master Barang'!A66)</f>
        <v>0</v>
      </c>
      <c r="O14572">
        <f>IF(N14572="","",'Master Barang'!B66)</f>
        <v>0</v>
      </c>
      <c r="P14572">
        <f>IF(OR(M14572="",N14572=""),"",SUMIFS('Barang Keluar'!$E:$E,'Barang Keluar'!$A:$A,M14572,'Barang Keluar'!$C:$C,N14572))</f>
        <v>0</v>
      </c>
    </row>
    <row r="14573" spans="13:16">
      <c r="M14573" s="49">
        <f>IF($A$4+145&gt;$B$4,"",$A$4+145)</f>
        <v>46168</v>
      </c>
      <c r="N14573">
        <f>IF(M14573="","",'Master Barang'!A67)</f>
        <v>0</v>
      </c>
      <c r="O14573">
        <f>IF(N14573="","",'Master Barang'!B67)</f>
        <v>0</v>
      </c>
      <c r="P14573">
        <f>IF(OR(M14573="",N14573=""),"",SUMIFS('Barang Keluar'!$E:$E,'Barang Keluar'!$A:$A,M14573,'Barang Keluar'!$C:$C,N14573))</f>
        <v>0</v>
      </c>
    </row>
    <row r="14574" spans="13:16">
      <c r="M14574" s="49">
        <f>IF($A$4+145&gt;$B$4,"",$A$4+145)</f>
        <v>46168</v>
      </c>
      <c r="N14574">
        <f>IF(M14574="","",'Master Barang'!A68)</f>
        <v>0</v>
      </c>
      <c r="O14574">
        <f>IF(N14574="","",'Master Barang'!B68)</f>
        <v>0</v>
      </c>
      <c r="P14574">
        <f>IF(OR(M14574="",N14574=""),"",SUMIFS('Barang Keluar'!$E:$E,'Barang Keluar'!$A:$A,M14574,'Barang Keluar'!$C:$C,N14574))</f>
        <v>0</v>
      </c>
    </row>
    <row r="14575" spans="13:16">
      <c r="M14575" s="49">
        <f>IF($A$4+145&gt;$B$4,"",$A$4+145)</f>
        <v>46168</v>
      </c>
      <c r="N14575">
        <f>IF(M14575="","",'Master Barang'!A69)</f>
        <v>0</v>
      </c>
      <c r="O14575">
        <f>IF(N14575="","",'Master Barang'!B69)</f>
        <v>0</v>
      </c>
      <c r="P14575">
        <f>IF(OR(M14575="",N14575=""),"",SUMIFS('Barang Keluar'!$E:$E,'Barang Keluar'!$A:$A,M14575,'Barang Keluar'!$C:$C,N14575))</f>
        <v>0</v>
      </c>
    </row>
    <row r="14576" spans="13:16">
      <c r="M14576" s="49">
        <f>IF($A$4+145&gt;$B$4,"",$A$4+145)</f>
        <v>46168</v>
      </c>
      <c r="N14576">
        <f>IF(M14576="","",'Master Barang'!A70)</f>
        <v>0</v>
      </c>
      <c r="O14576">
        <f>IF(N14576="","",'Master Barang'!B70)</f>
        <v>0</v>
      </c>
      <c r="P14576">
        <f>IF(OR(M14576="",N14576=""),"",SUMIFS('Barang Keluar'!$E:$E,'Barang Keluar'!$A:$A,M14576,'Barang Keluar'!$C:$C,N14576))</f>
        <v>0</v>
      </c>
    </row>
    <row r="14577" spans="13:16">
      <c r="M14577" s="49">
        <f>IF($A$4+145&gt;$B$4,"",$A$4+145)</f>
        <v>46168</v>
      </c>
      <c r="N14577">
        <f>IF(M14577="","",'Master Barang'!A71)</f>
        <v>0</v>
      </c>
      <c r="O14577">
        <f>IF(N14577="","",'Master Barang'!B71)</f>
        <v>0</v>
      </c>
      <c r="P14577">
        <f>IF(OR(M14577="",N14577=""),"",SUMIFS('Barang Keluar'!$E:$E,'Barang Keluar'!$A:$A,M14577,'Barang Keluar'!$C:$C,N14577))</f>
        <v>0</v>
      </c>
    </row>
    <row r="14578" spans="13:16">
      <c r="M14578" s="49">
        <f>IF($A$4+145&gt;$B$4,"",$A$4+145)</f>
        <v>46168</v>
      </c>
      <c r="N14578">
        <f>IF(M14578="","",'Master Barang'!A72)</f>
        <v>0</v>
      </c>
      <c r="O14578">
        <f>IF(N14578="","",'Master Barang'!B72)</f>
        <v>0</v>
      </c>
      <c r="P14578">
        <f>IF(OR(M14578="",N14578=""),"",SUMIFS('Barang Keluar'!$E:$E,'Barang Keluar'!$A:$A,M14578,'Barang Keluar'!$C:$C,N14578))</f>
        <v>0</v>
      </c>
    </row>
    <row r="14579" spans="13:16">
      <c r="M14579" s="49">
        <f>IF($A$4+145&gt;$B$4,"",$A$4+145)</f>
        <v>46168</v>
      </c>
      <c r="N14579">
        <f>IF(M14579="","",'Master Barang'!A73)</f>
        <v>0</v>
      </c>
      <c r="O14579">
        <f>IF(N14579="","",'Master Barang'!B73)</f>
        <v>0</v>
      </c>
      <c r="P14579">
        <f>IF(OR(M14579="",N14579=""),"",SUMIFS('Barang Keluar'!$E:$E,'Barang Keluar'!$A:$A,M14579,'Barang Keluar'!$C:$C,N14579))</f>
        <v>0</v>
      </c>
    </row>
    <row r="14580" spans="13:16">
      <c r="M14580" s="49">
        <f>IF($A$4+145&gt;$B$4,"",$A$4+145)</f>
        <v>46168</v>
      </c>
      <c r="N14580">
        <f>IF(M14580="","",'Master Barang'!A74)</f>
        <v>0</v>
      </c>
      <c r="O14580">
        <f>IF(N14580="","",'Master Barang'!B74)</f>
        <v>0</v>
      </c>
      <c r="P14580">
        <f>IF(OR(M14580="",N14580=""),"",SUMIFS('Barang Keluar'!$E:$E,'Barang Keluar'!$A:$A,M14580,'Barang Keluar'!$C:$C,N14580))</f>
        <v>0</v>
      </c>
    </row>
    <row r="14581" spans="13:16">
      <c r="M14581" s="49">
        <f>IF($A$4+145&gt;$B$4,"",$A$4+145)</f>
        <v>46168</v>
      </c>
      <c r="N14581">
        <f>IF(M14581="","",'Master Barang'!A75)</f>
        <v>0</v>
      </c>
      <c r="O14581">
        <f>IF(N14581="","",'Master Barang'!B75)</f>
        <v>0</v>
      </c>
      <c r="P14581">
        <f>IF(OR(M14581="",N14581=""),"",SUMIFS('Barang Keluar'!$E:$E,'Barang Keluar'!$A:$A,M14581,'Barang Keluar'!$C:$C,N14581))</f>
        <v>0</v>
      </c>
    </row>
    <row r="14582" spans="13:16">
      <c r="M14582" s="49">
        <f>IF($A$4+145&gt;$B$4,"",$A$4+145)</f>
        <v>46168</v>
      </c>
      <c r="N14582">
        <f>IF(M14582="","",'Master Barang'!A76)</f>
        <v>0</v>
      </c>
      <c r="O14582">
        <f>IF(N14582="","",'Master Barang'!B76)</f>
        <v>0</v>
      </c>
      <c r="P14582">
        <f>IF(OR(M14582="",N14582=""),"",SUMIFS('Barang Keluar'!$E:$E,'Barang Keluar'!$A:$A,M14582,'Barang Keluar'!$C:$C,N14582))</f>
        <v>0</v>
      </c>
    </row>
    <row r="14583" spans="13:16">
      <c r="M14583" s="49">
        <f>IF($A$4+145&gt;$B$4,"",$A$4+145)</f>
        <v>46168</v>
      </c>
      <c r="N14583">
        <f>IF(M14583="","",'Master Barang'!A77)</f>
        <v>0</v>
      </c>
      <c r="O14583">
        <f>IF(N14583="","",'Master Barang'!B77)</f>
        <v>0</v>
      </c>
      <c r="P14583">
        <f>IF(OR(M14583="",N14583=""),"",SUMIFS('Barang Keluar'!$E:$E,'Barang Keluar'!$A:$A,M14583,'Barang Keluar'!$C:$C,N14583))</f>
        <v>0</v>
      </c>
    </row>
    <row r="14584" spans="13:16">
      <c r="M14584" s="49">
        <f>IF($A$4+145&gt;$B$4,"",$A$4+145)</f>
        <v>46168</v>
      </c>
      <c r="N14584">
        <f>IF(M14584="","",'Master Barang'!A78)</f>
        <v>0</v>
      </c>
      <c r="O14584">
        <f>IF(N14584="","",'Master Barang'!B78)</f>
        <v>0</v>
      </c>
      <c r="P14584">
        <f>IF(OR(M14584="",N14584=""),"",SUMIFS('Barang Keluar'!$E:$E,'Barang Keluar'!$A:$A,M14584,'Barang Keluar'!$C:$C,N14584))</f>
        <v>0</v>
      </c>
    </row>
    <row r="14585" spans="13:16">
      <c r="M14585" s="49">
        <f>IF($A$4+145&gt;$B$4,"",$A$4+145)</f>
        <v>46168</v>
      </c>
      <c r="N14585">
        <f>IF(M14585="","",'Master Barang'!A79)</f>
        <v>0</v>
      </c>
      <c r="O14585">
        <f>IF(N14585="","",'Master Barang'!B79)</f>
        <v>0</v>
      </c>
      <c r="P14585">
        <f>IF(OR(M14585="",N14585=""),"",SUMIFS('Barang Keluar'!$E:$E,'Barang Keluar'!$A:$A,M14585,'Barang Keluar'!$C:$C,N14585))</f>
        <v>0</v>
      </c>
    </row>
    <row r="14586" spans="13:16">
      <c r="M14586" s="49">
        <f>IF($A$4+145&gt;$B$4,"",$A$4+145)</f>
        <v>46168</v>
      </c>
      <c r="N14586">
        <f>IF(M14586="","",'Master Barang'!A80)</f>
        <v>0</v>
      </c>
      <c r="O14586">
        <f>IF(N14586="","",'Master Barang'!B80)</f>
        <v>0</v>
      </c>
      <c r="P14586">
        <f>IF(OR(M14586="",N14586=""),"",SUMIFS('Barang Keluar'!$E:$E,'Barang Keluar'!$A:$A,M14586,'Barang Keluar'!$C:$C,N14586))</f>
        <v>0</v>
      </c>
    </row>
    <row r="14587" spans="13:16">
      <c r="M14587" s="49">
        <f>IF($A$4+145&gt;$B$4,"",$A$4+145)</f>
        <v>46168</v>
      </c>
      <c r="N14587">
        <f>IF(M14587="","",'Master Barang'!A81)</f>
        <v>0</v>
      </c>
      <c r="O14587">
        <f>IF(N14587="","",'Master Barang'!B81)</f>
        <v>0</v>
      </c>
      <c r="P14587">
        <f>IF(OR(M14587="",N14587=""),"",SUMIFS('Barang Keluar'!$E:$E,'Barang Keluar'!$A:$A,M14587,'Barang Keluar'!$C:$C,N14587))</f>
        <v>0</v>
      </c>
    </row>
    <row r="14588" spans="13:16">
      <c r="M14588" s="49">
        <f>IF($A$4+145&gt;$B$4,"",$A$4+145)</f>
        <v>46168</v>
      </c>
      <c r="N14588">
        <f>IF(M14588="","",'Master Barang'!A82)</f>
        <v>0</v>
      </c>
      <c r="O14588">
        <f>IF(N14588="","",'Master Barang'!B82)</f>
        <v>0</v>
      </c>
      <c r="P14588">
        <f>IF(OR(M14588="",N14588=""),"",SUMIFS('Barang Keluar'!$E:$E,'Barang Keluar'!$A:$A,M14588,'Barang Keluar'!$C:$C,N14588))</f>
        <v>0</v>
      </c>
    </row>
    <row r="14589" spans="13:16">
      <c r="M14589" s="49">
        <f>IF($A$4+145&gt;$B$4,"",$A$4+145)</f>
        <v>46168</v>
      </c>
      <c r="N14589">
        <f>IF(M14589="","",'Master Barang'!A83)</f>
        <v>0</v>
      </c>
      <c r="O14589">
        <f>IF(N14589="","",'Master Barang'!B83)</f>
        <v>0</v>
      </c>
      <c r="P14589">
        <f>IF(OR(M14589="",N14589=""),"",SUMIFS('Barang Keluar'!$E:$E,'Barang Keluar'!$A:$A,M14589,'Barang Keluar'!$C:$C,N14589))</f>
        <v>0</v>
      </c>
    </row>
    <row r="14590" spans="13:16">
      <c r="M14590" s="49">
        <f>IF($A$4+145&gt;$B$4,"",$A$4+145)</f>
        <v>46168</v>
      </c>
      <c r="N14590">
        <f>IF(M14590="","",'Master Barang'!A84)</f>
        <v>0</v>
      </c>
      <c r="O14590">
        <f>IF(N14590="","",'Master Barang'!B84)</f>
        <v>0</v>
      </c>
      <c r="P14590">
        <f>IF(OR(M14590="",N14590=""),"",SUMIFS('Barang Keluar'!$E:$E,'Barang Keluar'!$A:$A,M14590,'Barang Keluar'!$C:$C,N14590))</f>
        <v>0</v>
      </c>
    </row>
    <row r="14591" spans="13:16">
      <c r="M14591" s="49">
        <f>IF($A$4+145&gt;$B$4,"",$A$4+145)</f>
        <v>46168</v>
      </c>
      <c r="N14591">
        <f>IF(M14591="","",'Master Barang'!A85)</f>
        <v>0</v>
      </c>
      <c r="O14591">
        <f>IF(N14591="","",'Master Barang'!B85)</f>
        <v>0</v>
      </c>
      <c r="P14591">
        <f>IF(OR(M14591="",N14591=""),"",SUMIFS('Barang Keluar'!$E:$E,'Barang Keluar'!$A:$A,M14591,'Barang Keluar'!$C:$C,N14591))</f>
        <v>0</v>
      </c>
    </row>
    <row r="14592" spans="13:16">
      <c r="M14592" s="49">
        <f>IF($A$4+145&gt;$B$4,"",$A$4+145)</f>
        <v>46168</v>
      </c>
      <c r="N14592">
        <f>IF(M14592="","",'Master Barang'!A86)</f>
        <v>0</v>
      </c>
      <c r="O14592">
        <f>IF(N14592="","",'Master Barang'!B86)</f>
        <v>0</v>
      </c>
      <c r="P14592">
        <f>IF(OR(M14592="",N14592=""),"",SUMIFS('Barang Keluar'!$E:$E,'Barang Keluar'!$A:$A,M14592,'Barang Keluar'!$C:$C,N14592))</f>
        <v>0</v>
      </c>
    </row>
    <row r="14593" spans="13:16">
      <c r="M14593" s="49">
        <f>IF($A$4+145&gt;$B$4,"",$A$4+145)</f>
        <v>46168</v>
      </c>
      <c r="N14593">
        <f>IF(M14593="","",'Master Barang'!A87)</f>
        <v>0</v>
      </c>
      <c r="O14593">
        <f>IF(N14593="","",'Master Barang'!B87)</f>
        <v>0</v>
      </c>
      <c r="P14593">
        <f>IF(OR(M14593="",N14593=""),"",SUMIFS('Barang Keluar'!$E:$E,'Barang Keluar'!$A:$A,M14593,'Barang Keluar'!$C:$C,N14593))</f>
        <v>0</v>
      </c>
    </row>
    <row r="14594" spans="13:16">
      <c r="M14594" s="49">
        <f>IF($A$4+145&gt;$B$4,"",$A$4+145)</f>
        <v>46168</v>
      </c>
      <c r="N14594">
        <f>IF(M14594="","",'Master Barang'!A88)</f>
        <v>0</v>
      </c>
      <c r="O14594">
        <f>IF(N14594="","",'Master Barang'!B88)</f>
        <v>0</v>
      </c>
      <c r="P14594">
        <f>IF(OR(M14594="",N14594=""),"",SUMIFS('Barang Keluar'!$E:$E,'Barang Keluar'!$A:$A,M14594,'Barang Keluar'!$C:$C,N14594))</f>
        <v>0</v>
      </c>
    </row>
    <row r="14595" spans="13:16">
      <c r="M14595" s="49">
        <f>IF($A$4+145&gt;$B$4,"",$A$4+145)</f>
        <v>46168</v>
      </c>
      <c r="N14595">
        <f>IF(M14595="","",'Master Barang'!A89)</f>
        <v>0</v>
      </c>
      <c r="O14595">
        <f>IF(N14595="","",'Master Barang'!B89)</f>
        <v>0</v>
      </c>
      <c r="P14595">
        <f>IF(OR(M14595="",N14595=""),"",SUMIFS('Barang Keluar'!$E:$E,'Barang Keluar'!$A:$A,M14595,'Barang Keluar'!$C:$C,N14595))</f>
        <v>0</v>
      </c>
    </row>
    <row r="14596" spans="13:16">
      <c r="M14596" s="49">
        <f>IF($A$4+145&gt;$B$4,"",$A$4+145)</f>
        <v>46168</v>
      </c>
      <c r="N14596">
        <f>IF(M14596="","",'Master Barang'!A90)</f>
        <v>0</v>
      </c>
      <c r="O14596">
        <f>IF(N14596="","",'Master Barang'!B90)</f>
        <v>0</v>
      </c>
      <c r="P14596">
        <f>IF(OR(M14596="",N14596=""),"",SUMIFS('Barang Keluar'!$E:$E,'Barang Keluar'!$A:$A,M14596,'Barang Keluar'!$C:$C,N14596))</f>
        <v>0</v>
      </c>
    </row>
    <row r="14597" spans="13:16">
      <c r="M14597" s="49">
        <f>IF($A$4+145&gt;$B$4,"",$A$4+145)</f>
        <v>46168</v>
      </c>
      <c r="N14597">
        <f>IF(M14597="","",'Master Barang'!A91)</f>
        <v>0</v>
      </c>
      <c r="O14597">
        <f>IF(N14597="","",'Master Barang'!B91)</f>
        <v>0</v>
      </c>
      <c r="P14597">
        <f>IF(OR(M14597="",N14597=""),"",SUMIFS('Barang Keluar'!$E:$E,'Barang Keluar'!$A:$A,M14597,'Barang Keluar'!$C:$C,N14597))</f>
        <v>0</v>
      </c>
    </row>
    <row r="14598" spans="13:16">
      <c r="M14598" s="49">
        <f>IF($A$4+145&gt;$B$4,"",$A$4+145)</f>
        <v>46168</v>
      </c>
      <c r="N14598">
        <f>IF(M14598="","",'Master Barang'!A92)</f>
        <v>0</v>
      </c>
      <c r="O14598">
        <f>IF(N14598="","",'Master Barang'!B92)</f>
        <v>0</v>
      </c>
      <c r="P14598">
        <f>IF(OR(M14598="",N14598=""),"",SUMIFS('Barang Keluar'!$E:$E,'Barang Keluar'!$A:$A,M14598,'Barang Keluar'!$C:$C,N14598))</f>
        <v>0</v>
      </c>
    </row>
    <row r="14599" spans="13:16">
      <c r="M14599" s="49">
        <f>IF($A$4+145&gt;$B$4,"",$A$4+145)</f>
        <v>46168</v>
      </c>
      <c r="N14599">
        <f>IF(M14599="","",'Master Barang'!A93)</f>
        <v>0</v>
      </c>
      <c r="O14599">
        <f>IF(N14599="","",'Master Barang'!B93)</f>
        <v>0</v>
      </c>
      <c r="P14599">
        <f>IF(OR(M14599="",N14599=""),"",SUMIFS('Barang Keluar'!$E:$E,'Barang Keluar'!$A:$A,M14599,'Barang Keluar'!$C:$C,N14599))</f>
        <v>0</v>
      </c>
    </row>
    <row r="14600" spans="13:16">
      <c r="M14600" s="49">
        <f>IF($A$4+145&gt;$B$4,"",$A$4+145)</f>
        <v>46168</v>
      </c>
      <c r="N14600">
        <f>IF(M14600="","",'Master Barang'!A94)</f>
        <v>0</v>
      </c>
      <c r="O14600">
        <f>IF(N14600="","",'Master Barang'!B94)</f>
        <v>0</v>
      </c>
      <c r="P14600">
        <f>IF(OR(M14600="",N14600=""),"",SUMIFS('Barang Keluar'!$E:$E,'Barang Keluar'!$A:$A,M14600,'Barang Keluar'!$C:$C,N14600))</f>
        <v>0</v>
      </c>
    </row>
    <row r="14601" spans="13:16">
      <c r="M14601" s="49">
        <f>IF($A$4+145&gt;$B$4,"",$A$4+145)</f>
        <v>46168</v>
      </c>
      <c r="N14601">
        <f>IF(M14601="","",'Master Barang'!A95)</f>
        <v>0</v>
      </c>
      <c r="O14601">
        <f>IF(N14601="","",'Master Barang'!B95)</f>
        <v>0</v>
      </c>
      <c r="P14601">
        <f>IF(OR(M14601="",N14601=""),"",SUMIFS('Barang Keluar'!$E:$E,'Barang Keluar'!$A:$A,M14601,'Barang Keluar'!$C:$C,N14601))</f>
        <v>0</v>
      </c>
    </row>
    <row r="14602" spans="13:16">
      <c r="M14602" s="49">
        <f>IF($A$4+145&gt;$B$4,"",$A$4+145)</f>
        <v>46168</v>
      </c>
      <c r="N14602">
        <f>IF(M14602="","",'Master Barang'!A96)</f>
        <v>0</v>
      </c>
      <c r="O14602">
        <f>IF(N14602="","",'Master Barang'!B96)</f>
        <v>0</v>
      </c>
      <c r="P14602">
        <f>IF(OR(M14602="",N14602=""),"",SUMIFS('Barang Keluar'!$E:$E,'Barang Keluar'!$A:$A,M14602,'Barang Keluar'!$C:$C,N14602))</f>
        <v>0</v>
      </c>
    </row>
    <row r="14603" spans="13:16">
      <c r="M14603" s="49">
        <f>IF($A$4+145&gt;$B$4,"",$A$4+145)</f>
        <v>46168</v>
      </c>
      <c r="N14603">
        <f>IF(M14603="","",'Master Barang'!A97)</f>
        <v>0</v>
      </c>
      <c r="O14603">
        <f>IF(N14603="","",'Master Barang'!B97)</f>
        <v>0</v>
      </c>
      <c r="P14603">
        <f>IF(OR(M14603="",N14603=""),"",SUMIFS('Barang Keluar'!$E:$E,'Barang Keluar'!$A:$A,M14603,'Barang Keluar'!$C:$C,N14603))</f>
        <v>0</v>
      </c>
    </row>
    <row r="14604" spans="13:16">
      <c r="M14604" s="49">
        <f>IF($A$4+145&gt;$B$4,"",$A$4+145)</f>
        <v>46168</v>
      </c>
      <c r="N14604">
        <f>IF(M14604="","",'Master Barang'!A98)</f>
        <v>0</v>
      </c>
      <c r="O14604">
        <f>IF(N14604="","",'Master Barang'!B98)</f>
        <v>0</v>
      </c>
      <c r="P14604">
        <f>IF(OR(M14604="",N14604=""),"",SUMIFS('Barang Keluar'!$E:$E,'Barang Keluar'!$A:$A,M14604,'Barang Keluar'!$C:$C,N14604))</f>
        <v>0</v>
      </c>
    </row>
    <row r="14605" spans="13:16">
      <c r="M14605" s="49">
        <f>IF($A$4+145&gt;$B$4,"",$A$4+145)</f>
        <v>46168</v>
      </c>
      <c r="N14605">
        <f>IF(M14605="","",'Master Barang'!A99)</f>
        <v>0</v>
      </c>
      <c r="O14605">
        <f>IF(N14605="","",'Master Barang'!B99)</f>
        <v>0</v>
      </c>
      <c r="P14605">
        <f>IF(OR(M14605="",N14605=""),"",SUMIFS('Barang Keluar'!$E:$E,'Barang Keluar'!$A:$A,M14605,'Barang Keluar'!$C:$C,N14605))</f>
        <v>0</v>
      </c>
    </row>
    <row r="14606" spans="13:16">
      <c r="M14606" s="49">
        <f>IF($A$4+145&gt;$B$4,"",$A$4+145)</f>
        <v>46168</v>
      </c>
      <c r="N14606">
        <f>IF(M14606="","",'Master Barang'!A100)</f>
        <v>0</v>
      </c>
      <c r="O14606">
        <f>IF(N14606="","",'Master Barang'!B100)</f>
        <v>0</v>
      </c>
      <c r="P14606">
        <f>IF(OR(M14606="",N14606=""),"",SUMIFS('Barang Keluar'!$E:$E,'Barang Keluar'!$A:$A,M14606,'Barang Keluar'!$C:$C,N14606))</f>
        <v>0</v>
      </c>
    </row>
    <row r="14607" spans="13:16">
      <c r="M14607" s="49">
        <f>IF($A$4+145&gt;$B$4,"",$A$4+145)</f>
        <v>46168</v>
      </c>
      <c r="N14607">
        <f>IF(M14607="","",'Master Barang'!A101)</f>
        <v>0</v>
      </c>
      <c r="O14607">
        <f>IF(N14607="","",'Master Barang'!B101)</f>
        <v>0</v>
      </c>
      <c r="P14607">
        <f>IF(OR(M14607="",N14607=""),"",SUMIFS('Barang Keluar'!$E:$E,'Barang Keluar'!$A:$A,M14607,'Barang Keluar'!$C:$C,N14607))</f>
        <v>0</v>
      </c>
    </row>
    <row r="14608" spans="13:16">
      <c r="M14608" s="49">
        <f>IF($A$4+146&gt;$B$4,"",$A$4+146)</f>
        <v>46169</v>
      </c>
      <c r="N14608" t="str">
        <f>IF(M14608="","",'Master Barang'!A2)</f>
        <v>PRL-001</v>
      </c>
      <c r="O14608" t="str">
        <f>IF(N14608="","",'Master Barang'!B2)</f>
        <v>natura desinfectant food grade 5l</v>
      </c>
      <c r="P14608">
        <f>IF(OR(M14608="",N14608=""),"",SUMIFS('Barang Keluar'!$E:$E,'Barang Keluar'!$A:$A,M14608,'Barang Keluar'!$C:$C,N14608))</f>
        <v>0</v>
      </c>
    </row>
    <row r="14609" spans="13:16">
      <c r="M14609" s="49">
        <f>IF($A$4+146&gt;$B$4,"",$A$4+146)</f>
        <v>46169</v>
      </c>
      <c r="N14609" t="str">
        <f>IF(M14609="","",'Master Barang'!A3)</f>
        <v>PRL-002</v>
      </c>
      <c r="O14609" t="str">
        <f>IF(N14609="","",'Master Barang'!B3)</f>
        <v>sunlight cairan pencuci piring 5l</v>
      </c>
      <c r="P14609">
        <f>IF(OR(M14609="",N14609=""),"",SUMIFS('Barang Keluar'!$E:$E,'Barang Keluar'!$A:$A,M14609,'Barang Keluar'!$C:$C,N14609))</f>
        <v>0</v>
      </c>
    </row>
    <row r="14610" spans="13:16">
      <c r="M14610" s="49">
        <f>IF($A$4+146&gt;$B$4,"",$A$4+146)</f>
        <v>46169</v>
      </c>
      <c r="N14610" t="str">
        <f>IF(M14610="","",'Master Barang'!A4)</f>
        <v>PRL-003</v>
      </c>
      <c r="O14610" t="str">
        <f>IF(N14610="","",'Master Barang'!B4)</f>
        <v>oixs cleaner 1l</v>
      </c>
      <c r="P14610">
        <f>IF(OR(M14610="",N14610=""),"",SUMIFS('Barang Keluar'!$E:$E,'Barang Keluar'!$A:$A,M14610,'Barang Keluar'!$C:$C,N14610))</f>
        <v>0</v>
      </c>
    </row>
    <row r="14611" spans="13:16">
      <c r="M14611" s="49">
        <f>IF($A$4+146&gt;$B$4,"",$A$4+146)</f>
        <v>46169</v>
      </c>
      <c r="N14611" t="str">
        <f>IF(M14611="","",'Master Barang'!A5)</f>
        <v>PRL-004</v>
      </c>
      <c r="O14611" t="str">
        <f>IF(N14611="","",'Master Barang'!B5)</f>
        <v>be clean tissue serbaguna</v>
      </c>
      <c r="P14611">
        <f>IF(OR(M14611="",N14611=""),"",SUMIFS('Barang Keluar'!$E:$E,'Barang Keluar'!$A:$A,M14611,'Barang Keluar'!$C:$C,N14611))</f>
        <v>0</v>
      </c>
    </row>
    <row r="14612" spans="13:16">
      <c r="M14612" s="49">
        <f>IF($A$4+146&gt;$B$4,"",$A$4+146)</f>
        <v>46169</v>
      </c>
      <c r="N14612" t="str">
        <f>IF(M14612="","",'Master Barang'!A6)</f>
        <v>PRL-005</v>
      </c>
      <c r="O14612" t="str">
        <f>IF(N14612="","",'Master Barang'!B6)</f>
        <v>spons cuci hijau</v>
      </c>
      <c r="P14612">
        <f>IF(OR(M14612="",N14612=""),"",SUMIFS('Barang Keluar'!$E:$E,'Barang Keluar'!$A:$A,M14612,'Barang Keluar'!$C:$C,N14612))</f>
        <v>0</v>
      </c>
    </row>
    <row r="14613" spans="13:16">
      <c r="M14613" s="49">
        <f>IF($A$4+146&gt;$B$4,"",$A$4+146)</f>
        <v>46169</v>
      </c>
      <c r="N14613" t="str">
        <f>IF(M14613="","",'Master Barang'!A7)</f>
        <v>PRL-006</v>
      </c>
      <c r="O14613" t="str">
        <f>IF(N14613="","",'Master Barang'!B7)</f>
        <v>sabut cuci stainless</v>
      </c>
      <c r="P14613">
        <f>IF(OR(M14613="",N14613=""),"",SUMIFS('Barang Keluar'!$E:$E,'Barang Keluar'!$A:$A,M14613,'Barang Keluar'!$C:$C,N14613))</f>
        <v>0</v>
      </c>
    </row>
    <row r="14614" spans="13:16">
      <c r="M14614" s="49">
        <f>IF($A$4+146&gt;$B$4,"",$A$4+146)</f>
        <v>46169</v>
      </c>
      <c r="N14614" t="str">
        <f>IF(M14614="","",'Master Barang'!A8)</f>
        <v>PRL-007</v>
      </c>
      <c r="O14614" t="str">
        <f>IF(N14614="","",'Master Barang'!B8)</f>
        <v>plastik kresek besar merah 50pc</v>
      </c>
      <c r="P14614">
        <f>IF(OR(M14614="",N14614=""),"",SUMIFS('Barang Keluar'!$E:$E,'Barang Keluar'!$A:$A,M14614,'Barang Keluar'!$C:$C,N14614))</f>
        <v>0</v>
      </c>
    </row>
    <row r="14615" spans="13:16">
      <c r="M14615" s="49">
        <f>IF($A$4+146&gt;$B$4,"",$A$4+146)</f>
        <v>46169</v>
      </c>
      <c r="N14615" t="str">
        <f>IF(M14615="","",'Master Barang'!A9)</f>
        <v>PRL-008</v>
      </c>
      <c r="O14615" t="str">
        <f>IF(N14615="","",'Master Barang'!B9)</f>
        <v>lap besar</v>
      </c>
      <c r="P14615">
        <f>IF(OR(M14615="",N14615=""),"",SUMIFS('Barang Keluar'!$E:$E,'Barang Keluar'!$A:$A,M14615,'Barang Keluar'!$C:$C,N14615))</f>
        <v>0</v>
      </c>
    </row>
    <row r="14616" spans="13:16">
      <c r="M14616" s="49">
        <f>IF($A$4+146&gt;$B$4,"",$A$4+146)</f>
        <v>46169</v>
      </c>
      <c r="N14616" t="str">
        <f>IF(M14616="","",'Master Barang'!A10)</f>
        <v>PRL-009</v>
      </c>
      <c r="O14616" t="str">
        <f>IF(N14616="","",'Master Barang'!B10)</f>
        <v>lap microfiber</v>
      </c>
      <c r="P14616">
        <f>IF(OR(M14616="",N14616=""),"",SUMIFS('Barang Keluar'!$E:$E,'Barang Keluar'!$A:$A,M14616,'Barang Keluar'!$C:$C,N14616))</f>
        <v>0</v>
      </c>
    </row>
    <row r="14617" spans="13:16">
      <c r="M14617" s="49">
        <f>IF($A$4+146&gt;$B$4,"",$A$4+146)</f>
        <v>46169</v>
      </c>
      <c r="N14617" t="str">
        <f>IF(M14617="","",'Master Barang'!A11)</f>
        <v>PRL-010</v>
      </c>
      <c r="O14617" t="str">
        <f>IF(N14617="","",'Master Barang'!B11)</f>
        <v>lap kecil</v>
      </c>
      <c r="P14617">
        <f>IF(OR(M14617="",N14617=""),"",SUMIFS('Barang Keluar'!$E:$E,'Barang Keluar'!$A:$A,M14617,'Barang Keluar'!$C:$C,N14617))</f>
        <v>0</v>
      </c>
    </row>
    <row r="14618" spans="13:16">
      <c r="M14618" s="49">
        <f>IF($A$4+146&gt;$B$4,"",$A$4+146)</f>
        <v>46169</v>
      </c>
      <c r="N14618" t="str">
        <f>IF(M14618="","",'Master Barang'!A12)</f>
        <v>PRL-011</v>
      </c>
      <c r="O14618" t="str">
        <f>IF(N14618="","",'Master Barang'!B12)</f>
        <v>kanebo kecil</v>
      </c>
      <c r="P14618">
        <f>IF(OR(M14618="",N14618=""),"",SUMIFS('Barang Keluar'!$E:$E,'Barang Keluar'!$A:$A,M14618,'Barang Keluar'!$C:$C,N14618))</f>
        <v>0</v>
      </c>
    </row>
    <row r="14619" spans="13:16">
      <c r="M14619" s="49">
        <f>IF($A$4+146&gt;$B$4,"",$A$4+146)</f>
        <v>46169</v>
      </c>
      <c r="N14619" t="str">
        <f>IF(M14619="","",'Master Barang'!A13)</f>
        <v>PRL-012</v>
      </c>
      <c r="O14619" t="str">
        <f>IF(N14619="","",'Master Barang'!B13)</f>
        <v>plastik 1/4kg joyoboyo 100 lembar</v>
      </c>
      <c r="P14619">
        <f>IF(OR(M14619="",N14619=""),"",SUMIFS('Barang Keluar'!$E:$E,'Barang Keluar'!$A:$A,M14619,'Barang Keluar'!$C:$C,N14619))</f>
        <v>0</v>
      </c>
    </row>
    <row r="14620" spans="13:16">
      <c r="M14620" s="49">
        <f>IF($A$4+146&gt;$B$4,"",$A$4+146)</f>
        <v>46169</v>
      </c>
      <c r="N14620" t="str">
        <f>IF(M14620="","",'Master Barang'!A14)</f>
        <v>PRL-013</v>
      </c>
      <c r="O14620" t="str">
        <f>IF(N14620="","",'Master Barang'!B14)</f>
        <v>sarung tangan plastik kaka 100 pcs</v>
      </c>
      <c r="P14620">
        <f>IF(OR(M14620="",N14620=""),"",SUMIFS('Barang Keluar'!$E:$E,'Barang Keluar'!$A:$A,M14620,'Barang Keluar'!$C:$C,N14620))</f>
        <v>0</v>
      </c>
    </row>
    <row r="14621" spans="13:16">
      <c r="M14621" s="49">
        <f>IF($A$4+146&gt;$B$4,"",$A$4+146)</f>
        <v>46169</v>
      </c>
      <c r="N14621" t="str">
        <f>IF(M14621="","",'Master Barang'!A15)</f>
        <v>PRL-014</v>
      </c>
      <c r="O14621" t="str">
        <f>IF(N14621="","",'Master Barang'!B15)</f>
        <v>optima trashbag 80x100</v>
      </c>
      <c r="P14621">
        <f>IF(OR(M14621="",N14621=""),"",SUMIFS('Barang Keluar'!$E:$E,'Barang Keluar'!$A:$A,M14621,'Barang Keluar'!$C:$C,N14621))</f>
        <v>0</v>
      </c>
    </row>
    <row r="14622" spans="13:16">
      <c r="M14622" s="49">
        <f>IF($A$4+146&gt;$B$4,"",$A$4+146)</f>
        <v>46169</v>
      </c>
      <c r="N14622" t="str">
        <f>IF(M14622="","",'Master Barang'!A16)</f>
        <v>PRL-015</v>
      </c>
      <c r="O14622" t="str">
        <f>IF(N14622="","",'Master Barang'!B16)</f>
        <v>optima trashbag 60x100</v>
      </c>
      <c r="P14622">
        <f>IF(OR(M14622="",N14622=""),"",SUMIFS('Barang Keluar'!$E:$E,'Barang Keluar'!$A:$A,M14622,'Barang Keluar'!$C:$C,N14622))</f>
        <v>0</v>
      </c>
    </row>
    <row r="14623" spans="13:16">
      <c r="M14623" s="49">
        <f>IF($A$4+146&gt;$B$4,"",$A$4+146)</f>
        <v>46169</v>
      </c>
      <c r="N14623" t="str">
        <f>IF(M14623="","",'Master Barang'!A17)</f>
        <v>PRL-016</v>
      </c>
      <c r="O14623" t="str">
        <f>IF(N14623="","",'Master Barang'!B17)</f>
        <v>rajawali trashbag 30x40</v>
      </c>
      <c r="P14623">
        <f>IF(OR(M14623="",N14623=""),"",SUMIFS('Barang Keluar'!$E:$E,'Barang Keluar'!$A:$A,M14623,'Barang Keluar'!$C:$C,N14623))</f>
        <v>0</v>
      </c>
    </row>
    <row r="14624" spans="13:16">
      <c r="M14624" s="49">
        <f>IF($A$4+146&gt;$B$4,"",$A$4+146)</f>
        <v>46169</v>
      </c>
      <c r="N14624" t="str">
        <f>IF(M14624="","",'Master Barang'!A18)</f>
        <v>PRL-017</v>
      </c>
      <c r="O14624" t="str">
        <f>IF(N14624="","",'Master Barang'!B18)</f>
        <v>onemed masker biru 3 play 50 pcs</v>
      </c>
      <c r="P14624">
        <f>IF(OR(M14624="",N14624=""),"",SUMIFS('Barang Keluar'!$E:$E,'Barang Keluar'!$A:$A,M14624,'Barang Keluar'!$C:$C,N14624))</f>
        <v>0</v>
      </c>
    </row>
    <row r="14625" spans="13:16">
      <c r="M14625" s="49">
        <f>IF($A$4+146&gt;$B$4,"",$A$4+146)</f>
        <v>46169</v>
      </c>
      <c r="N14625" t="str">
        <f>IF(M14625="","",'Master Barang'!A19)</f>
        <v>PRL-018</v>
      </c>
      <c r="O14625" t="str">
        <f>IF(N14625="","",'Master Barang'!B19)</f>
        <v>onemed masker biru 3 play hijab 50 pcs</v>
      </c>
      <c r="P14625">
        <f>IF(OR(M14625="",N14625=""),"",SUMIFS('Barang Keluar'!$E:$E,'Barang Keluar'!$A:$A,M14625,'Barang Keluar'!$C:$C,N14625))</f>
        <v>0</v>
      </c>
    </row>
    <row r="14626" spans="13:16">
      <c r="M14626" s="49">
        <f>IF($A$4+146&gt;$B$4,"",$A$4+146)</f>
        <v>46169</v>
      </c>
      <c r="N14626" t="str">
        <f>IF(M14626="","",'Master Barang'!A20)</f>
        <v>PRL-019</v>
      </c>
      <c r="O14626" t="str">
        <f>IF(N14626="","",'Master Barang'!B20)</f>
        <v>neo health masker biru 3 play 50 pcs</v>
      </c>
      <c r="P14626">
        <f>IF(OR(M14626="",N14626=""),"",SUMIFS('Barang Keluar'!$E:$E,'Barang Keluar'!$A:$A,M14626,'Barang Keluar'!$C:$C,N14626))</f>
        <v>0</v>
      </c>
    </row>
    <row r="14627" spans="13:16">
      <c r="M14627" s="49">
        <f>IF($A$4+146&gt;$B$4,"",$A$4+146)</f>
        <v>46169</v>
      </c>
      <c r="N14627" t="str">
        <f>IF(M14627="","",'Master Barang'!A21)</f>
        <v>PRL-020</v>
      </c>
      <c r="O14627" t="str">
        <f>IF(N14627="","",'Master Barang'!B21)</f>
        <v>baymed masker hijau 3 play hijau 50 pcs</v>
      </c>
      <c r="P14627">
        <f>IF(OR(M14627="",N14627=""),"",SUMIFS('Barang Keluar'!$E:$E,'Barang Keluar'!$A:$A,M14627,'Barang Keluar'!$C:$C,N14627))</f>
        <v>0</v>
      </c>
    </row>
    <row r="14628" spans="13:16">
      <c r="M14628" s="49">
        <f>IF($A$4+146&gt;$B$4,"",$A$4+146)</f>
        <v>46169</v>
      </c>
      <c r="N14628" t="str">
        <f>IF(M14628="","",'Master Barang'!A22)</f>
        <v>PRL-021</v>
      </c>
      <c r="O14628" t="str">
        <f>IF(N14628="","",'Master Barang'!B22)</f>
        <v>altamed nurse cap penutup kepala 100 pcs</v>
      </c>
      <c r="P14628">
        <f>IF(OR(M14628="",N14628=""),"",SUMIFS('Barang Keluar'!$E:$E,'Barang Keluar'!$A:$A,M14628,'Barang Keluar'!$C:$C,N14628))</f>
        <v>0</v>
      </c>
    </row>
    <row r="14629" spans="13:16">
      <c r="M14629" s="49">
        <f>IF($A$4+146&gt;$B$4,"",$A$4+146)</f>
        <v>46169</v>
      </c>
      <c r="N14629" t="str">
        <f>IF(M14629="","",'Master Barang'!A23)</f>
        <v>PRL-022</v>
      </c>
      <c r="O14629" t="str">
        <f>IF(N14629="","",'Master Barang'!B23)</f>
        <v>sabun cuci tangan</v>
      </c>
      <c r="P14629">
        <f>IF(OR(M14629="",N14629=""),"",SUMIFS('Barang Keluar'!$E:$E,'Barang Keluar'!$A:$A,M14629,'Barang Keluar'!$C:$C,N14629))</f>
        <v>0</v>
      </c>
    </row>
    <row r="14630" spans="13:16">
      <c r="M14630" s="49">
        <f>IF($A$4+146&gt;$B$4,"",$A$4+146)</f>
        <v>46169</v>
      </c>
      <c r="N14630" t="str">
        <f>IF(M14630="","",'Master Barang'!A24)</f>
        <v>PRL-023</v>
      </c>
      <c r="O14630" t="str">
        <f>IF(N14630="","",'Master Barang'!B24)</f>
        <v>gayung kecil</v>
      </c>
      <c r="P14630">
        <f>IF(OR(M14630="",N14630=""),"",SUMIFS('Barang Keluar'!$E:$E,'Barang Keluar'!$A:$A,M14630,'Barang Keluar'!$C:$C,N14630))</f>
        <v>0</v>
      </c>
    </row>
    <row r="14631" spans="13:16">
      <c r="M14631" s="49">
        <f>IF($A$4+146&gt;$B$4,"",$A$4+146)</f>
        <v>46169</v>
      </c>
      <c r="N14631" t="str">
        <f>IF(M14631="","",'Master Barang'!A25)</f>
        <v>PRL-024</v>
      </c>
      <c r="O14631" t="str">
        <f>IF(N14631="","",'Master Barang'!B25)</f>
        <v>cikrak kecil</v>
      </c>
      <c r="P14631">
        <f>IF(OR(M14631="",N14631=""),"",SUMIFS('Barang Keluar'!$E:$E,'Barang Keluar'!$A:$A,M14631,'Barang Keluar'!$C:$C,N14631))</f>
        <v>0</v>
      </c>
    </row>
    <row r="14632" spans="13:16">
      <c r="M14632" s="49">
        <f>IF($A$4+146&gt;$B$4,"",$A$4+146)</f>
        <v>46169</v>
      </c>
      <c r="N14632" t="str">
        <f>IF(M14632="","",'Master Barang'!A26)</f>
        <v>PRL-025</v>
      </c>
      <c r="O14632" t="str">
        <f>IF(N14632="","",'Master Barang'!B26)</f>
        <v>petromax plastik kecil 12x24 100 lembar</v>
      </c>
      <c r="P14632">
        <f>IF(OR(M14632="",N14632=""),"",SUMIFS('Barang Keluar'!$E:$E,'Barang Keluar'!$A:$A,M14632,'Barang Keluar'!$C:$C,N14632))</f>
        <v>0</v>
      </c>
    </row>
    <row r="14633" spans="13:16">
      <c r="M14633" s="49">
        <f>IF($A$4+146&gt;$B$4,"",$A$4+146)</f>
        <v>46169</v>
      </c>
      <c r="N14633" t="str">
        <f>IF(M14633="","",'Master Barang'!A27)</f>
        <v>PRL-026</v>
      </c>
      <c r="O14633" t="str">
        <f>IF(N14633="","",'Master Barang'!B27)</f>
        <v>lancar kresek kecil bening </v>
      </c>
      <c r="P14633">
        <f>IF(OR(M14633="",N14633=""),"",SUMIFS('Barang Keluar'!$E:$E,'Barang Keluar'!$A:$A,M14633,'Barang Keluar'!$C:$C,N14633))</f>
        <v>0</v>
      </c>
    </row>
    <row r="14634" spans="13:16">
      <c r="M14634" s="49">
        <f>IF($A$4+146&gt;$B$4,"",$A$4+146)</f>
        <v>46169</v>
      </c>
      <c r="N14634" t="str">
        <f>IF(M14634="","",'Master Barang'!A28)</f>
        <v>PRL-027</v>
      </c>
      <c r="O14634" t="str">
        <f>IF(N14634="","",'Master Barang'!B28)</f>
        <v>kresek klin warna warni kecil</v>
      </c>
      <c r="P14634">
        <f>IF(OR(M14634="",N14634=""),"",SUMIFS('Barang Keluar'!$E:$E,'Barang Keluar'!$A:$A,M14634,'Barang Keluar'!$C:$C,N14634))</f>
        <v>0</v>
      </c>
    </row>
    <row r="14635" spans="13:16">
      <c r="M14635" s="49">
        <f>IF($A$4+146&gt;$B$4,"",$A$4+146)</f>
        <v>46169</v>
      </c>
      <c r="N14635" t="str">
        <f>IF(M14635="","",'Master Barang'!A29)</f>
        <v>PRL-028</v>
      </c>
      <c r="O14635" t="str">
        <f>IF(N14635="","",'Master Barang'!B29)</f>
        <v>ctik plastik 7x10 100 pcs</v>
      </c>
      <c r="P14635">
        <f>IF(OR(M14635="",N14635=""),"",SUMIFS('Barang Keluar'!$E:$E,'Barang Keluar'!$A:$A,M14635,'Barang Keluar'!$C:$C,N14635))</f>
        <v>0</v>
      </c>
    </row>
    <row r="14636" spans="13:16">
      <c r="M14636" s="49">
        <f>IF($A$4+146&gt;$B$4,"",$A$4+146)</f>
        <v>46169</v>
      </c>
      <c r="N14636" t="str">
        <f>IF(M14636="","",'Master Barang'!A30)</f>
        <v>PRL-029</v>
      </c>
      <c r="O14636" t="str">
        <f>IF(N14636="","",'Master Barang'!B30)</f>
        <v>ctik plastik 6x10 100 pcs</v>
      </c>
      <c r="P14636">
        <f>IF(OR(M14636="",N14636=""),"",SUMIFS('Barang Keluar'!$E:$E,'Barang Keluar'!$A:$A,M14636,'Barang Keluar'!$C:$C,N14636))</f>
        <v>0</v>
      </c>
    </row>
    <row r="14637" spans="13:16">
      <c r="M14637" s="49">
        <f>IF($A$4+146&gt;$B$4,"",$A$4+146)</f>
        <v>46169</v>
      </c>
      <c r="N14637" t="str">
        <f>IF(M14637="","",'Master Barang'!A31)</f>
        <v>PRL-030</v>
      </c>
      <c r="O14637" t="str">
        <f>IF(N14637="","",'Master Barang'!B31)</f>
        <v>klip plastik 25x16 100 pcs</v>
      </c>
      <c r="P14637">
        <f>IF(OR(M14637="",N14637=""),"",SUMIFS('Barang Keluar'!$E:$E,'Barang Keluar'!$A:$A,M14637,'Barang Keluar'!$C:$C,N14637))</f>
        <v>0</v>
      </c>
    </row>
    <row r="14638" spans="13:16">
      <c r="M14638" s="49">
        <f>IF($A$4+146&gt;$B$4,"",$A$4+146)</f>
        <v>46169</v>
      </c>
      <c r="N14638" t="str">
        <f>IF(M14638="","",'Master Barang'!A32)</f>
        <v>PRL-031</v>
      </c>
      <c r="O14638" t="str">
        <f>IF(N14638="","",'Master Barang'!B32)</f>
        <v>tempat saus 20 ml</v>
      </c>
      <c r="P14638">
        <f>IF(OR(M14638="",N14638=""),"",SUMIFS('Barang Keluar'!$E:$E,'Barang Keluar'!$A:$A,M14638,'Barang Keluar'!$C:$C,N14638))</f>
        <v>0</v>
      </c>
    </row>
    <row r="14639" spans="13:16">
      <c r="M14639" s="49">
        <f>IF($A$4+146&gt;$B$4,"",$A$4+146)</f>
        <v>46169</v>
      </c>
      <c r="N14639" t="str">
        <f>IF(M14639="","",'Master Barang'!A33)</f>
        <v>PRL-032</v>
      </c>
      <c r="O14639" t="str">
        <f>IF(N14639="","",'Master Barang'!B33)</f>
        <v>plastik packaging ag box uk sedang</v>
      </c>
      <c r="P14639">
        <f>IF(OR(M14639="",N14639=""),"",SUMIFS('Barang Keluar'!$E:$E,'Barang Keluar'!$A:$A,M14639,'Barang Keluar'!$C:$C,N14639))</f>
        <v>0</v>
      </c>
    </row>
    <row r="14640" spans="13:16">
      <c r="M14640" s="49">
        <f>IF($A$4+146&gt;$B$4,"",$A$4+146)</f>
        <v>46169</v>
      </c>
      <c r="N14640" t="str">
        <f>IF(M14640="","",'Master Barang'!A34)</f>
        <v>PRL-033</v>
      </c>
      <c r="O14640">
        <f>IF(N14640="","",'Master Barang'!B34)</f>
        <v>0</v>
      </c>
      <c r="P14640">
        <f>IF(OR(M14640="",N14640=""),"",SUMIFS('Barang Keluar'!$E:$E,'Barang Keluar'!$A:$A,M14640,'Barang Keluar'!$C:$C,N14640))</f>
        <v>0</v>
      </c>
    </row>
    <row r="14641" spans="13:16">
      <c r="M14641" s="49">
        <f>IF($A$4+146&gt;$B$4,"",$A$4+146)</f>
        <v>46169</v>
      </c>
      <c r="N14641">
        <f>IF(M14641="","",'Master Barang'!A35)</f>
        <v>0</v>
      </c>
      <c r="O14641">
        <f>IF(N14641="","",'Master Barang'!B35)</f>
        <v>0</v>
      </c>
      <c r="P14641">
        <f>IF(OR(M14641="",N14641=""),"",SUMIFS('Barang Keluar'!$E:$E,'Barang Keluar'!$A:$A,M14641,'Barang Keluar'!$C:$C,N14641))</f>
        <v>0</v>
      </c>
    </row>
    <row r="14642" spans="13:16">
      <c r="M14642" s="49">
        <f>IF($A$4+146&gt;$B$4,"",$A$4+146)</f>
        <v>46169</v>
      </c>
      <c r="N14642">
        <f>IF(M14642="","",'Master Barang'!A36)</f>
        <v>0</v>
      </c>
      <c r="O14642">
        <f>IF(N14642="","",'Master Barang'!B36)</f>
        <v>0</v>
      </c>
      <c r="P14642">
        <f>IF(OR(M14642="",N14642=""),"",SUMIFS('Barang Keluar'!$E:$E,'Barang Keluar'!$A:$A,M14642,'Barang Keluar'!$C:$C,N14642))</f>
        <v>0</v>
      </c>
    </row>
    <row r="14643" spans="13:16">
      <c r="M14643" s="49">
        <f>IF($A$4+146&gt;$B$4,"",$A$4+146)</f>
        <v>46169</v>
      </c>
      <c r="N14643">
        <f>IF(M14643="","",'Master Barang'!A37)</f>
        <v>0</v>
      </c>
      <c r="O14643">
        <f>IF(N14643="","",'Master Barang'!B37)</f>
        <v>0</v>
      </c>
      <c r="P14643">
        <f>IF(OR(M14643="",N14643=""),"",SUMIFS('Barang Keluar'!$E:$E,'Barang Keluar'!$A:$A,M14643,'Barang Keluar'!$C:$C,N14643))</f>
        <v>0</v>
      </c>
    </row>
    <row r="14644" spans="13:16">
      <c r="M14644" s="49">
        <f>IF($A$4+146&gt;$B$4,"",$A$4+146)</f>
        <v>46169</v>
      </c>
      <c r="N14644">
        <f>IF(M14644="","",'Master Barang'!A38)</f>
        <v>0</v>
      </c>
      <c r="O14644">
        <f>IF(N14644="","",'Master Barang'!B38)</f>
        <v>0</v>
      </c>
      <c r="P14644">
        <f>IF(OR(M14644="",N14644=""),"",SUMIFS('Barang Keluar'!$E:$E,'Barang Keluar'!$A:$A,M14644,'Barang Keluar'!$C:$C,N14644))</f>
        <v>0</v>
      </c>
    </row>
    <row r="14645" spans="13:16">
      <c r="M14645" s="49">
        <f>IF($A$4+146&gt;$B$4,"",$A$4+146)</f>
        <v>46169</v>
      </c>
      <c r="N14645">
        <f>IF(M14645="","",'Master Barang'!A39)</f>
        <v>0</v>
      </c>
      <c r="O14645">
        <f>IF(N14645="","",'Master Barang'!B39)</f>
        <v>0</v>
      </c>
      <c r="P14645">
        <f>IF(OR(M14645="",N14645=""),"",SUMIFS('Barang Keluar'!$E:$E,'Barang Keluar'!$A:$A,M14645,'Barang Keluar'!$C:$C,N14645))</f>
        <v>0</v>
      </c>
    </row>
    <row r="14646" spans="13:16">
      <c r="M14646" s="49">
        <f>IF($A$4+146&gt;$B$4,"",$A$4+146)</f>
        <v>46169</v>
      </c>
      <c r="N14646">
        <f>IF(M14646="","",'Master Barang'!A40)</f>
        <v>0</v>
      </c>
      <c r="O14646">
        <f>IF(N14646="","",'Master Barang'!B40)</f>
        <v>0</v>
      </c>
      <c r="P14646">
        <f>IF(OR(M14646="",N14646=""),"",SUMIFS('Barang Keluar'!$E:$E,'Barang Keluar'!$A:$A,M14646,'Barang Keluar'!$C:$C,N14646))</f>
        <v>0</v>
      </c>
    </row>
    <row r="14647" spans="13:16">
      <c r="M14647" s="49">
        <f>IF($A$4+146&gt;$B$4,"",$A$4+146)</f>
        <v>46169</v>
      </c>
      <c r="N14647">
        <f>IF(M14647="","",'Master Barang'!A41)</f>
        <v>0</v>
      </c>
      <c r="O14647">
        <f>IF(N14647="","",'Master Barang'!B41)</f>
        <v>0</v>
      </c>
      <c r="P14647">
        <f>IF(OR(M14647="",N14647=""),"",SUMIFS('Barang Keluar'!$E:$E,'Barang Keluar'!$A:$A,M14647,'Barang Keluar'!$C:$C,N14647))</f>
        <v>0</v>
      </c>
    </row>
    <row r="14648" spans="13:16">
      <c r="M14648" s="49">
        <f>IF($A$4+146&gt;$B$4,"",$A$4+146)</f>
        <v>46169</v>
      </c>
      <c r="N14648">
        <f>IF(M14648="","",'Master Barang'!A42)</f>
        <v>0</v>
      </c>
      <c r="O14648">
        <f>IF(N14648="","",'Master Barang'!B42)</f>
        <v>0</v>
      </c>
      <c r="P14648">
        <f>IF(OR(M14648="",N14648=""),"",SUMIFS('Barang Keluar'!$E:$E,'Barang Keluar'!$A:$A,M14648,'Barang Keluar'!$C:$C,N14648))</f>
        <v>0</v>
      </c>
    </row>
    <row r="14649" spans="13:16">
      <c r="M14649" s="49">
        <f>IF($A$4+146&gt;$B$4,"",$A$4+146)</f>
        <v>46169</v>
      </c>
      <c r="N14649">
        <f>IF(M14649="","",'Master Barang'!A43)</f>
        <v>0</v>
      </c>
      <c r="O14649">
        <f>IF(N14649="","",'Master Barang'!B43)</f>
        <v>0</v>
      </c>
      <c r="P14649">
        <f>IF(OR(M14649="",N14649=""),"",SUMIFS('Barang Keluar'!$E:$E,'Barang Keluar'!$A:$A,M14649,'Barang Keluar'!$C:$C,N14649))</f>
        <v>0</v>
      </c>
    </row>
    <row r="14650" spans="13:16">
      <c r="M14650" s="49">
        <f>IF($A$4+146&gt;$B$4,"",$A$4+146)</f>
        <v>46169</v>
      </c>
      <c r="N14650">
        <f>IF(M14650="","",'Master Barang'!A44)</f>
        <v>0</v>
      </c>
      <c r="O14650">
        <f>IF(N14650="","",'Master Barang'!B44)</f>
        <v>0</v>
      </c>
      <c r="P14650">
        <f>IF(OR(M14650="",N14650=""),"",SUMIFS('Barang Keluar'!$E:$E,'Barang Keluar'!$A:$A,M14650,'Barang Keluar'!$C:$C,N14650))</f>
        <v>0</v>
      </c>
    </row>
    <row r="14651" spans="13:16">
      <c r="M14651" s="49">
        <f>IF($A$4+146&gt;$B$4,"",$A$4+146)</f>
        <v>46169</v>
      </c>
      <c r="N14651">
        <f>IF(M14651="","",'Master Barang'!A45)</f>
        <v>0</v>
      </c>
      <c r="O14651">
        <f>IF(N14651="","",'Master Barang'!B45)</f>
        <v>0</v>
      </c>
      <c r="P14651">
        <f>IF(OR(M14651="",N14651=""),"",SUMIFS('Barang Keluar'!$E:$E,'Barang Keluar'!$A:$A,M14651,'Barang Keluar'!$C:$C,N14651))</f>
        <v>0</v>
      </c>
    </row>
    <row r="14652" spans="13:16">
      <c r="M14652" s="49">
        <f>IF($A$4+146&gt;$B$4,"",$A$4+146)</f>
        <v>46169</v>
      </c>
      <c r="N14652">
        <f>IF(M14652="","",'Master Barang'!A46)</f>
        <v>0</v>
      </c>
      <c r="O14652">
        <f>IF(N14652="","",'Master Barang'!B46)</f>
        <v>0</v>
      </c>
      <c r="P14652">
        <f>IF(OR(M14652="",N14652=""),"",SUMIFS('Barang Keluar'!$E:$E,'Barang Keluar'!$A:$A,M14652,'Barang Keluar'!$C:$C,N14652))</f>
        <v>0</v>
      </c>
    </row>
    <row r="14653" spans="13:16">
      <c r="M14653" s="49">
        <f>IF($A$4+146&gt;$B$4,"",$A$4+146)</f>
        <v>46169</v>
      </c>
      <c r="N14653">
        <f>IF(M14653="","",'Master Barang'!A47)</f>
        <v>0</v>
      </c>
      <c r="O14653">
        <f>IF(N14653="","",'Master Barang'!B47)</f>
        <v>0</v>
      </c>
      <c r="P14653">
        <f>IF(OR(M14653="",N14653=""),"",SUMIFS('Barang Keluar'!$E:$E,'Barang Keluar'!$A:$A,M14653,'Barang Keluar'!$C:$C,N14653))</f>
        <v>0</v>
      </c>
    </row>
    <row r="14654" spans="13:16">
      <c r="M14654" s="49">
        <f>IF($A$4+146&gt;$B$4,"",$A$4+146)</f>
        <v>46169</v>
      </c>
      <c r="N14654">
        <f>IF(M14654="","",'Master Barang'!A48)</f>
        <v>0</v>
      </c>
      <c r="O14654">
        <f>IF(N14654="","",'Master Barang'!B48)</f>
        <v>0</v>
      </c>
      <c r="P14654">
        <f>IF(OR(M14654="",N14654=""),"",SUMIFS('Barang Keluar'!$E:$E,'Barang Keluar'!$A:$A,M14654,'Barang Keluar'!$C:$C,N14654))</f>
        <v>0</v>
      </c>
    </row>
    <row r="14655" spans="13:16">
      <c r="M14655" s="49">
        <f>IF($A$4+146&gt;$B$4,"",$A$4+146)</f>
        <v>46169</v>
      </c>
      <c r="N14655">
        <f>IF(M14655="","",'Master Barang'!A49)</f>
        <v>0</v>
      </c>
      <c r="O14655">
        <f>IF(N14655="","",'Master Barang'!B49)</f>
        <v>0</v>
      </c>
      <c r="P14655">
        <f>IF(OR(M14655="",N14655=""),"",SUMIFS('Barang Keluar'!$E:$E,'Barang Keluar'!$A:$A,M14655,'Barang Keluar'!$C:$C,N14655))</f>
        <v>0</v>
      </c>
    </row>
    <row r="14656" spans="13:16">
      <c r="M14656" s="49">
        <f>IF($A$4+146&gt;$B$4,"",$A$4+146)</f>
        <v>46169</v>
      </c>
      <c r="N14656">
        <f>IF(M14656="","",'Master Barang'!A50)</f>
        <v>0</v>
      </c>
      <c r="O14656">
        <f>IF(N14656="","",'Master Barang'!B50)</f>
        <v>0</v>
      </c>
      <c r="P14656">
        <f>IF(OR(M14656="",N14656=""),"",SUMIFS('Barang Keluar'!$E:$E,'Barang Keluar'!$A:$A,M14656,'Barang Keluar'!$C:$C,N14656))</f>
        <v>0</v>
      </c>
    </row>
    <row r="14657" spans="13:16">
      <c r="M14657" s="49">
        <f>IF($A$4+146&gt;$B$4,"",$A$4+146)</f>
        <v>46169</v>
      </c>
      <c r="N14657">
        <f>IF(M14657="","",'Master Barang'!A51)</f>
        <v>0</v>
      </c>
      <c r="O14657">
        <f>IF(N14657="","",'Master Barang'!B51)</f>
        <v>0</v>
      </c>
      <c r="P14657">
        <f>IF(OR(M14657="",N14657=""),"",SUMIFS('Barang Keluar'!$E:$E,'Barang Keluar'!$A:$A,M14657,'Barang Keluar'!$C:$C,N14657))</f>
        <v>0</v>
      </c>
    </row>
    <row r="14658" spans="13:16">
      <c r="M14658" s="49">
        <f>IF($A$4+146&gt;$B$4,"",$A$4+146)</f>
        <v>46169</v>
      </c>
      <c r="N14658">
        <f>IF(M14658="","",'Master Barang'!A52)</f>
        <v>0</v>
      </c>
      <c r="O14658">
        <f>IF(N14658="","",'Master Barang'!B52)</f>
        <v>0</v>
      </c>
      <c r="P14658">
        <f>IF(OR(M14658="",N14658=""),"",SUMIFS('Barang Keluar'!$E:$E,'Barang Keluar'!$A:$A,M14658,'Barang Keluar'!$C:$C,N14658))</f>
        <v>0</v>
      </c>
    </row>
    <row r="14659" spans="13:16">
      <c r="M14659" s="49">
        <f>IF($A$4+146&gt;$B$4,"",$A$4+146)</f>
        <v>46169</v>
      </c>
      <c r="N14659">
        <f>IF(M14659="","",'Master Barang'!A53)</f>
        <v>0</v>
      </c>
      <c r="O14659">
        <f>IF(N14659="","",'Master Barang'!B53)</f>
        <v>0</v>
      </c>
      <c r="P14659">
        <f>IF(OR(M14659="",N14659=""),"",SUMIFS('Barang Keluar'!$E:$E,'Barang Keluar'!$A:$A,M14659,'Barang Keluar'!$C:$C,N14659))</f>
        <v>0</v>
      </c>
    </row>
    <row r="14660" spans="13:16">
      <c r="M14660" s="49">
        <f>IF($A$4+146&gt;$B$4,"",$A$4+146)</f>
        <v>46169</v>
      </c>
      <c r="N14660">
        <f>IF(M14660="","",'Master Barang'!A54)</f>
        <v>0</v>
      </c>
      <c r="O14660">
        <f>IF(N14660="","",'Master Barang'!B54)</f>
        <v>0</v>
      </c>
      <c r="P14660">
        <f>IF(OR(M14660="",N14660=""),"",SUMIFS('Barang Keluar'!$E:$E,'Barang Keluar'!$A:$A,M14660,'Barang Keluar'!$C:$C,N14660))</f>
        <v>0</v>
      </c>
    </row>
    <row r="14661" spans="13:16">
      <c r="M14661" s="49">
        <f>IF($A$4+146&gt;$B$4,"",$A$4+146)</f>
        <v>46169</v>
      </c>
      <c r="N14661">
        <f>IF(M14661="","",'Master Barang'!A55)</f>
        <v>0</v>
      </c>
      <c r="O14661">
        <f>IF(N14661="","",'Master Barang'!B55)</f>
        <v>0</v>
      </c>
      <c r="P14661">
        <f>IF(OR(M14661="",N14661=""),"",SUMIFS('Barang Keluar'!$E:$E,'Barang Keluar'!$A:$A,M14661,'Barang Keluar'!$C:$C,N14661))</f>
        <v>0</v>
      </c>
    </row>
    <row r="14662" spans="13:16">
      <c r="M14662" s="49">
        <f>IF($A$4+146&gt;$B$4,"",$A$4+146)</f>
        <v>46169</v>
      </c>
      <c r="N14662">
        <f>IF(M14662="","",'Master Barang'!A56)</f>
        <v>0</v>
      </c>
      <c r="O14662">
        <f>IF(N14662="","",'Master Barang'!B56)</f>
        <v>0</v>
      </c>
      <c r="P14662">
        <f>IF(OR(M14662="",N14662=""),"",SUMIFS('Barang Keluar'!$E:$E,'Barang Keluar'!$A:$A,M14662,'Barang Keluar'!$C:$C,N14662))</f>
        <v>0</v>
      </c>
    </row>
    <row r="14663" spans="13:16">
      <c r="M14663" s="49">
        <f>IF($A$4+146&gt;$B$4,"",$A$4+146)</f>
        <v>46169</v>
      </c>
      <c r="N14663">
        <f>IF(M14663="","",'Master Barang'!A57)</f>
        <v>0</v>
      </c>
      <c r="O14663">
        <f>IF(N14663="","",'Master Barang'!B57)</f>
        <v>0</v>
      </c>
      <c r="P14663">
        <f>IF(OR(M14663="",N14663=""),"",SUMIFS('Barang Keluar'!$E:$E,'Barang Keluar'!$A:$A,M14663,'Barang Keluar'!$C:$C,N14663))</f>
        <v>0</v>
      </c>
    </row>
    <row r="14664" spans="13:16">
      <c r="M14664" s="49">
        <f>IF($A$4+146&gt;$B$4,"",$A$4+146)</f>
        <v>46169</v>
      </c>
      <c r="N14664">
        <f>IF(M14664="","",'Master Barang'!A58)</f>
        <v>0</v>
      </c>
      <c r="O14664">
        <f>IF(N14664="","",'Master Barang'!B58)</f>
        <v>0</v>
      </c>
      <c r="P14664">
        <f>IF(OR(M14664="",N14664=""),"",SUMIFS('Barang Keluar'!$E:$E,'Barang Keluar'!$A:$A,M14664,'Barang Keluar'!$C:$C,N14664))</f>
        <v>0</v>
      </c>
    </row>
    <row r="14665" spans="13:16">
      <c r="M14665" s="49">
        <f>IF($A$4+146&gt;$B$4,"",$A$4+146)</f>
        <v>46169</v>
      </c>
      <c r="N14665">
        <f>IF(M14665="","",'Master Barang'!A59)</f>
        <v>0</v>
      </c>
      <c r="O14665">
        <f>IF(N14665="","",'Master Barang'!B59)</f>
        <v>0</v>
      </c>
      <c r="P14665">
        <f>IF(OR(M14665="",N14665=""),"",SUMIFS('Barang Keluar'!$E:$E,'Barang Keluar'!$A:$A,M14665,'Barang Keluar'!$C:$C,N14665))</f>
        <v>0</v>
      </c>
    </row>
    <row r="14666" spans="13:16">
      <c r="M14666" s="49">
        <f>IF($A$4+146&gt;$B$4,"",$A$4+146)</f>
        <v>46169</v>
      </c>
      <c r="N14666">
        <f>IF(M14666="","",'Master Barang'!A60)</f>
        <v>0</v>
      </c>
      <c r="O14666">
        <f>IF(N14666="","",'Master Barang'!B60)</f>
        <v>0</v>
      </c>
      <c r="P14666">
        <f>IF(OR(M14666="",N14666=""),"",SUMIFS('Barang Keluar'!$E:$E,'Barang Keluar'!$A:$A,M14666,'Barang Keluar'!$C:$C,N14666))</f>
        <v>0</v>
      </c>
    </row>
    <row r="14667" spans="13:16">
      <c r="M14667" s="49">
        <f>IF($A$4+146&gt;$B$4,"",$A$4+146)</f>
        <v>46169</v>
      </c>
      <c r="N14667">
        <f>IF(M14667="","",'Master Barang'!A61)</f>
        <v>0</v>
      </c>
      <c r="O14667">
        <f>IF(N14667="","",'Master Barang'!B61)</f>
        <v>0</v>
      </c>
      <c r="P14667">
        <f>IF(OR(M14667="",N14667=""),"",SUMIFS('Barang Keluar'!$E:$E,'Barang Keluar'!$A:$A,M14667,'Barang Keluar'!$C:$C,N14667))</f>
        <v>0</v>
      </c>
    </row>
    <row r="14668" spans="13:16">
      <c r="M14668" s="49">
        <f>IF($A$4+146&gt;$B$4,"",$A$4+146)</f>
        <v>46169</v>
      </c>
      <c r="N14668">
        <f>IF(M14668="","",'Master Barang'!A62)</f>
        <v>0</v>
      </c>
      <c r="O14668">
        <f>IF(N14668="","",'Master Barang'!B62)</f>
        <v>0</v>
      </c>
      <c r="P14668">
        <f>IF(OR(M14668="",N14668=""),"",SUMIFS('Barang Keluar'!$E:$E,'Barang Keluar'!$A:$A,M14668,'Barang Keluar'!$C:$C,N14668))</f>
        <v>0</v>
      </c>
    </row>
    <row r="14669" spans="13:16">
      <c r="M14669" s="49">
        <f>IF($A$4+146&gt;$B$4,"",$A$4+146)</f>
        <v>46169</v>
      </c>
      <c r="N14669">
        <f>IF(M14669="","",'Master Barang'!A63)</f>
        <v>0</v>
      </c>
      <c r="O14669">
        <f>IF(N14669="","",'Master Barang'!B63)</f>
        <v>0</v>
      </c>
      <c r="P14669">
        <f>IF(OR(M14669="",N14669=""),"",SUMIFS('Barang Keluar'!$E:$E,'Barang Keluar'!$A:$A,M14669,'Barang Keluar'!$C:$C,N14669))</f>
        <v>0</v>
      </c>
    </row>
    <row r="14670" spans="13:16">
      <c r="M14670" s="49">
        <f>IF($A$4+146&gt;$B$4,"",$A$4+146)</f>
        <v>46169</v>
      </c>
      <c r="N14670">
        <f>IF(M14670="","",'Master Barang'!A64)</f>
        <v>0</v>
      </c>
      <c r="O14670">
        <f>IF(N14670="","",'Master Barang'!B64)</f>
        <v>0</v>
      </c>
      <c r="P14670">
        <f>IF(OR(M14670="",N14670=""),"",SUMIFS('Barang Keluar'!$E:$E,'Barang Keluar'!$A:$A,M14670,'Barang Keluar'!$C:$C,N14670))</f>
        <v>0</v>
      </c>
    </row>
    <row r="14671" spans="13:16">
      <c r="M14671" s="49">
        <f>IF($A$4+146&gt;$B$4,"",$A$4+146)</f>
        <v>46169</v>
      </c>
      <c r="N14671">
        <f>IF(M14671="","",'Master Barang'!A65)</f>
        <v>0</v>
      </c>
      <c r="O14671">
        <f>IF(N14671="","",'Master Barang'!B65)</f>
        <v>0</v>
      </c>
      <c r="P14671">
        <f>IF(OR(M14671="",N14671=""),"",SUMIFS('Barang Keluar'!$E:$E,'Barang Keluar'!$A:$A,M14671,'Barang Keluar'!$C:$C,N14671))</f>
        <v>0</v>
      </c>
    </row>
    <row r="14672" spans="13:16">
      <c r="M14672" s="49">
        <f>IF($A$4+146&gt;$B$4,"",$A$4+146)</f>
        <v>46169</v>
      </c>
      <c r="N14672">
        <f>IF(M14672="","",'Master Barang'!A66)</f>
        <v>0</v>
      </c>
      <c r="O14672">
        <f>IF(N14672="","",'Master Barang'!B66)</f>
        <v>0</v>
      </c>
      <c r="P14672">
        <f>IF(OR(M14672="",N14672=""),"",SUMIFS('Barang Keluar'!$E:$E,'Barang Keluar'!$A:$A,M14672,'Barang Keluar'!$C:$C,N14672))</f>
        <v>0</v>
      </c>
    </row>
    <row r="14673" spans="13:16">
      <c r="M14673" s="49">
        <f>IF($A$4+146&gt;$B$4,"",$A$4+146)</f>
        <v>46169</v>
      </c>
      <c r="N14673">
        <f>IF(M14673="","",'Master Barang'!A67)</f>
        <v>0</v>
      </c>
      <c r="O14673">
        <f>IF(N14673="","",'Master Barang'!B67)</f>
        <v>0</v>
      </c>
      <c r="P14673">
        <f>IF(OR(M14673="",N14673=""),"",SUMIFS('Barang Keluar'!$E:$E,'Barang Keluar'!$A:$A,M14673,'Barang Keluar'!$C:$C,N14673))</f>
        <v>0</v>
      </c>
    </row>
    <row r="14674" spans="13:16">
      <c r="M14674" s="49">
        <f>IF($A$4+146&gt;$B$4,"",$A$4+146)</f>
        <v>46169</v>
      </c>
      <c r="N14674">
        <f>IF(M14674="","",'Master Barang'!A68)</f>
        <v>0</v>
      </c>
      <c r="O14674">
        <f>IF(N14674="","",'Master Barang'!B68)</f>
        <v>0</v>
      </c>
      <c r="P14674">
        <f>IF(OR(M14674="",N14674=""),"",SUMIFS('Barang Keluar'!$E:$E,'Barang Keluar'!$A:$A,M14674,'Barang Keluar'!$C:$C,N14674))</f>
        <v>0</v>
      </c>
    </row>
    <row r="14675" spans="13:16">
      <c r="M14675" s="49">
        <f>IF($A$4+146&gt;$B$4,"",$A$4+146)</f>
        <v>46169</v>
      </c>
      <c r="N14675">
        <f>IF(M14675="","",'Master Barang'!A69)</f>
        <v>0</v>
      </c>
      <c r="O14675">
        <f>IF(N14675="","",'Master Barang'!B69)</f>
        <v>0</v>
      </c>
      <c r="P14675">
        <f>IF(OR(M14675="",N14675=""),"",SUMIFS('Barang Keluar'!$E:$E,'Barang Keluar'!$A:$A,M14675,'Barang Keluar'!$C:$C,N14675))</f>
        <v>0</v>
      </c>
    </row>
    <row r="14676" spans="13:16">
      <c r="M14676" s="49">
        <f>IF($A$4+146&gt;$B$4,"",$A$4+146)</f>
        <v>46169</v>
      </c>
      <c r="N14676">
        <f>IF(M14676="","",'Master Barang'!A70)</f>
        <v>0</v>
      </c>
      <c r="O14676">
        <f>IF(N14676="","",'Master Barang'!B70)</f>
        <v>0</v>
      </c>
      <c r="P14676">
        <f>IF(OR(M14676="",N14676=""),"",SUMIFS('Barang Keluar'!$E:$E,'Barang Keluar'!$A:$A,M14676,'Barang Keluar'!$C:$C,N14676))</f>
        <v>0</v>
      </c>
    </row>
    <row r="14677" spans="13:16">
      <c r="M14677" s="49">
        <f>IF($A$4+146&gt;$B$4,"",$A$4+146)</f>
        <v>46169</v>
      </c>
      <c r="N14677">
        <f>IF(M14677="","",'Master Barang'!A71)</f>
        <v>0</v>
      </c>
      <c r="O14677">
        <f>IF(N14677="","",'Master Barang'!B71)</f>
        <v>0</v>
      </c>
      <c r="P14677">
        <f>IF(OR(M14677="",N14677=""),"",SUMIFS('Barang Keluar'!$E:$E,'Barang Keluar'!$A:$A,M14677,'Barang Keluar'!$C:$C,N14677))</f>
        <v>0</v>
      </c>
    </row>
    <row r="14678" spans="13:16">
      <c r="M14678" s="49">
        <f>IF($A$4+146&gt;$B$4,"",$A$4+146)</f>
        <v>46169</v>
      </c>
      <c r="N14678">
        <f>IF(M14678="","",'Master Barang'!A72)</f>
        <v>0</v>
      </c>
      <c r="O14678">
        <f>IF(N14678="","",'Master Barang'!B72)</f>
        <v>0</v>
      </c>
      <c r="P14678">
        <f>IF(OR(M14678="",N14678=""),"",SUMIFS('Barang Keluar'!$E:$E,'Barang Keluar'!$A:$A,M14678,'Barang Keluar'!$C:$C,N14678))</f>
        <v>0</v>
      </c>
    </row>
    <row r="14679" spans="13:16">
      <c r="M14679" s="49">
        <f>IF($A$4+146&gt;$B$4,"",$A$4+146)</f>
        <v>46169</v>
      </c>
      <c r="N14679">
        <f>IF(M14679="","",'Master Barang'!A73)</f>
        <v>0</v>
      </c>
      <c r="O14679">
        <f>IF(N14679="","",'Master Barang'!B73)</f>
        <v>0</v>
      </c>
      <c r="P14679">
        <f>IF(OR(M14679="",N14679=""),"",SUMIFS('Barang Keluar'!$E:$E,'Barang Keluar'!$A:$A,M14679,'Barang Keluar'!$C:$C,N14679))</f>
        <v>0</v>
      </c>
    </row>
    <row r="14680" spans="13:16">
      <c r="M14680" s="49">
        <f>IF($A$4+146&gt;$B$4,"",$A$4+146)</f>
        <v>46169</v>
      </c>
      <c r="N14680">
        <f>IF(M14680="","",'Master Barang'!A74)</f>
        <v>0</v>
      </c>
      <c r="O14680">
        <f>IF(N14680="","",'Master Barang'!B74)</f>
        <v>0</v>
      </c>
      <c r="P14680">
        <f>IF(OR(M14680="",N14680=""),"",SUMIFS('Barang Keluar'!$E:$E,'Barang Keluar'!$A:$A,M14680,'Barang Keluar'!$C:$C,N14680))</f>
        <v>0</v>
      </c>
    </row>
    <row r="14681" spans="13:16">
      <c r="M14681" s="49">
        <f>IF($A$4+146&gt;$B$4,"",$A$4+146)</f>
        <v>46169</v>
      </c>
      <c r="N14681">
        <f>IF(M14681="","",'Master Barang'!A75)</f>
        <v>0</v>
      </c>
      <c r="O14681">
        <f>IF(N14681="","",'Master Barang'!B75)</f>
        <v>0</v>
      </c>
      <c r="P14681">
        <f>IF(OR(M14681="",N14681=""),"",SUMIFS('Barang Keluar'!$E:$E,'Barang Keluar'!$A:$A,M14681,'Barang Keluar'!$C:$C,N14681))</f>
        <v>0</v>
      </c>
    </row>
    <row r="14682" spans="13:16">
      <c r="M14682" s="49">
        <f>IF($A$4+146&gt;$B$4,"",$A$4+146)</f>
        <v>46169</v>
      </c>
      <c r="N14682">
        <f>IF(M14682="","",'Master Barang'!A76)</f>
        <v>0</v>
      </c>
      <c r="O14682">
        <f>IF(N14682="","",'Master Barang'!B76)</f>
        <v>0</v>
      </c>
      <c r="P14682">
        <f>IF(OR(M14682="",N14682=""),"",SUMIFS('Barang Keluar'!$E:$E,'Barang Keluar'!$A:$A,M14682,'Barang Keluar'!$C:$C,N14682))</f>
        <v>0</v>
      </c>
    </row>
    <row r="14683" spans="13:16">
      <c r="M14683" s="49">
        <f>IF($A$4+146&gt;$B$4,"",$A$4+146)</f>
        <v>46169</v>
      </c>
      <c r="N14683">
        <f>IF(M14683="","",'Master Barang'!A77)</f>
        <v>0</v>
      </c>
      <c r="O14683">
        <f>IF(N14683="","",'Master Barang'!B77)</f>
        <v>0</v>
      </c>
      <c r="P14683">
        <f>IF(OR(M14683="",N14683=""),"",SUMIFS('Barang Keluar'!$E:$E,'Barang Keluar'!$A:$A,M14683,'Barang Keluar'!$C:$C,N14683))</f>
        <v>0</v>
      </c>
    </row>
    <row r="14684" spans="13:16">
      <c r="M14684" s="49">
        <f>IF($A$4+146&gt;$B$4,"",$A$4+146)</f>
        <v>46169</v>
      </c>
      <c r="N14684">
        <f>IF(M14684="","",'Master Barang'!A78)</f>
        <v>0</v>
      </c>
      <c r="O14684">
        <f>IF(N14684="","",'Master Barang'!B78)</f>
        <v>0</v>
      </c>
      <c r="P14684">
        <f>IF(OR(M14684="",N14684=""),"",SUMIFS('Barang Keluar'!$E:$E,'Barang Keluar'!$A:$A,M14684,'Barang Keluar'!$C:$C,N14684))</f>
        <v>0</v>
      </c>
    </row>
    <row r="14685" spans="13:16">
      <c r="M14685" s="49">
        <f>IF($A$4+146&gt;$B$4,"",$A$4+146)</f>
        <v>46169</v>
      </c>
      <c r="N14685">
        <f>IF(M14685="","",'Master Barang'!A79)</f>
        <v>0</v>
      </c>
      <c r="O14685">
        <f>IF(N14685="","",'Master Barang'!B79)</f>
        <v>0</v>
      </c>
      <c r="P14685">
        <f>IF(OR(M14685="",N14685=""),"",SUMIFS('Barang Keluar'!$E:$E,'Barang Keluar'!$A:$A,M14685,'Barang Keluar'!$C:$C,N14685))</f>
        <v>0</v>
      </c>
    </row>
    <row r="14686" spans="13:16">
      <c r="M14686" s="49">
        <f>IF($A$4+146&gt;$B$4,"",$A$4+146)</f>
        <v>46169</v>
      </c>
      <c r="N14686">
        <f>IF(M14686="","",'Master Barang'!A80)</f>
        <v>0</v>
      </c>
      <c r="O14686">
        <f>IF(N14686="","",'Master Barang'!B80)</f>
        <v>0</v>
      </c>
      <c r="P14686">
        <f>IF(OR(M14686="",N14686=""),"",SUMIFS('Barang Keluar'!$E:$E,'Barang Keluar'!$A:$A,M14686,'Barang Keluar'!$C:$C,N14686))</f>
        <v>0</v>
      </c>
    </row>
    <row r="14687" spans="13:16">
      <c r="M14687" s="49">
        <f>IF($A$4+146&gt;$B$4,"",$A$4+146)</f>
        <v>46169</v>
      </c>
      <c r="N14687">
        <f>IF(M14687="","",'Master Barang'!A81)</f>
        <v>0</v>
      </c>
      <c r="O14687">
        <f>IF(N14687="","",'Master Barang'!B81)</f>
        <v>0</v>
      </c>
      <c r="P14687">
        <f>IF(OR(M14687="",N14687=""),"",SUMIFS('Barang Keluar'!$E:$E,'Barang Keluar'!$A:$A,M14687,'Barang Keluar'!$C:$C,N14687))</f>
        <v>0</v>
      </c>
    </row>
    <row r="14688" spans="13:16">
      <c r="M14688" s="49">
        <f>IF($A$4+146&gt;$B$4,"",$A$4+146)</f>
        <v>46169</v>
      </c>
      <c r="N14688">
        <f>IF(M14688="","",'Master Barang'!A82)</f>
        <v>0</v>
      </c>
      <c r="O14688">
        <f>IF(N14688="","",'Master Barang'!B82)</f>
        <v>0</v>
      </c>
      <c r="P14688">
        <f>IF(OR(M14688="",N14688=""),"",SUMIFS('Barang Keluar'!$E:$E,'Barang Keluar'!$A:$A,M14688,'Barang Keluar'!$C:$C,N14688))</f>
        <v>0</v>
      </c>
    </row>
    <row r="14689" spans="13:16">
      <c r="M14689" s="49">
        <f>IF($A$4+146&gt;$B$4,"",$A$4+146)</f>
        <v>46169</v>
      </c>
      <c r="N14689">
        <f>IF(M14689="","",'Master Barang'!A83)</f>
        <v>0</v>
      </c>
      <c r="O14689">
        <f>IF(N14689="","",'Master Barang'!B83)</f>
        <v>0</v>
      </c>
      <c r="P14689">
        <f>IF(OR(M14689="",N14689=""),"",SUMIFS('Barang Keluar'!$E:$E,'Barang Keluar'!$A:$A,M14689,'Barang Keluar'!$C:$C,N14689))</f>
        <v>0</v>
      </c>
    </row>
    <row r="14690" spans="13:16">
      <c r="M14690" s="49">
        <f>IF($A$4+146&gt;$B$4,"",$A$4+146)</f>
        <v>46169</v>
      </c>
      <c r="N14690">
        <f>IF(M14690="","",'Master Barang'!A84)</f>
        <v>0</v>
      </c>
      <c r="O14690">
        <f>IF(N14690="","",'Master Barang'!B84)</f>
        <v>0</v>
      </c>
      <c r="P14690">
        <f>IF(OR(M14690="",N14690=""),"",SUMIFS('Barang Keluar'!$E:$E,'Barang Keluar'!$A:$A,M14690,'Barang Keluar'!$C:$C,N14690))</f>
        <v>0</v>
      </c>
    </row>
    <row r="14691" spans="13:16">
      <c r="M14691" s="49">
        <f>IF($A$4+146&gt;$B$4,"",$A$4+146)</f>
        <v>46169</v>
      </c>
      <c r="N14691">
        <f>IF(M14691="","",'Master Barang'!A85)</f>
        <v>0</v>
      </c>
      <c r="O14691">
        <f>IF(N14691="","",'Master Barang'!B85)</f>
        <v>0</v>
      </c>
      <c r="P14691">
        <f>IF(OR(M14691="",N14691=""),"",SUMIFS('Barang Keluar'!$E:$E,'Barang Keluar'!$A:$A,M14691,'Barang Keluar'!$C:$C,N14691))</f>
        <v>0</v>
      </c>
    </row>
    <row r="14692" spans="13:16">
      <c r="M14692" s="49">
        <f>IF($A$4+146&gt;$B$4,"",$A$4+146)</f>
        <v>46169</v>
      </c>
      <c r="N14692">
        <f>IF(M14692="","",'Master Barang'!A86)</f>
        <v>0</v>
      </c>
      <c r="O14692">
        <f>IF(N14692="","",'Master Barang'!B86)</f>
        <v>0</v>
      </c>
      <c r="P14692">
        <f>IF(OR(M14692="",N14692=""),"",SUMIFS('Barang Keluar'!$E:$E,'Barang Keluar'!$A:$A,M14692,'Barang Keluar'!$C:$C,N14692))</f>
        <v>0</v>
      </c>
    </row>
    <row r="14693" spans="13:16">
      <c r="M14693" s="49">
        <f>IF($A$4+146&gt;$B$4,"",$A$4+146)</f>
        <v>46169</v>
      </c>
      <c r="N14693">
        <f>IF(M14693="","",'Master Barang'!A87)</f>
        <v>0</v>
      </c>
      <c r="O14693">
        <f>IF(N14693="","",'Master Barang'!B87)</f>
        <v>0</v>
      </c>
      <c r="P14693">
        <f>IF(OR(M14693="",N14693=""),"",SUMIFS('Barang Keluar'!$E:$E,'Barang Keluar'!$A:$A,M14693,'Barang Keluar'!$C:$C,N14693))</f>
        <v>0</v>
      </c>
    </row>
    <row r="14694" spans="13:16">
      <c r="M14694" s="49">
        <f>IF($A$4+146&gt;$B$4,"",$A$4+146)</f>
        <v>46169</v>
      </c>
      <c r="N14694">
        <f>IF(M14694="","",'Master Barang'!A88)</f>
        <v>0</v>
      </c>
      <c r="O14694">
        <f>IF(N14694="","",'Master Barang'!B88)</f>
        <v>0</v>
      </c>
      <c r="P14694">
        <f>IF(OR(M14694="",N14694=""),"",SUMIFS('Barang Keluar'!$E:$E,'Barang Keluar'!$A:$A,M14694,'Barang Keluar'!$C:$C,N14694))</f>
        <v>0</v>
      </c>
    </row>
    <row r="14695" spans="13:16">
      <c r="M14695" s="49">
        <f>IF($A$4+146&gt;$B$4,"",$A$4+146)</f>
        <v>46169</v>
      </c>
      <c r="N14695">
        <f>IF(M14695="","",'Master Barang'!A89)</f>
        <v>0</v>
      </c>
      <c r="O14695">
        <f>IF(N14695="","",'Master Barang'!B89)</f>
        <v>0</v>
      </c>
      <c r="P14695">
        <f>IF(OR(M14695="",N14695=""),"",SUMIFS('Barang Keluar'!$E:$E,'Barang Keluar'!$A:$A,M14695,'Barang Keluar'!$C:$C,N14695))</f>
        <v>0</v>
      </c>
    </row>
    <row r="14696" spans="13:16">
      <c r="M14696" s="49">
        <f>IF($A$4+146&gt;$B$4,"",$A$4+146)</f>
        <v>46169</v>
      </c>
      <c r="N14696">
        <f>IF(M14696="","",'Master Barang'!A90)</f>
        <v>0</v>
      </c>
      <c r="O14696">
        <f>IF(N14696="","",'Master Barang'!B90)</f>
        <v>0</v>
      </c>
      <c r="P14696">
        <f>IF(OR(M14696="",N14696=""),"",SUMIFS('Barang Keluar'!$E:$E,'Barang Keluar'!$A:$A,M14696,'Barang Keluar'!$C:$C,N14696))</f>
        <v>0</v>
      </c>
    </row>
    <row r="14697" spans="13:16">
      <c r="M14697" s="49">
        <f>IF($A$4+146&gt;$B$4,"",$A$4+146)</f>
        <v>46169</v>
      </c>
      <c r="N14697">
        <f>IF(M14697="","",'Master Barang'!A91)</f>
        <v>0</v>
      </c>
      <c r="O14697">
        <f>IF(N14697="","",'Master Barang'!B91)</f>
        <v>0</v>
      </c>
      <c r="P14697">
        <f>IF(OR(M14697="",N14697=""),"",SUMIFS('Barang Keluar'!$E:$E,'Barang Keluar'!$A:$A,M14697,'Barang Keluar'!$C:$C,N14697))</f>
        <v>0</v>
      </c>
    </row>
    <row r="14698" spans="13:16">
      <c r="M14698" s="49">
        <f>IF($A$4+146&gt;$B$4,"",$A$4+146)</f>
        <v>46169</v>
      </c>
      <c r="N14698">
        <f>IF(M14698="","",'Master Barang'!A92)</f>
        <v>0</v>
      </c>
      <c r="O14698">
        <f>IF(N14698="","",'Master Barang'!B92)</f>
        <v>0</v>
      </c>
      <c r="P14698">
        <f>IF(OR(M14698="",N14698=""),"",SUMIFS('Barang Keluar'!$E:$E,'Barang Keluar'!$A:$A,M14698,'Barang Keluar'!$C:$C,N14698))</f>
        <v>0</v>
      </c>
    </row>
    <row r="14699" spans="13:16">
      <c r="M14699" s="49">
        <f>IF($A$4+146&gt;$B$4,"",$A$4+146)</f>
        <v>46169</v>
      </c>
      <c r="N14699">
        <f>IF(M14699="","",'Master Barang'!A93)</f>
        <v>0</v>
      </c>
      <c r="O14699">
        <f>IF(N14699="","",'Master Barang'!B93)</f>
        <v>0</v>
      </c>
      <c r="P14699">
        <f>IF(OR(M14699="",N14699=""),"",SUMIFS('Barang Keluar'!$E:$E,'Barang Keluar'!$A:$A,M14699,'Barang Keluar'!$C:$C,N14699))</f>
        <v>0</v>
      </c>
    </row>
    <row r="14700" spans="13:16">
      <c r="M14700" s="49">
        <f>IF($A$4+146&gt;$B$4,"",$A$4+146)</f>
        <v>46169</v>
      </c>
      <c r="N14700">
        <f>IF(M14700="","",'Master Barang'!A94)</f>
        <v>0</v>
      </c>
      <c r="O14700">
        <f>IF(N14700="","",'Master Barang'!B94)</f>
        <v>0</v>
      </c>
      <c r="P14700">
        <f>IF(OR(M14700="",N14700=""),"",SUMIFS('Barang Keluar'!$E:$E,'Barang Keluar'!$A:$A,M14700,'Barang Keluar'!$C:$C,N14700))</f>
        <v>0</v>
      </c>
    </row>
    <row r="14701" spans="13:16">
      <c r="M14701" s="49">
        <f>IF($A$4+146&gt;$B$4,"",$A$4+146)</f>
        <v>46169</v>
      </c>
      <c r="N14701">
        <f>IF(M14701="","",'Master Barang'!A95)</f>
        <v>0</v>
      </c>
      <c r="O14701">
        <f>IF(N14701="","",'Master Barang'!B95)</f>
        <v>0</v>
      </c>
      <c r="P14701">
        <f>IF(OR(M14701="",N14701=""),"",SUMIFS('Barang Keluar'!$E:$E,'Barang Keluar'!$A:$A,M14701,'Barang Keluar'!$C:$C,N14701))</f>
        <v>0</v>
      </c>
    </row>
    <row r="14702" spans="13:16">
      <c r="M14702" s="49">
        <f>IF($A$4+146&gt;$B$4,"",$A$4+146)</f>
        <v>46169</v>
      </c>
      <c r="N14702">
        <f>IF(M14702="","",'Master Barang'!A96)</f>
        <v>0</v>
      </c>
      <c r="O14702">
        <f>IF(N14702="","",'Master Barang'!B96)</f>
        <v>0</v>
      </c>
      <c r="P14702">
        <f>IF(OR(M14702="",N14702=""),"",SUMIFS('Barang Keluar'!$E:$E,'Barang Keluar'!$A:$A,M14702,'Barang Keluar'!$C:$C,N14702))</f>
        <v>0</v>
      </c>
    </row>
    <row r="14703" spans="13:16">
      <c r="M14703" s="49">
        <f>IF($A$4+146&gt;$B$4,"",$A$4+146)</f>
        <v>46169</v>
      </c>
      <c r="N14703">
        <f>IF(M14703="","",'Master Barang'!A97)</f>
        <v>0</v>
      </c>
      <c r="O14703">
        <f>IF(N14703="","",'Master Barang'!B97)</f>
        <v>0</v>
      </c>
      <c r="P14703">
        <f>IF(OR(M14703="",N14703=""),"",SUMIFS('Barang Keluar'!$E:$E,'Barang Keluar'!$A:$A,M14703,'Barang Keluar'!$C:$C,N14703))</f>
        <v>0</v>
      </c>
    </row>
    <row r="14704" spans="13:16">
      <c r="M14704" s="49">
        <f>IF($A$4+146&gt;$B$4,"",$A$4+146)</f>
        <v>46169</v>
      </c>
      <c r="N14704">
        <f>IF(M14704="","",'Master Barang'!A98)</f>
        <v>0</v>
      </c>
      <c r="O14704">
        <f>IF(N14704="","",'Master Barang'!B98)</f>
        <v>0</v>
      </c>
      <c r="P14704">
        <f>IF(OR(M14704="",N14704=""),"",SUMIFS('Barang Keluar'!$E:$E,'Barang Keluar'!$A:$A,M14704,'Barang Keluar'!$C:$C,N14704))</f>
        <v>0</v>
      </c>
    </row>
    <row r="14705" spans="13:16">
      <c r="M14705" s="49">
        <f>IF($A$4+146&gt;$B$4,"",$A$4+146)</f>
        <v>46169</v>
      </c>
      <c r="N14705">
        <f>IF(M14705="","",'Master Barang'!A99)</f>
        <v>0</v>
      </c>
      <c r="O14705">
        <f>IF(N14705="","",'Master Barang'!B99)</f>
        <v>0</v>
      </c>
      <c r="P14705">
        <f>IF(OR(M14705="",N14705=""),"",SUMIFS('Barang Keluar'!$E:$E,'Barang Keluar'!$A:$A,M14705,'Barang Keluar'!$C:$C,N14705))</f>
        <v>0</v>
      </c>
    </row>
    <row r="14706" spans="13:16">
      <c r="M14706" s="49">
        <f>IF($A$4+146&gt;$B$4,"",$A$4+146)</f>
        <v>46169</v>
      </c>
      <c r="N14706">
        <f>IF(M14706="","",'Master Barang'!A100)</f>
        <v>0</v>
      </c>
      <c r="O14706">
        <f>IF(N14706="","",'Master Barang'!B100)</f>
        <v>0</v>
      </c>
      <c r="P14706">
        <f>IF(OR(M14706="",N14706=""),"",SUMIFS('Barang Keluar'!$E:$E,'Barang Keluar'!$A:$A,M14706,'Barang Keluar'!$C:$C,N14706))</f>
        <v>0</v>
      </c>
    </row>
    <row r="14707" spans="13:16">
      <c r="M14707" s="49">
        <f>IF($A$4+146&gt;$B$4,"",$A$4+146)</f>
        <v>46169</v>
      </c>
      <c r="N14707">
        <f>IF(M14707="","",'Master Barang'!A101)</f>
        <v>0</v>
      </c>
      <c r="O14707">
        <f>IF(N14707="","",'Master Barang'!B101)</f>
        <v>0</v>
      </c>
      <c r="P14707">
        <f>IF(OR(M14707="",N14707=""),"",SUMIFS('Barang Keluar'!$E:$E,'Barang Keluar'!$A:$A,M14707,'Barang Keluar'!$C:$C,N14707))</f>
        <v>0</v>
      </c>
    </row>
    <row r="14708" spans="13:16">
      <c r="M14708" s="49">
        <f>IF($A$4+147&gt;$B$4,"",$A$4+147)</f>
        <v>46170</v>
      </c>
      <c r="N14708" t="str">
        <f>IF(M14708="","",'Master Barang'!A2)</f>
        <v>PRL-001</v>
      </c>
      <c r="O14708" t="str">
        <f>IF(N14708="","",'Master Barang'!B2)</f>
        <v>natura desinfectant food grade 5l</v>
      </c>
      <c r="P14708">
        <f>IF(OR(M14708="",N14708=""),"",SUMIFS('Barang Keluar'!$E:$E,'Barang Keluar'!$A:$A,M14708,'Barang Keluar'!$C:$C,N14708))</f>
        <v>0</v>
      </c>
    </row>
    <row r="14709" spans="13:16">
      <c r="M14709" s="49">
        <f>IF($A$4+147&gt;$B$4,"",$A$4+147)</f>
        <v>46170</v>
      </c>
      <c r="N14709" t="str">
        <f>IF(M14709="","",'Master Barang'!A3)</f>
        <v>PRL-002</v>
      </c>
      <c r="O14709" t="str">
        <f>IF(N14709="","",'Master Barang'!B3)</f>
        <v>sunlight cairan pencuci piring 5l</v>
      </c>
      <c r="P14709">
        <f>IF(OR(M14709="",N14709=""),"",SUMIFS('Barang Keluar'!$E:$E,'Barang Keluar'!$A:$A,M14709,'Barang Keluar'!$C:$C,N14709))</f>
        <v>0</v>
      </c>
    </row>
    <row r="14710" spans="13:16">
      <c r="M14710" s="49">
        <f>IF($A$4+147&gt;$B$4,"",$A$4+147)</f>
        <v>46170</v>
      </c>
      <c r="N14710" t="str">
        <f>IF(M14710="","",'Master Barang'!A4)</f>
        <v>PRL-003</v>
      </c>
      <c r="O14710" t="str">
        <f>IF(N14710="","",'Master Barang'!B4)</f>
        <v>oixs cleaner 1l</v>
      </c>
      <c r="P14710">
        <f>IF(OR(M14710="",N14710=""),"",SUMIFS('Barang Keluar'!$E:$E,'Barang Keluar'!$A:$A,M14710,'Barang Keluar'!$C:$C,N14710))</f>
        <v>0</v>
      </c>
    </row>
    <row r="14711" spans="13:16">
      <c r="M14711" s="49">
        <f>IF($A$4+147&gt;$B$4,"",$A$4+147)</f>
        <v>46170</v>
      </c>
      <c r="N14711" t="str">
        <f>IF(M14711="","",'Master Barang'!A5)</f>
        <v>PRL-004</v>
      </c>
      <c r="O14711" t="str">
        <f>IF(N14711="","",'Master Barang'!B5)</f>
        <v>be clean tissue serbaguna</v>
      </c>
      <c r="P14711">
        <f>IF(OR(M14711="",N14711=""),"",SUMIFS('Barang Keluar'!$E:$E,'Barang Keluar'!$A:$A,M14711,'Barang Keluar'!$C:$C,N14711))</f>
        <v>0</v>
      </c>
    </row>
    <row r="14712" spans="13:16">
      <c r="M14712" s="49">
        <f>IF($A$4+147&gt;$B$4,"",$A$4+147)</f>
        <v>46170</v>
      </c>
      <c r="N14712" t="str">
        <f>IF(M14712="","",'Master Barang'!A6)</f>
        <v>PRL-005</v>
      </c>
      <c r="O14712" t="str">
        <f>IF(N14712="","",'Master Barang'!B6)</f>
        <v>spons cuci hijau</v>
      </c>
      <c r="P14712">
        <f>IF(OR(M14712="",N14712=""),"",SUMIFS('Barang Keluar'!$E:$E,'Barang Keluar'!$A:$A,M14712,'Barang Keluar'!$C:$C,N14712))</f>
        <v>0</v>
      </c>
    </row>
    <row r="14713" spans="13:16">
      <c r="M14713" s="49">
        <f>IF($A$4+147&gt;$B$4,"",$A$4+147)</f>
        <v>46170</v>
      </c>
      <c r="N14713" t="str">
        <f>IF(M14713="","",'Master Barang'!A7)</f>
        <v>PRL-006</v>
      </c>
      <c r="O14713" t="str">
        <f>IF(N14713="","",'Master Barang'!B7)</f>
        <v>sabut cuci stainless</v>
      </c>
      <c r="P14713">
        <f>IF(OR(M14713="",N14713=""),"",SUMIFS('Barang Keluar'!$E:$E,'Barang Keluar'!$A:$A,M14713,'Barang Keluar'!$C:$C,N14713))</f>
        <v>0</v>
      </c>
    </row>
    <row r="14714" spans="13:16">
      <c r="M14714" s="49">
        <f>IF($A$4+147&gt;$B$4,"",$A$4+147)</f>
        <v>46170</v>
      </c>
      <c r="N14714" t="str">
        <f>IF(M14714="","",'Master Barang'!A8)</f>
        <v>PRL-007</v>
      </c>
      <c r="O14714" t="str">
        <f>IF(N14714="","",'Master Barang'!B8)</f>
        <v>plastik kresek besar merah 50pc</v>
      </c>
      <c r="P14714">
        <f>IF(OR(M14714="",N14714=""),"",SUMIFS('Barang Keluar'!$E:$E,'Barang Keluar'!$A:$A,M14714,'Barang Keluar'!$C:$C,N14714))</f>
        <v>0</v>
      </c>
    </row>
    <row r="14715" spans="13:16">
      <c r="M14715" s="49">
        <f>IF($A$4+147&gt;$B$4,"",$A$4+147)</f>
        <v>46170</v>
      </c>
      <c r="N14715" t="str">
        <f>IF(M14715="","",'Master Barang'!A9)</f>
        <v>PRL-008</v>
      </c>
      <c r="O14715" t="str">
        <f>IF(N14715="","",'Master Barang'!B9)</f>
        <v>lap besar</v>
      </c>
      <c r="P14715">
        <f>IF(OR(M14715="",N14715=""),"",SUMIFS('Barang Keluar'!$E:$E,'Barang Keluar'!$A:$A,M14715,'Barang Keluar'!$C:$C,N14715))</f>
        <v>0</v>
      </c>
    </row>
    <row r="14716" spans="13:16">
      <c r="M14716" s="49">
        <f>IF($A$4+147&gt;$B$4,"",$A$4+147)</f>
        <v>46170</v>
      </c>
      <c r="N14716" t="str">
        <f>IF(M14716="","",'Master Barang'!A10)</f>
        <v>PRL-009</v>
      </c>
      <c r="O14716" t="str">
        <f>IF(N14716="","",'Master Barang'!B10)</f>
        <v>lap microfiber</v>
      </c>
      <c r="P14716">
        <f>IF(OR(M14716="",N14716=""),"",SUMIFS('Barang Keluar'!$E:$E,'Barang Keluar'!$A:$A,M14716,'Barang Keluar'!$C:$C,N14716))</f>
        <v>0</v>
      </c>
    </row>
    <row r="14717" spans="13:16">
      <c r="M14717" s="49">
        <f>IF($A$4+147&gt;$B$4,"",$A$4+147)</f>
        <v>46170</v>
      </c>
      <c r="N14717" t="str">
        <f>IF(M14717="","",'Master Barang'!A11)</f>
        <v>PRL-010</v>
      </c>
      <c r="O14717" t="str">
        <f>IF(N14717="","",'Master Barang'!B11)</f>
        <v>lap kecil</v>
      </c>
      <c r="P14717">
        <f>IF(OR(M14717="",N14717=""),"",SUMIFS('Barang Keluar'!$E:$E,'Barang Keluar'!$A:$A,M14717,'Barang Keluar'!$C:$C,N14717))</f>
        <v>0</v>
      </c>
    </row>
    <row r="14718" spans="13:16">
      <c r="M14718" s="49">
        <f>IF($A$4+147&gt;$B$4,"",$A$4+147)</f>
        <v>46170</v>
      </c>
      <c r="N14718" t="str">
        <f>IF(M14718="","",'Master Barang'!A12)</f>
        <v>PRL-011</v>
      </c>
      <c r="O14718" t="str">
        <f>IF(N14718="","",'Master Barang'!B12)</f>
        <v>kanebo kecil</v>
      </c>
      <c r="P14718">
        <f>IF(OR(M14718="",N14718=""),"",SUMIFS('Barang Keluar'!$E:$E,'Barang Keluar'!$A:$A,M14718,'Barang Keluar'!$C:$C,N14718))</f>
        <v>0</v>
      </c>
    </row>
    <row r="14719" spans="13:16">
      <c r="M14719" s="49">
        <f>IF($A$4+147&gt;$B$4,"",$A$4+147)</f>
        <v>46170</v>
      </c>
      <c r="N14719" t="str">
        <f>IF(M14719="","",'Master Barang'!A13)</f>
        <v>PRL-012</v>
      </c>
      <c r="O14719" t="str">
        <f>IF(N14719="","",'Master Barang'!B13)</f>
        <v>plastik 1/4kg joyoboyo 100 lembar</v>
      </c>
      <c r="P14719">
        <f>IF(OR(M14719="",N14719=""),"",SUMIFS('Barang Keluar'!$E:$E,'Barang Keluar'!$A:$A,M14719,'Barang Keluar'!$C:$C,N14719))</f>
        <v>0</v>
      </c>
    </row>
    <row r="14720" spans="13:16">
      <c r="M14720" s="49">
        <f>IF($A$4+147&gt;$B$4,"",$A$4+147)</f>
        <v>46170</v>
      </c>
      <c r="N14720" t="str">
        <f>IF(M14720="","",'Master Barang'!A14)</f>
        <v>PRL-013</v>
      </c>
      <c r="O14720" t="str">
        <f>IF(N14720="","",'Master Barang'!B14)</f>
        <v>sarung tangan plastik kaka 100 pcs</v>
      </c>
      <c r="P14720">
        <f>IF(OR(M14720="",N14720=""),"",SUMIFS('Barang Keluar'!$E:$E,'Barang Keluar'!$A:$A,M14720,'Barang Keluar'!$C:$C,N14720))</f>
        <v>0</v>
      </c>
    </row>
    <row r="14721" spans="13:16">
      <c r="M14721" s="49">
        <f>IF($A$4+147&gt;$B$4,"",$A$4+147)</f>
        <v>46170</v>
      </c>
      <c r="N14721" t="str">
        <f>IF(M14721="","",'Master Barang'!A15)</f>
        <v>PRL-014</v>
      </c>
      <c r="O14721" t="str">
        <f>IF(N14721="","",'Master Barang'!B15)</f>
        <v>optima trashbag 80x100</v>
      </c>
      <c r="P14721">
        <f>IF(OR(M14721="",N14721=""),"",SUMIFS('Barang Keluar'!$E:$E,'Barang Keluar'!$A:$A,M14721,'Barang Keluar'!$C:$C,N14721))</f>
        <v>0</v>
      </c>
    </row>
    <row r="14722" spans="13:16">
      <c r="M14722" s="49">
        <f>IF($A$4+147&gt;$B$4,"",$A$4+147)</f>
        <v>46170</v>
      </c>
      <c r="N14722" t="str">
        <f>IF(M14722="","",'Master Barang'!A16)</f>
        <v>PRL-015</v>
      </c>
      <c r="O14722" t="str">
        <f>IF(N14722="","",'Master Barang'!B16)</f>
        <v>optima trashbag 60x100</v>
      </c>
      <c r="P14722">
        <f>IF(OR(M14722="",N14722=""),"",SUMIFS('Barang Keluar'!$E:$E,'Barang Keluar'!$A:$A,M14722,'Barang Keluar'!$C:$C,N14722))</f>
        <v>0</v>
      </c>
    </row>
    <row r="14723" spans="13:16">
      <c r="M14723" s="49">
        <f>IF($A$4+147&gt;$B$4,"",$A$4+147)</f>
        <v>46170</v>
      </c>
      <c r="N14723" t="str">
        <f>IF(M14723="","",'Master Barang'!A17)</f>
        <v>PRL-016</v>
      </c>
      <c r="O14723" t="str">
        <f>IF(N14723="","",'Master Barang'!B17)</f>
        <v>rajawali trashbag 30x40</v>
      </c>
      <c r="P14723">
        <f>IF(OR(M14723="",N14723=""),"",SUMIFS('Barang Keluar'!$E:$E,'Barang Keluar'!$A:$A,M14723,'Barang Keluar'!$C:$C,N14723))</f>
        <v>0</v>
      </c>
    </row>
    <row r="14724" spans="13:16">
      <c r="M14724" s="49">
        <f>IF($A$4+147&gt;$B$4,"",$A$4+147)</f>
        <v>46170</v>
      </c>
      <c r="N14724" t="str">
        <f>IF(M14724="","",'Master Barang'!A18)</f>
        <v>PRL-017</v>
      </c>
      <c r="O14724" t="str">
        <f>IF(N14724="","",'Master Barang'!B18)</f>
        <v>onemed masker biru 3 play 50 pcs</v>
      </c>
      <c r="P14724">
        <f>IF(OR(M14724="",N14724=""),"",SUMIFS('Barang Keluar'!$E:$E,'Barang Keluar'!$A:$A,M14724,'Barang Keluar'!$C:$C,N14724))</f>
        <v>0</v>
      </c>
    </row>
    <row r="14725" spans="13:16">
      <c r="M14725" s="49">
        <f>IF($A$4+147&gt;$B$4,"",$A$4+147)</f>
        <v>46170</v>
      </c>
      <c r="N14725" t="str">
        <f>IF(M14725="","",'Master Barang'!A19)</f>
        <v>PRL-018</v>
      </c>
      <c r="O14725" t="str">
        <f>IF(N14725="","",'Master Barang'!B19)</f>
        <v>onemed masker biru 3 play hijab 50 pcs</v>
      </c>
      <c r="P14725">
        <f>IF(OR(M14725="",N14725=""),"",SUMIFS('Barang Keluar'!$E:$E,'Barang Keluar'!$A:$A,M14725,'Barang Keluar'!$C:$C,N14725))</f>
        <v>0</v>
      </c>
    </row>
    <row r="14726" spans="13:16">
      <c r="M14726" s="49">
        <f>IF($A$4+147&gt;$B$4,"",$A$4+147)</f>
        <v>46170</v>
      </c>
      <c r="N14726" t="str">
        <f>IF(M14726="","",'Master Barang'!A20)</f>
        <v>PRL-019</v>
      </c>
      <c r="O14726" t="str">
        <f>IF(N14726="","",'Master Barang'!B20)</f>
        <v>neo health masker biru 3 play 50 pcs</v>
      </c>
      <c r="P14726">
        <f>IF(OR(M14726="",N14726=""),"",SUMIFS('Barang Keluar'!$E:$E,'Barang Keluar'!$A:$A,M14726,'Barang Keluar'!$C:$C,N14726))</f>
        <v>0</v>
      </c>
    </row>
    <row r="14727" spans="13:16">
      <c r="M14727" s="49">
        <f>IF($A$4+147&gt;$B$4,"",$A$4+147)</f>
        <v>46170</v>
      </c>
      <c r="N14727" t="str">
        <f>IF(M14727="","",'Master Barang'!A21)</f>
        <v>PRL-020</v>
      </c>
      <c r="O14727" t="str">
        <f>IF(N14727="","",'Master Barang'!B21)</f>
        <v>baymed masker hijau 3 play hijau 50 pcs</v>
      </c>
      <c r="P14727">
        <f>IF(OR(M14727="",N14727=""),"",SUMIFS('Barang Keluar'!$E:$E,'Barang Keluar'!$A:$A,M14727,'Barang Keluar'!$C:$C,N14727))</f>
        <v>0</v>
      </c>
    </row>
    <row r="14728" spans="13:16">
      <c r="M14728" s="49">
        <f>IF($A$4+147&gt;$B$4,"",$A$4+147)</f>
        <v>46170</v>
      </c>
      <c r="N14728" t="str">
        <f>IF(M14728="","",'Master Barang'!A22)</f>
        <v>PRL-021</v>
      </c>
      <c r="O14728" t="str">
        <f>IF(N14728="","",'Master Barang'!B22)</f>
        <v>altamed nurse cap penutup kepala 100 pcs</v>
      </c>
      <c r="P14728">
        <f>IF(OR(M14728="",N14728=""),"",SUMIFS('Barang Keluar'!$E:$E,'Barang Keluar'!$A:$A,M14728,'Barang Keluar'!$C:$C,N14728))</f>
        <v>0</v>
      </c>
    </row>
    <row r="14729" spans="13:16">
      <c r="M14729" s="49">
        <f>IF($A$4+147&gt;$B$4,"",$A$4+147)</f>
        <v>46170</v>
      </c>
      <c r="N14729" t="str">
        <f>IF(M14729="","",'Master Barang'!A23)</f>
        <v>PRL-022</v>
      </c>
      <c r="O14729" t="str">
        <f>IF(N14729="","",'Master Barang'!B23)</f>
        <v>sabun cuci tangan</v>
      </c>
      <c r="P14729">
        <f>IF(OR(M14729="",N14729=""),"",SUMIFS('Barang Keluar'!$E:$E,'Barang Keluar'!$A:$A,M14729,'Barang Keluar'!$C:$C,N14729))</f>
        <v>0</v>
      </c>
    </row>
    <row r="14730" spans="13:16">
      <c r="M14730" s="49">
        <f>IF($A$4+147&gt;$B$4,"",$A$4+147)</f>
        <v>46170</v>
      </c>
      <c r="N14730" t="str">
        <f>IF(M14730="","",'Master Barang'!A24)</f>
        <v>PRL-023</v>
      </c>
      <c r="O14730" t="str">
        <f>IF(N14730="","",'Master Barang'!B24)</f>
        <v>gayung kecil</v>
      </c>
      <c r="P14730">
        <f>IF(OR(M14730="",N14730=""),"",SUMIFS('Barang Keluar'!$E:$E,'Barang Keluar'!$A:$A,M14730,'Barang Keluar'!$C:$C,N14730))</f>
        <v>0</v>
      </c>
    </row>
    <row r="14731" spans="13:16">
      <c r="M14731" s="49">
        <f>IF($A$4+147&gt;$B$4,"",$A$4+147)</f>
        <v>46170</v>
      </c>
      <c r="N14731" t="str">
        <f>IF(M14731="","",'Master Barang'!A25)</f>
        <v>PRL-024</v>
      </c>
      <c r="O14731" t="str">
        <f>IF(N14731="","",'Master Barang'!B25)</f>
        <v>cikrak kecil</v>
      </c>
      <c r="P14731">
        <f>IF(OR(M14731="",N14731=""),"",SUMIFS('Barang Keluar'!$E:$E,'Barang Keluar'!$A:$A,M14731,'Barang Keluar'!$C:$C,N14731))</f>
        <v>0</v>
      </c>
    </row>
    <row r="14732" spans="13:16">
      <c r="M14732" s="49">
        <f>IF($A$4+147&gt;$B$4,"",$A$4+147)</f>
        <v>46170</v>
      </c>
      <c r="N14732" t="str">
        <f>IF(M14732="","",'Master Barang'!A26)</f>
        <v>PRL-025</v>
      </c>
      <c r="O14732" t="str">
        <f>IF(N14732="","",'Master Barang'!B26)</f>
        <v>petromax plastik kecil 12x24 100 lembar</v>
      </c>
      <c r="P14732">
        <f>IF(OR(M14732="",N14732=""),"",SUMIFS('Barang Keluar'!$E:$E,'Barang Keluar'!$A:$A,M14732,'Barang Keluar'!$C:$C,N14732))</f>
        <v>0</v>
      </c>
    </row>
    <row r="14733" spans="13:16">
      <c r="M14733" s="49">
        <f>IF($A$4+147&gt;$B$4,"",$A$4+147)</f>
        <v>46170</v>
      </c>
      <c r="N14733" t="str">
        <f>IF(M14733="","",'Master Barang'!A27)</f>
        <v>PRL-026</v>
      </c>
      <c r="O14733" t="str">
        <f>IF(N14733="","",'Master Barang'!B27)</f>
        <v>lancar kresek kecil bening </v>
      </c>
      <c r="P14733">
        <f>IF(OR(M14733="",N14733=""),"",SUMIFS('Barang Keluar'!$E:$E,'Barang Keluar'!$A:$A,M14733,'Barang Keluar'!$C:$C,N14733))</f>
        <v>0</v>
      </c>
    </row>
    <row r="14734" spans="13:16">
      <c r="M14734" s="49">
        <f>IF($A$4+147&gt;$B$4,"",$A$4+147)</f>
        <v>46170</v>
      </c>
      <c r="N14734" t="str">
        <f>IF(M14734="","",'Master Barang'!A28)</f>
        <v>PRL-027</v>
      </c>
      <c r="O14734" t="str">
        <f>IF(N14734="","",'Master Barang'!B28)</f>
        <v>kresek klin warna warni kecil</v>
      </c>
      <c r="P14734">
        <f>IF(OR(M14734="",N14734=""),"",SUMIFS('Barang Keluar'!$E:$E,'Barang Keluar'!$A:$A,M14734,'Barang Keluar'!$C:$C,N14734))</f>
        <v>0</v>
      </c>
    </row>
    <row r="14735" spans="13:16">
      <c r="M14735" s="49">
        <f>IF($A$4+147&gt;$B$4,"",$A$4+147)</f>
        <v>46170</v>
      </c>
      <c r="N14735" t="str">
        <f>IF(M14735="","",'Master Barang'!A29)</f>
        <v>PRL-028</v>
      </c>
      <c r="O14735" t="str">
        <f>IF(N14735="","",'Master Barang'!B29)</f>
        <v>ctik plastik 7x10 100 pcs</v>
      </c>
      <c r="P14735">
        <f>IF(OR(M14735="",N14735=""),"",SUMIFS('Barang Keluar'!$E:$E,'Barang Keluar'!$A:$A,M14735,'Barang Keluar'!$C:$C,N14735))</f>
        <v>0</v>
      </c>
    </row>
    <row r="14736" spans="13:16">
      <c r="M14736" s="49">
        <f>IF($A$4+147&gt;$B$4,"",$A$4+147)</f>
        <v>46170</v>
      </c>
      <c r="N14736" t="str">
        <f>IF(M14736="","",'Master Barang'!A30)</f>
        <v>PRL-029</v>
      </c>
      <c r="O14736" t="str">
        <f>IF(N14736="","",'Master Barang'!B30)</f>
        <v>ctik plastik 6x10 100 pcs</v>
      </c>
      <c r="P14736">
        <f>IF(OR(M14736="",N14736=""),"",SUMIFS('Barang Keluar'!$E:$E,'Barang Keluar'!$A:$A,M14736,'Barang Keluar'!$C:$C,N14736))</f>
        <v>0</v>
      </c>
    </row>
    <row r="14737" spans="13:16">
      <c r="M14737" s="49">
        <f>IF($A$4+147&gt;$B$4,"",$A$4+147)</f>
        <v>46170</v>
      </c>
      <c r="N14737" t="str">
        <f>IF(M14737="","",'Master Barang'!A31)</f>
        <v>PRL-030</v>
      </c>
      <c r="O14737" t="str">
        <f>IF(N14737="","",'Master Barang'!B31)</f>
        <v>klip plastik 25x16 100 pcs</v>
      </c>
      <c r="P14737">
        <f>IF(OR(M14737="",N14737=""),"",SUMIFS('Barang Keluar'!$E:$E,'Barang Keluar'!$A:$A,M14737,'Barang Keluar'!$C:$C,N14737))</f>
        <v>0</v>
      </c>
    </row>
    <row r="14738" spans="13:16">
      <c r="M14738" s="49">
        <f>IF($A$4+147&gt;$B$4,"",$A$4+147)</f>
        <v>46170</v>
      </c>
      <c r="N14738" t="str">
        <f>IF(M14738="","",'Master Barang'!A32)</f>
        <v>PRL-031</v>
      </c>
      <c r="O14738" t="str">
        <f>IF(N14738="","",'Master Barang'!B32)</f>
        <v>tempat saus 20 ml</v>
      </c>
      <c r="P14738">
        <f>IF(OR(M14738="",N14738=""),"",SUMIFS('Barang Keluar'!$E:$E,'Barang Keluar'!$A:$A,M14738,'Barang Keluar'!$C:$C,N14738))</f>
        <v>0</v>
      </c>
    </row>
    <row r="14739" spans="13:16">
      <c r="M14739" s="49">
        <f>IF($A$4+147&gt;$B$4,"",$A$4+147)</f>
        <v>46170</v>
      </c>
      <c r="N14739" t="str">
        <f>IF(M14739="","",'Master Barang'!A33)</f>
        <v>PRL-032</v>
      </c>
      <c r="O14739" t="str">
        <f>IF(N14739="","",'Master Barang'!B33)</f>
        <v>plastik packaging ag box uk sedang</v>
      </c>
      <c r="P14739">
        <f>IF(OR(M14739="",N14739=""),"",SUMIFS('Barang Keluar'!$E:$E,'Barang Keluar'!$A:$A,M14739,'Barang Keluar'!$C:$C,N14739))</f>
        <v>0</v>
      </c>
    </row>
    <row r="14740" spans="13:16">
      <c r="M14740" s="49">
        <f>IF($A$4+147&gt;$B$4,"",$A$4+147)</f>
        <v>46170</v>
      </c>
      <c r="N14740" t="str">
        <f>IF(M14740="","",'Master Barang'!A34)</f>
        <v>PRL-033</v>
      </c>
      <c r="O14740">
        <f>IF(N14740="","",'Master Barang'!B34)</f>
        <v>0</v>
      </c>
      <c r="P14740">
        <f>IF(OR(M14740="",N14740=""),"",SUMIFS('Barang Keluar'!$E:$E,'Barang Keluar'!$A:$A,M14740,'Barang Keluar'!$C:$C,N14740))</f>
        <v>0</v>
      </c>
    </row>
    <row r="14741" spans="13:16">
      <c r="M14741" s="49">
        <f>IF($A$4+147&gt;$B$4,"",$A$4+147)</f>
        <v>46170</v>
      </c>
      <c r="N14741">
        <f>IF(M14741="","",'Master Barang'!A35)</f>
        <v>0</v>
      </c>
      <c r="O14741">
        <f>IF(N14741="","",'Master Barang'!B35)</f>
        <v>0</v>
      </c>
      <c r="P14741">
        <f>IF(OR(M14741="",N14741=""),"",SUMIFS('Barang Keluar'!$E:$E,'Barang Keluar'!$A:$A,M14741,'Barang Keluar'!$C:$C,N14741))</f>
        <v>0</v>
      </c>
    </row>
    <row r="14742" spans="13:16">
      <c r="M14742" s="49">
        <f>IF($A$4+147&gt;$B$4,"",$A$4+147)</f>
        <v>46170</v>
      </c>
      <c r="N14742">
        <f>IF(M14742="","",'Master Barang'!A36)</f>
        <v>0</v>
      </c>
      <c r="O14742">
        <f>IF(N14742="","",'Master Barang'!B36)</f>
        <v>0</v>
      </c>
      <c r="P14742">
        <f>IF(OR(M14742="",N14742=""),"",SUMIFS('Barang Keluar'!$E:$E,'Barang Keluar'!$A:$A,M14742,'Barang Keluar'!$C:$C,N14742))</f>
        <v>0</v>
      </c>
    </row>
    <row r="14743" spans="13:16">
      <c r="M14743" s="49">
        <f>IF($A$4+147&gt;$B$4,"",$A$4+147)</f>
        <v>46170</v>
      </c>
      <c r="N14743">
        <f>IF(M14743="","",'Master Barang'!A37)</f>
        <v>0</v>
      </c>
      <c r="O14743">
        <f>IF(N14743="","",'Master Barang'!B37)</f>
        <v>0</v>
      </c>
      <c r="P14743">
        <f>IF(OR(M14743="",N14743=""),"",SUMIFS('Barang Keluar'!$E:$E,'Barang Keluar'!$A:$A,M14743,'Barang Keluar'!$C:$C,N14743))</f>
        <v>0</v>
      </c>
    </row>
    <row r="14744" spans="13:16">
      <c r="M14744" s="49">
        <f>IF($A$4+147&gt;$B$4,"",$A$4+147)</f>
        <v>46170</v>
      </c>
      <c r="N14744">
        <f>IF(M14744="","",'Master Barang'!A38)</f>
        <v>0</v>
      </c>
      <c r="O14744">
        <f>IF(N14744="","",'Master Barang'!B38)</f>
        <v>0</v>
      </c>
      <c r="P14744">
        <f>IF(OR(M14744="",N14744=""),"",SUMIFS('Barang Keluar'!$E:$E,'Barang Keluar'!$A:$A,M14744,'Barang Keluar'!$C:$C,N14744))</f>
        <v>0</v>
      </c>
    </row>
    <row r="14745" spans="13:16">
      <c r="M14745" s="49">
        <f>IF($A$4+147&gt;$B$4,"",$A$4+147)</f>
        <v>46170</v>
      </c>
      <c r="N14745">
        <f>IF(M14745="","",'Master Barang'!A39)</f>
        <v>0</v>
      </c>
      <c r="O14745">
        <f>IF(N14745="","",'Master Barang'!B39)</f>
        <v>0</v>
      </c>
      <c r="P14745">
        <f>IF(OR(M14745="",N14745=""),"",SUMIFS('Barang Keluar'!$E:$E,'Barang Keluar'!$A:$A,M14745,'Barang Keluar'!$C:$C,N14745))</f>
        <v>0</v>
      </c>
    </row>
    <row r="14746" spans="13:16">
      <c r="M14746" s="49">
        <f>IF($A$4+147&gt;$B$4,"",$A$4+147)</f>
        <v>46170</v>
      </c>
      <c r="N14746">
        <f>IF(M14746="","",'Master Barang'!A40)</f>
        <v>0</v>
      </c>
      <c r="O14746">
        <f>IF(N14746="","",'Master Barang'!B40)</f>
        <v>0</v>
      </c>
      <c r="P14746">
        <f>IF(OR(M14746="",N14746=""),"",SUMIFS('Barang Keluar'!$E:$E,'Barang Keluar'!$A:$A,M14746,'Barang Keluar'!$C:$C,N14746))</f>
        <v>0</v>
      </c>
    </row>
    <row r="14747" spans="13:16">
      <c r="M14747" s="49">
        <f>IF($A$4+147&gt;$B$4,"",$A$4+147)</f>
        <v>46170</v>
      </c>
      <c r="N14747">
        <f>IF(M14747="","",'Master Barang'!A41)</f>
        <v>0</v>
      </c>
      <c r="O14747">
        <f>IF(N14747="","",'Master Barang'!B41)</f>
        <v>0</v>
      </c>
      <c r="P14747">
        <f>IF(OR(M14747="",N14747=""),"",SUMIFS('Barang Keluar'!$E:$E,'Barang Keluar'!$A:$A,M14747,'Barang Keluar'!$C:$C,N14747))</f>
        <v>0</v>
      </c>
    </row>
    <row r="14748" spans="13:16">
      <c r="M14748" s="49">
        <f>IF($A$4+147&gt;$B$4,"",$A$4+147)</f>
        <v>46170</v>
      </c>
      <c r="N14748">
        <f>IF(M14748="","",'Master Barang'!A42)</f>
        <v>0</v>
      </c>
      <c r="O14748">
        <f>IF(N14748="","",'Master Barang'!B42)</f>
        <v>0</v>
      </c>
      <c r="P14748">
        <f>IF(OR(M14748="",N14748=""),"",SUMIFS('Barang Keluar'!$E:$E,'Barang Keluar'!$A:$A,M14748,'Barang Keluar'!$C:$C,N14748))</f>
        <v>0</v>
      </c>
    </row>
    <row r="14749" spans="13:16">
      <c r="M14749" s="49">
        <f>IF($A$4+147&gt;$B$4,"",$A$4+147)</f>
        <v>46170</v>
      </c>
      <c r="N14749">
        <f>IF(M14749="","",'Master Barang'!A43)</f>
        <v>0</v>
      </c>
      <c r="O14749">
        <f>IF(N14749="","",'Master Barang'!B43)</f>
        <v>0</v>
      </c>
      <c r="P14749">
        <f>IF(OR(M14749="",N14749=""),"",SUMIFS('Barang Keluar'!$E:$E,'Barang Keluar'!$A:$A,M14749,'Barang Keluar'!$C:$C,N14749))</f>
        <v>0</v>
      </c>
    </row>
    <row r="14750" spans="13:16">
      <c r="M14750" s="49">
        <f>IF($A$4+147&gt;$B$4,"",$A$4+147)</f>
        <v>46170</v>
      </c>
      <c r="N14750">
        <f>IF(M14750="","",'Master Barang'!A44)</f>
        <v>0</v>
      </c>
      <c r="O14750">
        <f>IF(N14750="","",'Master Barang'!B44)</f>
        <v>0</v>
      </c>
      <c r="P14750">
        <f>IF(OR(M14750="",N14750=""),"",SUMIFS('Barang Keluar'!$E:$E,'Barang Keluar'!$A:$A,M14750,'Barang Keluar'!$C:$C,N14750))</f>
        <v>0</v>
      </c>
    </row>
    <row r="14751" spans="13:16">
      <c r="M14751" s="49">
        <f>IF($A$4+147&gt;$B$4,"",$A$4+147)</f>
        <v>46170</v>
      </c>
      <c r="N14751">
        <f>IF(M14751="","",'Master Barang'!A45)</f>
        <v>0</v>
      </c>
      <c r="O14751">
        <f>IF(N14751="","",'Master Barang'!B45)</f>
        <v>0</v>
      </c>
      <c r="P14751">
        <f>IF(OR(M14751="",N14751=""),"",SUMIFS('Barang Keluar'!$E:$E,'Barang Keluar'!$A:$A,M14751,'Barang Keluar'!$C:$C,N14751))</f>
        <v>0</v>
      </c>
    </row>
    <row r="14752" spans="13:16">
      <c r="M14752" s="49">
        <f>IF($A$4+147&gt;$B$4,"",$A$4+147)</f>
        <v>46170</v>
      </c>
      <c r="N14752">
        <f>IF(M14752="","",'Master Barang'!A46)</f>
        <v>0</v>
      </c>
      <c r="O14752">
        <f>IF(N14752="","",'Master Barang'!B46)</f>
        <v>0</v>
      </c>
      <c r="P14752">
        <f>IF(OR(M14752="",N14752=""),"",SUMIFS('Barang Keluar'!$E:$E,'Barang Keluar'!$A:$A,M14752,'Barang Keluar'!$C:$C,N14752))</f>
        <v>0</v>
      </c>
    </row>
    <row r="14753" spans="13:16">
      <c r="M14753" s="49">
        <f>IF($A$4+147&gt;$B$4,"",$A$4+147)</f>
        <v>46170</v>
      </c>
      <c r="N14753">
        <f>IF(M14753="","",'Master Barang'!A47)</f>
        <v>0</v>
      </c>
      <c r="O14753">
        <f>IF(N14753="","",'Master Barang'!B47)</f>
        <v>0</v>
      </c>
      <c r="P14753">
        <f>IF(OR(M14753="",N14753=""),"",SUMIFS('Barang Keluar'!$E:$E,'Barang Keluar'!$A:$A,M14753,'Barang Keluar'!$C:$C,N14753))</f>
        <v>0</v>
      </c>
    </row>
    <row r="14754" spans="13:16">
      <c r="M14754" s="49">
        <f>IF($A$4+147&gt;$B$4,"",$A$4+147)</f>
        <v>46170</v>
      </c>
      <c r="N14754">
        <f>IF(M14754="","",'Master Barang'!A48)</f>
        <v>0</v>
      </c>
      <c r="O14754">
        <f>IF(N14754="","",'Master Barang'!B48)</f>
        <v>0</v>
      </c>
      <c r="P14754">
        <f>IF(OR(M14754="",N14754=""),"",SUMIFS('Barang Keluar'!$E:$E,'Barang Keluar'!$A:$A,M14754,'Barang Keluar'!$C:$C,N14754))</f>
        <v>0</v>
      </c>
    </row>
    <row r="14755" spans="13:16">
      <c r="M14755" s="49">
        <f>IF($A$4+147&gt;$B$4,"",$A$4+147)</f>
        <v>46170</v>
      </c>
      <c r="N14755">
        <f>IF(M14755="","",'Master Barang'!A49)</f>
        <v>0</v>
      </c>
      <c r="O14755">
        <f>IF(N14755="","",'Master Barang'!B49)</f>
        <v>0</v>
      </c>
      <c r="P14755">
        <f>IF(OR(M14755="",N14755=""),"",SUMIFS('Barang Keluar'!$E:$E,'Barang Keluar'!$A:$A,M14755,'Barang Keluar'!$C:$C,N14755))</f>
        <v>0</v>
      </c>
    </row>
    <row r="14756" spans="13:16">
      <c r="M14756" s="49">
        <f>IF($A$4+147&gt;$B$4,"",$A$4+147)</f>
        <v>46170</v>
      </c>
      <c r="N14756">
        <f>IF(M14756="","",'Master Barang'!A50)</f>
        <v>0</v>
      </c>
      <c r="O14756">
        <f>IF(N14756="","",'Master Barang'!B50)</f>
        <v>0</v>
      </c>
      <c r="P14756">
        <f>IF(OR(M14756="",N14756=""),"",SUMIFS('Barang Keluar'!$E:$E,'Barang Keluar'!$A:$A,M14756,'Barang Keluar'!$C:$C,N14756))</f>
        <v>0</v>
      </c>
    </row>
    <row r="14757" spans="13:16">
      <c r="M14757" s="49">
        <f>IF($A$4+147&gt;$B$4,"",$A$4+147)</f>
        <v>46170</v>
      </c>
      <c r="N14757">
        <f>IF(M14757="","",'Master Barang'!A51)</f>
        <v>0</v>
      </c>
      <c r="O14757">
        <f>IF(N14757="","",'Master Barang'!B51)</f>
        <v>0</v>
      </c>
      <c r="P14757">
        <f>IF(OR(M14757="",N14757=""),"",SUMIFS('Barang Keluar'!$E:$E,'Barang Keluar'!$A:$A,M14757,'Barang Keluar'!$C:$C,N14757))</f>
        <v>0</v>
      </c>
    </row>
    <row r="14758" spans="13:16">
      <c r="M14758" s="49">
        <f>IF($A$4+147&gt;$B$4,"",$A$4+147)</f>
        <v>46170</v>
      </c>
      <c r="N14758">
        <f>IF(M14758="","",'Master Barang'!A52)</f>
        <v>0</v>
      </c>
      <c r="O14758">
        <f>IF(N14758="","",'Master Barang'!B52)</f>
        <v>0</v>
      </c>
      <c r="P14758">
        <f>IF(OR(M14758="",N14758=""),"",SUMIFS('Barang Keluar'!$E:$E,'Barang Keluar'!$A:$A,M14758,'Barang Keluar'!$C:$C,N14758))</f>
        <v>0</v>
      </c>
    </row>
    <row r="14759" spans="13:16">
      <c r="M14759" s="49">
        <f>IF($A$4+147&gt;$B$4,"",$A$4+147)</f>
        <v>46170</v>
      </c>
      <c r="N14759">
        <f>IF(M14759="","",'Master Barang'!A53)</f>
        <v>0</v>
      </c>
      <c r="O14759">
        <f>IF(N14759="","",'Master Barang'!B53)</f>
        <v>0</v>
      </c>
      <c r="P14759">
        <f>IF(OR(M14759="",N14759=""),"",SUMIFS('Barang Keluar'!$E:$E,'Barang Keluar'!$A:$A,M14759,'Barang Keluar'!$C:$C,N14759))</f>
        <v>0</v>
      </c>
    </row>
    <row r="14760" spans="13:16">
      <c r="M14760" s="49">
        <f>IF($A$4+147&gt;$B$4,"",$A$4+147)</f>
        <v>46170</v>
      </c>
      <c r="N14760">
        <f>IF(M14760="","",'Master Barang'!A54)</f>
        <v>0</v>
      </c>
      <c r="O14760">
        <f>IF(N14760="","",'Master Barang'!B54)</f>
        <v>0</v>
      </c>
      <c r="P14760">
        <f>IF(OR(M14760="",N14760=""),"",SUMIFS('Barang Keluar'!$E:$E,'Barang Keluar'!$A:$A,M14760,'Barang Keluar'!$C:$C,N14760))</f>
        <v>0</v>
      </c>
    </row>
    <row r="14761" spans="13:16">
      <c r="M14761" s="49">
        <f>IF($A$4+147&gt;$B$4,"",$A$4+147)</f>
        <v>46170</v>
      </c>
      <c r="N14761">
        <f>IF(M14761="","",'Master Barang'!A55)</f>
        <v>0</v>
      </c>
      <c r="O14761">
        <f>IF(N14761="","",'Master Barang'!B55)</f>
        <v>0</v>
      </c>
      <c r="P14761">
        <f>IF(OR(M14761="",N14761=""),"",SUMIFS('Barang Keluar'!$E:$E,'Barang Keluar'!$A:$A,M14761,'Barang Keluar'!$C:$C,N14761))</f>
        <v>0</v>
      </c>
    </row>
    <row r="14762" spans="13:16">
      <c r="M14762" s="49">
        <f>IF($A$4+147&gt;$B$4,"",$A$4+147)</f>
        <v>46170</v>
      </c>
      <c r="N14762">
        <f>IF(M14762="","",'Master Barang'!A56)</f>
        <v>0</v>
      </c>
      <c r="O14762">
        <f>IF(N14762="","",'Master Barang'!B56)</f>
        <v>0</v>
      </c>
      <c r="P14762">
        <f>IF(OR(M14762="",N14762=""),"",SUMIFS('Barang Keluar'!$E:$E,'Barang Keluar'!$A:$A,M14762,'Barang Keluar'!$C:$C,N14762))</f>
        <v>0</v>
      </c>
    </row>
    <row r="14763" spans="13:16">
      <c r="M14763" s="49">
        <f>IF($A$4+147&gt;$B$4,"",$A$4+147)</f>
        <v>46170</v>
      </c>
      <c r="N14763">
        <f>IF(M14763="","",'Master Barang'!A57)</f>
        <v>0</v>
      </c>
      <c r="O14763">
        <f>IF(N14763="","",'Master Barang'!B57)</f>
        <v>0</v>
      </c>
      <c r="P14763">
        <f>IF(OR(M14763="",N14763=""),"",SUMIFS('Barang Keluar'!$E:$E,'Barang Keluar'!$A:$A,M14763,'Barang Keluar'!$C:$C,N14763))</f>
        <v>0</v>
      </c>
    </row>
    <row r="14764" spans="13:16">
      <c r="M14764" s="49">
        <f>IF($A$4+147&gt;$B$4,"",$A$4+147)</f>
        <v>46170</v>
      </c>
      <c r="N14764">
        <f>IF(M14764="","",'Master Barang'!A58)</f>
        <v>0</v>
      </c>
      <c r="O14764">
        <f>IF(N14764="","",'Master Barang'!B58)</f>
        <v>0</v>
      </c>
      <c r="P14764">
        <f>IF(OR(M14764="",N14764=""),"",SUMIFS('Barang Keluar'!$E:$E,'Barang Keluar'!$A:$A,M14764,'Barang Keluar'!$C:$C,N14764))</f>
        <v>0</v>
      </c>
    </row>
    <row r="14765" spans="13:16">
      <c r="M14765" s="49">
        <f>IF($A$4+147&gt;$B$4,"",$A$4+147)</f>
        <v>46170</v>
      </c>
      <c r="N14765">
        <f>IF(M14765="","",'Master Barang'!A59)</f>
        <v>0</v>
      </c>
      <c r="O14765">
        <f>IF(N14765="","",'Master Barang'!B59)</f>
        <v>0</v>
      </c>
      <c r="P14765">
        <f>IF(OR(M14765="",N14765=""),"",SUMIFS('Barang Keluar'!$E:$E,'Barang Keluar'!$A:$A,M14765,'Barang Keluar'!$C:$C,N14765))</f>
        <v>0</v>
      </c>
    </row>
    <row r="14766" spans="13:16">
      <c r="M14766" s="49">
        <f>IF($A$4+147&gt;$B$4,"",$A$4+147)</f>
        <v>46170</v>
      </c>
      <c r="N14766">
        <f>IF(M14766="","",'Master Barang'!A60)</f>
        <v>0</v>
      </c>
      <c r="O14766">
        <f>IF(N14766="","",'Master Barang'!B60)</f>
        <v>0</v>
      </c>
      <c r="P14766">
        <f>IF(OR(M14766="",N14766=""),"",SUMIFS('Barang Keluar'!$E:$E,'Barang Keluar'!$A:$A,M14766,'Barang Keluar'!$C:$C,N14766))</f>
        <v>0</v>
      </c>
    </row>
    <row r="14767" spans="13:16">
      <c r="M14767" s="49">
        <f>IF($A$4+147&gt;$B$4,"",$A$4+147)</f>
        <v>46170</v>
      </c>
      <c r="N14767">
        <f>IF(M14767="","",'Master Barang'!A61)</f>
        <v>0</v>
      </c>
      <c r="O14767">
        <f>IF(N14767="","",'Master Barang'!B61)</f>
        <v>0</v>
      </c>
      <c r="P14767">
        <f>IF(OR(M14767="",N14767=""),"",SUMIFS('Barang Keluar'!$E:$E,'Barang Keluar'!$A:$A,M14767,'Barang Keluar'!$C:$C,N14767))</f>
        <v>0</v>
      </c>
    </row>
    <row r="14768" spans="13:16">
      <c r="M14768" s="49">
        <f>IF($A$4+147&gt;$B$4,"",$A$4+147)</f>
        <v>46170</v>
      </c>
      <c r="N14768">
        <f>IF(M14768="","",'Master Barang'!A62)</f>
        <v>0</v>
      </c>
      <c r="O14768">
        <f>IF(N14768="","",'Master Barang'!B62)</f>
        <v>0</v>
      </c>
      <c r="P14768">
        <f>IF(OR(M14768="",N14768=""),"",SUMIFS('Barang Keluar'!$E:$E,'Barang Keluar'!$A:$A,M14768,'Barang Keluar'!$C:$C,N14768))</f>
        <v>0</v>
      </c>
    </row>
    <row r="14769" spans="13:16">
      <c r="M14769" s="49">
        <f>IF($A$4+147&gt;$B$4,"",$A$4+147)</f>
        <v>46170</v>
      </c>
      <c r="N14769">
        <f>IF(M14769="","",'Master Barang'!A63)</f>
        <v>0</v>
      </c>
      <c r="O14769">
        <f>IF(N14769="","",'Master Barang'!B63)</f>
        <v>0</v>
      </c>
      <c r="P14769">
        <f>IF(OR(M14769="",N14769=""),"",SUMIFS('Barang Keluar'!$E:$E,'Barang Keluar'!$A:$A,M14769,'Barang Keluar'!$C:$C,N14769))</f>
        <v>0</v>
      </c>
    </row>
    <row r="14770" spans="13:16">
      <c r="M14770" s="49">
        <f>IF($A$4+147&gt;$B$4,"",$A$4+147)</f>
        <v>46170</v>
      </c>
      <c r="N14770">
        <f>IF(M14770="","",'Master Barang'!A64)</f>
        <v>0</v>
      </c>
      <c r="O14770">
        <f>IF(N14770="","",'Master Barang'!B64)</f>
        <v>0</v>
      </c>
      <c r="P14770">
        <f>IF(OR(M14770="",N14770=""),"",SUMIFS('Barang Keluar'!$E:$E,'Barang Keluar'!$A:$A,M14770,'Barang Keluar'!$C:$C,N14770))</f>
        <v>0</v>
      </c>
    </row>
    <row r="14771" spans="13:16">
      <c r="M14771" s="49">
        <f>IF($A$4+147&gt;$B$4,"",$A$4+147)</f>
        <v>46170</v>
      </c>
      <c r="N14771">
        <f>IF(M14771="","",'Master Barang'!A65)</f>
        <v>0</v>
      </c>
      <c r="O14771">
        <f>IF(N14771="","",'Master Barang'!B65)</f>
        <v>0</v>
      </c>
      <c r="P14771">
        <f>IF(OR(M14771="",N14771=""),"",SUMIFS('Barang Keluar'!$E:$E,'Barang Keluar'!$A:$A,M14771,'Barang Keluar'!$C:$C,N14771))</f>
        <v>0</v>
      </c>
    </row>
    <row r="14772" spans="13:16">
      <c r="M14772" s="49">
        <f>IF($A$4+147&gt;$B$4,"",$A$4+147)</f>
        <v>46170</v>
      </c>
      <c r="N14772">
        <f>IF(M14772="","",'Master Barang'!A66)</f>
        <v>0</v>
      </c>
      <c r="O14772">
        <f>IF(N14772="","",'Master Barang'!B66)</f>
        <v>0</v>
      </c>
      <c r="P14772">
        <f>IF(OR(M14772="",N14772=""),"",SUMIFS('Barang Keluar'!$E:$E,'Barang Keluar'!$A:$A,M14772,'Barang Keluar'!$C:$C,N14772))</f>
        <v>0</v>
      </c>
    </row>
    <row r="14773" spans="13:16">
      <c r="M14773" s="49">
        <f>IF($A$4+147&gt;$B$4,"",$A$4+147)</f>
        <v>46170</v>
      </c>
      <c r="N14773">
        <f>IF(M14773="","",'Master Barang'!A67)</f>
        <v>0</v>
      </c>
      <c r="O14773">
        <f>IF(N14773="","",'Master Barang'!B67)</f>
        <v>0</v>
      </c>
      <c r="P14773">
        <f>IF(OR(M14773="",N14773=""),"",SUMIFS('Barang Keluar'!$E:$E,'Barang Keluar'!$A:$A,M14773,'Barang Keluar'!$C:$C,N14773))</f>
        <v>0</v>
      </c>
    </row>
    <row r="14774" spans="13:16">
      <c r="M14774" s="49">
        <f>IF($A$4+147&gt;$B$4,"",$A$4+147)</f>
        <v>46170</v>
      </c>
      <c r="N14774">
        <f>IF(M14774="","",'Master Barang'!A68)</f>
        <v>0</v>
      </c>
      <c r="O14774">
        <f>IF(N14774="","",'Master Barang'!B68)</f>
        <v>0</v>
      </c>
      <c r="P14774">
        <f>IF(OR(M14774="",N14774=""),"",SUMIFS('Barang Keluar'!$E:$E,'Barang Keluar'!$A:$A,M14774,'Barang Keluar'!$C:$C,N14774))</f>
        <v>0</v>
      </c>
    </row>
    <row r="14775" spans="13:16">
      <c r="M14775" s="49">
        <f>IF($A$4+147&gt;$B$4,"",$A$4+147)</f>
        <v>46170</v>
      </c>
      <c r="N14775">
        <f>IF(M14775="","",'Master Barang'!A69)</f>
        <v>0</v>
      </c>
      <c r="O14775">
        <f>IF(N14775="","",'Master Barang'!B69)</f>
        <v>0</v>
      </c>
      <c r="P14775">
        <f>IF(OR(M14775="",N14775=""),"",SUMIFS('Barang Keluar'!$E:$E,'Barang Keluar'!$A:$A,M14775,'Barang Keluar'!$C:$C,N14775))</f>
        <v>0</v>
      </c>
    </row>
    <row r="14776" spans="13:16">
      <c r="M14776" s="49">
        <f>IF($A$4+147&gt;$B$4,"",$A$4+147)</f>
        <v>46170</v>
      </c>
      <c r="N14776">
        <f>IF(M14776="","",'Master Barang'!A70)</f>
        <v>0</v>
      </c>
      <c r="O14776">
        <f>IF(N14776="","",'Master Barang'!B70)</f>
        <v>0</v>
      </c>
      <c r="P14776">
        <f>IF(OR(M14776="",N14776=""),"",SUMIFS('Barang Keluar'!$E:$E,'Barang Keluar'!$A:$A,M14776,'Barang Keluar'!$C:$C,N14776))</f>
        <v>0</v>
      </c>
    </row>
    <row r="14777" spans="13:16">
      <c r="M14777" s="49">
        <f>IF($A$4+147&gt;$B$4,"",$A$4+147)</f>
        <v>46170</v>
      </c>
      <c r="N14777">
        <f>IF(M14777="","",'Master Barang'!A71)</f>
        <v>0</v>
      </c>
      <c r="O14777">
        <f>IF(N14777="","",'Master Barang'!B71)</f>
        <v>0</v>
      </c>
      <c r="P14777">
        <f>IF(OR(M14777="",N14777=""),"",SUMIFS('Barang Keluar'!$E:$E,'Barang Keluar'!$A:$A,M14777,'Barang Keluar'!$C:$C,N14777))</f>
        <v>0</v>
      </c>
    </row>
    <row r="14778" spans="13:16">
      <c r="M14778" s="49">
        <f>IF($A$4+147&gt;$B$4,"",$A$4+147)</f>
        <v>46170</v>
      </c>
      <c r="N14778">
        <f>IF(M14778="","",'Master Barang'!A72)</f>
        <v>0</v>
      </c>
      <c r="O14778">
        <f>IF(N14778="","",'Master Barang'!B72)</f>
        <v>0</v>
      </c>
      <c r="P14778">
        <f>IF(OR(M14778="",N14778=""),"",SUMIFS('Barang Keluar'!$E:$E,'Barang Keluar'!$A:$A,M14778,'Barang Keluar'!$C:$C,N14778))</f>
        <v>0</v>
      </c>
    </row>
    <row r="14779" spans="13:16">
      <c r="M14779" s="49">
        <f>IF($A$4+147&gt;$B$4,"",$A$4+147)</f>
        <v>46170</v>
      </c>
      <c r="N14779">
        <f>IF(M14779="","",'Master Barang'!A73)</f>
        <v>0</v>
      </c>
      <c r="O14779">
        <f>IF(N14779="","",'Master Barang'!B73)</f>
        <v>0</v>
      </c>
      <c r="P14779">
        <f>IF(OR(M14779="",N14779=""),"",SUMIFS('Barang Keluar'!$E:$E,'Barang Keluar'!$A:$A,M14779,'Barang Keluar'!$C:$C,N14779))</f>
        <v>0</v>
      </c>
    </row>
    <row r="14780" spans="13:16">
      <c r="M14780" s="49">
        <f>IF($A$4+147&gt;$B$4,"",$A$4+147)</f>
        <v>46170</v>
      </c>
      <c r="N14780">
        <f>IF(M14780="","",'Master Barang'!A74)</f>
        <v>0</v>
      </c>
      <c r="O14780">
        <f>IF(N14780="","",'Master Barang'!B74)</f>
        <v>0</v>
      </c>
      <c r="P14780">
        <f>IF(OR(M14780="",N14780=""),"",SUMIFS('Barang Keluar'!$E:$E,'Barang Keluar'!$A:$A,M14780,'Barang Keluar'!$C:$C,N14780))</f>
        <v>0</v>
      </c>
    </row>
    <row r="14781" spans="13:16">
      <c r="M14781" s="49">
        <f>IF($A$4+147&gt;$B$4,"",$A$4+147)</f>
        <v>46170</v>
      </c>
      <c r="N14781">
        <f>IF(M14781="","",'Master Barang'!A75)</f>
        <v>0</v>
      </c>
      <c r="O14781">
        <f>IF(N14781="","",'Master Barang'!B75)</f>
        <v>0</v>
      </c>
      <c r="P14781">
        <f>IF(OR(M14781="",N14781=""),"",SUMIFS('Barang Keluar'!$E:$E,'Barang Keluar'!$A:$A,M14781,'Barang Keluar'!$C:$C,N14781))</f>
        <v>0</v>
      </c>
    </row>
    <row r="14782" spans="13:16">
      <c r="M14782" s="49">
        <f>IF($A$4+147&gt;$B$4,"",$A$4+147)</f>
        <v>46170</v>
      </c>
      <c r="N14782">
        <f>IF(M14782="","",'Master Barang'!A76)</f>
        <v>0</v>
      </c>
      <c r="O14782">
        <f>IF(N14782="","",'Master Barang'!B76)</f>
        <v>0</v>
      </c>
      <c r="P14782">
        <f>IF(OR(M14782="",N14782=""),"",SUMIFS('Barang Keluar'!$E:$E,'Barang Keluar'!$A:$A,M14782,'Barang Keluar'!$C:$C,N14782))</f>
        <v>0</v>
      </c>
    </row>
    <row r="14783" spans="13:16">
      <c r="M14783" s="49">
        <f>IF($A$4+147&gt;$B$4,"",$A$4+147)</f>
        <v>46170</v>
      </c>
      <c r="N14783">
        <f>IF(M14783="","",'Master Barang'!A77)</f>
        <v>0</v>
      </c>
      <c r="O14783">
        <f>IF(N14783="","",'Master Barang'!B77)</f>
        <v>0</v>
      </c>
      <c r="P14783">
        <f>IF(OR(M14783="",N14783=""),"",SUMIFS('Barang Keluar'!$E:$E,'Barang Keluar'!$A:$A,M14783,'Barang Keluar'!$C:$C,N14783))</f>
        <v>0</v>
      </c>
    </row>
    <row r="14784" spans="13:16">
      <c r="M14784" s="49">
        <f>IF($A$4+147&gt;$B$4,"",$A$4+147)</f>
        <v>46170</v>
      </c>
      <c r="N14784">
        <f>IF(M14784="","",'Master Barang'!A78)</f>
        <v>0</v>
      </c>
      <c r="O14784">
        <f>IF(N14784="","",'Master Barang'!B78)</f>
        <v>0</v>
      </c>
      <c r="P14784">
        <f>IF(OR(M14784="",N14784=""),"",SUMIFS('Barang Keluar'!$E:$E,'Barang Keluar'!$A:$A,M14784,'Barang Keluar'!$C:$C,N14784))</f>
        <v>0</v>
      </c>
    </row>
    <row r="14785" spans="13:16">
      <c r="M14785" s="49">
        <f>IF($A$4+147&gt;$B$4,"",$A$4+147)</f>
        <v>46170</v>
      </c>
      <c r="N14785">
        <f>IF(M14785="","",'Master Barang'!A79)</f>
        <v>0</v>
      </c>
      <c r="O14785">
        <f>IF(N14785="","",'Master Barang'!B79)</f>
        <v>0</v>
      </c>
      <c r="P14785">
        <f>IF(OR(M14785="",N14785=""),"",SUMIFS('Barang Keluar'!$E:$E,'Barang Keluar'!$A:$A,M14785,'Barang Keluar'!$C:$C,N14785))</f>
        <v>0</v>
      </c>
    </row>
    <row r="14786" spans="13:16">
      <c r="M14786" s="49">
        <f>IF($A$4+147&gt;$B$4,"",$A$4+147)</f>
        <v>46170</v>
      </c>
      <c r="N14786">
        <f>IF(M14786="","",'Master Barang'!A80)</f>
        <v>0</v>
      </c>
      <c r="O14786">
        <f>IF(N14786="","",'Master Barang'!B80)</f>
        <v>0</v>
      </c>
      <c r="P14786">
        <f>IF(OR(M14786="",N14786=""),"",SUMIFS('Barang Keluar'!$E:$E,'Barang Keluar'!$A:$A,M14786,'Barang Keluar'!$C:$C,N14786))</f>
        <v>0</v>
      </c>
    </row>
    <row r="14787" spans="13:16">
      <c r="M14787" s="49">
        <f>IF($A$4+147&gt;$B$4,"",$A$4+147)</f>
        <v>46170</v>
      </c>
      <c r="N14787">
        <f>IF(M14787="","",'Master Barang'!A81)</f>
        <v>0</v>
      </c>
      <c r="O14787">
        <f>IF(N14787="","",'Master Barang'!B81)</f>
        <v>0</v>
      </c>
      <c r="P14787">
        <f>IF(OR(M14787="",N14787=""),"",SUMIFS('Barang Keluar'!$E:$E,'Barang Keluar'!$A:$A,M14787,'Barang Keluar'!$C:$C,N14787))</f>
        <v>0</v>
      </c>
    </row>
    <row r="14788" spans="13:16">
      <c r="M14788" s="49">
        <f>IF($A$4+147&gt;$B$4,"",$A$4+147)</f>
        <v>46170</v>
      </c>
      <c r="N14788">
        <f>IF(M14788="","",'Master Barang'!A82)</f>
        <v>0</v>
      </c>
      <c r="O14788">
        <f>IF(N14788="","",'Master Barang'!B82)</f>
        <v>0</v>
      </c>
      <c r="P14788">
        <f>IF(OR(M14788="",N14788=""),"",SUMIFS('Barang Keluar'!$E:$E,'Barang Keluar'!$A:$A,M14788,'Barang Keluar'!$C:$C,N14788))</f>
        <v>0</v>
      </c>
    </row>
    <row r="14789" spans="13:16">
      <c r="M14789" s="49">
        <f>IF($A$4+147&gt;$B$4,"",$A$4+147)</f>
        <v>46170</v>
      </c>
      <c r="N14789">
        <f>IF(M14789="","",'Master Barang'!A83)</f>
        <v>0</v>
      </c>
      <c r="O14789">
        <f>IF(N14789="","",'Master Barang'!B83)</f>
        <v>0</v>
      </c>
      <c r="P14789">
        <f>IF(OR(M14789="",N14789=""),"",SUMIFS('Barang Keluar'!$E:$E,'Barang Keluar'!$A:$A,M14789,'Barang Keluar'!$C:$C,N14789))</f>
        <v>0</v>
      </c>
    </row>
    <row r="14790" spans="13:16">
      <c r="M14790" s="49">
        <f>IF($A$4+147&gt;$B$4,"",$A$4+147)</f>
        <v>46170</v>
      </c>
      <c r="N14790">
        <f>IF(M14790="","",'Master Barang'!A84)</f>
        <v>0</v>
      </c>
      <c r="O14790">
        <f>IF(N14790="","",'Master Barang'!B84)</f>
        <v>0</v>
      </c>
      <c r="P14790">
        <f>IF(OR(M14790="",N14790=""),"",SUMIFS('Barang Keluar'!$E:$E,'Barang Keluar'!$A:$A,M14790,'Barang Keluar'!$C:$C,N14790))</f>
        <v>0</v>
      </c>
    </row>
    <row r="14791" spans="13:16">
      <c r="M14791" s="49">
        <f>IF($A$4+147&gt;$B$4,"",$A$4+147)</f>
        <v>46170</v>
      </c>
      <c r="N14791">
        <f>IF(M14791="","",'Master Barang'!A85)</f>
        <v>0</v>
      </c>
      <c r="O14791">
        <f>IF(N14791="","",'Master Barang'!B85)</f>
        <v>0</v>
      </c>
      <c r="P14791">
        <f>IF(OR(M14791="",N14791=""),"",SUMIFS('Barang Keluar'!$E:$E,'Barang Keluar'!$A:$A,M14791,'Barang Keluar'!$C:$C,N14791))</f>
        <v>0</v>
      </c>
    </row>
    <row r="14792" spans="13:16">
      <c r="M14792" s="49">
        <f>IF($A$4+147&gt;$B$4,"",$A$4+147)</f>
        <v>46170</v>
      </c>
      <c r="N14792">
        <f>IF(M14792="","",'Master Barang'!A86)</f>
        <v>0</v>
      </c>
      <c r="O14792">
        <f>IF(N14792="","",'Master Barang'!B86)</f>
        <v>0</v>
      </c>
      <c r="P14792">
        <f>IF(OR(M14792="",N14792=""),"",SUMIFS('Barang Keluar'!$E:$E,'Barang Keluar'!$A:$A,M14792,'Barang Keluar'!$C:$C,N14792))</f>
        <v>0</v>
      </c>
    </row>
    <row r="14793" spans="13:16">
      <c r="M14793" s="49">
        <f>IF($A$4+147&gt;$B$4,"",$A$4+147)</f>
        <v>46170</v>
      </c>
      <c r="N14793">
        <f>IF(M14793="","",'Master Barang'!A87)</f>
        <v>0</v>
      </c>
      <c r="O14793">
        <f>IF(N14793="","",'Master Barang'!B87)</f>
        <v>0</v>
      </c>
      <c r="P14793">
        <f>IF(OR(M14793="",N14793=""),"",SUMIFS('Barang Keluar'!$E:$E,'Barang Keluar'!$A:$A,M14793,'Barang Keluar'!$C:$C,N14793))</f>
        <v>0</v>
      </c>
    </row>
    <row r="14794" spans="13:16">
      <c r="M14794" s="49">
        <f>IF($A$4+147&gt;$B$4,"",$A$4+147)</f>
        <v>46170</v>
      </c>
      <c r="N14794">
        <f>IF(M14794="","",'Master Barang'!A88)</f>
        <v>0</v>
      </c>
      <c r="O14794">
        <f>IF(N14794="","",'Master Barang'!B88)</f>
        <v>0</v>
      </c>
      <c r="P14794">
        <f>IF(OR(M14794="",N14794=""),"",SUMIFS('Barang Keluar'!$E:$E,'Barang Keluar'!$A:$A,M14794,'Barang Keluar'!$C:$C,N14794))</f>
        <v>0</v>
      </c>
    </row>
    <row r="14795" spans="13:16">
      <c r="M14795" s="49">
        <f>IF($A$4+147&gt;$B$4,"",$A$4+147)</f>
        <v>46170</v>
      </c>
      <c r="N14795">
        <f>IF(M14795="","",'Master Barang'!A89)</f>
        <v>0</v>
      </c>
      <c r="O14795">
        <f>IF(N14795="","",'Master Barang'!B89)</f>
        <v>0</v>
      </c>
      <c r="P14795">
        <f>IF(OR(M14795="",N14795=""),"",SUMIFS('Barang Keluar'!$E:$E,'Barang Keluar'!$A:$A,M14795,'Barang Keluar'!$C:$C,N14795))</f>
        <v>0</v>
      </c>
    </row>
    <row r="14796" spans="13:16">
      <c r="M14796" s="49">
        <f>IF($A$4+147&gt;$B$4,"",$A$4+147)</f>
        <v>46170</v>
      </c>
      <c r="N14796">
        <f>IF(M14796="","",'Master Barang'!A90)</f>
        <v>0</v>
      </c>
      <c r="O14796">
        <f>IF(N14796="","",'Master Barang'!B90)</f>
        <v>0</v>
      </c>
      <c r="P14796">
        <f>IF(OR(M14796="",N14796=""),"",SUMIFS('Barang Keluar'!$E:$E,'Barang Keluar'!$A:$A,M14796,'Barang Keluar'!$C:$C,N14796))</f>
        <v>0</v>
      </c>
    </row>
    <row r="14797" spans="13:16">
      <c r="M14797" s="49">
        <f>IF($A$4+147&gt;$B$4,"",$A$4+147)</f>
        <v>46170</v>
      </c>
      <c r="N14797">
        <f>IF(M14797="","",'Master Barang'!A91)</f>
        <v>0</v>
      </c>
      <c r="O14797">
        <f>IF(N14797="","",'Master Barang'!B91)</f>
        <v>0</v>
      </c>
      <c r="P14797">
        <f>IF(OR(M14797="",N14797=""),"",SUMIFS('Barang Keluar'!$E:$E,'Barang Keluar'!$A:$A,M14797,'Barang Keluar'!$C:$C,N14797))</f>
        <v>0</v>
      </c>
    </row>
    <row r="14798" spans="13:16">
      <c r="M14798" s="49">
        <f>IF($A$4+147&gt;$B$4,"",$A$4+147)</f>
        <v>46170</v>
      </c>
      <c r="N14798">
        <f>IF(M14798="","",'Master Barang'!A92)</f>
        <v>0</v>
      </c>
      <c r="O14798">
        <f>IF(N14798="","",'Master Barang'!B92)</f>
        <v>0</v>
      </c>
      <c r="P14798">
        <f>IF(OR(M14798="",N14798=""),"",SUMIFS('Barang Keluar'!$E:$E,'Barang Keluar'!$A:$A,M14798,'Barang Keluar'!$C:$C,N14798))</f>
        <v>0</v>
      </c>
    </row>
    <row r="14799" spans="13:16">
      <c r="M14799" s="49">
        <f>IF($A$4+147&gt;$B$4,"",$A$4+147)</f>
        <v>46170</v>
      </c>
      <c r="N14799">
        <f>IF(M14799="","",'Master Barang'!A93)</f>
        <v>0</v>
      </c>
      <c r="O14799">
        <f>IF(N14799="","",'Master Barang'!B93)</f>
        <v>0</v>
      </c>
      <c r="P14799">
        <f>IF(OR(M14799="",N14799=""),"",SUMIFS('Barang Keluar'!$E:$E,'Barang Keluar'!$A:$A,M14799,'Barang Keluar'!$C:$C,N14799))</f>
        <v>0</v>
      </c>
    </row>
    <row r="14800" spans="13:16">
      <c r="M14800" s="49">
        <f>IF($A$4+147&gt;$B$4,"",$A$4+147)</f>
        <v>46170</v>
      </c>
      <c r="N14800">
        <f>IF(M14800="","",'Master Barang'!A94)</f>
        <v>0</v>
      </c>
      <c r="O14800">
        <f>IF(N14800="","",'Master Barang'!B94)</f>
        <v>0</v>
      </c>
      <c r="P14800">
        <f>IF(OR(M14800="",N14800=""),"",SUMIFS('Barang Keluar'!$E:$E,'Barang Keluar'!$A:$A,M14800,'Barang Keluar'!$C:$C,N14800))</f>
        <v>0</v>
      </c>
    </row>
    <row r="14801" spans="13:16">
      <c r="M14801" s="49">
        <f>IF($A$4+147&gt;$B$4,"",$A$4+147)</f>
        <v>46170</v>
      </c>
      <c r="N14801">
        <f>IF(M14801="","",'Master Barang'!A95)</f>
        <v>0</v>
      </c>
      <c r="O14801">
        <f>IF(N14801="","",'Master Barang'!B95)</f>
        <v>0</v>
      </c>
      <c r="P14801">
        <f>IF(OR(M14801="",N14801=""),"",SUMIFS('Barang Keluar'!$E:$E,'Barang Keluar'!$A:$A,M14801,'Barang Keluar'!$C:$C,N14801))</f>
        <v>0</v>
      </c>
    </row>
    <row r="14802" spans="13:16">
      <c r="M14802" s="49">
        <f>IF($A$4+147&gt;$B$4,"",$A$4+147)</f>
        <v>46170</v>
      </c>
      <c r="N14802">
        <f>IF(M14802="","",'Master Barang'!A96)</f>
        <v>0</v>
      </c>
      <c r="O14802">
        <f>IF(N14802="","",'Master Barang'!B96)</f>
        <v>0</v>
      </c>
      <c r="P14802">
        <f>IF(OR(M14802="",N14802=""),"",SUMIFS('Barang Keluar'!$E:$E,'Barang Keluar'!$A:$A,M14802,'Barang Keluar'!$C:$C,N14802))</f>
        <v>0</v>
      </c>
    </row>
    <row r="14803" spans="13:16">
      <c r="M14803" s="49">
        <f>IF($A$4+147&gt;$B$4,"",$A$4+147)</f>
        <v>46170</v>
      </c>
      <c r="N14803">
        <f>IF(M14803="","",'Master Barang'!A97)</f>
        <v>0</v>
      </c>
      <c r="O14803">
        <f>IF(N14803="","",'Master Barang'!B97)</f>
        <v>0</v>
      </c>
      <c r="P14803">
        <f>IF(OR(M14803="",N14803=""),"",SUMIFS('Barang Keluar'!$E:$E,'Barang Keluar'!$A:$A,M14803,'Barang Keluar'!$C:$C,N14803))</f>
        <v>0</v>
      </c>
    </row>
    <row r="14804" spans="13:16">
      <c r="M14804" s="49">
        <f>IF($A$4+147&gt;$B$4,"",$A$4+147)</f>
        <v>46170</v>
      </c>
      <c r="N14804">
        <f>IF(M14804="","",'Master Barang'!A98)</f>
        <v>0</v>
      </c>
      <c r="O14804">
        <f>IF(N14804="","",'Master Barang'!B98)</f>
        <v>0</v>
      </c>
      <c r="P14804">
        <f>IF(OR(M14804="",N14804=""),"",SUMIFS('Barang Keluar'!$E:$E,'Barang Keluar'!$A:$A,M14804,'Barang Keluar'!$C:$C,N14804))</f>
        <v>0</v>
      </c>
    </row>
    <row r="14805" spans="13:16">
      <c r="M14805" s="49">
        <f>IF($A$4+147&gt;$B$4,"",$A$4+147)</f>
        <v>46170</v>
      </c>
      <c r="N14805">
        <f>IF(M14805="","",'Master Barang'!A99)</f>
        <v>0</v>
      </c>
      <c r="O14805">
        <f>IF(N14805="","",'Master Barang'!B99)</f>
        <v>0</v>
      </c>
      <c r="P14805">
        <f>IF(OR(M14805="",N14805=""),"",SUMIFS('Barang Keluar'!$E:$E,'Barang Keluar'!$A:$A,M14805,'Barang Keluar'!$C:$C,N14805))</f>
        <v>0</v>
      </c>
    </row>
    <row r="14806" spans="13:16">
      <c r="M14806" s="49">
        <f>IF($A$4+147&gt;$B$4,"",$A$4+147)</f>
        <v>46170</v>
      </c>
      <c r="N14806">
        <f>IF(M14806="","",'Master Barang'!A100)</f>
        <v>0</v>
      </c>
      <c r="O14806">
        <f>IF(N14806="","",'Master Barang'!B100)</f>
        <v>0</v>
      </c>
      <c r="P14806">
        <f>IF(OR(M14806="",N14806=""),"",SUMIFS('Barang Keluar'!$E:$E,'Barang Keluar'!$A:$A,M14806,'Barang Keluar'!$C:$C,N14806))</f>
        <v>0</v>
      </c>
    </row>
    <row r="14807" spans="13:16">
      <c r="M14807" s="49">
        <f>IF($A$4+147&gt;$B$4,"",$A$4+147)</f>
        <v>46170</v>
      </c>
      <c r="N14807">
        <f>IF(M14807="","",'Master Barang'!A101)</f>
        <v>0</v>
      </c>
      <c r="O14807">
        <f>IF(N14807="","",'Master Barang'!B101)</f>
        <v>0</v>
      </c>
      <c r="P14807">
        <f>IF(OR(M14807="",N14807=""),"",SUMIFS('Barang Keluar'!$E:$E,'Barang Keluar'!$A:$A,M14807,'Barang Keluar'!$C:$C,N14807))</f>
        <v>0</v>
      </c>
    </row>
    <row r="14808" spans="13:16">
      <c r="M14808" s="49">
        <f>IF($A$4+148&gt;$B$4,"",$A$4+148)</f>
        <v>46171</v>
      </c>
      <c r="N14808" t="str">
        <f>IF(M14808="","",'Master Barang'!A2)</f>
        <v>PRL-001</v>
      </c>
      <c r="O14808" t="str">
        <f>IF(N14808="","",'Master Barang'!B2)</f>
        <v>natura desinfectant food grade 5l</v>
      </c>
      <c r="P14808">
        <f>IF(OR(M14808="",N14808=""),"",SUMIFS('Barang Keluar'!$E:$E,'Barang Keluar'!$A:$A,M14808,'Barang Keluar'!$C:$C,N14808))</f>
        <v>0</v>
      </c>
    </row>
    <row r="14809" spans="13:16">
      <c r="M14809" s="49">
        <f>IF($A$4+148&gt;$B$4,"",$A$4+148)</f>
        <v>46171</v>
      </c>
      <c r="N14809" t="str">
        <f>IF(M14809="","",'Master Barang'!A3)</f>
        <v>PRL-002</v>
      </c>
      <c r="O14809" t="str">
        <f>IF(N14809="","",'Master Barang'!B3)</f>
        <v>sunlight cairan pencuci piring 5l</v>
      </c>
      <c r="P14809">
        <f>IF(OR(M14809="",N14809=""),"",SUMIFS('Barang Keluar'!$E:$E,'Barang Keluar'!$A:$A,M14809,'Barang Keluar'!$C:$C,N14809))</f>
        <v>0</v>
      </c>
    </row>
    <row r="14810" spans="13:16">
      <c r="M14810" s="49">
        <f>IF($A$4+148&gt;$B$4,"",$A$4+148)</f>
        <v>46171</v>
      </c>
      <c r="N14810" t="str">
        <f>IF(M14810="","",'Master Barang'!A4)</f>
        <v>PRL-003</v>
      </c>
      <c r="O14810" t="str">
        <f>IF(N14810="","",'Master Barang'!B4)</f>
        <v>oixs cleaner 1l</v>
      </c>
      <c r="P14810">
        <f>IF(OR(M14810="",N14810=""),"",SUMIFS('Barang Keluar'!$E:$E,'Barang Keluar'!$A:$A,M14810,'Barang Keluar'!$C:$C,N14810))</f>
        <v>0</v>
      </c>
    </row>
    <row r="14811" spans="13:16">
      <c r="M14811" s="49">
        <f>IF($A$4+148&gt;$B$4,"",$A$4+148)</f>
        <v>46171</v>
      </c>
      <c r="N14811" t="str">
        <f>IF(M14811="","",'Master Barang'!A5)</f>
        <v>PRL-004</v>
      </c>
      <c r="O14811" t="str">
        <f>IF(N14811="","",'Master Barang'!B5)</f>
        <v>be clean tissue serbaguna</v>
      </c>
      <c r="P14811">
        <f>IF(OR(M14811="",N14811=""),"",SUMIFS('Barang Keluar'!$E:$E,'Barang Keluar'!$A:$A,M14811,'Barang Keluar'!$C:$C,N14811))</f>
        <v>0</v>
      </c>
    </row>
    <row r="14812" spans="13:16">
      <c r="M14812" s="49">
        <f>IF($A$4+148&gt;$B$4,"",$A$4+148)</f>
        <v>46171</v>
      </c>
      <c r="N14812" t="str">
        <f>IF(M14812="","",'Master Barang'!A6)</f>
        <v>PRL-005</v>
      </c>
      <c r="O14812" t="str">
        <f>IF(N14812="","",'Master Barang'!B6)</f>
        <v>spons cuci hijau</v>
      </c>
      <c r="P14812">
        <f>IF(OR(M14812="",N14812=""),"",SUMIFS('Barang Keluar'!$E:$E,'Barang Keluar'!$A:$A,M14812,'Barang Keluar'!$C:$C,N14812))</f>
        <v>0</v>
      </c>
    </row>
    <row r="14813" spans="13:16">
      <c r="M14813" s="49">
        <f>IF($A$4+148&gt;$B$4,"",$A$4+148)</f>
        <v>46171</v>
      </c>
      <c r="N14813" t="str">
        <f>IF(M14813="","",'Master Barang'!A7)</f>
        <v>PRL-006</v>
      </c>
      <c r="O14813" t="str">
        <f>IF(N14813="","",'Master Barang'!B7)</f>
        <v>sabut cuci stainless</v>
      </c>
      <c r="P14813">
        <f>IF(OR(M14813="",N14813=""),"",SUMIFS('Barang Keluar'!$E:$E,'Barang Keluar'!$A:$A,M14813,'Barang Keluar'!$C:$C,N14813))</f>
        <v>0</v>
      </c>
    </row>
    <row r="14814" spans="13:16">
      <c r="M14814" s="49">
        <f>IF($A$4+148&gt;$B$4,"",$A$4+148)</f>
        <v>46171</v>
      </c>
      <c r="N14814" t="str">
        <f>IF(M14814="","",'Master Barang'!A8)</f>
        <v>PRL-007</v>
      </c>
      <c r="O14814" t="str">
        <f>IF(N14814="","",'Master Barang'!B8)</f>
        <v>plastik kresek besar merah 50pc</v>
      </c>
      <c r="P14814">
        <f>IF(OR(M14814="",N14814=""),"",SUMIFS('Barang Keluar'!$E:$E,'Barang Keluar'!$A:$A,M14814,'Barang Keluar'!$C:$C,N14814))</f>
        <v>0</v>
      </c>
    </row>
    <row r="14815" spans="13:16">
      <c r="M14815" s="49">
        <f>IF($A$4+148&gt;$B$4,"",$A$4+148)</f>
        <v>46171</v>
      </c>
      <c r="N14815" t="str">
        <f>IF(M14815="","",'Master Barang'!A9)</f>
        <v>PRL-008</v>
      </c>
      <c r="O14815" t="str">
        <f>IF(N14815="","",'Master Barang'!B9)</f>
        <v>lap besar</v>
      </c>
      <c r="P14815">
        <f>IF(OR(M14815="",N14815=""),"",SUMIFS('Barang Keluar'!$E:$E,'Barang Keluar'!$A:$A,M14815,'Barang Keluar'!$C:$C,N14815))</f>
        <v>0</v>
      </c>
    </row>
    <row r="14816" spans="13:16">
      <c r="M14816" s="49">
        <f>IF($A$4+148&gt;$B$4,"",$A$4+148)</f>
        <v>46171</v>
      </c>
      <c r="N14816" t="str">
        <f>IF(M14816="","",'Master Barang'!A10)</f>
        <v>PRL-009</v>
      </c>
      <c r="O14816" t="str">
        <f>IF(N14816="","",'Master Barang'!B10)</f>
        <v>lap microfiber</v>
      </c>
      <c r="P14816">
        <f>IF(OR(M14816="",N14816=""),"",SUMIFS('Barang Keluar'!$E:$E,'Barang Keluar'!$A:$A,M14816,'Barang Keluar'!$C:$C,N14816))</f>
        <v>0</v>
      </c>
    </row>
    <row r="14817" spans="13:16">
      <c r="M14817" s="49">
        <f>IF($A$4+148&gt;$B$4,"",$A$4+148)</f>
        <v>46171</v>
      </c>
      <c r="N14817" t="str">
        <f>IF(M14817="","",'Master Barang'!A11)</f>
        <v>PRL-010</v>
      </c>
      <c r="O14817" t="str">
        <f>IF(N14817="","",'Master Barang'!B11)</f>
        <v>lap kecil</v>
      </c>
      <c r="P14817">
        <f>IF(OR(M14817="",N14817=""),"",SUMIFS('Barang Keluar'!$E:$E,'Barang Keluar'!$A:$A,M14817,'Barang Keluar'!$C:$C,N14817))</f>
        <v>0</v>
      </c>
    </row>
    <row r="14818" spans="13:16">
      <c r="M14818" s="49">
        <f>IF($A$4+148&gt;$B$4,"",$A$4+148)</f>
        <v>46171</v>
      </c>
      <c r="N14818" t="str">
        <f>IF(M14818="","",'Master Barang'!A12)</f>
        <v>PRL-011</v>
      </c>
      <c r="O14818" t="str">
        <f>IF(N14818="","",'Master Barang'!B12)</f>
        <v>kanebo kecil</v>
      </c>
      <c r="P14818">
        <f>IF(OR(M14818="",N14818=""),"",SUMIFS('Barang Keluar'!$E:$E,'Barang Keluar'!$A:$A,M14818,'Barang Keluar'!$C:$C,N14818))</f>
        <v>0</v>
      </c>
    </row>
    <row r="14819" spans="13:16">
      <c r="M14819" s="49">
        <f>IF($A$4+148&gt;$B$4,"",$A$4+148)</f>
        <v>46171</v>
      </c>
      <c r="N14819" t="str">
        <f>IF(M14819="","",'Master Barang'!A13)</f>
        <v>PRL-012</v>
      </c>
      <c r="O14819" t="str">
        <f>IF(N14819="","",'Master Barang'!B13)</f>
        <v>plastik 1/4kg joyoboyo 100 lembar</v>
      </c>
      <c r="P14819">
        <f>IF(OR(M14819="",N14819=""),"",SUMIFS('Barang Keluar'!$E:$E,'Barang Keluar'!$A:$A,M14819,'Barang Keluar'!$C:$C,N14819))</f>
        <v>0</v>
      </c>
    </row>
    <row r="14820" spans="13:16">
      <c r="M14820" s="49">
        <f>IF($A$4+148&gt;$B$4,"",$A$4+148)</f>
        <v>46171</v>
      </c>
      <c r="N14820" t="str">
        <f>IF(M14820="","",'Master Barang'!A14)</f>
        <v>PRL-013</v>
      </c>
      <c r="O14820" t="str">
        <f>IF(N14820="","",'Master Barang'!B14)</f>
        <v>sarung tangan plastik kaka 100 pcs</v>
      </c>
      <c r="P14820">
        <f>IF(OR(M14820="",N14820=""),"",SUMIFS('Barang Keluar'!$E:$E,'Barang Keluar'!$A:$A,M14820,'Barang Keluar'!$C:$C,N14820))</f>
        <v>0</v>
      </c>
    </row>
    <row r="14821" spans="13:16">
      <c r="M14821" s="49">
        <f>IF($A$4+148&gt;$B$4,"",$A$4+148)</f>
        <v>46171</v>
      </c>
      <c r="N14821" t="str">
        <f>IF(M14821="","",'Master Barang'!A15)</f>
        <v>PRL-014</v>
      </c>
      <c r="O14821" t="str">
        <f>IF(N14821="","",'Master Barang'!B15)</f>
        <v>optima trashbag 80x100</v>
      </c>
      <c r="P14821">
        <f>IF(OR(M14821="",N14821=""),"",SUMIFS('Barang Keluar'!$E:$E,'Barang Keluar'!$A:$A,M14821,'Barang Keluar'!$C:$C,N14821))</f>
        <v>0</v>
      </c>
    </row>
    <row r="14822" spans="13:16">
      <c r="M14822" s="49">
        <f>IF($A$4+148&gt;$B$4,"",$A$4+148)</f>
        <v>46171</v>
      </c>
      <c r="N14822" t="str">
        <f>IF(M14822="","",'Master Barang'!A16)</f>
        <v>PRL-015</v>
      </c>
      <c r="O14822" t="str">
        <f>IF(N14822="","",'Master Barang'!B16)</f>
        <v>optima trashbag 60x100</v>
      </c>
      <c r="P14822">
        <f>IF(OR(M14822="",N14822=""),"",SUMIFS('Barang Keluar'!$E:$E,'Barang Keluar'!$A:$A,M14822,'Barang Keluar'!$C:$C,N14822))</f>
        <v>0</v>
      </c>
    </row>
    <row r="14823" spans="13:16">
      <c r="M14823" s="49">
        <f>IF($A$4+148&gt;$B$4,"",$A$4+148)</f>
        <v>46171</v>
      </c>
      <c r="N14823" t="str">
        <f>IF(M14823="","",'Master Barang'!A17)</f>
        <v>PRL-016</v>
      </c>
      <c r="O14823" t="str">
        <f>IF(N14823="","",'Master Barang'!B17)</f>
        <v>rajawali trashbag 30x40</v>
      </c>
      <c r="P14823">
        <f>IF(OR(M14823="",N14823=""),"",SUMIFS('Barang Keluar'!$E:$E,'Barang Keluar'!$A:$A,M14823,'Barang Keluar'!$C:$C,N14823))</f>
        <v>0</v>
      </c>
    </row>
    <row r="14824" spans="13:16">
      <c r="M14824" s="49">
        <f>IF($A$4+148&gt;$B$4,"",$A$4+148)</f>
        <v>46171</v>
      </c>
      <c r="N14824" t="str">
        <f>IF(M14824="","",'Master Barang'!A18)</f>
        <v>PRL-017</v>
      </c>
      <c r="O14824" t="str">
        <f>IF(N14824="","",'Master Barang'!B18)</f>
        <v>onemed masker biru 3 play 50 pcs</v>
      </c>
      <c r="P14824">
        <f>IF(OR(M14824="",N14824=""),"",SUMIFS('Barang Keluar'!$E:$E,'Barang Keluar'!$A:$A,M14824,'Barang Keluar'!$C:$C,N14824))</f>
        <v>0</v>
      </c>
    </row>
    <row r="14825" spans="13:16">
      <c r="M14825" s="49">
        <f>IF($A$4+148&gt;$B$4,"",$A$4+148)</f>
        <v>46171</v>
      </c>
      <c r="N14825" t="str">
        <f>IF(M14825="","",'Master Barang'!A19)</f>
        <v>PRL-018</v>
      </c>
      <c r="O14825" t="str">
        <f>IF(N14825="","",'Master Barang'!B19)</f>
        <v>onemed masker biru 3 play hijab 50 pcs</v>
      </c>
      <c r="P14825">
        <f>IF(OR(M14825="",N14825=""),"",SUMIFS('Barang Keluar'!$E:$E,'Barang Keluar'!$A:$A,M14825,'Barang Keluar'!$C:$C,N14825))</f>
        <v>0</v>
      </c>
    </row>
    <row r="14826" spans="13:16">
      <c r="M14826" s="49">
        <f>IF($A$4+148&gt;$B$4,"",$A$4+148)</f>
        <v>46171</v>
      </c>
      <c r="N14826" t="str">
        <f>IF(M14826="","",'Master Barang'!A20)</f>
        <v>PRL-019</v>
      </c>
      <c r="O14826" t="str">
        <f>IF(N14826="","",'Master Barang'!B20)</f>
        <v>neo health masker biru 3 play 50 pcs</v>
      </c>
      <c r="P14826">
        <f>IF(OR(M14826="",N14826=""),"",SUMIFS('Barang Keluar'!$E:$E,'Barang Keluar'!$A:$A,M14826,'Barang Keluar'!$C:$C,N14826))</f>
        <v>0</v>
      </c>
    </row>
    <row r="14827" spans="13:16">
      <c r="M14827" s="49">
        <f>IF($A$4+148&gt;$B$4,"",$A$4+148)</f>
        <v>46171</v>
      </c>
      <c r="N14827" t="str">
        <f>IF(M14827="","",'Master Barang'!A21)</f>
        <v>PRL-020</v>
      </c>
      <c r="O14827" t="str">
        <f>IF(N14827="","",'Master Barang'!B21)</f>
        <v>baymed masker hijau 3 play hijau 50 pcs</v>
      </c>
      <c r="P14827">
        <f>IF(OR(M14827="",N14827=""),"",SUMIFS('Barang Keluar'!$E:$E,'Barang Keluar'!$A:$A,M14827,'Barang Keluar'!$C:$C,N14827))</f>
        <v>0</v>
      </c>
    </row>
    <row r="14828" spans="13:16">
      <c r="M14828" s="49">
        <f>IF($A$4+148&gt;$B$4,"",$A$4+148)</f>
        <v>46171</v>
      </c>
      <c r="N14828" t="str">
        <f>IF(M14828="","",'Master Barang'!A22)</f>
        <v>PRL-021</v>
      </c>
      <c r="O14828" t="str">
        <f>IF(N14828="","",'Master Barang'!B22)</f>
        <v>altamed nurse cap penutup kepala 100 pcs</v>
      </c>
      <c r="P14828">
        <f>IF(OR(M14828="",N14828=""),"",SUMIFS('Barang Keluar'!$E:$E,'Barang Keluar'!$A:$A,M14828,'Barang Keluar'!$C:$C,N14828))</f>
        <v>0</v>
      </c>
    </row>
    <row r="14829" spans="13:16">
      <c r="M14829" s="49">
        <f>IF($A$4+148&gt;$B$4,"",$A$4+148)</f>
        <v>46171</v>
      </c>
      <c r="N14829" t="str">
        <f>IF(M14829="","",'Master Barang'!A23)</f>
        <v>PRL-022</v>
      </c>
      <c r="O14829" t="str">
        <f>IF(N14829="","",'Master Barang'!B23)</f>
        <v>sabun cuci tangan</v>
      </c>
      <c r="P14829">
        <f>IF(OR(M14829="",N14829=""),"",SUMIFS('Barang Keluar'!$E:$E,'Barang Keluar'!$A:$A,M14829,'Barang Keluar'!$C:$C,N14829))</f>
        <v>0</v>
      </c>
    </row>
    <row r="14830" spans="13:16">
      <c r="M14830" s="49">
        <f>IF($A$4+148&gt;$B$4,"",$A$4+148)</f>
        <v>46171</v>
      </c>
      <c r="N14830" t="str">
        <f>IF(M14830="","",'Master Barang'!A24)</f>
        <v>PRL-023</v>
      </c>
      <c r="O14830" t="str">
        <f>IF(N14830="","",'Master Barang'!B24)</f>
        <v>gayung kecil</v>
      </c>
      <c r="P14830">
        <f>IF(OR(M14830="",N14830=""),"",SUMIFS('Barang Keluar'!$E:$E,'Barang Keluar'!$A:$A,M14830,'Barang Keluar'!$C:$C,N14830))</f>
        <v>0</v>
      </c>
    </row>
    <row r="14831" spans="13:16">
      <c r="M14831" s="49">
        <f>IF($A$4+148&gt;$B$4,"",$A$4+148)</f>
        <v>46171</v>
      </c>
      <c r="N14831" t="str">
        <f>IF(M14831="","",'Master Barang'!A25)</f>
        <v>PRL-024</v>
      </c>
      <c r="O14831" t="str">
        <f>IF(N14831="","",'Master Barang'!B25)</f>
        <v>cikrak kecil</v>
      </c>
      <c r="P14831">
        <f>IF(OR(M14831="",N14831=""),"",SUMIFS('Barang Keluar'!$E:$E,'Barang Keluar'!$A:$A,M14831,'Barang Keluar'!$C:$C,N14831))</f>
        <v>0</v>
      </c>
    </row>
    <row r="14832" spans="13:16">
      <c r="M14832" s="49">
        <f>IF($A$4+148&gt;$B$4,"",$A$4+148)</f>
        <v>46171</v>
      </c>
      <c r="N14832" t="str">
        <f>IF(M14832="","",'Master Barang'!A26)</f>
        <v>PRL-025</v>
      </c>
      <c r="O14832" t="str">
        <f>IF(N14832="","",'Master Barang'!B26)</f>
        <v>petromax plastik kecil 12x24 100 lembar</v>
      </c>
      <c r="P14832">
        <f>IF(OR(M14832="",N14832=""),"",SUMIFS('Barang Keluar'!$E:$E,'Barang Keluar'!$A:$A,M14832,'Barang Keluar'!$C:$C,N14832))</f>
        <v>0</v>
      </c>
    </row>
    <row r="14833" spans="13:16">
      <c r="M14833" s="49">
        <f>IF($A$4+148&gt;$B$4,"",$A$4+148)</f>
        <v>46171</v>
      </c>
      <c r="N14833" t="str">
        <f>IF(M14833="","",'Master Barang'!A27)</f>
        <v>PRL-026</v>
      </c>
      <c r="O14833" t="str">
        <f>IF(N14833="","",'Master Barang'!B27)</f>
        <v>lancar kresek kecil bening </v>
      </c>
      <c r="P14833">
        <f>IF(OR(M14833="",N14833=""),"",SUMIFS('Barang Keluar'!$E:$E,'Barang Keluar'!$A:$A,M14833,'Barang Keluar'!$C:$C,N14833))</f>
        <v>0</v>
      </c>
    </row>
    <row r="14834" spans="13:16">
      <c r="M14834" s="49">
        <f>IF($A$4+148&gt;$B$4,"",$A$4+148)</f>
        <v>46171</v>
      </c>
      <c r="N14834" t="str">
        <f>IF(M14834="","",'Master Barang'!A28)</f>
        <v>PRL-027</v>
      </c>
      <c r="O14834" t="str">
        <f>IF(N14834="","",'Master Barang'!B28)</f>
        <v>kresek klin warna warni kecil</v>
      </c>
      <c r="P14834">
        <f>IF(OR(M14834="",N14834=""),"",SUMIFS('Barang Keluar'!$E:$E,'Barang Keluar'!$A:$A,M14834,'Barang Keluar'!$C:$C,N14834))</f>
        <v>0</v>
      </c>
    </row>
    <row r="14835" spans="13:16">
      <c r="M14835" s="49">
        <f>IF($A$4+148&gt;$B$4,"",$A$4+148)</f>
        <v>46171</v>
      </c>
      <c r="N14835" t="str">
        <f>IF(M14835="","",'Master Barang'!A29)</f>
        <v>PRL-028</v>
      </c>
      <c r="O14835" t="str">
        <f>IF(N14835="","",'Master Barang'!B29)</f>
        <v>ctik plastik 7x10 100 pcs</v>
      </c>
      <c r="P14835">
        <f>IF(OR(M14835="",N14835=""),"",SUMIFS('Barang Keluar'!$E:$E,'Barang Keluar'!$A:$A,M14835,'Barang Keluar'!$C:$C,N14835))</f>
        <v>0</v>
      </c>
    </row>
    <row r="14836" spans="13:16">
      <c r="M14836" s="49">
        <f>IF($A$4+148&gt;$B$4,"",$A$4+148)</f>
        <v>46171</v>
      </c>
      <c r="N14836" t="str">
        <f>IF(M14836="","",'Master Barang'!A30)</f>
        <v>PRL-029</v>
      </c>
      <c r="O14836" t="str">
        <f>IF(N14836="","",'Master Barang'!B30)</f>
        <v>ctik plastik 6x10 100 pcs</v>
      </c>
      <c r="P14836">
        <f>IF(OR(M14836="",N14836=""),"",SUMIFS('Barang Keluar'!$E:$E,'Barang Keluar'!$A:$A,M14836,'Barang Keluar'!$C:$C,N14836))</f>
        <v>0</v>
      </c>
    </row>
    <row r="14837" spans="13:16">
      <c r="M14837" s="49">
        <f>IF($A$4+148&gt;$B$4,"",$A$4+148)</f>
        <v>46171</v>
      </c>
      <c r="N14837" t="str">
        <f>IF(M14837="","",'Master Barang'!A31)</f>
        <v>PRL-030</v>
      </c>
      <c r="O14837" t="str">
        <f>IF(N14837="","",'Master Barang'!B31)</f>
        <v>klip plastik 25x16 100 pcs</v>
      </c>
      <c r="P14837">
        <f>IF(OR(M14837="",N14837=""),"",SUMIFS('Barang Keluar'!$E:$E,'Barang Keluar'!$A:$A,M14837,'Barang Keluar'!$C:$C,N14837))</f>
        <v>0</v>
      </c>
    </row>
    <row r="14838" spans="13:16">
      <c r="M14838" s="49">
        <f>IF($A$4+148&gt;$B$4,"",$A$4+148)</f>
        <v>46171</v>
      </c>
      <c r="N14838" t="str">
        <f>IF(M14838="","",'Master Barang'!A32)</f>
        <v>PRL-031</v>
      </c>
      <c r="O14838" t="str">
        <f>IF(N14838="","",'Master Barang'!B32)</f>
        <v>tempat saus 20 ml</v>
      </c>
      <c r="P14838">
        <f>IF(OR(M14838="",N14838=""),"",SUMIFS('Barang Keluar'!$E:$E,'Barang Keluar'!$A:$A,M14838,'Barang Keluar'!$C:$C,N14838))</f>
        <v>0</v>
      </c>
    </row>
    <row r="14839" spans="13:16">
      <c r="M14839" s="49">
        <f>IF($A$4+148&gt;$B$4,"",$A$4+148)</f>
        <v>46171</v>
      </c>
      <c r="N14839" t="str">
        <f>IF(M14839="","",'Master Barang'!A33)</f>
        <v>PRL-032</v>
      </c>
      <c r="O14839" t="str">
        <f>IF(N14839="","",'Master Barang'!B33)</f>
        <v>plastik packaging ag box uk sedang</v>
      </c>
      <c r="P14839">
        <f>IF(OR(M14839="",N14839=""),"",SUMIFS('Barang Keluar'!$E:$E,'Barang Keluar'!$A:$A,M14839,'Barang Keluar'!$C:$C,N14839))</f>
        <v>0</v>
      </c>
    </row>
    <row r="14840" spans="13:16">
      <c r="M14840" s="49">
        <f>IF($A$4+148&gt;$B$4,"",$A$4+148)</f>
        <v>46171</v>
      </c>
      <c r="N14840" t="str">
        <f>IF(M14840="","",'Master Barang'!A34)</f>
        <v>PRL-033</v>
      </c>
      <c r="O14840">
        <f>IF(N14840="","",'Master Barang'!B34)</f>
        <v>0</v>
      </c>
      <c r="P14840">
        <f>IF(OR(M14840="",N14840=""),"",SUMIFS('Barang Keluar'!$E:$E,'Barang Keluar'!$A:$A,M14840,'Barang Keluar'!$C:$C,N14840))</f>
        <v>0</v>
      </c>
    </row>
    <row r="14841" spans="13:16">
      <c r="M14841" s="49">
        <f>IF($A$4+148&gt;$B$4,"",$A$4+148)</f>
        <v>46171</v>
      </c>
      <c r="N14841">
        <f>IF(M14841="","",'Master Barang'!A35)</f>
        <v>0</v>
      </c>
      <c r="O14841">
        <f>IF(N14841="","",'Master Barang'!B35)</f>
        <v>0</v>
      </c>
      <c r="P14841">
        <f>IF(OR(M14841="",N14841=""),"",SUMIFS('Barang Keluar'!$E:$E,'Barang Keluar'!$A:$A,M14841,'Barang Keluar'!$C:$C,N14841))</f>
        <v>0</v>
      </c>
    </row>
    <row r="14842" spans="13:16">
      <c r="M14842" s="49">
        <f>IF($A$4+148&gt;$B$4,"",$A$4+148)</f>
        <v>46171</v>
      </c>
      <c r="N14842">
        <f>IF(M14842="","",'Master Barang'!A36)</f>
        <v>0</v>
      </c>
      <c r="O14842">
        <f>IF(N14842="","",'Master Barang'!B36)</f>
        <v>0</v>
      </c>
      <c r="P14842">
        <f>IF(OR(M14842="",N14842=""),"",SUMIFS('Barang Keluar'!$E:$E,'Barang Keluar'!$A:$A,M14842,'Barang Keluar'!$C:$C,N14842))</f>
        <v>0</v>
      </c>
    </row>
    <row r="14843" spans="13:16">
      <c r="M14843" s="49">
        <f>IF($A$4+148&gt;$B$4,"",$A$4+148)</f>
        <v>46171</v>
      </c>
      <c r="N14843">
        <f>IF(M14843="","",'Master Barang'!A37)</f>
        <v>0</v>
      </c>
      <c r="O14843">
        <f>IF(N14843="","",'Master Barang'!B37)</f>
        <v>0</v>
      </c>
      <c r="P14843">
        <f>IF(OR(M14843="",N14843=""),"",SUMIFS('Barang Keluar'!$E:$E,'Barang Keluar'!$A:$A,M14843,'Barang Keluar'!$C:$C,N14843))</f>
        <v>0</v>
      </c>
    </row>
    <row r="14844" spans="13:16">
      <c r="M14844" s="49">
        <f>IF($A$4+148&gt;$B$4,"",$A$4+148)</f>
        <v>46171</v>
      </c>
      <c r="N14844">
        <f>IF(M14844="","",'Master Barang'!A38)</f>
        <v>0</v>
      </c>
      <c r="O14844">
        <f>IF(N14844="","",'Master Barang'!B38)</f>
        <v>0</v>
      </c>
      <c r="P14844">
        <f>IF(OR(M14844="",N14844=""),"",SUMIFS('Barang Keluar'!$E:$E,'Barang Keluar'!$A:$A,M14844,'Barang Keluar'!$C:$C,N14844))</f>
        <v>0</v>
      </c>
    </row>
    <row r="14845" spans="13:16">
      <c r="M14845" s="49">
        <f>IF($A$4+148&gt;$B$4,"",$A$4+148)</f>
        <v>46171</v>
      </c>
      <c r="N14845">
        <f>IF(M14845="","",'Master Barang'!A39)</f>
        <v>0</v>
      </c>
      <c r="O14845">
        <f>IF(N14845="","",'Master Barang'!B39)</f>
        <v>0</v>
      </c>
      <c r="P14845">
        <f>IF(OR(M14845="",N14845=""),"",SUMIFS('Barang Keluar'!$E:$E,'Barang Keluar'!$A:$A,M14845,'Barang Keluar'!$C:$C,N14845))</f>
        <v>0</v>
      </c>
    </row>
    <row r="14846" spans="13:16">
      <c r="M14846" s="49">
        <f>IF($A$4+148&gt;$B$4,"",$A$4+148)</f>
        <v>46171</v>
      </c>
      <c r="N14846">
        <f>IF(M14846="","",'Master Barang'!A40)</f>
        <v>0</v>
      </c>
      <c r="O14846">
        <f>IF(N14846="","",'Master Barang'!B40)</f>
        <v>0</v>
      </c>
      <c r="P14846">
        <f>IF(OR(M14846="",N14846=""),"",SUMIFS('Barang Keluar'!$E:$E,'Barang Keluar'!$A:$A,M14846,'Barang Keluar'!$C:$C,N14846))</f>
        <v>0</v>
      </c>
    </row>
    <row r="14847" spans="13:16">
      <c r="M14847" s="49">
        <f>IF($A$4+148&gt;$B$4,"",$A$4+148)</f>
        <v>46171</v>
      </c>
      <c r="N14847">
        <f>IF(M14847="","",'Master Barang'!A41)</f>
        <v>0</v>
      </c>
      <c r="O14847">
        <f>IF(N14847="","",'Master Barang'!B41)</f>
        <v>0</v>
      </c>
      <c r="P14847">
        <f>IF(OR(M14847="",N14847=""),"",SUMIFS('Barang Keluar'!$E:$E,'Barang Keluar'!$A:$A,M14847,'Barang Keluar'!$C:$C,N14847))</f>
        <v>0</v>
      </c>
    </row>
    <row r="14848" spans="13:16">
      <c r="M14848" s="49">
        <f>IF($A$4+148&gt;$B$4,"",$A$4+148)</f>
        <v>46171</v>
      </c>
      <c r="N14848">
        <f>IF(M14848="","",'Master Barang'!A42)</f>
        <v>0</v>
      </c>
      <c r="O14848">
        <f>IF(N14848="","",'Master Barang'!B42)</f>
        <v>0</v>
      </c>
      <c r="P14848">
        <f>IF(OR(M14848="",N14848=""),"",SUMIFS('Barang Keluar'!$E:$E,'Barang Keluar'!$A:$A,M14848,'Barang Keluar'!$C:$C,N14848))</f>
        <v>0</v>
      </c>
    </row>
    <row r="14849" spans="13:16">
      <c r="M14849" s="49">
        <f>IF($A$4+148&gt;$B$4,"",$A$4+148)</f>
        <v>46171</v>
      </c>
      <c r="N14849">
        <f>IF(M14849="","",'Master Barang'!A43)</f>
        <v>0</v>
      </c>
      <c r="O14849">
        <f>IF(N14849="","",'Master Barang'!B43)</f>
        <v>0</v>
      </c>
      <c r="P14849">
        <f>IF(OR(M14849="",N14849=""),"",SUMIFS('Barang Keluar'!$E:$E,'Barang Keluar'!$A:$A,M14849,'Barang Keluar'!$C:$C,N14849))</f>
        <v>0</v>
      </c>
    </row>
    <row r="14850" spans="13:16">
      <c r="M14850" s="49">
        <f>IF($A$4+148&gt;$B$4,"",$A$4+148)</f>
        <v>46171</v>
      </c>
      <c r="N14850">
        <f>IF(M14850="","",'Master Barang'!A44)</f>
        <v>0</v>
      </c>
      <c r="O14850">
        <f>IF(N14850="","",'Master Barang'!B44)</f>
        <v>0</v>
      </c>
      <c r="P14850">
        <f>IF(OR(M14850="",N14850=""),"",SUMIFS('Barang Keluar'!$E:$E,'Barang Keluar'!$A:$A,M14850,'Barang Keluar'!$C:$C,N14850))</f>
        <v>0</v>
      </c>
    </row>
    <row r="14851" spans="13:16">
      <c r="M14851" s="49">
        <f>IF($A$4+148&gt;$B$4,"",$A$4+148)</f>
        <v>46171</v>
      </c>
      <c r="N14851">
        <f>IF(M14851="","",'Master Barang'!A45)</f>
        <v>0</v>
      </c>
      <c r="O14851">
        <f>IF(N14851="","",'Master Barang'!B45)</f>
        <v>0</v>
      </c>
      <c r="P14851">
        <f>IF(OR(M14851="",N14851=""),"",SUMIFS('Barang Keluar'!$E:$E,'Barang Keluar'!$A:$A,M14851,'Barang Keluar'!$C:$C,N14851))</f>
        <v>0</v>
      </c>
    </row>
    <row r="14852" spans="13:16">
      <c r="M14852" s="49">
        <f>IF($A$4+148&gt;$B$4,"",$A$4+148)</f>
        <v>46171</v>
      </c>
      <c r="N14852">
        <f>IF(M14852="","",'Master Barang'!A46)</f>
        <v>0</v>
      </c>
      <c r="O14852">
        <f>IF(N14852="","",'Master Barang'!B46)</f>
        <v>0</v>
      </c>
      <c r="P14852">
        <f>IF(OR(M14852="",N14852=""),"",SUMIFS('Barang Keluar'!$E:$E,'Barang Keluar'!$A:$A,M14852,'Barang Keluar'!$C:$C,N14852))</f>
        <v>0</v>
      </c>
    </row>
    <row r="14853" spans="13:16">
      <c r="M14853" s="49">
        <f>IF($A$4+148&gt;$B$4,"",$A$4+148)</f>
        <v>46171</v>
      </c>
      <c r="N14853">
        <f>IF(M14853="","",'Master Barang'!A47)</f>
        <v>0</v>
      </c>
      <c r="O14853">
        <f>IF(N14853="","",'Master Barang'!B47)</f>
        <v>0</v>
      </c>
      <c r="P14853">
        <f>IF(OR(M14853="",N14853=""),"",SUMIFS('Barang Keluar'!$E:$E,'Barang Keluar'!$A:$A,M14853,'Barang Keluar'!$C:$C,N14853))</f>
        <v>0</v>
      </c>
    </row>
    <row r="14854" spans="13:16">
      <c r="M14854" s="49">
        <f>IF($A$4+148&gt;$B$4,"",$A$4+148)</f>
        <v>46171</v>
      </c>
      <c r="N14854">
        <f>IF(M14854="","",'Master Barang'!A48)</f>
        <v>0</v>
      </c>
      <c r="O14854">
        <f>IF(N14854="","",'Master Barang'!B48)</f>
        <v>0</v>
      </c>
      <c r="P14854">
        <f>IF(OR(M14854="",N14854=""),"",SUMIFS('Barang Keluar'!$E:$E,'Barang Keluar'!$A:$A,M14854,'Barang Keluar'!$C:$C,N14854))</f>
        <v>0</v>
      </c>
    </row>
    <row r="14855" spans="13:16">
      <c r="M14855" s="49">
        <f>IF($A$4+148&gt;$B$4,"",$A$4+148)</f>
        <v>46171</v>
      </c>
      <c r="N14855">
        <f>IF(M14855="","",'Master Barang'!A49)</f>
        <v>0</v>
      </c>
      <c r="O14855">
        <f>IF(N14855="","",'Master Barang'!B49)</f>
        <v>0</v>
      </c>
      <c r="P14855">
        <f>IF(OR(M14855="",N14855=""),"",SUMIFS('Barang Keluar'!$E:$E,'Barang Keluar'!$A:$A,M14855,'Barang Keluar'!$C:$C,N14855))</f>
        <v>0</v>
      </c>
    </row>
    <row r="14856" spans="13:16">
      <c r="M14856" s="49">
        <f>IF($A$4+148&gt;$B$4,"",$A$4+148)</f>
        <v>46171</v>
      </c>
      <c r="N14856">
        <f>IF(M14856="","",'Master Barang'!A50)</f>
        <v>0</v>
      </c>
      <c r="O14856">
        <f>IF(N14856="","",'Master Barang'!B50)</f>
        <v>0</v>
      </c>
      <c r="P14856">
        <f>IF(OR(M14856="",N14856=""),"",SUMIFS('Barang Keluar'!$E:$E,'Barang Keluar'!$A:$A,M14856,'Barang Keluar'!$C:$C,N14856))</f>
        <v>0</v>
      </c>
    </row>
    <row r="14857" spans="13:16">
      <c r="M14857" s="49">
        <f>IF($A$4+148&gt;$B$4,"",$A$4+148)</f>
        <v>46171</v>
      </c>
      <c r="N14857">
        <f>IF(M14857="","",'Master Barang'!A51)</f>
        <v>0</v>
      </c>
      <c r="O14857">
        <f>IF(N14857="","",'Master Barang'!B51)</f>
        <v>0</v>
      </c>
      <c r="P14857">
        <f>IF(OR(M14857="",N14857=""),"",SUMIFS('Barang Keluar'!$E:$E,'Barang Keluar'!$A:$A,M14857,'Barang Keluar'!$C:$C,N14857))</f>
        <v>0</v>
      </c>
    </row>
    <row r="14858" spans="13:16">
      <c r="M14858" s="49">
        <f>IF($A$4+148&gt;$B$4,"",$A$4+148)</f>
        <v>46171</v>
      </c>
      <c r="N14858">
        <f>IF(M14858="","",'Master Barang'!A52)</f>
        <v>0</v>
      </c>
      <c r="O14858">
        <f>IF(N14858="","",'Master Barang'!B52)</f>
        <v>0</v>
      </c>
      <c r="P14858">
        <f>IF(OR(M14858="",N14858=""),"",SUMIFS('Barang Keluar'!$E:$E,'Barang Keluar'!$A:$A,M14858,'Barang Keluar'!$C:$C,N14858))</f>
        <v>0</v>
      </c>
    </row>
    <row r="14859" spans="13:16">
      <c r="M14859" s="49">
        <f>IF($A$4+148&gt;$B$4,"",$A$4+148)</f>
        <v>46171</v>
      </c>
      <c r="N14859">
        <f>IF(M14859="","",'Master Barang'!A53)</f>
        <v>0</v>
      </c>
      <c r="O14859">
        <f>IF(N14859="","",'Master Barang'!B53)</f>
        <v>0</v>
      </c>
      <c r="P14859">
        <f>IF(OR(M14859="",N14859=""),"",SUMIFS('Barang Keluar'!$E:$E,'Barang Keluar'!$A:$A,M14859,'Barang Keluar'!$C:$C,N14859))</f>
        <v>0</v>
      </c>
    </row>
    <row r="14860" spans="13:16">
      <c r="M14860" s="49">
        <f>IF($A$4+148&gt;$B$4,"",$A$4+148)</f>
        <v>46171</v>
      </c>
      <c r="N14860">
        <f>IF(M14860="","",'Master Barang'!A54)</f>
        <v>0</v>
      </c>
      <c r="O14860">
        <f>IF(N14860="","",'Master Barang'!B54)</f>
        <v>0</v>
      </c>
      <c r="P14860">
        <f>IF(OR(M14860="",N14860=""),"",SUMIFS('Barang Keluar'!$E:$E,'Barang Keluar'!$A:$A,M14860,'Barang Keluar'!$C:$C,N14860))</f>
        <v>0</v>
      </c>
    </row>
    <row r="14861" spans="13:16">
      <c r="M14861" s="49">
        <f>IF($A$4+148&gt;$B$4,"",$A$4+148)</f>
        <v>46171</v>
      </c>
      <c r="N14861">
        <f>IF(M14861="","",'Master Barang'!A55)</f>
        <v>0</v>
      </c>
      <c r="O14861">
        <f>IF(N14861="","",'Master Barang'!B55)</f>
        <v>0</v>
      </c>
      <c r="P14861">
        <f>IF(OR(M14861="",N14861=""),"",SUMIFS('Barang Keluar'!$E:$E,'Barang Keluar'!$A:$A,M14861,'Barang Keluar'!$C:$C,N14861))</f>
        <v>0</v>
      </c>
    </row>
    <row r="14862" spans="13:16">
      <c r="M14862" s="49">
        <f>IF($A$4+148&gt;$B$4,"",$A$4+148)</f>
        <v>46171</v>
      </c>
      <c r="N14862">
        <f>IF(M14862="","",'Master Barang'!A56)</f>
        <v>0</v>
      </c>
      <c r="O14862">
        <f>IF(N14862="","",'Master Barang'!B56)</f>
        <v>0</v>
      </c>
      <c r="P14862">
        <f>IF(OR(M14862="",N14862=""),"",SUMIFS('Barang Keluar'!$E:$E,'Barang Keluar'!$A:$A,M14862,'Barang Keluar'!$C:$C,N14862))</f>
        <v>0</v>
      </c>
    </row>
    <row r="14863" spans="13:16">
      <c r="M14863" s="49">
        <f>IF($A$4+148&gt;$B$4,"",$A$4+148)</f>
        <v>46171</v>
      </c>
      <c r="N14863">
        <f>IF(M14863="","",'Master Barang'!A57)</f>
        <v>0</v>
      </c>
      <c r="O14863">
        <f>IF(N14863="","",'Master Barang'!B57)</f>
        <v>0</v>
      </c>
      <c r="P14863">
        <f>IF(OR(M14863="",N14863=""),"",SUMIFS('Barang Keluar'!$E:$E,'Barang Keluar'!$A:$A,M14863,'Barang Keluar'!$C:$C,N14863))</f>
        <v>0</v>
      </c>
    </row>
    <row r="14864" spans="13:16">
      <c r="M14864" s="49">
        <f>IF($A$4+148&gt;$B$4,"",$A$4+148)</f>
        <v>46171</v>
      </c>
      <c r="N14864">
        <f>IF(M14864="","",'Master Barang'!A58)</f>
        <v>0</v>
      </c>
      <c r="O14864">
        <f>IF(N14864="","",'Master Barang'!B58)</f>
        <v>0</v>
      </c>
      <c r="P14864">
        <f>IF(OR(M14864="",N14864=""),"",SUMIFS('Barang Keluar'!$E:$E,'Barang Keluar'!$A:$A,M14864,'Barang Keluar'!$C:$C,N14864))</f>
        <v>0</v>
      </c>
    </row>
    <row r="14865" spans="13:16">
      <c r="M14865" s="49">
        <f>IF($A$4+148&gt;$B$4,"",$A$4+148)</f>
        <v>46171</v>
      </c>
      <c r="N14865">
        <f>IF(M14865="","",'Master Barang'!A59)</f>
        <v>0</v>
      </c>
      <c r="O14865">
        <f>IF(N14865="","",'Master Barang'!B59)</f>
        <v>0</v>
      </c>
      <c r="P14865">
        <f>IF(OR(M14865="",N14865=""),"",SUMIFS('Barang Keluar'!$E:$E,'Barang Keluar'!$A:$A,M14865,'Barang Keluar'!$C:$C,N14865))</f>
        <v>0</v>
      </c>
    </row>
    <row r="14866" spans="13:16">
      <c r="M14866" s="49">
        <f>IF($A$4+148&gt;$B$4,"",$A$4+148)</f>
        <v>46171</v>
      </c>
      <c r="N14866">
        <f>IF(M14866="","",'Master Barang'!A60)</f>
        <v>0</v>
      </c>
      <c r="O14866">
        <f>IF(N14866="","",'Master Barang'!B60)</f>
        <v>0</v>
      </c>
      <c r="P14866">
        <f>IF(OR(M14866="",N14866=""),"",SUMIFS('Barang Keluar'!$E:$E,'Barang Keluar'!$A:$A,M14866,'Barang Keluar'!$C:$C,N14866))</f>
        <v>0</v>
      </c>
    </row>
    <row r="14867" spans="13:16">
      <c r="M14867" s="49">
        <f>IF($A$4+148&gt;$B$4,"",$A$4+148)</f>
        <v>46171</v>
      </c>
      <c r="N14867">
        <f>IF(M14867="","",'Master Barang'!A61)</f>
        <v>0</v>
      </c>
      <c r="O14867">
        <f>IF(N14867="","",'Master Barang'!B61)</f>
        <v>0</v>
      </c>
      <c r="P14867">
        <f>IF(OR(M14867="",N14867=""),"",SUMIFS('Barang Keluar'!$E:$E,'Barang Keluar'!$A:$A,M14867,'Barang Keluar'!$C:$C,N14867))</f>
        <v>0</v>
      </c>
    </row>
    <row r="14868" spans="13:16">
      <c r="M14868" s="49">
        <f>IF($A$4+148&gt;$B$4,"",$A$4+148)</f>
        <v>46171</v>
      </c>
      <c r="N14868">
        <f>IF(M14868="","",'Master Barang'!A62)</f>
        <v>0</v>
      </c>
      <c r="O14868">
        <f>IF(N14868="","",'Master Barang'!B62)</f>
        <v>0</v>
      </c>
      <c r="P14868">
        <f>IF(OR(M14868="",N14868=""),"",SUMIFS('Barang Keluar'!$E:$E,'Barang Keluar'!$A:$A,M14868,'Barang Keluar'!$C:$C,N14868))</f>
        <v>0</v>
      </c>
    </row>
    <row r="14869" spans="13:16">
      <c r="M14869" s="49">
        <f>IF($A$4+148&gt;$B$4,"",$A$4+148)</f>
        <v>46171</v>
      </c>
      <c r="N14869">
        <f>IF(M14869="","",'Master Barang'!A63)</f>
        <v>0</v>
      </c>
      <c r="O14869">
        <f>IF(N14869="","",'Master Barang'!B63)</f>
        <v>0</v>
      </c>
      <c r="P14869">
        <f>IF(OR(M14869="",N14869=""),"",SUMIFS('Barang Keluar'!$E:$E,'Barang Keluar'!$A:$A,M14869,'Barang Keluar'!$C:$C,N14869))</f>
        <v>0</v>
      </c>
    </row>
    <row r="14870" spans="13:16">
      <c r="M14870" s="49">
        <f>IF($A$4+148&gt;$B$4,"",$A$4+148)</f>
        <v>46171</v>
      </c>
      <c r="N14870">
        <f>IF(M14870="","",'Master Barang'!A64)</f>
        <v>0</v>
      </c>
      <c r="O14870">
        <f>IF(N14870="","",'Master Barang'!B64)</f>
        <v>0</v>
      </c>
      <c r="P14870">
        <f>IF(OR(M14870="",N14870=""),"",SUMIFS('Barang Keluar'!$E:$E,'Barang Keluar'!$A:$A,M14870,'Barang Keluar'!$C:$C,N14870))</f>
        <v>0</v>
      </c>
    </row>
    <row r="14871" spans="13:16">
      <c r="M14871" s="49">
        <f>IF($A$4+148&gt;$B$4,"",$A$4+148)</f>
        <v>46171</v>
      </c>
      <c r="N14871">
        <f>IF(M14871="","",'Master Barang'!A65)</f>
        <v>0</v>
      </c>
      <c r="O14871">
        <f>IF(N14871="","",'Master Barang'!B65)</f>
        <v>0</v>
      </c>
      <c r="P14871">
        <f>IF(OR(M14871="",N14871=""),"",SUMIFS('Barang Keluar'!$E:$E,'Barang Keluar'!$A:$A,M14871,'Barang Keluar'!$C:$C,N14871))</f>
        <v>0</v>
      </c>
    </row>
    <row r="14872" spans="13:16">
      <c r="M14872" s="49">
        <f>IF($A$4+148&gt;$B$4,"",$A$4+148)</f>
        <v>46171</v>
      </c>
      <c r="N14872">
        <f>IF(M14872="","",'Master Barang'!A66)</f>
        <v>0</v>
      </c>
      <c r="O14872">
        <f>IF(N14872="","",'Master Barang'!B66)</f>
        <v>0</v>
      </c>
      <c r="P14872">
        <f>IF(OR(M14872="",N14872=""),"",SUMIFS('Barang Keluar'!$E:$E,'Barang Keluar'!$A:$A,M14872,'Barang Keluar'!$C:$C,N14872))</f>
        <v>0</v>
      </c>
    </row>
    <row r="14873" spans="13:16">
      <c r="M14873" s="49">
        <f>IF($A$4+148&gt;$B$4,"",$A$4+148)</f>
        <v>46171</v>
      </c>
      <c r="N14873">
        <f>IF(M14873="","",'Master Barang'!A67)</f>
        <v>0</v>
      </c>
      <c r="O14873">
        <f>IF(N14873="","",'Master Barang'!B67)</f>
        <v>0</v>
      </c>
      <c r="P14873">
        <f>IF(OR(M14873="",N14873=""),"",SUMIFS('Barang Keluar'!$E:$E,'Barang Keluar'!$A:$A,M14873,'Barang Keluar'!$C:$C,N14873))</f>
        <v>0</v>
      </c>
    </row>
    <row r="14874" spans="13:16">
      <c r="M14874" s="49">
        <f>IF($A$4+148&gt;$B$4,"",$A$4+148)</f>
        <v>46171</v>
      </c>
      <c r="N14874">
        <f>IF(M14874="","",'Master Barang'!A68)</f>
        <v>0</v>
      </c>
      <c r="O14874">
        <f>IF(N14874="","",'Master Barang'!B68)</f>
        <v>0</v>
      </c>
      <c r="P14874">
        <f>IF(OR(M14874="",N14874=""),"",SUMIFS('Barang Keluar'!$E:$E,'Barang Keluar'!$A:$A,M14874,'Barang Keluar'!$C:$C,N14874))</f>
        <v>0</v>
      </c>
    </row>
    <row r="14875" spans="13:16">
      <c r="M14875" s="49">
        <f>IF($A$4+148&gt;$B$4,"",$A$4+148)</f>
        <v>46171</v>
      </c>
      <c r="N14875">
        <f>IF(M14875="","",'Master Barang'!A69)</f>
        <v>0</v>
      </c>
      <c r="O14875">
        <f>IF(N14875="","",'Master Barang'!B69)</f>
        <v>0</v>
      </c>
      <c r="P14875">
        <f>IF(OR(M14875="",N14875=""),"",SUMIFS('Barang Keluar'!$E:$E,'Barang Keluar'!$A:$A,M14875,'Barang Keluar'!$C:$C,N14875))</f>
        <v>0</v>
      </c>
    </row>
    <row r="14876" spans="13:16">
      <c r="M14876" s="49">
        <f>IF($A$4+148&gt;$B$4,"",$A$4+148)</f>
        <v>46171</v>
      </c>
      <c r="N14876">
        <f>IF(M14876="","",'Master Barang'!A70)</f>
        <v>0</v>
      </c>
      <c r="O14876">
        <f>IF(N14876="","",'Master Barang'!B70)</f>
        <v>0</v>
      </c>
      <c r="P14876">
        <f>IF(OR(M14876="",N14876=""),"",SUMIFS('Barang Keluar'!$E:$E,'Barang Keluar'!$A:$A,M14876,'Barang Keluar'!$C:$C,N14876))</f>
        <v>0</v>
      </c>
    </row>
    <row r="14877" spans="13:16">
      <c r="M14877" s="49">
        <f>IF($A$4+148&gt;$B$4,"",$A$4+148)</f>
        <v>46171</v>
      </c>
      <c r="N14877">
        <f>IF(M14877="","",'Master Barang'!A71)</f>
        <v>0</v>
      </c>
      <c r="O14877">
        <f>IF(N14877="","",'Master Barang'!B71)</f>
        <v>0</v>
      </c>
      <c r="P14877">
        <f>IF(OR(M14877="",N14877=""),"",SUMIFS('Barang Keluar'!$E:$E,'Barang Keluar'!$A:$A,M14877,'Barang Keluar'!$C:$C,N14877))</f>
        <v>0</v>
      </c>
    </row>
    <row r="14878" spans="13:16">
      <c r="M14878" s="49">
        <f>IF($A$4+148&gt;$B$4,"",$A$4+148)</f>
        <v>46171</v>
      </c>
      <c r="N14878">
        <f>IF(M14878="","",'Master Barang'!A72)</f>
        <v>0</v>
      </c>
      <c r="O14878">
        <f>IF(N14878="","",'Master Barang'!B72)</f>
        <v>0</v>
      </c>
      <c r="P14878">
        <f>IF(OR(M14878="",N14878=""),"",SUMIFS('Barang Keluar'!$E:$E,'Barang Keluar'!$A:$A,M14878,'Barang Keluar'!$C:$C,N14878))</f>
        <v>0</v>
      </c>
    </row>
    <row r="14879" spans="13:16">
      <c r="M14879" s="49">
        <f>IF($A$4+148&gt;$B$4,"",$A$4+148)</f>
        <v>46171</v>
      </c>
      <c r="N14879">
        <f>IF(M14879="","",'Master Barang'!A73)</f>
        <v>0</v>
      </c>
      <c r="O14879">
        <f>IF(N14879="","",'Master Barang'!B73)</f>
        <v>0</v>
      </c>
      <c r="P14879">
        <f>IF(OR(M14879="",N14879=""),"",SUMIFS('Barang Keluar'!$E:$E,'Barang Keluar'!$A:$A,M14879,'Barang Keluar'!$C:$C,N14879))</f>
        <v>0</v>
      </c>
    </row>
    <row r="14880" spans="13:16">
      <c r="M14880" s="49">
        <f>IF($A$4+148&gt;$B$4,"",$A$4+148)</f>
        <v>46171</v>
      </c>
      <c r="N14880">
        <f>IF(M14880="","",'Master Barang'!A74)</f>
        <v>0</v>
      </c>
      <c r="O14880">
        <f>IF(N14880="","",'Master Barang'!B74)</f>
        <v>0</v>
      </c>
      <c r="P14880">
        <f>IF(OR(M14880="",N14880=""),"",SUMIFS('Barang Keluar'!$E:$E,'Barang Keluar'!$A:$A,M14880,'Barang Keluar'!$C:$C,N14880))</f>
        <v>0</v>
      </c>
    </row>
    <row r="14881" spans="13:16">
      <c r="M14881" s="49">
        <f>IF($A$4+148&gt;$B$4,"",$A$4+148)</f>
        <v>46171</v>
      </c>
      <c r="N14881">
        <f>IF(M14881="","",'Master Barang'!A75)</f>
        <v>0</v>
      </c>
      <c r="O14881">
        <f>IF(N14881="","",'Master Barang'!B75)</f>
        <v>0</v>
      </c>
      <c r="P14881">
        <f>IF(OR(M14881="",N14881=""),"",SUMIFS('Barang Keluar'!$E:$E,'Barang Keluar'!$A:$A,M14881,'Barang Keluar'!$C:$C,N14881))</f>
        <v>0</v>
      </c>
    </row>
    <row r="14882" spans="13:16">
      <c r="M14882" s="49">
        <f>IF($A$4+148&gt;$B$4,"",$A$4+148)</f>
        <v>46171</v>
      </c>
      <c r="N14882">
        <f>IF(M14882="","",'Master Barang'!A76)</f>
        <v>0</v>
      </c>
      <c r="O14882">
        <f>IF(N14882="","",'Master Barang'!B76)</f>
        <v>0</v>
      </c>
      <c r="P14882">
        <f>IF(OR(M14882="",N14882=""),"",SUMIFS('Barang Keluar'!$E:$E,'Barang Keluar'!$A:$A,M14882,'Barang Keluar'!$C:$C,N14882))</f>
        <v>0</v>
      </c>
    </row>
    <row r="14883" spans="13:16">
      <c r="M14883" s="49">
        <f>IF($A$4+148&gt;$B$4,"",$A$4+148)</f>
        <v>46171</v>
      </c>
      <c r="N14883">
        <f>IF(M14883="","",'Master Barang'!A77)</f>
        <v>0</v>
      </c>
      <c r="O14883">
        <f>IF(N14883="","",'Master Barang'!B77)</f>
        <v>0</v>
      </c>
      <c r="P14883">
        <f>IF(OR(M14883="",N14883=""),"",SUMIFS('Barang Keluar'!$E:$E,'Barang Keluar'!$A:$A,M14883,'Barang Keluar'!$C:$C,N14883))</f>
        <v>0</v>
      </c>
    </row>
    <row r="14884" spans="13:16">
      <c r="M14884" s="49">
        <f>IF($A$4+148&gt;$B$4,"",$A$4+148)</f>
        <v>46171</v>
      </c>
      <c r="N14884">
        <f>IF(M14884="","",'Master Barang'!A78)</f>
        <v>0</v>
      </c>
      <c r="O14884">
        <f>IF(N14884="","",'Master Barang'!B78)</f>
        <v>0</v>
      </c>
      <c r="P14884">
        <f>IF(OR(M14884="",N14884=""),"",SUMIFS('Barang Keluar'!$E:$E,'Barang Keluar'!$A:$A,M14884,'Barang Keluar'!$C:$C,N14884))</f>
        <v>0</v>
      </c>
    </row>
    <row r="14885" spans="13:16">
      <c r="M14885" s="49">
        <f>IF($A$4+148&gt;$B$4,"",$A$4+148)</f>
        <v>46171</v>
      </c>
      <c r="N14885">
        <f>IF(M14885="","",'Master Barang'!A79)</f>
        <v>0</v>
      </c>
      <c r="O14885">
        <f>IF(N14885="","",'Master Barang'!B79)</f>
        <v>0</v>
      </c>
      <c r="P14885">
        <f>IF(OR(M14885="",N14885=""),"",SUMIFS('Barang Keluar'!$E:$E,'Barang Keluar'!$A:$A,M14885,'Barang Keluar'!$C:$C,N14885))</f>
        <v>0</v>
      </c>
    </row>
    <row r="14886" spans="13:16">
      <c r="M14886" s="49">
        <f>IF($A$4+148&gt;$B$4,"",$A$4+148)</f>
        <v>46171</v>
      </c>
      <c r="N14886">
        <f>IF(M14886="","",'Master Barang'!A80)</f>
        <v>0</v>
      </c>
      <c r="O14886">
        <f>IF(N14886="","",'Master Barang'!B80)</f>
        <v>0</v>
      </c>
      <c r="P14886">
        <f>IF(OR(M14886="",N14886=""),"",SUMIFS('Barang Keluar'!$E:$E,'Barang Keluar'!$A:$A,M14886,'Barang Keluar'!$C:$C,N14886))</f>
        <v>0</v>
      </c>
    </row>
    <row r="14887" spans="13:16">
      <c r="M14887" s="49">
        <f>IF($A$4+148&gt;$B$4,"",$A$4+148)</f>
        <v>46171</v>
      </c>
      <c r="N14887">
        <f>IF(M14887="","",'Master Barang'!A81)</f>
        <v>0</v>
      </c>
      <c r="O14887">
        <f>IF(N14887="","",'Master Barang'!B81)</f>
        <v>0</v>
      </c>
      <c r="P14887">
        <f>IF(OR(M14887="",N14887=""),"",SUMIFS('Barang Keluar'!$E:$E,'Barang Keluar'!$A:$A,M14887,'Barang Keluar'!$C:$C,N14887))</f>
        <v>0</v>
      </c>
    </row>
    <row r="14888" spans="13:16">
      <c r="M14888" s="49">
        <f>IF($A$4+148&gt;$B$4,"",$A$4+148)</f>
        <v>46171</v>
      </c>
      <c r="N14888">
        <f>IF(M14888="","",'Master Barang'!A82)</f>
        <v>0</v>
      </c>
      <c r="O14888">
        <f>IF(N14888="","",'Master Barang'!B82)</f>
        <v>0</v>
      </c>
      <c r="P14888">
        <f>IF(OR(M14888="",N14888=""),"",SUMIFS('Barang Keluar'!$E:$E,'Barang Keluar'!$A:$A,M14888,'Barang Keluar'!$C:$C,N14888))</f>
        <v>0</v>
      </c>
    </row>
    <row r="14889" spans="13:16">
      <c r="M14889" s="49">
        <f>IF($A$4+148&gt;$B$4,"",$A$4+148)</f>
        <v>46171</v>
      </c>
      <c r="N14889">
        <f>IF(M14889="","",'Master Barang'!A83)</f>
        <v>0</v>
      </c>
      <c r="O14889">
        <f>IF(N14889="","",'Master Barang'!B83)</f>
        <v>0</v>
      </c>
      <c r="P14889">
        <f>IF(OR(M14889="",N14889=""),"",SUMIFS('Barang Keluar'!$E:$E,'Barang Keluar'!$A:$A,M14889,'Barang Keluar'!$C:$C,N14889))</f>
        <v>0</v>
      </c>
    </row>
    <row r="14890" spans="13:16">
      <c r="M14890" s="49">
        <f>IF($A$4+148&gt;$B$4,"",$A$4+148)</f>
        <v>46171</v>
      </c>
      <c r="N14890">
        <f>IF(M14890="","",'Master Barang'!A84)</f>
        <v>0</v>
      </c>
      <c r="O14890">
        <f>IF(N14890="","",'Master Barang'!B84)</f>
        <v>0</v>
      </c>
      <c r="P14890">
        <f>IF(OR(M14890="",N14890=""),"",SUMIFS('Barang Keluar'!$E:$E,'Barang Keluar'!$A:$A,M14890,'Barang Keluar'!$C:$C,N14890))</f>
        <v>0</v>
      </c>
    </row>
    <row r="14891" spans="13:16">
      <c r="M14891" s="49">
        <f>IF($A$4+148&gt;$B$4,"",$A$4+148)</f>
        <v>46171</v>
      </c>
      <c r="N14891">
        <f>IF(M14891="","",'Master Barang'!A85)</f>
        <v>0</v>
      </c>
      <c r="O14891">
        <f>IF(N14891="","",'Master Barang'!B85)</f>
        <v>0</v>
      </c>
      <c r="P14891">
        <f>IF(OR(M14891="",N14891=""),"",SUMIFS('Barang Keluar'!$E:$E,'Barang Keluar'!$A:$A,M14891,'Barang Keluar'!$C:$C,N14891))</f>
        <v>0</v>
      </c>
    </row>
    <row r="14892" spans="13:16">
      <c r="M14892" s="49">
        <f>IF($A$4+148&gt;$B$4,"",$A$4+148)</f>
        <v>46171</v>
      </c>
      <c r="N14892">
        <f>IF(M14892="","",'Master Barang'!A86)</f>
        <v>0</v>
      </c>
      <c r="O14892">
        <f>IF(N14892="","",'Master Barang'!B86)</f>
        <v>0</v>
      </c>
      <c r="P14892">
        <f>IF(OR(M14892="",N14892=""),"",SUMIFS('Barang Keluar'!$E:$E,'Barang Keluar'!$A:$A,M14892,'Barang Keluar'!$C:$C,N14892))</f>
        <v>0</v>
      </c>
    </row>
    <row r="14893" spans="13:16">
      <c r="M14893" s="49">
        <f>IF($A$4+148&gt;$B$4,"",$A$4+148)</f>
        <v>46171</v>
      </c>
      <c r="N14893">
        <f>IF(M14893="","",'Master Barang'!A87)</f>
        <v>0</v>
      </c>
      <c r="O14893">
        <f>IF(N14893="","",'Master Barang'!B87)</f>
        <v>0</v>
      </c>
      <c r="P14893">
        <f>IF(OR(M14893="",N14893=""),"",SUMIFS('Barang Keluar'!$E:$E,'Barang Keluar'!$A:$A,M14893,'Barang Keluar'!$C:$C,N14893))</f>
        <v>0</v>
      </c>
    </row>
    <row r="14894" spans="13:16">
      <c r="M14894" s="49">
        <f>IF($A$4+148&gt;$B$4,"",$A$4+148)</f>
        <v>46171</v>
      </c>
      <c r="N14894">
        <f>IF(M14894="","",'Master Barang'!A88)</f>
        <v>0</v>
      </c>
      <c r="O14894">
        <f>IF(N14894="","",'Master Barang'!B88)</f>
        <v>0</v>
      </c>
      <c r="P14894">
        <f>IF(OR(M14894="",N14894=""),"",SUMIFS('Barang Keluar'!$E:$E,'Barang Keluar'!$A:$A,M14894,'Barang Keluar'!$C:$C,N14894))</f>
        <v>0</v>
      </c>
    </row>
    <row r="14895" spans="13:16">
      <c r="M14895" s="49">
        <f>IF($A$4+148&gt;$B$4,"",$A$4+148)</f>
        <v>46171</v>
      </c>
      <c r="N14895">
        <f>IF(M14895="","",'Master Barang'!A89)</f>
        <v>0</v>
      </c>
      <c r="O14895">
        <f>IF(N14895="","",'Master Barang'!B89)</f>
        <v>0</v>
      </c>
      <c r="P14895">
        <f>IF(OR(M14895="",N14895=""),"",SUMIFS('Barang Keluar'!$E:$E,'Barang Keluar'!$A:$A,M14895,'Barang Keluar'!$C:$C,N14895))</f>
        <v>0</v>
      </c>
    </row>
    <row r="14896" spans="13:16">
      <c r="M14896" s="49">
        <f>IF($A$4+148&gt;$B$4,"",$A$4+148)</f>
        <v>46171</v>
      </c>
      <c r="N14896">
        <f>IF(M14896="","",'Master Barang'!A90)</f>
        <v>0</v>
      </c>
      <c r="O14896">
        <f>IF(N14896="","",'Master Barang'!B90)</f>
        <v>0</v>
      </c>
      <c r="P14896">
        <f>IF(OR(M14896="",N14896=""),"",SUMIFS('Barang Keluar'!$E:$E,'Barang Keluar'!$A:$A,M14896,'Barang Keluar'!$C:$C,N14896))</f>
        <v>0</v>
      </c>
    </row>
    <row r="14897" spans="13:16">
      <c r="M14897" s="49">
        <f>IF($A$4+148&gt;$B$4,"",$A$4+148)</f>
        <v>46171</v>
      </c>
      <c r="N14897">
        <f>IF(M14897="","",'Master Barang'!A91)</f>
        <v>0</v>
      </c>
      <c r="O14897">
        <f>IF(N14897="","",'Master Barang'!B91)</f>
        <v>0</v>
      </c>
      <c r="P14897">
        <f>IF(OR(M14897="",N14897=""),"",SUMIFS('Barang Keluar'!$E:$E,'Barang Keluar'!$A:$A,M14897,'Barang Keluar'!$C:$C,N14897))</f>
        <v>0</v>
      </c>
    </row>
    <row r="14898" spans="13:16">
      <c r="M14898" s="49">
        <f>IF($A$4+148&gt;$B$4,"",$A$4+148)</f>
        <v>46171</v>
      </c>
      <c r="N14898">
        <f>IF(M14898="","",'Master Barang'!A92)</f>
        <v>0</v>
      </c>
      <c r="O14898">
        <f>IF(N14898="","",'Master Barang'!B92)</f>
        <v>0</v>
      </c>
      <c r="P14898">
        <f>IF(OR(M14898="",N14898=""),"",SUMIFS('Barang Keluar'!$E:$E,'Barang Keluar'!$A:$A,M14898,'Barang Keluar'!$C:$C,N14898))</f>
        <v>0</v>
      </c>
    </row>
    <row r="14899" spans="13:16">
      <c r="M14899" s="49">
        <f>IF($A$4+148&gt;$B$4,"",$A$4+148)</f>
        <v>46171</v>
      </c>
      <c r="N14899">
        <f>IF(M14899="","",'Master Barang'!A93)</f>
        <v>0</v>
      </c>
      <c r="O14899">
        <f>IF(N14899="","",'Master Barang'!B93)</f>
        <v>0</v>
      </c>
      <c r="P14899">
        <f>IF(OR(M14899="",N14899=""),"",SUMIFS('Barang Keluar'!$E:$E,'Barang Keluar'!$A:$A,M14899,'Barang Keluar'!$C:$C,N14899))</f>
        <v>0</v>
      </c>
    </row>
    <row r="14900" spans="13:16">
      <c r="M14900" s="49">
        <f>IF($A$4+148&gt;$B$4,"",$A$4+148)</f>
        <v>46171</v>
      </c>
      <c r="N14900">
        <f>IF(M14900="","",'Master Barang'!A94)</f>
        <v>0</v>
      </c>
      <c r="O14900">
        <f>IF(N14900="","",'Master Barang'!B94)</f>
        <v>0</v>
      </c>
      <c r="P14900">
        <f>IF(OR(M14900="",N14900=""),"",SUMIFS('Barang Keluar'!$E:$E,'Barang Keluar'!$A:$A,M14900,'Barang Keluar'!$C:$C,N14900))</f>
        <v>0</v>
      </c>
    </row>
    <row r="14901" spans="13:16">
      <c r="M14901" s="49">
        <f>IF($A$4+148&gt;$B$4,"",$A$4+148)</f>
        <v>46171</v>
      </c>
      <c r="N14901">
        <f>IF(M14901="","",'Master Barang'!A95)</f>
        <v>0</v>
      </c>
      <c r="O14901">
        <f>IF(N14901="","",'Master Barang'!B95)</f>
        <v>0</v>
      </c>
      <c r="P14901">
        <f>IF(OR(M14901="",N14901=""),"",SUMIFS('Barang Keluar'!$E:$E,'Barang Keluar'!$A:$A,M14901,'Barang Keluar'!$C:$C,N14901))</f>
        <v>0</v>
      </c>
    </row>
    <row r="14902" spans="13:16">
      <c r="M14902" s="49">
        <f>IF($A$4+148&gt;$B$4,"",$A$4+148)</f>
        <v>46171</v>
      </c>
      <c r="N14902">
        <f>IF(M14902="","",'Master Barang'!A96)</f>
        <v>0</v>
      </c>
      <c r="O14902">
        <f>IF(N14902="","",'Master Barang'!B96)</f>
        <v>0</v>
      </c>
      <c r="P14902">
        <f>IF(OR(M14902="",N14902=""),"",SUMIFS('Barang Keluar'!$E:$E,'Barang Keluar'!$A:$A,M14902,'Barang Keluar'!$C:$C,N14902))</f>
        <v>0</v>
      </c>
    </row>
    <row r="14903" spans="13:16">
      <c r="M14903" s="49">
        <f>IF($A$4+148&gt;$B$4,"",$A$4+148)</f>
        <v>46171</v>
      </c>
      <c r="N14903">
        <f>IF(M14903="","",'Master Barang'!A97)</f>
        <v>0</v>
      </c>
      <c r="O14903">
        <f>IF(N14903="","",'Master Barang'!B97)</f>
        <v>0</v>
      </c>
      <c r="P14903">
        <f>IF(OR(M14903="",N14903=""),"",SUMIFS('Barang Keluar'!$E:$E,'Barang Keluar'!$A:$A,M14903,'Barang Keluar'!$C:$C,N14903))</f>
        <v>0</v>
      </c>
    </row>
    <row r="14904" spans="13:16">
      <c r="M14904" s="49">
        <f>IF($A$4+148&gt;$B$4,"",$A$4+148)</f>
        <v>46171</v>
      </c>
      <c r="N14904">
        <f>IF(M14904="","",'Master Barang'!A98)</f>
        <v>0</v>
      </c>
      <c r="O14904">
        <f>IF(N14904="","",'Master Barang'!B98)</f>
        <v>0</v>
      </c>
      <c r="P14904">
        <f>IF(OR(M14904="",N14904=""),"",SUMIFS('Barang Keluar'!$E:$E,'Barang Keluar'!$A:$A,M14904,'Barang Keluar'!$C:$C,N14904))</f>
        <v>0</v>
      </c>
    </row>
    <row r="14905" spans="13:16">
      <c r="M14905" s="49">
        <f>IF($A$4+148&gt;$B$4,"",$A$4+148)</f>
        <v>46171</v>
      </c>
      <c r="N14905">
        <f>IF(M14905="","",'Master Barang'!A99)</f>
        <v>0</v>
      </c>
      <c r="O14905">
        <f>IF(N14905="","",'Master Barang'!B99)</f>
        <v>0</v>
      </c>
      <c r="P14905">
        <f>IF(OR(M14905="",N14905=""),"",SUMIFS('Barang Keluar'!$E:$E,'Barang Keluar'!$A:$A,M14905,'Barang Keluar'!$C:$C,N14905))</f>
        <v>0</v>
      </c>
    </row>
    <row r="14906" spans="13:16">
      <c r="M14906" s="49">
        <f>IF($A$4+148&gt;$B$4,"",$A$4+148)</f>
        <v>46171</v>
      </c>
      <c r="N14906">
        <f>IF(M14906="","",'Master Barang'!A100)</f>
        <v>0</v>
      </c>
      <c r="O14906">
        <f>IF(N14906="","",'Master Barang'!B100)</f>
        <v>0</v>
      </c>
      <c r="P14906">
        <f>IF(OR(M14906="",N14906=""),"",SUMIFS('Barang Keluar'!$E:$E,'Barang Keluar'!$A:$A,M14906,'Barang Keluar'!$C:$C,N14906))</f>
        <v>0</v>
      </c>
    </row>
    <row r="14907" spans="13:16">
      <c r="M14907" s="49">
        <f>IF($A$4+148&gt;$B$4,"",$A$4+148)</f>
        <v>46171</v>
      </c>
      <c r="N14907">
        <f>IF(M14907="","",'Master Barang'!A101)</f>
        <v>0</v>
      </c>
      <c r="O14907">
        <f>IF(N14907="","",'Master Barang'!B101)</f>
        <v>0</v>
      </c>
      <c r="P14907">
        <f>IF(OR(M14907="",N14907=""),"",SUMIFS('Barang Keluar'!$E:$E,'Barang Keluar'!$A:$A,M14907,'Barang Keluar'!$C:$C,N14907))</f>
        <v>0</v>
      </c>
    </row>
    <row r="14908" spans="13:16">
      <c r="M14908" s="49">
        <f>IF($A$4+149&gt;$B$4,"",$A$4+149)</f>
        <v>46172</v>
      </c>
      <c r="N14908" t="str">
        <f>IF(M14908="","",'Master Barang'!A2)</f>
        <v>PRL-001</v>
      </c>
      <c r="O14908" t="str">
        <f>IF(N14908="","",'Master Barang'!B2)</f>
        <v>natura desinfectant food grade 5l</v>
      </c>
      <c r="P14908">
        <f>IF(OR(M14908="",N14908=""),"",SUMIFS('Barang Keluar'!$E:$E,'Barang Keluar'!$A:$A,M14908,'Barang Keluar'!$C:$C,N14908))</f>
        <v>0</v>
      </c>
    </row>
    <row r="14909" spans="13:16">
      <c r="M14909" s="49">
        <f>IF($A$4+149&gt;$B$4,"",$A$4+149)</f>
        <v>46172</v>
      </c>
      <c r="N14909" t="str">
        <f>IF(M14909="","",'Master Barang'!A3)</f>
        <v>PRL-002</v>
      </c>
      <c r="O14909" t="str">
        <f>IF(N14909="","",'Master Barang'!B3)</f>
        <v>sunlight cairan pencuci piring 5l</v>
      </c>
      <c r="P14909">
        <f>IF(OR(M14909="",N14909=""),"",SUMIFS('Barang Keluar'!$E:$E,'Barang Keluar'!$A:$A,M14909,'Barang Keluar'!$C:$C,N14909))</f>
        <v>0</v>
      </c>
    </row>
    <row r="14910" spans="13:16">
      <c r="M14910" s="49">
        <f>IF($A$4+149&gt;$B$4,"",$A$4+149)</f>
        <v>46172</v>
      </c>
      <c r="N14910" t="str">
        <f>IF(M14910="","",'Master Barang'!A4)</f>
        <v>PRL-003</v>
      </c>
      <c r="O14910" t="str">
        <f>IF(N14910="","",'Master Barang'!B4)</f>
        <v>oixs cleaner 1l</v>
      </c>
      <c r="P14910">
        <f>IF(OR(M14910="",N14910=""),"",SUMIFS('Barang Keluar'!$E:$E,'Barang Keluar'!$A:$A,M14910,'Barang Keluar'!$C:$C,N14910))</f>
        <v>0</v>
      </c>
    </row>
    <row r="14911" spans="13:16">
      <c r="M14911" s="49">
        <f>IF($A$4+149&gt;$B$4,"",$A$4+149)</f>
        <v>46172</v>
      </c>
      <c r="N14911" t="str">
        <f>IF(M14911="","",'Master Barang'!A5)</f>
        <v>PRL-004</v>
      </c>
      <c r="O14911" t="str">
        <f>IF(N14911="","",'Master Barang'!B5)</f>
        <v>be clean tissue serbaguna</v>
      </c>
      <c r="P14911">
        <f>IF(OR(M14911="",N14911=""),"",SUMIFS('Barang Keluar'!$E:$E,'Barang Keluar'!$A:$A,M14911,'Barang Keluar'!$C:$C,N14911))</f>
        <v>0</v>
      </c>
    </row>
    <row r="14912" spans="13:16">
      <c r="M14912" s="49">
        <f>IF($A$4+149&gt;$B$4,"",$A$4+149)</f>
        <v>46172</v>
      </c>
      <c r="N14912" t="str">
        <f>IF(M14912="","",'Master Barang'!A6)</f>
        <v>PRL-005</v>
      </c>
      <c r="O14912" t="str">
        <f>IF(N14912="","",'Master Barang'!B6)</f>
        <v>spons cuci hijau</v>
      </c>
      <c r="P14912">
        <f>IF(OR(M14912="",N14912=""),"",SUMIFS('Barang Keluar'!$E:$E,'Barang Keluar'!$A:$A,M14912,'Barang Keluar'!$C:$C,N14912))</f>
        <v>0</v>
      </c>
    </row>
    <row r="14913" spans="13:16">
      <c r="M14913" s="49">
        <f>IF($A$4+149&gt;$B$4,"",$A$4+149)</f>
        <v>46172</v>
      </c>
      <c r="N14913" t="str">
        <f>IF(M14913="","",'Master Barang'!A7)</f>
        <v>PRL-006</v>
      </c>
      <c r="O14913" t="str">
        <f>IF(N14913="","",'Master Barang'!B7)</f>
        <v>sabut cuci stainless</v>
      </c>
      <c r="P14913">
        <f>IF(OR(M14913="",N14913=""),"",SUMIFS('Barang Keluar'!$E:$E,'Barang Keluar'!$A:$A,M14913,'Barang Keluar'!$C:$C,N14913))</f>
        <v>0</v>
      </c>
    </row>
    <row r="14914" spans="13:16">
      <c r="M14914" s="49">
        <f>IF($A$4+149&gt;$B$4,"",$A$4+149)</f>
        <v>46172</v>
      </c>
      <c r="N14914" t="str">
        <f>IF(M14914="","",'Master Barang'!A8)</f>
        <v>PRL-007</v>
      </c>
      <c r="O14914" t="str">
        <f>IF(N14914="","",'Master Barang'!B8)</f>
        <v>plastik kresek besar merah 50pc</v>
      </c>
      <c r="P14914">
        <f>IF(OR(M14914="",N14914=""),"",SUMIFS('Barang Keluar'!$E:$E,'Barang Keluar'!$A:$A,M14914,'Barang Keluar'!$C:$C,N14914))</f>
        <v>0</v>
      </c>
    </row>
    <row r="14915" spans="13:16">
      <c r="M14915" s="49">
        <f>IF($A$4+149&gt;$B$4,"",$A$4+149)</f>
        <v>46172</v>
      </c>
      <c r="N14915" t="str">
        <f>IF(M14915="","",'Master Barang'!A9)</f>
        <v>PRL-008</v>
      </c>
      <c r="O14915" t="str">
        <f>IF(N14915="","",'Master Barang'!B9)</f>
        <v>lap besar</v>
      </c>
      <c r="P14915">
        <f>IF(OR(M14915="",N14915=""),"",SUMIFS('Barang Keluar'!$E:$E,'Barang Keluar'!$A:$A,M14915,'Barang Keluar'!$C:$C,N14915))</f>
        <v>0</v>
      </c>
    </row>
    <row r="14916" spans="13:16">
      <c r="M14916" s="49">
        <f>IF($A$4+149&gt;$B$4,"",$A$4+149)</f>
        <v>46172</v>
      </c>
      <c r="N14916" t="str">
        <f>IF(M14916="","",'Master Barang'!A10)</f>
        <v>PRL-009</v>
      </c>
      <c r="O14916" t="str">
        <f>IF(N14916="","",'Master Barang'!B10)</f>
        <v>lap microfiber</v>
      </c>
      <c r="P14916">
        <f>IF(OR(M14916="",N14916=""),"",SUMIFS('Barang Keluar'!$E:$E,'Barang Keluar'!$A:$A,M14916,'Barang Keluar'!$C:$C,N14916))</f>
        <v>0</v>
      </c>
    </row>
    <row r="14917" spans="13:16">
      <c r="M14917" s="49">
        <f>IF($A$4+149&gt;$B$4,"",$A$4+149)</f>
        <v>46172</v>
      </c>
      <c r="N14917" t="str">
        <f>IF(M14917="","",'Master Barang'!A11)</f>
        <v>PRL-010</v>
      </c>
      <c r="O14917" t="str">
        <f>IF(N14917="","",'Master Barang'!B11)</f>
        <v>lap kecil</v>
      </c>
      <c r="P14917">
        <f>IF(OR(M14917="",N14917=""),"",SUMIFS('Barang Keluar'!$E:$E,'Barang Keluar'!$A:$A,M14917,'Barang Keluar'!$C:$C,N14917))</f>
        <v>0</v>
      </c>
    </row>
    <row r="14918" spans="13:16">
      <c r="M14918" s="49">
        <f>IF($A$4+149&gt;$B$4,"",$A$4+149)</f>
        <v>46172</v>
      </c>
      <c r="N14918" t="str">
        <f>IF(M14918="","",'Master Barang'!A12)</f>
        <v>PRL-011</v>
      </c>
      <c r="O14918" t="str">
        <f>IF(N14918="","",'Master Barang'!B12)</f>
        <v>kanebo kecil</v>
      </c>
      <c r="P14918">
        <f>IF(OR(M14918="",N14918=""),"",SUMIFS('Barang Keluar'!$E:$E,'Barang Keluar'!$A:$A,M14918,'Barang Keluar'!$C:$C,N14918))</f>
        <v>0</v>
      </c>
    </row>
    <row r="14919" spans="13:16">
      <c r="M14919" s="49">
        <f>IF($A$4+149&gt;$B$4,"",$A$4+149)</f>
        <v>46172</v>
      </c>
      <c r="N14919" t="str">
        <f>IF(M14919="","",'Master Barang'!A13)</f>
        <v>PRL-012</v>
      </c>
      <c r="O14919" t="str">
        <f>IF(N14919="","",'Master Barang'!B13)</f>
        <v>plastik 1/4kg joyoboyo 100 lembar</v>
      </c>
      <c r="P14919">
        <f>IF(OR(M14919="",N14919=""),"",SUMIFS('Barang Keluar'!$E:$E,'Barang Keluar'!$A:$A,M14919,'Barang Keluar'!$C:$C,N14919))</f>
        <v>0</v>
      </c>
    </row>
    <row r="14920" spans="13:16">
      <c r="M14920" s="49">
        <f>IF($A$4+149&gt;$B$4,"",$A$4+149)</f>
        <v>46172</v>
      </c>
      <c r="N14920" t="str">
        <f>IF(M14920="","",'Master Barang'!A14)</f>
        <v>PRL-013</v>
      </c>
      <c r="O14920" t="str">
        <f>IF(N14920="","",'Master Barang'!B14)</f>
        <v>sarung tangan plastik kaka 100 pcs</v>
      </c>
      <c r="P14920">
        <f>IF(OR(M14920="",N14920=""),"",SUMIFS('Barang Keluar'!$E:$E,'Barang Keluar'!$A:$A,M14920,'Barang Keluar'!$C:$C,N14920))</f>
        <v>0</v>
      </c>
    </row>
    <row r="14921" spans="13:16">
      <c r="M14921" s="49">
        <f>IF($A$4+149&gt;$B$4,"",$A$4+149)</f>
        <v>46172</v>
      </c>
      <c r="N14921" t="str">
        <f>IF(M14921="","",'Master Barang'!A15)</f>
        <v>PRL-014</v>
      </c>
      <c r="O14921" t="str">
        <f>IF(N14921="","",'Master Barang'!B15)</f>
        <v>optima trashbag 80x100</v>
      </c>
      <c r="P14921">
        <f>IF(OR(M14921="",N14921=""),"",SUMIFS('Barang Keluar'!$E:$E,'Barang Keluar'!$A:$A,M14921,'Barang Keluar'!$C:$C,N14921))</f>
        <v>0</v>
      </c>
    </row>
    <row r="14922" spans="13:16">
      <c r="M14922" s="49">
        <f>IF($A$4+149&gt;$B$4,"",$A$4+149)</f>
        <v>46172</v>
      </c>
      <c r="N14922" t="str">
        <f>IF(M14922="","",'Master Barang'!A16)</f>
        <v>PRL-015</v>
      </c>
      <c r="O14922" t="str">
        <f>IF(N14922="","",'Master Barang'!B16)</f>
        <v>optima trashbag 60x100</v>
      </c>
      <c r="P14922">
        <f>IF(OR(M14922="",N14922=""),"",SUMIFS('Barang Keluar'!$E:$E,'Barang Keluar'!$A:$A,M14922,'Barang Keluar'!$C:$C,N14922))</f>
        <v>0</v>
      </c>
    </row>
    <row r="14923" spans="13:16">
      <c r="M14923" s="49">
        <f>IF($A$4+149&gt;$B$4,"",$A$4+149)</f>
        <v>46172</v>
      </c>
      <c r="N14923" t="str">
        <f>IF(M14923="","",'Master Barang'!A17)</f>
        <v>PRL-016</v>
      </c>
      <c r="O14923" t="str">
        <f>IF(N14923="","",'Master Barang'!B17)</f>
        <v>rajawali trashbag 30x40</v>
      </c>
      <c r="P14923">
        <f>IF(OR(M14923="",N14923=""),"",SUMIFS('Barang Keluar'!$E:$E,'Barang Keluar'!$A:$A,M14923,'Barang Keluar'!$C:$C,N14923))</f>
        <v>0</v>
      </c>
    </row>
    <row r="14924" spans="13:16">
      <c r="M14924" s="49">
        <f>IF($A$4+149&gt;$B$4,"",$A$4+149)</f>
        <v>46172</v>
      </c>
      <c r="N14924" t="str">
        <f>IF(M14924="","",'Master Barang'!A18)</f>
        <v>PRL-017</v>
      </c>
      <c r="O14924" t="str">
        <f>IF(N14924="","",'Master Barang'!B18)</f>
        <v>onemed masker biru 3 play 50 pcs</v>
      </c>
      <c r="P14924">
        <f>IF(OR(M14924="",N14924=""),"",SUMIFS('Barang Keluar'!$E:$E,'Barang Keluar'!$A:$A,M14924,'Barang Keluar'!$C:$C,N14924))</f>
        <v>0</v>
      </c>
    </row>
    <row r="14925" spans="13:16">
      <c r="M14925" s="49">
        <f>IF($A$4+149&gt;$B$4,"",$A$4+149)</f>
        <v>46172</v>
      </c>
      <c r="N14925" t="str">
        <f>IF(M14925="","",'Master Barang'!A19)</f>
        <v>PRL-018</v>
      </c>
      <c r="O14925" t="str">
        <f>IF(N14925="","",'Master Barang'!B19)</f>
        <v>onemed masker biru 3 play hijab 50 pcs</v>
      </c>
      <c r="P14925">
        <f>IF(OR(M14925="",N14925=""),"",SUMIFS('Barang Keluar'!$E:$E,'Barang Keluar'!$A:$A,M14925,'Barang Keluar'!$C:$C,N14925))</f>
        <v>0</v>
      </c>
    </row>
    <row r="14926" spans="13:16">
      <c r="M14926" s="49">
        <f>IF($A$4+149&gt;$B$4,"",$A$4+149)</f>
        <v>46172</v>
      </c>
      <c r="N14926" t="str">
        <f>IF(M14926="","",'Master Barang'!A20)</f>
        <v>PRL-019</v>
      </c>
      <c r="O14926" t="str">
        <f>IF(N14926="","",'Master Barang'!B20)</f>
        <v>neo health masker biru 3 play 50 pcs</v>
      </c>
      <c r="P14926">
        <f>IF(OR(M14926="",N14926=""),"",SUMIFS('Barang Keluar'!$E:$E,'Barang Keluar'!$A:$A,M14926,'Barang Keluar'!$C:$C,N14926))</f>
        <v>0</v>
      </c>
    </row>
    <row r="14927" spans="13:16">
      <c r="M14927" s="49">
        <f>IF($A$4+149&gt;$B$4,"",$A$4+149)</f>
        <v>46172</v>
      </c>
      <c r="N14927" t="str">
        <f>IF(M14927="","",'Master Barang'!A21)</f>
        <v>PRL-020</v>
      </c>
      <c r="O14927" t="str">
        <f>IF(N14927="","",'Master Barang'!B21)</f>
        <v>baymed masker hijau 3 play hijau 50 pcs</v>
      </c>
      <c r="P14927">
        <f>IF(OR(M14927="",N14927=""),"",SUMIFS('Barang Keluar'!$E:$E,'Barang Keluar'!$A:$A,M14927,'Barang Keluar'!$C:$C,N14927))</f>
        <v>0</v>
      </c>
    </row>
    <row r="14928" spans="13:16">
      <c r="M14928" s="49">
        <f>IF($A$4+149&gt;$B$4,"",$A$4+149)</f>
        <v>46172</v>
      </c>
      <c r="N14928" t="str">
        <f>IF(M14928="","",'Master Barang'!A22)</f>
        <v>PRL-021</v>
      </c>
      <c r="O14928" t="str">
        <f>IF(N14928="","",'Master Barang'!B22)</f>
        <v>altamed nurse cap penutup kepala 100 pcs</v>
      </c>
      <c r="P14928">
        <f>IF(OR(M14928="",N14928=""),"",SUMIFS('Barang Keluar'!$E:$E,'Barang Keluar'!$A:$A,M14928,'Barang Keluar'!$C:$C,N14928))</f>
        <v>0</v>
      </c>
    </row>
    <row r="14929" spans="13:16">
      <c r="M14929" s="49">
        <f>IF($A$4+149&gt;$B$4,"",$A$4+149)</f>
        <v>46172</v>
      </c>
      <c r="N14929" t="str">
        <f>IF(M14929="","",'Master Barang'!A23)</f>
        <v>PRL-022</v>
      </c>
      <c r="O14929" t="str">
        <f>IF(N14929="","",'Master Barang'!B23)</f>
        <v>sabun cuci tangan</v>
      </c>
      <c r="P14929">
        <f>IF(OR(M14929="",N14929=""),"",SUMIFS('Barang Keluar'!$E:$E,'Barang Keluar'!$A:$A,M14929,'Barang Keluar'!$C:$C,N14929))</f>
        <v>0</v>
      </c>
    </row>
    <row r="14930" spans="13:16">
      <c r="M14930" s="49">
        <f>IF($A$4+149&gt;$B$4,"",$A$4+149)</f>
        <v>46172</v>
      </c>
      <c r="N14930" t="str">
        <f>IF(M14930="","",'Master Barang'!A24)</f>
        <v>PRL-023</v>
      </c>
      <c r="O14930" t="str">
        <f>IF(N14930="","",'Master Barang'!B24)</f>
        <v>gayung kecil</v>
      </c>
      <c r="P14930">
        <f>IF(OR(M14930="",N14930=""),"",SUMIFS('Barang Keluar'!$E:$E,'Barang Keluar'!$A:$A,M14930,'Barang Keluar'!$C:$C,N14930))</f>
        <v>0</v>
      </c>
    </row>
    <row r="14931" spans="13:16">
      <c r="M14931" s="49">
        <f>IF($A$4+149&gt;$B$4,"",$A$4+149)</f>
        <v>46172</v>
      </c>
      <c r="N14931" t="str">
        <f>IF(M14931="","",'Master Barang'!A25)</f>
        <v>PRL-024</v>
      </c>
      <c r="O14931" t="str">
        <f>IF(N14931="","",'Master Barang'!B25)</f>
        <v>cikrak kecil</v>
      </c>
      <c r="P14931">
        <f>IF(OR(M14931="",N14931=""),"",SUMIFS('Barang Keluar'!$E:$E,'Barang Keluar'!$A:$A,M14931,'Barang Keluar'!$C:$C,N14931))</f>
        <v>0</v>
      </c>
    </row>
    <row r="14932" spans="13:16">
      <c r="M14932" s="49">
        <f>IF($A$4+149&gt;$B$4,"",$A$4+149)</f>
        <v>46172</v>
      </c>
      <c r="N14932" t="str">
        <f>IF(M14932="","",'Master Barang'!A26)</f>
        <v>PRL-025</v>
      </c>
      <c r="O14932" t="str">
        <f>IF(N14932="","",'Master Barang'!B26)</f>
        <v>petromax plastik kecil 12x24 100 lembar</v>
      </c>
      <c r="P14932">
        <f>IF(OR(M14932="",N14932=""),"",SUMIFS('Barang Keluar'!$E:$E,'Barang Keluar'!$A:$A,M14932,'Barang Keluar'!$C:$C,N14932))</f>
        <v>0</v>
      </c>
    </row>
    <row r="14933" spans="13:16">
      <c r="M14933" s="49">
        <f>IF($A$4+149&gt;$B$4,"",$A$4+149)</f>
        <v>46172</v>
      </c>
      <c r="N14933" t="str">
        <f>IF(M14933="","",'Master Barang'!A27)</f>
        <v>PRL-026</v>
      </c>
      <c r="O14933" t="str">
        <f>IF(N14933="","",'Master Barang'!B27)</f>
        <v>lancar kresek kecil bening </v>
      </c>
      <c r="P14933">
        <f>IF(OR(M14933="",N14933=""),"",SUMIFS('Barang Keluar'!$E:$E,'Barang Keluar'!$A:$A,M14933,'Barang Keluar'!$C:$C,N14933))</f>
        <v>0</v>
      </c>
    </row>
    <row r="14934" spans="13:16">
      <c r="M14934" s="49">
        <f>IF($A$4+149&gt;$B$4,"",$A$4+149)</f>
        <v>46172</v>
      </c>
      <c r="N14934" t="str">
        <f>IF(M14934="","",'Master Barang'!A28)</f>
        <v>PRL-027</v>
      </c>
      <c r="O14934" t="str">
        <f>IF(N14934="","",'Master Barang'!B28)</f>
        <v>kresek klin warna warni kecil</v>
      </c>
      <c r="P14934">
        <f>IF(OR(M14934="",N14934=""),"",SUMIFS('Barang Keluar'!$E:$E,'Barang Keluar'!$A:$A,M14934,'Barang Keluar'!$C:$C,N14934))</f>
        <v>0</v>
      </c>
    </row>
    <row r="14935" spans="13:16">
      <c r="M14935" s="49">
        <f>IF($A$4+149&gt;$B$4,"",$A$4+149)</f>
        <v>46172</v>
      </c>
      <c r="N14935" t="str">
        <f>IF(M14935="","",'Master Barang'!A29)</f>
        <v>PRL-028</v>
      </c>
      <c r="O14935" t="str">
        <f>IF(N14935="","",'Master Barang'!B29)</f>
        <v>ctik plastik 7x10 100 pcs</v>
      </c>
      <c r="P14935">
        <f>IF(OR(M14935="",N14935=""),"",SUMIFS('Barang Keluar'!$E:$E,'Barang Keluar'!$A:$A,M14935,'Barang Keluar'!$C:$C,N14935))</f>
        <v>0</v>
      </c>
    </row>
    <row r="14936" spans="13:16">
      <c r="M14936" s="49">
        <f>IF($A$4+149&gt;$B$4,"",$A$4+149)</f>
        <v>46172</v>
      </c>
      <c r="N14936" t="str">
        <f>IF(M14936="","",'Master Barang'!A30)</f>
        <v>PRL-029</v>
      </c>
      <c r="O14936" t="str">
        <f>IF(N14936="","",'Master Barang'!B30)</f>
        <v>ctik plastik 6x10 100 pcs</v>
      </c>
      <c r="P14936">
        <f>IF(OR(M14936="",N14936=""),"",SUMIFS('Barang Keluar'!$E:$E,'Barang Keluar'!$A:$A,M14936,'Barang Keluar'!$C:$C,N14936))</f>
        <v>0</v>
      </c>
    </row>
    <row r="14937" spans="13:16">
      <c r="M14937" s="49">
        <f>IF($A$4+149&gt;$B$4,"",$A$4+149)</f>
        <v>46172</v>
      </c>
      <c r="N14937" t="str">
        <f>IF(M14937="","",'Master Barang'!A31)</f>
        <v>PRL-030</v>
      </c>
      <c r="O14937" t="str">
        <f>IF(N14937="","",'Master Barang'!B31)</f>
        <v>klip plastik 25x16 100 pcs</v>
      </c>
      <c r="P14937">
        <f>IF(OR(M14937="",N14937=""),"",SUMIFS('Barang Keluar'!$E:$E,'Barang Keluar'!$A:$A,M14937,'Barang Keluar'!$C:$C,N14937))</f>
        <v>0</v>
      </c>
    </row>
    <row r="14938" spans="13:16">
      <c r="M14938" s="49">
        <f>IF($A$4+149&gt;$B$4,"",$A$4+149)</f>
        <v>46172</v>
      </c>
      <c r="N14938" t="str">
        <f>IF(M14938="","",'Master Barang'!A32)</f>
        <v>PRL-031</v>
      </c>
      <c r="O14938" t="str">
        <f>IF(N14938="","",'Master Barang'!B32)</f>
        <v>tempat saus 20 ml</v>
      </c>
      <c r="P14938">
        <f>IF(OR(M14938="",N14938=""),"",SUMIFS('Barang Keluar'!$E:$E,'Barang Keluar'!$A:$A,M14938,'Barang Keluar'!$C:$C,N14938))</f>
        <v>0</v>
      </c>
    </row>
    <row r="14939" spans="13:16">
      <c r="M14939" s="49">
        <f>IF($A$4+149&gt;$B$4,"",$A$4+149)</f>
        <v>46172</v>
      </c>
      <c r="N14939" t="str">
        <f>IF(M14939="","",'Master Barang'!A33)</f>
        <v>PRL-032</v>
      </c>
      <c r="O14939" t="str">
        <f>IF(N14939="","",'Master Barang'!B33)</f>
        <v>plastik packaging ag box uk sedang</v>
      </c>
      <c r="P14939">
        <f>IF(OR(M14939="",N14939=""),"",SUMIFS('Barang Keluar'!$E:$E,'Barang Keluar'!$A:$A,M14939,'Barang Keluar'!$C:$C,N14939))</f>
        <v>0</v>
      </c>
    </row>
    <row r="14940" spans="13:16">
      <c r="M14940" s="49">
        <f>IF($A$4+149&gt;$B$4,"",$A$4+149)</f>
        <v>46172</v>
      </c>
      <c r="N14940" t="str">
        <f>IF(M14940="","",'Master Barang'!A34)</f>
        <v>PRL-033</v>
      </c>
      <c r="O14940">
        <f>IF(N14940="","",'Master Barang'!B34)</f>
        <v>0</v>
      </c>
      <c r="P14940">
        <f>IF(OR(M14940="",N14940=""),"",SUMIFS('Barang Keluar'!$E:$E,'Barang Keluar'!$A:$A,M14940,'Barang Keluar'!$C:$C,N14940))</f>
        <v>0</v>
      </c>
    </row>
    <row r="14941" spans="13:16">
      <c r="M14941" s="49">
        <f>IF($A$4+149&gt;$B$4,"",$A$4+149)</f>
        <v>46172</v>
      </c>
      <c r="N14941">
        <f>IF(M14941="","",'Master Barang'!A35)</f>
        <v>0</v>
      </c>
      <c r="O14941">
        <f>IF(N14941="","",'Master Barang'!B35)</f>
        <v>0</v>
      </c>
      <c r="P14941">
        <f>IF(OR(M14941="",N14941=""),"",SUMIFS('Barang Keluar'!$E:$E,'Barang Keluar'!$A:$A,M14941,'Barang Keluar'!$C:$C,N14941))</f>
        <v>0</v>
      </c>
    </row>
    <row r="14942" spans="13:16">
      <c r="M14942" s="49">
        <f>IF($A$4+149&gt;$B$4,"",$A$4+149)</f>
        <v>46172</v>
      </c>
      <c r="N14942">
        <f>IF(M14942="","",'Master Barang'!A36)</f>
        <v>0</v>
      </c>
      <c r="O14942">
        <f>IF(N14942="","",'Master Barang'!B36)</f>
        <v>0</v>
      </c>
      <c r="P14942">
        <f>IF(OR(M14942="",N14942=""),"",SUMIFS('Barang Keluar'!$E:$E,'Barang Keluar'!$A:$A,M14942,'Barang Keluar'!$C:$C,N14942))</f>
        <v>0</v>
      </c>
    </row>
    <row r="14943" spans="13:16">
      <c r="M14943" s="49">
        <f>IF($A$4+149&gt;$B$4,"",$A$4+149)</f>
        <v>46172</v>
      </c>
      <c r="N14943">
        <f>IF(M14943="","",'Master Barang'!A37)</f>
        <v>0</v>
      </c>
      <c r="O14943">
        <f>IF(N14943="","",'Master Barang'!B37)</f>
        <v>0</v>
      </c>
      <c r="P14943">
        <f>IF(OR(M14943="",N14943=""),"",SUMIFS('Barang Keluar'!$E:$E,'Barang Keluar'!$A:$A,M14943,'Barang Keluar'!$C:$C,N14943))</f>
        <v>0</v>
      </c>
    </row>
    <row r="14944" spans="13:16">
      <c r="M14944" s="49">
        <f>IF($A$4+149&gt;$B$4,"",$A$4+149)</f>
        <v>46172</v>
      </c>
      <c r="N14944">
        <f>IF(M14944="","",'Master Barang'!A38)</f>
        <v>0</v>
      </c>
      <c r="O14944">
        <f>IF(N14944="","",'Master Barang'!B38)</f>
        <v>0</v>
      </c>
      <c r="P14944">
        <f>IF(OR(M14944="",N14944=""),"",SUMIFS('Barang Keluar'!$E:$E,'Barang Keluar'!$A:$A,M14944,'Barang Keluar'!$C:$C,N14944))</f>
        <v>0</v>
      </c>
    </row>
    <row r="14945" spans="13:16">
      <c r="M14945" s="49">
        <f>IF($A$4+149&gt;$B$4,"",$A$4+149)</f>
        <v>46172</v>
      </c>
      <c r="N14945">
        <f>IF(M14945="","",'Master Barang'!A39)</f>
        <v>0</v>
      </c>
      <c r="O14945">
        <f>IF(N14945="","",'Master Barang'!B39)</f>
        <v>0</v>
      </c>
      <c r="P14945">
        <f>IF(OR(M14945="",N14945=""),"",SUMIFS('Barang Keluar'!$E:$E,'Barang Keluar'!$A:$A,M14945,'Barang Keluar'!$C:$C,N14945))</f>
        <v>0</v>
      </c>
    </row>
    <row r="14946" spans="13:16">
      <c r="M14946" s="49">
        <f>IF($A$4+149&gt;$B$4,"",$A$4+149)</f>
        <v>46172</v>
      </c>
      <c r="N14946">
        <f>IF(M14946="","",'Master Barang'!A40)</f>
        <v>0</v>
      </c>
      <c r="O14946">
        <f>IF(N14946="","",'Master Barang'!B40)</f>
        <v>0</v>
      </c>
      <c r="P14946">
        <f>IF(OR(M14946="",N14946=""),"",SUMIFS('Barang Keluar'!$E:$E,'Barang Keluar'!$A:$A,M14946,'Barang Keluar'!$C:$C,N14946))</f>
        <v>0</v>
      </c>
    </row>
    <row r="14947" spans="13:16">
      <c r="M14947" s="49">
        <f>IF($A$4+149&gt;$B$4,"",$A$4+149)</f>
        <v>46172</v>
      </c>
      <c r="N14947">
        <f>IF(M14947="","",'Master Barang'!A41)</f>
        <v>0</v>
      </c>
      <c r="O14947">
        <f>IF(N14947="","",'Master Barang'!B41)</f>
        <v>0</v>
      </c>
      <c r="P14947">
        <f>IF(OR(M14947="",N14947=""),"",SUMIFS('Barang Keluar'!$E:$E,'Barang Keluar'!$A:$A,M14947,'Barang Keluar'!$C:$C,N14947))</f>
        <v>0</v>
      </c>
    </row>
    <row r="14948" spans="13:16">
      <c r="M14948" s="49">
        <f>IF($A$4+149&gt;$B$4,"",$A$4+149)</f>
        <v>46172</v>
      </c>
      <c r="N14948">
        <f>IF(M14948="","",'Master Barang'!A42)</f>
        <v>0</v>
      </c>
      <c r="O14948">
        <f>IF(N14948="","",'Master Barang'!B42)</f>
        <v>0</v>
      </c>
      <c r="P14948">
        <f>IF(OR(M14948="",N14948=""),"",SUMIFS('Barang Keluar'!$E:$E,'Barang Keluar'!$A:$A,M14948,'Barang Keluar'!$C:$C,N14948))</f>
        <v>0</v>
      </c>
    </row>
    <row r="14949" spans="13:16">
      <c r="M14949" s="49">
        <f>IF($A$4+149&gt;$B$4,"",$A$4+149)</f>
        <v>46172</v>
      </c>
      <c r="N14949">
        <f>IF(M14949="","",'Master Barang'!A43)</f>
        <v>0</v>
      </c>
      <c r="O14949">
        <f>IF(N14949="","",'Master Barang'!B43)</f>
        <v>0</v>
      </c>
      <c r="P14949">
        <f>IF(OR(M14949="",N14949=""),"",SUMIFS('Barang Keluar'!$E:$E,'Barang Keluar'!$A:$A,M14949,'Barang Keluar'!$C:$C,N14949))</f>
        <v>0</v>
      </c>
    </row>
    <row r="14950" spans="13:16">
      <c r="M14950" s="49">
        <f>IF($A$4+149&gt;$B$4,"",$A$4+149)</f>
        <v>46172</v>
      </c>
      <c r="N14950">
        <f>IF(M14950="","",'Master Barang'!A44)</f>
        <v>0</v>
      </c>
      <c r="O14950">
        <f>IF(N14950="","",'Master Barang'!B44)</f>
        <v>0</v>
      </c>
      <c r="P14950">
        <f>IF(OR(M14950="",N14950=""),"",SUMIFS('Barang Keluar'!$E:$E,'Barang Keluar'!$A:$A,M14950,'Barang Keluar'!$C:$C,N14950))</f>
        <v>0</v>
      </c>
    </row>
    <row r="14951" spans="13:16">
      <c r="M14951" s="49">
        <f>IF($A$4+149&gt;$B$4,"",$A$4+149)</f>
        <v>46172</v>
      </c>
      <c r="N14951">
        <f>IF(M14951="","",'Master Barang'!A45)</f>
        <v>0</v>
      </c>
      <c r="O14951">
        <f>IF(N14951="","",'Master Barang'!B45)</f>
        <v>0</v>
      </c>
      <c r="P14951">
        <f>IF(OR(M14951="",N14951=""),"",SUMIFS('Barang Keluar'!$E:$E,'Barang Keluar'!$A:$A,M14951,'Barang Keluar'!$C:$C,N14951))</f>
        <v>0</v>
      </c>
    </row>
    <row r="14952" spans="13:16">
      <c r="M14952" s="49">
        <f>IF($A$4+149&gt;$B$4,"",$A$4+149)</f>
        <v>46172</v>
      </c>
      <c r="N14952">
        <f>IF(M14952="","",'Master Barang'!A46)</f>
        <v>0</v>
      </c>
      <c r="O14952">
        <f>IF(N14952="","",'Master Barang'!B46)</f>
        <v>0</v>
      </c>
      <c r="P14952">
        <f>IF(OR(M14952="",N14952=""),"",SUMIFS('Barang Keluar'!$E:$E,'Barang Keluar'!$A:$A,M14952,'Barang Keluar'!$C:$C,N14952))</f>
        <v>0</v>
      </c>
    </row>
    <row r="14953" spans="13:16">
      <c r="M14953" s="49">
        <f>IF($A$4+149&gt;$B$4,"",$A$4+149)</f>
        <v>46172</v>
      </c>
      <c r="N14953">
        <f>IF(M14953="","",'Master Barang'!A47)</f>
        <v>0</v>
      </c>
      <c r="O14953">
        <f>IF(N14953="","",'Master Barang'!B47)</f>
        <v>0</v>
      </c>
      <c r="P14953">
        <f>IF(OR(M14953="",N14953=""),"",SUMIFS('Barang Keluar'!$E:$E,'Barang Keluar'!$A:$A,M14953,'Barang Keluar'!$C:$C,N14953))</f>
        <v>0</v>
      </c>
    </row>
    <row r="14954" spans="13:16">
      <c r="M14954" s="49">
        <f>IF($A$4+149&gt;$B$4,"",$A$4+149)</f>
        <v>46172</v>
      </c>
      <c r="N14954">
        <f>IF(M14954="","",'Master Barang'!A48)</f>
        <v>0</v>
      </c>
      <c r="O14954">
        <f>IF(N14954="","",'Master Barang'!B48)</f>
        <v>0</v>
      </c>
      <c r="P14954">
        <f>IF(OR(M14954="",N14954=""),"",SUMIFS('Barang Keluar'!$E:$E,'Barang Keluar'!$A:$A,M14954,'Barang Keluar'!$C:$C,N14954))</f>
        <v>0</v>
      </c>
    </row>
    <row r="14955" spans="13:16">
      <c r="M14955" s="49">
        <f>IF($A$4+149&gt;$B$4,"",$A$4+149)</f>
        <v>46172</v>
      </c>
      <c r="N14955">
        <f>IF(M14955="","",'Master Barang'!A49)</f>
        <v>0</v>
      </c>
      <c r="O14955">
        <f>IF(N14955="","",'Master Barang'!B49)</f>
        <v>0</v>
      </c>
      <c r="P14955">
        <f>IF(OR(M14955="",N14955=""),"",SUMIFS('Barang Keluar'!$E:$E,'Barang Keluar'!$A:$A,M14955,'Barang Keluar'!$C:$C,N14955))</f>
        <v>0</v>
      </c>
    </row>
    <row r="14956" spans="13:16">
      <c r="M14956" s="49">
        <f>IF($A$4+149&gt;$B$4,"",$A$4+149)</f>
        <v>46172</v>
      </c>
      <c r="N14956">
        <f>IF(M14956="","",'Master Barang'!A50)</f>
        <v>0</v>
      </c>
      <c r="O14956">
        <f>IF(N14956="","",'Master Barang'!B50)</f>
        <v>0</v>
      </c>
      <c r="P14956">
        <f>IF(OR(M14956="",N14956=""),"",SUMIFS('Barang Keluar'!$E:$E,'Barang Keluar'!$A:$A,M14956,'Barang Keluar'!$C:$C,N14956))</f>
        <v>0</v>
      </c>
    </row>
    <row r="14957" spans="13:16">
      <c r="M14957" s="49">
        <f>IF($A$4+149&gt;$B$4,"",$A$4+149)</f>
        <v>46172</v>
      </c>
      <c r="N14957">
        <f>IF(M14957="","",'Master Barang'!A51)</f>
        <v>0</v>
      </c>
      <c r="O14957">
        <f>IF(N14957="","",'Master Barang'!B51)</f>
        <v>0</v>
      </c>
      <c r="P14957">
        <f>IF(OR(M14957="",N14957=""),"",SUMIFS('Barang Keluar'!$E:$E,'Barang Keluar'!$A:$A,M14957,'Barang Keluar'!$C:$C,N14957))</f>
        <v>0</v>
      </c>
    </row>
    <row r="14958" spans="13:16">
      <c r="M14958" s="49">
        <f>IF($A$4+149&gt;$B$4,"",$A$4+149)</f>
        <v>46172</v>
      </c>
      <c r="N14958">
        <f>IF(M14958="","",'Master Barang'!A52)</f>
        <v>0</v>
      </c>
      <c r="O14958">
        <f>IF(N14958="","",'Master Barang'!B52)</f>
        <v>0</v>
      </c>
      <c r="P14958">
        <f>IF(OR(M14958="",N14958=""),"",SUMIFS('Barang Keluar'!$E:$E,'Barang Keluar'!$A:$A,M14958,'Barang Keluar'!$C:$C,N14958))</f>
        <v>0</v>
      </c>
    </row>
    <row r="14959" spans="13:16">
      <c r="M14959" s="49">
        <f>IF($A$4+149&gt;$B$4,"",$A$4+149)</f>
        <v>46172</v>
      </c>
      <c r="N14959">
        <f>IF(M14959="","",'Master Barang'!A53)</f>
        <v>0</v>
      </c>
      <c r="O14959">
        <f>IF(N14959="","",'Master Barang'!B53)</f>
        <v>0</v>
      </c>
      <c r="P14959">
        <f>IF(OR(M14959="",N14959=""),"",SUMIFS('Barang Keluar'!$E:$E,'Barang Keluar'!$A:$A,M14959,'Barang Keluar'!$C:$C,N14959))</f>
        <v>0</v>
      </c>
    </row>
    <row r="14960" spans="13:16">
      <c r="M14960" s="49">
        <f>IF($A$4+149&gt;$B$4,"",$A$4+149)</f>
        <v>46172</v>
      </c>
      <c r="N14960">
        <f>IF(M14960="","",'Master Barang'!A54)</f>
        <v>0</v>
      </c>
      <c r="O14960">
        <f>IF(N14960="","",'Master Barang'!B54)</f>
        <v>0</v>
      </c>
      <c r="P14960">
        <f>IF(OR(M14960="",N14960=""),"",SUMIFS('Barang Keluar'!$E:$E,'Barang Keluar'!$A:$A,M14960,'Barang Keluar'!$C:$C,N14960))</f>
        <v>0</v>
      </c>
    </row>
    <row r="14961" spans="13:16">
      <c r="M14961" s="49">
        <f>IF($A$4+149&gt;$B$4,"",$A$4+149)</f>
        <v>46172</v>
      </c>
      <c r="N14961">
        <f>IF(M14961="","",'Master Barang'!A55)</f>
        <v>0</v>
      </c>
      <c r="O14961">
        <f>IF(N14961="","",'Master Barang'!B55)</f>
        <v>0</v>
      </c>
      <c r="P14961">
        <f>IF(OR(M14961="",N14961=""),"",SUMIFS('Barang Keluar'!$E:$E,'Barang Keluar'!$A:$A,M14961,'Barang Keluar'!$C:$C,N14961))</f>
        <v>0</v>
      </c>
    </row>
    <row r="14962" spans="13:16">
      <c r="M14962" s="49">
        <f>IF($A$4+149&gt;$B$4,"",$A$4+149)</f>
        <v>46172</v>
      </c>
      <c r="N14962">
        <f>IF(M14962="","",'Master Barang'!A56)</f>
        <v>0</v>
      </c>
      <c r="O14962">
        <f>IF(N14962="","",'Master Barang'!B56)</f>
        <v>0</v>
      </c>
      <c r="P14962">
        <f>IF(OR(M14962="",N14962=""),"",SUMIFS('Barang Keluar'!$E:$E,'Barang Keluar'!$A:$A,M14962,'Barang Keluar'!$C:$C,N14962))</f>
        <v>0</v>
      </c>
    </row>
    <row r="14963" spans="13:16">
      <c r="M14963" s="49">
        <f>IF($A$4+149&gt;$B$4,"",$A$4+149)</f>
        <v>46172</v>
      </c>
      <c r="N14963">
        <f>IF(M14963="","",'Master Barang'!A57)</f>
        <v>0</v>
      </c>
      <c r="O14963">
        <f>IF(N14963="","",'Master Barang'!B57)</f>
        <v>0</v>
      </c>
      <c r="P14963">
        <f>IF(OR(M14963="",N14963=""),"",SUMIFS('Barang Keluar'!$E:$E,'Barang Keluar'!$A:$A,M14963,'Barang Keluar'!$C:$C,N14963))</f>
        <v>0</v>
      </c>
    </row>
    <row r="14964" spans="13:16">
      <c r="M14964" s="49">
        <f>IF($A$4+149&gt;$B$4,"",$A$4+149)</f>
        <v>46172</v>
      </c>
      <c r="N14964">
        <f>IF(M14964="","",'Master Barang'!A58)</f>
        <v>0</v>
      </c>
      <c r="O14964">
        <f>IF(N14964="","",'Master Barang'!B58)</f>
        <v>0</v>
      </c>
      <c r="P14964">
        <f>IF(OR(M14964="",N14964=""),"",SUMIFS('Barang Keluar'!$E:$E,'Barang Keluar'!$A:$A,M14964,'Barang Keluar'!$C:$C,N14964))</f>
        <v>0</v>
      </c>
    </row>
    <row r="14965" spans="13:16">
      <c r="M14965" s="49">
        <f>IF($A$4+149&gt;$B$4,"",$A$4+149)</f>
        <v>46172</v>
      </c>
      <c r="N14965">
        <f>IF(M14965="","",'Master Barang'!A59)</f>
        <v>0</v>
      </c>
      <c r="O14965">
        <f>IF(N14965="","",'Master Barang'!B59)</f>
        <v>0</v>
      </c>
      <c r="P14965">
        <f>IF(OR(M14965="",N14965=""),"",SUMIFS('Barang Keluar'!$E:$E,'Barang Keluar'!$A:$A,M14965,'Barang Keluar'!$C:$C,N14965))</f>
        <v>0</v>
      </c>
    </row>
    <row r="14966" spans="13:16">
      <c r="M14966" s="49">
        <f>IF($A$4+149&gt;$B$4,"",$A$4+149)</f>
        <v>46172</v>
      </c>
      <c r="N14966">
        <f>IF(M14966="","",'Master Barang'!A60)</f>
        <v>0</v>
      </c>
      <c r="O14966">
        <f>IF(N14966="","",'Master Barang'!B60)</f>
        <v>0</v>
      </c>
      <c r="P14966">
        <f>IF(OR(M14966="",N14966=""),"",SUMIFS('Barang Keluar'!$E:$E,'Barang Keluar'!$A:$A,M14966,'Barang Keluar'!$C:$C,N14966))</f>
        <v>0</v>
      </c>
    </row>
    <row r="14967" spans="13:16">
      <c r="M14967" s="49">
        <f>IF($A$4+149&gt;$B$4,"",$A$4+149)</f>
        <v>46172</v>
      </c>
      <c r="N14967">
        <f>IF(M14967="","",'Master Barang'!A61)</f>
        <v>0</v>
      </c>
      <c r="O14967">
        <f>IF(N14967="","",'Master Barang'!B61)</f>
        <v>0</v>
      </c>
      <c r="P14967">
        <f>IF(OR(M14967="",N14967=""),"",SUMIFS('Barang Keluar'!$E:$E,'Barang Keluar'!$A:$A,M14967,'Barang Keluar'!$C:$C,N14967))</f>
        <v>0</v>
      </c>
    </row>
    <row r="14968" spans="13:16">
      <c r="M14968" s="49">
        <f>IF($A$4+149&gt;$B$4,"",$A$4+149)</f>
        <v>46172</v>
      </c>
      <c r="N14968">
        <f>IF(M14968="","",'Master Barang'!A62)</f>
        <v>0</v>
      </c>
      <c r="O14968">
        <f>IF(N14968="","",'Master Barang'!B62)</f>
        <v>0</v>
      </c>
      <c r="P14968">
        <f>IF(OR(M14968="",N14968=""),"",SUMIFS('Barang Keluar'!$E:$E,'Barang Keluar'!$A:$A,M14968,'Barang Keluar'!$C:$C,N14968))</f>
        <v>0</v>
      </c>
    </row>
    <row r="14969" spans="13:16">
      <c r="M14969" s="49">
        <f>IF($A$4+149&gt;$B$4,"",$A$4+149)</f>
        <v>46172</v>
      </c>
      <c r="N14969">
        <f>IF(M14969="","",'Master Barang'!A63)</f>
        <v>0</v>
      </c>
      <c r="O14969">
        <f>IF(N14969="","",'Master Barang'!B63)</f>
        <v>0</v>
      </c>
      <c r="P14969">
        <f>IF(OR(M14969="",N14969=""),"",SUMIFS('Barang Keluar'!$E:$E,'Barang Keluar'!$A:$A,M14969,'Barang Keluar'!$C:$C,N14969))</f>
        <v>0</v>
      </c>
    </row>
    <row r="14970" spans="13:16">
      <c r="M14970" s="49">
        <f>IF($A$4+149&gt;$B$4,"",$A$4+149)</f>
        <v>46172</v>
      </c>
      <c r="N14970">
        <f>IF(M14970="","",'Master Barang'!A64)</f>
        <v>0</v>
      </c>
      <c r="O14970">
        <f>IF(N14970="","",'Master Barang'!B64)</f>
        <v>0</v>
      </c>
      <c r="P14970">
        <f>IF(OR(M14970="",N14970=""),"",SUMIFS('Barang Keluar'!$E:$E,'Barang Keluar'!$A:$A,M14970,'Barang Keluar'!$C:$C,N14970))</f>
        <v>0</v>
      </c>
    </row>
    <row r="14971" spans="13:16">
      <c r="M14971" s="49">
        <f>IF($A$4+149&gt;$B$4,"",$A$4+149)</f>
        <v>46172</v>
      </c>
      <c r="N14971">
        <f>IF(M14971="","",'Master Barang'!A65)</f>
        <v>0</v>
      </c>
      <c r="O14971">
        <f>IF(N14971="","",'Master Barang'!B65)</f>
        <v>0</v>
      </c>
      <c r="P14971">
        <f>IF(OR(M14971="",N14971=""),"",SUMIFS('Barang Keluar'!$E:$E,'Barang Keluar'!$A:$A,M14971,'Barang Keluar'!$C:$C,N14971))</f>
        <v>0</v>
      </c>
    </row>
    <row r="14972" spans="13:16">
      <c r="M14972" s="49">
        <f>IF($A$4+149&gt;$B$4,"",$A$4+149)</f>
        <v>46172</v>
      </c>
      <c r="N14972">
        <f>IF(M14972="","",'Master Barang'!A66)</f>
        <v>0</v>
      </c>
      <c r="O14972">
        <f>IF(N14972="","",'Master Barang'!B66)</f>
        <v>0</v>
      </c>
      <c r="P14972">
        <f>IF(OR(M14972="",N14972=""),"",SUMIFS('Barang Keluar'!$E:$E,'Barang Keluar'!$A:$A,M14972,'Barang Keluar'!$C:$C,N14972))</f>
        <v>0</v>
      </c>
    </row>
    <row r="14973" spans="13:16">
      <c r="M14973" s="49">
        <f>IF($A$4+149&gt;$B$4,"",$A$4+149)</f>
        <v>46172</v>
      </c>
      <c r="N14973">
        <f>IF(M14973="","",'Master Barang'!A67)</f>
        <v>0</v>
      </c>
      <c r="O14973">
        <f>IF(N14973="","",'Master Barang'!B67)</f>
        <v>0</v>
      </c>
      <c r="P14973">
        <f>IF(OR(M14973="",N14973=""),"",SUMIFS('Barang Keluar'!$E:$E,'Barang Keluar'!$A:$A,M14973,'Barang Keluar'!$C:$C,N14973))</f>
        <v>0</v>
      </c>
    </row>
    <row r="14974" spans="13:16">
      <c r="M14974" s="49">
        <f>IF($A$4+149&gt;$B$4,"",$A$4+149)</f>
        <v>46172</v>
      </c>
      <c r="N14974">
        <f>IF(M14974="","",'Master Barang'!A68)</f>
        <v>0</v>
      </c>
      <c r="O14974">
        <f>IF(N14974="","",'Master Barang'!B68)</f>
        <v>0</v>
      </c>
      <c r="P14974">
        <f>IF(OR(M14974="",N14974=""),"",SUMIFS('Barang Keluar'!$E:$E,'Barang Keluar'!$A:$A,M14974,'Barang Keluar'!$C:$C,N14974))</f>
        <v>0</v>
      </c>
    </row>
    <row r="14975" spans="13:16">
      <c r="M14975" s="49">
        <f>IF($A$4+149&gt;$B$4,"",$A$4+149)</f>
        <v>46172</v>
      </c>
      <c r="N14975">
        <f>IF(M14975="","",'Master Barang'!A69)</f>
        <v>0</v>
      </c>
      <c r="O14975">
        <f>IF(N14975="","",'Master Barang'!B69)</f>
        <v>0</v>
      </c>
      <c r="P14975">
        <f>IF(OR(M14975="",N14975=""),"",SUMIFS('Barang Keluar'!$E:$E,'Barang Keluar'!$A:$A,M14975,'Barang Keluar'!$C:$C,N14975))</f>
        <v>0</v>
      </c>
    </row>
    <row r="14976" spans="13:16">
      <c r="M14976" s="49">
        <f>IF($A$4+149&gt;$B$4,"",$A$4+149)</f>
        <v>46172</v>
      </c>
      <c r="N14976">
        <f>IF(M14976="","",'Master Barang'!A70)</f>
        <v>0</v>
      </c>
      <c r="O14976">
        <f>IF(N14976="","",'Master Barang'!B70)</f>
        <v>0</v>
      </c>
      <c r="P14976">
        <f>IF(OR(M14976="",N14976=""),"",SUMIFS('Barang Keluar'!$E:$E,'Barang Keluar'!$A:$A,M14976,'Barang Keluar'!$C:$C,N14976))</f>
        <v>0</v>
      </c>
    </row>
    <row r="14977" spans="13:16">
      <c r="M14977" s="49">
        <f>IF($A$4+149&gt;$B$4,"",$A$4+149)</f>
        <v>46172</v>
      </c>
      <c r="N14977">
        <f>IF(M14977="","",'Master Barang'!A71)</f>
        <v>0</v>
      </c>
      <c r="O14977">
        <f>IF(N14977="","",'Master Barang'!B71)</f>
        <v>0</v>
      </c>
      <c r="P14977">
        <f>IF(OR(M14977="",N14977=""),"",SUMIFS('Barang Keluar'!$E:$E,'Barang Keluar'!$A:$A,M14977,'Barang Keluar'!$C:$C,N14977))</f>
        <v>0</v>
      </c>
    </row>
    <row r="14978" spans="13:16">
      <c r="M14978" s="49">
        <f>IF($A$4+149&gt;$B$4,"",$A$4+149)</f>
        <v>46172</v>
      </c>
      <c r="N14978">
        <f>IF(M14978="","",'Master Barang'!A72)</f>
        <v>0</v>
      </c>
      <c r="O14978">
        <f>IF(N14978="","",'Master Barang'!B72)</f>
        <v>0</v>
      </c>
      <c r="P14978">
        <f>IF(OR(M14978="",N14978=""),"",SUMIFS('Barang Keluar'!$E:$E,'Barang Keluar'!$A:$A,M14978,'Barang Keluar'!$C:$C,N14978))</f>
        <v>0</v>
      </c>
    </row>
    <row r="14979" spans="13:16">
      <c r="M14979" s="49">
        <f>IF($A$4+149&gt;$B$4,"",$A$4+149)</f>
        <v>46172</v>
      </c>
      <c r="N14979">
        <f>IF(M14979="","",'Master Barang'!A73)</f>
        <v>0</v>
      </c>
      <c r="O14979">
        <f>IF(N14979="","",'Master Barang'!B73)</f>
        <v>0</v>
      </c>
      <c r="P14979">
        <f>IF(OR(M14979="",N14979=""),"",SUMIFS('Barang Keluar'!$E:$E,'Barang Keluar'!$A:$A,M14979,'Barang Keluar'!$C:$C,N14979))</f>
        <v>0</v>
      </c>
    </row>
    <row r="14980" spans="13:16">
      <c r="M14980" s="49">
        <f>IF($A$4+149&gt;$B$4,"",$A$4+149)</f>
        <v>46172</v>
      </c>
      <c r="N14980">
        <f>IF(M14980="","",'Master Barang'!A74)</f>
        <v>0</v>
      </c>
      <c r="O14980">
        <f>IF(N14980="","",'Master Barang'!B74)</f>
        <v>0</v>
      </c>
      <c r="P14980">
        <f>IF(OR(M14980="",N14980=""),"",SUMIFS('Barang Keluar'!$E:$E,'Barang Keluar'!$A:$A,M14980,'Barang Keluar'!$C:$C,N14980))</f>
        <v>0</v>
      </c>
    </row>
    <row r="14981" spans="13:16">
      <c r="M14981" s="49">
        <f>IF($A$4+149&gt;$B$4,"",$A$4+149)</f>
        <v>46172</v>
      </c>
      <c r="N14981">
        <f>IF(M14981="","",'Master Barang'!A75)</f>
        <v>0</v>
      </c>
      <c r="O14981">
        <f>IF(N14981="","",'Master Barang'!B75)</f>
        <v>0</v>
      </c>
      <c r="P14981">
        <f>IF(OR(M14981="",N14981=""),"",SUMIFS('Barang Keluar'!$E:$E,'Barang Keluar'!$A:$A,M14981,'Barang Keluar'!$C:$C,N14981))</f>
        <v>0</v>
      </c>
    </row>
    <row r="14982" spans="13:16">
      <c r="M14982" s="49">
        <f>IF($A$4+149&gt;$B$4,"",$A$4+149)</f>
        <v>46172</v>
      </c>
      <c r="N14982">
        <f>IF(M14982="","",'Master Barang'!A76)</f>
        <v>0</v>
      </c>
      <c r="O14982">
        <f>IF(N14982="","",'Master Barang'!B76)</f>
        <v>0</v>
      </c>
      <c r="P14982">
        <f>IF(OR(M14982="",N14982=""),"",SUMIFS('Barang Keluar'!$E:$E,'Barang Keluar'!$A:$A,M14982,'Barang Keluar'!$C:$C,N14982))</f>
        <v>0</v>
      </c>
    </row>
    <row r="14983" spans="13:16">
      <c r="M14983" s="49">
        <f>IF($A$4+149&gt;$B$4,"",$A$4+149)</f>
        <v>46172</v>
      </c>
      <c r="N14983">
        <f>IF(M14983="","",'Master Barang'!A77)</f>
        <v>0</v>
      </c>
      <c r="O14983">
        <f>IF(N14983="","",'Master Barang'!B77)</f>
        <v>0</v>
      </c>
      <c r="P14983">
        <f>IF(OR(M14983="",N14983=""),"",SUMIFS('Barang Keluar'!$E:$E,'Barang Keluar'!$A:$A,M14983,'Barang Keluar'!$C:$C,N14983))</f>
        <v>0</v>
      </c>
    </row>
    <row r="14984" spans="13:16">
      <c r="M14984" s="49">
        <f>IF($A$4+149&gt;$B$4,"",$A$4+149)</f>
        <v>46172</v>
      </c>
      <c r="N14984">
        <f>IF(M14984="","",'Master Barang'!A78)</f>
        <v>0</v>
      </c>
      <c r="O14984">
        <f>IF(N14984="","",'Master Barang'!B78)</f>
        <v>0</v>
      </c>
      <c r="P14984">
        <f>IF(OR(M14984="",N14984=""),"",SUMIFS('Barang Keluar'!$E:$E,'Barang Keluar'!$A:$A,M14984,'Barang Keluar'!$C:$C,N14984))</f>
        <v>0</v>
      </c>
    </row>
    <row r="14985" spans="13:16">
      <c r="M14985" s="49">
        <f>IF($A$4+149&gt;$B$4,"",$A$4+149)</f>
        <v>46172</v>
      </c>
      <c r="N14985">
        <f>IF(M14985="","",'Master Barang'!A79)</f>
        <v>0</v>
      </c>
      <c r="O14985">
        <f>IF(N14985="","",'Master Barang'!B79)</f>
        <v>0</v>
      </c>
      <c r="P14985">
        <f>IF(OR(M14985="",N14985=""),"",SUMIFS('Barang Keluar'!$E:$E,'Barang Keluar'!$A:$A,M14985,'Barang Keluar'!$C:$C,N14985))</f>
        <v>0</v>
      </c>
    </row>
    <row r="14986" spans="13:16">
      <c r="M14986" s="49">
        <f>IF($A$4+149&gt;$B$4,"",$A$4+149)</f>
        <v>46172</v>
      </c>
      <c r="N14986">
        <f>IF(M14986="","",'Master Barang'!A80)</f>
        <v>0</v>
      </c>
      <c r="O14986">
        <f>IF(N14986="","",'Master Barang'!B80)</f>
        <v>0</v>
      </c>
      <c r="P14986">
        <f>IF(OR(M14986="",N14986=""),"",SUMIFS('Barang Keluar'!$E:$E,'Barang Keluar'!$A:$A,M14986,'Barang Keluar'!$C:$C,N14986))</f>
        <v>0</v>
      </c>
    </row>
    <row r="14987" spans="13:16">
      <c r="M14987" s="49">
        <f>IF($A$4+149&gt;$B$4,"",$A$4+149)</f>
        <v>46172</v>
      </c>
      <c r="N14987">
        <f>IF(M14987="","",'Master Barang'!A81)</f>
        <v>0</v>
      </c>
      <c r="O14987">
        <f>IF(N14987="","",'Master Barang'!B81)</f>
        <v>0</v>
      </c>
      <c r="P14987">
        <f>IF(OR(M14987="",N14987=""),"",SUMIFS('Barang Keluar'!$E:$E,'Barang Keluar'!$A:$A,M14987,'Barang Keluar'!$C:$C,N14987))</f>
        <v>0</v>
      </c>
    </row>
    <row r="14988" spans="13:16">
      <c r="M14988" s="49">
        <f>IF($A$4+149&gt;$B$4,"",$A$4+149)</f>
        <v>46172</v>
      </c>
      <c r="N14988">
        <f>IF(M14988="","",'Master Barang'!A82)</f>
        <v>0</v>
      </c>
      <c r="O14988">
        <f>IF(N14988="","",'Master Barang'!B82)</f>
        <v>0</v>
      </c>
      <c r="P14988">
        <f>IF(OR(M14988="",N14988=""),"",SUMIFS('Barang Keluar'!$E:$E,'Barang Keluar'!$A:$A,M14988,'Barang Keluar'!$C:$C,N14988))</f>
        <v>0</v>
      </c>
    </row>
    <row r="14989" spans="13:16">
      <c r="M14989" s="49">
        <f>IF($A$4+149&gt;$B$4,"",$A$4+149)</f>
        <v>46172</v>
      </c>
      <c r="N14989">
        <f>IF(M14989="","",'Master Barang'!A83)</f>
        <v>0</v>
      </c>
      <c r="O14989">
        <f>IF(N14989="","",'Master Barang'!B83)</f>
        <v>0</v>
      </c>
      <c r="P14989">
        <f>IF(OR(M14989="",N14989=""),"",SUMIFS('Barang Keluar'!$E:$E,'Barang Keluar'!$A:$A,M14989,'Barang Keluar'!$C:$C,N14989))</f>
        <v>0</v>
      </c>
    </row>
    <row r="14990" spans="13:16">
      <c r="M14990" s="49">
        <f>IF($A$4+149&gt;$B$4,"",$A$4+149)</f>
        <v>46172</v>
      </c>
      <c r="N14990">
        <f>IF(M14990="","",'Master Barang'!A84)</f>
        <v>0</v>
      </c>
      <c r="O14990">
        <f>IF(N14990="","",'Master Barang'!B84)</f>
        <v>0</v>
      </c>
      <c r="P14990">
        <f>IF(OR(M14990="",N14990=""),"",SUMIFS('Barang Keluar'!$E:$E,'Barang Keluar'!$A:$A,M14990,'Barang Keluar'!$C:$C,N14990))</f>
        <v>0</v>
      </c>
    </row>
    <row r="14991" spans="13:16">
      <c r="M14991" s="49">
        <f>IF($A$4+149&gt;$B$4,"",$A$4+149)</f>
        <v>46172</v>
      </c>
      <c r="N14991">
        <f>IF(M14991="","",'Master Barang'!A85)</f>
        <v>0</v>
      </c>
      <c r="O14991">
        <f>IF(N14991="","",'Master Barang'!B85)</f>
        <v>0</v>
      </c>
      <c r="P14991">
        <f>IF(OR(M14991="",N14991=""),"",SUMIFS('Barang Keluar'!$E:$E,'Barang Keluar'!$A:$A,M14991,'Barang Keluar'!$C:$C,N14991))</f>
        <v>0</v>
      </c>
    </row>
    <row r="14992" spans="13:16">
      <c r="M14992" s="49">
        <f>IF($A$4+149&gt;$B$4,"",$A$4+149)</f>
        <v>46172</v>
      </c>
      <c r="N14992">
        <f>IF(M14992="","",'Master Barang'!A86)</f>
        <v>0</v>
      </c>
      <c r="O14992">
        <f>IF(N14992="","",'Master Barang'!B86)</f>
        <v>0</v>
      </c>
      <c r="P14992">
        <f>IF(OR(M14992="",N14992=""),"",SUMIFS('Barang Keluar'!$E:$E,'Barang Keluar'!$A:$A,M14992,'Barang Keluar'!$C:$C,N14992))</f>
        <v>0</v>
      </c>
    </row>
    <row r="14993" spans="13:16">
      <c r="M14993" s="49">
        <f>IF($A$4+149&gt;$B$4,"",$A$4+149)</f>
        <v>46172</v>
      </c>
      <c r="N14993">
        <f>IF(M14993="","",'Master Barang'!A87)</f>
        <v>0</v>
      </c>
      <c r="O14993">
        <f>IF(N14993="","",'Master Barang'!B87)</f>
        <v>0</v>
      </c>
      <c r="P14993">
        <f>IF(OR(M14993="",N14993=""),"",SUMIFS('Barang Keluar'!$E:$E,'Barang Keluar'!$A:$A,M14993,'Barang Keluar'!$C:$C,N14993))</f>
        <v>0</v>
      </c>
    </row>
    <row r="14994" spans="13:16">
      <c r="M14994" s="49">
        <f>IF($A$4+149&gt;$B$4,"",$A$4+149)</f>
        <v>46172</v>
      </c>
      <c r="N14994">
        <f>IF(M14994="","",'Master Barang'!A88)</f>
        <v>0</v>
      </c>
      <c r="O14994">
        <f>IF(N14994="","",'Master Barang'!B88)</f>
        <v>0</v>
      </c>
      <c r="P14994">
        <f>IF(OR(M14994="",N14994=""),"",SUMIFS('Barang Keluar'!$E:$E,'Barang Keluar'!$A:$A,M14994,'Barang Keluar'!$C:$C,N14994))</f>
        <v>0</v>
      </c>
    </row>
    <row r="14995" spans="13:16">
      <c r="M14995" s="49">
        <f>IF($A$4+149&gt;$B$4,"",$A$4+149)</f>
        <v>46172</v>
      </c>
      <c r="N14995">
        <f>IF(M14995="","",'Master Barang'!A89)</f>
        <v>0</v>
      </c>
      <c r="O14995">
        <f>IF(N14995="","",'Master Barang'!B89)</f>
        <v>0</v>
      </c>
      <c r="P14995">
        <f>IF(OR(M14995="",N14995=""),"",SUMIFS('Barang Keluar'!$E:$E,'Barang Keluar'!$A:$A,M14995,'Barang Keluar'!$C:$C,N14995))</f>
        <v>0</v>
      </c>
    </row>
    <row r="14996" spans="13:16">
      <c r="M14996" s="49">
        <f>IF($A$4+149&gt;$B$4,"",$A$4+149)</f>
        <v>46172</v>
      </c>
      <c r="N14996">
        <f>IF(M14996="","",'Master Barang'!A90)</f>
        <v>0</v>
      </c>
      <c r="O14996">
        <f>IF(N14996="","",'Master Barang'!B90)</f>
        <v>0</v>
      </c>
      <c r="P14996">
        <f>IF(OR(M14996="",N14996=""),"",SUMIFS('Barang Keluar'!$E:$E,'Barang Keluar'!$A:$A,M14996,'Barang Keluar'!$C:$C,N14996))</f>
        <v>0</v>
      </c>
    </row>
    <row r="14997" spans="13:16">
      <c r="M14997" s="49">
        <f>IF($A$4+149&gt;$B$4,"",$A$4+149)</f>
        <v>46172</v>
      </c>
      <c r="N14997">
        <f>IF(M14997="","",'Master Barang'!A91)</f>
        <v>0</v>
      </c>
      <c r="O14997">
        <f>IF(N14997="","",'Master Barang'!B91)</f>
        <v>0</v>
      </c>
      <c r="P14997">
        <f>IF(OR(M14997="",N14997=""),"",SUMIFS('Barang Keluar'!$E:$E,'Barang Keluar'!$A:$A,M14997,'Barang Keluar'!$C:$C,N14997))</f>
        <v>0</v>
      </c>
    </row>
    <row r="14998" spans="13:16">
      <c r="M14998" s="49">
        <f>IF($A$4+149&gt;$B$4,"",$A$4+149)</f>
        <v>46172</v>
      </c>
      <c r="N14998">
        <f>IF(M14998="","",'Master Barang'!A92)</f>
        <v>0</v>
      </c>
      <c r="O14998">
        <f>IF(N14998="","",'Master Barang'!B92)</f>
        <v>0</v>
      </c>
      <c r="P14998">
        <f>IF(OR(M14998="",N14998=""),"",SUMIFS('Barang Keluar'!$E:$E,'Barang Keluar'!$A:$A,M14998,'Barang Keluar'!$C:$C,N14998))</f>
        <v>0</v>
      </c>
    </row>
    <row r="14999" spans="13:16">
      <c r="M14999" s="49">
        <f>IF($A$4+149&gt;$B$4,"",$A$4+149)</f>
        <v>46172</v>
      </c>
      <c r="N14999">
        <f>IF(M14999="","",'Master Barang'!A93)</f>
        <v>0</v>
      </c>
      <c r="O14999">
        <f>IF(N14999="","",'Master Barang'!B93)</f>
        <v>0</v>
      </c>
      <c r="P14999">
        <f>IF(OR(M14999="",N14999=""),"",SUMIFS('Barang Keluar'!$E:$E,'Barang Keluar'!$A:$A,M14999,'Barang Keluar'!$C:$C,N14999))</f>
        <v>0</v>
      </c>
    </row>
    <row r="15000" spans="13:16">
      <c r="M15000" s="49">
        <f>IF($A$4+149&gt;$B$4,"",$A$4+149)</f>
        <v>46172</v>
      </c>
      <c r="N15000">
        <f>IF(M15000="","",'Master Barang'!A94)</f>
        <v>0</v>
      </c>
      <c r="O15000">
        <f>IF(N15000="","",'Master Barang'!B94)</f>
        <v>0</v>
      </c>
      <c r="P15000">
        <f>IF(OR(M15000="",N15000=""),"",SUMIFS('Barang Keluar'!$E:$E,'Barang Keluar'!$A:$A,M15000,'Barang Keluar'!$C:$C,N15000))</f>
        <v>0</v>
      </c>
    </row>
    <row r="15001" spans="13:16">
      <c r="M15001" s="49">
        <f>IF($A$4+149&gt;$B$4,"",$A$4+149)</f>
        <v>46172</v>
      </c>
      <c r="N15001">
        <f>IF(M15001="","",'Master Barang'!A95)</f>
        <v>0</v>
      </c>
      <c r="O15001">
        <f>IF(N15001="","",'Master Barang'!B95)</f>
        <v>0</v>
      </c>
      <c r="P15001">
        <f>IF(OR(M15001="",N15001=""),"",SUMIFS('Barang Keluar'!$E:$E,'Barang Keluar'!$A:$A,M15001,'Barang Keluar'!$C:$C,N15001))</f>
        <v>0</v>
      </c>
    </row>
    <row r="15002" spans="13:16">
      <c r="M15002" s="49">
        <f>IF($A$4+149&gt;$B$4,"",$A$4+149)</f>
        <v>46172</v>
      </c>
      <c r="N15002">
        <f>IF(M15002="","",'Master Barang'!A96)</f>
        <v>0</v>
      </c>
      <c r="O15002">
        <f>IF(N15002="","",'Master Barang'!B96)</f>
        <v>0</v>
      </c>
      <c r="P15002">
        <f>IF(OR(M15002="",N15002=""),"",SUMIFS('Barang Keluar'!$E:$E,'Barang Keluar'!$A:$A,M15002,'Barang Keluar'!$C:$C,N15002))</f>
        <v>0</v>
      </c>
    </row>
    <row r="15003" spans="13:16">
      <c r="M15003" s="49">
        <f>IF($A$4+149&gt;$B$4,"",$A$4+149)</f>
        <v>46172</v>
      </c>
      <c r="N15003">
        <f>IF(M15003="","",'Master Barang'!A97)</f>
        <v>0</v>
      </c>
      <c r="O15003">
        <f>IF(N15003="","",'Master Barang'!B97)</f>
        <v>0</v>
      </c>
      <c r="P15003">
        <f>IF(OR(M15003="",N15003=""),"",SUMIFS('Barang Keluar'!$E:$E,'Barang Keluar'!$A:$A,M15003,'Barang Keluar'!$C:$C,N15003))</f>
        <v>0</v>
      </c>
    </row>
    <row r="15004" spans="13:16">
      <c r="M15004" s="49">
        <f>IF($A$4+149&gt;$B$4,"",$A$4+149)</f>
        <v>46172</v>
      </c>
      <c r="N15004">
        <f>IF(M15004="","",'Master Barang'!A98)</f>
        <v>0</v>
      </c>
      <c r="O15004">
        <f>IF(N15004="","",'Master Barang'!B98)</f>
        <v>0</v>
      </c>
      <c r="P15004">
        <f>IF(OR(M15004="",N15004=""),"",SUMIFS('Barang Keluar'!$E:$E,'Barang Keluar'!$A:$A,M15004,'Barang Keluar'!$C:$C,N15004))</f>
        <v>0</v>
      </c>
    </row>
    <row r="15005" spans="13:16">
      <c r="M15005" s="49">
        <f>IF($A$4+149&gt;$B$4,"",$A$4+149)</f>
        <v>46172</v>
      </c>
      <c r="N15005">
        <f>IF(M15005="","",'Master Barang'!A99)</f>
        <v>0</v>
      </c>
      <c r="O15005">
        <f>IF(N15005="","",'Master Barang'!B99)</f>
        <v>0</v>
      </c>
      <c r="P15005">
        <f>IF(OR(M15005="",N15005=""),"",SUMIFS('Barang Keluar'!$E:$E,'Barang Keluar'!$A:$A,M15005,'Barang Keluar'!$C:$C,N15005))</f>
        <v>0</v>
      </c>
    </row>
    <row r="15006" spans="13:16">
      <c r="M15006" s="49">
        <f>IF($A$4+149&gt;$B$4,"",$A$4+149)</f>
        <v>46172</v>
      </c>
      <c r="N15006">
        <f>IF(M15006="","",'Master Barang'!A100)</f>
        <v>0</v>
      </c>
      <c r="O15006">
        <f>IF(N15006="","",'Master Barang'!B100)</f>
        <v>0</v>
      </c>
      <c r="P15006">
        <f>IF(OR(M15006="",N15006=""),"",SUMIFS('Barang Keluar'!$E:$E,'Barang Keluar'!$A:$A,M15006,'Barang Keluar'!$C:$C,N15006))</f>
        <v>0</v>
      </c>
    </row>
    <row r="15007" spans="13:16">
      <c r="M15007" s="49">
        <f>IF($A$4+149&gt;$B$4,"",$A$4+149)</f>
        <v>46172</v>
      </c>
      <c r="N15007">
        <f>IF(M15007="","",'Master Barang'!A101)</f>
        <v>0</v>
      </c>
      <c r="O15007">
        <f>IF(N15007="","",'Master Barang'!B101)</f>
        <v>0</v>
      </c>
      <c r="P15007">
        <f>IF(OR(M15007="",N15007=""),"",SUMIFS('Barang Keluar'!$E:$E,'Barang Keluar'!$A:$A,M15007,'Barang Keluar'!$C:$C,N15007))</f>
        <v>0</v>
      </c>
    </row>
    <row r="15008" spans="13:16">
      <c r="M15008" s="49">
        <f>IF($A$4+150&gt;$B$4,"",$A$4+150)</f>
        <v>46173</v>
      </c>
      <c r="N15008" t="str">
        <f>IF(M15008="","",'Master Barang'!A2)</f>
        <v>PRL-001</v>
      </c>
      <c r="O15008" t="str">
        <f>IF(N15008="","",'Master Barang'!B2)</f>
        <v>natura desinfectant food grade 5l</v>
      </c>
      <c r="P15008">
        <f>IF(OR(M15008="",N15008=""),"",SUMIFS('Barang Keluar'!$E:$E,'Barang Keluar'!$A:$A,M15008,'Barang Keluar'!$C:$C,N15008))</f>
        <v>0</v>
      </c>
    </row>
    <row r="15009" spans="13:16">
      <c r="M15009" s="49">
        <f>IF($A$4+150&gt;$B$4,"",$A$4+150)</f>
        <v>46173</v>
      </c>
      <c r="N15009" t="str">
        <f>IF(M15009="","",'Master Barang'!A3)</f>
        <v>PRL-002</v>
      </c>
      <c r="O15009" t="str">
        <f>IF(N15009="","",'Master Barang'!B3)</f>
        <v>sunlight cairan pencuci piring 5l</v>
      </c>
      <c r="P15009">
        <f>IF(OR(M15009="",N15009=""),"",SUMIFS('Barang Keluar'!$E:$E,'Barang Keluar'!$A:$A,M15009,'Barang Keluar'!$C:$C,N15009))</f>
        <v>0</v>
      </c>
    </row>
    <row r="15010" spans="13:16">
      <c r="M15010" s="49">
        <f>IF($A$4+150&gt;$B$4,"",$A$4+150)</f>
        <v>46173</v>
      </c>
      <c r="N15010" t="str">
        <f>IF(M15010="","",'Master Barang'!A4)</f>
        <v>PRL-003</v>
      </c>
      <c r="O15010" t="str">
        <f>IF(N15010="","",'Master Barang'!B4)</f>
        <v>oixs cleaner 1l</v>
      </c>
      <c r="P15010">
        <f>IF(OR(M15010="",N15010=""),"",SUMIFS('Barang Keluar'!$E:$E,'Barang Keluar'!$A:$A,M15010,'Barang Keluar'!$C:$C,N15010))</f>
        <v>0</v>
      </c>
    </row>
    <row r="15011" spans="13:16">
      <c r="M15011" s="49">
        <f>IF($A$4+150&gt;$B$4,"",$A$4+150)</f>
        <v>46173</v>
      </c>
      <c r="N15011" t="str">
        <f>IF(M15011="","",'Master Barang'!A5)</f>
        <v>PRL-004</v>
      </c>
      <c r="O15011" t="str">
        <f>IF(N15011="","",'Master Barang'!B5)</f>
        <v>be clean tissue serbaguna</v>
      </c>
      <c r="P15011">
        <f>IF(OR(M15011="",N15011=""),"",SUMIFS('Barang Keluar'!$E:$E,'Barang Keluar'!$A:$A,M15011,'Barang Keluar'!$C:$C,N15011))</f>
        <v>0</v>
      </c>
    </row>
    <row r="15012" spans="13:16">
      <c r="M15012" s="49">
        <f>IF($A$4+150&gt;$B$4,"",$A$4+150)</f>
        <v>46173</v>
      </c>
      <c r="N15012" t="str">
        <f>IF(M15012="","",'Master Barang'!A6)</f>
        <v>PRL-005</v>
      </c>
      <c r="O15012" t="str">
        <f>IF(N15012="","",'Master Barang'!B6)</f>
        <v>spons cuci hijau</v>
      </c>
      <c r="P15012">
        <f>IF(OR(M15012="",N15012=""),"",SUMIFS('Barang Keluar'!$E:$E,'Barang Keluar'!$A:$A,M15012,'Barang Keluar'!$C:$C,N15012))</f>
        <v>0</v>
      </c>
    </row>
    <row r="15013" spans="13:16">
      <c r="M15013" s="49">
        <f>IF($A$4+150&gt;$B$4,"",$A$4+150)</f>
        <v>46173</v>
      </c>
      <c r="N15013" t="str">
        <f>IF(M15013="","",'Master Barang'!A7)</f>
        <v>PRL-006</v>
      </c>
      <c r="O15013" t="str">
        <f>IF(N15013="","",'Master Barang'!B7)</f>
        <v>sabut cuci stainless</v>
      </c>
      <c r="P15013">
        <f>IF(OR(M15013="",N15013=""),"",SUMIFS('Barang Keluar'!$E:$E,'Barang Keluar'!$A:$A,M15013,'Barang Keluar'!$C:$C,N15013))</f>
        <v>0</v>
      </c>
    </row>
    <row r="15014" spans="13:16">
      <c r="M15014" s="49">
        <f>IF($A$4+150&gt;$B$4,"",$A$4+150)</f>
        <v>46173</v>
      </c>
      <c r="N15014" t="str">
        <f>IF(M15014="","",'Master Barang'!A8)</f>
        <v>PRL-007</v>
      </c>
      <c r="O15014" t="str">
        <f>IF(N15014="","",'Master Barang'!B8)</f>
        <v>plastik kresek besar merah 50pc</v>
      </c>
      <c r="P15014">
        <f>IF(OR(M15014="",N15014=""),"",SUMIFS('Barang Keluar'!$E:$E,'Barang Keluar'!$A:$A,M15014,'Barang Keluar'!$C:$C,N15014))</f>
        <v>0</v>
      </c>
    </row>
    <row r="15015" spans="13:16">
      <c r="M15015" s="49">
        <f>IF($A$4+150&gt;$B$4,"",$A$4+150)</f>
        <v>46173</v>
      </c>
      <c r="N15015" t="str">
        <f>IF(M15015="","",'Master Barang'!A9)</f>
        <v>PRL-008</v>
      </c>
      <c r="O15015" t="str">
        <f>IF(N15015="","",'Master Barang'!B9)</f>
        <v>lap besar</v>
      </c>
      <c r="P15015">
        <f>IF(OR(M15015="",N15015=""),"",SUMIFS('Barang Keluar'!$E:$E,'Barang Keluar'!$A:$A,M15015,'Barang Keluar'!$C:$C,N15015))</f>
        <v>0</v>
      </c>
    </row>
    <row r="15016" spans="13:16">
      <c r="M15016" s="49">
        <f>IF($A$4+150&gt;$B$4,"",$A$4+150)</f>
        <v>46173</v>
      </c>
      <c r="N15016" t="str">
        <f>IF(M15016="","",'Master Barang'!A10)</f>
        <v>PRL-009</v>
      </c>
      <c r="O15016" t="str">
        <f>IF(N15016="","",'Master Barang'!B10)</f>
        <v>lap microfiber</v>
      </c>
      <c r="P15016">
        <f>IF(OR(M15016="",N15016=""),"",SUMIFS('Barang Keluar'!$E:$E,'Barang Keluar'!$A:$A,M15016,'Barang Keluar'!$C:$C,N15016))</f>
        <v>0</v>
      </c>
    </row>
    <row r="15017" spans="13:16">
      <c r="M15017" s="49">
        <f>IF($A$4+150&gt;$B$4,"",$A$4+150)</f>
        <v>46173</v>
      </c>
      <c r="N15017" t="str">
        <f>IF(M15017="","",'Master Barang'!A11)</f>
        <v>PRL-010</v>
      </c>
      <c r="O15017" t="str">
        <f>IF(N15017="","",'Master Barang'!B11)</f>
        <v>lap kecil</v>
      </c>
      <c r="P15017">
        <f>IF(OR(M15017="",N15017=""),"",SUMIFS('Barang Keluar'!$E:$E,'Barang Keluar'!$A:$A,M15017,'Barang Keluar'!$C:$C,N15017))</f>
        <v>0</v>
      </c>
    </row>
    <row r="15018" spans="13:16">
      <c r="M15018" s="49">
        <f>IF($A$4+150&gt;$B$4,"",$A$4+150)</f>
        <v>46173</v>
      </c>
      <c r="N15018" t="str">
        <f>IF(M15018="","",'Master Barang'!A12)</f>
        <v>PRL-011</v>
      </c>
      <c r="O15018" t="str">
        <f>IF(N15018="","",'Master Barang'!B12)</f>
        <v>kanebo kecil</v>
      </c>
      <c r="P15018">
        <f>IF(OR(M15018="",N15018=""),"",SUMIFS('Barang Keluar'!$E:$E,'Barang Keluar'!$A:$A,M15018,'Barang Keluar'!$C:$C,N15018))</f>
        <v>0</v>
      </c>
    </row>
    <row r="15019" spans="13:16">
      <c r="M15019" s="49">
        <f>IF($A$4+150&gt;$B$4,"",$A$4+150)</f>
        <v>46173</v>
      </c>
      <c r="N15019" t="str">
        <f>IF(M15019="","",'Master Barang'!A13)</f>
        <v>PRL-012</v>
      </c>
      <c r="O15019" t="str">
        <f>IF(N15019="","",'Master Barang'!B13)</f>
        <v>plastik 1/4kg joyoboyo 100 lembar</v>
      </c>
      <c r="P15019">
        <f>IF(OR(M15019="",N15019=""),"",SUMIFS('Barang Keluar'!$E:$E,'Barang Keluar'!$A:$A,M15019,'Barang Keluar'!$C:$C,N15019))</f>
        <v>0</v>
      </c>
    </row>
    <row r="15020" spans="13:16">
      <c r="M15020" s="49">
        <f>IF($A$4+150&gt;$B$4,"",$A$4+150)</f>
        <v>46173</v>
      </c>
      <c r="N15020" t="str">
        <f>IF(M15020="","",'Master Barang'!A14)</f>
        <v>PRL-013</v>
      </c>
      <c r="O15020" t="str">
        <f>IF(N15020="","",'Master Barang'!B14)</f>
        <v>sarung tangan plastik kaka 100 pcs</v>
      </c>
      <c r="P15020">
        <f>IF(OR(M15020="",N15020=""),"",SUMIFS('Barang Keluar'!$E:$E,'Barang Keluar'!$A:$A,M15020,'Barang Keluar'!$C:$C,N15020))</f>
        <v>0</v>
      </c>
    </row>
    <row r="15021" spans="13:16">
      <c r="M15021" s="49">
        <f>IF($A$4+150&gt;$B$4,"",$A$4+150)</f>
        <v>46173</v>
      </c>
      <c r="N15021" t="str">
        <f>IF(M15021="","",'Master Barang'!A15)</f>
        <v>PRL-014</v>
      </c>
      <c r="O15021" t="str">
        <f>IF(N15021="","",'Master Barang'!B15)</f>
        <v>optima trashbag 80x100</v>
      </c>
      <c r="P15021">
        <f>IF(OR(M15021="",N15021=""),"",SUMIFS('Barang Keluar'!$E:$E,'Barang Keluar'!$A:$A,M15021,'Barang Keluar'!$C:$C,N15021))</f>
        <v>0</v>
      </c>
    </row>
    <row r="15022" spans="13:16">
      <c r="M15022" s="49">
        <f>IF($A$4+150&gt;$B$4,"",$A$4+150)</f>
        <v>46173</v>
      </c>
      <c r="N15022" t="str">
        <f>IF(M15022="","",'Master Barang'!A16)</f>
        <v>PRL-015</v>
      </c>
      <c r="O15022" t="str">
        <f>IF(N15022="","",'Master Barang'!B16)</f>
        <v>optima trashbag 60x100</v>
      </c>
      <c r="P15022">
        <f>IF(OR(M15022="",N15022=""),"",SUMIFS('Barang Keluar'!$E:$E,'Barang Keluar'!$A:$A,M15022,'Barang Keluar'!$C:$C,N15022))</f>
        <v>0</v>
      </c>
    </row>
    <row r="15023" spans="13:16">
      <c r="M15023" s="49">
        <f>IF($A$4+150&gt;$B$4,"",$A$4+150)</f>
        <v>46173</v>
      </c>
      <c r="N15023" t="str">
        <f>IF(M15023="","",'Master Barang'!A17)</f>
        <v>PRL-016</v>
      </c>
      <c r="O15023" t="str">
        <f>IF(N15023="","",'Master Barang'!B17)</f>
        <v>rajawali trashbag 30x40</v>
      </c>
      <c r="P15023">
        <f>IF(OR(M15023="",N15023=""),"",SUMIFS('Barang Keluar'!$E:$E,'Barang Keluar'!$A:$A,M15023,'Barang Keluar'!$C:$C,N15023))</f>
        <v>0</v>
      </c>
    </row>
    <row r="15024" spans="13:16">
      <c r="M15024" s="49">
        <f>IF($A$4+150&gt;$B$4,"",$A$4+150)</f>
        <v>46173</v>
      </c>
      <c r="N15024" t="str">
        <f>IF(M15024="","",'Master Barang'!A18)</f>
        <v>PRL-017</v>
      </c>
      <c r="O15024" t="str">
        <f>IF(N15024="","",'Master Barang'!B18)</f>
        <v>onemed masker biru 3 play 50 pcs</v>
      </c>
      <c r="P15024">
        <f>IF(OR(M15024="",N15024=""),"",SUMIFS('Barang Keluar'!$E:$E,'Barang Keluar'!$A:$A,M15024,'Barang Keluar'!$C:$C,N15024))</f>
        <v>0</v>
      </c>
    </row>
    <row r="15025" spans="13:16">
      <c r="M15025" s="49">
        <f>IF($A$4+150&gt;$B$4,"",$A$4+150)</f>
        <v>46173</v>
      </c>
      <c r="N15025" t="str">
        <f>IF(M15025="","",'Master Barang'!A19)</f>
        <v>PRL-018</v>
      </c>
      <c r="O15025" t="str">
        <f>IF(N15025="","",'Master Barang'!B19)</f>
        <v>onemed masker biru 3 play hijab 50 pcs</v>
      </c>
      <c r="P15025">
        <f>IF(OR(M15025="",N15025=""),"",SUMIFS('Barang Keluar'!$E:$E,'Barang Keluar'!$A:$A,M15025,'Barang Keluar'!$C:$C,N15025))</f>
        <v>0</v>
      </c>
    </row>
    <row r="15026" spans="13:16">
      <c r="M15026" s="49">
        <f>IF($A$4+150&gt;$B$4,"",$A$4+150)</f>
        <v>46173</v>
      </c>
      <c r="N15026" t="str">
        <f>IF(M15026="","",'Master Barang'!A20)</f>
        <v>PRL-019</v>
      </c>
      <c r="O15026" t="str">
        <f>IF(N15026="","",'Master Barang'!B20)</f>
        <v>neo health masker biru 3 play 50 pcs</v>
      </c>
      <c r="P15026">
        <f>IF(OR(M15026="",N15026=""),"",SUMIFS('Barang Keluar'!$E:$E,'Barang Keluar'!$A:$A,M15026,'Barang Keluar'!$C:$C,N15026))</f>
        <v>0</v>
      </c>
    </row>
    <row r="15027" spans="13:16">
      <c r="M15027" s="49">
        <f>IF($A$4+150&gt;$B$4,"",$A$4+150)</f>
        <v>46173</v>
      </c>
      <c r="N15027" t="str">
        <f>IF(M15027="","",'Master Barang'!A21)</f>
        <v>PRL-020</v>
      </c>
      <c r="O15027" t="str">
        <f>IF(N15027="","",'Master Barang'!B21)</f>
        <v>baymed masker hijau 3 play hijau 50 pcs</v>
      </c>
      <c r="P15027">
        <f>IF(OR(M15027="",N15027=""),"",SUMIFS('Barang Keluar'!$E:$E,'Barang Keluar'!$A:$A,M15027,'Barang Keluar'!$C:$C,N15027))</f>
        <v>0</v>
      </c>
    </row>
    <row r="15028" spans="13:16">
      <c r="M15028" s="49">
        <f>IF($A$4+150&gt;$B$4,"",$A$4+150)</f>
        <v>46173</v>
      </c>
      <c r="N15028" t="str">
        <f>IF(M15028="","",'Master Barang'!A22)</f>
        <v>PRL-021</v>
      </c>
      <c r="O15028" t="str">
        <f>IF(N15028="","",'Master Barang'!B22)</f>
        <v>altamed nurse cap penutup kepala 100 pcs</v>
      </c>
      <c r="P15028">
        <f>IF(OR(M15028="",N15028=""),"",SUMIFS('Barang Keluar'!$E:$E,'Barang Keluar'!$A:$A,M15028,'Barang Keluar'!$C:$C,N15028))</f>
        <v>0</v>
      </c>
    </row>
    <row r="15029" spans="13:16">
      <c r="M15029" s="49">
        <f>IF($A$4+150&gt;$B$4,"",$A$4+150)</f>
        <v>46173</v>
      </c>
      <c r="N15029" t="str">
        <f>IF(M15029="","",'Master Barang'!A23)</f>
        <v>PRL-022</v>
      </c>
      <c r="O15029" t="str">
        <f>IF(N15029="","",'Master Barang'!B23)</f>
        <v>sabun cuci tangan</v>
      </c>
      <c r="P15029">
        <f>IF(OR(M15029="",N15029=""),"",SUMIFS('Barang Keluar'!$E:$E,'Barang Keluar'!$A:$A,M15029,'Barang Keluar'!$C:$C,N15029))</f>
        <v>0</v>
      </c>
    </row>
    <row r="15030" spans="13:16">
      <c r="M15030" s="49">
        <f>IF($A$4+150&gt;$B$4,"",$A$4+150)</f>
        <v>46173</v>
      </c>
      <c r="N15030" t="str">
        <f>IF(M15030="","",'Master Barang'!A24)</f>
        <v>PRL-023</v>
      </c>
      <c r="O15030" t="str">
        <f>IF(N15030="","",'Master Barang'!B24)</f>
        <v>gayung kecil</v>
      </c>
      <c r="P15030">
        <f>IF(OR(M15030="",N15030=""),"",SUMIFS('Barang Keluar'!$E:$E,'Barang Keluar'!$A:$A,M15030,'Barang Keluar'!$C:$C,N15030))</f>
        <v>0</v>
      </c>
    </row>
    <row r="15031" spans="13:16">
      <c r="M15031" s="49">
        <f>IF($A$4+150&gt;$B$4,"",$A$4+150)</f>
        <v>46173</v>
      </c>
      <c r="N15031" t="str">
        <f>IF(M15031="","",'Master Barang'!A25)</f>
        <v>PRL-024</v>
      </c>
      <c r="O15031" t="str">
        <f>IF(N15031="","",'Master Barang'!B25)</f>
        <v>cikrak kecil</v>
      </c>
      <c r="P15031">
        <f>IF(OR(M15031="",N15031=""),"",SUMIFS('Barang Keluar'!$E:$E,'Barang Keluar'!$A:$A,M15031,'Barang Keluar'!$C:$C,N15031))</f>
        <v>0</v>
      </c>
    </row>
    <row r="15032" spans="13:16">
      <c r="M15032" s="49">
        <f>IF($A$4+150&gt;$B$4,"",$A$4+150)</f>
        <v>46173</v>
      </c>
      <c r="N15032" t="str">
        <f>IF(M15032="","",'Master Barang'!A26)</f>
        <v>PRL-025</v>
      </c>
      <c r="O15032" t="str">
        <f>IF(N15032="","",'Master Barang'!B26)</f>
        <v>petromax plastik kecil 12x24 100 lembar</v>
      </c>
      <c r="P15032">
        <f>IF(OR(M15032="",N15032=""),"",SUMIFS('Barang Keluar'!$E:$E,'Barang Keluar'!$A:$A,M15032,'Barang Keluar'!$C:$C,N15032))</f>
        <v>0</v>
      </c>
    </row>
    <row r="15033" spans="13:16">
      <c r="M15033" s="49">
        <f>IF($A$4+150&gt;$B$4,"",$A$4+150)</f>
        <v>46173</v>
      </c>
      <c r="N15033" t="str">
        <f>IF(M15033="","",'Master Barang'!A27)</f>
        <v>PRL-026</v>
      </c>
      <c r="O15033" t="str">
        <f>IF(N15033="","",'Master Barang'!B27)</f>
        <v>lancar kresek kecil bening </v>
      </c>
      <c r="P15033">
        <f>IF(OR(M15033="",N15033=""),"",SUMIFS('Barang Keluar'!$E:$E,'Barang Keluar'!$A:$A,M15033,'Barang Keluar'!$C:$C,N15033))</f>
        <v>0</v>
      </c>
    </row>
    <row r="15034" spans="13:16">
      <c r="M15034" s="49">
        <f>IF($A$4+150&gt;$B$4,"",$A$4+150)</f>
        <v>46173</v>
      </c>
      <c r="N15034" t="str">
        <f>IF(M15034="","",'Master Barang'!A28)</f>
        <v>PRL-027</v>
      </c>
      <c r="O15034" t="str">
        <f>IF(N15034="","",'Master Barang'!B28)</f>
        <v>kresek klin warna warni kecil</v>
      </c>
      <c r="P15034">
        <f>IF(OR(M15034="",N15034=""),"",SUMIFS('Barang Keluar'!$E:$E,'Barang Keluar'!$A:$A,M15034,'Barang Keluar'!$C:$C,N15034))</f>
        <v>0</v>
      </c>
    </row>
    <row r="15035" spans="13:16">
      <c r="M15035" s="49">
        <f>IF($A$4+150&gt;$B$4,"",$A$4+150)</f>
        <v>46173</v>
      </c>
      <c r="N15035" t="str">
        <f>IF(M15035="","",'Master Barang'!A29)</f>
        <v>PRL-028</v>
      </c>
      <c r="O15035" t="str">
        <f>IF(N15035="","",'Master Barang'!B29)</f>
        <v>ctik plastik 7x10 100 pcs</v>
      </c>
      <c r="P15035">
        <f>IF(OR(M15035="",N15035=""),"",SUMIFS('Barang Keluar'!$E:$E,'Barang Keluar'!$A:$A,M15035,'Barang Keluar'!$C:$C,N15035))</f>
        <v>0</v>
      </c>
    </row>
    <row r="15036" spans="13:16">
      <c r="M15036" s="49">
        <f>IF($A$4+150&gt;$B$4,"",$A$4+150)</f>
        <v>46173</v>
      </c>
      <c r="N15036" t="str">
        <f>IF(M15036="","",'Master Barang'!A30)</f>
        <v>PRL-029</v>
      </c>
      <c r="O15036" t="str">
        <f>IF(N15036="","",'Master Barang'!B30)</f>
        <v>ctik plastik 6x10 100 pcs</v>
      </c>
      <c r="P15036">
        <f>IF(OR(M15036="",N15036=""),"",SUMIFS('Barang Keluar'!$E:$E,'Barang Keluar'!$A:$A,M15036,'Barang Keluar'!$C:$C,N15036))</f>
        <v>0</v>
      </c>
    </row>
    <row r="15037" spans="13:16">
      <c r="M15037" s="49">
        <f>IF($A$4+150&gt;$B$4,"",$A$4+150)</f>
        <v>46173</v>
      </c>
      <c r="N15037" t="str">
        <f>IF(M15037="","",'Master Barang'!A31)</f>
        <v>PRL-030</v>
      </c>
      <c r="O15037" t="str">
        <f>IF(N15037="","",'Master Barang'!B31)</f>
        <v>klip plastik 25x16 100 pcs</v>
      </c>
      <c r="P15037">
        <f>IF(OR(M15037="",N15037=""),"",SUMIFS('Barang Keluar'!$E:$E,'Barang Keluar'!$A:$A,M15037,'Barang Keluar'!$C:$C,N15037))</f>
        <v>0</v>
      </c>
    </row>
    <row r="15038" spans="13:16">
      <c r="M15038" s="49">
        <f>IF($A$4+150&gt;$B$4,"",$A$4+150)</f>
        <v>46173</v>
      </c>
      <c r="N15038" t="str">
        <f>IF(M15038="","",'Master Barang'!A32)</f>
        <v>PRL-031</v>
      </c>
      <c r="O15038" t="str">
        <f>IF(N15038="","",'Master Barang'!B32)</f>
        <v>tempat saus 20 ml</v>
      </c>
      <c r="P15038">
        <f>IF(OR(M15038="",N15038=""),"",SUMIFS('Barang Keluar'!$E:$E,'Barang Keluar'!$A:$A,M15038,'Barang Keluar'!$C:$C,N15038))</f>
        <v>0</v>
      </c>
    </row>
    <row r="15039" spans="13:16">
      <c r="M15039" s="49">
        <f>IF($A$4+150&gt;$B$4,"",$A$4+150)</f>
        <v>46173</v>
      </c>
      <c r="N15039" t="str">
        <f>IF(M15039="","",'Master Barang'!A33)</f>
        <v>PRL-032</v>
      </c>
      <c r="O15039" t="str">
        <f>IF(N15039="","",'Master Barang'!B33)</f>
        <v>plastik packaging ag box uk sedang</v>
      </c>
      <c r="P15039">
        <f>IF(OR(M15039="",N15039=""),"",SUMIFS('Barang Keluar'!$E:$E,'Barang Keluar'!$A:$A,M15039,'Barang Keluar'!$C:$C,N15039))</f>
        <v>0</v>
      </c>
    </row>
    <row r="15040" spans="13:16">
      <c r="M15040" s="49">
        <f>IF($A$4+150&gt;$B$4,"",$A$4+150)</f>
        <v>46173</v>
      </c>
      <c r="N15040" t="str">
        <f>IF(M15040="","",'Master Barang'!A34)</f>
        <v>PRL-033</v>
      </c>
      <c r="O15040">
        <f>IF(N15040="","",'Master Barang'!B34)</f>
        <v>0</v>
      </c>
      <c r="P15040">
        <f>IF(OR(M15040="",N15040=""),"",SUMIFS('Barang Keluar'!$E:$E,'Barang Keluar'!$A:$A,M15040,'Barang Keluar'!$C:$C,N15040))</f>
        <v>0</v>
      </c>
    </row>
    <row r="15041" spans="13:16">
      <c r="M15041" s="49">
        <f>IF($A$4+150&gt;$B$4,"",$A$4+150)</f>
        <v>46173</v>
      </c>
      <c r="N15041">
        <f>IF(M15041="","",'Master Barang'!A35)</f>
        <v>0</v>
      </c>
      <c r="O15041">
        <f>IF(N15041="","",'Master Barang'!B35)</f>
        <v>0</v>
      </c>
      <c r="P15041">
        <f>IF(OR(M15041="",N15041=""),"",SUMIFS('Barang Keluar'!$E:$E,'Barang Keluar'!$A:$A,M15041,'Barang Keluar'!$C:$C,N15041))</f>
        <v>0</v>
      </c>
    </row>
    <row r="15042" spans="13:16">
      <c r="M15042" s="49">
        <f>IF($A$4+150&gt;$B$4,"",$A$4+150)</f>
        <v>46173</v>
      </c>
      <c r="N15042">
        <f>IF(M15042="","",'Master Barang'!A36)</f>
        <v>0</v>
      </c>
      <c r="O15042">
        <f>IF(N15042="","",'Master Barang'!B36)</f>
        <v>0</v>
      </c>
      <c r="P15042">
        <f>IF(OR(M15042="",N15042=""),"",SUMIFS('Barang Keluar'!$E:$E,'Barang Keluar'!$A:$A,M15042,'Barang Keluar'!$C:$C,N15042))</f>
        <v>0</v>
      </c>
    </row>
    <row r="15043" spans="13:16">
      <c r="M15043" s="49">
        <f>IF($A$4+150&gt;$B$4,"",$A$4+150)</f>
        <v>46173</v>
      </c>
      <c r="N15043">
        <f>IF(M15043="","",'Master Barang'!A37)</f>
        <v>0</v>
      </c>
      <c r="O15043">
        <f>IF(N15043="","",'Master Barang'!B37)</f>
        <v>0</v>
      </c>
      <c r="P15043">
        <f>IF(OR(M15043="",N15043=""),"",SUMIFS('Barang Keluar'!$E:$E,'Barang Keluar'!$A:$A,M15043,'Barang Keluar'!$C:$C,N15043))</f>
        <v>0</v>
      </c>
    </row>
    <row r="15044" spans="13:16">
      <c r="M15044" s="49">
        <f>IF($A$4+150&gt;$B$4,"",$A$4+150)</f>
        <v>46173</v>
      </c>
      <c r="N15044">
        <f>IF(M15044="","",'Master Barang'!A38)</f>
        <v>0</v>
      </c>
      <c r="O15044">
        <f>IF(N15044="","",'Master Barang'!B38)</f>
        <v>0</v>
      </c>
      <c r="P15044">
        <f>IF(OR(M15044="",N15044=""),"",SUMIFS('Barang Keluar'!$E:$E,'Barang Keluar'!$A:$A,M15044,'Barang Keluar'!$C:$C,N15044))</f>
        <v>0</v>
      </c>
    </row>
    <row r="15045" spans="13:16">
      <c r="M15045" s="49">
        <f>IF($A$4+150&gt;$B$4,"",$A$4+150)</f>
        <v>46173</v>
      </c>
      <c r="N15045">
        <f>IF(M15045="","",'Master Barang'!A39)</f>
        <v>0</v>
      </c>
      <c r="O15045">
        <f>IF(N15045="","",'Master Barang'!B39)</f>
        <v>0</v>
      </c>
      <c r="P15045">
        <f>IF(OR(M15045="",N15045=""),"",SUMIFS('Barang Keluar'!$E:$E,'Barang Keluar'!$A:$A,M15045,'Barang Keluar'!$C:$C,N15045))</f>
        <v>0</v>
      </c>
    </row>
    <row r="15046" spans="13:16">
      <c r="M15046" s="49">
        <f>IF($A$4+150&gt;$B$4,"",$A$4+150)</f>
        <v>46173</v>
      </c>
      <c r="N15046">
        <f>IF(M15046="","",'Master Barang'!A40)</f>
        <v>0</v>
      </c>
      <c r="O15046">
        <f>IF(N15046="","",'Master Barang'!B40)</f>
        <v>0</v>
      </c>
      <c r="P15046">
        <f>IF(OR(M15046="",N15046=""),"",SUMIFS('Barang Keluar'!$E:$E,'Barang Keluar'!$A:$A,M15046,'Barang Keluar'!$C:$C,N15046))</f>
        <v>0</v>
      </c>
    </row>
    <row r="15047" spans="13:16">
      <c r="M15047" s="49">
        <f>IF($A$4+150&gt;$B$4,"",$A$4+150)</f>
        <v>46173</v>
      </c>
      <c r="N15047">
        <f>IF(M15047="","",'Master Barang'!A41)</f>
        <v>0</v>
      </c>
      <c r="O15047">
        <f>IF(N15047="","",'Master Barang'!B41)</f>
        <v>0</v>
      </c>
      <c r="P15047">
        <f>IF(OR(M15047="",N15047=""),"",SUMIFS('Barang Keluar'!$E:$E,'Barang Keluar'!$A:$A,M15047,'Barang Keluar'!$C:$C,N15047))</f>
        <v>0</v>
      </c>
    </row>
    <row r="15048" spans="13:16">
      <c r="M15048" s="49">
        <f>IF($A$4+150&gt;$B$4,"",$A$4+150)</f>
        <v>46173</v>
      </c>
      <c r="N15048">
        <f>IF(M15048="","",'Master Barang'!A42)</f>
        <v>0</v>
      </c>
      <c r="O15048">
        <f>IF(N15048="","",'Master Barang'!B42)</f>
        <v>0</v>
      </c>
      <c r="P15048">
        <f>IF(OR(M15048="",N15048=""),"",SUMIFS('Barang Keluar'!$E:$E,'Barang Keluar'!$A:$A,M15048,'Barang Keluar'!$C:$C,N15048))</f>
        <v>0</v>
      </c>
    </row>
    <row r="15049" spans="13:16">
      <c r="M15049" s="49">
        <f>IF($A$4+150&gt;$B$4,"",$A$4+150)</f>
        <v>46173</v>
      </c>
      <c r="N15049">
        <f>IF(M15049="","",'Master Barang'!A43)</f>
        <v>0</v>
      </c>
      <c r="O15049">
        <f>IF(N15049="","",'Master Barang'!B43)</f>
        <v>0</v>
      </c>
      <c r="P15049">
        <f>IF(OR(M15049="",N15049=""),"",SUMIFS('Barang Keluar'!$E:$E,'Barang Keluar'!$A:$A,M15049,'Barang Keluar'!$C:$C,N15049))</f>
        <v>0</v>
      </c>
    </row>
    <row r="15050" spans="13:16">
      <c r="M15050" s="49">
        <f>IF($A$4+150&gt;$B$4,"",$A$4+150)</f>
        <v>46173</v>
      </c>
      <c r="N15050">
        <f>IF(M15050="","",'Master Barang'!A44)</f>
        <v>0</v>
      </c>
      <c r="O15050">
        <f>IF(N15050="","",'Master Barang'!B44)</f>
        <v>0</v>
      </c>
      <c r="P15050">
        <f>IF(OR(M15050="",N15050=""),"",SUMIFS('Barang Keluar'!$E:$E,'Barang Keluar'!$A:$A,M15050,'Barang Keluar'!$C:$C,N15050))</f>
        <v>0</v>
      </c>
    </row>
    <row r="15051" spans="13:16">
      <c r="M15051" s="49">
        <f>IF($A$4+150&gt;$B$4,"",$A$4+150)</f>
        <v>46173</v>
      </c>
      <c r="N15051">
        <f>IF(M15051="","",'Master Barang'!A45)</f>
        <v>0</v>
      </c>
      <c r="O15051">
        <f>IF(N15051="","",'Master Barang'!B45)</f>
        <v>0</v>
      </c>
      <c r="P15051">
        <f>IF(OR(M15051="",N15051=""),"",SUMIFS('Barang Keluar'!$E:$E,'Barang Keluar'!$A:$A,M15051,'Barang Keluar'!$C:$C,N15051))</f>
        <v>0</v>
      </c>
    </row>
    <row r="15052" spans="13:16">
      <c r="M15052" s="49">
        <f>IF($A$4+150&gt;$B$4,"",$A$4+150)</f>
        <v>46173</v>
      </c>
      <c r="N15052">
        <f>IF(M15052="","",'Master Barang'!A46)</f>
        <v>0</v>
      </c>
      <c r="O15052">
        <f>IF(N15052="","",'Master Barang'!B46)</f>
        <v>0</v>
      </c>
      <c r="P15052">
        <f>IF(OR(M15052="",N15052=""),"",SUMIFS('Barang Keluar'!$E:$E,'Barang Keluar'!$A:$A,M15052,'Barang Keluar'!$C:$C,N15052))</f>
        <v>0</v>
      </c>
    </row>
    <row r="15053" spans="13:16">
      <c r="M15053" s="49">
        <f>IF($A$4+150&gt;$B$4,"",$A$4+150)</f>
        <v>46173</v>
      </c>
      <c r="N15053">
        <f>IF(M15053="","",'Master Barang'!A47)</f>
        <v>0</v>
      </c>
      <c r="O15053">
        <f>IF(N15053="","",'Master Barang'!B47)</f>
        <v>0</v>
      </c>
      <c r="P15053">
        <f>IF(OR(M15053="",N15053=""),"",SUMIFS('Barang Keluar'!$E:$E,'Barang Keluar'!$A:$A,M15053,'Barang Keluar'!$C:$C,N15053))</f>
        <v>0</v>
      </c>
    </row>
    <row r="15054" spans="13:16">
      <c r="M15054" s="49">
        <f>IF($A$4+150&gt;$B$4,"",$A$4+150)</f>
        <v>46173</v>
      </c>
      <c r="N15054">
        <f>IF(M15054="","",'Master Barang'!A48)</f>
        <v>0</v>
      </c>
      <c r="O15054">
        <f>IF(N15054="","",'Master Barang'!B48)</f>
        <v>0</v>
      </c>
      <c r="P15054">
        <f>IF(OR(M15054="",N15054=""),"",SUMIFS('Barang Keluar'!$E:$E,'Barang Keluar'!$A:$A,M15054,'Barang Keluar'!$C:$C,N15054))</f>
        <v>0</v>
      </c>
    </row>
    <row r="15055" spans="13:16">
      <c r="M15055" s="49">
        <f>IF($A$4+150&gt;$B$4,"",$A$4+150)</f>
        <v>46173</v>
      </c>
      <c r="N15055">
        <f>IF(M15055="","",'Master Barang'!A49)</f>
        <v>0</v>
      </c>
      <c r="O15055">
        <f>IF(N15055="","",'Master Barang'!B49)</f>
        <v>0</v>
      </c>
      <c r="P15055">
        <f>IF(OR(M15055="",N15055=""),"",SUMIFS('Barang Keluar'!$E:$E,'Barang Keluar'!$A:$A,M15055,'Barang Keluar'!$C:$C,N15055))</f>
        <v>0</v>
      </c>
    </row>
    <row r="15056" spans="13:16">
      <c r="M15056" s="49">
        <f>IF($A$4+150&gt;$B$4,"",$A$4+150)</f>
        <v>46173</v>
      </c>
      <c r="N15056">
        <f>IF(M15056="","",'Master Barang'!A50)</f>
        <v>0</v>
      </c>
      <c r="O15056">
        <f>IF(N15056="","",'Master Barang'!B50)</f>
        <v>0</v>
      </c>
      <c r="P15056">
        <f>IF(OR(M15056="",N15056=""),"",SUMIFS('Barang Keluar'!$E:$E,'Barang Keluar'!$A:$A,M15056,'Barang Keluar'!$C:$C,N15056))</f>
        <v>0</v>
      </c>
    </row>
    <row r="15057" spans="13:16">
      <c r="M15057" s="49">
        <f>IF($A$4+150&gt;$B$4,"",$A$4+150)</f>
        <v>46173</v>
      </c>
      <c r="N15057">
        <f>IF(M15057="","",'Master Barang'!A51)</f>
        <v>0</v>
      </c>
      <c r="O15057">
        <f>IF(N15057="","",'Master Barang'!B51)</f>
        <v>0</v>
      </c>
      <c r="P15057">
        <f>IF(OR(M15057="",N15057=""),"",SUMIFS('Barang Keluar'!$E:$E,'Barang Keluar'!$A:$A,M15057,'Barang Keluar'!$C:$C,N15057))</f>
        <v>0</v>
      </c>
    </row>
    <row r="15058" spans="13:16">
      <c r="M15058" s="49">
        <f>IF($A$4+150&gt;$B$4,"",$A$4+150)</f>
        <v>46173</v>
      </c>
      <c r="N15058">
        <f>IF(M15058="","",'Master Barang'!A52)</f>
        <v>0</v>
      </c>
      <c r="O15058">
        <f>IF(N15058="","",'Master Barang'!B52)</f>
        <v>0</v>
      </c>
      <c r="P15058">
        <f>IF(OR(M15058="",N15058=""),"",SUMIFS('Barang Keluar'!$E:$E,'Barang Keluar'!$A:$A,M15058,'Barang Keluar'!$C:$C,N15058))</f>
        <v>0</v>
      </c>
    </row>
    <row r="15059" spans="13:16">
      <c r="M15059" s="49">
        <f>IF($A$4+150&gt;$B$4,"",$A$4+150)</f>
        <v>46173</v>
      </c>
      <c r="N15059">
        <f>IF(M15059="","",'Master Barang'!A53)</f>
        <v>0</v>
      </c>
      <c r="O15059">
        <f>IF(N15059="","",'Master Barang'!B53)</f>
        <v>0</v>
      </c>
      <c r="P15059">
        <f>IF(OR(M15059="",N15059=""),"",SUMIFS('Barang Keluar'!$E:$E,'Barang Keluar'!$A:$A,M15059,'Barang Keluar'!$C:$C,N15059))</f>
        <v>0</v>
      </c>
    </row>
    <row r="15060" spans="13:16">
      <c r="M15060" s="49">
        <f>IF($A$4+150&gt;$B$4,"",$A$4+150)</f>
        <v>46173</v>
      </c>
      <c r="N15060">
        <f>IF(M15060="","",'Master Barang'!A54)</f>
        <v>0</v>
      </c>
      <c r="O15060">
        <f>IF(N15060="","",'Master Barang'!B54)</f>
        <v>0</v>
      </c>
      <c r="P15060">
        <f>IF(OR(M15060="",N15060=""),"",SUMIFS('Barang Keluar'!$E:$E,'Barang Keluar'!$A:$A,M15060,'Barang Keluar'!$C:$C,N15060))</f>
        <v>0</v>
      </c>
    </row>
    <row r="15061" spans="13:16">
      <c r="M15061" s="49">
        <f>IF($A$4+150&gt;$B$4,"",$A$4+150)</f>
        <v>46173</v>
      </c>
      <c r="N15061">
        <f>IF(M15061="","",'Master Barang'!A55)</f>
        <v>0</v>
      </c>
      <c r="O15061">
        <f>IF(N15061="","",'Master Barang'!B55)</f>
        <v>0</v>
      </c>
      <c r="P15061">
        <f>IF(OR(M15061="",N15061=""),"",SUMIFS('Barang Keluar'!$E:$E,'Barang Keluar'!$A:$A,M15061,'Barang Keluar'!$C:$C,N15061))</f>
        <v>0</v>
      </c>
    </row>
    <row r="15062" spans="13:16">
      <c r="M15062" s="49">
        <f>IF($A$4+150&gt;$B$4,"",$A$4+150)</f>
        <v>46173</v>
      </c>
      <c r="N15062">
        <f>IF(M15062="","",'Master Barang'!A56)</f>
        <v>0</v>
      </c>
      <c r="O15062">
        <f>IF(N15062="","",'Master Barang'!B56)</f>
        <v>0</v>
      </c>
      <c r="P15062">
        <f>IF(OR(M15062="",N15062=""),"",SUMIFS('Barang Keluar'!$E:$E,'Barang Keluar'!$A:$A,M15062,'Barang Keluar'!$C:$C,N15062))</f>
        <v>0</v>
      </c>
    </row>
    <row r="15063" spans="13:16">
      <c r="M15063" s="49">
        <f>IF($A$4+150&gt;$B$4,"",$A$4+150)</f>
        <v>46173</v>
      </c>
      <c r="N15063">
        <f>IF(M15063="","",'Master Barang'!A57)</f>
        <v>0</v>
      </c>
      <c r="O15063">
        <f>IF(N15063="","",'Master Barang'!B57)</f>
        <v>0</v>
      </c>
      <c r="P15063">
        <f>IF(OR(M15063="",N15063=""),"",SUMIFS('Barang Keluar'!$E:$E,'Barang Keluar'!$A:$A,M15063,'Barang Keluar'!$C:$C,N15063))</f>
        <v>0</v>
      </c>
    </row>
    <row r="15064" spans="13:16">
      <c r="M15064" s="49">
        <f>IF($A$4+150&gt;$B$4,"",$A$4+150)</f>
        <v>46173</v>
      </c>
      <c r="N15064">
        <f>IF(M15064="","",'Master Barang'!A58)</f>
        <v>0</v>
      </c>
      <c r="O15064">
        <f>IF(N15064="","",'Master Barang'!B58)</f>
        <v>0</v>
      </c>
      <c r="P15064">
        <f>IF(OR(M15064="",N15064=""),"",SUMIFS('Barang Keluar'!$E:$E,'Barang Keluar'!$A:$A,M15064,'Barang Keluar'!$C:$C,N15064))</f>
        <v>0</v>
      </c>
    </row>
    <row r="15065" spans="13:16">
      <c r="M15065" s="49">
        <f>IF($A$4+150&gt;$B$4,"",$A$4+150)</f>
        <v>46173</v>
      </c>
      <c r="N15065">
        <f>IF(M15065="","",'Master Barang'!A59)</f>
        <v>0</v>
      </c>
      <c r="O15065">
        <f>IF(N15065="","",'Master Barang'!B59)</f>
        <v>0</v>
      </c>
      <c r="P15065">
        <f>IF(OR(M15065="",N15065=""),"",SUMIFS('Barang Keluar'!$E:$E,'Barang Keluar'!$A:$A,M15065,'Barang Keluar'!$C:$C,N15065))</f>
        <v>0</v>
      </c>
    </row>
    <row r="15066" spans="13:16">
      <c r="M15066" s="49">
        <f>IF($A$4+150&gt;$B$4,"",$A$4+150)</f>
        <v>46173</v>
      </c>
      <c r="N15066">
        <f>IF(M15066="","",'Master Barang'!A60)</f>
        <v>0</v>
      </c>
      <c r="O15066">
        <f>IF(N15066="","",'Master Barang'!B60)</f>
        <v>0</v>
      </c>
      <c r="P15066">
        <f>IF(OR(M15066="",N15066=""),"",SUMIFS('Barang Keluar'!$E:$E,'Barang Keluar'!$A:$A,M15066,'Barang Keluar'!$C:$C,N15066))</f>
        <v>0</v>
      </c>
    </row>
    <row r="15067" spans="13:16">
      <c r="M15067" s="49">
        <f>IF($A$4+150&gt;$B$4,"",$A$4+150)</f>
        <v>46173</v>
      </c>
      <c r="N15067">
        <f>IF(M15067="","",'Master Barang'!A61)</f>
        <v>0</v>
      </c>
      <c r="O15067">
        <f>IF(N15067="","",'Master Barang'!B61)</f>
        <v>0</v>
      </c>
      <c r="P15067">
        <f>IF(OR(M15067="",N15067=""),"",SUMIFS('Barang Keluar'!$E:$E,'Barang Keluar'!$A:$A,M15067,'Barang Keluar'!$C:$C,N15067))</f>
        <v>0</v>
      </c>
    </row>
    <row r="15068" spans="13:16">
      <c r="M15068" s="49">
        <f>IF($A$4+150&gt;$B$4,"",$A$4+150)</f>
        <v>46173</v>
      </c>
      <c r="N15068">
        <f>IF(M15068="","",'Master Barang'!A62)</f>
        <v>0</v>
      </c>
      <c r="O15068">
        <f>IF(N15068="","",'Master Barang'!B62)</f>
        <v>0</v>
      </c>
      <c r="P15068">
        <f>IF(OR(M15068="",N15068=""),"",SUMIFS('Barang Keluar'!$E:$E,'Barang Keluar'!$A:$A,M15068,'Barang Keluar'!$C:$C,N15068))</f>
        <v>0</v>
      </c>
    </row>
    <row r="15069" spans="13:16">
      <c r="M15069" s="49">
        <f>IF($A$4+150&gt;$B$4,"",$A$4+150)</f>
        <v>46173</v>
      </c>
      <c r="N15069">
        <f>IF(M15069="","",'Master Barang'!A63)</f>
        <v>0</v>
      </c>
      <c r="O15069">
        <f>IF(N15069="","",'Master Barang'!B63)</f>
        <v>0</v>
      </c>
      <c r="P15069">
        <f>IF(OR(M15069="",N15069=""),"",SUMIFS('Barang Keluar'!$E:$E,'Barang Keluar'!$A:$A,M15069,'Barang Keluar'!$C:$C,N15069))</f>
        <v>0</v>
      </c>
    </row>
    <row r="15070" spans="13:16">
      <c r="M15070" s="49">
        <f>IF($A$4+150&gt;$B$4,"",$A$4+150)</f>
        <v>46173</v>
      </c>
      <c r="N15070">
        <f>IF(M15070="","",'Master Barang'!A64)</f>
        <v>0</v>
      </c>
      <c r="O15070">
        <f>IF(N15070="","",'Master Barang'!B64)</f>
        <v>0</v>
      </c>
      <c r="P15070">
        <f>IF(OR(M15070="",N15070=""),"",SUMIFS('Barang Keluar'!$E:$E,'Barang Keluar'!$A:$A,M15070,'Barang Keluar'!$C:$C,N15070))</f>
        <v>0</v>
      </c>
    </row>
    <row r="15071" spans="13:16">
      <c r="M15071" s="49">
        <f>IF($A$4+150&gt;$B$4,"",$A$4+150)</f>
        <v>46173</v>
      </c>
      <c r="N15071">
        <f>IF(M15071="","",'Master Barang'!A65)</f>
        <v>0</v>
      </c>
      <c r="O15071">
        <f>IF(N15071="","",'Master Barang'!B65)</f>
        <v>0</v>
      </c>
      <c r="P15071">
        <f>IF(OR(M15071="",N15071=""),"",SUMIFS('Barang Keluar'!$E:$E,'Barang Keluar'!$A:$A,M15071,'Barang Keluar'!$C:$C,N15071))</f>
        <v>0</v>
      </c>
    </row>
    <row r="15072" spans="13:16">
      <c r="M15072" s="49">
        <f>IF($A$4+150&gt;$B$4,"",$A$4+150)</f>
        <v>46173</v>
      </c>
      <c r="N15072">
        <f>IF(M15072="","",'Master Barang'!A66)</f>
        <v>0</v>
      </c>
      <c r="O15072">
        <f>IF(N15072="","",'Master Barang'!B66)</f>
        <v>0</v>
      </c>
      <c r="P15072">
        <f>IF(OR(M15072="",N15072=""),"",SUMIFS('Barang Keluar'!$E:$E,'Barang Keluar'!$A:$A,M15072,'Barang Keluar'!$C:$C,N15072))</f>
        <v>0</v>
      </c>
    </row>
    <row r="15073" spans="13:16">
      <c r="M15073" s="49">
        <f>IF($A$4+150&gt;$B$4,"",$A$4+150)</f>
        <v>46173</v>
      </c>
      <c r="N15073">
        <f>IF(M15073="","",'Master Barang'!A67)</f>
        <v>0</v>
      </c>
      <c r="O15073">
        <f>IF(N15073="","",'Master Barang'!B67)</f>
        <v>0</v>
      </c>
      <c r="P15073">
        <f>IF(OR(M15073="",N15073=""),"",SUMIFS('Barang Keluar'!$E:$E,'Barang Keluar'!$A:$A,M15073,'Barang Keluar'!$C:$C,N15073))</f>
        <v>0</v>
      </c>
    </row>
    <row r="15074" spans="13:16">
      <c r="M15074" s="49">
        <f>IF($A$4+150&gt;$B$4,"",$A$4+150)</f>
        <v>46173</v>
      </c>
      <c r="N15074">
        <f>IF(M15074="","",'Master Barang'!A68)</f>
        <v>0</v>
      </c>
      <c r="O15074">
        <f>IF(N15074="","",'Master Barang'!B68)</f>
        <v>0</v>
      </c>
      <c r="P15074">
        <f>IF(OR(M15074="",N15074=""),"",SUMIFS('Barang Keluar'!$E:$E,'Barang Keluar'!$A:$A,M15074,'Barang Keluar'!$C:$C,N15074))</f>
        <v>0</v>
      </c>
    </row>
    <row r="15075" spans="13:16">
      <c r="M15075" s="49">
        <f>IF($A$4+150&gt;$B$4,"",$A$4+150)</f>
        <v>46173</v>
      </c>
      <c r="N15075">
        <f>IF(M15075="","",'Master Barang'!A69)</f>
        <v>0</v>
      </c>
      <c r="O15075">
        <f>IF(N15075="","",'Master Barang'!B69)</f>
        <v>0</v>
      </c>
      <c r="P15075">
        <f>IF(OR(M15075="",N15075=""),"",SUMIFS('Barang Keluar'!$E:$E,'Barang Keluar'!$A:$A,M15075,'Barang Keluar'!$C:$C,N15075))</f>
        <v>0</v>
      </c>
    </row>
    <row r="15076" spans="13:16">
      <c r="M15076" s="49">
        <f>IF($A$4+150&gt;$B$4,"",$A$4+150)</f>
        <v>46173</v>
      </c>
      <c r="N15076">
        <f>IF(M15076="","",'Master Barang'!A70)</f>
        <v>0</v>
      </c>
      <c r="O15076">
        <f>IF(N15076="","",'Master Barang'!B70)</f>
        <v>0</v>
      </c>
      <c r="P15076">
        <f>IF(OR(M15076="",N15076=""),"",SUMIFS('Barang Keluar'!$E:$E,'Barang Keluar'!$A:$A,M15076,'Barang Keluar'!$C:$C,N15076))</f>
        <v>0</v>
      </c>
    </row>
    <row r="15077" spans="13:16">
      <c r="M15077" s="49">
        <f>IF($A$4+150&gt;$B$4,"",$A$4+150)</f>
        <v>46173</v>
      </c>
      <c r="N15077">
        <f>IF(M15077="","",'Master Barang'!A71)</f>
        <v>0</v>
      </c>
      <c r="O15077">
        <f>IF(N15077="","",'Master Barang'!B71)</f>
        <v>0</v>
      </c>
      <c r="P15077">
        <f>IF(OR(M15077="",N15077=""),"",SUMIFS('Barang Keluar'!$E:$E,'Barang Keluar'!$A:$A,M15077,'Barang Keluar'!$C:$C,N15077))</f>
        <v>0</v>
      </c>
    </row>
    <row r="15078" spans="13:16">
      <c r="M15078" s="49">
        <f>IF($A$4+150&gt;$B$4,"",$A$4+150)</f>
        <v>46173</v>
      </c>
      <c r="N15078">
        <f>IF(M15078="","",'Master Barang'!A72)</f>
        <v>0</v>
      </c>
      <c r="O15078">
        <f>IF(N15078="","",'Master Barang'!B72)</f>
        <v>0</v>
      </c>
      <c r="P15078">
        <f>IF(OR(M15078="",N15078=""),"",SUMIFS('Barang Keluar'!$E:$E,'Barang Keluar'!$A:$A,M15078,'Barang Keluar'!$C:$C,N15078))</f>
        <v>0</v>
      </c>
    </row>
    <row r="15079" spans="13:16">
      <c r="M15079" s="49">
        <f>IF($A$4+150&gt;$B$4,"",$A$4+150)</f>
        <v>46173</v>
      </c>
      <c r="N15079">
        <f>IF(M15079="","",'Master Barang'!A73)</f>
        <v>0</v>
      </c>
      <c r="O15079">
        <f>IF(N15079="","",'Master Barang'!B73)</f>
        <v>0</v>
      </c>
      <c r="P15079">
        <f>IF(OR(M15079="",N15079=""),"",SUMIFS('Barang Keluar'!$E:$E,'Barang Keluar'!$A:$A,M15079,'Barang Keluar'!$C:$C,N15079))</f>
        <v>0</v>
      </c>
    </row>
    <row r="15080" spans="13:16">
      <c r="M15080" s="49">
        <f>IF($A$4+150&gt;$B$4,"",$A$4+150)</f>
        <v>46173</v>
      </c>
      <c r="N15080">
        <f>IF(M15080="","",'Master Barang'!A74)</f>
        <v>0</v>
      </c>
      <c r="O15080">
        <f>IF(N15080="","",'Master Barang'!B74)</f>
        <v>0</v>
      </c>
      <c r="P15080">
        <f>IF(OR(M15080="",N15080=""),"",SUMIFS('Barang Keluar'!$E:$E,'Barang Keluar'!$A:$A,M15080,'Barang Keluar'!$C:$C,N15080))</f>
        <v>0</v>
      </c>
    </row>
    <row r="15081" spans="13:16">
      <c r="M15081" s="49">
        <f>IF($A$4+150&gt;$B$4,"",$A$4+150)</f>
        <v>46173</v>
      </c>
      <c r="N15081">
        <f>IF(M15081="","",'Master Barang'!A75)</f>
        <v>0</v>
      </c>
      <c r="O15081">
        <f>IF(N15081="","",'Master Barang'!B75)</f>
        <v>0</v>
      </c>
      <c r="P15081">
        <f>IF(OR(M15081="",N15081=""),"",SUMIFS('Barang Keluar'!$E:$E,'Barang Keluar'!$A:$A,M15081,'Barang Keluar'!$C:$C,N15081))</f>
        <v>0</v>
      </c>
    </row>
    <row r="15082" spans="13:16">
      <c r="M15082" s="49">
        <f>IF($A$4+150&gt;$B$4,"",$A$4+150)</f>
        <v>46173</v>
      </c>
      <c r="N15082">
        <f>IF(M15082="","",'Master Barang'!A76)</f>
        <v>0</v>
      </c>
      <c r="O15082">
        <f>IF(N15082="","",'Master Barang'!B76)</f>
        <v>0</v>
      </c>
      <c r="P15082">
        <f>IF(OR(M15082="",N15082=""),"",SUMIFS('Barang Keluar'!$E:$E,'Barang Keluar'!$A:$A,M15082,'Barang Keluar'!$C:$C,N15082))</f>
        <v>0</v>
      </c>
    </row>
    <row r="15083" spans="13:16">
      <c r="M15083" s="49">
        <f>IF($A$4+150&gt;$B$4,"",$A$4+150)</f>
        <v>46173</v>
      </c>
      <c r="N15083">
        <f>IF(M15083="","",'Master Barang'!A77)</f>
        <v>0</v>
      </c>
      <c r="O15083">
        <f>IF(N15083="","",'Master Barang'!B77)</f>
        <v>0</v>
      </c>
      <c r="P15083">
        <f>IF(OR(M15083="",N15083=""),"",SUMIFS('Barang Keluar'!$E:$E,'Barang Keluar'!$A:$A,M15083,'Barang Keluar'!$C:$C,N15083))</f>
        <v>0</v>
      </c>
    </row>
    <row r="15084" spans="13:16">
      <c r="M15084" s="49">
        <f>IF($A$4+150&gt;$B$4,"",$A$4+150)</f>
        <v>46173</v>
      </c>
      <c r="N15084">
        <f>IF(M15084="","",'Master Barang'!A78)</f>
        <v>0</v>
      </c>
      <c r="O15084">
        <f>IF(N15084="","",'Master Barang'!B78)</f>
        <v>0</v>
      </c>
      <c r="P15084">
        <f>IF(OR(M15084="",N15084=""),"",SUMIFS('Barang Keluar'!$E:$E,'Barang Keluar'!$A:$A,M15084,'Barang Keluar'!$C:$C,N15084))</f>
        <v>0</v>
      </c>
    </row>
    <row r="15085" spans="13:16">
      <c r="M15085" s="49">
        <f>IF($A$4+150&gt;$B$4,"",$A$4+150)</f>
        <v>46173</v>
      </c>
      <c r="N15085">
        <f>IF(M15085="","",'Master Barang'!A79)</f>
        <v>0</v>
      </c>
      <c r="O15085">
        <f>IF(N15085="","",'Master Barang'!B79)</f>
        <v>0</v>
      </c>
      <c r="P15085">
        <f>IF(OR(M15085="",N15085=""),"",SUMIFS('Barang Keluar'!$E:$E,'Barang Keluar'!$A:$A,M15085,'Barang Keluar'!$C:$C,N15085))</f>
        <v>0</v>
      </c>
    </row>
    <row r="15086" spans="13:16">
      <c r="M15086" s="49">
        <f>IF($A$4+150&gt;$B$4,"",$A$4+150)</f>
        <v>46173</v>
      </c>
      <c r="N15086">
        <f>IF(M15086="","",'Master Barang'!A80)</f>
        <v>0</v>
      </c>
      <c r="O15086">
        <f>IF(N15086="","",'Master Barang'!B80)</f>
        <v>0</v>
      </c>
      <c r="P15086">
        <f>IF(OR(M15086="",N15086=""),"",SUMIFS('Barang Keluar'!$E:$E,'Barang Keluar'!$A:$A,M15086,'Barang Keluar'!$C:$C,N15086))</f>
        <v>0</v>
      </c>
    </row>
    <row r="15087" spans="13:16">
      <c r="M15087" s="49">
        <f>IF($A$4+150&gt;$B$4,"",$A$4+150)</f>
        <v>46173</v>
      </c>
      <c r="N15087">
        <f>IF(M15087="","",'Master Barang'!A81)</f>
        <v>0</v>
      </c>
      <c r="O15087">
        <f>IF(N15087="","",'Master Barang'!B81)</f>
        <v>0</v>
      </c>
      <c r="P15087">
        <f>IF(OR(M15087="",N15087=""),"",SUMIFS('Barang Keluar'!$E:$E,'Barang Keluar'!$A:$A,M15087,'Barang Keluar'!$C:$C,N15087))</f>
        <v>0</v>
      </c>
    </row>
    <row r="15088" spans="13:16">
      <c r="M15088" s="49">
        <f>IF($A$4+150&gt;$B$4,"",$A$4+150)</f>
        <v>46173</v>
      </c>
      <c r="N15088">
        <f>IF(M15088="","",'Master Barang'!A82)</f>
        <v>0</v>
      </c>
      <c r="O15088">
        <f>IF(N15088="","",'Master Barang'!B82)</f>
        <v>0</v>
      </c>
      <c r="P15088">
        <f>IF(OR(M15088="",N15088=""),"",SUMIFS('Barang Keluar'!$E:$E,'Barang Keluar'!$A:$A,M15088,'Barang Keluar'!$C:$C,N15088))</f>
        <v>0</v>
      </c>
    </row>
    <row r="15089" spans="13:16">
      <c r="M15089" s="49">
        <f>IF($A$4+150&gt;$B$4,"",$A$4+150)</f>
        <v>46173</v>
      </c>
      <c r="N15089">
        <f>IF(M15089="","",'Master Barang'!A83)</f>
        <v>0</v>
      </c>
      <c r="O15089">
        <f>IF(N15089="","",'Master Barang'!B83)</f>
        <v>0</v>
      </c>
      <c r="P15089">
        <f>IF(OR(M15089="",N15089=""),"",SUMIFS('Barang Keluar'!$E:$E,'Barang Keluar'!$A:$A,M15089,'Barang Keluar'!$C:$C,N15089))</f>
        <v>0</v>
      </c>
    </row>
    <row r="15090" spans="13:16">
      <c r="M15090" s="49">
        <f>IF($A$4+150&gt;$B$4,"",$A$4+150)</f>
        <v>46173</v>
      </c>
      <c r="N15090">
        <f>IF(M15090="","",'Master Barang'!A84)</f>
        <v>0</v>
      </c>
      <c r="O15090">
        <f>IF(N15090="","",'Master Barang'!B84)</f>
        <v>0</v>
      </c>
      <c r="P15090">
        <f>IF(OR(M15090="",N15090=""),"",SUMIFS('Barang Keluar'!$E:$E,'Barang Keluar'!$A:$A,M15090,'Barang Keluar'!$C:$C,N15090))</f>
        <v>0</v>
      </c>
    </row>
    <row r="15091" spans="13:16">
      <c r="M15091" s="49">
        <f>IF($A$4+150&gt;$B$4,"",$A$4+150)</f>
        <v>46173</v>
      </c>
      <c r="N15091">
        <f>IF(M15091="","",'Master Barang'!A85)</f>
        <v>0</v>
      </c>
      <c r="O15091">
        <f>IF(N15091="","",'Master Barang'!B85)</f>
        <v>0</v>
      </c>
      <c r="P15091">
        <f>IF(OR(M15091="",N15091=""),"",SUMIFS('Barang Keluar'!$E:$E,'Barang Keluar'!$A:$A,M15091,'Barang Keluar'!$C:$C,N15091))</f>
        <v>0</v>
      </c>
    </row>
    <row r="15092" spans="13:16">
      <c r="M15092" s="49">
        <f>IF($A$4+150&gt;$B$4,"",$A$4+150)</f>
        <v>46173</v>
      </c>
      <c r="N15092">
        <f>IF(M15092="","",'Master Barang'!A86)</f>
        <v>0</v>
      </c>
      <c r="O15092">
        <f>IF(N15092="","",'Master Barang'!B86)</f>
        <v>0</v>
      </c>
      <c r="P15092">
        <f>IF(OR(M15092="",N15092=""),"",SUMIFS('Barang Keluar'!$E:$E,'Barang Keluar'!$A:$A,M15092,'Barang Keluar'!$C:$C,N15092))</f>
        <v>0</v>
      </c>
    </row>
    <row r="15093" spans="13:16">
      <c r="M15093" s="49">
        <f>IF($A$4+150&gt;$B$4,"",$A$4+150)</f>
        <v>46173</v>
      </c>
      <c r="N15093">
        <f>IF(M15093="","",'Master Barang'!A87)</f>
        <v>0</v>
      </c>
      <c r="O15093">
        <f>IF(N15093="","",'Master Barang'!B87)</f>
        <v>0</v>
      </c>
      <c r="P15093">
        <f>IF(OR(M15093="",N15093=""),"",SUMIFS('Barang Keluar'!$E:$E,'Barang Keluar'!$A:$A,M15093,'Barang Keluar'!$C:$C,N15093))</f>
        <v>0</v>
      </c>
    </row>
    <row r="15094" spans="13:16">
      <c r="M15094" s="49">
        <f>IF($A$4+150&gt;$B$4,"",$A$4+150)</f>
        <v>46173</v>
      </c>
      <c r="N15094">
        <f>IF(M15094="","",'Master Barang'!A88)</f>
        <v>0</v>
      </c>
      <c r="O15094">
        <f>IF(N15094="","",'Master Barang'!B88)</f>
        <v>0</v>
      </c>
      <c r="P15094">
        <f>IF(OR(M15094="",N15094=""),"",SUMIFS('Barang Keluar'!$E:$E,'Barang Keluar'!$A:$A,M15094,'Barang Keluar'!$C:$C,N15094))</f>
        <v>0</v>
      </c>
    </row>
    <row r="15095" spans="13:16">
      <c r="M15095" s="49">
        <f>IF($A$4+150&gt;$B$4,"",$A$4+150)</f>
        <v>46173</v>
      </c>
      <c r="N15095">
        <f>IF(M15095="","",'Master Barang'!A89)</f>
        <v>0</v>
      </c>
      <c r="O15095">
        <f>IF(N15095="","",'Master Barang'!B89)</f>
        <v>0</v>
      </c>
      <c r="P15095">
        <f>IF(OR(M15095="",N15095=""),"",SUMIFS('Barang Keluar'!$E:$E,'Barang Keluar'!$A:$A,M15095,'Barang Keluar'!$C:$C,N15095))</f>
        <v>0</v>
      </c>
    </row>
    <row r="15096" spans="13:16">
      <c r="M15096" s="49">
        <f>IF($A$4+150&gt;$B$4,"",$A$4+150)</f>
        <v>46173</v>
      </c>
      <c r="N15096">
        <f>IF(M15096="","",'Master Barang'!A90)</f>
        <v>0</v>
      </c>
      <c r="O15096">
        <f>IF(N15096="","",'Master Barang'!B90)</f>
        <v>0</v>
      </c>
      <c r="P15096">
        <f>IF(OR(M15096="",N15096=""),"",SUMIFS('Barang Keluar'!$E:$E,'Barang Keluar'!$A:$A,M15096,'Barang Keluar'!$C:$C,N15096))</f>
        <v>0</v>
      </c>
    </row>
    <row r="15097" spans="13:16">
      <c r="M15097" s="49">
        <f>IF($A$4+150&gt;$B$4,"",$A$4+150)</f>
        <v>46173</v>
      </c>
      <c r="N15097">
        <f>IF(M15097="","",'Master Barang'!A91)</f>
        <v>0</v>
      </c>
      <c r="O15097">
        <f>IF(N15097="","",'Master Barang'!B91)</f>
        <v>0</v>
      </c>
      <c r="P15097">
        <f>IF(OR(M15097="",N15097=""),"",SUMIFS('Barang Keluar'!$E:$E,'Barang Keluar'!$A:$A,M15097,'Barang Keluar'!$C:$C,N15097))</f>
        <v>0</v>
      </c>
    </row>
    <row r="15098" spans="13:16">
      <c r="M15098" s="49">
        <f>IF($A$4+150&gt;$B$4,"",$A$4+150)</f>
        <v>46173</v>
      </c>
      <c r="N15098">
        <f>IF(M15098="","",'Master Barang'!A92)</f>
        <v>0</v>
      </c>
      <c r="O15098">
        <f>IF(N15098="","",'Master Barang'!B92)</f>
        <v>0</v>
      </c>
      <c r="P15098">
        <f>IF(OR(M15098="",N15098=""),"",SUMIFS('Barang Keluar'!$E:$E,'Barang Keluar'!$A:$A,M15098,'Barang Keluar'!$C:$C,N15098))</f>
        <v>0</v>
      </c>
    </row>
    <row r="15099" spans="13:16">
      <c r="M15099" s="49">
        <f>IF($A$4+150&gt;$B$4,"",$A$4+150)</f>
        <v>46173</v>
      </c>
      <c r="N15099">
        <f>IF(M15099="","",'Master Barang'!A93)</f>
        <v>0</v>
      </c>
      <c r="O15099">
        <f>IF(N15099="","",'Master Barang'!B93)</f>
        <v>0</v>
      </c>
      <c r="P15099">
        <f>IF(OR(M15099="",N15099=""),"",SUMIFS('Barang Keluar'!$E:$E,'Barang Keluar'!$A:$A,M15099,'Barang Keluar'!$C:$C,N15099))</f>
        <v>0</v>
      </c>
    </row>
    <row r="15100" spans="13:16">
      <c r="M15100" s="49">
        <f>IF($A$4+150&gt;$B$4,"",$A$4+150)</f>
        <v>46173</v>
      </c>
      <c r="N15100">
        <f>IF(M15100="","",'Master Barang'!A94)</f>
        <v>0</v>
      </c>
      <c r="O15100">
        <f>IF(N15100="","",'Master Barang'!B94)</f>
        <v>0</v>
      </c>
      <c r="P15100">
        <f>IF(OR(M15100="",N15100=""),"",SUMIFS('Barang Keluar'!$E:$E,'Barang Keluar'!$A:$A,M15100,'Barang Keluar'!$C:$C,N15100))</f>
        <v>0</v>
      </c>
    </row>
    <row r="15101" spans="13:16">
      <c r="M15101" s="49">
        <f>IF($A$4+150&gt;$B$4,"",$A$4+150)</f>
        <v>46173</v>
      </c>
      <c r="N15101">
        <f>IF(M15101="","",'Master Barang'!A95)</f>
        <v>0</v>
      </c>
      <c r="O15101">
        <f>IF(N15101="","",'Master Barang'!B95)</f>
        <v>0</v>
      </c>
      <c r="P15101">
        <f>IF(OR(M15101="",N15101=""),"",SUMIFS('Barang Keluar'!$E:$E,'Barang Keluar'!$A:$A,M15101,'Barang Keluar'!$C:$C,N15101))</f>
        <v>0</v>
      </c>
    </row>
    <row r="15102" spans="13:16">
      <c r="M15102" s="49">
        <f>IF($A$4+150&gt;$B$4,"",$A$4+150)</f>
        <v>46173</v>
      </c>
      <c r="N15102">
        <f>IF(M15102="","",'Master Barang'!A96)</f>
        <v>0</v>
      </c>
      <c r="O15102">
        <f>IF(N15102="","",'Master Barang'!B96)</f>
        <v>0</v>
      </c>
      <c r="P15102">
        <f>IF(OR(M15102="",N15102=""),"",SUMIFS('Barang Keluar'!$E:$E,'Barang Keluar'!$A:$A,M15102,'Barang Keluar'!$C:$C,N15102))</f>
        <v>0</v>
      </c>
    </row>
    <row r="15103" spans="13:16">
      <c r="M15103" s="49">
        <f>IF($A$4+150&gt;$B$4,"",$A$4+150)</f>
        <v>46173</v>
      </c>
      <c r="N15103">
        <f>IF(M15103="","",'Master Barang'!A97)</f>
        <v>0</v>
      </c>
      <c r="O15103">
        <f>IF(N15103="","",'Master Barang'!B97)</f>
        <v>0</v>
      </c>
      <c r="P15103">
        <f>IF(OR(M15103="",N15103=""),"",SUMIFS('Barang Keluar'!$E:$E,'Barang Keluar'!$A:$A,M15103,'Barang Keluar'!$C:$C,N15103))</f>
        <v>0</v>
      </c>
    </row>
    <row r="15104" spans="13:16">
      <c r="M15104" s="49">
        <f>IF($A$4+150&gt;$B$4,"",$A$4+150)</f>
        <v>46173</v>
      </c>
      <c r="N15104">
        <f>IF(M15104="","",'Master Barang'!A98)</f>
        <v>0</v>
      </c>
      <c r="O15104">
        <f>IF(N15104="","",'Master Barang'!B98)</f>
        <v>0</v>
      </c>
      <c r="P15104">
        <f>IF(OR(M15104="",N15104=""),"",SUMIFS('Barang Keluar'!$E:$E,'Barang Keluar'!$A:$A,M15104,'Barang Keluar'!$C:$C,N15104))</f>
        <v>0</v>
      </c>
    </row>
    <row r="15105" spans="13:16">
      <c r="M15105" s="49">
        <f>IF($A$4+150&gt;$B$4,"",$A$4+150)</f>
        <v>46173</v>
      </c>
      <c r="N15105">
        <f>IF(M15105="","",'Master Barang'!A99)</f>
        <v>0</v>
      </c>
      <c r="O15105">
        <f>IF(N15105="","",'Master Barang'!B99)</f>
        <v>0</v>
      </c>
      <c r="P15105">
        <f>IF(OR(M15105="",N15105=""),"",SUMIFS('Barang Keluar'!$E:$E,'Barang Keluar'!$A:$A,M15105,'Barang Keluar'!$C:$C,N15105))</f>
        <v>0</v>
      </c>
    </row>
    <row r="15106" spans="13:16">
      <c r="M15106" s="49">
        <f>IF($A$4+150&gt;$B$4,"",$A$4+150)</f>
        <v>46173</v>
      </c>
      <c r="N15106">
        <f>IF(M15106="","",'Master Barang'!A100)</f>
        <v>0</v>
      </c>
      <c r="O15106">
        <f>IF(N15106="","",'Master Barang'!B100)</f>
        <v>0</v>
      </c>
      <c r="P15106">
        <f>IF(OR(M15106="",N15106=""),"",SUMIFS('Barang Keluar'!$E:$E,'Barang Keluar'!$A:$A,M15106,'Barang Keluar'!$C:$C,N15106))</f>
        <v>0</v>
      </c>
    </row>
    <row r="15107" spans="13:16">
      <c r="M15107" s="49">
        <f>IF($A$4+150&gt;$B$4,"",$A$4+150)</f>
        <v>46173</v>
      </c>
      <c r="N15107">
        <f>IF(M15107="","",'Master Barang'!A101)</f>
        <v>0</v>
      </c>
      <c r="O15107">
        <f>IF(N15107="","",'Master Barang'!B101)</f>
        <v>0</v>
      </c>
      <c r="P15107">
        <f>IF(OR(M15107="",N15107=""),"",SUMIFS('Barang Keluar'!$E:$E,'Barang Keluar'!$A:$A,M15107,'Barang Keluar'!$C:$C,N15107))</f>
        <v>0</v>
      </c>
    </row>
    <row r="15108" spans="13:16">
      <c r="M15108" s="49">
        <f>IF($A$4+151&gt;$B$4,"",$A$4+151)</f>
        <v>46174</v>
      </c>
      <c r="N15108" t="str">
        <f>IF(M15108="","",'Master Barang'!A2)</f>
        <v>PRL-001</v>
      </c>
      <c r="O15108" t="str">
        <f>IF(N15108="","",'Master Barang'!B2)</f>
        <v>natura desinfectant food grade 5l</v>
      </c>
      <c r="P15108">
        <f>IF(OR(M15108="",N15108=""),"",SUMIFS('Barang Keluar'!$E:$E,'Barang Keluar'!$A:$A,M15108,'Barang Keluar'!$C:$C,N15108))</f>
        <v>0</v>
      </c>
    </row>
    <row r="15109" spans="13:16">
      <c r="M15109" s="49">
        <f>IF($A$4+151&gt;$B$4,"",$A$4+151)</f>
        <v>46174</v>
      </c>
      <c r="N15109" t="str">
        <f>IF(M15109="","",'Master Barang'!A3)</f>
        <v>PRL-002</v>
      </c>
      <c r="O15109" t="str">
        <f>IF(N15109="","",'Master Barang'!B3)</f>
        <v>sunlight cairan pencuci piring 5l</v>
      </c>
      <c r="P15109">
        <f>IF(OR(M15109="",N15109=""),"",SUMIFS('Barang Keluar'!$E:$E,'Barang Keluar'!$A:$A,M15109,'Barang Keluar'!$C:$C,N15109))</f>
        <v>0</v>
      </c>
    </row>
    <row r="15110" spans="13:16">
      <c r="M15110" s="49">
        <f>IF($A$4+151&gt;$B$4,"",$A$4+151)</f>
        <v>46174</v>
      </c>
      <c r="N15110" t="str">
        <f>IF(M15110="","",'Master Barang'!A4)</f>
        <v>PRL-003</v>
      </c>
      <c r="O15110" t="str">
        <f>IF(N15110="","",'Master Barang'!B4)</f>
        <v>oixs cleaner 1l</v>
      </c>
      <c r="P15110">
        <f>IF(OR(M15110="",N15110=""),"",SUMIFS('Barang Keluar'!$E:$E,'Barang Keluar'!$A:$A,M15110,'Barang Keluar'!$C:$C,N15110))</f>
        <v>0</v>
      </c>
    </row>
    <row r="15111" spans="13:16">
      <c r="M15111" s="49">
        <f>IF($A$4+151&gt;$B$4,"",$A$4+151)</f>
        <v>46174</v>
      </c>
      <c r="N15111" t="str">
        <f>IF(M15111="","",'Master Barang'!A5)</f>
        <v>PRL-004</v>
      </c>
      <c r="O15111" t="str">
        <f>IF(N15111="","",'Master Barang'!B5)</f>
        <v>be clean tissue serbaguna</v>
      </c>
      <c r="P15111">
        <f>IF(OR(M15111="",N15111=""),"",SUMIFS('Barang Keluar'!$E:$E,'Barang Keluar'!$A:$A,M15111,'Barang Keluar'!$C:$C,N15111))</f>
        <v>0</v>
      </c>
    </row>
    <row r="15112" spans="13:16">
      <c r="M15112" s="49">
        <f>IF($A$4+151&gt;$B$4,"",$A$4+151)</f>
        <v>46174</v>
      </c>
      <c r="N15112" t="str">
        <f>IF(M15112="","",'Master Barang'!A6)</f>
        <v>PRL-005</v>
      </c>
      <c r="O15112" t="str">
        <f>IF(N15112="","",'Master Barang'!B6)</f>
        <v>spons cuci hijau</v>
      </c>
      <c r="P15112">
        <f>IF(OR(M15112="",N15112=""),"",SUMIFS('Barang Keluar'!$E:$E,'Barang Keluar'!$A:$A,M15112,'Barang Keluar'!$C:$C,N15112))</f>
        <v>0</v>
      </c>
    </row>
    <row r="15113" spans="13:16">
      <c r="M15113" s="49">
        <f>IF($A$4+151&gt;$B$4,"",$A$4+151)</f>
        <v>46174</v>
      </c>
      <c r="N15113" t="str">
        <f>IF(M15113="","",'Master Barang'!A7)</f>
        <v>PRL-006</v>
      </c>
      <c r="O15113" t="str">
        <f>IF(N15113="","",'Master Barang'!B7)</f>
        <v>sabut cuci stainless</v>
      </c>
      <c r="P15113">
        <f>IF(OR(M15113="",N15113=""),"",SUMIFS('Barang Keluar'!$E:$E,'Barang Keluar'!$A:$A,M15113,'Barang Keluar'!$C:$C,N15113))</f>
        <v>0</v>
      </c>
    </row>
    <row r="15114" spans="13:16">
      <c r="M15114" s="49">
        <f>IF($A$4+151&gt;$B$4,"",$A$4+151)</f>
        <v>46174</v>
      </c>
      <c r="N15114" t="str">
        <f>IF(M15114="","",'Master Barang'!A8)</f>
        <v>PRL-007</v>
      </c>
      <c r="O15114" t="str">
        <f>IF(N15114="","",'Master Barang'!B8)</f>
        <v>plastik kresek besar merah 50pc</v>
      </c>
      <c r="P15114">
        <f>IF(OR(M15114="",N15114=""),"",SUMIFS('Barang Keluar'!$E:$E,'Barang Keluar'!$A:$A,M15114,'Barang Keluar'!$C:$C,N15114))</f>
        <v>0</v>
      </c>
    </row>
    <row r="15115" spans="13:16">
      <c r="M15115" s="49">
        <f>IF($A$4+151&gt;$B$4,"",$A$4+151)</f>
        <v>46174</v>
      </c>
      <c r="N15115" t="str">
        <f>IF(M15115="","",'Master Barang'!A9)</f>
        <v>PRL-008</v>
      </c>
      <c r="O15115" t="str">
        <f>IF(N15115="","",'Master Barang'!B9)</f>
        <v>lap besar</v>
      </c>
      <c r="P15115">
        <f>IF(OR(M15115="",N15115=""),"",SUMIFS('Barang Keluar'!$E:$E,'Barang Keluar'!$A:$A,M15115,'Barang Keluar'!$C:$C,N15115))</f>
        <v>0</v>
      </c>
    </row>
    <row r="15116" spans="13:16">
      <c r="M15116" s="49">
        <f>IF($A$4+151&gt;$B$4,"",$A$4+151)</f>
        <v>46174</v>
      </c>
      <c r="N15116" t="str">
        <f>IF(M15116="","",'Master Barang'!A10)</f>
        <v>PRL-009</v>
      </c>
      <c r="O15116" t="str">
        <f>IF(N15116="","",'Master Barang'!B10)</f>
        <v>lap microfiber</v>
      </c>
      <c r="P15116">
        <f>IF(OR(M15116="",N15116=""),"",SUMIFS('Barang Keluar'!$E:$E,'Barang Keluar'!$A:$A,M15116,'Barang Keluar'!$C:$C,N15116))</f>
        <v>0</v>
      </c>
    </row>
    <row r="15117" spans="13:16">
      <c r="M15117" s="49">
        <f>IF($A$4+151&gt;$B$4,"",$A$4+151)</f>
        <v>46174</v>
      </c>
      <c r="N15117" t="str">
        <f>IF(M15117="","",'Master Barang'!A11)</f>
        <v>PRL-010</v>
      </c>
      <c r="O15117" t="str">
        <f>IF(N15117="","",'Master Barang'!B11)</f>
        <v>lap kecil</v>
      </c>
      <c r="P15117">
        <f>IF(OR(M15117="",N15117=""),"",SUMIFS('Barang Keluar'!$E:$E,'Barang Keluar'!$A:$A,M15117,'Barang Keluar'!$C:$C,N15117))</f>
        <v>0</v>
      </c>
    </row>
    <row r="15118" spans="13:16">
      <c r="M15118" s="49">
        <f>IF($A$4+151&gt;$B$4,"",$A$4+151)</f>
        <v>46174</v>
      </c>
      <c r="N15118" t="str">
        <f>IF(M15118="","",'Master Barang'!A12)</f>
        <v>PRL-011</v>
      </c>
      <c r="O15118" t="str">
        <f>IF(N15118="","",'Master Barang'!B12)</f>
        <v>kanebo kecil</v>
      </c>
      <c r="P15118">
        <f>IF(OR(M15118="",N15118=""),"",SUMIFS('Barang Keluar'!$E:$E,'Barang Keluar'!$A:$A,M15118,'Barang Keluar'!$C:$C,N15118))</f>
        <v>0</v>
      </c>
    </row>
    <row r="15119" spans="13:16">
      <c r="M15119" s="49">
        <f>IF($A$4+151&gt;$B$4,"",$A$4+151)</f>
        <v>46174</v>
      </c>
      <c r="N15119" t="str">
        <f>IF(M15119="","",'Master Barang'!A13)</f>
        <v>PRL-012</v>
      </c>
      <c r="O15119" t="str">
        <f>IF(N15119="","",'Master Barang'!B13)</f>
        <v>plastik 1/4kg joyoboyo 100 lembar</v>
      </c>
      <c r="P15119">
        <f>IF(OR(M15119="",N15119=""),"",SUMIFS('Barang Keluar'!$E:$E,'Barang Keluar'!$A:$A,M15119,'Barang Keluar'!$C:$C,N15119))</f>
        <v>0</v>
      </c>
    </row>
    <row r="15120" spans="13:16">
      <c r="M15120" s="49">
        <f>IF($A$4+151&gt;$B$4,"",$A$4+151)</f>
        <v>46174</v>
      </c>
      <c r="N15120" t="str">
        <f>IF(M15120="","",'Master Barang'!A14)</f>
        <v>PRL-013</v>
      </c>
      <c r="O15120" t="str">
        <f>IF(N15120="","",'Master Barang'!B14)</f>
        <v>sarung tangan plastik kaka 100 pcs</v>
      </c>
      <c r="P15120">
        <f>IF(OR(M15120="",N15120=""),"",SUMIFS('Barang Keluar'!$E:$E,'Barang Keluar'!$A:$A,M15120,'Barang Keluar'!$C:$C,N15120))</f>
        <v>0</v>
      </c>
    </row>
    <row r="15121" spans="13:16">
      <c r="M15121" s="49">
        <f>IF($A$4+151&gt;$B$4,"",$A$4+151)</f>
        <v>46174</v>
      </c>
      <c r="N15121" t="str">
        <f>IF(M15121="","",'Master Barang'!A15)</f>
        <v>PRL-014</v>
      </c>
      <c r="O15121" t="str">
        <f>IF(N15121="","",'Master Barang'!B15)</f>
        <v>optima trashbag 80x100</v>
      </c>
      <c r="P15121">
        <f>IF(OR(M15121="",N15121=""),"",SUMIFS('Barang Keluar'!$E:$E,'Barang Keluar'!$A:$A,M15121,'Barang Keluar'!$C:$C,N15121))</f>
        <v>0</v>
      </c>
    </row>
    <row r="15122" spans="13:16">
      <c r="M15122" s="49">
        <f>IF($A$4+151&gt;$B$4,"",$A$4+151)</f>
        <v>46174</v>
      </c>
      <c r="N15122" t="str">
        <f>IF(M15122="","",'Master Barang'!A16)</f>
        <v>PRL-015</v>
      </c>
      <c r="O15122" t="str">
        <f>IF(N15122="","",'Master Barang'!B16)</f>
        <v>optima trashbag 60x100</v>
      </c>
      <c r="P15122">
        <f>IF(OR(M15122="",N15122=""),"",SUMIFS('Barang Keluar'!$E:$E,'Barang Keluar'!$A:$A,M15122,'Barang Keluar'!$C:$C,N15122))</f>
        <v>0</v>
      </c>
    </row>
    <row r="15123" spans="13:16">
      <c r="M15123" s="49">
        <f>IF($A$4+151&gt;$B$4,"",$A$4+151)</f>
        <v>46174</v>
      </c>
      <c r="N15123" t="str">
        <f>IF(M15123="","",'Master Barang'!A17)</f>
        <v>PRL-016</v>
      </c>
      <c r="O15123" t="str">
        <f>IF(N15123="","",'Master Barang'!B17)</f>
        <v>rajawali trashbag 30x40</v>
      </c>
      <c r="P15123">
        <f>IF(OR(M15123="",N15123=""),"",SUMIFS('Barang Keluar'!$E:$E,'Barang Keluar'!$A:$A,M15123,'Barang Keluar'!$C:$C,N15123))</f>
        <v>0</v>
      </c>
    </row>
    <row r="15124" spans="13:16">
      <c r="M15124" s="49">
        <f>IF($A$4+151&gt;$B$4,"",$A$4+151)</f>
        <v>46174</v>
      </c>
      <c r="N15124" t="str">
        <f>IF(M15124="","",'Master Barang'!A18)</f>
        <v>PRL-017</v>
      </c>
      <c r="O15124" t="str">
        <f>IF(N15124="","",'Master Barang'!B18)</f>
        <v>onemed masker biru 3 play 50 pcs</v>
      </c>
      <c r="P15124">
        <f>IF(OR(M15124="",N15124=""),"",SUMIFS('Barang Keluar'!$E:$E,'Barang Keluar'!$A:$A,M15124,'Barang Keluar'!$C:$C,N15124))</f>
        <v>0</v>
      </c>
    </row>
    <row r="15125" spans="13:16">
      <c r="M15125" s="49">
        <f>IF($A$4+151&gt;$B$4,"",$A$4+151)</f>
        <v>46174</v>
      </c>
      <c r="N15125" t="str">
        <f>IF(M15125="","",'Master Barang'!A19)</f>
        <v>PRL-018</v>
      </c>
      <c r="O15125" t="str">
        <f>IF(N15125="","",'Master Barang'!B19)</f>
        <v>onemed masker biru 3 play hijab 50 pcs</v>
      </c>
      <c r="P15125">
        <f>IF(OR(M15125="",N15125=""),"",SUMIFS('Barang Keluar'!$E:$E,'Barang Keluar'!$A:$A,M15125,'Barang Keluar'!$C:$C,N15125))</f>
        <v>0</v>
      </c>
    </row>
    <row r="15126" spans="13:16">
      <c r="M15126" s="49">
        <f>IF($A$4+151&gt;$B$4,"",$A$4+151)</f>
        <v>46174</v>
      </c>
      <c r="N15126" t="str">
        <f>IF(M15126="","",'Master Barang'!A20)</f>
        <v>PRL-019</v>
      </c>
      <c r="O15126" t="str">
        <f>IF(N15126="","",'Master Barang'!B20)</f>
        <v>neo health masker biru 3 play 50 pcs</v>
      </c>
      <c r="P15126">
        <f>IF(OR(M15126="",N15126=""),"",SUMIFS('Barang Keluar'!$E:$E,'Barang Keluar'!$A:$A,M15126,'Barang Keluar'!$C:$C,N15126))</f>
        <v>0</v>
      </c>
    </row>
    <row r="15127" spans="13:16">
      <c r="M15127" s="49">
        <f>IF($A$4+151&gt;$B$4,"",$A$4+151)</f>
        <v>46174</v>
      </c>
      <c r="N15127" t="str">
        <f>IF(M15127="","",'Master Barang'!A21)</f>
        <v>PRL-020</v>
      </c>
      <c r="O15127" t="str">
        <f>IF(N15127="","",'Master Barang'!B21)</f>
        <v>baymed masker hijau 3 play hijau 50 pcs</v>
      </c>
      <c r="P15127">
        <f>IF(OR(M15127="",N15127=""),"",SUMIFS('Barang Keluar'!$E:$E,'Barang Keluar'!$A:$A,M15127,'Barang Keluar'!$C:$C,N15127))</f>
        <v>0</v>
      </c>
    </row>
    <row r="15128" spans="13:16">
      <c r="M15128" s="49">
        <f>IF($A$4+151&gt;$B$4,"",$A$4+151)</f>
        <v>46174</v>
      </c>
      <c r="N15128" t="str">
        <f>IF(M15128="","",'Master Barang'!A22)</f>
        <v>PRL-021</v>
      </c>
      <c r="O15128" t="str">
        <f>IF(N15128="","",'Master Barang'!B22)</f>
        <v>altamed nurse cap penutup kepala 100 pcs</v>
      </c>
      <c r="P15128">
        <f>IF(OR(M15128="",N15128=""),"",SUMIFS('Barang Keluar'!$E:$E,'Barang Keluar'!$A:$A,M15128,'Barang Keluar'!$C:$C,N15128))</f>
        <v>0</v>
      </c>
    </row>
    <row r="15129" spans="13:16">
      <c r="M15129" s="49">
        <f>IF($A$4+151&gt;$B$4,"",$A$4+151)</f>
        <v>46174</v>
      </c>
      <c r="N15129" t="str">
        <f>IF(M15129="","",'Master Barang'!A23)</f>
        <v>PRL-022</v>
      </c>
      <c r="O15129" t="str">
        <f>IF(N15129="","",'Master Barang'!B23)</f>
        <v>sabun cuci tangan</v>
      </c>
      <c r="P15129">
        <f>IF(OR(M15129="",N15129=""),"",SUMIFS('Barang Keluar'!$E:$E,'Barang Keluar'!$A:$A,M15129,'Barang Keluar'!$C:$C,N15129))</f>
        <v>0</v>
      </c>
    </row>
    <row r="15130" spans="13:16">
      <c r="M15130" s="49">
        <f>IF($A$4+151&gt;$B$4,"",$A$4+151)</f>
        <v>46174</v>
      </c>
      <c r="N15130" t="str">
        <f>IF(M15130="","",'Master Barang'!A24)</f>
        <v>PRL-023</v>
      </c>
      <c r="O15130" t="str">
        <f>IF(N15130="","",'Master Barang'!B24)</f>
        <v>gayung kecil</v>
      </c>
      <c r="P15130">
        <f>IF(OR(M15130="",N15130=""),"",SUMIFS('Barang Keluar'!$E:$E,'Barang Keluar'!$A:$A,M15130,'Barang Keluar'!$C:$C,N15130))</f>
        <v>0</v>
      </c>
    </row>
    <row r="15131" spans="13:16">
      <c r="M15131" s="49">
        <f>IF($A$4+151&gt;$B$4,"",$A$4+151)</f>
        <v>46174</v>
      </c>
      <c r="N15131" t="str">
        <f>IF(M15131="","",'Master Barang'!A25)</f>
        <v>PRL-024</v>
      </c>
      <c r="O15131" t="str">
        <f>IF(N15131="","",'Master Barang'!B25)</f>
        <v>cikrak kecil</v>
      </c>
      <c r="P15131">
        <f>IF(OR(M15131="",N15131=""),"",SUMIFS('Barang Keluar'!$E:$E,'Barang Keluar'!$A:$A,M15131,'Barang Keluar'!$C:$C,N15131))</f>
        <v>0</v>
      </c>
    </row>
    <row r="15132" spans="13:16">
      <c r="M15132" s="49">
        <f>IF($A$4+151&gt;$B$4,"",$A$4+151)</f>
        <v>46174</v>
      </c>
      <c r="N15132" t="str">
        <f>IF(M15132="","",'Master Barang'!A26)</f>
        <v>PRL-025</v>
      </c>
      <c r="O15132" t="str">
        <f>IF(N15132="","",'Master Barang'!B26)</f>
        <v>petromax plastik kecil 12x24 100 lembar</v>
      </c>
      <c r="P15132">
        <f>IF(OR(M15132="",N15132=""),"",SUMIFS('Barang Keluar'!$E:$E,'Barang Keluar'!$A:$A,M15132,'Barang Keluar'!$C:$C,N15132))</f>
        <v>0</v>
      </c>
    </row>
    <row r="15133" spans="13:16">
      <c r="M15133" s="49">
        <f>IF($A$4+151&gt;$B$4,"",$A$4+151)</f>
        <v>46174</v>
      </c>
      <c r="N15133" t="str">
        <f>IF(M15133="","",'Master Barang'!A27)</f>
        <v>PRL-026</v>
      </c>
      <c r="O15133" t="str">
        <f>IF(N15133="","",'Master Barang'!B27)</f>
        <v>lancar kresek kecil bening </v>
      </c>
      <c r="P15133">
        <f>IF(OR(M15133="",N15133=""),"",SUMIFS('Barang Keluar'!$E:$E,'Barang Keluar'!$A:$A,M15133,'Barang Keluar'!$C:$C,N15133))</f>
        <v>0</v>
      </c>
    </row>
    <row r="15134" spans="13:16">
      <c r="M15134" s="49">
        <f>IF($A$4+151&gt;$B$4,"",$A$4+151)</f>
        <v>46174</v>
      </c>
      <c r="N15134" t="str">
        <f>IF(M15134="","",'Master Barang'!A28)</f>
        <v>PRL-027</v>
      </c>
      <c r="O15134" t="str">
        <f>IF(N15134="","",'Master Barang'!B28)</f>
        <v>kresek klin warna warni kecil</v>
      </c>
      <c r="P15134">
        <f>IF(OR(M15134="",N15134=""),"",SUMIFS('Barang Keluar'!$E:$E,'Barang Keluar'!$A:$A,M15134,'Barang Keluar'!$C:$C,N15134))</f>
        <v>0</v>
      </c>
    </row>
    <row r="15135" spans="13:16">
      <c r="M15135" s="49">
        <f>IF($A$4+151&gt;$B$4,"",$A$4+151)</f>
        <v>46174</v>
      </c>
      <c r="N15135" t="str">
        <f>IF(M15135="","",'Master Barang'!A29)</f>
        <v>PRL-028</v>
      </c>
      <c r="O15135" t="str">
        <f>IF(N15135="","",'Master Barang'!B29)</f>
        <v>ctik plastik 7x10 100 pcs</v>
      </c>
      <c r="P15135">
        <f>IF(OR(M15135="",N15135=""),"",SUMIFS('Barang Keluar'!$E:$E,'Barang Keluar'!$A:$A,M15135,'Barang Keluar'!$C:$C,N15135))</f>
        <v>0</v>
      </c>
    </row>
    <row r="15136" spans="13:16">
      <c r="M15136" s="49">
        <f>IF($A$4+151&gt;$B$4,"",$A$4+151)</f>
        <v>46174</v>
      </c>
      <c r="N15136" t="str">
        <f>IF(M15136="","",'Master Barang'!A30)</f>
        <v>PRL-029</v>
      </c>
      <c r="O15136" t="str">
        <f>IF(N15136="","",'Master Barang'!B30)</f>
        <v>ctik plastik 6x10 100 pcs</v>
      </c>
      <c r="P15136">
        <f>IF(OR(M15136="",N15136=""),"",SUMIFS('Barang Keluar'!$E:$E,'Barang Keluar'!$A:$A,M15136,'Barang Keluar'!$C:$C,N15136))</f>
        <v>0</v>
      </c>
    </row>
    <row r="15137" spans="13:16">
      <c r="M15137" s="49">
        <f>IF($A$4+151&gt;$B$4,"",$A$4+151)</f>
        <v>46174</v>
      </c>
      <c r="N15137" t="str">
        <f>IF(M15137="","",'Master Barang'!A31)</f>
        <v>PRL-030</v>
      </c>
      <c r="O15137" t="str">
        <f>IF(N15137="","",'Master Barang'!B31)</f>
        <v>klip plastik 25x16 100 pcs</v>
      </c>
      <c r="P15137">
        <f>IF(OR(M15137="",N15137=""),"",SUMIFS('Barang Keluar'!$E:$E,'Barang Keluar'!$A:$A,M15137,'Barang Keluar'!$C:$C,N15137))</f>
        <v>0</v>
      </c>
    </row>
    <row r="15138" spans="13:16">
      <c r="M15138" s="49">
        <f>IF($A$4+151&gt;$B$4,"",$A$4+151)</f>
        <v>46174</v>
      </c>
      <c r="N15138" t="str">
        <f>IF(M15138="","",'Master Barang'!A32)</f>
        <v>PRL-031</v>
      </c>
      <c r="O15138" t="str">
        <f>IF(N15138="","",'Master Barang'!B32)</f>
        <v>tempat saus 20 ml</v>
      </c>
      <c r="P15138">
        <f>IF(OR(M15138="",N15138=""),"",SUMIFS('Barang Keluar'!$E:$E,'Barang Keluar'!$A:$A,M15138,'Barang Keluar'!$C:$C,N15138))</f>
        <v>0</v>
      </c>
    </row>
    <row r="15139" spans="13:16">
      <c r="M15139" s="49">
        <f>IF($A$4+151&gt;$B$4,"",$A$4+151)</f>
        <v>46174</v>
      </c>
      <c r="N15139" t="str">
        <f>IF(M15139="","",'Master Barang'!A33)</f>
        <v>PRL-032</v>
      </c>
      <c r="O15139" t="str">
        <f>IF(N15139="","",'Master Barang'!B33)</f>
        <v>plastik packaging ag box uk sedang</v>
      </c>
      <c r="P15139">
        <f>IF(OR(M15139="",N15139=""),"",SUMIFS('Barang Keluar'!$E:$E,'Barang Keluar'!$A:$A,M15139,'Barang Keluar'!$C:$C,N15139))</f>
        <v>0</v>
      </c>
    </row>
    <row r="15140" spans="13:16">
      <c r="M15140" s="49">
        <f>IF($A$4+151&gt;$B$4,"",$A$4+151)</f>
        <v>46174</v>
      </c>
      <c r="N15140" t="str">
        <f>IF(M15140="","",'Master Barang'!A34)</f>
        <v>PRL-033</v>
      </c>
      <c r="O15140">
        <f>IF(N15140="","",'Master Barang'!B34)</f>
        <v>0</v>
      </c>
      <c r="P15140">
        <f>IF(OR(M15140="",N15140=""),"",SUMIFS('Barang Keluar'!$E:$E,'Barang Keluar'!$A:$A,M15140,'Barang Keluar'!$C:$C,N15140))</f>
        <v>0</v>
      </c>
    </row>
    <row r="15141" spans="13:16">
      <c r="M15141" s="49">
        <f>IF($A$4+151&gt;$B$4,"",$A$4+151)</f>
        <v>46174</v>
      </c>
      <c r="N15141">
        <f>IF(M15141="","",'Master Barang'!A35)</f>
        <v>0</v>
      </c>
      <c r="O15141">
        <f>IF(N15141="","",'Master Barang'!B35)</f>
        <v>0</v>
      </c>
      <c r="P15141">
        <f>IF(OR(M15141="",N15141=""),"",SUMIFS('Barang Keluar'!$E:$E,'Barang Keluar'!$A:$A,M15141,'Barang Keluar'!$C:$C,N15141))</f>
        <v>0</v>
      </c>
    </row>
    <row r="15142" spans="13:16">
      <c r="M15142" s="49">
        <f>IF($A$4+151&gt;$B$4,"",$A$4+151)</f>
        <v>46174</v>
      </c>
      <c r="N15142">
        <f>IF(M15142="","",'Master Barang'!A36)</f>
        <v>0</v>
      </c>
      <c r="O15142">
        <f>IF(N15142="","",'Master Barang'!B36)</f>
        <v>0</v>
      </c>
      <c r="P15142">
        <f>IF(OR(M15142="",N15142=""),"",SUMIFS('Barang Keluar'!$E:$E,'Barang Keluar'!$A:$A,M15142,'Barang Keluar'!$C:$C,N15142))</f>
        <v>0</v>
      </c>
    </row>
    <row r="15143" spans="13:16">
      <c r="M15143" s="49">
        <f>IF($A$4+151&gt;$B$4,"",$A$4+151)</f>
        <v>46174</v>
      </c>
      <c r="N15143">
        <f>IF(M15143="","",'Master Barang'!A37)</f>
        <v>0</v>
      </c>
      <c r="O15143">
        <f>IF(N15143="","",'Master Barang'!B37)</f>
        <v>0</v>
      </c>
      <c r="P15143">
        <f>IF(OR(M15143="",N15143=""),"",SUMIFS('Barang Keluar'!$E:$E,'Barang Keluar'!$A:$A,M15143,'Barang Keluar'!$C:$C,N15143))</f>
        <v>0</v>
      </c>
    </row>
    <row r="15144" spans="13:16">
      <c r="M15144" s="49">
        <f>IF($A$4+151&gt;$B$4,"",$A$4+151)</f>
        <v>46174</v>
      </c>
      <c r="N15144">
        <f>IF(M15144="","",'Master Barang'!A38)</f>
        <v>0</v>
      </c>
      <c r="O15144">
        <f>IF(N15144="","",'Master Barang'!B38)</f>
        <v>0</v>
      </c>
      <c r="P15144">
        <f>IF(OR(M15144="",N15144=""),"",SUMIFS('Barang Keluar'!$E:$E,'Barang Keluar'!$A:$A,M15144,'Barang Keluar'!$C:$C,N15144))</f>
        <v>0</v>
      </c>
    </row>
    <row r="15145" spans="13:16">
      <c r="M15145" s="49">
        <f>IF($A$4+151&gt;$B$4,"",$A$4+151)</f>
        <v>46174</v>
      </c>
      <c r="N15145">
        <f>IF(M15145="","",'Master Barang'!A39)</f>
        <v>0</v>
      </c>
      <c r="O15145">
        <f>IF(N15145="","",'Master Barang'!B39)</f>
        <v>0</v>
      </c>
      <c r="P15145">
        <f>IF(OR(M15145="",N15145=""),"",SUMIFS('Barang Keluar'!$E:$E,'Barang Keluar'!$A:$A,M15145,'Barang Keluar'!$C:$C,N15145))</f>
        <v>0</v>
      </c>
    </row>
    <row r="15146" spans="13:16">
      <c r="M15146" s="49">
        <f>IF($A$4+151&gt;$B$4,"",$A$4+151)</f>
        <v>46174</v>
      </c>
      <c r="N15146">
        <f>IF(M15146="","",'Master Barang'!A40)</f>
        <v>0</v>
      </c>
      <c r="O15146">
        <f>IF(N15146="","",'Master Barang'!B40)</f>
        <v>0</v>
      </c>
      <c r="P15146">
        <f>IF(OR(M15146="",N15146=""),"",SUMIFS('Barang Keluar'!$E:$E,'Barang Keluar'!$A:$A,M15146,'Barang Keluar'!$C:$C,N15146))</f>
        <v>0</v>
      </c>
    </row>
    <row r="15147" spans="13:16">
      <c r="M15147" s="49">
        <f>IF($A$4+151&gt;$B$4,"",$A$4+151)</f>
        <v>46174</v>
      </c>
      <c r="N15147">
        <f>IF(M15147="","",'Master Barang'!A41)</f>
        <v>0</v>
      </c>
      <c r="O15147">
        <f>IF(N15147="","",'Master Barang'!B41)</f>
        <v>0</v>
      </c>
      <c r="P15147">
        <f>IF(OR(M15147="",N15147=""),"",SUMIFS('Barang Keluar'!$E:$E,'Barang Keluar'!$A:$A,M15147,'Barang Keluar'!$C:$C,N15147))</f>
        <v>0</v>
      </c>
    </row>
    <row r="15148" spans="13:16">
      <c r="M15148" s="49">
        <f>IF($A$4+151&gt;$B$4,"",$A$4+151)</f>
        <v>46174</v>
      </c>
      <c r="N15148">
        <f>IF(M15148="","",'Master Barang'!A42)</f>
        <v>0</v>
      </c>
      <c r="O15148">
        <f>IF(N15148="","",'Master Barang'!B42)</f>
        <v>0</v>
      </c>
      <c r="P15148">
        <f>IF(OR(M15148="",N15148=""),"",SUMIFS('Barang Keluar'!$E:$E,'Barang Keluar'!$A:$A,M15148,'Barang Keluar'!$C:$C,N15148))</f>
        <v>0</v>
      </c>
    </row>
    <row r="15149" spans="13:16">
      <c r="M15149" s="49">
        <f>IF($A$4+151&gt;$B$4,"",$A$4+151)</f>
        <v>46174</v>
      </c>
      <c r="N15149">
        <f>IF(M15149="","",'Master Barang'!A43)</f>
        <v>0</v>
      </c>
      <c r="O15149">
        <f>IF(N15149="","",'Master Barang'!B43)</f>
        <v>0</v>
      </c>
      <c r="P15149">
        <f>IF(OR(M15149="",N15149=""),"",SUMIFS('Barang Keluar'!$E:$E,'Barang Keluar'!$A:$A,M15149,'Barang Keluar'!$C:$C,N15149))</f>
        <v>0</v>
      </c>
    </row>
    <row r="15150" spans="13:16">
      <c r="M15150" s="49">
        <f>IF($A$4+151&gt;$B$4,"",$A$4+151)</f>
        <v>46174</v>
      </c>
      <c r="N15150">
        <f>IF(M15150="","",'Master Barang'!A44)</f>
        <v>0</v>
      </c>
      <c r="O15150">
        <f>IF(N15150="","",'Master Barang'!B44)</f>
        <v>0</v>
      </c>
      <c r="P15150">
        <f>IF(OR(M15150="",N15150=""),"",SUMIFS('Barang Keluar'!$E:$E,'Barang Keluar'!$A:$A,M15150,'Barang Keluar'!$C:$C,N15150))</f>
        <v>0</v>
      </c>
    </row>
    <row r="15151" spans="13:16">
      <c r="M15151" s="49">
        <f>IF($A$4+151&gt;$B$4,"",$A$4+151)</f>
        <v>46174</v>
      </c>
      <c r="N15151">
        <f>IF(M15151="","",'Master Barang'!A45)</f>
        <v>0</v>
      </c>
      <c r="O15151">
        <f>IF(N15151="","",'Master Barang'!B45)</f>
        <v>0</v>
      </c>
      <c r="P15151">
        <f>IF(OR(M15151="",N15151=""),"",SUMIFS('Barang Keluar'!$E:$E,'Barang Keluar'!$A:$A,M15151,'Barang Keluar'!$C:$C,N15151))</f>
        <v>0</v>
      </c>
    </row>
    <row r="15152" spans="13:16">
      <c r="M15152" s="49">
        <f>IF($A$4+151&gt;$B$4,"",$A$4+151)</f>
        <v>46174</v>
      </c>
      <c r="N15152">
        <f>IF(M15152="","",'Master Barang'!A46)</f>
        <v>0</v>
      </c>
      <c r="O15152">
        <f>IF(N15152="","",'Master Barang'!B46)</f>
        <v>0</v>
      </c>
      <c r="P15152">
        <f>IF(OR(M15152="",N15152=""),"",SUMIFS('Barang Keluar'!$E:$E,'Barang Keluar'!$A:$A,M15152,'Barang Keluar'!$C:$C,N15152))</f>
        <v>0</v>
      </c>
    </row>
    <row r="15153" spans="13:16">
      <c r="M15153" s="49">
        <f>IF($A$4+151&gt;$B$4,"",$A$4+151)</f>
        <v>46174</v>
      </c>
      <c r="N15153">
        <f>IF(M15153="","",'Master Barang'!A47)</f>
        <v>0</v>
      </c>
      <c r="O15153">
        <f>IF(N15153="","",'Master Barang'!B47)</f>
        <v>0</v>
      </c>
      <c r="P15153">
        <f>IF(OR(M15153="",N15153=""),"",SUMIFS('Barang Keluar'!$E:$E,'Barang Keluar'!$A:$A,M15153,'Barang Keluar'!$C:$C,N15153))</f>
        <v>0</v>
      </c>
    </row>
    <row r="15154" spans="13:16">
      <c r="M15154" s="49">
        <f>IF($A$4+151&gt;$B$4,"",$A$4+151)</f>
        <v>46174</v>
      </c>
      <c r="N15154">
        <f>IF(M15154="","",'Master Barang'!A48)</f>
        <v>0</v>
      </c>
      <c r="O15154">
        <f>IF(N15154="","",'Master Barang'!B48)</f>
        <v>0</v>
      </c>
      <c r="P15154">
        <f>IF(OR(M15154="",N15154=""),"",SUMIFS('Barang Keluar'!$E:$E,'Barang Keluar'!$A:$A,M15154,'Barang Keluar'!$C:$C,N15154))</f>
        <v>0</v>
      </c>
    </row>
    <row r="15155" spans="13:16">
      <c r="M15155" s="49">
        <f>IF($A$4+151&gt;$B$4,"",$A$4+151)</f>
        <v>46174</v>
      </c>
      <c r="N15155">
        <f>IF(M15155="","",'Master Barang'!A49)</f>
        <v>0</v>
      </c>
      <c r="O15155">
        <f>IF(N15155="","",'Master Barang'!B49)</f>
        <v>0</v>
      </c>
      <c r="P15155">
        <f>IF(OR(M15155="",N15155=""),"",SUMIFS('Barang Keluar'!$E:$E,'Barang Keluar'!$A:$A,M15155,'Barang Keluar'!$C:$C,N15155))</f>
        <v>0</v>
      </c>
    </row>
    <row r="15156" spans="13:16">
      <c r="M15156" s="49">
        <f>IF($A$4+151&gt;$B$4,"",$A$4+151)</f>
        <v>46174</v>
      </c>
      <c r="N15156">
        <f>IF(M15156="","",'Master Barang'!A50)</f>
        <v>0</v>
      </c>
      <c r="O15156">
        <f>IF(N15156="","",'Master Barang'!B50)</f>
        <v>0</v>
      </c>
      <c r="P15156">
        <f>IF(OR(M15156="",N15156=""),"",SUMIFS('Barang Keluar'!$E:$E,'Barang Keluar'!$A:$A,M15156,'Barang Keluar'!$C:$C,N15156))</f>
        <v>0</v>
      </c>
    </row>
    <row r="15157" spans="13:16">
      <c r="M15157" s="49">
        <f>IF($A$4+151&gt;$B$4,"",$A$4+151)</f>
        <v>46174</v>
      </c>
      <c r="N15157">
        <f>IF(M15157="","",'Master Barang'!A51)</f>
        <v>0</v>
      </c>
      <c r="O15157">
        <f>IF(N15157="","",'Master Barang'!B51)</f>
        <v>0</v>
      </c>
      <c r="P15157">
        <f>IF(OR(M15157="",N15157=""),"",SUMIFS('Barang Keluar'!$E:$E,'Barang Keluar'!$A:$A,M15157,'Barang Keluar'!$C:$C,N15157))</f>
        <v>0</v>
      </c>
    </row>
    <row r="15158" spans="13:16">
      <c r="M15158" s="49">
        <f>IF($A$4+151&gt;$B$4,"",$A$4+151)</f>
        <v>46174</v>
      </c>
      <c r="N15158">
        <f>IF(M15158="","",'Master Barang'!A52)</f>
        <v>0</v>
      </c>
      <c r="O15158">
        <f>IF(N15158="","",'Master Barang'!B52)</f>
        <v>0</v>
      </c>
      <c r="P15158">
        <f>IF(OR(M15158="",N15158=""),"",SUMIFS('Barang Keluar'!$E:$E,'Barang Keluar'!$A:$A,M15158,'Barang Keluar'!$C:$C,N15158))</f>
        <v>0</v>
      </c>
    </row>
    <row r="15159" spans="13:16">
      <c r="M15159" s="49">
        <f>IF($A$4+151&gt;$B$4,"",$A$4+151)</f>
        <v>46174</v>
      </c>
      <c r="N15159">
        <f>IF(M15159="","",'Master Barang'!A53)</f>
        <v>0</v>
      </c>
      <c r="O15159">
        <f>IF(N15159="","",'Master Barang'!B53)</f>
        <v>0</v>
      </c>
      <c r="P15159">
        <f>IF(OR(M15159="",N15159=""),"",SUMIFS('Barang Keluar'!$E:$E,'Barang Keluar'!$A:$A,M15159,'Barang Keluar'!$C:$C,N15159))</f>
        <v>0</v>
      </c>
    </row>
    <row r="15160" spans="13:16">
      <c r="M15160" s="49">
        <f>IF($A$4+151&gt;$B$4,"",$A$4+151)</f>
        <v>46174</v>
      </c>
      <c r="N15160">
        <f>IF(M15160="","",'Master Barang'!A54)</f>
        <v>0</v>
      </c>
      <c r="O15160">
        <f>IF(N15160="","",'Master Barang'!B54)</f>
        <v>0</v>
      </c>
      <c r="P15160">
        <f>IF(OR(M15160="",N15160=""),"",SUMIFS('Barang Keluar'!$E:$E,'Barang Keluar'!$A:$A,M15160,'Barang Keluar'!$C:$C,N15160))</f>
        <v>0</v>
      </c>
    </row>
    <row r="15161" spans="13:16">
      <c r="M15161" s="49">
        <f>IF($A$4+151&gt;$B$4,"",$A$4+151)</f>
        <v>46174</v>
      </c>
      <c r="N15161">
        <f>IF(M15161="","",'Master Barang'!A55)</f>
        <v>0</v>
      </c>
      <c r="O15161">
        <f>IF(N15161="","",'Master Barang'!B55)</f>
        <v>0</v>
      </c>
      <c r="P15161">
        <f>IF(OR(M15161="",N15161=""),"",SUMIFS('Barang Keluar'!$E:$E,'Barang Keluar'!$A:$A,M15161,'Barang Keluar'!$C:$C,N15161))</f>
        <v>0</v>
      </c>
    </row>
    <row r="15162" spans="13:16">
      <c r="M15162" s="49">
        <f>IF($A$4+151&gt;$B$4,"",$A$4+151)</f>
        <v>46174</v>
      </c>
      <c r="N15162">
        <f>IF(M15162="","",'Master Barang'!A56)</f>
        <v>0</v>
      </c>
      <c r="O15162">
        <f>IF(N15162="","",'Master Barang'!B56)</f>
        <v>0</v>
      </c>
      <c r="P15162">
        <f>IF(OR(M15162="",N15162=""),"",SUMIFS('Barang Keluar'!$E:$E,'Barang Keluar'!$A:$A,M15162,'Barang Keluar'!$C:$C,N15162))</f>
        <v>0</v>
      </c>
    </row>
    <row r="15163" spans="13:16">
      <c r="M15163" s="49">
        <f>IF($A$4+151&gt;$B$4,"",$A$4+151)</f>
        <v>46174</v>
      </c>
      <c r="N15163">
        <f>IF(M15163="","",'Master Barang'!A57)</f>
        <v>0</v>
      </c>
      <c r="O15163">
        <f>IF(N15163="","",'Master Barang'!B57)</f>
        <v>0</v>
      </c>
      <c r="P15163">
        <f>IF(OR(M15163="",N15163=""),"",SUMIFS('Barang Keluar'!$E:$E,'Barang Keluar'!$A:$A,M15163,'Barang Keluar'!$C:$C,N15163))</f>
        <v>0</v>
      </c>
    </row>
    <row r="15164" spans="13:16">
      <c r="M15164" s="49">
        <f>IF($A$4+151&gt;$B$4,"",$A$4+151)</f>
        <v>46174</v>
      </c>
      <c r="N15164">
        <f>IF(M15164="","",'Master Barang'!A58)</f>
        <v>0</v>
      </c>
      <c r="O15164">
        <f>IF(N15164="","",'Master Barang'!B58)</f>
        <v>0</v>
      </c>
      <c r="P15164">
        <f>IF(OR(M15164="",N15164=""),"",SUMIFS('Barang Keluar'!$E:$E,'Barang Keluar'!$A:$A,M15164,'Barang Keluar'!$C:$C,N15164))</f>
        <v>0</v>
      </c>
    </row>
    <row r="15165" spans="13:16">
      <c r="M15165" s="49">
        <f>IF($A$4+151&gt;$B$4,"",$A$4+151)</f>
        <v>46174</v>
      </c>
      <c r="N15165">
        <f>IF(M15165="","",'Master Barang'!A59)</f>
        <v>0</v>
      </c>
      <c r="O15165">
        <f>IF(N15165="","",'Master Barang'!B59)</f>
        <v>0</v>
      </c>
      <c r="P15165">
        <f>IF(OR(M15165="",N15165=""),"",SUMIFS('Barang Keluar'!$E:$E,'Barang Keluar'!$A:$A,M15165,'Barang Keluar'!$C:$C,N15165))</f>
        <v>0</v>
      </c>
    </row>
    <row r="15166" spans="13:16">
      <c r="M15166" s="49">
        <f>IF($A$4+151&gt;$B$4,"",$A$4+151)</f>
        <v>46174</v>
      </c>
      <c r="N15166">
        <f>IF(M15166="","",'Master Barang'!A60)</f>
        <v>0</v>
      </c>
      <c r="O15166">
        <f>IF(N15166="","",'Master Barang'!B60)</f>
        <v>0</v>
      </c>
      <c r="P15166">
        <f>IF(OR(M15166="",N15166=""),"",SUMIFS('Barang Keluar'!$E:$E,'Barang Keluar'!$A:$A,M15166,'Barang Keluar'!$C:$C,N15166))</f>
        <v>0</v>
      </c>
    </row>
    <row r="15167" spans="13:16">
      <c r="M15167" s="49">
        <f>IF($A$4+151&gt;$B$4,"",$A$4+151)</f>
        <v>46174</v>
      </c>
      <c r="N15167">
        <f>IF(M15167="","",'Master Barang'!A61)</f>
        <v>0</v>
      </c>
      <c r="O15167">
        <f>IF(N15167="","",'Master Barang'!B61)</f>
        <v>0</v>
      </c>
      <c r="P15167">
        <f>IF(OR(M15167="",N15167=""),"",SUMIFS('Barang Keluar'!$E:$E,'Barang Keluar'!$A:$A,M15167,'Barang Keluar'!$C:$C,N15167))</f>
        <v>0</v>
      </c>
    </row>
    <row r="15168" spans="13:16">
      <c r="M15168" s="49">
        <f>IF($A$4+151&gt;$B$4,"",$A$4+151)</f>
        <v>46174</v>
      </c>
      <c r="N15168">
        <f>IF(M15168="","",'Master Barang'!A62)</f>
        <v>0</v>
      </c>
      <c r="O15168">
        <f>IF(N15168="","",'Master Barang'!B62)</f>
        <v>0</v>
      </c>
      <c r="P15168">
        <f>IF(OR(M15168="",N15168=""),"",SUMIFS('Barang Keluar'!$E:$E,'Barang Keluar'!$A:$A,M15168,'Barang Keluar'!$C:$C,N15168))</f>
        <v>0</v>
      </c>
    </row>
    <row r="15169" spans="13:16">
      <c r="M15169" s="49">
        <f>IF($A$4+151&gt;$B$4,"",$A$4+151)</f>
        <v>46174</v>
      </c>
      <c r="N15169">
        <f>IF(M15169="","",'Master Barang'!A63)</f>
        <v>0</v>
      </c>
      <c r="O15169">
        <f>IF(N15169="","",'Master Barang'!B63)</f>
        <v>0</v>
      </c>
      <c r="P15169">
        <f>IF(OR(M15169="",N15169=""),"",SUMIFS('Barang Keluar'!$E:$E,'Barang Keluar'!$A:$A,M15169,'Barang Keluar'!$C:$C,N15169))</f>
        <v>0</v>
      </c>
    </row>
    <row r="15170" spans="13:16">
      <c r="M15170" s="49">
        <f>IF($A$4+151&gt;$B$4,"",$A$4+151)</f>
        <v>46174</v>
      </c>
      <c r="N15170">
        <f>IF(M15170="","",'Master Barang'!A64)</f>
        <v>0</v>
      </c>
      <c r="O15170">
        <f>IF(N15170="","",'Master Barang'!B64)</f>
        <v>0</v>
      </c>
      <c r="P15170">
        <f>IF(OR(M15170="",N15170=""),"",SUMIFS('Barang Keluar'!$E:$E,'Barang Keluar'!$A:$A,M15170,'Barang Keluar'!$C:$C,N15170))</f>
        <v>0</v>
      </c>
    </row>
    <row r="15171" spans="13:16">
      <c r="M15171" s="49">
        <f>IF($A$4+151&gt;$B$4,"",$A$4+151)</f>
        <v>46174</v>
      </c>
      <c r="N15171">
        <f>IF(M15171="","",'Master Barang'!A65)</f>
        <v>0</v>
      </c>
      <c r="O15171">
        <f>IF(N15171="","",'Master Barang'!B65)</f>
        <v>0</v>
      </c>
      <c r="P15171">
        <f>IF(OR(M15171="",N15171=""),"",SUMIFS('Barang Keluar'!$E:$E,'Barang Keluar'!$A:$A,M15171,'Barang Keluar'!$C:$C,N15171))</f>
        <v>0</v>
      </c>
    </row>
    <row r="15172" spans="13:16">
      <c r="M15172" s="49">
        <f>IF($A$4+151&gt;$B$4,"",$A$4+151)</f>
        <v>46174</v>
      </c>
      <c r="N15172">
        <f>IF(M15172="","",'Master Barang'!A66)</f>
        <v>0</v>
      </c>
      <c r="O15172">
        <f>IF(N15172="","",'Master Barang'!B66)</f>
        <v>0</v>
      </c>
      <c r="P15172">
        <f>IF(OR(M15172="",N15172=""),"",SUMIFS('Barang Keluar'!$E:$E,'Barang Keluar'!$A:$A,M15172,'Barang Keluar'!$C:$C,N15172))</f>
        <v>0</v>
      </c>
    </row>
    <row r="15173" spans="13:16">
      <c r="M15173" s="49">
        <f>IF($A$4+151&gt;$B$4,"",$A$4+151)</f>
        <v>46174</v>
      </c>
      <c r="N15173">
        <f>IF(M15173="","",'Master Barang'!A67)</f>
        <v>0</v>
      </c>
      <c r="O15173">
        <f>IF(N15173="","",'Master Barang'!B67)</f>
        <v>0</v>
      </c>
      <c r="P15173">
        <f>IF(OR(M15173="",N15173=""),"",SUMIFS('Barang Keluar'!$E:$E,'Barang Keluar'!$A:$A,M15173,'Barang Keluar'!$C:$C,N15173))</f>
        <v>0</v>
      </c>
    </row>
    <row r="15174" spans="13:16">
      <c r="M15174" s="49">
        <f>IF($A$4+151&gt;$B$4,"",$A$4+151)</f>
        <v>46174</v>
      </c>
      <c r="N15174">
        <f>IF(M15174="","",'Master Barang'!A68)</f>
        <v>0</v>
      </c>
      <c r="O15174">
        <f>IF(N15174="","",'Master Barang'!B68)</f>
        <v>0</v>
      </c>
      <c r="P15174">
        <f>IF(OR(M15174="",N15174=""),"",SUMIFS('Barang Keluar'!$E:$E,'Barang Keluar'!$A:$A,M15174,'Barang Keluar'!$C:$C,N15174))</f>
        <v>0</v>
      </c>
    </row>
    <row r="15175" spans="13:16">
      <c r="M15175" s="49">
        <f>IF($A$4+151&gt;$B$4,"",$A$4+151)</f>
        <v>46174</v>
      </c>
      <c r="N15175">
        <f>IF(M15175="","",'Master Barang'!A69)</f>
        <v>0</v>
      </c>
      <c r="O15175">
        <f>IF(N15175="","",'Master Barang'!B69)</f>
        <v>0</v>
      </c>
      <c r="P15175">
        <f>IF(OR(M15175="",N15175=""),"",SUMIFS('Barang Keluar'!$E:$E,'Barang Keluar'!$A:$A,M15175,'Barang Keluar'!$C:$C,N15175))</f>
        <v>0</v>
      </c>
    </row>
    <row r="15176" spans="13:16">
      <c r="M15176" s="49">
        <f>IF($A$4+151&gt;$B$4,"",$A$4+151)</f>
        <v>46174</v>
      </c>
      <c r="N15176">
        <f>IF(M15176="","",'Master Barang'!A70)</f>
        <v>0</v>
      </c>
      <c r="O15176">
        <f>IF(N15176="","",'Master Barang'!B70)</f>
        <v>0</v>
      </c>
      <c r="P15176">
        <f>IF(OR(M15176="",N15176=""),"",SUMIFS('Barang Keluar'!$E:$E,'Barang Keluar'!$A:$A,M15176,'Barang Keluar'!$C:$C,N15176))</f>
        <v>0</v>
      </c>
    </row>
    <row r="15177" spans="13:16">
      <c r="M15177" s="49">
        <f>IF($A$4+151&gt;$B$4,"",$A$4+151)</f>
        <v>46174</v>
      </c>
      <c r="N15177">
        <f>IF(M15177="","",'Master Barang'!A71)</f>
        <v>0</v>
      </c>
      <c r="O15177">
        <f>IF(N15177="","",'Master Barang'!B71)</f>
        <v>0</v>
      </c>
      <c r="P15177">
        <f>IF(OR(M15177="",N15177=""),"",SUMIFS('Barang Keluar'!$E:$E,'Barang Keluar'!$A:$A,M15177,'Barang Keluar'!$C:$C,N15177))</f>
        <v>0</v>
      </c>
    </row>
    <row r="15178" spans="13:16">
      <c r="M15178" s="49">
        <f>IF($A$4+151&gt;$B$4,"",$A$4+151)</f>
        <v>46174</v>
      </c>
      <c r="N15178">
        <f>IF(M15178="","",'Master Barang'!A72)</f>
        <v>0</v>
      </c>
      <c r="O15178">
        <f>IF(N15178="","",'Master Barang'!B72)</f>
        <v>0</v>
      </c>
      <c r="P15178">
        <f>IF(OR(M15178="",N15178=""),"",SUMIFS('Barang Keluar'!$E:$E,'Barang Keluar'!$A:$A,M15178,'Barang Keluar'!$C:$C,N15178))</f>
        <v>0</v>
      </c>
    </row>
    <row r="15179" spans="13:16">
      <c r="M15179" s="49">
        <f>IF($A$4+151&gt;$B$4,"",$A$4+151)</f>
        <v>46174</v>
      </c>
      <c r="N15179">
        <f>IF(M15179="","",'Master Barang'!A73)</f>
        <v>0</v>
      </c>
      <c r="O15179">
        <f>IF(N15179="","",'Master Barang'!B73)</f>
        <v>0</v>
      </c>
      <c r="P15179">
        <f>IF(OR(M15179="",N15179=""),"",SUMIFS('Barang Keluar'!$E:$E,'Barang Keluar'!$A:$A,M15179,'Barang Keluar'!$C:$C,N15179))</f>
        <v>0</v>
      </c>
    </row>
    <row r="15180" spans="13:16">
      <c r="M15180" s="49">
        <f>IF($A$4+151&gt;$B$4,"",$A$4+151)</f>
        <v>46174</v>
      </c>
      <c r="N15180">
        <f>IF(M15180="","",'Master Barang'!A74)</f>
        <v>0</v>
      </c>
      <c r="O15180">
        <f>IF(N15180="","",'Master Barang'!B74)</f>
        <v>0</v>
      </c>
      <c r="P15180">
        <f>IF(OR(M15180="",N15180=""),"",SUMIFS('Barang Keluar'!$E:$E,'Barang Keluar'!$A:$A,M15180,'Barang Keluar'!$C:$C,N15180))</f>
        <v>0</v>
      </c>
    </row>
    <row r="15181" spans="13:16">
      <c r="M15181" s="49">
        <f>IF($A$4+151&gt;$B$4,"",$A$4+151)</f>
        <v>46174</v>
      </c>
      <c r="N15181">
        <f>IF(M15181="","",'Master Barang'!A75)</f>
        <v>0</v>
      </c>
      <c r="O15181">
        <f>IF(N15181="","",'Master Barang'!B75)</f>
        <v>0</v>
      </c>
      <c r="P15181">
        <f>IF(OR(M15181="",N15181=""),"",SUMIFS('Barang Keluar'!$E:$E,'Barang Keluar'!$A:$A,M15181,'Barang Keluar'!$C:$C,N15181))</f>
        <v>0</v>
      </c>
    </row>
    <row r="15182" spans="13:16">
      <c r="M15182" s="49">
        <f>IF($A$4+151&gt;$B$4,"",$A$4+151)</f>
        <v>46174</v>
      </c>
      <c r="N15182">
        <f>IF(M15182="","",'Master Barang'!A76)</f>
        <v>0</v>
      </c>
      <c r="O15182">
        <f>IF(N15182="","",'Master Barang'!B76)</f>
        <v>0</v>
      </c>
      <c r="P15182">
        <f>IF(OR(M15182="",N15182=""),"",SUMIFS('Barang Keluar'!$E:$E,'Barang Keluar'!$A:$A,M15182,'Barang Keluar'!$C:$C,N15182))</f>
        <v>0</v>
      </c>
    </row>
    <row r="15183" spans="13:16">
      <c r="M15183" s="49">
        <f>IF($A$4+151&gt;$B$4,"",$A$4+151)</f>
        <v>46174</v>
      </c>
      <c r="N15183">
        <f>IF(M15183="","",'Master Barang'!A77)</f>
        <v>0</v>
      </c>
      <c r="O15183">
        <f>IF(N15183="","",'Master Barang'!B77)</f>
        <v>0</v>
      </c>
      <c r="P15183">
        <f>IF(OR(M15183="",N15183=""),"",SUMIFS('Barang Keluar'!$E:$E,'Barang Keluar'!$A:$A,M15183,'Barang Keluar'!$C:$C,N15183))</f>
        <v>0</v>
      </c>
    </row>
    <row r="15184" spans="13:16">
      <c r="M15184" s="49">
        <f>IF($A$4+151&gt;$B$4,"",$A$4+151)</f>
        <v>46174</v>
      </c>
      <c r="N15184">
        <f>IF(M15184="","",'Master Barang'!A78)</f>
        <v>0</v>
      </c>
      <c r="O15184">
        <f>IF(N15184="","",'Master Barang'!B78)</f>
        <v>0</v>
      </c>
      <c r="P15184">
        <f>IF(OR(M15184="",N15184=""),"",SUMIFS('Barang Keluar'!$E:$E,'Barang Keluar'!$A:$A,M15184,'Barang Keluar'!$C:$C,N15184))</f>
        <v>0</v>
      </c>
    </row>
    <row r="15185" spans="13:16">
      <c r="M15185" s="49">
        <f>IF($A$4+151&gt;$B$4,"",$A$4+151)</f>
        <v>46174</v>
      </c>
      <c r="N15185">
        <f>IF(M15185="","",'Master Barang'!A79)</f>
        <v>0</v>
      </c>
      <c r="O15185">
        <f>IF(N15185="","",'Master Barang'!B79)</f>
        <v>0</v>
      </c>
      <c r="P15185">
        <f>IF(OR(M15185="",N15185=""),"",SUMIFS('Barang Keluar'!$E:$E,'Barang Keluar'!$A:$A,M15185,'Barang Keluar'!$C:$C,N15185))</f>
        <v>0</v>
      </c>
    </row>
    <row r="15186" spans="13:16">
      <c r="M15186" s="49">
        <f>IF($A$4+151&gt;$B$4,"",$A$4+151)</f>
        <v>46174</v>
      </c>
      <c r="N15186">
        <f>IF(M15186="","",'Master Barang'!A80)</f>
        <v>0</v>
      </c>
      <c r="O15186">
        <f>IF(N15186="","",'Master Barang'!B80)</f>
        <v>0</v>
      </c>
      <c r="P15186">
        <f>IF(OR(M15186="",N15186=""),"",SUMIFS('Barang Keluar'!$E:$E,'Barang Keluar'!$A:$A,M15186,'Barang Keluar'!$C:$C,N15186))</f>
        <v>0</v>
      </c>
    </row>
    <row r="15187" spans="13:16">
      <c r="M15187" s="49">
        <f>IF($A$4+151&gt;$B$4,"",$A$4+151)</f>
        <v>46174</v>
      </c>
      <c r="N15187">
        <f>IF(M15187="","",'Master Barang'!A81)</f>
        <v>0</v>
      </c>
      <c r="O15187">
        <f>IF(N15187="","",'Master Barang'!B81)</f>
        <v>0</v>
      </c>
      <c r="P15187">
        <f>IF(OR(M15187="",N15187=""),"",SUMIFS('Barang Keluar'!$E:$E,'Barang Keluar'!$A:$A,M15187,'Barang Keluar'!$C:$C,N15187))</f>
        <v>0</v>
      </c>
    </row>
    <row r="15188" spans="13:16">
      <c r="M15188" s="49">
        <f>IF($A$4+151&gt;$B$4,"",$A$4+151)</f>
        <v>46174</v>
      </c>
      <c r="N15188">
        <f>IF(M15188="","",'Master Barang'!A82)</f>
        <v>0</v>
      </c>
      <c r="O15188">
        <f>IF(N15188="","",'Master Barang'!B82)</f>
        <v>0</v>
      </c>
      <c r="P15188">
        <f>IF(OR(M15188="",N15188=""),"",SUMIFS('Barang Keluar'!$E:$E,'Barang Keluar'!$A:$A,M15188,'Barang Keluar'!$C:$C,N15188))</f>
        <v>0</v>
      </c>
    </row>
    <row r="15189" spans="13:16">
      <c r="M15189" s="49">
        <f>IF($A$4+151&gt;$B$4,"",$A$4+151)</f>
        <v>46174</v>
      </c>
      <c r="N15189">
        <f>IF(M15189="","",'Master Barang'!A83)</f>
        <v>0</v>
      </c>
      <c r="O15189">
        <f>IF(N15189="","",'Master Barang'!B83)</f>
        <v>0</v>
      </c>
      <c r="P15189">
        <f>IF(OR(M15189="",N15189=""),"",SUMIFS('Barang Keluar'!$E:$E,'Barang Keluar'!$A:$A,M15189,'Barang Keluar'!$C:$C,N15189))</f>
        <v>0</v>
      </c>
    </row>
    <row r="15190" spans="13:16">
      <c r="M15190" s="49">
        <f>IF($A$4+151&gt;$B$4,"",$A$4+151)</f>
        <v>46174</v>
      </c>
      <c r="N15190">
        <f>IF(M15190="","",'Master Barang'!A84)</f>
        <v>0</v>
      </c>
      <c r="O15190">
        <f>IF(N15190="","",'Master Barang'!B84)</f>
        <v>0</v>
      </c>
      <c r="P15190">
        <f>IF(OR(M15190="",N15190=""),"",SUMIFS('Barang Keluar'!$E:$E,'Barang Keluar'!$A:$A,M15190,'Barang Keluar'!$C:$C,N15190))</f>
        <v>0</v>
      </c>
    </row>
    <row r="15191" spans="13:16">
      <c r="M15191" s="49">
        <f>IF($A$4+151&gt;$B$4,"",$A$4+151)</f>
        <v>46174</v>
      </c>
      <c r="N15191">
        <f>IF(M15191="","",'Master Barang'!A85)</f>
        <v>0</v>
      </c>
      <c r="O15191">
        <f>IF(N15191="","",'Master Barang'!B85)</f>
        <v>0</v>
      </c>
      <c r="P15191">
        <f>IF(OR(M15191="",N15191=""),"",SUMIFS('Barang Keluar'!$E:$E,'Barang Keluar'!$A:$A,M15191,'Barang Keluar'!$C:$C,N15191))</f>
        <v>0</v>
      </c>
    </row>
    <row r="15192" spans="13:16">
      <c r="M15192" s="49">
        <f>IF($A$4+151&gt;$B$4,"",$A$4+151)</f>
        <v>46174</v>
      </c>
      <c r="N15192">
        <f>IF(M15192="","",'Master Barang'!A86)</f>
        <v>0</v>
      </c>
      <c r="O15192">
        <f>IF(N15192="","",'Master Barang'!B86)</f>
        <v>0</v>
      </c>
      <c r="P15192">
        <f>IF(OR(M15192="",N15192=""),"",SUMIFS('Barang Keluar'!$E:$E,'Barang Keluar'!$A:$A,M15192,'Barang Keluar'!$C:$C,N15192))</f>
        <v>0</v>
      </c>
    </row>
    <row r="15193" spans="13:16">
      <c r="M15193" s="49">
        <f>IF($A$4+151&gt;$B$4,"",$A$4+151)</f>
        <v>46174</v>
      </c>
      <c r="N15193">
        <f>IF(M15193="","",'Master Barang'!A87)</f>
        <v>0</v>
      </c>
      <c r="O15193">
        <f>IF(N15193="","",'Master Barang'!B87)</f>
        <v>0</v>
      </c>
      <c r="P15193">
        <f>IF(OR(M15193="",N15193=""),"",SUMIFS('Barang Keluar'!$E:$E,'Barang Keluar'!$A:$A,M15193,'Barang Keluar'!$C:$C,N15193))</f>
        <v>0</v>
      </c>
    </row>
    <row r="15194" spans="13:16">
      <c r="M15194" s="49">
        <f>IF($A$4+151&gt;$B$4,"",$A$4+151)</f>
        <v>46174</v>
      </c>
      <c r="N15194">
        <f>IF(M15194="","",'Master Barang'!A88)</f>
        <v>0</v>
      </c>
      <c r="O15194">
        <f>IF(N15194="","",'Master Barang'!B88)</f>
        <v>0</v>
      </c>
      <c r="P15194">
        <f>IF(OR(M15194="",N15194=""),"",SUMIFS('Barang Keluar'!$E:$E,'Barang Keluar'!$A:$A,M15194,'Barang Keluar'!$C:$C,N15194))</f>
        <v>0</v>
      </c>
    </row>
    <row r="15195" spans="13:16">
      <c r="M15195" s="49">
        <f>IF($A$4+151&gt;$B$4,"",$A$4+151)</f>
        <v>46174</v>
      </c>
      <c r="N15195">
        <f>IF(M15195="","",'Master Barang'!A89)</f>
        <v>0</v>
      </c>
      <c r="O15195">
        <f>IF(N15195="","",'Master Barang'!B89)</f>
        <v>0</v>
      </c>
      <c r="P15195">
        <f>IF(OR(M15195="",N15195=""),"",SUMIFS('Barang Keluar'!$E:$E,'Barang Keluar'!$A:$A,M15195,'Barang Keluar'!$C:$C,N15195))</f>
        <v>0</v>
      </c>
    </row>
    <row r="15196" spans="13:16">
      <c r="M15196" s="49">
        <f>IF($A$4+151&gt;$B$4,"",$A$4+151)</f>
        <v>46174</v>
      </c>
      <c r="N15196">
        <f>IF(M15196="","",'Master Barang'!A90)</f>
        <v>0</v>
      </c>
      <c r="O15196">
        <f>IF(N15196="","",'Master Barang'!B90)</f>
        <v>0</v>
      </c>
      <c r="P15196">
        <f>IF(OR(M15196="",N15196=""),"",SUMIFS('Barang Keluar'!$E:$E,'Barang Keluar'!$A:$A,M15196,'Barang Keluar'!$C:$C,N15196))</f>
        <v>0</v>
      </c>
    </row>
    <row r="15197" spans="13:16">
      <c r="M15197" s="49">
        <f>IF($A$4+151&gt;$B$4,"",$A$4+151)</f>
        <v>46174</v>
      </c>
      <c r="N15197">
        <f>IF(M15197="","",'Master Barang'!A91)</f>
        <v>0</v>
      </c>
      <c r="O15197">
        <f>IF(N15197="","",'Master Barang'!B91)</f>
        <v>0</v>
      </c>
      <c r="P15197">
        <f>IF(OR(M15197="",N15197=""),"",SUMIFS('Barang Keluar'!$E:$E,'Barang Keluar'!$A:$A,M15197,'Barang Keluar'!$C:$C,N15197))</f>
        <v>0</v>
      </c>
    </row>
    <row r="15198" spans="13:16">
      <c r="M15198" s="49">
        <f>IF($A$4+151&gt;$B$4,"",$A$4+151)</f>
        <v>46174</v>
      </c>
      <c r="N15198">
        <f>IF(M15198="","",'Master Barang'!A92)</f>
        <v>0</v>
      </c>
      <c r="O15198">
        <f>IF(N15198="","",'Master Barang'!B92)</f>
        <v>0</v>
      </c>
      <c r="P15198">
        <f>IF(OR(M15198="",N15198=""),"",SUMIFS('Barang Keluar'!$E:$E,'Barang Keluar'!$A:$A,M15198,'Barang Keluar'!$C:$C,N15198))</f>
        <v>0</v>
      </c>
    </row>
    <row r="15199" spans="13:16">
      <c r="M15199" s="49">
        <f>IF($A$4+151&gt;$B$4,"",$A$4+151)</f>
        <v>46174</v>
      </c>
      <c r="N15199">
        <f>IF(M15199="","",'Master Barang'!A93)</f>
        <v>0</v>
      </c>
      <c r="O15199">
        <f>IF(N15199="","",'Master Barang'!B93)</f>
        <v>0</v>
      </c>
      <c r="P15199">
        <f>IF(OR(M15199="",N15199=""),"",SUMIFS('Barang Keluar'!$E:$E,'Barang Keluar'!$A:$A,M15199,'Barang Keluar'!$C:$C,N15199))</f>
        <v>0</v>
      </c>
    </row>
    <row r="15200" spans="13:16">
      <c r="M15200" s="49">
        <f>IF($A$4+151&gt;$B$4,"",$A$4+151)</f>
        <v>46174</v>
      </c>
      <c r="N15200">
        <f>IF(M15200="","",'Master Barang'!A94)</f>
        <v>0</v>
      </c>
      <c r="O15200">
        <f>IF(N15200="","",'Master Barang'!B94)</f>
        <v>0</v>
      </c>
      <c r="P15200">
        <f>IF(OR(M15200="",N15200=""),"",SUMIFS('Barang Keluar'!$E:$E,'Barang Keluar'!$A:$A,M15200,'Barang Keluar'!$C:$C,N15200))</f>
        <v>0</v>
      </c>
    </row>
    <row r="15201" spans="13:16">
      <c r="M15201" s="49">
        <f>IF($A$4+151&gt;$B$4,"",$A$4+151)</f>
        <v>46174</v>
      </c>
      <c r="N15201">
        <f>IF(M15201="","",'Master Barang'!A95)</f>
        <v>0</v>
      </c>
      <c r="O15201">
        <f>IF(N15201="","",'Master Barang'!B95)</f>
        <v>0</v>
      </c>
      <c r="P15201">
        <f>IF(OR(M15201="",N15201=""),"",SUMIFS('Barang Keluar'!$E:$E,'Barang Keluar'!$A:$A,M15201,'Barang Keluar'!$C:$C,N15201))</f>
        <v>0</v>
      </c>
    </row>
    <row r="15202" spans="13:16">
      <c r="M15202" s="49">
        <f>IF($A$4+151&gt;$B$4,"",$A$4+151)</f>
        <v>46174</v>
      </c>
      <c r="N15202">
        <f>IF(M15202="","",'Master Barang'!A96)</f>
        <v>0</v>
      </c>
      <c r="O15202">
        <f>IF(N15202="","",'Master Barang'!B96)</f>
        <v>0</v>
      </c>
      <c r="P15202">
        <f>IF(OR(M15202="",N15202=""),"",SUMIFS('Barang Keluar'!$E:$E,'Barang Keluar'!$A:$A,M15202,'Barang Keluar'!$C:$C,N15202))</f>
        <v>0</v>
      </c>
    </row>
    <row r="15203" spans="13:16">
      <c r="M15203" s="49">
        <f>IF($A$4+151&gt;$B$4,"",$A$4+151)</f>
        <v>46174</v>
      </c>
      <c r="N15203">
        <f>IF(M15203="","",'Master Barang'!A97)</f>
        <v>0</v>
      </c>
      <c r="O15203">
        <f>IF(N15203="","",'Master Barang'!B97)</f>
        <v>0</v>
      </c>
      <c r="P15203">
        <f>IF(OR(M15203="",N15203=""),"",SUMIFS('Barang Keluar'!$E:$E,'Barang Keluar'!$A:$A,M15203,'Barang Keluar'!$C:$C,N15203))</f>
        <v>0</v>
      </c>
    </row>
    <row r="15204" spans="13:16">
      <c r="M15204" s="49">
        <f>IF($A$4+151&gt;$B$4,"",$A$4+151)</f>
        <v>46174</v>
      </c>
      <c r="N15204">
        <f>IF(M15204="","",'Master Barang'!A98)</f>
        <v>0</v>
      </c>
      <c r="O15204">
        <f>IF(N15204="","",'Master Barang'!B98)</f>
        <v>0</v>
      </c>
      <c r="P15204">
        <f>IF(OR(M15204="",N15204=""),"",SUMIFS('Barang Keluar'!$E:$E,'Barang Keluar'!$A:$A,M15204,'Barang Keluar'!$C:$C,N15204))</f>
        <v>0</v>
      </c>
    </row>
    <row r="15205" spans="13:16">
      <c r="M15205" s="49">
        <f>IF($A$4+151&gt;$B$4,"",$A$4+151)</f>
        <v>46174</v>
      </c>
      <c r="N15205">
        <f>IF(M15205="","",'Master Barang'!A99)</f>
        <v>0</v>
      </c>
      <c r="O15205">
        <f>IF(N15205="","",'Master Barang'!B99)</f>
        <v>0</v>
      </c>
      <c r="P15205">
        <f>IF(OR(M15205="",N15205=""),"",SUMIFS('Barang Keluar'!$E:$E,'Barang Keluar'!$A:$A,M15205,'Barang Keluar'!$C:$C,N15205))</f>
        <v>0</v>
      </c>
    </row>
    <row r="15206" spans="13:16">
      <c r="M15206" s="49">
        <f>IF($A$4+151&gt;$B$4,"",$A$4+151)</f>
        <v>46174</v>
      </c>
      <c r="N15206">
        <f>IF(M15206="","",'Master Barang'!A100)</f>
        <v>0</v>
      </c>
      <c r="O15206">
        <f>IF(N15206="","",'Master Barang'!B100)</f>
        <v>0</v>
      </c>
      <c r="P15206">
        <f>IF(OR(M15206="",N15206=""),"",SUMIFS('Barang Keluar'!$E:$E,'Barang Keluar'!$A:$A,M15206,'Barang Keluar'!$C:$C,N15206))</f>
        <v>0</v>
      </c>
    </row>
    <row r="15207" spans="13:16">
      <c r="M15207" s="49">
        <f>IF($A$4+151&gt;$B$4,"",$A$4+151)</f>
        <v>46174</v>
      </c>
      <c r="N15207">
        <f>IF(M15207="","",'Master Barang'!A101)</f>
        <v>0</v>
      </c>
      <c r="O15207">
        <f>IF(N15207="","",'Master Barang'!B101)</f>
        <v>0</v>
      </c>
      <c r="P15207">
        <f>IF(OR(M15207="",N15207=""),"",SUMIFS('Barang Keluar'!$E:$E,'Barang Keluar'!$A:$A,M15207,'Barang Keluar'!$C:$C,N15207))</f>
        <v>0</v>
      </c>
    </row>
    <row r="15208" spans="13:16">
      <c r="M15208" s="49">
        <f>IF($A$4+152&gt;$B$4,"",$A$4+152)</f>
        <v>46175</v>
      </c>
      <c r="N15208" t="str">
        <f>IF(M15208="","",'Master Barang'!A2)</f>
        <v>PRL-001</v>
      </c>
      <c r="O15208" t="str">
        <f>IF(N15208="","",'Master Barang'!B2)</f>
        <v>natura desinfectant food grade 5l</v>
      </c>
      <c r="P15208">
        <f>IF(OR(M15208="",N15208=""),"",SUMIFS('Barang Keluar'!$E:$E,'Barang Keluar'!$A:$A,M15208,'Barang Keluar'!$C:$C,N15208))</f>
        <v>0</v>
      </c>
    </row>
    <row r="15209" spans="13:16">
      <c r="M15209" s="49">
        <f>IF($A$4+152&gt;$B$4,"",$A$4+152)</f>
        <v>46175</v>
      </c>
      <c r="N15209" t="str">
        <f>IF(M15209="","",'Master Barang'!A3)</f>
        <v>PRL-002</v>
      </c>
      <c r="O15209" t="str">
        <f>IF(N15209="","",'Master Barang'!B3)</f>
        <v>sunlight cairan pencuci piring 5l</v>
      </c>
      <c r="P15209">
        <f>IF(OR(M15209="",N15209=""),"",SUMIFS('Barang Keluar'!$E:$E,'Barang Keluar'!$A:$A,M15209,'Barang Keluar'!$C:$C,N15209))</f>
        <v>0</v>
      </c>
    </row>
    <row r="15210" spans="13:16">
      <c r="M15210" s="49">
        <f>IF($A$4+152&gt;$B$4,"",$A$4+152)</f>
        <v>46175</v>
      </c>
      <c r="N15210" t="str">
        <f>IF(M15210="","",'Master Barang'!A4)</f>
        <v>PRL-003</v>
      </c>
      <c r="O15210" t="str">
        <f>IF(N15210="","",'Master Barang'!B4)</f>
        <v>oixs cleaner 1l</v>
      </c>
      <c r="P15210">
        <f>IF(OR(M15210="",N15210=""),"",SUMIFS('Barang Keluar'!$E:$E,'Barang Keluar'!$A:$A,M15210,'Barang Keluar'!$C:$C,N15210))</f>
        <v>0</v>
      </c>
    </row>
    <row r="15211" spans="13:16">
      <c r="M15211" s="49">
        <f>IF($A$4+152&gt;$B$4,"",$A$4+152)</f>
        <v>46175</v>
      </c>
      <c r="N15211" t="str">
        <f>IF(M15211="","",'Master Barang'!A5)</f>
        <v>PRL-004</v>
      </c>
      <c r="O15211" t="str">
        <f>IF(N15211="","",'Master Barang'!B5)</f>
        <v>be clean tissue serbaguna</v>
      </c>
      <c r="P15211">
        <f>IF(OR(M15211="",N15211=""),"",SUMIFS('Barang Keluar'!$E:$E,'Barang Keluar'!$A:$A,M15211,'Barang Keluar'!$C:$C,N15211))</f>
        <v>0</v>
      </c>
    </row>
    <row r="15212" spans="13:16">
      <c r="M15212" s="49">
        <f>IF($A$4+152&gt;$B$4,"",$A$4+152)</f>
        <v>46175</v>
      </c>
      <c r="N15212" t="str">
        <f>IF(M15212="","",'Master Barang'!A6)</f>
        <v>PRL-005</v>
      </c>
      <c r="O15212" t="str">
        <f>IF(N15212="","",'Master Barang'!B6)</f>
        <v>spons cuci hijau</v>
      </c>
      <c r="P15212">
        <f>IF(OR(M15212="",N15212=""),"",SUMIFS('Barang Keluar'!$E:$E,'Barang Keluar'!$A:$A,M15212,'Barang Keluar'!$C:$C,N15212))</f>
        <v>0</v>
      </c>
    </row>
    <row r="15213" spans="13:16">
      <c r="M15213" s="49">
        <f>IF($A$4+152&gt;$B$4,"",$A$4+152)</f>
        <v>46175</v>
      </c>
      <c r="N15213" t="str">
        <f>IF(M15213="","",'Master Barang'!A7)</f>
        <v>PRL-006</v>
      </c>
      <c r="O15213" t="str">
        <f>IF(N15213="","",'Master Barang'!B7)</f>
        <v>sabut cuci stainless</v>
      </c>
      <c r="P15213">
        <f>IF(OR(M15213="",N15213=""),"",SUMIFS('Barang Keluar'!$E:$E,'Barang Keluar'!$A:$A,M15213,'Barang Keluar'!$C:$C,N15213))</f>
        <v>0</v>
      </c>
    </row>
    <row r="15214" spans="13:16">
      <c r="M15214" s="49">
        <f>IF($A$4+152&gt;$B$4,"",$A$4+152)</f>
        <v>46175</v>
      </c>
      <c r="N15214" t="str">
        <f>IF(M15214="","",'Master Barang'!A8)</f>
        <v>PRL-007</v>
      </c>
      <c r="O15214" t="str">
        <f>IF(N15214="","",'Master Barang'!B8)</f>
        <v>plastik kresek besar merah 50pc</v>
      </c>
      <c r="P15214">
        <f>IF(OR(M15214="",N15214=""),"",SUMIFS('Barang Keluar'!$E:$E,'Barang Keluar'!$A:$A,M15214,'Barang Keluar'!$C:$C,N15214))</f>
        <v>0</v>
      </c>
    </row>
    <row r="15215" spans="13:16">
      <c r="M15215" s="49">
        <f>IF($A$4+152&gt;$B$4,"",$A$4+152)</f>
        <v>46175</v>
      </c>
      <c r="N15215" t="str">
        <f>IF(M15215="","",'Master Barang'!A9)</f>
        <v>PRL-008</v>
      </c>
      <c r="O15215" t="str">
        <f>IF(N15215="","",'Master Barang'!B9)</f>
        <v>lap besar</v>
      </c>
      <c r="P15215">
        <f>IF(OR(M15215="",N15215=""),"",SUMIFS('Barang Keluar'!$E:$E,'Barang Keluar'!$A:$A,M15215,'Barang Keluar'!$C:$C,N15215))</f>
        <v>0</v>
      </c>
    </row>
    <row r="15216" spans="13:16">
      <c r="M15216" s="49">
        <f>IF($A$4+152&gt;$B$4,"",$A$4+152)</f>
        <v>46175</v>
      </c>
      <c r="N15216" t="str">
        <f>IF(M15216="","",'Master Barang'!A10)</f>
        <v>PRL-009</v>
      </c>
      <c r="O15216" t="str">
        <f>IF(N15216="","",'Master Barang'!B10)</f>
        <v>lap microfiber</v>
      </c>
      <c r="P15216">
        <f>IF(OR(M15216="",N15216=""),"",SUMIFS('Barang Keluar'!$E:$E,'Barang Keluar'!$A:$A,M15216,'Barang Keluar'!$C:$C,N15216))</f>
        <v>0</v>
      </c>
    </row>
    <row r="15217" spans="13:16">
      <c r="M15217" s="49">
        <f>IF($A$4+152&gt;$B$4,"",$A$4+152)</f>
        <v>46175</v>
      </c>
      <c r="N15217" t="str">
        <f>IF(M15217="","",'Master Barang'!A11)</f>
        <v>PRL-010</v>
      </c>
      <c r="O15217" t="str">
        <f>IF(N15217="","",'Master Barang'!B11)</f>
        <v>lap kecil</v>
      </c>
      <c r="P15217">
        <f>IF(OR(M15217="",N15217=""),"",SUMIFS('Barang Keluar'!$E:$E,'Barang Keluar'!$A:$A,M15217,'Barang Keluar'!$C:$C,N15217))</f>
        <v>0</v>
      </c>
    </row>
    <row r="15218" spans="13:16">
      <c r="M15218" s="49">
        <f>IF($A$4+152&gt;$B$4,"",$A$4+152)</f>
        <v>46175</v>
      </c>
      <c r="N15218" t="str">
        <f>IF(M15218="","",'Master Barang'!A12)</f>
        <v>PRL-011</v>
      </c>
      <c r="O15218" t="str">
        <f>IF(N15218="","",'Master Barang'!B12)</f>
        <v>kanebo kecil</v>
      </c>
      <c r="P15218">
        <f>IF(OR(M15218="",N15218=""),"",SUMIFS('Barang Keluar'!$E:$E,'Barang Keluar'!$A:$A,M15218,'Barang Keluar'!$C:$C,N15218))</f>
        <v>0</v>
      </c>
    </row>
    <row r="15219" spans="13:16">
      <c r="M15219" s="49">
        <f>IF($A$4+152&gt;$B$4,"",$A$4+152)</f>
        <v>46175</v>
      </c>
      <c r="N15219" t="str">
        <f>IF(M15219="","",'Master Barang'!A13)</f>
        <v>PRL-012</v>
      </c>
      <c r="O15219" t="str">
        <f>IF(N15219="","",'Master Barang'!B13)</f>
        <v>plastik 1/4kg joyoboyo 100 lembar</v>
      </c>
      <c r="P15219">
        <f>IF(OR(M15219="",N15219=""),"",SUMIFS('Barang Keluar'!$E:$E,'Barang Keluar'!$A:$A,M15219,'Barang Keluar'!$C:$C,N15219))</f>
        <v>0</v>
      </c>
    </row>
    <row r="15220" spans="13:16">
      <c r="M15220" s="49">
        <f>IF($A$4+152&gt;$B$4,"",$A$4+152)</f>
        <v>46175</v>
      </c>
      <c r="N15220" t="str">
        <f>IF(M15220="","",'Master Barang'!A14)</f>
        <v>PRL-013</v>
      </c>
      <c r="O15220" t="str">
        <f>IF(N15220="","",'Master Barang'!B14)</f>
        <v>sarung tangan plastik kaka 100 pcs</v>
      </c>
      <c r="P15220">
        <f>IF(OR(M15220="",N15220=""),"",SUMIFS('Barang Keluar'!$E:$E,'Barang Keluar'!$A:$A,M15220,'Barang Keluar'!$C:$C,N15220))</f>
        <v>0</v>
      </c>
    </row>
    <row r="15221" spans="13:16">
      <c r="M15221" s="49">
        <f>IF($A$4+152&gt;$B$4,"",$A$4+152)</f>
        <v>46175</v>
      </c>
      <c r="N15221" t="str">
        <f>IF(M15221="","",'Master Barang'!A15)</f>
        <v>PRL-014</v>
      </c>
      <c r="O15221" t="str">
        <f>IF(N15221="","",'Master Barang'!B15)</f>
        <v>optima trashbag 80x100</v>
      </c>
      <c r="P15221">
        <f>IF(OR(M15221="",N15221=""),"",SUMIFS('Barang Keluar'!$E:$E,'Barang Keluar'!$A:$A,M15221,'Barang Keluar'!$C:$C,N15221))</f>
        <v>0</v>
      </c>
    </row>
    <row r="15222" spans="13:16">
      <c r="M15222" s="49">
        <f>IF($A$4+152&gt;$B$4,"",$A$4+152)</f>
        <v>46175</v>
      </c>
      <c r="N15222" t="str">
        <f>IF(M15222="","",'Master Barang'!A16)</f>
        <v>PRL-015</v>
      </c>
      <c r="O15222" t="str">
        <f>IF(N15222="","",'Master Barang'!B16)</f>
        <v>optima trashbag 60x100</v>
      </c>
      <c r="P15222">
        <f>IF(OR(M15222="",N15222=""),"",SUMIFS('Barang Keluar'!$E:$E,'Barang Keluar'!$A:$A,M15222,'Barang Keluar'!$C:$C,N15222))</f>
        <v>0</v>
      </c>
    </row>
    <row r="15223" spans="13:16">
      <c r="M15223" s="49">
        <f>IF($A$4+152&gt;$B$4,"",$A$4+152)</f>
        <v>46175</v>
      </c>
      <c r="N15223" t="str">
        <f>IF(M15223="","",'Master Barang'!A17)</f>
        <v>PRL-016</v>
      </c>
      <c r="O15223" t="str">
        <f>IF(N15223="","",'Master Barang'!B17)</f>
        <v>rajawali trashbag 30x40</v>
      </c>
      <c r="P15223">
        <f>IF(OR(M15223="",N15223=""),"",SUMIFS('Barang Keluar'!$E:$E,'Barang Keluar'!$A:$A,M15223,'Barang Keluar'!$C:$C,N15223))</f>
        <v>0</v>
      </c>
    </row>
    <row r="15224" spans="13:16">
      <c r="M15224" s="49">
        <f>IF($A$4+152&gt;$B$4,"",$A$4+152)</f>
        <v>46175</v>
      </c>
      <c r="N15224" t="str">
        <f>IF(M15224="","",'Master Barang'!A18)</f>
        <v>PRL-017</v>
      </c>
      <c r="O15224" t="str">
        <f>IF(N15224="","",'Master Barang'!B18)</f>
        <v>onemed masker biru 3 play 50 pcs</v>
      </c>
      <c r="P15224">
        <f>IF(OR(M15224="",N15224=""),"",SUMIFS('Barang Keluar'!$E:$E,'Barang Keluar'!$A:$A,M15224,'Barang Keluar'!$C:$C,N15224))</f>
        <v>0</v>
      </c>
    </row>
    <row r="15225" spans="13:16">
      <c r="M15225" s="49">
        <f>IF($A$4+152&gt;$B$4,"",$A$4+152)</f>
        <v>46175</v>
      </c>
      <c r="N15225" t="str">
        <f>IF(M15225="","",'Master Barang'!A19)</f>
        <v>PRL-018</v>
      </c>
      <c r="O15225" t="str">
        <f>IF(N15225="","",'Master Barang'!B19)</f>
        <v>onemed masker biru 3 play hijab 50 pcs</v>
      </c>
      <c r="P15225">
        <f>IF(OR(M15225="",N15225=""),"",SUMIFS('Barang Keluar'!$E:$E,'Barang Keluar'!$A:$A,M15225,'Barang Keluar'!$C:$C,N15225))</f>
        <v>0</v>
      </c>
    </row>
    <row r="15226" spans="13:16">
      <c r="M15226" s="49">
        <f>IF($A$4+152&gt;$B$4,"",$A$4+152)</f>
        <v>46175</v>
      </c>
      <c r="N15226" t="str">
        <f>IF(M15226="","",'Master Barang'!A20)</f>
        <v>PRL-019</v>
      </c>
      <c r="O15226" t="str">
        <f>IF(N15226="","",'Master Barang'!B20)</f>
        <v>neo health masker biru 3 play 50 pcs</v>
      </c>
      <c r="P15226">
        <f>IF(OR(M15226="",N15226=""),"",SUMIFS('Barang Keluar'!$E:$E,'Barang Keluar'!$A:$A,M15226,'Barang Keluar'!$C:$C,N15226))</f>
        <v>0</v>
      </c>
    </row>
    <row r="15227" spans="13:16">
      <c r="M15227" s="49">
        <f>IF($A$4+152&gt;$B$4,"",$A$4+152)</f>
        <v>46175</v>
      </c>
      <c r="N15227" t="str">
        <f>IF(M15227="","",'Master Barang'!A21)</f>
        <v>PRL-020</v>
      </c>
      <c r="O15227" t="str">
        <f>IF(N15227="","",'Master Barang'!B21)</f>
        <v>baymed masker hijau 3 play hijau 50 pcs</v>
      </c>
      <c r="P15227">
        <f>IF(OR(M15227="",N15227=""),"",SUMIFS('Barang Keluar'!$E:$E,'Barang Keluar'!$A:$A,M15227,'Barang Keluar'!$C:$C,N15227))</f>
        <v>0</v>
      </c>
    </row>
    <row r="15228" spans="13:16">
      <c r="M15228" s="49">
        <f>IF($A$4+152&gt;$B$4,"",$A$4+152)</f>
        <v>46175</v>
      </c>
      <c r="N15228" t="str">
        <f>IF(M15228="","",'Master Barang'!A22)</f>
        <v>PRL-021</v>
      </c>
      <c r="O15228" t="str">
        <f>IF(N15228="","",'Master Barang'!B22)</f>
        <v>altamed nurse cap penutup kepala 100 pcs</v>
      </c>
      <c r="P15228">
        <f>IF(OR(M15228="",N15228=""),"",SUMIFS('Barang Keluar'!$E:$E,'Barang Keluar'!$A:$A,M15228,'Barang Keluar'!$C:$C,N15228))</f>
        <v>0</v>
      </c>
    </row>
    <row r="15229" spans="13:16">
      <c r="M15229" s="49">
        <f>IF($A$4+152&gt;$B$4,"",$A$4+152)</f>
        <v>46175</v>
      </c>
      <c r="N15229" t="str">
        <f>IF(M15229="","",'Master Barang'!A23)</f>
        <v>PRL-022</v>
      </c>
      <c r="O15229" t="str">
        <f>IF(N15229="","",'Master Barang'!B23)</f>
        <v>sabun cuci tangan</v>
      </c>
      <c r="P15229">
        <f>IF(OR(M15229="",N15229=""),"",SUMIFS('Barang Keluar'!$E:$E,'Barang Keluar'!$A:$A,M15229,'Barang Keluar'!$C:$C,N15229))</f>
        <v>0</v>
      </c>
    </row>
    <row r="15230" spans="13:16">
      <c r="M15230" s="49">
        <f>IF($A$4+152&gt;$B$4,"",$A$4+152)</f>
        <v>46175</v>
      </c>
      <c r="N15230" t="str">
        <f>IF(M15230="","",'Master Barang'!A24)</f>
        <v>PRL-023</v>
      </c>
      <c r="O15230" t="str">
        <f>IF(N15230="","",'Master Barang'!B24)</f>
        <v>gayung kecil</v>
      </c>
      <c r="P15230">
        <f>IF(OR(M15230="",N15230=""),"",SUMIFS('Barang Keluar'!$E:$E,'Barang Keluar'!$A:$A,M15230,'Barang Keluar'!$C:$C,N15230))</f>
        <v>0</v>
      </c>
    </row>
    <row r="15231" spans="13:16">
      <c r="M15231" s="49">
        <f>IF($A$4+152&gt;$B$4,"",$A$4+152)</f>
        <v>46175</v>
      </c>
      <c r="N15231" t="str">
        <f>IF(M15231="","",'Master Barang'!A25)</f>
        <v>PRL-024</v>
      </c>
      <c r="O15231" t="str">
        <f>IF(N15231="","",'Master Barang'!B25)</f>
        <v>cikrak kecil</v>
      </c>
      <c r="P15231">
        <f>IF(OR(M15231="",N15231=""),"",SUMIFS('Barang Keluar'!$E:$E,'Barang Keluar'!$A:$A,M15231,'Barang Keluar'!$C:$C,N15231))</f>
        <v>0</v>
      </c>
    </row>
    <row r="15232" spans="13:16">
      <c r="M15232" s="49">
        <f>IF($A$4+152&gt;$B$4,"",$A$4+152)</f>
        <v>46175</v>
      </c>
      <c r="N15232" t="str">
        <f>IF(M15232="","",'Master Barang'!A26)</f>
        <v>PRL-025</v>
      </c>
      <c r="O15232" t="str">
        <f>IF(N15232="","",'Master Barang'!B26)</f>
        <v>petromax plastik kecil 12x24 100 lembar</v>
      </c>
      <c r="P15232">
        <f>IF(OR(M15232="",N15232=""),"",SUMIFS('Barang Keluar'!$E:$E,'Barang Keluar'!$A:$A,M15232,'Barang Keluar'!$C:$C,N15232))</f>
        <v>0</v>
      </c>
    </row>
    <row r="15233" spans="13:16">
      <c r="M15233" s="49">
        <f>IF($A$4+152&gt;$B$4,"",$A$4+152)</f>
        <v>46175</v>
      </c>
      <c r="N15233" t="str">
        <f>IF(M15233="","",'Master Barang'!A27)</f>
        <v>PRL-026</v>
      </c>
      <c r="O15233" t="str">
        <f>IF(N15233="","",'Master Barang'!B27)</f>
        <v>lancar kresek kecil bening </v>
      </c>
      <c r="P15233">
        <f>IF(OR(M15233="",N15233=""),"",SUMIFS('Barang Keluar'!$E:$E,'Barang Keluar'!$A:$A,M15233,'Barang Keluar'!$C:$C,N15233))</f>
        <v>0</v>
      </c>
    </row>
    <row r="15234" spans="13:16">
      <c r="M15234" s="49">
        <f>IF($A$4+152&gt;$B$4,"",$A$4+152)</f>
        <v>46175</v>
      </c>
      <c r="N15234" t="str">
        <f>IF(M15234="","",'Master Barang'!A28)</f>
        <v>PRL-027</v>
      </c>
      <c r="O15234" t="str">
        <f>IF(N15234="","",'Master Barang'!B28)</f>
        <v>kresek klin warna warni kecil</v>
      </c>
      <c r="P15234">
        <f>IF(OR(M15234="",N15234=""),"",SUMIFS('Barang Keluar'!$E:$E,'Barang Keluar'!$A:$A,M15234,'Barang Keluar'!$C:$C,N15234))</f>
        <v>0</v>
      </c>
    </row>
    <row r="15235" spans="13:16">
      <c r="M15235" s="49">
        <f>IF($A$4+152&gt;$B$4,"",$A$4+152)</f>
        <v>46175</v>
      </c>
      <c r="N15235" t="str">
        <f>IF(M15235="","",'Master Barang'!A29)</f>
        <v>PRL-028</v>
      </c>
      <c r="O15235" t="str">
        <f>IF(N15235="","",'Master Barang'!B29)</f>
        <v>ctik plastik 7x10 100 pcs</v>
      </c>
      <c r="P15235">
        <f>IF(OR(M15235="",N15235=""),"",SUMIFS('Barang Keluar'!$E:$E,'Barang Keluar'!$A:$A,M15235,'Barang Keluar'!$C:$C,N15235))</f>
        <v>0</v>
      </c>
    </row>
    <row r="15236" spans="13:16">
      <c r="M15236" s="49">
        <f>IF($A$4+152&gt;$B$4,"",$A$4+152)</f>
        <v>46175</v>
      </c>
      <c r="N15236" t="str">
        <f>IF(M15236="","",'Master Barang'!A30)</f>
        <v>PRL-029</v>
      </c>
      <c r="O15236" t="str">
        <f>IF(N15236="","",'Master Barang'!B30)</f>
        <v>ctik plastik 6x10 100 pcs</v>
      </c>
      <c r="P15236">
        <f>IF(OR(M15236="",N15236=""),"",SUMIFS('Barang Keluar'!$E:$E,'Barang Keluar'!$A:$A,M15236,'Barang Keluar'!$C:$C,N15236))</f>
        <v>0</v>
      </c>
    </row>
    <row r="15237" spans="13:16">
      <c r="M15237" s="49">
        <f>IF($A$4+152&gt;$B$4,"",$A$4+152)</f>
        <v>46175</v>
      </c>
      <c r="N15237" t="str">
        <f>IF(M15237="","",'Master Barang'!A31)</f>
        <v>PRL-030</v>
      </c>
      <c r="O15237" t="str">
        <f>IF(N15237="","",'Master Barang'!B31)</f>
        <v>klip plastik 25x16 100 pcs</v>
      </c>
      <c r="P15237">
        <f>IF(OR(M15237="",N15237=""),"",SUMIFS('Barang Keluar'!$E:$E,'Barang Keluar'!$A:$A,M15237,'Barang Keluar'!$C:$C,N15237))</f>
        <v>0</v>
      </c>
    </row>
    <row r="15238" spans="13:16">
      <c r="M15238" s="49">
        <f>IF($A$4+152&gt;$B$4,"",$A$4+152)</f>
        <v>46175</v>
      </c>
      <c r="N15238" t="str">
        <f>IF(M15238="","",'Master Barang'!A32)</f>
        <v>PRL-031</v>
      </c>
      <c r="O15238" t="str">
        <f>IF(N15238="","",'Master Barang'!B32)</f>
        <v>tempat saus 20 ml</v>
      </c>
      <c r="P15238">
        <f>IF(OR(M15238="",N15238=""),"",SUMIFS('Barang Keluar'!$E:$E,'Barang Keluar'!$A:$A,M15238,'Barang Keluar'!$C:$C,N15238))</f>
        <v>0</v>
      </c>
    </row>
    <row r="15239" spans="13:16">
      <c r="M15239" s="49">
        <f>IF($A$4+152&gt;$B$4,"",$A$4+152)</f>
        <v>46175</v>
      </c>
      <c r="N15239" t="str">
        <f>IF(M15239="","",'Master Barang'!A33)</f>
        <v>PRL-032</v>
      </c>
      <c r="O15239" t="str">
        <f>IF(N15239="","",'Master Barang'!B33)</f>
        <v>plastik packaging ag box uk sedang</v>
      </c>
      <c r="P15239">
        <f>IF(OR(M15239="",N15239=""),"",SUMIFS('Barang Keluar'!$E:$E,'Barang Keluar'!$A:$A,M15239,'Barang Keluar'!$C:$C,N15239))</f>
        <v>0</v>
      </c>
    </row>
    <row r="15240" spans="13:16">
      <c r="M15240" s="49">
        <f>IF($A$4+152&gt;$B$4,"",$A$4+152)</f>
        <v>46175</v>
      </c>
      <c r="N15240" t="str">
        <f>IF(M15240="","",'Master Barang'!A34)</f>
        <v>PRL-033</v>
      </c>
      <c r="O15240">
        <f>IF(N15240="","",'Master Barang'!B34)</f>
        <v>0</v>
      </c>
      <c r="P15240">
        <f>IF(OR(M15240="",N15240=""),"",SUMIFS('Barang Keluar'!$E:$E,'Barang Keluar'!$A:$A,M15240,'Barang Keluar'!$C:$C,N15240))</f>
        <v>0</v>
      </c>
    </row>
    <row r="15241" spans="13:16">
      <c r="M15241" s="49">
        <f>IF($A$4+152&gt;$B$4,"",$A$4+152)</f>
        <v>46175</v>
      </c>
      <c r="N15241">
        <f>IF(M15241="","",'Master Barang'!A35)</f>
        <v>0</v>
      </c>
      <c r="O15241">
        <f>IF(N15241="","",'Master Barang'!B35)</f>
        <v>0</v>
      </c>
      <c r="P15241">
        <f>IF(OR(M15241="",N15241=""),"",SUMIFS('Barang Keluar'!$E:$E,'Barang Keluar'!$A:$A,M15241,'Barang Keluar'!$C:$C,N15241))</f>
        <v>0</v>
      </c>
    </row>
    <row r="15242" spans="13:16">
      <c r="M15242" s="49">
        <f>IF($A$4+152&gt;$B$4,"",$A$4+152)</f>
        <v>46175</v>
      </c>
      <c r="N15242">
        <f>IF(M15242="","",'Master Barang'!A36)</f>
        <v>0</v>
      </c>
      <c r="O15242">
        <f>IF(N15242="","",'Master Barang'!B36)</f>
        <v>0</v>
      </c>
      <c r="P15242">
        <f>IF(OR(M15242="",N15242=""),"",SUMIFS('Barang Keluar'!$E:$E,'Barang Keluar'!$A:$A,M15242,'Barang Keluar'!$C:$C,N15242))</f>
        <v>0</v>
      </c>
    </row>
    <row r="15243" spans="13:16">
      <c r="M15243" s="49">
        <f>IF($A$4+152&gt;$B$4,"",$A$4+152)</f>
        <v>46175</v>
      </c>
      <c r="N15243">
        <f>IF(M15243="","",'Master Barang'!A37)</f>
        <v>0</v>
      </c>
      <c r="O15243">
        <f>IF(N15243="","",'Master Barang'!B37)</f>
        <v>0</v>
      </c>
      <c r="P15243">
        <f>IF(OR(M15243="",N15243=""),"",SUMIFS('Barang Keluar'!$E:$E,'Barang Keluar'!$A:$A,M15243,'Barang Keluar'!$C:$C,N15243))</f>
        <v>0</v>
      </c>
    </row>
    <row r="15244" spans="13:16">
      <c r="M15244" s="49">
        <f>IF($A$4+152&gt;$B$4,"",$A$4+152)</f>
        <v>46175</v>
      </c>
      <c r="N15244">
        <f>IF(M15244="","",'Master Barang'!A38)</f>
        <v>0</v>
      </c>
      <c r="O15244">
        <f>IF(N15244="","",'Master Barang'!B38)</f>
        <v>0</v>
      </c>
      <c r="P15244">
        <f>IF(OR(M15244="",N15244=""),"",SUMIFS('Barang Keluar'!$E:$E,'Barang Keluar'!$A:$A,M15244,'Barang Keluar'!$C:$C,N15244))</f>
        <v>0</v>
      </c>
    </row>
    <row r="15245" spans="13:16">
      <c r="M15245" s="49">
        <f>IF($A$4+152&gt;$B$4,"",$A$4+152)</f>
        <v>46175</v>
      </c>
      <c r="N15245">
        <f>IF(M15245="","",'Master Barang'!A39)</f>
        <v>0</v>
      </c>
      <c r="O15245">
        <f>IF(N15245="","",'Master Barang'!B39)</f>
        <v>0</v>
      </c>
      <c r="P15245">
        <f>IF(OR(M15245="",N15245=""),"",SUMIFS('Barang Keluar'!$E:$E,'Barang Keluar'!$A:$A,M15245,'Barang Keluar'!$C:$C,N15245))</f>
        <v>0</v>
      </c>
    </row>
    <row r="15246" spans="13:16">
      <c r="M15246" s="49">
        <f>IF($A$4+152&gt;$B$4,"",$A$4+152)</f>
        <v>46175</v>
      </c>
      <c r="N15246">
        <f>IF(M15246="","",'Master Barang'!A40)</f>
        <v>0</v>
      </c>
      <c r="O15246">
        <f>IF(N15246="","",'Master Barang'!B40)</f>
        <v>0</v>
      </c>
      <c r="P15246">
        <f>IF(OR(M15246="",N15246=""),"",SUMIFS('Barang Keluar'!$E:$E,'Barang Keluar'!$A:$A,M15246,'Barang Keluar'!$C:$C,N15246))</f>
        <v>0</v>
      </c>
    </row>
    <row r="15247" spans="13:16">
      <c r="M15247" s="49">
        <f>IF($A$4+152&gt;$B$4,"",$A$4+152)</f>
        <v>46175</v>
      </c>
      <c r="N15247">
        <f>IF(M15247="","",'Master Barang'!A41)</f>
        <v>0</v>
      </c>
      <c r="O15247">
        <f>IF(N15247="","",'Master Barang'!B41)</f>
        <v>0</v>
      </c>
      <c r="P15247">
        <f>IF(OR(M15247="",N15247=""),"",SUMIFS('Barang Keluar'!$E:$E,'Barang Keluar'!$A:$A,M15247,'Barang Keluar'!$C:$C,N15247))</f>
        <v>0</v>
      </c>
    </row>
    <row r="15248" spans="13:16">
      <c r="M15248" s="49">
        <f>IF($A$4+152&gt;$B$4,"",$A$4+152)</f>
        <v>46175</v>
      </c>
      <c r="N15248">
        <f>IF(M15248="","",'Master Barang'!A42)</f>
        <v>0</v>
      </c>
      <c r="O15248">
        <f>IF(N15248="","",'Master Barang'!B42)</f>
        <v>0</v>
      </c>
      <c r="P15248">
        <f>IF(OR(M15248="",N15248=""),"",SUMIFS('Barang Keluar'!$E:$E,'Barang Keluar'!$A:$A,M15248,'Barang Keluar'!$C:$C,N15248))</f>
        <v>0</v>
      </c>
    </row>
    <row r="15249" spans="13:16">
      <c r="M15249" s="49">
        <f>IF($A$4+152&gt;$B$4,"",$A$4+152)</f>
        <v>46175</v>
      </c>
      <c r="N15249">
        <f>IF(M15249="","",'Master Barang'!A43)</f>
        <v>0</v>
      </c>
      <c r="O15249">
        <f>IF(N15249="","",'Master Barang'!B43)</f>
        <v>0</v>
      </c>
      <c r="P15249">
        <f>IF(OR(M15249="",N15249=""),"",SUMIFS('Barang Keluar'!$E:$E,'Barang Keluar'!$A:$A,M15249,'Barang Keluar'!$C:$C,N15249))</f>
        <v>0</v>
      </c>
    </row>
    <row r="15250" spans="13:16">
      <c r="M15250" s="49">
        <f>IF($A$4+152&gt;$B$4,"",$A$4+152)</f>
        <v>46175</v>
      </c>
      <c r="N15250">
        <f>IF(M15250="","",'Master Barang'!A44)</f>
        <v>0</v>
      </c>
      <c r="O15250">
        <f>IF(N15250="","",'Master Barang'!B44)</f>
        <v>0</v>
      </c>
      <c r="P15250">
        <f>IF(OR(M15250="",N15250=""),"",SUMIFS('Barang Keluar'!$E:$E,'Barang Keluar'!$A:$A,M15250,'Barang Keluar'!$C:$C,N15250))</f>
        <v>0</v>
      </c>
    </row>
    <row r="15251" spans="13:16">
      <c r="M15251" s="49">
        <f>IF($A$4+152&gt;$B$4,"",$A$4+152)</f>
        <v>46175</v>
      </c>
      <c r="N15251">
        <f>IF(M15251="","",'Master Barang'!A45)</f>
        <v>0</v>
      </c>
      <c r="O15251">
        <f>IF(N15251="","",'Master Barang'!B45)</f>
        <v>0</v>
      </c>
      <c r="P15251">
        <f>IF(OR(M15251="",N15251=""),"",SUMIFS('Barang Keluar'!$E:$E,'Barang Keluar'!$A:$A,M15251,'Barang Keluar'!$C:$C,N15251))</f>
        <v>0</v>
      </c>
    </row>
    <row r="15252" spans="13:16">
      <c r="M15252" s="49">
        <f>IF($A$4+152&gt;$B$4,"",$A$4+152)</f>
        <v>46175</v>
      </c>
      <c r="N15252">
        <f>IF(M15252="","",'Master Barang'!A46)</f>
        <v>0</v>
      </c>
      <c r="O15252">
        <f>IF(N15252="","",'Master Barang'!B46)</f>
        <v>0</v>
      </c>
      <c r="P15252">
        <f>IF(OR(M15252="",N15252=""),"",SUMIFS('Barang Keluar'!$E:$E,'Barang Keluar'!$A:$A,M15252,'Barang Keluar'!$C:$C,N15252))</f>
        <v>0</v>
      </c>
    </row>
    <row r="15253" spans="13:16">
      <c r="M15253" s="49">
        <f>IF($A$4+152&gt;$B$4,"",$A$4+152)</f>
        <v>46175</v>
      </c>
      <c r="N15253">
        <f>IF(M15253="","",'Master Barang'!A47)</f>
        <v>0</v>
      </c>
      <c r="O15253">
        <f>IF(N15253="","",'Master Barang'!B47)</f>
        <v>0</v>
      </c>
      <c r="P15253">
        <f>IF(OR(M15253="",N15253=""),"",SUMIFS('Barang Keluar'!$E:$E,'Barang Keluar'!$A:$A,M15253,'Barang Keluar'!$C:$C,N15253))</f>
        <v>0</v>
      </c>
    </row>
    <row r="15254" spans="13:16">
      <c r="M15254" s="49">
        <f>IF($A$4+152&gt;$B$4,"",$A$4+152)</f>
        <v>46175</v>
      </c>
      <c r="N15254">
        <f>IF(M15254="","",'Master Barang'!A48)</f>
        <v>0</v>
      </c>
      <c r="O15254">
        <f>IF(N15254="","",'Master Barang'!B48)</f>
        <v>0</v>
      </c>
      <c r="P15254">
        <f>IF(OR(M15254="",N15254=""),"",SUMIFS('Barang Keluar'!$E:$E,'Barang Keluar'!$A:$A,M15254,'Barang Keluar'!$C:$C,N15254))</f>
        <v>0</v>
      </c>
    </row>
    <row r="15255" spans="13:16">
      <c r="M15255" s="49">
        <f>IF($A$4+152&gt;$B$4,"",$A$4+152)</f>
        <v>46175</v>
      </c>
      <c r="N15255">
        <f>IF(M15255="","",'Master Barang'!A49)</f>
        <v>0</v>
      </c>
      <c r="O15255">
        <f>IF(N15255="","",'Master Barang'!B49)</f>
        <v>0</v>
      </c>
      <c r="P15255">
        <f>IF(OR(M15255="",N15255=""),"",SUMIFS('Barang Keluar'!$E:$E,'Barang Keluar'!$A:$A,M15255,'Barang Keluar'!$C:$C,N15255))</f>
        <v>0</v>
      </c>
    </row>
    <row r="15256" spans="13:16">
      <c r="M15256" s="49">
        <f>IF($A$4+152&gt;$B$4,"",$A$4+152)</f>
        <v>46175</v>
      </c>
      <c r="N15256">
        <f>IF(M15256="","",'Master Barang'!A50)</f>
        <v>0</v>
      </c>
      <c r="O15256">
        <f>IF(N15256="","",'Master Barang'!B50)</f>
        <v>0</v>
      </c>
      <c r="P15256">
        <f>IF(OR(M15256="",N15256=""),"",SUMIFS('Barang Keluar'!$E:$E,'Barang Keluar'!$A:$A,M15256,'Barang Keluar'!$C:$C,N15256))</f>
        <v>0</v>
      </c>
    </row>
    <row r="15257" spans="13:16">
      <c r="M15257" s="49">
        <f>IF($A$4+152&gt;$B$4,"",$A$4+152)</f>
        <v>46175</v>
      </c>
      <c r="N15257">
        <f>IF(M15257="","",'Master Barang'!A51)</f>
        <v>0</v>
      </c>
      <c r="O15257">
        <f>IF(N15257="","",'Master Barang'!B51)</f>
        <v>0</v>
      </c>
      <c r="P15257">
        <f>IF(OR(M15257="",N15257=""),"",SUMIFS('Barang Keluar'!$E:$E,'Barang Keluar'!$A:$A,M15257,'Barang Keluar'!$C:$C,N15257))</f>
        <v>0</v>
      </c>
    </row>
    <row r="15258" spans="13:16">
      <c r="M15258" s="49">
        <f>IF($A$4+152&gt;$B$4,"",$A$4+152)</f>
        <v>46175</v>
      </c>
      <c r="N15258">
        <f>IF(M15258="","",'Master Barang'!A52)</f>
        <v>0</v>
      </c>
      <c r="O15258">
        <f>IF(N15258="","",'Master Barang'!B52)</f>
        <v>0</v>
      </c>
      <c r="P15258">
        <f>IF(OR(M15258="",N15258=""),"",SUMIFS('Barang Keluar'!$E:$E,'Barang Keluar'!$A:$A,M15258,'Barang Keluar'!$C:$C,N15258))</f>
        <v>0</v>
      </c>
    </row>
    <row r="15259" spans="13:16">
      <c r="M15259" s="49">
        <f>IF($A$4+152&gt;$B$4,"",$A$4+152)</f>
        <v>46175</v>
      </c>
      <c r="N15259">
        <f>IF(M15259="","",'Master Barang'!A53)</f>
        <v>0</v>
      </c>
      <c r="O15259">
        <f>IF(N15259="","",'Master Barang'!B53)</f>
        <v>0</v>
      </c>
      <c r="P15259">
        <f>IF(OR(M15259="",N15259=""),"",SUMIFS('Barang Keluar'!$E:$E,'Barang Keluar'!$A:$A,M15259,'Barang Keluar'!$C:$C,N15259))</f>
        <v>0</v>
      </c>
    </row>
    <row r="15260" spans="13:16">
      <c r="M15260" s="49">
        <f>IF($A$4+152&gt;$B$4,"",$A$4+152)</f>
        <v>46175</v>
      </c>
      <c r="N15260">
        <f>IF(M15260="","",'Master Barang'!A54)</f>
        <v>0</v>
      </c>
      <c r="O15260">
        <f>IF(N15260="","",'Master Barang'!B54)</f>
        <v>0</v>
      </c>
      <c r="P15260">
        <f>IF(OR(M15260="",N15260=""),"",SUMIFS('Barang Keluar'!$E:$E,'Barang Keluar'!$A:$A,M15260,'Barang Keluar'!$C:$C,N15260))</f>
        <v>0</v>
      </c>
    </row>
    <row r="15261" spans="13:16">
      <c r="M15261" s="49">
        <f>IF($A$4+152&gt;$B$4,"",$A$4+152)</f>
        <v>46175</v>
      </c>
      <c r="N15261">
        <f>IF(M15261="","",'Master Barang'!A55)</f>
        <v>0</v>
      </c>
      <c r="O15261">
        <f>IF(N15261="","",'Master Barang'!B55)</f>
        <v>0</v>
      </c>
      <c r="P15261">
        <f>IF(OR(M15261="",N15261=""),"",SUMIFS('Barang Keluar'!$E:$E,'Barang Keluar'!$A:$A,M15261,'Barang Keluar'!$C:$C,N15261))</f>
        <v>0</v>
      </c>
    </row>
    <row r="15262" spans="13:16">
      <c r="M15262" s="49">
        <f>IF($A$4+152&gt;$B$4,"",$A$4+152)</f>
        <v>46175</v>
      </c>
      <c r="N15262">
        <f>IF(M15262="","",'Master Barang'!A56)</f>
        <v>0</v>
      </c>
      <c r="O15262">
        <f>IF(N15262="","",'Master Barang'!B56)</f>
        <v>0</v>
      </c>
      <c r="P15262">
        <f>IF(OR(M15262="",N15262=""),"",SUMIFS('Barang Keluar'!$E:$E,'Barang Keluar'!$A:$A,M15262,'Barang Keluar'!$C:$C,N15262))</f>
        <v>0</v>
      </c>
    </row>
    <row r="15263" spans="13:16">
      <c r="M15263" s="49">
        <f>IF($A$4+152&gt;$B$4,"",$A$4+152)</f>
        <v>46175</v>
      </c>
      <c r="N15263">
        <f>IF(M15263="","",'Master Barang'!A57)</f>
        <v>0</v>
      </c>
      <c r="O15263">
        <f>IF(N15263="","",'Master Barang'!B57)</f>
        <v>0</v>
      </c>
      <c r="P15263">
        <f>IF(OR(M15263="",N15263=""),"",SUMIFS('Barang Keluar'!$E:$E,'Barang Keluar'!$A:$A,M15263,'Barang Keluar'!$C:$C,N15263))</f>
        <v>0</v>
      </c>
    </row>
    <row r="15264" spans="13:16">
      <c r="M15264" s="49">
        <f>IF($A$4+152&gt;$B$4,"",$A$4+152)</f>
        <v>46175</v>
      </c>
      <c r="N15264">
        <f>IF(M15264="","",'Master Barang'!A58)</f>
        <v>0</v>
      </c>
      <c r="O15264">
        <f>IF(N15264="","",'Master Barang'!B58)</f>
        <v>0</v>
      </c>
      <c r="P15264">
        <f>IF(OR(M15264="",N15264=""),"",SUMIFS('Barang Keluar'!$E:$E,'Barang Keluar'!$A:$A,M15264,'Barang Keluar'!$C:$C,N15264))</f>
        <v>0</v>
      </c>
    </row>
    <row r="15265" spans="13:16">
      <c r="M15265" s="49">
        <f>IF($A$4+152&gt;$B$4,"",$A$4+152)</f>
        <v>46175</v>
      </c>
      <c r="N15265">
        <f>IF(M15265="","",'Master Barang'!A59)</f>
        <v>0</v>
      </c>
      <c r="O15265">
        <f>IF(N15265="","",'Master Barang'!B59)</f>
        <v>0</v>
      </c>
      <c r="P15265">
        <f>IF(OR(M15265="",N15265=""),"",SUMIFS('Barang Keluar'!$E:$E,'Barang Keluar'!$A:$A,M15265,'Barang Keluar'!$C:$C,N15265))</f>
        <v>0</v>
      </c>
    </row>
    <row r="15266" spans="13:16">
      <c r="M15266" s="49">
        <f>IF($A$4+152&gt;$B$4,"",$A$4+152)</f>
        <v>46175</v>
      </c>
      <c r="N15266">
        <f>IF(M15266="","",'Master Barang'!A60)</f>
        <v>0</v>
      </c>
      <c r="O15266">
        <f>IF(N15266="","",'Master Barang'!B60)</f>
        <v>0</v>
      </c>
      <c r="P15266">
        <f>IF(OR(M15266="",N15266=""),"",SUMIFS('Barang Keluar'!$E:$E,'Barang Keluar'!$A:$A,M15266,'Barang Keluar'!$C:$C,N15266))</f>
        <v>0</v>
      </c>
    </row>
    <row r="15267" spans="13:16">
      <c r="M15267" s="49">
        <f>IF($A$4+152&gt;$B$4,"",$A$4+152)</f>
        <v>46175</v>
      </c>
      <c r="N15267">
        <f>IF(M15267="","",'Master Barang'!A61)</f>
        <v>0</v>
      </c>
      <c r="O15267">
        <f>IF(N15267="","",'Master Barang'!B61)</f>
        <v>0</v>
      </c>
      <c r="P15267">
        <f>IF(OR(M15267="",N15267=""),"",SUMIFS('Barang Keluar'!$E:$E,'Barang Keluar'!$A:$A,M15267,'Barang Keluar'!$C:$C,N15267))</f>
        <v>0</v>
      </c>
    </row>
    <row r="15268" spans="13:16">
      <c r="M15268" s="49">
        <f>IF($A$4+152&gt;$B$4,"",$A$4+152)</f>
        <v>46175</v>
      </c>
      <c r="N15268">
        <f>IF(M15268="","",'Master Barang'!A62)</f>
        <v>0</v>
      </c>
      <c r="O15268">
        <f>IF(N15268="","",'Master Barang'!B62)</f>
        <v>0</v>
      </c>
      <c r="P15268">
        <f>IF(OR(M15268="",N15268=""),"",SUMIFS('Barang Keluar'!$E:$E,'Barang Keluar'!$A:$A,M15268,'Barang Keluar'!$C:$C,N15268))</f>
        <v>0</v>
      </c>
    </row>
    <row r="15269" spans="13:16">
      <c r="M15269" s="49">
        <f>IF($A$4+152&gt;$B$4,"",$A$4+152)</f>
        <v>46175</v>
      </c>
      <c r="N15269">
        <f>IF(M15269="","",'Master Barang'!A63)</f>
        <v>0</v>
      </c>
      <c r="O15269">
        <f>IF(N15269="","",'Master Barang'!B63)</f>
        <v>0</v>
      </c>
      <c r="P15269">
        <f>IF(OR(M15269="",N15269=""),"",SUMIFS('Barang Keluar'!$E:$E,'Barang Keluar'!$A:$A,M15269,'Barang Keluar'!$C:$C,N15269))</f>
        <v>0</v>
      </c>
    </row>
    <row r="15270" spans="13:16">
      <c r="M15270" s="49">
        <f>IF($A$4+152&gt;$B$4,"",$A$4+152)</f>
        <v>46175</v>
      </c>
      <c r="N15270">
        <f>IF(M15270="","",'Master Barang'!A64)</f>
        <v>0</v>
      </c>
      <c r="O15270">
        <f>IF(N15270="","",'Master Barang'!B64)</f>
        <v>0</v>
      </c>
      <c r="P15270">
        <f>IF(OR(M15270="",N15270=""),"",SUMIFS('Barang Keluar'!$E:$E,'Barang Keluar'!$A:$A,M15270,'Barang Keluar'!$C:$C,N15270))</f>
        <v>0</v>
      </c>
    </row>
    <row r="15271" spans="13:16">
      <c r="M15271" s="49">
        <f>IF($A$4+152&gt;$B$4,"",$A$4+152)</f>
        <v>46175</v>
      </c>
      <c r="N15271">
        <f>IF(M15271="","",'Master Barang'!A65)</f>
        <v>0</v>
      </c>
      <c r="O15271">
        <f>IF(N15271="","",'Master Barang'!B65)</f>
        <v>0</v>
      </c>
      <c r="P15271">
        <f>IF(OR(M15271="",N15271=""),"",SUMIFS('Barang Keluar'!$E:$E,'Barang Keluar'!$A:$A,M15271,'Barang Keluar'!$C:$C,N15271))</f>
        <v>0</v>
      </c>
    </row>
    <row r="15272" spans="13:16">
      <c r="M15272" s="49">
        <f>IF($A$4+152&gt;$B$4,"",$A$4+152)</f>
        <v>46175</v>
      </c>
      <c r="N15272">
        <f>IF(M15272="","",'Master Barang'!A66)</f>
        <v>0</v>
      </c>
      <c r="O15272">
        <f>IF(N15272="","",'Master Barang'!B66)</f>
        <v>0</v>
      </c>
      <c r="P15272">
        <f>IF(OR(M15272="",N15272=""),"",SUMIFS('Barang Keluar'!$E:$E,'Barang Keluar'!$A:$A,M15272,'Barang Keluar'!$C:$C,N15272))</f>
        <v>0</v>
      </c>
    </row>
    <row r="15273" spans="13:16">
      <c r="M15273" s="49">
        <f>IF($A$4+152&gt;$B$4,"",$A$4+152)</f>
        <v>46175</v>
      </c>
      <c r="N15273">
        <f>IF(M15273="","",'Master Barang'!A67)</f>
        <v>0</v>
      </c>
      <c r="O15273">
        <f>IF(N15273="","",'Master Barang'!B67)</f>
        <v>0</v>
      </c>
      <c r="P15273">
        <f>IF(OR(M15273="",N15273=""),"",SUMIFS('Barang Keluar'!$E:$E,'Barang Keluar'!$A:$A,M15273,'Barang Keluar'!$C:$C,N15273))</f>
        <v>0</v>
      </c>
    </row>
    <row r="15274" spans="13:16">
      <c r="M15274" s="49">
        <f>IF($A$4+152&gt;$B$4,"",$A$4+152)</f>
        <v>46175</v>
      </c>
      <c r="N15274">
        <f>IF(M15274="","",'Master Barang'!A68)</f>
        <v>0</v>
      </c>
      <c r="O15274">
        <f>IF(N15274="","",'Master Barang'!B68)</f>
        <v>0</v>
      </c>
      <c r="P15274">
        <f>IF(OR(M15274="",N15274=""),"",SUMIFS('Barang Keluar'!$E:$E,'Barang Keluar'!$A:$A,M15274,'Barang Keluar'!$C:$C,N15274))</f>
        <v>0</v>
      </c>
    </row>
    <row r="15275" spans="13:16">
      <c r="M15275" s="49">
        <f>IF($A$4+152&gt;$B$4,"",$A$4+152)</f>
        <v>46175</v>
      </c>
      <c r="N15275">
        <f>IF(M15275="","",'Master Barang'!A69)</f>
        <v>0</v>
      </c>
      <c r="O15275">
        <f>IF(N15275="","",'Master Barang'!B69)</f>
        <v>0</v>
      </c>
      <c r="P15275">
        <f>IF(OR(M15275="",N15275=""),"",SUMIFS('Barang Keluar'!$E:$E,'Barang Keluar'!$A:$A,M15275,'Barang Keluar'!$C:$C,N15275))</f>
        <v>0</v>
      </c>
    </row>
    <row r="15276" spans="13:16">
      <c r="M15276" s="49">
        <f>IF($A$4+152&gt;$B$4,"",$A$4+152)</f>
        <v>46175</v>
      </c>
      <c r="N15276">
        <f>IF(M15276="","",'Master Barang'!A70)</f>
        <v>0</v>
      </c>
      <c r="O15276">
        <f>IF(N15276="","",'Master Barang'!B70)</f>
        <v>0</v>
      </c>
      <c r="P15276">
        <f>IF(OR(M15276="",N15276=""),"",SUMIFS('Barang Keluar'!$E:$E,'Barang Keluar'!$A:$A,M15276,'Barang Keluar'!$C:$C,N15276))</f>
        <v>0</v>
      </c>
    </row>
    <row r="15277" spans="13:16">
      <c r="M15277" s="49">
        <f>IF($A$4+152&gt;$B$4,"",$A$4+152)</f>
        <v>46175</v>
      </c>
      <c r="N15277">
        <f>IF(M15277="","",'Master Barang'!A71)</f>
        <v>0</v>
      </c>
      <c r="O15277">
        <f>IF(N15277="","",'Master Barang'!B71)</f>
        <v>0</v>
      </c>
      <c r="P15277">
        <f>IF(OR(M15277="",N15277=""),"",SUMIFS('Barang Keluar'!$E:$E,'Barang Keluar'!$A:$A,M15277,'Barang Keluar'!$C:$C,N15277))</f>
        <v>0</v>
      </c>
    </row>
    <row r="15278" spans="13:16">
      <c r="M15278" s="49">
        <f>IF($A$4+152&gt;$B$4,"",$A$4+152)</f>
        <v>46175</v>
      </c>
      <c r="N15278">
        <f>IF(M15278="","",'Master Barang'!A72)</f>
        <v>0</v>
      </c>
      <c r="O15278">
        <f>IF(N15278="","",'Master Barang'!B72)</f>
        <v>0</v>
      </c>
      <c r="P15278">
        <f>IF(OR(M15278="",N15278=""),"",SUMIFS('Barang Keluar'!$E:$E,'Barang Keluar'!$A:$A,M15278,'Barang Keluar'!$C:$C,N15278))</f>
        <v>0</v>
      </c>
    </row>
    <row r="15279" spans="13:16">
      <c r="M15279" s="49">
        <f>IF($A$4+152&gt;$B$4,"",$A$4+152)</f>
        <v>46175</v>
      </c>
      <c r="N15279">
        <f>IF(M15279="","",'Master Barang'!A73)</f>
        <v>0</v>
      </c>
      <c r="O15279">
        <f>IF(N15279="","",'Master Barang'!B73)</f>
        <v>0</v>
      </c>
      <c r="P15279">
        <f>IF(OR(M15279="",N15279=""),"",SUMIFS('Barang Keluar'!$E:$E,'Barang Keluar'!$A:$A,M15279,'Barang Keluar'!$C:$C,N15279))</f>
        <v>0</v>
      </c>
    </row>
    <row r="15280" spans="13:16">
      <c r="M15280" s="49">
        <f>IF($A$4+152&gt;$B$4,"",$A$4+152)</f>
        <v>46175</v>
      </c>
      <c r="N15280">
        <f>IF(M15280="","",'Master Barang'!A74)</f>
        <v>0</v>
      </c>
      <c r="O15280">
        <f>IF(N15280="","",'Master Barang'!B74)</f>
        <v>0</v>
      </c>
      <c r="P15280">
        <f>IF(OR(M15280="",N15280=""),"",SUMIFS('Barang Keluar'!$E:$E,'Barang Keluar'!$A:$A,M15280,'Barang Keluar'!$C:$C,N15280))</f>
        <v>0</v>
      </c>
    </row>
    <row r="15281" spans="13:16">
      <c r="M15281" s="49">
        <f>IF($A$4+152&gt;$B$4,"",$A$4+152)</f>
        <v>46175</v>
      </c>
      <c r="N15281">
        <f>IF(M15281="","",'Master Barang'!A75)</f>
        <v>0</v>
      </c>
      <c r="O15281">
        <f>IF(N15281="","",'Master Barang'!B75)</f>
        <v>0</v>
      </c>
      <c r="P15281">
        <f>IF(OR(M15281="",N15281=""),"",SUMIFS('Barang Keluar'!$E:$E,'Barang Keluar'!$A:$A,M15281,'Barang Keluar'!$C:$C,N15281))</f>
        <v>0</v>
      </c>
    </row>
    <row r="15282" spans="13:16">
      <c r="M15282" s="49">
        <f>IF($A$4+152&gt;$B$4,"",$A$4+152)</f>
        <v>46175</v>
      </c>
      <c r="N15282">
        <f>IF(M15282="","",'Master Barang'!A76)</f>
        <v>0</v>
      </c>
      <c r="O15282">
        <f>IF(N15282="","",'Master Barang'!B76)</f>
        <v>0</v>
      </c>
      <c r="P15282">
        <f>IF(OR(M15282="",N15282=""),"",SUMIFS('Barang Keluar'!$E:$E,'Barang Keluar'!$A:$A,M15282,'Barang Keluar'!$C:$C,N15282))</f>
        <v>0</v>
      </c>
    </row>
    <row r="15283" spans="13:16">
      <c r="M15283" s="49">
        <f>IF($A$4+152&gt;$B$4,"",$A$4+152)</f>
        <v>46175</v>
      </c>
      <c r="N15283">
        <f>IF(M15283="","",'Master Barang'!A77)</f>
        <v>0</v>
      </c>
      <c r="O15283">
        <f>IF(N15283="","",'Master Barang'!B77)</f>
        <v>0</v>
      </c>
      <c r="P15283">
        <f>IF(OR(M15283="",N15283=""),"",SUMIFS('Barang Keluar'!$E:$E,'Barang Keluar'!$A:$A,M15283,'Barang Keluar'!$C:$C,N15283))</f>
        <v>0</v>
      </c>
    </row>
    <row r="15284" spans="13:16">
      <c r="M15284" s="49">
        <f>IF($A$4+152&gt;$B$4,"",$A$4+152)</f>
        <v>46175</v>
      </c>
      <c r="N15284">
        <f>IF(M15284="","",'Master Barang'!A78)</f>
        <v>0</v>
      </c>
      <c r="O15284">
        <f>IF(N15284="","",'Master Barang'!B78)</f>
        <v>0</v>
      </c>
      <c r="P15284">
        <f>IF(OR(M15284="",N15284=""),"",SUMIFS('Barang Keluar'!$E:$E,'Barang Keluar'!$A:$A,M15284,'Barang Keluar'!$C:$C,N15284))</f>
        <v>0</v>
      </c>
    </row>
    <row r="15285" spans="13:16">
      <c r="M15285" s="49">
        <f>IF($A$4+152&gt;$B$4,"",$A$4+152)</f>
        <v>46175</v>
      </c>
      <c r="N15285">
        <f>IF(M15285="","",'Master Barang'!A79)</f>
        <v>0</v>
      </c>
      <c r="O15285">
        <f>IF(N15285="","",'Master Barang'!B79)</f>
        <v>0</v>
      </c>
      <c r="P15285">
        <f>IF(OR(M15285="",N15285=""),"",SUMIFS('Barang Keluar'!$E:$E,'Barang Keluar'!$A:$A,M15285,'Barang Keluar'!$C:$C,N15285))</f>
        <v>0</v>
      </c>
    </row>
    <row r="15286" spans="13:16">
      <c r="M15286" s="49">
        <f>IF($A$4+152&gt;$B$4,"",$A$4+152)</f>
        <v>46175</v>
      </c>
      <c r="N15286">
        <f>IF(M15286="","",'Master Barang'!A80)</f>
        <v>0</v>
      </c>
      <c r="O15286">
        <f>IF(N15286="","",'Master Barang'!B80)</f>
        <v>0</v>
      </c>
      <c r="P15286">
        <f>IF(OR(M15286="",N15286=""),"",SUMIFS('Barang Keluar'!$E:$E,'Barang Keluar'!$A:$A,M15286,'Barang Keluar'!$C:$C,N15286))</f>
        <v>0</v>
      </c>
    </row>
    <row r="15287" spans="13:16">
      <c r="M15287" s="49">
        <f>IF($A$4+152&gt;$B$4,"",$A$4+152)</f>
        <v>46175</v>
      </c>
      <c r="N15287">
        <f>IF(M15287="","",'Master Barang'!A81)</f>
        <v>0</v>
      </c>
      <c r="O15287">
        <f>IF(N15287="","",'Master Barang'!B81)</f>
        <v>0</v>
      </c>
      <c r="P15287">
        <f>IF(OR(M15287="",N15287=""),"",SUMIFS('Barang Keluar'!$E:$E,'Barang Keluar'!$A:$A,M15287,'Barang Keluar'!$C:$C,N15287))</f>
        <v>0</v>
      </c>
    </row>
    <row r="15288" spans="13:16">
      <c r="M15288" s="49">
        <f>IF($A$4+152&gt;$B$4,"",$A$4+152)</f>
        <v>46175</v>
      </c>
      <c r="N15288">
        <f>IF(M15288="","",'Master Barang'!A82)</f>
        <v>0</v>
      </c>
      <c r="O15288">
        <f>IF(N15288="","",'Master Barang'!B82)</f>
        <v>0</v>
      </c>
      <c r="P15288">
        <f>IF(OR(M15288="",N15288=""),"",SUMIFS('Barang Keluar'!$E:$E,'Barang Keluar'!$A:$A,M15288,'Barang Keluar'!$C:$C,N15288))</f>
        <v>0</v>
      </c>
    </row>
    <row r="15289" spans="13:16">
      <c r="M15289" s="49">
        <f>IF($A$4+152&gt;$B$4,"",$A$4+152)</f>
        <v>46175</v>
      </c>
      <c r="N15289">
        <f>IF(M15289="","",'Master Barang'!A83)</f>
        <v>0</v>
      </c>
      <c r="O15289">
        <f>IF(N15289="","",'Master Barang'!B83)</f>
        <v>0</v>
      </c>
      <c r="P15289">
        <f>IF(OR(M15289="",N15289=""),"",SUMIFS('Barang Keluar'!$E:$E,'Barang Keluar'!$A:$A,M15289,'Barang Keluar'!$C:$C,N15289))</f>
        <v>0</v>
      </c>
    </row>
    <row r="15290" spans="13:16">
      <c r="M15290" s="49">
        <f>IF($A$4+152&gt;$B$4,"",$A$4+152)</f>
        <v>46175</v>
      </c>
      <c r="N15290">
        <f>IF(M15290="","",'Master Barang'!A84)</f>
        <v>0</v>
      </c>
      <c r="O15290">
        <f>IF(N15290="","",'Master Barang'!B84)</f>
        <v>0</v>
      </c>
      <c r="P15290">
        <f>IF(OR(M15290="",N15290=""),"",SUMIFS('Barang Keluar'!$E:$E,'Barang Keluar'!$A:$A,M15290,'Barang Keluar'!$C:$C,N15290))</f>
        <v>0</v>
      </c>
    </row>
    <row r="15291" spans="13:16">
      <c r="M15291" s="49">
        <f>IF($A$4+152&gt;$B$4,"",$A$4+152)</f>
        <v>46175</v>
      </c>
      <c r="N15291">
        <f>IF(M15291="","",'Master Barang'!A85)</f>
        <v>0</v>
      </c>
      <c r="O15291">
        <f>IF(N15291="","",'Master Barang'!B85)</f>
        <v>0</v>
      </c>
      <c r="P15291">
        <f>IF(OR(M15291="",N15291=""),"",SUMIFS('Barang Keluar'!$E:$E,'Barang Keluar'!$A:$A,M15291,'Barang Keluar'!$C:$C,N15291))</f>
        <v>0</v>
      </c>
    </row>
    <row r="15292" spans="13:16">
      <c r="M15292" s="49">
        <f>IF($A$4+152&gt;$B$4,"",$A$4+152)</f>
        <v>46175</v>
      </c>
      <c r="N15292">
        <f>IF(M15292="","",'Master Barang'!A86)</f>
        <v>0</v>
      </c>
      <c r="O15292">
        <f>IF(N15292="","",'Master Barang'!B86)</f>
        <v>0</v>
      </c>
      <c r="P15292">
        <f>IF(OR(M15292="",N15292=""),"",SUMIFS('Barang Keluar'!$E:$E,'Barang Keluar'!$A:$A,M15292,'Barang Keluar'!$C:$C,N15292))</f>
        <v>0</v>
      </c>
    </row>
    <row r="15293" spans="13:16">
      <c r="M15293" s="49">
        <f>IF($A$4+152&gt;$B$4,"",$A$4+152)</f>
        <v>46175</v>
      </c>
      <c r="N15293">
        <f>IF(M15293="","",'Master Barang'!A87)</f>
        <v>0</v>
      </c>
      <c r="O15293">
        <f>IF(N15293="","",'Master Barang'!B87)</f>
        <v>0</v>
      </c>
      <c r="P15293">
        <f>IF(OR(M15293="",N15293=""),"",SUMIFS('Barang Keluar'!$E:$E,'Barang Keluar'!$A:$A,M15293,'Barang Keluar'!$C:$C,N15293))</f>
        <v>0</v>
      </c>
    </row>
    <row r="15294" spans="13:16">
      <c r="M15294" s="49">
        <f>IF($A$4+152&gt;$B$4,"",$A$4+152)</f>
        <v>46175</v>
      </c>
      <c r="N15294">
        <f>IF(M15294="","",'Master Barang'!A88)</f>
        <v>0</v>
      </c>
      <c r="O15294">
        <f>IF(N15294="","",'Master Barang'!B88)</f>
        <v>0</v>
      </c>
      <c r="P15294">
        <f>IF(OR(M15294="",N15294=""),"",SUMIFS('Barang Keluar'!$E:$E,'Barang Keluar'!$A:$A,M15294,'Barang Keluar'!$C:$C,N15294))</f>
        <v>0</v>
      </c>
    </row>
    <row r="15295" spans="13:16">
      <c r="M15295" s="49">
        <f>IF($A$4+152&gt;$B$4,"",$A$4+152)</f>
        <v>46175</v>
      </c>
      <c r="N15295">
        <f>IF(M15295="","",'Master Barang'!A89)</f>
        <v>0</v>
      </c>
      <c r="O15295">
        <f>IF(N15295="","",'Master Barang'!B89)</f>
        <v>0</v>
      </c>
      <c r="P15295">
        <f>IF(OR(M15295="",N15295=""),"",SUMIFS('Barang Keluar'!$E:$E,'Barang Keluar'!$A:$A,M15295,'Barang Keluar'!$C:$C,N15295))</f>
        <v>0</v>
      </c>
    </row>
    <row r="15296" spans="13:16">
      <c r="M15296" s="49">
        <f>IF($A$4+152&gt;$B$4,"",$A$4+152)</f>
        <v>46175</v>
      </c>
      <c r="N15296">
        <f>IF(M15296="","",'Master Barang'!A90)</f>
        <v>0</v>
      </c>
      <c r="O15296">
        <f>IF(N15296="","",'Master Barang'!B90)</f>
        <v>0</v>
      </c>
      <c r="P15296">
        <f>IF(OR(M15296="",N15296=""),"",SUMIFS('Barang Keluar'!$E:$E,'Barang Keluar'!$A:$A,M15296,'Barang Keluar'!$C:$C,N15296))</f>
        <v>0</v>
      </c>
    </row>
    <row r="15297" spans="13:16">
      <c r="M15297" s="49">
        <f>IF($A$4+152&gt;$B$4,"",$A$4+152)</f>
        <v>46175</v>
      </c>
      <c r="N15297">
        <f>IF(M15297="","",'Master Barang'!A91)</f>
        <v>0</v>
      </c>
      <c r="O15297">
        <f>IF(N15297="","",'Master Barang'!B91)</f>
        <v>0</v>
      </c>
      <c r="P15297">
        <f>IF(OR(M15297="",N15297=""),"",SUMIFS('Barang Keluar'!$E:$E,'Barang Keluar'!$A:$A,M15297,'Barang Keluar'!$C:$C,N15297))</f>
        <v>0</v>
      </c>
    </row>
    <row r="15298" spans="13:16">
      <c r="M15298" s="49">
        <f>IF($A$4+152&gt;$B$4,"",$A$4+152)</f>
        <v>46175</v>
      </c>
      <c r="N15298">
        <f>IF(M15298="","",'Master Barang'!A92)</f>
        <v>0</v>
      </c>
      <c r="O15298">
        <f>IF(N15298="","",'Master Barang'!B92)</f>
        <v>0</v>
      </c>
      <c r="P15298">
        <f>IF(OR(M15298="",N15298=""),"",SUMIFS('Barang Keluar'!$E:$E,'Barang Keluar'!$A:$A,M15298,'Barang Keluar'!$C:$C,N15298))</f>
        <v>0</v>
      </c>
    </row>
    <row r="15299" spans="13:16">
      <c r="M15299" s="49">
        <f>IF($A$4+152&gt;$B$4,"",$A$4+152)</f>
        <v>46175</v>
      </c>
      <c r="N15299">
        <f>IF(M15299="","",'Master Barang'!A93)</f>
        <v>0</v>
      </c>
      <c r="O15299">
        <f>IF(N15299="","",'Master Barang'!B93)</f>
        <v>0</v>
      </c>
      <c r="P15299">
        <f>IF(OR(M15299="",N15299=""),"",SUMIFS('Barang Keluar'!$E:$E,'Barang Keluar'!$A:$A,M15299,'Barang Keluar'!$C:$C,N15299))</f>
        <v>0</v>
      </c>
    </row>
    <row r="15300" spans="13:16">
      <c r="M15300" s="49">
        <f>IF($A$4+152&gt;$B$4,"",$A$4+152)</f>
        <v>46175</v>
      </c>
      <c r="N15300">
        <f>IF(M15300="","",'Master Barang'!A94)</f>
        <v>0</v>
      </c>
      <c r="O15300">
        <f>IF(N15300="","",'Master Barang'!B94)</f>
        <v>0</v>
      </c>
      <c r="P15300">
        <f>IF(OR(M15300="",N15300=""),"",SUMIFS('Barang Keluar'!$E:$E,'Barang Keluar'!$A:$A,M15300,'Barang Keluar'!$C:$C,N15300))</f>
        <v>0</v>
      </c>
    </row>
    <row r="15301" spans="13:16">
      <c r="M15301" s="49">
        <f>IF($A$4+152&gt;$B$4,"",$A$4+152)</f>
        <v>46175</v>
      </c>
      <c r="N15301">
        <f>IF(M15301="","",'Master Barang'!A95)</f>
        <v>0</v>
      </c>
      <c r="O15301">
        <f>IF(N15301="","",'Master Barang'!B95)</f>
        <v>0</v>
      </c>
      <c r="P15301">
        <f>IF(OR(M15301="",N15301=""),"",SUMIFS('Barang Keluar'!$E:$E,'Barang Keluar'!$A:$A,M15301,'Barang Keluar'!$C:$C,N15301))</f>
        <v>0</v>
      </c>
    </row>
    <row r="15302" spans="13:16">
      <c r="M15302" s="49">
        <f>IF($A$4+152&gt;$B$4,"",$A$4+152)</f>
        <v>46175</v>
      </c>
      <c r="N15302">
        <f>IF(M15302="","",'Master Barang'!A96)</f>
        <v>0</v>
      </c>
      <c r="O15302">
        <f>IF(N15302="","",'Master Barang'!B96)</f>
        <v>0</v>
      </c>
      <c r="P15302">
        <f>IF(OR(M15302="",N15302=""),"",SUMIFS('Barang Keluar'!$E:$E,'Barang Keluar'!$A:$A,M15302,'Barang Keluar'!$C:$C,N15302))</f>
        <v>0</v>
      </c>
    </row>
    <row r="15303" spans="13:16">
      <c r="M15303" s="49">
        <f>IF($A$4+152&gt;$B$4,"",$A$4+152)</f>
        <v>46175</v>
      </c>
      <c r="N15303">
        <f>IF(M15303="","",'Master Barang'!A97)</f>
        <v>0</v>
      </c>
      <c r="O15303">
        <f>IF(N15303="","",'Master Barang'!B97)</f>
        <v>0</v>
      </c>
      <c r="P15303">
        <f>IF(OR(M15303="",N15303=""),"",SUMIFS('Barang Keluar'!$E:$E,'Barang Keluar'!$A:$A,M15303,'Barang Keluar'!$C:$C,N15303))</f>
        <v>0</v>
      </c>
    </row>
    <row r="15304" spans="13:16">
      <c r="M15304" s="49">
        <f>IF($A$4+152&gt;$B$4,"",$A$4+152)</f>
        <v>46175</v>
      </c>
      <c r="N15304">
        <f>IF(M15304="","",'Master Barang'!A98)</f>
        <v>0</v>
      </c>
      <c r="O15304">
        <f>IF(N15304="","",'Master Barang'!B98)</f>
        <v>0</v>
      </c>
      <c r="P15304">
        <f>IF(OR(M15304="",N15304=""),"",SUMIFS('Barang Keluar'!$E:$E,'Barang Keluar'!$A:$A,M15304,'Barang Keluar'!$C:$C,N15304))</f>
        <v>0</v>
      </c>
    </row>
    <row r="15305" spans="13:16">
      <c r="M15305" s="49">
        <f>IF($A$4+152&gt;$B$4,"",$A$4+152)</f>
        <v>46175</v>
      </c>
      <c r="N15305">
        <f>IF(M15305="","",'Master Barang'!A99)</f>
        <v>0</v>
      </c>
      <c r="O15305">
        <f>IF(N15305="","",'Master Barang'!B99)</f>
        <v>0</v>
      </c>
      <c r="P15305">
        <f>IF(OR(M15305="",N15305=""),"",SUMIFS('Barang Keluar'!$E:$E,'Barang Keluar'!$A:$A,M15305,'Barang Keluar'!$C:$C,N15305))</f>
        <v>0</v>
      </c>
    </row>
    <row r="15306" spans="13:16">
      <c r="M15306" s="49">
        <f>IF($A$4+152&gt;$B$4,"",$A$4+152)</f>
        <v>46175</v>
      </c>
      <c r="N15306">
        <f>IF(M15306="","",'Master Barang'!A100)</f>
        <v>0</v>
      </c>
      <c r="O15306">
        <f>IF(N15306="","",'Master Barang'!B100)</f>
        <v>0</v>
      </c>
      <c r="P15306">
        <f>IF(OR(M15306="",N15306=""),"",SUMIFS('Barang Keluar'!$E:$E,'Barang Keluar'!$A:$A,M15306,'Barang Keluar'!$C:$C,N15306))</f>
        <v>0</v>
      </c>
    </row>
    <row r="15307" spans="13:16">
      <c r="M15307" s="49">
        <f>IF($A$4+152&gt;$B$4,"",$A$4+152)</f>
        <v>46175</v>
      </c>
      <c r="N15307">
        <f>IF(M15307="","",'Master Barang'!A101)</f>
        <v>0</v>
      </c>
      <c r="O15307">
        <f>IF(N15307="","",'Master Barang'!B101)</f>
        <v>0</v>
      </c>
      <c r="P15307">
        <f>IF(OR(M15307="",N15307=""),"",SUMIFS('Barang Keluar'!$E:$E,'Barang Keluar'!$A:$A,M15307,'Barang Keluar'!$C:$C,N15307))</f>
        <v>0</v>
      </c>
    </row>
    <row r="15308" spans="13:16">
      <c r="M15308" s="49">
        <f>IF($A$4+153&gt;$B$4,"",$A$4+153)</f>
        <v>46176</v>
      </c>
      <c r="N15308" t="str">
        <f>IF(M15308="","",'Master Barang'!A2)</f>
        <v>PRL-001</v>
      </c>
      <c r="O15308" t="str">
        <f>IF(N15308="","",'Master Barang'!B2)</f>
        <v>natura desinfectant food grade 5l</v>
      </c>
      <c r="P15308">
        <f>IF(OR(M15308="",N15308=""),"",SUMIFS('Barang Keluar'!$E:$E,'Barang Keluar'!$A:$A,M15308,'Barang Keluar'!$C:$C,N15308))</f>
        <v>0</v>
      </c>
    </row>
    <row r="15309" spans="13:16">
      <c r="M15309" s="49">
        <f>IF($A$4+153&gt;$B$4,"",$A$4+153)</f>
        <v>46176</v>
      </c>
      <c r="N15309" t="str">
        <f>IF(M15309="","",'Master Barang'!A3)</f>
        <v>PRL-002</v>
      </c>
      <c r="O15309" t="str">
        <f>IF(N15309="","",'Master Barang'!B3)</f>
        <v>sunlight cairan pencuci piring 5l</v>
      </c>
      <c r="P15309">
        <f>IF(OR(M15309="",N15309=""),"",SUMIFS('Barang Keluar'!$E:$E,'Barang Keluar'!$A:$A,M15309,'Barang Keluar'!$C:$C,N15309))</f>
        <v>0</v>
      </c>
    </row>
    <row r="15310" spans="13:16">
      <c r="M15310" s="49">
        <f>IF($A$4+153&gt;$B$4,"",$A$4+153)</f>
        <v>46176</v>
      </c>
      <c r="N15310" t="str">
        <f>IF(M15310="","",'Master Barang'!A4)</f>
        <v>PRL-003</v>
      </c>
      <c r="O15310" t="str">
        <f>IF(N15310="","",'Master Barang'!B4)</f>
        <v>oixs cleaner 1l</v>
      </c>
      <c r="P15310">
        <f>IF(OR(M15310="",N15310=""),"",SUMIFS('Barang Keluar'!$E:$E,'Barang Keluar'!$A:$A,M15310,'Barang Keluar'!$C:$C,N15310))</f>
        <v>0</v>
      </c>
    </row>
    <row r="15311" spans="13:16">
      <c r="M15311" s="49">
        <f>IF($A$4+153&gt;$B$4,"",$A$4+153)</f>
        <v>46176</v>
      </c>
      <c r="N15311" t="str">
        <f>IF(M15311="","",'Master Barang'!A5)</f>
        <v>PRL-004</v>
      </c>
      <c r="O15311" t="str">
        <f>IF(N15311="","",'Master Barang'!B5)</f>
        <v>be clean tissue serbaguna</v>
      </c>
      <c r="P15311">
        <f>IF(OR(M15311="",N15311=""),"",SUMIFS('Barang Keluar'!$E:$E,'Barang Keluar'!$A:$A,M15311,'Barang Keluar'!$C:$C,N15311))</f>
        <v>0</v>
      </c>
    </row>
    <row r="15312" spans="13:16">
      <c r="M15312" s="49">
        <f>IF($A$4+153&gt;$B$4,"",$A$4+153)</f>
        <v>46176</v>
      </c>
      <c r="N15312" t="str">
        <f>IF(M15312="","",'Master Barang'!A6)</f>
        <v>PRL-005</v>
      </c>
      <c r="O15312" t="str">
        <f>IF(N15312="","",'Master Barang'!B6)</f>
        <v>spons cuci hijau</v>
      </c>
      <c r="P15312">
        <f>IF(OR(M15312="",N15312=""),"",SUMIFS('Barang Keluar'!$E:$E,'Barang Keluar'!$A:$A,M15312,'Barang Keluar'!$C:$C,N15312))</f>
        <v>0</v>
      </c>
    </row>
    <row r="15313" spans="13:16">
      <c r="M15313" s="49">
        <f>IF($A$4+153&gt;$B$4,"",$A$4+153)</f>
        <v>46176</v>
      </c>
      <c r="N15313" t="str">
        <f>IF(M15313="","",'Master Barang'!A7)</f>
        <v>PRL-006</v>
      </c>
      <c r="O15313" t="str">
        <f>IF(N15313="","",'Master Barang'!B7)</f>
        <v>sabut cuci stainless</v>
      </c>
      <c r="P15313">
        <f>IF(OR(M15313="",N15313=""),"",SUMIFS('Barang Keluar'!$E:$E,'Barang Keluar'!$A:$A,M15313,'Barang Keluar'!$C:$C,N15313))</f>
        <v>0</v>
      </c>
    </row>
    <row r="15314" spans="13:16">
      <c r="M15314" s="49">
        <f>IF($A$4+153&gt;$B$4,"",$A$4+153)</f>
        <v>46176</v>
      </c>
      <c r="N15314" t="str">
        <f>IF(M15314="","",'Master Barang'!A8)</f>
        <v>PRL-007</v>
      </c>
      <c r="O15314" t="str">
        <f>IF(N15314="","",'Master Barang'!B8)</f>
        <v>plastik kresek besar merah 50pc</v>
      </c>
      <c r="P15314">
        <f>IF(OR(M15314="",N15314=""),"",SUMIFS('Barang Keluar'!$E:$E,'Barang Keluar'!$A:$A,M15314,'Barang Keluar'!$C:$C,N15314))</f>
        <v>0</v>
      </c>
    </row>
    <row r="15315" spans="13:16">
      <c r="M15315" s="49">
        <f>IF($A$4+153&gt;$B$4,"",$A$4+153)</f>
        <v>46176</v>
      </c>
      <c r="N15315" t="str">
        <f>IF(M15315="","",'Master Barang'!A9)</f>
        <v>PRL-008</v>
      </c>
      <c r="O15315" t="str">
        <f>IF(N15315="","",'Master Barang'!B9)</f>
        <v>lap besar</v>
      </c>
      <c r="P15315">
        <f>IF(OR(M15315="",N15315=""),"",SUMIFS('Barang Keluar'!$E:$E,'Barang Keluar'!$A:$A,M15315,'Barang Keluar'!$C:$C,N15315))</f>
        <v>0</v>
      </c>
    </row>
    <row r="15316" spans="13:16">
      <c r="M15316" s="49">
        <f>IF($A$4+153&gt;$B$4,"",$A$4+153)</f>
        <v>46176</v>
      </c>
      <c r="N15316" t="str">
        <f>IF(M15316="","",'Master Barang'!A10)</f>
        <v>PRL-009</v>
      </c>
      <c r="O15316" t="str">
        <f>IF(N15316="","",'Master Barang'!B10)</f>
        <v>lap microfiber</v>
      </c>
      <c r="P15316">
        <f>IF(OR(M15316="",N15316=""),"",SUMIFS('Barang Keluar'!$E:$E,'Barang Keluar'!$A:$A,M15316,'Barang Keluar'!$C:$C,N15316))</f>
        <v>0</v>
      </c>
    </row>
    <row r="15317" spans="13:16">
      <c r="M15317" s="49">
        <f>IF($A$4+153&gt;$B$4,"",$A$4+153)</f>
        <v>46176</v>
      </c>
      <c r="N15317" t="str">
        <f>IF(M15317="","",'Master Barang'!A11)</f>
        <v>PRL-010</v>
      </c>
      <c r="O15317" t="str">
        <f>IF(N15317="","",'Master Barang'!B11)</f>
        <v>lap kecil</v>
      </c>
      <c r="P15317">
        <f>IF(OR(M15317="",N15317=""),"",SUMIFS('Barang Keluar'!$E:$E,'Barang Keluar'!$A:$A,M15317,'Barang Keluar'!$C:$C,N15317))</f>
        <v>0</v>
      </c>
    </row>
    <row r="15318" spans="13:16">
      <c r="M15318" s="49">
        <f>IF($A$4+153&gt;$B$4,"",$A$4+153)</f>
        <v>46176</v>
      </c>
      <c r="N15318" t="str">
        <f>IF(M15318="","",'Master Barang'!A12)</f>
        <v>PRL-011</v>
      </c>
      <c r="O15318" t="str">
        <f>IF(N15318="","",'Master Barang'!B12)</f>
        <v>kanebo kecil</v>
      </c>
      <c r="P15318">
        <f>IF(OR(M15318="",N15318=""),"",SUMIFS('Barang Keluar'!$E:$E,'Barang Keluar'!$A:$A,M15318,'Barang Keluar'!$C:$C,N15318))</f>
        <v>0</v>
      </c>
    </row>
    <row r="15319" spans="13:16">
      <c r="M15319" s="49">
        <f>IF($A$4+153&gt;$B$4,"",$A$4+153)</f>
        <v>46176</v>
      </c>
      <c r="N15319" t="str">
        <f>IF(M15319="","",'Master Barang'!A13)</f>
        <v>PRL-012</v>
      </c>
      <c r="O15319" t="str">
        <f>IF(N15319="","",'Master Barang'!B13)</f>
        <v>plastik 1/4kg joyoboyo 100 lembar</v>
      </c>
      <c r="P15319">
        <f>IF(OR(M15319="",N15319=""),"",SUMIFS('Barang Keluar'!$E:$E,'Barang Keluar'!$A:$A,M15319,'Barang Keluar'!$C:$C,N15319))</f>
        <v>0</v>
      </c>
    </row>
    <row r="15320" spans="13:16">
      <c r="M15320" s="49">
        <f>IF($A$4+153&gt;$B$4,"",$A$4+153)</f>
        <v>46176</v>
      </c>
      <c r="N15320" t="str">
        <f>IF(M15320="","",'Master Barang'!A14)</f>
        <v>PRL-013</v>
      </c>
      <c r="O15320" t="str">
        <f>IF(N15320="","",'Master Barang'!B14)</f>
        <v>sarung tangan plastik kaka 100 pcs</v>
      </c>
      <c r="P15320">
        <f>IF(OR(M15320="",N15320=""),"",SUMIFS('Barang Keluar'!$E:$E,'Barang Keluar'!$A:$A,M15320,'Barang Keluar'!$C:$C,N15320))</f>
        <v>0</v>
      </c>
    </row>
    <row r="15321" spans="13:16">
      <c r="M15321" s="49">
        <f>IF($A$4+153&gt;$B$4,"",$A$4+153)</f>
        <v>46176</v>
      </c>
      <c r="N15321" t="str">
        <f>IF(M15321="","",'Master Barang'!A15)</f>
        <v>PRL-014</v>
      </c>
      <c r="O15321" t="str">
        <f>IF(N15321="","",'Master Barang'!B15)</f>
        <v>optima trashbag 80x100</v>
      </c>
      <c r="P15321">
        <f>IF(OR(M15321="",N15321=""),"",SUMIFS('Barang Keluar'!$E:$E,'Barang Keluar'!$A:$A,M15321,'Barang Keluar'!$C:$C,N15321))</f>
        <v>0</v>
      </c>
    </row>
    <row r="15322" spans="13:16">
      <c r="M15322" s="49">
        <f>IF($A$4+153&gt;$B$4,"",$A$4+153)</f>
        <v>46176</v>
      </c>
      <c r="N15322" t="str">
        <f>IF(M15322="","",'Master Barang'!A16)</f>
        <v>PRL-015</v>
      </c>
      <c r="O15322" t="str">
        <f>IF(N15322="","",'Master Barang'!B16)</f>
        <v>optima trashbag 60x100</v>
      </c>
      <c r="P15322">
        <f>IF(OR(M15322="",N15322=""),"",SUMIFS('Barang Keluar'!$E:$E,'Barang Keluar'!$A:$A,M15322,'Barang Keluar'!$C:$C,N15322))</f>
        <v>0</v>
      </c>
    </row>
    <row r="15323" spans="13:16">
      <c r="M15323" s="49">
        <f>IF($A$4+153&gt;$B$4,"",$A$4+153)</f>
        <v>46176</v>
      </c>
      <c r="N15323" t="str">
        <f>IF(M15323="","",'Master Barang'!A17)</f>
        <v>PRL-016</v>
      </c>
      <c r="O15323" t="str">
        <f>IF(N15323="","",'Master Barang'!B17)</f>
        <v>rajawali trashbag 30x40</v>
      </c>
      <c r="P15323">
        <f>IF(OR(M15323="",N15323=""),"",SUMIFS('Barang Keluar'!$E:$E,'Barang Keluar'!$A:$A,M15323,'Barang Keluar'!$C:$C,N15323))</f>
        <v>0</v>
      </c>
    </row>
    <row r="15324" spans="13:16">
      <c r="M15324" s="49">
        <f>IF($A$4+153&gt;$B$4,"",$A$4+153)</f>
        <v>46176</v>
      </c>
      <c r="N15324" t="str">
        <f>IF(M15324="","",'Master Barang'!A18)</f>
        <v>PRL-017</v>
      </c>
      <c r="O15324" t="str">
        <f>IF(N15324="","",'Master Barang'!B18)</f>
        <v>onemed masker biru 3 play 50 pcs</v>
      </c>
      <c r="P15324">
        <f>IF(OR(M15324="",N15324=""),"",SUMIFS('Barang Keluar'!$E:$E,'Barang Keluar'!$A:$A,M15324,'Barang Keluar'!$C:$C,N15324))</f>
        <v>0</v>
      </c>
    </row>
    <row r="15325" spans="13:16">
      <c r="M15325" s="49">
        <f>IF($A$4+153&gt;$B$4,"",$A$4+153)</f>
        <v>46176</v>
      </c>
      <c r="N15325" t="str">
        <f>IF(M15325="","",'Master Barang'!A19)</f>
        <v>PRL-018</v>
      </c>
      <c r="O15325" t="str">
        <f>IF(N15325="","",'Master Barang'!B19)</f>
        <v>onemed masker biru 3 play hijab 50 pcs</v>
      </c>
      <c r="P15325">
        <f>IF(OR(M15325="",N15325=""),"",SUMIFS('Barang Keluar'!$E:$E,'Barang Keluar'!$A:$A,M15325,'Barang Keluar'!$C:$C,N15325))</f>
        <v>0</v>
      </c>
    </row>
    <row r="15326" spans="13:16">
      <c r="M15326" s="49">
        <f>IF($A$4+153&gt;$B$4,"",$A$4+153)</f>
        <v>46176</v>
      </c>
      <c r="N15326" t="str">
        <f>IF(M15326="","",'Master Barang'!A20)</f>
        <v>PRL-019</v>
      </c>
      <c r="O15326" t="str">
        <f>IF(N15326="","",'Master Barang'!B20)</f>
        <v>neo health masker biru 3 play 50 pcs</v>
      </c>
      <c r="P15326">
        <f>IF(OR(M15326="",N15326=""),"",SUMIFS('Barang Keluar'!$E:$E,'Barang Keluar'!$A:$A,M15326,'Barang Keluar'!$C:$C,N15326))</f>
        <v>0</v>
      </c>
    </row>
    <row r="15327" spans="13:16">
      <c r="M15327" s="49">
        <f>IF($A$4+153&gt;$B$4,"",$A$4+153)</f>
        <v>46176</v>
      </c>
      <c r="N15327" t="str">
        <f>IF(M15327="","",'Master Barang'!A21)</f>
        <v>PRL-020</v>
      </c>
      <c r="O15327" t="str">
        <f>IF(N15327="","",'Master Barang'!B21)</f>
        <v>baymed masker hijau 3 play hijau 50 pcs</v>
      </c>
      <c r="P15327">
        <f>IF(OR(M15327="",N15327=""),"",SUMIFS('Barang Keluar'!$E:$E,'Barang Keluar'!$A:$A,M15327,'Barang Keluar'!$C:$C,N15327))</f>
        <v>0</v>
      </c>
    </row>
    <row r="15328" spans="13:16">
      <c r="M15328" s="49">
        <f>IF($A$4+153&gt;$B$4,"",$A$4+153)</f>
        <v>46176</v>
      </c>
      <c r="N15328" t="str">
        <f>IF(M15328="","",'Master Barang'!A22)</f>
        <v>PRL-021</v>
      </c>
      <c r="O15328" t="str">
        <f>IF(N15328="","",'Master Barang'!B22)</f>
        <v>altamed nurse cap penutup kepala 100 pcs</v>
      </c>
      <c r="P15328">
        <f>IF(OR(M15328="",N15328=""),"",SUMIFS('Barang Keluar'!$E:$E,'Barang Keluar'!$A:$A,M15328,'Barang Keluar'!$C:$C,N15328))</f>
        <v>0</v>
      </c>
    </row>
    <row r="15329" spans="13:16">
      <c r="M15329" s="49">
        <f>IF($A$4+153&gt;$B$4,"",$A$4+153)</f>
        <v>46176</v>
      </c>
      <c r="N15329" t="str">
        <f>IF(M15329="","",'Master Barang'!A23)</f>
        <v>PRL-022</v>
      </c>
      <c r="O15329" t="str">
        <f>IF(N15329="","",'Master Barang'!B23)</f>
        <v>sabun cuci tangan</v>
      </c>
      <c r="P15329">
        <f>IF(OR(M15329="",N15329=""),"",SUMIFS('Barang Keluar'!$E:$E,'Barang Keluar'!$A:$A,M15329,'Barang Keluar'!$C:$C,N15329))</f>
        <v>0</v>
      </c>
    </row>
    <row r="15330" spans="13:16">
      <c r="M15330" s="49">
        <f>IF($A$4+153&gt;$B$4,"",$A$4+153)</f>
        <v>46176</v>
      </c>
      <c r="N15330" t="str">
        <f>IF(M15330="","",'Master Barang'!A24)</f>
        <v>PRL-023</v>
      </c>
      <c r="O15330" t="str">
        <f>IF(N15330="","",'Master Barang'!B24)</f>
        <v>gayung kecil</v>
      </c>
      <c r="P15330">
        <f>IF(OR(M15330="",N15330=""),"",SUMIFS('Barang Keluar'!$E:$E,'Barang Keluar'!$A:$A,M15330,'Barang Keluar'!$C:$C,N15330))</f>
        <v>0</v>
      </c>
    </row>
    <row r="15331" spans="13:16">
      <c r="M15331" s="49">
        <f>IF($A$4+153&gt;$B$4,"",$A$4+153)</f>
        <v>46176</v>
      </c>
      <c r="N15331" t="str">
        <f>IF(M15331="","",'Master Barang'!A25)</f>
        <v>PRL-024</v>
      </c>
      <c r="O15331" t="str">
        <f>IF(N15331="","",'Master Barang'!B25)</f>
        <v>cikrak kecil</v>
      </c>
      <c r="P15331">
        <f>IF(OR(M15331="",N15331=""),"",SUMIFS('Barang Keluar'!$E:$E,'Barang Keluar'!$A:$A,M15331,'Barang Keluar'!$C:$C,N15331))</f>
        <v>0</v>
      </c>
    </row>
    <row r="15332" spans="13:16">
      <c r="M15332" s="49">
        <f>IF($A$4+153&gt;$B$4,"",$A$4+153)</f>
        <v>46176</v>
      </c>
      <c r="N15332" t="str">
        <f>IF(M15332="","",'Master Barang'!A26)</f>
        <v>PRL-025</v>
      </c>
      <c r="O15332" t="str">
        <f>IF(N15332="","",'Master Barang'!B26)</f>
        <v>petromax plastik kecil 12x24 100 lembar</v>
      </c>
      <c r="P15332">
        <f>IF(OR(M15332="",N15332=""),"",SUMIFS('Barang Keluar'!$E:$E,'Barang Keluar'!$A:$A,M15332,'Barang Keluar'!$C:$C,N15332))</f>
        <v>0</v>
      </c>
    </row>
    <row r="15333" spans="13:16">
      <c r="M15333" s="49">
        <f>IF($A$4+153&gt;$B$4,"",$A$4+153)</f>
        <v>46176</v>
      </c>
      <c r="N15333" t="str">
        <f>IF(M15333="","",'Master Barang'!A27)</f>
        <v>PRL-026</v>
      </c>
      <c r="O15333" t="str">
        <f>IF(N15333="","",'Master Barang'!B27)</f>
        <v>lancar kresek kecil bening </v>
      </c>
      <c r="P15333">
        <f>IF(OR(M15333="",N15333=""),"",SUMIFS('Barang Keluar'!$E:$E,'Barang Keluar'!$A:$A,M15333,'Barang Keluar'!$C:$C,N15333))</f>
        <v>0</v>
      </c>
    </row>
    <row r="15334" spans="13:16">
      <c r="M15334" s="49">
        <f>IF($A$4+153&gt;$B$4,"",$A$4+153)</f>
        <v>46176</v>
      </c>
      <c r="N15334" t="str">
        <f>IF(M15334="","",'Master Barang'!A28)</f>
        <v>PRL-027</v>
      </c>
      <c r="O15334" t="str">
        <f>IF(N15334="","",'Master Barang'!B28)</f>
        <v>kresek klin warna warni kecil</v>
      </c>
      <c r="P15334">
        <f>IF(OR(M15334="",N15334=""),"",SUMIFS('Barang Keluar'!$E:$E,'Barang Keluar'!$A:$A,M15334,'Barang Keluar'!$C:$C,N15334))</f>
        <v>0</v>
      </c>
    </row>
    <row r="15335" spans="13:16">
      <c r="M15335" s="49">
        <f>IF($A$4+153&gt;$B$4,"",$A$4+153)</f>
        <v>46176</v>
      </c>
      <c r="N15335" t="str">
        <f>IF(M15335="","",'Master Barang'!A29)</f>
        <v>PRL-028</v>
      </c>
      <c r="O15335" t="str">
        <f>IF(N15335="","",'Master Barang'!B29)</f>
        <v>ctik plastik 7x10 100 pcs</v>
      </c>
      <c r="P15335">
        <f>IF(OR(M15335="",N15335=""),"",SUMIFS('Barang Keluar'!$E:$E,'Barang Keluar'!$A:$A,M15335,'Barang Keluar'!$C:$C,N15335))</f>
        <v>0</v>
      </c>
    </row>
    <row r="15336" spans="13:16">
      <c r="M15336" s="49">
        <f>IF($A$4+153&gt;$B$4,"",$A$4+153)</f>
        <v>46176</v>
      </c>
      <c r="N15336" t="str">
        <f>IF(M15336="","",'Master Barang'!A30)</f>
        <v>PRL-029</v>
      </c>
      <c r="O15336" t="str">
        <f>IF(N15336="","",'Master Barang'!B30)</f>
        <v>ctik plastik 6x10 100 pcs</v>
      </c>
      <c r="P15336">
        <f>IF(OR(M15336="",N15336=""),"",SUMIFS('Barang Keluar'!$E:$E,'Barang Keluar'!$A:$A,M15336,'Barang Keluar'!$C:$C,N15336))</f>
        <v>0</v>
      </c>
    </row>
    <row r="15337" spans="13:16">
      <c r="M15337" s="49">
        <f>IF($A$4+153&gt;$B$4,"",$A$4+153)</f>
        <v>46176</v>
      </c>
      <c r="N15337" t="str">
        <f>IF(M15337="","",'Master Barang'!A31)</f>
        <v>PRL-030</v>
      </c>
      <c r="O15337" t="str">
        <f>IF(N15337="","",'Master Barang'!B31)</f>
        <v>klip plastik 25x16 100 pcs</v>
      </c>
      <c r="P15337">
        <f>IF(OR(M15337="",N15337=""),"",SUMIFS('Barang Keluar'!$E:$E,'Barang Keluar'!$A:$A,M15337,'Barang Keluar'!$C:$C,N15337))</f>
        <v>0</v>
      </c>
    </row>
    <row r="15338" spans="13:16">
      <c r="M15338" s="49">
        <f>IF($A$4+153&gt;$B$4,"",$A$4+153)</f>
        <v>46176</v>
      </c>
      <c r="N15338" t="str">
        <f>IF(M15338="","",'Master Barang'!A32)</f>
        <v>PRL-031</v>
      </c>
      <c r="O15338" t="str">
        <f>IF(N15338="","",'Master Barang'!B32)</f>
        <v>tempat saus 20 ml</v>
      </c>
      <c r="P15338">
        <f>IF(OR(M15338="",N15338=""),"",SUMIFS('Barang Keluar'!$E:$E,'Barang Keluar'!$A:$A,M15338,'Barang Keluar'!$C:$C,N15338))</f>
        <v>0</v>
      </c>
    </row>
    <row r="15339" spans="13:16">
      <c r="M15339" s="49">
        <f>IF($A$4+153&gt;$B$4,"",$A$4+153)</f>
        <v>46176</v>
      </c>
      <c r="N15339" t="str">
        <f>IF(M15339="","",'Master Barang'!A33)</f>
        <v>PRL-032</v>
      </c>
      <c r="O15339" t="str">
        <f>IF(N15339="","",'Master Barang'!B33)</f>
        <v>plastik packaging ag box uk sedang</v>
      </c>
      <c r="P15339">
        <f>IF(OR(M15339="",N15339=""),"",SUMIFS('Barang Keluar'!$E:$E,'Barang Keluar'!$A:$A,M15339,'Barang Keluar'!$C:$C,N15339))</f>
        <v>0</v>
      </c>
    </row>
    <row r="15340" spans="13:16">
      <c r="M15340" s="49">
        <f>IF($A$4+153&gt;$B$4,"",$A$4+153)</f>
        <v>46176</v>
      </c>
      <c r="N15340" t="str">
        <f>IF(M15340="","",'Master Barang'!A34)</f>
        <v>PRL-033</v>
      </c>
      <c r="O15340">
        <f>IF(N15340="","",'Master Barang'!B34)</f>
        <v>0</v>
      </c>
      <c r="P15340">
        <f>IF(OR(M15340="",N15340=""),"",SUMIFS('Barang Keluar'!$E:$E,'Barang Keluar'!$A:$A,M15340,'Barang Keluar'!$C:$C,N15340))</f>
        <v>0</v>
      </c>
    </row>
    <row r="15341" spans="13:16">
      <c r="M15341" s="49">
        <f>IF($A$4+153&gt;$B$4,"",$A$4+153)</f>
        <v>46176</v>
      </c>
      <c r="N15341">
        <f>IF(M15341="","",'Master Barang'!A35)</f>
        <v>0</v>
      </c>
      <c r="O15341">
        <f>IF(N15341="","",'Master Barang'!B35)</f>
        <v>0</v>
      </c>
      <c r="P15341">
        <f>IF(OR(M15341="",N15341=""),"",SUMIFS('Barang Keluar'!$E:$E,'Barang Keluar'!$A:$A,M15341,'Barang Keluar'!$C:$C,N15341))</f>
        <v>0</v>
      </c>
    </row>
    <row r="15342" spans="13:16">
      <c r="M15342" s="49">
        <f>IF($A$4+153&gt;$B$4,"",$A$4+153)</f>
        <v>46176</v>
      </c>
      <c r="N15342">
        <f>IF(M15342="","",'Master Barang'!A36)</f>
        <v>0</v>
      </c>
      <c r="O15342">
        <f>IF(N15342="","",'Master Barang'!B36)</f>
        <v>0</v>
      </c>
      <c r="P15342">
        <f>IF(OR(M15342="",N15342=""),"",SUMIFS('Barang Keluar'!$E:$E,'Barang Keluar'!$A:$A,M15342,'Barang Keluar'!$C:$C,N15342))</f>
        <v>0</v>
      </c>
    </row>
    <row r="15343" spans="13:16">
      <c r="M15343" s="49">
        <f>IF($A$4+153&gt;$B$4,"",$A$4+153)</f>
        <v>46176</v>
      </c>
      <c r="N15343">
        <f>IF(M15343="","",'Master Barang'!A37)</f>
        <v>0</v>
      </c>
      <c r="O15343">
        <f>IF(N15343="","",'Master Barang'!B37)</f>
        <v>0</v>
      </c>
      <c r="P15343">
        <f>IF(OR(M15343="",N15343=""),"",SUMIFS('Barang Keluar'!$E:$E,'Barang Keluar'!$A:$A,M15343,'Barang Keluar'!$C:$C,N15343))</f>
        <v>0</v>
      </c>
    </row>
    <row r="15344" spans="13:16">
      <c r="M15344" s="49">
        <f>IF($A$4+153&gt;$B$4,"",$A$4+153)</f>
        <v>46176</v>
      </c>
      <c r="N15344">
        <f>IF(M15344="","",'Master Barang'!A38)</f>
        <v>0</v>
      </c>
      <c r="O15344">
        <f>IF(N15344="","",'Master Barang'!B38)</f>
        <v>0</v>
      </c>
      <c r="P15344">
        <f>IF(OR(M15344="",N15344=""),"",SUMIFS('Barang Keluar'!$E:$E,'Barang Keluar'!$A:$A,M15344,'Barang Keluar'!$C:$C,N15344))</f>
        <v>0</v>
      </c>
    </row>
    <row r="15345" spans="13:16">
      <c r="M15345" s="49">
        <f>IF($A$4+153&gt;$B$4,"",$A$4+153)</f>
        <v>46176</v>
      </c>
      <c r="N15345">
        <f>IF(M15345="","",'Master Barang'!A39)</f>
        <v>0</v>
      </c>
      <c r="O15345">
        <f>IF(N15345="","",'Master Barang'!B39)</f>
        <v>0</v>
      </c>
      <c r="P15345">
        <f>IF(OR(M15345="",N15345=""),"",SUMIFS('Barang Keluar'!$E:$E,'Barang Keluar'!$A:$A,M15345,'Barang Keluar'!$C:$C,N15345))</f>
        <v>0</v>
      </c>
    </row>
    <row r="15346" spans="13:16">
      <c r="M15346" s="49">
        <f>IF($A$4+153&gt;$B$4,"",$A$4+153)</f>
        <v>46176</v>
      </c>
      <c r="N15346">
        <f>IF(M15346="","",'Master Barang'!A40)</f>
        <v>0</v>
      </c>
      <c r="O15346">
        <f>IF(N15346="","",'Master Barang'!B40)</f>
        <v>0</v>
      </c>
      <c r="P15346">
        <f>IF(OR(M15346="",N15346=""),"",SUMIFS('Barang Keluar'!$E:$E,'Barang Keluar'!$A:$A,M15346,'Barang Keluar'!$C:$C,N15346))</f>
        <v>0</v>
      </c>
    </row>
    <row r="15347" spans="13:16">
      <c r="M15347" s="49">
        <f>IF($A$4+153&gt;$B$4,"",$A$4+153)</f>
        <v>46176</v>
      </c>
      <c r="N15347">
        <f>IF(M15347="","",'Master Barang'!A41)</f>
        <v>0</v>
      </c>
      <c r="O15347">
        <f>IF(N15347="","",'Master Barang'!B41)</f>
        <v>0</v>
      </c>
      <c r="P15347">
        <f>IF(OR(M15347="",N15347=""),"",SUMIFS('Barang Keluar'!$E:$E,'Barang Keluar'!$A:$A,M15347,'Barang Keluar'!$C:$C,N15347))</f>
        <v>0</v>
      </c>
    </row>
    <row r="15348" spans="13:16">
      <c r="M15348" s="49">
        <f>IF($A$4+153&gt;$B$4,"",$A$4+153)</f>
        <v>46176</v>
      </c>
      <c r="N15348">
        <f>IF(M15348="","",'Master Barang'!A42)</f>
        <v>0</v>
      </c>
      <c r="O15348">
        <f>IF(N15348="","",'Master Barang'!B42)</f>
        <v>0</v>
      </c>
      <c r="P15348">
        <f>IF(OR(M15348="",N15348=""),"",SUMIFS('Barang Keluar'!$E:$E,'Barang Keluar'!$A:$A,M15348,'Barang Keluar'!$C:$C,N15348))</f>
        <v>0</v>
      </c>
    </row>
    <row r="15349" spans="13:16">
      <c r="M15349" s="49">
        <f>IF($A$4+153&gt;$B$4,"",$A$4+153)</f>
        <v>46176</v>
      </c>
      <c r="N15349">
        <f>IF(M15349="","",'Master Barang'!A43)</f>
        <v>0</v>
      </c>
      <c r="O15349">
        <f>IF(N15349="","",'Master Barang'!B43)</f>
        <v>0</v>
      </c>
      <c r="P15349">
        <f>IF(OR(M15349="",N15349=""),"",SUMIFS('Barang Keluar'!$E:$E,'Barang Keluar'!$A:$A,M15349,'Barang Keluar'!$C:$C,N15349))</f>
        <v>0</v>
      </c>
    </row>
    <row r="15350" spans="13:16">
      <c r="M15350" s="49">
        <f>IF($A$4+153&gt;$B$4,"",$A$4+153)</f>
        <v>46176</v>
      </c>
      <c r="N15350">
        <f>IF(M15350="","",'Master Barang'!A44)</f>
        <v>0</v>
      </c>
      <c r="O15350">
        <f>IF(N15350="","",'Master Barang'!B44)</f>
        <v>0</v>
      </c>
      <c r="P15350">
        <f>IF(OR(M15350="",N15350=""),"",SUMIFS('Barang Keluar'!$E:$E,'Barang Keluar'!$A:$A,M15350,'Barang Keluar'!$C:$C,N15350))</f>
        <v>0</v>
      </c>
    </row>
    <row r="15351" spans="13:16">
      <c r="M15351" s="49">
        <f>IF($A$4+153&gt;$B$4,"",$A$4+153)</f>
        <v>46176</v>
      </c>
      <c r="N15351">
        <f>IF(M15351="","",'Master Barang'!A45)</f>
        <v>0</v>
      </c>
      <c r="O15351">
        <f>IF(N15351="","",'Master Barang'!B45)</f>
        <v>0</v>
      </c>
      <c r="P15351">
        <f>IF(OR(M15351="",N15351=""),"",SUMIFS('Barang Keluar'!$E:$E,'Barang Keluar'!$A:$A,M15351,'Barang Keluar'!$C:$C,N15351))</f>
        <v>0</v>
      </c>
    </row>
    <row r="15352" spans="13:16">
      <c r="M15352" s="49">
        <f>IF($A$4+153&gt;$B$4,"",$A$4+153)</f>
        <v>46176</v>
      </c>
      <c r="N15352">
        <f>IF(M15352="","",'Master Barang'!A46)</f>
        <v>0</v>
      </c>
      <c r="O15352">
        <f>IF(N15352="","",'Master Barang'!B46)</f>
        <v>0</v>
      </c>
      <c r="P15352">
        <f>IF(OR(M15352="",N15352=""),"",SUMIFS('Barang Keluar'!$E:$E,'Barang Keluar'!$A:$A,M15352,'Barang Keluar'!$C:$C,N15352))</f>
        <v>0</v>
      </c>
    </row>
    <row r="15353" spans="13:16">
      <c r="M15353" s="49">
        <f>IF($A$4+153&gt;$B$4,"",$A$4+153)</f>
        <v>46176</v>
      </c>
      <c r="N15353">
        <f>IF(M15353="","",'Master Barang'!A47)</f>
        <v>0</v>
      </c>
      <c r="O15353">
        <f>IF(N15353="","",'Master Barang'!B47)</f>
        <v>0</v>
      </c>
      <c r="P15353">
        <f>IF(OR(M15353="",N15353=""),"",SUMIFS('Barang Keluar'!$E:$E,'Barang Keluar'!$A:$A,M15353,'Barang Keluar'!$C:$C,N15353))</f>
        <v>0</v>
      </c>
    </row>
    <row r="15354" spans="13:16">
      <c r="M15354" s="49">
        <f>IF($A$4+153&gt;$B$4,"",$A$4+153)</f>
        <v>46176</v>
      </c>
      <c r="N15354">
        <f>IF(M15354="","",'Master Barang'!A48)</f>
        <v>0</v>
      </c>
      <c r="O15354">
        <f>IF(N15354="","",'Master Barang'!B48)</f>
        <v>0</v>
      </c>
      <c r="P15354">
        <f>IF(OR(M15354="",N15354=""),"",SUMIFS('Barang Keluar'!$E:$E,'Barang Keluar'!$A:$A,M15354,'Barang Keluar'!$C:$C,N15354))</f>
        <v>0</v>
      </c>
    </row>
    <row r="15355" spans="13:16">
      <c r="M15355" s="49">
        <f>IF($A$4+153&gt;$B$4,"",$A$4+153)</f>
        <v>46176</v>
      </c>
      <c r="N15355">
        <f>IF(M15355="","",'Master Barang'!A49)</f>
        <v>0</v>
      </c>
      <c r="O15355">
        <f>IF(N15355="","",'Master Barang'!B49)</f>
        <v>0</v>
      </c>
      <c r="P15355">
        <f>IF(OR(M15355="",N15355=""),"",SUMIFS('Barang Keluar'!$E:$E,'Barang Keluar'!$A:$A,M15355,'Barang Keluar'!$C:$C,N15355))</f>
        <v>0</v>
      </c>
    </row>
    <row r="15356" spans="13:16">
      <c r="M15356" s="49">
        <f>IF($A$4+153&gt;$B$4,"",$A$4+153)</f>
        <v>46176</v>
      </c>
      <c r="N15356">
        <f>IF(M15356="","",'Master Barang'!A50)</f>
        <v>0</v>
      </c>
      <c r="O15356">
        <f>IF(N15356="","",'Master Barang'!B50)</f>
        <v>0</v>
      </c>
      <c r="P15356">
        <f>IF(OR(M15356="",N15356=""),"",SUMIFS('Barang Keluar'!$E:$E,'Barang Keluar'!$A:$A,M15356,'Barang Keluar'!$C:$C,N15356))</f>
        <v>0</v>
      </c>
    </row>
    <row r="15357" spans="13:16">
      <c r="M15357" s="49">
        <f>IF($A$4+153&gt;$B$4,"",$A$4+153)</f>
        <v>46176</v>
      </c>
      <c r="N15357">
        <f>IF(M15357="","",'Master Barang'!A51)</f>
        <v>0</v>
      </c>
      <c r="O15357">
        <f>IF(N15357="","",'Master Barang'!B51)</f>
        <v>0</v>
      </c>
      <c r="P15357">
        <f>IF(OR(M15357="",N15357=""),"",SUMIFS('Barang Keluar'!$E:$E,'Barang Keluar'!$A:$A,M15357,'Barang Keluar'!$C:$C,N15357))</f>
        <v>0</v>
      </c>
    </row>
    <row r="15358" spans="13:16">
      <c r="M15358" s="49">
        <f>IF($A$4+153&gt;$B$4,"",$A$4+153)</f>
        <v>46176</v>
      </c>
      <c r="N15358">
        <f>IF(M15358="","",'Master Barang'!A52)</f>
        <v>0</v>
      </c>
      <c r="O15358">
        <f>IF(N15358="","",'Master Barang'!B52)</f>
        <v>0</v>
      </c>
      <c r="P15358">
        <f>IF(OR(M15358="",N15358=""),"",SUMIFS('Barang Keluar'!$E:$E,'Barang Keluar'!$A:$A,M15358,'Barang Keluar'!$C:$C,N15358))</f>
        <v>0</v>
      </c>
    </row>
    <row r="15359" spans="13:16">
      <c r="M15359" s="49">
        <f>IF($A$4+153&gt;$B$4,"",$A$4+153)</f>
        <v>46176</v>
      </c>
      <c r="N15359">
        <f>IF(M15359="","",'Master Barang'!A53)</f>
        <v>0</v>
      </c>
      <c r="O15359">
        <f>IF(N15359="","",'Master Barang'!B53)</f>
        <v>0</v>
      </c>
      <c r="P15359">
        <f>IF(OR(M15359="",N15359=""),"",SUMIFS('Barang Keluar'!$E:$E,'Barang Keluar'!$A:$A,M15359,'Barang Keluar'!$C:$C,N15359))</f>
        <v>0</v>
      </c>
    </row>
    <row r="15360" spans="13:16">
      <c r="M15360" s="49">
        <f>IF($A$4+153&gt;$B$4,"",$A$4+153)</f>
        <v>46176</v>
      </c>
      <c r="N15360">
        <f>IF(M15360="","",'Master Barang'!A54)</f>
        <v>0</v>
      </c>
      <c r="O15360">
        <f>IF(N15360="","",'Master Barang'!B54)</f>
        <v>0</v>
      </c>
      <c r="P15360">
        <f>IF(OR(M15360="",N15360=""),"",SUMIFS('Barang Keluar'!$E:$E,'Barang Keluar'!$A:$A,M15360,'Barang Keluar'!$C:$C,N15360))</f>
        <v>0</v>
      </c>
    </row>
    <row r="15361" spans="13:16">
      <c r="M15361" s="49">
        <f>IF($A$4+153&gt;$B$4,"",$A$4+153)</f>
        <v>46176</v>
      </c>
      <c r="N15361">
        <f>IF(M15361="","",'Master Barang'!A55)</f>
        <v>0</v>
      </c>
      <c r="O15361">
        <f>IF(N15361="","",'Master Barang'!B55)</f>
        <v>0</v>
      </c>
      <c r="P15361">
        <f>IF(OR(M15361="",N15361=""),"",SUMIFS('Barang Keluar'!$E:$E,'Barang Keluar'!$A:$A,M15361,'Barang Keluar'!$C:$C,N15361))</f>
        <v>0</v>
      </c>
    </row>
    <row r="15362" spans="13:16">
      <c r="M15362" s="49">
        <f>IF($A$4+153&gt;$B$4,"",$A$4+153)</f>
        <v>46176</v>
      </c>
      <c r="N15362">
        <f>IF(M15362="","",'Master Barang'!A56)</f>
        <v>0</v>
      </c>
      <c r="O15362">
        <f>IF(N15362="","",'Master Barang'!B56)</f>
        <v>0</v>
      </c>
      <c r="P15362">
        <f>IF(OR(M15362="",N15362=""),"",SUMIFS('Barang Keluar'!$E:$E,'Barang Keluar'!$A:$A,M15362,'Barang Keluar'!$C:$C,N15362))</f>
        <v>0</v>
      </c>
    </row>
    <row r="15363" spans="13:16">
      <c r="M15363" s="49">
        <f>IF($A$4+153&gt;$B$4,"",$A$4+153)</f>
        <v>46176</v>
      </c>
      <c r="N15363">
        <f>IF(M15363="","",'Master Barang'!A57)</f>
        <v>0</v>
      </c>
      <c r="O15363">
        <f>IF(N15363="","",'Master Barang'!B57)</f>
        <v>0</v>
      </c>
      <c r="P15363">
        <f>IF(OR(M15363="",N15363=""),"",SUMIFS('Barang Keluar'!$E:$E,'Barang Keluar'!$A:$A,M15363,'Barang Keluar'!$C:$C,N15363))</f>
        <v>0</v>
      </c>
    </row>
    <row r="15364" spans="13:16">
      <c r="M15364" s="49">
        <f>IF($A$4+153&gt;$B$4,"",$A$4+153)</f>
        <v>46176</v>
      </c>
      <c r="N15364">
        <f>IF(M15364="","",'Master Barang'!A58)</f>
        <v>0</v>
      </c>
      <c r="O15364">
        <f>IF(N15364="","",'Master Barang'!B58)</f>
        <v>0</v>
      </c>
      <c r="P15364">
        <f>IF(OR(M15364="",N15364=""),"",SUMIFS('Barang Keluar'!$E:$E,'Barang Keluar'!$A:$A,M15364,'Barang Keluar'!$C:$C,N15364))</f>
        <v>0</v>
      </c>
    </row>
    <row r="15365" spans="13:16">
      <c r="M15365" s="49">
        <f>IF($A$4+153&gt;$B$4,"",$A$4+153)</f>
        <v>46176</v>
      </c>
      <c r="N15365">
        <f>IF(M15365="","",'Master Barang'!A59)</f>
        <v>0</v>
      </c>
      <c r="O15365">
        <f>IF(N15365="","",'Master Barang'!B59)</f>
        <v>0</v>
      </c>
      <c r="P15365">
        <f>IF(OR(M15365="",N15365=""),"",SUMIFS('Barang Keluar'!$E:$E,'Barang Keluar'!$A:$A,M15365,'Barang Keluar'!$C:$C,N15365))</f>
        <v>0</v>
      </c>
    </row>
    <row r="15366" spans="13:16">
      <c r="M15366" s="49">
        <f>IF($A$4+153&gt;$B$4,"",$A$4+153)</f>
        <v>46176</v>
      </c>
      <c r="N15366">
        <f>IF(M15366="","",'Master Barang'!A60)</f>
        <v>0</v>
      </c>
      <c r="O15366">
        <f>IF(N15366="","",'Master Barang'!B60)</f>
        <v>0</v>
      </c>
      <c r="P15366">
        <f>IF(OR(M15366="",N15366=""),"",SUMIFS('Barang Keluar'!$E:$E,'Barang Keluar'!$A:$A,M15366,'Barang Keluar'!$C:$C,N15366))</f>
        <v>0</v>
      </c>
    </row>
    <row r="15367" spans="13:16">
      <c r="M15367" s="49">
        <f>IF($A$4+153&gt;$B$4,"",$A$4+153)</f>
        <v>46176</v>
      </c>
      <c r="N15367">
        <f>IF(M15367="","",'Master Barang'!A61)</f>
        <v>0</v>
      </c>
      <c r="O15367">
        <f>IF(N15367="","",'Master Barang'!B61)</f>
        <v>0</v>
      </c>
      <c r="P15367">
        <f>IF(OR(M15367="",N15367=""),"",SUMIFS('Barang Keluar'!$E:$E,'Barang Keluar'!$A:$A,M15367,'Barang Keluar'!$C:$C,N15367))</f>
        <v>0</v>
      </c>
    </row>
    <row r="15368" spans="13:16">
      <c r="M15368" s="49">
        <f>IF($A$4+153&gt;$B$4,"",$A$4+153)</f>
        <v>46176</v>
      </c>
      <c r="N15368">
        <f>IF(M15368="","",'Master Barang'!A62)</f>
        <v>0</v>
      </c>
      <c r="O15368">
        <f>IF(N15368="","",'Master Barang'!B62)</f>
        <v>0</v>
      </c>
      <c r="P15368">
        <f>IF(OR(M15368="",N15368=""),"",SUMIFS('Barang Keluar'!$E:$E,'Barang Keluar'!$A:$A,M15368,'Barang Keluar'!$C:$C,N15368))</f>
        <v>0</v>
      </c>
    </row>
    <row r="15369" spans="13:16">
      <c r="M15369" s="49">
        <f>IF($A$4+153&gt;$B$4,"",$A$4+153)</f>
        <v>46176</v>
      </c>
      <c r="N15369">
        <f>IF(M15369="","",'Master Barang'!A63)</f>
        <v>0</v>
      </c>
      <c r="O15369">
        <f>IF(N15369="","",'Master Barang'!B63)</f>
        <v>0</v>
      </c>
      <c r="P15369">
        <f>IF(OR(M15369="",N15369=""),"",SUMIFS('Barang Keluar'!$E:$E,'Barang Keluar'!$A:$A,M15369,'Barang Keluar'!$C:$C,N15369))</f>
        <v>0</v>
      </c>
    </row>
    <row r="15370" spans="13:16">
      <c r="M15370" s="49">
        <f>IF($A$4+153&gt;$B$4,"",$A$4+153)</f>
        <v>46176</v>
      </c>
      <c r="N15370">
        <f>IF(M15370="","",'Master Barang'!A64)</f>
        <v>0</v>
      </c>
      <c r="O15370">
        <f>IF(N15370="","",'Master Barang'!B64)</f>
        <v>0</v>
      </c>
      <c r="P15370">
        <f>IF(OR(M15370="",N15370=""),"",SUMIFS('Barang Keluar'!$E:$E,'Barang Keluar'!$A:$A,M15370,'Barang Keluar'!$C:$C,N15370))</f>
        <v>0</v>
      </c>
    </row>
    <row r="15371" spans="13:16">
      <c r="M15371" s="49">
        <f>IF($A$4+153&gt;$B$4,"",$A$4+153)</f>
        <v>46176</v>
      </c>
      <c r="N15371">
        <f>IF(M15371="","",'Master Barang'!A65)</f>
        <v>0</v>
      </c>
      <c r="O15371">
        <f>IF(N15371="","",'Master Barang'!B65)</f>
        <v>0</v>
      </c>
      <c r="P15371">
        <f>IF(OR(M15371="",N15371=""),"",SUMIFS('Barang Keluar'!$E:$E,'Barang Keluar'!$A:$A,M15371,'Barang Keluar'!$C:$C,N15371))</f>
        <v>0</v>
      </c>
    </row>
    <row r="15372" spans="13:16">
      <c r="M15372" s="49">
        <f>IF($A$4+153&gt;$B$4,"",$A$4+153)</f>
        <v>46176</v>
      </c>
      <c r="N15372">
        <f>IF(M15372="","",'Master Barang'!A66)</f>
        <v>0</v>
      </c>
      <c r="O15372">
        <f>IF(N15372="","",'Master Barang'!B66)</f>
        <v>0</v>
      </c>
      <c r="P15372">
        <f>IF(OR(M15372="",N15372=""),"",SUMIFS('Barang Keluar'!$E:$E,'Barang Keluar'!$A:$A,M15372,'Barang Keluar'!$C:$C,N15372))</f>
        <v>0</v>
      </c>
    </row>
    <row r="15373" spans="13:16">
      <c r="M15373" s="49">
        <f>IF($A$4+153&gt;$B$4,"",$A$4+153)</f>
        <v>46176</v>
      </c>
      <c r="N15373">
        <f>IF(M15373="","",'Master Barang'!A67)</f>
        <v>0</v>
      </c>
      <c r="O15373">
        <f>IF(N15373="","",'Master Barang'!B67)</f>
        <v>0</v>
      </c>
      <c r="P15373">
        <f>IF(OR(M15373="",N15373=""),"",SUMIFS('Barang Keluar'!$E:$E,'Barang Keluar'!$A:$A,M15373,'Barang Keluar'!$C:$C,N15373))</f>
        <v>0</v>
      </c>
    </row>
    <row r="15374" spans="13:16">
      <c r="M15374" s="49">
        <f>IF($A$4+153&gt;$B$4,"",$A$4+153)</f>
        <v>46176</v>
      </c>
      <c r="N15374">
        <f>IF(M15374="","",'Master Barang'!A68)</f>
        <v>0</v>
      </c>
      <c r="O15374">
        <f>IF(N15374="","",'Master Barang'!B68)</f>
        <v>0</v>
      </c>
      <c r="P15374">
        <f>IF(OR(M15374="",N15374=""),"",SUMIFS('Barang Keluar'!$E:$E,'Barang Keluar'!$A:$A,M15374,'Barang Keluar'!$C:$C,N15374))</f>
        <v>0</v>
      </c>
    </row>
    <row r="15375" spans="13:16">
      <c r="M15375" s="49">
        <f>IF($A$4+153&gt;$B$4,"",$A$4+153)</f>
        <v>46176</v>
      </c>
      <c r="N15375">
        <f>IF(M15375="","",'Master Barang'!A69)</f>
        <v>0</v>
      </c>
      <c r="O15375">
        <f>IF(N15375="","",'Master Barang'!B69)</f>
        <v>0</v>
      </c>
      <c r="P15375">
        <f>IF(OR(M15375="",N15375=""),"",SUMIFS('Barang Keluar'!$E:$E,'Barang Keluar'!$A:$A,M15375,'Barang Keluar'!$C:$C,N15375))</f>
        <v>0</v>
      </c>
    </row>
    <row r="15376" spans="13:16">
      <c r="M15376" s="49">
        <f>IF($A$4+153&gt;$B$4,"",$A$4+153)</f>
        <v>46176</v>
      </c>
      <c r="N15376">
        <f>IF(M15376="","",'Master Barang'!A70)</f>
        <v>0</v>
      </c>
      <c r="O15376">
        <f>IF(N15376="","",'Master Barang'!B70)</f>
        <v>0</v>
      </c>
      <c r="P15376">
        <f>IF(OR(M15376="",N15376=""),"",SUMIFS('Barang Keluar'!$E:$E,'Barang Keluar'!$A:$A,M15376,'Barang Keluar'!$C:$C,N15376))</f>
        <v>0</v>
      </c>
    </row>
    <row r="15377" spans="13:16">
      <c r="M15377" s="49">
        <f>IF($A$4+153&gt;$B$4,"",$A$4+153)</f>
        <v>46176</v>
      </c>
      <c r="N15377">
        <f>IF(M15377="","",'Master Barang'!A71)</f>
        <v>0</v>
      </c>
      <c r="O15377">
        <f>IF(N15377="","",'Master Barang'!B71)</f>
        <v>0</v>
      </c>
      <c r="P15377">
        <f>IF(OR(M15377="",N15377=""),"",SUMIFS('Barang Keluar'!$E:$E,'Barang Keluar'!$A:$A,M15377,'Barang Keluar'!$C:$C,N15377))</f>
        <v>0</v>
      </c>
    </row>
    <row r="15378" spans="13:16">
      <c r="M15378" s="49">
        <f>IF($A$4+153&gt;$B$4,"",$A$4+153)</f>
        <v>46176</v>
      </c>
      <c r="N15378">
        <f>IF(M15378="","",'Master Barang'!A72)</f>
        <v>0</v>
      </c>
      <c r="O15378">
        <f>IF(N15378="","",'Master Barang'!B72)</f>
        <v>0</v>
      </c>
      <c r="P15378">
        <f>IF(OR(M15378="",N15378=""),"",SUMIFS('Barang Keluar'!$E:$E,'Barang Keluar'!$A:$A,M15378,'Barang Keluar'!$C:$C,N15378))</f>
        <v>0</v>
      </c>
    </row>
    <row r="15379" spans="13:16">
      <c r="M15379" s="49">
        <f>IF($A$4+153&gt;$B$4,"",$A$4+153)</f>
        <v>46176</v>
      </c>
      <c r="N15379">
        <f>IF(M15379="","",'Master Barang'!A73)</f>
        <v>0</v>
      </c>
      <c r="O15379">
        <f>IF(N15379="","",'Master Barang'!B73)</f>
        <v>0</v>
      </c>
      <c r="P15379">
        <f>IF(OR(M15379="",N15379=""),"",SUMIFS('Barang Keluar'!$E:$E,'Barang Keluar'!$A:$A,M15379,'Barang Keluar'!$C:$C,N15379))</f>
        <v>0</v>
      </c>
    </row>
    <row r="15380" spans="13:16">
      <c r="M15380" s="49">
        <f>IF($A$4+153&gt;$B$4,"",$A$4+153)</f>
        <v>46176</v>
      </c>
      <c r="N15380">
        <f>IF(M15380="","",'Master Barang'!A74)</f>
        <v>0</v>
      </c>
      <c r="O15380">
        <f>IF(N15380="","",'Master Barang'!B74)</f>
        <v>0</v>
      </c>
      <c r="P15380">
        <f>IF(OR(M15380="",N15380=""),"",SUMIFS('Barang Keluar'!$E:$E,'Barang Keluar'!$A:$A,M15380,'Barang Keluar'!$C:$C,N15380))</f>
        <v>0</v>
      </c>
    </row>
    <row r="15381" spans="13:16">
      <c r="M15381" s="49">
        <f>IF($A$4+153&gt;$B$4,"",$A$4+153)</f>
        <v>46176</v>
      </c>
      <c r="N15381">
        <f>IF(M15381="","",'Master Barang'!A75)</f>
        <v>0</v>
      </c>
      <c r="O15381">
        <f>IF(N15381="","",'Master Barang'!B75)</f>
        <v>0</v>
      </c>
      <c r="P15381">
        <f>IF(OR(M15381="",N15381=""),"",SUMIFS('Barang Keluar'!$E:$E,'Barang Keluar'!$A:$A,M15381,'Barang Keluar'!$C:$C,N15381))</f>
        <v>0</v>
      </c>
    </row>
    <row r="15382" spans="13:16">
      <c r="M15382" s="49">
        <f>IF($A$4+153&gt;$B$4,"",$A$4+153)</f>
        <v>46176</v>
      </c>
      <c r="N15382">
        <f>IF(M15382="","",'Master Barang'!A76)</f>
        <v>0</v>
      </c>
      <c r="O15382">
        <f>IF(N15382="","",'Master Barang'!B76)</f>
        <v>0</v>
      </c>
      <c r="P15382">
        <f>IF(OR(M15382="",N15382=""),"",SUMIFS('Barang Keluar'!$E:$E,'Barang Keluar'!$A:$A,M15382,'Barang Keluar'!$C:$C,N15382))</f>
        <v>0</v>
      </c>
    </row>
    <row r="15383" spans="13:16">
      <c r="M15383" s="49">
        <f>IF($A$4+153&gt;$B$4,"",$A$4+153)</f>
        <v>46176</v>
      </c>
      <c r="N15383">
        <f>IF(M15383="","",'Master Barang'!A77)</f>
        <v>0</v>
      </c>
      <c r="O15383">
        <f>IF(N15383="","",'Master Barang'!B77)</f>
        <v>0</v>
      </c>
      <c r="P15383">
        <f>IF(OR(M15383="",N15383=""),"",SUMIFS('Barang Keluar'!$E:$E,'Barang Keluar'!$A:$A,M15383,'Barang Keluar'!$C:$C,N15383))</f>
        <v>0</v>
      </c>
    </row>
    <row r="15384" spans="13:16">
      <c r="M15384" s="49">
        <f>IF($A$4+153&gt;$B$4,"",$A$4+153)</f>
        <v>46176</v>
      </c>
      <c r="N15384">
        <f>IF(M15384="","",'Master Barang'!A78)</f>
        <v>0</v>
      </c>
      <c r="O15384">
        <f>IF(N15384="","",'Master Barang'!B78)</f>
        <v>0</v>
      </c>
      <c r="P15384">
        <f>IF(OR(M15384="",N15384=""),"",SUMIFS('Barang Keluar'!$E:$E,'Barang Keluar'!$A:$A,M15384,'Barang Keluar'!$C:$C,N15384))</f>
        <v>0</v>
      </c>
    </row>
    <row r="15385" spans="13:16">
      <c r="M15385" s="49">
        <f>IF($A$4+153&gt;$B$4,"",$A$4+153)</f>
        <v>46176</v>
      </c>
      <c r="N15385">
        <f>IF(M15385="","",'Master Barang'!A79)</f>
        <v>0</v>
      </c>
      <c r="O15385">
        <f>IF(N15385="","",'Master Barang'!B79)</f>
        <v>0</v>
      </c>
      <c r="P15385">
        <f>IF(OR(M15385="",N15385=""),"",SUMIFS('Barang Keluar'!$E:$E,'Barang Keluar'!$A:$A,M15385,'Barang Keluar'!$C:$C,N15385))</f>
        <v>0</v>
      </c>
    </row>
    <row r="15386" spans="13:16">
      <c r="M15386" s="49">
        <f>IF($A$4+153&gt;$B$4,"",$A$4+153)</f>
        <v>46176</v>
      </c>
      <c r="N15386">
        <f>IF(M15386="","",'Master Barang'!A80)</f>
        <v>0</v>
      </c>
      <c r="O15386">
        <f>IF(N15386="","",'Master Barang'!B80)</f>
        <v>0</v>
      </c>
      <c r="P15386">
        <f>IF(OR(M15386="",N15386=""),"",SUMIFS('Barang Keluar'!$E:$E,'Barang Keluar'!$A:$A,M15386,'Barang Keluar'!$C:$C,N15386))</f>
        <v>0</v>
      </c>
    </row>
    <row r="15387" spans="13:16">
      <c r="M15387" s="49">
        <f>IF($A$4+153&gt;$B$4,"",$A$4+153)</f>
        <v>46176</v>
      </c>
      <c r="N15387">
        <f>IF(M15387="","",'Master Barang'!A81)</f>
        <v>0</v>
      </c>
      <c r="O15387">
        <f>IF(N15387="","",'Master Barang'!B81)</f>
        <v>0</v>
      </c>
      <c r="P15387">
        <f>IF(OR(M15387="",N15387=""),"",SUMIFS('Barang Keluar'!$E:$E,'Barang Keluar'!$A:$A,M15387,'Barang Keluar'!$C:$C,N15387))</f>
        <v>0</v>
      </c>
    </row>
    <row r="15388" spans="13:16">
      <c r="M15388" s="49">
        <f>IF($A$4+153&gt;$B$4,"",$A$4+153)</f>
        <v>46176</v>
      </c>
      <c r="N15388">
        <f>IF(M15388="","",'Master Barang'!A82)</f>
        <v>0</v>
      </c>
      <c r="O15388">
        <f>IF(N15388="","",'Master Barang'!B82)</f>
        <v>0</v>
      </c>
      <c r="P15388">
        <f>IF(OR(M15388="",N15388=""),"",SUMIFS('Barang Keluar'!$E:$E,'Barang Keluar'!$A:$A,M15388,'Barang Keluar'!$C:$C,N15388))</f>
        <v>0</v>
      </c>
    </row>
    <row r="15389" spans="13:16">
      <c r="M15389" s="49">
        <f>IF($A$4+153&gt;$B$4,"",$A$4+153)</f>
        <v>46176</v>
      </c>
      <c r="N15389">
        <f>IF(M15389="","",'Master Barang'!A83)</f>
        <v>0</v>
      </c>
      <c r="O15389">
        <f>IF(N15389="","",'Master Barang'!B83)</f>
        <v>0</v>
      </c>
      <c r="P15389">
        <f>IF(OR(M15389="",N15389=""),"",SUMIFS('Barang Keluar'!$E:$E,'Barang Keluar'!$A:$A,M15389,'Barang Keluar'!$C:$C,N15389))</f>
        <v>0</v>
      </c>
    </row>
    <row r="15390" spans="13:16">
      <c r="M15390" s="49">
        <f>IF($A$4+153&gt;$B$4,"",$A$4+153)</f>
        <v>46176</v>
      </c>
      <c r="N15390">
        <f>IF(M15390="","",'Master Barang'!A84)</f>
        <v>0</v>
      </c>
      <c r="O15390">
        <f>IF(N15390="","",'Master Barang'!B84)</f>
        <v>0</v>
      </c>
      <c r="P15390">
        <f>IF(OR(M15390="",N15390=""),"",SUMIFS('Barang Keluar'!$E:$E,'Barang Keluar'!$A:$A,M15390,'Barang Keluar'!$C:$C,N15390))</f>
        <v>0</v>
      </c>
    </row>
    <row r="15391" spans="13:16">
      <c r="M15391" s="49">
        <f>IF($A$4+153&gt;$B$4,"",$A$4+153)</f>
        <v>46176</v>
      </c>
      <c r="N15391">
        <f>IF(M15391="","",'Master Barang'!A85)</f>
        <v>0</v>
      </c>
      <c r="O15391">
        <f>IF(N15391="","",'Master Barang'!B85)</f>
        <v>0</v>
      </c>
      <c r="P15391">
        <f>IF(OR(M15391="",N15391=""),"",SUMIFS('Barang Keluar'!$E:$E,'Barang Keluar'!$A:$A,M15391,'Barang Keluar'!$C:$C,N15391))</f>
        <v>0</v>
      </c>
    </row>
    <row r="15392" spans="13:16">
      <c r="M15392" s="49">
        <f>IF($A$4+153&gt;$B$4,"",$A$4+153)</f>
        <v>46176</v>
      </c>
      <c r="N15392">
        <f>IF(M15392="","",'Master Barang'!A86)</f>
        <v>0</v>
      </c>
      <c r="O15392">
        <f>IF(N15392="","",'Master Barang'!B86)</f>
        <v>0</v>
      </c>
      <c r="P15392">
        <f>IF(OR(M15392="",N15392=""),"",SUMIFS('Barang Keluar'!$E:$E,'Barang Keluar'!$A:$A,M15392,'Barang Keluar'!$C:$C,N15392))</f>
        <v>0</v>
      </c>
    </row>
    <row r="15393" spans="13:16">
      <c r="M15393" s="49">
        <f>IF($A$4+153&gt;$B$4,"",$A$4+153)</f>
        <v>46176</v>
      </c>
      <c r="N15393">
        <f>IF(M15393="","",'Master Barang'!A87)</f>
        <v>0</v>
      </c>
      <c r="O15393">
        <f>IF(N15393="","",'Master Barang'!B87)</f>
        <v>0</v>
      </c>
      <c r="P15393">
        <f>IF(OR(M15393="",N15393=""),"",SUMIFS('Barang Keluar'!$E:$E,'Barang Keluar'!$A:$A,M15393,'Barang Keluar'!$C:$C,N15393))</f>
        <v>0</v>
      </c>
    </row>
    <row r="15394" spans="13:16">
      <c r="M15394" s="49">
        <f>IF($A$4+153&gt;$B$4,"",$A$4+153)</f>
        <v>46176</v>
      </c>
      <c r="N15394">
        <f>IF(M15394="","",'Master Barang'!A88)</f>
        <v>0</v>
      </c>
      <c r="O15394">
        <f>IF(N15394="","",'Master Barang'!B88)</f>
        <v>0</v>
      </c>
      <c r="P15394">
        <f>IF(OR(M15394="",N15394=""),"",SUMIFS('Barang Keluar'!$E:$E,'Barang Keluar'!$A:$A,M15394,'Barang Keluar'!$C:$C,N15394))</f>
        <v>0</v>
      </c>
    </row>
    <row r="15395" spans="13:16">
      <c r="M15395" s="49">
        <f>IF($A$4+153&gt;$B$4,"",$A$4+153)</f>
        <v>46176</v>
      </c>
      <c r="N15395">
        <f>IF(M15395="","",'Master Barang'!A89)</f>
        <v>0</v>
      </c>
      <c r="O15395">
        <f>IF(N15395="","",'Master Barang'!B89)</f>
        <v>0</v>
      </c>
      <c r="P15395">
        <f>IF(OR(M15395="",N15395=""),"",SUMIFS('Barang Keluar'!$E:$E,'Barang Keluar'!$A:$A,M15395,'Barang Keluar'!$C:$C,N15395))</f>
        <v>0</v>
      </c>
    </row>
    <row r="15396" spans="13:16">
      <c r="M15396" s="49">
        <f>IF($A$4+153&gt;$B$4,"",$A$4+153)</f>
        <v>46176</v>
      </c>
      <c r="N15396">
        <f>IF(M15396="","",'Master Barang'!A90)</f>
        <v>0</v>
      </c>
      <c r="O15396">
        <f>IF(N15396="","",'Master Barang'!B90)</f>
        <v>0</v>
      </c>
      <c r="P15396">
        <f>IF(OR(M15396="",N15396=""),"",SUMIFS('Barang Keluar'!$E:$E,'Barang Keluar'!$A:$A,M15396,'Barang Keluar'!$C:$C,N15396))</f>
        <v>0</v>
      </c>
    </row>
    <row r="15397" spans="13:16">
      <c r="M15397" s="49">
        <f>IF($A$4+153&gt;$B$4,"",$A$4+153)</f>
        <v>46176</v>
      </c>
      <c r="N15397">
        <f>IF(M15397="","",'Master Barang'!A91)</f>
        <v>0</v>
      </c>
      <c r="O15397">
        <f>IF(N15397="","",'Master Barang'!B91)</f>
        <v>0</v>
      </c>
      <c r="P15397">
        <f>IF(OR(M15397="",N15397=""),"",SUMIFS('Barang Keluar'!$E:$E,'Barang Keluar'!$A:$A,M15397,'Barang Keluar'!$C:$C,N15397))</f>
        <v>0</v>
      </c>
    </row>
    <row r="15398" spans="13:16">
      <c r="M15398" s="49">
        <f>IF($A$4+153&gt;$B$4,"",$A$4+153)</f>
        <v>46176</v>
      </c>
      <c r="N15398">
        <f>IF(M15398="","",'Master Barang'!A92)</f>
        <v>0</v>
      </c>
      <c r="O15398">
        <f>IF(N15398="","",'Master Barang'!B92)</f>
        <v>0</v>
      </c>
      <c r="P15398">
        <f>IF(OR(M15398="",N15398=""),"",SUMIFS('Barang Keluar'!$E:$E,'Barang Keluar'!$A:$A,M15398,'Barang Keluar'!$C:$C,N15398))</f>
        <v>0</v>
      </c>
    </row>
    <row r="15399" spans="13:16">
      <c r="M15399" s="49">
        <f>IF($A$4+153&gt;$B$4,"",$A$4+153)</f>
        <v>46176</v>
      </c>
      <c r="N15399">
        <f>IF(M15399="","",'Master Barang'!A93)</f>
        <v>0</v>
      </c>
      <c r="O15399">
        <f>IF(N15399="","",'Master Barang'!B93)</f>
        <v>0</v>
      </c>
      <c r="P15399">
        <f>IF(OR(M15399="",N15399=""),"",SUMIFS('Barang Keluar'!$E:$E,'Barang Keluar'!$A:$A,M15399,'Barang Keluar'!$C:$C,N15399))</f>
        <v>0</v>
      </c>
    </row>
    <row r="15400" spans="13:16">
      <c r="M15400" s="49">
        <f>IF($A$4+153&gt;$B$4,"",$A$4+153)</f>
        <v>46176</v>
      </c>
      <c r="N15400">
        <f>IF(M15400="","",'Master Barang'!A94)</f>
        <v>0</v>
      </c>
      <c r="O15400">
        <f>IF(N15400="","",'Master Barang'!B94)</f>
        <v>0</v>
      </c>
      <c r="P15400">
        <f>IF(OR(M15400="",N15400=""),"",SUMIFS('Barang Keluar'!$E:$E,'Barang Keluar'!$A:$A,M15400,'Barang Keluar'!$C:$C,N15400))</f>
        <v>0</v>
      </c>
    </row>
    <row r="15401" spans="13:16">
      <c r="M15401" s="49">
        <f>IF($A$4+153&gt;$B$4,"",$A$4+153)</f>
        <v>46176</v>
      </c>
      <c r="N15401">
        <f>IF(M15401="","",'Master Barang'!A95)</f>
        <v>0</v>
      </c>
      <c r="O15401">
        <f>IF(N15401="","",'Master Barang'!B95)</f>
        <v>0</v>
      </c>
      <c r="P15401">
        <f>IF(OR(M15401="",N15401=""),"",SUMIFS('Barang Keluar'!$E:$E,'Barang Keluar'!$A:$A,M15401,'Barang Keluar'!$C:$C,N15401))</f>
        <v>0</v>
      </c>
    </row>
    <row r="15402" spans="13:16">
      <c r="M15402" s="49">
        <f>IF($A$4+153&gt;$B$4,"",$A$4+153)</f>
        <v>46176</v>
      </c>
      <c r="N15402">
        <f>IF(M15402="","",'Master Barang'!A96)</f>
        <v>0</v>
      </c>
      <c r="O15402">
        <f>IF(N15402="","",'Master Barang'!B96)</f>
        <v>0</v>
      </c>
      <c r="P15402">
        <f>IF(OR(M15402="",N15402=""),"",SUMIFS('Barang Keluar'!$E:$E,'Barang Keluar'!$A:$A,M15402,'Barang Keluar'!$C:$C,N15402))</f>
        <v>0</v>
      </c>
    </row>
    <row r="15403" spans="13:16">
      <c r="M15403" s="49">
        <f>IF($A$4+153&gt;$B$4,"",$A$4+153)</f>
        <v>46176</v>
      </c>
      <c r="N15403">
        <f>IF(M15403="","",'Master Barang'!A97)</f>
        <v>0</v>
      </c>
      <c r="O15403">
        <f>IF(N15403="","",'Master Barang'!B97)</f>
        <v>0</v>
      </c>
      <c r="P15403">
        <f>IF(OR(M15403="",N15403=""),"",SUMIFS('Barang Keluar'!$E:$E,'Barang Keluar'!$A:$A,M15403,'Barang Keluar'!$C:$C,N15403))</f>
        <v>0</v>
      </c>
    </row>
    <row r="15404" spans="13:16">
      <c r="M15404" s="49">
        <f>IF($A$4+153&gt;$B$4,"",$A$4+153)</f>
        <v>46176</v>
      </c>
      <c r="N15404">
        <f>IF(M15404="","",'Master Barang'!A98)</f>
        <v>0</v>
      </c>
      <c r="O15404">
        <f>IF(N15404="","",'Master Barang'!B98)</f>
        <v>0</v>
      </c>
      <c r="P15404">
        <f>IF(OR(M15404="",N15404=""),"",SUMIFS('Barang Keluar'!$E:$E,'Barang Keluar'!$A:$A,M15404,'Barang Keluar'!$C:$C,N15404))</f>
        <v>0</v>
      </c>
    </row>
    <row r="15405" spans="13:16">
      <c r="M15405" s="49">
        <f>IF($A$4+153&gt;$B$4,"",$A$4+153)</f>
        <v>46176</v>
      </c>
      <c r="N15405">
        <f>IF(M15405="","",'Master Barang'!A99)</f>
        <v>0</v>
      </c>
      <c r="O15405">
        <f>IF(N15405="","",'Master Barang'!B99)</f>
        <v>0</v>
      </c>
      <c r="P15405">
        <f>IF(OR(M15405="",N15405=""),"",SUMIFS('Barang Keluar'!$E:$E,'Barang Keluar'!$A:$A,M15405,'Barang Keluar'!$C:$C,N15405))</f>
        <v>0</v>
      </c>
    </row>
    <row r="15406" spans="13:16">
      <c r="M15406" s="49">
        <f>IF($A$4+153&gt;$B$4,"",$A$4+153)</f>
        <v>46176</v>
      </c>
      <c r="N15406">
        <f>IF(M15406="","",'Master Barang'!A100)</f>
        <v>0</v>
      </c>
      <c r="O15406">
        <f>IF(N15406="","",'Master Barang'!B100)</f>
        <v>0</v>
      </c>
      <c r="P15406">
        <f>IF(OR(M15406="",N15406=""),"",SUMIFS('Barang Keluar'!$E:$E,'Barang Keluar'!$A:$A,M15406,'Barang Keluar'!$C:$C,N15406))</f>
        <v>0</v>
      </c>
    </row>
    <row r="15407" spans="13:16">
      <c r="M15407" s="49">
        <f>IF($A$4+153&gt;$B$4,"",$A$4+153)</f>
        <v>46176</v>
      </c>
      <c r="N15407">
        <f>IF(M15407="","",'Master Barang'!A101)</f>
        <v>0</v>
      </c>
      <c r="O15407">
        <f>IF(N15407="","",'Master Barang'!B101)</f>
        <v>0</v>
      </c>
      <c r="P15407">
        <f>IF(OR(M15407="",N15407=""),"",SUMIFS('Barang Keluar'!$E:$E,'Barang Keluar'!$A:$A,M15407,'Barang Keluar'!$C:$C,N15407))</f>
        <v>0</v>
      </c>
    </row>
    <row r="15408" spans="13:16">
      <c r="M15408" s="49">
        <f>IF($A$4+154&gt;$B$4,"",$A$4+154)</f>
        <v>46177</v>
      </c>
      <c r="N15408" t="str">
        <f>IF(M15408="","",'Master Barang'!A2)</f>
        <v>PRL-001</v>
      </c>
      <c r="O15408" t="str">
        <f>IF(N15408="","",'Master Barang'!B2)</f>
        <v>natura desinfectant food grade 5l</v>
      </c>
      <c r="P15408">
        <f>IF(OR(M15408="",N15408=""),"",SUMIFS('Barang Keluar'!$E:$E,'Barang Keluar'!$A:$A,M15408,'Barang Keluar'!$C:$C,N15408))</f>
        <v>0</v>
      </c>
    </row>
    <row r="15409" spans="13:16">
      <c r="M15409" s="49">
        <f>IF($A$4+154&gt;$B$4,"",$A$4+154)</f>
        <v>46177</v>
      </c>
      <c r="N15409" t="str">
        <f>IF(M15409="","",'Master Barang'!A3)</f>
        <v>PRL-002</v>
      </c>
      <c r="O15409" t="str">
        <f>IF(N15409="","",'Master Barang'!B3)</f>
        <v>sunlight cairan pencuci piring 5l</v>
      </c>
      <c r="P15409">
        <f>IF(OR(M15409="",N15409=""),"",SUMIFS('Barang Keluar'!$E:$E,'Barang Keluar'!$A:$A,M15409,'Barang Keluar'!$C:$C,N15409))</f>
        <v>0</v>
      </c>
    </row>
    <row r="15410" spans="13:16">
      <c r="M15410" s="49">
        <f>IF($A$4+154&gt;$B$4,"",$A$4+154)</f>
        <v>46177</v>
      </c>
      <c r="N15410" t="str">
        <f>IF(M15410="","",'Master Barang'!A4)</f>
        <v>PRL-003</v>
      </c>
      <c r="O15410" t="str">
        <f>IF(N15410="","",'Master Barang'!B4)</f>
        <v>oixs cleaner 1l</v>
      </c>
      <c r="P15410">
        <f>IF(OR(M15410="",N15410=""),"",SUMIFS('Barang Keluar'!$E:$E,'Barang Keluar'!$A:$A,M15410,'Barang Keluar'!$C:$C,N15410))</f>
        <v>0</v>
      </c>
    </row>
    <row r="15411" spans="13:16">
      <c r="M15411" s="49">
        <f>IF($A$4+154&gt;$B$4,"",$A$4+154)</f>
        <v>46177</v>
      </c>
      <c r="N15411" t="str">
        <f>IF(M15411="","",'Master Barang'!A5)</f>
        <v>PRL-004</v>
      </c>
      <c r="O15411" t="str">
        <f>IF(N15411="","",'Master Barang'!B5)</f>
        <v>be clean tissue serbaguna</v>
      </c>
      <c r="P15411">
        <f>IF(OR(M15411="",N15411=""),"",SUMIFS('Barang Keluar'!$E:$E,'Barang Keluar'!$A:$A,M15411,'Barang Keluar'!$C:$C,N15411))</f>
        <v>0</v>
      </c>
    </row>
    <row r="15412" spans="13:16">
      <c r="M15412" s="49">
        <f>IF($A$4+154&gt;$B$4,"",$A$4+154)</f>
        <v>46177</v>
      </c>
      <c r="N15412" t="str">
        <f>IF(M15412="","",'Master Barang'!A6)</f>
        <v>PRL-005</v>
      </c>
      <c r="O15412" t="str">
        <f>IF(N15412="","",'Master Barang'!B6)</f>
        <v>spons cuci hijau</v>
      </c>
      <c r="P15412">
        <f>IF(OR(M15412="",N15412=""),"",SUMIFS('Barang Keluar'!$E:$E,'Barang Keluar'!$A:$A,M15412,'Barang Keluar'!$C:$C,N15412))</f>
        <v>0</v>
      </c>
    </row>
    <row r="15413" spans="13:16">
      <c r="M15413" s="49">
        <f>IF($A$4+154&gt;$B$4,"",$A$4+154)</f>
        <v>46177</v>
      </c>
      <c r="N15413" t="str">
        <f>IF(M15413="","",'Master Barang'!A7)</f>
        <v>PRL-006</v>
      </c>
      <c r="O15413" t="str">
        <f>IF(N15413="","",'Master Barang'!B7)</f>
        <v>sabut cuci stainless</v>
      </c>
      <c r="P15413">
        <f>IF(OR(M15413="",N15413=""),"",SUMIFS('Barang Keluar'!$E:$E,'Barang Keluar'!$A:$A,M15413,'Barang Keluar'!$C:$C,N15413))</f>
        <v>0</v>
      </c>
    </row>
    <row r="15414" spans="13:16">
      <c r="M15414" s="49">
        <f>IF($A$4+154&gt;$B$4,"",$A$4+154)</f>
        <v>46177</v>
      </c>
      <c r="N15414" t="str">
        <f>IF(M15414="","",'Master Barang'!A8)</f>
        <v>PRL-007</v>
      </c>
      <c r="O15414" t="str">
        <f>IF(N15414="","",'Master Barang'!B8)</f>
        <v>plastik kresek besar merah 50pc</v>
      </c>
      <c r="P15414">
        <f>IF(OR(M15414="",N15414=""),"",SUMIFS('Barang Keluar'!$E:$E,'Barang Keluar'!$A:$A,M15414,'Barang Keluar'!$C:$C,N15414))</f>
        <v>0</v>
      </c>
    </row>
    <row r="15415" spans="13:16">
      <c r="M15415" s="49">
        <f>IF($A$4+154&gt;$B$4,"",$A$4+154)</f>
        <v>46177</v>
      </c>
      <c r="N15415" t="str">
        <f>IF(M15415="","",'Master Barang'!A9)</f>
        <v>PRL-008</v>
      </c>
      <c r="O15415" t="str">
        <f>IF(N15415="","",'Master Barang'!B9)</f>
        <v>lap besar</v>
      </c>
      <c r="P15415">
        <f>IF(OR(M15415="",N15415=""),"",SUMIFS('Barang Keluar'!$E:$E,'Barang Keluar'!$A:$A,M15415,'Barang Keluar'!$C:$C,N15415))</f>
        <v>0</v>
      </c>
    </row>
    <row r="15416" spans="13:16">
      <c r="M15416" s="49">
        <f>IF($A$4+154&gt;$B$4,"",$A$4+154)</f>
        <v>46177</v>
      </c>
      <c r="N15416" t="str">
        <f>IF(M15416="","",'Master Barang'!A10)</f>
        <v>PRL-009</v>
      </c>
      <c r="O15416" t="str">
        <f>IF(N15416="","",'Master Barang'!B10)</f>
        <v>lap microfiber</v>
      </c>
      <c r="P15416">
        <f>IF(OR(M15416="",N15416=""),"",SUMIFS('Barang Keluar'!$E:$E,'Barang Keluar'!$A:$A,M15416,'Barang Keluar'!$C:$C,N15416))</f>
        <v>0</v>
      </c>
    </row>
    <row r="15417" spans="13:16">
      <c r="M15417" s="49">
        <f>IF($A$4+154&gt;$B$4,"",$A$4+154)</f>
        <v>46177</v>
      </c>
      <c r="N15417" t="str">
        <f>IF(M15417="","",'Master Barang'!A11)</f>
        <v>PRL-010</v>
      </c>
      <c r="O15417" t="str">
        <f>IF(N15417="","",'Master Barang'!B11)</f>
        <v>lap kecil</v>
      </c>
      <c r="P15417">
        <f>IF(OR(M15417="",N15417=""),"",SUMIFS('Barang Keluar'!$E:$E,'Barang Keluar'!$A:$A,M15417,'Barang Keluar'!$C:$C,N15417))</f>
        <v>0</v>
      </c>
    </row>
    <row r="15418" spans="13:16">
      <c r="M15418" s="49">
        <f>IF($A$4+154&gt;$B$4,"",$A$4+154)</f>
        <v>46177</v>
      </c>
      <c r="N15418" t="str">
        <f>IF(M15418="","",'Master Barang'!A12)</f>
        <v>PRL-011</v>
      </c>
      <c r="O15418" t="str">
        <f>IF(N15418="","",'Master Barang'!B12)</f>
        <v>kanebo kecil</v>
      </c>
      <c r="P15418">
        <f>IF(OR(M15418="",N15418=""),"",SUMIFS('Barang Keluar'!$E:$E,'Barang Keluar'!$A:$A,M15418,'Barang Keluar'!$C:$C,N15418))</f>
        <v>0</v>
      </c>
    </row>
    <row r="15419" spans="13:16">
      <c r="M15419" s="49">
        <f>IF($A$4+154&gt;$B$4,"",$A$4+154)</f>
        <v>46177</v>
      </c>
      <c r="N15419" t="str">
        <f>IF(M15419="","",'Master Barang'!A13)</f>
        <v>PRL-012</v>
      </c>
      <c r="O15419" t="str">
        <f>IF(N15419="","",'Master Barang'!B13)</f>
        <v>plastik 1/4kg joyoboyo 100 lembar</v>
      </c>
      <c r="P15419">
        <f>IF(OR(M15419="",N15419=""),"",SUMIFS('Barang Keluar'!$E:$E,'Barang Keluar'!$A:$A,M15419,'Barang Keluar'!$C:$C,N15419))</f>
        <v>0</v>
      </c>
    </row>
    <row r="15420" spans="13:16">
      <c r="M15420" s="49">
        <f>IF($A$4+154&gt;$B$4,"",$A$4+154)</f>
        <v>46177</v>
      </c>
      <c r="N15420" t="str">
        <f>IF(M15420="","",'Master Barang'!A14)</f>
        <v>PRL-013</v>
      </c>
      <c r="O15420" t="str">
        <f>IF(N15420="","",'Master Barang'!B14)</f>
        <v>sarung tangan plastik kaka 100 pcs</v>
      </c>
      <c r="P15420">
        <f>IF(OR(M15420="",N15420=""),"",SUMIFS('Barang Keluar'!$E:$E,'Barang Keluar'!$A:$A,M15420,'Barang Keluar'!$C:$C,N15420))</f>
        <v>0</v>
      </c>
    </row>
    <row r="15421" spans="13:16">
      <c r="M15421" s="49">
        <f>IF($A$4+154&gt;$B$4,"",$A$4+154)</f>
        <v>46177</v>
      </c>
      <c r="N15421" t="str">
        <f>IF(M15421="","",'Master Barang'!A15)</f>
        <v>PRL-014</v>
      </c>
      <c r="O15421" t="str">
        <f>IF(N15421="","",'Master Barang'!B15)</f>
        <v>optima trashbag 80x100</v>
      </c>
      <c r="P15421">
        <f>IF(OR(M15421="",N15421=""),"",SUMIFS('Barang Keluar'!$E:$E,'Barang Keluar'!$A:$A,M15421,'Barang Keluar'!$C:$C,N15421))</f>
        <v>0</v>
      </c>
    </row>
    <row r="15422" spans="13:16">
      <c r="M15422" s="49">
        <f>IF($A$4+154&gt;$B$4,"",$A$4+154)</f>
        <v>46177</v>
      </c>
      <c r="N15422" t="str">
        <f>IF(M15422="","",'Master Barang'!A16)</f>
        <v>PRL-015</v>
      </c>
      <c r="O15422" t="str">
        <f>IF(N15422="","",'Master Barang'!B16)</f>
        <v>optima trashbag 60x100</v>
      </c>
      <c r="P15422">
        <f>IF(OR(M15422="",N15422=""),"",SUMIFS('Barang Keluar'!$E:$E,'Barang Keluar'!$A:$A,M15422,'Barang Keluar'!$C:$C,N15422))</f>
        <v>0</v>
      </c>
    </row>
    <row r="15423" spans="13:16">
      <c r="M15423" s="49">
        <f>IF($A$4+154&gt;$B$4,"",$A$4+154)</f>
        <v>46177</v>
      </c>
      <c r="N15423" t="str">
        <f>IF(M15423="","",'Master Barang'!A17)</f>
        <v>PRL-016</v>
      </c>
      <c r="O15423" t="str">
        <f>IF(N15423="","",'Master Barang'!B17)</f>
        <v>rajawali trashbag 30x40</v>
      </c>
      <c r="P15423">
        <f>IF(OR(M15423="",N15423=""),"",SUMIFS('Barang Keluar'!$E:$E,'Barang Keluar'!$A:$A,M15423,'Barang Keluar'!$C:$C,N15423))</f>
        <v>0</v>
      </c>
    </row>
    <row r="15424" spans="13:16">
      <c r="M15424" s="49">
        <f>IF($A$4+154&gt;$B$4,"",$A$4+154)</f>
        <v>46177</v>
      </c>
      <c r="N15424" t="str">
        <f>IF(M15424="","",'Master Barang'!A18)</f>
        <v>PRL-017</v>
      </c>
      <c r="O15424" t="str">
        <f>IF(N15424="","",'Master Barang'!B18)</f>
        <v>onemed masker biru 3 play 50 pcs</v>
      </c>
      <c r="P15424">
        <f>IF(OR(M15424="",N15424=""),"",SUMIFS('Barang Keluar'!$E:$E,'Barang Keluar'!$A:$A,M15424,'Barang Keluar'!$C:$C,N15424))</f>
        <v>0</v>
      </c>
    </row>
    <row r="15425" spans="13:16">
      <c r="M15425" s="49">
        <f>IF($A$4+154&gt;$B$4,"",$A$4+154)</f>
        <v>46177</v>
      </c>
      <c r="N15425" t="str">
        <f>IF(M15425="","",'Master Barang'!A19)</f>
        <v>PRL-018</v>
      </c>
      <c r="O15425" t="str">
        <f>IF(N15425="","",'Master Barang'!B19)</f>
        <v>onemed masker biru 3 play hijab 50 pcs</v>
      </c>
      <c r="P15425">
        <f>IF(OR(M15425="",N15425=""),"",SUMIFS('Barang Keluar'!$E:$E,'Barang Keluar'!$A:$A,M15425,'Barang Keluar'!$C:$C,N15425))</f>
        <v>0</v>
      </c>
    </row>
    <row r="15426" spans="13:16">
      <c r="M15426" s="49">
        <f>IF($A$4+154&gt;$B$4,"",$A$4+154)</f>
        <v>46177</v>
      </c>
      <c r="N15426" t="str">
        <f>IF(M15426="","",'Master Barang'!A20)</f>
        <v>PRL-019</v>
      </c>
      <c r="O15426" t="str">
        <f>IF(N15426="","",'Master Barang'!B20)</f>
        <v>neo health masker biru 3 play 50 pcs</v>
      </c>
      <c r="P15426">
        <f>IF(OR(M15426="",N15426=""),"",SUMIFS('Barang Keluar'!$E:$E,'Barang Keluar'!$A:$A,M15426,'Barang Keluar'!$C:$C,N15426))</f>
        <v>0</v>
      </c>
    </row>
    <row r="15427" spans="13:16">
      <c r="M15427" s="49">
        <f>IF($A$4+154&gt;$B$4,"",$A$4+154)</f>
        <v>46177</v>
      </c>
      <c r="N15427" t="str">
        <f>IF(M15427="","",'Master Barang'!A21)</f>
        <v>PRL-020</v>
      </c>
      <c r="O15427" t="str">
        <f>IF(N15427="","",'Master Barang'!B21)</f>
        <v>baymed masker hijau 3 play hijau 50 pcs</v>
      </c>
      <c r="P15427">
        <f>IF(OR(M15427="",N15427=""),"",SUMIFS('Barang Keluar'!$E:$E,'Barang Keluar'!$A:$A,M15427,'Barang Keluar'!$C:$C,N15427))</f>
        <v>0</v>
      </c>
    </row>
    <row r="15428" spans="13:16">
      <c r="M15428" s="49">
        <f>IF($A$4+154&gt;$B$4,"",$A$4+154)</f>
        <v>46177</v>
      </c>
      <c r="N15428" t="str">
        <f>IF(M15428="","",'Master Barang'!A22)</f>
        <v>PRL-021</v>
      </c>
      <c r="O15428" t="str">
        <f>IF(N15428="","",'Master Barang'!B22)</f>
        <v>altamed nurse cap penutup kepala 100 pcs</v>
      </c>
      <c r="P15428">
        <f>IF(OR(M15428="",N15428=""),"",SUMIFS('Barang Keluar'!$E:$E,'Barang Keluar'!$A:$A,M15428,'Barang Keluar'!$C:$C,N15428))</f>
        <v>0</v>
      </c>
    </row>
    <row r="15429" spans="13:16">
      <c r="M15429" s="49">
        <f>IF($A$4+154&gt;$B$4,"",$A$4+154)</f>
        <v>46177</v>
      </c>
      <c r="N15429" t="str">
        <f>IF(M15429="","",'Master Barang'!A23)</f>
        <v>PRL-022</v>
      </c>
      <c r="O15429" t="str">
        <f>IF(N15429="","",'Master Barang'!B23)</f>
        <v>sabun cuci tangan</v>
      </c>
      <c r="P15429">
        <f>IF(OR(M15429="",N15429=""),"",SUMIFS('Barang Keluar'!$E:$E,'Barang Keluar'!$A:$A,M15429,'Barang Keluar'!$C:$C,N15429))</f>
        <v>0</v>
      </c>
    </row>
    <row r="15430" spans="13:16">
      <c r="M15430" s="49">
        <f>IF($A$4+154&gt;$B$4,"",$A$4+154)</f>
        <v>46177</v>
      </c>
      <c r="N15430" t="str">
        <f>IF(M15430="","",'Master Barang'!A24)</f>
        <v>PRL-023</v>
      </c>
      <c r="O15430" t="str">
        <f>IF(N15430="","",'Master Barang'!B24)</f>
        <v>gayung kecil</v>
      </c>
      <c r="P15430">
        <f>IF(OR(M15430="",N15430=""),"",SUMIFS('Barang Keluar'!$E:$E,'Barang Keluar'!$A:$A,M15430,'Barang Keluar'!$C:$C,N15430))</f>
        <v>0</v>
      </c>
    </row>
    <row r="15431" spans="13:16">
      <c r="M15431" s="49">
        <f>IF($A$4+154&gt;$B$4,"",$A$4+154)</f>
        <v>46177</v>
      </c>
      <c r="N15431" t="str">
        <f>IF(M15431="","",'Master Barang'!A25)</f>
        <v>PRL-024</v>
      </c>
      <c r="O15431" t="str">
        <f>IF(N15431="","",'Master Barang'!B25)</f>
        <v>cikrak kecil</v>
      </c>
      <c r="P15431">
        <f>IF(OR(M15431="",N15431=""),"",SUMIFS('Barang Keluar'!$E:$E,'Barang Keluar'!$A:$A,M15431,'Barang Keluar'!$C:$C,N15431))</f>
        <v>0</v>
      </c>
    </row>
    <row r="15432" spans="13:16">
      <c r="M15432" s="49">
        <f>IF($A$4+154&gt;$B$4,"",$A$4+154)</f>
        <v>46177</v>
      </c>
      <c r="N15432" t="str">
        <f>IF(M15432="","",'Master Barang'!A26)</f>
        <v>PRL-025</v>
      </c>
      <c r="O15432" t="str">
        <f>IF(N15432="","",'Master Barang'!B26)</f>
        <v>petromax plastik kecil 12x24 100 lembar</v>
      </c>
      <c r="P15432">
        <f>IF(OR(M15432="",N15432=""),"",SUMIFS('Barang Keluar'!$E:$E,'Barang Keluar'!$A:$A,M15432,'Barang Keluar'!$C:$C,N15432))</f>
        <v>0</v>
      </c>
    </row>
    <row r="15433" spans="13:16">
      <c r="M15433" s="49">
        <f>IF($A$4+154&gt;$B$4,"",$A$4+154)</f>
        <v>46177</v>
      </c>
      <c r="N15433" t="str">
        <f>IF(M15433="","",'Master Barang'!A27)</f>
        <v>PRL-026</v>
      </c>
      <c r="O15433" t="str">
        <f>IF(N15433="","",'Master Barang'!B27)</f>
        <v>lancar kresek kecil bening </v>
      </c>
      <c r="P15433">
        <f>IF(OR(M15433="",N15433=""),"",SUMIFS('Barang Keluar'!$E:$E,'Barang Keluar'!$A:$A,M15433,'Barang Keluar'!$C:$C,N15433))</f>
        <v>0</v>
      </c>
    </row>
    <row r="15434" spans="13:16">
      <c r="M15434" s="49">
        <f>IF($A$4+154&gt;$B$4,"",$A$4+154)</f>
        <v>46177</v>
      </c>
      <c r="N15434" t="str">
        <f>IF(M15434="","",'Master Barang'!A28)</f>
        <v>PRL-027</v>
      </c>
      <c r="O15434" t="str">
        <f>IF(N15434="","",'Master Barang'!B28)</f>
        <v>kresek klin warna warni kecil</v>
      </c>
      <c r="P15434">
        <f>IF(OR(M15434="",N15434=""),"",SUMIFS('Barang Keluar'!$E:$E,'Barang Keluar'!$A:$A,M15434,'Barang Keluar'!$C:$C,N15434))</f>
        <v>0</v>
      </c>
    </row>
    <row r="15435" spans="13:16">
      <c r="M15435" s="49">
        <f>IF($A$4+154&gt;$B$4,"",$A$4+154)</f>
        <v>46177</v>
      </c>
      <c r="N15435" t="str">
        <f>IF(M15435="","",'Master Barang'!A29)</f>
        <v>PRL-028</v>
      </c>
      <c r="O15435" t="str">
        <f>IF(N15435="","",'Master Barang'!B29)</f>
        <v>ctik plastik 7x10 100 pcs</v>
      </c>
      <c r="P15435">
        <f>IF(OR(M15435="",N15435=""),"",SUMIFS('Barang Keluar'!$E:$E,'Barang Keluar'!$A:$A,M15435,'Barang Keluar'!$C:$C,N15435))</f>
        <v>0</v>
      </c>
    </row>
    <row r="15436" spans="13:16">
      <c r="M15436" s="49">
        <f>IF($A$4+154&gt;$B$4,"",$A$4+154)</f>
        <v>46177</v>
      </c>
      <c r="N15436" t="str">
        <f>IF(M15436="","",'Master Barang'!A30)</f>
        <v>PRL-029</v>
      </c>
      <c r="O15436" t="str">
        <f>IF(N15436="","",'Master Barang'!B30)</f>
        <v>ctik plastik 6x10 100 pcs</v>
      </c>
      <c r="P15436">
        <f>IF(OR(M15436="",N15436=""),"",SUMIFS('Barang Keluar'!$E:$E,'Barang Keluar'!$A:$A,M15436,'Barang Keluar'!$C:$C,N15436))</f>
        <v>0</v>
      </c>
    </row>
    <row r="15437" spans="13:16">
      <c r="M15437" s="49">
        <f>IF($A$4+154&gt;$B$4,"",$A$4+154)</f>
        <v>46177</v>
      </c>
      <c r="N15437" t="str">
        <f>IF(M15437="","",'Master Barang'!A31)</f>
        <v>PRL-030</v>
      </c>
      <c r="O15437" t="str">
        <f>IF(N15437="","",'Master Barang'!B31)</f>
        <v>klip plastik 25x16 100 pcs</v>
      </c>
      <c r="P15437">
        <f>IF(OR(M15437="",N15437=""),"",SUMIFS('Barang Keluar'!$E:$E,'Barang Keluar'!$A:$A,M15437,'Barang Keluar'!$C:$C,N15437))</f>
        <v>0</v>
      </c>
    </row>
    <row r="15438" spans="13:16">
      <c r="M15438" s="49">
        <f>IF($A$4+154&gt;$B$4,"",$A$4+154)</f>
        <v>46177</v>
      </c>
      <c r="N15438" t="str">
        <f>IF(M15438="","",'Master Barang'!A32)</f>
        <v>PRL-031</v>
      </c>
      <c r="O15438" t="str">
        <f>IF(N15438="","",'Master Barang'!B32)</f>
        <v>tempat saus 20 ml</v>
      </c>
      <c r="P15438">
        <f>IF(OR(M15438="",N15438=""),"",SUMIFS('Barang Keluar'!$E:$E,'Barang Keluar'!$A:$A,M15438,'Barang Keluar'!$C:$C,N15438))</f>
        <v>0</v>
      </c>
    </row>
    <row r="15439" spans="13:16">
      <c r="M15439" s="49">
        <f>IF($A$4+154&gt;$B$4,"",$A$4+154)</f>
        <v>46177</v>
      </c>
      <c r="N15439" t="str">
        <f>IF(M15439="","",'Master Barang'!A33)</f>
        <v>PRL-032</v>
      </c>
      <c r="O15439" t="str">
        <f>IF(N15439="","",'Master Barang'!B33)</f>
        <v>plastik packaging ag box uk sedang</v>
      </c>
      <c r="P15439">
        <f>IF(OR(M15439="",N15439=""),"",SUMIFS('Barang Keluar'!$E:$E,'Barang Keluar'!$A:$A,M15439,'Barang Keluar'!$C:$C,N15439))</f>
        <v>0</v>
      </c>
    </row>
    <row r="15440" spans="13:16">
      <c r="M15440" s="49">
        <f>IF($A$4+154&gt;$B$4,"",$A$4+154)</f>
        <v>46177</v>
      </c>
      <c r="N15440" t="str">
        <f>IF(M15440="","",'Master Barang'!A34)</f>
        <v>PRL-033</v>
      </c>
      <c r="O15440">
        <f>IF(N15440="","",'Master Barang'!B34)</f>
        <v>0</v>
      </c>
      <c r="P15440">
        <f>IF(OR(M15440="",N15440=""),"",SUMIFS('Barang Keluar'!$E:$E,'Barang Keluar'!$A:$A,M15440,'Barang Keluar'!$C:$C,N15440))</f>
        <v>0</v>
      </c>
    </row>
    <row r="15441" spans="13:16">
      <c r="M15441" s="49">
        <f>IF($A$4+154&gt;$B$4,"",$A$4+154)</f>
        <v>46177</v>
      </c>
      <c r="N15441">
        <f>IF(M15441="","",'Master Barang'!A35)</f>
        <v>0</v>
      </c>
      <c r="O15441">
        <f>IF(N15441="","",'Master Barang'!B35)</f>
        <v>0</v>
      </c>
      <c r="P15441">
        <f>IF(OR(M15441="",N15441=""),"",SUMIFS('Barang Keluar'!$E:$E,'Barang Keluar'!$A:$A,M15441,'Barang Keluar'!$C:$C,N15441))</f>
        <v>0</v>
      </c>
    </row>
    <row r="15442" spans="13:16">
      <c r="M15442" s="49">
        <f>IF($A$4+154&gt;$B$4,"",$A$4+154)</f>
        <v>46177</v>
      </c>
      <c r="N15442">
        <f>IF(M15442="","",'Master Barang'!A36)</f>
        <v>0</v>
      </c>
      <c r="O15442">
        <f>IF(N15442="","",'Master Barang'!B36)</f>
        <v>0</v>
      </c>
      <c r="P15442">
        <f>IF(OR(M15442="",N15442=""),"",SUMIFS('Barang Keluar'!$E:$E,'Barang Keluar'!$A:$A,M15442,'Barang Keluar'!$C:$C,N15442))</f>
        <v>0</v>
      </c>
    </row>
    <row r="15443" spans="13:16">
      <c r="M15443" s="49">
        <f>IF($A$4+154&gt;$B$4,"",$A$4+154)</f>
        <v>46177</v>
      </c>
      <c r="N15443">
        <f>IF(M15443="","",'Master Barang'!A37)</f>
        <v>0</v>
      </c>
      <c r="O15443">
        <f>IF(N15443="","",'Master Barang'!B37)</f>
        <v>0</v>
      </c>
      <c r="P15443">
        <f>IF(OR(M15443="",N15443=""),"",SUMIFS('Barang Keluar'!$E:$E,'Barang Keluar'!$A:$A,M15443,'Barang Keluar'!$C:$C,N15443))</f>
        <v>0</v>
      </c>
    </row>
    <row r="15444" spans="13:16">
      <c r="M15444" s="49">
        <f>IF($A$4+154&gt;$B$4,"",$A$4+154)</f>
        <v>46177</v>
      </c>
      <c r="N15444">
        <f>IF(M15444="","",'Master Barang'!A38)</f>
        <v>0</v>
      </c>
      <c r="O15444">
        <f>IF(N15444="","",'Master Barang'!B38)</f>
        <v>0</v>
      </c>
      <c r="P15444">
        <f>IF(OR(M15444="",N15444=""),"",SUMIFS('Barang Keluar'!$E:$E,'Barang Keluar'!$A:$A,M15444,'Barang Keluar'!$C:$C,N15444))</f>
        <v>0</v>
      </c>
    </row>
    <row r="15445" spans="13:16">
      <c r="M15445" s="49">
        <f>IF($A$4+154&gt;$B$4,"",$A$4+154)</f>
        <v>46177</v>
      </c>
      <c r="N15445">
        <f>IF(M15445="","",'Master Barang'!A39)</f>
        <v>0</v>
      </c>
      <c r="O15445">
        <f>IF(N15445="","",'Master Barang'!B39)</f>
        <v>0</v>
      </c>
      <c r="P15445">
        <f>IF(OR(M15445="",N15445=""),"",SUMIFS('Barang Keluar'!$E:$E,'Barang Keluar'!$A:$A,M15445,'Barang Keluar'!$C:$C,N15445))</f>
        <v>0</v>
      </c>
    </row>
    <row r="15446" spans="13:16">
      <c r="M15446" s="49">
        <f>IF($A$4+154&gt;$B$4,"",$A$4+154)</f>
        <v>46177</v>
      </c>
      <c r="N15446">
        <f>IF(M15446="","",'Master Barang'!A40)</f>
        <v>0</v>
      </c>
      <c r="O15446">
        <f>IF(N15446="","",'Master Barang'!B40)</f>
        <v>0</v>
      </c>
      <c r="P15446">
        <f>IF(OR(M15446="",N15446=""),"",SUMIFS('Barang Keluar'!$E:$E,'Barang Keluar'!$A:$A,M15446,'Barang Keluar'!$C:$C,N15446))</f>
        <v>0</v>
      </c>
    </row>
    <row r="15447" spans="13:16">
      <c r="M15447" s="49">
        <f>IF($A$4+154&gt;$B$4,"",$A$4+154)</f>
        <v>46177</v>
      </c>
      <c r="N15447">
        <f>IF(M15447="","",'Master Barang'!A41)</f>
        <v>0</v>
      </c>
      <c r="O15447">
        <f>IF(N15447="","",'Master Barang'!B41)</f>
        <v>0</v>
      </c>
      <c r="P15447">
        <f>IF(OR(M15447="",N15447=""),"",SUMIFS('Barang Keluar'!$E:$E,'Barang Keluar'!$A:$A,M15447,'Barang Keluar'!$C:$C,N15447))</f>
        <v>0</v>
      </c>
    </row>
    <row r="15448" spans="13:16">
      <c r="M15448" s="49">
        <f>IF($A$4+154&gt;$B$4,"",$A$4+154)</f>
        <v>46177</v>
      </c>
      <c r="N15448">
        <f>IF(M15448="","",'Master Barang'!A42)</f>
        <v>0</v>
      </c>
      <c r="O15448">
        <f>IF(N15448="","",'Master Barang'!B42)</f>
        <v>0</v>
      </c>
      <c r="P15448">
        <f>IF(OR(M15448="",N15448=""),"",SUMIFS('Barang Keluar'!$E:$E,'Barang Keluar'!$A:$A,M15448,'Barang Keluar'!$C:$C,N15448))</f>
        <v>0</v>
      </c>
    </row>
    <row r="15449" spans="13:16">
      <c r="M15449" s="49">
        <f>IF($A$4+154&gt;$B$4,"",$A$4+154)</f>
        <v>46177</v>
      </c>
      <c r="N15449">
        <f>IF(M15449="","",'Master Barang'!A43)</f>
        <v>0</v>
      </c>
      <c r="O15449">
        <f>IF(N15449="","",'Master Barang'!B43)</f>
        <v>0</v>
      </c>
      <c r="P15449">
        <f>IF(OR(M15449="",N15449=""),"",SUMIFS('Barang Keluar'!$E:$E,'Barang Keluar'!$A:$A,M15449,'Barang Keluar'!$C:$C,N15449))</f>
        <v>0</v>
      </c>
    </row>
    <row r="15450" spans="13:16">
      <c r="M15450" s="49">
        <f>IF($A$4+154&gt;$B$4,"",$A$4+154)</f>
        <v>46177</v>
      </c>
      <c r="N15450">
        <f>IF(M15450="","",'Master Barang'!A44)</f>
        <v>0</v>
      </c>
      <c r="O15450">
        <f>IF(N15450="","",'Master Barang'!B44)</f>
        <v>0</v>
      </c>
      <c r="P15450">
        <f>IF(OR(M15450="",N15450=""),"",SUMIFS('Barang Keluar'!$E:$E,'Barang Keluar'!$A:$A,M15450,'Barang Keluar'!$C:$C,N15450))</f>
        <v>0</v>
      </c>
    </row>
    <row r="15451" spans="13:16">
      <c r="M15451" s="49">
        <f>IF($A$4+154&gt;$B$4,"",$A$4+154)</f>
        <v>46177</v>
      </c>
      <c r="N15451">
        <f>IF(M15451="","",'Master Barang'!A45)</f>
        <v>0</v>
      </c>
      <c r="O15451">
        <f>IF(N15451="","",'Master Barang'!B45)</f>
        <v>0</v>
      </c>
      <c r="P15451">
        <f>IF(OR(M15451="",N15451=""),"",SUMIFS('Barang Keluar'!$E:$E,'Barang Keluar'!$A:$A,M15451,'Barang Keluar'!$C:$C,N15451))</f>
        <v>0</v>
      </c>
    </row>
    <row r="15452" spans="13:16">
      <c r="M15452" s="49">
        <f>IF($A$4+154&gt;$B$4,"",$A$4+154)</f>
        <v>46177</v>
      </c>
      <c r="N15452">
        <f>IF(M15452="","",'Master Barang'!A46)</f>
        <v>0</v>
      </c>
      <c r="O15452">
        <f>IF(N15452="","",'Master Barang'!B46)</f>
        <v>0</v>
      </c>
      <c r="P15452">
        <f>IF(OR(M15452="",N15452=""),"",SUMIFS('Barang Keluar'!$E:$E,'Barang Keluar'!$A:$A,M15452,'Barang Keluar'!$C:$C,N15452))</f>
        <v>0</v>
      </c>
    </row>
    <row r="15453" spans="13:16">
      <c r="M15453" s="49">
        <f>IF($A$4+154&gt;$B$4,"",$A$4+154)</f>
        <v>46177</v>
      </c>
      <c r="N15453">
        <f>IF(M15453="","",'Master Barang'!A47)</f>
        <v>0</v>
      </c>
      <c r="O15453">
        <f>IF(N15453="","",'Master Barang'!B47)</f>
        <v>0</v>
      </c>
      <c r="P15453">
        <f>IF(OR(M15453="",N15453=""),"",SUMIFS('Barang Keluar'!$E:$E,'Barang Keluar'!$A:$A,M15453,'Barang Keluar'!$C:$C,N15453))</f>
        <v>0</v>
      </c>
    </row>
    <row r="15454" spans="13:16">
      <c r="M15454" s="49">
        <f>IF($A$4+154&gt;$B$4,"",$A$4+154)</f>
        <v>46177</v>
      </c>
      <c r="N15454">
        <f>IF(M15454="","",'Master Barang'!A48)</f>
        <v>0</v>
      </c>
      <c r="O15454">
        <f>IF(N15454="","",'Master Barang'!B48)</f>
        <v>0</v>
      </c>
      <c r="P15454">
        <f>IF(OR(M15454="",N15454=""),"",SUMIFS('Barang Keluar'!$E:$E,'Barang Keluar'!$A:$A,M15454,'Barang Keluar'!$C:$C,N15454))</f>
        <v>0</v>
      </c>
    </row>
    <row r="15455" spans="13:16">
      <c r="M15455" s="49">
        <f>IF($A$4+154&gt;$B$4,"",$A$4+154)</f>
        <v>46177</v>
      </c>
      <c r="N15455">
        <f>IF(M15455="","",'Master Barang'!A49)</f>
        <v>0</v>
      </c>
      <c r="O15455">
        <f>IF(N15455="","",'Master Barang'!B49)</f>
        <v>0</v>
      </c>
      <c r="P15455">
        <f>IF(OR(M15455="",N15455=""),"",SUMIFS('Barang Keluar'!$E:$E,'Barang Keluar'!$A:$A,M15455,'Barang Keluar'!$C:$C,N15455))</f>
        <v>0</v>
      </c>
    </row>
    <row r="15456" spans="13:16">
      <c r="M15456" s="49">
        <f>IF($A$4+154&gt;$B$4,"",$A$4+154)</f>
        <v>46177</v>
      </c>
      <c r="N15456">
        <f>IF(M15456="","",'Master Barang'!A50)</f>
        <v>0</v>
      </c>
      <c r="O15456">
        <f>IF(N15456="","",'Master Barang'!B50)</f>
        <v>0</v>
      </c>
      <c r="P15456">
        <f>IF(OR(M15456="",N15456=""),"",SUMIFS('Barang Keluar'!$E:$E,'Barang Keluar'!$A:$A,M15456,'Barang Keluar'!$C:$C,N15456))</f>
        <v>0</v>
      </c>
    </row>
    <row r="15457" spans="13:16">
      <c r="M15457" s="49">
        <f>IF($A$4+154&gt;$B$4,"",$A$4+154)</f>
        <v>46177</v>
      </c>
      <c r="N15457">
        <f>IF(M15457="","",'Master Barang'!A51)</f>
        <v>0</v>
      </c>
      <c r="O15457">
        <f>IF(N15457="","",'Master Barang'!B51)</f>
        <v>0</v>
      </c>
      <c r="P15457">
        <f>IF(OR(M15457="",N15457=""),"",SUMIFS('Barang Keluar'!$E:$E,'Barang Keluar'!$A:$A,M15457,'Barang Keluar'!$C:$C,N15457))</f>
        <v>0</v>
      </c>
    </row>
    <row r="15458" spans="13:16">
      <c r="M15458" s="49">
        <f>IF($A$4+154&gt;$B$4,"",$A$4+154)</f>
        <v>46177</v>
      </c>
      <c r="N15458">
        <f>IF(M15458="","",'Master Barang'!A52)</f>
        <v>0</v>
      </c>
      <c r="O15458">
        <f>IF(N15458="","",'Master Barang'!B52)</f>
        <v>0</v>
      </c>
      <c r="P15458">
        <f>IF(OR(M15458="",N15458=""),"",SUMIFS('Barang Keluar'!$E:$E,'Barang Keluar'!$A:$A,M15458,'Barang Keluar'!$C:$C,N15458))</f>
        <v>0</v>
      </c>
    </row>
    <row r="15459" spans="13:16">
      <c r="M15459" s="49">
        <f>IF($A$4+154&gt;$B$4,"",$A$4+154)</f>
        <v>46177</v>
      </c>
      <c r="N15459">
        <f>IF(M15459="","",'Master Barang'!A53)</f>
        <v>0</v>
      </c>
      <c r="O15459">
        <f>IF(N15459="","",'Master Barang'!B53)</f>
        <v>0</v>
      </c>
      <c r="P15459">
        <f>IF(OR(M15459="",N15459=""),"",SUMIFS('Barang Keluar'!$E:$E,'Barang Keluar'!$A:$A,M15459,'Barang Keluar'!$C:$C,N15459))</f>
        <v>0</v>
      </c>
    </row>
    <row r="15460" spans="13:16">
      <c r="M15460" s="49">
        <f>IF($A$4+154&gt;$B$4,"",$A$4+154)</f>
        <v>46177</v>
      </c>
      <c r="N15460">
        <f>IF(M15460="","",'Master Barang'!A54)</f>
        <v>0</v>
      </c>
      <c r="O15460">
        <f>IF(N15460="","",'Master Barang'!B54)</f>
        <v>0</v>
      </c>
      <c r="P15460">
        <f>IF(OR(M15460="",N15460=""),"",SUMIFS('Barang Keluar'!$E:$E,'Barang Keluar'!$A:$A,M15460,'Barang Keluar'!$C:$C,N15460))</f>
        <v>0</v>
      </c>
    </row>
    <row r="15461" spans="13:16">
      <c r="M15461" s="49">
        <f>IF($A$4+154&gt;$B$4,"",$A$4+154)</f>
        <v>46177</v>
      </c>
      <c r="N15461">
        <f>IF(M15461="","",'Master Barang'!A55)</f>
        <v>0</v>
      </c>
      <c r="O15461">
        <f>IF(N15461="","",'Master Barang'!B55)</f>
        <v>0</v>
      </c>
      <c r="P15461">
        <f>IF(OR(M15461="",N15461=""),"",SUMIFS('Barang Keluar'!$E:$E,'Barang Keluar'!$A:$A,M15461,'Barang Keluar'!$C:$C,N15461))</f>
        <v>0</v>
      </c>
    </row>
    <row r="15462" spans="13:16">
      <c r="M15462" s="49">
        <f>IF($A$4+154&gt;$B$4,"",$A$4+154)</f>
        <v>46177</v>
      </c>
      <c r="N15462">
        <f>IF(M15462="","",'Master Barang'!A56)</f>
        <v>0</v>
      </c>
      <c r="O15462">
        <f>IF(N15462="","",'Master Barang'!B56)</f>
        <v>0</v>
      </c>
      <c r="P15462">
        <f>IF(OR(M15462="",N15462=""),"",SUMIFS('Barang Keluar'!$E:$E,'Barang Keluar'!$A:$A,M15462,'Barang Keluar'!$C:$C,N15462))</f>
        <v>0</v>
      </c>
    </row>
    <row r="15463" spans="13:16">
      <c r="M15463" s="49">
        <f>IF($A$4+154&gt;$B$4,"",$A$4+154)</f>
        <v>46177</v>
      </c>
      <c r="N15463">
        <f>IF(M15463="","",'Master Barang'!A57)</f>
        <v>0</v>
      </c>
      <c r="O15463">
        <f>IF(N15463="","",'Master Barang'!B57)</f>
        <v>0</v>
      </c>
      <c r="P15463">
        <f>IF(OR(M15463="",N15463=""),"",SUMIFS('Barang Keluar'!$E:$E,'Barang Keluar'!$A:$A,M15463,'Barang Keluar'!$C:$C,N15463))</f>
        <v>0</v>
      </c>
    </row>
    <row r="15464" spans="13:16">
      <c r="M15464" s="49">
        <f>IF($A$4+154&gt;$B$4,"",$A$4+154)</f>
        <v>46177</v>
      </c>
      <c r="N15464">
        <f>IF(M15464="","",'Master Barang'!A58)</f>
        <v>0</v>
      </c>
      <c r="O15464">
        <f>IF(N15464="","",'Master Barang'!B58)</f>
        <v>0</v>
      </c>
      <c r="P15464">
        <f>IF(OR(M15464="",N15464=""),"",SUMIFS('Barang Keluar'!$E:$E,'Barang Keluar'!$A:$A,M15464,'Barang Keluar'!$C:$C,N15464))</f>
        <v>0</v>
      </c>
    </row>
    <row r="15465" spans="13:16">
      <c r="M15465" s="49">
        <f>IF($A$4+154&gt;$B$4,"",$A$4+154)</f>
        <v>46177</v>
      </c>
      <c r="N15465">
        <f>IF(M15465="","",'Master Barang'!A59)</f>
        <v>0</v>
      </c>
      <c r="O15465">
        <f>IF(N15465="","",'Master Barang'!B59)</f>
        <v>0</v>
      </c>
      <c r="P15465">
        <f>IF(OR(M15465="",N15465=""),"",SUMIFS('Barang Keluar'!$E:$E,'Barang Keluar'!$A:$A,M15465,'Barang Keluar'!$C:$C,N15465))</f>
        <v>0</v>
      </c>
    </row>
    <row r="15466" spans="13:16">
      <c r="M15466" s="49">
        <f>IF($A$4+154&gt;$B$4,"",$A$4+154)</f>
        <v>46177</v>
      </c>
      <c r="N15466">
        <f>IF(M15466="","",'Master Barang'!A60)</f>
        <v>0</v>
      </c>
      <c r="O15466">
        <f>IF(N15466="","",'Master Barang'!B60)</f>
        <v>0</v>
      </c>
      <c r="P15466">
        <f>IF(OR(M15466="",N15466=""),"",SUMIFS('Barang Keluar'!$E:$E,'Barang Keluar'!$A:$A,M15466,'Barang Keluar'!$C:$C,N15466))</f>
        <v>0</v>
      </c>
    </row>
    <row r="15467" spans="13:16">
      <c r="M15467" s="49">
        <f>IF($A$4+154&gt;$B$4,"",$A$4+154)</f>
        <v>46177</v>
      </c>
      <c r="N15467">
        <f>IF(M15467="","",'Master Barang'!A61)</f>
        <v>0</v>
      </c>
      <c r="O15467">
        <f>IF(N15467="","",'Master Barang'!B61)</f>
        <v>0</v>
      </c>
      <c r="P15467">
        <f>IF(OR(M15467="",N15467=""),"",SUMIFS('Barang Keluar'!$E:$E,'Barang Keluar'!$A:$A,M15467,'Barang Keluar'!$C:$C,N15467))</f>
        <v>0</v>
      </c>
    </row>
    <row r="15468" spans="13:16">
      <c r="M15468" s="49">
        <f>IF($A$4+154&gt;$B$4,"",$A$4+154)</f>
        <v>46177</v>
      </c>
      <c r="N15468">
        <f>IF(M15468="","",'Master Barang'!A62)</f>
        <v>0</v>
      </c>
      <c r="O15468">
        <f>IF(N15468="","",'Master Barang'!B62)</f>
        <v>0</v>
      </c>
      <c r="P15468">
        <f>IF(OR(M15468="",N15468=""),"",SUMIFS('Barang Keluar'!$E:$E,'Barang Keluar'!$A:$A,M15468,'Barang Keluar'!$C:$C,N15468))</f>
        <v>0</v>
      </c>
    </row>
    <row r="15469" spans="13:16">
      <c r="M15469" s="49">
        <f>IF($A$4+154&gt;$B$4,"",$A$4+154)</f>
        <v>46177</v>
      </c>
      <c r="N15469">
        <f>IF(M15469="","",'Master Barang'!A63)</f>
        <v>0</v>
      </c>
      <c r="O15469">
        <f>IF(N15469="","",'Master Barang'!B63)</f>
        <v>0</v>
      </c>
      <c r="P15469">
        <f>IF(OR(M15469="",N15469=""),"",SUMIFS('Barang Keluar'!$E:$E,'Barang Keluar'!$A:$A,M15469,'Barang Keluar'!$C:$C,N15469))</f>
        <v>0</v>
      </c>
    </row>
    <row r="15470" spans="13:16">
      <c r="M15470" s="49">
        <f>IF($A$4+154&gt;$B$4,"",$A$4+154)</f>
        <v>46177</v>
      </c>
      <c r="N15470">
        <f>IF(M15470="","",'Master Barang'!A64)</f>
        <v>0</v>
      </c>
      <c r="O15470">
        <f>IF(N15470="","",'Master Barang'!B64)</f>
        <v>0</v>
      </c>
      <c r="P15470">
        <f>IF(OR(M15470="",N15470=""),"",SUMIFS('Barang Keluar'!$E:$E,'Barang Keluar'!$A:$A,M15470,'Barang Keluar'!$C:$C,N15470))</f>
        <v>0</v>
      </c>
    </row>
    <row r="15471" spans="13:16">
      <c r="M15471" s="49">
        <f>IF($A$4+154&gt;$B$4,"",$A$4+154)</f>
        <v>46177</v>
      </c>
      <c r="N15471">
        <f>IF(M15471="","",'Master Barang'!A65)</f>
        <v>0</v>
      </c>
      <c r="O15471">
        <f>IF(N15471="","",'Master Barang'!B65)</f>
        <v>0</v>
      </c>
      <c r="P15471">
        <f>IF(OR(M15471="",N15471=""),"",SUMIFS('Barang Keluar'!$E:$E,'Barang Keluar'!$A:$A,M15471,'Barang Keluar'!$C:$C,N15471))</f>
        <v>0</v>
      </c>
    </row>
    <row r="15472" spans="13:16">
      <c r="M15472" s="49">
        <f>IF($A$4+154&gt;$B$4,"",$A$4+154)</f>
        <v>46177</v>
      </c>
      <c r="N15472">
        <f>IF(M15472="","",'Master Barang'!A66)</f>
        <v>0</v>
      </c>
      <c r="O15472">
        <f>IF(N15472="","",'Master Barang'!B66)</f>
        <v>0</v>
      </c>
      <c r="P15472">
        <f>IF(OR(M15472="",N15472=""),"",SUMIFS('Barang Keluar'!$E:$E,'Barang Keluar'!$A:$A,M15472,'Barang Keluar'!$C:$C,N15472))</f>
        <v>0</v>
      </c>
    </row>
    <row r="15473" spans="13:16">
      <c r="M15473" s="49">
        <f>IF($A$4+154&gt;$B$4,"",$A$4+154)</f>
        <v>46177</v>
      </c>
      <c r="N15473">
        <f>IF(M15473="","",'Master Barang'!A67)</f>
        <v>0</v>
      </c>
      <c r="O15473">
        <f>IF(N15473="","",'Master Barang'!B67)</f>
        <v>0</v>
      </c>
      <c r="P15473">
        <f>IF(OR(M15473="",N15473=""),"",SUMIFS('Barang Keluar'!$E:$E,'Barang Keluar'!$A:$A,M15473,'Barang Keluar'!$C:$C,N15473))</f>
        <v>0</v>
      </c>
    </row>
    <row r="15474" spans="13:16">
      <c r="M15474" s="49">
        <f>IF($A$4+154&gt;$B$4,"",$A$4+154)</f>
        <v>46177</v>
      </c>
      <c r="N15474">
        <f>IF(M15474="","",'Master Barang'!A68)</f>
        <v>0</v>
      </c>
      <c r="O15474">
        <f>IF(N15474="","",'Master Barang'!B68)</f>
        <v>0</v>
      </c>
      <c r="P15474">
        <f>IF(OR(M15474="",N15474=""),"",SUMIFS('Barang Keluar'!$E:$E,'Barang Keluar'!$A:$A,M15474,'Barang Keluar'!$C:$C,N15474))</f>
        <v>0</v>
      </c>
    </row>
    <row r="15475" spans="13:16">
      <c r="M15475" s="49">
        <f>IF($A$4+154&gt;$B$4,"",$A$4+154)</f>
        <v>46177</v>
      </c>
      <c r="N15475">
        <f>IF(M15475="","",'Master Barang'!A69)</f>
        <v>0</v>
      </c>
      <c r="O15475">
        <f>IF(N15475="","",'Master Barang'!B69)</f>
        <v>0</v>
      </c>
      <c r="P15475">
        <f>IF(OR(M15475="",N15475=""),"",SUMIFS('Barang Keluar'!$E:$E,'Barang Keluar'!$A:$A,M15475,'Barang Keluar'!$C:$C,N15475))</f>
        <v>0</v>
      </c>
    </row>
    <row r="15476" spans="13:16">
      <c r="M15476" s="49">
        <f>IF($A$4+154&gt;$B$4,"",$A$4+154)</f>
        <v>46177</v>
      </c>
      <c r="N15476">
        <f>IF(M15476="","",'Master Barang'!A70)</f>
        <v>0</v>
      </c>
      <c r="O15476">
        <f>IF(N15476="","",'Master Barang'!B70)</f>
        <v>0</v>
      </c>
      <c r="P15476">
        <f>IF(OR(M15476="",N15476=""),"",SUMIFS('Barang Keluar'!$E:$E,'Barang Keluar'!$A:$A,M15476,'Barang Keluar'!$C:$C,N15476))</f>
        <v>0</v>
      </c>
    </row>
    <row r="15477" spans="13:16">
      <c r="M15477" s="49">
        <f>IF($A$4+154&gt;$B$4,"",$A$4+154)</f>
        <v>46177</v>
      </c>
      <c r="N15477">
        <f>IF(M15477="","",'Master Barang'!A71)</f>
        <v>0</v>
      </c>
      <c r="O15477">
        <f>IF(N15477="","",'Master Barang'!B71)</f>
        <v>0</v>
      </c>
      <c r="P15477">
        <f>IF(OR(M15477="",N15477=""),"",SUMIFS('Barang Keluar'!$E:$E,'Barang Keluar'!$A:$A,M15477,'Barang Keluar'!$C:$C,N15477))</f>
        <v>0</v>
      </c>
    </row>
    <row r="15478" spans="13:16">
      <c r="M15478" s="49">
        <f>IF($A$4+154&gt;$B$4,"",$A$4+154)</f>
        <v>46177</v>
      </c>
      <c r="N15478">
        <f>IF(M15478="","",'Master Barang'!A72)</f>
        <v>0</v>
      </c>
      <c r="O15478">
        <f>IF(N15478="","",'Master Barang'!B72)</f>
        <v>0</v>
      </c>
      <c r="P15478">
        <f>IF(OR(M15478="",N15478=""),"",SUMIFS('Barang Keluar'!$E:$E,'Barang Keluar'!$A:$A,M15478,'Barang Keluar'!$C:$C,N15478))</f>
        <v>0</v>
      </c>
    </row>
    <row r="15479" spans="13:16">
      <c r="M15479" s="49">
        <f>IF($A$4+154&gt;$B$4,"",$A$4+154)</f>
        <v>46177</v>
      </c>
      <c r="N15479">
        <f>IF(M15479="","",'Master Barang'!A73)</f>
        <v>0</v>
      </c>
      <c r="O15479">
        <f>IF(N15479="","",'Master Barang'!B73)</f>
        <v>0</v>
      </c>
      <c r="P15479">
        <f>IF(OR(M15479="",N15479=""),"",SUMIFS('Barang Keluar'!$E:$E,'Barang Keluar'!$A:$A,M15479,'Barang Keluar'!$C:$C,N15479))</f>
        <v>0</v>
      </c>
    </row>
    <row r="15480" spans="13:16">
      <c r="M15480" s="49">
        <f>IF($A$4+154&gt;$B$4,"",$A$4+154)</f>
        <v>46177</v>
      </c>
      <c r="N15480">
        <f>IF(M15480="","",'Master Barang'!A74)</f>
        <v>0</v>
      </c>
      <c r="O15480">
        <f>IF(N15480="","",'Master Barang'!B74)</f>
        <v>0</v>
      </c>
      <c r="P15480">
        <f>IF(OR(M15480="",N15480=""),"",SUMIFS('Barang Keluar'!$E:$E,'Barang Keluar'!$A:$A,M15480,'Barang Keluar'!$C:$C,N15480))</f>
        <v>0</v>
      </c>
    </row>
    <row r="15481" spans="13:16">
      <c r="M15481" s="49">
        <f>IF($A$4+154&gt;$B$4,"",$A$4+154)</f>
        <v>46177</v>
      </c>
      <c r="N15481">
        <f>IF(M15481="","",'Master Barang'!A75)</f>
        <v>0</v>
      </c>
      <c r="O15481">
        <f>IF(N15481="","",'Master Barang'!B75)</f>
        <v>0</v>
      </c>
      <c r="P15481">
        <f>IF(OR(M15481="",N15481=""),"",SUMIFS('Barang Keluar'!$E:$E,'Barang Keluar'!$A:$A,M15481,'Barang Keluar'!$C:$C,N15481))</f>
        <v>0</v>
      </c>
    </row>
    <row r="15482" spans="13:16">
      <c r="M15482" s="49">
        <f>IF($A$4+154&gt;$B$4,"",$A$4+154)</f>
        <v>46177</v>
      </c>
      <c r="N15482">
        <f>IF(M15482="","",'Master Barang'!A76)</f>
        <v>0</v>
      </c>
      <c r="O15482">
        <f>IF(N15482="","",'Master Barang'!B76)</f>
        <v>0</v>
      </c>
      <c r="P15482">
        <f>IF(OR(M15482="",N15482=""),"",SUMIFS('Barang Keluar'!$E:$E,'Barang Keluar'!$A:$A,M15482,'Barang Keluar'!$C:$C,N15482))</f>
        <v>0</v>
      </c>
    </row>
    <row r="15483" spans="13:16">
      <c r="M15483" s="49">
        <f>IF($A$4+154&gt;$B$4,"",$A$4+154)</f>
        <v>46177</v>
      </c>
      <c r="N15483">
        <f>IF(M15483="","",'Master Barang'!A77)</f>
        <v>0</v>
      </c>
      <c r="O15483">
        <f>IF(N15483="","",'Master Barang'!B77)</f>
        <v>0</v>
      </c>
      <c r="P15483">
        <f>IF(OR(M15483="",N15483=""),"",SUMIFS('Barang Keluar'!$E:$E,'Barang Keluar'!$A:$A,M15483,'Barang Keluar'!$C:$C,N15483))</f>
        <v>0</v>
      </c>
    </row>
    <row r="15484" spans="13:16">
      <c r="M15484" s="49">
        <f>IF($A$4+154&gt;$B$4,"",$A$4+154)</f>
        <v>46177</v>
      </c>
      <c r="N15484">
        <f>IF(M15484="","",'Master Barang'!A78)</f>
        <v>0</v>
      </c>
      <c r="O15484">
        <f>IF(N15484="","",'Master Barang'!B78)</f>
        <v>0</v>
      </c>
      <c r="P15484">
        <f>IF(OR(M15484="",N15484=""),"",SUMIFS('Barang Keluar'!$E:$E,'Barang Keluar'!$A:$A,M15484,'Barang Keluar'!$C:$C,N15484))</f>
        <v>0</v>
      </c>
    </row>
    <row r="15485" spans="13:16">
      <c r="M15485" s="49">
        <f>IF($A$4+154&gt;$B$4,"",$A$4+154)</f>
        <v>46177</v>
      </c>
      <c r="N15485">
        <f>IF(M15485="","",'Master Barang'!A79)</f>
        <v>0</v>
      </c>
      <c r="O15485">
        <f>IF(N15485="","",'Master Barang'!B79)</f>
        <v>0</v>
      </c>
      <c r="P15485">
        <f>IF(OR(M15485="",N15485=""),"",SUMIFS('Barang Keluar'!$E:$E,'Barang Keluar'!$A:$A,M15485,'Barang Keluar'!$C:$C,N15485))</f>
        <v>0</v>
      </c>
    </row>
    <row r="15486" spans="13:16">
      <c r="M15486" s="49">
        <f>IF($A$4+154&gt;$B$4,"",$A$4+154)</f>
        <v>46177</v>
      </c>
      <c r="N15486">
        <f>IF(M15486="","",'Master Barang'!A80)</f>
        <v>0</v>
      </c>
      <c r="O15486">
        <f>IF(N15486="","",'Master Barang'!B80)</f>
        <v>0</v>
      </c>
      <c r="P15486">
        <f>IF(OR(M15486="",N15486=""),"",SUMIFS('Barang Keluar'!$E:$E,'Barang Keluar'!$A:$A,M15486,'Barang Keluar'!$C:$C,N15486))</f>
        <v>0</v>
      </c>
    </row>
    <row r="15487" spans="13:16">
      <c r="M15487" s="49">
        <f>IF($A$4+154&gt;$B$4,"",$A$4+154)</f>
        <v>46177</v>
      </c>
      <c r="N15487">
        <f>IF(M15487="","",'Master Barang'!A81)</f>
        <v>0</v>
      </c>
      <c r="O15487">
        <f>IF(N15487="","",'Master Barang'!B81)</f>
        <v>0</v>
      </c>
      <c r="P15487">
        <f>IF(OR(M15487="",N15487=""),"",SUMIFS('Barang Keluar'!$E:$E,'Barang Keluar'!$A:$A,M15487,'Barang Keluar'!$C:$C,N15487))</f>
        <v>0</v>
      </c>
    </row>
    <row r="15488" spans="13:16">
      <c r="M15488" s="49">
        <f>IF($A$4+154&gt;$B$4,"",$A$4+154)</f>
        <v>46177</v>
      </c>
      <c r="N15488">
        <f>IF(M15488="","",'Master Barang'!A82)</f>
        <v>0</v>
      </c>
      <c r="O15488">
        <f>IF(N15488="","",'Master Barang'!B82)</f>
        <v>0</v>
      </c>
      <c r="P15488">
        <f>IF(OR(M15488="",N15488=""),"",SUMIFS('Barang Keluar'!$E:$E,'Barang Keluar'!$A:$A,M15488,'Barang Keluar'!$C:$C,N15488))</f>
        <v>0</v>
      </c>
    </row>
    <row r="15489" spans="13:16">
      <c r="M15489" s="49">
        <f>IF($A$4+154&gt;$B$4,"",$A$4+154)</f>
        <v>46177</v>
      </c>
      <c r="N15489">
        <f>IF(M15489="","",'Master Barang'!A83)</f>
        <v>0</v>
      </c>
      <c r="O15489">
        <f>IF(N15489="","",'Master Barang'!B83)</f>
        <v>0</v>
      </c>
      <c r="P15489">
        <f>IF(OR(M15489="",N15489=""),"",SUMIFS('Barang Keluar'!$E:$E,'Barang Keluar'!$A:$A,M15489,'Barang Keluar'!$C:$C,N15489))</f>
        <v>0</v>
      </c>
    </row>
    <row r="15490" spans="13:16">
      <c r="M15490" s="49">
        <f>IF($A$4+154&gt;$B$4,"",$A$4+154)</f>
        <v>46177</v>
      </c>
      <c r="N15490">
        <f>IF(M15490="","",'Master Barang'!A84)</f>
        <v>0</v>
      </c>
      <c r="O15490">
        <f>IF(N15490="","",'Master Barang'!B84)</f>
        <v>0</v>
      </c>
      <c r="P15490">
        <f>IF(OR(M15490="",N15490=""),"",SUMIFS('Barang Keluar'!$E:$E,'Barang Keluar'!$A:$A,M15490,'Barang Keluar'!$C:$C,N15490))</f>
        <v>0</v>
      </c>
    </row>
    <row r="15491" spans="13:16">
      <c r="M15491" s="49">
        <f>IF($A$4+154&gt;$B$4,"",$A$4+154)</f>
        <v>46177</v>
      </c>
      <c r="N15491">
        <f>IF(M15491="","",'Master Barang'!A85)</f>
        <v>0</v>
      </c>
      <c r="O15491">
        <f>IF(N15491="","",'Master Barang'!B85)</f>
        <v>0</v>
      </c>
      <c r="P15491">
        <f>IF(OR(M15491="",N15491=""),"",SUMIFS('Barang Keluar'!$E:$E,'Barang Keluar'!$A:$A,M15491,'Barang Keluar'!$C:$C,N15491))</f>
        <v>0</v>
      </c>
    </row>
    <row r="15492" spans="13:16">
      <c r="M15492" s="49">
        <f>IF($A$4+154&gt;$B$4,"",$A$4+154)</f>
        <v>46177</v>
      </c>
      <c r="N15492">
        <f>IF(M15492="","",'Master Barang'!A86)</f>
        <v>0</v>
      </c>
      <c r="O15492">
        <f>IF(N15492="","",'Master Barang'!B86)</f>
        <v>0</v>
      </c>
      <c r="P15492">
        <f>IF(OR(M15492="",N15492=""),"",SUMIFS('Barang Keluar'!$E:$E,'Barang Keluar'!$A:$A,M15492,'Barang Keluar'!$C:$C,N15492))</f>
        <v>0</v>
      </c>
    </row>
    <row r="15493" spans="13:16">
      <c r="M15493" s="49">
        <f>IF($A$4+154&gt;$B$4,"",$A$4+154)</f>
        <v>46177</v>
      </c>
      <c r="N15493">
        <f>IF(M15493="","",'Master Barang'!A87)</f>
        <v>0</v>
      </c>
      <c r="O15493">
        <f>IF(N15493="","",'Master Barang'!B87)</f>
        <v>0</v>
      </c>
      <c r="P15493">
        <f>IF(OR(M15493="",N15493=""),"",SUMIFS('Barang Keluar'!$E:$E,'Barang Keluar'!$A:$A,M15493,'Barang Keluar'!$C:$C,N15493))</f>
        <v>0</v>
      </c>
    </row>
    <row r="15494" spans="13:16">
      <c r="M15494" s="49">
        <f>IF($A$4+154&gt;$B$4,"",$A$4+154)</f>
        <v>46177</v>
      </c>
      <c r="N15494">
        <f>IF(M15494="","",'Master Barang'!A88)</f>
        <v>0</v>
      </c>
      <c r="O15494">
        <f>IF(N15494="","",'Master Barang'!B88)</f>
        <v>0</v>
      </c>
      <c r="P15494">
        <f>IF(OR(M15494="",N15494=""),"",SUMIFS('Barang Keluar'!$E:$E,'Barang Keluar'!$A:$A,M15494,'Barang Keluar'!$C:$C,N15494))</f>
        <v>0</v>
      </c>
    </row>
    <row r="15495" spans="13:16">
      <c r="M15495" s="49">
        <f>IF($A$4+154&gt;$B$4,"",$A$4+154)</f>
        <v>46177</v>
      </c>
      <c r="N15495">
        <f>IF(M15495="","",'Master Barang'!A89)</f>
        <v>0</v>
      </c>
      <c r="O15495">
        <f>IF(N15495="","",'Master Barang'!B89)</f>
        <v>0</v>
      </c>
      <c r="P15495">
        <f>IF(OR(M15495="",N15495=""),"",SUMIFS('Barang Keluar'!$E:$E,'Barang Keluar'!$A:$A,M15495,'Barang Keluar'!$C:$C,N15495))</f>
        <v>0</v>
      </c>
    </row>
    <row r="15496" spans="13:16">
      <c r="M15496" s="49">
        <f>IF($A$4+154&gt;$B$4,"",$A$4+154)</f>
        <v>46177</v>
      </c>
      <c r="N15496">
        <f>IF(M15496="","",'Master Barang'!A90)</f>
        <v>0</v>
      </c>
      <c r="O15496">
        <f>IF(N15496="","",'Master Barang'!B90)</f>
        <v>0</v>
      </c>
      <c r="P15496">
        <f>IF(OR(M15496="",N15496=""),"",SUMIFS('Barang Keluar'!$E:$E,'Barang Keluar'!$A:$A,M15496,'Barang Keluar'!$C:$C,N15496))</f>
        <v>0</v>
      </c>
    </row>
    <row r="15497" spans="13:16">
      <c r="M15497" s="49">
        <f>IF($A$4+154&gt;$B$4,"",$A$4+154)</f>
        <v>46177</v>
      </c>
      <c r="N15497">
        <f>IF(M15497="","",'Master Barang'!A91)</f>
        <v>0</v>
      </c>
      <c r="O15497">
        <f>IF(N15497="","",'Master Barang'!B91)</f>
        <v>0</v>
      </c>
      <c r="P15497">
        <f>IF(OR(M15497="",N15497=""),"",SUMIFS('Barang Keluar'!$E:$E,'Barang Keluar'!$A:$A,M15497,'Barang Keluar'!$C:$C,N15497))</f>
        <v>0</v>
      </c>
    </row>
    <row r="15498" spans="13:16">
      <c r="M15498" s="49">
        <f>IF($A$4+154&gt;$B$4,"",$A$4+154)</f>
        <v>46177</v>
      </c>
      <c r="N15498">
        <f>IF(M15498="","",'Master Barang'!A92)</f>
        <v>0</v>
      </c>
      <c r="O15498">
        <f>IF(N15498="","",'Master Barang'!B92)</f>
        <v>0</v>
      </c>
      <c r="P15498">
        <f>IF(OR(M15498="",N15498=""),"",SUMIFS('Barang Keluar'!$E:$E,'Barang Keluar'!$A:$A,M15498,'Barang Keluar'!$C:$C,N15498))</f>
        <v>0</v>
      </c>
    </row>
    <row r="15499" spans="13:16">
      <c r="M15499" s="49">
        <f>IF($A$4+154&gt;$B$4,"",$A$4+154)</f>
        <v>46177</v>
      </c>
      <c r="N15499">
        <f>IF(M15499="","",'Master Barang'!A93)</f>
        <v>0</v>
      </c>
      <c r="O15499">
        <f>IF(N15499="","",'Master Barang'!B93)</f>
        <v>0</v>
      </c>
      <c r="P15499">
        <f>IF(OR(M15499="",N15499=""),"",SUMIFS('Barang Keluar'!$E:$E,'Barang Keluar'!$A:$A,M15499,'Barang Keluar'!$C:$C,N15499))</f>
        <v>0</v>
      </c>
    </row>
    <row r="15500" spans="13:16">
      <c r="M15500" s="49">
        <f>IF($A$4+154&gt;$B$4,"",$A$4+154)</f>
        <v>46177</v>
      </c>
      <c r="N15500">
        <f>IF(M15500="","",'Master Barang'!A94)</f>
        <v>0</v>
      </c>
      <c r="O15500">
        <f>IF(N15500="","",'Master Barang'!B94)</f>
        <v>0</v>
      </c>
      <c r="P15500">
        <f>IF(OR(M15500="",N15500=""),"",SUMIFS('Barang Keluar'!$E:$E,'Barang Keluar'!$A:$A,M15500,'Barang Keluar'!$C:$C,N15500))</f>
        <v>0</v>
      </c>
    </row>
    <row r="15501" spans="13:16">
      <c r="M15501" s="49">
        <f>IF($A$4+154&gt;$B$4,"",$A$4+154)</f>
        <v>46177</v>
      </c>
      <c r="N15501">
        <f>IF(M15501="","",'Master Barang'!A95)</f>
        <v>0</v>
      </c>
      <c r="O15501">
        <f>IF(N15501="","",'Master Barang'!B95)</f>
        <v>0</v>
      </c>
      <c r="P15501">
        <f>IF(OR(M15501="",N15501=""),"",SUMIFS('Barang Keluar'!$E:$E,'Barang Keluar'!$A:$A,M15501,'Barang Keluar'!$C:$C,N15501))</f>
        <v>0</v>
      </c>
    </row>
    <row r="15502" spans="13:16">
      <c r="M15502" s="49">
        <f>IF($A$4+154&gt;$B$4,"",$A$4+154)</f>
        <v>46177</v>
      </c>
      <c r="N15502">
        <f>IF(M15502="","",'Master Barang'!A96)</f>
        <v>0</v>
      </c>
      <c r="O15502">
        <f>IF(N15502="","",'Master Barang'!B96)</f>
        <v>0</v>
      </c>
      <c r="P15502">
        <f>IF(OR(M15502="",N15502=""),"",SUMIFS('Barang Keluar'!$E:$E,'Barang Keluar'!$A:$A,M15502,'Barang Keluar'!$C:$C,N15502))</f>
        <v>0</v>
      </c>
    </row>
    <row r="15503" spans="13:16">
      <c r="M15503" s="49">
        <f>IF($A$4+154&gt;$B$4,"",$A$4+154)</f>
        <v>46177</v>
      </c>
      <c r="N15503">
        <f>IF(M15503="","",'Master Barang'!A97)</f>
        <v>0</v>
      </c>
      <c r="O15503">
        <f>IF(N15503="","",'Master Barang'!B97)</f>
        <v>0</v>
      </c>
      <c r="P15503">
        <f>IF(OR(M15503="",N15503=""),"",SUMIFS('Barang Keluar'!$E:$E,'Barang Keluar'!$A:$A,M15503,'Barang Keluar'!$C:$C,N15503))</f>
        <v>0</v>
      </c>
    </row>
    <row r="15504" spans="13:16">
      <c r="M15504" s="49">
        <f>IF($A$4+154&gt;$B$4,"",$A$4+154)</f>
        <v>46177</v>
      </c>
      <c r="N15504">
        <f>IF(M15504="","",'Master Barang'!A98)</f>
        <v>0</v>
      </c>
      <c r="O15504">
        <f>IF(N15504="","",'Master Barang'!B98)</f>
        <v>0</v>
      </c>
      <c r="P15504">
        <f>IF(OR(M15504="",N15504=""),"",SUMIFS('Barang Keluar'!$E:$E,'Barang Keluar'!$A:$A,M15504,'Barang Keluar'!$C:$C,N15504))</f>
        <v>0</v>
      </c>
    </row>
    <row r="15505" spans="13:16">
      <c r="M15505" s="49">
        <f>IF($A$4+154&gt;$B$4,"",$A$4+154)</f>
        <v>46177</v>
      </c>
      <c r="N15505">
        <f>IF(M15505="","",'Master Barang'!A99)</f>
        <v>0</v>
      </c>
      <c r="O15505">
        <f>IF(N15505="","",'Master Barang'!B99)</f>
        <v>0</v>
      </c>
      <c r="P15505">
        <f>IF(OR(M15505="",N15505=""),"",SUMIFS('Barang Keluar'!$E:$E,'Barang Keluar'!$A:$A,M15505,'Barang Keluar'!$C:$C,N15505))</f>
        <v>0</v>
      </c>
    </row>
    <row r="15506" spans="13:16">
      <c r="M15506" s="49">
        <f>IF($A$4+154&gt;$B$4,"",$A$4+154)</f>
        <v>46177</v>
      </c>
      <c r="N15506">
        <f>IF(M15506="","",'Master Barang'!A100)</f>
        <v>0</v>
      </c>
      <c r="O15506">
        <f>IF(N15506="","",'Master Barang'!B100)</f>
        <v>0</v>
      </c>
      <c r="P15506">
        <f>IF(OR(M15506="",N15506=""),"",SUMIFS('Barang Keluar'!$E:$E,'Barang Keluar'!$A:$A,M15506,'Barang Keluar'!$C:$C,N15506))</f>
        <v>0</v>
      </c>
    </row>
    <row r="15507" spans="13:16">
      <c r="M15507" s="49">
        <f>IF($A$4+154&gt;$B$4,"",$A$4+154)</f>
        <v>46177</v>
      </c>
      <c r="N15507">
        <f>IF(M15507="","",'Master Barang'!A101)</f>
        <v>0</v>
      </c>
      <c r="O15507">
        <f>IF(N15507="","",'Master Barang'!B101)</f>
        <v>0</v>
      </c>
      <c r="P15507">
        <f>IF(OR(M15507="",N15507=""),"",SUMIFS('Barang Keluar'!$E:$E,'Barang Keluar'!$A:$A,M15507,'Barang Keluar'!$C:$C,N15507))</f>
        <v>0</v>
      </c>
    </row>
    <row r="15508" spans="13:16">
      <c r="M15508" s="49">
        <f>IF($A$4+155&gt;$B$4,"",$A$4+155)</f>
        <v>46178</v>
      </c>
      <c r="N15508" t="str">
        <f>IF(M15508="","",'Master Barang'!A2)</f>
        <v>PRL-001</v>
      </c>
      <c r="O15508" t="str">
        <f>IF(N15508="","",'Master Barang'!B2)</f>
        <v>natura desinfectant food grade 5l</v>
      </c>
      <c r="P15508">
        <f>IF(OR(M15508="",N15508=""),"",SUMIFS('Barang Keluar'!$E:$E,'Barang Keluar'!$A:$A,M15508,'Barang Keluar'!$C:$C,N15508))</f>
        <v>0</v>
      </c>
    </row>
    <row r="15509" spans="13:16">
      <c r="M15509" s="49">
        <f>IF($A$4+155&gt;$B$4,"",$A$4+155)</f>
        <v>46178</v>
      </c>
      <c r="N15509" t="str">
        <f>IF(M15509="","",'Master Barang'!A3)</f>
        <v>PRL-002</v>
      </c>
      <c r="O15509" t="str">
        <f>IF(N15509="","",'Master Barang'!B3)</f>
        <v>sunlight cairan pencuci piring 5l</v>
      </c>
      <c r="P15509">
        <f>IF(OR(M15509="",N15509=""),"",SUMIFS('Barang Keluar'!$E:$E,'Barang Keluar'!$A:$A,M15509,'Barang Keluar'!$C:$C,N15509))</f>
        <v>0</v>
      </c>
    </row>
    <row r="15510" spans="13:16">
      <c r="M15510" s="49">
        <f>IF($A$4+155&gt;$B$4,"",$A$4+155)</f>
        <v>46178</v>
      </c>
      <c r="N15510" t="str">
        <f>IF(M15510="","",'Master Barang'!A4)</f>
        <v>PRL-003</v>
      </c>
      <c r="O15510" t="str">
        <f>IF(N15510="","",'Master Barang'!B4)</f>
        <v>oixs cleaner 1l</v>
      </c>
      <c r="P15510">
        <f>IF(OR(M15510="",N15510=""),"",SUMIFS('Barang Keluar'!$E:$E,'Barang Keluar'!$A:$A,M15510,'Barang Keluar'!$C:$C,N15510))</f>
        <v>0</v>
      </c>
    </row>
    <row r="15511" spans="13:16">
      <c r="M15511" s="49">
        <f>IF($A$4+155&gt;$B$4,"",$A$4+155)</f>
        <v>46178</v>
      </c>
      <c r="N15511" t="str">
        <f>IF(M15511="","",'Master Barang'!A5)</f>
        <v>PRL-004</v>
      </c>
      <c r="O15511" t="str">
        <f>IF(N15511="","",'Master Barang'!B5)</f>
        <v>be clean tissue serbaguna</v>
      </c>
      <c r="P15511">
        <f>IF(OR(M15511="",N15511=""),"",SUMIFS('Barang Keluar'!$E:$E,'Barang Keluar'!$A:$A,M15511,'Barang Keluar'!$C:$C,N15511))</f>
        <v>0</v>
      </c>
    </row>
    <row r="15512" spans="13:16">
      <c r="M15512" s="49">
        <f>IF($A$4+155&gt;$B$4,"",$A$4+155)</f>
        <v>46178</v>
      </c>
      <c r="N15512" t="str">
        <f>IF(M15512="","",'Master Barang'!A6)</f>
        <v>PRL-005</v>
      </c>
      <c r="O15512" t="str">
        <f>IF(N15512="","",'Master Barang'!B6)</f>
        <v>spons cuci hijau</v>
      </c>
      <c r="P15512">
        <f>IF(OR(M15512="",N15512=""),"",SUMIFS('Barang Keluar'!$E:$E,'Barang Keluar'!$A:$A,M15512,'Barang Keluar'!$C:$C,N15512))</f>
        <v>0</v>
      </c>
    </row>
    <row r="15513" spans="13:16">
      <c r="M15513" s="49">
        <f>IF($A$4+155&gt;$B$4,"",$A$4+155)</f>
        <v>46178</v>
      </c>
      <c r="N15513" t="str">
        <f>IF(M15513="","",'Master Barang'!A7)</f>
        <v>PRL-006</v>
      </c>
      <c r="O15513" t="str">
        <f>IF(N15513="","",'Master Barang'!B7)</f>
        <v>sabut cuci stainless</v>
      </c>
      <c r="P15513">
        <f>IF(OR(M15513="",N15513=""),"",SUMIFS('Barang Keluar'!$E:$E,'Barang Keluar'!$A:$A,M15513,'Barang Keluar'!$C:$C,N15513))</f>
        <v>0</v>
      </c>
    </row>
    <row r="15514" spans="13:16">
      <c r="M15514" s="49">
        <f>IF($A$4+155&gt;$B$4,"",$A$4+155)</f>
        <v>46178</v>
      </c>
      <c r="N15514" t="str">
        <f>IF(M15514="","",'Master Barang'!A8)</f>
        <v>PRL-007</v>
      </c>
      <c r="O15514" t="str">
        <f>IF(N15514="","",'Master Barang'!B8)</f>
        <v>plastik kresek besar merah 50pc</v>
      </c>
      <c r="P15514">
        <f>IF(OR(M15514="",N15514=""),"",SUMIFS('Barang Keluar'!$E:$E,'Barang Keluar'!$A:$A,M15514,'Barang Keluar'!$C:$C,N15514))</f>
        <v>0</v>
      </c>
    </row>
    <row r="15515" spans="13:16">
      <c r="M15515" s="49">
        <f>IF($A$4+155&gt;$B$4,"",$A$4+155)</f>
        <v>46178</v>
      </c>
      <c r="N15515" t="str">
        <f>IF(M15515="","",'Master Barang'!A9)</f>
        <v>PRL-008</v>
      </c>
      <c r="O15515" t="str">
        <f>IF(N15515="","",'Master Barang'!B9)</f>
        <v>lap besar</v>
      </c>
      <c r="P15515">
        <f>IF(OR(M15515="",N15515=""),"",SUMIFS('Barang Keluar'!$E:$E,'Barang Keluar'!$A:$A,M15515,'Barang Keluar'!$C:$C,N15515))</f>
        <v>0</v>
      </c>
    </row>
    <row r="15516" spans="13:16">
      <c r="M15516" s="49">
        <f>IF($A$4+155&gt;$B$4,"",$A$4+155)</f>
        <v>46178</v>
      </c>
      <c r="N15516" t="str">
        <f>IF(M15516="","",'Master Barang'!A10)</f>
        <v>PRL-009</v>
      </c>
      <c r="O15516" t="str">
        <f>IF(N15516="","",'Master Barang'!B10)</f>
        <v>lap microfiber</v>
      </c>
      <c r="P15516">
        <f>IF(OR(M15516="",N15516=""),"",SUMIFS('Barang Keluar'!$E:$E,'Barang Keluar'!$A:$A,M15516,'Barang Keluar'!$C:$C,N15516))</f>
        <v>0</v>
      </c>
    </row>
    <row r="15517" spans="13:16">
      <c r="M15517" s="49">
        <f>IF($A$4+155&gt;$B$4,"",$A$4+155)</f>
        <v>46178</v>
      </c>
      <c r="N15517" t="str">
        <f>IF(M15517="","",'Master Barang'!A11)</f>
        <v>PRL-010</v>
      </c>
      <c r="O15517" t="str">
        <f>IF(N15517="","",'Master Barang'!B11)</f>
        <v>lap kecil</v>
      </c>
      <c r="P15517">
        <f>IF(OR(M15517="",N15517=""),"",SUMIFS('Barang Keluar'!$E:$E,'Barang Keluar'!$A:$A,M15517,'Barang Keluar'!$C:$C,N15517))</f>
        <v>0</v>
      </c>
    </row>
    <row r="15518" spans="13:16">
      <c r="M15518" s="49">
        <f>IF($A$4+155&gt;$B$4,"",$A$4+155)</f>
        <v>46178</v>
      </c>
      <c r="N15518" t="str">
        <f>IF(M15518="","",'Master Barang'!A12)</f>
        <v>PRL-011</v>
      </c>
      <c r="O15518" t="str">
        <f>IF(N15518="","",'Master Barang'!B12)</f>
        <v>kanebo kecil</v>
      </c>
      <c r="P15518">
        <f>IF(OR(M15518="",N15518=""),"",SUMIFS('Barang Keluar'!$E:$E,'Barang Keluar'!$A:$A,M15518,'Barang Keluar'!$C:$C,N15518))</f>
        <v>0</v>
      </c>
    </row>
    <row r="15519" spans="13:16">
      <c r="M15519" s="49">
        <f>IF($A$4+155&gt;$B$4,"",$A$4+155)</f>
        <v>46178</v>
      </c>
      <c r="N15519" t="str">
        <f>IF(M15519="","",'Master Barang'!A13)</f>
        <v>PRL-012</v>
      </c>
      <c r="O15519" t="str">
        <f>IF(N15519="","",'Master Barang'!B13)</f>
        <v>plastik 1/4kg joyoboyo 100 lembar</v>
      </c>
      <c r="P15519">
        <f>IF(OR(M15519="",N15519=""),"",SUMIFS('Barang Keluar'!$E:$E,'Barang Keluar'!$A:$A,M15519,'Barang Keluar'!$C:$C,N15519))</f>
        <v>0</v>
      </c>
    </row>
    <row r="15520" spans="13:16">
      <c r="M15520" s="49">
        <f>IF($A$4+155&gt;$B$4,"",$A$4+155)</f>
        <v>46178</v>
      </c>
      <c r="N15520" t="str">
        <f>IF(M15520="","",'Master Barang'!A14)</f>
        <v>PRL-013</v>
      </c>
      <c r="O15520" t="str">
        <f>IF(N15520="","",'Master Barang'!B14)</f>
        <v>sarung tangan plastik kaka 100 pcs</v>
      </c>
      <c r="P15520">
        <f>IF(OR(M15520="",N15520=""),"",SUMIFS('Barang Keluar'!$E:$E,'Barang Keluar'!$A:$A,M15520,'Barang Keluar'!$C:$C,N15520))</f>
        <v>0</v>
      </c>
    </row>
    <row r="15521" spans="13:16">
      <c r="M15521" s="49">
        <f>IF($A$4+155&gt;$B$4,"",$A$4+155)</f>
        <v>46178</v>
      </c>
      <c r="N15521" t="str">
        <f>IF(M15521="","",'Master Barang'!A15)</f>
        <v>PRL-014</v>
      </c>
      <c r="O15521" t="str">
        <f>IF(N15521="","",'Master Barang'!B15)</f>
        <v>optima trashbag 80x100</v>
      </c>
      <c r="P15521">
        <f>IF(OR(M15521="",N15521=""),"",SUMIFS('Barang Keluar'!$E:$E,'Barang Keluar'!$A:$A,M15521,'Barang Keluar'!$C:$C,N15521))</f>
        <v>0</v>
      </c>
    </row>
    <row r="15522" spans="13:16">
      <c r="M15522" s="49">
        <f>IF($A$4+155&gt;$B$4,"",$A$4+155)</f>
        <v>46178</v>
      </c>
      <c r="N15522" t="str">
        <f>IF(M15522="","",'Master Barang'!A16)</f>
        <v>PRL-015</v>
      </c>
      <c r="O15522" t="str">
        <f>IF(N15522="","",'Master Barang'!B16)</f>
        <v>optima trashbag 60x100</v>
      </c>
      <c r="P15522">
        <f>IF(OR(M15522="",N15522=""),"",SUMIFS('Barang Keluar'!$E:$E,'Barang Keluar'!$A:$A,M15522,'Barang Keluar'!$C:$C,N15522))</f>
        <v>0</v>
      </c>
    </row>
    <row r="15523" spans="13:16">
      <c r="M15523" s="49">
        <f>IF($A$4+155&gt;$B$4,"",$A$4+155)</f>
        <v>46178</v>
      </c>
      <c r="N15523" t="str">
        <f>IF(M15523="","",'Master Barang'!A17)</f>
        <v>PRL-016</v>
      </c>
      <c r="O15523" t="str">
        <f>IF(N15523="","",'Master Barang'!B17)</f>
        <v>rajawali trashbag 30x40</v>
      </c>
      <c r="P15523">
        <f>IF(OR(M15523="",N15523=""),"",SUMIFS('Barang Keluar'!$E:$E,'Barang Keluar'!$A:$A,M15523,'Barang Keluar'!$C:$C,N15523))</f>
        <v>0</v>
      </c>
    </row>
    <row r="15524" spans="13:16">
      <c r="M15524" s="49">
        <f>IF($A$4+155&gt;$B$4,"",$A$4+155)</f>
        <v>46178</v>
      </c>
      <c r="N15524" t="str">
        <f>IF(M15524="","",'Master Barang'!A18)</f>
        <v>PRL-017</v>
      </c>
      <c r="O15524" t="str">
        <f>IF(N15524="","",'Master Barang'!B18)</f>
        <v>onemed masker biru 3 play 50 pcs</v>
      </c>
      <c r="P15524">
        <f>IF(OR(M15524="",N15524=""),"",SUMIFS('Barang Keluar'!$E:$E,'Barang Keluar'!$A:$A,M15524,'Barang Keluar'!$C:$C,N15524))</f>
        <v>0</v>
      </c>
    </row>
    <row r="15525" spans="13:16">
      <c r="M15525" s="49">
        <f>IF($A$4+155&gt;$B$4,"",$A$4+155)</f>
        <v>46178</v>
      </c>
      <c r="N15525" t="str">
        <f>IF(M15525="","",'Master Barang'!A19)</f>
        <v>PRL-018</v>
      </c>
      <c r="O15525" t="str">
        <f>IF(N15525="","",'Master Barang'!B19)</f>
        <v>onemed masker biru 3 play hijab 50 pcs</v>
      </c>
      <c r="P15525">
        <f>IF(OR(M15525="",N15525=""),"",SUMIFS('Barang Keluar'!$E:$E,'Barang Keluar'!$A:$A,M15525,'Barang Keluar'!$C:$C,N15525))</f>
        <v>0</v>
      </c>
    </row>
    <row r="15526" spans="13:16">
      <c r="M15526" s="49">
        <f>IF($A$4+155&gt;$B$4,"",$A$4+155)</f>
        <v>46178</v>
      </c>
      <c r="N15526" t="str">
        <f>IF(M15526="","",'Master Barang'!A20)</f>
        <v>PRL-019</v>
      </c>
      <c r="O15526" t="str">
        <f>IF(N15526="","",'Master Barang'!B20)</f>
        <v>neo health masker biru 3 play 50 pcs</v>
      </c>
      <c r="P15526">
        <f>IF(OR(M15526="",N15526=""),"",SUMIFS('Barang Keluar'!$E:$E,'Barang Keluar'!$A:$A,M15526,'Barang Keluar'!$C:$C,N15526))</f>
        <v>0</v>
      </c>
    </row>
    <row r="15527" spans="13:16">
      <c r="M15527" s="49">
        <f>IF($A$4+155&gt;$B$4,"",$A$4+155)</f>
        <v>46178</v>
      </c>
      <c r="N15527" t="str">
        <f>IF(M15527="","",'Master Barang'!A21)</f>
        <v>PRL-020</v>
      </c>
      <c r="O15527" t="str">
        <f>IF(N15527="","",'Master Barang'!B21)</f>
        <v>baymed masker hijau 3 play hijau 50 pcs</v>
      </c>
      <c r="P15527">
        <f>IF(OR(M15527="",N15527=""),"",SUMIFS('Barang Keluar'!$E:$E,'Barang Keluar'!$A:$A,M15527,'Barang Keluar'!$C:$C,N15527))</f>
        <v>0</v>
      </c>
    </row>
    <row r="15528" spans="13:16">
      <c r="M15528" s="49">
        <f>IF($A$4+155&gt;$B$4,"",$A$4+155)</f>
        <v>46178</v>
      </c>
      <c r="N15528" t="str">
        <f>IF(M15528="","",'Master Barang'!A22)</f>
        <v>PRL-021</v>
      </c>
      <c r="O15528" t="str">
        <f>IF(N15528="","",'Master Barang'!B22)</f>
        <v>altamed nurse cap penutup kepala 100 pcs</v>
      </c>
      <c r="P15528">
        <f>IF(OR(M15528="",N15528=""),"",SUMIFS('Barang Keluar'!$E:$E,'Barang Keluar'!$A:$A,M15528,'Barang Keluar'!$C:$C,N15528))</f>
        <v>0</v>
      </c>
    </row>
    <row r="15529" spans="13:16">
      <c r="M15529" s="49">
        <f>IF($A$4+155&gt;$B$4,"",$A$4+155)</f>
        <v>46178</v>
      </c>
      <c r="N15529" t="str">
        <f>IF(M15529="","",'Master Barang'!A23)</f>
        <v>PRL-022</v>
      </c>
      <c r="O15529" t="str">
        <f>IF(N15529="","",'Master Barang'!B23)</f>
        <v>sabun cuci tangan</v>
      </c>
      <c r="P15529">
        <f>IF(OR(M15529="",N15529=""),"",SUMIFS('Barang Keluar'!$E:$E,'Barang Keluar'!$A:$A,M15529,'Barang Keluar'!$C:$C,N15529))</f>
        <v>0</v>
      </c>
    </row>
    <row r="15530" spans="13:16">
      <c r="M15530" s="49">
        <f>IF($A$4+155&gt;$B$4,"",$A$4+155)</f>
        <v>46178</v>
      </c>
      <c r="N15530" t="str">
        <f>IF(M15530="","",'Master Barang'!A24)</f>
        <v>PRL-023</v>
      </c>
      <c r="O15530" t="str">
        <f>IF(N15530="","",'Master Barang'!B24)</f>
        <v>gayung kecil</v>
      </c>
      <c r="P15530">
        <f>IF(OR(M15530="",N15530=""),"",SUMIFS('Barang Keluar'!$E:$E,'Barang Keluar'!$A:$A,M15530,'Barang Keluar'!$C:$C,N15530))</f>
        <v>0</v>
      </c>
    </row>
    <row r="15531" spans="13:16">
      <c r="M15531" s="49">
        <f>IF($A$4+155&gt;$B$4,"",$A$4+155)</f>
        <v>46178</v>
      </c>
      <c r="N15531" t="str">
        <f>IF(M15531="","",'Master Barang'!A25)</f>
        <v>PRL-024</v>
      </c>
      <c r="O15531" t="str">
        <f>IF(N15531="","",'Master Barang'!B25)</f>
        <v>cikrak kecil</v>
      </c>
      <c r="P15531">
        <f>IF(OR(M15531="",N15531=""),"",SUMIFS('Barang Keluar'!$E:$E,'Barang Keluar'!$A:$A,M15531,'Barang Keluar'!$C:$C,N15531))</f>
        <v>0</v>
      </c>
    </row>
    <row r="15532" spans="13:16">
      <c r="M15532" s="49">
        <f>IF($A$4+155&gt;$B$4,"",$A$4+155)</f>
        <v>46178</v>
      </c>
      <c r="N15532" t="str">
        <f>IF(M15532="","",'Master Barang'!A26)</f>
        <v>PRL-025</v>
      </c>
      <c r="O15532" t="str">
        <f>IF(N15532="","",'Master Barang'!B26)</f>
        <v>petromax plastik kecil 12x24 100 lembar</v>
      </c>
      <c r="P15532">
        <f>IF(OR(M15532="",N15532=""),"",SUMIFS('Barang Keluar'!$E:$E,'Barang Keluar'!$A:$A,M15532,'Barang Keluar'!$C:$C,N15532))</f>
        <v>0</v>
      </c>
    </row>
    <row r="15533" spans="13:16">
      <c r="M15533" s="49">
        <f>IF($A$4+155&gt;$B$4,"",$A$4+155)</f>
        <v>46178</v>
      </c>
      <c r="N15533" t="str">
        <f>IF(M15533="","",'Master Barang'!A27)</f>
        <v>PRL-026</v>
      </c>
      <c r="O15533" t="str">
        <f>IF(N15533="","",'Master Barang'!B27)</f>
        <v>lancar kresek kecil bening </v>
      </c>
      <c r="P15533">
        <f>IF(OR(M15533="",N15533=""),"",SUMIFS('Barang Keluar'!$E:$E,'Barang Keluar'!$A:$A,M15533,'Barang Keluar'!$C:$C,N15533))</f>
        <v>0</v>
      </c>
    </row>
    <row r="15534" spans="13:16">
      <c r="M15534" s="49">
        <f>IF($A$4+155&gt;$B$4,"",$A$4+155)</f>
        <v>46178</v>
      </c>
      <c r="N15534" t="str">
        <f>IF(M15534="","",'Master Barang'!A28)</f>
        <v>PRL-027</v>
      </c>
      <c r="O15534" t="str">
        <f>IF(N15534="","",'Master Barang'!B28)</f>
        <v>kresek klin warna warni kecil</v>
      </c>
      <c r="P15534">
        <f>IF(OR(M15534="",N15534=""),"",SUMIFS('Barang Keluar'!$E:$E,'Barang Keluar'!$A:$A,M15534,'Barang Keluar'!$C:$C,N15534))</f>
        <v>0</v>
      </c>
    </row>
    <row r="15535" spans="13:16">
      <c r="M15535" s="49">
        <f>IF($A$4+155&gt;$B$4,"",$A$4+155)</f>
        <v>46178</v>
      </c>
      <c r="N15535" t="str">
        <f>IF(M15535="","",'Master Barang'!A29)</f>
        <v>PRL-028</v>
      </c>
      <c r="O15535" t="str">
        <f>IF(N15535="","",'Master Barang'!B29)</f>
        <v>ctik plastik 7x10 100 pcs</v>
      </c>
      <c r="P15535">
        <f>IF(OR(M15535="",N15535=""),"",SUMIFS('Barang Keluar'!$E:$E,'Barang Keluar'!$A:$A,M15535,'Barang Keluar'!$C:$C,N15535))</f>
        <v>0</v>
      </c>
    </row>
    <row r="15536" spans="13:16">
      <c r="M15536" s="49">
        <f>IF($A$4+155&gt;$B$4,"",$A$4+155)</f>
        <v>46178</v>
      </c>
      <c r="N15536" t="str">
        <f>IF(M15536="","",'Master Barang'!A30)</f>
        <v>PRL-029</v>
      </c>
      <c r="O15536" t="str">
        <f>IF(N15536="","",'Master Barang'!B30)</f>
        <v>ctik plastik 6x10 100 pcs</v>
      </c>
      <c r="P15536">
        <f>IF(OR(M15536="",N15536=""),"",SUMIFS('Barang Keluar'!$E:$E,'Barang Keluar'!$A:$A,M15536,'Barang Keluar'!$C:$C,N15536))</f>
        <v>0</v>
      </c>
    </row>
    <row r="15537" spans="13:16">
      <c r="M15537" s="49">
        <f>IF($A$4+155&gt;$B$4,"",$A$4+155)</f>
        <v>46178</v>
      </c>
      <c r="N15537" t="str">
        <f>IF(M15537="","",'Master Barang'!A31)</f>
        <v>PRL-030</v>
      </c>
      <c r="O15537" t="str">
        <f>IF(N15537="","",'Master Barang'!B31)</f>
        <v>klip plastik 25x16 100 pcs</v>
      </c>
      <c r="P15537">
        <f>IF(OR(M15537="",N15537=""),"",SUMIFS('Barang Keluar'!$E:$E,'Barang Keluar'!$A:$A,M15537,'Barang Keluar'!$C:$C,N15537))</f>
        <v>0</v>
      </c>
    </row>
    <row r="15538" spans="13:16">
      <c r="M15538" s="49">
        <f>IF($A$4+155&gt;$B$4,"",$A$4+155)</f>
        <v>46178</v>
      </c>
      <c r="N15538" t="str">
        <f>IF(M15538="","",'Master Barang'!A32)</f>
        <v>PRL-031</v>
      </c>
      <c r="O15538" t="str">
        <f>IF(N15538="","",'Master Barang'!B32)</f>
        <v>tempat saus 20 ml</v>
      </c>
      <c r="P15538">
        <f>IF(OR(M15538="",N15538=""),"",SUMIFS('Barang Keluar'!$E:$E,'Barang Keluar'!$A:$A,M15538,'Barang Keluar'!$C:$C,N15538))</f>
        <v>0</v>
      </c>
    </row>
    <row r="15539" spans="13:16">
      <c r="M15539" s="49">
        <f>IF($A$4+155&gt;$B$4,"",$A$4+155)</f>
        <v>46178</v>
      </c>
      <c r="N15539" t="str">
        <f>IF(M15539="","",'Master Barang'!A33)</f>
        <v>PRL-032</v>
      </c>
      <c r="O15539" t="str">
        <f>IF(N15539="","",'Master Barang'!B33)</f>
        <v>plastik packaging ag box uk sedang</v>
      </c>
      <c r="P15539">
        <f>IF(OR(M15539="",N15539=""),"",SUMIFS('Barang Keluar'!$E:$E,'Barang Keluar'!$A:$A,M15539,'Barang Keluar'!$C:$C,N15539))</f>
        <v>0</v>
      </c>
    </row>
    <row r="15540" spans="13:16">
      <c r="M15540" s="49">
        <f>IF($A$4+155&gt;$B$4,"",$A$4+155)</f>
        <v>46178</v>
      </c>
      <c r="N15540" t="str">
        <f>IF(M15540="","",'Master Barang'!A34)</f>
        <v>PRL-033</v>
      </c>
      <c r="O15540">
        <f>IF(N15540="","",'Master Barang'!B34)</f>
        <v>0</v>
      </c>
      <c r="P15540">
        <f>IF(OR(M15540="",N15540=""),"",SUMIFS('Barang Keluar'!$E:$E,'Barang Keluar'!$A:$A,M15540,'Barang Keluar'!$C:$C,N15540))</f>
        <v>0</v>
      </c>
    </row>
    <row r="15541" spans="13:16">
      <c r="M15541" s="49">
        <f>IF($A$4+155&gt;$B$4,"",$A$4+155)</f>
        <v>46178</v>
      </c>
      <c r="N15541">
        <f>IF(M15541="","",'Master Barang'!A35)</f>
        <v>0</v>
      </c>
      <c r="O15541">
        <f>IF(N15541="","",'Master Barang'!B35)</f>
        <v>0</v>
      </c>
      <c r="P15541">
        <f>IF(OR(M15541="",N15541=""),"",SUMIFS('Barang Keluar'!$E:$E,'Barang Keluar'!$A:$A,M15541,'Barang Keluar'!$C:$C,N15541))</f>
        <v>0</v>
      </c>
    </row>
    <row r="15542" spans="13:16">
      <c r="M15542" s="49">
        <f>IF($A$4+155&gt;$B$4,"",$A$4+155)</f>
        <v>46178</v>
      </c>
      <c r="N15542">
        <f>IF(M15542="","",'Master Barang'!A36)</f>
        <v>0</v>
      </c>
      <c r="O15542">
        <f>IF(N15542="","",'Master Barang'!B36)</f>
        <v>0</v>
      </c>
      <c r="P15542">
        <f>IF(OR(M15542="",N15542=""),"",SUMIFS('Barang Keluar'!$E:$E,'Barang Keluar'!$A:$A,M15542,'Barang Keluar'!$C:$C,N15542))</f>
        <v>0</v>
      </c>
    </row>
    <row r="15543" spans="13:16">
      <c r="M15543" s="49">
        <f>IF($A$4+155&gt;$B$4,"",$A$4+155)</f>
        <v>46178</v>
      </c>
      <c r="N15543">
        <f>IF(M15543="","",'Master Barang'!A37)</f>
        <v>0</v>
      </c>
      <c r="O15543">
        <f>IF(N15543="","",'Master Barang'!B37)</f>
        <v>0</v>
      </c>
      <c r="P15543">
        <f>IF(OR(M15543="",N15543=""),"",SUMIFS('Barang Keluar'!$E:$E,'Barang Keluar'!$A:$A,M15543,'Barang Keluar'!$C:$C,N15543))</f>
        <v>0</v>
      </c>
    </row>
    <row r="15544" spans="13:16">
      <c r="M15544" s="49">
        <f>IF($A$4+155&gt;$B$4,"",$A$4+155)</f>
        <v>46178</v>
      </c>
      <c r="N15544">
        <f>IF(M15544="","",'Master Barang'!A38)</f>
        <v>0</v>
      </c>
      <c r="O15544">
        <f>IF(N15544="","",'Master Barang'!B38)</f>
        <v>0</v>
      </c>
      <c r="P15544">
        <f>IF(OR(M15544="",N15544=""),"",SUMIFS('Barang Keluar'!$E:$E,'Barang Keluar'!$A:$A,M15544,'Barang Keluar'!$C:$C,N15544))</f>
        <v>0</v>
      </c>
    </row>
    <row r="15545" spans="13:16">
      <c r="M15545" s="49">
        <f>IF($A$4+155&gt;$B$4,"",$A$4+155)</f>
        <v>46178</v>
      </c>
      <c r="N15545">
        <f>IF(M15545="","",'Master Barang'!A39)</f>
        <v>0</v>
      </c>
      <c r="O15545">
        <f>IF(N15545="","",'Master Barang'!B39)</f>
        <v>0</v>
      </c>
      <c r="P15545">
        <f>IF(OR(M15545="",N15545=""),"",SUMIFS('Barang Keluar'!$E:$E,'Barang Keluar'!$A:$A,M15545,'Barang Keluar'!$C:$C,N15545))</f>
        <v>0</v>
      </c>
    </row>
    <row r="15546" spans="13:16">
      <c r="M15546" s="49">
        <f>IF($A$4+155&gt;$B$4,"",$A$4+155)</f>
        <v>46178</v>
      </c>
      <c r="N15546">
        <f>IF(M15546="","",'Master Barang'!A40)</f>
        <v>0</v>
      </c>
      <c r="O15546">
        <f>IF(N15546="","",'Master Barang'!B40)</f>
        <v>0</v>
      </c>
      <c r="P15546">
        <f>IF(OR(M15546="",N15546=""),"",SUMIFS('Barang Keluar'!$E:$E,'Barang Keluar'!$A:$A,M15546,'Barang Keluar'!$C:$C,N15546))</f>
        <v>0</v>
      </c>
    </row>
    <row r="15547" spans="13:16">
      <c r="M15547" s="49">
        <f>IF($A$4+155&gt;$B$4,"",$A$4+155)</f>
        <v>46178</v>
      </c>
      <c r="N15547">
        <f>IF(M15547="","",'Master Barang'!A41)</f>
        <v>0</v>
      </c>
      <c r="O15547">
        <f>IF(N15547="","",'Master Barang'!B41)</f>
        <v>0</v>
      </c>
      <c r="P15547">
        <f>IF(OR(M15547="",N15547=""),"",SUMIFS('Barang Keluar'!$E:$E,'Barang Keluar'!$A:$A,M15547,'Barang Keluar'!$C:$C,N15547))</f>
        <v>0</v>
      </c>
    </row>
    <row r="15548" spans="13:16">
      <c r="M15548" s="49">
        <f>IF($A$4+155&gt;$B$4,"",$A$4+155)</f>
        <v>46178</v>
      </c>
      <c r="N15548">
        <f>IF(M15548="","",'Master Barang'!A42)</f>
        <v>0</v>
      </c>
      <c r="O15548">
        <f>IF(N15548="","",'Master Barang'!B42)</f>
        <v>0</v>
      </c>
      <c r="P15548">
        <f>IF(OR(M15548="",N15548=""),"",SUMIFS('Barang Keluar'!$E:$E,'Barang Keluar'!$A:$A,M15548,'Barang Keluar'!$C:$C,N15548))</f>
        <v>0</v>
      </c>
    </row>
    <row r="15549" spans="13:16">
      <c r="M15549" s="49">
        <f>IF($A$4+155&gt;$B$4,"",$A$4+155)</f>
        <v>46178</v>
      </c>
      <c r="N15549">
        <f>IF(M15549="","",'Master Barang'!A43)</f>
        <v>0</v>
      </c>
      <c r="O15549">
        <f>IF(N15549="","",'Master Barang'!B43)</f>
        <v>0</v>
      </c>
      <c r="P15549">
        <f>IF(OR(M15549="",N15549=""),"",SUMIFS('Barang Keluar'!$E:$E,'Barang Keluar'!$A:$A,M15549,'Barang Keluar'!$C:$C,N15549))</f>
        <v>0</v>
      </c>
    </row>
    <row r="15550" spans="13:16">
      <c r="M15550" s="49">
        <f>IF($A$4+155&gt;$B$4,"",$A$4+155)</f>
        <v>46178</v>
      </c>
      <c r="N15550">
        <f>IF(M15550="","",'Master Barang'!A44)</f>
        <v>0</v>
      </c>
      <c r="O15550">
        <f>IF(N15550="","",'Master Barang'!B44)</f>
        <v>0</v>
      </c>
      <c r="P15550">
        <f>IF(OR(M15550="",N15550=""),"",SUMIFS('Barang Keluar'!$E:$E,'Barang Keluar'!$A:$A,M15550,'Barang Keluar'!$C:$C,N15550))</f>
        <v>0</v>
      </c>
    </row>
    <row r="15551" spans="13:16">
      <c r="M15551" s="49">
        <f>IF($A$4+155&gt;$B$4,"",$A$4+155)</f>
        <v>46178</v>
      </c>
      <c r="N15551">
        <f>IF(M15551="","",'Master Barang'!A45)</f>
        <v>0</v>
      </c>
      <c r="O15551">
        <f>IF(N15551="","",'Master Barang'!B45)</f>
        <v>0</v>
      </c>
      <c r="P15551">
        <f>IF(OR(M15551="",N15551=""),"",SUMIFS('Barang Keluar'!$E:$E,'Barang Keluar'!$A:$A,M15551,'Barang Keluar'!$C:$C,N15551))</f>
        <v>0</v>
      </c>
    </row>
    <row r="15552" spans="13:16">
      <c r="M15552" s="49">
        <f>IF($A$4+155&gt;$B$4,"",$A$4+155)</f>
        <v>46178</v>
      </c>
      <c r="N15552">
        <f>IF(M15552="","",'Master Barang'!A46)</f>
        <v>0</v>
      </c>
      <c r="O15552">
        <f>IF(N15552="","",'Master Barang'!B46)</f>
        <v>0</v>
      </c>
      <c r="P15552">
        <f>IF(OR(M15552="",N15552=""),"",SUMIFS('Barang Keluar'!$E:$E,'Barang Keluar'!$A:$A,M15552,'Barang Keluar'!$C:$C,N15552))</f>
        <v>0</v>
      </c>
    </row>
    <row r="15553" spans="13:16">
      <c r="M15553" s="49">
        <f>IF($A$4+155&gt;$B$4,"",$A$4+155)</f>
        <v>46178</v>
      </c>
      <c r="N15553">
        <f>IF(M15553="","",'Master Barang'!A47)</f>
        <v>0</v>
      </c>
      <c r="O15553">
        <f>IF(N15553="","",'Master Barang'!B47)</f>
        <v>0</v>
      </c>
      <c r="P15553">
        <f>IF(OR(M15553="",N15553=""),"",SUMIFS('Barang Keluar'!$E:$E,'Barang Keluar'!$A:$A,M15553,'Barang Keluar'!$C:$C,N15553))</f>
        <v>0</v>
      </c>
    </row>
    <row r="15554" spans="13:16">
      <c r="M15554" s="49">
        <f>IF($A$4+155&gt;$B$4,"",$A$4+155)</f>
        <v>46178</v>
      </c>
      <c r="N15554">
        <f>IF(M15554="","",'Master Barang'!A48)</f>
        <v>0</v>
      </c>
      <c r="O15554">
        <f>IF(N15554="","",'Master Barang'!B48)</f>
        <v>0</v>
      </c>
      <c r="P15554">
        <f>IF(OR(M15554="",N15554=""),"",SUMIFS('Barang Keluar'!$E:$E,'Barang Keluar'!$A:$A,M15554,'Barang Keluar'!$C:$C,N15554))</f>
        <v>0</v>
      </c>
    </row>
    <row r="15555" spans="13:16">
      <c r="M15555" s="49">
        <f>IF($A$4+155&gt;$B$4,"",$A$4+155)</f>
        <v>46178</v>
      </c>
      <c r="N15555">
        <f>IF(M15555="","",'Master Barang'!A49)</f>
        <v>0</v>
      </c>
      <c r="O15555">
        <f>IF(N15555="","",'Master Barang'!B49)</f>
        <v>0</v>
      </c>
      <c r="P15555">
        <f>IF(OR(M15555="",N15555=""),"",SUMIFS('Barang Keluar'!$E:$E,'Barang Keluar'!$A:$A,M15555,'Barang Keluar'!$C:$C,N15555))</f>
        <v>0</v>
      </c>
    </row>
    <row r="15556" spans="13:16">
      <c r="M15556" s="49">
        <f>IF($A$4+155&gt;$B$4,"",$A$4+155)</f>
        <v>46178</v>
      </c>
      <c r="N15556">
        <f>IF(M15556="","",'Master Barang'!A50)</f>
        <v>0</v>
      </c>
      <c r="O15556">
        <f>IF(N15556="","",'Master Barang'!B50)</f>
        <v>0</v>
      </c>
      <c r="P15556">
        <f>IF(OR(M15556="",N15556=""),"",SUMIFS('Barang Keluar'!$E:$E,'Barang Keluar'!$A:$A,M15556,'Barang Keluar'!$C:$C,N15556))</f>
        <v>0</v>
      </c>
    </row>
    <row r="15557" spans="13:16">
      <c r="M15557" s="49">
        <f>IF($A$4+155&gt;$B$4,"",$A$4+155)</f>
        <v>46178</v>
      </c>
      <c r="N15557">
        <f>IF(M15557="","",'Master Barang'!A51)</f>
        <v>0</v>
      </c>
      <c r="O15557">
        <f>IF(N15557="","",'Master Barang'!B51)</f>
        <v>0</v>
      </c>
      <c r="P15557">
        <f>IF(OR(M15557="",N15557=""),"",SUMIFS('Barang Keluar'!$E:$E,'Barang Keluar'!$A:$A,M15557,'Barang Keluar'!$C:$C,N15557))</f>
        <v>0</v>
      </c>
    </row>
    <row r="15558" spans="13:16">
      <c r="M15558" s="49">
        <f>IF($A$4+155&gt;$B$4,"",$A$4+155)</f>
        <v>46178</v>
      </c>
      <c r="N15558">
        <f>IF(M15558="","",'Master Barang'!A52)</f>
        <v>0</v>
      </c>
      <c r="O15558">
        <f>IF(N15558="","",'Master Barang'!B52)</f>
        <v>0</v>
      </c>
      <c r="P15558">
        <f>IF(OR(M15558="",N15558=""),"",SUMIFS('Barang Keluar'!$E:$E,'Barang Keluar'!$A:$A,M15558,'Barang Keluar'!$C:$C,N15558))</f>
        <v>0</v>
      </c>
    </row>
    <row r="15559" spans="13:16">
      <c r="M15559" s="49">
        <f>IF($A$4+155&gt;$B$4,"",$A$4+155)</f>
        <v>46178</v>
      </c>
      <c r="N15559">
        <f>IF(M15559="","",'Master Barang'!A53)</f>
        <v>0</v>
      </c>
      <c r="O15559">
        <f>IF(N15559="","",'Master Barang'!B53)</f>
        <v>0</v>
      </c>
      <c r="P15559">
        <f>IF(OR(M15559="",N15559=""),"",SUMIFS('Barang Keluar'!$E:$E,'Barang Keluar'!$A:$A,M15559,'Barang Keluar'!$C:$C,N15559))</f>
        <v>0</v>
      </c>
    </row>
    <row r="15560" spans="13:16">
      <c r="M15560" s="49">
        <f>IF($A$4+155&gt;$B$4,"",$A$4+155)</f>
        <v>46178</v>
      </c>
      <c r="N15560">
        <f>IF(M15560="","",'Master Barang'!A54)</f>
        <v>0</v>
      </c>
      <c r="O15560">
        <f>IF(N15560="","",'Master Barang'!B54)</f>
        <v>0</v>
      </c>
      <c r="P15560">
        <f>IF(OR(M15560="",N15560=""),"",SUMIFS('Barang Keluar'!$E:$E,'Barang Keluar'!$A:$A,M15560,'Barang Keluar'!$C:$C,N15560))</f>
        <v>0</v>
      </c>
    </row>
    <row r="15561" spans="13:16">
      <c r="M15561" s="49">
        <f>IF($A$4+155&gt;$B$4,"",$A$4+155)</f>
        <v>46178</v>
      </c>
      <c r="N15561">
        <f>IF(M15561="","",'Master Barang'!A55)</f>
        <v>0</v>
      </c>
      <c r="O15561">
        <f>IF(N15561="","",'Master Barang'!B55)</f>
        <v>0</v>
      </c>
      <c r="P15561">
        <f>IF(OR(M15561="",N15561=""),"",SUMIFS('Barang Keluar'!$E:$E,'Barang Keluar'!$A:$A,M15561,'Barang Keluar'!$C:$C,N15561))</f>
        <v>0</v>
      </c>
    </row>
    <row r="15562" spans="13:16">
      <c r="M15562" s="49">
        <f>IF($A$4+155&gt;$B$4,"",$A$4+155)</f>
        <v>46178</v>
      </c>
      <c r="N15562">
        <f>IF(M15562="","",'Master Barang'!A56)</f>
        <v>0</v>
      </c>
      <c r="O15562">
        <f>IF(N15562="","",'Master Barang'!B56)</f>
        <v>0</v>
      </c>
      <c r="P15562">
        <f>IF(OR(M15562="",N15562=""),"",SUMIFS('Barang Keluar'!$E:$E,'Barang Keluar'!$A:$A,M15562,'Barang Keluar'!$C:$C,N15562))</f>
        <v>0</v>
      </c>
    </row>
    <row r="15563" spans="13:16">
      <c r="M15563" s="49">
        <f>IF($A$4+155&gt;$B$4,"",$A$4+155)</f>
        <v>46178</v>
      </c>
      <c r="N15563">
        <f>IF(M15563="","",'Master Barang'!A57)</f>
        <v>0</v>
      </c>
      <c r="O15563">
        <f>IF(N15563="","",'Master Barang'!B57)</f>
        <v>0</v>
      </c>
      <c r="P15563">
        <f>IF(OR(M15563="",N15563=""),"",SUMIFS('Barang Keluar'!$E:$E,'Barang Keluar'!$A:$A,M15563,'Barang Keluar'!$C:$C,N15563))</f>
        <v>0</v>
      </c>
    </row>
    <row r="15564" spans="13:16">
      <c r="M15564" s="49">
        <f>IF($A$4+155&gt;$B$4,"",$A$4+155)</f>
        <v>46178</v>
      </c>
      <c r="N15564">
        <f>IF(M15564="","",'Master Barang'!A58)</f>
        <v>0</v>
      </c>
      <c r="O15564">
        <f>IF(N15564="","",'Master Barang'!B58)</f>
        <v>0</v>
      </c>
      <c r="P15564">
        <f>IF(OR(M15564="",N15564=""),"",SUMIFS('Barang Keluar'!$E:$E,'Barang Keluar'!$A:$A,M15564,'Barang Keluar'!$C:$C,N15564))</f>
        <v>0</v>
      </c>
    </row>
    <row r="15565" spans="13:16">
      <c r="M15565" s="49">
        <f>IF($A$4+155&gt;$B$4,"",$A$4+155)</f>
        <v>46178</v>
      </c>
      <c r="N15565">
        <f>IF(M15565="","",'Master Barang'!A59)</f>
        <v>0</v>
      </c>
      <c r="O15565">
        <f>IF(N15565="","",'Master Barang'!B59)</f>
        <v>0</v>
      </c>
      <c r="P15565">
        <f>IF(OR(M15565="",N15565=""),"",SUMIFS('Barang Keluar'!$E:$E,'Barang Keluar'!$A:$A,M15565,'Barang Keluar'!$C:$C,N15565))</f>
        <v>0</v>
      </c>
    </row>
    <row r="15566" spans="13:16">
      <c r="M15566" s="49">
        <f>IF($A$4+155&gt;$B$4,"",$A$4+155)</f>
        <v>46178</v>
      </c>
      <c r="N15566">
        <f>IF(M15566="","",'Master Barang'!A60)</f>
        <v>0</v>
      </c>
      <c r="O15566">
        <f>IF(N15566="","",'Master Barang'!B60)</f>
        <v>0</v>
      </c>
      <c r="P15566">
        <f>IF(OR(M15566="",N15566=""),"",SUMIFS('Barang Keluar'!$E:$E,'Barang Keluar'!$A:$A,M15566,'Barang Keluar'!$C:$C,N15566))</f>
        <v>0</v>
      </c>
    </row>
    <row r="15567" spans="13:16">
      <c r="M15567" s="49">
        <f>IF($A$4+155&gt;$B$4,"",$A$4+155)</f>
        <v>46178</v>
      </c>
      <c r="N15567">
        <f>IF(M15567="","",'Master Barang'!A61)</f>
        <v>0</v>
      </c>
      <c r="O15567">
        <f>IF(N15567="","",'Master Barang'!B61)</f>
        <v>0</v>
      </c>
      <c r="P15567">
        <f>IF(OR(M15567="",N15567=""),"",SUMIFS('Barang Keluar'!$E:$E,'Barang Keluar'!$A:$A,M15567,'Barang Keluar'!$C:$C,N15567))</f>
        <v>0</v>
      </c>
    </row>
    <row r="15568" spans="13:16">
      <c r="M15568" s="49">
        <f>IF($A$4+155&gt;$B$4,"",$A$4+155)</f>
        <v>46178</v>
      </c>
      <c r="N15568">
        <f>IF(M15568="","",'Master Barang'!A62)</f>
        <v>0</v>
      </c>
      <c r="O15568">
        <f>IF(N15568="","",'Master Barang'!B62)</f>
        <v>0</v>
      </c>
      <c r="P15568">
        <f>IF(OR(M15568="",N15568=""),"",SUMIFS('Barang Keluar'!$E:$E,'Barang Keluar'!$A:$A,M15568,'Barang Keluar'!$C:$C,N15568))</f>
        <v>0</v>
      </c>
    </row>
    <row r="15569" spans="13:16">
      <c r="M15569" s="49">
        <f>IF($A$4+155&gt;$B$4,"",$A$4+155)</f>
        <v>46178</v>
      </c>
      <c r="N15569">
        <f>IF(M15569="","",'Master Barang'!A63)</f>
        <v>0</v>
      </c>
      <c r="O15569">
        <f>IF(N15569="","",'Master Barang'!B63)</f>
        <v>0</v>
      </c>
      <c r="P15569">
        <f>IF(OR(M15569="",N15569=""),"",SUMIFS('Barang Keluar'!$E:$E,'Barang Keluar'!$A:$A,M15569,'Barang Keluar'!$C:$C,N15569))</f>
        <v>0</v>
      </c>
    </row>
    <row r="15570" spans="13:16">
      <c r="M15570" s="49">
        <f>IF($A$4+155&gt;$B$4,"",$A$4+155)</f>
        <v>46178</v>
      </c>
      <c r="N15570">
        <f>IF(M15570="","",'Master Barang'!A64)</f>
        <v>0</v>
      </c>
      <c r="O15570">
        <f>IF(N15570="","",'Master Barang'!B64)</f>
        <v>0</v>
      </c>
      <c r="P15570">
        <f>IF(OR(M15570="",N15570=""),"",SUMIFS('Barang Keluar'!$E:$E,'Barang Keluar'!$A:$A,M15570,'Barang Keluar'!$C:$C,N15570))</f>
        <v>0</v>
      </c>
    </row>
    <row r="15571" spans="13:16">
      <c r="M15571" s="49">
        <f>IF($A$4+155&gt;$B$4,"",$A$4+155)</f>
        <v>46178</v>
      </c>
      <c r="N15571">
        <f>IF(M15571="","",'Master Barang'!A65)</f>
        <v>0</v>
      </c>
      <c r="O15571">
        <f>IF(N15571="","",'Master Barang'!B65)</f>
        <v>0</v>
      </c>
      <c r="P15571">
        <f>IF(OR(M15571="",N15571=""),"",SUMIFS('Barang Keluar'!$E:$E,'Barang Keluar'!$A:$A,M15571,'Barang Keluar'!$C:$C,N15571))</f>
        <v>0</v>
      </c>
    </row>
    <row r="15572" spans="13:16">
      <c r="M15572" s="49">
        <f>IF($A$4+155&gt;$B$4,"",$A$4+155)</f>
        <v>46178</v>
      </c>
      <c r="N15572">
        <f>IF(M15572="","",'Master Barang'!A66)</f>
        <v>0</v>
      </c>
      <c r="O15572">
        <f>IF(N15572="","",'Master Barang'!B66)</f>
        <v>0</v>
      </c>
      <c r="P15572">
        <f>IF(OR(M15572="",N15572=""),"",SUMIFS('Barang Keluar'!$E:$E,'Barang Keluar'!$A:$A,M15572,'Barang Keluar'!$C:$C,N15572))</f>
        <v>0</v>
      </c>
    </row>
    <row r="15573" spans="13:16">
      <c r="M15573" s="49">
        <f>IF($A$4+155&gt;$B$4,"",$A$4+155)</f>
        <v>46178</v>
      </c>
      <c r="N15573">
        <f>IF(M15573="","",'Master Barang'!A67)</f>
        <v>0</v>
      </c>
      <c r="O15573">
        <f>IF(N15573="","",'Master Barang'!B67)</f>
        <v>0</v>
      </c>
      <c r="P15573">
        <f>IF(OR(M15573="",N15573=""),"",SUMIFS('Barang Keluar'!$E:$E,'Barang Keluar'!$A:$A,M15573,'Barang Keluar'!$C:$C,N15573))</f>
        <v>0</v>
      </c>
    </row>
    <row r="15574" spans="13:16">
      <c r="M15574" s="49">
        <f>IF($A$4+155&gt;$B$4,"",$A$4+155)</f>
        <v>46178</v>
      </c>
      <c r="N15574">
        <f>IF(M15574="","",'Master Barang'!A68)</f>
        <v>0</v>
      </c>
      <c r="O15574">
        <f>IF(N15574="","",'Master Barang'!B68)</f>
        <v>0</v>
      </c>
      <c r="P15574">
        <f>IF(OR(M15574="",N15574=""),"",SUMIFS('Barang Keluar'!$E:$E,'Barang Keluar'!$A:$A,M15574,'Barang Keluar'!$C:$C,N15574))</f>
        <v>0</v>
      </c>
    </row>
    <row r="15575" spans="13:16">
      <c r="M15575" s="49">
        <f>IF($A$4+155&gt;$B$4,"",$A$4+155)</f>
        <v>46178</v>
      </c>
      <c r="N15575">
        <f>IF(M15575="","",'Master Barang'!A69)</f>
        <v>0</v>
      </c>
      <c r="O15575">
        <f>IF(N15575="","",'Master Barang'!B69)</f>
        <v>0</v>
      </c>
      <c r="P15575">
        <f>IF(OR(M15575="",N15575=""),"",SUMIFS('Barang Keluar'!$E:$E,'Barang Keluar'!$A:$A,M15575,'Barang Keluar'!$C:$C,N15575))</f>
        <v>0</v>
      </c>
    </row>
    <row r="15576" spans="13:16">
      <c r="M15576" s="49">
        <f>IF($A$4+155&gt;$B$4,"",$A$4+155)</f>
        <v>46178</v>
      </c>
      <c r="N15576">
        <f>IF(M15576="","",'Master Barang'!A70)</f>
        <v>0</v>
      </c>
      <c r="O15576">
        <f>IF(N15576="","",'Master Barang'!B70)</f>
        <v>0</v>
      </c>
      <c r="P15576">
        <f>IF(OR(M15576="",N15576=""),"",SUMIFS('Barang Keluar'!$E:$E,'Barang Keluar'!$A:$A,M15576,'Barang Keluar'!$C:$C,N15576))</f>
        <v>0</v>
      </c>
    </row>
    <row r="15577" spans="13:16">
      <c r="M15577" s="49">
        <f>IF($A$4+155&gt;$B$4,"",$A$4+155)</f>
        <v>46178</v>
      </c>
      <c r="N15577">
        <f>IF(M15577="","",'Master Barang'!A71)</f>
        <v>0</v>
      </c>
      <c r="O15577">
        <f>IF(N15577="","",'Master Barang'!B71)</f>
        <v>0</v>
      </c>
      <c r="P15577">
        <f>IF(OR(M15577="",N15577=""),"",SUMIFS('Barang Keluar'!$E:$E,'Barang Keluar'!$A:$A,M15577,'Barang Keluar'!$C:$C,N15577))</f>
        <v>0</v>
      </c>
    </row>
    <row r="15578" spans="13:16">
      <c r="M15578" s="49">
        <f>IF($A$4+155&gt;$B$4,"",$A$4+155)</f>
        <v>46178</v>
      </c>
      <c r="N15578">
        <f>IF(M15578="","",'Master Barang'!A72)</f>
        <v>0</v>
      </c>
      <c r="O15578">
        <f>IF(N15578="","",'Master Barang'!B72)</f>
        <v>0</v>
      </c>
      <c r="P15578">
        <f>IF(OR(M15578="",N15578=""),"",SUMIFS('Barang Keluar'!$E:$E,'Barang Keluar'!$A:$A,M15578,'Barang Keluar'!$C:$C,N15578))</f>
        <v>0</v>
      </c>
    </row>
    <row r="15579" spans="13:16">
      <c r="M15579" s="49">
        <f>IF($A$4+155&gt;$B$4,"",$A$4+155)</f>
        <v>46178</v>
      </c>
      <c r="N15579">
        <f>IF(M15579="","",'Master Barang'!A73)</f>
        <v>0</v>
      </c>
      <c r="O15579">
        <f>IF(N15579="","",'Master Barang'!B73)</f>
        <v>0</v>
      </c>
      <c r="P15579">
        <f>IF(OR(M15579="",N15579=""),"",SUMIFS('Barang Keluar'!$E:$E,'Barang Keluar'!$A:$A,M15579,'Barang Keluar'!$C:$C,N15579))</f>
        <v>0</v>
      </c>
    </row>
    <row r="15580" spans="13:16">
      <c r="M15580" s="49">
        <f>IF($A$4+155&gt;$B$4,"",$A$4+155)</f>
        <v>46178</v>
      </c>
      <c r="N15580">
        <f>IF(M15580="","",'Master Barang'!A74)</f>
        <v>0</v>
      </c>
      <c r="O15580">
        <f>IF(N15580="","",'Master Barang'!B74)</f>
        <v>0</v>
      </c>
      <c r="P15580">
        <f>IF(OR(M15580="",N15580=""),"",SUMIFS('Barang Keluar'!$E:$E,'Barang Keluar'!$A:$A,M15580,'Barang Keluar'!$C:$C,N15580))</f>
        <v>0</v>
      </c>
    </row>
    <row r="15581" spans="13:16">
      <c r="M15581" s="49">
        <f>IF($A$4+155&gt;$B$4,"",$A$4+155)</f>
        <v>46178</v>
      </c>
      <c r="N15581">
        <f>IF(M15581="","",'Master Barang'!A75)</f>
        <v>0</v>
      </c>
      <c r="O15581">
        <f>IF(N15581="","",'Master Barang'!B75)</f>
        <v>0</v>
      </c>
      <c r="P15581">
        <f>IF(OR(M15581="",N15581=""),"",SUMIFS('Barang Keluar'!$E:$E,'Barang Keluar'!$A:$A,M15581,'Barang Keluar'!$C:$C,N15581))</f>
        <v>0</v>
      </c>
    </row>
    <row r="15582" spans="13:16">
      <c r="M15582" s="49">
        <f>IF($A$4+155&gt;$B$4,"",$A$4+155)</f>
        <v>46178</v>
      </c>
      <c r="N15582">
        <f>IF(M15582="","",'Master Barang'!A76)</f>
        <v>0</v>
      </c>
      <c r="O15582">
        <f>IF(N15582="","",'Master Barang'!B76)</f>
        <v>0</v>
      </c>
      <c r="P15582">
        <f>IF(OR(M15582="",N15582=""),"",SUMIFS('Barang Keluar'!$E:$E,'Barang Keluar'!$A:$A,M15582,'Barang Keluar'!$C:$C,N15582))</f>
        <v>0</v>
      </c>
    </row>
    <row r="15583" spans="13:16">
      <c r="M15583" s="49">
        <f>IF($A$4+155&gt;$B$4,"",$A$4+155)</f>
        <v>46178</v>
      </c>
      <c r="N15583">
        <f>IF(M15583="","",'Master Barang'!A77)</f>
        <v>0</v>
      </c>
      <c r="O15583">
        <f>IF(N15583="","",'Master Barang'!B77)</f>
        <v>0</v>
      </c>
      <c r="P15583">
        <f>IF(OR(M15583="",N15583=""),"",SUMIFS('Barang Keluar'!$E:$E,'Barang Keluar'!$A:$A,M15583,'Barang Keluar'!$C:$C,N15583))</f>
        <v>0</v>
      </c>
    </row>
    <row r="15584" spans="13:16">
      <c r="M15584" s="49">
        <f>IF($A$4+155&gt;$B$4,"",$A$4+155)</f>
        <v>46178</v>
      </c>
      <c r="N15584">
        <f>IF(M15584="","",'Master Barang'!A78)</f>
        <v>0</v>
      </c>
      <c r="O15584">
        <f>IF(N15584="","",'Master Barang'!B78)</f>
        <v>0</v>
      </c>
      <c r="P15584">
        <f>IF(OR(M15584="",N15584=""),"",SUMIFS('Barang Keluar'!$E:$E,'Barang Keluar'!$A:$A,M15584,'Barang Keluar'!$C:$C,N15584))</f>
        <v>0</v>
      </c>
    </row>
    <row r="15585" spans="13:16">
      <c r="M15585" s="49">
        <f>IF($A$4+155&gt;$B$4,"",$A$4+155)</f>
        <v>46178</v>
      </c>
      <c r="N15585">
        <f>IF(M15585="","",'Master Barang'!A79)</f>
        <v>0</v>
      </c>
      <c r="O15585">
        <f>IF(N15585="","",'Master Barang'!B79)</f>
        <v>0</v>
      </c>
      <c r="P15585">
        <f>IF(OR(M15585="",N15585=""),"",SUMIFS('Barang Keluar'!$E:$E,'Barang Keluar'!$A:$A,M15585,'Barang Keluar'!$C:$C,N15585))</f>
        <v>0</v>
      </c>
    </row>
    <row r="15586" spans="13:16">
      <c r="M15586" s="49">
        <f>IF($A$4+155&gt;$B$4,"",$A$4+155)</f>
        <v>46178</v>
      </c>
      <c r="N15586">
        <f>IF(M15586="","",'Master Barang'!A80)</f>
        <v>0</v>
      </c>
      <c r="O15586">
        <f>IF(N15586="","",'Master Barang'!B80)</f>
        <v>0</v>
      </c>
      <c r="P15586">
        <f>IF(OR(M15586="",N15586=""),"",SUMIFS('Barang Keluar'!$E:$E,'Barang Keluar'!$A:$A,M15586,'Barang Keluar'!$C:$C,N15586))</f>
        <v>0</v>
      </c>
    </row>
    <row r="15587" spans="13:16">
      <c r="M15587" s="49">
        <f>IF($A$4+155&gt;$B$4,"",$A$4+155)</f>
        <v>46178</v>
      </c>
      <c r="N15587">
        <f>IF(M15587="","",'Master Barang'!A81)</f>
        <v>0</v>
      </c>
      <c r="O15587">
        <f>IF(N15587="","",'Master Barang'!B81)</f>
        <v>0</v>
      </c>
      <c r="P15587">
        <f>IF(OR(M15587="",N15587=""),"",SUMIFS('Barang Keluar'!$E:$E,'Barang Keluar'!$A:$A,M15587,'Barang Keluar'!$C:$C,N15587))</f>
        <v>0</v>
      </c>
    </row>
    <row r="15588" spans="13:16">
      <c r="M15588" s="49">
        <f>IF($A$4+155&gt;$B$4,"",$A$4+155)</f>
        <v>46178</v>
      </c>
      <c r="N15588">
        <f>IF(M15588="","",'Master Barang'!A82)</f>
        <v>0</v>
      </c>
      <c r="O15588">
        <f>IF(N15588="","",'Master Barang'!B82)</f>
        <v>0</v>
      </c>
      <c r="P15588">
        <f>IF(OR(M15588="",N15588=""),"",SUMIFS('Barang Keluar'!$E:$E,'Barang Keluar'!$A:$A,M15588,'Barang Keluar'!$C:$C,N15588))</f>
        <v>0</v>
      </c>
    </row>
    <row r="15589" spans="13:16">
      <c r="M15589" s="49">
        <f>IF($A$4+155&gt;$B$4,"",$A$4+155)</f>
        <v>46178</v>
      </c>
      <c r="N15589">
        <f>IF(M15589="","",'Master Barang'!A83)</f>
        <v>0</v>
      </c>
      <c r="O15589">
        <f>IF(N15589="","",'Master Barang'!B83)</f>
        <v>0</v>
      </c>
      <c r="P15589">
        <f>IF(OR(M15589="",N15589=""),"",SUMIFS('Barang Keluar'!$E:$E,'Barang Keluar'!$A:$A,M15589,'Barang Keluar'!$C:$C,N15589))</f>
        <v>0</v>
      </c>
    </row>
    <row r="15590" spans="13:16">
      <c r="M15590" s="49">
        <f>IF($A$4+155&gt;$B$4,"",$A$4+155)</f>
        <v>46178</v>
      </c>
      <c r="N15590">
        <f>IF(M15590="","",'Master Barang'!A84)</f>
        <v>0</v>
      </c>
      <c r="O15590">
        <f>IF(N15590="","",'Master Barang'!B84)</f>
        <v>0</v>
      </c>
      <c r="P15590">
        <f>IF(OR(M15590="",N15590=""),"",SUMIFS('Barang Keluar'!$E:$E,'Barang Keluar'!$A:$A,M15590,'Barang Keluar'!$C:$C,N15590))</f>
        <v>0</v>
      </c>
    </row>
    <row r="15591" spans="13:16">
      <c r="M15591" s="49">
        <f>IF($A$4+155&gt;$B$4,"",$A$4+155)</f>
        <v>46178</v>
      </c>
      <c r="N15591">
        <f>IF(M15591="","",'Master Barang'!A85)</f>
        <v>0</v>
      </c>
      <c r="O15591">
        <f>IF(N15591="","",'Master Barang'!B85)</f>
        <v>0</v>
      </c>
      <c r="P15591">
        <f>IF(OR(M15591="",N15591=""),"",SUMIFS('Barang Keluar'!$E:$E,'Barang Keluar'!$A:$A,M15591,'Barang Keluar'!$C:$C,N15591))</f>
        <v>0</v>
      </c>
    </row>
    <row r="15592" spans="13:16">
      <c r="M15592" s="49">
        <f>IF($A$4+155&gt;$B$4,"",$A$4+155)</f>
        <v>46178</v>
      </c>
      <c r="N15592">
        <f>IF(M15592="","",'Master Barang'!A86)</f>
        <v>0</v>
      </c>
      <c r="O15592">
        <f>IF(N15592="","",'Master Barang'!B86)</f>
        <v>0</v>
      </c>
      <c r="P15592">
        <f>IF(OR(M15592="",N15592=""),"",SUMIFS('Barang Keluar'!$E:$E,'Barang Keluar'!$A:$A,M15592,'Barang Keluar'!$C:$C,N15592))</f>
        <v>0</v>
      </c>
    </row>
    <row r="15593" spans="13:16">
      <c r="M15593" s="49">
        <f>IF($A$4+155&gt;$B$4,"",$A$4+155)</f>
        <v>46178</v>
      </c>
      <c r="N15593">
        <f>IF(M15593="","",'Master Barang'!A87)</f>
        <v>0</v>
      </c>
      <c r="O15593">
        <f>IF(N15593="","",'Master Barang'!B87)</f>
        <v>0</v>
      </c>
      <c r="P15593">
        <f>IF(OR(M15593="",N15593=""),"",SUMIFS('Barang Keluar'!$E:$E,'Barang Keluar'!$A:$A,M15593,'Barang Keluar'!$C:$C,N15593))</f>
        <v>0</v>
      </c>
    </row>
    <row r="15594" spans="13:16">
      <c r="M15594" s="49">
        <f>IF($A$4+155&gt;$B$4,"",$A$4+155)</f>
        <v>46178</v>
      </c>
      <c r="N15594">
        <f>IF(M15594="","",'Master Barang'!A88)</f>
        <v>0</v>
      </c>
      <c r="O15594">
        <f>IF(N15594="","",'Master Barang'!B88)</f>
        <v>0</v>
      </c>
      <c r="P15594">
        <f>IF(OR(M15594="",N15594=""),"",SUMIFS('Barang Keluar'!$E:$E,'Barang Keluar'!$A:$A,M15594,'Barang Keluar'!$C:$C,N15594))</f>
        <v>0</v>
      </c>
    </row>
    <row r="15595" spans="13:16">
      <c r="M15595" s="49">
        <f>IF($A$4+155&gt;$B$4,"",$A$4+155)</f>
        <v>46178</v>
      </c>
      <c r="N15595">
        <f>IF(M15595="","",'Master Barang'!A89)</f>
        <v>0</v>
      </c>
      <c r="O15595">
        <f>IF(N15595="","",'Master Barang'!B89)</f>
        <v>0</v>
      </c>
      <c r="P15595">
        <f>IF(OR(M15595="",N15595=""),"",SUMIFS('Barang Keluar'!$E:$E,'Barang Keluar'!$A:$A,M15595,'Barang Keluar'!$C:$C,N15595))</f>
        <v>0</v>
      </c>
    </row>
    <row r="15596" spans="13:16">
      <c r="M15596" s="49">
        <f>IF($A$4+155&gt;$B$4,"",$A$4+155)</f>
        <v>46178</v>
      </c>
      <c r="N15596">
        <f>IF(M15596="","",'Master Barang'!A90)</f>
        <v>0</v>
      </c>
      <c r="O15596">
        <f>IF(N15596="","",'Master Barang'!B90)</f>
        <v>0</v>
      </c>
      <c r="P15596">
        <f>IF(OR(M15596="",N15596=""),"",SUMIFS('Barang Keluar'!$E:$E,'Barang Keluar'!$A:$A,M15596,'Barang Keluar'!$C:$C,N15596))</f>
        <v>0</v>
      </c>
    </row>
    <row r="15597" spans="13:16">
      <c r="M15597" s="49">
        <f>IF($A$4+155&gt;$B$4,"",$A$4+155)</f>
        <v>46178</v>
      </c>
      <c r="N15597">
        <f>IF(M15597="","",'Master Barang'!A91)</f>
        <v>0</v>
      </c>
      <c r="O15597">
        <f>IF(N15597="","",'Master Barang'!B91)</f>
        <v>0</v>
      </c>
      <c r="P15597">
        <f>IF(OR(M15597="",N15597=""),"",SUMIFS('Barang Keluar'!$E:$E,'Barang Keluar'!$A:$A,M15597,'Barang Keluar'!$C:$C,N15597))</f>
        <v>0</v>
      </c>
    </row>
    <row r="15598" spans="13:16">
      <c r="M15598" s="49">
        <f>IF($A$4+155&gt;$B$4,"",$A$4+155)</f>
        <v>46178</v>
      </c>
      <c r="N15598">
        <f>IF(M15598="","",'Master Barang'!A92)</f>
        <v>0</v>
      </c>
      <c r="O15598">
        <f>IF(N15598="","",'Master Barang'!B92)</f>
        <v>0</v>
      </c>
      <c r="P15598">
        <f>IF(OR(M15598="",N15598=""),"",SUMIFS('Barang Keluar'!$E:$E,'Barang Keluar'!$A:$A,M15598,'Barang Keluar'!$C:$C,N15598))</f>
        <v>0</v>
      </c>
    </row>
    <row r="15599" spans="13:16">
      <c r="M15599" s="49">
        <f>IF($A$4+155&gt;$B$4,"",$A$4+155)</f>
        <v>46178</v>
      </c>
      <c r="N15599">
        <f>IF(M15599="","",'Master Barang'!A93)</f>
        <v>0</v>
      </c>
      <c r="O15599">
        <f>IF(N15599="","",'Master Barang'!B93)</f>
        <v>0</v>
      </c>
      <c r="P15599">
        <f>IF(OR(M15599="",N15599=""),"",SUMIFS('Barang Keluar'!$E:$E,'Barang Keluar'!$A:$A,M15599,'Barang Keluar'!$C:$C,N15599))</f>
        <v>0</v>
      </c>
    </row>
    <row r="15600" spans="13:16">
      <c r="M15600" s="49">
        <f>IF($A$4+155&gt;$B$4,"",$A$4+155)</f>
        <v>46178</v>
      </c>
      <c r="N15600">
        <f>IF(M15600="","",'Master Barang'!A94)</f>
        <v>0</v>
      </c>
      <c r="O15600">
        <f>IF(N15600="","",'Master Barang'!B94)</f>
        <v>0</v>
      </c>
      <c r="P15600">
        <f>IF(OR(M15600="",N15600=""),"",SUMIFS('Barang Keluar'!$E:$E,'Barang Keluar'!$A:$A,M15600,'Barang Keluar'!$C:$C,N15600))</f>
        <v>0</v>
      </c>
    </row>
    <row r="15601" spans="13:16">
      <c r="M15601" s="49">
        <f>IF($A$4+155&gt;$B$4,"",$A$4+155)</f>
        <v>46178</v>
      </c>
      <c r="N15601">
        <f>IF(M15601="","",'Master Barang'!A95)</f>
        <v>0</v>
      </c>
      <c r="O15601">
        <f>IF(N15601="","",'Master Barang'!B95)</f>
        <v>0</v>
      </c>
      <c r="P15601">
        <f>IF(OR(M15601="",N15601=""),"",SUMIFS('Barang Keluar'!$E:$E,'Barang Keluar'!$A:$A,M15601,'Barang Keluar'!$C:$C,N15601))</f>
        <v>0</v>
      </c>
    </row>
    <row r="15602" spans="13:16">
      <c r="M15602" s="49">
        <f>IF($A$4+155&gt;$B$4,"",$A$4+155)</f>
        <v>46178</v>
      </c>
      <c r="N15602">
        <f>IF(M15602="","",'Master Barang'!A96)</f>
        <v>0</v>
      </c>
      <c r="O15602">
        <f>IF(N15602="","",'Master Barang'!B96)</f>
        <v>0</v>
      </c>
      <c r="P15602">
        <f>IF(OR(M15602="",N15602=""),"",SUMIFS('Barang Keluar'!$E:$E,'Barang Keluar'!$A:$A,M15602,'Barang Keluar'!$C:$C,N15602))</f>
        <v>0</v>
      </c>
    </row>
    <row r="15603" spans="13:16">
      <c r="M15603" s="49">
        <f>IF($A$4+155&gt;$B$4,"",$A$4+155)</f>
        <v>46178</v>
      </c>
      <c r="N15603">
        <f>IF(M15603="","",'Master Barang'!A97)</f>
        <v>0</v>
      </c>
      <c r="O15603">
        <f>IF(N15603="","",'Master Barang'!B97)</f>
        <v>0</v>
      </c>
      <c r="P15603">
        <f>IF(OR(M15603="",N15603=""),"",SUMIFS('Barang Keluar'!$E:$E,'Barang Keluar'!$A:$A,M15603,'Barang Keluar'!$C:$C,N15603))</f>
        <v>0</v>
      </c>
    </row>
    <row r="15604" spans="13:16">
      <c r="M15604" s="49">
        <f>IF($A$4+155&gt;$B$4,"",$A$4+155)</f>
        <v>46178</v>
      </c>
      <c r="N15604">
        <f>IF(M15604="","",'Master Barang'!A98)</f>
        <v>0</v>
      </c>
      <c r="O15604">
        <f>IF(N15604="","",'Master Barang'!B98)</f>
        <v>0</v>
      </c>
      <c r="P15604">
        <f>IF(OR(M15604="",N15604=""),"",SUMIFS('Barang Keluar'!$E:$E,'Barang Keluar'!$A:$A,M15604,'Barang Keluar'!$C:$C,N15604))</f>
        <v>0</v>
      </c>
    </row>
    <row r="15605" spans="13:16">
      <c r="M15605" s="49">
        <f>IF($A$4+155&gt;$B$4,"",$A$4+155)</f>
        <v>46178</v>
      </c>
      <c r="N15605">
        <f>IF(M15605="","",'Master Barang'!A99)</f>
        <v>0</v>
      </c>
      <c r="O15605">
        <f>IF(N15605="","",'Master Barang'!B99)</f>
        <v>0</v>
      </c>
      <c r="P15605">
        <f>IF(OR(M15605="",N15605=""),"",SUMIFS('Barang Keluar'!$E:$E,'Barang Keluar'!$A:$A,M15605,'Barang Keluar'!$C:$C,N15605))</f>
        <v>0</v>
      </c>
    </row>
    <row r="15606" spans="13:16">
      <c r="M15606" s="49">
        <f>IF($A$4+155&gt;$B$4,"",$A$4+155)</f>
        <v>46178</v>
      </c>
      <c r="N15606">
        <f>IF(M15606="","",'Master Barang'!A100)</f>
        <v>0</v>
      </c>
      <c r="O15606">
        <f>IF(N15606="","",'Master Barang'!B100)</f>
        <v>0</v>
      </c>
      <c r="P15606">
        <f>IF(OR(M15606="",N15606=""),"",SUMIFS('Barang Keluar'!$E:$E,'Barang Keluar'!$A:$A,M15606,'Barang Keluar'!$C:$C,N15606))</f>
        <v>0</v>
      </c>
    </row>
    <row r="15607" spans="13:16">
      <c r="M15607" s="49">
        <f>IF($A$4+155&gt;$B$4,"",$A$4+155)</f>
        <v>46178</v>
      </c>
      <c r="N15607">
        <f>IF(M15607="","",'Master Barang'!A101)</f>
        <v>0</v>
      </c>
      <c r="O15607">
        <f>IF(N15607="","",'Master Barang'!B101)</f>
        <v>0</v>
      </c>
      <c r="P15607">
        <f>IF(OR(M15607="",N15607=""),"",SUMIFS('Barang Keluar'!$E:$E,'Barang Keluar'!$A:$A,M15607,'Barang Keluar'!$C:$C,N15607))</f>
        <v>0</v>
      </c>
    </row>
    <row r="15608" spans="13:16">
      <c r="M15608" s="49">
        <f>IF($A$4+156&gt;$B$4,"",$A$4+156)</f>
        <v>46179</v>
      </c>
      <c r="N15608" t="str">
        <f>IF(M15608="","",'Master Barang'!A2)</f>
        <v>PRL-001</v>
      </c>
      <c r="O15608" t="str">
        <f>IF(N15608="","",'Master Barang'!B2)</f>
        <v>natura desinfectant food grade 5l</v>
      </c>
      <c r="P15608">
        <f>IF(OR(M15608="",N15608=""),"",SUMIFS('Barang Keluar'!$E:$E,'Barang Keluar'!$A:$A,M15608,'Barang Keluar'!$C:$C,N15608))</f>
        <v>0</v>
      </c>
    </row>
    <row r="15609" spans="13:16">
      <c r="M15609" s="49">
        <f>IF($A$4+156&gt;$B$4,"",$A$4+156)</f>
        <v>46179</v>
      </c>
      <c r="N15609" t="str">
        <f>IF(M15609="","",'Master Barang'!A3)</f>
        <v>PRL-002</v>
      </c>
      <c r="O15609" t="str">
        <f>IF(N15609="","",'Master Barang'!B3)</f>
        <v>sunlight cairan pencuci piring 5l</v>
      </c>
      <c r="P15609">
        <f>IF(OR(M15609="",N15609=""),"",SUMIFS('Barang Keluar'!$E:$E,'Barang Keluar'!$A:$A,M15609,'Barang Keluar'!$C:$C,N15609))</f>
        <v>0</v>
      </c>
    </row>
    <row r="15610" spans="13:16">
      <c r="M15610" s="49">
        <f>IF($A$4+156&gt;$B$4,"",$A$4+156)</f>
        <v>46179</v>
      </c>
      <c r="N15610" t="str">
        <f>IF(M15610="","",'Master Barang'!A4)</f>
        <v>PRL-003</v>
      </c>
      <c r="O15610" t="str">
        <f>IF(N15610="","",'Master Barang'!B4)</f>
        <v>oixs cleaner 1l</v>
      </c>
      <c r="P15610">
        <f>IF(OR(M15610="",N15610=""),"",SUMIFS('Barang Keluar'!$E:$E,'Barang Keluar'!$A:$A,M15610,'Barang Keluar'!$C:$C,N15610))</f>
        <v>0</v>
      </c>
    </row>
    <row r="15611" spans="13:16">
      <c r="M15611" s="49">
        <f>IF($A$4+156&gt;$B$4,"",$A$4+156)</f>
        <v>46179</v>
      </c>
      <c r="N15611" t="str">
        <f>IF(M15611="","",'Master Barang'!A5)</f>
        <v>PRL-004</v>
      </c>
      <c r="O15611" t="str">
        <f>IF(N15611="","",'Master Barang'!B5)</f>
        <v>be clean tissue serbaguna</v>
      </c>
      <c r="P15611">
        <f>IF(OR(M15611="",N15611=""),"",SUMIFS('Barang Keluar'!$E:$E,'Barang Keluar'!$A:$A,M15611,'Barang Keluar'!$C:$C,N15611))</f>
        <v>0</v>
      </c>
    </row>
    <row r="15612" spans="13:16">
      <c r="M15612" s="49">
        <f>IF($A$4+156&gt;$B$4,"",$A$4+156)</f>
        <v>46179</v>
      </c>
      <c r="N15612" t="str">
        <f>IF(M15612="","",'Master Barang'!A6)</f>
        <v>PRL-005</v>
      </c>
      <c r="O15612" t="str">
        <f>IF(N15612="","",'Master Barang'!B6)</f>
        <v>spons cuci hijau</v>
      </c>
      <c r="P15612">
        <f>IF(OR(M15612="",N15612=""),"",SUMIFS('Barang Keluar'!$E:$E,'Barang Keluar'!$A:$A,M15612,'Barang Keluar'!$C:$C,N15612))</f>
        <v>0</v>
      </c>
    </row>
    <row r="15613" spans="13:16">
      <c r="M15613" s="49">
        <f>IF($A$4+156&gt;$B$4,"",$A$4+156)</f>
        <v>46179</v>
      </c>
      <c r="N15613" t="str">
        <f>IF(M15613="","",'Master Barang'!A7)</f>
        <v>PRL-006</v>
      </c>
      <c r="O15613" t="str">
        <f>IF(N15613="","",'Master Barang'!B7)</f>
        <v>sabut cuci stainless</v>
      </c>
      <c r="P15613">
        <f>IF(OR(M15613="",N15613=""),"",SUMIFS('Barang Keluar'!$E:$E,'Barang Keluar'!$A:$A,M15613,'Barang Keluar'!$C:$C,N15613))</f>
        <v>0</v>
      </c>
    </row>
    <row r="15614" spans="13:16">
      <c r="M15614" s="49">
        <f>IF($A$4+156&gt;$B$4,"",$A$4+156)</f>
        <v>46179</v>
      </c>
      <c r="N15614" t="str">
        <f>IF(M15614="","",'Master Barang'!A8)</f>
        <v>PRL-007</v>
      </c>
      <c r="O15614" t="str">
        <f>IF(N15614="","",'Master Barang'!B8)</f>
        <v>plastik kresek besar merah 50pc</v>
      </c>
      <c r="P15614">
        <f>IF(OR(M15614="",N15614=""),"",SUMIFS('Barang Keluar'!$E:$E,'Barang Keluar'!$A:$A,M15614,'Barang Keluar'!$C:$C,N15614))</f>
        <v>0</v>
      </c>
    </row>
    <row r="15615" spans="13:16">
      <c r="M15615" s="49">
        <f>IF($A$4+156&gt;$B$4,"",$A$4+156)</f>
        <v>46179</v>
      </c>
      <c r="N15615" t="str">
        <f>IF(M15615="","",'Master Barang'!A9)</f>
        <v>PRL-008</v>
      </c>
      <c r="O15615" t="str">
        <f>IF(N15615="","",'Master Barang'!B9)</f>
        <v>lap besar</v>
      </c>
      <c r="P15615">
        <f>IF(OR(M15615="",N15615=""),"",SUMIFS('Barang Keluar'!$E:$E,'Barang Keluar'!$A:$A,M15615,'Barang Keluar'!$C:$C,N15615))</f>
        <v>0</v>
      </c>
    </row>
    <row r="15616" spans="13:16">
      <c r="M15616" s="49">
        <f>IF($A$4+156&gt;$B$4,"",$A$4+156)</f>
        <v>46179</v>
      </c>
      <c r="N15616" t="str">
        <f>IF(M15616="","",'Master Barang'!A10)</f>
        <v>PRL-009</v>
      </c>
      <c r="O15616" t="str">
        <f>IF(N15616="","",'Master Barang'!B10)</f>
        <v>lap microfiber</v>
      </c>
      <c r="P15616">
        <f>IF(OR(M15616="",N15616=""),"",SUMIFS('Barang Keluar'!$E:$E,'Barang Keluar'!$A:$A,M15616,'Barang Keluar'!$C:$C,N15616))</f>
        <v>0</v>
      </c>
    </row>
    <row r="15617" spans="13:16">
      <c r="M15617" s="49">
        <f>IF($A$4+156&gt;$B$4,"",$A$4+156)</f>
        <v>46179</v>
      </c>
      <c r="N15617" t="str">
        <f>IF(M15617="","",'Master Barang'!A11)</f>
        <v>PRL-010</v>
      </c>
      <c r="O15617" t="str">
        <f>IF(N15617="","",'Master Barang'!B11)</f>
        <v>lap kecil</v>
      </c>
      <c r="P15617">
        <f>IF(OR(M15617="",N15617=""),"",SUMIFS('Barang Keluar'!$E:$E,'Barang Keluar'!$A:$A,M15617,'Barang Keluar'!$C:$C,N15617))</f>
        <v>0</v>
      </c>
    </row>
    <row r="15618" spans="13:16">
      <c r="M15618" s="49">
        <f>IF($A$4+156&gt;$B$4,"",$A$4+156)</f>
        <v>46179</v>
      </c>
      <c r="N15618" t="str">
        <f>IF(M15618="","",'Master Barang'!A12)</f>
        <v>PRL-011</v>
      </c>
      <c r="O15618" t="str">
        <f>IF(N15618="","",'Master Barang'!B12)</f>
        <v>kanebo kecil</v>
      </c>
      <c r="P15618">
        <f>IF(OR(M15618="",N15618=""),"",SUMIFS('Barang Keluar'!$E:$E,'Barang Keluar'!$A:$A,M15618,'Barang Keluar'!$C:$C,N15618))</f>
        <v>0</v>
      </c>
    </row>
    <row r="15619" spans="13:16">
      <c r="M15619" s="49">
        <f>IF($A$4+156&gt;$B$4,"",$A$4+156)</f>
        <v>46179</v>
      </c>
      <c r="N15619" t="str">
        <f>IF(M15619="","",'Master Barang'!A13)</f>
        <v>PRL-012</v>
      </c>
      <c r="O15619" t="str">
        <f>IF(N15619="","",'Master Barang'!B13)</f>
        <v>plastik 1/4kg joyoboyo 100 lembar</v>
      </c>
      <c r="P15619">
        <f>IF(OR(M15619="",N15619=""),"",SUMIFS('Barang Keluar'!$E:$E,'Barang Keluar'!$A:$A,M15619,'Barang Keluar'!$C:$C,N15619))</f>
        <v>0</v>
      </c>
    </row>
    <row r="15620" spans="13:16">
      <c r="M15620" s="49">
        <f>IF($A$4+156&gt;$B$4,"",$A$4+156)</f>
        <v>46179</v>
      </c>
      <c r="N15620" t="str">
        <f>IF(M15620="","",'Master Barang'!A14)</f>
        <v>PRL-013</v>
      </c>
      <c r="O15620" t="str">
        <f>IF(N15620="","",'Master Barang'!B14)</f>
        <v>sarung tangan plastik kaka 100 pcs</v>
      </c>
      <c r="P15620">
        <f>IF(OR(M15620="",N15620=""),"",SUMIFS('Barang Keluar'!$E:$E,'Barang Keluar'!$A:$A,M15620,'Barang Keluar'!$C:$C,N15620))</f>
        <v>0</v>
      </c>
    </row>
    <row r="15621" spans="13:16">
      <c r="M15621" s="49">
        <f>IF($A$4+156&gt;$B$4,"",$A$4+156)</f>
        <v>46179</v>
      </c>
      <c r="N15621" t="str">
        <f>IF(M15621="","",'Master Barang'!A15)</f>
        <v>PRL-014</v>
      </c>
      <c r="O15621" t="str">
        <f>IF(N15621="","",'Master Barang'!B15)</f>
        <v>optima trashbag 80x100</v>
      </c>
      <c r="P15621">
        <f>IF(OR(M15621="",N15621=""),"",SUMIFS('Barang Keluar'!$E:$E,'Barang Keluar'!$A:$A,M15621,'Barang Keluar'!$C:$C,N15621))</f>
        <v>0</v>
      </c>
    </row>
    <row r="15622" spans="13:16">
      <c r="M15622" s="49">
        <f>IF($A$4+156&gt;$B$4,"",$A$4+156)</f>
        <v>46179</v>
      </c>
      <c r="N15622" t="str">
        <f>IF(M15622="","",'Master Barang'!A16)</f>
        <v>PRL-015</v>
      </c>
      <c r="O15622" t="str">
        <f>IF(N15622="","",'Master Barang'!B16)</f>
        <v>optima trashbag 60x100</v>
      </c>
      <c r="P15622">
        <f>IF(OR(M15622="",N15622=""),"",SUMIFS('Barang Keluar'!$E:$E,'Barang Keluar'!$A:$A,M15622,'Barang Keluar'!$C:$C,N15622))</f>
        <v>0</v>
      </c>
    </row>
    <row r="15623" spans="13:16">
      <c r="M15623" s="49">
        <f>IF($A$4+156&gt;$B$4,"",$A$4+156)</f>
        <v>46179</v>
      </c>
      <c r="N15623" t="str">
        <f>IF(M15623="","",'Master Barang'!A17)</f>
        <v>PRL-016</v>
      </c>
      <c r="O15623" t="str">
        <f>IF(N15623="","",'Master Barang'!B17)</f>
        <v>rajawali trashbag 30x40</v>
      </c>
      <c r="P15623">
        <f>IF(OR(M15623="",N15623=""),"",SUMIFS('Barang Keluar'!$E:$E,'Barang Keluar'!$A:$A,M15623,'Barang Keluar'!$C:$C,N15623))</f>
        <v>0</v>
      </c>
    </row>
    <row r="15624" spans="13:16">
      <c r="M15624" s="49">
        <f>IF($A$4+156&gt;$B$4,"",$A$4+156)</f>
        <v>46179</v>
      </c>
      <c r="N15624" t="str">
        <f>IF(M15624="","",'Master Barang'!A18)</f>
        <v>PRL-017</v>
      </c>
      <c r="O15624" t="str">
        <f>IF(N15624="","",'Master Barang'!B18)</f>
        <v>onemed masker biru 3 play 50 pcs</v>
      </c>
      <c r="P15624">
        <f>IF(OR(M15624="",N15624=""),"",SUMIFS('Barang Keluar'!$E:$E,'Barang Keluar'!$A:$A,M15624,'Barang Keluar'!$C:$C,N15624))</f>
        <v>0</v>
      </c>
    </row>
    <row r="15625" spans="13:16">
      <c r="M15625" s="49">
        <f>IF($A$4+156&gt;$B$4,"",$A$4+156)</f>
        <v>46179</v>
      </c>
      <c r="N15625" t="str">
        <f>IF(M15625="","",'Master Barang'!A19)</f>
        <v>PRL-018</v>
      </c>
      <c r="O15625" t="str">
        <f>IF(N15625="","",'Master Barang'!B19)</f>
        <v>onemed masker biru 3 play hijab 50 pcs</v>
      </c>
      <c r="P15625">
        <f>IF(OR(M15625="",N15625=""),"",SUMIFS('Barang Keluar'!$E:$E,'Barang Keluar'!$A:$A,M15625,'Barang Keluar'!$C:$C,N15625))</f>
        <v>0</v>
      </c>
    </row>
    <row r="15626" spans="13:16">
      <c r="M15626" s="49">
        <f>IF($A$4+156&gt;$B$4,"",$A$4+156)</f>
        <v>46179</v>
      </c>
      <c r="N15626" t="str">
        <f>IF(M15626="","",'Master Barang'!A20)</f>
        <v>PRL-019</v>
      </c>
      <c r="O15626" t="str">
        <f>IF(N15626="","",'Master Barang'!B20)</f>
        <v>neo health masker biru 3 play 50 pcs</v>
      </c>
      <c r="P15626">
        <f>IF(OR(M15626="",N15626=""),"",SUMIFS('Barang Keluar'!$E:$E,'Barang Keluar'!$A:$A,M15626,'Barang Keluar'!$C:$C,N15626))</f>
        <v>0</v>
      </c>
    </row>
    <row r="15627" spans="13:16">
      <c r="M15627" s="49">
        <f>IF($A$4+156&gt;$B$4,"",$A$4+156)</f>
        <v>46179</v>
      </c>
      <c r="N15627" t="str">
        <f>IF(M15627="","",'Master Barang'!A21)</f>
        <v>PRL-020</v>
      </c>
      <c r="O15627" t="str">
        <f>IF(N15627="","",'Master Barang'!B21)</f>
        <v>baymed masker hijau 3 play hijau 50 pcs</v>
      </c>
      <c r="P15627">
        <f>IF(OR(M15627="",N15627=""),"",SUMIFS('Barang Keluar'!$E:$E,'Barang Keluar'!$A:$A,M15627,'Barang Keluar'!$C:$C,N15627))</f>
        <v>0</v>
      </c>
    </row>
    <row r="15628" spans="13:16">
      <c r="M15628" s="49">
        <f>IF($A$4+156&gt;$B$4,"",$A$4+156)</f>
        <v>46179</v>
      </c>
      <c r="N15628" t="str">
        <f>IF(M15628="","",'Master Barang'!A22)</f>
        <v>PRL-021</v>
      </c>
      <c r="O15628" t="str">
        <f>IF(N15628="","",'Master Barang'!B22)</f>
        <v>altamed nurse cap penutup kepala 100 pcs</v>
      </c>
      <c r="P15628">
        <f>IF(OR(M15628="",N15628=""),"",SUMIFS('Barang Keluar'!$E:$E,'Barang Keluar'!$A:$A,M15628,'Barang Keluar'!$C:$C,N15628))</f>
        <v>0</v>
      </c>
    </row>
    <row r="15629" spans="13:16">
      <c r="M15629" s="49">
        <f>IF($A$4+156&gt;$B$4,"",$A$4+156)</f>
        <v>46179</v>
      </c>
      <c r="N15629" t="str">
        <f>IF(M15629="","",'Master Barang'!A23)</f>
        <v>PRL-022</v>
      </c>
      <c r="O15629" t="str">
        <f>IF(N15629="","",'Master Barang'!B23)</f>
        <v>sabun cuci tangan</v>
      </c>
      <c r="P15629">
        <f>IF(OR(M15629="",N15629=""),"",SUMIFS('Barang Keluar'!$E:$E,'Barang Keluar'!$A:$A,M15629,'Barang Keluar'!$C:$C,N15629))</f>
        <v>0</v>
      </c>
    </row>
    <row r="15630" spans="13:16">
      <c r="M15630" s="49">
        <f>IF($A$4+156&gt;$B$4,"",$A$4+156)</f>
        <v>46179</v>
      </c>
      <c r="N15630" t="str">
        <f>IF(M15630="","",'Master Barang'!A24)</f>
        <v>PRL-023</v>
      </c>
      <c r="O15630" t="str">
        <f>IF(N15630="","",'Master Barang'!B24)</f>
        <v>gayung kecil</v>
      </c>
      <c r="P15630">
        <f>IF(OR(M15630="",N15630=""),"",SUMIFS('Barang Keluar'!$E:$E,'Barang Keluar'!$A:$A,M15630,'Barang Keluar'!$C:$C,N15630))</f>
        <v>0</v>
      </c>
    </row>
    <row r="15631" spans="13:16">
      <c r="M15631" s="49">
        <f>IF($A$4+156&gt;$B$4,"",$A$4+156)</f>
        <v>46179</v>
      </c>
      <c r="N15631" t="str">
        <f>IF(M15631="","",'Master Barang'!A25)</f>
        <v>PRL-024</v>
      </c>
      <c r="O15631" t="str">
        <f>IF(N15631="","",'Master Barang'!B25)</f>
        <v>cikrak kecil</v>
      </c>
      <c r="P15631">
        <f>IF(OR(M15631="",N15631=""),"",SUMIFS('Barang Keluar'!$E:$E,'Barang Keluar'!$A:$A,M15631,'Barang Keluar'!$C:$C,N15631))</f>
        <v>0</v>
      </c>
    </row>
    <row r="15632" spans="13:16">
      <c r="M15632" s="49">
        <f>IF($A$4+156&gt;$B$4,"",$A$4+156)</f>
        <v>46179</v>
      </c>
      <c r="N15632" t="str">
        <f>IF(M15632="","",'Master Barang'!A26)</f>
        <v>PRL-025</v>
      </c>
      <c r="O15632" t="str">
        <f>IF(N15632="","",'Master Barang'!B26)</f>
        <v>petromax plastik kecil 12x24 100 lembar</v>
      </c>
      <c r="P15632">
        <f>IF(OR(M15632="",N15632=""),"",SUMIFS('Barang Keluar'!$E:$E,'Barang Keluar'!$A:$A,M15632,'Barang Keluar'!$C:$C,N15632))</f>
        <v>0</v>
      </c>
    </row>
    <row r="15633" spans="13:16">
      <c r="M15633" s="49">
        <f>IF($A$4+156&gt;$B$4,"",$A$4+156)</f>
        <v>46179</v>
      </c>
      <c r="N15633" t="str">
        <f>IF(M15633="","",'Master Barang'!A27)</f>
        <v>PRL-026</v>
      </c>
      <c r="O15633" t="str">
        <f>IF(N15633="","",'Master Barang'!B27)</f>
        <v>lancar kresek kecil bening </v>
      </c>
      <c r="P15633">
        <f>IF(OR(M15633="",N15633=""),"",SUMIFS('Barang Keluar'!$E:$E,'Barang Keluar'!$A:$A,M15633,'Barang Keluar'!$C:$C,N15633))</f>
        <v>0</v>
      </c>
    </row>
    <row r="15634" spans="13:16">
      <c r="M15634" s="49">
        <f>IF($A$4+156&gt;$B$4,"",$A$4+156)</f>
        <v>46179</v>
      </c>
      <c r="N15634" t="str">
        <f>IF(M15634="","",'Master Barang'!A28)</f>
        <v>PRL-027</v>
      </c>
      <c r="O15634" t="str">
        <f>IF(N15634="","",'Master Barang'!B28)</f>
        <v>kresek klin warna warni kecil</v>
      </c>
      <c r="P15634">
        <f>IF(OR(M15634="",N15634=""),"",SUMIFS('Barang Keluar'!$E:$E,'Barang Keluar'!$A:$A,M15634,'Barang Keluar'!$C:$C,N15634))</f>
        <v>0</v>
      </c>
    </row>
    <row r="15635" spans="13:16">
      <c r="M15635" s="49">
        <f>IF($A$4+156&gt;$B$4,"",$A$4+156)</f>
        <v>46179</v>
      </c>
      <c r="N15635" t="str">
        <f>IF(M15635="","",'Master Barang'!A29)</f>
        <v>PRL-028</v>
      </c>
      <c r="O15635" t="str">
        <f>IF(N15635="","",'Master Barang'!B29)</f>
        <v>ctik plastik 7x10 100 pcs</v>
      </c>
      <c r="P15635">
        <f>IF(OR(M15635="",N15635=""),"",SUMIFS('Barang Keluar'!$E:$E,'Barang Keluar'!$A:$A,M15635,'Barang Keluar'!$C:$C,N15635))</f>
        <v>0</v>
      </c>
    </row>
    <row r="15636" spans="13:16">
      <c r="M15636" s="49">
        <f>IF($A$4+156&gt;$B$4,"",$A$4+156)</f>
        <v>46179</v>
      </c>
      <c r="N15636" t="str">
        <f>IF(M15636="","",'Master Barang'!A30)</f>
        <v>PRL-029</v>
      </c>
      <c r="O15636" t="str">
        <f>IF(N15636="","",'Master Barang'!B30)</f>
        <v>ctik plastik 6x10 100 pcs</v>
      </c>
      <c r="P15636">
        <f>IF(OR(M15636="",N15636=""),"",SUMIFS('Barang Keluar'!$E:$E,'Barang Keluar'!$A:$A,M15636,'Barang Keluar'!$C:$C,N15636))</f>
        <v>0</v>
      </c>
    </row>
    <row r="15637" spans="13:16">
      <c r="M15637" s="49">
        <f>IF($A$4+156&gt;$B$4,"",$A$4+156)</f>
        <v>46179</v>
      </c>
      <c r="N15637" t="str">
        <f>IF(M15637="","",'Master Barang'!A31)</f>
        <v>PRL-030</v>
      </c>
      <c r="O15637" t="str">
        <f>IF(N15637="","",'Master Barang'!B31)</f>
        <v>klip plastik 25x16 100 pcs</v>
      </c>
      <c r="P15637">
        <f>IF(OR(M15637="",N15637=""),"",SUMIFS('Barang Keluar'!$E:$E,'Barang Keluar'!$A:$A,M15637,'Barang Keluar'!$C:$C,N15637))</f>
        <v>0</v>
      </c>
    </row>
    <row r="15638" spans="13:16">
      <c r="M15638" s="49">
        <f>IF($A$4+156&gt;$B$4,"",$A$4+156)</f>
        <v>46179</v>
      </c>
      <c r="N15638" t="str">
        <f>IF(M15638="","",'Master Barang'!A32)</f>
        <v>PRL-031</v>
      </c>
      <c r="O15638" t="str">
        <f>IF(N15638="","",'Master Barang'!B32)</f>
        <v>tempat saus 20 ml</v>
      </c>
      <c r="P15638">
        <f>IF(OR(M15638="",N15638=""),"",SUMIFS('Barang Keluar'!$E:$E,'Barang Keluar'!$A:$A,M15638,'Barang Keluar'!$C:$C,N15638))</f>
        <v>0</v>
      </c>
    </row>
    <row r="15639" spans="13:16">
      <c r="M15639" s="49">
        <f>IF($A$4+156&gt;$B$4,"",$A$4+156)</f>
        <v>46179</v>
      </c>
      <c r="N15639" t="str">
        <f>IF(M15639="","",'Master Barang'!A33)</f>
        <v>PRL-032</v>
      </c>
      <c r="O15639" t="str">
        <f>IF(N15639="","",'Master Barang'!B33)</f>
        <v>plastik packaging ag box uk sedang</v>
      </c>
      <c r="P15639">
        <f>IF(OR(M15639="",N15639=""),"",SUMIFS('Barang Keluar'!$E:$E,'Barang Keluar'!$A:$A,M15639,'Barang Keluar'!$C:$C,N15639))</f>
        <v>0</v>
      </c>
    </row>
    <row r="15640" spans="13:16">
      <c r="M15640" s="49">
        <f>IF($A$4+156&gt;$B$4,"",$A$4+156)</f>
        <v>46179</v>
      </c>
      <c r="N15640" t="str">
        <f>IF(M15640="","",'Master Barang'!A34)</f>
        <v>PRL-033</v>
      </c>
      <c r="O15640">
        <f>IF(N15640="","",'Master Barang'!B34)</f>
        <v>0</v>
      </c>
      <c r="P15640">
        <f>IF(OR(M15640="",N15640=""),"",SUMIFS('Barang Keluar'!$E:$E,'Barang Keluar'!$A:$A,M15640,'Barang Keluar'!$C:$C,N15640))</f>
        <v>0</v>
      </c>
    </row>
    <row r="15641" spans="13:16">
      <c r="M15641" s="49">
        <f>IF($A$4+156&gt;$B$4,"",$A$4+156)</f>
        <v>46179</v>
      </c>
      <c r="N15641">
        <f>IF(M15641="","",'Master Barang'!A35)</f>
        <v>0</v>
      </c>
      <c r="O15641">
        <f>IF(N15641="","",'Master Barang'!B35)</f>
        <v>0</v>
      </c>
      <c r="P15641">
        <f>IF(OR(M15641="",N15641=""),"",SUMIFS('Barang Keluar'!$E:$E,'Barang Keluar'!$A:$A,M15641,'Barang Keluar'!$C:$C,N15641))</f>
        <v>0</v>
      </c>
    </row>
    <row r="15642" spans="13:16">
      <c r="M15642" s="49">
        <f>IF($A$4+156&gt;$B$4,"",$A$4+156)</f>
        <v>46179</v>
      </c>
      <c r="N15642">
        <f>IF(M15642="","",'Master Barang'!A36)</f>
        <v>0</v>
      </c>
      <c r="O15642">
        <f>IF(N15642="","",'Master Barang'!B36)</f>
        <v>0</v>
      </c>
      <c r="P15642">
        <f>IF(OR(M15642="",N15642=""),"",SUMIFS('Barang Keluar'!$E:$E,'Barang Keluar'!$A:$A,M15642,'Barang Keluar'!$C:$C,N15642))</f>
        <v>0</v>
      </c>
    </row>
    <row r="15643" spans="13:16">
      <c r="M15643" s="49">
        <f>IF($A$4+156&gt;$B$4,"",$A$4+156)</f>
        <v>46179</v>
      </c>
      <c r="N15643">
        <f>IF(M15643="","",'Master Barang'!A37)</f>
        <v>0</v>
      </c>
      <c r="O15643">
        <f>IF(N15643="","",'Master Barang'!B37)</f>
        <v>0</v>
      </c>
      <c r="P15643">
        <f>IF(OR(M15643="",N15643=""),"",SUMIFS('Barang Keluar'!$E:$E,'Barang Keluar'!$A:$A,M15643,'Barang Keluar'!$C:$C,N15643))</f>
        <v>0</v>
      </c>
    </row>
    <row r="15644" spans="13:16">
      <c r="M15644" s="49">
        <f>IF($A$4+156&gt;$B$4,"",$A$4+156)</f>
        <v>46179</v>
      </c>
      <c r="N15644">
        <f>IF(M15644="","",'Master Barang'!A38)</f>
        <v>0</v>
      </c>
      <c r="O15644">
        <f>IF(N15644="","",'Master Barang'!B38)</f>
        <v>0</v>
      </c>
      <c r="P15644">
        <f>IF(OR(M15644="",N15644=""),"",SUMIFS('Barang Keluar'!$E:$E,'Barang Keluar'!$A:$A,M15644,'Barang Keluar'!$C:$C,N15644))</f>
        <v>0</v>
      </c>
    </row>
    <row r="15645" spans="13:16">
      <c r="M15645" s="49">
        <f>IF($A$4+156&gt;$B$4,"",$A$4+156)</f>
        <v>46179</v>
      </c>
      <c r="N15645">
        <f>IF(M15645="","",'Master Barang'!A39)</f>
        <v>0</v>
      </c>
      <c r="O15645">
        <f>IF(N15645="","",'Master Barang'!B39)</f>
        <v>0</v>
      </c>
      <c r="P15645">
        <f>IF(OR(M15645="",N15645=""),"",SUMIFS('Barang Keluar'!$E:$E,'Barang Keluar'!$A:$A,M15645,'Barang Keluar'!$C:$C,N15645))</f>
        <v>0</v>
      </c>
    </row>
    <row r="15646" spans="13:16">
      <c r="M15646" s="49">
        <f>IF($A$4+156&gt;$B$4,"",$A$4+156)</f>
        <v>46179</v>
      </c>
      <c r="N15646">
        <f>IF(M15646="","",'Master Barang'!A40)</f>
        <v>0</v>
      </c>
      <c r="O15646">
        <f>IF(N15646="","",'Master Barang'!B40)</f>
        <v>0</v>
      </c>
      <c r="P15646">
        <f>IF(OR(M15646="",N15646=""),"",SUMIFS('Barang Keluar'!$E:$E,'Barang Keluar'!$A:$A,M15646,'Barang Keluar'!$C:$C,N15646))</f>
        <v>0</v>
      </c>
    </row>
    <row r="15647" spans="13:16">
      <c r="M15647" s="49">
        <f>IF($A$4+156&gt;$B$4,"",$A$4+156)</f>
        <v>46179</v>
      </c>
      <c r="N15647">
        <f>IF(M15647="","",'Master Barang'!A41)</f>
        <v>0</v>
      </c>
      <c r="O15647">
        <f>IF(N15647="","",'Master Barang'!B41)</f>
        <v>0</v>
      </c>
      <c r="P15647">
        <f>IF(OR(M15647="",N15647=""),"",SUMIFS('Barang Keluar'!$E:$E,'Barang Keluar'!$A:$A,M15647,'Barang Keluar'!$C:$C,N15647))</f>
        <v>0</v>
      </c>
    </row>
    <row r="15648" spans="13:16">
      <c r="M15648" s="49">
        <f>IF($A$4+156&gt;$B$4,"",$A$4+156)</f>
        <v>46179</v>
      </c>
      <c r="N15648">
        <f>IF(M15648="","",'Master Barang'!A42)</f>
        <v>0</v>
      </c>
      <c r="O15648">
        <f>IF(N15648="","",'Master Barang'!B42)</f>
        <v>0</v>
      </c>
      <c r="P15648">
        <f>IF(OR(M15648="",N15648=""),"",SUMIFS('Barang Keluar'!$E:$E,'Barang Keluar'!$A:$A,M15648,'Barang Keluar'!$C:$C,N15648))</f>
        <v>0</v>
      </c>
    </row>
    <row r="15649" spans="13:16">
      <c r="M15649" s="49">
        <f>IF($A$4+156&gt;$B$4,"",$A$4+156)</f>
        <v>46179</v>
      </c>
      <c r="N15649">
        <f>IF(M15649="","",'Master Barang'!A43)</f>
        <v>0</v>
      </c>
      <c r="O15649">
        <f>IF(N15649="","",'Master Barang'!B43)</f>
        <v>0</v>
      </c>
      <c r="P15649">
        <f>IF(OR(M15649="",N15649=""),"",SUMIFS('Barang Keluar'!$E:$E,'Barang Keluar'!$A:$A,M15649,'Barang Keluar'!$C:$C,N15649))</f>
        <v>0</v>
      </c>
    </row>
    <row r="15650" spans="13:16">
      <c r="M15650" s="49">
        <f>IF($A$4+156&gt;$B$4,"",$A$4+156)</f>
        <v>46179</v>
      </c>
      <c r="N15650">
        <f>IF(M15650="","",'Master Barang'!A44)</f>
        <v>0</v>
      </c>
      <c r="O15650">
        <f>IF(N15650="","",'Master Barang'!B44)</f>
        <v>0</v>
      </c>
      <c r="P15650">
        <f>IF(OR(M15650="",N15650=""),"",SUMIFS('Barang Keluar'!$E:$E,'Barang Keluar'!$A:$A,M15650,'Barang Keluar'!$C:$C,N15650))</f>
        <v>0</v>
      </c>
    </row>
    <row r="15651" spans="13:16">
      <c r="M15651" s="49">
        <f>IF($A$4+156&gt;$B$4,"",$A$4+156)</f>
        <v>46179</v>
      </c>
      <c r="N15651">
        <f>IF(M15651="","",'Master Barang'!A45)</f>
        <v>0</v>
      </c>
      <c r="O15651">
        <f>IF(N15651="","",'Master Barang'!B45)</f>
        <v>0</v>
      </c>
      <c r="P15651">
        <f>IF(OR(M15651="",N15651=""),"",SUMIFS('Barang Keluar'!$E:$E,'Barang Keluar'!$A:$A,M15651,'Barang Keluar'!$C:$C,N15651))</f>
        <v>0</v>
      </c>
    </row>
    <row r="15652" spans="13:16">
      <c r="M15652" s="49">
        <f>IF($A$4+156&gt;$B$4,"",$A$4+156)</f>
        <v>46179</v>
      </c>
      <c r="N15652">
        <f>IF(M15652="","",'Master Barang'!A46)</f>
        <v>0</v>
      </c>
      <c r="O15652">
        <f>IF(N15652="","",'Master Barang'!B46)</f>
        <v>0</v>
      </c>
      <c r="P15652">
        <f>IF(OR(M15652="",N15652=""),"",SUMIFS('Barang Keluar'!$E:$E,'Barang Keluar'!$A:$A,M15652,'Barang Keluar'!$C:$C,N15652))</f>
        <v>0</v>
      </c>
    </row>
    <row r="15653" spans="13:16">
      <c r="M15653" s="49">
        <f>IF($A$4+156&gt;$B$4,"",$A$4+156)</f>
        <v>46179</v>
      </c>
      <c r="N15653">
        <f>IF(M15653="","",'Master Barang'!A47)</f>
        <v>0</v>
      </c>
      <c r="O15653">
        <f>IF(N15653="","",'Master Barang'!B47)</f>
        <v>0</v>
      </c>
      <c r="P15653">
        <f>IF(OR(M15653="",N15653=""),"",SUMIFS('Barang Keluar'!$E:$E,'Barang Keluar'!$A:$A,M15653,'Barang Keluar'!$C:$C,N15653))</f>
        <v>0</v>
      </c>
    </row>
    <row r="15654" spans="13:16">
      <c r="M15654" s="49">
        <f>IF($A$4+156&gt;$B$4,"",$A$4+156)</f>
        <v>46179</v>
      </c>
      <c r="N15654">
        <f>IF(M15654="","",'Master Barang'!A48)</f>
        <v>0</v>
      </c>
      <c r="O15654">
        <f>IF(N15654="","",'Master Barang'!B48)</f>
        <v>0</v>
      </c>
      <c r="P15654">
        <f>IF(OR(M15654="",N15654=""),"",SUMIFS('Barang Keluar'!$E:$E,'Barang Keluar'!$A:$A,M15654,'Barang Keluar'!$C:$C,N15654))</f>
        <v>0</v>
      </c>
    </row>
    <row r="15655" spans="13:16">
      <c r="M15655" s="49">
        <f>IF($A$4+156&gt;$B$4,"",$A$4+156)</f>
        <v>46179</v>
      </c>
      <c r="N15655">
        <f>IF(M15655="","",'Master Barang'!A49)</f>
        <v>0</v>
      </c>
      <c r="O15655">
        <f>IF(N15655="","",'Master Barang'!B49)</f>
        <v>0</v>
      </c>
      <c r="P15655">
        <f>IF(OR(M15655="",N15655=""),"",SUMIFS('Barang Keluar'!$E:$E,'Barang Keluar'!$A:$A,M15655,'Barang Keluar'!$C:$C,N15655))</f>
        <v>0</v>
      </c>
    </row>
    <row r="15656" spans="13:16">
      <c r="M15656" s="49">
        <f>IF($A$4+156&gt;$B$4,"",$A$4+156)</f>
        <v>46179</v>
      </c>
      <c r="N15656">
        <f>IF(M15656="","",'Master Barang'!A50)</f>
        <v>0</v>
      </c>
      <c r="O15656">
        <f>IF(N15656="","",'Master Barang'!B50)</f>
        <v>0</v>
      </c>
      <c r="P15656">
        <f>IF(OR(M15656="",N15656=""),"",SUMIFS('Barang Keluar'!$E:$E,'Barang Keluar'!$A:$A,M15656,'Barang Keluar'!$C:$C,N15656))</f>
        <v>0</v>
      </c>
    </row>
    <row r="15657" spans="13:16">
      <c r="M15657" s="49">
        <f>IF($A$4+156&gt;$B$4,"",$A$4+156)</f>
        <v>46179</v>
      </c>
      <c r="N15657">
        <f>IF(M15657="","",'Master Barang'!A51)</f>
        <v>0</v>
      </c>
      <c r="O15657">
        <f>IF(N15657="","",'Master Barang'!B51)</f>
        <v>0</v>
      </c>
      <c r="P15657">
        <f>IF(OR(M15657="",N15657=""),"",SUMIFS('Barang Keluar'!$E:$E,'Barang Keluar'!$A:$A,M15657,'Barang Keluar'!$C:$C,N15657))</f>
        <v>0</v>
      </c>
    </row>
    <row r="15658" spans="13:16">
      <c r="M15658" s="49">
        <f>IF($A$4+156&gt;$B$4,"",$A$4+156)</f>
        <v>46179</v>
      </c>
      <c r="N15658">
        <f>IF(M15658="","",'Master Barang'!A52)</f>
        <v>0</v>
      </c>
      <c r="O15658">
        <f>IF(N15658="","",'Master Barang'!B52)</f>
        <v>0</v>
      </c>
      <c r="P15658">
        <f>IF(OR(M15658="",N15658=""),"",SUMIFS('Barang Keluar'!$E:$E,'Barang Keluar'!$A:$A,M15658,'Barang Keluar'!$C:$C,N15658))</f>
        <v>0</v>
      </c>
    </row>
    <row r="15659" spans="13:16">
      <c r="M15659" s="49">
        <f>IF($A$4+156&gt;$B$4,"",$A$4+156)</f>
        <v>46179</v>
      </c>
      <c r="N15659">
        <f>IF(M15659="","",'Master Barang'!A53)</f>
        <v>0</v>
      </c>
      <c r="O15659">
        <f>IF(N15659="","",'Master Barang'!B53)</f>
        <v>0</v>
      </c>
      <c r="P15659">
        <f>IF(OR(M15659="",N15659=""),"",SUMIFS('Barang Keluar'!$E:$E,'Barang Keluar'!$A:$A,M15659,'Barang Keluar'!$C:$C,N15659))</f>
        <v>0</v>
      </c>
    </row>
    <row r="15660" spans="13:16">
      <c r="M15660" s="49">
        <f>IF($A$4+156&gt;$B$4,"",$A$4+156)</f>
        <v>46179</v>
      </c>
      <c r="N15660">
        <f>IF(M15660="","",'Master Barang'!A54)</f>
        <v>0</v>
      </c>
      <c r="O15660">
        <f>IF(N15660="","",'Master Barang'!B54)</f>
        <v>0</v>
      </c>
      <c r="P15660">
        <f>IF(OR(M15660="",N15660=""),"",SUMIFS('Barang Keluar'!$E:$E,'Barang Keluar'!$A:$A,M15660,'Barang Keluar'!$C:$C,N15660))</f>
        <v>0</v>
      </c>
    </row>
    <row r="15661" spans="13:16">
      <c r="M15661" s="49">
        <f>IF($A$4+156&gt;$B$4,"",$A$4+156)</f>
        <v>46179</v>
      </c>
      <c r="N15661">
        <f>IF(M15661="","",'Master Barang'!A55)</f>
        <v>0</v>
      </c>
      <c r="O15661">
        <f>IF(N15661="","",'Master Barang'!B55)</f>
        <v>0</v>
      </c>
      <c r="P15661">
        <f>IF(OR(M15661="",N15661=""),"",SUMIFS('Barang Keluar'!$E:$E,'Barang Keluar'!$A:$A,M15661,'Barang Keluar'!$C:$C,N15661))</f>
        <v>0</v>
      </c>
    </row>
    <row r="15662" spans="13:16">
      <c r="M15662" s="49">
        <f>IF($A$4+156&gt;$B$4,"",$A$4+156)</f>
        <v>46179</v>
      </c>
      <c r="N15662">
        <f>IF(M15662="","",'Master Barang'!A56)</f>
        <v>0</v>
      </c>
      <c r="O15662">
        <f>IF(N15662="","",'Master Barang'!B56)</f>
        <v>0</v>
      </c>
      <c r="P15662">
        <f>IF(OR(M15662="",N15662=""),"",SUMIFS('Barang Keluar'!$E:$E,'Barang Keluar'!$A:$A,M15662,'Barang Keluar'!$C:$C,N15662))</f>
        <v>0</v>
      </c>
    </row>
    <row r="15663" spans="13:16">
      <c r="M15663" s="49">
        <f>IF($A$4+156&gt;$B$4,"",$A$4+156)</f>
        <v>46179</v>
      </c>
      <c r="N15663">
        <f>IF(M15663="","",'Master Barang'!A57)</f>
        <v>0</v>
      </c>
      <c r="O15663">
        <f>IF(N15663="","",'Master Barang'!B57)</f>
        <v>0</v>
      </c>
      <c r="P15663">
        <f>IF(OR(M15663="",N15663=""),"",SUMIFS('Barang Keluar'!$E:$E,'Barang Keluar'!$A:$A,M15663,'Barang Keluar'!$C:$C,N15663))</f>
        <v>0</v>
      </c>
    </row>
    <row r="15664" spans="13:16">
      <c r="M15664" s="49">
        <f>IF($A$4+156&gt;$B$4,"",$A$4+156)</f>
        <v>46179</v>
      </c>
      <c r="N15664">
        <f>IF(M15664="","",'Master Barang'!A58)</f>
        <v>0</v>
      </c>
      <c r="O15664">
        <f>IF(N15664="","",'Master Barang'!B58)</f>
        <v>0</v>
      </c>
      <c r="P15664">
        <f>IF(OR(M15664="",N15664=""),"",SUMIFS('Barang Keluar'!$E:$E,'Barang Keluar'!$A:$A,M15664,'Barang Keluar'!$C:$C,N15664))</f>
        <v>0</v>
      </c>
    </row>
    <row r="15665" spans="13:16">
      <c r="M15665" s="49">
        <f>IF($A$4+156&gt;$B$4,"",$A$4+156)</f>
        <v>46179</v>
      </c>
      <c r="N15665">
        <f>IF(M15665="","",'Master Barang'!A59)</f>
        <v>0</v>
      </c>
      <c r="O15665">
        <f>IF(N15665="","",'Master Barang'!B59)</f>
        <v>0</v>
      </c>
      <c r="P15665">
        <f>IF(OR(M15665="",N15665=""),"",SUMIFS('Barang Keluar'!$E:$E,'Barang Keluar'!$A:$A,M15665,'Barang Keluar'!$C:$C,N15665))</f>
        <v>0</v>
      </c>
    </row>
    <row r="15666" spans="13:16">
      <c r="M15666" s="49">
        <f>IF($A$4+156&gt;$B$4,"",$A$4+156)</f>
        <v>46179</v>
      </c>
      <c r="N15666">
        <f>IF(M15666="","",'Master Barang'!A60)</f>
        <v>0</v>
      </c>
      <c r="O15666">
        <f>IF(N15666="","",'Master Barang'!B60)</f>
        <v>0</v>
      </c>
      <c r="P15666">
        <f>IF(OR(M15666="",N15666=""),"",SUMIFS('Barang Keluar'!$E:$E,'Barang Keluar'!$A:$A,M15666,'Barang Keluar'!$C:$C,N15666))</f>
        <v>0</v>
      </c>
    </row>
    <row r="15667" spans="13:16">
      <c r="M15667" s="49">
        <f>IF($A$4+156&gt;$B$4,"",$A$4+156)</f>
        <v>46179</v>
      </c>
      <c r="N15667">
        <f>IF(M15667="","",'Master Barang'!A61)</f>
        <v>0</v>
      </c>
      <c r="O15667">
        <f>IF(N15667="","",'Master Barang'!B61)</f>
        <v>0</v>
      </c>
      <c r="P15667">
        <f>IF(OR(M15667="",N15667=""),"",SUMIFS('Barang Keluar'!$E:$E,'Barang Keluar'!$A:$A,M15667,'Barang Keluar'!$C:$C,N15667))</f>
        <v>0</v>
      </c>
    </row>
    <row r="15668" spans="13:16">
      <c r="M15668" s="49">
        <f>IF($A$4+156&gt;$B$4,"",$A$4+156)</f>
        <v>46179</v>
      </c>
      <c r="N15668">
        <f>IF(M15668="","",'Master Barang'!A62)</f>
        <v>0</v>
      </c>
      <c r="O15668">
        <f>IF(N15668="","",'Master Barang'!B62)</f>
        <v>0</v>
      </c>
      <c r="P15668">
        <f>IF(OR(M15668="",N15668=""),"",SUMIFS('Barang Keluar'!$E:$E,'Barang Keluar'!$A:$A,M15668,'Barang Keluar'!$C:$C,N15668))</f>
        <v>0</v>
      </c>
    </row>
    <row r="15669" spans="13:16">
      <c r="M15669" s="49">
        <f>IF($A$4+156&gt;$B$4,"",$A$4+156)</f>
        <v>46179</v>
      </c>
      <c r="N15669">
        <f>IF(M15669="","",'Master Barang'!A63)</f>
        <v>0</v>
      </c>
      <c r="O15669">
        <f>IF(N15669="","",'Master Barang'!B63)</f>
        <v>0</v>
      </c>
      <c r="P15669">
        <f>IF(OR(M15669="",N15669=""),"",SUMIFS('Barang Keluar'!$E:$E,'Barang Keluar'!$A:$A,M15669,'Barang Keluar'!$C:$C,N15669))</f>
        <v>0</v>
      </c>
    </row>
    <row r="15670" spans="13:16">
      <c r="M15670" s="49">
        <f>IF($A$4+156&gt;$B$4,"",$A$4+156)</f>
        <v>46179</v>
      </c>
      <c r="N15670">
        <f>IF(M15670="","",'Master Barang'!A64)</f>
        <v>0</v>
      </c>
      <c r="O15670">
        <f>IF(N15670="","",'Master Barang'!B64)</f>
        <v>0</v>
      </c>
      <c r="P15670">
        <f>IF(OR(M15670="",N15670=""),"",SUMIFS('Barang Keluar'!$E:$E,'Barang Keluar'!$A:$A,M15670,'Barang Keluar'!$C:$C,N15670))</f>
        <v>0</v>
      </c>
    </row>
    <row r="15671" spans="13:16">
      <c r="M15671" s="49">
        <f>IF($A$4+156&gt;$B$4,"",$A$4+156)</f>
        <v>46179</v>
      </c>
      <c r="N15671">
        <f>IF(M15671="","",'Master Barang'!A65)</f>
        <v>0</v>
      </c>
      <c r="O15671">
        <f>IF(N15671="","",'Master Barang'!B65)</f>
        <v>0</v>
      </c>
      <c r="P15671">
        <f>IF(OR(M15671="",N15671=""),"",SUMIFS('Barang Keluar'!$E:$E,'Barang Keluar'!$A:$A,M15671,'Barang Keluar'!$C:$C,N15671))</f>
        <v>0</v>
      </c>
    </row>
    <row r="15672" spans="13:16">
      <c r="M15672" s="49">
        <f>IF($A$4+156&gt;$B$4,"",$A$4+156)</f>
        <v>46179</v>
      </c>
      <c r="N15672">
        <f>IF(M15672="","",'Master Barang'!A66)</f>
        <v>0</v>
      </c>
      <c r="O15672">
        <f>IF(N15672="","",'Master Barang'!B66)</f>
        <v>0</v>
      </c>
      <c r="P15672">
        <f>IF(OR(M15672="",N15672=""),"",SUMIFS('Barang Keluar'!$E:$E,'Barang Keluar'!$A:$A,M15672,'Barang Keluar'!$C:$C,N15672))</f>
        <v>0</v>
      </c>
    </row>
    <row r="15673" spans="13:16">
      <c r="M15673" s="49">
        <f>IF($A$4+156&gt;$B$4,"",$A$4+156)</f>
        <v>46179</v>
      </c>
      <c r="N15673">
        <f>IF(M15673="","",'Master Barang'!A67)</f>
        <v>0</v>
      </c>
      <c r="O15673">
        <f>IF(N15673="","",'Master Barang'!B67)</f>
        <v>0</v>
      </c>
      <c r="P15673">
        <f>IF(OR(M15673="",N15673=""),"",SUMIFS('Barang Keluar'!$E:$E,'Barang Keluar'!$A:$A,M15673,'Barang Keluar'!$C:$C,N15673))</f>
        <v>0</v>
      </c>
    </row>
    <row r="15674" spans="13:16">
      <c r="M15674" s="49">
        <f>IF($A$4+156&gt;$B$4,"",$A$4+156)</f>
        <v>46179</v>
      </c>
      <c r="N15674">
        <f>IF(M15674="","",'Master Barang'!A68)</f>
        <v>0</v>
      </c>
      <c r="O15674">
        <f>IF(N15674="","",'Master Barang'!B68)</f>
        <v>0</v>
      </c>
      <c r="P15674">
        <f>IF(OR(M15674="",N15674=""),"",SUMIFS('Barang Keluar'!$E:$E,'Barang Keluar'!$A:$A,M15674,'Barang Keluar'!$C:$C,N15674))</f>
        <v>0</v>
      </c>
    </row>
    <row r="15675" spans="13:16">
      <c r="M15675" s="49">
        <f>IF($A$4+156&gt;$B$4,"",$A$4+156)</f>
        <v>46179</v>
      </c>
      <c r="N15675">
        <f>IF(M15675="","",'Master Barang'!A69)</f>
        <v>0</v>
      </c>
      <c r="O15675">
        <f>IF(N15675="","",'Master Barang'!B69)</f>
        <v>0</v>
      </c>
      <c r="P15675">
        <f>IF(OR(M15675="",N15675=""),"",SUMIFS('Barang Keluar'!$E:$E,'Barang Keluar'!$A:$A,M15675,'Barang Keluar'!$C:$C,N15675))</f>
        <v>0</v>
      </c>
    </row>
    <row r="15676" spans="13:16">
      <c r="M15676" s="49">
        <f>IF($A$4+156&gt;$B$4,"",$A$4+156)</f>
        <v>46179</v>
      </c>
      <c r="N15676">
        <f>IF(M15676="","",'Master Barang'!A70)</f>
        <v>0</v>
      </c>
      <c r="O15676">
        <f>IF(N15676="","",'Master Barang'!B70)</f>
        <v>0</v>
      </c>
      <c r="P15676">
        <f>IF(OR(M15676="",N15676=""),"",SUMIFS('Barang Keluar'!$E:$E,'Barang Keluar'!$A:$A,M15676,'Barang Keluar'!$C:$C,N15676))</f>
        <v>0</v>
      </c>
    </row>
    <row r="15677" spans="13:16">
      <c r="M15677" s="49">
        <f>IF($A$4+156&gt;$B$4,"",$A$4+156)</f>
        <v>46179</v>
      </c>
      <c r="N15677">
        <f>IF(M15677="","",'Master Barang'!A71)</f>
        <v>0</v>
      </c>
      <c r="O15677">
        <f>IF(N15677="","",'Master Barang'!B71)</f>
        <v>0</v>
      </c>
      <c r="P15677">
        <f>IF(OR(M15677="",N15677=""),"",SUMIFS('Barang Keluar'!$E:$E,'Barang Keluar'!$A:$A,M15677,'Barang Keluar'!$C:$C,N15677))</f>
        <v>0</v>
      </c>
    </row>
    <row r="15678" spans="13:16">
      <c r="M15678" s="49">
        <f>IF($A$4+156&gt;$B$4,"",$A$4+156)</f>
        <v>46179</v>
      </c>
      <c r="N15678">
        <f>IF(M15678="","",'Master Barang'!A72)</f>
        <v>0</v>
      </c>
      <c r="O15678">
        <f>IF(N15678="","",'Master Barang'!B72)</f>
        <v>0</v>
      </c>
      <c r="P15678">
        <f>IF(OR(M15678="",N15678=""),"",SUMIFS('Barang Keluar'!$E:$E,'Barang Keluar'!$A:$A,M15678,'Barang Keluar'!$C:$C,N15678))</f>
        <v>0</v>
      </c>
    </row>
    <row r="15679" spans="13:16">
      <c r="M15679" s="49">
        <f>IF($A$4+156&gt;$B$4,"",$A$4+156)</f>
        <v>46179</v>
      </c>
      <c r="N15679">
        <f>IF(M15679="","",'Master Barang'!A73)</f>
        <v>0</v>
      </c>
      <c r="O15679">
        <f>IF(N15679="","",'Master Barang'!B73)</f>
        <v>0</v>
      </c>
      <c r="P15679">
        <f>IF(OR(M15679="",N15679=""),"",SUMIFS('Barang Keluar'!$E:$E,'Barang Keluar'!$A:$A,M15679,'Barang Keluar'!$C:$C,N15679))</f>
        <v>0</v>
      </c>
    </row>
    <row r="15680" spans="13:16">
      <c r="M15680" s="49">
        <f>IF($A$4+156&gt;$B$4,"",$A$4+156)</f>
        <v>46179</v>
      </c>
      <c r="N15680">
        <f>IF(M15680="","",'Master Barang'!A74)</f>
        <v>0</v>
      </c>
      <c r="O15680">
        <f>IF(N15680="","",'Master Barang'!B74)</f>
        <v>0</v>
      </c>
      <c r="P15680">
        <f>IF(OR(M15680="",N15680=""),"",SUMIFS('Barang Keluar'!$E:$E,'Barang Keluar'!$A:$A,M15680,'Barang Keluar'!$C:$C,N15680))</f>
        <v>0</v>
      </c>
    </row>
    <row r="15681" spans="13:16">
      <c r="M15681" s="49">
        <f>IF($A$4+156&gt;$B$4,"",$A$4+156)</f>
        <v>46179</v>
      </c>
      <c r="N15681">
        <f>IF(M15681="","",'Master Barang'!A75)</f>
        <v>0</v>
      </c>
      <c r="O15681">
        <f>IF(N15681="","",'Master Barang'!B75)</f>
        <v>0</v>
      </c>
      <c r="P15681">
        <f>IF(OR(M15681="",N15681=""),"",SUMIFS('Barang Keluar'!$E:$E,'Barang Keluar'!$A:$A,M15681,'Barang Keluar'!$C:$C,N15681))</f>
        <v>0</v>
      </c>
    </row>
    <row r="15682" spans="13:16">
      <c r="M15682" s="49">
        <f>IF($A$4+156&gt;$B$4,"",$A$4+156)</f>
        <v>46179</v>
      </c>
      <c r="N15682">
        <f>IF(M15682="","",'Master Barang'!A76)</f>
        <v>0</v>
      </c>
      <c r="O15682">
        <f>IF(N15682="","",'Master Barang'!B76)</f>
        <v>0</v>
      </c>
      <c r="P15682">
        <f>IF(OR(M15682="",N15682=""),"",SUMIFS('Barang Keluar'!$E:$E,'Barang Keluar'!$A:$A,M15682,'Barang Keluar'!$C:$C,N15682))</f>
        <v>0</v>
      </c>
    </row>
    <row r="15683" spans="13:16">
      <c r="M15683" s="49">
        <f>IF($A$4+156&gt;$B$4,"",$A$4+156)</f>
        <v>46179</v>
      </c>
      <c r="N15683">
        <f>IF(M15683="","",'Master Barang'!A77)</f>
        <v>0</v>
      </c>
      <c r="O15683">
        <f>IF(N15683="","",'Master Barang'!B77)</f>
        <v>0</v>
      </c>
      <c r="P15683">
        <f>IF(OR(M15683="",N15683=""),"",SUMIFS('Barang Keluar'!$E:$E,'Barang Keluar'!$A:$A,M15683,'Barang Keluar'!$C:$C,N15683))</f>
        <v>0</v>
      </c>
    </row>
    <row r="15684" spans="13:16">
      <c r="M15684" s="49">
        <f>IF($A$4+156&gt;$B$4,"",$A$4+156)</f>
        <v>46179</v>
      </c>
      <c r="N15684">
        <f>IF(M15684="","",'Master Barang'!A78)</f>
        <v>0</v>
      </c>
      <c r="O15684">
        <f>IF(N15684="","",'Master Barang'!B78)</f>
        <v>0</v>
      </c>
      <c r="P15684">
        <f>IF(OR(M15684="",N15684=""),"",SUMIFS('Barang Keluar'!$E:$E,'Barang Keluar'!$A:$A,M15684,'Barang Keluar'!$C:$C,N15684))</f>
        <v>0</v>
      </c>
    </row>
    <row r="15685" spans="13:16">
      <c r="M15685" s="49">
        <f>IF($A$4+156&gt;$B$4,"",$A$4+156)</f>
        <v>46179</v>
      </c>
      <c r="N15685">
        <f>IF(M15685="","",'Master Barang'!A79)</f>
        <v>0</v>
      </c>
      <c r="O15685">
        <f>IF(N15685="","",'Master Barang'!B79)</f>
        <v>0</v>
      </c>
      <c r="P15685">
        <f>IF(OR(M15685="",N15685=""),"",SUMIFS('Barang Keluar'!$E:$E,'Barang Keluar'!$A:$A,M15685,'Barang Keluar'!$C:$C,N15685))</f>
        <v>0</v>
      </c>
    </row>
    <row r="15686" spans="13:16">
      <c r="M15686" s="49">
        <f>IF($A$4+156&gt;$B$4,"",$A$4+156)</f>
        <v>46179</v>
      </c>
      <c r="N15686">
        <f>IF(M15686="","",'Master Barang'!A80)</f>
        <v>0</v>
      </c>
      <c r="O15686">
        <f>IF(N15686="","",'Master Barang'!B80)</f>
        <v>0</v>
      </c>
      <c r="P15686">
        <f>IF(OR(M15686="",N15686=""),"",SUMIFS('Barang Keluar'!$E:$E,'Barang Keluar'!$A:$A,M15686,'Barang Keluar'!$C:$C,N15686))</f>
        <v>0</v>
      </c>
    </row>
    <row r="15687" spans="13:16">
      <c r="M15687" s="49">
        <f>IF($A$4+156&gt;$B$4,"",$A$4+156)</f>
        <v>46179</v>
      </c>
      <c r="N15687">
        <f>IF(M15687="","",'Master Barang'!A81)</f>
        <v>0</v>
      </c>
      <c r="O15687">
        <f>IF(N15687="","",'Master Barang'!B81)</f>
        <v>0</v>
      </c>
      <c r="P15687">
        <f>IF(OR(M15687="",N15687=""),"",SUMIFS('Barang Keluar'!$E:$E,'Barang Keluar'!$A:$A,M15687,'Barang Keluar'!$C:$C,N15687))</f>
        <v>0</v>
      </c>
    </row>
    <row r="15688" spans="13:16">
      <c r="M15688" s="49">
        <f>IF($A$4+156&gt;$B$4,"",$A$4+156)</f>
        <v>46179</v>
      </c>
      <c r="N15688">
        <f>IF(M15688="","",'Master Barang'!A82)</f>
        <v>0</v>
      </c>
      <c r="O15688">
        <f>IF(N15688="","",'Master Barang'!B82)</f>
        <v>0</v>
      </c>
      <c r="P15688">
        <f>IF(OR(M15688="",N15688=""),"",SUMIFS('Barang Keluar'!$E:$E,'Barang Keluar'!$A:$A,M15688,'Barang Keluar'!$C:$C,N15688))</f>
        <v>0</v>
      </c>
    </row>
    <row r="15689" spans="13:16">
      <c r="M15689" s="49">
        <f>IF($A$4+156&gt;$B$4,"",$A$4+156)</f>
        <v>46179</v>
      </c>
      <c r="N15689">
        <f>IF(M15689="","",'Master Barang'!A83)</f>
        <v>0</v>
      </c>
      <c r="O15689">
        <f>IF(N15689="","",'Master Barang'!B83)</f>
        <v>0</v>
      </c>
      <c r="P15689">
        <f>IF(OR(M15689="",N15689=""),"",SUMIFS('Barang Keluar'!$E:$E,'Barang Keluar'!$A:$A,M15689,'Barang Keluar'!$C:$C,N15689))</f>
        <v>0</v>
      </c>
    </row>
    <row r="15690" spans="13:16">
      <c r="M15690" s="49">
        <f>IF($A$4+156&gt;$B$4,"",$A$4+156)</f>
        <v>46179</v>
      </c>
      <c r="N15690">
        <f>IF(M15690="","",'Master Barang'!A84)</f>
        <v>0</v>
      </c>
      <c r="O15690">
        <f>IF(N15690="","",'Master Barang'!B84)</f>
        <v>0</v>
      </c>
      <c r="P15690">
        <f>IF(OR(M15690="",N15690=""),"",SUMIFS('Barang Keluar'!$E:$E,'Barang Keluar'!$A:$A,M15690,'Barang Keluar'!$C:$C,N15690))</f>
        <v>0</v>
      </c>
    </row>
    <row r="15691" spans="13:16">
      <c r="M15691" s="49">
        <f>IF($A$4+156&gt;$B$4,"",$A$4+156)</f>
        <v>46179</v>
      </c>
      <c r="N15691">
        <f>IF(M15691="","",'Master Barang'!A85)</f>
        <v>0</v>
      </c>
      <c r="O15691">
        <f>IF(N15691="","",'Master Barang'!B85)</f>
        <v>0</v>
      </c>
      <c r="P15691">
        <f>IF(OR(M15691="",N15691=""),"",SUMIFS('Barang Keluar'!$E:$E,'Barang Keluar'!$A:$A,M15691,'Barang Keluar'!$C:$C,N15691))</f>
        <v>0</v>
      </c>
    </row>
    <row r="15692" spans="13:16">
      <c r="M15692" s="49">
        <f>IF($A$4+156&gt;$B$4,"",$A$4+156)</f>
        <v>46179</v>
      </c>
      <c r="N15692">
        <f>IF(M15692="","",'Master Barang'!A86)</f>
        <v>0</v>
      </c>
      <c r="O15692">
        <f>IF(N15692="","",'Master Barang'!B86)</f>
        <v>0</v>
      </c>
      <c r="P15692">
        <f>IF(OR(M15692="",N15692=""),"",SUMIFS('Barang Keluar'!$E:$E,'Barang Keluar'!$A:$A,M15692,'Barang Keluar'!$C:$C,N15692))</f>
        <v>0</v>
      </c>
    </row>
    <row r="15693" spans="13:16">
      <c r="M15693" s="49">
        <f>IF($A$4+156&gt;$B$4,"",$A$4+156)</f>
        <v>46179</v>
      </c>
      <c r="N15693">
        <f>IF(M15693="","",'Master Barang'!A87)</f>
        <v>0</v>
      </c>
      <c r="O15693">
        <f>IF(N15693="","",'Master Barang'!B87)</f>
        <v>0</v>
      </c>
      <c r="P15693">
        <f>IF(OR(M15693="",N15693=""),"",SUMIFS('Barang Keluar'!$E:$E,'Barang Keluar'!$A:$A,M15693,'Barang Keluar'!$C:$C,N15693))</f>
        <v>0</v>
      </c>
    </row>
    <row r="15694" spans="13:16">
      <c r="M15694" s="49">
        <f>IF($A$4+156&gt;$B$4,"",$A$4+156)</f>
        <v>46179</v>
      </c>
      <c r="N15694">
        <f>IF(M15694="","",'Master Barang'!A88)</f>
        <v>0</v>
      </c>
      <c r="O15694">
        <f>IF(N15694="","",'Master Barang'!B88)</f>
        <v>0</v>
      </c>
      <c r="P15694">
        <f>IF(OR(M15694="",N15694=""),"",SUMIFS('Barang Keluar'!$E:$E,'Barang Keluar'!$A:$A,M15694,'Barang Keluar'!$C:$C,N15694))</f>
        <v>0</v>
      </c>
    </row>
    <row r="15695" spans="13:16">
      <c r="M15695" s="49">
        <f>IF($A$4+156&gt;$B$4,"",$A$4+156)</f>
        <v>46179</v>
      </c>
      <c r="N15695">
        <f>IF(M15695="","",'Master Barang'!A89)</f>
        <v>0</v>
      </c>
      <c r="O15695">
        <f>IF(N15695="","",'Master Barang'!B89)</f>
        <v>0</v>
      </c>
      <c r="P15695">
        <f>IF(OR(M15695="",N15695=""),"",SUMIFS('Barang Keluar'!$E:$E,'Barang Keluar'!$A:$A,M15695,'Barang Keluar'!$C:$C,N15695))</f>
        <v>0</v>
      </c>
    </row>
    <row r="15696" spans="13:16">
      <c r="M15696" s="49">
        <f>IF($A$4+156&gt;$B$4,"",$A$4+156)</f>
        <v>46179</v>
      </c>
      <c r="N15696">
        <f>IF(M15696="","",'Master Barang'!A90)</f>
        <v>0</v>
      </c>
      <c r="O15696">
        <f>IF(N15696="","",'Master Barang'!B90)</f>
        <v>0</v>
      </c>
      <c r="P15696">
        <f>IF(OR(M15696="",N15696=""),"",SUMIFS('Barang Keluar'!$E:$E,'Barang Keluar'!$A:$A,M15696,'Barang Keluar'!$C:$C,N15696))</f>
        <v>0</v>
      </c>
    </row>
    <row r="15697" spans="13:16">
      <c r="M15697" s="49">
        <f>IF($A$4+156&gt;$B$4,"",$A$4+156)</f>
        <v>46179</v>
      </c>
      <c r="N15697">
        <f>IF(M15697="","",'Master Barang'!A91)</f>
        <v>0</v>
      </c>
      <c r="O15697">
        <f>IF(N15697="","",'Master Barang'!B91)</f>
        <v>0</v>
      </c>
      <c r="P15697">
        <f>IF(OR(M15697="",N15697=""),"",SUMIFS('Barang Keluar'!$E:$E,'Barang Keluar'!$A:$A,M15697,'Barang Keluar'!$C:$C,N15697))</f>
        <v>0</v>
      </c>
    </row>
    <row r="15698" spans="13:16">
      <c r="M15698" s="49">
        <f>IF($A$4+156&gt;$B$4,"",$A$4+156)</f>
        <v>46179</v>
      </c>
      <c r="N15698">
        <f>IF(M15698="","",'Master Barang'!A92)</f>
        <v>0</v>
      </c>
      <c r="O15698">
        <f>IF(N15698="","",'Master Barang'!B92)</f>
        <v>0</v>
      </c>
      <c r="P15698">
        <f>IF(OR(M15698="",N15698=""),"",SUMIFS('Barang Keluar'!$E:$E,'Barang Keluar'!$A:$A,M15698,'Barang Keluar'!$C:$C,N15698))</f>
        <v>0</v>
      </c>
    </row>
    <row r="15699" spans="13:16">
      <c r="M15699" s="49">
        <f>IF($A$4+156&gt;$B$4,"",$A$4+156)</f>
        <v>46179</v>
      </c>
      <c r="N15699">
        <f>IF(M15699="","",'Master Barang'!A93)</f>
        <v>0</v>
      </c>
      <c r="O15699">
        <f>IF(N15699="","",'Master Barang'!B93)</f>
        <v>0</v>
      </c>
      <c r="P15699">
        <f>IF(OR(M15699="",N15699=""),"",SUMIFS('Barang Keluar'!$E:$E,'Barang Keluar'!$A:$A,M15699,'Barang Keluar'!$C:$C,N15699))</f>
        <v>0</v>
      </c>
    </row>
    <row r="15700" spans="13:16">
      <c r="M15700" s="49">
        <f>IF($A$4+156&gt;$B$4,"",$A$4+156)</f>
        <v>46179</v>
      </c>
      <c r="N15700">
        <f>IF(M15700="","",'Master Barang'!A94)</f>
        <v>0</v>
      </c>
      <c r="O15700">
        <f>IF(N15700="","",'Master Barang'!B94)</f>
        <v>0</v>
      </c>
      <c r="P15700">
        <f>IF(OR(M15700="",N15700=""),"",SUMIFS('Barang Keluar'!$E:$E,'Barang Keluar'!$A:$A,M15700,'Barang Keluar'!$C:$C,N15700))</f>
        <v>0</v>
      </c>
    </row>
    <row r="15701" spans="13:16">
      <c r="M15701" s="49">
        <f>IF($A$4+156&gt;$B$4,"",$A$4+156)</f>
        <v>46179</v>
      </c>
      <c r="N15701">
        <f>IF(M15701="","",'Master Barang'!A95)</f>
        <v>0</v>
      </c>
      <c r="O15701">
        <f>IF(N15701="","",'Master Barang'!B95)</f>
        <v>0</v>
      </c>
      <c r="P15701">
        <f>IF(OR(M15701="",N15701=""),"",SUMIFS('Barang Keluar'!$E:$E,'Barang Keluar'!$A:$A,M15701,'Barang Keluar'!$C:$C,N15701))</f>
        <v>0</v>
      </c>
    </row>
    <row r="15702" spans="13:16">
      <c r="M15702" s="49">
        <f>IF($A$4+156&gt;$B$4,"",$A$4+156)</f>
        <v>46179</v>
      </c>
      <c r="N15702">
        <f>IF(M15702="","",'Master Barang'!A96)</f>
        <v>0</v>
      </c>
      <c r="O15702">
        <f>IF(N15702="","",'Master Barang'!B96)</f>
        <v>0</v>
      </c>
      <c r="P15702">
        <f>IF(OR(M15702="",N15702=""),"",SUMIFS('Barang Keluar'!$E:$E,'Barang Keluar'!$A:$A,M15702,'Barang Keluar'!$C:$C,N15702))</f>
        <v>0</v>
      </c>
    </row>
    <row r="15703" spans="13:16">
      <c r="M15703" s="49">
        <f>IF($A$4+156&gt;$B$4,"",$A$4+156)</f>
        <v>46179</v>
      </c>
      <c r="N15703">
        <f>IF(M15703="","",'Master Barang'!A97)</f>
        <v>0</v>
      </c>
      <c r="O15703">
        <f>IF(N15703="","",'Master Barang'!B97)</f>
        <v>0</v>
      </c>
      <c r="P15703">
        <f>IF(OR(M15703="",N15703=""),"",SUMIFS('Barang Keluar'!$E:$E,'Barang Keluar'!$A:$A,M15703,'Barang Keluar'!$C:$C,N15703))</f>
        <v>0</v>
      </c>
    </row>
    <row r="15704" spans="13:16">
      <c r="M15704" s="49">
        <f>IF($A$4+156&gt;$B$4,"",$A$4+156)</f>
        <v>46179</v>
      </c>
      <c r="N15704">
        <f>IF(M15704="","",'Master Barang'!A98)</f>
        <v>0</v>
      </c>
      <c r="O15704">
        <f>IF(N15704="","",'Master Barang'!B98)</f>
        <v>0</v>
      </c>
      <c r="P15704">
        <f>IF(OR(M15704="",N15704=""),"",SUMIFS('Barang Keluar'!$E:$E,'Barang Keluar'!$A:$A,M15704,'Barang Keluar'!$C:$C,N15704))</f>
        <v>0</v>
      </c>
    </row>
    <row r="15705" spans="13:16">
      <c r="M15705" s="49">
        <f>IF($A$4+156&gt;$B$4,"",$A$4+156)</f>
        <v>46179</v>
      </c>
      <c r="N15705">
        <f>IF(M15705="","",'Master Barang'!A99)</f>
        <v>0</v>
      </c>
      <c r="O15705">
        <f>IF(N15705="","",'Master Barang'!B99)</f>
        <v>0</v>
      </c>
      <c r="P15705">
        <f>IF(OR(M15705="",N15705=""),"",SUMIFS('Barang Keluar'!$E:$E,'Barang Keluar'!$A:$A,M15705,'Barang Keluar'!$C:$C,N15705))</f>
        <v>0</v>
      </c>
    </row>
    <row r="15706" spans="13:16">
      <c r="M15706" s="49">
        <f>IF($A$4+156&gt;$B$4,"",$A$4+156)</f>
        <v>46179</v>
      </c>
      <c r="N15706">
        <f>IF(M15706="","",'Master Barang'!A100)</f>
        <v>0</v>
      </c>
      <c r="O15706">
        <f>IF(N15706="","",'Master Barang'!B100)</f>
        <v>0</v>
      </c>
      <c r="P15706">
        <f>IF(OR(M15706="",N15706=""),"",SUMIFS('Barang Keluar'!$E:$E,'Barang Keluar'!$A:$A,M15706,'Barang Keluar'!$C:$C,N15706))</f>
        <v>0</v>
      </c>
    </row>
    <row r="15707" spans="13:16">
      <c r="M15707" s="49">
        <f>IF($A$4+156&gt;$B$4,"",$A$4+156)</f>
        <v>46179</v>
      </c>
      <c r="N15707">
        <f>IF(M15707="","",'Master Barang'!A101)</f>
        <v>0</v>
      </c>
      <c r="O15707">
        <f>IF(N15707="","",'Master Barang'!B101)</f>
        <v>0</v>
      </c>
      <c r="P15707">
        <f>IF(OR(M15707="",N15707=""),"",SUMIFS('Barang Keluar'!$E:$E,'Barang Keluar'!$A:$A,M15707,'Barang Keluar'!$C:$C,N15707))</f>
        <v>0</v>
      </c>
    </row>
    <row r="15708" spans="13:16">
      <c r="M15708" s="49">
        <f>IF($A$4+157&gt;$B$4,"",$A$4+157)</f>
        <v>46180</v>
      </c>
      <c r="N15708" t="str">
        <f>IF(M15708="","",'Master Barang'!A2)</f>
        <v>PRL-001</v>
      </c>
      <c r="O15708" t="str">
        <f>IF(N15708="","",'Master Barang'!B2)</f>
        <v>natura desinfectant food grade 5l</v>
      </c>
      <c r="P15708">
        <f>IF(OR(M15708="",N15708=""),"",SUMIFS('Barang Keluar'!$E:$E,'Barang Keluar'!$A:$A,M15708,'Barang Keluar'!$C:$C,N15708))</f>
        <v>0</v>
      </c>
    </row>
    <row r="15709" spans="13:16">
      <c r="M15709" s="49">
        <f>IF($A$4+157&gt;$B$4,"",$A$4+157)</f>
        <v>46180</v>
      </c>
      <c r="N15709" t="str">
        <f>IF(M15709="","",'Master Barang'!A3)</f>
        <v>PRL-002</v>
      </c>
      <c r="O15709" t="str">
        <f>IF(N15709="","",'Master Barang'!B3)</f>
        <v>sunlight cairan pencuci piring 5l</v>
      </c>
      <c r="P15709">
        <f>IF(OR(M15709="",N15709=""),"",SUMIFS('Barang Keluar'!$E:$E,'Barang Keluar'!$A:$A,M15709,'Barang Keluar'!$C:$C,N15709))</f>
        <v>0</v>
      </c>
    </row>
    <row r="15710" spans="13:16">
      <c r="M15710" s="49">
        <f>IF($A$4+157&gt;$B$4,"",$A$4+157)</f>
        <v>46180</v>
      </c>
      <c r="N15710" t="str">
        <f>IF(M15710="","",'Master Barang'!A4)</f>
        <v>PRL-003</v>
      </c>
      <c r="O15710" t="str">
        <f>IF(N15710="","",'Master Barang'!B4)</f>
        <v>oixs cleaner 1l</v>
      </c>
      <c r="P15710">
        <f>IF(OR(M15710="",N15710=""),"",SUMIFS('Barang Keluar'!$E:$E,'Barang Keluar'!$A:$A,M15710,'Barang Keluar'!$C:$C,N15710))</f>
        <v>0</v>
      </c>
    </row>
    <row r="15711" spans="13:16">
      <c r="M15711" s="49">
        <f>IF($A$4+157&gt;$B$4,"",$A$4+157)</f>
        <v>46180</v>
      </c>
      <c r="N15711" t="str">
        <f>IF(M15711="","",'Master Barang'!A5)</f>
        <v>PRL-004</v>
      </c>
      <c r="O15711" t="str">
        <f>IF(N15711="","",'Master Barang'!B5)</f>
        <v>be clean tissue serbaguna</v>
      </c>
      <c r="P15711">
        <f>IF(OR(M15711="",N15711=""),"",SUMIFS('Barang Keluar'!$E:$E,'Barang Keluar'!$A:$A,M15711,'Barang Keluar'!$C:$C,N15711))</f>
        <v>0</v>
      </c>
    </row>
    <row r="15712" spans="13:16">
      <c r="M15712" s="49">
        <f>IF($A$4+157&gt;$B$4,"",$A$4+157)</f>
        <v>46180</v>
      </c>
      <c r="N15712" t="str">
        <f>IF(M15712="","",'Master Barang'!A6)</f>
        <v>PRL-005</v>
      </c>
      <c r="O15712" t="str">
        <f>IF(N15712="","",'Master Barang'!B6)</f>
        <v>spons cuci hijau</v>
      </c>
      <c r="P15712">
        <f>IF(OR(M15712="",N15712=""),"",SUMIFS('Barang Keluar'!$E:$E,'Barang Keluar'!$A:$A,M15712,'Barang Keluar'!$C:$C,N15712))</f>
        <v>0</v>
      </c>
    </row>
    <row r="15713" spans="13:16">
      <c r="M15713" s="49">
        <f>IF($A$4+157&gt;$B$4,"",$A$4+157)</f>
        <v>46180</v>
      </c>
      <c r="N15713" t="str">
        <f>IF(M15713="","",'Master Barang'!A7)</f>
        <v>PRL-006</v>
      </c>
      <c r="O15713" t="str">
        <f>IF(N15713="","",'Master Barang'!B7)</f>
        <v>sabut cuci stainless</v>
      </c>
      <c r="P15713">
        <f>IF(OR(M15713="",N15713=""),"",SUMIFS('Barang Keluar'!$E:$E,'Barang Keluar'!$A:$A,M15713,'Barang Keluar'!$C:$C,N15713))</f>
        <v>0</v>
      </c>
    </row>
    <row r="15714" spans="13:16">
      <c r="M15714" s="49">
        <f>IF($A$4+157&gt;$B$4,"",$A$4+157)</f>
        <v>46180</v>
      </c>
      <c r="N15714" t="str">
        <f>IF(M15714="","",'Master Barang'!A8)</f>
        <v>PRL-007</v>
      </c>
      <c r="O15714" t="str">
        <f>IF(N15714="","",'Master Barang'!B8)</f>
        <v>plastik kresek besar merah 50pc</v>
      </c>
      <c r="P15714">
        <f>IF(OR(M15714="",N15714=""),"",SUMIFS('Barang Keluar'!$E:$E,'Barang Keluar'!$A:$A,M15714,'Barang Keluar'!$C:$C,N15714))</f>
        <v>0</v>
      </c>
    </row>
    <row r="15715" spans="13:16">
      <c r="M15715" s="49">
        <f>IF($A$4+157&gt;$B$4,"",$A$4+157)</f>
        <v>46180</v>
      </c>
      <c r="N15715" t="str">
        <f>IF(M15715="","",'Master Barang'!A9)</f>
        <v>PRL-008</v>
      </c>
      <c r="O15715" t="str">
        <f>IF(N15715="","",'Master Barang'!B9)</f>
        <v>lap besar</v>
      </c>
      <c r="P15715">
        <f>IF(OR(M15715="",N15715=""),"",SUMIFS('Barang Keluar'!$E:$E,'Barang Keluar'!$A:$A,M15715,'Barang Keluar'!$C:$C,N15715))</f>
        <v>0</v>
      </c>
    </row>
    <row r="15716" spans="13:16">
      <c r="M15716" s="49">
        <f>IF($A$4+157&gt;$B$4,"",$A$4+157)</f>
        <v>46180</v>
      </c>
      <c r="N15716" t="str">
        <f>IF(M15716="","",'Master Barang'!A10)</f>
        <v>PRL-009</v>
      </c>
      <c r="O15716" t="str">
        <f>IF(N15716="","",'Master Barang'!B10)</f>
        <v>lap microfiber</v>
      </c>
      <c r="P15716">
        <f>IF(OR(M15716="",N15716=""),"",SUMIFS('Barang Keluar'!$E:$E,'Barang Keluar'!$A:$A,M15716,'Barang Keluar'!$C:$C,N15716))</f>
        <v>0</v>
      </c>
    </row>
    <row r="15717" spans="13:16">
      <c r="M15717" s="49">
        <f>IF($A$4+157&gt;$B$4,"",$A$4+157)</f>
        <v>46180</v>
      </c>
      <c r="N15717" t="str">
        <f>IF(M15717="","",'Master Barang'!A11)</f>
        <v>PRL-010</v>
      </c>
      <c r="O15717" t="str">
        <f>IF(N15717="","",'Master Barang'!B11)</f>
        <v>lap kecil</v>
      </c>
      <c r="P15717">
        <f>IF(OR(M15717="",N15717=""),"",SUMIFS('Barang Keluar'!$E:$E,'Barang Keluar'!$A:$A,M15717,'Barang Keluar'!$C:$C,N15717))</f>
        <v>0</v>
      </c>
    </row>
    <row r="15718" spans="13:16">
      <c r="M15718" s="49">
        <f>IF($A$4+157&gt;$B$4,"",$A$4+157)</f>
        <v>46180</v>
      </c>
      <c r="N15718" t="str">
        <f>IF(M15718="","",'Master Barang'!A12)</f>
        <v>PRL-011</v>
      </c>
      <c r="O15718" t="str">
        <f>IF(N15718="","",'Master Barang'!B12)</f>
        <v>kanebo kecil</v>
      </c>
      <c r="P15718">
        <f>IF(OR(M15718="",N15718=""),"",SUMIFS('Barang Keluar'!$E:$E,'Barang Keluar'!$A:$A,M15718,'Barang Keluar'!$C:$C,N15718))</f>
        <v>0</v>
      </c>
    </row>
    <row r="15719" spans="13:16">
      <c r="M15719" s="49">
        <f>IF($A$4+157&gt;$B$4,"",$A$4+157)</f>
        <v>46180</v>
      </c>
      <c r="N15719" t="str">
        <f>IF(M15719="","",'Master Barang'!A13)</f>
        <v>PRL-012</v>
      </c>
      <c r="O15719" t="str">
        <f>IF(N15719="","",'Master Barang'!B13)</f>
        <v>plastik 1/4kg joyoboyo 100 lembar</v>
      </c>
      <c r="P15719">
        <f>IF(OR(M15719="",N15719=""),"",SUMIFS('Barang Keluar'!$E:$E,'Barang Keluar'!$A:$A,M15719,'Barang Keluar'!$C:$C,N15719))</f>
        <v>0</v>
      </c>
    </row>
    <row r="15720" spans="13:16">
      <c r="M15720" s="49">
        <f>IF($A$4+157&gt;$B$4,"",$A$4+157)</f>
        <v>46180</v>
      </c>
      <c r="N15720" t="str">
        <f>IF(M15720="","",'Master Barang'!A14)</f>
        <v>PRL-013</v>
      </c>
      <c r="O15720" t="str">
        <f>IF(N15720="","",'Master Barang'!B14)</f>
        <v>sarung tangan plastik kaka 100 pcs</v>
      </c>
      <c r="P15720">
        <f>IF(OR(M15720="",N15720=""),"",SUMIFS('Barang Keluar'!$E:$E,'Barang Keluar'!$A:$A,M15720,'Barang Keluar'!$C:$C,N15720))</f>
        <v>0</v>
      </c>
    </row>
    <row r="15721" spans="13:16">
      <c r="M15721" s="49">
        <f>IF($A$4+157&gt;$B$4,"",$A$4+157)</f>
        <v>46180</v>
      </c>
      <c r="N15721" t="str">
        <f>IF(M15721="","",'Master Barang'!A15)</f>
        <v>PRL-014</v>
      </c>
      <c r="O15721" t="str">
        <f>IF(N15721="","",'Master Barang'!B15)</f>
        <v>optima trashbag 80x100</v>
      </c>
      <c r="P15721">
        <f>IF(OR(M15721="",N15721=""),"",SUMIFS('Barang Keluar'!$E:$E,'Barang Keluar'!$A:$A,M15721,'Barang Keluar'!$C:$C,N15721))</f>
        <v>0</v>
      </c>
    </row>
    <row r="15722" spans="13:16">
      <c r="M15722" s="49">
        <f>IF($A$4+157&gt;$B$4,"",$A$4+157)</f>
        <v>46180</v>
      </c>
      <c r="N15722" t="str">
        <f>IF(M15722="","",'Master Barang'!A16)</f>
        <v>PRL-015</v>
      </c>
      <c r="O15722" t="str">
        <f>IF(N15722="","",'Master Barang'!B16)</f>
        <v>optima trashbag 60x100</v>
      </c>
      <c r="P15722">
        <f>IF(OR(M15722="",N15722=""),"",SUMIFS('Barang Keluar'!$E:$E,'Barang Keluar'!$A:$A,M15722,'Barang Keluar'!$C:$C,N15722))</f>
        <v>0</v>
      </c>
    </row>
    <row r="15723" spans="13:16">
      <c r="M15723" s="49">
        <f>IF($A$4+157&gt;$B$4,"",$A$4+157)</f>
        <v>46180</v>
      </c>
      <c r="N15723" t="str">
        <f>IF(M15723="","",'Master Barang'!A17)</f>
        <v>PRL-016</v>
      </c>
      <c r="O15723" t="str">
        <f>IF(N15723="","",'Master Barang'!B17)</f>
        <v>rajawali trashbag 30x40</v>
      </c>
      <c r="P15723">
        <f>IF(OR(M15723="",N15723=""),"",SUMIFS('Barang Keluar'!$E:$E,'Barang Keluar'!$A:$A,M15723,'Barang Keluar'!$C:$C,N15723))</f>
        <v>0</v>
      </c>
    </row>
    <row r="15724" spans="13:16">
      <c r="M15724" s="49">
        <f>IF($A$4+157&gt;$B$4,"",$A$4+157)</f>
        <v>46180</v>
      </c>
      <c r="N15724" t="str">
        <f>IF(M15724="","",'Master Barang'!A18)</f>
        <v>PRL-017</v>
      </c>
      <c r="O15724" t="str">
        <f>IF(N15724="","",'Master Barang'!B18)</f>
        <v>onemed masker biru 3 play 50 pcs</v>
      </c>
      <c r="P15724">
        <f>IF(OR(M15724="",N15724=""),"",SUMIFS('Barang Keluar'!$E:$E,'Barang Keluar'!$A:$A,M15724,'Barang Keluar'!$C:$C,N15724))</f>
        <v>0</v>
      </c>
    </row>
    <row r="15725" spans="13:16">
      <c r="M15725" s="49">
        <f>IF($A$4+157&gt;$B$4,"",$A$4+157)</f>
        <v>46180</v>
      </c>
      <c r="N15725" t="str">
        <f>IF(M15725="","",'Master Barang'!A19)</f>
        <v>PRL-018</v>
      </c>
      <c r="O15725" t="str">
        <f>IF(N15725="","",'Master Barang'!B19)</f>
        <v>onemed masker biru 3 play hijab 50 pcs</v>
      </c>
      <c r="P15725">
        <f>IF(OR(M15725="",N15725=""),"",SUMIFS('Barang Keluar'!$E:$E,'Barang Keluar'!$A:$A,M15725,'Barang Keluar'!$C:$C,N15725))</f>
        <v>0</v>
      </c>
    </row>
    <row r="15726" spans="13:16">
      <c r="M15726" s="49">
        <f>IF($A$4+157&gt;$B$4,"",$A$4+157)</f>
        <v>46180</v>
      </c>
      <c r="N15726" t="str">
        <f>IF(M15726="","",'Master Barang'!A20)</f>
        <v>PRL-019</v>
      </c>
      <c r="O15726" t="str">
        <f>IF(N15726="","",'Master Barang'!B20)</f>
        <v>neo health masker biru 3 play 50 pcs</v>
      </c>
      <c r="P15726">
        <f>IF(OR(M15726="",N15726=""),"",SUMIFS('Barang Keluar'!$E:$E,'Barang Keluar'!$A:$A,M15726,'Barang Keluar'!$C:$C,N15726))</f>
        <v>0</v>
      </c>
    </row>
    <row r="15727" spans="13:16">
      <c r="M15727" s="49">
        <f>IF($A$4+157&gt;$B$4,"",$A$4+157)</f>
        <v>46180</v>
      </c>
      <c r="N15727" t="str">
        <f>IF(M15727="","",'Master Barang'!A21)</f>
        <v>PRL-020</v>
      </c>
      <c r="O15727" t="str">
        <f>IF(N15727="","",'Master Barang'!B21)</f>
        <v>baymed masker hijau 3 play hijau 50 pcs</v>
      </c>
      <c r="P15727">
        <f>IF(OR(M15727="",N15727=""),"",SUMIFS('Barang Keluar'!$E:$E,'Barang Keluar'!$A:$A,M15727,'Barang Keluar'!$C:$C,N15727))</f>
        <v>0</v>
      </c>
    </row>
    <row r="15728" spans="13:16">
      <c r="M15728" s="49">
        <f>IF($A$4+157&gt;$B$4,"",$A$4+157)</f>
        <v>46180</v>
      </c>
      <c r="N15728" t="str">
        <f>IF(M15728="","",'Master Barang'!A22)</f>
        <v>PRL-021</v>
      </c>
      <c r="O15728" t="str">
        <f>IF(N15728="","",'Master Barang'!B22)</f>
        <v>altamed nurse cap penutup kepala 100 pcs</v>
      </c>
      <c r="P15728">
        <f>IF(OR(M15728="",N15728=""),"",SUMIFS('Barang Keluar'!$E:$E,'Barang Keluar'!$A:$A,M15728,'Barang Keluar'!$C:$C,N15728))</f>
        <v>0</v>
      </c>
    </row>
    <row r="15729" spans="13:16">
      <c r="M15729" s="49">
        <f>IF($A$4+157&gt;$B$4,"",$A$4+157)</f>
        <v>46180</v>
      </c>
      <c r="N15729" t="str">
        <f>IF(M15729="","",'Master Barang'!A23)</f>
        <v>PRL-022</v>
      </c>
      <c r="O15729" t="str">
        <f>IF(N15729="","",'Master Barang'!B23)</f>
        <v>sabun cuci tangan</v>
      </c>
      <c r="P15729">
        <f>IF(OR(M15729="",N15729=""),"",SUMIFS('Barang Keluar'!$E:$E,'Barang Keluar'!$A:$A,M15729,'Barang Keluar'!$C:$C,N15729))</f>
        <v>0</v>
      </c>
    </row>
    <row r="15730" spans="13:16">
      <c r="M15730" s="49">
        <f>IF($A$4+157&gt;$B$4,"",$A$4+157)</f>
        <v>46180</v>
      </c>
      <c r="N15730" t="str">
        <f>IF(M15730="","",'Master Barang'!A24)</f>
        <v>PRL-023</v>
      </c>
      <c r="O15730" t="str">
        <f>IF(N15730="","",'Master Barang'!B24)</f>
        <v>gayung kecil</v>
      </c>
      <c r="P15730">
        <f>IF(OR(M15730="",N15730=""),"",SUMIFS('Barang Keluar'!$E:$E,'Barang Keluar'!$A:$A,M15730,'Barang Keluar'!$C:$C,N15730))</f>
        <v>0</v>
      </c>
    </row>
    <row r="15731" spans="13:16">
      <c r="M15731" s="49">
        <f>IF($A$4+157&gt;$B$4,"",$A$4+157)</f>
        <v>46180</v>
      </c>
      <c r="N15731" t="str">
        <f>IF(M15731="","",'Master Barang'!A25)</f>
        <v>PRL-024</v>
      </c>
      <c r="O15731" t="str">
        <f>IF(N15731="","",'Master Barang'!B25)</f>
        <v>cikrak kecil</v>
      </c>
      <c r="P15731">
        <f>IF(OR(M15731="",N15731=""),"",SUMIFS('Barang Keluar'!$E:$E,'Barang Keluar'!$A:$A,M15731,'Barang Keluar'!$C:$C,N15731))</f>
        <v>0</v>
      </c>
    </row>
    <row r="15732" spans="13:16">
      <c r="M15732" s="49">
        <f>IF($A$4+157&gt;$B$4,"",$A$4+157)</f>
        <v>46180</v>
      </c>
      <c r="N15732" t="str">
        <f>IF(M15732="","",'Master Barang'!A26)</f>
        <v>PRL-025</v>
      </c>
      <c r="O15732" t="str">
        <f>IF(N15732="","",'Master Barang'!B26)</f>
        <v>petromax plastik kecil 12x24 100 lembar</v>
      </c>
      <c r="P15732">
        <f>IF(OR(M15732="",N15732=""),"",SUMIFS('Barang Keluar'!$E:$E,'Barang Keluar'!$A:$A,M15732,'Barang Keluar'!$C:$C,N15732))</f>
        <v>0</v>
      </c>
    </row>
    <row r="15733" spans="13:16">
      <c r="M15733" s="49">
        <f>IF($A$4+157&gt;$B$4,"",$A$4+157)</f>
        <v>46180</v>
      </c>
      <c r="N15733" t="str">
        <f>IF(M15733="","",'Master Barang'!A27)</f>
        <v>PRL-026</v>
      </c>
      <c r="O15733" t="str">
        <f>IF(N15733="","",'Master Barang'!B27)</f>
        <v>lancar kresek kecil bening </v>
      </c>
      <c r="P15733">
        <f>IF(OR(M15733="",N15733=""),"",SUMIFS('Barang Keluar'!$E:$E,'Barang Keluar'!$A:$A,M15733,'Barang Keluar'!$C:$C,N15733))</f>
        <v>0</v>
      </c>
    </row>
    <row r="15734" spans="13:16">
      <c r="M15734" s="49">
        <f>IF($A$4+157&gt;$B$4,"",$A$4+157)</f>
        <v>46180</v>
      </c>
      <c r="N15734" t="str">
        <f>IF(M15734="","",'Master Barang'!A28)</f>
        <v>PRL-027</v>
      </c>
      <c r="O15734" t="str">
        <f>IF(N15734="","",'Master Barang'!B28)</f>
        <v>kresek klin warna warni kecil</v>
      </c>
      <c r="P15734">
        <f>IF(OR(M15734="",N15734=""),"",SUMIFS('Barang Keluar'!$E:$E,'Barang Keluar'!$A:$A,M15734,'Barang Keluar'!$C:$C,N15734))</f>
        <v>0</v>
      </c>
    </row>
    <row r="15735" spans="13:16">
      <c r="M15735" s="49">
        <f>IF($A$4+157&gt;$B$4,"",$A$4+157)</f>
        <v>46180</v>
      </c>
      <c r="N15735" t="str">
        <f>IF(M15735="","",'Master Barang'!A29)</f>
        <v>PRL-028</v>
      </c>
      <c r="O15735" t="str">
        <f>IF(N15735="","",'Master Barang'!B29)</f>
        <v>ctik plastik 7x10 100 pcs</v>
      </c>
      <c r="P15735">
        <f>IF(OR(M15735="",N15735=""),"",SUMIFS('Barang Keluar'!$E:$E,'Barang Keluar'!$A:$A,M15735,'Barang Keluar'!$C:$C,N15735))</f>
        <v>0</v>
      </c>
    </row>
    <row r="15736" spans="13:16">
      <c r="M15736" s="49">
        <f>IF($A$4+157&gt;$B$4,"",$A$4+157)</f>
        <v>46180</v>
      </c>
      <c r="N15736" t="str">
        <f>IF(M15736="","",'Master Barang'!A30)</f>
        <v>PRL-029</v>
      </c>
      <c r="O15736" t="str">
        <f>IF(N15736="","",'Master Barang'!B30)</f>
        <v>ctik plastik 6x10 100 pcs</v>
      </c>
      <c r="P15736">
        <f>IF(OR(M15736="",N15736=""),"",SUMIFS('Barang Keluar'!$E:$E,'Barang Keluar'!$A:$A,M15736,'Barang Keluar'!$C:$C,N15736))</f>
        <v>0</v>
      </c>
    </row>
    <row r="15737" spans="13:16">
      <c r="M15737" s="49">
        <f>IF($A$4+157&gt;$B$4,"",$A$4+157)</f>
        <v>46180</v>
      </c>
      <c r="N15737" t="str">
        <f>IF(M15737="","",'Master Barang'!A31)</f>
        <v>PRL-030</v>
      </c>
      <c r="O15737" t="str">
        <f>IF(N15737="","",'Master Barang'!B31)</f>
        <v>klip plastik 25x16 100 pcs</v>
      </c>
      <c r="P15737">
        <f>IF(OR(M15737="",N15737=""),"",SUMIFS('Barang Keluar'!$E:$E,'Barang Keluar'!$A:$A,M15737,'Barang Keluar'!$C:$C,N15737))</f>
        <v>0</v>
      </c>
    </row>
    <row r="15738" spans="13:16">
      <c r="M15738" s="49">
        <f>IF($A$4+157&gt;$B$4,"",$A$4+157)</f>
        <v>46180</v>
      </c>
      <c r="N15738" t="str">
        <f>IF(M15738="","",'Master Barang'!A32)</f>
        <v>PRL-031</v>
      </c>
      <c r="O15738" t="str">
        <f>IF(N15738="","",'Master Barang'!B32)</f>
        <v>tempat saus 20 ml</v>
      </c>
      <c r="P15738">
        <f>IF(OR(M15738="",N15738=""),"",SUMIFS('Barang Keluar'!$E:$E,'Barang Keluar'!$A:$A,M15738,'Barang Keluar'!$C:$C,N15738))</f>
        <v>0</v>
      </c>
    </row>
    <row r="15739" spans="13:16">
      <c r="M15739" s="49">
        <f>IF($A$4+157&gt;$B$4,"",$A$4+157)</f>
        <v>46180</v>
      </c>
      <c r="N15739" t="str">
        <f>IF(M15739="","",'Master Barang'!A33)</f>
        <v>PRL-032</v>
      </c>
      <c r="O15739" t="str">
        <f>IF(N15739="","",'Master Barang'!B33)</f>
        <v>plastik packaging ag box uk sedang</v>
      </c>
      <c r="P15739">
        <f>IF(OR(M15739="",N15739=""),"",SUMIFS('Barang Keluar'!$E:$E,'Barang Keluar'!$A:$A,M15739,'Barang Keluar'!$C:$C,N15739))</f>
        <v>0</v>
      </c>
    </row>
    <row r="15740" spans="13:16">
      <c r="M15740" s="49">
        <f>IF($A$4+157&gt;$B$4,"",$A$4+157)</f>
        <v>46180</v>
      </c>
      <c r="N15740" t="str">
        <f>IF(M15740="","",'Master Barang'!A34)</f>
        <v>PRL-033</v>
      </c>
      <c r="O15740">
        <f>IF(N15740="","",'Master Barang'!B34)</f>
        <v>0</v>
      </c>
      <c r="P15740">
        <f>IF(OR(M15740="",N15740=""),"",SUMIFS('Barang Keluar'!$E:$E,'Barang Keluar'!$A:$A,M15740,'Barang Keluar'!$C:$C,N15740))</f>
        <v>0</v>
      </c>
    </row>
    <row r="15741" spans="13:16">
      <c r="M15741" s="49">
        <f>IF($A$4+157&gt;$B$4,"",$A$4+157)</f>
        <v>46180</v>
      </c>
      <c r="N15741">
        <f>IF(M15741="","",'Master Barang'!A35)</f>
        <v>0</v>
      </c>
      <c r="O15741">
        <f>IF(N15741="","",'Master Barang'!B35)</f>
        <v>0</v>
      </c>
      <c r="P15741">
        <f>IF(OR(M15741="",N15741=""),"",SUMIFS('Barang Keluar'!$E:$E,'Barang Keluar'!$A:$A,M15741,'Barang Keluar'!$C:$C,N15741))</f>
        <v>0</v>
      </c>
    </row>
    <row r="15742" spans="13:16">
      <c r="M15742" s="49">
        <f>IF($A$4+157&gt;$B$4,"",$A$4+157)</f>
        <v>46180</v>
      </c>
      <c r="N15742">
        <f>IF(M15742="","",'Master Barang'!A36)</f>
        <v>0</v>
      </c>
      <c r="O15742">
        <f>IF(N15742="","",'Master Barang'!B36)</f>
        <v>0</v>
      </c>
      <c r="P15742">
        <f>IF(OR(M15742="",N15742=""),"",SUMIFS('Barang Keluar'!$E:$E,'Barang Keluar'!$A:$A,M15742,'Barang Keluar'!$C:$C,N15742))</f>
        <v>0</v>
      </c>
    </row>
    <row r="15743" spans="13:16">
      <c r="M15743" s="49">
        <f>IF($A$4+157&gt;$B$4,"",$A$4+157)</f>
        <v>46180</v>
      </c>
      <c r="N15743">
        <f>IF(M15743="","",'Master Barang'!A37)</f>
        <v>0</v>
      </c>
      <c r="O15743">
        <f>IF(N15743="","",'Master Barang'!B37)</f>
        <v>0</v>
      </c>
      <c r="P15743">
        <f>IF(OR(M15743="",N15743=""),"",SUMIFS('Barang Keluar'!$E:$E,'Barang Keluar'!$A:$A,M15743,'Barang Keluar'!$C:$C,N15743))</f>
        <v>0</v>
      </c>
    </row>
    <row r="15744" spans="13:16">
      <c r="M15744" s="49">
        <f>IF($A$4+157&gt;$B$4,"",$A$4+157)</f>
        <v>46180</v>
      </c>
      <c r="N15744">
        <f>IF(M15744="","",'Master Barang'!A38)</f>
        <v>0</v>
      </c>
      <c r="O15744">
        <f>IF(N15744="","",'Master Barang'!B38)</f>
        <v>0</v>
      </c>
      <c r="P15744">
        <f>IF(OR(M15744="",N15744=""),"",SUMIFS('Barang Keluar'!$E:$E,'Barang Keluar'!$A:$A,M15744,'Barang Keluar'!$C:$C,N15744))</f>
        <v>0</v>
      </c>
    </row>
    <row r="15745" spans="13:16">
      <c r="M15745" s="49">
        <f>IF($A$4+157&gt;$B$4,"",$A$4+157)</f>
        <v>46180</v>
      </c>
      <c r="N15745">
        <f>IF(M15745="","",'Master Barang'!A39)</f>
        <v>0</v>
      </c>
      <c r="O15745">
        <f>IF(N15745="","",'Master Barang'!B39)</f>
        <v>0</v>
      </c>
      <c r="P15745">
        <f>IF(OR(M15745="",N15745=""),"",SUMIFS('Barang Keluar'!$E:$E,'Barang Keluar'!$A:$A,M15745,'Barang Keluar'!$C:$C,N15745))</f>
        <v>0</v>
      </c>
    </row>
    <row r="15746" spans="13:16">
      <c r="M15746" s="49">
        <f>IF($A$4+157&gt;$B$4,"",$A$4+157)</f>
        <v>46180</v>
      </c>
      <c r="N15746">
        <f>IF(M15746="","",'Master Barang'!A40)</f>
        <v>0</v>
      </c>
      <c r="O15746">
        <f>IF(N15746="","",'Master Barang'!B40)</f>
        <v>0</v>
      </c>
      <c r="P15746">
        <f>IF(OR(M15746="",N15746=""),"",SUMIFS('Barang Keluar'!$E:$E,'Barang Keluar'!$A:$A,M15746,'Barang Keluar'!$C:$C,N15746))</f>
        <v>0</v>
      </c>
    </row>
    <row r="15747" spans="13:16">
      <c r="M15747" s="49">
        <f>IF($A$4+157&gt;$B$4,"",$A$4+157)</f>
        <v>46180</v>
      </c>
      <c r="N15747">
        <f>IF(M15747="","",'Master Barang'!A41)</f>
        <v>0</v>
      </c>
      <c r="O15747">
        <f>IF(N15747="","",'Master Barang'!B41)</f>
        <v>0</v>
      </c>
      <c r="P15747">
        <f>IF(OR(M15747="",N15747=""),"",SUMIFS('Barang Keluar'!$E:$E,'Barang Keluar'!$A:$A,M15747,'Barang Keluar'!$C:$C,N15747))</f>
        <v>0</v>
      </c>
    </row>
    <row r="15748" spans="13:16">
      <c r="M15748" s="49">
        <f>IF($A$4+157&gt;$B$4,"",$A$4+157)</f>
        <v>46180</v>
      </c>
      <c r="N15748">
        <f>IF(M15748="","",'Master Barang'!A42)</f>
        <v>0</v>
      </c>
      <c r="O15748">
        <f>IF(N15748="","",'Master Barang'!B42)</f>
        <v>0</v>
      </c>
      <c r="P15748">
        <f>IF(OR(M15748="",N15748=""),"",SUMIFS('Barang Keluar'!$E:$E,'Barang Keluar'!$A:$A,M15748,'Barang Keluar'!$C:$C,N15748))</f>
        <v>0</v>
      </c>
    </row>
    <row r="15749" spans="13:16">
      <c r="M15749" s="49">
        <f>IF($A$4+157&gt;$B$4,"",$A$4+157)</f>
        <v>46180</v>
      </c>
      <c r="N15749">
        <f>IF(M15749="","",'Master Barang'!A43)</f>
        <v>0</v>
      </c>
      <c r="O15749">
        <f>IF(N15749="","",'Master Barang'!B43)</f>
        <v>0</v>
      </c>
      <c r="P15749">
        <f>IF(OR(M15749="",N15749=""),"",SUMIFS('Barang Keluar'!$E:$E,'Barang Keluar'!$A:$A,M15749,'Barang Keluar'!$C:$C,N15749))</f>
        <v>0</v>
      </c>
    </row>
    <row r="15750" spans="13:16">
      <c r="M15750" s="49">
        <f>IF($A$4+157&gt;$B$4,"",$A$4+157)</f>
        <v>46180</v>
      </c>
      <c r="N15750">
        <f>IF(M15750="","",'Master Barang'!A44)</f>
        <v>0</v>
      </c>
      <c r="O15750">
        <f>IF(N15750="","",'Master Barang'!B44)</f>
        <v>0</v>
      </c>
      <c r="P15750">
        <f>IF(OR(M15750="",N15750=""),"",SUMIFS('Barang Keluar'!$E:$E,'Barang Keluar'!$A:$A,M15750,'Barang Keluar'!$C:$C,N15750))</f>
        <v>0</v>
      </c>
    </row>
    <row r="15751" spans="13:16">
      <c r="M15751" s="49">
        <f>IF($A$4+157&gt;$B$4,"",$A$4+157)</f>
        <v>46180</v>
      </c>
      <c r="N15751">
        <f>IF(M15751="","",'Master Barang'!A45)</f>
        <v>0</v>
      </c>
      <c r="O15751">
        <f>IF(N15751="","",'Master Barang'!B45)</f>
        <v>0</v>
      </c>
      <c r="P15751">
        <f>IF(OR(M15751="",N15751=""),"",SUMIFS('Barang Keluar'!$E:$E,'Barang Keluar'!$A:$A,M15751,'Barang Keluar'!$C:$C,N15751))</f>
        <v>0</v>
      </c>
    </row>
    <row r="15752" spans="13:16">
      <c r="M15752" s="49">
        <f>IF($A$4+157&gt;$B$4,"",$A$4+157)</f>
        <v>46180</v>
      </c>
      <c r="N15752">
        <f>IF(M15752="","",'Master Barang'!A46)</f>
        <v>0</v>
      </c>
      <c r="O15752">
        <f>IF(N15752="","",'Master Barang'!B46)</f>
        <v>0</v>
      </c>
      <c r="P15752">
        <f>IF(OR(M15752="",N15752=""),"",SUMIFS('Barang Keluar'!$E:$E,'Barang Keluar'!$A:$A,M15752,'Barang Keluar'!$C:$C,N15752))</f>
        <v>0</v>
      </c>
    </row>
    <row r="15753" spans="13:16">
      <c r="M15753" s="49">
        <f>IF($A$4+157&gt;$B$4,"",$A$4+157)</f>
        <v>46180</v>
      </c>
      <c r="N15753">
        <f>IF(M15753="","",'Master Barang'!A47)</f>
        <v>0</v>
      </c>
      <c r="O15753">
        <f>IF(N15753="","",'Master Barang'!B47)</f>
        <v>0</v>
      </c>
      <c r="P15753">
        <f>IF(OR(M15753="",N15753=""),"",SUMIFS('Barang Keluar'!$E:$E,'Barang Keluar'!$A:$A,M15753,'Barang Keluar'!$C:$C,N15753))</f>
        <v>0</v>
      </c>
    </row>
    <row r="15754" spans="13:16">
      <c r="M15754" s="49">
        <f>IF($A$4+157&gt;$B$4,"",$A$4+157)</f>
        <v>46180</v>
      </c>
      <c r="N15754">
        <f>IF(M15754="","",'Master Barang'!A48)</f>
        <v>0</v>
      </c>
      <c r="O15754">
        <f>IF(N15754="","",'Master Barang'!B48)</f>
        <v>0</v>
      </c>
      <c r="P15754">
        <f>IF(OR(M15754="",N15754=""),"",SUMIFS('Barang Keluar'!$E:$E,'Barang Keluar'!$A:$A,M15754,'Barang Keluar'!$C:$C,N15754))</f>
        <v>0</v>
      </c>
    </row>
    <row r="15755" spans="13:16">
      <c r="M15755" s="49">
        <f>IF($A$4+157&gt;$B$4,"",$A$4+157)</f>
        <v>46180</v>
      </c>
      <c r="N15755">
        <f>IF(M15755="","",'Master Barang'!A49)</f>
        <v>0</v>
      </c>
      <c r="O15755">
        <f>IF(N15755="","",'Master Barang'!B49)</f>
        <v>0</v>
      </c>
      <c r="P15755">
        <f>IF(OR(M15755="",N15755=""),"",SUMIFS('Barang Keluar'!$E:$E,'Barang Keluar'!$A:$A,M15755,'Barang Keluar'!$C:$C,N15755))</f>
        <v>0</v>
      </c>
    </row>
    <row r="15756" spans="13:16">
      <c r="M15756" s="49">
        <f>IF($A$4+157&gt;$B$4,"",$A$4+157)</f>
        <v>46180</v>
      </c>
      <c r="N15756">
        <f>IF(M15756="","",'Master Barang'!A50)</f>
        <v>0</v>
      </c>
      <c r="O15756">
        <f>IF(N15756="","",'Master Barang'!B50)</f>
        <v>0</v>
      </c>
      <c r="P15756">
        <f>IF(OR(M15756="",N15756=""),"",SUMIFS('Barang Keluar'!$E:$E,'Barang Keluar'!$A:$A,M15756,'Barang Keluar'!$C:$C,N15756))</f>
        <v>0</v>
      </c>
    </row>
    <row r="15757" spans="13:16">
      <c r="M15757" s="49">
        <f>IF($A$4+157&gt;$B$4,"",$A$4+157)</f>
        <v>46180</v>
      </c>
      <c r="N15757">
        <f>IF(M15757="","",'Master Barang'!A51)</f>
        <v>0</v>
      </c>
      <c r="O15757">
        <f>IF(N15757="","",'Master Barang'!B51)</f>
        <v>0</v>
      </c>
      <c r="P15757">
        <f>IF(OR(M15757="",N15757=""),"",SUMIFS('Barang Keluar'!$E:$E,'Barang Keluar'!$A:$A,M15757,'Barang Keluar'!$C:$C,N15757))</f>
        <v>0</v>
      </c>
    </row>
    <row r="15758" spans="13:16">
      <c r="M15758" s="49">
        <f>IF($A$4+157&gt;$B$4,"",$A$4+157)</f>
        <v>46180</v>
      </c>
      <c r="N15758">
        <f>IF(M15758="","",'Master Barang'!A52)</f>
        <v>0</v>
      </c>
      <c r="O15758">
        <f>IF(N15758="","",'Master Barang'!B52)</f>
        <v>0</v>
      </c>
      <c r="P15758">
        <f>IF(OR(M15758="",N15758=""),"",SUMIFS('Barang Keluar'!$E:$E,'Barang Keluar'!$A:$A,M15758,'Barang Keluar'!$C:$C,N15758))</f>
        <v>0</v>
      </c>
    </row>
    <row r="15759" spans="13:16">
      <c r="M15759" s="49">
        <f>IF($A$4+157&gt;$B$4,"",$A$4+157)</f>
        <v>46180</v>
      </c>
      <c r="N15759">
        <f>IF(M15759="","",'Master Barang'!A53)</f>
        <v>0</v>
      </c>
      <c r="O15759">
        <f>IF(N15759="","",'Master Barang'!B53)</f>
        <v>0</v>
      </c>
      <c r="P15759">
        <f>IF(OR(M15759="",N15759=""),"",SUMIFS('Barang Keluar'!$E:$E,'Barang Keluar'!$A:$A,M15759,'Barang Keluar'!$C:$C,N15759))</f>
        <v>0</v>
      </c>
    </row>
    <row r="15760" spans="13:16">
      <c r="M15760" s="49">
        <f>IF($A$4+157&gt;$B$4,"",$A$4+157)</f>
        <v>46180</v>
      </c>
      <c r="N15760">
        <f>IF(M15760="","",'Master Barang'!A54)</f>
        <v>0</v>
      </c>
      <c r="O15760">
        <f>IF(N15760="","",'Master Barang'!B54)</f>
        <v>0</v>
      </c>
      <c r="P15760">
        <f>IF(OR(M15760="",N15760=""),"",SUMIFS('Barang Keluar'!$E:$E,'Barang Keluar'!$A:$A,M15760,'Barang Keluar'!$C:$C,N15760))</f>
        <v>0</v>
      </c>
    </row>
    <row r="15761" spans="13:16">
      <c r="M15761" s="49">
        <f>IF($A$4+157&gt;$B$4,"",$A$4+157)</f>
        <v>46180</v>
      </c>
      <c r="N15761">
        <f>IF(M15761="","",'Master Barang'!A55)</f>
        <v>0</v>
      </c>
      <c r="O15761">
        <f>IF(N15761="","",'Master Barang'!B55)</f>
        <v>0</v>
      </c>
      <c r="P15761">
        <f>IF(OR(M15761="",N15761=""),"",SUMIFS('Barang Keluar'!$E:$E,'Barang Keluar'!$A:$A,M15761,'Barang Keluar'!$C:$C,N15761))</f>
        <v>0</v>
      </c>
    </row>
    <row r="15762" spans="13:16">
      <c r="M15762" s="49">
        <f>IF($A$4+157&gt;$B$4,"",$A$4+157)</f>
        <v>46180</v>
      </c>
      <c r="N15762">
        <f>IF(M15762="","",'Master Barang'!A56)</f>
        <v>0</v>
      </c>
      <c r="O15762">
        <f>IF(N15762="","",'Master Barang'!B56)</f>
        <v>0</v>
      </c>
      <c r="P15762">
        <f>IF(OR(M15762="",N15762=""),"",SUMIFS('Barang Keluar'!$E:$E,'Barang Keluar'!$A:$A,M15762,'Barang Keluar'!$C:$C,N15762))</f>
        <v>0</v>
      </c>
    </row>
    <row r="15763" spans="13:16">
      <c r="M15763" s="49">
        <f>IF($A$4+157&gt;$B$4,"",$A$4+157)</f>
        <v>46180</v>
      </c>
      <c r="N15763">
        <f>IF(M15763="","",'Master Barang'!A57)</f>
        <v>0</v>
      </c>
      <c r="O15763">
        <f>IF(N15763="","",'Master Barang'!B57)</f>
        <v>0</v>
      </c>
      <c r="P15763">
        <f>IF(OR(M15763="",N15763=""),"",SUMIFS('Barang Keluar'!$E:$E,'Barang Keluar'!$A:$A,M15763,'Barang Keluar'!$C:$C,N15763))</f>
        <v>0</v>
      </c>
    </row>
    <row r="15764" spans="13:16">
      <c r="M15764" s="49">
        <f>IF($A$4+157&gt;$B$4,"",$A$4+157)</f>
        <v>46180</v>
      </c>
      <c r="N15764">
        <f>IF(M15764="","",'Master Barang'!A58)</f>
        <v>0</v>
      </c>
      <c r="O15764">
        <f>IF(N15764="","",'Master Barang'!B58)</f>
        <v>0</v>
      </c>
      <c r="P15764">
        <f>IF(OR(M15764="",N15764=""),"",SUMIFS('Barang Keluar'!$E:$E,'Barang Keluar'!$A:$A,M15764,'Barang Keluar'!$C:$C,N15764))</f>
        <v>0</v>
      </c>
    </row>
    <row r="15765" spans="13:16">
      <c r="M15765" s="49">
        <f>IF($A$4+157&gt;$B$4,"",$A$4+157)</f>
        <v>46180</v>
      </c>
      <c r="N15765">
        <f>IF(M15765="","",'Master Barang'!A59)</f>
        <v>0</v>
      </c>
      <c r="O15765">
        <f>IF(N15765="","",'Master Barang'!B59)</f>
        <v>0</v>
      </c>
      <c r="P15765">
        <f>IF(OR(M15765="",N15765=""),"",SUMIFS('Barang Keluar'!$E:$E,'Barang Keluar'!$A:$A,M15765,'Barang Keluar'!$C:$C,N15765))</f>
        <v>0</v>
      </c>
    </row>
    <row r="15766" spans="13:16">
      <c r="M15766" s="49">
        <f>IF($A$4+157&gt;$B$4,"",$A$4+157)</f>
        <v>46180</v>
      </c>
      <c r="N15766">
        <f>IF(M15766="","",'Master Barang'!A60)</f>
        <v>0</v>
      </c>
      <c r="O15766">
        <f>IF(N15766="","",'Master Barang'!B60)</f>
        <v>0</v>
      </c>
      <c r="P15766">
        <f>IF(OR(M15766="",N15766=""),"",SUMIFS('Barang Keluar'!$E:$E,'Barang Keluar'!$A:$A,M15766,'Barang Keluar'!$C:$C,N15766))</f>
        <v>0</v>
      </c>
    </row>
    <row r="15767" spans="13:16">
      <c r="M15767" s="49">
        <f>IF($A$4+157&gt;$B$4,"",$A$4+157)</f>
        <v>46180</v>
      </c>
      <c r="N15767">
        <f>IF(M15767="","",'Master Barang'!A61)</f>
        <v>0</v>
      </c>
      <c r="O15767">
        <f>IF(N15767="","",'Master Barang'!B61)</f>
        <v>0</v>
      </c>
      <c r="P15767">
        <f>IF(OR(M15767="",N15767=""),"",SUMIFS('Barang Keluar'!$E:$E,'Barang Keluar'!$A:$A,M15767,'Barang Keluar'!$C:$C,N15767))</f>
        <v>0</v>
      </c>
    </row>
    <row r="15768" spans="13:16">
      <c r="M15768" s="49">
        <f>IF($A$4+157&gt;$B$4,"",$A$4+157)</f>
        <v>46180</v>
      </c>
      <c r="N15768">
        <f>IF(M15768="","",'Master Barang'!A62)</f>
        <v>0</v>
      </c>
      <c r="O15768">
        <f>IF(N15768="","",'Master Barang'!B62)</f>
        <v>0</v>
      </c>
      <c r="P15768">
        <f>IF(OR(M15768="",N15768=""),"",SUMIFS('Barang Keluar'!$E:$E,'Barang Keluar'!$A:$A,M15768,'Barang Keluar'!$C:$C,N15768))</f>
        <v>0</v>
      </c>
    </row>
    <row r="15769" spans="13:16">
      <c r="M15769" s="49">
        <f>IF($A$4+157&gt;$B$4,"",$A$4+157)</f>
        <v>46180</v>
      </c>
      <c r="N15769">
        <f>IF(M15769="","",'Master Barang'!A63)</f>
        <v>0</v>
      </c>
      <c r="O15769">
        <f>IF(N15769="","",'Master Barang'!B63)</f>
        <v>0</v>
      </c>
      <c r="P15769">
        <f>IF(OR(M15769="",N15769=""),"",SUMIFS('Barang Keluar'!$E:$E,'Barang Keluar'!$A:$A,M15769,'Barang Keluar'!$C:$C,N15769))</f>
        <v>0</v>
      </c>
    </row>
    <row r="15770" spans="13:16">
      <c r="M15770" s="49">
        <f>IF($A$4+157&gt;$B$4,"",$A$4+157)</f>
        <v>46180</v>
      </c>
      <c r="N15770">
        <f>IF(M15770="","",'Master Barang'!A64)</f>
        <v>0</v>
      </c>
      <c r="O15770">
        <f>IF(N15770="","",'Master Barang'!B64)</f>
        <v>0</v>
      </c>
      <c r="P15770">
        <f>IF(OR(M15770="",N15770=""),"",SUMIFS('Barang Keluar'!$E:$E,'Barang Keluar'!$A:$A,M15770,'Barang Keluar'!$C:$C,N15770))</f>
        <v>0</v>
      </c>
    </row>
    <row r="15771" spans="13:16">
      <c r="M15771" s="49">
        <f>IF($A$4+157&gt;$B$4,"",$A$4+157)</f>
        <v>46180</v>
      </c>
      <c r="N15771">
        <f>IF(M15771="","",'Master Barang'!A65)</f>
        <v>0</v>
      </c>
      <c r="O15771">
        <f>IF(N15771="","",'Master Barang'!B65)</f>
        <v>0</v>
      </c>
      <c r="P15771">
        <f>IF(OR(M15771="",N15771=""),"",SUMIFS('Barang Keluar'!$E:$E,'Barang Keluar'!$A:$A,M15771,'Barang Keluar'!$C:$C,N15771))</f>
        <v>0</v>
      </c>
    </row>
    <row r="15772" spans="13:16">
      <c r="M15772" s="49">
        <f>IF($A$4+157&gt;$B$4,"",$A$4+157)</f>
        <v>46180</v>
      </c>
      <c r="N15772">
        <f>IF(M15772="","",'Master Barang'!A66)</f>
        <v>0</v>
      </c>
      <c r="O15772">
        <f>IF(N15772="","",'Master Barang'!B66)</f>
        <v>0</v>
      </c>
      <c r="P15772">
        <f>IF(OR(M15772="",N15772=""),"",SUMIFS('Barang Keluar'!$E:$E,'Barang Keluar'!$A:$A,M15772,'Barang Keluar'!$C:$C,N15772))</f>
        <v>0</v>
      </c>
    </row>
    <row r="15773" spans="13:16">
      <c r="M15773" s="49">
        <f>IF($A$4+157&gt;$B$4,"",$A$4+157)</f>
        <v>46180</v>
      </c>
      <c r="N15773">
        <f>IF(M15773="","",'Master Barang'!A67)</f>
        <v>0</v>
      </c>
      <c r="O15773">
        <f>IF(N15773="","",'Master Barang'!B67)</f>
        <v>0</v>
      </c>
      <c r="P15773">
        <f>IF(OR(M15773="",N15773=""),"",SUMIFS('Barang Keluar'!$E:$E,'Barang Keluar'!$A:$A,M15773,'Barang Keluar'!$C:$C,N15773))</f>
        <v>0</v>
      </c>
    </row>
    <row r="15774" spans="13:16">
      <c r="M15774" s="49">
        <f>IF($A$4+157&gt;$B$4,"",$A$4+157)</f>
        <v>46180</v>
      </c>
      <c r="N15774">
        <f>IF(M15774="","",'Master Barang'!A68)</f>
        <v>0</v>
      </c>
      <c r="O15774">
        <f>IF(N15774="","",'Master Barang'!B68)</f>
        <v>0</v>
      </c>
      <c r="P15774">
        <f>IF(OR(M15774="",N15774=""),"",SUMIFS('Barang Keluar'!$E:$E,'Barang Keluar'!$A:$A,M15774,'Barang Keluar'!$C:$C,N15774))</f>
        <v>0</v>
      </c>
    </row>
    <row r="15775" spans="13:16">
      <c r="M15775" s="49">
        <f>IF($A$4+157&gt;$B$4,"",$A$4+157)</f>
        <v>46180</v>
      </c>
      <c r="N15775">
        <f>IF(M15775="","",'Master Barang'!A69)</f>
        <v>0</v>
      </c>
      <c r="O15775">
        <f>IF(N15775="","",'Master Barang'!B69)</f>
        <v>0</v>
      </c>
      <c r="P15775">
        <f>IF(OR(M15775="",N15775=""),"",SUMIFS('Barang Keluar'!$E:$E,'Barang Keluar'!$A:$A,M15775,'Barang Keluar'!$C:$C,N15775))</f>
        <v>0</v>
      </c>
    </row>
    <row r="15776" spans="13:16">
      <c r="M15776" s="49">
        <f>IF($A$4+157&gt;$B$4,"",$A$4+157)</f>
        <v>46180</v>
      </c>
      <c r="N15776">
        <f>IF(M15776="","",'Master Barang'!A70)</f>
        <v>0</v>
      </c>
      <c r="O15776">
        <f>IF(N15776="","",'Master Barang'!B70)</f>
        <v>0</v>
      </c>
      <c r="P15776">
        <f>IF(OR(M15776="",N15776=""),"",SUMIFS('Barang Keluar'!$E:$E,'Barang Keluar'!$A:$A,M15776,'Barang Keluar'!$C:$C,N15776))</f>
        <v>0</v>
      </c>
    </row>
    <row r="15777" spans="13:16">
      <c r="M15777" s="49">
        <f>IF($A$4+157&gt;$B$4,"",$A$4+157)</f>
        <v>46180</v>
      </c>
      <c r="N15777">
        <f>IF(M15777="","",'Master Barang'!A71)</f>
        <v>0</v>
      </c>
      <c r="O15777">
        <f>IF(N15777="","",'Master Barang'!B71)</f>
        <v>0</v>
      </c>
      <c r="P15777">
        <f>IF(OR(M15777="",N15777=""),"",SUMIFS('Barang Keluar'!$E:$E,'Barang Keluar'!$A:$A,M15777,'Barang Keluar'!$C:$C,N15777))</f>
        <v>0</v>
      </c>
    </row>
    <row r="15778" spans="13:16">
      <c r="M15778" s="49">
        <f>IF($A$4+157&gt;$B$4,"",$A$4+157)</f>
        <v>46180</v>
      </c>
      <c r="N15778">
        <f>IF(M15778="","",'Master Barang'!A72)</f>
        <v>0</v>
      </c>
      <c r="O15778">
        <f>IF(N15778="","",'Master Barang'!B72)</f>
        <v>0</v>
      </c>
      <c r="P15778">
        <f>IF(OR(M15778="",N15778=""),"",SUMIFS('Barang Keluar'!$E:$E,'Barang Keluar'!$A:$A,M15778,'Barang Keluar'!$C:$C,N15778))</f>
        <v>0</v>
      </c>
    </row>
    <row r="15779" spans="13:16">
      <c r="M15779" s="49">
        <f>IF($A$4+157&gt;$B$4,"",$A$4+157)</f>
        <v>46180</v>
      </c>
      <c r="N15779">
        <f>IF(M15779="","",'Master Barang'!A73)</f>
        <v>0</v>
      </c>
      <c r="O15779">
        <f>IF(N15779="","",'Master Barang'!B73)</f>
        <v>0</v>
      </c>
      <c r="P15779">
        <f>IF(OR(M15779="",N15779=""),"",SUMIFS('Barang Keluar'!$E:$E,'Barang Keluar'!$A:$A,M15779,'Barang Keluar'!$C:$C,N15779))</f>
        <v>0</v>
      </c>
    </row>
    <row r="15780" spans="13:16">
      <c r="M15780" s="49">
        <f>IF($A$4+157&gt;$B$4,"",$A$4+157)</f>
        <v>46180</v>
      </c>
      <c r="N15780">
        <f>IF(M15780="","",'Master Barang'!A74)</f>
        <v>0</v>
      </c>
      <c r="O15780">
        <f>IF(N15780="","",'Master Barang'!B74)</f>
        <v>0</v>
      </c>
      <c r="P15780">
        <f>IF(OR(M15780="",N15780=""),"",SUMIFS('Barang Keluar'!$E:$E,'Barang Keluar'!$A:$A,M15780,'Barang Keluar'!$C:$C,N15780))</f>
        <v>0</v>
      </c>
    </row>
    <row r="15781" spans="13:16">
      <c r="M15781" s="49">
        <f>IF($A$4+157&gt;$B$4,"",$A$4+157)</f>
        <v>46180</v>
      </c>
      <c r="N15781">
        <f>IF(M15781="","",'Master Barang'!A75)</f>
        <v>0</v>
      </c>
      <c r="O15781">
        <f>IF(N15781="","",'Master Barang'!B75)</f>
        <v>0</v>
      </c>
      <c r="P15781">
        <f>IF(OR(M15781="",N15781=""),"",SUMIFS('Barang Keluar'!$E:$E,'Barang Keluar'!$A:$A,M15781,'Barang Keluar'!$C:$C,N15781))</f>
        <v>0</v>
      </c>
    </row>
    <row r="15782" spans="13:16">
      <c r="M15782" s="49">
        <f>IF($A$4+157&gt;$B$4,"",$A$4+157)</f>
        <v>46180</v>
      </c>
      <c r="N15782">
        <f>IF(M15782="","",'Master Barang'!A76)</f>
        <v>0</v>
      </c>
      <c r="O15782">
        <f>IF(N15782="","",'Master Barang'!B76)</f>
        <v>0</v>
      </c>
      <c r="P15782">
        <f>IF(OR(M15782="",N15782=""),"",SUMIFS('Barang Keluar'!$E:$E,'Barang Keluar'!$A:$A,M15782,'Barang Keluar'!$C:$C,N15782))</f>
        <v>0</v>
      </c>
    </row>
    <row r="15783" spans="13:16">
      <c r="M15783" s="49">
        <f>IF($A$4+157&gt;$B$4,"",$A$4+157)</f>
        <v>46180</v>
      </c>
      <c r="N15783">
        <f>IF(M15783="","",'Master Barang'!A77)</f>
        <v>0</v>
      </c>
      <c r="O15783">
        <f>IF(N15783="","",'Master Barang'!B77)</f>
        <v>0</v>
      </c>
      <c r="P15783">
        <f>IF(OR(M15783="",N15783=""),"",SUMIFS('Barang Keluar'!$E:$E,'Barang Keluar'!$A:$A,M15783,'Barang Keluar'!$C:$C,N15783))</f>
        <v>0</v>
      </c>
    </row>
    <row r="15784" spans="13:16">
      <c r="M15784" s="49">
        <f>IF($A$4+157&gt;$B$4,"",$A$4+157)</f>
        <v>46180</v>
      </c>
      <c r="N15784">
        <f>IF(M15784="","",'Master Barang'!A78)</f>
        <v>0</v>
      </c>
      <c r="O15784">
        <f>IF(N15784="","",'Master Barang'!B78)</f>
        <v>0</v>
      </c>
      <c r="P15784">
        <f>IF(OR(M15784="",N15784=""),"",SUMIFS('Barang Keluar'!$E:$E,'Barang Keluar'!$A:$A,M15784,'Barang Keluar'!$C:$C,N15784))</f>
        <v>0</v>
      </c>
    </row>
    <row r="15785" spans="13:16">
      <c r="M15785" s="49">
        <f>IF($A$4+157&gt;$B$4,"",$A$4+157)</f>
        <v>46180</v>
      </c>
      <c r="N15785">
        <f>IF(M15785="","",'Master Barang'!A79)</f>
        <v>0</v>
      </c>
      <c r="O15785">
        <f>IF(N15785="","",'Master Barang'!B79)</f>
        <v>0</v>
      </c>
      <c r="P15785">
        <f>IF(OR(M15785="",N15785=""),"",SUMIFS('Barang Keluar'!$E:$E,'Barang Keluar'!$A:$A,M15785,'Barang Keluar'!$C:$C,N15785))</f>
        <v>0</v>
      </c>
    </row>
    <row r="15786" spans="13:16">
      <c r="M15786" s="49">
        <f>IF($A$4+157&gt;$B$4,"",$A$4+157)</f>
        <v>46180</v>
      </c>
      <c r="N15786">
        <f>IF(M15786="","",'Master Barang'!A80)</f>
        <v>0</v>
      </c>
      <c r="O15786">
        <f>IF(N15786="","",'Master Barang'!B80)</f>
        <v>0</v>
      </c>
      <c r="P15786">
        <f>IF(OR(M15786="",N15786=""),"",SUMIFS('Barang Keluar'!$E:$E,'Barang Keluar'!$A:$A,M15786,'Barang Keluar'!$C:$C,N15786))</f>
        <v>0</v>
      </c>
    </row>
    <row r="15787" spans="13:16">
      <c r="M15787" s="49">
        <f>IF($A$4+157&gt;$B$4,"",$A$4+157)</f>
        <v>46180</v>
      </c>
      <c r="N15787">
        <f>IF(M15787="","",'Master Barang'!A81)</f>
        <v>0</v>
      </c>
      <c r="O15787">
        <f>IF(N15787="","",'Master Barang'!B81)</f>
        <v>0</v>
      </c>
      <c r="P15787">
        <f>IF(OR(M15787="",N15787=""),"",SUMIFS('Barang Keluar'!$E:$E,'Barang Keluar'!$A:$A,M15787,'Barang Keluar'!$C:$C,N15787))</f>
        <v>0</v>
      </c>
    </row>
    <row r="15788" spans="13:16">
      <c r="M15788" s="49">
        <f>IF($A$4+157&gt;$B$4,"",$A$4+157)</f>
        <v>46180</v>
      </c>
      <c r="N15788">
        <f>IF(M15788="","",'Master Barang'!A82)</f>
        <v>0</v>
      </c>
      <c r="O15788">
        <f>IF(N15788="","",'Master Barang'!B82)</f>
        <v>0</v>
      </c>
      <c r="P15788">
        <f>IF(OR(M15788="",N15788=""),"",SUMIFS('Barang Keluar'!$E:$E,'Barang Keluar'!$A:$A,M15788,'Barang Keluar'!$C:$C,N15788))</f>
        <v>0</v>
      </c>
    </row>
    <row r="15789" spans="13:16">
      <c r="M15789" s="49">
        <f>IF($A$4+157&gt;$B$4,"",$A$4+157)</f>
        <v>46180</v>
      </c>
      <c r="N15789">
        <f>IF(M15789="","",'Master Barang'!A83)</f>
        <v>0</v>
      </c>
      <c r="O15789">
        <f>IF(N15789="","",'Master Barang'!B83)</f>
        <v>0</v>
      </c>
      <c r="P15789">
        <f>IF(OR(M15789="",N15789=""),"",SUMIFS('Barang Keluar'!$E:$E,'Barang Keluar'!$A:$A,M15789,'Barang Keluar'!$C:$C,N15789))</f>
        <v>0</v>
      </c>
    </row>
    <row r="15790" spans="13:16">
      <c r="M15790" s="49">
        <f>IF($A$4+157&gt;$B$4,"",$A$4+157)</f>
        <v>46180</v>
      </c>
      <c r="N15790">
        <f>IF(M15790="","",'Master Barang'!A84)</f>
        <v>0</v>
      </c>
      <c r="O15790">
        <f>IF(N15790="","",'Master Barang'!B84)</f>
        <v>0</v>
      </c>
      <c r="P15790">
        <f>IF(OR(M15790="",N15790=""),"",SUMIFS('Barang Keluar'!$E:$E,'Barang Keluar'!$A:$A,M15790,'Barang Keluar'!$C:$C,N15790))</f>
        <v>0</v>
      </c>
    </row>
    <row r="15791" spans="13:16">
      <c r="M15791" s="49">
        <f>IF($A$4+157&gt;$B$4,"",$A$4+157)</f>
        <v>46180</v>
      </c>
      <c r="N15791">
        <f>IF(M15791="","",'Master Barang'!A85)</f>
        <v>0</v>
      </c>
      <c r="O15791">
        <f>IF(N15791="","",'Master Barang'!B85)</f>
        <v>0</v>
      </c>
      <c r="P15791">
        <f>IF(OR(M15791="",N15791=""),"",SUMIFS('Barang Keluar'!$E:$E,'Barang Keluar'!$A:$A,M15791,'Barang Keluar'!$C:$C,N15791))</f>
        <v>0</v>
      </c>
    </row>
    <row r="15792" spans="13:16">
      <c r="M15792" s="49">
        <f>IF($A$4+157&gt;$B$4,"",$A$4+157)</f>
        <v>46180</v>
      </c>
      <c r="N15792">
        <f>IF(M15792="","",'Master Barang'!A86)</f>
        <v>0</v>
      </c>
      <c r="O15792">
        <f>IF(N15792="","",'Master Barang'!B86)</f>
        <v>0</v>
      </c>
      <c r="P15792">
        <f>IF(OR(M15792="",N15792=""),"",SUMIFS('Barang Keluar'!$E:$E,'Barang Keluar'!$A:$A,M15792,'Barang Keluar'!$C:$C,N15792))</f>
        <v>0</v>
      </c>
    </row>
    <row r="15793" spans="13:16">
      <c r="M15793" s="49">
        <f>IF($A$4+157&gt;$B$4,"",$A$4+157)</f>
        <v>46180</v>
      </c>
      <c r="N15793">
        <f>IF(M15793="","",'Master Barang'!A87)</f>
        <v>0</v>
      </c>
      <c r="O15793">
        <f>IF(N15793="","",'Master Barang'!B87)</f>
        <v>0</v>
      </c>
      <c r="P15793">
        <f>IF(OR(M15793="",N15793=""),"",SUMIFS('Barang Keluar'!$E:$E,'Barang Keluar'!$A:$A,M15793,'Barang Keluar'!$C:$C,N15793))</f>
        <v>0</v>
      </c>
    </row>
    <row r="15794" spans="13:16">
      <c r="M15794" s="49">
        <f>IF($A$4+157&gt;$B$4,"",$A$4+157)</f>
        <v>46180</v>
      </c>
      <c r="N15794">
        <f>IF(M15794="","",'Master Barang'!A88)</f>
        <v>0</v>
      </c>
      <c r="O15794">
        <f>IF(N15794="","",'Master Barang'!B88)</f>
        <v>0</v>
      </c>
      <c r="P15794">
        <f>IF(OR(M15794="",N15794=""),"",SUMIFS('Barang Keluar'!$E:$E,'Barang Keluar'!$A:$A,M15794,'Barang Keluar'!$C:$C,N15794))</f>
        <v>0</v>
      </c>
    </row>
    <row r="15795" spans="13:16">
      <c r="M15795" s="49">
        <f>IF($A$4+157&gt;$B$4,"",$A$4+157)</f>
        <v>46180</v>
      </c>
      <c r="N15795">
        <f>IF(M15795="","",'Master Barang'!A89)</f>
        <v>0</v>
      </c>
      <c r="O15795">
        <f>IF(N15795="","",'Master Barang'!B89)</f>
        <v>0</v>
      </c>
      <c r="P15795">
        <f>IF(OR(M15795="",N15795=""),"",SUMIFS('Barang Keluar'!$E:$E,'Barang Keluar'!$A:$A,M15795,'Barang Keluar'!$C:$C,N15795))</f>
        <v>0</v>
      </c>
    </row>
    <row r="15796" spans="13:16">
      <c r="M15796" s="49">
        <f>IF($A$4+157&gt;$B$4,"",$A$4+157)</f>
        <v>46180</v>
      </c>
      <c r="N15796">
        <f>IF(M15796="","",'Master Barang'!A90)</f>
        <v>0</v>
      </c>
      <c r="O15796">
        <f>IF(N15796="","",'Master Barang'!B90)</f>
        <v>0</v>
      </c>
      <c r="P15796">
        <f>IF(OR(M15796="",N15796=""),"",SUMIFS('Barang Keluar'!$E:$E,'Barang Keluar'!$A:$A,M15796,'Barang Keluar'!$C:$C,N15796))</f>
        <v>0</v>
      </c>
    </row>
    <row r="15797" spans="13:16">
      <c r="M15797" s="49">
        <f>IF($A$4+157&gt;$B$4,"",$A$4+157)</f>
        <v>46180</v>
      </c>
      <c r="N15797">
        <f>IF(M15797="","",'Master Barang'!A91)</f>
        <v>0</v>
      </c>
      <c r="O15797">
        <f>IF(N15797="","",'Master Barang'!B91)</f>
        <v>0</v>
      </c>
      <c r="P15797">
        <f>IF(OR(M15797="",N15797=""),"",SUMIFS('Barang Keluar'!$E:$E,'Barang Keluar'!$A:$A,M15797,'Barang Keluar'!$C:$C,N15797))</f>
        <v>0</v>
      </c>
    </row>
    <row r="15798" spans="13:16">
      <c r="M15798" s="49">
        <f>IF($A$4+157&gt;$B$4,"",$A$4+157)</f>
        <v>46180</v>
      </c>
      <c r="N15798">
        <f>IF(M15798="","",'Master Barang'!A92)</f>
        <v>0</v>
      </c>
      <c r="O15798">
        <f>IF(N15798="","",'Master Barang'!B92)</f>
        <v>0</v>
      </c>
      <c r="P15798">
        <f>IF(OR(M15798="",N15798=""),"",SUMIFS('Barang Keluar'!$E:$E,'Barang Keluar'!$A:$A,M15798,'Barang Keluar'!$C:$C,N15798))</f>
        <v>0</v>
      </c>
    </row>
    <row r="15799" spans="13:16">
      <c r="M15799" s="49">
        <f>IF($A$4+157&gt;$B$4,"",$A$4+157)</f>
        <v>46180</v>
      </c>
      <c r="N15799">
        <f>IF(M15799="","",'Master Barang'!A93)</f>
        <v>0</v>
      </c>
      <c r="O15799">
        <f>IF(N15799="","",'Master Barang'!B93)</f>
        <v>0</v>
      </c>
      <c r="P15799">
        <f>IF(OR(M15799="",N15799=""),"",SUMIFS('Barang Keluar'!$E:$E,'Barang Keluar'!$A:$A,M15799,'Barang Keluar'!$C:$C,N15799))</f>
        <v>0</v>
      </c>
    </row>
    <row r="15800" spans="13:16">
      <c r="M15800" s="49">
        <f>IF($A$4+157&gt;$B$4,"",$A$4+157)</f>
        <v>46180</v>
      </c>
      <c r="N15800">
        <f>IF(M15800="","",'Master Barang'!A94)</f>
        <v>0</v>
      </c>
      <c r="O15800">
        <f>IF(N15800="","",'Master Barang'!B94)</f>
        <v>0</v>
      </c>
      <c r="P15800">
        <f>IF(OR(M15800="",N15800=""),"",SUMIFS('Barang Keluar'!$E:$E,'Barang Keluar'!$A:$A,M15800,'Barang Keluar'!$C:$C,N15800))</f>
        <v>0</v>
      </c>
    </row>
    <row r="15801" spans="13:16">
      <c r="M15801" s="49">
        <f>IF($A$4+157&gt;$B$4,"",$A$4+157)</f>
        <v>46180</v>
      </c>
      <c r="N15801">
        <f>IF(M15801="","",'Master Barang'!A95)</f>
        <v>0</v>
      </c>
      <c r="O15801">
        <f>IF(N15801="","",'Master Barang'!B95)</f>
        <v>0</v>
      </c>
      <c r="P15801">
        <f>IF(OR(M15801="",N15801=""),"",SUMIFS('Barang Keluar'!$E:$E,'Barang Keluar'!$A:$A,M15801,'Barang Keluar'!$C:$C,N15801))</f>
        <v>0</v>
      </c>
    </row>
    <row r="15802" spans="13:16">
      <c r="M15802" s="49">
        <f>IF($A$4+157&gt;$B$4,"",$A$4+157)</f>
        <v>46180</v>
      </c>
      <c r="N15802">
        <f>IF(M15802="","",'Master Barang'!A96)</f>
        <v>0</v>
      </c>
      <c r="O15802">
        <f>IF(N15802="","",'Master Barang'!B96)</f>
        <v>0</v>
      </c>
      <c r="P15802">
        <f>IF(OR(M15802="",N15802=""),"",SUMIFS('Barang Keluar'!$E:$E,'Barang Keluar'!$A:$A,M15802,'Barang Keluar'!$C:$C,N15802))</f>
        <v>0</v>
      </c>
    </row>
    <row r="15803" spans="13:16">
      <c r="M15803" s="49">
        <f>IF($A$4+157&gt;$B$4,"",$A$4+157)</f>
        <v>46180</v>
      </c>
      <c r="N15803">
        <f>IF(M15803="","",'Master Barang'!A97)</f>
        <v>0</v>
      </c>
      <c r="O15803">
        <f>IF(N15803="","",'Master Barang'!B97)</f>
        <v>0</v>
      </c>
      <c r="P15803">
        <f>IF(OR(M15803="",N15803=""),"",SUMIFS('Barang Keluar'!$E:$E,'Barang Keluar'!$A:$A,M15803,'Barang Keluar'!$C:$C,N15803))</f>
        <v>0</v>
      </c>
    </row>
    <row r="15804" spans="13:16">
      <c r="M15804" s="49">
        <f>IF($A$4+157&gt;$B$4,"",$A$4+157)</f>
        <v>46180</v>
      </c>
      <c r="N15804">
        <f>IF(M15804="","",'Master Barang'!A98)</f>
        <v>0</v>
      </c>
      <c r="O15804">
        <f>IF(N15804="","",'Master Barang'!B98)</f>
        <v>0</v>
      </c>
      <c r="P15804">
        <f>IF(OR(M15804="",N15804=""),"",SUMIFS('Barang Keluar'!$E:$E,'Barang Keluar'!$A:$A,M15804,'Barang Keluar'!$C:$C,N15804))</f>
        <v>0</v>
      </c>
    </row>
    <row r="15805" spans="13:16">
      <c r="M15805" s="49">
        <f>IF($A$4+157&gt;$B$4,"",$A$4+157)</f>
        <v>46180</v>
      </c>
      <c r="N15805">
        <f>IF(M15805="","",'Master Barang'!A99)</f>
        <v>0</v>
      </c>
      <c r="O15805">
        <f>IF(N15805="","",'Master Barang'!B99)</f>
        <v>0</v>
      </c>
      <c r="P15805">
        <f>IF(OR(M15805="",N15805=""),"",SUMIFS('Barang Keluar'!$E:$E,'Barang Keluar'!$A:$A,M15805,'Barang Keluar'!$C:$C,N15805))</f>
        <v>0</v>
      </c>
    </row>
    <row r="15806" spans="13:16">
      <c r="M15806" s="49">
        <f>IF($A$4+157&gt;$B$4,"",$A$4+157)</f>
        <v>46180</v>
      </c>
      <c r="N15806">
        <f>IF(M15806="","",'Master Barang'!A100)</f>
        <v>0</v>
      </c>
      <c r="O15806">
        <f>IF(N15806="","",'Master Barang'!B100)</f>
        <v>0</v>
      </c>
      <c r="P15806">
        <f>IF(OR(M15806="",N15806=""),"",SUMIFS('Barang Keluar'!$E:$E,'Barang Keluar'!$A:$A,M15806,'Barang Keluar'!$C:$C,N15806))</f>
        <v>0</v>
      </c>
    </row>
    <row r="15807" spans="13:16">
      <c r="M15807" s="49">
        <f>IF($A$4+157&gt;$B$4,"",$A$4+157)</f>
        <v>46180</v>
      </c>
      <c r="N15807">
        <f>IF(M15807="","",'Master Barang'!A101)</f>
        <v>0</v>
      </c>
      <c r="O15807">
        <f>IF(N15807="","",'Master Barang'!B101)</f>
        <v>0</v>
      </c>
      <c r="P15807">
        <f>IF(OR(M15807="",N15807=""),"",SUMIFS('Barang Keluar'!$E:$E,'Barang Keluar'!$A:$A,M15807,'Barang Keluar'!$C:$C,N15807))</f>
        <v>0</v>
      </c>
    </row>
    <row r="15808" spans="13:16">
      <c r="M15808" s="49">
        <f>IF($A$4+158&gt;$B$4,"",$A$4+158)</f>
        <v>46181</v>
      </c>
      <c r="N15808" t="str">
        <f>IF(M15808="","",'Master Barang'!A2)</f>
        <v>PRL-001</v>
      </c>
      <c r="O15808" t="str">
        <f>IF(N15808="","",'Master Barang'!B2)</f>
        <v>natura desinfectant food grade 5l</v>
      </c>
      <c r="P15808">
        <f>IF(OR(M15808="",N15808=""),"",SUMIFS('Barang Keluar'!$E:$E,'Barang Keluar'!$A:$A,M15808,'Barang Keluar'!$C:$C,N15808))</f>
        <v>0</v>
      </c>
    </row>
    <row r="15809" spans="13:16">
      <c r="M15809" s="49">
        <f>IF($A$4+158&gt;$B$4,"",$A$4+158)</f>
        <v>46181</v>
      </c>
      <c r="N15809" t="str">
        <f>IF(M15809="","",'Master Barang'!A3)</f>
        <v>PRL-002</v>
      </c>
      <c r="O15809" t="str">
        <f>IF(N15809="","",'Master Barang'!B3)</f>
        <v>sunlight cairan pencuci piring 5l</v>
      </c>
      <c r="P15809">
        <f>IF(OR(M15809="",N15809=""),"",SUMIFS('Barang Keluar'!$E:$E,'Barang Keluar'!$A:$A,M15809,'Barang Keluar'!$C:$C,N15809))</f>
        <v>0</v>
      </c>
    </row>
    <row r="15810" spans="13:16">
      <c r="M15810" s="49">
        <f>IF($A$4+158&gt;$B$4,"",$A$4+158)</f>
        <v>46181</v>
      </c>
      <c r="N15810" t="str">
        <f>IF(M15810="","",'Master Barang'!A4)</f>
        <v>PRL-003</v>
      </c>
      <c r="O15810" t="str">
        <f>IF(N15810="","",'Master Barang'!B4)</f>
        <v>oixs cleaner 1l</v>
      </c>
      <c r="P15810">
        <f>IF(OR(M15810="",N15810=""),"",SUMIFS('Barang Keluar'!$E:$E,'Barang Keluar'!$A:$A,M15810,'Barang Keluar'!$C:$C,N15810))</f>
        <v>0</v>
      </c>
    </row>
    <row r="15811" spans="13:16">
      <c r="M15811" s="49">
        <f>IF($A$4+158&gt;$B$4,"",$A$4+158)</f>
        <v>46181</v>
      </c>
      <c r="N15811" t="str">
        <f>IF(M15811="","",'Master Barang'!A5)</f>
        <v>PRL-004</v>
      </c>
      <c r="O15811" t="str">
        <f>IF(N15811="","",'Master Barang'!B5)</f>
        <v>be clean tissue serbaguna</v>
      </c>
      <c r="P15811">
        <f>IF(OR(M15811="",N15811=""),"",SUMIFS('Barang Keluar'!$E:$E,'Barang Keluar'!$A:$A,M15811,'Barang Keluar'!$C:$C,N15811))</f>
        <v>0</v>
      </c>
    </row>
    <row r="15812" spans="13:16">
      <c r="M15812" s="49">
        <f>IF($A$4+158&gt;$B$4,"",$A$4+158)</f>
        <v>46181</v>
      </c>
      <c r="N15812" t="str">
        <f>IF(M15812="","",'Master Barang'!A6)</f>
        <v>PRL-005</v>
      </c>
      <c r="O15812" t="str">
        <f>IF(N15812="","",'Master Barang'!B6)</f>
        <v>spons cuci hijau</v>
      </c>
      <c r="P15812">
        <f>IF(OR(M15812="",N15812=""),"",SUMIFS('Barang Keluar'!$E:$E,'Barang Keluar'!$A:$A,M15812,'Barang Keluar'!$C:$C,N15812))</f>
        <v>0</v>
      </c>
    </row>
    <row r="15813" spans="13:16">
      <c r="M15813" s="49">
        <f>IF($A$4+158&gt;$B$4,"",$A$4+158)</f>
        <v>46181</v>
      </c>
      <c r="N15813" t="str">
        <f>IF(M15813="","",'Master Barang'!A7)</f>
        <v>PRL-006</v>
      </c>
      <c r="O15813" t="str">
        <f>IF(N15813="","",'Master Barang'!B7)</f>
        <v>sabut cuci stainless</v>
      </c>
      <c r="P15813">
        <f>IF(OR(M15813="",N15813=""),"",SUMIFS('Barang Keluar'!$E:$E,'Barang Keluar'!$A:$A,M15813,'Barang Keluar'!$C:$C,N15813))</f>
        <v>0</v>
      </c>
    </row>
    <row r="15814" spans="13:16">
      <c r="M15814" s="49">
        <f>IF($A$4+158&gt;$B$4,"",$A$4+158)</f>
        <v>46181</v>
      </c>
      <c r="N15814" t="str">
        <f>IF(M15814="","",'Master Barang'!A8)</f>
        <v>PRL-007</v>
      </c>
      <c r="O15814" t="str">
        <f>IF(N15814="","",'Master Barang'!B8)</f>
        <v>plastik kresek besar merah 50pc</v>
      </c>
      <c r="P15814">
        <f>IF(OR(M15814="",N15814=""),"",SUMIFS('Barang Keluar'!$E:$E,'Barang Keluar'!$A:$A,M15814,'Barang Keluar'!$C:$C,N15814))</f>
        <v>0</v>
      </c>
    </row>
    <row r="15815" spans="13:16">
      <c r="M15815" s="49">
        <f>IF($A$4+158&gt;$B$4,"",$A$4+158)</f>
        <v>46181</v>
      </c>
      <c r="N15815" t="str">
        <f>IF(M15815="","",'Master Barang'!A9)</f>
        <v>PRL-008</v>
      </c>
      <c r="O15815" t="str">
        <f>IF(N15815="","",'Master Barang'!B9)</f>
        <v>lap besar</v>
      </c>
      <c r="P15815">
        <f>IF(OR(M15815="",N15815=""),"",SUMIFS('Barang Keluar'!$E:$E,'Barang Keluar'!$A:$A,M15815,'Barang Keluar'!$C:$C,N15815))</f>
        <v>0</v>
      </c>
    </row>
    <row r="15816" spans="13:16">
      <c r="M15816" s="49">
        <f>IF($A$4+158&gt;$B$4,"",$A$4+158)</f>
        <v>46181</v>
      </c>
      <c r="N15816" t="str">
        <f>IF(M15816="","",'Master Barang'!A10)</f>
        <v>PRL-009</v>
      </c>
      <c r="O15816" t="str">
        <f>IF(N15816="","",'Master Barang'!B10)</f>
        <v>lap microfiber</v>
      </c>
      <c r="P15816">
        <f>IF(OR(M15816="",N15816=""),"",SUMIFS('Barang Keluar'!$E:$E,'Barang Keluar'!$A:$A,M15816,'Barang Keluar'!$C:$C,N15816))</f>
        <v>0</v>
      </c>
    </row>
    <row r="15817" spans="13:16">
      <c r="M15817" s="49">
        <f>IF($A$4+158&gt;$B$4,"",$A$4+158)</f>
        <v>46181</v>
      </c>
      <c r="N15817" t="str">
        <f>IF(M15817="","",'Master Barang'!A11)</f>
        <v>PRL-010</v>
      </c>
      <c r="O15817" t="str">
        <f>IF(N15817="","",'Master Barang'!B11)</f>
        <v>lap kecil</v>
      </c>
      <c r="P15817">
        <f>IF(OR(M15817="",N15817=""),"",SUMIFS('Barang Keluar'!$E:$E,'Barang Keluar'!$A:$A,M15817,'Barang Keluar'!$C:$C,N15817))</f>
        <v>0</v>
      </c>
    </row>
    <row r="15818" spans="13:16">
      <c r="M15818" s="49">
        <f>IF($A$4+158&gt;$B$4,"",$A$4+158)</f>
        <v>46181</v>
      </c>
      <c r="N15818" t="str">
        <f>IF(M15818="","",'Master Barang'!A12)</f>
        <v>PRL-011</v>
      </c>
      <c r="O15818" t="str">
        <f>IF(N15818="","",'Master Barang'!B12)</f>
        <v>kanebo kecil</v>
      </c>
      <c r="P15818">
        <f>IF(OR(M15818="",N15818=""),"",SUMIFS('Barang Keluar'!$E:$E,'Barang Keluar'!$A:$A,M15818,'Barang Keluar'!$C:$C,N15818))</f>
        <v>0</v>
      </c>
    </row>
    <row r="15819" spans="13:16">
      <c r="M15819" s="49">
        <f>IF($A$4+158&gt;$B$4,"",$A$4+158)</f>
        <v>46181</v>
      </c>
      <c r="N15819" t="str">
        <f>IF(M15819="","",'Master Barang'!A13)</f>
        <v>PRL-012</v>
      </c>
      <c r="O15819" t="str">
        <f>IF(N15819="","",'Master Barang'!B13)</f>
        <v>plastik 1/4kg joyoboyo 100 lembar</v>
      </c>
      <c r="P15819">
        <f>IF(OR(M15819="",N15819=""),"",SUMIFS('Barang Keluar'!$E:$E,'Barang Keluar'!$A:$A,M15819,'Barang Keluar'!$C:$C,N15819))</f>
        <v>0</v>
      </c>
    </row>
    <row r="15820" spans="13:16">
      <c r="M15820" s="49">
        <f>IF($A$4+158&gt;$B$4,"",$A$4+158)</f>
        <v>46181</v>
      </c>
      <c r="N15820" t="str">
        <f>IF(M15820="","",'Master Barang'!A14)</f>
        <v>PRL-013</v>
      </c>
      <c r="O15820" t="str">
        <f>IF(N15820="","",'Master Barang'!B14)</f>
        <v>sarung tangan plastik kaka 100 pcs</v>
      </c>
      <c r="P15820">
        <f>IF(OR(M15820="",N15820=""),"",SUMIFS('Barang Keluar'!$E:$E,'Barang Keluar'!$A:$A,M15820,'Barang Keluar'!$C:$C,N15820))</f>
        <v>0</v>
      </c>
    </row>
    <row r="15821" spans="13:16">
      <c r="M15821" s="49">
        <f>IF($A$4+158&gt;$B$4,"",$A$4+158)</f>
        <v>46181</v>
      </c>
      <c r="N15821" t="str">
        <f>IF(M15821="","",'Master Barang'!A15)</f>
        <v>PRL-014</v>
      </c>
      <c r="O15821" t="str">
        <f>IF(N15821="","",'Master Barang'!B15)</f>
        <v>optima trashbag 80x100</v>
      </c>
      <c r="P15821">
        <f>IF(OR(M15821="",N15821=""),"",SUMIFS('Barang Keluar'!$E:$E,'Barang Keluar'!$A:$A,M15821,'Barang Keluar'!$C:$C,N15821))</f>
        <v>0</v>
      </c>
    </row>
    <row r="15822" spans="13:16">
      <c r="M15822" s="49">
        <f>IF($A$4+158&gt;$B$4,"",$A$4+158)</f>
        <v>46181</v>
      </c>
      <c r="N15822" t="str">
        <f>IF(M15822="","",'Master Barang'!A16)</f>
        <v>PRL-015</v>
      </c>
      <c r="O15822" t="str">
        <f>IF(N15822="","",'Master Barang'!B16)</f>
        <v>optima trashbag 60x100</v>
      </c>
      <c r="P15822">
        <f>IF(OR(M15822="",N15822=""),"",SUMIFS('Barang Keluar'!$E:$E,'Barang Keluar'!$A:$A,M15822,'Barang Keluar'!$C:$C,N15822))</f>
        <v>0</v>
      </c>
    </row>
    <row r="15823" spans="13:16">
      <c r="M15823" s="49">
        <f>IF($A$4+158&gt;$B$4,"",$A$4+158)</f>
        <v>46181</v>
      </c>
      <c r="N15823" t="str">
        <f>IF(M15823="","",'Master Barang'!A17)</f>
        <v>PRL-016</v>
      </c>
      <c r="O15823" t="str">
        <f>IF(N15823="","",'Master Barang'!B17)</f>
        <v>rajawali trashbag 30x40</v>
      </c>
      <c r="P15823">
        <f>IF(OR(M15823="",N15823=""),"",SUMIFS('Barang Keluar'!$E:$E,'Barang Keluar'!$A:$A,M15823,'Barang Keluar'!$C:$C,N15823))</f>
        <v>0</v>
      </c>
    </row>
    <row r="15824" spans="13:16">
      <c r="M15824" s="49">
        <f>IF($A$4+158&gt;$B$4,"",$A$4+158)</f>
        <v>46181</v>
      </c>
      <c r="N15824" t="str">
        <f>IF(M15824="","",'Master Barang'!A18)</f>
        <v>PRL-017</v>
      </c>
      <c r="O15824" t="str">
        <f>IF(N15824="","",'Master Barang'!B18)</f>
        <v>onemed masker biru 3 play 50 pcs</v>
      </c>
      <c r="P15824">
        <f>IF(OR(M15824="",N15824=""),"",SUMIFS('Barang Keluar'!$E:$E,'Barang Keluar'!$A:$A,M15824,'Barang Keluar'!$C:$C,N15824))</f>
        <v>0</v>
      </c>
    </row>
    <row r="15825" spans="13:16">
      <c r="M15825" s="49">
        <f>IF($A$4+158&gt;$B$4,"",$A$4+158)</f>
        <v>46181</v>
      </c>
      <c r="N15825" t="str">
        <f>IF(M15825="","",'Master Barang'!A19)</f>
        <v>PRL-018</v>
      </c>
      <c r="O15825" t="str">
        <f>IF(N15825="","",'Master Barang'!B19)</f>
        <v>onemed masker biru 3 play hijab 50 pcs</v>
      </c>
      <c r="P15825">
        <f>IF(OR(M15825="",N15825=""),"",SUMIFS('Barang Keluar'!$E:$E,'Barang Keluar'!$A:$A,M15825,'Barang Keluar'!$C:$C,N15825))</f>
        <v>0</v>
      </c>
    </row>
    <row r="15826" spans="13:16">
      <c r="M15826" s="49">
        <f>IF($A$4+158&gt;$B$4,"",$A$4+158)</f>
        <v>46181</v>
      </c>
      <c r="N15826" t="str">
        <f>IF(M15826="","",'Master Barang'!A20)</f>
        <v>PRL-019</v>
      </c>
      <c r="O15826" t="str">
        <f>IF(N15826="","",'Master Barang'!B20)</f>
        <v>neo health masker biru 3 play 50 pcs</v>
      </c>
      <c r="P15826">
        <f>IF(OR(M15826="",N15826=""),"",SUMIFS('Barang Keluar'!$E:$E,'Barang Keluar'!$A:$A,M15826,'Barang Keluar'!$C:$C,N15826))</f>
        <v>0</v>
      </c>
    </row>
    <row r="15827" spans="13:16">
      <c r="M15827" s="49">
        <f>IF($A$4+158&gt;$B$4,"",$A$4+158)</f>
        <v>46181</v>
      </c>
      <c r="N15827" t="str">
        <f>IF(M15827="","",'Master Barang'!A21)</f>
        <v>PRL-020</v>
      </c>
      <c r="O15827" t="str">
        <f>IF(N15827="","",'Master Barang'!B21)</f>
        <v>baymed masker hijau 3 play hijau 50 pcs</v>
      </c>
      <c r="P15827">
        <f>IF(OR(M15827="",N15827=""),"",SUMIFS('Barang Keluar'!$E:$E,'Barang Keluar'!$A:$A,M15827,'Barang Keluar'!$C:$C,N15827))</f>
        <v>0</v>
      </c>
    </row>
    <row r="15828" spans="13:16">
      <c r="M15828" s="49">
        <f>IF($A$4+158&gt;$B$4,"",$A$4+158)</f>
        <v>46181</v>
      </c>
      <c r="N15828" t="str">
        <f>IF(M15828="","",'Master Barang'!A22)</f>
        <v>PRL-021</v>
      </c>
      <c r="O15828" t="str">
        <f>IF(N15828="","",'Master Barang'!B22)</f>
        <v>altamed nurse cap penutup kepala 100 pcs</v>
      </c>
      <c r="P15828">
        <f>IF(OR(M15828="",N15828=""),"",SUMIFS('Barang Keluar'!$E:$E,'Barang Keluar'!$A:$A,M15828,'Barang Keluar'!$C:$C,N15828))</f>
        <v>0</v>
      </c>
    </row>
    <row r="15829" spans="13:16">
      <c r="M15829" s="49">
        <f>IF($A$4+158&gt;$B$4,"",$A$4+158)</f>
        <v>46181</v>
      </c>
      <c r="N15829" t="str">
        <f>IF(M15829="","",'Master Barang'!A23)</f>
        <v>PRL-022</v>
      </c>
      <c r="O15829" t="str">
        <f>IF(N15829="","",'Master Barang'!B23)</f>
        <v>sabun cuci tangan</v>
      </c>
      <c r="P15829">
        <f>IF(OR(M15829="",N15829=""),"",SUMIFS('Barang Keluar'!$E:$E,'Barang Keluar'!$A:$A,M15829,'Barang Keluar'!$C:$C,N15829))</f>
        <v>0</v>
      </c>
    </row>
    <row r="15830" spans="13:16">
      <c r="M15830" s="49">
        <f>IF($A$4+158&gt;$B$4,"",$A$4+158)</f>
        <v>46181</v>
      </c>
      <c r="N15830" t="str">
        <f>IF(M15830="","",'Master Barang'!A24)</f>
        <v>PRL-023</v>
      </c>
      <c r="O15830" t="str">
        <f>IF(N15830="","",'Master Barang'!B24)</f>
        <v>gayung kecil</v>
      </c>
      <c r="P15830">
        <f>IF(OR(M15830="",N15830=""),"",SUMIFS('Barang Keluar'!$E:$E,'Barang Keluar'!$A:$A,M15830,'Barang Keluar'!$C:$C,N15830))</f>
        <v>0</v>
      </c>
    </row>
    <row r="15831" spans="13:16">
      <c r="M15831" s="49">
        <f>IF($A$4+158&gt;$B$4,"",$A$4+158)</f>
        <v>46181</v>
      </c>
      <c r="N15831" t="str">
        <f>IF(M15831="","",'Master Barang'!A25)</f>
        <v>PRL-024</v>
      </c>
      <c r="O15831" t="str">
        <f>IF(N15831="","",'Master Barang'!B25)</f>
        <v>cikrak kecil</v>
      </c>
      <c r="P15831">
        <f>IF(OR(M15831="",N15831=""),"",SUMIFS('Barang Keluar'!$E:$E,'Barang Keluar'!$A:$A,M15831,'Barang Keluar'!$C:$C,N15831))</f>
        <v>0</v>
      </c>
    </row>
    <row r="15832" spans="13:16">
      <c r="M15832" s="49">
        <f>IF($A$4+158&gt;$B$4,"",$A$4+158)</f>
        <v>46181</v>
      </c>
      <c r="N15832" t="str">
        <f>IF(M15832="","",'Master Barang'!A26)</f>
        <v>PRL-025</v>
      </c>
      <c r="O15832" t="str">
        <f>IF(N15832="","",'Master Barang'!B26)</f>
        <v>petromax plastik kecil 12x24 100 lembar</v>
      </c>
      <c r="P15832">
        <f>IF(OR(M15832="",N15832=""),"",SUMIFS('Barang Keluar'!$E:$E,'Barang Keluar'!$A:$A,M15832,'Barang Keluar'!$C:$C,N15832))</f>
        <v>0</v>
      </c>
    </row>
    <row r="15833" spans="13:16">
      <c r="M15833" s="49">
        <f>IF($A$4+158&gt;$B$4,"",$A$4+158)</f>
        <v>46181</v>
      </c>
      <c r="N15833" t="str">
        <f>IF(M15833="","",'Master Barang'!A27)</f>
        <v>PRL-026</v>
      </c>
      <c r="O15833" t="str">
        <f>IF(N15833="","",'Master Barang'!B27)</f>
        <v>lancar kresek kecil bening </v>
      </c>
      <c r="P15833">
        <f>IF(OR(M15833="",N15833=""),"",SUMIFS('Barang Keluar'!$E:$E,'Barang Keluar'!$A:$A,M15833,'Barang Keluar'!$C:$C,N15833))</f>
        <v>0</v>
      </c>
    </row>
    <row r="15834" spans="13:16">
      <c r="M15834" s="49">
        <f>IF($A$4+158&gt;$B$4,"",$A$4+158)</f>
        <v>46181</v>
      </c>
      <c r="N15834" t="str">
        <f>IF(M15834="","",'Master Barang'!A28)</f>
        <v>PRL-027</v>
      </c>
      <c r="O15834" t="str">
        <f>IF(N15834="","",'Master Barang'!B28)</f>
        <v>kresek klin warna warni kecil</v>
      </c>
      <c r="P15834">
        <f>IF(OR(M15834="",N15834=""),"",SUMIFS('Barang Keluar'!$E:$E,'Barang Keluar'!$A:$A,M15834,'Barang Keluar'!$C:$C,N15834))</f>
        <v>0</v>
      </c>
    </row>
    <row r="15835" spans="13:16">
      <c r="M15835" s="49">
        <f>IF($A$4+158&gt;$B$4,"",$A$4+158)</f>
        <v>46181</v>
      </c>
      <c r="N15835" t="str">
        <f>IF(M15835="","",'Master Barang'!A29)</f>
        <v>PRL-028</v>
      </c>
      <c r="O15835" t="str">
        <f>IF(N15835="","",'Master Barang'!B29)</f>
        <v>ctik plastik 7x10 100 pcs</v>
      </c>
      <c r="P15835">
        <f>IF(OR(M15835="",N15835=""),"",SUMIFS('Barang Keluar'!$E:$E,'Barang Keluar'!$A:$A,M15835,'Barang Keluar'!$C:$C,N15835))</f>
        <v>0</v>
      </c>
    </row>
    <row r="15836" spans="13:16">
      <c r="M15836" s="49">
        <f>IF($A$4+158&gt;$B$4,"",$A$4+158)</f>
        <v>46181</v>
      </c>
      <c r="N15836" t="str">
        <f>IF(M15836="","",'Master Barang'!A30)</f>
        <v>PRL-029</v>
      </c>
      <c r="O15836" t="str">
        <f>IF(N15836="","",'Master Barang'!B30)</f>
        <v>ctik plastik 6x10 100 pcs</v>
      </c>
      <c r="P15836">
        <f>IF(OR(M15836="",N15836=""),"",SUMIFS('Barang Keluar'!$E:$E,'Barang Keluar'!$A:$A,M15836,'Barang Keluar'!$C:$C,N15836))</f>
        <v>0</v>
      </c>
    </row>
    <row r="15837" spans="13:16">
      <c r="M15837" s="49">
        <f>IF($A$4+158&gt;$B$4,"",$A$4+158)</f>
        <v>46181</v>
      </c>
      <c r="N15837" t="str">
        <f>IF(M15837="","",'Master Barang'!A31)</f>
        <v>PRL-030</v>
      </c>
      <c r="O15837" t="str">
        <f>IF(N15837="","",'Master Barang'!B31)</f>
        <v>klip plastik 25x16 100 pcs</v>
      </c>
      <c r="P15837">
        <f>IF(OR(M15837="",N15837=""),"",SUMIFS('Barang Keluar'!$E:$E,'Barang Keluar'!$A:$A,M15837,'Barang Keluar'!$C:$C,N15837))</f>
        <v>0</v>
      </c>
    </row>
    <row r="15838" spans="13:16">
      <c r="M15838" s="49">
        <f>IF($A$4+158&gt;$B$4,"",$A$4+158)</f>
        <v>46181</v>
      </c>
      <c r="N15838" t="str">
        <f>IF(M15838="","",'Master Barang'!A32)</f>
        <v>PRL-031</v>
      </c>
      <c r="O15838" t="str">
        <f>IF(N15838="","",'Master Barang'!B32)</f>
        <v>tempat saus 20 ml</v>
      </c>
      <c r="P15838">
        <f>IF(OR(M15838="",N15838=""),"",SUMIFS('Barang Keluar'!$E:$E,'Barang Keluar'!$A:$A,M15838,'Barang Keluar'!$C:$C,N15838))</f>
        <v>0</v>
      </c>
    </row>
    <row r="15839" spans="13:16">
      <c r="M15839" s="49">
        <f>IF($A$4+158&gt;$B$4,"",$A$4+158)</f>
        <v>46181</v>
      </c>
      <c r="N15839" t="str">
        <f>IF(M15839="","",'Master Barang'!A33)</f>
        <v>PRL-032</v>
      </c>
      <c r="O15839" t="str">
        <f>IF(N15839="","",'Master Barang'!B33)</f>
        <v>plastik packaging ag box uk sedang</v>
      </c>
      <c r="P15839">
        <f>IF(OR(M15839="",N15839=""),"",SUMIFS('Barang Keluar'!$E:$E,'Barang Keluar'!$A:$A,M15839,'Barang Keluar'!$C:$C,N15839))</f>
        <v>0</v>
      </c>
    </row>
    <row r="15840" spans="13:16">
      <c r="M15840" s="49">
        <f>IF($A$4+158&gt;$B$4,"",$A$4+158)</f>
        <v>46181</v>
      </c>
      <c r="N15840" t="str">
        <f>IF(M15840="","",'Master Barang'!A34)</f>
        <v>PRL-033</v>
      </c>
      <c r="O15840">
        <f>IF(N15840="","",'Master Barang'!B34)</f>
        <v>0</v>
      </c>
      <c r="P15840">
        <f>IF(OR(M15840="",N15840=""),"",SUMIFS('Barang Keluar'!$E:$E,'Barang Keluar'!$A:$A,M15840,'Barang Keluar'!$C:$C,N15840))</f>
        <v>0</v>
      </c>
    </row>
    <row r="15841" spans="13:16">
      <c r="M15841" s="49">
        <f>IF($A$4+158&gt;$B$4,"",$A$4+158)</f>
        <v>46181</v>
      </c>
      <c r="N15841">
        <f>IF(M15841="","",'Master Barang'!A35)</f>
        <v>0</v>
      </c>
      <c r="O15841">
        <f>IF(N15841="","",'Master Barang'!B35)</f>
        <v>0</v>
      </c>
      <c r="P15841">
        <f>IF(OR(M15841="",N15841=""),"",SUMIFS('Barang Keluar'!$E:$E,'Barang Keluar'!$A:$A,M15841,'Barang Keluar'!$C:$C,N15841))</f>
        <v>0</v>
      </c>
    </row>
    <row r="15842" spans="13:16">
      <c r="M15842" s="49">
        <f>IF($A$4+158&gt;$B$4,"",$A$4+158)</f>
        <v>46181</v>
      </c>
      <c r="N15842">
        <f>IF(M15842="","",'Master Barang'!A36)</f>
        <v>0</v>
      </c>
      <c r="O15842">
        <f>IF(N15842="","",'Master Barang'!B36)</f>
        <v>0</v>
      </c>
      <c r="P15842">
        <f>IF(OR(M15842="",N15842=""),"",SUMIFS('Barang Keluar'!$E:$E,'Barang Keluar'!$A:$A,M15842,'Barang Keluar'!$C:$C,N15842))</f>
        <v>0</v>
      </c>
    </row>
    <row r="15843" spans="13:16">
      <c r="M15843" s="49">
        <f>IF($A$4+158&gt;$B$4,"",$A$4+158)</f>
        <v>46181</v>
      </c>
      <c r="N15843">
        <f>IF(M15843="","",'Master Barang'!A37)</f>
        <v>0</v>
      </c>
      <c r="O15843">
        <f>IF(N15843="","",'Master Barang'!B37)</f>
        <v>0</v>
      </c>
      <c r="P15843">
        <f>IF(OR(M15843="",N15843=""),"",SUMIFS('Barang Keluar'!$E:$E,'Barang Keluar'!$A:$A,M15843,'Barang Keluar'!$C:$C,N15843))</f>
        <v>0</v>
      </c>
    </row>
    <row r="15844" spans="13:16">
      <c r="M15844" s="49">
        <f>IF($A$4+158&gt;$B$4,"",$A$4+158)</f>
        <v>46181</v>
      </c>
      <c r="N15844">
        <f>IF(M15844="","",'Master Barang'!A38)</f>
        <v>0</v>
      </c>
      <c r="O15844">
        <f>IF(N15844="","",'Master Barang'!B38)</f>
        <v>0</v>
      </c>
      <c r="P15844">
        <f>IF(OR(M15844="",N15844=""),"",SUMIFS('Barang Keluar'!$E:$E,'Barang Keluar'!$A:$A,M15844,'Barang Keluar'!$C:$C,N15844))</f>
        <v>0</v>
      </c>
    </row>
    <row r="15845" spans="13:16">
      <c r="M15845" s="49">
        <f>IF($A$4+158&gt;$B$4,"",$A$4+158)</f>
        <v>46181</v>
      </c>
      <c r="N15845">
        <f>IF(M15845="","",'Master Barang'!A39)</f>
        <v>0</v>
      </c>
      <c r="O15845">
        <f>IF(N15845="","",'Master Barang'!B39)</f>
        <v>0</v>
      </c>
      <c r="P15845">
        <f>IF(OR(M15845="",N15845=""),"",SUMIFS('Barang Keluar'!$E:$E,'Barang Keluar'!$A:$A,M15845,'Barang Keluar'!$C:$C,N15845))</f>
        <v>0</v>
      </c>
    </row>
    <row r="15846" spans="13:16">
      <c r="M15846" s="49">
        <f>IF($A$4+158&gt;$B$4,"",$A$4+158)</f>
        <v>46181</v>
      </c>
      <c r="N15846">
        <f>IF(M15846="","",'Master Barang'!A40)</f>
        <v>0</v>
      </c>
      <c r="O15846">
        <f>IF(N15846="","",'Master Barang'!B40)</f>
        <v>0</v>
      </c>
      <c r="P15846">
        <f>IF(OR(M15846="",N15846=""),"",SUMIFS('Barang Keluar'!$E:$E,'Barang Keluar'!$A:$A,M15846,'Barang Keluar'!$C:$C,N15846))</f>
        <v>0</v>
      </c>
    </row>
    <row r="15847" spans="13:16">
      <c r="M15847" s="49">
        <f>IF($A$4+158&gt;$B$4,"",$A$4+158)</f>
        <v>46181</v>
      </c>
      <c r="N15847">
        <f>IF(M15847="","",'Master Barang'!A41)</f>
        <v>0</v>
      </c>
      <c r="O15847">
        <f>IF(N15847="","",'Master Barang'!B41)</f>
        <v>0</v>
      </c>
      <c r="P15847">
        <f>IF(OR(M15847="",N15847=""),"",SUMIFS('Barang Keluar'!$E:$E,'Barang Keluar'!$A:$A,M15847,'Barang Keluar'!$C:$C,N15847))</f>
        <v>0</v>
      </c>
    </row>
    <row r="15848" spans="13:16">
      <c r="M15848" s="49">
        <f>IF($A$4+158&gt;$B$4,"",$A$4+158)</f>
        <v>46181</v>
      </c>
      <c r="N15848">
        <f>IF(M15848="","",'Master Barang'!A42)</f>
        <v>0</v>
      </c>
      <c r="O15848">
        <f>IF(N15848="","",'Master Barang'!B42)</f>
        <v>0</v>
      </c>
      <c r="P15848">
        <f>IF(OR(M15848="",N15848=""),"",SUMIFS('Barang Keluar'!$E:$E,'Barang Keluar'!$A:$A,M15848,'Barang Keluar'!$C:$C,N15848))</f>
        <v>0</v>
      </c>
    </row>
    <row r="15849" spans="13:16">
      <c r="M15849" s="49">
        <f>IF($A$4+158&gt;$B$4,"",$A$4+158)</f>
        <v>46181</v>
      </c>
      <c r="N15849">
        <f>IF(M15849="","",'Master Barang'!A43)</f>
        <v>0</v>
      </c>
      <c r="O15849">
        <f>IF(N15849="","",'Master Barang'!B43)</f>
        <v>0</v>
      </c>
      <c r="P15849">
        <f>IF(OR(M15849="",N15849=""),"",SUMIFS('Barang Keluar'!$E:$E,'Barang Keluar'!$A:$A,M15849,'Barang Keluar'!$C:$C,N15849))</f>
        <v>0</v>
      </c>
    </row>
    <row r="15850" spans="13:16">
      <c r="M15850" s="49">
        <f>IF($A$4+158&gt;$B$4,"",$A$4+158)</f>
        <v>46181</v>
      </c>
      <c r="N15850">
        <f>IF(M15850="","",'Master Barang'!A44)</f>
        <v>0</v>
      </c>
      <c r="O15850">
        <f>IF(N15850="","",'Master Barang'!B44)</f>
        <v>0</v>
      </c>
      <c r="P15850">
        <f>IF(OR(M15850="",N15850=""),"",SUMIFS('Barang Keluar'!$E:$E,'Barang Keluar'!$A:$A,M15850,'Barang Keluar'!$C:$C,N15850))</f>
        <v>0</v>
      </c>
    </row>
    <row r="15851" spans="13:16">
      <c r="M15851" s="49">
        <f>IF($A$4+158&gt;$B$4,"",$A$4+158)</f>
        <v>46181</v>
      </c>
      <c r="N15851">
        <f>IF(M15851="","",'Master Barang'!A45)</f>
        <v>0</v>
      </c>
      <c r="O15851">
        <f>IF(N15851="","",'Master Barang'!B45)</f>
        <v>0</v>
      </c>
      <c r="P15851">
        <f>IF(OR(M15851="",N15851=""),"",SUMIFS('Barang Keluar'!$E:$E,'Barang Keluar'!$A:$A,M15851,'Barang Keluar'!$C:$C,N15851))</f>
        <v>0</v>
      </c>
    </row>
    <row r="15852" spans="13:16">
      <c r="M15852" s="49">
        <f>IF($A$4+158&gt;$B$4,"",$A$4+158)</f>
        <v>46181</v>
      </c>
      <c r="N15852">
        <f>IF(M15852="","",'Master Barang'!A46)</f>
        <v>0</v>
      </c>
      <c r="O15852">
        <f>IF(N15852="","",'Master Barang'!B46)</f>
        <v>0</v>
      </c>
      <c r="P15852">
        <f>IF(OR(M15852="",N15852=""),"",SUMIFS('Barang Keluar'!$E:$E,'Barang Keluar'!$A:$A,M15852,'Barang Keluar'!$C:$C,N15852))</f>
        <v>0</v>
      </c>
    </row>
    <row r="15853" spans="13:16">
      <c r="M15853" s="49">
        <f>IF($A$4+158&gt;$B$4,"",$A$4+158)</f>
        <v>46181</v>
      </c>
      <c r="N15853">
        <f>IF(M15853="","",'Master Barang'!A47)</f>
        <v>0</v>
      </c>
      <c r="O15853">
        <f>IF(N15853="","",'Master Barang'!B47)</f>
        <v>0</v>
      </c>
      <c r="P15853">
        <f>IF(OR(M15853="",N15853=""),"",SUMIFS('Barang Keluar'!$E:$E,'Barang Keluar'!$A:$A,M15853,'Barang Keluar'!$C:$C,N15853))</f>
        <v>0</v>
      </c>
    </row>
    <row r="15854" spans="13:16">
      <c r="M15854" s="49">
        <f>IF($A$4+158&gt;$B$4,"",$A$4+158)</f>
        <v>46181</v>
      </c>
      <c r="N15854">
        <f>IF(M15854="","",'Master Barang'!A48)</f>
        <v>0</v>
      </c>
      <c r="O15854">
        <f>IF(N15854="","",'Master Barang'!B48)</f>
        <v>0</v>
      </c>
      <c r="P15854">
        <f>IF(OR(M15854="",N15854=""),"",SUMIFS('Barang Keluar'!$E:$E,'Barang Keluar'!$A:$A,M15854,'Barang Keluar'!$C:$C,N15854))</f>
        <v>0</v>
      </c>
    </row>
    <row r="15855" spans="13:16">
      <c r="M15855" s="49">
        <f>IF($A$4+158&gt;$B$4,"",$A$4+158)</f>
        <v>46181</v>
      </c>
      <c r="N15855">
        <f>IF(M15855="","",'Master Barang'!A49)</f>
        <v>0</v>
      </c>
      <c r="O15855">
        <f>IF(N15855="","",'Master Barang'!B49)</f>
        <v>0</v>
      </c>
      <c r="P15855">
        <f>IF(OR(M15855="",N15855=""),"",SUMIFS('Barang Keluar'!$E:$E,'Barang Keluar'!$A:$A,M15855,'Barang Keluar'!$C:$C,N15855))</f>
        <v>0</v>
      </c>
    </row>
    <row r="15856" spans="13:16">
      <c r="M15856" s="49">
        <f>IF($A$4+158&gt;$B$4,"",$A$4+158)</f>
        <v>46181</v>
      </c>
      <c r="N15856">
        <f>IF(M15856="","",'Master Barang'!A50)</f>
        <v>0</v>
      </c>
      <c r="O15856">
        <f>IF(N15856="","",'Master Barang'!B50)</f>
        <v>0</v>
      </c>
      <c r="P15856">
        <f>IF(OR(M15856="",N15856=""),"",SUMIFS('Barang Keluar'!$E:$E,'Barang Keluar'!$A:$A,M15856,'Barang Keluar'!$C:$C,N15856))</f>
        <v>0</v>
      </c>
    </row>
    <row r="15857" spans="13:16">
      <c r="M15857" s="49">
        <f>IF($A$4+158&gt;$B$4,"",$A$4+158)</f>
        <v>46181</v>
      </c>
      <c r="N15857">
        <f>IF(M15857="","",'Master Barang'!A51)</f>
        <v>0</v>
      </c>
      <c r="O15857">
        <f>IF(N15857="","",'Master Barang'!B51)</f>
        <v>0</v>
      </c>
      <c r="P15857">
        <f>IF(OR(M15857="",N15857=""),"",SUMIFS('Barang Keluar'!$E:$E,'Barang Keluar'!$A:$A,M15857,'Barang Keluar'!$C:$C,N15857))</f>
        <v>0</v>
      </c>
    </row>
    <row r="15858" spans="13:16">
      <c r="M15858" s="49">
        <f>IF($A$4+158&gt;$B$4,"",$A$4+158)</f>
        <v>46181</v>
      </c>
      <c r="N15858">
        <f>IF(M15858="","",'Master Barang'!A52)</f>
        <v>0</v>
      </c>
      <c r="O15858">
        <f>IF(N15858="","",'Master Barang'!B52)</f>
        <v>0</v>
      </c>
      <c r="P15858">
        <f>IF(OR(M15858="",N15858=""),"",SUMIFS('Barang Keluar'!$E:$E,'Barang Keluar'!$A:$A,M15858,'Barang Keluar'!$C:$C,N15858))</f>
        <v>0</v>
      </c>
    </row>
    <row r="15859" spans="13:16">
      <c r="M15859" s="49">
        <f>IF($A$4+158&gt;$B$4,"",$A$4+158)</f>
        <v>46181</v>
      </c>
      <c r="N15859">
        <f>IF(M15859="","",'Master Barang'!A53)</f>
        <v>0</v>
      </c>
      <c r="O15859">
        <f>IF(N15859="","",'Master Barang'!B53)</f>
        <v>0</v>
      </c>
      <c r="P15859">
        <f>IF(OR(M15859="",N15859=""),"",SUMIFS('Barang Keluar'!$E:$E,'Barang Keluar'!$A:$A,M15859,'Barang Keluar'!$C:$C,N15859))</f>
        <v>0</v>
      </c>
    </row>
    <row r="15860" spans="13:16">
      <c r="M15860" s="49">
        <f>IF($A$4+158&gt;$B$4,"",$A$4+158)</f>
        <v>46181</v>
      </c>
      <c r="N15860">
        <f>IF(M15860="","",'Master Barang'!A54)</f>
        <v>0</v>
      </c>
      <c r="O15860">
        <f>IF(N15860="","",'Master Barang'!B54)</f>
        <v>0</v>
      </c>
      <c r="P15860">
        <f>IF(OR(M15860="",N15860=""),"",SUMIFS('Barang Keluar'!$E:$E,'Barang Keluar'!$A:$A,M15860,'Barang Keluar'!$C:$C,N15860))</f>
        <v>0</v>
      </c>
    </row>
    <row r="15861" spans="13:16">
      <c r="M15861" s="49">
        <f>IF($A$4+158&gt;$B$4,"",$A$4+158)</f>
        <v>46181</v>
      </c>
      <c r="N15861">
        <f>IF(M15861="","",'Master Barang'!A55)</f>
        <v>0</v>
      </c>
      <c r="O15861">
        <f>IF(N15861="","",'Master Barang'!B55)</f>
        <v>0</v>
      </c>
      <c r="P15861">
        <f>IF(OR(M15861="",N15861=""),"",SUMIFS('Barang Keluar'!$E:$E,'Barang Keluar'!$A:$A,M15861,'Barang Keluar'!$C:$C,N15861))</f>
        <v>0</v>
      </c>
    </row>
    <row r="15862" spans="13:16">
      <c r="M15862" s="49">
        <f>IF($A$4+158&gt;$B$4,"",$A$4+158)</f>
        <v>46181</v>
      </c>
      <c r="N15862">
        <f>IF(M15862="","",'Master Barang'!A56)</f>
        <v>0</v>
      </c>
      <c r="O15862">
        <f>IF(N15862="","",'Master Barang'!B56)</f>
        <v>0</v>
      </c>
      <c r="P15862">
        <f>IF(OR(M15862="",N15862=""),"",SUMIFS('Barang Keluar'!$E:$E,'Barang Keluar'!$A:$A,M15862,'Barang Keluar'!$C:$C,N15862))</f>
        <v>0</v>
      </c>
    </row>
    <row r="15863" spans="13:16">
      <c r="M15863" s="49">
        <f>IF($A$4+158&gt;$B$4,"",$A$4+158)</f>
        <v>46181</v>
      </c>
      <c r="N15863">
        <f>IF(M15863="","",'Master Barang'!A57)</f>
        <v>0</v>
      </c>
      <c r="O15863">
        <f>IF(N15863="","",'Master Barang'!B57)</f>
        <v>0</v>
      </c>
      <c r="P15863">
        <f>IF(OR(M15863="",N15863=""),"",SUMIFS('Barang Keluar'!$E:$E,'Barang Keluar'!$A:$A,M15863,'Barang Keluar'!$C:$C,N15863))</f>
        <v>0</v>
      </c>
    </row>
    <row r="15864" spans="13:16">
      <c r="M15864" s="49">
        <f>IF($A$4+158&gt;$B$4,"",$A$4+158)</f>
        <v>46181</v>
      </c>
      <c r="N15864">
        <f>IF(M15864="","",'Master Barang'!A58)</f>
        <v>0</v>
      </c>
      <c r="O15864">
        <f>IF(N15864="","",'Master Barang'!B58)</f>
        <v>0</v>
      </c>
      <c r="P15864">
        <f>IF(OR(M15864="",N15864=""),"",SUMIFS('Barang Keluar'!$E:$E,'Barang Keluar'!$A:$A,M15864,'Barang Keluar'!$C:$C,N15864))</f>
        <v>0</v>
      </c>
    </row>
    <row r="15865" spans="13:16">
      <c r="M15865" s="49">
        <f>IF($A$4+158&gt;$B$4,"",$A$4+158)</f>
        <v>46181</v>
      </c>
      <c r="N15865">
        <f>IF(M15865="","",'Master Barang'!A59)</f>
        <v>0</v>
      </c>
      <c r="O15865">
        <f>IF(N15865="","",'Master Barang'!B59)</f>
        <v>0</v>
      </c>
      <c r="P15865">
        <f>IF(OR(M15865="",N15865=""),"",SUMIFS('Barang Keluar'!$E:$E,'Barang Keluar'!$A:$A,M15865,'Barang Keluar'!$C:$C,N15865))</f>
        <v>0</v>
      </c>
    </row>
    <row r="15866" spans="13:16">
      <c r="M15866" s="49">
        <f>IF($A$4+158&gt;$B$4,"",$A$4+158)</f>
        <v>46181</v>
      </c>
      <c r="N15866">
        <f>IF(M15866="","",'Master Barang'!A60)</f>
        <v>0</v>
      </c>
      <c r="O15866">
        <f>IF(N15866="","",'Master Barang'!B60)</f>
        <v>0</v>
      </c>
      <c r="P15866">
        <f>IF(OR(M15866="",N15866=""),"",SUMIFS('Barang Keluar'!$E:$E,'Barang Keluar'!$A:$A,M15866,'Barang Keluar'!$C:$C,N15866))</f>
        <v>0</v>
      </c>
    </row>
    <row r="15867" spans="13:16">
      <c r="M15867" s="49">
        <f>IF($A$4+158&gt;$B$4,"",$A$4+158)</f>
        <v>46181</v>
      </c>
      <c r="N15867">
        <f>IF(M15867="","",'Master Barang'!A61)</f>
        <v>0</v>
      </c>
      <c r="O15867">
        <f>IF(N15867="","",'Master Barang'!B61)</f>
        <v>0</v>
      </c>
      <c r="P15867">
        <f>IF(OR(M15867="",N15867=""),"",SUMIFS('Barang Keluar'!$E:$E,'Barang Keluar'!$A:$A,M15867,'Barang Keluar'!$C:$C,N15867))</f>
        <v>0</v>
      </c>
    </row>
    <row r="15868" spans="13:16">
      <c r="M15868" s="49">
        <f>IF($A$4+158&gt;$B$4,"",$A$4+158)</f>
        <v>46181</v>
      </c>
      <c r="N15868">
        <f>IF(M15868="","",'Master Barang'!A62)</f>
        <v>0</v>
      </c>
      <c r="O15868">
        <f>IF(N15868="","",'Master Barang'!B62)</f>
        <v>0</v>
      </c>
      <c r="P15868">
        <f>IF(OR(M15868="",N15868=""),"",SUMIFS('Barang Keluar'!$E:$E,'Barang Keluar'!$A:$A,M15868,'Barang Keluar'!$C:$C,N15868))</f>
        <v>0</v>
      </c>
    </row>
    <row r="15869" spans="13:16">
      <c r="M15869" s="49">
        <f>IF($A$4+158&gt;$B$4,"",$A$4+158)</f>
        <v>46181</v>
      </c>
      <c r="N15869">
        <f>IF(M15869="","",'Master Barang'!A63)</f>
        <v>0</v>
      </c>
      <c r="O15869">
        <f>IF(N15869="","",'Master Barang'!B63)</f>
        <v>0</v>
      </c>
      <c r="P15869">
        <f>IF(OR(M15869="",N15869=""),"",SUMIFS('Barang Keluar'!$E:$E,'Barang Keluar'!$A:$A,M15869,'Barang Keluar'!$C:$C,N15869))</f>
        <v>0</v>
      </c>
    </row>
    <row r="15870" spans="13:16">
      <c r="M15870" s="49">
        <f>IF($A$4+158&gt;$B$4,"",$A$4+158)</f>
        <v>46181</v>
      </c>
      <c r="N15870">
        <f>IF(M15870="","",'Master Barang'!A64)</f>
        <v>0</v>
      </c>
      <c r="O15870">
        <f>IF(N15870="","",'Master Barang'!B64)</f>
        <v>0</v>
      </c>
      <c r="P15870">
        <f>IF(OR(M15870="",N15870=""),"",SUMIFS('Barang Keluar'!$E:$E,'Barang Keluar'!$A:$A,M15870,'Barang Keluar'!$C:$C,N15870))</f>
        <v>0</v>
      </c>
    </row>
    <row r="15871" spans="13:16">
      <c r="M15871" s="49">
        <f>IF($A$4+158&gt;$B$4,"",$A$4+158)</f>
        <v>46181</v>
      </c>
      <c r="N15871">
        <f>IF(M15871="","",'Master Barang'!A65)</f>
        <v>0</v>
      </c>
      <c r="O15871">
        <f>IF(N15871="","",'Master Barang'!B65)</f>
        <v>0</v>
      </c>
      <c r="P15871">
        <f>IF(OR(M15871="",N15871=""),"",SUMIFS('Barang Keluar'!$E:$E,'Barang Keluar'!$A:$A,M15871,'Barang Keluar'!$C:$C,N15871))</f>
        <v>0</v>
      </c>
    </row>
    <row r="15872" spans="13:16">
      <c r="M15872" s="49">
        <f>IF($A$4+158&gt;$B$4,"",$A$4+158)</f>
        <v>46181</v>
      </c>
      <c r="N15872">
        <f>IF(M15872="","",'Master Barang'!A66)</f>
        <v>0</v>
      </c>
      <c r="O15872">
        <f>IF(N15872="","",'Master Barang'!B66)</f>
        <v>0</v>
      </c>
      <c r="P15872">
        <f>IF(OR(M15872="",N15872=""),"",SUMIFS('Barang Keluar'!$E:$E,'Barang Keluar'!$A:$A,M15872,'Barang Keluar'!$C:$C,N15872))</f>
        <v>0</v>
      </c>
    </row>
    <row r="15873" spans="13:16">
      <c r="M15873" s="49">
        <f>IF($A$4+158&gt;$B$4,"",$A$4+158)</f>
        <v>46181</v>
      </c>
      <c r="N15873">
        <f>IF(M15873="","",'Master Barang'!A67)</f>
        <v>0</v>
      </c>
      <c r="O15873">
        <f>IF(N15873="","",'Master Barang'!B67)</f>
        <v>0</v>
      </c>
      <c r="P15873">
        <f>IF(OR(M15873="",N15873=""),"",SUMIFS('Barang Keluar'!$E:$E,'Barang Keluar'!$A:$A,M15873,'Barang Keluar'!$C:$C,N15873))</f>
        <v>0</v>
      </c>
    </row>
    <row r="15874" spans="13:16">
      <c r="M15874" s="49">
        <f>IF($A$4+158&gt;$B$4,"",$A$4+158)</f>
        <v>46181</v>
      </c>
      <c r="N15874">
        <f>IF(M15874="","",'Master Barang'!A68)</f>
        <v>0</v>
      </c>
      <c r="O15874">
        <f>IF(N15874="","",'Master Barang'!B68)</f>
        <v>0</v>
      </c>
      <c r="P15874">
        <f>IF(OR(M15874="",N15874=""),"",SUMIFS('Barang Keluar'!$E:$E,'Barang Keluar'!$A:$A,M15874,'Barang Keluar'!$C:$C,N15874))</f>
        <v>0</v>
      </c>
    </row>
    <row r="15875" spans="13:16">
      <c r="M15875" s="49">
        <f>IF($A$4+158&gt;$B$4,"",$A$4+158)</f>
        <v>46181</v>
      </c>
      <c r="N15875">
        <f>IF(M15875="","",'Master Barang'!A69)</f>
        <v>0</v>
      </c>
      <c r="O15875">
        <f>IF(N15875="","",'Master Barang'!B69)</f>
        <v>0</v>
      </c>
      <c r="P15875">
        <f>IF(OR(M15875="",N15875=""),"",SUMIFS('Barang Keluar'!$E:$E,'Barang Keluar'!$A:$A,M15875,'Barang Keluar'!$C:$C,N15875))</f>
        <v>0</v>
      </c>
    </row>
    <row r="15876" spans="13:16">
      <c r="M15876" s="49">
        <f>IF($A$4+158&gt;$B$4,"",$A$4+158)</f>
        <v>46181</v>
      </c>
      <c r="N15876">
        <f>IF(M15876="","",'Master Barang'!A70)</f>
        <v>0</v>
      </c>
      <c r="O15876">
        <f>IF(N15876="","",'Master Barang'!B70)</f>
        <v>0</v>
      </c>
      <c r="P15876">
        <f>IF(OR(M15876="",N15876=""),"",SUMIFS('Barang Keluar'!$E:$E,'Barang Keluar'!$A:$A,M15876,'Barang Keluar'!$C:$C,N15876))</f>
        <v>0</v>
      </c>
    </row>
    <row r="15877" spans="13:16">
      <c r="M15877" s="49">
        <f>IF($A$4+158&gt;$B$4,"",$A$4+158)</f>
        <v>46181</v>
      </c>
      <c r="N15877">
        <f>IF(M15877="","",'Master Barang'!A71)</f>
        <v>0</v>
      </c>
      <c r="O15877">
        <f>IF(N15877="","",'Master Barang'!B71)</f>
        <v>0</v>
      </c>
      <c r="P15877">
        <f>IF(OR(M15877="",N15877=""),"",SUMIFS('Barang Keluar'!$E:$E,'Barang Keluar'!$A:$A,M15877,'Barang Keluar'!$C:$C,N15877))</f>
        <v>0</v>
      </c>
    </row>
    <row r="15878" spans="13:16">
      <c r="M15878" s="49">
        <f>IF($A$4+158&gt;$B$4,"",$A$4+158)</f>
        <v>46181</v>
      </c>
      <c r="N15878">
        <f>IF(M15878="","",'Master Barang'!A72)</f>
        <v>0</v>
      </c>
      <c r="O15878">
        <f>IF(N15878="","",'Master Barang'!B72)</f>
        <v>0</v>
      </c>
      <c r="P15878">
        <f>IF(OR(M15878="",N15878=""),"",SUMIFS('Barang Keluar'!$E:$E,'Barang Keluar'!$A:$A,M15878,'Barang Keluar'!$C:$C,N15878))</f>
        <v>0</v>
      </c>
    </row>
    <row r="15879" spans="13:16">
      <c r="M15879" s="49">
        <f>IF($A$4+158&gt;$B$4,"",$A$4+158)</f>
        <v>46181</v>
      </c>
      <c r="N15879">
        <f>IF(M15879="","",'Master Barang'!A73)</f>
        <v>0</v>
      </c>
      <c r="O15879">
        <f>IF(N15879="","",'Master Barang'!B73)</f>
        <v>0</v>
      </c>
      <c r="P15879">
        <f>IF(OR(M15879="",N15879=""),"",SUMIFS('Barang Keluar'!$E:$E,'Barang Keluar'!$A:$A,M15879,'Barang Keluar'!$C:$C,N15879))</f>
        <v>0</v>
      </c>
    </row>
    <row r="15880" spans="13:16">
      <c r="M15880" s="49">
        <f>IF($A$4+158&gt;$B$4,"",$A$4+158)</f>
        <v>46181</v>
      </c>
      <c r="N15880">
        <f>IF(M15880="","",'Master Barang'!A74)</f>
        <v>0</v>
      </c>
      <c r="O15880">
        <f>IF(N15880="","",'Master Barang'!B74)</f>
        <v>0</v>
      </c>
      <c r="P15880">
        <f>IF(OR(M15880="",N15880=""),"",SUMIFS('Barang Keluar'!$E:$E,'Barang Keluar'!$A:$A,M15880,'Barang Keluar'!$C:$C,N15880))</f>
        <v>0</v>
      </c>
    </row>
    <row r="15881" spans="13:16">
      <c r="M15881" s="49">
        <f>IF($A$4+158&gt;$B$4,"",$A$4+158)</f>
        <v>46181</v>
      </c>
      <c r="N15881">
        <f>IF(M15881="","",'Master Barang'!A75)</f>
        <v>0</v>
      </c>
      <c r="O15881">
        <f>IF(N15881="","",'Master Barang'!B75)</f>
        <v>0</v>
      </c>
      <c r="P15881">
        <f>IF(OR(M15881="",N15881=""),"",SUMIFS('Barang Keluar'!$E:$E,'Barang Keluar'!$A:$A,M15881,'Barang Keluar'!$C:$C,N15881))</f>
        <v>0</v>
      </c>
    </row>
    <row r="15882" spans="13:16">
      <c r="M15882" s="49">
        <f>IF($A$4+158&gt;$B$4,"",$A$4+158)</f>
        <v>46181</v>
      </c>
      <c r="N15882">
        <f>IF(M15882="","",'Master Barang'!A76)</f>
        <v>0</v>
      </c>
      <c r="O15882">
        <f>IF(N15882="","",'Master Barang'!B76)</f>
        <v>0</v>
      </c>
      <c r="P15882">
        <f>IF(OR(M15882="",N15882=""),"",SUMIFS('Barang Keluar'!$E:$E,'Barang Keluar'!$A:$A,M15882,'Barang Keluar'!$C:$C,N15882))</f>
        <v>0</v>
      </c>
    </row>
    <row r="15883" spans="13:16">
      <c r="M15883" s="49">
        <f>IF($A$4+158&gt;$B$4,"",$A$4+158)</f>
        <v>46181</v>
      </c>
      <c r="N15883">
        <f>IF(M15883="","",'Master Barang'!A77)</f>
        <v>0</v>
      </c>
      <c r="O15883">
        <f>IF(N15883="","",'Master Barang'!B77)</f>
        <v>0</v>
      </c>
      <c r="P15883">
        <f>IF(OR(M15883="",N15883=""),"",SUMIFS('Barang Keluar'!$E:$E,'Barang Keluar'!$A:$A,M15883,'Barang Keluar'!$C:$C,N15883))</f>
        <v>0</v>
      </c>
    </row>
    <row r="15884" spans="13:16">
      <c r="M15884" s="49">
        <f>IF($A$4+158&gt;$B$4,"",$A$4+158)</f>
        <v>46181</v>
      </c>
      <c r="N15884">
        <f>IF(M15884="","",'Master Barang'!A78)</f>
        <v>0</v>
      </c>
      <c r="O15884">
        <f>IF(N15884="","",'Master Barang'!B78)</f>
        <v>0</v>
      </c>
      <c r="P15884">
        <f>IF(OR(M15884="",N15884=""),"",SUMIFS('Barang Keluar'!$E:$E,'Barang Keluar'!$A:$A,M15884,'Barang Keluar'!$C:$C,N15884))</f>
        <v>0</v>
      </c>
    </row>
    <row r="15885" spans="13:16">
      <c r="M15885" s="49">
        <f>IF($A$4+158&gt;$B$4,"",$A$4+158)</f>
        <v>46181</v>
      </c>
      <c r="N15885">
        <f>IF(M15885="","",'Master Barang'!A79)</f>
        <v>0</v>
      </c>
      <c r="O15885">
        <f>IF(N15885="","",'Master Barang'!B79)</f>
        <v>0</v>
      </c>
      <c r="P15885">
        <f>IF(OR(M15885="",N15885=""),"",SUMIFS('Barang Keluar'!$E:$E,'Barang Keluar'!$A:$A,M15885,'Barang Keluar'!$C:$C,N15885))</f>
        <v>0</v>
      </c>
    </row>
    <row r="15886" spans="13:16">
      <c r="M15886" s="49">
        <f>IF($A$4+158&gt;$B$4,"",$A$4+158)</f>
        <v>46181</v>
      </c>
      <c r="N15886">
        <f>IF(M15886="","",'Master Barang'!A80)</f>
        <v>0</v>
      </c>
      <c r="O15886">
        <f>IF(N15886="","",'Master Barang'!B80)</f>
        <v>0</v>
      </c>
      <c r="P15886">
        <f>IF(OR(M15886="",N15886=""),"",SUMIFS('Barang Keluar'!$E:$E,'Barang Keluar'!$A:$A,M15886,'Barang Keluar'!$C:$C,N15886))</f>
        <v>0</v>
      </c>
    </row>
    <row r="15887" spans="13:16">
      <c r="M15887" s="49">
        <f>IF($A$4+158&gt;$B$4,"",$A$4+158)</f>
        <v>46181</v>
      </c>
      <c r="N15887">
        <f>IF(M15887="","",'Master Barang'!A81)</f>
        <v>0</v>
      </c>
      <c r="O15887">
        <f>IF(N15887="","",'Master Barang'!B81)</f>
        <v>0</v>
      </c>
      <c r="P15887">
        <f>IF(OR(M15887="",N15887=""),"",SUMIFS('Barang Keluar'!$E:$E,'Barang Keluar'!$A:$A,M15887,'Barang Keluar'!$C:$C,N15887))</f>
        <v>0</v>
      </c>
    </row>
    <row r="15888" spans="13:16">
      <c r="M15888" s="49">
        <f>IF($A$4+158&gt;$B$4,"",$A$4+158)</f>
        <v>46181</v>
      </c>
      <c r="N15888">
        <f>IF(M15888="","",'Master Barang'!A82)</f>
        <v>0</v>
      </c>
      <c r="O15888">
        <f>IF(N15888="","",'Master Barang'!B82)</f>
        <v>0</v>
      </c>
      <c r="P15888">
        <f>IF(OR(M15888="",N15888=""),"",SUMIFS('Barang Keluar'!$E:$E,'Barang Keluar'!$A:$A,M15888,'Barang Keluar'!$C:$C,N15888))</f>
        <v>0</v>
      </c>
    </row>
    <row r="15889" spans="13:16">
      <c r="M15889" s="49">
        <f>IF($A$4+158&gt;$B$4,"",$A$4+158)</f>
        <v>46181</v>
      </c>
      <c r="N15889">
        <f>IF(M15889="","",'Master Barang'!A83)</f>
        <v>0</v>
      </c>
      <c r="O15889">
        <f>IF(N15889="","",'Master Barang'!B83)</f>
        <v>0</v>
      </c>
      <c r="P15889">
        <f>IF(OR(M15889="",N15889=""),"",SUMIFS('Barang Keluar'!$E:$E,'Barang Keluar'!$A:$A,M15889,'Barang Keluar'!$C:$C,N15889))</f>
        <v>0</v>
      </c>
    </row>
    <row r="15890" spans="13:16">
      <c r="M15890" s="49">
        <f>IF($A$4+158&gt;$B$4,"",$A$4+158)</f>
        <v>46181</v>
      </c>
      <c r="N15890">
        <f>IF(M15890="","",'Master Barang'!A84)</f>
        <v>0</v>
      </c>
      <c r="O15890">
        <f>IF(N15890="","",'Master Barang'!B84)</f>
        <v>0</v>
      </c>
      <c r="P15890">
        <f>IF(OR(M15890="",N15890=""),"",SUMIFS('Barang Keluar'!$E:$E,'Barang Keluar'!$A:$A,M15890,'Barang Keluar'!$C:$C,N15890))</f>
        <v>0</v>
      </c>
    </row>
    <row r="15891" spans="13:16">
      <c r="M15891" s="49">
        <f>IF($A$4+158&gt;$B$4,"",$A$4+158)</f>
        <v>46181</v>
      </c>
      <c r="N15891">
        <f>IF(M15891="","",'Master Barang'!A85)</f>
        <v>0</v>
      </c>
      <c r="O15891">
        <f>IF(N15891="","",'Master Barang'!B85)</f>
        <v>0</v>
      </c>
      <c r="P15891">
        <f>IF(OR(M15891="",N15891=""),"",SUMIFS('Barang Keluar'!$E:$E,'Barang Keluar'!$A:$A,M15891,'Barang Keluar'!$C:$C,N15891))</f>
        <v>0</v>
      </c>
    </row>
    <row r="15892" spans="13:16">
      <c r="M15892" s="49">
        <f>IF($A$4+158&gt;$B$4,"",$A$4+158)</f>
        <v>46181</v>
      </c>
      <c r="N15892">
        <f>IF(M15892="","",'Master Barang'!A86)</f>
        <v>0</v>
      </c>
      <c r="O15892">
        <f>IF(N15892="","",'Master Barang'!B86)</f>
        <v>0</v>
      </c>
      <c r="P15892">
        <f>IF(OR(M15892="",N15892=""),"",SUMIFS('Barang Keluar'!$E:$E,'Barang Keluar'!$A:$A,M15892,'Barang Keluar'!$C:$C,N15892))</f>
        <v>0</v>
      </c>
    </row>
    <row r="15893" spans="13:16">
      <c r="M15893" s="49">
        <f>IF($A$4+158&gt;$B$4,"",$A$4+158)</f>
        <v>46181</v>
      </c>
      <c r="N15893">
        <f>IF(M15893="","",'Master Barang'!A87)</f>
        <v>0</v>
      </c>
      <c r="O15893">
        <f>IF(N15893="","",'Master Barang'!B87)</f>
        <v>0</v>
      </c>
      <c r="P15893">
        <f>IF(OR(M15893="",N15893=""),"",SUMIFS('Barang Keluar'!$E:$E,'Barang Keluar'!$A:$A,M15893,'Barang Keluar'!$C:$C,N15893))</f>
        <v>0</v>
      </c>
    </row>
    <row r="15894" spans="13:16">
      <c r="M15894" s="49">
        <f>IF($A$4+158&gt;$B$4,"",$A$4+158)</f>
        <v>46181</v>
      </c>
      <c r="N15894">
        <f>IF(M15894="","",'Master Barang'!A88)</f>
        <v>0</v>
      </c>
      <c r="O15894">
        <f>IF(N15894="","",'Master Barang'!B88)</f>
        <v>0</v>
      </c>
      <c r="P15894">
        <f>IF(OR(M15894="",N15894=""),"",SUMIFS('Barang Keluar'!$E:$E,'Barang Keluar'!$A:$A,M15894,'Barang Keluar'!$C:$C,N15894))</f>
        <v>0</v>
      </c>
    </row>
    <row r="15895" spans="13:16">
      <c r="M15895" s="49">
        <f>IF($A$4+158&gt;$B$4,"",$A$4+158)</f>
        <v>46181</v>
      </c>
      <c r="N15895">
        <f>IF(M15895="","",'Master Barang'!A89)</f>
        <v>0</v>
      </c>
      <c r="O15895">
        <f>IF(N15895="","",'Master Barang'!B89)</f>
        <v>0</v>
      </c>
      <c r="P15895">
        <f>IF(OR(M15895="",N15895=""),"",SUMIFS('Barang Keluar'!$E:$E,'Barang Keluar'!$A:$A,M15895,'Barang Keluar'!$C:$C,N15895))</f>
        <v>0</v>
      </c>
    </row>
    <row r="15896" spans="13:16">
      <c r="M15896" s="49">
        <f>IF($A$4+158&gt;$B$4,"",$A$4+158)</f>
        <v>46181</v>
      </c>
      <c r="N15896">
        <f>IF(M15896="","",'Master Barang'!A90)</f>
        <v>0</v>
      </c>
      <c r="O15896">
        <f>IF(N15896="","",'Master Barang'!B90)</f>
        <v>0</v>
      </c>
      <c r="P15896">
        <f>IF(OR(M15896="",N15896=""),"",SUMIFS('Barang Keluar'!$E:$E,'Barang Keluar'!$A:$A,M15896,'Barang Keluar'!$C:$C,N15896))</f>
        <v>0</v>
      </c>
    </row>
    <row r="15897" spans="13:16">
      <c r="M15897" s="49">
        <f>IF($A$4+158&gt;$B$4,"",$A$4+158)</f>
        <v>46181</v>
      </c>
      <c r="N15897">
        <f>IF(M15897="","",'Master Barang'!A91)</f>
        <v>0</v>
      </c>
      <c r="O15897">
        <f>IF(N15897="","",'Master Barang'!B91)</f>
        <v>0</v>
      </c>
      <c r="P15897">
        <f>IF(OR(M15897="",N15897=""),"",SUMIFS('Barang Keluar'!$E:$E,'Barang Keluar'!$A:$A,M15897,'Barang Keluar'!$C:$C,N15897))</f>
        <v>0</v>
      </c>
    </row>
    <row r="15898" spans="13:16">
      <c r="M15898" s="49">
        <f>IF($A$4+158&gt;$B$4,"",$A$4+158)</f>
        <v>46181</v>
      </c>
      <c r="N15898">
        <f>IF(M15898="","",'Master Barang'!A92)</f>
        <v>0</v>
      </c>
      <c r="O15898">
        <f>IF(N15898="","",'Master Barang'!B92)</f>
        <v>0</v>
      </c>
      <c r="P15898">
        <f>IF(OR(M15898="",N15898=""),"",SUMIFS('Barang Keluar'!$E:$E,'Barang Keluar'!$A:$A,M15898,'Barang Keluar'!$C:$C,N15898))</f>
        <v>0</v>
      </c>
    </row>
    <row r="15899" spans="13:16">
      <c r="M15899" s="49">
        <f>IF($A$4+158&gt;$B$4,"",$A$4+158)</f>
        <v>46181</v>
      </c>
      <c r="N15899">
        <f>IF(M15899="","",'Master Barang'!A93)</f>
        <v>0</v>
      </c>
      <c r="O15899">
        <f>IF(N15899="","",'Master Barang'!B93)</f>
        <v>0</v>
      </c>
      <c r="P15899">
        <f>IF(OR(M15899="",N15899=""),"",SUMIFS('Barang Keluar'!$E:$E,'Barang Keluar'!$A:$A,M15899,'Barang Keluar'!$C:$C,N15899))</f>
        <v>0</v>
      </c>
    </row>
    <row r="15900" spans="13:16">
      <c r="M15900" s="49">
        <f>IF($A$4+158&gt;$B$4,"",$A$4+158)</f>
        <v>46181</v>
      </c>
      <c r="N15900">
        <f>IF(M15900="","",'Master Barang'!A94)</f>
        <v>0</v>
      </c>
      <c r="O15900">
        <f>IF(N15900="","",'Master Barang'!B94)</f>
        <v>0</v>
      </c>
      <c r="P15900">
        <f>IF(OR(M15900="",N15900=""),"",SUMIFS('Barang Keluar'!$E:$E,'Barang Keluar'!$A:$A,M15900,'Barang Keluar'!$C:$C,N15900))</f>
        <v>0</v>
      </c>
    </row>
    <row r="15901" spans="13:16">
      <c r="M15901" s="49">
        <f>IF($A$4+158&gt;$B$4,"",$A$4+158)</f>
        <v>46181</v>
      </c>
      <c r="N15901">
        <f>IF(M15901="","",'Master Barang'!A95)</f>
        <v>0</v>
      </c>
      <c r="O15901">
        <f>IF(N15901="","",'Master Barang'!B95)</f>
        <v>0</v>
      </c>
      <c r="P15901">
        <f>IF(OR(M15901="",N15901=""),"",SUMIFS('Barang Keluar'!$E:$E,'Barang Keluar'!$A:$A,M15901,'Barang Keluar'!$C:$C,N15901))</f>
        <v>0</v>
      </c>
    </row>
    <row r="15902" spans="13:16">
      <c r="M15902" s="49">
        <f>IF($A$4+158&gt;$B$4,"",$A$4+158)</f>
        <v>46181</v>
      </c>
      <c r="N15902">
        <f>IF(M15902="","",'Master Barang'!A96)</f>
        <v>0</v>
      </c>
      <c r="O15902">
        <f>IF(N15902="","",'Master Barang'!B96)</f>
        <v>0</v>
      </c>
      <c r="P15902">
        <f>IF(OR(M15902="",N15902=""),"",SUMIFS('Barang Keluar'!$E:$E,'Barang Keluar'!$A:$A,M15902,'Barang Keluar'!$C:$C,N15902))</f>
        <v>0</v>
      </c>
    </row>
    <row r="15903" spans="13:16">
      <c r="M15903" s="49">
        <f>IF($A$4+158&gt;$B$4,"",$A$4+158)</f>
        <v>46181</v>
      </c>
      <c r="N15903">
        <f>IF(M15903="","",'Master Barang'!A97)</f>
        <v>0</v>
      </c>
      <c r="O15903">
        <f>IF(N15903="","",'Master Barang'!B97)</f>
        <v>0</v>
      </c>
      <c r="P15903">
        <f>IF(OR(M15903="",N15903=""),"",SUMIFS('Barang Keluar'!$E:$E,'Barang Keluar'!$A:$A,M15903,'Barang Keluar'!$C:$C,N15903))</f>
        <v>0</v>
      </c>
    </row>
    <row r="15904" spans="13:16">
      <c r="M15904" s="49">
        <f>IF($A$4+158&gt;$B$4,"",$A$4+158)</f>
        <v>46181</v>
      </c>
      <c r="N15904">
        <f>IF(M15904="","",'Master Barang'!A98)</f>
        <v>0</v>
      </c>
      <c r="O15904">
        <f>IF(N15904="","",'Master Barang'!B98)</f>
        <v>0</v>
      </c>
      <c r="P15904">
        <f>IF(OR(M15904="",N15904=""),"",SUMIFS('Barang Keluar'!$E:$E,'Barang Keluar'!$A:$A,M15904,'Barang Keluar'!$C:$C,N15904))</f>
        <v>0</v>
      </c>
    </row>
    <row r="15905" spans="13:16">
      <c r="M15905" s="49">
        <f>IF($A$4+158&gt;$B$4,"",$A$4+158)</f>
        <v>46181</v>
      </c>
      <c r="N15905">
        <f>IF(M15905="","",'Master Barang'!A99)</f>
        <v>0</v>
      </c>
      <c r="O15905">
        <f>IF(N15905="","",'Master Barang'!B99)</f>
        <v>0</v>
      </c>
      <c r="P15905">
        <f>IF(OR(M15905="",N15905=""),"",SUMIFS('Barang Keluar'!$E:$E,'Barang Keluar'!$A:$A,M15905,'Barang Keluar'!$C:$C,N15905))</f>
        <v>0</v>
      </c>
    </row>
    <row r="15906" spans="13:16">
      <c r="M15906" s="49">
        <f>IF($A$4+158&gt;$B$4,"",$A$4+158)</f>
        <v>46181</v>
      </c>
      <c r="N15906">
        <f>IF(M15906="","",'Master Barang'!A100)</f>
        <v>0</v>
      </c>
      <c r="O15906">
        <f>IF(N15906="","",'Master Barang'!B100)</f>
        <v>0</v>
      </c>
      <c r="P15906">
        <f>IF(OR(M15906="",N15906=""),"",SUMIFS('Barang Keluar'!$E:$E,'Barang Keluar'!$A:$A,M15906,'Barang Keluar'!$C:$C,N15906))</f>
        <v>0</v>
      </c>
    </row>
    <row r="15907" spans="13:16">
      <c r="M15907" s="49">
        <f>IF($A$4+158&gt;$B$4,"",$A$4+158)</f>
        <v>46181</v>
      </c>
      <c r="N15907">
        <f>IF(M15907="","",'Master Barang'!A101)</f>
        <v>0</v>
      </c>
      <c r="O15907">
        <f>IF(N15907="","",'Master Barang'!B101)</f>
        <v>0</v>
      </c>
      <c r="P15907">
        <f>IF(OR(M15907="",N15907=""),"",SUMIFS('Barang Keluar'!$E:$E,'Barang Keluar'!$A:$A,M15907,'Barang Keluar'!$C:$C,N15907))</f>
        <v>0</v>
      </c>
    </row>
    <row r="15908" spans="13:16">
      <c r="M15908" s="49">
        <f>IF($A$4+159&gt;$B$4,"",$A$4+159)</f>
        <v>46182</v>
      </c>
      <c r="N15908" t="str">
        <f>IF(M15908="","",'Master Barang'!A2)</f>
        <v>PRL-001</v>
      </c>
      <c r="O15908" t="str">
        <f>IF(N15908="","",'Master Barang'!B2)</f>
        <v>natura desinfectant food grade 5l</v>
      </c>
      <c r="P15908">
        <f>IF(OR(M15908="",N15908=""),"",SUMIFS('Barang Keluar'!$E:$E,'Barang Keluar'!$A:$A,M15908,'Barang Keluar'!$C:$C,N15908))</f>
        <v>0</v>
      </c>
    </row>
    <row r="15909" spans="13:16">
      <c r="M15909" s="49">
        <f>IF($A$4+159&gt;$B$4,"",$A$4+159)</f>
        <v>46182</v>
      </c>
      <c r="N15909" t="str">
        <f>IF(M15909="","",'Master Barang'!A3)</f>
        <v>PRL-002</v>
      </c>
      <c r="O15909" t="str">
        <f>IF(N15909="","",'Master Barang'!B3)</f>
        <v>sunlight cairan pencuci piring 5l</v>
      </c>
      <c r="P15909">
        <f>IF(OR(M15909="",N15909=""),"",SUMIFS('Barang Keluar'!$E:$E,'Barang Keluar'!$A:$A,M15909,'Barang Keluar'!$C:$C,N15909))</f>
        <v>0</v>
      </c>
    </row>
    <row r="15910" spans="13:16">
      <c r="M15910" s="49">
        <f>IF($A$4+159&gt;$B$4,"",$A$4+159)</f>
        <v>46182</v>
      </c>
      <c r="N15910" t="str">
        <f>IF(M15910="","",'Master Barang'!A4)</f>
        <v>PRL-003</v>
      </c>
      <c r="O15910" t="str">
        <f>IF(N15910="","",'Master Barang'!B4)</f>
        <v>oixs cleaner 1l</v>
      </c>
      <c r="P15910">
        <f>IF(OR(M15910="",N15910=""),"",SUMIFS('Barang Keluar'!$E:$E,'Barang Keluar'!$A:$A,M15910,'Barang Keluar'!$C:$C,N15910))</f>
        <v>0</v>
      </c>
    </row>
    <row r="15911" spans="13:16">
      <c r="M15911" s="49">
        <f>IF($A$4+159&gt;$B$4,"",$A$4+159)</f>
        <v>46182</v>
      </c>
      <c r="N15911" t="str">
        <f>IF(M15911="","",'Master Barang'!A5)</f>
        <v>PRL-004</v>
      </c>
      <c r="O15911" t="str">
        <f>IF(N15911="","",'Master Barang'!B5)</f>
        <v>be clean tissue serbaguna</v>
      </c>
      <c r="P15911">
        <f>IF(OR(M15911="",N15911=""),"",SUMIFS('Barang Keluar'!$E:$E,'Barang Keluar'!$A:$A,M15911,'Barang Keluar'!$C:$C,N15911))</f>
        <v>0</v>
      </c>
    </row>
    <row r="15912" spans="13:16">
      <c r="M15912" s="49">
        <f>IF($A$4+159&gt;$B$4,"",$A$4+159)</f>
        <v>46182</v>
      </c>
      <c r="N15912" t="str">
        <f>IF(M15912="","",'Master Barang'!A6)</f>
        <v>PRL-005</v>
      </c>
      <c r="O15912" t="str">
        <f>IF(N15912="","",'Master Barang'!B6)</f>
        <v>spons cuci hijau</v>
      </c>
      <c r="P15912">
        <f>IF(OR(M15912="",N15912=""),"",SUMIFS('Barang Keluar'!$E:$E,'Barang Keluar'!$A:$A,M15912,'Barang Keluar'!$C:$C,N15912))</f>
        <v>0</v>
      </c>
    </row>
    <row r="15913" spans="13:16">
      <c r="M15913" s="49">
        <f>IF($A$4+159&gt;$B$4,"",$A$4+159)</f>
        <v>46182</v>
      </c>
      <c r="N15913" t="str">
        <f>IF(M15913="","",'Master Barang'!A7)</f>
        <v>PRL-006</v>
      </c>
      <c r="O15913" t="str">
        <f>IF(N15913="","",'Master Barang'!B7)</f>
        <v>sabut cuci stainless</v>
      </c>
      <c r="P15913">
        <f>IF(OR(M15913="",N15913=""),"",SUMIFS('Barang Keluar'!$E:$E,'Barang Keluar'!$A:$A,M15913,'Barang Keluar'!$C:$C,N15913))</f>
        <v>0</v>
      </c>
    </row>
    <row r="15914" spans="13:16">
      <c r="M15914" s="49">
        <f>IF($A$4+159&gt;$B$4,"",$A$4+159)</f>
        <v>46182</v>
      </c>
      <c r="N15914" t="str">
        <f>IF(M15914="","",'Master Barang'!A8)</f>
        <v>PRL-007</v>
      </c>
      <c r="O15914" t="str">
        <f>IF(N15914="","",'Master Barang'!B8)</f>
        <v>plastik kresek besar merah 50pc</v>
      </c>
      <c r="P15914">
        <f>IF(OR(M15914="",N15914=""),"",SUMIFS('Barang Keluar'!$E:$E,'Barang Keluar'!$A:$A,M15914,'Barang Keluar'!$C:$C,N15914))</f>
        <v>0</v>
      </c>
    </row>
    <row r="15915" spans="13:16">
      <c r="M15915" s="49">
        <f>IF($A$4+159&gt;$B$4,"",$A$4+159)</f>
        <v>46182</v>
      </c>
      <c r="N15915" t="str">
        <f>IF(M15915="","",'Master Barang'!A9)</f>
        <v>PRL-008</v>
      </c>
      <c r="O15915" t="str">
        <f>IF(N15915="","",'Master Barang'!B9)</f>
        <v>lap besar</v>
      </c>
      <c r="P15915">
        <f>IF(OR(M15915="",N15915=""),"",SUMIFS('Barang Keluar'!$E:$E,'Barang Keluar'!$A:$A,M15915,'Barang Keluar'!$C:$C,N15915))</f>
        <v>0</v>
      </c>
    </row>
    <row r="15916" spans="13:16">
      <c r="M15916" s="49">
        <f>IF($A$4+159&gt;$B$4,"",$A$4+159)</f>
        <v>46182</v>
      </c>
      <c r="N15916" t="str">
        <f>IF(M15916="","",'Master Barang'!A10)</f>
        <v>PRL-009</v>
      </c>
      <c r="O15916" t="str">
        <f>IF(N15916="","",'Master Barang'!B10)</f>
        <v>lap microfiber</v>
      </c>
      <c r="P15916">
        <f>IF(OR(M15916="",N15916=""),"",SUMIFS('Barang Keluar'!$E:$E,'Barang Keluar'!$A:$A,M15916,'Barang Keluar'!$C:$C,N15916))</f>
        <v>0</v>
      </c>
    </row>
    <row r="15917" spans="13:16">
      <c r="M15917" s="49">
        <f>IF($A$4+159&gt;$B$4,"",$A$4+159)</f>
        <v>46182</v>
      </c>
      <c r="N15917" t="str">
        <f>IF(M15917="","",'Master Barang'!A11)</f>
        <v>PRL-010</v>
      </c>
      <c r="O15917" t="str">
        <f>IF(N15917="","",'Master Barang'!B11)</f>
        <v>lap kecil</v>
      </c>
      <c r="P15917">
        <f>IF(OR(M15917="",N15917=""),"",SUMIFS('Barang Keluar'!$E:$E,'Barang Keluar'!$A:$A,M15917,'Barang Keluar'!$C:$C,N15917))</f>
        <v>0</v>
      </c>
    </row>
    <row r="15918" spans="13:16">
      <c r="M15918" s="49">
        <f>IF($A$4+159&gt;$B$4,"",$A$4+159)</f>
        <v>46182</v>
      </c>
      <c r="N15918" t="str">
        <f>IF(M15918="","",'Master Barang'!A12)</f>
        <v>PRL-011</v>
      </c>
      <c r="O15918" t="str">
        <f>IF(N15918="","",'Master Barang'!B12)</f>
        <v>kanebo kecil</v>
      </c>
      <c r="P15918">
        <f>IF(OR(M15918="",N15918=""),"",SUMIFS('Barang Keluar'!$E:$E,'Barang Keluar'!$A:$A,M15918,'Barang Keluar'!$C:$C,N15918))</f>
        <v>0</v>
      </c>
    </row>
    <row r="15919" spans="13:16">
      <c r="M15919" s="49">
        <f>IF($A$4+159&gt;$B$4,"",$A$4+159)</f>
        <v>46182</v>
      </c>
      <c r="N15919" t="str">
        <f>IF(M15919="","",'Master Barang'!A13)</f>
        <v>PRL-012</v>
      </c>
      <c r="O15919" t="str">
        <f>IF(N15919="","",'Master Barang'!B13)</f>
        <v>plastik 1/4kg joyoboyo 100 lembar</v>
      </c>
      <c r="P15919">
        <f>IF(OR(M15919="",N15919=""),"",SUMIFS('Barang Keluar'!$E:$E,'Barang Keluar'!$A:$A,M15919,'Barang Keluar'!$C:$C,N15919))</f>
        <v>0</v>
      </c>
    </row>
    <row r="15920" spans="13:16">
      <c r="M15920" s="49">
        <f>IF($A$4+159&gt;$B$4,"",$A$4+159)</f>
        <v>46182</v>
      </c>
      <c r="N15920" t="str">
        <f>IF(M15920="","",'Master Barang'!A14)</f>
        <v>PRL-013</v>
      </c>
      <c r="O15920" t="str">
        <f>IF(N15920="","",'Master Barang'!B14)</f>
        <v>sarung tangan plastik kaka 100 pcs</v>
      </c>
      <c r="P15920">
        <f>IF(OR(M15920="",N15920=""),"",SUMIFS('Barang Keluar'!$E:$E,'Barang Keluar'!$A:$A,M15920,'Barang Keluar'!$C:$C,N15920))</f>
        <v>0</v>
      </c>
    </row>
    <row r="15921" spans="13:16">
      <c r="M15921" s="49">
        <f>IF($A$4+159&gt;$B$4,"",$A$4+159)</f>
        <v>46182</v>
      </c>
      <c r="N15921" t="str">
        <f>IF(M15921="","",'Master Barang'!A15)</f>
        <v>PRL-014</v>
      </c>
      <c r="O15921" t="str">
        <f>IF(N15921="","",'Master Barang'!B15)</f>
        <v>optima trashbag 80x100</v>
      </c>
      <c r="P15921">
        <f>IF(OR(M15921="",N15921=""),"",SUMIFS('Barang Keluar'!$E:$E,'Barang Keluar'!$A:$A,M15921,'Barang Keluar'!$C:$C,N15921))</f>
        <v>0</v>
      </c>
    </row>
    <row r="15922" spans="13:16">
      <c r="M15922" s="49">
        <f>IF($A$4+159&gt;$B$4,"",$A$4+159)</f>
        <v>46182</v>
      </c>
      <c r="N15922" t="str">
        <f>IF(M15922="","",'Master Barang'!A16)</f>
        <v>PRL-015</v>
      </c>
      <c r="O15922" t="str">
        <f>IF(N15922="","",'Master Barang'!B16)</f>
        <v>optima trashbag 60x100</v>
      </c>
      <c r="P15922">
        <f>IF(OR(M15922="",N15922=""),"",SUMIFS('Barang Keluar'!$E:$E,'Barang Keluar'!$A:$A,M15922,'Barang Keluar'!$C:$C,N15922))</f>
        <v>0</v>
      </c>
    </row>
    <row r="15923" spans="13:16">
      <c r="M15923" s="49">
        <f>IF($A$4+159&gt;$B$4,"",$A$4+159)</f>
        <v>46182</v>
      </c>
      <c r="N15923" t="str">
        <f>IF(M15923="","",'Master Barang'!A17)</f>
        <v>PRL-016</v>
      </c>
      <c r="O15923" t="str">
        <f>IF(N15923="","",'Master Barang'!B17)</f>
        <v>rajawali trashbag 30x40</v>
      </c>
      <c r="P15923">
        <f>IF(OR(M15923="",N15923=""),"",SUMIFS('Barang Keluar'!$E:$E,'Barang Keluar'!$A:$A,M15923,'Barang Keluar'!$C:$C,N15923))</f>
        <v>0</v>
      </c>
    </row>
    <row r="15924" spans="13:16">
      <c r="M15924" s="49">
        <f>IF($A$4+159&gt;$B$4,"",$A$4+159)</f>
        <v>46182</v>
      </c>
      <c r="N15924" t="str">
        <f>IF(M15924="","",'Master Barang'!A18)</f>
        <v>PRL-017</v>
      </c>
      <c r="O15924" t="str">
        <f>IF(N15924="","",'Master Barang'!B18)</f>
        <v>onemed masker biru 3 play 50 pcs</v>
      </c>
      <c r="P15924">
        <f>IF(OR(M15924="",N15924=""),"",SUMIFS('Barang Keluar'!$E:$E,'Barang Keluar'!$A:$A,M15924,'Barang Keluar'!$C:$C,N15924))</f>
        <v>0</v>
      </c>
    </row>
    <row r="15925" spans="13:16">
      <c r="M15925" s="49">
        <f>IF($A$4+159&gt;$B$4,"",$A$4+159)</f>
        <v>46182</v>
      </c>
      <c r="N15925" t="str">
        <f>IF(M15925="","",'Master Barang'!A19)</f>
        <v>PRL-018</v>
      </c>
      <c r="O15925" t="str">
        <f>IF(N15925="","",'Master Barang'!B19)</f>
        <v>onemed masker biru 3 play hijab 50 pcs</v>
      </c>
      <c r="P15925">
        <f>IF(OR(M15925="",N15925=""),"",SUMIFS('Barang Keluar'!$E:$E,'Barang Keluar'!$A:$A,M15925,'Barang Keluar'!$C:$C,N15925))</f>
        <v>0</v>
      </c>
    </row>
    <row r="15926" spans="13:16">
      <c r="M15926" s="49">
        <f>IF($A$4+159&gt;$B$4,"",$A$4+159)</f>
        <v>46182</v>
      </c>
      <c r="N15926" t="str">
        <f>IF(M15926="","",'Master Barang'!A20)</f>
        <v>PRL-019</v>
      </c>
      <c r="O15926" t="str">
        <f>IF(N15926="","",'Master Barang'!B20)</f>
        <v>neo health masker biru 3 play 50 pcs</v>
      </c>
      <c r="P15926">
        <f>IF(OR(M15926="",N15926=""),"",SUMIFS('Barang Keluar'!$E:$E,'Barang Keluar'!$A:$A,M15926,'Barang Keluar'!$C:$C,N15926))</f>
        <v>0</v>
      </c>
    </row>
    <row r="15927" spans="13:16">
      <c r="M15927" s="49">
        <f>IF($A$4+159&gt;$B$4,"",$A$4+159)</f>
        <v>46182</v>
      </c>
      <c r="N15927" t="str">
        <f>IF(M15927="","",'Master Barang'!A21)</f>
        <v>PRL-020</v>
      </c>
      <c r="O15927" t="str">
        <f>IF(N15927="","",'Master Barang'!B21)</f>
        <v>baymed masker hijau 3 play hijau 50 pcs</v>
      </c>
      <c r="P15927">
        <f>IF(OR(M15927="",N15927=""),"",SUMIFS('Barang Keluar'!$E:$E,'Barang Keluar'!$A:$A,M15927,'Barang Keluar'!$C:$C,N15927))</f>
        <v>0</v>
      </c>
    </row>
    <row r="15928" spans="13:16">
      <c r="M15928" s="49">
        <f>IF($A$4+159&gt;$B$4,"",$A$4+159)</f>
        <v>46182</v>
      </c>
      <c r="N15928" t="str">
        <f>IF(M15928="","",'Master Barang'!A22)</f>
        <v>PRL-021</v>
      </c>
      <c r="O15928" t="str">
        <f>IF(N15928="","",'Master Barang'!B22)</f>
        <v>altamed nurse cap penutup kepala 100 pcs</v>
      </c>
      <c r="P15928">
        <f>IF(OR(M15928="",N15928=""),"",SUMIFS('Barang Keluar'!$E:$E,'Barang Keluar'!$A:$A,M15928,'Barang Keluar'!$C:$C,N15928))</f>
        <v>0</v>
      </c>
    </row>
    <row r="15929" spans="13:16">
      <c r="M15929" s="49">
        <f>IF($A$4+159&gt;$B$4,"",$A$4+159)</f>
        <v>46182</v>
      </c>
      <c r="N15929" t="str">
        <f>IF(M15929="","",'Master Barang'!A23)</f>
        <v>PRL-022</v>
      </c>
      <c r="O15929" t="str">
        <f>IF(N15929="","",'Master Barang'!B23)</f>
        <v>sabun cuci tangan</v>
      </c>
      <c r="P15929">
        <f>IF(OR(M15929="",N15929=""),"",SUMIFS('Barang Keluar'!$E:$E,'Barang Keluar'!$A:$A,M15929,'Barang Keluar'!$C:$C,N15929))</f>
        <v>0</v>
      </c>
    </row>
    <row r="15930" spans="13:16">
      <c r="M15930" s="49">
        <f>IF($A$4+159&gt;$B$4,"",$A$4+159)</f>
        <v>46182</v>
      </c>
      <c r="N15930" t="str">
        <f>IF(M15930="","",'Master Barang'!A24)</f>
        <v>PRL-023</v>
      </c>
      <c r="O15930" t="str">
        <f>IF(N15930="","",'Master Barang'!B24)</f>
        <v>gayung kecil</v>
      </c>
      <c r="P15930">
        <f>IF(OR(M15930="",N15930=""),"",SUMIFS('Barang Keluar'!$E:$E,'Barang Keluar'!$A:$A,M15930,'Barang Keluar'!$C:$C,N15930))</f>
        <v>0</v>
      </c>
    </row>
    <row r="15931" spans="13:16">
      <c r="M15931" s="49">
        <f>IF($A$4+159&gt;$B$4,"",$A$4+159)</f>
        <v>46182</v>
      </c>
      <c r="N15931" t="str">
        <f>IF(M15931="","",'Master Barang'!A25)</f>
        <v>PRL-024</v>
      </c>
      <c r="O15931" t="str">
        <f>IF(N15931="","",'Master Barang'!B25)</f>
        <v>cikrak kecil</v>
      </c>
      <c r="P15931">
        <f>IF(OR(M15931="",N15931=""),"",SUMIFS('Barang Keluar'!$E:$E,'Barang Keluar'!$A:$A,M15931,'Barang Keluar'!$C:$C,N15931))</f>
        <v>0</v>
      </c>
    </row>
    <row r="15932" spans="13:16">
      <c r="M15932" s="49">
        <f>IF($A$4+159&gt;$B$4,"",$A$4+159)</f>
        <v>46182</v>
      </c>
      <c r="N15932" t="str">
        <f>IF(M15932="","",'Master Barang'!A26)</f>
        <v>PRL-025</v>
      </c>
      <c r="O15932" t="str">
        <f>IF(N15932="","",'Master Barang'!B26)</f>
        <v>petromax plastik kecil 12x24 100 lembar</v>
      </c>
      <c r="P15932">
        <f>IF(OR(M15932="",N15932=""),"",SUMIFS('Barang Keluar'!$E:$E,'Barang Keluar'!$A:$A,M15932,'Barang Keluar'!$C:$C,N15932))</f>
        <v>0</v>
      </c>
    </row>
    <row r="15933" spans="13:16">
      <c r="M15933" s="49">
        <f>IF($A$4+159&gt;$B$4,"",$A$4+159)</f>
        <v>46182</v>
      </c>
      <c r="N15933" t="str">
        <f>IF(M15933="","",'Master Barang'!A27)</f>
        <v>PRL-026</v>
      </c>
      <c r="O15933" t="str">
        <f>IF(N15933="","",'Master Barang'!B27)</f>
        <v>lancar kresek kecil bening </v>
      </c>
      <c r="P15933">
        <f>IF(OR(M15933="",N15933=""),"",SUMIFS('Barang Keluar'!$E:$E,'Barang Keluar'!$A:$A,M15933,'Barang Keluar'!$C:$C,N15933))</f>
        <v>0</v>
      </c>
    </row>
    <row r="15934" spans="13:16">
      <c r="M15934" s="49">
        <f>IF($A$4+159&gt;$B$4,"",$A$4+159)</f>
        <v>46182</v>
      </c>
      <c r="N15934" t="str">
        <f>IF(M15934="","",'Master Barang'!A28)</f>
        <v>PRL-027</v>
      </c>
      <c r="O15934" t="str">
        <f>IF(N15934="","",'Master Barang'!B28)</f>
        <v>kresek klin warna warni kecil</v>
      </c>
      <c r="P15934">
        <f>IF(OR(M15934="",N15934=""),"",SUMIFS('Barang Keluar'!$E:$E,'Barang Keluar'!$A:$A,M15934,'Barang Keluar'!$C:$C,N15934))</f>
        <v>0</v>
      </c>
    </row>
    <row r="15935" spans="13:16">
      <c r="M15935" s="49">
        <f>IF($A$4+159&gt;$B$4,"",$A$4+159)</f>
        <v>46182</v>
      </c>
      <c r="N15935" t="str">
        <f>IF(M15935="","",'Master Barang'!A29)</f>
        <v>PRL-028</v>
      </c>
      <c r="O15935" t="str">
        <f>IF(N15935="","",'Master Barang'!B29)</f>
        <v>ctik plastik 7x10 100 pcs</v>
      </c>
      <c r="P15935">
        <f>IF(OR(M15935="",N15935=""),"",SUMIFS('Barang Keluar'!$E:$E,'Barang Keluar'!$A:$A,M15935,'Barang Keluar'!$C:$C,N15935))</f>
        <v>0</v>
      </c>
    </row>
    <row r="15936" spans="13:16">
      <c r="M15936" s="49">
        <f>IF($A$4+159&gt;$B$4,"",$A$4+159)</f>
        <v>46182</v>
      </c>
      <c r="N15936" t="str">
        <f>IF(M15936="","",'Master Barang'!A30)</f>
        <v>PRL-029</v>
      </c>
      <c r="O15936" t="str">
        <f>IF(N15936="","",'Master Barang'!B30)</f>
        <v>ctik plastik 6x10 100 pcs</v>
      </c>
      <c r="P15936">
        <f>IF(OR(M15936="",N15936=""),"",SUMIFS('Barang Keluar'!$E:$E,'Barang Keluar'!$A:$A,M15936,'Barang Keluar'!$C:$C,N15936))</f>
        <v>0</v>
      </c>
    </row>
    <row r="15937" spans="13:16">
      <c r="M15937" s="49">
        <f>IF($A$4+159&gt;$B$4,"",$A$4+159)</f>
        <v>46182</v>
      </c>
      <c r="N15937" t="str">
        <f>IF(M15937="","",'Master Barang'!A31)</f>
        <v>PRL-030</v>
      </c>
      <c r="O15937" t="str">
        <f>IF(N15937="","",'Master Barang'!B31)</f>
        <v>klip plastik 25x16 100 pcs</v>
      </c>
      <c r="P15937">
        <f>IF(OR(M15937="",N15937=""),"",SUMIFS('Barang Keluar'!$E:$E,'Barang Keluar'!$A:$A,M15937,'Barang Keluar'!$C:$C,N15937))</f>
        <v>0</v>
      </c>
    </row>
    <row r="15938" spans="13:16">
      <c r="M15938" s="49">
        <f>IF($A$4+159&gt;$B$4,"",$A$4+159)</f>
        <v>46182</v>
      </c>
      <c r="N15938" t="str">
        <f>IF(M15938="","",'Master Barang'!A32)</f>
        <v>PRL-031</v>
      </c>
      <c r="O15938" t="str">
        <f>IF(N15938="","",'Master Barang'!B32)</f>
        <v>tempat saus 20 ml</v>
      </c>
      <c r="P15938">
        <f>IF(OR(M15938="",N15938=""),"",SUMIFS('Barang Keluar'!$E:$E,'Barang Keluar'!$A:$A,M15938,'Barang Keluar'!$C:$C,N15938))</f>
        <v>0</v>
      </c>
    </row>
    <row r="15939" spans="13:16">
      <c r="M15939" s="49">
        <f>IF($A$4+159&gt;$B$4,"",$A$4+159)</f>
        <v>46182</v>
      </c>
      <c r="N15939" t="str">
        <f>IF(M15939="","",'Master Barang'!A33)</f>
        <v>PRL-032</v>
      </c>
      <c r="O15939" t="str">
        <f>IF(N15939="","",'Master Barang'!B33)</f>
        <v>plastik packaging ag box uk sedang</v>
      </c>
      <c r="P15939">
        <f>IF(OR(M15939="",N15939=""),"",SUMIFS('Barang Keluar'!$E:$E,'Barang Keluar'!$A:$A,M15939,'Barang Keluar'!$C:$C,N15939))</f>
        <v>0</v>
      </c>
    </row>
    <row r="15940" spans="13:16">
      <c r="M15940" s="49">
        <f>IF($A$4+159&gt;$B$4,"",$A$4+159)</f>
        <v>46182</v>
      </c>
      <c r="N15940" t="str">
        <f>IF(M15940="","",'Master Barang'!A34)</f>
        <v>PRL-033</v>
      </c>
      <c r="O15940">
        <f>IF(N15940="","",'Master Barang'!B34)</f>
        <v>0</v>
      </c>
      <c r="P15940">
        <f>IF(OR(M15940="",N15940=""),"",SUMIFS('Barang Keluar'!$E:$E,'Barang Keluar'!$A:$A,M15940,'Barang Keluar'!$C:$C,N15940))</f>
        <v>0</v>
      </c>
    </row>
    <row r="15941" spans="13:16">
      <c r="M15941" s="49">
        <f>IF($A$4+159&gt;$B$4,"",$A$4+159)</f>
        <v>46182</v>
      </c>
      <c r="N15941">
        <f>IF(M15941="","",'Master Barang'!A35)</f>
        <v>0</v>
      </c>
      <c r="O15941">
        <f>IF(N15941="","",'Master Barang'!B35)</f>
        <v>0</v>
      </c>
      <c r="P15941">
        <f>IF(OR(M15941="",N15941=""),"",SUMIFS('Barang Keluar'!$E:$E,'Barang Keluar'!$A:$A,M15941,'Barang Keluar'!$C:$C,N15941))</f>
        <v>0</v>
      </c>
    </row>
    <row r="15942" spans="13:16">
      <c r="M15942" s="49">
        <f>IF($A$4+159&gt;$B$4,"",$A$4+159)</f>
        <v>46182</v>
      </c>
      <c r="N15942">
        <f>IF(M15942="","",'Master Barang'!A36)</f>
        <v>0</v>
      </c>
      <c r="O15942">
        <f>IF(N15942="","",'Master Barang'!B36)</f>
        <v>0</v>
      </c>
      <c r="P15942">
        <f>IF(OR(M15942="",N15942=""),"",SUMIFS('Barang Keluar'!$E:$E,'Barang Keluar'!$A:$A,M15942,'Barang Keluar'!$C:$C,N15942))</f>
        <v>0</v>
      </c>
    </row>
    <row r="15943" spans="13:16">
      <c r="M15943" s="49">
        <f>IF($A$4+159&gt;$B$4,"",$A$4+159)</f>
        <v>46182</v>
      </c>
      <c r="N15943">
        <f>IF(M15943="","",'Master Barang'!A37)</f>
        <v>0</v>
      </c>
      <c r="O15943">
        <f>IF(N15943="","",'Master Barang'!B37)</f>
        <v>0</v>
      </c>
      <c r="P15943">
        <f>IF(OR(M15943="",N15943=""),"",SUMIFS('Barang Keluar'!$E:$E,'Barang Keluar'!$A:$A,M15943,'Barang Keluar'!$C:$C,N15943))</f>
        <v>0</v>
      </c>
    </row>
    <row r="15944" spans="13:16">
      <c r="M15944" s="49">
        <f>IF($A$4+159&gt;$B$4,"",$A$4+159)</f>
        <v>46182</v>
      </c>
      <c r="N15944">
        <f>IF(M15944="","",'Master Barang'!A38)</f>
        <v>0</v>
      </c>
      <c r="O15944">
        <f>IF(N15944="","",'Master Barang'!B38)</f>
        <v>0</v>
      </c>
      <c r="P15944">
        <f>IF(OR(M15944="",N15944=""),"",SUMIFS('Barang Keluar'!$E:$E,'Barang Keluar'!$A:$A,M15944,'Barang Keluar'!$C:$C,N15944))</f>
        <v>0</v>
      </c>
    </row>
    <row r="15945" spans="13:16">
      <c r="M15945" s="49">
        <f>IF($A$4+159&gt;$B$4,"",$A$4+159)</f>
        <v>46182</v>
      </c>
      <c r="N15945">
        <f>IF(M15945="","",'Master Barang'!A39)</f>
        <v>0</v>
      </c>
      <c r="O15945">
        <f>IF(N15945="","",'Master Barang'!B39)</f>
        <v>0</v>
      </c>
      <c r="P15945">
        <f>IF(OR(M15945="",N15945=""),"",SUMIFS('Barang Keluar'!$E:$E,'Barang Keluar'!$A:$A,M15945,'Barang Keluar'!$C:$C,N15945))</f>
        <v>0</v>
      </c>
    </row>
    <row r="15946" spans="13:16">
      <c r="M15946" s="49">
        <f>IF($A$4+159&gt;$B$4,"",$A$4+159)</f>
        <v>46182</v>
      </c>
      <c r="N15946">
        <f>IF(M15946="","",'Master Barang'!A40)</f>
        <v>0</v>
      </c>
      <c r="O15946">
        <f>IF(N15946="","",'Master Barang'!B40)</f>
        <v>0</v>
      </c>
      <c r="P15946">
        <f>IF(OR(M15946="",N15946=""),"",SUMIFS('Barang Keluar'!$E:$E,'Barang Keluar'!$A:$A,M15946,'Barang Keluar'!$C:$C,N15946))</f>
        <v>0</v>
      </c>
    </row>
    <row r="15947" spans="13:16">
      <c r="M15947" s="49">
        <f>IF($A$4+159&gt;$B$4,"",$A$4+159)</f>
        <v>46182</v>
      </c>
      <c r="N15947">
        <f>IF(M15947="","",'Master Barang'!A41)</f>
        <v>0</v>
      </c>
      <c r="O15947">
        <f>IF(N15947="","",'Master Barang'!B41)</f>
        <v>0</v>
      </c>
      <c r="P15947">
        <f>IF(OR(M15947="",N15947=""),"",SUMIFS('Barang Keluar'!$E:$E,'Barang Keluar'!$A:$A,M15947,'Barang Keluar'!$C:$C,N15947))</f>
        <v>0</v>
      </c>
    </row>
    <row r="15948" spans="13:16">
      <c r="M15948" s="49">
        <f>IF($A$4+159&gt;$B$4,"",$A$4+159)</f>
        <v>46182</v>
      </c>
      <c r="N15948">
        <f>IF(M15948="","",'Master Barang'!A42)</f>
        <v>0</v>
      </c>
      <c r="O15948">
        <f>IF(N15948="","",'Master Barang'!B42)</f>
        <v>0</v>
      </c>
      <c r="P15948">
        <f>IF(OR(M15948="",N15948=""),"",SUMIFS('Barang Keluar'!$E:$E,'Barang Keluar'!$A:$A,M15948,'Barang Keluar'!$C:$C,N15948))</f>
        <v>0</v>
      </c>
    </row>
    <row r="15949" spans="13:16">
      <c r="M15949" s="49">
        <f>IF($A$4+159&gt;$B$4,"",$A$4+159)</f>
        <v>46182</v>
      </c>
      <c r="N15949">
        <f>IF(M15949="","",'Master Barang'!A43)</f>
        <v>0</v>
      </c>
      <c r="O15949">
        <f>IF(N15949="","",'Master Barang'!B43)</f>
        <v>0</v>
      </c>
      <c r="P15949">
        <f>IF(OR(M15949="",N15949=""),"",SUMIFS('Barang Keluar'!$E:$E,'Barang Keluar'!$A:$A,M15949,'Barang Keluar'!$C:$C,N15949))</f>
        <v>0</v>
      </c>
    </row>
    <row r="15950" spans="13:16">
      <c r="M15950" s="49">
        <f>IF($A$4+159&gt;$B$4,"",$A$4+159)</f>
        <v>46182</v>
      </c>
      <c r="N15950">
        <f>IF(M15950="","",'Master Barang'!A44)</f>
        <v>0</v>
      </c>
      <c r="O15950">
        <f>IF(N15950="","",'Master Barang'!B44)</f>
        <v>0</v>
      </c>
      <c r="P15950">
        <f>IF(OR(M15950="",N15950=""),"",SUMIFS('Barang Keluar'!$E:$E,'Barang Keluar'!$A:$A,M15950,'Barang Keluar'!$C:$C,N15950))</f>
        <v>0</v>
      </c>
    </row>
    <row r="15951" spans="13:16">
      <c r="M15951" s="49">
        <f>IF($A$4+159&gt;$B$4,"",$A$4+159)</f>
        <v>46182</v>
      </c>
      <c r="N15951">
        <f>IF(M15951="","",'Master Barang'!A45)</f>
        <v>0</v>
      </c>
      <c r="O15951">
        <f>IF(N15951="","",'Master Barang'!B45)</f>
        <v>0</v>
      </c>
      <c r="P15951">
        <f>IF(OR(M15951="",N15951=""),"",SUMIFS('Barang Keluar'!$E:$E,'Barang Keluar'!$A:$A,M15951,'Barang Keluar'!$C:$C,N15951))</f>
        <v>0</v>
      </c>
    </row>
    <row r="15952" spans="13:16">
      <c r="M15952" s="49">
        <f>IF($A$4+159&gt;$B$4,"",$A$4+159)</f>
        <v>46182</v>
      </c>
      <c r="N15952">
        <f>IF(M15952="","",'Master Barang'!A46)</f>
        <v>0</v>
      </c>
      <c r="O15952">
        <f>IF(N15952="","",'Master Barang'!B46)</f>
        <v>0</v>
      </c>
      <c r="P15952">
        <f>IF(OR(M15952="",N15952=""),"",SUMIFS('Barang Keluar'!$E:$E,'Barang Keluar'!$A:$A,M15952,'Barang Keluar'!$C:$C,N15952))</f>
        <v>0</v>
      </c>
    </row>
    <row r="15953" spans="13:16">
      <c r="M15953" s="49">
        <f>IF($A$4+159&gt;$B$4,"",$A$4+159)</f>
        <v>46182</v>
      </c>
      <c r="N15953">
        <f>IF(M15953="","",'Master Barang'!A47)</f>
        <v>0</v>
      </c>
      <c r="O15953">
        <f>IF(N15953="","",'Master Barang'!B47)</f>
        <v>0</v>
      </c>
      <c r="P15953">
        <f>IF(OR(M15953="",N15953=""),"",SUMIFS('Barang Keluar'!$E:$E,'Barang Keluar'!$A:$A,M15953,'Barang Keluar'!$C:$C,N15953))</f>
        <v>0</v>
      </c>
    </row>
    <row r="15954" spans="13:16">
      <c r="M15954" s="49">
        <f>IF($A$4+159&gt;$B$4,"",$A$4+159)</f>
        <v>46182</v>
      </c>
      <c r="N15954">
        <f>IF(M15954="","",'Master Barang'!A48)</f>
        <v>0</v>
      </c>
      <c r="O15954">
        <f>IF(N15954="","",'Master Barang'!B48)</f>
        <v>0</v>
      </c>
      <c r="P15954">
        <f>IF(OR(M15954="",N15954=""),"",SUMIFS('Barang Keluar'!$E:$E,'Barang Keluar'!$A:$A,M15954,'Barang Keluar'!$C:$C,N15954))</f>
        <v>0</v>
      </c>
    </row>
    <row r="15955" spans="13:16">
      <c r="M15955" s="49">
        <f>IF($A$4+159&gt;$B$4,"",$A$4+159)</f>
        <v>46182</v>
      </c>
      <c r="N15955">
        <f>IF(M15955="","",'Master Barang'!A49)</f>
        <v>0</v>
      </c>
      <c r="O15955">
        <f>IF(N15955="","",'Master Barang'!B49)</f>
        <v>0</v>
      </c>
      <c r="P15955">
        <f>IF(OR(M15955="",N15955=""),"",SUMIFS('Barang Keluar'!$E:$E,'Barang Keluar'!$A:$A,M15955,'Barang Keluar'!$C:$C,N15955))</f>
        <v>0</v>
      </c>
    </row>
    <row r="15956" spans="13:16">
      <c r="M15956" s="49">
        <f>IF($A$4+159&gt;$B$4,"",$A$4+159)</f>
        <v>46182</v>
      </c>
      <c r="N15956">
        <f>IF(M15956="","",'Master Barang'!A50)</f>
        <v>0</v>
      </c>
      <c r="O15956">
        <f>IF(N15956="","",'Master Barang'!B50)</f>
        <v>0</v>
      </c>
      <c r="P15956">
        <f>IF(OR(M15956="",N15956=""),"",SUMIFS('Barang Keluar'!$E:$E,'Barang Keluar'!$A:$A,M15956,'Barang Keluar'!$C:$C,N15956))</f>
        <v>0</v>
      </c>
    </row>
    <row r="15957" spans="13:16">
      <c r="M15957" s="49">
        <f>IF($A$4+159&gt;$B$4,"",$A$4+159)</f>
        <v>46182</v>
      </c>
      <c r="N15957">
        <f>IF(M15957="","",'Master Barang'!A51)</f>
        <v>0</v>
      </c>
      <c r="O15957">
        <f>IF(N15957="","",'Master Barang'!B51)</f>
        <v>0</v>
      </c>
      <c r="P15957">
        <f>IF(OR(M15957="",N15957=""),"",SUMIFS('Barang Keluar'!$E:$E,'Barang Keluar'!$A:$A,M15957,'Barang Keluar'!$C:$C,N15957))</f>
        <v>0</v>
      </c>
    </row>
    <row r="15958" spans="13:16">
      <c r="M15958" s="49">
        <f>IF($A$4+159&gt;$B$4,"",$A$4+159)</f>
        <v>46182</v>
      </c>
      <c r="N15958">
        <f>IF(M15958="","",'Master Barang'!A52)</f>
        <v>0</v>
      </c>
      <c r="O15958">
        <f>IF(N15958="","",'Master Barang'!B52)</f>
        <v>0</v>
      </c>
      <c r="P15958">
        <f>IF(OR(M15958="",N15958=""),"",SUMIFS('Barang Keluar'!$E:$E,'Barang Keluar'!$A:$A,M15958,'Barang Keluar'!$C:$C,N15958))</f>
        <v>0</v>
      </c>
    </row>
    <row r="15959" spans="13:16">
      <c r="M15959" s="49">
        <f>IF($A$4+159&gt;$B$4,"",$A$4+159)</f>
        <v>46182</v>
      </c>
      <c r="N15959">
        <f>IF(M15959="","",'Master Barang'!A53)</f>
        <v>0</v>
      </c>
      <c r="O15959">
        <f>IF(N15959="","",'Master Barang'!B53)</f>
        <v>0</v>
      </c>
      <c r="P15959">
        <f>IF(OR(M15959="",N15959=""),"",SUMIFS('Barang Keluar'!$E:$E,'Barang Keluar'!$A:$A,M15959,'Barang Keluar'!$C:$C,N15959))</f>
        <v>0</v>
      </c>
    </row>
    <row r="15960" spans="13:16">
      <c r="M15960" s="49">
        <f>IF($A$4+159&gt;$B$4,"",$A$4+159)</f>
        <v>46182</v>
      </c>
      <c r="N15960">
        <f>IF(M15960="","",'Master Barang'!A54)</f>
        <v>0</v>
      </c>
      <c r="O15960">
        <f>IF(N15960="","",'Master Barang'!B54)</f>
        <v>0</v>
      </c>
      <c r="P15960">
        <f>IF(OR(M15960="",N15960=""),"",SUMIFS('Barang Keluar'!$E:$E,'Barang Keluar'!$A:$A,M15960,'Barang Keluar'!$C:$C,N15960))</f>
        <v>0</v>
      </c>
    </row>
    <row r="15961" spans="13:16">
      <c r="M15961" s="49">
        <f>IF($A$4+159&gt;$B$4,"",$A$4+159)</f>
        <v>46182</v>
      </c>
      <c r="N15961">
        <f>IF(M15961="","",'Master Barang'!A55)</f>
        <v>0</v>
      </c>
      <c r="O15961">
        <f>IF(N15961="","",'Master Barang'!B55)</f>
        <v>0</v>
      </c>
      <c r="P15961">
        <f>IF(OR(M15961="",N15961=""),"",SUMIFS('Barang Keluar'!$E:$E,'Barang Keluar'!$A:$A,M15961,'Barang Keluar'!$C:$C,N15961))</f>
        <v>0</v>
      </c>
    </row>
    <row r="15962" spans="13:16">
      <c r="M15962" s="49">
        <f>IF($A$4+159&gt;$B$4,"",$A$4+159)</f>
        <v>46182</v>
      </c>
      <c r="N15962">
        <f>IF(M15962="","",'Master Barang'!A56)</f>
        <v>0</v>
      </c>
      <c r="O15962">
        <f>IF(N15962="","",'Master Barang'!B56)</f>
        <v>0</v>
      </c>
      <c r="P15962">
        <f>IF(OR(M15962="",N15962=""),"",SUMIFS('Barang Keluar'!$E:$E,'Barang Keluar'!$A:$A,M15962,'Barang Keluar'!$C:$C,N15962))</f>
        <v>0</v>
      </c>
    </row>
    <row r="15963" spans="13:16">
      <c r="M15963" s="49">
        <f>IF($A$4+159&gt;$B$4,"",$A$4+159)</f>
        <v>46182</v>
      </c>
      <c r="N15963">
        <f>IF(M15963="","",'Master Barang'!A57)</f>
        <v>0</v>
      </c>
      <c r="O15963">
        <f>IF(N15963="","",'Master Barang'!B57)</f>
        <v>0</v>
      </c>
      <c r="P15963">
        <f>IF(OR(M15963="",N15963=""),"",SUMIFS('Barang Keluar'!$E:$E,'Barang Keluar'!$A:$A,M15963,'Barang Keluar'!$C:$C,N15963))</f>
        <v>0</v>
      </c>
    </row>
    <row r="15964" spans="13:16">
      <c r="M15964" s="49">
        <f>IF($A$4+159&gt;$B$4,"",$A$4+159)</f>
        <v>46182</v>
      </c>
      <c r="N15964">
        <f>IF(M15964="","",'Master Barang'!A58)</f>
        <v>0</v>
      </c>
      <c r="O15964">
        <f>IF(N15964="","",'Master Barang'!B58)</f>
        <v>0</v>
      </c>
      <c r="P15964">
        <f>IF(OR(M15964="",N15964=""),"",SUMIFS('Barang Keluar'!$E:$E,'Barang Keluar'!$A:$A,M15964,'Barang Keluar'!$C:$C,N15964))</f>
        <v>0</v>
      </c>
    </row>
    <row r="15965" spans="13:16">
      <c r="M15965" s="49">
        <f>IF($A$4+159&gt;$B$4,"",$A$4+159)</f>
        <v>46182</v>
      </c>
      <c r="N15965">
        <f>IF(M15965="","",'Master Barang'!A59)</f>
        <v>0</v>
      </c>
      <c r="O15965">
        <f>IF(N15965="","",'Master Barang'!B59)</f>
        <v>0</v>
      </c>
      <c r="P15965">
        <f>IF(OR(M15965="",N15965=""),"",SUMIFS('Barang Keluar'!$E:$E,'Barang Keluar'!$A:$A,M15965,'Barang Keluar'!$C:$C,N15965))</f>
        <v>0</v>
      </c>
    </row>
    <row r="15966" spans="13:16">
      <c r="M15966" s="49">
        <f>IF($A$4+159&gt;$B$4,"",$A$4+159)</f>
        <v>46182</v>
      </c>
      <c r="N15966">
        <f>IF(M15966="","",'Master Barang'!A60)</f>
        <v>0</v>
      </c>
      <c r="O15966">
        <f>IF(N15966="","",'Master Barang'!B60)</f>
        <v>0</v>
      </c>
      <c r="P15966">
        <f>IF(OR(M15966="",N15966=""),"",SUMIFS('Barang Keluar'!$E:$E,'Barang Keluar'!$A:$A,M15966,'Barang Keluar'!$C:$C,N15966))</f>
        <v>0</v>
      </c>
    </row>
    <row r="15967" spans="13:16">
      <c r="M15967" s="49">
        <f>IF($A$4+159&gt;$B$4,"",$A$4+159)</f>
        <v>46182</v>
      </c>
      <c r="N15967">
        <f>IF(M15967="","",'Master Barang'!A61)</f>
        <v>0</v>
      </c>
      <c r="O15967">
        <f>IF(N15967="","",'Master Barang'!B61)</f>
        <v>0</v>
      </c>
      <c r="P15967">
        <f>IF(OR(M15967="",N15967=""),"",SUMIFS('Barang Keluar'!$E:$E,'Barang Keluar'!$A:$A,M15967,'Barang Keluar'!$C:$C,N15967))</f>
        <v>0</v>
      </c>
    </row>
    <row r="15968" spans="13:16">
      <c r="M15968" s="49">
        <f>IF($A$4+159&gt;$B$4,"",$A$4+159)</f>
        <v>46182</v>
      </c>
      <c r="N15968">
        <f>IF(M15968="","",'Master Barang'!A62)</f>
        <v>0</v>
      </c>
      <c r="O15968">
        <f>IF(N15968="","",'Master Barang'!B62)</f>
        <v>0</v>
      </c>
      <c r="P15968">
        <f>IF(OR(M15968="",N15968=""),"",SUMIFS('Barang Keluar'!$E:$E,'Barang Keluar'!$A:$A,M15968,'Barang Keluar'!$C:$C,N15968))</f>
        <v>0</v>
      </c>
    </row>
    <row r="15969" spans="13:16">
      <c r="M15969" s="49">
        <f>IF($A$4+159&gt;$B$4,"",$A$4+159)</f>
        <v>46182</v>
      </c>
      <c r="N15969">
        <f>IF(M15969="","",'Master Barang'!A63)</f>
        <v>0</v>
      </c>
      <c r="O15969">
        <f>IF(N15969="","",'Master Barang'!B63)</f>
        <v>0</v>
      </c>
      <c r="P15969">
        <f>IF(OR(M15969="",N15969=""),"",SUMIFS('Barang Keluar'!$E:$E,'Barang Keluar'!$A:$A,M15969,'Barang Keluar'!$C:$C,N15969))</f>
        <v>0</v>
      </c>
    </row>
    <row r="15970" spans="13:16">
      <c r="M15970" s="49">
        <f>IF($A$4+159&gt;$B$4,"",$A$4+159)</f>
        <v>46182</v>
      </c>
      <c r="N15970">
        <f>IF(M15970="","",'Master Barang'!A64)</f>
        <v>0</v>
      </c>
      <c r="O15970">
        <f>IF(N15970="","",'Master Barang'!B64)</f>
        <v>0</v>
      </c>
      <c r="P15970">
        <f>IF(OR(M15970="",N15970=""),"",SUMIFS('Barang Keluar'!$E:$E,'Barang Keluar'!$A:$A,M15970,'Barang Keluar'!$C:$C,N15970))</f>
        <v>0</v>
      </c>
    </row>
    <row r="15971" spans="13:16">
      <c r="M15971" s="49">
        <f>IF($A$4+159&gt;$B$4,"",$A$4+159)</f>
        <v>46182</v>
      </c>
      <c r="N15971">
        <f>IF(M15971="","",'Master Barang'!A65)</f>
        <v>0</v>
      </c>
      <c r="O15971">
        <f>IF(N15971="","",'Master Barang'!B65)</f>
        <v>0</v>
      </c>
      <c r="P15971">
        <f>IF(OR(M15971="",N15971=""),"",SUMIFS('Barang Keluar'!$E:$E,'Barang Keluar'!$A:$A,M15971,'Barang Keluar'!$C:$C,N15971))</f>
        <v>0</v>
      </c>
    </row>
    <row r="15972" spans="13:16">
      <c r="M15972" s="49">
        <f>IF($A$4+159&gt;$B$4,"",$A$4+159)</f>
        <v>46182</v>
      </c>
      <c r="N15972">
        <f>IF(M15972="","",'Master Barang'!A66)</f>
        <v>0</v>
      </c>
      <c r="O15972">
        <f>IF(N15972="","",'Master Barang'!B66)</f>
        <v>0</v>
      </c>
      <c r="P15972">
        <f>IF(OR(M15972="",N15972=""),"",SUMIFS('Barang Keluar'!$E:$E,'Barang Keluar'!$A:$A,M15972,'Barang Keluar'!$C:$C,N15972))</f>
        <v>0</v>
      </c>
    </row>
    <row r="15973" spans="13:16">
      <c r="M15973" s="49">
        <f>IF($A$4+159&gt;$B$4,"",$A$4+159)</f>
        <v>46182</v>
      </c>
      <c r="N15973">
        <f>IF(M15973="","",'Master Barang'!A67)</f>
        <v>0</v>
      </c>
      <c r="O15973">
        <f>IF(N15973="","",'Master Barang'!B67)</f>
        <v>0</v>
      </c>
      <c r="P15973">
        <f>IF(OR(M15973="",N15973=""),"",SUMIFS('Barang Keluar'!$E:$E,'Barang Keluar'!$A:$A,M15973,'Barang Keluar'!$C:$C,N15973))</f>
        <v>0</v>
      </c>
    </row>
    <row r="15974" spans="13:16">
      <c r="M15974" s="49">
        <f>IF($A$4+159&gt;$B$4,"",$A$4+159)</f>
        <v>46182</v>
      </c>
      <c r="N15974">
        <f>IF(M15974="","",'Master Barang'!A68)</f>
        <v>0</v>
      </c>
      <c r="O15974">
        <f>IF(N15974="","",'Master Barang'!B68)</f>
        <v>0</v>
      </c>
      <c r="P15974">
        <f>IF(OR(M15974="",N15974=""),"",SUMIFS('Barang Keluar'!$E:$E,'Barang Keluar'!$A:$A,M15974,'Barang Keluar'!$C:$C,N15974))</f>
        <v>0</v>
      </c>
    </row>
    <row r="15975" spans="13:16">
      <c r="M15975" s="49">
        <f>IF($A$4+159&gt;$B$4,"",$A$4+159)</f>
        <v>46182</v>
      </c>
      <c r="N15975">
        <f>IF(M15975="","",'Master Barang'!A69)</f>
        <v>0</v>
      </c>
      <c r="O15975">
        <f>IF(N15975="","",'Master Barang'!B69)</f>
        <v>0</v>
      </c>
      <c r="P15975">
        <f>IF(OR(M15975="",N15975=""),"",SUMIFS('Barang Keluar'!$E:$E,'Barang Keluar'!$A:$A,M15975,'Barang Keluar'!$C:$C,N15975))</f>
        <v>0</v>
      </c>
    </row>
    <row r="15976" spans="13:16">
      <c r="M15976" s="49">
        <f>IF($A$4+159&gt;$B$4,"",$A$4+159)</f>
        <v>46182</v>
      </c>
      <c r="N15976">
        <f>IF(M15976="","",'Master Barang'!A70)</f>
        <v>0</v>
      </c>
      <c r="O15976">
        <f>IF(N15976="","",'Master Barang'!B70)</f>
        <v>0</v>
      </c>
      <c r="P15976">
        <f>IF(OR(M15976="",N15976=""),"",SUMIFS('Barang Keluar'!$E:$E,'Barang Keluar'!$A:$A,M15976,'Barang Keluar'!$C:$C,N15976))</f>
        <v>0</v>
      </c>
    </row>
    <row r="15977" spans="13:16">
      <c r="M15977" s="49">
        <f>IF($A$4+159&gt;$B$4,"",$A$4+159)</f>
        <v>46182</v>
      </c>
      <c r="N15977">
        <f>IF(M15977="","",'Master Barang'!A71)</f>
        <v>0</v>
      </c>
      <c r="O15977">
        <f>IF(N15977="","",'Master Barang'!B71)</f>
        <v>0</v>
      </c>
      <c r="P15977">
        <f>IF(OR(M15977="",N15977=""),"",SUMIFS('Barang Keluar'!$E:$E,'Barang Keluar'!$A:$A,M15977,'Barang Keluar'!$C:$C,N15977))</f>
        <v>0</v>
      </c>
    </row>
    <row r="15978" spans="13:16">
      <c r="M15978" s="49">
        <f>IF($A$4+159&gt;$B$4,"",$A$4+159)</f>
        <v>46182</v>
      </c>
      <c r="N15978">
        <f>IF(M15978="","",'Master Barang'!A72)</f>
        <v>0</v>
      </c>
      <c r="O15978">
        <f>IF(N15978="","",'Master Barang'!B72)</f>
        <v>0</v>
      </c>
      <c r="P15978">
        <f>IF(OR(M15978="",N15978=""),"",SUMIFS('Barang Keluar'!$E:$E,'Barang Keluar'!$A:$A,M15978,'Barang Keluar'!$C:$C,N15978))</f>
        <v>0</v>
      </c>
    </row>
    <row r="15979" spans="13:16">
      <c r="M15979" s="49">
        <f>IF($A$4+159&gt;$B$4,"",$A$4+159)</f>
        <v>46182</v>
      </c>
      <c r="N15979">
        <f>IF(M15979="","",'Master Barang'!A73)</f>
        <v>0</v>
      </c>
      <c r="O15979">
        <f>IF(N15979="","",'Master Barang'!B73)</f>
        <v>0</v>
      </c>
      <c r="P15979">
        <f>IF(OR(M15979="",N15979=""),"",SUMIFS('Barang Keluar'!$E:$E,'Barang Keluar'!$A:$A,M15979,'Barang Keluar'!$C:$C,N15979))</f>
        <v>0</v>
      </c>
    </row>
    <row r="15980" spans="13:16">
      <c r="M15980" s="49">
        <f>IF($A$4+159&gt;$B$4,"",$A$4+159)</f>
        <v>46182</v>
      </c>
      <c r="N15980">
        <f>IF(M15980="","",'Master Barang'!A74)</f>
        <v>0</v>
      </c>
      <c r="O15980">
        <f>IF(N15980="","",'Master Barang'!B74)</f>
        <v>0</v>
      </c>
      <c r="P15980">
        <f>IF(OR(M15980="",N15980=""),"",SUMIFS('Barang Keluar'!$E:$E,'Barang Keluar'!$A:$A,M15980,'Barang Keluar'!$C:$C,N15980))</f>
        <v>0</v>
      </c>
    </row>
    <row r="15981" spans="13:16">
      <c r="M15981" s="49">
        <f>IF($A$4+159&gt;$B$4,"",$A$4+159)</f>
        <v>46182</v>
      </c>
      <c r="N15981">
        <f>IF(M15981="","",'Master Barang'!A75)</f>
        <v>0</v>
      </c>
      <c r="O15981">
        <f>IF(N15981="","",'Master Barang'!B75)</f>
        <v>0</v>
      </c>
      <c r="P15981">
        <f>IF(OR(M15981="",N15981=""),"",SUMIFS('Barang Keluar'!$E:$E,'Barang Keluar'!$A:$A,M15981,'Barang Keluar'!$C:$C,N15981))</f>
        <v>0</v>
      </c>
    </row>
    <row r="15982" spans="13:16">
      <c r="M15982" s="49">
        <f>IF($A$4+159&gt;$B$4,"",$A$4+159)</f>
        <v>46182</v>
      </c>
      <c r="N15982">
        <f>IF(M15982="","",'Master Barang'!A76)</f>
        <v>0</v>
      </c>
      <c r="O15982">
        <f>IF(N15982="","",'Master Barang'!B76)</f>
        <v>0</v>
      </c>
      <c r="P15982">
        <f>IF(OR(M15982="",N15982=""),"",SUMIFS('Barang Keluar'!$E:$E,'Barang Keluar'!$A:$A,M15982,'Barang Keluar'!$C:$C,N15982))</f>
        <v>0</v>
      </c>
    </row>
    <row r="15983" spans="13:16">
      <c r="M15983" s="49">
        <f>IF($A$4+159&gt;$B$4,"",$A$4+159)</f>
        <v>46182</v>
      </c>
      <c r="N15983">
        <f>IF(M15983="","",'Master Barang'!A77)</f>
        <v>0</v>
      </c>
      <c r="O15983">
        <f>IF(N15983="","",'Master Barang'!B77)</f>
        <v>0</v>
      </c>
      <c r="P15983">
        <f>IF(OR(M15983="",N15983=""),"",SUMIFS('Barang Keluar'!$E:$E,'Barang Keluar'!$A:$A,M15983,'Barang Keluar'!$C:$C,N15983))</f>
        <v>0</v>
      </c>
    </row>
    <row r="15984" spans="13:16">
      <c r="M15984" s="49">
        <f>IF($A$4+159&gt;$B$4,"",$A$4+159)</f>
        <v>46182</v>
      </c>
      <c r="N15984">
        <f>IF(M15984="","",'Master Barang'!A78)</f>
        <v>0</v>
      </c>
      <c r="O15984">
        <f>IF(N15984="","",'Master Barang'!B78)</f>
        <v>0</v>
      </c>
      <c r="P15984">
        <f>IF(OR(M15984="",N15984=""),"",SUMIFS('Barang Keluar'!$E:$E,'Barang Keluar'!$A:$A,M15984,'Barang Keluar'!$C:$C,N15984))</f>
        <v>0</v>
      </c>
    </row>
    <row r="15985" spans="13:16">
      <c r="M15985" s="49">
        <f>IF($A$4+159&gt;$B$4,"",$A$4+159)</f>
        <v>46182</v>
      </c>
      <c r="N15985">
        <f>IF(M15985="","",'Master Barang'!A79)</f>
        <v>0</v>
      </c>
      <c r="O15985">
        <f>IF(N15985="","",'Master Barang'!B79)</f>
        <v>0</v>
      </c>
      <c r="P15985">
        <f>IF(OR(M15985="",N15985=""),"",SUMIFS('Barang Keluar'!$E:$E,'Barang Keluar'!$A:$A,M15985,'Barang Keluar'!$C:$C,N15985))</f>
        <v>0</v>
      </c>
    </row>
    <row r="15986" spans="13:16">
      <c r="M15986" s="49">
        <f>IF($A$4+159&gt;$B$4,"",$A$4+159)</f>
        <v>46182</v>
      </c>
      <c r="N15986">
        <f>IF(M15986="","",'Master Barang'!A80)</f>
        <v>0</v>
      </c>
      <c r="O15986">
        <f>IF(N15986="","",'Master Barang'!B80)</f>
        <v>0</v>
      </c>
      <c r="P15986">
        <f>IF(OR(M15986="",N15986=""),"",SUMIFS('Barang Keluar'!$E:$E,'Barang Keluar'!$A:$A,M15986,'Barang Keluar'!$C:$C,N15986))</f>
        <v>0</v>
      </c>
    </row>
    <row r="15987" spans="13:16">
      <c r="M15987" s="49">
        <f>IF($A$4+159&gt;$B$4,"",$A$4+159)</f>
        <v>46182</v>
      </c>
      <c r="N15987">
        <f>IF(M15987="","",'Master Barang'!A81)</f>
        <v>0</v>
      </c>
      <c r="O15987">
        <f>IF(N15987="","",'Master Barang'!B81)</f>
        <v>0</v>
      </c>
      <c r="P15987">
        <f>IF(OR(M15987="",N15987=""),"",SUMIFS('Barang Keluar'!$E:$E,'Barang Keluar'!$A:$A,M15987,'Barang Keluar'!$C:$C,N15987))</f>
        <v>0</v>
      </c>
    </row>
    <row r="15988" spans="13:16">
      <c r="M15988" s="49">
        <f>IF($A$4+159&gt;$B$4,"",$A$4+159)</f>
        <v>46182</v>
      </c>
      <c r="N15988">
        <f>IF(M15988="","",'Master Barang'!A82)</f>
        <v>0</v>
      </c>
      <c r="O15988">
        <f>IF(N15988="","",'Master Barang'!B82)</f>
        <v>0</v>
      </c>
      <c r="P15988">
        <f>IF(OR(M15988="",N15988=""),"",SUMIFS('Barang Keluar'!$E:$E,'Barang Keluar'!$A:$A,M15988,'Barang Keluar'!$C:$C,N15988))</f>
        <v>0</v>
      </c>
    </row>
    <row r="15989" spans="13:16">
      <c r="M15989" s="49">
        <f>IF($A$4+159&gt;$B$4,"",$A$4+159)</f>
        <v>46182</v>
      </c>
      <c r="N15989">
        <f>IF(M15989="","",'Master Barang'!A83)</f>
        <v>0</v>
      </c>
      <c r="O15989">
        <f>IF(N15989="","",'Master Barang'!B83)</f>
        <v>0</v>
      </c>
      <c r="P15989">
        <f>IF(OR(M15989="",N15989=""),"",SUMIFS('Barang Keluar'!$E:$E,'Barang Keluar'!$A:$A,M15989,'Barang Keluar'!$C:$C,N15989))</f>
        <v>0</v>
      </c>
    </row>
    <row r="15990" spans="13:16">
      <c r="M15990" s="49">
        <f>IF($A$4+159&gt;$B$4,"",$A$4+159)</f>
        <v>46182</v>
      </c>
      <c r="N15990">
        <f>IF(M15990="","",'Master Barang'!A84)</f>
        <v>0</v>
      </c>
      <c r="O15990">
        <f>IF(N15990="","",'Master Barang'!B84)</f>
        <v>0</v>
      </c>
      <c r="P15990">
        <f>IF(OR(M15990="",N15990=""),"",SUMIFS('Barang Keluar'!$E:$E,'Barang Keluar'!$A:$A,M15990,'Barang Keluar'!$C:$C,N15990))</f>
        <v>0</v>
      </c>
    </row>
    <row r="15991" spans="13:16">
      <c r="M15991" s="49">
        <f>IF($A$4+159&gt;$B$4,"",$A$4+159)</f>
        <v>46182</v>
      </c>
      <c r="N15991">
        <f>IF(M15991="","",'Master Barang'!A85)</f>
        <v>0</v>
      </c>
      <c r="O15991">
        <f>IF(N15991="","",'Master Barang'!B85)</f>
        <v>0</v>
      </c>
      <c r="P15991">
        <f>IF(OR(M15991="",N15991=""),"",SUMIFS('Barang Keluar'!$E:$E,'Barang Keluar'!$A:$A,M15991,'Barang Keluar'!$C:$C,N15991))</f>
        <v>0</v>
      </c>
    </row>
    <row r="15992" spans="13:16">
      <c r="M15992" s="49">
        <f>IF($A$4+159&gt;$B$4,"",$A$4+159)</f>
        <v>46182</v>
      </c>
      <c r="N15992">
        <f>IF(M15992="","",'Master Barang'!A86)</f>
        <v>0</v>
      </c>
      <c r="O15992">
        <f>IF(N15992="","",'Master Barang'!B86)</f>
        <v>0</v>
      </c>
      <c r="P15992">
        <f>IF(OR(M15992="",N15992=""),"",SUMIFS('Barang Keluar'!$E:$E,'Barang Keluar'!$A:$A,M15992,'Barang Keluar'!$C:$C,N15992))</f>
        <v>0</v>
      </c>
    </row>
    <row r="15993" spans="13:16">
      <c r="M15993" s="49">
        <f>IF($A$4+159&gt;$B$4,"",$A$4+159)</f>
        <v>46182</v>
      </c>
      <c r="N15993">
        <f>IF(M15993="","",'Master Barang'!A87)</f>
        <v>0</v>
      </c>
      <c r="O15993">
        <f>IF(N15993="","",'Master Barang'!B87)</f>
        <v>0</v>
      </c>
      <c r="P15993">
        <f>IF(OR(M15993="",N15993=""),"",SUMIFS('Barang Keluar'!$E:$E,'Barang Keluar'!$A:$A,M15993,'Barang Keluar'!$C:$C,N15993))</f>
        <v>0</v>
      </c>
    </row>
    <row r="15994" spans="13:16">
      <c r="M15994" s="49">
        <f>IF($A$4+159&gt;$B$4,"",$A$4+159)</f>
        <v>46182</v>
      </c>
      <c r="N15994">
        <f>IF(M15994="","",'Master Barang'!A88)</f>
        <v>0</v>
      </c>
      <c r="O15994">
        <f>IF(N15994="","",'Master Barang'!B88)</f>
        <v>0</v>
      </c>
      <c r="P15994">
        <f>IF(OR(M15994="",N15994=""),"",SUMIFS('Barang Keluar'!$E:$E,'Barang Keluar'!$A:$A,M15994,'Barang Keluar'!$C:$C,N15994))</f>
        <v>0</v>
      </c>
    </row>
    <row r="15995" spans="13:16">
      <c r="M15995" s="49">
        <f>IF($A$4+159&gt;$B$4,"",$A$4+159)</f>
        <v>46182</v>
      </c>
      <c r="N15995">
        <f>IF(M15995="","",'Master Barang'!A89)</f>
        <v>0</v>
      </c>
      <c r="O15995">
        <f>IF(N15995="","",'Master Barang'!B89)</f>
        <v>0</v>
      </c>
      <c r="P15995">
        <f>IF(OR(M15995="",N15995=""),"",SUMIFS('Barang Keluar'!$E:$E,'Barang Keluar'!$A:$A,M15995,'Barang Keluar'!$C:$C,N15995))</f>
        <v>0</v>
      </c>
    </row>
    <row r="15996" spans="13:16">
      <c r="M15996" s="49">
        <f>IF($A$4+159&gt;$B$4,"",$A$4+159)</f>
        <v>46182</v>
      </c>
      <c r="N15996">
        <f>IF(M15996="","",'Master Barang'!A90)</f>
        <v>0</v>
      </c>
      <c r="O15996">
        <f>IF(N15996="","",'Master Barang'!B90)</f>
        <v>0</v>
      </c>
      <c r="P15996">
        <f>IF(OR(M15996="",N15996=""),"",SUMIFS('Barang Keluar'!$E:$E,'Barang Keluar'!$A:$A,M15996,'Barang Keluar'!$C:$C,N15996))</f>
        <v>0</v>
      </c>
    </row>
    <row r="15997" spans="13:16">
      <c r="M15997" s="49">
        <f>IF($A$4+159&gt;$B$4,"",$A$4+159)</f>
        <v>46182</v>
      </c>
      <c r="N15997">
        <f>IF(M15997="","",'Master Barang'!A91)</f>
        <v>0</v>
      </c>
      <c r="O15997">
        <f>IF(N15997="","",'Master Barang'!B91)</f>
        <v>0</v>
      </c>
      <c r="P15997">
        <f>IF(OR(M15997="",N15997=""),"",SUMIFS('Barang Keluar'!$E:$E,'Barang Keluar'!$A:$A,M15997,'Barang Keluar'!$C:$C,N15997))</f>
        <v>0</v>
      </c>
    </row>
    <row r="15998" spans="13:16">
      <c r="M15998" s="49">
        <f>IF($A$4+159&gt;$B$4,"",$A$4+159)</f>
        <v>46182</v>
      </c>
      <c r="N15998">
        <f>IF(M15998="","",'Master Barang'!A92)</f>
        <v>0</v>
      </c>
      <c r="O15998">
        <f>IF(N15998="","",'Master Barang'!B92)</f>
        <v>0</v>
      </c>
      <c r="P15998">
        <f>IF(OR(M15998="",N15998=""),"",SUMIFS('Barang Keluar'!$E:$E,'Barang Keluar'!$A:$A,M15998,'Barang Keluar'!$C:$C,N15998))</f>
        <v>0</v>
      </c>
    </row>
    <row r="15999" spans="13:16">
      <c r="M15999" s="49">
        <f>IF($A$4+159&gt;$B$4,"",$A$4+159)</f>
        <v>46182</v>
      </c>
      <c r="N15999">
        <f>IF(M15999="","",'Master Barang'!A93)</f>
        <v>0</v>
      </c>
      <c r="O15999">
        <f>IF(N15999="","",'Master Barang'!B93)</f>
        <v>0</v>
      </c>
      <c r="P15999">
        <f>IF(OR(M15999="",N15999=""),"",SUMIFS('Barang Keluar'!$E:$E,'Barang Keluar'!$A:$A,M15999,'Barang Keluar'!$C:$C,N15999))</f>
        <v>0</v>
      </c>
    </row>
    <row r="16000" spans="13:16">
      <c r="M16000" s="49">
        <f>IF($A$4+159&gt;$B$4,"",$A$4+159)</f>
        <v>46182</v>
      </c>
      <c r="N16000">
        <f>IF(M16000="","",'Master Barang'!A94)</f>
        <v>0</v>
      </c>
      <c r="O16000">
        <f>IF(N16000="","",'Master Barang'!B94)</f>
        <v>0</v>
      </c>
      <c r="P16000">
        <f>IF(OR(M16000="",N16000=""),"",SUMIFS('Barang Keluar'!$E:$E,'Barang Keluar'!$A:$A,M16000,'Barang Keluar'!$C:$C,N16000))</f>
        <v>0</v>
      </c>
    </row>
    <row r="16001" spans="13:16">
      <c r="M16001" s="49">
        <f>IF($A$4+159&gt;$B$4,"",$A$4+159)</f>
        <v>46182</v>
      </c>
      <c r="N16001">
        <f>IF(M16001="","",'Master Barang'!A95)</f>
        <v>0</v>
      </c>
      <c r="O16001">
        <f>IF(N16001="","",'Master Barang'!B95)</f>
        <v>0</v>
      </c>
      <c r="P16001">
        <f>IF(OR(M16001="",N16001=""),"",SUMIFS('Barang Keluar'!$E:$E,'Barang Keluar'!$A:$A,M16001,'Barang Keluar'!$C:$C,N16001))</f>
        <v>0</v>
      </c>
    </row>
    <row r="16002" spans="13:16">
      <c r="M16002" s="49">
        <f>IF($A$4+159&gt;$B$4,"",$A$4+159)</f>
        <v>46182</v>
      </c>
      <c r="N16002">
        <f>IF(M16002="","",'Master Barang'!A96)</f>
        <v>0</v>
      </c>
      <c r="O16002">
        <f>IF(N16002="","",'Master Barang'!B96)</f>
        <v>0</v>
      </c>
      <c r="P16002">
        <f>IF(OR(M16002="",N16002=""),"",SUMIFS('Barang Keluar'!$E:$E,'Barang Keluar'!$A:$A,M16002,'Barang Keluar'!$C:$C,N16002))</f>
        <v>0</v>
      </c>
    </row>
    <row r="16003" spans="13:16">
      <c r="M16003" s="49">
        <f>IF($A$4+159&gt;$B$4,"",$A$4+159)</f>
        <v>46182</v>
      </c>
      <c r="N16003">
        <f>IF(M16003="","",'Master Barang'!A97)</f>
        <v>0</v>
      </c>
      <c r="O16003">
        <f>IF(N16003="","",'Master Barang'!B97)</f>
        <v>0</v>
      </c>
      <c r="P16003">
        <f>IF(OR(M16003="",N16003=""),"",SUMIFS('Barang Keluar'!$E:$E,'Barang Keluar'!$A:$A,M16003,'Barang Keluar'!$C:$C,N16003))</f>
        <v>0</v>
      </c>
    </row>
    <row r="16004" spans="13:16">
      <c r="M16004" s="49">
        <f>IF($A$4+159&gt;$B$4,"",$A$4+159)</f>
        <v>46182</v>
      </c>
      <c r="N16004">
        <f>IF(M16004="","",'Master Barang'!A98)</f>
        <v>0</v>
      </c>
      <c r="O16004">
        <f>IF(N16004="","",'Master Barang'!B98)</f>
        <v>0</v>
      </c>
      <c r="P16004">
        <f>IF(OR(M16004="",N16004=""),"",SUMIFS('Barang Keluar'!$E:$E,'Barang Keluar'!$A:$A,M16004,'Barang Keluar'!$C:$C,N16004))</f>
        <v>0</v>
      </c>
    </row>
    <row r="16005" spans="13:16">
      <c r="M16005" s="49">
        <f>IF($A$4+159&gt;$B$4,"",$A$4+159)</f>
        <v>46182</v>
      </c>
      <c r="N16005">
        <f>IF(M16005="","",'Master Barang'!A99)</f>
        <v>0</v>
      </c>
      <c r="O16005">
        <f>IF(N16005="","",'Master Barang'!B99)</f>
        <v>0</v>
      </c>
      <c r="P16005">
        <f>IF(OR(M16005="",N16005=""),"",SUMIFS('Barang Keluar'!$E:$E,'Barang Keluar'!$A:$A,M16005,'Barang Keluar'!$C:$C,N16005))</f>
        <v>0</v>
      </c>
    </row>
    <row r="16006" spans="13:16">
      <c r="M16006" s="49">
        <f>IF($A$4+159&gt;$B$4,"",$A$4+159)</f>
        <v>46182</v>
      </c>
      <c r="N16006">
        <f>IF(M16006="","",'Master Barang'!A100)</f>
        <v>0</v>
      </c>
      <c r="O16006">
        <f>IF(N16006="","",'Master Barang'!B100)</f>
        <v>0</v>
      </c>
      <c r="P16006">
        <f>IF(OR(M16006="",N16006=""),"",SUMIFS('Barang Keluar'!$E:$E,'Barang Keluar'!$A:$A,M16006,'Barang Keluar'!$C:$C,N16006))</f>
        <v>0</v>
      </c>
    </row>
    <row r="16007" spans="13:16">
      <c r="M16007" s="49">
        <f>IF($A$4+159&gt;$B$4,"",$A$4+159)</f>
        <v>46182</v>
      </c>
      <c r="N16007">
        <f>IF(M16007="","",'Master Barang'!A101)</f>
        <v>0</v>
      </c>
      <c r="O16007">
        <f>IF(N16007="","",'Master Barang'!B101)</f>
        <v>0</v>
      </c>
      <c r="P16007">
        <f>IF(OR(M16007="",N16007=""),"",SUMIFS('Barang Keluar'!$E:$E,'Barang Keluar'!$A:$A,M16007,'Barang Keluar'!$C:$C,N16007))</f>
        <v>0</v>
      </c>
    </row>
    <row r="16008" spans="13:16">
      <c r="M16008" s="49">
        <f>IF($A$4+160&gt;$B$4,"",$A$4+160)</f>
        <v>46183</v>
      </c>
      <c r="N16008" t="str">
        <f>IF(M16008="","",'Master Barang'!A2)</f>
        <v>PRL-001</v>
      </c>
      <c r="O16008" t="str">
        <f>IF(N16008="","",'Master Barang'!B2)</f>
        <v>natura desinfectant food grade 5l</v>
      </c>
      <c r="P16008">
        <f>IF(OR(M16008="",N16008=""),"",SUMIFS('Barang Keluar'!$E:$E,'Barang Keluar'!$A:$A,M16008,'Barang Keluar'!$C:$C,N16008))</f>
        <v>0</v>
      </c>
    </row>
    <row r="16009" spans="13:16">
      <c r="M16009" s="49">
        <f>IF($A$4+160&gt;$B$4,"",$A$4+160)</f>
        <v>46183</v>
      </c>
      <c r="N16009" t="str">
        <f>IF(M16009="","",'Master Barang'!A3)</f>
        <v>PRL-002</v>
      </c>
      <c r="O16009" t="str">
        <f>IF(N16009="","",'Master Barang'!B3)</f>
        <v>sunlight cairan pencuci piring 5l</v>
      </c>
      <c r="P16009">
        <f>IF(OR(M16009="",N16009=""),"",SUMIFS('Barang Keluar'!$E:$E,'Barang Keluar'!$A:$A,M16009,'Barang Keluar'!$C:$C,N16009))</f>
        <v>0</v>
      </c>
    </row>
    <row r="16010" spans="13:16">
      <c r="M16010" s="49">
        <f>IF($A$4+160&gt;$B$4,"",$A$4+160)</f>
        <v>46183</v>
      </c>
      <c r="N16010" t="str">
        <f>IF(M16010="","",'Master Barang'!A4)</f>
        <v>PRL-003</v>
      </c>
      <c r="O16010" t="str">
        <f>IF(N16010="","",'Master Barang'!B4)</f>
        <v>oixs cleaner 1l</v>
      </c>
      <c r="P16010">
        <f>IF(OR(M16010="",N16010=""),"",SUMIFS('Barang Keluar'!$E:$E,'Barang Keluar'!$A:$A,M16010,'Barang Keluar'!$C:$C,N16010))</f>
        <v>0</v>
      </c>
    </row>
    <row r="16011" spans="13:16">
      <c r="M16011" s="49">
        <f>IF($A$4+160&gt;$B$4,"",$A$4+160)</f>
        <v>46183</v>
      </c>
      <c r="N16011" t="str">
        <f>IF(M16011="","",'Master Barang'!A5)</f>
        <v>PRL-004</v>
      </c>
      <c r="O16011" t="str">
        <f>IF(N16011="","",'Master Barang'!B5)</f>
        <v>be clean tissue serbaguna</v>
      </c>
      <c r="P16011">
        <f>IF(OR(M16011="",N16011=""),"",SUMIFS('Barang Keluar'!$E:$E,'Barang Keluar'!$A:$A,M16011,'Barang Keluar'!$C:$C,N16011))</f>
        <v>0</v>
      </c>
    </row>
    <row r="16012" spans="13:16">
      <c r="M16012" s="49">
        <f>IF($A$4+160&gt;$B$4,"",$A$4+160)</f>
        <v>46183</v>
      </c>
      <c r="N16012" t="str">
        <f>IF(M16012="","",'Master Barang'!A6)</f>
        <v>PRL-005</v>
      </c>
      <c r="O16012" t="str">
        <f>IF(N16012="","",'Master Barang'!B6)</f>
        <v>spons cuci hijau</v>
      </c>
      <c r="P16012">
        <f>IF(OR(M16012="",N16012=""),"",SUMIFS('Barang Keluar'!$E:$E,'Barang Keluar'!$A:$A,M16012,'Barang Keluar'!$C:$C,N16012))</f>
        <v>0</v>
      </c>
    </row>
    <row r="16013" spans="13:16">
      <c r="M16013" s="49">
        <f>IF($A$4+160&gt;$B$4,"",$A$4+160)</f>
        <v>46183</v>
      </c>
      <c r="N16013" t="str">
        <f>IF(M16013="","",'Master Barang'!A7)</f>
        <v>PRL-006</v>
      </c>
      <c r="O16013" t="str">
        <f>IF(N16013="","",'Master Barang'!B7)</f>
        <v>sabut cuci stainless</v>
      </c>
      <c r="P16013">
        <f>IF(OR(M16013="",N16013=""),"",SUMIFS('Barang Keluar'!$E:$E,'Barang Keluar'!$A:$A,M16013,'Barang Keluar'!$C:$C,N16013))</f>
        <v>0</v>
      </c>
    </row>
    <row r="16014" spans="13:16">
      <c r="M16014" s="49">
        <f>IF($A$4+160&gt;$B$4,"",$A$4+160)</f>
        <v>46183</v>
      </c>
      <c r="N16014" t="str">
        <f>IF(M16014="","",'Master Barang'!A8)</f>
        <v>PRL-007</v>
      </c>
      <c r="O16014" t="str">
        <f>IF(N16014="","",'Master Barang'!B8)</f>
        <v>plastik kresek besar merah 50pc</v>
      </c>
      <c r="P16014">
        <f>IF(OR(M16014="",N16014=""),"",SUMIFS('Barang Keluar'!$E:$E,'Barang Keluar'!$A:$A,M16014,'Barang Keluar'!$C:$C,N16014))</f>
        <v>0</v>
      </c>
    </row>
    <row r="16015" spans="13:16">
      <c r="M16015" s="49">
        <f>IF($A$4+160&gt;$B$4,"",$A$4+160)</f>
        <v>46183</v>
      </c>
      <c r="N16015" t="str">
        <f>IF(M16015="","",'Master Barang'!A9)</f>
        <v>PRL-008</v>
      </c>
      <c r="O16015" t="str">
        <f>IF(N16015="","",'Master Barang'!B9)</f>
        <v>lap besar</v>
      </c>
      <c r="P16015">
        <f>IF(OR(M16015="",N16015=""),"",SUMIFS('Barang Keluar'!$E:$E,'Barang Keluar'!$A:$A,M16015,'Barang Keluar'!$C:$C,N16015))</f>
        <v>0</v>
      </c>
    </row>
    <row r="16016" spans="13:16">
      <c r="M16016" s="49">
        <f>IF($A$4+160&gt;$B$4,"",$A$4+160)</f>
        <v>46183</v>
      </c>
      <c r="N16016" t="str">
        <f>IF(M16016="","",'Master Barang'!A10)</f>
        <v>PRL-009</v>
      </c>
      <c r="O16016" t="str">
        <f>IF(N16016="","",'Master Barang'!B10)</f>
        <v>lap microfiber</v>
      </c>
      <c r="P16016">
        <f>IF(OR(M16016="",N16016=""),"",SUMIFS('Barang Keluar'!$E:$E,'Barang Keluar'!$A:$A,M16016,'Barang Keluar'!$C:$C,N16016))</f>
        <v>0</v>
      </c>
    </row>
    <row r="16017" spans="13:16">
      <c r="M16017" s="49">
        <f>IF($A$4+160&gt;$B$4,"",$A$4+160)</f>
        <v>46183</v>
      </c>
      <c r="N16017" t="str">
        <f>IF(M16017="","",'Master Barang'!A11)</f>
        <v>PRL-010</v>
      </c>
      <c r="O16017" t="str">
        <f>IF(N16017="","",'Master Barang'!B11)</f>
        <v>lap kecil</v>
      </c>
      <c r="P16017">
        <f>IF(OR(M16017="",N16017=""),"",SUMIFS('Barang Keluar'!$E:$E,'Barang Keluar'!$A:$A,M16017,'Barang Keluar'!$C:$C,N16017))</f>
        <v>0</v>
      </c>
    </row>
    <row r="16018" spans="13:16">
      <c r="M16018" s="49">
        <f>IF($A$4+160&gt;$B$4,"",$A$4+160)</f>
        <v>46183</v>
      </c>
      <c r="N16018" t="str">
        <f>IF(M16018="","",'Master Barang'!A12)</f>
        <v>PRL-011</v>
      </c>
      <c r="O16018" t="str">
        <f>IF(N16018="","",'Master Barang'!B12)</f>
        <v>kanebo kecil</v>
      </c>
      <c r="P16018">
        <f>IF(OR(M16018="",N16018=""),"",SUMIFS('Barang Keluar'!$E:$E,'Barang Keluar'!$A:$A,M16018,'Barang Keluar'!$C:$C,N16018))</f>
        <v>0</v>
      </c>
    </row>
    <row r="16019" spans="13:16">
      <c r="M16019" s="49">
        <f>IF($A$4+160&gt;$B$4,"",$A$4+160)</f>
        <v>46183</v>
      </c>
      <c r="N16019" t="str">
        <f>IF(M16019="","",'Master Barang'!A13)</f>
        <v>PRL-012</v>
      </c>
      <c r="O16019" t="str">
        <f>IF(N16019="","",'Master Barang'!B13)</f>
        <v>plastik 1/4kg joyoboyo 100 lembar</v>
      </c>
      <c r="P16019">
        <f>IF(OR(M16019="",N16019=""),"",SUMIFS('Barang Keluar'!$E:$E,'Barang Keluar'!$A:$A,M16019,'Barang Keluar'!$C:$C,N16019))</f>
        <v>0</v>
      </c>
    </row>
    <row r="16020" spans="13:16">
      <c r="M16020" s="49">
        <f>IF($A$4+160&gt;$B$4,"",$A$4+160)</f>
        <v>46183</v>
      </c>
      <c r="N16020" t="str">
        <f>IF(M16020="","",'Master Barang'!A14)</f>
        <v>PRL-013</v>
      </c>
      <c r="O16020" t="str">
        <f>IF(N16020="","",'Master Barang'!B14)</f>
        <v>sarung tangan plastik kaka 100 pcs</v>
      </c>
      <c r="P16020">
        <f>IF(OR(M16020="",N16020=""),"",SUMIFS('Barang Keluar'!$E:$E,'Barang Keluar'!$A:$A,M16020,'Barang Keluar'!$C:$C,N16020))</f>
        <v>0</v>
      </c>
    </row>
    <row r="16021" spans="13:16">
      <c r="M16021" s="49">
        <f>IF($A$4+160&gt;$B$4,"",$A$4+160)</f>
        <v>46183</v>
      </c>
      <c r="N16021" t="str">
        <f>IF(M16021="","",'Master Barang'!A15)</f>
        <v>PRL-014</v>
      </c>
      <c r="O16021" t="str">
        <f>IF(N16021="","",'Master Barang'!B15)</f>
        <v>optima trashbag 80x100</v>
      </c>
      <c r="P16021">
        <f>IF(OR(M16021="",N16021=""),"",SUMIFS('Barang Keluar'!$E:$E,'Barang Keluar'!$A:$A,M16021,'Barang Keluar'!$C:$C,N16021))</f>
        <v>0</v>
      </c>
    </row>
    <row r="16022" spans="13:16">
      <c r="M16022" s="49">
        <f>IF($A$4+160&gt;$B$4,"",$A$4+160)</f>
        <v>46183</v>
      </c>
      <c r="N16022" t="str">
        <f>IF(M16022="","",'Master Barang'!A16)</f>
        <v>PRL-015</v>
      </c>
      <c r="O16022" t="str">
        <f>IF(N16022="","",'Master Barang'!B16)</f>
        <v>optima trashbag 60x100</v>
      </c>
      <c r="P16022">
        <f>IF(OR(M16022="",N16022=""),"",SUMIFS('Barang Keluar'!$E:$E,'Barang Keluar'!$A:$A,M16022,'Barang Keluar'!$C:$C,N16022))</f>
        <v>0</v>
      </c>
    </row>
    <row r="16023" spans="13:16">
      <c r="M16023" s="49">
        <f>IF($A$4+160&gt;$B$4,"",$A$4+160)</f>
        <v>46183</v>
      </c>
      <c r="N16023" t="str">
        <f>IF(M16023="","",'Master Barang'!A17)</f>
        <v>PRL-016</v>
      </c>
      <c r="O16023" t="str">
        <f>IF(N16023="","",'Master Barang'!B17)</f>
        <v>rajawali trashbag 30x40</v>
      </c>
      <c r="P16023">
        <f>IF(OR(M16023="",N16023=""),"",SUMIFS('Barang Keluar'!$E:$E,'Barang Keluar'!$A:$A,M16023,'Barang Keluar'!$C:$C,N16023))</f>
        <v>0</v>
      </c>
    </row>
    <row r="16024" spans="13:16">
      <c r="M16024" s="49">
        <f>IF($A$4+160&gt;$B$4,"",$A$4+160)</f>
        <v>46183</v>
      </c>
      <c r="N16024" t="str">
        <f>IF(M16024="","",'Master Barang'!A18)</f>
        <v>PRL-017</v>
      </c>
      <c r="O16024" t="str">
        <f>IF(N16024="","",'Master Barang'!B18)</f>
        <v>onemed masker biru 3 play 50 pcs</v>
      </c>
      <c r="P16024">
        <f>IF(OR(M16024="",N16024=""),"",SUMIFS('Barang Keluar'!$E:$E,'Barang Keluar'!$A:$A,M16024,'Barang Keluar'!$C:$C,N16024))</f>
        <v>0</v>
      </c>
    </row>
    <row r="16025" spans="13:16">
      <c r="M16025" s="49">
        <f>IF($A$4+160&gt;$B$4,"",$A$4+160)</f>
        <v>46183</v>
      </c>
      <c r="N16025" t="str">
        <f>IF(M16025="","",'Master Barang'!A19)</f>
        <v>PRL-018</v>
      </c>
      <c r="O16025" t="str">
        <f>IF(N16025="","",'Master Barang'!B19)</f>
        <v>onemed masker biru 3 play hijab 50 pcs</v>
      </c>
      <c r="P16025">
        <f>IF(OR(M16025="",N16025=""),"",SUMIFS('Barang Keluar'!$E:$E,'Barang Keluar'!$A:$A,M16025,'Barang Keluar'!$C:$C,N16025))</f>
        <v>0</v>
      </c>
    </row>
    <row r="16026" spans="13:16">
      <c r="M16026" s="49">
        <f>IF($A$4+160&gt;$B$4,"",$A$4+160)</f>
        <v>46183</v>
      </c>
      <c r="N16026" t="str">
        <f>IF(M16026="","",'Master Barang'!A20)</f>
        <v>PRL-019</v>
      </c>
      <c r="O16026" t="str">
        <f>IF(N16026="","",'Master Barang'!B20)</f>
        <v>neo health masker biru 3 play 50 pcs</v>
      </c>
      <c r="P16026">
        <f>IF(OR(M16026="",N16026=""),"",SUMIFS('Barang Keluar'!$E:$E,'Barang Keluar'!$A:$A,M16026,'Barang Keluar'!$C:$C,N16026))</f>
        <v>0</v>
      </c>
    </row>
    <row r="16027" spans="13:16">
      <c r="M16027" s="49">
        <f>IF($A$4+160&gt;$B$4,"",$A$4+160)</f>
        <v>46183</v>
      </c>
      <c r="N16027" t="str">
        <f>IF(M16027="","",'Master Barang'!A21)</f>
        <v>PRL-020</v>
      </c>
      <c r="O16027" t="str">
        <f>IF(N16027="","",'Master Barang'!B21)</f>
        <v>baymed masker hijau 3 play hijau 50 pcs</v>
      </c>
      <c r="P16027">
        <f>IF(OR(M16027="",N16027=""),"",SUMIFS('Barang Keluar'!$E:$E,'Barang Keluar'!$A:$A,M16027,'Barang Keluar'!$C:$C,N16027))</f>
        <v>0</v>
      </c>
    </row>
    <row r="16028" spans="13:16">
      <c r="M16028" s="49">
        <f>IF($A$4+160&gt;$B$4,"",$A$4+160)</f>
        <v>46183</v>
      </c>
      <c r="N16028" t="str">
        <f>IF(M16028="","",'Master Barang'!A22)</f>
        <v>PRL-021</v>
      </c>
      <c r="O16028" t="str">
        <f>IF(N16028="","",'Master Barang'!B22)</f>
        <v>altamed nurse cap penutup kepala 100 pcs</v>
      </c>
      <c r="P16028">
        <f>IF(OR(M16028="",N16028=""),"",SUMIFS('Barang Keluar'!$E:$E,'Barang Keluar'!$A:$A,M16028,'Barang Keluar'!$C:$C,N16028))</f>
        <v>0</v>
      </c>
    </row>
    <row r="16029" spans="13:16">
      <c r="M16029" s="49">
        <f>IF($A$4+160&gt;$B$4,"",$A$4+160)</f>
        <v>46183</v>
      </c>
      <c r="N16029" t="str">
        <f>IF(M16029="","",'Master Barang'!A23)</f>
        <v>PRL-022</v>
      </c>
      <c r="O16029" t="str">
        <f>IF(N16029="","",'Master Barang'!B23)</f>
        <v>sabun cuci tangan</v>
      </c>
      <c r="P16029">
        <f>IF(OR(M16029="",N16029=""),"",SUMIFS('Barang Keluar'!$E:$E,'Barang Keluar'!$A:$A,M16029,'Barang Keluar'!$C:$C,N16029))</f>
        <v>0</v>
      </c>
    </row>
    <row r="16030" spans="13:16">
      <c r="M16030" s="49">
        <f>IF($A$4+160&gt;$B$4,"",$A$4+160)</f>
        <v>46183</v>
      </c>
      <c r="N16030" t="str">
        <f>IF(M16030="","",'Master Barang'!A24)</f>
        <v>PRL-023</v>
      </c>
      <c r="O16030" t="str">
        <f>IF(N16030="","",'Master Barang'!B24)</f>
        <v>gayung kecil</v>
      </c>
      <c r="P16030">
        <f>IF(OR(M16030="",N16030=""),"",SUMIFS('Barang Keluar'!$E:$E,'Barang Keluar'!$A:$A,M16030,'Barang Keluar'!$C:$C,N16030))</f>
        <v>0</v>
      </c>
    </row>
    <row r="16031" spans="13:16">
      <c r="M16031" s="49">
        <f>IF($A$4+160&gt;$B$4,"",$A$4+160)</f>
        <v>46183</v>
      </c>
      <c r="N16031" t="str">
        <f>IF(M16031="","",'Master Barang'!A25)</f>
        <v>PRL-024</v>
      </c>
      <c r="O16031" t="str">
        <f>IF(N16031="","",'Master Barang'!B25)</f>
        <v>cikrak kecil</v>
      </c>
      <c r="P16031">
        <f>IF(OR(M16031="",N16031=""),"",SUMIFS('Barang Keluar'!$E:$E,'Barang Keluar'!$A:$A,M16031,'Barang Keluar'!$C:$C,N16031))</f>
        <v>0</v>
      </c>
    </row>
    <row r="16032" spans="13:16">
      <c r="M16032" s="49">
        <f>IF($A$4+160&gt;$B$4,"",$A$4+160)</f>
        <v>46183</v>
      </c>
      <c r="N16032" t="str">
        <f>IF(M16032="","",'Master Barang'!A26)</f>
        <v>PRL-025</v>
      </c>
      <c r="O16032" t="str">
        <f>IF(N16032="","",'Master Barang'!B26)</f>
        <v>petromax plastik kecil 12x24 100 lembar</v>
      </c>
      <c r="P16032">
        <f>IF(OR(M16032="",N16032=""),"",SUMIFS('Barang Keluar'!$E:$E,'Barang Keluar'!$A:$A,M16032,'Barang Keluar'!$C:$C,N16032))</f>
        <v>0</v>
      </c>
    </row>
    <row r="16033" spans="13:16">
      <c r="M16033" s="49">
        <f>IF($A$4+160&gt;$B$4,"",$A$4+160)</f>
        <v>46183</v>
      </c>
      <c r="N16033" t="str">
        <f>IF(M16033="","",'Master Barang'!A27)</f>
        <v>PRL-026</v>
      </c>
      <c r="O16033" t="str">
        <f>IF(N16033="","",'Master Barang'!B27)</f>
        <v>lancar kresek kecil bening </v>
      </c>
      <c r="P16033">
        <f>IF(OR(M16033="",N16033=""),"",SUMIFS('Barang Keluar'!$E:$E,'Barang Keluar'!$A:$A,M16033,'Barang Keluar'!$C:$C,N16033))</f>
        <v>0</v>
      </c>
    </row>
    <row r="16034" spans="13:16">
      <c r="M16034" s="49">
        <f>IF($A$4+160&gt;$B$4,"",$A$4+160)</f>
        <v>46183</v>
      </c>
      <c r="N16034" t="str">
        <f>IF(M16034="","",'Master Barang'!A28)</f>
        <v>PRL-027</v>
      </c>
      <c r="O16034" t="str">
        <f>IF(N16034="","",'Master Barang'!B28)</f>
        <v>kresek klin warna warni kecil</v>
      </c>
      <c r="P16034">
        <f>IF(OR(M16034="",N16034=""),"",SUMIFS('Barang Keluar'!$E:$E,'Barang Keluar'!$A:$A,M16034,'Barang Keluar'!$C:$C,N16034))</f>
        <v>0</v>
      </c>
    </row>
    <row r="16035" spans="13:16">
      <c r="M16035" s="49">
        <f>IF($A$4+160&gt;$B$4,"",$A$4+160)</f>
        <v>46183</v>
      </c>
      <c r="N16035" t="str">
        <f>IF(M16035="","",'Master Barang'!A29)</f>
        <v>PRL-028</v>
      </c>
      <c r="O16035" t="str">
        <f>IF(N16035="","",'Master Barang'!B29)</f>
        <v>ctik plastik 7x10 100 pcs</v>
      </c>
      <c r="P16035">
        <f>IF(OR(M16035="",N16035=""),"",SUMIFS('Barang Keluar'!$E:$E,'Barang Keluar'!$A:$A,M16035,'Barang Keluar'!$C:$C,N16035))</f>
        <v>0</v>
      </c>
    </row>
    <row r="16036" spans="13:16">
      <c r="M16036" s="49">
        <f>IF($A$4+160&gt;$B$4,"",$A$4+160)</f>
        <v>46183</v>
      </c>
      <c r="N16036" t="str">
        <f>IF(M16036="","",'Master Barang'!A30)</f>
        <v>PRL-029</v>
      </c>
      <c r="O16036" t="str">
        <f>IF(N16036="","",'Master Barang'!B30)</f>
        <v>ctik plastik 6x10 100 pcs</v>
      </c>
      <c r="P16036">
        <f>IF(OR(M16036="",N16036=""),"",SUMIFS('Barang Keluar'!$E:$E,'Barang Keluar'!$A:$A,M16036,'Barang Keluar'!$C:$C,N16036))</f>
        <v>0</v>
      </c>
    </row>
    <row r="16037" spans="13:16">
      <c r="M16037" s="49">
        <f>IF($A$4+160&gt;$B$4,"",$A$4+160)</f>
        <v>46183</v>
      </c>
      <c r="N16037" t="str">
        <f>IF(M16037="","",'Master Barang'!A31)</f>
        <v>PRL-030</v>
      </c>
      <c r="O16037" t="str">
        <f>IF(N16037="","",'Master Barang'!B31)</f>
        <v>klip plastik 25x16 100 pcs</v>
      </c>
      <c r="P16037">
        <f>IF(OR(M16037="",N16037=""),"",SUMIFS('Barang Keluar'!$E:$E,'Barang Keluar'!$A:$A,M16037,'Barang Keluar'!$C:$C,N16037))</f>
        <v>0</v>
      </c>
    </row>
    <row r="16038" spans="13:16">
      <c r="M16038" s="49">
        <f>IF($A$4+160&gt;$B$4,"",$A$4+160)</f>
        <v>46183</v>
      </c>
      <c r="N16038" t="str">
        <f>IF(M16038="","",'Master Barang'!A32)</f>
        <v>PRL-031</v>
      </c>
      <c r="O16038" t="str">
        <f>IF(N16038="","",'Master Barang'!B32)</f>
        <v>tempat saus 20 ml</v>
      </c>
      <c r="P16038">
        <f>IF(OR(M16038="",N16038=""),"",SUMIFS('Barang Keluar'!$E:$E,'Barang Keluar'!$A:$A,M16038,'Barang Keluar'!$C:$C,N16038))</f>
        <v>0</v>
      </c>
    </row>
    <row r="16039" spans="13:16">
      <c r="M16039" s="49">
        <f>IF($A$4+160&gt;$B$4,"",$A$4+160)</f>
        <v>46183</v>
      </c>
      <c r="N16039" t="str">
        <f>IF(M16039="","",'Master Barang'!A33)</f>
        <v>PRL-032</v>
      </c>
      <c r="O16039" t="str">
        <f>IF(N16039="","",'Master Barang'!B33)</f>
        <v>plastik packaging ag box uk sedang</v>
      </c>
      <c r="P16039">
        <f>IF(OR(M16039="",N16039=""),"",SUMIFS('Barang Keluar'!$E:$E,'Barang Keluar'!$A:$A,M16039,'Barang Keluar'!$C:$C,N16039))</f>
        <v>0</v>
      </c>
    </row>
    <row r="16040" spans="13:16">
      <c r="M16040" s="49">
        <f>IF($A$4+160&gt;$B$4,"",$A$4+160)</f>
        <v>46183</v>
      </c>
      <c r="N16040" t="str">
        <f>IF(M16040="","",'Master Barang'!A34)</f>
        <v>PRL-033</v>
      </c>
      <c r="O16040">
        <f>IF(N16040="","",'Master Barang'!B34)</f>
        <v>0</v>
      </c>
      <c r="P16040">
        <f>IF(OR(M16040="",N16040=""),"",SUMIFS('Barang Keluar'!$E:$E,'Barang Keluar'!$A:$A,M16040,'Barang Keluar'!$C:$C,N16040))</f>
        <v>0</v>
      </c>
    </row>
    <row r="16041" spans="13:16">
      <c r="M16041" s="49">
        <f>IF($A$4+160&gt;$B$4,"",$A$4+160)</f>
        <v>46183</v>
      </c>
      <c r="N16041">
        <f>IF(M16041="","",'Master Barang'!A35)</f>
        <v>0</v>
      </c>
      <c r="O16041">
        <f>IF(N16041="","",'Master Barang'!B35)</f>
        <v>0</v>
      </c>
      <c r="P16041">
        <f>IF(OR(M16041="",N16041=""),"",SUMIFS('Barang Keluar'!$E:$E,'Barang Keluar'!$A:$A,M16041,'Barang Keluar'!$C:$C,N16041))</f>
        <v>0</v>
      </c>
    </row>
    <row r="16042" spans="13:16">
      <c r="M16042" s="49">
        <f>IF($A$4+160&gt;$B$4,"",$A$4+160)</f>
        <v>46183</v>
      </c>
      <c r="N16042">
        <f>IF(M16042="","",'Master Barang'!A36)</f>
        <v>0</v>
      </c>
      <c r="O16042">
        <f>IF(N16042="","",'Master Barang'!B36)</f>
        <v>0</v>
      </c>
      <c r="P16042">
        <f>IF(OR(M16042="",N16042=""),"",SUMIFS('Barang Keluar'!$E:$E,'Barang Keluar'!$A:$A,M16042,'Barang Keluar'!$C:$C,N16042))</f>
        <v>0</v>
      </c>
    </row>
    <row r="16043" spans="13:16">
      <c r="M16043" s="49">
        <f>IF($A$4+160&gt;$B$4,"",$A$4+160)</f>
        <v>46183</v>
      </c>
      <c r="N16043">
        <f>IF(M16043="","",'Master Barang'!A37)</f>
        <v>0</v>
      </c>
      <c r="O16043">
        <f>IF(N16043="","",'Master Barang'!B37)</f>
        <v>0</v>
      </c>
      <c r="P16043">
        <f>IF(OR(M16043="",N16043=""),"",SUMIFS('Barang Keluar'!$E:$E,'Barang Keluar'!$A:$A,M16043,'Barang Keluar'!$C:$C,N16043))</f>
        <v>0</v>
      </c>
    </row>
    <row r="16044" spans="13:16">
      <c r="M16044" s="49">
        <f>IF($A$4+160&gt;$B$4,"",$A$4+160)</f>
        <v>46183</v>
      </c>
      <c r="N16044">
        <f>IF(M16044="","",'Master Barang'!A38)</f>
        <v>0</v>
      </c>
      <c r="O16044">
        <f>IF(N16044="","",'Master Barang'!B38)</f>
        <v>0</v>
      </c>
      <c r="P16044">
        <f>IF(OR(M16044="",N16044=""),"",SUMIFS('Barang Keluar'!$E:$E,'Barang Keluar'!$A:$A,M16044,'Barang Keluar'!$C:$C,N16044))</f>
        <v>0</v>
      </c>
    </row>
    <row r="16045" spans="13:16">
      <c r="M16045" s="49">
        <f>IF($A$4+160&gt;$B$4,"",$A$4+160)</f>
        <v>46183</v>
      </c>
      <c r="N16045">
        <f>IF(M16045="","",'Master Barang'!A39)</f>
        <v>0</v>
      </c>
      <c r="O16045">
        <f>IF(N16045="","",'Master Barang'!B39)</f>
        <v>0</v>
      </c>
      <c r="P16045">
        <f>IF(OR(M16045="",N16045=""),"",SUMIFS('Barang Keluar'!$E:$E,'Barang Keluar'!$A:$A,M16045,'Barang Keluar'!$C:$C,N16045))</f>
        <v>0</v>
      </c>
    </row>
    <row r="16046" spans="13:16">
      <c r="M16046" s="49">
        <f>IF($A$4+160&gt;$B$4,"",$A$4+160)</f>
        <v>46183</v>
      </c>
      <c r="N16046">
        <f>IF(M16046="","",'Master Barang'!A40)</f>
        <v>0</v>
      </c>
      <c r="O16046">
        <f>IF(N16046="","",'Master Barang'!B40)</f>
        <v>0</v>
      </c>
      <c r="P16046">
        <f>IF(OR(M16046="",N16046=""),"",SUMIFS('Barang Keluar'!$E:$E,'Barang Keluar'!$A:$A,M16046,'Barang Keluar'!$C:$C,N16046))</f>
        <v>0</v>
      </c>
    </row>
    <row r="16047" spans="13:16">
      <c r="M16047" s="49">
        <f>IF($A$4+160&gt;$B$4,"",$A$4+160)</f>
        <v>46183</v>
      </c>
      <c r="N16047">
        <f>IF(M16047="","",'Master Barang'!A41)</f>
        <v>0</v>
      </c>
      <c r="O16047">
        <f>IF(N16047="","",'Master Barang'!B41)</f>
        <v>0</v>
      </c>
      <c r="P16047">
        <f>IF(OR(M16047="",N16047=""),"",SUMIFS('Barang Keluar'!$E:$E,'Barang Keluar'!$A:$A,M16047,'Barang Keluar'!$C:$C,N16047))</f>
        <v>0</v>
      </c>
    </row>
    <row r="16048" spans="13:16">
      <c r="M16048" s="49">
        <f>IF($A$4+160&gt;$B$4,"",$A$4+160)</f>
        <v>46183</v>
      </c>
      <c r="N16048">
        <f>IF(M16048="","",'Master Barang'!A42)</f>
        <v>0</v>
      </c>
      <c r="O16048">
        <f>IF(N16048="","",'Master Barang'!B42)</f>
        <v>0</v>
      </c>
      <c r="P16048">
        <f>IF(OR(M16048="",N16048=""),"",SUMIFS('Barang Keluar'!$E:$E,'Barang Keluar'!$A:$A,M16048,'Barang Keluar'!$C:$C,N16048))</f>
        <v>0</v>
      </c>
    </row>
    <row r="16049" spans="13:16">
      <c r="M16049" s="49">
        <f>IF($A$4+160&gt;$B$4,"",$A$4+160)</f>
        <v>46183</v>
      </c>
      <c r="N16049">
        <f>IF(M16049="","",'Master Barang'!A43)</f>
        <v>0</v>
      </c>
      <c r="O16049">
        <f>IF(N16049="","",'Master Barang'!B43)</f>
        <v>0</v>
      </c>
      <c r="P16049">
        <f>IF(OR(M16049="",N16049=""),"",SUMIFS('Barang Keluar'!$E:$E,'Barang Keluar'!$A:$A,M16049,'Barang Keluar'!$C:$C,N16049))</f>
        <v>0</v>
      </c>
    </row>
    <row r="16050" spans="13:16">
      <c r="M16050" s="49">
        <f>IF($A$4+160&gt;$B$4,"",$A$4+160)</f>
        <v>46183</v>
      </c>
      <c r="N16050">
        <f>IF(M16050="","",'Master Barang'!A44)</f>
        <v>0</v>
      </c>
      <c r="O16050">
        <f>IF(N16050="","",'Master Barang'!B44)</f>
        <v>0</v>
      </c>
      <c r="P16050">
        <f>IF(OR(M16050="",N16050=""),"",SUMIFS('Barang Keluar'!$E:$E,'Barang Keluar'!$A:$A,M16050,'Barang Keluar'!$C:$C,N16050))</f>
        <v>0</v>
      </c>
    </row>
    <row r="16051" spans="13:16">
      <c r="M16051" s="49">
        <f>IF($A$4+160&gt;$B$4,"",$A$4+160)</f>
        <v>46183</v>
      </c>
      <c r="N16051">
        <f>IF(M16051="","",'Master Barang'!A45)</f>
        <v>0</v>
      </c>
      <c r="O16051">
        <f>IF(N16051="","",'Master Barang'!B45)</f>
        <v>0</v>
      </c>
      <c r="P16051">
        <f>IF(OR(M16051="",N16051=""),"",SUMIFS('Barang Keluar'!$E:$E,'Barang Keluar'!$A:$A,M16051,'Barang Keluar'!$C:$C,N16051))</f>
        <v>0</v>
      </c>
    </row>
    <row r="16052" spans="13:16">
      <c r="M16052" s="49">
        <f>IF($A$4+160&gt;$B$4,"",$A$4+160)</f>
        <v>46183</v>
      </c>
      <c r="N16052">
        <f>IF(M16052="","",'Master Barang'!A46)</f>
        <v>0</v>
      </c>
      <c r="O16052">
        <f>IF(N16052="","",'Master Barang'!B46)</f>
        <v>0</v>
      </c>
      <c r="P16052">
        <f>IF(OR(M16052="",N16052=""),"",SUMIFS('Barang Keluar'!$E:$E,'Barang Keluar'!$A:$A,M16052,'Barang Keluar'!$C:$C,N16052))</f>
        <v>0</v>
      </c>
    </row>
    <row r="16053" spans="13:16">
      <c r="M16053" s="49">
        <f>IF($A$4+160&gt;$B$4,"",$A$4+160)</f>
        <v>46183</v>
      </c>
      <c r="N16053">
        <f>IF(M16053="","",'Master Barang'!A47)</f>
        <v>0</v>
      </c>
      <c r="O16053">
        <f>IF(N16053="","",'Master Barang'!B47)</f>
        <v>0</v>
      </c>
      <c r="P16053">
        <f>IF(OR(M16053="",N16053=""),"",SUMIFS('Barang Keluar'!$E:$E,'Barang Keluar'!$A:$A,M16053,'Barang Keluar'!$C:$C,N16053))</f>
        <v>0</v>
      </c>
    </row>
    <row r="16054" spans="13:16">
      <c r="M16054" s="49">
        <f>IF($A$4+160&gt;$B$4,"",$A$4+160)</f>
        <v>46183</v>
      </c>
      <c r="N16054">
        <f>IF(M16054="","",'Master Barang'!A48)</f>
        <v>0</v>
      </c>
      <c r="O16054">
        <f>IF(N16054="","",'Master Barang'!B48)</f>
        <v>0</v>
      </c>
      <c r="P16054">
        <f>IF(OR(M16054="",N16054=""),"",SUMIFS('Barang Keluar'!$E:$E,'Barang Keluar'!$A:$A,M16054,'Barang Keluar'!$C:$C,N16054))</f>
        <v>0</v>
      </c>
    </row>
    <row r="16055" spans="13:16">
      <c r="M16055" s="49">
        <f>IF($A$4+160&gt;$B$4,"",$A$4+160)</f>
        <v>46183</v>
      </c>
      <c r="N16055">
        <f>IF(M16055="","",'Master Barang'!A49)</f>
        <v>0</v>
      </c>
      <c r="O16055">
        <f>IF(N16055="","",'Master Barang'!B49)</f>
        <v>0</v>
      </c>
      <c r="P16055">
        <f>IF(OR(M16055="",N16055=""),"",SUMIFS('Barang Keluar'!$E:$E,'Barang Keluar'!$A:$A,M16055,'Barang Keluar'!$C:$C,N16055))</f>
        <v>0</v>
      </c>
    </row>
    <row r="16056" spans="13:16">
      <c r="M16056" s="49">
        <f>IF($A$4+160&gt;$B$4,"",$A$4+160)</f>
        <v>46183</v>
      </c>
      <c r="N16056">
        <f>IF(M16056="","",'Master Barang'!A50)</f>
        <v>0</v>
      </c>
      <c r="O16056">
        <f>IF(N16056="","",'Master Barang'!B50)</f>
        <v>0</v>
      </c>
      <c r="P16056">
        <f>IF(OR(M16056="",N16056=""),"",SUMIFS('Barang Keluar'!$E:$E,'Barang Keluar'!$A:$A,M16056,'Barang Keluar'!$C:$C,N16056))</f>
        <v>0</v>
      </c>
    </row>
    <row r="16057" spans="13:16">
      <c r="M16057" s="49">
        <f>IF($A$4+160&gt;$B$4,"",$A$4+160)</f>
        <v>46183</v>
      </c>
      <c r="N16057">
        <f>IF(M16057="","",'Master Barang'!A51)</f>
        <v>0</v>
      </c>
      <c r="O16057">
        <f>IF(N16057="","",'Master Barang'!B51)</f>
        <v>0</v>
      </c>
      <c r="P16057">
        <f>IF(OR(M16057="",N16057=""),"",SUMIFS('Barang Keluar'!$E:$E,'Barang Keluar'!$A:$A,M16057,'Barang Keluar'!$C:$C,N16057))</f>
        <v>0</v>
      </c>
    </row>
    <row r="16058" spans="13:16">
      <c r="M16058" s="49">
        <f>IF($A$4+160&gt;$B$4,"",$A$4+160)</f>
        <v>46183</v>
      </c>
      <c r="N16058">
        <f>IF(M16058="","",'Master Barang'!A52)</f>
        <v>0</v>
      </c>
      <c r="O16058">
        <f>IF(N16058="","",'Master Barang'!B52)</f>
        <v>0</v>
      </c>
      <c r="P16058">
        <f>IF(OR(M16058="",N16058=""),"",SUMIFS('Barang Keluar'!$E:$E,'Barang Keluar'!$A:$A,M16058,'Barang Keluar'!$C:$C,N16058))</f>
        <v>0</v>
      </c>
    </row>
    <row r="16059" spans="13:16">
      <c r="M16059" s="49">
        <f>IF($A$4+160&gt;$B$4,"",$A$4+160)</f>
        <v>46183</v>
      </c>
      <c r="N16059">
        <f>IF(M16059="","",'Master Barang'!A53)</f>
        <v>0</v>
      </c>
      <c r="O16059">
        <f>IF(N16059="","",'Master Barang'!B53)</f>
        <v>0</v>
      </c>
      <c r="P16059">
        <f>IF(OR(M16059="",N16059=""),"",SUMIFS('Barang Keluar'!$E:$E,'Barang Keluar'!$A:$A,M16059,'Barang Keluar'!$C:$C,N16059))</f>
        <v>0</v>
      </c>
    </row>
    <row r="16060" spans="13:16">
      <c r="M16060" s="49">
        <f>IF($A$4+160&gt;$B$4,"",$A$4+160)</f>
        <v>46183</v>
      </c>
      <c r="N16060">
        <f>IF(M16060="","",'Master Barang'!A54)</f>
        <v>0</v>
      </c>
      <c r="O16060">
        <f>IF(N16060="","",'Master Barang'!B54)</f>
        <v>0</v>
      </c>
      <c r="P16060">
        <f>IF(OR(M16060="",N16060=""),"",SUMIFS('Barang Keluar'!$E:$E,'Barang Keluar'!$A:$A,M16060,'Barang Keluar'!$C:$C,N16060))</f>
        <v>0</v>
      </c>
    </row>
    <row r="16061" spans="13:16">
      <c r="M16061" s="49">
        <f>IF($A$4+160&gt;$B$4,"",$A$4+160)</f>
        <v>46183</v>
      </c>
      <c r="N16061">
        <f>IF(M16061="","",'Master Barang'!A55)</f>
        <v>0</v>
      </c>
      <c r="O16061">
        <f>IF(N16061="","",'Master Barang'!B55)</f>
        <v>0</v>
      </c>
      <c r="P16061">
        <f>IF(OR(M16061="",N16061=""),"",SUMIFS('Barang Keluar'!$E:$E,'Barang Keluar'!$A:$A,M16061,'Barang Keluar'!$C:$C,N16061))</f>
        <v>0</v>
      </c>
    </row>
    <row r="16062" spans="13:16">
      <c r="M16062" s="49">
        <f>IF($A$4+160&gt;$B$4,"",$A$4+160)</f>
        <v>46183</v>
      </c>
      <c r="N16062">
        <f>IF(M16062="","",'Master Barang'!A56)</f>
        <v>0</v>
      </c>
      <c r="O16062">
        <f>IF(N16062="","",'Master Barang'!B56)</f>
        <v>0</v>
      </c>
      <c r="P16062">
        <f>IF(OR(M16062="",N16062=""),"",SUMIFS('Barang Keluar'!$E:$E,'Barang Keluar'!$A:$A,M16062,'Barang Keluar'!$C:$C,N16062))</f>
        <v>0</v>
      </c>
    </row>
    <row r="16063" spans="13:16">
      <c r="M16063" s="49">
        <f>IF($A$4+160&gt;$B$4,"",$A$4+160)</f>
        <v>46183</v>
      </c>
      <c r="N16063">
        <f>IF(M16063="","",'Master Barang'!A57)</f>
        <v>0</v>
      </c>
      <c r="O16063">
        <f>IF(N16063="","",'Master Barang'!B57)</f>
        <v>0</v>
      </c>
      <c r="P16063">
        <f>IF(OR(M16063="",N16063=""),"",SUMIFS('Barang Keluar'!$E:$E,'Barang Keluar'!$A:$A,M16063,'Barang Keluar'!$C:$C,N16063))</f>
        <v>0</v>
      </c>
    </row>
    <row r="16064" spans="13:16">
      <c r="M16064" s="49">
        <f>IF($A$4+160&gt;$B$4,"",$A$4+160)</f>
        <v>46183</v>
      </c>
      <c r="N16064">
        <f>IF(M16064="","",'Master Barang'!A58)</f>
        <v>0</v>
      </c>
      <c r="O16064">
        <f>IF(N16064="","",'Master Barang'!B58)</f>
        <v>0</v>
      </c>
      <c r="P16064">
        <f>IF(OR(M16064="",N16064=""),"",SUMIFS('Barang Keluar'!$E:$E,'Barang Keluar'!$A:$A,M16064,'Barang Keluar'!$C:$C,N16064))</f>
        <v>0</v>
      </c>
    </row>
    <row r="16065" spans="13:16">
      <c r="M16065" s="49">
        <f>IF($A$4+160&gt;$B$4,"",$A$4+160)</f>
        <v>46183</v>
      </c>
      <c r="N16065">
        <f>IF(M16065="","",'Master Barang'!A59)</f>
        <v>0</v>
      </c>
      <c r="O16065">
        <f>IF(N16065="","",'Master Barang'!B59)</f>
        <v>0</v>
      </c>
      <c r="P16065">
        <f>IF(OR(M16065="",N16065=""),"",SUMIFS('Barang Keluar'!$E:$E,'Barang Keluar'!$A:$A,M16065,'Barang Keluar'!$C:$C,N16065))</f>
        <v>0</v>
      </c>
    </row>
    <row r="16066" spans="13:16">
      <c r="M16066" s="49">
        <f>IF($A$4+160&gt;$B$4,"",$A$4+160)</f>
        <v>46183</v>
      </c>
      <c r="N16066">
        <f>IF(M16066="","",'Master Barang'!A60)</f>
        <v>0</v>
      </c>
      <c r="O16066">
        <f>IF(N16066="","",'Master Barang'!B60)</f>
        <v>0</v>
      </c>
      <c r="P16066">
        <f>IF(OR(M16066="",N16066=""),"",SUMIFS('Barang Keluar'!$E:$E,'Barang Keluar'!$A:$A,M16066,'Barang Keluar'!$C:$C,N16066))</f>
        <v>0</v>
      </c>
    </row>
    <row r="16067" spans="13:16">
      <c r="M16067" s="49">
        <f>IF($A$4+160&gt;$B$4,"",$A$4+160)</f>
        <v>46183</v>
      </c>
      <c r="N16067">
        <f>IF(M16067="","",'Master Barang'!A61)</f>
        <v>0</v>
      </c>
      <c r="O16067">
        <f>IF(N16067="","",'Master Barang'!B61)</f>
        <v>0</v>
      </c>
      <c r="P16067">
        <f>IF(OR(M16067="",N16067=""),"",SUMIFS('Barang Keluar'!$E:$E,'Barang Keluar'!$A:$A,M16067,'Barang Keluar'!$C:$C,N16067))</f>
        <v>0</v>
      </c>
    </row>
    <row r="16068" spans="13:16">
      <c r="M16068" s="49">
        <f>IF($A$4+160&gt;$B$4,"",$A$4+160)</f>
        <v>46183</v>
      </c>
      <c r="N16068">
        <f>IF(M16068="","",'Master Barang'!A62)</f>
        <v>0</v>
      </c>
      <c r="O16068">
        <f>IF(N16068="","",'Master Barang'!B62)</f>
        <v>0</v>
      </c>
      <c r="P16068">
        <f>IF(OR(M16068="",N16068=""),"",SUMIFS('Barang Keluar'!$E:$E,'Barang Keluar'!$A:$A,M16068,'Barang Keluar'!$C:$C,N16068))</f>
        <v>0</v>
      </c>
    </row>
    <row r="16069" spans="13:16">
      <c r="M16069" s="49">
        <f>IF($A$4+160&gt;$B$4,"",$A$4+160)</f>
        <v>46183</v>
      </c>
      <c r="N16069">
        <f>IF(M16069="","",'Master Barang'!A63)</f>
        <v>0</v>
      </c>
      <c r="O16069">
        <f>IF(N16069="","",'Master Barang'!B63)</f>
        <v>0</v>
      </c>
      <c r="P16069">
        <f>IF(OR(M16069="",N16069=""),"",SUMIFS('Barang Keluar'!$E:$E,'Barang Keluar'!$A:$A,M16069,'Barang Keluar'!$C:$C,N16069))</f>
        <v>0</v>
      </c>
    </row>
    <row r="16070" spans="13:16">
      <c r="M16070" s="49">
        <f>IF($A$4+160&gt;$B$4,"",$A$4+160)</f>
        <v>46183</v>
      </c>
      <c r="N16070">
        <f>IF(M16070="","",'Master Barang'!A64)</f>
        <v>0</v>
      </c>
      <c r="O16070">
        <f>IF(N16070="","",'Master Barang'!B64)</f>
        <v>0</v>
      </c>
      <c r="P16070">
        <f>IF(OR(M16070="",N16070=""),"",SUMIFS('Barang Keluar'!$E:$E,'Barang Keluar'!$A:$A,M16070,'Barang Keluar'!$C:$C,N16070))</f>
        <v>0</v>
      </c>
    </row>
    <row r="16071" spans="13:16">
      <c r="M16071" s="49">
        <f>IF($A$4+160&gt;$B$4,"",$A$4+160)</f>
        <v>46183</v>
      </c>
      <c r="N16071">
        <f>IF(M16071="","",'Master Barang'!A65)</f>
        <v>0</v>
      </c>
      <c r="O16071">
        <f>IF(N16071="","",'Master Barang'!B65)</f>
        <v>0</v>
      </c>
      <c r="P16071">
        <f>IF(OR(M16071="",N16071=""),"",SUMIFS('Barang Keluar'!$E:$E,'Barang Keluar'!$A:$A,M16071,'Barang Keluar'!$C:$C,N16071))</f>
        <v>0</v>
      </c>
    </row>
    <row r="16072" spans="13:16">
      <c r="M16072" s="49">
        <f>IF($A$4+160&gt;$B$4,"",$A$4+160)</f>
        <v>46183</v>
      </c>
      <c r="N16072">
        <f>IF(M16072="","",'Master Barang'!A66)</f>
        <v>0</v>
      </c>
      <c r="O16072">
        <f>IF(N16072="","",'Master Barang'!B66)</f>
        <v>0</v>
      </c>
      <c r="P16072">
        <f>IF(OR(M16072="",N16072=""),"",SUMIFS('Barang Keluar'!$E:$E,'Barang Keluar'!$A:$A,M16072,'Barang Keluar'!$C:$C,N16072))</f>
        <v>0</v>
      </c>
    </row>
    <row r="16073" spans="13:16">
      <c r="M16073" s="49">
        <f>IF($A$4+160&gt;$B$4,"",$A$4+160)</f>
        <v>46183</v>
      </c>
      <c r="N16073">
        <f>IF(M16073="","",'Master Barang'!A67)</f>
        <v>0</v>
      </c>
      <c r="O16073">
        <f>IF(N16073="","",'Master Barang'!B67)</f>
        <v>0</v>
      </c>
      <c r="P16073">
        <f>IF(OR(M16073="",N16073=""),"",SUMIFS('Barang Keluar'!$E:$E,'Barang Keluar'!$A:$A,M16073,'Barang Keluar'!$C:$C,N16073))</f>
        <v>0</v>
      </c>
    </row>
    <row r="16074" spans="13:16">
      <c r="M16074" s="49">
        <f>IF($A$4+160&gt;$B$4,"",$A$4+160)</f>
        <v>46183</v>
      </c>
      <c r="N16074">
        <f>IF(M16074="","",'Master Barang'!A68)</f>
        <v>0</v>
      </c>
      <c r="O16074">
        <f>IF(N16074="","",'Master Barang'!B68)</f>
        <v>0</v>
      </c>
      <c r="P16074">
        <f>IF(OR(M16074="",N16074=""),"",SUMIFS('Barang Keluar'!$E:$E,'Barang Keluar'!$A:$A,M16074,'Barang Keluar'!$C:$C,N16074))</f>
        <v>0</v>
      </c>
    </row>
    <row r="16075" spans="13:16">
      <c r="M16075" s="49">
        <f>IF($A$4+160&gt;$B$4,"",$A$4+160)</f>
        <v>46183</v>
      </c>
      <c r="N16075">
        <f>IF(M16075="","",'Master Barang'!A69)</f>
        <v>0</v>
      </c>
      <c r="O16075">
        <f>IF(N16075="","",'Master Barang'!B69)</f>
        <v>0</v>
      </c>
      <c r="P16075">
        <f>IF(OR(M16075="",N16075=""),"",SUMIFS('Barang Keluar'!$E:$E,'Barang Keluar'!$A:$A,M16075,'Barang Keluar'!$C:$C,N16075))</f>
        <v>0</v>
      </c>
    </row>
    <row r="16076" spans="13:16">
      <c r="M16076" s="49">
        <f>IF($A$4+160&gt;$B$4,"",$A$4+160)</f>
        <v>46183</v>
      </c>
      <c r="N16076">
        <f>IF(M16076="","",'Master Barang'!A70)</f>
        <v>0</v>
      </c>
      <c r="O16076">
        <f>IF(N16076="","",'Master Barang'!B70)</f>
        <v>0</v>
      </c>
      <c r="P16076">
        <f>IF(OR(M16076="",N16076=""),"",SUMIFS('Barang Keluar'!$E:$E,'Barang Keluar'!$A:$A,M16076,'Barang Keluar'!$C:$C,N16076))</f>
        <v>0</v>
      </c>
    </row>
    <row r="16077" spans="13:16">
      <c r="M16077" s="49">
        <f>IF($A$4+160&gt;$B$4,"",$A$4+160)</f>
        <v>46183</v>
      </c>
      <c r="N16077">
        <f>IF(M16077="","",'Master Barang'!A71)</f>
        <v>0</v>
      </c>
      <c r="O16077">
        <f>IF(N16077="","",'Master Barang'!B71)</f>
        <v>0</v>
      </c>
      <c r="P16077">
        <f>IF(OR(M16077="",N16077=""),"",SUMIFS('Barang Keluar'!$E:$E,'Barang Keluar'!$A:$A,M16077,'Barang Keluar'!$C:$C,N16077))</f>
        <v>0</v>
      </c>
    </row>
    <row r="16078" spans="13:16">
      <c r="M16078" s="49">
        <f>IF($A$4+160&gt;$B$4,"",$A$4+160)</f>
        <v>46183</v>
      </c>
      <c r="N16078">
        <f>IF(M16078="","",'Master Barang'!A72)</f>
        <v>0</v>
      </c>
      <c r="O16078">
        <f>IF(N16078="","",'Master Barang'!B72)</f>
        <v>0</v>
      </c>
      <c r="P16078">
        <f>IF(OR(M16078="",N16078=""),"",SUMIFS('Barang Keluar'!$E:$E,'Barang Keluar'!$A:$A,M16078,'Barang Keluar'!$C:$C,N16078))</f>
        <v>0</v>
      </c>
    </row>
    <row r="16079" spans="13:16">
      <c r="M16079" s="49">
        <f>IF($A$4+160&gt;$B$4,"",$A$4+160)</f>
        <v>46183</v>
      </c>
      <c r="N16079">
        <f>IF(M16079="","",'Master Barang'!A73)</f>
        <v>0</v>
      </c>
      <c r="O16079">
        <f>IF(N16079="","",'Master Barang'!B73)</f>
        <v>0</v>
      </c>
      <c r="P16079">
        <f>IF(OR(M16079="",N16079=""),"",SUMIFS('Barang Keluar'!$E:$E,'Barang Keluar'!$A:$A,M16079,'Barang Keluar'!$C:$C,N16079))</f>
        <v>0</v>
      </c>
    </row>
    <row r="16080" spans="13:16">
      <c r="M16080" s="49">
        <f>IF($A$4+160&gt;$B$4,"",$A$4+160)</f>
        <v>46183</v>
      </c>
      <c r="N16080">
        <f>IF(M16080="","",'Master Barang'!A74)</f>
        <v>0</v>
      </c>
      <c r="O16080">
        <f>IF(N16080="","",'Master Barang'!B74)</f>
        <v>0</v>
      </c>
      <c r="P16080">
        <f>IF(OR(M16080="",N16080=""),"",SUMIFS('Barang Keluar'!$E:$E,'Barang Keluar'!$A:$A,M16080,'Barang Keluar'!$C:$C,N16080))</f>
        <v>0</v>
      </c>
    </row>
    <row r="16081" spans="13:16">
      <c r="M16081" s="49">
        <f>IF($A$4+160&gt;$B$4,"",$A$4+160)</f>
        <v>46183</v>
      </c>
      <c r="N16081">
        <f>IF(M16081="","",'Master Barang'!A75)</f>
        <v>0</v>
      </c>
      <c r="O16081">
        <f>IF(N16081="","",'Master Barang'!B75)</f>
        <v>0</v>
      </c>
      <c r="P16081">
        <f>IF(OR(M16081="",N16081=""),"",SUMIFS('Barang Keluar'!$E:$E,'Barang Keluar'!$A:$A,M16081,'Barang Keluar'!$C:$C,N16081))</f>
        <v>0</v>
      </c>
    </row>
    <row r="16082" spans="13:16">
      <c r="M16082" s="49">
        <f>IF($A$4+160&gt;$B$4,"",$A$4+160)</f>
        <v>46183</v>
      </c>
      <c r="N16082">
        <f>IF(M16082="","",'Master Barang'!A76)</f>
        <v>0</v>
      </c>
      <c r="O16082">
        <f>IF(N16082="","",'Master Barang'!B76)</f>
        <v>0</v>
      </c>
      <c r="P16082">
        <f>IF(OR(M16082="",N16082=""),"",SUMIFS('Barang Keluar'!$E:$E,'Barang Keluar'!$A:$A,M16082,'Barang Keluar'!$C:$C,N16082))</f>
        <v>0</v>
      </c>
    </row>
    <row r="16083" spans="13:16">
      <c r="M16083" s="49">
        <f>IF($A$4+160&gt;$B$4,"",$A$4+160)</f>
        <v>46183</v>
      </c>
      <c r="N16083">
        <f>IF(M16083="","",'Master Barang'!A77)</f>
        <v>0</v>
      </c>
      <c r="O16083">
        <f>IF(N16083="","",'Master Barang'!B77)</f>
        <v>0</v>
      </c>
      <c r="P16083">
        <f>IF(OR(M16083="",N16083=""),"",SUMIFS('Barang Keluar'!$E:$E,'Barang Keluar'!$A:$A,M16083,'Barang Keluar'!$C:$C,N16083))</f>
        <v>0</v>
      </c>
    </row>
    <row r="16084" spans="13:16">
      <c r="M16084" s="49">
        <f>IF($A$4+160&gt;$B$4,"",$A$4+160)</f>
        <v>46183</v>
      </c>
      <c r="N16084">
        <f>IF(M16084="","",'Master Barang'!A78)</f>
        <v>0</v>
      </c>
      <c r="O16084">
        <f>IF(N16084="","",'Master Barang'!B78)</f>
        <v>0</v>
      </c>
      <c r="P16084">
        <f>IF(OR(M16084="",N16084=""),"",SUMIFS('Barang Keluar'!$E:$E,'Barang Keluar'!$A:$A,M16084,'Barang Keluar'!$C:$C,N16084))</f>
        <v>0</v>
      </c>
    </row>
    <row r="16085" spans="13:16">
      <c r="M16085" s="49">
        <f>IF($A$4+160&gt;$B$4,"",$A$4+160)</f>
        <v>46183</v>
      </c>
      <c r="N16085">
        <f>IF(M16085="","",'Master Barang'!A79)</f>
        <v>0</v>
      </c>
      <c r="O16085">
        <f>IF(N16085="","",'Master Barang'!B79)</f>
        <v>0</v>
      </c>
      <c r="P16085">
        <f>IF(OR(M16085="",N16085=""),"",SUMIFS('Barang Keluar'!$E:$E,'Barang Keluar'!$A:$A,M16085,'Barang Keluar'!$C:$C,N16085))</f>
        <v>0</v>
      </c>
    </row>
    <row r="16086" spans="13:16">
      <c r="M16086" s="49">
        <f>IF($A$4+160&gt;$B$4,"",$A$4+160)</f>
        <v>46183</v>
      </c>
      <c r="N16086">
        <f>IF(M16086="","",'Master Barang'!A80)</f>
        <v>0</v>
      </c>
      <c r="O16086">
        <f>IF(N16086="","",'Master Barang'!B80)</f>
        <v>0</v>
      </c>
      <c r="P16086">
        <f>IF(OR(M16086="",N16086=""),"",SUMIFS('Barang Keluar'!$E:$E,'Barang Keluar'!$A:$A,M16086,'Barang Keluar'!$C:$C,N16086))</f>
        <v>0</v>
      </c>
    </row>
    <row r="16087" spans="13:16">
      <c r="M16087" s="49">
        <f>IF($A$4+160&gt;$B$4,"",$A$4+160)</f>
        <v>46183</v>
      </c>
      <c r="N16087">
        <f>IF(M16087="","",'Master Barang'!A81)</f>
        <v>0</v>
      </c>
      <c r="O16087">
        <f>IF(N16087="","",'Master Barang'!B81)</f>
        <v>0</v>
      </c>
      <c r="P16087">
        <f>IF(OR(M16087="",N16087=""),"",SUMIFS('Barang Keluar'!$E:$E,'Barang Keluar'!$A:$A,M16087,'Barang Keluar'!$C:$C,N16087))</f>
        <v>0</v>
      </c>
    </row>
    <row r="16088" spans="13:16">
      <c r="M16088" s="49">
        <f>IF($A$4+160&gt;$B$4,"",$A$4+160)</f>
        <v>46183</v>
      </c>
      <c r="N16088">
        <f>IF(M16088="","",'Master Barang'!A82)</f>
        <v>0</v>
      </c>
      <c r="O16088">
        <f>IF(N16088="","",'Master Barang'!B82)</f>
        <v>0</v>
      </c>
      <c r="P16088">
        <f>IF(OR(M16088="",N16088=""),"",SUMIFS('Barang Keluar'!$E:$E,'Barang Keluar'!$A:$A,M16088,'Barang Keluar'!$C:$C,N16088))</f>
        <v>0</v>
      </c>
    </row>
    <row r="16089" spans="13:16">
      <c r="M16089" s="49">
        <f>IF($A$4+160&gt;$B$4,"",$A$4+160)</f>
        <v>46183</v>
      </c>
      <c r="N16089">
        <f>IF(M16089="","",'Master Barang'!A83)</f>
        <v>0</v>
      </c>
      <c r="O16089">
        <f>IF(N16089="","",'Master Barang'!B83)</f>
        <v>0</v>
      </c>
      <c r="P16089">
        <f>IF(OR(M16089="",N16089=""),"",SUMIFS('Barang Keluar'!$E:$E,'Barang Keluar'!$A:$A,M16089,'Barang Keluar'!$C:$C,N16089))</f>
        <v>0</v>
      </c>
    </row>
    <row r="16090" spans="13:16">
      <c r="M16090" s="49">
        <f>IF($A$4+160&gt;$B$4,"",$A$4+160)</f>
        <v>46183</v>
      </c>
      <c r="N16090">
        <f>IF(M16090="","",'Master Barang'!A84)</f>
        <v>0</v>
      </c>
      <c r="O16090">
        <f>IF(N16090="","",'Master Barang'!B84)</f>
        <v>0</v>
      </c>
      <c r="P16090">
        <f>IF(OR(M16090="",N16090=""),"",SUMIFS('Barang Keluar'!$E:$E,'Barang Keluar'!$A:$A,M16090,'Barang Keluar'!$C:$C,N16090))</f>
        <v>0</v>
      </c>
    </row>
    <row r="16091" spans="13:16">
      <c r="M16091" s="49">
        <f>IF($A$4+160&gt;$B$4,"",$A$4+160)</f>
        <v>46183</v>
      </c>
      <c r="N16091">
        <f>IF(M16091="","",'Master Barang'!A85)</f>
        <v>0</v>
      </c>
      <c r="O16091">
        <f>IF(N16091="","",'Master Barang'!B85)</f>
        <v>0</v>
      </c>
      <c r="P16091">
        <f>IF(OR(M16091="",N16091=""),"",SUMIFS('Barang Keluar'!$E:$E,'Barang Keluar'!$A:$A,M16091,'Barang Keluar'!$C:$C,N16091))</f>
        <v>0</v>
      </c>
    </row>
    <row r="16092" spans="13:16">
      <c r="M16092" s="49">
        <f>IF($A$4+160&gt;$B$4,"",$A$4+160)</f>
        <v>46183</v>
      </c>
      <c r="N16092">
        <f>IF(M16092="","",'Master Barang'!A86)</f>
        <v>0</v>
      </c>
      <c r="O16092">
        <f>IF(N16092="","",'Master Barang'!B86)</f>
        <v>0</v>
      </c>
      <c r="P16092">
        <f>IF(OR(M16092="",N16092=""),"",SUMIFS('Barang Keluar'!$E:$E,'Barang Keluar'!$A:$A,M16092,'Barang Keluar'!$C:$C,N16092))</f>
        <v>0</v>
      </c>
    </row>
    <row r="16093" spans="13:16">
      <c r="M16093" s="49">
        <f>IF($A$4+160&gt;$B$4,"",$A$4+160)</f>
        <v>46183</v>
      </c>
      <c r="N16093">
        <f>IF(M16093="","",'Master Barang'!A87)</f>
        <v>0</v>
      </c>
      <c r="O16093">
        <f>IF(N16093="","",'Master Barang'!B87)</f>
        <v>0</v>
      </c>
      <c r="P16093">
        <f>IF(OR(M16093="",N16093=""),"",SUMIFS('Barang Keluar'!$E:$E,'Barang Keluar'!$A:$A,M16093,'Barang Keluar'!$C:$C,N16093))</f>
        <v>0</v>
      </c>
    </row>
    <row r="16094" spans="13:16">
      <c r="M16094" s="49">
        <f>IF($A$4+160&gt;$B$4,"",$A$4+160)</f>
        <v>46183</v>
      </c>
      <c r="N16094">
        <f>IF(M16094="","",'Master Barang'!A88)</f>
        <v>0</v>
      </c>
      <c r="O16094">
        <f>IF(N16094="","",'Master Barang'!B88)</f>
        <v>0</v>
      </c>
      <c r="P16094">
        <f>IF(OR(M16094="",N16094=""),"",SUMIFS('Barang Keluar'!$E:$E,'Barang Keluar'!$A:$A,M16094,'Barang Keluar'!$C:$C,N16094))</f>
        <v>0</v>
      </c>
    </row>
    <row r="16095" spans="13:16">
      <c r="M16095" s="49">
        <f>IF($A$4+160&gt;$B$4,"",$A$4+160)</f>
        <v>46183</v>
      </c>
      <c r="N16095">
        <f>IF(M16095="","",'Master Barang'!A89)</f>
        <v>0</v>
      </c>
      <c r="O16095">
        <f>IF(N16095="","",'Master Barang'!B89)</f>
        <v>0</v>
      </c>
      <c r="P16095">
        <f>IF(OR(M16095="",N16095=""),"",SUMIFS('Barang Keluar'!$E:$E,'Barang Keluar'!$A:$A,M16095,'Barang Keluar'!$C:$C,N16095))</f>
        <v>0</v>
      </c>
    </row>
    <row r="16096" spans="13:16">
      <c r="M16096" s="49">
        <f>IF($A$4+160&gt;$B$4,"",$A$4+160)</f>
        <v>46183</v>
      </c>
      <c r="N16096">
        <f>IF(M16096="","",'Master Barang'!A90)</f>
        <v>0</v>
      </c>
      <c r="O16096">
        <f>IF(N16096="","",'Master Barang'!B90)</f>
        <v>0</v>
      </c>
      <c r="P16096">
        <f>IF(OR(M16096="",N16096=""),"",SUMIFS('Barang Keluar'!$E:$E,'Barang Keluar'!$A:$A,M16096,'Barang Keluar'!$C:$C,N16096))</f>
        <v>0</v>
      </c>
    </row>
    <row r="16097" spans="13:16">
      <c r="M16097" s="49">
        <f>IF($A$4+160&gt;$B$4,"",$A$4+160)</f>
        <v>46183</v>
      </c>
      <c r="N16097">
        <f>IF(M16097="","",'Master Barang'!A91)</f>
        <v>0</v>
      </c>
      <c r="O16097">
        <f>IF(N16097="","",'Master Barang'!B91)</f>
        <v>0</v>
      </c>
      <c r="P16097">
        <f>IF(OR(M16097="",N16097=""),"",SUMIFS('Barang Keluar'!$E:$E,'Barang Keluar'!$A:$A,M16097,'Barang Keluar'!$C:$C,N16097))</f>
        <v>0</v>
      </c>
    </row>
    <row r="16098" spans="13:16">
      <c r="M16098" s="49">
        <f>IF($A$4+160&gt;$B$4,"",$A$4+160)</f>
        <v>46183</v>
      </c>
      <c r="N16098">
        <f>IF(M16098="","",'Master Barang'!A92)</f>
        <v>0</v>
      </c>
      <c r="O16098">
        <f>IF(N16098="","",'Master Barang'!B92)</f>
        <v>0</v>
      </c>
      <c r="P16098">
        <f>IF(OR(M16098="",N16098=""),"",SUMIFS('Barang Keluar'!$E:$E,'Barang Keluar'!$A:$A,M16098,'Barang Keluar'!$C:$C,N16098))</f>
        <v>0</v>
      </c>
    </row>
    <row r="16099" spans="13:16">
      <c r="M16099" s="49">
        <f>IF($A$4+160&gt;$B$4,"",$A$4+160)</f>
        <v>46183</v>
      </c>
      <c r="N16099">
        <f>IF(M16099="","",'Master Barang'!A93)</f>
        <v>0</v>
      </c>
      <c r="O16099">
        <f>IF(N16099="","",'Master Barang'!B93)</f>
        <v>0</v>
      </c>
      <c r="P16099">
        <f>IF(OR(M16099="",N16099=""),"",SUMIFS('Barang Keluar'!$E:$E,'Barang Keluar'!$A:$A,M16099,'Barang Keluar'!$C:$C,N16099))</f>
        <v>0</v>
      </c>
    </row>
    <row r="16100" spans="13:16">
      <c r="M16100" s="49">
        <f>IF($A$4+160&gt;$B$4,"",$A$4+160)</f>
        <v>46183</v>
      </c>
      <c r="N16100">
        <f>IF(M16100="","",'Master Barang'!A94)</f>
        <v>0</v>
      </c>
      <c r="O16100">
        <f>IF(N16100="","",'Master Barang'!B94)</f>
        <v>0</v>
      </c>
      <c r="P16100">
        <f>IF(OR(M16100="",N16100=""),"",SUMIFS('Barang Keluar'!$E:$E,'Barang Keluar'!$A:$A,M16100,'Barang Keluar'!$C:$C,N16100))</f>
        <v>0</v>
      </c>
    </row>
    <row r="16101" spans="13:16">
      <c r="M16101" s="49">
        <f>IF($A$4+160&gt;$B$4,"",$A$4+160)</f>
        <v>46183</v>
      </c>
      <c r="N16101">
        <f>IF(M16101="","",'Master Barang'!A95)</f>
        <v>0</v>
      </c>
      <c r="O16101">
        <f>IF(N16101="","",'Master Barang'!B95)</f>
        <v>0</v>
      </c>
      <c r="P16101">
        <f>IF(OR(M16101="",N16101=""),"",SUMIFS('Barang Keluar'!$E:$E,'Barang Keluar'!$A:$A,M16101,'Barang Keluar'!$C:$C,N16101))</f>
        <v>0</v>
      </c>
    </row>
    <row r="16102" spans="13:16">
      <c r="M16102" s="49">
        <f>IF($A$4+160&gt;$B$4,"",$A$4+160)</f>
        <v>46183</v>
      </c>
      <c r="N16102">
        <f>IF(M16102="","",'Master Barang'!A96)</f>
        <v>0</v>
      </c>
      <c r="O16102">
        <f>IF(N16102="","",'Master Barang'!B96)</f>
        <v>0</v>
      </c>
      <c r="P16102">
        <f>IF(OR(M16102="",N16102=""),"",SUMIFS('Barang Keluar'!$E:$E,'Barang Keluar'!$A:$A,M16102,'Barang Keluar'!$C:$C,N16102))</f>
        <v>0</v>
      </c>
    </row>
    <row r="16103" spans="13:16">
      <c r="M16103" s="49">
        <f>IF($A$4+160&gt;$B$4,"",$A$4+160)</f>
        <v>46183</v>
      </c>
      <c r="N16103">
        <f>IF(M16103="","",'Master Barang'!A97)</f>
        <v>0</v>
      </c>
      <c r="O16103">
        <f>IF(N16103="","",'Master Barang'!B97)</f>
        <v>0</v>
      </c>
      <c r="P16103">
        <f>IF(OR(M16103="",N16103=""),"",SUMIFS('Barang Keluar'!$E:$E,'Barang Keluar'!$A:$A,M16103,'Barang Keluar'!$C:$C,N16103))</f>
        <v>0</v>
      </c>
    </row>
    <row r="16104" spans="13:16">
      <c r="M16104" s="49">
        <f>IF($A$4+160&gt;$B$4,"",$A$4+160)</f>
        <v>46183</v>
      </c>
      <c r="N16104">
        <f>IF(M16104="","",'Master Barang'!A98)</f>
        <v>0</v>
      </c>
      <c r="O16104">
        <f>IF(N16104="","",'Master Barang'!B98)</f>
        <v>0</v>
      </c>
      <c r="P16104">
        <f>IF(OR(M16104="",N16104=""),"",SUMIFS('Barang Keluar'!$E:$E,'Barang Keluar'!$A:$A,M16104,'Barang Keluar'!$C:$C,N16104))</f>
        <v>0</v>
      </c>
    </row>
    <row r="16105" spans="13:16">
      <c r="M16105" s="49">
        <f>IF($A$4+160&gt;$B$4,"",$A$4+160)</f>
        <v>46183</v>
      </c>
      <c r="N16105">
        <f>IF(M16105="","",'Master Barang'!A99)</f>
        <v>0</v>
      </c>
      <c r="O16105">
        <f>IF(N16105="","",'Master Barang'!B99)</f>
        <v>0</v>
      </c>
      <c r="P16105">
        <f>IF(OR(M16105="",N16105=""),"",SUMIFS('Barang Keluar'!$E:$E,'Barang Keluar'!$A:$A,M16105,'Barang Keluar'!$C:$C,N16105))</f>
        <v>0</v>
      </c>
    </row>
    <row r="16106" spans="13:16">
      <c r="M16106" s="49">
        <f>IF($A$4+160&gt;$B$4,"",$A$4+160)</f>
        <v>46183</v>
      </c>
      <c r="N16106">
        <f>IF(M16106="","",'Master Barang'!A100)</f>
        <v>0</v>
      </c>
      <c r="O16106">
        <f>IF(N16106="","",'Master Barang'!B100)</f>
        <v>0</v>
      </c>
      <c r="P16106">
        <f>IF(OR(M16106="",N16106=""),"",SUMIFS('Barang Keluar'!$E:$E,'Barang Keluar'!$A:$A,M16106,'Barang Keluar'!$C:$C,N16106))</f>
        <v>0</v>
      </c>
    </row>
    <row r="16107" spans="13:16">
      <c r="M16107" s="49">
        <f>IF($A$4+160&gt;$B$4,"",$A$4+160)</f>
        <v>46183</v>
      </c>
      <c r="N16107">
        <f>IF(M16107="","",'Master Barang'!A101)</f>
        <v>0</v>
      </c>
      <c r="O16107">
        <f>IF(N16107="","",'Master Barang'!B101)</f>
        <v>0</v>
      </c>
      <c r="P16107">
        <f>IF(OR(M16107="",N16107=""),"",SUMIFS('Barang Keluar'!$E:$E,'Barang Keluar'!$A:$A,M16107,'Barang Keluar'!$C:$C,N16107))</f>
        <v>0</v>
      </c>
    </row>
    <row r="16108" spans="13:16">
      <c r="M16108" s="49">
        <f>IF($A$4+161&gt;$B$4,"",$A$4+161)</f>
        <v>46184</v>
      </c>
      <c r="N16108" t="str">
        <f>IF(M16108="","",'Master Barang'!A2)</f>
        <v>PRL-001</v>
      </c>
      <c r="O16108" t="str">
        <f>IF(N16108="","",'Master Barang'!B2)</f>
        <v>natura desinfectant food grade 5l</v>
      </c>
      <c r="P16108">
        <f>IF(OR(M16108="",N16108=""),"",SUMIFS('Barang Keluar'!$E:$E,'Barang Keluar'!$A:$A,M16108,'Barang Keluar'!$C:$C,N16108))</f>
        <v>0</v>
      </c>
    </row>
    <row r="16109" spans="13:16">
      <c r="M16109" s="49">
        <f>IF($A$4+161&gt;$B$4,"",$A$4+161)</f>
        <v>46184</v>
      </c>
      <c r="N16109" t="str">
        <f>IF(M16109="","",'Master Barang'!A3)</f>
        <v>PRL-002</v>
      </c>
      <c r="O16109" t="str">
        <f>IF(N16109="","",'Master Barang'!B3)</f>
        <v>sunlight cairan pencuci piring 5l</v>
      </c>
      <c r="P16109">
        <f>IF(OR(M16109="",N16109=""),"",SUMIFS('Barang Keluar'!$E:$E,'Barang Keluar'!$A:$A,M16109,'Barang Keluar'!$C:$C,N16109))</f>
        <v>0</v>
      </c>
    </row>
    <row r="16110" spans="13:16">
      <c r="M16110" s="49">
        <f>IF($A$4+161&gt;$B$4,"",$A$4+161)</f>
        <v>46184</v>
      </c>
      <c r="N16110" t="str">
        <f>IF(M16110="","",'Master Barang'!A4)</f>
        <v>PRL-003</v>
      </c>
      <c r="O16110" t="str">
        <f>IF(N16110="","",'Master Barang'!B4)</f>
        <v>oixs cleaner 1l</v>
      </c>
      <c r="P16110">
        <f>IF(OR(M16110="",N16110=""),"",SUMIFS('Barang Keluar'!$E:$E,'Barang Keluar'!$A:$A,M16110,'Barang Keluar'!$C:$C,N16110))</f>
        <v>0</v>
      </c>
    </row>
    <row r="16111" spans="13:16">
      <c r="M16111" s="49">
        <f>IF($A$4+161&gt;$B$4,"",$A$4+161)</f>
        <v>46184</v>
      </c>
      <c r="N16111" t="str">
        <f>IF(M16111="","",'Master Barang'!A5)</f>
        <v>PRL-004</v>
      </c>
      <c r="O16111" t="str">
        <f>IF(N16111="","",'Master Barang'!B5)</f>
        <v>be clean tissue serbaguna</v>
      </c>
      <c r="P16111">
        <f>IF(OR(M16111="",N16111=""),"",SUMIFS('Barang Keluar'!$E:$E,'Barang Keluar'!$A:$A,M16111,'Barang Keluar'!$C:$C,N16111))</f>
        <v>0</v>
      </c>
    </row>
    <row r="16112" spans="13:16">
      <c r="M16112" s="49">
        <f>IF($A$4+161&gt;$B$4,"",$A$4+161)</f>
        <v>46184</v>
      </c>
      <c r="N16112" t="str">
        <f>IF(M16112="","",'Master Barang'!A6)</f>
        <v>PRL-005</v>
      </c>
      <c r="O16112" t="str">
        <f>IF(N16112="","",'Master Barang'!B6)</f>
        <v>spons cuci hijau</v>
      </c>
      <c r="P16112">
        <f>IF(OR(M16112="",N16112=""),"",SUMIFS('Barang Keluar'!$E:$E,'Barang Keluar'!$A:$A,M16112,'Barang Keluar'!$C:$C,N16112))</f>
        <v>0</v>
      </c>
    </row>
    <row r="16113" spans="13:16">
      <c r="M16113" s="49">
        <f>IF($A$4+161&gt;$B$4,"",$A$4+161)</f>
        <v>46184</v>
      </c>
      <c r="N16113" t="str">
        <f>IF(M16113="","",'Master Barang'!A7)</f>
        <v>PRL-006</v>
      </c>
      <c r="O16113" t="str">
        <f>IF(N16113="","",'Master Barang'!B7)</f>
        <v>sabut cuci stainless</v>
      </c>
      <c r="P16113">
        <f>IF(OR(M16113="",N16113=""),"",SUMIFS('Barang Keluar'!$E:$E,'Barang Keluar'!$A:$A,M16113,'Barang Keluar'!$C:$C,N16113))</f>
        <v>0</v>
      </c>
    </row>
    <row r="16114" spans="13:16">
      <c r="M16114" s="49">
        <f>IF($A$4+161&gt;$B$4,"",$A$4+161)</f>
        <v>46184</v>
      </c>
      <c r="N16114" t="str">
        <f>IF(M16114="","",'Master Barang'!A8)</f>
        <v>PRL-007</v>
      </c>
      <c r="O16114" t="str">
        <f>IF(N16114="","",'Master Barang'!B8)</f>
        <v>plastik kresek besar merah 50pc</v>
      </c>
      <c r="P16114">
        <f>IF(OR(M16114="",N16114=""),"",SUMIFS('Barang Keluar'!$E:$E,'Barang Keluar'!$A:$A,M16114,'Barang Keluar'!$C:$C,N16114))</f>
        <v>0</v>
      </c>
    </row>
    <row r="16115" spans="13:16">
      <c r="M16115" s="49">
        <f>IF($A$4+161&gt;$B$4,"",$A$4+161)</f>
        <v>46184</v>
      </c>
      <c r="N16115" t="str">
        <f>IF(M16115="","",'Master Barang'!A9)</f>
        <v>PRL-008</v>
      </c>
      <c r="O16115" t="str">
        <f>IF(N16115="","",'Master Barang'!B9)</f>
        <v>lap besar</v>
      </c>
      <c r="P16115">
        <f>IF(OR(M16115="",N16115=""),"",SUMIFS('Barang Keluar'!$E:$E,'Barang Keluar'!$A:$A,M16115,'Barang Keluar'!$C:$C,N16115))</f>
        <v>0</v>
      </c>
    </row>
    <row r="16116" spans="13:16">
      <c r="M16116" s="49">
        <f>IF($A$4+161&gt;$B$4,"",$A$4+161)</f>
        <v>46184</v>
      </c>
      <c r="N16116" t="str">
        <f>IF(M16116="","",'Master Barang'!A10)</f>
        <v>PRL-009</v>
      </c>
      <c r="O16116" t="str">
        <f>IF(N16116="","",'Master Barang'!B10)</f>
        <v>lap microfiber</v>
      </c>
      <c r="P16116">
        <f>IF(OR(M16116="",N16116=""),"",SUMIFS('Barang Keluar'!$E:$E,'Barang Keluar'!$A:$A,M16116,'Barang Keluar'!$C:$C,N16116))</f>
        <v>0</v>
      </c>
    </row>
    <row r="16117" spans="13:16">
      <c r="M16117" s="49">
        <f>IF($A$4+161&gt;$B$4,"",$A$4+161)</f>
        <v>46184</v>
      </c>
      <c r="N16117" t="str">
        <f>IF(M16117="","",'Master Barang'!A11)</f>
        <v>PRL-010</v>
      </c>
      <c r="O16117" t="str">
        <f>IF(N16117="","",'Master Barang'!B11)</f>
        <v>lap kecil</v>
      </c>
      <c r="P16117">
        <f>IF(OR(M16117="",N16117=""),"",SUMIFS('Barang Keluar'!$E:$E,'Barang Keluar'!$A:$A,M16117,'Barang Keluar'!$C:$C,N16117))</f>
        <v>0</v>
      </c>
    </row>
    <row r="16118" spans="13:16">
      <c r="M16118" s="49">
        <f>IF($A$4+161&gt;$B$4,"",$A$4+161)</f>
        <v>46184</v>
      </c>
      <c r="N16118" t="str">
        <f>IF(M16118="","",'Master Barang'!A12)</f>
        <v>PRL-011</v>
      </c>
      <c r="O16118" t="str">
        <f>IF(N16118="","",'Master Barang'!B12)</f>
        <v>kanebo kecil</v>
      </c>
      <c r="P16118">
        <f>IF(OR(M16118="",N16118=""),"",SUMIFS('Barang Keluar'!$E:$E,'Barang Keluar'!$A:$A,M16118,'Barang Keluar'!$C:$C,N16118))</f>
        <v>0</v>
      </c>
    </row>
    <row r="16119" spans="13:16">
      <c r="M16119" s="49">
        <f>IF($A$4+161&gt;$B$4,"",$A$4+161)</f>
        <v>46184</v>
      </c>
      <c r="N16119" t="str">
        <f>IF(M16119="","",'Master Barang'!A13)</f>
        <v>PRL-012</v>
      </c>
      <c r="O16119" t="str">
        <f>IF(N16119="","",'Master Barang'!B13)</f>
        <v>plastik 1/4kg joyoboyo 100 lembar</v>
      </c>
      <c r="P16119">
        <f>IF(OR(M16119="",N16119=""),"",SUMIFS('Barang Keluar'!$E:$E,'Barang Keluar'!$A:$A,M16119,'Barang Keluar'!$C:$C,N16119))</f>
        <v>0</v>
      </c>
    </row>
    <row r="16120" spans="13:16">
      <c r="M16120" s="49">
        <f>IF($A$4+161&gt;$B$4,"",$A$4+161)</f>
        <v>46184</v>
      </c>
      <c r="N16120" t="str">
        <f>IF(M16120="","",'Master Barang'!A14)</f>
        <v>PRL-013</v>
      </c>
      <c r="O16120" t="str">
        <f>IF(N16120="","",'Master Barang'!B14)</f>
        <v>sarung tangan plastik kaka 100 pcs</v>
      </c>
      <c r="P16120">
        <f>IF(OR(M16120="",N16120=""),"",SUMIFS('Barang Keluar'!$E:$E,'Barang Keluar'!$A:$A,M16120,'Barang Keluar'!$C:$C,N16120))</f>
        <v>0</v>
      </c>
    </row>
    <row r="16121" spans="13:16">
      <c r="M16121" s="49">
        <f>IF($A$4+161&gt;$B$4,"",$A$4+161)</f>
        <v>46184</v>
      </c>
      <c r="N16121" t="str">
        <f>IF(M16121="","",'Master Barang'!A15)</f>
        <v>PRL-014</v>
      </c>
      <c r="O16121" t="str">
        <f>IF(N16121="","",'Master Barang'!B15)</f>
        <v>optima trashbag 80x100</v>
      </c>
      <c r="P16121">
        <f>IF(OR(M16121="",N16121=""),"",SUMIFS('Barang Keluar'!$E:$E,'Barang Keluar'!$A:$A,M16121,'Barang Keluar'!$C:$C,N16121))</f>
        <v>0</v>
      </c>
    </row>
    <row r="16122" spans="13:16">
      <c r="M16122" s="49">
        <f>IF($A$4+161&gt;$B$4,"",$A$4+161)</f>
        <v>46184</v>
      </c>
      <c r="N16122" t="str">
        <f>IF(M16122="","",'Master Barang'!A16)</f>
        <v>PRL-015</v>
      </c>
      <c r="O16122" t="str">
        <f>IF(N16122="","",'Master Barang'!B16)</f>
        <v>optima trashbag 60x100</v>
      </c>
      <c r="P16122">
        <f>IF(OR(M16122="",N16122=""),"",SUMIFS('Barang Keluar'!$E:$E,'Barang Keluar'!$A:$A,M16122,'Barang Keluar'!$C:$C,N16122))</f>
        <v>0</v>
      </c>
    </row>
    <row r="16123" spans="13:16">
      <c r="M16123" s="49">
        <f>IF($A$4+161&gt;$B$4,"",$A$4+161)</f>
        <v>46184</v>
      </c>
      <c r="N16123" t="str">
        <f>IF(M16123="","",'Master Barang'!A17)</f>
        <v>PRL-016</v>
      </c>
      <c r="O16123" t="str">
        <f>IF(N16123="","",'Master Barang'!B17)</f>
        <v>rajawali trashbag 30x40</v>
      </c>
      <c r="P16123">
        <f>IF(OR(M16123="",N16123=""),"",SUMIFS('Barang Keluar'!$E:$E,'Barang Keluar'!$A:$A,M16123,'Barang Keluar'!$C:$C,N16123))</f>
        <v>0</v>
      </c>
    </row>
    <row r="16124" spans="13:16">
      <c r="M16124" s="49">
        <f>IF($A$4+161&gt;$B$4,"",$A$4+161)</f>
        <v>46184</v>
      </c>
      <c r="N16124" t="str">
        <f>IF(M16124="","",'Master Barang'!A18)</f>
        <v>PRL-017</v>
      </c>
      <c r="O16124" t="str">
        <f>IF(N16124="","",'Master Barang'!B18)</f>
        <v>onemed masker biru 3 play 50 pcs</v>
      </c>
      <c r="P16124">
        <f>IF(OR(M16124="",N16124=""),"",SUMIFS('Barang Keluar'!$E:$E,'Barang Keluar'!$A:$A,M16124,'Barang Keluar'!$C:$C,N16124))</f>
        <v>0</v>
      </c>
    </row>
    <row r="16125" spans="13:16">
      <c r="M16125" s="49">
        <f>IF($A$4+161&gt;$B$4,"",$A$4+161)</f>
        <v>46184</v>
      </c>
      <c r="N16125" t="str">
        <f>IF(M16125="","",'Master Barang'!A19)</f>
        <v>PRL-018</v>
      </c>
      <c r="O16125" t="str">
        <f>IF(N16125="","",'Master Barang'!B19)</f>
        <v>onemed masker biru 3 play hijab 50 pcs</v>
      </c>
      <c r="P16125">
        <f>IF(OR(M16125="",N16125=""),"",SUMIFS('Barang Keluar'!$E:$E,'Barang Keluar'!$A:$A,M16125,'Barang Keluar'!$C:$C,N16125))</f>
        <v>0</v>
      </c>
    </row>
    <row r="16126" spans="13:16">
      <c r="M16126" s="49">
        <f>IF($A$4+161&gt;$B$4,"",$A$4+161)</f>
        <v>46184</v>
      </c>
      <c r="N16126" t="str">
        <f>IF(M16126="","",'Master Barang'!A20)</f>
        <v>PRL-019</v>
      </c>
      <c r="O16126" t="str">
        <f>IF(N16126="","",'Master Barang'!B20)</f>
        <v>neo health masker biru 3 play 50 pcs</v>
      </c>
      <c r="P16126">
        <f>IF(OR(M16126="",N16126=""),"",SUMIFS('Barang Keluar'!$E:$E,'Barang Keluar'!$A:$A,M16126,'Barang Keluar'!$C:$C,N16126))</f>
        <v>0</v>
      </c>
    </row>
    <row r="16127" spans="13:16">
      <c r="M16127" s="49">
        <f>IF($A$4+161&gt;$B$4,"",$A$4+161)</f>
        <v>46184</v>
      </c>
      <c r="N16127" t="str">
        <f>IF(M16127="","",'Master Barang'!A21)</f>
        <v>PRL-020</v>
      </c>
      <c r="O16127" t="str">
        <f>IF(N16127="","",'Master Barang'!B21)</f>
        <v>baymed masker hijau 3 play hijau 50 pcs</v>
      </c>
      <c r="P16127">
        <f>IF(OR(M16127="",N16127=""),"",SUMIFS('Barang Keluar'!$E:$E,'Barang Keluar'!$A:$A,M16127,'Barang Keluar'!$C:$C,N16127))</f>
        <v>0</v>
      </c>
    </row>
    <row r="16128" spans="13:16">
      <c r="M16128" s="49">
        <f>IF($A$4+161&gt;$B$4,"",$A$4+161)</f>
        <v>46184</v>
      </c>
      <c r="N16128" t="str">
        <f>IF(M16128="","",'Master Barang'!A22)</f>
        <v>PRL-021</v>
      </c>
      <c r="O16128" t="str">
        <f>IF(N16128="","",'Master Barang'!B22)</f>
        <v>altamed nurse cap penutup kepala 100 pcs</v>
      </c>
      <c r="P16128">
        <f>IF(OR(M16128="",N16128=""),"",SUMIFS('Barang Keluar'!$E:$E,'Barang Keluar'!$A:$A,M16128,'Barang Keluar'!$C:$C,N16128))</f>
        <v>0</v>
      </c>
    </row>
    <row r="16129" spans="13:16">
      <c r="M16129" s="49">
        <f>IF($A$4+161&gt;$B$4,"",$A$4+161)</f>
        <v>46184</v>
      </c>
      <c r="N16129" t="str">
        <f>IF(M16129="","",'Master Barang'!A23)</f>
        <v>PRL-022</v>
      </c>
      <c r="O16129" t="str">
        <f>IF(N16129="","",'Master Barang'!B23)</f>
        <v>sabun cuci tangan</v>
      </c>
      <c r="P16129">
        <f>IF(OR(M16129="",N16129=""),"",SUMIFS('Barang Keluar'!$E:$E,'Barang Keluar'!$A:$A,M16129,'Barang Keluar'!$C:$C,N16129))</f>
        <v>0</v>
      </c>
    </row>
    <row r="16130" spans="13:16">
      <c r="M16130" s="49">
        <f>IF($A$4+161&gt;$B$4,"",$A$4+161)</f>
        <v>46184</v>
      </c>
      <c r="N16130" t="str">
        <f>IF(M16130="","",'Master Barang'!A24)</f>
        <v>PRL-023</v>
      </c>
      <c r="O16130" t="str">
        <f>IF(N16130="","",'Master Barang'!B24)</f>
        <v>gayung kecil</v>
      </c>
      <c r="P16130">
        <f>IF(OR(M16130="",N16130=""),"",SUMIFS('Barang Keluar'!$E:$E,'Barang Keluar'!$A:$A,M16130,'Barang Keluar'!$C:$C,N16130))</f>
        <v>0</v>
      </c>
    </row>
    <row r="16131" spans="13:16">
      <c r="M16131" s="49">
        <f>IF($A$4+161&gt;$B$4,"",$A$4+161)</f>
        <v>46184</v>
      </c>
      <c r="N16131" t="str">
        <f>IF(M16131="","",'Master Barang'!A25)</f>
        <v>PRL-024</v>
      </c>
      <c r="O16131" t="str">
        <f>IF(N16131="","",'Master Barang'!B25)</f>
        <v>cikrak kecil</v>
      </c>
      <c r="P16131">
        <f>IF(OR(M16131="",N16131=""),"",SUMIFS('Barang Keluar'!$E:$E,'Barang Keluar'!$A:$A,M16131,'Barang Keluar'!$C:$C,N16131))</f>
        <v>0</v>
      </c>
    </row>
    <row r="16132" spans="13:16">
      <c r="M16132" s="49">
        <f>IF($A$4+161&gt;$B$4,"",$A$4+161)</f>
        <v>46184</v>
      </c>
      <c r="N16132" t="str">
        <f>IF(M16132="","",'Master Barang'!A26)</f>
        <v>PRL-025</v>
      </c>
      <c r="O16132" t="str">
        <f>IF(N16132="","",'Master Barang'!B26)</f>
        <v>petromax plastik kecil 12x24 100 lembar</v>
      </c>
      <c r="P16132">
        <f>IF(OR(M16132="",N16132=""),"",SUMIFS('Barang Keluar'!$E:$E,'Barang Keluar'!$A:$A,M16132,'Barang Keluar'!$C:$C,N16132))</f>
        <v>0</v>
      </c>
    </row>
    <row r="16133" spans="13:16">
      <c r="M16133" s="49">
        <f>IF($A$4+161&gt;$B$4,"",$A$4+161)</f>
        <v>46184</v>
      </c>
      <c r="N16133" t="str">
        <f>IF(M16133="","",'Master Barang'!A27)</f>
        <v>PRL-026</v>
      </c>
      <c r="O16133" t="str">
        <f>IF(N16133="","",'Master Barang'!B27)</f>
        <v>lancar kresek kecil bening </v>
      </c>
      <c r="P16133">
        <f>IF(OR(M16133="",N16133=""),"",SUMIFS('Barang Keluar'!$E:$E,'Barang Keluar'!$A:$A,M16133,'Barang Keluar'!$C:$C,N16133))</f>
        <v>0</v>
      </c>
    </row>
    <row r="16134" spans="13:16">
      <c r="M16134" s="49">
        <f>IF($A$4+161&gt;$B$4,"",$A$4+161)</f>
        <v>46184</v>
      </c>
      <c r="N16134" t="str">
        <f>IF(M16134="","",'Master Barang'!A28)</f>
        <v>PRL-027</v>
      </c>
      <c r="O16134" t="str">
        <f>IF(N16134="","",'Master Barang'!B28)</f>
        <v>kresek klin warna warni kecil</v>
      </c>
      <c r="P16134">
        <f>IF(OR(M16134="",N16134=""),"",SUMIFS('Barang Keluar'!$E:$E,'Barang Keluar'!$A:$A,M16134,'Barang Keluar'!$C:$C,N16134))</f>
        <v>0</v>
      </c>
    </row>
    <row r="16135" spans="13:16">
      <c r="M16135" s="49">
        <f>IF($A$4+161&gt;$B$4,"",$A$4+161)</f>
        <v>46184</v>
      </c>
      <c r="N16135" t="str">
        <f>IF(M16135="","",'Master Barang'!A29)</f>
        <v>PRL-028</v>
      </c>
      <c r="O16135" t="str">
        <f>IF(N16135="","",'Master Barang'!B29)</f>
        <v>ctik plastik 7x10 100 pcs</v>
      </c>
      <c r="P16135">
        <f>IF(OR(M16135="",N16135=""),"",SUMIFS('Barang Keluar'!$E:$E,'Barang Keluar'!$A:$A,M16135,'Barang Keluar'!$C:$C,N16135))</f>
        <v>0</v>
      </c>
    </row>
    <row r="16136" spans="13:16">
      <c r="M16136" s="49">
        <f>IF($A$4+161&gt;$B$4,"",$A$4+161)</f>
        <v>46184</v>
      </c>
      <c r="N16136" t="str">
        <f>IF(M16136="","",'Master Barang'!A30)</f>
        <v>PRL-029</v>
      </c>
      <c r="O16136" t="str">
        <f>IF(N16136="","",'Master Barang'!B30)</f>
        <v>ctik plastik 6x10 100 pcs</v>
      </c>
      <c r="P16136">
        <f>IF(OR(M16136="",N16136=""),"",SUMIFS('Barang Keluar'!$E:$E,'Barang Keluar'!$A:$A,M16136,'Barang Keluar'!$C:$C,N16136))</f>
        <v>0</v>
      </c>
    </row>
    <row r="16137" spans="13:16">
      <c r="M16137" s="49">
        <f>IF($A$4+161&gt;$B$4,"",$A$4+161)</f>
        <v>46184</v>
      </c>
      <c r="N16137" t="str">
        <f>IF(M16137="","",'Master Barang'!A31)</f>
        <v>PRL-030</v>
      </c>
      <c r="O16137" t="str">
        <f>IF(N16137="","",'Master Barang'!B31)</f>
        <v>klip plastik 25x16 100 pcs</v>
      </c>
      <c r="P16137">
        <f>IF(OR(M16137="",N16137=""),"",SUMIFS('Barang Keluar'!$E:$E,'Barang Keluar'!$A:$A,M16137,'Barang Keluar'!$C:$C,N16137))</f>
        <v>0</v>
      </c>
    </row>
    <row r="16138" spans="13:16">
      <c r="M16138" s="49">
        <f>IF($A$4+161&gt;$B$4,"",$A$4+161)</f>
        <v>46184</v>
      </c>
      <c r="N16138" t="str">
        <f>IF(M16138="","",'Master Barang'!A32)</f>
        <v>PRL-031</v>
      </c>
      <c r="O16138" t="str">
        <f>IF(N16138="","",'Master Barang'!B32)</f>
        <v>tempat saus 20 ml</v>
      </c>
      <c r="P16138">
        <f>IF(OR(M16138="",N16138=""),"",SUMIFS('Barang Keluar'!$E:$E,'Barang Keluar'!$A:$A,M16138,'Barang Keluar'!$C:$C,N16138))</f>
        <v>0</v>
      </c>
    </row>
    <row r="16139" spans="13:16">
      <c r="M16139" s="49">
        <f>IF($A$4+161&gt;$B$4,"",$A$4+161)</f>
        <v>46184</v>
      </c>
      <c r="N16139" t="str">
        <f>IF(M16139="","",'Master Barang'!A33)</f>
        <v>PRL-032</v>
      </c>
      <c r="O16139" t="str">
        <f>IF(N16139="","",'Master Barang'!B33)</f>
        <v>plastik packaging ag box uk sedang</v>
      </c>
      <c r="P16139">
        <f>IF(OR(M16139="",N16139=""),"",SUMIFS('Barang Keluar'!$E:$E,'Barang Keluar'!$A:$A,M16139,'Barang Keluar'!$C:$C,N16139))</f>
        <v>0</v>
      </c>
    </row>
    <row r="16140" spans="13:16">
      <c r="M16140" s="49">
        <f>IF($A$4+161&gt;$B$4,"",$A$4+161)</f>
        <v>46184</v>
      </c>
      <c r="N16140" t="str">
        <f>IF(M16140="","",'Master Barang'!A34)</f>
        <v>PRL-033</v>
      </c>
      <c r="O16140">
        <f>IF(N16140="","",'Master Barang'!B34)</f>
        <v>0</v>
      </c>
      <c r="P16140">
        <f>IF(OR(M16140="",N16140=""),"",SUMIFS('Barang Keluar'!$E:$E,'Barang Keluar'!$A:$A,M16140,'Barang Keluar'!$C:$C,N16140))</f>
        <v>0</v>
      </c>
    </row>
    <row r="16141" spans="13:16">
      <c r="M16141" s="49">
        <f>IF($A$4+161&gt;$B$4,"",$A$4+161)</f>
        <v>46184</v>
      </c>
      <c r="N16141">
        <f>IF(M16141="","",'Master Barang'!A35)</f>
        <v>0</v>
      </c>
      <c r="O16141">
        <f>IF(N16141="","",'Master Barang'!B35)</f>
        <v>0</v>
      </c>
      <c r="P16141">
        <f>IF(OR(M16141="",N16141=""),"",SUMIFS('Barang Keluar'!$E:$E,'Barang Keluar'!$A:$A,M16141,'Barang Keluar'!$C:$C,N16141))</f>
        <v>0</v>
      </c>
    </row>
    <row r="16142" spans="13:16">
      <c r="M16142" s="49">
        <f>IF($A$4+161&gt;$B$4,"",$A$4+161)</f>
        <v>46184</v>
      </c>
      <c r="N16142">
        <f>IF(M16142="","",'Master Barang'!A36)</f>
        <v>0</v>
      </c>
      <c r="O16142">
        <f>IF(N16142="","",'Master Barang'!B36)</f>
        <v>0</v>
      </c>
      <c r="P16142">
        <f>IF(OR(M16142="",N16142=""),"",SUMIFS('Barang Keluar'!$E:$E,'Barang Keluar'!$A:$A,M16142,'Barang Keluar'!$C:$C,N16142))</f>
        <v>0</v>
      </c>
    </row>
    <row r="16143" spans="13:16">
      <c r="M16143" s="49">
        <f>IF($A$4+161&gt;$B$4,"",$A$4+161)</f>
        <v>46184</v>
      </c>
      <c r="N16143">
        <f>IF(M16143="","",'Master Barang'!A37)</f>
        <v>0</v>
      </c>
      <c r="O16143">
        <f>IF(N16143="","",'Master Barang'!B37)</f>
        <v>0</v>
      </c>
      <c r="P16143">
        <f>IF(OR(M16143="",N16143=""),"",SUMIFS('Barang Keluar'!$E:$E,'Barang Keluar'!$A:$A,M16143,'Barang Keluar'!$C:$C,N16143))</f>
        <v>0</v>
      </c>
    </row>
    <row r="16144" spans="13:16">
      <c r="M16144" s="49">
        <f>IF($A$4+161&gt;$B$4,"",$A$4+161)</f>
        <v>46184</v>
      </c>
      <c r="N16144">
        <f>IF(M16144="","",'Master Barang'!A38)</f>
        <v>0</v>
      </c>
      <c r="O16144">
        <f>IF(N16144="","",'Master Barang'!B38)</f>
        <v>0</v>
      </c>
      <c r="P16144">
        <f>IF(OR(M16144="",N16144=""),"",SUMIFS('Barang Keluar'!$E:$E,'Barang Keluar'!$A:$A,M16144,'Barang Keluar'!$C:$C,N16144))</f>
        <v>0</v>
      </c>
    </row>
    <row r="16145" spans="13:16">
      <c r="M16145" s="49">
        <f>IF($A$4+161&gt;$B$4,"",$A$4+161)</f>
        <v>46184</v>
      </c>
      <c r="N16145">
        <f>IF(M16145="","",'Master Barang'!A39)</f>
        <v>0</v>
      </c>
      <c r="O16145">
        <f>IF(N16145="","",'Master Barang'!B39)</f>
        <v>0</v>
      </c>
      <c r="P16145">
        <f>IF(OR(M16145="",N16145=""),"",SUMIFS('Barang Keluar'!$E:$E,'Barang Keluar'!$A:$A,M16145,'Barang Keluar'!$C:$C,N16145))</f>
        <v>0</v>
      </c>
    </row>
    <row r="16146" spans="13:16">
      <c r="M16146" s="49">
        <f>IF($A$4+161&gt;$B$4,"",$A$4+161)</f>
        <v>46184</v>
      </c>
      <c r="N16146">
        <f>IF(M16146="","",'Master Barang'!A40)</f>
        <v>0</v>
      </c>
      <c r="O16146">
        <f>IF(N16146="","",'Master Barang'!B40)</f>
        <v>0</v>
      </c>
      <c r="P16146">
        <f>IF(OR(M16146="",N16146=""),"",SUMIFS('Barang Keluar'!$E:$E,'Barang Keluar'!$A:$A,M16146,'Barang Keluar'!$C:$C,N16146))</f>
        <v>0</v>
      </c>
    </row>
    <row r="16147" spans="13:16">
      <c r="M16147" s="49">
        <f>IF($A$4+161&gt;$B$4,"",$A$4+161)</f>
        <v>46184</v>
      </c>
      <c r="N16147">
        <f>IF(M16147="","",'Master Barang'!A41)</f>
        <v>0</v>
      </c>
      <c r="O16147">
        <f>IF(N16147="","",'Master Barang'!B41)</f>
        <v>0</v>
      </c>
      <c r="P16147">
        <f>IF(OR(M16147="",N16147=""),"",SUMIFS('Barang Keluar'!$E:$E,'Barang Keluar'!$A:$A,M16147,'Barang Keluar'!$C:$C,N16147))</f>
        <v>0</v>
      </c>
    </row>
    <row r="16148" spans="13:16">
      <c r="M16148" s="49">
        <f>IF($A$4+161&gt;$B$4,"",$A$4+161)</f>
        <v>46184</v>
      </c>
      <c r="N16148">
        <f>IF(M16148="","",'Master Barang'!A42)</f>
        <v>0</v>
      </c>
      <c r="O16148">
        <f>IF(N16148="","",'Master Barang'!B42)</f>
        <v>0</v>
      </c>
      <c r="P16148">
        <f>IF(OR(M16148="",N16148=""),"",SUMIFS('Barang Keluar'!$E:$E,'Barang Keluar'!$A:$A,M16148,'Barang Keluar'!$C:$C,N16148))</f>
        <v>0</v>
      </c>
    </row>
    <row r="16149" spans="13:16">
      <c r="M16149" s="49">
        <f>IF($A$4+161&gt;$B$4,"",$A$4+161)</f>
        <v>46184</v>
      </c>
      <c r="N16149">
        <f>IF(M16149="","",'Master Barang'!A43)</f>
        <v>0</v>
      </c>
      <c r="O16149">
        <f>IF(N16149="","",'Master Barang'!B43)</f>
        <v>0</v>
      </c>
      <c r="P16149">
        <f>IF(OR(M16149="",N16149=""),"",SUMIFS('Barang Keluar'!$E:$E,'Barang Keluar'!$A:$A,M16149,'Barang Keluar'!$C:$C,N16149))</f>
        <v>0</v>
      </c>
    </row>
    <row r="16150" spans="13:16">
      <c r="M16150" s="49">
        <f>IF($A$4+161&gt;$B$4,"",$A$4+161)</f>
        <v>46184</v>
      </c>
      <c r="N16150">
        <f>IF(M16150="","",'Master Barang'!A44)</f>
        <v>0</v>
      </c>
      <c r="O16150">
        <f>IF(N16150="","",'Master Barang'!B44)</f>
        <v>0</v>
      </c>
      <c r="P16150">
        <f>IF(OR(M16150="",N16150=""),"",SUMIFS('Barang Keluar'!$E:$E,'Barang Keluar'!$A:$A,M16150,'Barang Keluar'!$C:$C,N16150))</f>
        <v>0</v>
      </c>
    </row>
    <row r="16151" spans="13:16">
      <c r="M16151" s="49">
        <f>IF($A$4+161&gt;$B$4,"",$A$4+161)</f>
        <v>46184</v>
      </c>
      <c r="N16151">
        <f>IF(M16151="","",'Master Barang'!A45)</f>
        <v>0</v>
      </c>
      <c r="O16151">
        <f>IF(N16151="","",'Master Barang'!B45)</f>
        <v>0</v>
      </c>
      <c r="P16151">
        <f>IF(OR(M16151="",N16151=""),"",SUMIFS('Barang Keluar'!$E:$E,'Barang Keluar'!$A:$A,M16151,'Barang Keluar'!$C:$C,N16151))</f>
        <v>0</v>
      </c>
    </row>
    <row r="16152" spans="13:16">
      <c r="M16152" s="49">
        <f>IF($A$4+161&gt;$B$4,"",$A$4+161)</f>
        <v>46184</v>
      </c>
      <c r="N16152">
        <f>IF(M16152="","",'Master Barang'!A46)</f>
        <v>0</v>
      </c>
      <c r="O16152">
        <f>IF(N16152="","",'Master Barang'!B46)</f>
        <v>0</v>
      </c>
      <c r="P16152">
        <f>IF(OR(M16152="",N16152=""),"",SUMIFS('Barang Keluar'!$E:$E,'Barang Keluar'!$A:$A,M16152,'Barang Keluar'!$C:$C,N16152))</f>
        <v>0</v>
      </c>
    </row>
    <row r="16153" spans="13:16">
      <c r="M16153" s="49">
        <f>IF($A$4+161&gt;$B$4,"",$A$4+161)</f>
        <v>46184</v>
      </c>
      <c r="N16153">
        <f>IF(M16153="","",'Master Barang'!A47)</f>
        <v>0</v>
      </c>
      <c r="O16153">
        <f>IF(N16153="","",'Master Barang'!B47)</f>
        <v>0</v>
      </c>
      <c r="P16153">
        <f>IF(OR(M16153="",N16153=""),"",SUMIFS('Barang Keluar'!$E:$E,'Barang Keluar'!$A:$A,M16153,'Barang Keluar'!$C:$C,N16153))</f>
        <v>0</v>
      </c>
    </row>
    <row r="16154" spans="13:16">
      <c r="M16154" s="49">
        <f>IF($A$4+161&gt;$B$4,"",$A$4+161)</f>
        <v>46184</v>
      </c>
      <c r="N16154">
        <f>IF(M16154="","",'Master Barang'!A48)</f>
        <v>0</v>
      </c>
      <c r="O16154">
        <f>IF(N16154="","",'Master Barang'!B48)</f>
        <v>0</v>
      </c>
      <c r="P16154">
        <f>IF(OR(M16154="",N16154=""),"",SUMIFS('Barang Keluar'!$E:$E,'Barang Keluar'!$A:$A,M16154,'Barang Keluar'!$C:$C,N16154))</f>
        <v>0</v>
      </c>
    </row>
    <row r="16155" spans="13:16">
      <c r="M16155" s="49">
        <f>IF($A$4+161&gt;$B$4,"",$A$4+161)</f>
        <v>46184</v>
      </c>
      <c r="N16155">
        <f>IF(M16155="","",'Master Barang'!A49)</f>
        <v>0</v>
      </c>
      <c r="O16155">
        <f>IF(N16155="","",'Master Barang'!B49)</f>
        <v>0</v>
      </c>
      <c r="P16155">
        <f>IF(OR(M16155="",N16155=""),"",SUMIFS('Barang Keluar'!$E:$E,'Barang Keluar'!$A:$A,M16155,'Barang Keluar'!$C:$C,N16155))</f>
        <v>0</v>
      </c>
    </row>
    <row r="16156" spans="13:16">
      <c r="M16156" s="49">
        <f>IF($A$4+161&gt;$B$4,"",$A$4+161)</f>
        <v>46184</v>
      </c>
      <c r="N16156">
        <f>IF(M16156="","",'Master Barang'!A50)</f>
        <v>0</v>
      </c>
      <c r="O16156">
        <f>IF(N16156="","",'Master Barang'!B50)</f>
        <v>0</v>
      </c>
      <c r="P16156">
        <f>IF(OR(M16156="",N16156=""),"",SUMIFS('Barang Keluar'!$E:$E,'Barang Keluar'!$A:$A,M16156,'Barang Keluar'!$C:$C,N16156))</f>
        <v>0</v>
      </c>
    </row>
    <row r="16157" spans="13:16">
      <c r="M16157" s="49">
        <f>IF($A$4+161&gt;$B$4,"",$A$4+161)</f>
        <v>46184</v>
      </c>
      <c r="N16157">
        <f>IF(M16157="","",'Master Barang'!A51)</f>
        <v>0</v>
      </c>
      <c r="O16157">
        <f>IF(N16157="","",'Master Barang'!B51)</f>
        <v>0</v>
      </c>
      <c r="P16157">
        <f>IF(OR(M16157="",N16157=""),"",SUMIFS('Barang Keluar'!$E:$E,'Barang Keluar'!$A:$A,M16157,'Barang Keluar'!$C:$C,N16157))</f>
        <v>0</v>
      </c>
    </row>
    <row r="16158" spans="13:16">
      <c r="M16158" s="49">
        <f>IF($A$4+161&gt;$B$4,"",$A$4+161)</f>
        <v>46184</v>
      </c>
      <c r="N16158">
        <f>IF(M16158="","",'Master Barang'!A52)</f>
        <v>0</v>
      </c>
      <c r="O16158">
        <f>IF(N16158="","",'Master Barang'!B52)</f>
        <v>0</v>
      </c>
      <c r="P16158">
        <f>IF(OR(M16158="",N16158=""),"",SUMIFS('Barang Keluar'!$E:$E,'Barang Keluar'!$A:$A,M16158,'Barang Keluar'!$C:$C,N16158))</f>
        <v>0</v>
      </c>
    </row>
    <row r="16159" spans="13:16">
      <c r="M16159" s="49">
        <f>IF($A$4+161&gt;$B$4,"",$A$4+161)</f>
        <v>46184</v>
      </c>
      <c r="N16159">
        <f>IF(M16159="","",'Master Barang'!A53)</f>
        <v>0</v>
      </c>
      <c r="O16159">
        <f>IF(N16159="","",'Master Barang'!B53)</f>
        <v>0</v>
      </c>
      <c r="P16159">
        <f>IF(OR(M16159="",N16159=""),"",SUMIFS('Barang Keluar'!$E:$E,'Barang Keluar'!$A:$A,M16159,'Barang Keluar'!$C:$C,N16159))</f>
        <v>0</v>
      </c>
    </row>
    <row r="16160" spans="13:16">
      <c r="M16160" s="49">
        <f>IF($A$4+161&gt;$B$4,"",$A$4+161)</f>
        <v>46184</v>
      </c>
      <c r="N16160">
        <f>IF(M16160="","",'Master Barang'!A54)</f>
        <v>0</v>
      </c>
      <c r="O16160">
        <f>IF(N16160="","",'Master Barang'!B54)</f>
        <v>0</v>
      </c>
      <c r="P16160">
        <f>IF(OR(M16160="",N16160=""),"",SUMIFS('Barang Keluar'!$E:$E,'Barang Keluar'!$A:$A,M16160,'Barang Keluar'!$C:$C,N16160))</f>
        <v>0</v>
      </c>
    </row>
    <row r="16161" spans="13:16">
      <c r="M16161" s="49">
        <f>IF($A$4+161&gt;$B$4,"",$A$4+161)</f>
        <v>46184</v>
      </c>
      <c r="N16161">
        <f>IF(M16161="","",'Master Barang'!A55)</f>
        <v>0</v>
      </c>
      <c r="O16161">
        <f>IF(N16161="","",'Master Barang'!B55)</f>
        <v>0</v>
      </c>
      <c r="P16161">
        <f>IF(OR(M16161="",N16161=""),"",SUMIFS('Barang Keluar'!$E:$E,'Barang Keluar'!$A:$A,M16161,'Barang Keluar'!$C:$C,N16161))</f>
        <v>0</v>
      </c>
    </row>
    <row r="16162" spans="13:16">
      <c r="M16162" s="49">
        <f>IF($A$4+161&gt;$B$4,"",$A$4+161)</f>
        <v>46184</v>
      </c>
      <c r="N16162">
        <f>IF(M16162="","",'Master Barang'!A56)</f>
        <v>0</v>
      </c>
      <c r="O16162">
        <f>IF(N16162="","",'Master Barang'!B56)</f>
        <v>0</v>
      </c>
      <c r="P16162">
        <f>IF(OR(M16162="",N16162=""),"",SUMIFS('Barang Keluar'!$E:$E,'Barang Keluar'!$A:$A,M16162,'Barang Keluar'!$C:$C,N16162))</f>
        <v>0</v>
      </c>
    </row>
    <row r="16163" spans="13:16">
      <c r="M16163" s="49">
        <f>IF($A$4+161&gt;$B$4,"",$A$4+161)</f>
        <v>46184</v>
      </c>
      <c r="N16163">
        <f>IF(M16163="","",'Master Barang'!A57)</f>
        <v>0</v>
      </c>
      <c r="O16163">
        <f>IF(N16163="","",'Master Barang'!B57)</f>
        <v>0</v>
      </c>
      <c r="P16163">
        <f>IF(OR(M16163="",N16163=""),"",SUMIFS('Barang Keluar'!$E:$E,'Barang Keluar'!$A:$A,M16163,'Barang Keluar'!$C:$C,N16163))</f>
        <v>0</v>
      </c>
    </row>
    <row r="16164" spans="13:16">
      <c r="M16164" s="49">
        <f>IF($A$4+161&gt;$B$4,"",$A$4+161)</f>
        <v>46184</v>
      </c>
      <c r="N16164">
        <f>IF(M16164="","",'Master Barang'!A58)</f>
        <v>0</v>
      </c>
      <c r="O16164">
        <f>IF(N16164="","",'Master Barang'!B58)</f>
        <v>0</v>
      </c>
      <c r="P16164">
        <f>IF(OR(M16164="",N16164=""),"",SUMIFS('Barang Keluar'!$E:$E,'Barang Keluar'!$A:$A,M16164,'Barang Keluar'!$C:$C,N16164))</f>
        <v>0</v>
      </c>
    </row>
    <row r="16165" spans="13:16">
      <c r="M16165" s="49">
        <f>IF($A$4+161&gt;$B$4,"",$A$4+161)</f>
        <v>46184</v>
      </c>
      <c r="N16165">
        <f>IF(M16165="","",'Master Barang'!A59)</f>
        <v>0</v>
      </c>
      <c r="O16165">
        <f>IF(N16165="","",'Master Barang'!B59)</f>
        <v>0</v>
      </c>
      <c r="P16165">
        <f>IF(OR(M16165="",N16165=""),"",SUMIFS('Barang Keluar'!$E:$E,'Barang Keluar'!$A:$A,M16165,'Barang Keluar'!$C:$C,N16165))</f>
        <v>0</v>
      </c>
    </row>
    <row r="16166" spans="13:16">
      <c r="M16166" s="49">
        <f>IF($A$4+161&gt;$B$4,"",$A$4+161)</f>
        <v>46184</v>
      </c>
      <c r="N16166">
        <f>IF(M16166="","",'Master Barang'!A60)</f>
        <v>0</v>
      </c>
      <c r="O16166">
        <f>IF(N16166="","",'Master Barang'!B60)</f>
        <v>0</v>
      </c>
      <c r="P16166">
        <f>IF(OR(M16166="",N16166=""),"",SUMIFS('Barang Keluar'!$E:$E,'Barang Keluar'!$A:$A,M16166,'Barang Keluar'!$C:$C,N16166))</f>
        <v>0</v>
      </c>
    </row>
    <row r="16167" spans="13:16">
      <c r="M16167" s="49">
        <f>IF($A$4+161&gt;$B$4,"",$A$4+161)</f>
        <v>46184</v>
      </c>
      <c r="N16167">
        <f>IF(M16167="","",'Master Barang'!A61)</f>
        <v>0</v>
      </c>
      <c r="O16167">
        <f>IF(N16167="","",'Master Barang'!B61)</f>
        <v>0</v>
      </c>
      <c r="P16167">
        <f>IF(OR(M16167="",N16167=""),"",SUMIFS('Barang Keluar'!$E:$E,'Barang Keluar'!$A:$A,M16167,'Barang Keluar'!$C:$C,N16167))</f>
        <v>0</v>
      </c>
    </row>
    <row r="16168" spans="13:16">
      <c r="M16168" s="49">
        <f>IF($A$4+161&gt;$B$4,"",$A$4+161)</f>
        <v>46184</v>
      </c>
      <c r="N16168">
        <f>IF(M16168="","",'Master Barang'!A62)</f>
        <v>0</v>
      </c>
      <c r="O16168">
        <f>IF(N16168="","",'Master Barang'!B62)</f>
        <v>0</v>
      </c>
      <c r="P16168">
        <f>IF(OR(M16168="",N16168=""),"",SUMIFS('Barang Keluar'!$E:$E,'Barang Keluar'!$A:$A,M16168,'Barang Keluar'!$C:$C,N16168))</f>
        <v>0</v>
      </c>
    </row>
    <row r="16169" spans="13:16">
      <c r="M16169" s="49">
        <f>IF($A$4+161&gt;$B$4,"",$A$4+161)</f>
        <v>46184</v>
      </c>
      <c r="N16169">
        <f>IF(M16169="","",'Master Barang'!A63)</f>
        <v>0</v>
      </c>
      <c r="O16169">
        <f>IF(N16169="","",'Master Barang'!B63)</f>
        <v>0</v>
      </c>
      <c r="P16169">
        <f>IF(OR(M16169="",N16169=""),"",SUMIFS('Barang Keluar'!$E:$E,'Barang Keluar'!$A:$A,M16169,'Barang Keluar'!$C:$C,N16169))</f>
        <v>0</v>
      </c>
    </row>
    <row r="16170" spans="13:16">
      <c r="M16170" s="49">
        <f>IF($A$4+161&gt;$B$4,"",$A$4+161)</f>
        <v>46184</v>
      </c>
      <c r="N16170">
        <f>IF(M16170="","",'Master Barang'!A64)</f>
        <v>0</v>
      </c>
      <c r="O16170">
        <f>IF(N16170="","",'Master Barang'!B64)</f>
        <v>0</v>
      </c>
      <c r="P16170">
        <f>IF(OR(M16170="",N16170=""),"",SUMIFS('Barang Keluar'!$E:$E,'Barang Keluar'!$A:$A,M16170,'Barang Keluar'!$C:$C,N16170))</f>
        <v>0</v>
      </c>
    </row>
    <row r="16171" spans="13:16">
      <c r="M16171" s="49">
        <f>IF($A$4+161&gt;$B$4,"",$A$4+161)</f>
        <v>46184</v>
      </c>
      <c r="N16171">
        <f>IF(M16171="","",'Master Barang'!A65)</f>
        <v>0</v>
      </c>
      <c r="O16171">
        <f>IF(N16171="","",'Master Barang'!B65)</f>
        <v>0</v>
      </c>
      <c r="P16171">
        <f>IF(OR(M16171="",N16171=""),"",SUMIFS('Barang Keluar'!$E:$E,'Barang Keluar'!$A:$A,M16171,'Barang Keluar'!$C:$C,N16171))</f>
        <v>0</v>
      </c>
    </row>
    <row r="16172" spans="13:16">
      <c r="M16172" s="49">
        <f>IF($A$4+161&gt;$B$4,"",$A$4+161)</f>
        <v>46184</v>
      </c>
      <c r="N16172">
        <f>IF(M16172="","",'Master Barang'!A66)</f>
        <v>0</v>
      </c>
      <c r="O16172">
        <f>IF(N16172="","",'Master Barang'!B66)</f>
        <v>0</v>
      </c>
      <c r="P16172">
        <f>IF(OR(M16172="",N16172=""),"",SUMIFS('Barang Keluar'!$E:$E,'Barang Keluar'!$A:$A,M16172,'Barang Keluar'!$C:$C,N16172))</f>
        <v>0</v>
      </c>
    </row>
    <row r="16173" spans="13:16">
      <c r="M16173" s="49">
        <f>IF($A$4+161&gt;$B$4,"",$A$4+161)</f>
        <v>46184</v>
      </c>
      <c r="N16173">
        <f>IF(M16173="","",'Master Barang'!A67)</f>
        <v>0</v>
      </c>
      <c r="O16173">
        <f>IF(N16173="","",'Master Barang'!B67)</f>
        <v>0</v>
      </c>
      <c r="P16173">
        <f>IF(OR(M16173="",N16173=""),"",SUMIFS('Barang Keluar'!$E:$E,'Barang Keluar'!$A:$A,M16173,'Barang Keluar'!$C:$C,N16173))</f>
        <v>0</v>
      </c>
    </row>
    <row r="16174" spans="13:16">
      <c r="M16174" s="49">
        <f>IF($A$4+161&gt;$B$4,"",$A$4+161)</f>
        <v>46184</v>
      </c>
      <c r="N16174">
        <f>IF(M16174="","",'Master Barang'!A68)</f>
        <v>0</v>
      </c>
      <c r="O16174">
        <f>IF(N16174="","",'Master Barang'!B68)</f>
        <v>0</v>
      </c>
      <c r="P16174">
        <f>IF(OR(M16174="",N16174=""),"",SUMIFS('Barang Keluar'!$E:$E,'Barang Keluar'!$A:$A,M16174,'Barang Keluar'!$C:$C,N16174))</f>
        <v>0</v>
      </c>
    </row>
    <row r="16175" spans="13:16">
      <c r="M16175" s="49">
        <f>IF($A$4+161&gt;$B$4,"",$A$4+161)</f>
        <v>46184</v>
      </c>
      <c r="N16175">
        <f>IF(M16175="","",'Master Barang'!A69)</f>
        <v>0</v>
      </c>
      <c r="O16175">
        <f>IF(N16175="","",'Master Barang'!B69)</f>
        <v>0</v>
      </c>
      <c r="P16175">
        <f>IF(OR(M16175="",N16175=""),"",SUMIFS('Barang Keluar'!$E:$E,'Barang Keluar'!$A:$A,M16175,'Barang Keluar'!$C:$C,N16175))</f>
        <v>0</v>
      </c>
    </row>
    <row r="16176" spans="13:16">
      <c r="M16176" s="49">
        <f>IF($A$4+161&gt;$B$4,"",$A$4+161)</f>
        <v>46184</v>
      </c>
      <c r="N16176">
        <f>IF(M16176="","",'Master Barang'!A70)</f>
        <v>0</v>
      </c>
      <c r="O16176">
        <f>IF(N16176="","",'Master Barang'!B70)</f>
        <v>0</v>
      </c>
      <c r="P16176">
        <f>IF(OR(M16176="",N16176=""),"",SUMIFS('Barang Keluar'!$E:$E,'Barang Keluar'!$A:$A,M16176,'Barang Keluar'!$C:$C,N16176))</f>
        <v>0</v>
      </c>
    </row>
    <row r="16177" spans="13:16">
      <c r="M16177" s="49">
        <f>IF($A$4+161&gt;$B$4,"",$A$4+161)</f>
        <v>46184</v>
      </c>
      <c r="N16177">
        <f>IF(M16177="","",'Master Barang'!A71)</f>
        <v>0</v>
      </c>
      <c r="O16177">
        <f>IF(N16177="","",'Master Barang'!B71)</f>
        <v>0</v>
      </c>
      <c r="P16177">
        <f>IF(OR(M16177="",N16177=""),"",SUMIFS('Barang Keluar'!$E:$E,'Barang Keluar'!$A:$A,M16177,'Barang Keluar'!$C:$C,N16177))</f>
        <v>0</v>
      </c>
    </row>
    <row r="16178" spans="13:16">
      <c r="M16178" s="49">
        <f>IF($A$4+161&gt;$B$4,"",$A$4+161)</f>
        <v>46184</v>
      </c>
      <c r="N16178">
        <f>IF(M16178="","",'Master Barang'!A72)</f>
        <v>0</v>
      </c>
      <c r="O16178">
        <f>IF(N16178="","",'Master Barang'!B72)</f>
        <v>0</v>
      </c>
      <c r="P16178">
        <f>IF(OR(M16178="",N16178=""),"",SUMIFS('Barang Keluar'!$E:$E,'Barang Keluar'!$A:$A,M16178,'Barang Keluar'!$C:$C,N16178))</f>
        <v>0</v>
      </c>
    </row>
    <row r="16179" spans="13:16">
      <c r="M16179" s="49">
        <f>IF($A$4+161&gt;$B$4,"",$A$4+161)</f>
        <v>46184</v>
      </c>
      <c r="N16179">
        <f>IF(M16179="","",'Master Barang'!A73)</f>
        <v>0</v>
      </c>
      <c r="O16179">
        <f>IF(N16179="","",'Master Barang'!B73)</f>
        <v>0</v>
      </c>
      <c r="P16179">
        <f>IF(OR(M16179="",N16179=""),"",SUMIFS('Barang Keluar'!$E:$E,'Barang Keluar'!$A:$A,M16179,'Barang Keluar'!$C:$C,N16179))</f>
        <v>0</v>
      </c>
    </row>
    <row r="16180" spans="13:16">
      <c r="M16180" s="49">
        <f>IF($A$4+161&gt;$B$4,"",$A$4+161)</f>
        <v>46184</v>
      </c>
      <c r="N16180">
        <f>IF(M16180="","",'Master Barang'!A74)</f>
        <v>0</v>
      </c>
      <c r="O16180">
        <f>IF(N16180="","",'Master Barang'!B74)</f>
        <v>0</v>
      </c>
      <c r="P16180">
        <f>IF(OR(M16180="",N16180=""),"",SUMIFS('Barang Keluar'!$E:$E,'Barang Keluar'!$A:$A,M16180,'Barang Keluar'!$C:$C,N16180))</f>
        <v>0</v>
      </c>
    </row>
    <row r="16181" spans="13:16">
      <c r="M16181" s="49">
        <f>IF($A$4+161&gt;$B$4,"",$A$4+161)</f>
        <v>46184</v>
      </c>
      <c r="N16181">
        <f>IF(M16181="","",'Master Barang'!A75)</f>
        <v>0</v>
      </c>
      <c r="O16181">
        <f>IF(N16181="","",'Master Barang'!B75)</f>
        <v>0</v>
      </c>
      <c r="P16181">
        <f>IF(OR(M16181="",N16181=""),"",SUMIFS('Barang Keluar'!$E:$E,'Barang Keluar'!$A:$A,M16181,'Barang Keluar'!$C:$C,N16181))</f>
        <v>0</v>
      </c>
    </row>
    <row r="16182" spans="13:16">
      <c r="M16182" s="49">
        <f>IF($A$4+161&gt;$B$4,"",$A$4+161)</f>
        <v>46184</v>
      </c>
      <c r="N16182">
        <f>IF(M16182="","",'Master Barang'!A76)</f>
        <v>0</v>
      </c>
      <c r="O16182">
        <f>IF(N16182="","",'Master Barang'!B76)</f>
        <v>0</v>
      </c>
      <c r="P16182">
        <f>IF(OR(M16182="",N16182=""),"",SUMIFS('Barang Keluar'!$E:$E,'Barang Keluar'!$A:$A,M16182,'Barang Keluar'!$C:$C,N16182))</f>
        <v>0</v>
      </c>
    </row>
    <row r="16183" spans="13:16">
      <c r="M16183" s="49">
        <f>IF($A$4+161&gt;$B$4,"",$A$4+161)</f>
        <v>46184</v>
      </c>
      <c r="N16183">
        <f>IF(M16183="","",'Master Barang'!A77)</f>
        <v>0</v>
      </c>
      <c r="O16183">
        <f>IF(N16183="","",'Master Barang'!B77)</f>
        <v>0</v>
      </c>
      <c r="P16183">
        <f>IF(OR(M16183="",N16183=""),"",SUMIFS('Barang Keluar'!$E:$E,'Barang Keluar'!$A:$A,M16183,'Barang Keluar'!$C:$C,N16183))</f>
        <v>0</v>
      </c>
    </row>
    <row r="16184" spans="13:16">
      <c r="M16184" s="49">
        <f>IF($A$4+161&gt;$B$4,"",$A$4+161)</f>
        <v>46184</v>
      </c>
      <c r="N16184">
        <f>IF(M16184="","",'Master Barang'!A78)</f>
        <v>0</v>
      </c>
      <c r="O16184">
        <f>IF(N16184="","",'Master Barang'!B78)</f>
        <v>0</v>
      </c>
      <c r="P16184">
        <f>IF(OR(M16184="",N16184=""),"",SUMIFS('Barang Keluar'!$E:$E,'Barang Keluar'!$A:$A,M16184,'Barang Keluar'!$C:$C,N16184))</f>
        <v>0</v>
      </c>
    </row>
    <row r="16185" spans="13:16">
      <c r="M16185" s="49">
        <f>IF($A$4+161&gt;$B$4,"",$A$4+161)</f>
        <v>46184</v>
      </c>
      <c r="N16185">
        <f>IF(M16185="","",'Master Barang'!A79)</f>
        <v>0</v>
      </c>
      <c r="O16185">
        <f>IF(N16185="","",'Master Barang'!B79)</f>
        <v>0</v>
      </c>
      <c r="P16185">
        <f>IF(OR(M16185="",N16185=""),"",SUMIFS('Barang Keluar'!$E:$E,'Barang Keluar'!$A:$A,M16185,'Barang Keluar'!$C:$C,N16185))</f>
        <v>0</v>
      </c>
    </row>
    <row r="16186" spans="13:16">
      <c r="M16186" s="49">
        <f>IF($A$4+161&gt;$B$4,"",$A$4+161)</f>
        <v>46184</v>
      </c>
      <c r="N16186">
        <f>IF(M16186="","",'Master Barang'!A80)</f>
        <v>0</v>
      </c>
      <c r="O16186">
        <f>IF(N16186="","",'Master Barang'!B80)</f>
        <v>0</v>
      </c>
      <c r="P16186">
        <f>IF(OR(M16186="",N16186=""),"",SUMIFS('Barang Keluar'!$E:$E,'Barang Keluar'!$A:$A,M16186,'Barang Keluar'!$C:$C,N16186))</f>
        <v>0</v>
      </c>
    </row>
    <row r="16187" spans="13:16">
      <c r="M16187" s="49">
        <f>IF($A$4+161&gt;$B$4,"",$A$4+161)</f>
        <v>46184</v>
      </c>
      <c r="N16187">
        <f>IF(M16187="","",'Master Barang'!A81)</f>
        <v>0</v>
      </c>
      <c r="O16187">
        <f>IF(N16187="","",'Master Barang'!B81)</f>
        <v>0</v>
      </c>
      <c r="P16187">
        <f>IF(OR(M16187="",N16187=""),"",SUMIFS('Barang Keluar'!$E:$E,'Barang Keluar'!$A:$A,M16187,'Barang Keluar'!$C:$C,N16187))</f>
        <v>0</v>
      </c>
    </row>
    <row r="16188" spans="13:16">
      <c r="M16188" s="49">
        <f>IF($A$4+161&gt;$B$4,"",$A$4+161)</f>
        <v>46184</v>
      </c>
      <c r="N16188">
        <f>IF(M16188="","",'Master Barang'!A82)</f>
        <v>0</v>
      </c>
      <c r="O16188">
        <f>IF(N16188="","",'Master Barang'!B82)</f>
        <v>0</v>
      </c>
      <c r="P16188">
        <f>IF(OR(M16188="",N16188=""),"",SUMIFS('Barang Keluar'!$E:$E,'Barang Keluar'!$A:$A,M16188,'Barang Keluar'!$C:$C,N16188))</f>
        <v>0</v>
      </c>
    </row>
    <row r="16189" spans="13:16">
      <c r="M16189" s="49">
        <f>IF($A$4+161&gt;$B$4,"",$A$4+161)</f>
        <v>46184</v>
      </c>
      <c r="N16189">
        <f>IF(M16189="","",'Master Barang'!A83)</f>
        <v>0</v>
      </c>
      <c r="O16189">
        <f>IF(N16189="","",'Master Barang'!B83)</f>
        <v>0</v>
      </c>
      <c r="P16189">
        <f>IF(OR(M16189="",N16189=""),"",SUMIFS('Barang Keluar'!$E:$E,'Barang Keluar'!$A:$A,M16189,'Barang Keluar'!$C:$C,N16189))</f>
        <v>0</v>
      </c>
    </row>
    <row r="16190" spans="13:16">
      <c r="M16190" s="49">
        <f>IF($A$4+161&gt;$B$4,"",$A$4+161)</f>
        <v>46184</v>
      </c>
      <c r="N16190">
        <f>IF(M16190="","",'Master Barang'!A84)</f>
        <v>0</v>
      </c>
      <c r="O16190">
        <f>IF(N16190="","",'Master Barang'!B84)</f>
        <v>0</v>
      </c>
      <c r="P16190">
        <f>IF(OR(M16190="",N16190=""),"",SUMIFS('Barang Keluar'!$E:$E,'Barang Keluar'!$A:$A,M16190,'Barang Keluar'!$C:$C,N16190))</f>
        <v>0</v>
      </c>
    </row>
    <row r="16191" spans="13:16">
      <c r="M16191" s="49">
        <f>IF($A$4+161&gt;$B$4,"",$A$4+161)</f>
        <v>46184</v>
      </c>
      <c r="N16191">
        <f>IF(M16191="","",'Master Barang'!A85)</f>
        <v>0</v>
      </c>
      <c r="O16191">
        <f>IF(N16191="","",'Master Barang'!B85)</f>
        <v>0</v>
      </c>
      <c r="P16191">
        <f>IF(OR(M16191="",N16191=""),"",SUMIFS('Barang Keluar'!$E:$E,'Barang Keluar'!$A:$A,M16191,'Barang Keluar'!$C:$C,N16191))</f>
        <v>0</v>
      </c>
    </row>
    <row r="16192" spans="13:16">
      <c r="M16192" s="49">
        <f>IF($A$4+161&gt;$B$4,"",$A$4+161)</f>
        <v>46184</v>
      </c>
      <c r="N16192">
        <f>IF(M16192="","",'Master Barang'!A86)</f>
        <v>0</v>
      </c>
      <c r="O16192">
        <f>IF(N16192="","",'Master Barang'!B86)</f>
        <v>0</v>
      </c>
      <c r="P16192">
        <f>IF(OR(M16192="",N16192=""),"",SUMIFS('Barang Keluar'!$E:$E,'Barang Keluar'!$A:$A,M16192,'Barang Keluar'!$C:$C,N16192))</f>
        <v>0</v>
      </c>
    </row>
    <row r="16193" spans="13:16">
      <c r="M16193" s="49">
        <f>IF($A$4+161&gt;$B$4,"",$A$4+161)</f>
        <v>46184</v>
      </c>
      <c r="N16193">
        <f>IF(M16193="","",'Master Barang'!A87)</f>
        <v>0</v>
      </c>
      <c r="O16193">
        <f>IF(N16193="","",'Master Barang'!B87)</f>
        <v>0</v>
      </c>
      <c r="P16193">
        <f>IF(OR(M16193="",N16193=""),"",SUMIFS('Barang Keluar'!$E:$E,'Barang Keluar'!$A:$A,M16193,'Barang Keluar'!$C:$C,N16193))</f>
        <v>0</v>
      </c>
    </row>
    <row r="16194" spans="13:16">
      <c r="M16194" s="49">
        <f>IF($A$4+161&gt;$B$4,"",$A$4+161)</f>
        <v>46184</v>
      </c>
      <c r="N16194">
        <f>IF(M16194="","",'Master Barang'!A88)</f>
        <v>0</v>
      </c>
      <c r="O16194">
        <f>IF(N16194="","",'Master Barang'!B88)</f>
        <v>0</v>
      </c>
      <c r="P16194">
        <f>IF(OR(M16194="",N16194=""),"",SUMIFS('Barang Keluar'!$E:$E,'Barang Keluar'!$A:$A,M16194,'Barang Keluar'!$C:$C,N16194))</f>
        <v>0</v>
      </c>
    </row>
    <row r="16195" spans="13:16">
      <c r="M16195" s="49">
        <f>IF($A$4+161&gt;$B$4,"",$A$4+161)</f>
        <v>46184</v>
      </c>
      <c r="N16195">
        <f>IF(M16195="","",'Master Barang'!A89)</f>
        <v>0</v>
      </c>
      <c r="O16195">
        <f>IF(N16195="","",'Master Barang'!B89)</f>
        <v>0</v>
      </c>
      <c r="P16195">
        <f>IF(OR(M16195="",N16195=""),"",SUMIFS('Barang Keluar'!$E:$E,'Barang Keluar'!$A:$A,M16195,'Barang Keluar'!$C:$C,N16195))</f>
        <v>0</v>
      </c>
    </row>
    <row r="16196" spans="13:16">
      <c r="M16196" s="49">
        <f>IF($A$4+161&gt;$B$4,"",$A$4+161)</f>
        <v>46184</v>
      </c>
      <c r="N16196">
        <f>IF(M16196="","",'Master Barang'!A90)</f>
        <v>0</v>
      </c>
      <c r="O16196">
        <f>IF(N16196="","",'Master Barang'!B90)</f>
        <v>0</v>
      </c>
      <c r="P16196">
        <f>IF(OR(M16196="",N16196=""),"",SUMIFS('Barang Keluar'!$E:$E,'Barang Keluar'!$A:$A,M16196,'Barang Keluar'!$C:$C,N16196))</f>
        <v>0</v>
      </c>
    </row>
    <row r="16197" spans="13:16">
      <c r="M16197" s="49">
        <f>IF($A$4+161&gt;$B$4,"",$A$4+161)</f>
        <v>46184</v>
      </c>
      <c r="N16197">
        <f>IF(M16197="","",'Master Barang'!A91)</f>
        <v>0</v>
      </c>
      <c r="O16197">
        <f>IF(N16197="","",'Master Barang'!B91)</f>
        <v>0</v>
      </c>
      <c r="P16197">
        <f>IF(OR(M16197="",N16197=""),"",SUMIFS('Barang Keluar'!$E:$E,'Barang Keluar'!$A:$A,M16197,'Barang Keluar'!$C:$C,N16197))</f>
        <v>0</v>
      </c>
    </row>
    <row r="16198" spans="13:16">
      <c r="M16198" s="49">
        <f>IF($A$4+161&gt;$B$4,"",$A$4+161)</f>
        <v>46184</v>
      </c>
      <c r="N16198">
        <f>IF(M16198="","",'Master Barang'!A92)</f>
        <v>0</v>
      </c>
      <c r="O16198">
        <f>IF(N16198="","",'Master Barang'!B92)</f>
        <v>0</v>
      </c>
      <c r="P16198">
        <f>IF(OR(M16198="",N16198=""),"",SUMIFS('Barang Keluar'!$E:$E,'Barang Keluar'!$A:$A,M16198,'Barang Keluar'!$C:$C,N16198))</f>
        <v>0</v>
      </c>
    </row>
    <row r="16199" spans="13:16">
      <c r="M16199" s="49">
        <f>IF($A$4+161&gt;$B$4,"",$A$4+161)</f>
        <v>46184</v>
      </c>
      <c r="N16199">
        <f>IF(M16199="","",'Master Barang'!A93)</f>
        <v>0</v>
      </c>
      <c r="O16199">
        <f>IF(N16199="","",'Master Barang'!B93)</f>
        <v>0</v>
      </c>
      <c r="P16199">
        <f>IF(OR(M16199="",N16199=""),"",SUMIFS('Barang Keluar'!$E:$E,'Barang Keluar'!$A:$A,M16199,'Barang Keluar'!$C:$C,N16199))</f>
        <v>0</v>
      </c>
    </row>
    <row r="16200" spans="13:16">
      <c r="M16200" s="49">
        <f>IF($A$4+161&gt;$B$4,"",$A$4+161)</f>
        <v>46184</v>
      </c>
      <c r="N16200">
        <f>IF(M16200="","",'Master Barang'!A94)</f>
        <v>0</v>
      </c>
      <c r="O16200">
        <f>IF(N16200="","",'Master Barang'!B94)</f>
        <v>0</v>
      </c>
      <c r="P16200">
        <f>IF(OR(M16200="",N16200=""),"",SUMIFS('Barang Keluar'!$E:$E,'Barang Keluar'!$A:$A,M16200,'Barang Keluar'!$C:$C,N16200))</f>
        <v>0</v>
      </c>
    </row>
    <row r="16201" spans="13:16">
      <c r="M16201" s="49">
        <f>IF($A$4+161&gt;$B$4,"",$A$4+161)</f>
        <v>46184</v>
      </c>
      <c r="N16201">
        <f>IF(M16201="","",'Master Barang'!A95)</f>
        <v>0</v>
      </c>
      <c r="O16201">
        <f>IF(N16201="","",'Master Barang'!B95)</f>
        <v>0</v>
      </c>
      <c r="P16201">
        <f>IF(OR(M16201="",N16201=""),"",SUMIFS('Barang Keluar'!$E:$E,'Barang Keluar'!$A:$A,M16201,'Barang Keluar'!$C:$C,N16201))</f>
        <v>0</v>
      </c>
    </row>
    <row r="16202" spans="13:16">
      <c r="M16202" s="49">
        <f>IF($A$4+161&gt;$B$4,"",$A$4+161)</f>
        <v>46184</v>
      </c>
      <c r="N16202">
        <f>IF(M16202="","",'Master Barang'!A96)</f>
        <v>0</v>
      </c>
      <c r="O16202">
        <f>IF(N16202="","",'Master Barang'!B96)</f>
        <v>0</v>
      </c>
      <c r="P16202">
        <f>IF(OR(M16202="",N16202=""),"",SUMIFS('Barang Keluar'!$E:$E,'Barang Keluar'!$A:$A,M16202,'Barang Keluar'!$C:$C,N16202))</f>
        <v>0</v>
      </c>
    </row>
    <row r="16203" spans="13:16">
      <c r="M16203" s="49">
        <f>IF($A$4+161&gt;$B$4,"",$A$4+161)</f>
        <v>46184</v>
      </c>
      <c r="N16203">
        <f>IF(M16203="","",'Master Barang'!A97)</f>
        <v>0</v>
      </c>
      <c r="O16203">
        <f>IF(N16203="","",'Master Barang'!B97)</f>
        <v>0</v>
      </c>
      <c r="P16203">
        <f>IF(OR(M16203="",N16203=""),"",SUMIFS('Barang Keluar'!$E:$E,'Barang Keluar'!$A:$A,M16203,'Barang Keluar'!$C:$C,N16203))</f>
        <v>0</v>
      </c>
    </row>
    <row r="16204" spans="13:16">
      <c r="M16204" s="49">
        <f>IF($A$4+161&gt;$B$4,"",$A$4+161)</f>
        <v>46184</v>
      </c>
      <c r="N16204">
        <f>IF(M16204="","",'Master Barang'!A98)</f>
        <v>0</v>
      </c>
      <c r="O16204">
        <f>IF(N16204="","",'Master Barang'!B98)</f>
        <v>0</v>
      </c>
      <c r="P16204">
        <f>IF(OR(M16204="",N16204=""),"",SUMIFS('Barang Keluar'!$E:$E,'Barang Keluar'!$A:$A,M16204,'Barang Keluar'!$C:$C,N16204))</f>
        <v>0</v>
      </c>
    </row>
    <row r="16205" spans="13:16">
      <c r="M16205" s="49">
        <f>IF($A$4+161&gt;$B$4,"",$A$4+161)</f>
        <v>46184</v>
      </c>
      <c r="N16205">
        <f>IF(M16205="","",'Master Barang'!A99)</f>
        <v>0</v>
      </c>
      <c r="O16205">
        <f>IF(N16205="","",'Master Barang'!B99)</f>
        <v>0</v>
      </c>
      <c r="P16205">
        <f>IF(OR(M16205="",N16205=""),"",SUMIFS('Barang Keluar'!$E:$E,'Barang Keluar'!$A:$A,M16205,'Barang Keluar'!$C:$C,N16205))</f>
        <v>0</v>
      </c>
    </row>
    <row r="16206" spans="13:16">
      <c r="M16206" s="49">
        <f>IF($A$4+161&gt;$B$4,"",$A$4+161)</f>
        <v>46184</v>
      </c>
      <c r="N16206">
        <f>IF(M16206="","",'Master Barang'!A100)</f>
        <v>0</v>
      </c>
      <c r="O16206">
        <f>IF(N16206="","",'Master Barang'!B100)</f>
        <v>0</v>
      </c>
      <c r="P16206">
        <f>IF(OR(M16206="",N16206=""),"",SUMIFS('Barang Keluar'!$E:$E,'Barang Keluar'!$A:$A,M16206,'Barang Keluar'!$C:$C,N16206))</f>
        <v>0</v>
      </c>
    </row>
    <row r="16207" spans="13:16">
      <c r="M16207" s="49">
        <f>IF($A$4+161&gt;$B$4,"",$A$4+161)</f>
        <v>46184</v>
      </c>
      <c r="N16207">
        <f>IF(M16207="","",'Master Barang'!A101)</f>
        <v>0</v>
      </c>
      <c r="O16207">
        <f>IF(N16207="","",'Master Barang'!B101)</f>
        <v>0</v>
      </c>
      <c r="P16207">
        <f>IF(OR(M16207="",N16207=""),"",SUMIFS('Barang Keluar'!$E:$E,'Barang Keluar'!$A:$A,M16207,'Barang Keluar'!$C:$C,N16207))</f>
        <v>0</v>
      </c>
    </row>
    <row r="16208" spans="13:16">
      <c r="M16208" s="49">
        <f>IF($A$4+162&gt;$B$4,"",$A$4+162)</f>
        <v>46185</v>
      </c>
      <c r="N16208" t="str">
        <f>IF(M16208="","",'Master Barang'!A2)</f>
        <v>PRL-001</v>
      </c>
      <c r="O16208" t="str">
        <f>IF(N16208="","",'Master Barang'!B2)</f>
        <v>natura desinfectant food grade 5l</v>
      </c>
      <c r="P16208">
        <f>IF(OR(M16208="",N16208=""),"",SUMIFS('Barang Keluar'!$E:$E,'Barang Keluar'!$A:$A,M16208,'Barang Keluar'!$C:$C,N16208))</f>
        <v>0</v>
      </c>
    </row>
    <row r="16209" spans="13:16">
      <c r="M16209" s="49">
        <f>IF($A$4+162&gt;$B$4,"",$A$4+162)</f>
        <v>46185</v>
      </c>
      <c r="N16209" t="str">
        <f>IF(M16209="","",'Master Barang'!A3)</f>
        <v>PRL-002</v>
      </c>
      <c r="O16209" t="str">
        <f>IF(N16209="","",'Master Barang'!B3)</f>
        <v>sunlight cairan pencuci piring 5l</v>
      </c>
      <c r="P16209">
        <f>IF(OR(M16209="",N16209=""),"",SUMIFS('Barang Keluar'!$E:$E,'Barang Keluar'!$A:$A,M16209,'Barang Keluar'!$C:$C,N16209))</f>
        <v>0</v>
      </c>
    </row>
    <row r="16210" spans="13:16">
      <c r="M16210" s="49">
        <f>IF($A$4+162&gt;$B$4,"",$A$4+162)</f>
        <v>46185</v>
      </c>
      <c r="N16210" t="str">
        <f>IF(M16210="","",'Master Barang'!A4)</f>
        <v>PRL-003</v>
      </c>
      <c r="O16210" t="str">
        <f>IF(N16210="","",'Master Barang'!B4)</f>
        <v>oixs cleaner 1l</v>
      </c>
      <c r="P16210">
        <f>IF(OR(M16210="",N16210=""),"",SUMIFS('Barang Keluar'!$E:$E,'Barang Keluar'!$A:$A,M16210,'Barang Keluar'!$C:$C,N16210))</f>
        <v>0</v>
      </c>
    </row>
    <row r="16211" spans="13:16">
      <c r="M16211" s="49">
        <f>IF($A$4+162&gt;$B$4,"",$A$4+162)</f>
        <v>46185</v>
      </c>
      <c r="N16211" t="str">
        <f>IF(M16211="","",'Master Barang'!A5)</f>
        <v>PRL-004</v>
      </c>
      <c r="O16211" t="str">
        <f>IF(N16211="","",'Master Barang'!B5)</f>
        <v>be clean tissue serbaguna</v>
      </c>
      <c r="P16211">
        <f>IF(OR(M16211="",N16211=""),"",SUMIFS('Barang Keluar'!$E:$E,'Barang Keluar'!$A:$A,M16211,'Barang Keluar'!$C:$C,N16211))</f>
        <v>0</v>
      </c>
    </row>
    <row r="16212" spans="13:16">
      <c r="M16212" s="49">
        <f>IF($A$4+162&gt;$B$4,"",$A$4+162)</f>
        <v>46185</v>
      </c>
      <c r="N16212" t="str">
        <f>IF(M16212="","",'Master Barang'!A6)</f>
        <v>PRL-005</v>
      </c>
      <c r="O16212" t="str">
        <f>IF(N16212="","",'Master Barang'!B6)</f>
        <v>spons cuci hijau</v>
      </c>
      <c r="P16212">
        <f>IF(OR(M16212="",N16212=""),"",SUMIFS('Barang Keluar'!$E:$E,'Barang Keluar'!$A:$A,M16212,'Barang Keluar'!$C:$C,N16212))</f>
        <v>0</v>
      </c>
    </row>
    <row r="16213" spans="13:16">
      <c r="M16213" s="49">
        <f>IF($A$4+162&gt;$B$4,"",$A$4+162)</f>
        <v>46185</v>
      </c>
      <c r="N16213" t="str">
        <f>IF(M16213="","",'Master Barang'!A7)</f>
        <v>PRL-006</v>
      </c>
      <c r="O16213" t="str">
        <f>IF(N16213="","",'Master Barang'!B7)</f>
        <v>sabut cuci stainless</v>
      </c>
      <c r="P16213">
        <f>IF(OR(M16213="",N16213=""),"",SUMIFS('Barang Keluar'!$E:$E,'Barang Keluar'!$A:$A,M16213,'Barang Keluar'!$C:$C,N16213))</f>
        <v>0</v>
      </c>
    </row>
    <row r="16214" spans="13:16">
      <c r="M16214" s="49">
        <f>IF($A$4+162&gt;$B$4,"",$A$4+162)</f>
        <v>46185</v>
      </c>
      <c r="N16214" t="str">
        <f>IF(M16214="","",'Master Barang'!A8)</f>
        <v>PRL-007</v>
      </c>
      <c r="O16214" t="str">
        <f>IF(N16214="","",'Master Barang'!B8)</f>
        <v>plastik kresek besar merah 50pc</v>
      </c>
      <c r="P16214">
        <f>IF(OR(M16214="",N16214=""),"",SUMIFS('Barang Keluar'!$E:$E,'Barang Keluar'!$A:$A,M16214,'Barang Keluar'!$C:$C,N16214))</f>
        <v>0</v>
      </c>
    </row>
    <row r="16215" spans="13:16">
      <c r="M16215" s="49">
        <f>IF($A$4+162&gt;$B$4,"",$A$4+162)</f>
        <v>46185</v>
      </c>
      <c r="N16215" t="str">
        <f>IF(M16215="","",'Master Barang'!A9)</f>
        <v>PRL-008</v>
      </c>
      <c r="O16215" t="str">
        <f>IF(N16215="","",'Master Barang'!B9)</f>
        <v>lap besar</v>
      </c>
      <c r="P16215">
        <f>IF(OR(M16215="",N16215=""),"",SUMIFS('Barang Keluar'!$E:$E,'Barang Keluar'!$A:$A,M16215,'Barang Keluar'!$C:$C,N16215))</f>
        <v>0</v>
      </c>
    </row>
    <row r="16216" spans="13:16">
      <c r="M16216" s="49">
        <f>IF($A$4+162&gt;$B$4,"",$A$4+162)</f>
        <v>46185</v>
      </c>
      <c r="N16216" t="str">
        <f>IF(M16216="","",'Master Barang'!A10)</f>
        <v>PRL-009</v>
      </c>
      <c r="O16216" t="str">
        <f>IF(N16216="","",'Master Barang'!B10)</f>
        <v>lap microfiber</v>
      </c>
      <c r="P16216">
        <f>IF(OR(M16216="",N16216=""),"",SUMIFS('Barang Keluar'!$E:$E,'Barang Keluar'!$A:$A,M16216,'Barang Keluar'!$C:$C,N16216))</f>
        <v>0</v>
      </c>
    </row>
    <row r="16217" spans="13:16">
      <c r="M16217" s="49">
        <f>IF($A$4+162&gt;$B$4,"",$A$4+162)</f>
        <v>46185</v>
      </c>
      <c r="N16217" t="str">
        <f>IF(M16217="","",'Master Barang'!A11)</f>
        <v>PRL-010</v>
      </c>
      <c r="O16217" t="str">
        <f>IF(N16217="","",'Master Barang'!B11)</f>
        <v>lap kecil</v>
      </c>
      <c r="P16217">
        <f>IF(OR(M16217="",N16217=""),"",SUMIFS('Barang Keluar'!$E:$E,'Barang Keluar'!$A:$A,M16217,'Barang Keluar'!$C:$C,N16217))</f>
        <v>0</v>
      </c>
    </row>
    <row r="16218" spans="13:16">
      <c r="M16218" s="49">
        <f>IF($A$4+162&gt;$B$4,"",$A$4+162)</f>
        <v>46185</v>
      </c>
      <c r="N16218" t="str">
        <f>IF(M16218="","",'Master Barang'!A12)</f>
        <v>PRL-011</v>
      </c>
      <c r="O16218" t="str">
        <f>IF(N16218="","",'Master Barang'!B12)</f>
        <v>kanebo kecil</v>
      </c>
      <c r="P16218">
        <f>IF(OR(M16218="",N16218=""),"",SUMIFS('Barang Keluar'!$E:$E,'Barang Keluar'!$A:$A,M16218,'Barang Keluar'!$C:$C,N16218))</f>
        <v>0</v>
      </c>
    </row>
    <row r="16219" spans="13:16">
      <c r="M16219" s="49">
        <f>IF($A$4+162&gt;$B$4,"",$A$4+162)</f>
        <v>46185</v>
      </c>
      <c r="N16219" t="str">
        <f>IF(M16219="","",'Master Barang'!A13)</f>
        <v>PRL-012</v>
      </c>
      <c r="O16219" t="str">
        <f>IF(N16219="","",'Master Barang'!B13)</f>
        <v>plastik 1/4kg joyoboyo 100 lembar</v>
      </c>
      <c r="P16219">
        <f>IF(OR(M16219="",N16219=""),"",SUMIFS('Barang Keluar'!$E:$E,'Barang Keluar'!$A:$A,M16219,'Barang Keluar'!$C:$C,N16219))</f>
        <v>0</v>
      </c>
    </row>
    <row r="16220" spans="13:16">
      <c r="M16220" s="49">
        <f>IF($A$4+162&gt;$B$4,"",$A$4+162)</f>
        <v>46185</v>
      </c>
      <c r="N16220" t="str">
        <f>IF(M16220="","",'Master Barang'!A14)</f>
        <v>PRL-013</v>
      </c>
      <c r="O16220" t="str">
        <f>IF(N16220="","",'Master Barang'!B14)</f>
        <v>sarung tangan plastik kaka 100 pcs</v>
      </c>
      <c r="P16220">
        <f>IF(OR(M16220="",N16220=""),"",SUMIFS('Barang Keluar'!$E:$E,'Barang Keluar'!$A:$A,M16220,'Barang Keluar'!$C:$C,N16220))</f>
        <v>0</v>
      </c>
    </row>
    <row r="16221" spans="13:16">
      <c r="M16221" s="49">
        <f>IF($A$4+162&gt;$B$4,"",$A$4+162)</f>
        <v>46185</v>
      </c>
      <c r="N16221" t="str">
        <f>IF(M16221="","",'Master Barang'!A15)</f>
        <v>PRL-014</v>
      </c>
      <c r="O16221" t="str">
        <f>IF(N16221="","",'Master Barang'!B15)</f>
        <v>optima trashbag 80x100</v>
      </c>
      <c r="P16221">
        <f>IF(OR(M16221="",N16221=""),"",SUMIFS('Barang Keluar'!$E:$E,'Barang Keluar'!$A:$A,M16221,'Barang Keluar'!$C:$C,N16221))</f>
        <v>0</v>
      </c>
    </row>
    <row r="16222" spans="13:16">
      <c r="M16222" s="49">
        <f>IF($A$4+162&gt;$B$4,"",$A$4+162)</f>
        <v>46185</v>
      </c>
      <c r="N16222" t="str">
        <f>IF(M16222="","",'Master Barang'!A16)</f>
        <v>PRL-015</v>
      </c>
      <c r="O16222" t="str">
        <f>IF(N16222="","",'Master Barang'!B16)</f>
        <v>optima trashbag 60x100</v>
      </c>
      <c r="P16222">
        <f>IF(OR(M16222="",N16222=""),"",SUMIFS('Barang Keluar'!$E:$E,'Barang Keluar'!$A:$A,M16222,'Barang Keluar'!$C:$C,N16222))</f>
        <v>0</v>
      </c>
    </row>
    <row r="16223" spans="13:16">
      <c r="M16223" s="49">
        <f>IF($A$4+162&gt;$B$4,"",$A$4+162)</f>
        <v>46185</v>
      </c>
      <c r="N16223" t="str">
        <f>IF(M16223="","",'Master Barang'!A17)</f>
        <v>PRL-016</v>
      </c>
      <c r="O16223" t="str">
        <f>IF(N16223="","",'Master Barang'!B17)</f>
        <v>rajawali trashbag 30x40</v>
      </c>
      <c r="P16223">
        <f>IF(OR(M16223="",N16223=""),"",SUMIFS('Barang Keluar'!$E:$E,'Barang Keluar'!$A:$A,M16223,'Barang Keluar'!$C:$C,N16223))</f>
        <v>0</v>
      </c>
    </row>
    <row r="16224" spans="13:16">
      <c r="M16224" s="49">
        <f>IF($A$4+162&gt;$B$4,"",$A$4+162)</f>
        <v>46185</v>
      </c>
      <c r="N16224" t="str">
        <f>IF(M16224="","",'Master Barang'!A18)</f>
        <v>PRL-017</v>
      </c>
      <c r="O16224" t="str">
        <f>IF(N16224="","",'Master Barang'!B18)</f>
        <v>onemed masker biru 3 play 50 pcs</v>
      </c>
      <c r="P16224">
        <f>IF(OR(M16224="",N16224=""),"",SUMIFS('Barang Keluar'!$E:$E,'Barang Keluar'!$A:$A,M16224,'Barang Keluar'!$C:$C,N16224))</f>
        <v>0</v>
      </c>
    </row>
    <row r="16225" spans="13:16">
      <c r="M16225" s="49">
        <f>IF($A$4+162&gt;$B$4,"",$A$4+162)</f>
        <v>46185</v>
      </c>
      <c r="N16225" t="str">
        <f>IF(M16225="","",'Master Barang'!A19)</f>
        <v>PRL-018</v>
      </c>
      <c r="O16225" t="str">
        <f>IF(N16225="","",'Master Barang'!B19)</f>
        <v>onemed masker biru 3 play hijab 50 pcs</v>
      </c>
      <c r="P16225">
        <f>IF(OR(M16225="",N16225=""),"",SUMIFS('Barang Keluar'!$E:$E,'Barang Keluar'!$A:$A,M16225,'Barang Keluar'!$C:$C,N16225))</f>
        <v>0</v>
      </c>
    </row>
    <row r="16226" spans="13:16">
      <c r="M16226" s="49">
        <f>IF($A$4+162&gt;$B$4,"",$A$4+162)</f>
        <v>46185</v>
      </c>
      <c r="N16226" t="str">
        <f>IF(M16226="","",'Master Barang'!A20)</f>
        <v>PRL-019</v>
      </c>
      <c r="O16226" t="str">
        <f>IF(N16226="","",'Master Barang'!B20)</f>
        <v>neo health masker biru 3 play 50 pcs</v>
      </c>
      <c r="P16226">
        <f>IF(OR(M16226="",N16226=""),"",SUMIFS('Barang Keluar'!$E:$E,'Barang Keluar'!$A:$A,M16226,'Barang Keluar'!$C:$C,N16226))</f>
        <v>0</v>
      </c>
    </row>
    <row r="16227" spans="13:16">
      <c r="M16227" s="49">
        <f>IF($A$4+162&gt;$B$4,"",$A$4+162)</f>
        <v>46185</v>
      </c>
      <c r="N16227" t="str">
        <f>IF(M16227="","",'Master Barang'!A21)</f>
        <v>PRL-020</v>
      </c>
      <c r="O16227" t="str">
        <f>IF(N16227="","",'Master Barang'!B21)</f>
        <v>baymed masker hijau 3 play hijau 50 pcs</v>
      </c>
      <c r="P16227">
        <f>IF(OR(M16227="",N16227=""),"",SUMIFS('Barang Keluar'!$E:$E,'Barang Keluar'!$A:$A,M16227,'Barang Keluar'!$C:$C,N16227))</f>
        <v>0</v>
      </c>
    </row>
    <row r="16228" spans="13:16">
      <c r="M16228" s="49">
        <f>IF($A$4+162&gt;$B$4,"",$A$4+162)</f>
        <v>46185</v>
      </c>
      <c r="N16228" t="str">
        <f>IF(M16228="","",'Master Barang'!A22)</f>
        <v>PRL-021</v>
      </c>
      <c r="O16228" t="str">
        <f>IF(N16228="","",'Master Barang'!B22)</f>
        <v>altamed nurse cap penutup kepala 100 pcs</v>
      </c>
      <c r="P16228">
        <f>IF(OR(M16228="",N16228=""),"",SUMIFS('Barang Keluar'!$E:$E,'Barang Keluar'!$A:$A,M16228,'Barang Keluar'!$C:$C,N16228))</f>
        <v>0</v>
      </c>
    </row>
    <row r="16229" spans="13:16">
      <c r="M16229" s="49">
        <f>IF($A$4+162&gt;$B$4,"",$A$4+162)</f>
        <v>46185</v>
      </c>
      <c r="N16229" t="str">
        <f>IF(M16229="","",'Master Barang'!A23)</f>
        <v>PRL-022</v>
      </c>
      <c r="O16229" t="str">
        <f>IF(N16229="","",'Master Barang'!B23)</f>
        <v>sabun cuci tangan</v>
      </c>
      <c r="P16229">
        <f>IF(OR(M16229="",N16229=""),"",SUMIFS('Barang Keluar'!$E:$E,'Barang Keluar'!$A:$A,M16229,'Barang Keluar'!$C:$C,N16229))</f>
        <v>0</v>
      </c>
    </row>
    <row r="16230" spans="13:16">
      <c r="M16230" s="49">
        <f>IF($A$4+162&gt;$B$4,"",$A$4+162)</f>
        <v>46185</v>
      </c>
      <c r="N16230" t="str">
        <f>IF(M16230="","",'Master Barang'!A24)</f>
        <v>PRL-023</v>
      </c>
      <c r="O16230" t="str">
        <f>IF(N16230="","",'Master Barang'!B24)</f>
        <v>gayung kecil</v>
      </c>
      <c r="P16230">
        <f>IF(OR(M16230="",N16230=""),"",SUMIFS('Barang Keluar'!$E:$E,'Barang Keluar'!$A:$A,M16230,'Barang Keluar'!$C:$C,N16230))</f>
        <v>0</v>
      </c>
    </row>
    <row r="16231" spans="13:16">
      <c r="M16231" s="49">
        <f>IF($A$4+162&gt;$B$4,"",$A$4+162)</f>
        <v>46185</v>
      </c>
      <c r="N16231" t="str">
        <f>IF(M16231="","",'Master Barang'!A25)</f>
        <v>PRL-024</v>
      </c>
      <c r="O16231" t="str">
        <f>IF(N16231="","",'Master Barang'!B25)</f>
        <v>cikrak kecil</v>
      </c>
      <c r="P16231">
        <f>IF(OR(M16231="",N16231=""),"",SUMIFS('Barang Keluar'!$E:$E,'Barang Keluar'!$A:$A,M16231,'Barang Keluar'!$C:$C,N16231))</f>
        <v>0</v>
      </c>
    </row>
    <row r="16232" spans="13:16">
      <c r="M16232" s="49">
        <f>IF($A$4+162&gt;$B$4,"",$A$4+162)</f>
        <v>46185</v>
      </c>
      <c r="N16232" t="str">
        <f>IF(M16232="","",'Master Barang'!A26)</f>
        <v>PRL-025</v>
      </c>
      <c r="O16232" t="str">
        <f>IF(N16232="","",'Master Barang'!B26)</f>
        <v>petromax plastik kecil 12x24 100 lembar</v>
      </c>
      <c r="P16232">
        <f>IF(OR(M16232="",N16232=""),"",SUMIFS('Barang Keluar'!$E:$E,'Barang Keluar'!$A:$A,M16232,'Barang Keluar'!$C:$C,N16232))</f>
        <v>0</v>
      </c>
    </row>
    <row r="16233" spans="13:16">
      <c r="M16233" s="49">
        <f>IF($A$4+162&gt;$B$4,"",$A$4+162)</f>
        <v>46185</v>
      </c>
      <c r="N16233" t="str">
        <f>IF(M16233="","",'Master Barang'!A27)</f>
        <v>PRL-026</v>
      </c>
      <c r="O16233" t="str">
        <f>IF(N16233="","",'Master Barang'!B27)</f>
        <v>lancar kresek kecil bening </v>
      </c>
      <c r="P16233">
        <f>IF(OR(M16233="",N16233=""),"",SUMIFS('Barang Keluar'!$E:$E,'Barang Keluar'!$A:$A,M16233,'Barang Keluar'!$C:$C,N16233))</f>
        <v>0</v>
      </c>
    </row>
    <row r="16234" spans="13:16">
      <c r="M16234" s="49">
        <f>IF($A$4+162&gt;$B$4,"",$A$4+162)</f>
        <v>46185</v>
      </c>
      <c r="N16234" t="str">
        <f>IF(M16234="","",'Master Barang'!A28)</f>
        <v>PRL-027</v>
      </c>
      <c r="O16234" t="str">
        <f>IF(N16234="","",'Master Barang'!B28)</f>
        <v>kresek klin warna warni kecil</v>
      </c>
      <c r="P16234">
        <f>IF(OR(M16234="",N16234=""),"",SUMIFS('Barang Keluar'!$E:$E,'Barang Keluar'!$A:$A,M16234,'Barang Keluar'!$C:$C,N16234))</f>
        <v>0</v>
      </c>
    </row>
    <row r="16235" spans="13:16">
      <c r="M16235" s="49">
        <f>IF($A$4+162&gt;$B$4,"",$A$4+162)</f>
        <v>46185</v>
      </c>
      <c r="N16235" t="str">
        <f>IF(M16235="","",'Master Barang'!A29)</f>
        <v>PRL-028</v>
      </c>
      <c r="O16235" t="str">
        <f>IF(N16235="","",'Master Barang'!B29)</f>
        <v>ctik plastik 7x10 100 pcs</v>
      </c>
      <c r="P16235">
        <f>IF(OR(M16235="",N16235=""),"",SUMIFS('Barang Keluar'!$E:$E,'Barang Keluar'!$A:$A,M16235,'Barang Keluar'!$C:$C,N16235))</f>
        <v>0</v>
      </c>
    </row>
    <row r="16236" spans="13:16">
      <c r="M16236" s="49">
        <f>IF($A$4+162&gt;$B$4,"",$A$4+162)</f>
        <v>46185</v>
      </c>
      <c r="N16236" t="str">
        <f>IF(M16236="","",'Master Barang'!A30)</f>
        <v>PRL-029</v>
      </c>
      <c r="O16236" t="str">
        <f>IF(N16236="","",'Master Barang'!B30)</f>
        <v>ctik plastik 6x10 100 pcs</v>
      </c>
      <c r="P16236">
        <f>IF(OR(M16236="",N16236=""),"",SUMIFS('Barang Keluar'!$E:$E,'Barang Keluar'!$A:$A,M16236,'Barang Keluar'!$C:$C,N16236))</f>
        <v>0</v>
      </c>
    </row>
    <row r="16237" spans="13:16">
      <c r="M16237" s="49">
        <f>IF($A$4+162&gt;$B$4,"",$A$4+162)</f>
        <v>46185</v>
      </c>
      <c r="N16237" t="str">
        <f>IF(M16237="","",'Master Barang'!A31)</f>
        <v>PRL-030</v>
      </c>
      <c r="O16237" t="str">
        <f>IF(N16237="","",'Master Barang'!B31)</f>
        <v>klip plastik 25x16 100 pcs</v>
      </c>
      <c r="P16237">
        <f>IF(OR(M16237="",N16237=""),"",SUMIFS('Barang Keluar'!$E:$E,'Barang Keluar'!$A:$A,M16237,'Barang Keluar'!$C:$C,N16237))</f>
        <v>0</v>
      </c>
    </row>
    <row r="16238" spans="13:16">
      <c r="M16238" s="49">
        <f>IF($A$4+162&gt;$B$4,"",$A$4+162)</f>
        <v>46185</v>
      </c>
      <c r="N16238" t="str">
        <f>IF(M16238="","",'Master Barang'!A32)</f>
        <v>PRL-031</v>
      </c>
      <c r="O16238" t="str">
        <f>IF(N16238="","",'Master Barang'!B32)</f>
        <v>tempat saus 20 ml</v>
      </c>
      <c r="P16238">
        <f>IF(OR(M16238="",N16238=""),"",SUMIFS('Barang Keluar'!$E:$E,'Barang Keluar'!$A:$A,M16238,'Barang Keluar'!$C:$C,N16238))</f>
        <v>0</v>
      </c>
    </row>
    <row r="16239" spans="13:16">
      <c r="M16239" s="49">
        <f>IF($A$4+162&gt;$B$4,"",$A$4+162)</f>
        <v>46185</v>
      </c>
      <c r="N16239" t="str">
        <f>IF(M16239="","",'Master Barang'!A33)</f>
        <v>PRL-032</v>
      </c>
      <c r="O16239" t="str">
        <f>IF(N16239="","",'Master Barang'!B33)</f>
        <v>plastik packaging ag box uk sedang</v>
      </c>
      <c r="P16239">
        <f>IF(OR(M16239="",N16239=""),"",SUMIFS('Barang Keluar'!$E:$E,'Barang Keluar'!$A:$A,M16239,'Barang Keluar'!$C:$C,N16239))</f>
        <v>0</v>
      </c>
    </row>
    <row r="16240" spans="13:16">
      <c r="M16240" s="49">
        <f>IF($A$4+162&gt;$B$4,"",$A$4+162)</f>
        <v>46185</v>
      </c>
      <c r="N16240" t="str">
        <f>IF(M16240="","",'Master Barang'!A34)</f>
        <v>PRL-033</v>
      </c>
      <c r="O16240">
        <f>IF(N16240="","",'Master Barang'!B34)</f>
        <v>0</v>
      </c>
      <c r="P16240">
        <f>IF(OR(M16240="",N16240=""),"",SUMIFS('Barang Keluar'!$E:$E,'Barang Keluar'!$A:$A,M16240,'Barang Keluar'!$C:$C,N16240))</f>
        <v>0</v>
      </c>
    </row>
    <row r="16241" spans="13:16">
      <c r="M16241" s="49">
        <f>IF($A$4+162&gt;$B$4,"",$A$4+162)</f>
        <v>46185</v>
      </c>
      <c r="N16241">
        <f>IF(M16241="","",'Master Barang'!A35)</f>
        <v>0</v>
      </c>
      <c r="O16241">
        <f>IF(N16241="","",'Master Barang'!B35)</f>
        <v>0</v>
      </c>
      <c r="P16241">
        <f>IF(OR(M16241="",N16241=""),"",SUMIFS('Barang Keluar'!$E:$E,'Barang Keluar'!$A:$A,M16241,'Barang Keluar'!$C:$C,N16241))</f>
        <v>0</v>
      </c>
    </row>
    <row r="16242" spans="13:16">
      <c r="M16242" s="49">
        <f>IF($A$4+162&gt;$B$4,"",$A$4+162)</f>
        <v>46185</v>
      </c>
      <c r="N16242">
        <f>IF(M16242="","",'Master Barang'!A36)</f>
        <v>0</v>
      </c>
      <c r="O16242">
        <f>IF(N16242="","",'Master Barang'!B36)</f>
        <v>0</v>
      </c>
      <c r="P16242">
        <f>IF(OR(M16242="",N16242=""),"",SUMIFS('Barang Keluar'!$E:$E,'Barang Keluar'!$A:$A,M16242,'Barang Keluar'!$C:$C,N16242))</f>
        <v>0</v>
      </c>
    </row>
    <row r="16243" spans="13:16">
      <c r="M16243" s="49">
        <f>IF($A$4+162&gt;$B$4,"",$A$4+162)</f>
        <v>46185</v>
      </c>
      <c r="N16243">
        <f>IF(M16243="","",'Master Barang'!A37)</f>
        <v>0</v>
      </c>
      <c r="O16243">
        <f>IF(N16243="","",'Master Barang'!B37)</f>
        <v>0</v>
      </c>
      <c r="P16243">
        <f>IF(OR(M16243="",N16243=""),"",SUMIFS('Barang Keluar'!$E:$E,'Barang Keluar'!$A:$A,M16243,'Barang Keluar'!$C:$C,N16243))</f>
        <v>0</v>
      </c>
    </row>
    <row r="16244" spans="13:16">
      <c r="M16244" s="49">
        <f>IF($A$4+162&gt;$B$4,"",$A$4+162)</f>
        <v>46185</v>
      </c>
      <c r="N16244">
        <f>IF(M16244="","",'Master Barang'!A38)</f>
        <v>0</v>
      </c>
      <c r="O16244">
        <f>IF(N16244="","",'Master Barang'!B38)</f>
        <v>0</v>
      </c>
      <c r="P16244">
        <f>IF(OR(M16244="",N16244=""),"",SUMIFS('Barang Keluar'!$E:$E,'Barang Keluar'!$A:$A,M16244,'Barang Keluar'!$C:$C,N16244))</f>
        <v>0</v>
      </c>
    </row>
    <row r="16245" spans="13:16">
      <c r="M16245" s="49">
        <f>IF($A$4+162&gt;$B$4,"",$A$4+162)</f>
        <v>46185</v>
      </c>
      <c r="N16245">
        <f>IF(M16245="","",'Master Barang'!A39)</f>
        <v>0</v>
      </c>
      <c r="O16245">
        <f>IF(N16245="","",'Master Barang'!B39)</f>
        <v>0</v>
      </c>
      <c r="P16245">
        <f>IF(OR(M16245="",N16245=""),"",SUMIFS('Barang Keluar'!$E:$E,'Barang Keluar'!$A:$A,M16245,'Barang Keluar'!$C:$C,N16245))</f>
        <v>0</v>
      </c>
    </row>
    <row r="16246" spans="13:16">
      <c r="M16246" s="49">
        <f>IF($A$4+162&gt;$B$4,"",$A$4+162)</f>
        <v>46185</v>
      </c>
      <c r="N16246">
        <f>IF(M16246="","",'Master Barang'!A40)</f>
        <v>0</v>
      </c>
      <c r="O16246">
        <f>IF(N16246="","",'Master Barang'!B40)</f>
        <v>0</v>
      </c>
      <c r="P16246">
        <f>IF(OR(M16246="",N16246=""),"",SUMIFS('Barang Keluar'!$E:$E,'Barang Keluar'!$A:$A,M16246,'Barang Keluar'!$C:$C,N16246))</f>
        <v>0</v>
      </c>
    </row>
    <row r="16247" spans="13:16">
      <c r="M16247" s="49">
        <f>IF($A$4+162&gt;$B$4,"",$A$4+162)</f>
        <v>46185</v>
      </c>
      <c r="N16247">
        <f>IF(M16247="","",'Master Barang'!A41)</f>
        <v>0</v>
      </c>
      <c r="O16247">
        <f>IF(N16247="","",'Master Barang'!B41)</f>
        <v>0</v>
      </c>
      <c r="P16247">
        <f>IF(OR(M16247="",N16247=""),"",SUMIFS('Barang Keluar'!$E:$E,'Barang Keluar'!$A:$A,M16247,'Barang Keluar'!$C:$C,N16247))</f>
        <v>0</v>
      </c>
    </row>
    <row r="16248" spans="13:16">
      <c r="M16248" s="49">
        <f>IF($A$4+162&gt;$B$4,"",$A$4+162)</f>
        <v>46185</v>
      </c>
      <c r="N16248">
        <f>IF(M16248="","",'Master Barang'!A42)</f>
        <v>0</v>
      </c>
      <c r="O16248">
        <f>IF(N16248="","",'Master Barang'!B42)</f>
        <v>0</v>
      </c>
      <c r="P16248">
        <f>IF(OR(M16248="",N16248=""),"",SUMIFS('Barang Keluar'!$E:$E,'Barang Keluar'!$A:$A,M16248,'Barang Keluar'!$C:$C,N16248))</f>
        <v>0</v>
      </c>
    </row>
    <row r="16249" spans="13:16">
      <c r="M16249" s="49">
        <f>IF($A$4+162&gt;$B$4,"",$A$4+162)</f>
        <v>46185</v>
      </c>
      <c r="N16249">
        <f>IF(M16249="","",'Master Barang'!A43)</f>
        <v>0</v>
      </c>
      <c r="O16249">
        <f>IF(N16249="","",'Master Barang'!B43)</f>
        <v>0</v>
      </c>
      <c r="P16249">
        <f>IF(OR(M16249="",N16249=""),"",SUMIFS('Barang Keluar'!$E:$E,'Barang Keluar'!$A:$A,M16249,'Barang Keluar'!$C:$C,N16249))</f>
        <v>0</v>
      </c>
    </row>
    <row r="16250" spans="13:16">
      <c r="M16250" s="49">
        <f>IF($A$4+162&gt;$B$4,"",$A$4+162)</f>
        <v>46185</v>
      </c>
      <c r="N16250">
        <f>IF(M16250="","",'Master Barang'!A44)</f>
        <v>0</v>
      </c>
      <c r="O16250">
        <f>IF(N16250="","",'Master Barang'!B44)</f>
        <v>0</v>
      </c>
      <c r="P16250">
        <f>IF(OR(M16250="",N16250=""),"",SUMIFS('Barang Keluar'!$E:$E,'Barang Keluar'!$A:$A,M16250,'Barang Keluar'!$C:$C,N16250))</f>
        <v>0</v>
      </c>
    </row>
    <row r="16251" spans="13:16">
      <c r="M16251" s="49">
        <f>IF($A$4+162&gt;$B$4,"",$A$4+162)</f>
        <v>46185</v>
      </c>
      <c r="N16251">
        <f>IF(M16251="","",'Master Barang'!A45)</f>
        <v>0</v>
      </c>
      <c r="O16251">
        <f>IF(N16251="","",'Master Barang'!B45)</f>
        <v>0</v>
      </c>
      <c r="P16251">
        <f>IF(OR(M16251="",N16251=""),"",SUMIFS('Barang Keluar'!$E:$E,'Barang Keluar'!$A:$A,M16251,'Barang Keluar'!$C:$C,N16251))</f>
        <v>0</v>
      </c>
    </row>
    <row r="16252" spans="13:16">
      <c r="M16252" s="49">
        <f>IF($A$4+162&gt;$B$4,"",$A$4+162)</f>
        <v>46185</v>
      </c>
      <c r="N16252">
        <f>IF(M16252="","",'Master Barang'!A46)</f>
        <v>0</v>
      </c>
      <c r="O16252">
        <f>IF(N16252="","",'Master Barang'!B46)</f>
        <v>0</v>
      </c>
      <c r="P16252">
        <f>IF(OR(M16252="",N16252=""),"",SUMIFS('Barang Keluar'!$E:$E,'Barang Keluar'!$A:$A,M16252,'Barang Keluar'!$C:$C,N16252))</f>
        <v>0</v>
      </c>
    </row>
    <row r="16253" spans="13:16">
      <c r="M16253" s="49">
        <f>IF($A$4+162&gt;$B$4,"",$A$4+162)</f>
        <v>46185</v>
      </c>
      <c r="N16253">
        <f>IF(M16253="","",'Master Barang'!A47)</f>
        <v>0</v>
      </c>
      <c r="O16253">
        <f>IF(N16253="","",'Master Barang'!B47)</f>
        <v>0</v>
      </c>
      <c r="P16253">
        <f>IF(OR(M16253="",N16253=""),"",SUMIFS('Barang Keluar'!$E:$E,'Barang Keluar'!$A:$A,M16253,'Barang Keluar'!$C:$C,N16253))</f>
        <v>0</v>
      </c>
    </row>
    <row r="16254" spans="13:16">
      <c r="M16254" s="49">
        <f>IF($A$4+162&gt;$B$4,"",$A$4+162)</f>
        <v>46185</v>
      </c>
      <c r="N16254">
        <f>IF(M16254="","",'Master Barang'!A48)</f>
        <v>0</v>
      </c>
      <c r="O16254">
        <f>IF(N16254="","",'Master Barang'!B48)</f>
        <v>0</v>
      </c>
      <c r="P16254">
        <f>IF(OR(M16254="",N16254=""),"",SUMIFS('Barang Keluar'!$E:$E,'Barang Keluar'!$A:$A,M16254,'Barang Keluar'!$C:$C,N16254))</f>
        <v>0</v>
      </c>
    </row>
    <row r="16255" spans="13:16">
      <c r="M16255" s="49">
        <f>IF($A$4+162&gt;$B$4,"",$A$4+162)</f>
        <v>46185</v>
      </c>
      <c r="N16255">
        <f>IF(M16255="","",'Master Barang'!A49)</f>
        <v>0</v>
      </c>
      <c r="O16255">
        <f>IF(N16255="","",'Master Barang'!B49)</f>
        <v>0</v>
      </c>
      <c r="P16255">
        <f>IF(OR(M16255="",N16255=""),"",SUMIFS('Barang Keluar'!$E:$E,'Barang Keluar'!$A:$A,M16255,'Barang Keluar'!$C:$C,N16255))</f>
        <v>0</v>
      </c>
    </row>
    <row r="16256" spans="13:16">
      <c r="M16256" s="49">
        <f>IF($A$4+162&gt;$B$4,"",$A$4+162)</f>
        <v>46185</v>
      </c>
      <c r="N16256">
        <f>IF(M16256="","",'Master Barang'!A50)</f>
        <v>0</v>
      </c>
      <c r="O16256">
        <f>IF(N16256="","",'Master Barang'!B50)</f>
        <v>0</v>
      </c>
      <c r="P16256">
        <f>IF(OR(M16256="",N16256=""),"",SUMIFS('Barang Keluar'!$E:$E,'Barang Keluar'!$A:$A,M16256,'Barang Keluar'!$C:$C,N16256))</f>
        <v>0</v>
      </c>
    </row>
    <row r="16257" spans="13:16">
      <c r="M16257" s="49">
        <f>IF($A$4+162&gt;$B$4,"",$A$4+162)</f>
        <v>46185</v>
      </c>
      <c r="N16257">
        <f>IF(M16257="","",'Master Barang'!A51)</f>
        <v>0</v>
      </c>
      <c r="O16257">
        <f>IF(N16257="","",'Master Barang'!B51)</f>
        <v>0</v>
      </c>
      <c r="P16257">
        <f>IF(OR(M16257="",N16257=""),"",SUMIFS('Barang Keluar'!$E:$E,'Barang Keluar'!$A:$A,M16257,'Barang Keluar'!$C:$C,N16257))</f>
        <v>0</v>
      </c>
    </row>
    <row r="16258" spans="13:16">
      <c r="M16258" s="49">
        <f>IF($A$4+162&gt;$B$4,"",$A$4+162)</f>
        <v>46185</v>
      </c>
      <c r="N16258">
        <f>IF(M16258="","",'Master Barang'!A52)</f>
        <v>0</v>
      </c>
      <c r="O16258">
        <f>IF(N16258="","",'Master Barang'!B52)</f>
        <v>0</v>
      </c>
      <c r="P16258">
        <f>IF(OR(M16258="",N16258=""),"",SUMIFS('Barang Keluar'!$E:$E,'Barang Keluar'!$A:$A,M16258,'Barang Keluar'!$C:$C,N16258))</f>
        <v>0</v>
      </c>
    </row>
    <row r="16259" spans="13:16">
      <c r="M16259" s="49">
        <f>IF($A$4+162&gt;$B$4,"",$A$4+162)</f>
        <v>46185</v>
      </c>
      <c r="N16259">
        <f>IF(M16259="","",'Master Barang'!A53)</f>
        <v>0</v>
      </c>
      <c r="O16259">
        <f>IF(N16259="","",'Master Barang'!B53)</f>
        <v>0</v>
      </c>
      <c r="P16259">
        <f>IF(OR(M16259="",N16259=""),"",SUMIFS('Barang Keluar'!$E:$E,'Barang Keluar'!$A:$A,M16259,'Barang Keluar'!$C:$C,N16259))</f>
        <v>0</v>
      </c>
    </row>
    <row r="16260" spans="13:16">
      <c r="M16260" s="49">
        <f>IF($A$4+162&gt;$B$4,"",$A$4+162)</f>
        <v>46185</v>
      </c>
      <c r="N16260">
        <f>IF(M16260="","",'Master Barang'!A54)</f>
        <v>0</v>
      </c>
      <c r="O16260">
        <f>IF(N16260="","",'Master Barang'!B54)</f>
        <v>0</v>
      </c>
      <c r="P16260">
        <f>IF(OR(M16260="",N16260=""),"",SUMIFS('Barang Keluar'!$E:$E,'Barang Keluar'!$A:$A,M16260,'Barang Keluar'!$C:$C,N16260))</f>
        <v>0</v>
      </c>
    </row>
    <row r="16261" spans="13:16">
      <c r="M16261" s="49">
        <f>IF($A$4+162&gt;$B$4,"",$A$4+162)</f>
        <v>46185</v>
      </c>
      <c r="N16261">
        <f>IF(M16261="","",'Master Barang'!A55)</f>
        <v>0</v>
      </c>
      <c r="O16261">
        <f>IF(N16261="","",'Master Barang'!B55)</f>
        <v>0</v>
      </c>
      <c r="P16261">
        <f>IF(OR(M16261="",N16261=""),"",SUMIFS('Barang Keluar'!$E:$E,'Barang Keluar'!$A:$A,M16261,'Barang Keluar'!$C:$C,N16261))</f>
        <v>0</v>
      </c>
    </row>
    <row r="16262" spans="13:16">
      <c r="M16262" s="49">
        <f>IF($A$4+162&gt;$B$4,"",$A$4+162)</f>
        <v>46185</v>
      </c>
      <c r="N16262">
        <f>IF(M16262="","",'Master Barang'!A56)</f>
        <v>0</v>
      </c>
      <c r="O16262">
        <f>IF(N16262="","",'Master Barang'!B56)</f>
        <v>0</v>
      </c>
      <c r="P16262">
        <f>IF(OR(M16262="",N16262=""),"",SUMIFS('Barang Keluar'!$E:$E,'Barang Keluar'!$A:$A,M16262,'Barang Keluar'!$C:$C,N16262))</f>
        <v>0</v>
      </c>
    </row>
    <row r="16263" spans="13:16">
      <c r="M16263" s="49">
        <f>IF($A$4+162&gt;$B$4,"",$A$4+162)</f>
        <v>46185</v>
      </c>
      <c r="N16263">
        <f>IF(M16263="","",'Master Barang'!A57)</f>
        <v>0</v>
      </c>
      <c r="O16263">
        <f>IF(N16263="","",'Master Barang'!B57)</f>
        <v>0</v>
      </c>
      <c r="P16263">
        <f>IF(OR(M16263="",N16263=""),"",SUMIFS('Barang Keluar'!$E:$E,'Barang Keluar'!$A:$A,M16263,'Barang Keluar'!$C:$C,N16263))</f>
        <v>0</v>
      </c>
    </row>
    <row r="16264" spans="13:16">
      <c r="M16264" s="49">
        <f>IF($A$4+162&gt;$B$4,"",$A$4+162)</f>
        <v>46185</v>
      </c>
      <c r="N16264">
        <f>IF(M16264="","",'Master Barang'!A58)</f>
        <v>0</v>
      </c>
      <c r="O16264">
        <f>IF(N16264="","",'Master Barang'!B58)</f>
        <v>0</v>
      </c>
      <c r="P16264">
        <f>IF(OR(M16264="",N16264=""),"",SUMIFS('Barang Keluar'!$E:$E,'Barang Keluar'!$A:$A,M16264,'Barang Keluar'!$C:$C,N16264))</f>
        <v>0</v>
      </c>
    </row>
    <row r="16265" spans="13:16">
      <c r="M16265" s="49">
        <f>IF($A$4+162&gt;$B$4,"",$A$4+162)</f>
        <v>46185</v>
      </c>
      <c r="N16265">
        <f>IF(M16265="","",'Master Barang'!A59)</f>
        <v>0</v>
      </c>
      <c r="O16265">
        <f>IF(N16265="","",'Master Barang'!B59)</f>
        <v>0</v>
      </c>
      <c r="P16265">
        <f>IF(OR(M16265="",N16265=""),"",SUMIFS('Barang Keluar'!$E:$E,'Barang Keluar'!$A:$A,M16265,'Barang Keluar'!$C:$C,N16265))</f>
        <v>0</v>
      </c>
    </row>
    <row r="16266" spans="13:16">
      <c r="M16266" s="49">
        <f>IF($A$4+162&gt;$B$4,"",$A$4+162)</f>
        <v>46185</v>
      </c>
      <c r="N16266">
        <f>IF(M16266="","",'Master Barang'!A60)</f>
        <v>0</v>
      </c>
      <c r="O16266">
        <f>IF(N16266="","",'Master Barang'!B60)</f>
        <v>0</v>
      </c>
      <c r="P16266">
        <f>IF(OR(M16266="",N16266=""),"",SUMIFS('Barang Keluar'!$E:$E,'Barang Keluar'!$A:$A,M16266,'Barang Keluar'!$C:$C,N16266))</f>
        <v>0</v>
      </c>
    </row>
    <row r="16267" spans="13:16">
      <c r="M16267" s="49">
        <f>IF($A$4+162&gt;$B$4,"",$A$4+162)</f>
        <v>46185</v>
      </c>
      <c r="N16267">
        <f>IF(M16267="","",'Master Barang'!A61)</f>
        <v>0</v>
      </c>
      <c r="O16267">
        <f>IF(N16267="","",'Master Barang'!B61)</f>
        <v>0</v>
      </c>
      <c r="P16267">
        <f>IF(OR(M16267="",N16267=""),"",SUMIFS('Barang Keluar'!$E:$E,'Barang Keluar'!$A:$A,M16267,'Barang Keluar'!$C:$C,N16267))</f>
        <v>0</v>
      </c>
    </row>
    <row r="16268" spans="13:16">
      <c r="M16268" s="49">
        <f>IF($A$4+162&gt;$B$4,"",$A$4+162)</f>
        <v>46185</v>
      </c>
      <c r="N16268">
        <f>IF(M16268="","",'Master Barang'!A62)</f>
        <v>0</v>
      </c>
      <c r="O16268">
        <f>IF(N16268="","",'Master Barang'!B62)</f>
        <v>0</v>
      </c>
      <c r="P16268">
        <f>IF(OR(M16268="",N16268=""),"",SUMIFS('Barang Keluar'!$E:$E,'Barang Keluar'!$A:$A,M16268,'Barang Keluar'!$C:$C,N16268))</f>
        <v>0</v>
      </c>
    </row>
    <row r="16269" spans="13:16">
      <c r="M16269" s="49">
        <f>IF($A$4+162&gt;$B$4,"",$A$4+162)</f>
        <v>46185</v>
      </c>
      <c r="N16269">
        <f>IF(M16269="","",'Master Barang'!A63)</f>
        <v>0</v>
      </c>
      <c r="O16269">
        <f>IF(N16269="","",'Master Barang'!B63)</f>
        <v>0</v>
      </c>
      <c r="P16269">
        <f>IF(OR(M16269="",N16269=""),"",SUMIFS('Barang Keluar'!$E:$E,'Barang Keluar'!$A:$A,M16269,'Barang Keluar'!$C:$C,N16269))</f>
        <v>0</v>
      </c>
    </row>
    <row r="16270" spans="13:16">
      <c r="M16270" s="49">
        <f>IF($A$4+162&gt;$B$4,"",$A$4+162)</f>
        <v>46185</v>
      </c>
      <c r="N16270">
        <f>IF(M16270="","",'Master Barang'!A64)</f>
        <v>0</v>
      </c>
      <c r="O16270">
        <f>IF(N16270="","",'Master Barang'!B64)</f>
        <v>0</v>
      </c>
      <c r="P16270">
        <f>IF(OR(M16270="",N16270=""),"",SUMIFS('Barang Keluar'!$E:$E,'Barang Keluar'!$A:$A,M16270,'Barang Keluar'!$C:$C,N16270))</f>
        <v>0</v>
      </c>
    </row>
    <row r="16271" spans="13:16">
      <c r="M16271" s="49">
        <f>IF($A$4+162&gt;$B$4,"",$A$4+162)</f>
        <v>46185</v>
      </c>
      <c r="N16271">
        <f>IF(M16271="","",'Master Barang'!A65)</f>
        <v>0</v>
      </c>
      <c r="O16271">
        <f>IF(N16271="","",'Master Barang'!B65)</f>
        <v>0</v>
      </c>
      <c r="P16271">
        <f>IF(OR(M16271="",N16271=""),"",SUMIFS('Barang Keluar'!$E:$E,'Barang Keluar'!$A:$A,M16271,'Barang Keluar'!$C:$C,N16271))</f>
        <v>0</v>
      </c>
    </row>
    <row r="16272" spans="13:16">
      <c r="M16272" s="49">
        <f>IF($A$4+162&gt;$B$4,"",$A$4+162)</f>
        <v>46185</v>
      </c>
      <c r="N16272">
        <f>IF(M16272="","",'Master Barang'!A66)</f>
        <v>0</v>
      </c>
      <c r="O16272">
        <f>IF(N16272="","",'Master Barang'!B66)</f>
        <v>0</v>
      </c>
      <c r="P16272">
        <f>IF(OR(M16272="",N16272=""),"",SUMIFS('Barang Keluar'!$E:$E,'Barang Keluar'!$A:$A,M16272,'Barang Keluar'!$C:$C,N16272))</f>
        <v>0</v>
      </c>
    </row>
    <row r="16273" spans="13:16">
      <c r="M16273" s="49">
        <f>IF($A$4+162&gt;$B$4,"",$A$4+162)</f>
        <v>46185</v>
      </c>
      <c r="N16273">
        <f>IF(M16273="","",'Master Barang'!A67)</f>
        <v>0</v>
      </c>
      <c r="O16273">
        <f>IF(N16273="","",'Master Barang'!B67)</f>
        <v>0</v>
      </c>
      <c r="P16273">
        <f>IF(OR(M16273="",N16273=""),"",SUMIFS('Barang Keluar'!$E:$E,'Barang Keluar'!$A:$A,M16273,'Barang Keluar'!$C:$C,N16273))</f>
        <v>0</v>
      </c>
    </row>
    <row r="16274" spans="13:16">
      <c r="M16274" s="49">
        <f>IF($A$4+162&gt;$B$4,"",$A$4+162)</f>
        <v>46185</v>
      </c>
      <c r="N16274">
        <f>IF(M16274="","",'Master Barang'!A68)</f>
        <v>0</v>
      </c>
      <c r="O16274">
        <f>IF(N16274="","",'Master Barang'!B68)</f>
        <v>0</v>
      </c>
      <c r="P16274">
        <f>IF(OR(M16274="",N16274=""),"",SUMIFS('Barang Keluar'!$E:$E,'Barang Keluar'!$A:$A,M16274,'Barang Keluar'!$C:$C,N16274))</f>
        <v>0</v>
      </c>
    </row>
    <row r="16275" spans="13:16">
      <c r="M16275" s="49">
        <f>IF($A$4+162&gt;$B$4,"",$A$4+162)</f>
        <v>46185</v>
      </c>
      <c r="N16275">
        <f>IF(M16275="","",'Master Barang'!A69)</f>
        <v>0</v>
      </c>
      <c r="O16275">
        <f>IF(N16275="","",'Master Barang'!B69)</f>
        <v>0</v>
      </c>
      <c r="P16275">
        <f>IF(OR(M16275="",N16275=""),"",SUMIFS('Barang Keluar'!$E:$E,'Barang Keluar'!$A:$A,M16275,'Barang Keluar'!$C:$C,N16275))</f>
        <v>0</v>
      </c>
    </row>
    <row r="16276" spans="13:16">
      <c r="M16276" s="49">
        <f>IF($A$4+162&gt;$B$4,"",$A$4+162)</f>
        <v>46185</v>
      </c>
      <c r="N16276">
        <f>IF(M16276="","",'Master Barang'!A70)</f>
        <v>0</v>
      </c>
      <c r="O16276">
        <f>IF(N16276="","",'Master Barang'!B70)</f>
        <v>0</v>
      </c>
      <c r="P16276">
        <f>IF(OR(M16276="",N16276=""),"",SUMIFS('Barang Keluar'!$E:$E,'Barang Keluar'!$A:$A,M16276,'Barang Keluar'!$C:$C,N16276))</f>
        <v>0</v>
      </c>
    </row>
    <row r="16277" spans="13:16">
      <c r="M16277" s="49">
        <f>IF($A$4+162&gt;$B$4,"",$A$4+162)</f>
        <v>46185</v>
      </c>
      <c r="N16277">
        <f>IF(M16277="","",'Master Barang'!A71)</f>
        <v>0</v>
      </c>
      <c r="O16277">
        <f>IF(N16277="","",'Master Barang'!B71)</f>
        <v>0</v>
      </c>
      <c r="P16277">
        <f>IF(OR(M16277="",N16277=""),"",SUMIFS('Barang Keluar'!$E:$E,'Barang Keluar'!$A:$A,M16277,'Barang Keluar'!$C:$C,N16277))</f>
        <v>0</v>
      </c>
    </row>
    <row r="16278" spans="13:16">
      <c r="M16278" s="49">
        <f>IF($A$4+162&gt;$B$4,"",$A$4+162)</f>
        <v>46185</v>
      </c>
      <c r="N16278">
        <f>IF(M16278="","",'Master Barang'!A72)</f>
        <v>0</v>
      </c>
      <c r="O16278">
        <f>IF(N16278="","",'Master Barang'!B72)</f>
        <v>0</v>
      </c>
      <c r="P16278">
        <f>IF(OR(M16278="",N16278=""),"",SUMIFS('Barang Keluar'!$E:$E,'Barang Keluar'!$A:$A,M16278,'Barang Keluar'!$C:$C,N16278))</f>
        <v>0</v>
      </c>
    </row>
    <row r="16279" spans="13:16">
      <c r="M16279" s="49">
        <f>IF($A$4+162&gt;$B$4,"",$A$4+162)</f>
        <v>46185</v>
      </c>
      <c r="N16279">
        <f>IF(M16279="","",'Master Barang'!A73)</f>
        <v>0</v>
      </c>
      <c r="O16279">
        <f>IF(N16279="","",'Master Barang'!B73)</f>
        <v>0</v>
      </c>
      <c r="P16279">
        <f>IF(OR(M16279="",N16279=""),"",SUMIFS('Barang Keluar'!$E:$E,'Barang Keluar'!$A:$A,M16279,'Barang Keluar'!$C:$C,N16279))</f>
        <v>0</v>
      </c>
    </row>
    <row r="16280" spans="13:16">
      <c r="M16280" s="49">
        <f>IF($A$4+162&gt;$B$4,"",$A$4+162)</f>
        <v>46185</v>
      </c>
      <c r="N16280">
        <f>IF(M16280="","",'Master Barang'!A74)</f>
        <v>0</v>
      </c>
      <c r="O16280">
        <f>IF(N16280="","",'Master Barang'!B74)</f>
        <v>0</v>
      </c>
      <c r="P16280">
        <f>IF(OR(M16280="",N16280=""),"",SUMIFS('Barang Keluar'!$E:$E,'Barang Keluar'!$A:$A,M16280,'Barang Keluar'!$C:$C,N16280))</f>
        <v>0</v>
      </c>
    </row>
    <row r="16281" spans="13:16">
      <c r="M16281" s="49">
        <f>IF($A$4+162&gt;$B$4,"",$A$4+162)</f>
        <v>46185</v>
      </c>
      <c r="N16281">
        <f>IF(M16281="","",'Master Barang'!A75)</f>
        <v>0</v>
      </c>
      <c r="O16281">
        <f>IF(N16281="","",'Master Barang'!B75)</f>
        <v>0</v>
      </c>
      <c r="P16281">
        <f>IF(OR(M16281="",N16281=""),"",SUMIFS('Barang Keluar'!$E:$E,'Barang Keluar'!$A:$A,M16281,'Barang Keluar'!$C:$C,N16281))</f>
        <v>0</v>
      </c>
    </row>
    <row r="16282" spans="13:16">
      <c r="M16282" s="49">
        <f>IF($A$4+162&gt;$B$4,"",$A$4+162)</f>
        <v>46185</v>
      </c>
      <c r="N16282">
        <f>IF(M16282="","",'Master Barang'!A76)</f>
        <v>0</v>
      </c>
      <c r="O16282">
        <f>IF(N16282="","",'Master Barang'!B76)</f>
        <v>0</v>
      </c>
      <c r="P16282">
        <f>IF(OR(M16282="",N16282=""),"",SUMIFS('Barang Keluar'!$E:$E,'Barang Keluar'!$A:$A,M16282,'Barang Keluar'!$C:$C,N16282))</f>
        <v>0</v>
      </c>
    </row>
    <row r="16283" spans="13:16">
      <c r="M16283" s="49">
        <f>IF($A$4+162&gt;$B$4,"",$A$4+162)</f>
        <v>46185</v>
      </c>
      <c r="N16283">
        <f>IF(M16283="","",'Master Barang'!A77)</f>
        <v>0</v>
      </c>
      <c r="O16283">
        <f>IF(N16283="","",'Master Barang'!B77)</f>
        <v>0</v>
      </c>
      <c r="P16283">
        <f>IF(OR(M16283="",N16283=""),"",SUMIFS('Barang Keluar'!$E:$E,'Barang Keluar'!$A:$A,M16283,'Barang Keluar'!$C:$C,N16283))</f>
        <v>0</v>
      </c>
    </row>
    <row r="16284" spans="13:16">
      <c r="M16284" s="49">
        <f>IF($A$4+162&gt;$B$4,"",$A$4+162)</f>
        <v>46185</v>
      </c>
      <c r="N16284">
        <f>IF(M16284="","",'Master Barang'!A78)</f>
        <v>0</v>
      </c>
      <c r="O16284">
        <f>IF(N16284="","",'Master Barang'!B78)</f>
        <v>0</v>
      </c>
      <c r="P16284">
        <f>IF(OR(M16284="",N16284=""),"",SUMIFS('Barang Keluar'!$E:$E,'Barang Keluar'!$A:$A,M16284,'Barang Keluar'!$C:$C,N16284))</f>
        <v>0</v>
      </c>
    </row>
    <row r="16285" spans="13:16">
      <c r="M16285" s="49">
        <f>IF($A$4+162&gt;$B$4,"",$A$4+162)</f>
        <v>46185</v>
      </c>
      <c r="N16285">
        <f>IF(M16285="","",'Master Barang'!A79)</f>
        <v>0</v>
      </c>
      <c r="O16285">
        <f>IF(N16285="","",'Master Barang'!B79)</f>
        <v>0</v>
      </c>
      <c r="P16285">
        <f>IF(OR(M16285="",N16285=""),"",SUMIFS('Barang Keluar'!$E:$E,'Barang Keluar'!$A:$A,M16285,'Barang Keluar'!$C:$C,N16285))</f>
        <v>0</v>
      </c>
    </row>
    <row r="16286" spans="13:16">
      <c r="M16286" s="49">
        <f>IF($A$4+162&gt;$B$4,"",$A$4+162)</f>
        <v>46185</v>
      </c>
      <c r="N16286">
        <f>IF(M16286="","",'Master Barang'!A80)</f>
        <v>0</v>
      </c>
      <c r="O16286">
        <f>IF(N16286="","",'Master Barang'!B80)</f>
        <v>0</v>
      </c>
      <c r="P16286">
        <f>IF(OR(M16286="",N16286=""),"",SUMIFS('Barang Keluar'!$E:$E,'Barang Keluar'!$A:$A,M16286,'Barang Keluar'!$C:$C,N16286))</f>
        <v>0</v>
      </c>
    </row>
    <row r="16287" spans="13:16">
      <c r="M16287" s="49">
        <f>IF($A$4+162&gt;$B$4,"",$A$4+162)</f>
        <v>46185</v>
      </c>
      <c r="N16287">
        <f>IF(M16287="","",'Master Barang'!A81)</f>
        <v>0</v>
      </c>
      <c r="O16287">
        <f>IF(N16287="","",'Master Barang'!B81)</f>
        <v>0</v>
      </c>
      <c r="P16287">
        <f>IF(OR(M16287="",N16287=""),"",SUMIFS('Barang Keluar'!$E:$E,'Barang Keluar'!$A:$A,M16287,'Barang Keluar'!$C:$C,N16287))</f>
        <v>0</v>
      </c>
    </row>
    <row r="16288" spans="13:16">
      <c r="M16288" s="49">
        <f>IF($A$4+162&gt;$B$4,"",$A$4+162)</f>
        <v>46185</v>
      </c>
      <c r="N16288">
        <f>IF(M16288="","",'Master Barang'!A82)</f>
        <v>0</v>
      </c>
      <c r="O16288">
        <f>IF(N16288="","",'Master Barang'!B82)</f>
        <v>0</v>
      </c>
      <c r="P16288">
        <f>IF(OR(M16288="",N16288=""),"",SUMIFS('Barang Keluar'!$E:$E,'Barang Keluar'!$A:$A,M16288,'Barang Keluar'!$C:$C,N16288))</f>
        <v>0</v>
      </c>
    </row>
    <row r="16289" spans="13:16">
      <c r="M16289" s="49">
        <f>IF($A$4+162&gt;$B$4,"",$A$4+162)</f>
        <v>46185</v>
      </c>
      <c r="N16289">
        <f>IF(M16289="","",'Master Barang'!A83)</f>
        <v>0</v>
      </c>
      <c r="O16289">
        <f>IF(N16289="","",'Master Barang'!B83)</f>
        <v>0</v>
      </c>
      <c r="P16289">
        <f>IF(OR(M16289="",N16289=""),"",SUMIFS('Barang Keluar'!$E:$E,'Barang Keluar'!$A:$A,M16289,'Barang Keluar'!$C:$C,N16289))</f>
        <v>0</v>
      </c>
    </row>
    <row r="16290" spans="13:16">
      <c r="M16290" s="49">
        <f>IF($A$4+162&gt;$B$4,"",$A$4+162)</f>
        <v>46185</v>
      </c>
      <c r="N16290">
        <f>IF(M16290="","",'Master Barang'!A84)</f>
        <v>0</v>
      </c>
      <c r="O16290">
        <f>IF(N16290="","",'Master Barang'!B84)</f>
        <v>0</v>
      </c>
      <c r="P16290">
        <f>IF(OR(M16290="",N16290=""),"",SUMIFS('Barang Keluar'!$E:$E,'Barang Keluar'!$A:$A,M16290,'Barang Keluar'!$C:$C,N16290))</f>
        <v>0</v>
      </c>
    </row>
    <row r="16291" spans="13:16">
      <c r="M16291" s="49">
        <f>IF($A$4+162&gt;$B$4,"",$A$4+162)</f>
        <v>46185</v>
      </c>
      <c r="N16291">
        <f>IF(M16291="","",'Master Barang'!A85)</f>
        <v>0</v>
      </c>
      <c r="O16291">
        <f>IF(N16291="","",'Master Barang'!B85)</f>
        <v>0</v>
      </c>
      <c r="P16291">
        <f>IF(OR(M16291="",N16291=""),"",SUMIFS('Barang Keluar'!$E:$E,'Barang Keluar'!$A:$A,M16291,'Barang Keluar'!$C:$C,N16291))</f>
        <v>0</v>
      </c>
    </row>
    <row r="16292" spans="13:16">
      <c r="M16292" s="49">
        <f>IF($A$4+162&gt;$B$4,"",$A$4+162)</f>
        <v>46185</v>
      </c>
      <c r="N16292">
        <f>IF(M16292="","",'Master Barang'!A86)</f>
        <v>0</v>
      </c>
      <c r="O16292">
        <f>IF(N16292="","",'Master Barang'!B86)</f>
        <v>0</v>
      </c>
      <c r="P16292">
        <f>IF(OR(M16292="",N16292=""),"",SUMIFS('Barang Keluar'!$E:$E,'Barang Keluar'!$A:$A,M16292,'Barang Keluar'!$C:$C,N16292))</f>
        <v>0</v>
      </c>
    </row>
    <row r="16293" spans="13:16">
      <c r="M16293" s="49">
        <f>IF($A$4+162&gt;$B$4,"",$A$4+162)</f>
        <v>46185</v>
      </c>
      <c r="N16293">
        <f>IF(M16293="","",'Master Barang'!A87)</f>
        <v>0</v>
      </c>
      <c r="O16293">
        <f>IF(N16293="","",'Master Barang'!B87)</f>
        <v>0</v>
      </c>
      <c r="P16293">
        <f>IF(OR(M16293="",N16293=""),"",SUMIFS('Barang Keluar'!$E:$E,'Barang Keluar'!$A:$A,M16293,'Barang Keluar'!$C:$C,N16293))</f>
        <v>0</v>
      </c>
    </row>
    <row r="16294" spans="13:16">
      <c r="M16294" s="49">
        <f>IF($A$4+162&gt;$B$4,"",$A$4+162)</f>
        <v>46185</v>
      </c>
      <c r="N16294">
        <f>IF(M16294="","",'Master Barang'!A88)</f>
        <v>0</v>
      </c>
      <c r="O16294">
        <f>IF(N16294="","",'Master Barang'!B88)</f>
        <v>0</v>
      </c>
      <c r="P16294">
        <f>IF(OR(M16294="",N16294=""),"",SUMIFS('Barang Keluar'!$E:$E,'Barang Keluar'!$A:$A,M16294,'Barang Keluar'!$C:$C,N16294))</f>
        <v>0</v>
      </c>
    </row>
    <row r="16295" spans="13:16">
      <c r="M16295" s="49">
        <f>IF($A$4+162&gt;$B$4,"",$A$4+162)</f>
        <v>46185</v>
      </c>
      <c r="N16295">
        <f>IF(M16295="","",'Master Barang'!A89)</f>
        <v>0</v>
      </c>
      <c r="O16295">
        <f>IF(N16295="","",'Master Barang'!B89)</f>
        <v>0</v>
      </c>
      <c r="P16295">
        <f>IF(OR(M16295="",N16295=""),"",SUMIFS('Barang Keluar'!$E:$E,'Barang Keluar'!$A:$A,M16295,'Barang Keluar'!$C:$C,N16295))</f>
        <v>0</v>
      </c>
    </row>
    <row r="16296" spans="13:16">
      <c r="M16296" s="49">
        <f>IF($A$4+162&gt;$B$4,"",$A$4+162)</f>
        <v>46185</v>
      </c>
      <c r="N16296">
        <f>IF(M16296="","",'Master Barang'!A90)</f>
        <v>0</v>
      </c>
      <c r="O16296">
        <f>IF(N16296="","",'Master Barang'!B90)</f>
        <v>0</v>
      </c>
      <c r="P16296">
        <f>IF(OR(M16296="",N16296=""),"",SUMIFS('Barang Keluar'!$E:$E,'Barang Keluar'!$A:$A,M16296,'Barang Keluar'!$C:$C,N16296))</f>
        <v>0</v>
      </c>
    </row>
    <row r="16297" spans="13:16">
      <c r="M16297" s="49">
        <f>IF($A$4+162&gt;$B$4,"",$A$4+162)</f>
        <v>46185</v>
      </c>
      <c r="N16297">
        <f>IF(M16297="","",'Master Barang'!A91)</f>
        <v>0</v>
      </c>
      <c r="O16297">
        <f>IF(N16297="","",'Master Barang'!B91)</f>
        <v>0</v>
      </c>
      <c r="P16297">
        <f>IF(OR(M16297="",N16297=""),"",SUMIFS('Barang Keluar'!$E:$E,'Barang Keluar'!$A:$A,M16297,'Barang Keluar'!$C:$C,N16297))</f>
        <v>0</v>
      </c>
    </row>
    <row r="16298" spans="13:16">
      <c r="M16298" s="49">
        <f>IF($A$4+162&gt;$B$4,"",$A$4+162)</f>
        <v>46185</v>
      </c>
      <c r="N16298">
        <f>IF(M16298="","",'Master Barang'!A92)</f>
        <v>0</v>
      </c>
      <c r="O16298">
        <f>IF(N16298="","",'Master Barang'!B92)</f>
        <v>0</v>
      </c>
      <c r="P16298">
        <f>IF(OR(M16298="",N16298=""),"",SUMIFS('Barang Keluar'!$E:$E,'Barang Keluar'!$A:$A,M16298,'Barang Keluar'!$C:$C,N16298))</f>
        <v>0</v>
      </c>
    </row>
    <row r="16299" spans="13:16">
      <c r="M16299" s="49">
        <f>IF($A$4+162&gt;$B$4,"",$A$4+162)</f>
        <v>46185</v>
      </c>
      <c r="N16299">
        <f>IF(M16299="","",'Master Barang'!A93)</f>
        <v>0</v>
      </c>
      <c r="O16299">
        <f>IF(N16299="","",'Master Barang'!B93)</f>
        <v>0</v>
      </c>
      <c r="P16299">
        <f>IF(OR(M16299="",N16299=""),"",SUMIFS('Barang Keluar'!$E:$E,'Barang Keluar'!$A:$A,M16299,'Barang Keluar'!$C:$C,N16299))</f>
        <v>0</v>
      </c>
    </row>
    <row r="16300" spans="13:16">
      <c r="M16300" s="49">
        <f>IF($A$4+162&gt;$B$4,"",$A$4+162)</f>
        <v>46185</v>
      </c>
      <c r="N16300">
        <f>IF(M16300="","",'Master Barang'!A94)</f>
        <v>0</v>
      </c>
      <c r="O16300">
        <f>IF(N16300="","",'Master Barang'!B94)</f>
        <v>0</v>
      </c>
      <c r="P16300">
        <f>IF(OR(M16300="",N16300=""),"",SUMIFS('Barang Keluar'!$E:$E,'Barang Keluar'!$A:$A,M16300,'Barang Keluar'!$C:$C,N16300))</f>
        <v>0</v>
      </c>
    </row>
    <row r="16301" spans="13:16">
      <c r="M16301" s="49">
        <f>IF($A$4+162&gt;$B$4,"",$A$4+162)</f>
        <v>46185</v>
      </c>
      <c r="N16301">
        <f>IF(M16301="","",'Master Barang'!A95)</f>
        <v>0</v>
      </c>
      <c r="O16301">
        <f>IF(N16301="","",'Master Barang'!B95)</f>
        <v>0</v>
      </c>
      <c r="P16301">
        <f>IF(OR(M16301="",N16301=""),"",SUMIFS('Barang Keluar'!$E:$E,'Barang Keluar'!$A:$A,M16301,'Barang Keluar'!$C:$C,N16301))</f>
        <v>0</v>
      </c>
    </row>
    <row r="16302" spans="13:16">
      <c r="M16302" s="49">
        <f>IF($A$4+162&gt;$B$4,"",$A$4+162)</f>
        <v>46185</v>
      </c>
      <c r="N16302">
        <f>IF(M16302="","",'Master Barang'!A96)</f>
        <v>0</v>
      </c>
      <c r="O16302">
        <f>IF(N16302="","",'Master Barang'!B96)</f>
        <v>0</v>
      </c>
      <c r="P16302">
        <f>IF(OR(M16302="",N16302=""),"",SUMIFS('Barang Keluar'!$E:$E,'Barang Keluar'!$A:$A,M16302,'Barang Keluar'!$C:$C,N16302))</f>
        <v>0</v>
      </c>
    </row>
    <row r="16303" spans="13:16">
      <c r="M16303" s="49">
        <f>IF($A$4+162&gt;$B$4,"",$A$4+162)</f>
        <v>46185</v>
      </c>
      <c r="N16303">
        <f>IF(M16303="","",'Master Barang'!A97)</f>
        <v>0</v>
      </c>
      <c r="O16303">
        <f>IF(N16303="","",'Master Barang'!B97)</f>
        <v>0</v>
      </c>
      <c r="P16303">
        <f>IF(OR(M16303="",N16303=""),"",SUMIFS('Barang Keluar'!$E:$E,'Barang Keluar'!$A:$A,M16303,'Barang Keluar'!$C:$C,N16303))</f>
        <v>0</v>
      </c>
    </row>
    <row r="16304" spans="13:16">
      <c r="M16304" s="49">
        <f>IF($A$4+162&gt;$B$4,"",$A$4+162)</f>
        <v>46185</v>
      </c>
      <c r="N16304">
        <f>IF(M16304="","",'Master Barang'!A98)</f>
        <v>0</v>
      </c>
      <c r="O16304">
        <f>IF(N16304="","",'Master Barang'!B98)</f>
        <v>0</v>
      </c>
      <c r="P16304">
        <f>IF(OR(M16304="",N16304=""),"",SUMIFS('Barang Keluar'!$E:$E,'Barang Keluar'!$A:$A,M16304,'Barang Keluar'!$C:$C,N16304))</f>
        <v>0</v>
      </c>
    </row>
    <row r="16305" spans="13:16">
      <c r="M16305" s="49">
        <f>IF($A$4+162&gt;$B$4,"",$A$4+162)</f>
        <v>46185</v>
      </c>
      <c r="N16305">
        <f>IF(M16305="","",'Master Barang'!A99)</f>
        <v>0</v>
      </c>
      <c r="O16305">
        <f>IF(N16305="","",'Master Barang'!B99)</f>
        <v>0</v>
      </c>
      <c r="P16305">
        <f>IF(OR(M16305="",N16305=""),"",SUMIFS('Barang Keluar'!$E:$E,'Barang Keluar'!$A:$A,M16305,'Barang Keluar'!$C:$C,N16305))</f>
        <v>0</v>
      </c>
    </row>
    <row r="16306" spans="13:16">
      <c r="M16306" s="49">
        <f>IF($A$4+162&gt;$B$4,"",$A$4+162)</f>
        <v>46185</v>
      </c>
      <c r="N16306">
        <f>IF(M16306="","",'Master Barang'!A100)</f>
        <v>0</v>
      </c>
      <c r="O16306">
        <f>IF(N16306="","",'Master Barang'!B100)</f>
        <v>0</v>
      </c>
      <c r="P16306">
        <f>IF(OR(M16306="",N16306=""),"",SUMIFS('Barang Keluar'!$E:$E,'Barang Keluar'!$A:$A,M16306,'Barang Keluar'!$C:$C,N16306))</f>
        <v>0</v>
      </c>
    </row>
    <row r="16307" spans="13:16">
      <c r="M16307" s="49">
        <f>IF($A$4+162&gt;$B$4,"",$A$4+162)</f>
        <v>46185</v>
      </c>
      <c r="N16307">
        <f>IF(M16307="","",'Master Barang'!A101)</f>
        <v>0</v>
      </c>
      <c r="O16307">
        <f>IF(N16307="","",'Master Barang'!B101)</f>
        <v>0</v>
      </c>
      <c r="P16307">
        <f>IF(OR(M16307="",N16307=""),"",SUMIFS('Barang Keluar'!$E:$E,'Barang Keluar'!$A:$A,M16307,'Barang Keluar'!$C:$C,N16307))</f>
        <v>0</v>
      </c>
    </row>
    <row r="16308" spans="13:16">
      <c r="M16308" s="49">
        <f>IF($A$4+163&gt;$B$4,"",$A$4+163)</f>
        <v>46186</v>
      </c>
      <c r="N16308" t="str">
        <f>IF(M16308="","",'Master Barang'!A2)</f>
        <v>PRL-001</v>
      </c>
      <c r="O16308" t="str">
        <f>IF(N16308="","",'Master Barang'!B2)</f>
        <v>natura desinfectant food grade 5l</v>
      </c>
      <c r="P16308">
        <f>IF(OR(M16308="",N16308=""),"",SUMIFS('Barang Keluar'!$E:$E,'Barang Keluar'!$A:$A,M16308,'Barang Keluar'!$C:$C,N16308))</f>
        <v>0</v>
      </c>
    </row>
    <row r="16309" spans="13:16">
      <c r="M16309" s="49">
        <f>IF($A$4+163&gt;$B$4,"",$A$4+163)</f>
        <v>46186</v>
      </c>
      <c r="N16309" t="str">
        <f>IF(M16309="","",'Master Barang'!A3)</f>
        <v>PRL-002</v>
      </c>
      <c r="O16309" t="str">
        <f>IF(N16309="","",'Master Barang'!B3)</f>
        <v>sunlight cairan pencuci piring 5l</v>
      </c>
      <c r="P16309">
        <f>IF(OR(M16309="",N16309=""),"",SUMIFS('Barang Keluar'!$E:$E,'Barang Keluar'!$A:$A,M16309,'Barang Keluar'!$C:$C,N16309))</f>
        <v>0</v>
      </c>
    </row>
    <row r="16310" spans="13:16">
      <c r="M16310" s="49">
        <f>IF($A$4+163&gt;$B$4,"",$A$4+163)</f>
        <v>46186</v>
      </c>
      <c r="N16310" t="str">
        <f>IF(M16310="","",'Master Barang'!A4)</f>
        <v>PRL-003</v>
      </c>
      <c r="O16310" t="str">
        <f>IF(N16310="","",'Master Barang'!B4)</f>
        <v>oixs cleaner 1l</v>
      </c>
      <c r="P16310">
        <f>IF(OR(M16310="",N16310=""),"",SUMIFS('Barang Keluar'!$E:$E,'Barang Keluar'!$A:$A,M16310,'Barang Keluar'!$C:$C,N16310))</f>
        <v>0</v>
      </c>
    </row>
    <row r="16311" spans="13:16">
      <c r="M16311" s="49">
        <f>IF($A$4+163&gt;$B$4,"",$A$4+163)</f>
        <v>46186</v>
      </c>
      <c r="N16311" t="str">
        <f>IF(M16311="","",'Master Barang'!A5)</f>
        <v>PRL-004</v>
      </c>
      <c r="O16311" t="str">
        <f>IF(N16311="","",'Master Barang'!B5)</f>
        <v>be clean tissue serbaguna</v>
      </c>
      <c r="P16311">
        <f>IF(OR(M16311="",N16311=""),"",SUMIFS('Barang Keluar'!$E:$E,'Barang Keluar'!$A:$A,M16311,'Barang Keluar'!$C:$C,N16311))</f>
        <v>0</v>
      </c>
    </row>
    <row r="16312" spans="13:16">
      <c r="M16312" s="49">
        <f>IF($A$4+163&gt;$B$4,"",$A$4+163)</f>
        <v>46186</v>
      </c>
      <c r="N16312" t="str">
        <f>IF(M16312="","",'Master Barang'!A6)</f>
        <v>PRL-005</v>
      </c>
      <c r="O16312" t="str">
        <f>IF(N16312="","",'Master Barang'!B6)</f>
        <v>spons cuci hijau</v>
      </c>
      <c r="P16312">
        <f>IF(OR(M16312="",N16312=""),"",SUMIFS('Barang Keluar'!$E:$E,'Barang Keluar'!$A:$A,M16312,'Barang Keluar'!$C:$C,N16312))</f>
        <v>0</v>
      </c>
    </row>
    <row r="16313" spans="13:16">
      <c r="M16313" s="49">
        <f>IF($A$4+163&gt;$B$4,"",$A$4+163)</f>
        <v>46186</v>
      </c>
      <c r="N16313" t="str">
        <f>IF(M16313="","",'Master Barang'!A7)</f>
        <v>PRL-006</v>
      </c>
      <c r="O16313" t="str">
        <f>IF(N16313="","",'Master Barang'!B7)</f>
        <v>sabut cuci stainless</v>
      </c>
      <c r="P16313">
        <f>IF(OR(M16313="",N16313=""),"",SUMIFS('Barang Keluar'!$E:$E,'Barang Keluar'!$A:$A,M16313,'Barang Keluar'!$C:$C,N16313))</f>
        <v>0</v>
      </c>
    </row>
    <row r="16314" spans="13:16">
      <c r="M16314" s="49">
        <f>IF($A$4+163&gt;$B$4,"",$A$4+163)</f>
        <v>46186</v>
      </c>
      <c r="N16314" t="str">
        <f>IF(M16314="","",'Master Barang'!A8)</f>
        <v>PRL-007</v>
      </c>
      <c r="O16314" t="str">
        <f>IF(N16314="","",'Master Barang'!B8)</f>
        <v>plastik kresek besar merah 50pc</v>
      </c>
      <c r="P16314">
        <f>IF(OR(M16314="",N16314=""),"",SUMIFS('Barang Keluar'!$E:$E,'Barang Keluar'!$A:$A,M16314,'Barang Keluar'!$C:$C,N16314))</f>
        <v>0</v>
      </c>
    </row>
    <row r="16315" spans="13:16">
      <c r="M16315" s="49">
        <f>IF($A$4+163&gt;$B$4,"",$A$4+163)</f>
        <v>46186</v>
      </c>
      <c r="N16315" t="str">
        <f>IF(M16315="","",'Master Barang'!A9)</f>
        <v>PRL-008</v>
      </c>
      <c r="O16315" t="str">
        <f>IF(N16315="","",'Master Barang'!B9)</f>
        <v>lap besar</v>
      </c>
      <c r="P16315">
        <f>IF(OR(M16315="",N16315=""),"",SUMIFS('Barang Keluar'!$E:$E,'Barang Keluar'!$A:$A,M16315,'Barang Keluar'!$C:$C,N16315))</f>
        <v>0</v>
      </c>
    </row>
    <row r="16316" spans="13:16">
      <c r="M16316" s="49">
        <f>IF($A$4+163&gt;$B$4,"",$A$4+163)</f>
        <v>46186</v>
      </c>
      <c r="N16316" t="str">
        <f>IF(M16316="","",'Master Barang'!A10)</f>
        <v>PRL-009</v>
      </c>
      <c r="O16316" t="str">
        <f>IF(N16316="","",'Master Barang'!B10)</f>
        <v>lap microfiber</v>
      </c>
      <c r="P16316">
        <f>IF(OR(M16316="",N16316=""),"",SUMIFS('Barang Keluar'!$E:$E,'Barang Keluar'!$A:$A,M16316,'Barang Keluar'!$C:$C,N16316))</f>
        <v>0</v>
      </c>
    </row>
    <row r="16317" spans="13:16">
      <c r="M16317" s="49">
        <f>IF($A$4+163&gt;$B$4,"",$A$4+163)</f>
        <v>46186</v>
      </c>
      <c r="N16317" t="str">
        <f>IF(M16317="","",'Master Barang'!A11)</f>
        <v>PRL-010</v>
      </c>
      <c r="O16317" t="str">
        <f>IF(N16317="","",'Master Barang'!B11)</f>
        <v>lap kecil</v>
      </c>
      <c r="P16317">
        <f>IF(OR(M16317="",N16317=""),"",SUMIFS('Barang Keluar'!$E:$E,'Barang Keluar'!$A:$A,M16317,'Barang Keluar'!$C:$C,N16317))</f>
        <v>0</v>
      </c>
    </row>
    <row r="16318" spans="13:16">
      <c r="M16318" s="49">
        <f>IF($A$4+163&gt;$B$4,"",$A$4+163)</f>
        <v>46186</v>
      </c>
      <c r="N16318" t="str">
        <f>IF(M16318="","",'Master Barang'!A12)</f>
        <v>PRL-011</v>
      </c>
      <c r="O16318" t="str">
        <f>IF(N16318="","",'Master Barang'!B12)</f>
        <v>kanebo kecil</v>
      </c>
      <c r="P16318">
        <f>IF(OR(M16318="",N16318=""),"",SUMIFS('Barang Keluar'!$E:$E,'Barang Keluar'!$A:$A,M16318,'Barang Keluar'!$C:$C,N16318))</f>
        <v>0</v>
      </c>
    </row>
    <row r="16319" spans="13:16">
      <c r="M16319" s="49">
        <f>IF($A$4+163&gt;$B$4,"",$A$4+163)</f>
        <v>46186</v>
      </c>
      <c r="N16319" t="str">
        <f>IF(M16319="","",'Master Barang'!A13)</f>
        <v>PRL-012</v>
      </c>
      <c r="O16319" t="str">
        <f>IF(N16319="","",'Master Barang'!B13)</f>
        <v>plastik 1/4kg joyoboyo 100 lembar</v>
      </c>
      <c r="P16319">
        <f>IF(OR(M16319="",N16319=""),"",SUMIFS('Barang Keluar'!$E:$E,'Barang Keluar'!$A:$A,M16319,'Barang Keluar'!$C:$C,N16319))</f>
        <v>0</v>
      </c>
    </row>
    <row r="16320" spans="13:16">
      <c r="M16320" s="49">
        <f>IF($A$4+163&gt;$B$4,"",$A$4+163)</f>
        <v>46186</v>
      </c>
      <c r="N16320" t="str">
        <f>IF(M16320="","",'Master Barang'!A14)</f>
        <v>PRL-013</v>
      </c>
      <c r="O16320" t="str">
        <f>IF(N16320="","",'Master Barang'!B14)</f>
        <v>sarung tangan plastik kaka 100 pcs</v>
      </c>
      <c r="P16320">
        <f>IF(OR(M16320="",N16320=""),"",SUMIFS('Barang Keluar'!$E:$E,'Barang Keluar'!$A:$A,M16320,'Barang Keluar'!$C:$C,N16320))</f>
        <v>0</v>
      </c>
    </row>
    <row r="16321" spans="13:16">
      <c r="M16321" s="49">
        <f>IF($A$4+163&gt;$B$4,"",$A$4+163)</f>
        <v>46186</v>
      </c>
      <c r="N16321" t="str">
        <f>IF(M16321="","",'Master Barang'!A15)</f>
        <v>PRL-014</v>
      </c>
      <c r="O16321" t="str">
        <f>IF(N16321="","",'Master Barang'!B15)</f>
        <v>optima trashbag 80x100</v>
      </c>
      <c r="P16321">
        <f>IF(OR(M16321="",N16321=""),"",SUMIFS('Barang Keluar'!$E:$E,'Barang Keluar'!$A:$A,M16321,'Barang Keluar'!$C:$C,N16321))</f>
        <v>0</v>
      </c>
    </row>
    <row r="16322" spans="13:16">
      <c r="M16322" s="49">
        <f>IF($A$4+163&gt;$B$4,"",$A$4+163)</f>
        <v>46186</v>
      </c>
      <c r="N16322" t="str">
        <f>IF(M16322="","",'Master Barang'!A16)</f>
        <v>PRL-015</v>
      </c>
      <c r="O16322" t="str">
        <f>IF(N16322="","",'Master Barang'!B16)</f>
        <v>optima trashbag 60x100</v>
      </c>
      <c r="P16322">
        <f>IF(OR(M16322="",N16322=""),"",SUMIFS('Barang Keluar'!$E:$E,'Barang Keluar'!$A:$A,M16322,'Barang Keluar'!$C:$C,N16322))</f>
        <v>0</v>
      </c>
    </row>
    <row r="16323" spans="13:16">
      <c r="M16323" s="49">
        <f>IF($A$4+163&gt;$B$4,"",$A$4+163)</f>
        <v>46186</v>
      </c>
      <c r="N16323" t="str">
        <f>IF(M16323="","",'Master Barang'!A17)</f>
        <v>PRL-016</v>
      </c>
      <c r="O16323" t="str">
        <f>IF(N16323="","",'Master Barang'!B17)</f>
        <v>rajawali trashbag 30x40</v>
      </c>
      <c r="P16323">
        <f>IF(OR(M16323="",N16323=""),"",SUMIFS('Barang Keluar'!$E:$E,'Barang Keluar'!$A:$A,M16323,'Barang Keluar'!$C:$C,N16323))</f>
        <v>0</v>
      </c>
    </row>
    <row r="16324" spans="13:16">
      <c r="M16324" s="49">
        <f>IF($A$4+163&gt;$B$4,"",$A$4+163)</f>
        <v>46186</v>
      </c>
      <c r="N16324" t="str">
        <f>IF(M16324="","",'Master Barang'!A18)</f>
        <v>PRL-017</v>
      </c>
      <c r="O16324" t="str">
        <f>IF(N16324="","",'Master Barang'!B18)</f>
        <v>onemed masker biru 3 play 50 pcs</v>
      </c>
      <c r="P16324">
        <f>IF(OR(M16324="",N16324=""),"",SUMIFS('Barang Keluar'!$E:$E,'Barang Keluar'!$A:$A,M16324,'Barang Keluar'!$C:$C,N16324))</f>
        <v>0</v>
      </c>
    </row>
    <row r="16325" spans="13:16">
      <c r="M16325" s="49">
        <f>IF($A$4+163&gt;$B$4,"",$A$4+163)</f>
        <v>46186</v>
      </c>
      <c r="N16325" t="str">
        <f>IF(M16325="","",'Master Barang'!A19)</f>
        <v>PRL-018</v>
      </c>
      <c r="O16325" t="str">
        <f>IF(N16325="","",'Master Barang'!B19)</f>
        <v>onemed masker biru 3 play hijab 50 pcs</v>
      </c>
      <c r="P16325">
        <f>IF(OR(M16325="",N16325=""),"",SUMIFS('Barang Keluar'!$E:$E,'Barang Keluar'!$A:$A,M16325,'Barang Keluar'!$C:$C,N16325))</f>
        <v>0</v>
      </c>
    </row>
    <row r="16326" spans="13:16">
      <c r="M16326" s="49">
        <f>IF($A$4+163&gt;$B$4,"",$A$4+163)</f>
        <v>46186</v>
      </c>
      <c r="N16326" t="str">
        <f>IF(M16326="","",'Master Barang'!A20)</f>
        <v>PRL-019</v>
      </c>
      <c r="O16326" t="str">
        <f>IF(N16326="","",'Master Barang'!B20)</f>
        <v>neo health masker biru 3 play 50 pcs</v>
      </c>
      <c r="P16326">
        <f>IF(OR(M16326="",N16326=""),"",SUMIFS('Barang Keluar'!$E:$E,'Barang Keluar'!$A:$A,M16326,'Barang Keluar'!$C:$C,N16326))</f>
        <v>0</v>
      </c>
    </row>
    <row r="16327" spans="13:16">
      <c r="M16327" s="49">
        <f>IF($A$4+163&gt;$B$4,"",$A$4+163)</f>
        <v>46186</v>
      </c>
      <c r="N16327" t="str">
        <f>IF(M16327="","",'Master Barang'!A21)</f>
        <v>PRL-020</v>
      </c>
      <c r="O16327" t="str">
        <f>IF(N16327="","",'Master Barang'!B21)</f>
        <v>baymed masker hijau 3 play hijau 50 pcs</v>
      </c>
      <c r="P16327">
        <f>IF(OR(M16327="",N16327=""),"",SUMIFS('Barang Keluar'!$E:$E,'Barang Keluar'!$A:$A,M16327,'Barang Keluar'!$C:$C,N16327))</f>
        <v>0</v>
      </c>
    </row>
    <row r="16328" spans="13:16">
      <c r="M16328" s="49">
        <f>IF($A$4+163&gt;$B$4,"",$A$4+163)</f>
        <v>46186</v>
      </c>
      <c r="N16328" t="str">
        <f>IF(M16328="","",'Master Barang'!A22)</f>
        <v>PRL-021</v>
      </c>
      <c r="O16328" t="str">
        <f>IF(N16328="","",'Master Barang'!B22)</f>
        <v>altamed nurse cap penutup kepala 100 pcs</v>
      </c>
      <c r="P16328">
        <f>IF(OR(M16328="",N16328=""),"",SUMIFS('Barang Keluar'!$E:$E,'Barang Keluar'!$A:$A,M16328,'Barang Keluar'!$C:$C,N16328))</f>
        <v>0</v>
      </c>
    </row>
    <row r="16329" spans="13:16">
      <c r="M16329" s="49">
        <f>IF($A$4+163&gt;$B$4,"",$A$4+163)</f>
        <v>46186</v>
      </c>
      <c r="N16329" t="str">
        <f>IF(M16329="","",'Master Barang'!A23)</f>
        <v>PRL-022</v>
      </c>
      <c r="O16329" t="str">
        <f>IF(N16329="","",'Master Barang'!B23)</f>
        <v>sabun cuci tangan</v>
      </c>
      <c r="P16329">
        <f>IF(OR(M16329="",N16329=""),"",SUMIFS('Barang Keluar'!$E:$E,'Barang Keluar'!$A:$A,M16329,'Barang Keluar'!$C:$C,N16329))</f>
        <v>0</v>
      </c>
    </row>
    <row r="16330" spans="13:16">
      <c r="M16330" s="49">
        <f>IF($A$4+163&gt;$B$4,"",$A$4+163)</f>
        <v>46186</v>
      </c>
      <c r="N16330" t="str">
        <f>IF(M16330="","",'Master Barang'!A24)</f>
        <v>PRL-023</v>
      </c>
      <c r="O16330" t="str">
        <f>IF(N16330="","",'Master Barang'!B24)</f>
        <v>gayung kecil</v>
      </c>
      <c r="P16330">
        <f>IF(OR(M16330="",N16330=""),"",SUMIFS('Barang Keluar'!$E:$E,'Barang Keluar'!$A:$A,M16330,'Barang Keluar'!$C:$C,N16330))</f>
        <v>0</v>
      </c>
    </row>
    <row r="16331" spans="13:16">
      <c r="M16331" s="49">
        <f>IF($A$4+163&gt;$B$4,"",$A$4+163)</f>
        <v>46186</v>
      </c>
      <c r="N16331" t="str">
        <f>IF(M16331="","",'Master Barang'!A25)</f>
        <v>PRL-024</v>
      </c>
      <c r="O16331" t="str">
        <f>IF(N16331="","",'Master Barang'!B25)</f>
        <v>cikrak kecil</v>
      </c>
      <c r="P16331">
        <f>IF(OR(M16331="",N16331=""),"",SUMIFS('Barang Keluar'!$E:$E,'Barang Keluar'!$A:$A,M16331,'Barang Keluar'!$C:$C,N16331))</f>
        <v>0</v>
      </c>
    </row>
    <row r="16332" spans="13:16">
      <c r="M16332" s="49">
        <f>IF($A$4+163&gt;$B$4,"",$A$4+163)</f>
        <v>46186</v>
      </c>
      <c r="N16332" t="str">
        <f>IF(M16332="","",'Master Barang'!A26)</f>
        <v>PRL-025</v>
      </c>
      <c r="O16332" t="str">
        <f>IF(N16332="","",'Master Barang'!B26)</f>
        <v>petromax plastik kecil 12x24 100 lembar</v>
      </c>
      <c r="P16332">
        <f>IF(OR(M16332="",N16332=""),"",SUMIFS('Barang Keluar'!$E:$E,'Barang Keluar'!$A:$A,M16332,'Barang Keluar'!$C:$C,N16332))</f>
        <v>0</v>
      </c>
    </row>
    <row r="16333" spans="13:16">
      <c r="M16333" s="49">
        <f>IF($A$4+163&gt;$B$4,"",$A$4+163)</f>
        <v>46186</v>
      </c>
      <c r="N16333" t="str">
        <f>IF(M16333="","",'Master Barang'!A27)</f>
        <v>PRL-026</v>
      </c>
      <c r="O16333" t="str">
        <f>IF(N16333="","",'Master Barang'!B27)</f>
        <v>lancar kresek kecil bening </v>
      </c>
      <c r="P16333">
        <f>IF(OR(M16333="",N16333=""),"",SUMIFS('Barang Keluar'!$E:$E,'Barang Keluar'!$A:$A,M16333,'Barang Keluar'!$C:$C,N16333))</f>
        <v>0</v>
      </c>
    </row>
    <row r="16334" spans="13:16">
      <c r="M16334" s="49">
        <f>IF($A$4+163&gt;$B$4,"",$A$4+163)</f>
        <v>46186</v>
      </c>
      <c r="N16334" t="str">
        <f>IF(M16334="","",'Master Barang'!A28)</f>
        <v>PRL-027</v>
      </c>
      <c r="O16334" t="str">
        <f>IF(N16334="","",'Master Barang'!B28)</f>
        <v>kresek klin warna warni kecil</v>
      </c>
      <c r="P16334">
        <f>IF(OR(M16334="",N16334=""),"",SUMIFS('Barang Keluar'!$E:$E,'Barang Keluar'!$A:$A,M16334,'Barang Keluar'!$C:$C,N16334))</f>
        <v>0</v>
      </c>
    </row>
    <row r="16335" spans="13:16">
      <c r="M16335" s="49">
        <f>IF($A$4+163&gt;$B$4,"",$A$4+163)</f>
        <v>46186</v>
      </c>
      <c r="N16335" t="str">
        <f>IF(M16335="","",'Master Barang'!A29)</f>
        <v>PRL-028</v>
      </c>
      <c r="O16335" t="str">
        <f>IF(N16335="","",'Master Barang'!B29)</f>
        <v>ctik plastik 7x10 100 pcs</v>
      </c>
      <c r="P16335">
        <f>IF(OR(M16335="",N16335=""),"",SUMIFS('Barang Keluar'!$E:$E,'Barang Keluar'!$A:$A,M16335,'Barang Keluar'!$C:$C,N16335))</f>
        <v>0</v>
      </c>
    </row>
    <row r="16336" spans="13:16">
      <c r="M16336" s="49">
        <f>IF($A$4+163&gt;$B$4,"",$A$4+163)</f>
        <v>46186</v>
      </c>
      <c r="N16336" t="str">
        <f>IF(M16336="","",'Master Barang'!A30)</f>
        <v>PRL-029</v>
      </c>
      <c r="O16336" t="str">
        <f>IF(N16336="","",'Master Barang'!B30)</f>
        <v>ctik plastik 6x10 100 pcs</v>
      </c>
      <c r="P16336">
        <f>IF(OR(M16336="",N16336=""),"",SUMIFS('Barang Keluar'!$E:$E,'Barang Keluar'!$A:$A,M16336,'Barang Keluar'!$C:$C,N16336))</f>
        <v>0</v>
      </c>
    </row>
    <row r="16337" spans="13:16">
      <c r="M16337" s="49">
        <f>IF($A$4+163&gt;$B$4,"",$A$4+163)</f>
        <v>46186</v>
      </c>
      <c r="N16337" t="str">
        <f>IF(M16337="","",'Master Barang'!A31)</f>
        <v>PRL-030</v>
      </c>
      <c r="O16337" t="str">
        <f>IF(N16337="","",'Master Barang'!B31)</f>
        <v>klip plastik 25x16 100 pcs</v>
      </c>
      <c r="P16337">
        <f>IF(OR(M16337="",N16337=""),"",SUMIFS('Barang Keluar'!$E:$E,'Barang Keluar'!$A:$A,M16337,'Barang Keluar'!$C:$C,N16337))</f>
        <v>0</v>
      </c>
    </row>
    <row r="16338" spans="13:16">
      <c r="M16338" s="49">
        <f>IF($A$4+163&gt;$B$4,"",$A$4+163)</f>
        <v>46186</v>
      </c>
      <c r="N16338" t="str">
        <f>IF(M16338="","",'Master Barang'!A32)</f>
        <v>PRL-031</v>
      </c>
      <c r="O16338" t="str">
        <f>IF(N16338="","",'Master Barang'!B32)</f>
        <v>tempat saus 20 ml</v>
      </c>
      <c r="P16338">
        <f>IF(OR(M16338="",N16338=""),"",SUMIFS('Barang Keluar'!$E:$E,'Barang Keluar'!$A:$A,M16338,'Barang Keluar'!$C:$C,N16338))</f>
        <v>0</v>
      </c>
    </row>
    <row r="16339" spans="13:16">
      <c r="M16339" s="49">
        <f>IF($A$4+163&gt;$B$4,"",$A$4+163)</f>
        <v>46186</v>
      </c>
      <c r="N16339" t="str">
        <f>IF(M16339="","",'Master Barang'!A33)</f>
        <v>PRL-032</v>
      </c>
      <c r="O16339" t="str">
        <f>IF(N16339="","",'Master Barang'!B33)</f>
        <v>plastik packaging ag box uk sedang</v>
      </c>
      <c r="P16339">
        <f>IF(OR(M16339="",N16339=""),"",SUMIFS('Barang Keluar'!$E:$E,'Barang Keluar'!$A:$A,M16339,'Barang Keluar'!$C:$C,N16339))</f>
        <v>0</v>
      </c>
    </row>
    <row r="16340" spans="13:16">
      <c r="M16340" s="49">
        <f>IF($A$4+163&gt;$B$4,"",$A$4+163)</f>
        <v>46186</v>
      </c>
      <c r="N16340" t="str">
        <f>IF(M16340="","",'Master Barang'!A34)</f>
        <v>PRL-033</v>
      </c>
      <c r="O16340">
        <f>IF(N16340="","",'Master Barang'!B34)</f>
        <v>0</v>
      </c>
      <c r="P16340">
        <f>IF(OR(M16340="",N16340=""),"",SUMIFS('Barang Keluar'!$E:$E,'Barang Keluar'!$A:$A,M16340,'Barang Keluar'!$C:$C,N16340))</f>
        <v>0</v>
      </c>
    </row>
    <row r="16341" spans="13:16">
      <c r="M16341" s="49">
        <f>IF($A$4+163&gt;$B$4,"",$A$4+163)</f>
        <v>46186</v>
      </c>
      <c r="N16341">
        <f>IF(M16341="","",'Master Barang'!A35)</f>
        <v>0</v>
      </c>
      <c r="O16341">
        <f>IF(N16341="","",'Master Barang'!B35)</f>
        <v>0</v>
      </c>
      <c r="P16341">
        <f>IF(OR(M16341="",N16341=""),"",SUMIFS('Barang Keluar'!$E:$E,'Barang Keluar'!$A:$A,M16341,'Barang Keluar'!$C:$C,N16341))</f>
        <v>0</v>
      </c>
    </row>
    <row r="16342" spans="13:16">
      <c r="M16342" s="49">
        <f>IF($A$4+163&gt;$B$4,"",$A$4+163)</f>
        <v>46186</v>
      </c>
      <c r="N16342">
        <f>IF(M16342="","",'Master Barang'!A36)</f>
        <v>0</v>
      </c>
      <c r="O16342">
        <f>IF(N16342="","",'Master Barang'!B36)</f>
        <v>0</v>
      </c>
      <c r="P16342">
        <f>IF(OR(M16342="",N16342=""),"",SUMIFS('Barang Keluar'!$E:$E,'Barang Keluar'!$A:$A,M16342,'Barang Keluar'!$C:$C,N16342))</f>
        <v>0</v>
      </c>
    </row>
    <row r="16343" spans="13:16">
      <c r="M16343" s="49">
        <f>IF($A$4+163&gt;$B$4,"",$A$4+163)</f>
        <v>46186</v>
      </c>
      <c r="N16343">
        <f>IF(M16343="","",'Master Barang'!A37)</f>
        <v>0</v>
      </c>
      <c r="O16343">
        <f>IF(N16343="","",'Master Barang'!B37)</f>
        <v>0</v>
      </c>
      <c r="P16343">
        <f>IF(OR(M16343="",N16343=""),"",SUMIFS('Barang Keluar'!$E:$E,'Barang Keluar'!$A:$A,M16343,'Barang Keluar'!$C:$C,N16343))</f>
        <v>0</v>
      </c>
    </row>
    <row r="16344" spans="13:16">
      <c r="M16344" s="49">
        <f>IF($A$4+163&gt;$B$4,"",$A$4+163)</f>
        <v>46186</v>
      </c>
      <c r="N16344">
        <f>IF(M16344="","",'Master Barang'!A38)</f>
        <v>0</v>
      </c>
      <c r="O16344">
        <f>IF(N16344="","",'Master Barang'!B38)</f>
        <v>0</v>
      </c>
      <c r="P16344">
        <f>IF(OR(M16344="",N16344=""),"",SUMIFS('Barang Keluar'!$E:$E,'Barang Keluar'!$A:$A,M16344,'Barang Keluar'!$C:$C,N16344))</f>
        <v>0</v>
      </c>
    </row>
    <row r="16345" spans="13:16">
      <c r="M16345" s="49">
        <f>IF($A$4+163&gt;$B$4,"",$A$4+163)</f>
        <v>46186</v>
      </c>
      <c r="N16345">
        <f>IF(M16345="","",'Master Barang'!A39)</f>
        <v>0</v>
      </c>
      <c r="O16345">
        <f>IF(N16345="","",'Master Barang'!B39)</f>
        <v>0</v>
      </c>
      <c r="P16345">
        <f>IF(OR(M16345="",N16345=""),"",SUMIFS('Barang Keluar'!$E:$E,'Barang Keluar'!$A:$A,M16345,'Barang Keluar'!$C:$C,N16345))</f>
        <v>0</v>
      </c>
    </row>
    <row r="16346" spans="13:16">
      <c r="M16346" s="49">
        <f>IF($A$4+163&gt;$B$4,"",$A$4+163)</f>
        <v>46186</v>
      </c>
      <c r="N16346">
        <f>IF(M16346="","",'Master Barang'!A40)</f>
        <v>0</v>
      </c>
      <c r="O16346">
        <f>IF(N16346="","",'Master Barang'!B40)</f>
        <v>0</v>
      </c>
      <c r="P16346">
        <f>IF(OR(M16346="",N16346=""),"",SUMIFS('Barang Keluar'!$E:$E,'Barang Keluar'!$A:$A,M16346,'Barang Keluar'!$C:$C,N16346))</f>
        <v>0</v>
      </c>
    </row>
    <row r="16347" spans="13:16">
      <c r="M16347" s="49">
        <f>IF($A$4+163&gt;$B$4,"",$A$4+163)</f>
        <v>46186</v>
      </c>
      <c r="N16347">
        <f>IF(M16347="","",'Master Barang'!A41)</f>
        <v>0</v>
      </c>
      <c r="O16347">
        <f>IF(N16347="","",'Master Barang'!B41)</f>
        <v>0</v>
      </c>
      <c r="P16347">
        <f>IF(OR(M16347="",N16347=""),"",SUMIFS('Barang Keluar'!$E:$E,'Barang Keluar'!$A:$A,M16347,'Barang Keluar'!$C:$C,N16347))</f>
        <v>0</v>
      </c>
    </row>
    <row r="16348" spans="13:16">
      <c r="M16348" s="49">
        <f>IF($A$4+163&gt;$B$4,"",$A$4+163)</f>
        <v>46186</v>
      </c>
      <c r="N16348">
        <f>IF(M16348="","",'Master Barang'!A42)</f>
        <v>0</v>
      </c>
      <c r="O16348">
        <f>IF(N16348="","",'Master Barang'!B42)</f>
        <v>0</v>
      </c>
      <c r="P16348">
        <f>IF(OR(M16348="",N16348=""),"",SUMIFS('Barang Keluar'!$E:$E,'Barang Keluar'!$A:$A,M16348,'Barang Keluar'!$C:$C,N16348))</f>
        <v>0</v>
      </c>
    </row>
    <row r="16349" spans="13:16">
      <c r="M16349" s="49">
        <f>IF($A$4+163&gt;$B$4,"",$A$4+163)</f>
        <v>46186</v>
      </c>
      <c r="N16349">
        <f>IF(M16349="","",'Master Barang'!A43)</f>
        <v>0</v>
      </c>
      <c r="O16349">
        <f>IF(N16349="","",'Master Barang'!B43)</f>
        <v>0</v>
      </c>
      <c r="P16349">
        <f>IF(OR(M16349="",N16349=""),"",SUMIFS('Barang Keluar'!$E:$E,'Barang Keluar'!$A:$A,M16349,'Barang Keluar'!$C:$C,N16349))</f>
        <v>0</v>
      </c>
    </row>
    <row r="16350" spans="13:16">
      <c r="M16350" s="49">
        <f>IF($A$4+163&gt;$B$4,"",$A$4+163)</f>
        <v>46186</v>
      </c>
      <c r="N16350">
        <f>IF(M16350="","",'Master Barang'!A44)</f>
        <v>0</v>
      </c>
      <c r="O16350">
        <f>IF(N16350="","",'Master Barang'!B44)</f>
        <v>0</v>
      </c>
      <c r="P16350">
        <f>IF(OR(M16350="",N16350=""),"",SUMIFS('Barang Keluar'!$E:$E,'Barang Keluar'!$A:$A,M16350,'Barang Keluar'!$C:$C,N16350))</f>
        <v>0</v>
      </c>
    </row>
    <row r="16351" spans="13:16">
      <c r="M16351" s="49">
        <f>IF($A$4+163&gt;$B$4,"",$A$4+163)</f>
        <v>46186</v>
      </c>
      <c r="N16351">
        <f>IF(M16351="","",'Master Barang'!A45)</f>
        <v>0</v>
      </c>
      <c r="O16351">
        <f>IF(N16351="","",'Master Barang'!B45)</f>
        <v>0</v>
      </c>
      <c r="P16351">
        <f>IF(OR(M16351="",N16351=""),"",SUMIFS('Barang Keluar'!$E:$E,'Barang Keluar'!$A:$A,M16351,'Barang Keluar'!$C:$C,N16351))</f>
        <v>0</v>
      </c>
    </row>
    <row r="16352" spans="13:16">
      <c r="M16352" s="49">
        <f>IF($A$4+163&gt;$B$4,"",$A$4+163)</f>
        <v>46186</v>
      </c>
      <c r="N16352">
        <f>IF(M16352="","",'Master Barang'!A46)</f>
        <v>0</v>
      </c>
      <c r="O16352">
        <f>IF(N16352="","",'Master Barang'!B46)</f>
        <v>0</v>
      </c>
      <c r="P16352">
        <f>IF(OR(M16352="",N16352=""),"",SUMIFS('Barang Keluar'!$E:$E,'Barang Keluar'!$A:$A,M16352,'Barang Keluar'!$C:$C,N16352))</f>
        <v>0</v>
      </c>
    </row>
    <row r="16353" spans="13:16">
      <c r="M16353" s="49">
        <f>IF($A$4+163&gt;$B$4,"",$A$4+163)</f>
        <v>46186</v>
      </c>
      <c r="N16353">
        <f>IF(M16353="","",'Master Barang'!A47)</f>
        <v>0</v>
      </c>
      <c r="O16353">
        <f>IF(N16353="","",'Master Barang'!B47)</f>
        <v>0</v>
      </c>
      <c r="P16353">
        <f>IF(OR(M16353="",N16353=""),"",SUMIFS('Barang Keluar'!$E:$E,'Barang Keluar'!$A:$A,M16353,'Barang Keluar'!$C:$C,N16353))</f>
        <v>0</v>
      </c>
    </row>
    <row r="16354" spans="13:16">
      <c r="M16354" s="49">
        <f>IF($A$4+163&gt;$B$4,"",$A$4+163)</f>
        <v>46186</v>
      </c>
      <c r="N16354">
        <f>IF(M16354="","",'Master Barang'!A48)</f>
        <v>0</v>
      </c>
      <c r="O16354">
        <f>IF(N16354="","",'Master Barang'!B48)</f>
        <v>0</v>
      </c>
      <c r="P16354">
        <f>IF(OR(M16354="",N16354=""),"",SUMIFS('Barang Keluar'!$E:$E,'Barang Keluar'!$A:$A,M16354,'Barang Keluar'!$C:$C,N16354))</f>
        <v>0</v>
      </c>
    </row>
    <row r="16355" spans="13:16">
      <c r="M16355" s="49">
        <f>IF($A$4+163&gt;$B$4,"",$A$4+163)</f>
        <v>46186</v>
      </c>
      <c r="N16355">
        <f>IF(M16355="","",'Master Barang'!A49)</f>
        <v>0</v>
      </c>
      <c r="O16355">
        <f>IF(N16355="","",'Master Barang'!B49)</f>
        <v>0</v>
      </c>
      <c r="P16355">
        <f>IF(OR(M16355="",N16355=""),"",SUMIFS('Barang Keluar'!$E:$E,'Barang Keluar'!$A:$A,M16355,'Barang Keluar'!$C:$C,N16355))</f>
        <v>0</v>
      </c>
    </row>
    <row r="16356" spans="13:16">
      <c r="M16356" s="49">
        <f>IF($A$4+163&gt;$B$4,"",$A$4+163)</f>
        <v>46186</v>
      </c>
      <c r="N16356">
        <f>IF(M16356="","",'Master Barang'!A50)</f>
        <v>0</v>
      </c>
      <c r="O16356">
        <f>IF(N16356="","",'Master Barang'!B50)</f>
        <v>0</v>
      </c>
      <c r="P16356">
        <f>IF(OR(M16356="",N16356=""),"",SUMIFS('Barang Keluar'!$E:$E,'Barang Keluar'!$A:$A,M16356,'Barang Keluar'!$C:$C,N16356))</f>
        <v>0</v>
      </c>
    </row>
    <row r="16357" spans="13:16">
      <c r="M16357" s="49">
        <f>IF($A$4+163&gt;$B$4,"",$A$4+163)</f>
        <v>46186</v>
      </c>
      <c r="N16357">
        <f>IF(M16357="","",'Master Barang'!A51)</f>
        <v>0</v>
      </c>
      <c r="O16357">
        <f>IF(N16357="","",'Master Barang'!B51)</f>
        <v>0</v>
      </c>
      <c r="P16357">
        <f>IF(OR(M16357="",N16357=""),"",SUMIFS('Barang Keluar'!$E:$E,'Barang Keluar'!$A:$A,M16357,'Barang Keluar'!$C:$C,N16357))</f>
        <v>0</v>
      </c>
    </row>
    <row r="16358" spans="13:16">
      <c r="M16358" s="49">
        <f>IF($A$4+163&gt;$B$4,"",$A$4+163)</f>
        <v>46186</v>
      </c>
      <c r="N16358">
        <f>IF(M16358="","",'Master Barang'!A52)</f>
        <v>0</v>
      </c>
      <c r="O16358">
        <f>IF(N16358="","",'Master Barang'!B52)</f>
        <v>0</v>
      </c>
      <c r="P16358">
        <f>IF(OR(M16358="",N16358=""),"",SUMIFS('Barang Keluar'!$E:$E,'Barang Keluar'!$A:$A,M16358,'Barang Keluar'!$C:$C,N16358))</f>
        <v>0</v>
      </c>
    </row>
    <row r="16359" spans="13:16">
      <c r="M16359" s="49">
        <f>IF($A$4+163&gt;$B$4,"",$A$4+163)</f>
        <v>46186</v>
      </c>
      <c r="N16359">
        <f>IF(M16359="","",'Master Barang'!A53)</f>
        <v>0</v>
      </c>
      <c r="O16359">
        <f>IF(N16359="","",'Master Barang'!B53)</f>
        <v>0</v>
      </c>
      <c r="P16359">
        <f>IF(OR(M16359="",N16359=""),"",SUMIFS('Barang Keluar'!$E:$E,'Barang Keluar'!$A:$A,M16359,'Barang Keluar'!$C:$C,N16359))</f>
        <v>0</v>
      </c>
    </row>
    <row r="16360" spans="13:16">
      <c r="M16360" s="49">
        <f>IF($A$4+163&gt;$B$4,"",$A$4+163)</f>
        <v>46186</v>
      </c>
      <c r="N16360">
        <f>IF(M16360="","",'Master Barang'!A54)</f>
        <v>0</v>
      </c>
      <c r="O16360">
        <f>IF(N16360="","",'Master Barang'!B54)</f>
        <v>0</v>
      </c>
      <c r="P16360">
        <f>IF(OR(M16360="",N16360=""),"",SUMIFS('Barang Keluar'!$E:$E,'Barang Keluar'!$A:$A,M16360,'Barang Keluar'!$C:$C,N16360))</f>
        <v>0</v>
      </c>
    </row>
    <row r="16361" spans="13:16">
      <c r="M16361" s="49">
        <f>IF($A$4+163&gt;$B$4,"",$A$4+163)</f>
        <v>46186</v>
      </c>
      <c r="N16361">
        <f>IF(M16361="","",'Master Barang'!A55)</f>
        <v>0</v>
      </c>
      <c r="O16361">
        <f>IF(N16361="","",'Master Barang'!B55)</f>
        <v>0</v>
      </c>
      <c r="P16361">
        <f>IF(OR(M16361="",N16361=""),"",SUMIFS('Barang Keluar'!$E:$E,'Barang Keluar'!$A:$A,M16361,'Barang Keluar'!$C:$C,N16361))</f>
        <v>0</v>
      </c>
    </row>
    <row r="16362" spans="13:16">
      <c r="M16362" s="49">
        <f>IF($A$4+163&gt;$B$4,"",$A$4+163)</f>
        <v>46186</v>
      </c>
      <c r="N16362">
        <f>IF(M16362="","",'Master Barang'!A56)</f>
        <v>0</v>
      </c>
      <c r="O16362">
        <f>IF(N16362="","",'Master Barang'!B56)</f>
        <v>0</v>
      </c>
      <c r="P16362">
        <f>IF(OR(M16362="",N16362=""),"",SUMIFS('Barang Keluar'!$E:$E,'Barang Keluar'!$A:$A,M16362,'Barang Keluar'!$C:$C,N16362))</f>
        <v>0</v>
      </c>
    </row>
    <row r="16363" spans="13:16">
      <c r="M16363" s="49">
        <f>IF($A$4+163&gt;$B$4,"",$A$4+163)</f>
        <v>46186</v>
      </c>
      <c r="N16363">
        <f>IF(M16363="","",'Master Barang'!A57)</f>
        <v>0</v>
      </c>
      <c r="O16363">
        <f>IF(N16363="","",'Master Barang'!B57)</f>
        <v>0</v>
      </c>
      <c r="P16363">
        <f>IF(OR(M16363="",N16363=""),"",SUMIFS('Barang Keluar'!$E:$E,'Barang Keluar'!$A:$A,M16363,'Barang Keluar'!$C:$C,N16363))</f>
        <v>0</v>
      </c>
    </row>
    <row r="16364" spans="13:16">
      <c r="M16364" s="49">
        <f>IF($A$4+163&gt;$B$4,"",$A$4+163)</f>
        <v>46186</v>
      </c>
      <c r="N16364">
        <f>IF(M16364="","",'Master Barang'!A58)</f>
        <v>0</v>
      </c>
      <c r="O16364">
        <f>IF(N16364="","",'Master Barang'!B58)</f>
        <v>0</v>
      </c>
      <c r="P16364">
        <f>IF(OR(M16364="",N16364=""),"",SUMIFS('Barang Keluar'!$E:$E,'Barang Keluar'!$A:$A,M16364,'Barang Keluar'!$C:$C,N16364))</f>
        <v>0</v>
      </c>
    </row>
    <row r="16365" spans="13:16">
      <c r="M16365" s="49">
        <f>IF($A$4+163&gt;$B$4,"",$A$4+163)</f>
        <v>46186</v>
      </c>
      <c r="N16365">
        <f>IF(M16365="","",'Master Barang'!A59)</f>
        <v>0</v>
      </c>
      <c r="O16365">
        <f>IF(N16365="","",'Master Barang'!B59)</f>
        <v>0</v>
      </c>
      <c r="P16365">
        <f>IF(OR(M16365="",N16365=""),"",SUMIFS('Barang Keluar'!$E:$E,'Barang Keluar'!$A:$A,M16365,'Barang Keluar'!$C:$C,N16365))</f>
        <v>0</v>
      </c>
    </row>
    <row r="16366" spans="13:16">
      <c r="M16366" s="49">
        <f>IF($A$4+163&gt;$B$4,"",$A$4+163)</f>
        <v>46186</v>
      </c>
      <c r="N16366">
        <f>IF(M16366="","",'Master Barang'!A60)</f>
        <v>0</v>
      </c>
      <c r="O16366">
        <f>IF(N16366="","",'Master Barang'!B60)</f>
        <v>0</v>
      </c>
      <c r="P16366">
        <f>IF(OR(M16366="",N16366=""),"",SUMIFS('Barang Keluar'!$E:$E,'Barang Keluar'!$A:$A,M16366,'Barang Keluar'!$C:$C,N16366))</f>
        <v>0</v>
      </c>
    </row>
    <row r="16367" spans="13:16">
      <c r="M16367" s="49">
        <f>IF($A$4+163&gt;$B$4,"",$A$4+163)</f>
        <v>46186</v>
      </c>
      <c r="N16367">
        <f>IF(M16367="","",'Master Barang'!A61)</f>
        <v>0</v>
      </c>
      <c r="O16367">
        <f>IF(N16367="","",'Master Barang'!B61)</f>
        <v>0</v>
      </c>
      <c r="P16367">
        <f>IF(OR(M16367="",N16367=""),"",SUMIFS('Barang Keluar'!$E:$E,'Barang Keluar'!$A:$A,M16367,'Barang Keluar'!$C:$C,N16367))</f>
        <v>0</v>
      </c>
    </row>
    <row r="16368" spans="13:16">
      <c r="M16368" s="49">
        <f>IF($A$4+163&gt;$B$4,"",$A$4+163)</f>
        <v>46186</v>
      </c>
      <c r="N16368">
        <f>IF(M16368="","",'Master Barang'!A62)</f>
        <v>0</v>
      </c>
      <c r="O16368">
        <f>IF(N16368="","",'Master Barang'!B62)</f>
        <v>0</v>
      </c>
      <c r="P16368">
        <f>IF(OR(M16368="",N16368=""),"",SUMIFS('Barang Keluar'!$E:$E,'Barang Keluar'!$A:$A,M16368,'Barang Keluar'!$C:$C,N16368))</f>
        <v>0</v>
      </c>
    </row>
    <row r="16369" spans="13:16">
      <c r="M16369" s="49">
        <f>IF($A$4+163&gt;$B$4,"",$A$4+163)</f>
        <v>46186</v>
      </c>
      <c r="N16369">
        <f>IF(M16369="","",'Master Barang'!A63)</f>
        <v>0</v>
      </c>
      <c r="O16369">
        <f>IF(N16369="","",'Master Barang'!B63)</f>
        <v>0</v>
      </c>
      <c r="P16369">
        <f>IF(OR(M16369="",N16369=""),"",SUMIFS('Barang Keluar'!$E:$E,'Barang Keluar'!$A:$A,M16369,'Barang Keluar'!$C:$C,N16369))</f>
        <v>0</v>
      </c>
    </row>
    <row r="16370" spans="13:16">
      <c r="M16370" s="49">
        <f>IF($A$4+163&gt;$B$4,"",$A$4+163)</f>
        <v>46186</v>
      </c>
      <c r="N16370">
        <f>IF(M16370="","",'Master Barang'!A64)</f>
        <v>0</v>
      </c>
      <c r="O16370">
        <f>IF(N16370="","",'Master Barang'!B64)</f>
        <v>0</v>
      </c>
      <c r="P16370">
        <f>IF(OR(M16370="",N16370=""),"",SUMIFS('Barang Keluar'!$E:$E,'Barang Keluar'!$A:$A,M16370,'Barang Keluar'!$C:$C,N16370))</f>
        <v>0</v>
      </c>
    </row>
    <row r="16371" spans="13:16">
      <c r="M16371" s="49">
        <f>IF($A$4+163&gt;$B$4,"",$A$4+163)</f>
        <v>46186</v>
      </c>
      <c r="N16371">
        <f>IF(M16371="","",'Master Barang'!A65)</f>
        <v>0</v>
      </c>
      <c r="O16371">
        <f>IF(N16371="","",'Master Barang'!B65)</f>
        <v>0</v>
      </c>
      <c r="P16371">
        <f>IF(OR(M16371="",N16371=""),"",SUMIFS('Barang Keluar'!$E:$E,'Barang Keluar'!$A:$A,M16371,'Barang Keluar'!$C:$C,N16371))</f>
        <v>0</v>
      </c>
    </row>
    <row r="16372" spans="13:16">
      <c r="M16372" s="49">
        <f>IF($A$4+163&gt;$B$4,"",$A$4+163)</f>
        <v>46186</v>
      </c>
      <c r="N16372">
        <f>IF(M16372="","",'Master Barang'!A66)</f>
        <v>0</v>
      </c>
      <c r="O16372">
        <f>IF(N16372="","",'Master Barang'!B66)</f>
        <v>0</v>
      </c>
      <c r="P16372">
        <f>IF(OR(M16372="",N16372=""),"",SUMIFS('Barang Keluar'!$E:$E,'Barang Keluar'!$A:$A,M16372,'Barang Keluar'!$C:$C,N16372))</f>
        <v>0</v>
      </c>
    </row>
    <row r="16373" spans="13:16">
      <c r="M16373" s="49">
        <f>IF($A$4+163&gt;$B$4,"",$A$4+163)</f>
        <v>46186</v>
      </c>
      <c r="N16373">
        <f>IF(M16373="","",'Master Barang'!A67)</f>
        <v>0</v>
      </c>
      <c r="O16373">
        <f>IF(N16373="","",'Master Barang'!B67)</f>
        <v>0</v>
      </c>
      <c r="P16373">
        <f>IF(OR(M16373="",N16373=""),"",SUMIFS('Barang Keluar'!$E:$E,'Barang Keluar'!$A:$A,M16373,'Barang Keluar'!$C:$C,N16373))</f>
        <v>0</v>
      </c>
    </row>
    <row r="16374" spans="13:16">
      <c r="M16374" s="49">
        <f>IF($A$4+163&gt;$B$4,"",$A$4+163)</f>
        <v>46186</v>
      </c>
      <c r="N16374">
        <f>IF(M16374="","",'Master Barang'!A68)</f>
        <v>0</v>
      </c>
      <c r="O16374">
        <f>IF(N16374="","",'Master Barang'!B68)</f>
        <v>0</v>
      </c>
      <c r="P16374">
        <f>IF(OR(M16374="",N16374=""),"",SUMIFS('Barang Keluar'!$E:$E,'Barang Keluar'!$A:$A,M16374,'Barang Keluar'!$C:$C,N16374))</f>
        <v>0</v>
      </c>
    </row>
    <row r="16375" spans="13:16">
      <c r="M16375" s="49">
        <f>IF($A$4+163&gt;$B$4,"",$A$4+163)</f>
        <v>46186</v>
      </c>
      <c r="N16375">
        <f>IF(M16375="","",'Master Barang'!A69)</f>
        <v>0</v>
      </c>
      <c r="O16375">
        <f>IF(N16375="","",'Master Barang'!B69)</f>
        <v>0</v>
      </c>
      <c r="P16375">
        <f>IF(OR(M16375="",N16375=""),"",SUMIFS('Barang Keluar'!$E:$E,'Barang Keluar'!$A:$A,M16375,'Barang Keluar'!$C:$C,N16375))</f>
        <v>0</v>
      </c>
    </row>
    <row r="16376" spans="13:16">
      <c r="M16376" s="49">
        <f>IF($A$4+163&gt;$B$4,"",$A$4+163)</f>
        <v>46186</v>
      </c>
      <c r="N16376">
        <f>IF(M16376="","",'Master Barang'!A70)</f>
        <v>0</v>
      </c>
      <c r="O16376">
        <f>IF(N16376="","",'Master Barang'!B70)</f>
        <v>0</v>
      </c>
      <c r="P16376">
        <f>IF(OR(M16376="",N16376=""),"",SUMIFS('Barang Keluar'!$E:$E,'Barang Keluar'!$A:$A,M16376,'Barang Keluar'!$C:$C,N16376))</f>
        <v>0</v>
      </c>
    </row>
    <row r="16377" spans="13:16">
      <c r="M16377" s="49">
        <f>IF($A$4+163&gt;$B$4,"",$A$4+163)</f>
        <v>46186</v>
      </c>
      <c r="N16377">
        <f>IF(M16377="","",'Master Barang'!A71)</f>
        <v>0</v>
      </c>
      <c r="O16377">
        <f>IF(N16377="","",'Master Barang'!B71)</f>
        <v>0</v>
      </c>
      <c r="P16377">
        <f>IF(OR(M16377="",N16377=""),"",SUMIFS('Barang Keluar'!$E:$E,'Barang Keluar'!$A:$A,M16377,'Barang Keluar'!$C:$C,N16377))</f>
        <v>0</v>
      </c>
    </row>
    <row r="16378" spans="13:16">
      <c r="M16378" s="49">
        <f>IF($A$4+163&gt;$B$4,"",$A$4+163)</f>
        <v>46186</v>
      </c>
      <c r="N16378">
        <f>IF(M16378="","",'Master Barang'!A72)</f>
        <v>0</v>
      </c>
      <c r="O16378">
        <f>IF(N16378="","",'Master Barang'!B72)</f>
        <v>0</v>
      </c>
      <c r="P16378">
        <f>IF(OR(M16378="",N16378=""),"",SUMIFS('Barang Keluar'!$E:$E,'Barang Keluar'!$A:$A,M16378,'Barang Keluar'!$C:$C,N16378))</f>
        <v>0</v>
      </c>
    </row>
    <row r="16379" spans="13:16">
      <c r="M16379" s="49">
        <f>IF($A$4+163&gt;$B$4,"",$A$4+163)</f>
        <v>46186</v>
      </c>
      <c r="N16379">
        <f>IF(M16379="","",'Master Barang'!A73)</f>
        <v>0</v>
      </c>
      <c r="O16379">
        <f>IF(N16379="","",'Master Barang'!B73)</f>
        <v>0</v>
      </c>
      <c r="P16379">
        <f>IF(OR(M16379="",N16379=""),"",SUMIFS('Barang Keluar'!$E:$E,'Barang Keluar'!$A:$A,M16379,'Barang Keluar'!$C:$C,N16379))</f>
        <v>0</v>
      </c>
    </row>
    <row r="16380" spans="13:16">
      <c r="M16380" s="49">
        <f>IF($A$4+163&gt;$B$4,"",$A$4+163)</f>
        <v>46186</v>
      </c>
      <c r="N16380">
        <f>IF(M16380="","",'Master Barang'!A74)</f>
        <v>0</v>
      </c>
      <c r="O16380">
        <f>IF(N16380="","",'Master Barang'!B74)</f>
        <v>0</v>
      </c>
      <c r="P16380">
        <f>IF(OR(M16380="",N16380=""),"",SUMIFS('Barang Keluar'!$E:$E,'Barang Keluar'!$A:$A,M16380,'Barang Keluar'!$C:$C,N16380))</f>
        <v>0</v>
      </c>
    </row>
    <row r="16381" spans="13:16">
      <c r="M16381" s="49">
        <f>IF($A$4+163&gt;$B$4,"",$A$4+163)</f>
        <v>46186</v>
      </c>
      <c r="N16381">
        <f>IF(M16381="","",'Master Barang'!A75)</f>
        <v>0</v>
      </c>
      <c r="O16381">
        <f>IF(N16381="","",'Master Barang'!B75)</f>
        <v>0</v>
      </c>
      <c r="P16381">
        <f>IF(OR(M16381="",N16381=""),"",SUMIFS('Barang Keluar'!$E:$E,'Barang Keluar'!$A:$A,M16381,'Barang Keluar'!$C:$C,N16381))</f>
        <v>0</v>
      </c>
    </row>
    <row r="16382" spans="13:16">
      <c r="M16382" s="49">
        <f>IF($A$4+163&gt;$B$4,"",$A$4+163)</f>
        <v>46186</v>
      </c>
      <c r="N16382">
        <f>IF(M16382="","",'Master Barang'!A76)</f>
        <v>0</v>
      </c>
      <c r="O16382">
        <f>IF(N16382="","",'Master Barang'!B76)</f>
        <v>0</v>
      </c>
      <c r="P16382">
        <f>IF(OR(M16382="",N16382=""),"",SUMIFS('Barang Keluar'!$E:$E,'Barang Keluar'!$A:$A,M16382,'Barang Keluar'!$C:$C,N16382))</f>
        <v>0</v>
      </c>
    </row>
    <row r="16383" spans="13:16">
      <c r="M16383" s="49">
        <f>IF($A$4+163&gt;$B$4,"",$A$4+163)</f>
        <v>46186</v>
      </c>
      <c r="N16383">
        <f>IF(M16383="","",'Master Barang'!A77)</f>
        <v>0</v>
      </c>
      <c r="O16383">
        <f>IF(N16383="","",'Master Barang'!B77)</f>
        <v>0</v>
      </c>
      <c r="P16383">
        <f>IF(OR(M16383="",N16383=""),"",SUMIFS('Barang Keluar'!$E:$E,'Barang Keluar'!$A:$A,M16383,'Barang Keluar'!$C:$C,N16383))</f>
        <v>0</v>
      </c>
    </row>
    <row r="16384" spans="13:16">
      <c r="M16384" s="49">
        <f>IF($A$4+163&gt;$B$4,"",$A$4+163)</f>
        <v>46186</v>
      </c>
      <c r="N16384">
        <f>IF(M16384="","",'Master Barang'!A78)</f>
        <v>0</v>
      </c>
      <c r="O16384">
        <f>IF(N16384="","",'Master Barang'!B78)</f>
        <v>0</v>
      </c>
      <c r="P16384">
        <f>IF(OR(M16384="",N16384=""),"",SUMIFS('Barang Keluar'!$E:$E,'Barang Keluar'!$A:$A,M16384,'Barang Keluar'!$C:$C,N16384))</f>
        <v>0</v>
      </c>
    </row>
    <row r="16385" spans="13:16">
      <c r="M16385" s="49">
        <f>IF($A$4+163&gt;$B$4,"",$A$4+163)</f>
        <v>46186</v>
      </c>
      <c r="N16385">
        <f>IF(M16385="","",'Master Barang'!A79)</f>
        <v>0</v>
      </c>
      <c r="O16385">
        <f>IF(N16385="","",'Master Barang'!B79)</f>
        <v>0</v>
      </c>
      <c r="P16385">
        <f>IF(OR(M16385="",N16385=""),"",SUMIFS('Barang Keluar'!$E:$E,'Barang Keluar'!$A:$A,M16385,'Barang Keluar'!$C:$C,N16385))</f>
        <v>0</v>
      </c>
    </row>
    <row r="16386" spans="13:16">
      <c r="M16386" s="49">
        <f>IF($A$4+163&gt;$B$4,"",$A$4+163)</f>
        <v>46186</v>
      </c>
      <c r="N16386">
        <f>IF(M16386="","",'Master Barang'!A80)</f>
        <v>0</v>
      </c>
      <c r="O16386">
        <f>IF(N16386="","",'Master Barang'!B80)</f>
        <v>0</v>
      </c>
      <c r="P16386">
        <f>IF(OR(M16386="",N16386=""),"",SUMIFS('Barang Keluar'!$E:$E,'Barang Keluar'!$A:$A,M16386,'Barang Keluar'!$C:$C,N16386))</f>
        <v>0</v>
      </c>
    </row>
    <row r="16387" spans="13:16">
      <c r="M16387" s="49">
        <f>IF($A$4+163&gt;$B$4,"",$A$4+163)</f>
        <v>46186</v>
      </c>
      <c r="N16387">
        <f>IF(M16387="","",'Master Barang'!A81)</f>
        <v>0</v>
      </c>
      <c r="O16387">
        <f>IF(N16387="","",'Master Barang'!B81)</f>
        <v>0</v>
      </c>
      <c r="P16387">
        <f>IF(OR(M16387="",N16387=""),"",SUMIFS('Barang Keluar'!$E:$E,'Barang Keluar'!$A:$A,M16387,'Barang Keluar'!$C:$C,N16387))</f>
        <v>0</v>
      </c>
    </row>
    <row r="16388" spans="13:16">
      <c r="M16388" s="49">
        <f>IF($A$4+163&gt;$B$4,"",$A$4+163)</f>
        <v>46186</v>
      </c>
      <c r="N16388">
        <f>IF(M16388="","",'Master Barang'!A82)</f>
        <v>0</v>
      </c>
      <c r="O16388">
        <f>IF(N16388="","",'Master Barang'!B82)</f>
        <v>0</v>
      </c>
      <c r="P16388">
        <f>IF(OR(M16388="",N16388=""),"",SUMIFS('Barang Keluar'!$E:$E,'Barang Keluar'!$A:$A,M16388,'Barang Keluar'!$C:$C,N16388))</f>
        <v>0</v>
      </c>
    </row>
    <row r="16389" spans="13:16">
      <c r="M16389" s="49">
        <f>IF($A$4+163&gt;$B$4,"",$A$4+163)</f>
        <v>46186</v>
      </c>
      <c r="N16389">
        <f>IF(M16389="","",'Master Barang'!A83)</f>
        <v>0</v>
      </c>
      <c r="O16389">
        <f>IF(N16389="","",'Master Barang'!B83)</f>
        <v>0</v>
      </c>
      <c r="P16389">
        <f>IF(OR(M16389="",N16389=""),"",SUMIFS('Barang Keluar'!$E:$E,'Barang Keluar'!$A:$A,M16389,'Barang Keluar'!$C:$C,N16389))</f>
        <v>0</v>
      </c>
    </row>
    <row r="16390" spans="13:16">
      <c r="M16390" s="49">
        <f>IF($A$4+163&gt;$B$4,"",$A$4+163)</f>
        <v>46186</v>
      </c>
      <c r="N16390">
        <f>IF(M16390="","",'Master Barang'!A84)</f>
        <v>0</v>
      </c>
      <c r="O16390">
        <f>IF(N16390="","",'Master Barang'!B84)</f>
        <v>0</v>
      </c>
      <c r="P16390">
        <f>IF(OR(M16390="",N16390=""),"",SUMIFS('Barang Keluar'!$E:$E,'Barang Keluar'!$A:$A,M16390,'Barang Keluar'!$C:$C,N16390))</f>
        <v>0</v>
      </c>
    </row>
    <row r="16391" spans="13:16">
      <c r="M16391" s="49">
        <f>IF($A$4+163&gt;$B$4,"",$A$4+163)</f>
        <v>46186</v>
      </c>
      <c r="N16391">
        <f>IF(M16391="","",'Master Barang'!A85)</f>
        <v>0</v>
      </c>
      <c r="O16391">
        <f>IF(N16391="","",'Master Barang'!B85)</f>
        <v>0</v>
      </c>
      <c r="P16391">
        <f>IF(OR(M16391="",N16391=""),"",SUMIFS('Barang Keluar'!$E:$E,'Barang Keluar'!$A:$A,M16391,'Barang Keluar'!$C:$C,N16391))</f>
        <v>0</v>
      </c>
    </row>
    <row r="16392" spans="13:16">
      <c r="M16392" s="49">
        <f>IF($A$4+163&gt;$B$4,"",$A$4+163)</f>
        <v>46186</v>
      </c>
      <c r="N16392">
        <f>IF(M16392="","",'Master Barang'!A86)</f>
        <v>0</v>
      </c>
      <c r="O16392">
        <f>IF(N16392="","",'Master Barang'!B86)</f>
        <v>0</v>
      </c>
      <c r="P16392">
        <f>IF(OR(M16392="",N16392=""),"",SUMIFS('Barang Keluar'!$E:$E,'Barang Keluar'!$A:$A,M16392,'Barang Keluar'!$C:$C,N16392))</f>
        <v>0</v>
      </c>
    </row>
    <row r="16393" spans="13:16">
      <c r="M16393" s="49">
        <f>IF($A$4+163&gt;$B$4,"",$A$4+163)</f>
        <v>46186</v>
      </c>
      <c r="N16393">
        <f>IF(M16393="","",'Master Barang'!A87)</f>
        <v>0</v>
      </c>
      <c r="O16393">
        <f>IF(N16393="","",'Master Barang'!B87)</f>
        <v>0</v>
      </c>
      <c r="P16393">
        <f>IF(OR(M16393="",N16393=""),"",SUMIFS('Barang Keluar'!$E:$E,'Barang Keluar'!$A:$A,M16393,'Barang Keluar'!$C:$C,N16393))</f>
        <v>0</v>
      </c>
    </row>
    <row r="16394" spans="13:16">
      <c r="M16394" s="49">
        <f>IF($A$4+163&gt;$B$4,"",$A$4+163)</f>
        <v>46186</v>
      </c>
      <c r="N16394">
        <f>IF(M16394="","",'Master Barang'!A88)</f>
        <v>0</v>
      </c>
      <c r="O16394">
        <f>IF(N16394="","",'Master Barang'!B88)</f>
        <v>0</v>
      </c>
      <c r="P16394">
        <f>IF(OR(M16394="",N16394=""),"",SUMIFS('Barang Keluar'!$E:$E,'Barang Keluar'!$A:$A,M16394,'Barang Keluar'!$C:$C,N16394))</f>
        <v>0</v>
      </c>
    </row>
    <row r="16395" spans="13:16">
      <c r="M16395" s="49">
        <f>IF($A$4+163&gt;$B$4,"",$A$4+163)</f>
        <v>46186</v>
      </c>
      <c r="N16395">
        <f>IF(M16395="","",'Master Barang'!A89)</f>
        <v>0</v>
      </c>
      <c r="O16395">
        <f>IF(N16395="","",'Master Barang'!B89)</f>
        <v>0</v>
      </c>
      <c r="P16395">
        <f>IF(OR(M16395="",N16395=""),"",SUMIFS('Barang Keluar'!$E:$E,'Barang Keluar'!$A:$A,M16395,'Barang Keluar'!$C:$C,N16395))</f>
        <v>0</v>
      </c>
    </row>
    <row r="16396" spans="13:16">
      <c r="M16396" s="49">
        <f>IF($A$4+163&gt;$B$4,"",$A$4+163)</f>
        <v>46186</v>
      </c>
      <c r="N16396">
        <f>IF(M16396="","",'Master Barang'!A90)</f>
        <v>0</v>
      </c>
      <c r="O16396">
        <f>IF(N16396="","",'Master Barang'!B90)</f>
        <v>0</v>
      </c>
      <c r="P16396">
        <f>IF(OR(M16396="",N16396=""),"",SUMIFS('Barang Keluar'!$E:$E,'Barang Keluar'!$A:$A,M16396,'Barang Keluar'!$C:$C,N16396))</f>
        <v>0</v>
      </c>
    </row>
    <row r="16397" spans="13:16">
      <c r="M16397" s="49">
        <f>IF($A$4+163&gt;$B$4,"",$A$4+163)</f>
        <v>46186</v>
      </c>
      <c r="N16397">
        <f>IF(M16397="","",'Master Barang'!A91)</f>
        <v>0</v>
      </c>
      <c r="O16397">
        <f>IF(N16397="","",'Master Barang'!B91)</f>
        <v>0</v>
      </c>
      <c r="P16397">
        <f>IF(OR(M16397="",N16397=""),"",SUMIFS('Barang Keluar'!$E:$E,'Barang Keluar'!$A:$A,M16397,'Barang Keluar'!$C:$C,N16397))</f>
        <v>0</v>
      </c>
    </row>
    <row r="16398" spans="13:16">
      <c r="M16398" s="49">
        <f>IF($A$4+163&gt;$B$4,"",$A$4+163)</f>
        <v>46186</v>
      </c>
      <c r="N16398">
        <f>IF(M16398="","",'Master Barang'!A92)</f>
        <v>0</v>
      </c>
      <c r="O16398">
        <f>IF(N16398="","",'Master Barang'!B92)</f>
        <v>0</v>
      </c>
      <c r="P16398">
        <f>IF(OR(M16398="",N16398=""),"",SUMIFS('Barang Keluar'!$E:$E,'Barang Keluar'!$A:$A,M16398,'Barang Keluar'!$C:$C,N16398))</f>
        <v>0</v>
      </c>
    </row>
    <row r="16399" spans="13:16">
      <c r="M16399" s="49">
        <f>IF($A$4+163&gt;$B$4,"",$A$4+163)</f>
        <v>46186</v>
      </c>
      <c r="N16399">
        <f>IF(M16399="","",'Master Barang'!A93)</f>
        <v>0</v>
      </c>
      <c r="O16399">
        <f>IF(N16399="","",'Master Barang'!B93)</f>
        <v>0</v>
      </c>
      <c r="P16399">
        <f>IF(OR(M16399="",N16399=""),"",SUMIFS('Barang Keluar'!$E:$E,'Barang Keluar'!$A:$A,M16399,'Barang Keluar'!$C:$C,N16399))</f>
        <v>0</v>
      </c>
    </row>
    <row r="16400" spans="13:16">
      <c r="M16400" s="49">
        <f>IF($A$4+163&gt;$B$4,"",$A$4+163)</f>
        <v>46186</v>
      </c>
      <c r="N16400">
        <f>IF(M16400="","",'Master Barang'!A94)</f>
        <v>0</v>
      </c>
      <c r="O16400">
        <f>IF(N16400="","",'Master Barang'!B94)</f>
        <v>0</v>
      </c>
      <c r="P16400">
        <f>IF(OR(M16400="",N16400=""),"",SUMIFS('Barang Keluar'!$E:$E,'Barang Keluar'!$A:$A,M16400,'Barang Keluar'!$C:$C,N16400))</f>
        <v>0</v>
      </c>
    </row>
    <row r="16401" spans="13:16">
      <c r="M16401" s="49">
        <f>IF($A$4+163&gt;$B$4,"",$A$4+163)</f>
        <v>46186</v>
      </c>
      <c r="N16401">
        <f>IF(M16401="","",'Master Barang'!A95)</f>
        <v>0</v>
      </c>
      <c r="O16401">
        <f>IF(N16401="","",'Master Barang'!B95)</f>
        <v>0</v>
      </c>
      <c r="P16401">
        <f>IF(OR(M16401="",N16401=""),"",SUMIFS('Barang Keluar'!$E:$E,'Barang Keluar'!$A:$A,M16401,'Barang Keluar'!$C:$C,N16401))</f>
        <v>0</v>
      </c>
    </row>
    <row r="16402" spans="13:16">
      <c r="M16402" s="49">
        <f>IF($A$4+163&gt;$B$4,"",$A$4+163)</f>
        <v>46186</v>
      </c>
      <c r="N16402">
        <f>IF(M16402="","",'Master Barang'!A96)</f>
        <v>0</v>
      </c>
      <c r="O16402">
        <f>IF(N16402="","",'Master Barang'!B96)</f>
        <v>0</v>
      </c>
      <c r="P16402">
        <f>IF(OR(M16402="",N16402=""),"",SUMIFS('Barang Keluar'!$E:$E,'Barang Keluar'!$A:$A,M16402,'Barang Keluar'!$C:$C,N16402))</f>
        <v>0</v>
      </c>
    </row>
    <row r="16403" spans="13:16">
      <c r="M16403" s="49">
        <f>IF($A$4+163&gt;$B$4,"",$A$4+163)</f>
        <v>46186</v>
      </c>
      <c r="N16403">
        <f>IF(M16403="","",'Master Barang'!A97)</f>
        <v>0</v>
      </c>
      <c r="O16403">
        <f>IF(N16403="","",'Master Barang'!B97)</f>
        <v>0</v>
      </c>
      <c r="P16403">
        <f>IF(OR(M16403="",N16403=""),"",SUMIFS('Barang Keluar'!$E:$E,'Barang Keluar'!$A:$A,M16403,'Barang Keluar'!$C:$C,N16403))</f>
        <v>0</v>
      </c>
    </row>
    <row r="16404" spans="13:16">
      <c r="M16404" s="49">
        <f>IF($A$4+163&gt;$B$4,"",$A$4+163)</f>
        <v>46186</v>
      </c>
      <c r="N16404">
        <f>IF(M16404="","",'Master Barang'!A98)</f>
        <v>0</v>
      </c>
      <c r="O16404">
        <f>IF(N16404="","",'Master Barang'!B98)</f>
        <v>0</v>
      </c>
      <c r="P16404">
        <f>IF(OR(M16404="",N16404=""),"",SUMIFS('Barang Keluar'!$E:$E,'Barang Keluar'!$A:$A,M16404,'Barang Keluar'!$C:$C,N16404))</f>
        <v>0</v>
      </c>
    </row>
    <row r="16405" spans="13:16">
      <c r="M16405" s="49">
        <f>IF($A$4+163&gt;$B$4,"",$A$4+163)</f>
        <v>46186</v>
      </c>
      <c r="N16405">
        <f>IF(M16405="","",'Master Barang'!A99)</f>
        <v>0</v>
      </c>
      <c r="O16405">
        <f>IF(N16405="","",'Master Barang'!B99)</f>
        <v>0</v>
      </c>
      <c r="P16405">
        <f>IF(OR(M16405="",N16405=""),"",SUMIFS('Barang Keluar'!$E:$E,'Barang Keluar'!$A:$A,M16405,'Barang Keluar'!$C:$C,N16405))</f>
        <v>0</v>
      </c>
    </row>
    <row r="16406" spans="13:16">
      <c r="M16406" s="49">
        <f>IF($A$4+163&gt;$B$4,"",$A$4+163)</f>
        <v>46186</v>
      </c>
      <c r="N16406">
        <f>IF(M16406="","",'Master Barang'!A100)</f>
        <v>0</v>
      </c>
      <c r="O16406">
        <f>IF(N16406="","",'Master Barang'!B100)</f>
        <v>0</v>
      </c>
      <c r="P16406">
        <f>IF(OR(M16406="",N16406=""),"",SUMIFS('Barang Keluar'!$E:$E,'Barang Keluar'!$A:$A,M16406,'Barang Keluar'!$C:$C,N16406))</f>
        <v>0</v>
      </c>
    </row>
    <row r="16407" spans="13:16">
      <c r="M16407" s="49">
        <f>IF($A$4+163&gt;$B$4,"",$A$4+163)</f>
        <v>46186</v>
      </c>
      <c r="N16407">
        <f>IF(M16407="","",'Master Barang'!A101)</f>
        <v>0</v>
      </c>
      <c r="O16407">
        <f>IF(N16407="","",'Master Barang'!B101)</f>
        <v>0</v>
      </c>
      <c r="P16407">
        <f>IF(OR(M16407="",N16407=""),"",SUMIFS('Barang Keluar'!$E:$E,'Barang Keluar'!$A:$A,M16407,'Barang Keluar'!$C:$C,N16407))</f>
        <v>0</v>
      </c>
    </row>
    <row r="16408" spans="13:16">
      <c r="M16408" s="49">
        <f>IF($A$4+164&gt;$B$4,"",$A$4+164)</f>
        <v>46187</v>
      </c>
      <c r="N16408" t="str">
        <f>IF(M16408="","",'Master Barang'!A2)</f>
        <v>PRL-001</v>
      </c>
      <c r="O16408" t="str">
        <f>IF(N16408="","",'Master Barang'!B2)</f>
        <v>natura desinfectant food grade 5l</v>
      </c>
      <c r="P16408">
        <f>IF(OR(M16408="",N16408=""),"",SUMIFS('Barang Keluar'!$E:$E,'Barang Keluar'!$A:$A,M16408,'Barang Keluar'!$C:$C,N16408))</f>
        <v>0</v>
      </c>
    </row>
    <row r="16409" spans="13:16">
      <c r="M16409" s="49">
        <f>IF($A$4+164&gt;$B$4,"",$A$4+164)</f>
        <v>46187</v>
      </c>
      <c r="N16409" t="str">
        <f>IF(M16409="","",'Master Barang'!A3)</f>
        <v>PRL-002</v>
      </c>
      <c r="O16409" t="str">
        <f>IF(N16409="","",'Master Barang'!B3)</f>
        <v>sunlight cairan pencuci piring 5l</v>
      </c>
      <c r="P16409">
        <f>IF(OR(M16409="",N16409=""),"",SUMIFS('Barang Keluar'!$E:$E,'Barang Keluar'!$A:$A,M16409,'Barang Keluar'!$C:$C,N16409))</f>
        <v>0</v>
      </c>
    </row>
    <row r="16410" spans="13:16">
      <c r="M16410" s="49">
        <f>IF($A$4+164&gt;$B$4,"",$A$4+164)</f>
        <v>46187</v>
      </c>
      <c r="N16410" t="str">
        <f>IF(M16410="","",'Master Barang'!A4)</f>
        <v>PRL-003</v>
      </c>
      <c r="O16410" t="str">
        <f>IF(N16410="","",'Master Barang'!B4)</f>
        <v>oixs cleaner 1l</v>
      </c>
      <c r="P16410">
        <f>IF(OR(M16410="",N16410=""),"",SUMIFS('Barang Keluar'!$E:$E,'Barang Keluar'!$A:$A,M16410,'Barang Keluar'!$C:$C,N16410))</f>
        <v>0</v>
      </c>
    </row>
    <row r="16411" spans="13:16">
      <c r="M16411" s="49">
        <f>IF($A$4+164&gt;$B$4,"",$A$4+164)</f>
        <v>46187</v>
      </c>
      <c r="N16411" t="str">
        <f>IF(M16411="","",'Master Barang'!A5)</f>
        <v>PRL-004</v>
      </c>
      <c r="O16411" t="str">
        <f>IF(N16411="","",'Master Barang'!B5)</f>
        <v>be clean tissue serbaguna</v>
      </c>
      <c r="P16411">
        <f>IF(OR(M16411="",N16411=""),"",SUMIFS('Barang Keluar'!$E:$E,'Barang Keluar'!$A:$A,M16411,'Barang Keluar'!$C:$C,N16411))</f>
        <v>0</v>
      </c>
    </row>
    <row r="16412" spans="13:16">
      <c r="M16412" s="49">
        <f>IF($A$4+164&gt;$B$4,"",$A$4+164)</f>
        <v>46187</v>
      </c>
      <c r="N16412" t="str">
        <f>IF(M16412="","",'Master Barang'!A6)</f>
        <v>PRL-005</v>
      </c>
      <c r="O16412" t="str">
        <f>IF(N16412="","",'Master Barang'!B6)</f>
        <v>spons cuci hijau</v>
      </c>
      <c r="P16412">
        <f>IF(OR(M16412="",N16412=""),"",SUMIFS('Barang Keluar'!$E:$E,'Barang Keluar'!$A:$A,M16412,'Barang Keluar'!$C:$C,N16412))</f>
        <v>0</v>
      </c>
    </row>
    <row r="16413" spans="13:16">
      <c r="M16413" s="49">
        <f>IF($A$4+164&gt;$B$4,"",$A$4+164)</f>
        <v>46187</v>
      </c>
      <c r="N16413" t="str">
        <f>IF(M16413="","",'Master Barang'!A7)</f>
        <v>PRL-006</v>
      </c>
      <c r="O16413" t="str">
        <f>IF(N16413="","",'Master Barang'!B7)</f>
        <v>sabut cuci stainless</v>
      </c>
      <c r="P16413">
        <f>IF(OR(M16413="",N16413=""),"",SUMIFS('Barang Keluar'!$E:$E,'Barang Keluar'!$A:$A,M16413,'Barang Keluar'!$C:$C,N16413))</f>
        <v>0</v>
      </c>
    </row>
    <row r="16414" spans="13:16">
      <c r="M16414" s="49">
        <f>IF($A$4+164&gt;$B$4,"",$A$4+164)</f>
        <v>46187</v>
      </c>
      <c r="N16414" t="str">
        <f>IF(M16414="","",'Master Barang'!A8)</f>
        <v>PRL-007</v>
      </c>
      <c r="O16414" t="str">
        <f>IF(N16414="","",'Master Barang'!B8)</f>
        <v>plastik kresek besar merah 50pc</v>
      </c>
      <c r="P16414">
        <f>IF(OR(M16414="",N16414=""),"",SUMIFS('Barang Keluar'!$E:$E,'Barang Keluar'!$A:$A,M16414,'Barang Keluar'!$C:$C,N16414))</f>
        <v>0</v>
      </c>
    </row>
    <row r="16415" spans="13:16">
      <c r="M16415" s="49">
        <f>IF($A$4+164&gt;$B$4,"",$A$4+164)</f>
        <v>46187</v>
      </c>
      <c r="N16415" t="str">
        <f>IF(M16415="","",'Master Barang'!A9)</f>
        <v>PRL-008</v>
      </c>
      <c r="O16415" t="str">
        <f>IF(N16415="","",'Master Barang'!B9)</f>
        <v>lap besar</v>
      </c>
      <c r="P16415">
        <f>IF(OR(M16415="",N16415=""),"",SUMIFS('Barang Keluar'!$E:$E,'Barang Keluar'!$A:$A,M16415,'Barang Keluar'!$C:$C,N16415))</f>
        <v>0</v>
      </c>
    </row>
    <row r="16416" spans="13:16">
      <c r="M16416" s="49">
        <f>IF($A$4+164&gt;$B$4,"",$A$4+164)</f>
        <v>46187</v>
      </c>
      <c r="N16416" t="str">
        <f>IF(M16416="","",'Master Barang'!A10)</f>
        <v>PRL-009</v>
      </c>
      <c r="O16416" t="str">
        <f>IF(N16416="","",'Master Barang'!B10)</f>
        <v>lap microfiber</v>
      </c>
      <c r="P16416">
        <f>IF(OR(M16416="",N16416=""),"",SUMIFS('Barang Keluar'!$E:$E,'Barang Keluar'!$A:$A,M16416,'Barang Keluar'!$C:$C,N16416))</f>
        <v>0</v>
      </c>
    </row>
    <row r="16417" spans="13:16">
      <c r="M16417" s="49">
        <f>IF($A$4+164&gt;$B$4,"",$A$4+164)</f>
        <v>46187</v>
      </c>
      <c r="N16417" t="str">
        <f>IF(M16417="","",'Master Barang'!A11)</f>
        <v>PRL-010</v>
      </c>
      <c r="O16417" t="str">
        <f>IF(N16417="","",'Master Barang'!B11)</f>
        <v>lap kecil</v>
      </c>
      <c r="P16417">
        <f>IF(OR(M16417="",N16417=""),"",SUMIFS('Barang Keluar'!$E:$E,'Barang Keluar'!$A:$A,M16417,'Barang Keluar'!$C:$C,N16417))</f>
        <v>0</v>
      </c>
    </row>
    <row r="16418" spans="13:16">
      <c r="M16418" s="49">
        <f>IF($A$4+164&gt;$B$4,"",$A$4+164)</f>
        <v>46187</v>
      </c>
      <c r="N16418" t="str">
        <f>IF(M16418="","",'Master Barang'!A12)</f>
        <v>PRL-011</v>
      </c>
      <c r="O16418" t="str">
        <f>IF(N16418="","",'Master Barang'!B12)</f>
        <v>kanebo kecil</v>
      </c>
      <c r="P16418">
        <f>IF(OR(M16418="",N16418=""),"",SUMIFS('Barang Keluar'!$E:$E,'Barang Keluar'!$A:$A,M16418,'Barang Keluar'!$C:$C,N16418))</f>
        <v>0</v>
      </c>
    </row>
    <row r="16419" spans="13:16">
      <c r="M16419" s="49">
        <f>IF($A$4+164&gt;$B$4,"",$A$4+164)</f>
        <v>46187</v>
      </c>
      <c r="N16419" t="str">
        <f>IF(M16419="","",'Master Barang'!A13)</f>
        <v>PRL-012</v>
      </c>
      <c r="O16419" t="str">
        <f>IF(N16419="","",'Master Barang'!B13)</f>
        <v>plastik 1/4kg joyoboyo 100 lembar</v>
      </c>
      <c r="P16419">
        <f>IF(OR(M16419="",N16419=""),"",SUMIFS('Barang Keluar'!$E:$E,'Barang Keluar'!$A:$A,M16419,'Barang Keluar'!$C:$C,N16419))</f>
        <v>0</v>
      </c>
    </row>
    <row r="16420" spans="13:16">
      <c r="M16420" s="49">
        <f>IF($A$4+164&gt;$B$4,"",$A$4+164)</f>
        <v>46187</v>
      </c>
      <c r="N16420" t="str">
        <f>IF(M16420="","",'Master Barang'!A14)</f>
        <v>PRL-013</v>
      </c>
      <c r="O16420" t="str">
        <f>IF(N16420="","",'Master Barang'!B14)</f>
        <v>sarung tangan plastik kaka 100 pcs</v>
      </c>
      <c r="P16420">
        <f>IF(OR(M16420="",N16420=""),"",SUMIFS('Barang Keluar'!$E:$E,'Barang Keluar'!$A:$A,M16420,'Barang Keluar'!$C:$C,N16420))</f>
        <v>0</v>
      </c>
    </row>
    <row r="16421" spans="13:16">
      <c r="M16421" s="49">
        <f>IF($A$4+164&gt;$B$4,"",$A$4+164)</f>
        <v>46187</v>
      </c>
      <c r="N16421" t="str">
        <f>IF(M16421="","",'Master Barang'!A15)</f>
        <v>PRL-014</v>
      </c>
      <c r="O16421" t="str">
        <f>IF(N16421="","",'Master Barang'!B15)</f>
        <v>optima trashbag 80x100</v>
      </c>
      <c r="P16421">
        <f>IF(OR(M16421="",N16421=""),"",SUMIFS('Barang Keluar'!$E:$E,'Barang Keluar'!$A:$A,M16421,'Barang Keluar'!$C:$C,N16421))</f>
        <v>0</v>
      </c>
    </row>
    <row r="16422" spans="13:16">
      <c r="M16422" s="49">
        <f>IF($A$4+164&gt;$B$4,"",$A$4+164)</f>
        <v>46187</v>
      </c>
      <c r="N16422" t="str">
        <f>IF(M16422="","",'Master Barang'!A16)</f>
        <v>PRL-015</v>
      </c>
      <c r="O16422" t="str">
        <f>IF(N16422="","",'Master Barang'!B16)</f>
        <v>optima trashbag 60x100</v>
      </c>
      <c r="P16422">
        <f>IF(OR(M16422="",N16422=""),"",SUMIFS('Barang Keluar'!$E:$E,'Barang Keluar'!$A:$A,M16422,'Barang Keluar'!$C:$C,N16422))</f>
        <v>0</v>
      </c>
    </row>
    <row r="16423" spans="13:16">
      <c r="M16423" s="49">
        <f>IF($A$4+164&gt;$B$4,"",$A$4+164)</f>
        <v>46187</v>
      </c>
      <c r="N16423" t="str">
        <f>IF(M16423="","",'Master Barang'!A17)</f>
        <v>PRL-016</v>
      </c>
      <c r="O16423" t="str">
        <f>IF(N16423="","",'Master Barang'!B17)</f>
        <v>rajawali trashbag 30x40</v>
      </c>
      <c r="P16423">
        <f>IF(OR(M16423="",N16423=""),"",SUMIFS('Barang Keluar'!$E:$E,'Barang Keluar'!$A:$A,M16423,'Barang Keluar'!$C:$C,N16423))</f>
        <v>0</v>
      </c>
    </row>
    <row r="16424" spans="13:16">
      <c r="M16424" s="49">
        <f>IF($A$4+164&gt;$B$4,"",$A$4+164)</f>
        <v>46187</v>
      </c>
      <c r="N16424" t="str">
        <f>IF(M16424="","",'Master Barang'!A18)</f>
        <v>PRL-017</v>
      </c>
      <c r="O16424" t="str">
        <f>IF(N16424="","",'Master Barang'!B18)</f>
        <v>onemed masker biru 3 play 50 pcs</v>
      </c>
      <c r="P16424">
        <f>IF(OR(M16424="",N16424=""),"",SUMIFS('Barang Keluar'!$E:$E,'Barang Keluar'!$A:$A,M16424,'Barang Keluar'!$C:$C,N16424))</f>
        <v>0</v>
      </c>
    </row>
    <row r="16425" spans="13:16">
      <c r="M16425" s="49">
        <f>IF($A$4+164&gt;$B$4,"",$A$4+164)</f>
        <v>46187</v>
      </c>
      <c r="N16425" t="str">
        <f>IF(M16425="","",'Master Barang'!A19)</f>
        <v>PRL-018</v>
      </c>
      <c r="O16425" t="str">
        <f>IF(N16425="","",'Master Barang'!B19)</f>
        <v>onemed masker biru 3 play hijab 50 pcs</v>
      </c>
      <c r="P16425">
        <f>IF(OR(M16425="",N16425=""),"",SUMIFS('Barang Keluar'!$E:$E,'Barang Keluar'!$A:$A,M16425,'Barang Keluar'!$C:$C,N16425))</f>
        <v>0</v>
      </c>
    </row>
    <row r="16426" spans="13:16">
      <c r="M16426" s="49">
        <f>IF($A$4+164&gt;$B$4,"",$A$4+164)</f>
        <v>46187</v>
      </c>
      <c r="N16426" t="str">
        <f>IF(M16426="","",'Master Barang'!A20)</f>
        <v>PRL-019</v>
      </c>
      <c r="O16426" t="str">
        <f>IF(N16426="","",'Master Barang'!B20)</f>
        <v>neo health masker biru 3 play 50 pcs</v>
      </c>
      <c r="P16426">
        <f>IF(OR(M16426="",N16426=""),"",SUMIFS('Barang Keluar'!$E:$E,'Barang Keluar'!$A:$A,M16426,'Barang Keluar'!$C:$C,N16426))</f>
        <v>0</v>
      </c>
    </row>
    <row r="16427" spans="13:16">
      <c r="M16427" s="49">
        <f>IF($A$4+164&gt;$B$4,"",$A$4+164)</f>
        <v>46187</v>
      </c>
      <c r="N16427" t="str">
        <f>IF(M16427="","",'Master Barang'!A21)</f>
        <v>PRL-020</v>
      </c>
      <c r="O16427" t="str">
        <f>IF(N16427="","",'Master Barang'!B21)</f>
        <v>baymed masker hijau 3 play hijau 50 pcs</v>
      </c>
      <c r="P16427">
        <f>IF(OR(M16427="",N16427=""),"",SUMIFS('Barang Keluar'!$E:$E,'Barang Keluar'!$A:$A,M16427,'Barang Keluar'!$C:$C,N16427))</f>
        <v>0</v>
      </c>
    </row>
    <row r="16428" spans="13:16">
      <c r="M16428" s="49">
        <f>IF($A$4+164&gt;$B$4,"",$A$4+164)</f>
        <v>46187</v>
      </c>
      <c r="N16428" t="str">
        <f>IF(M16428="","",'Master Barang'!A22)</f>
        <v>PRL-021</v>
      </c>
      <c r="O16428" t="str">
        <f>IF(N16428="","",'Master Barang'!B22)</f>
        <v>altamed nurse cap penutup kepala 100 pcs</v>
      </c>
      <c r="P16428">
        <f>IF(OR(M16428="",N16428=""),"",SUMIFS('Barang Keluar'!$E:$E,'Barang Keluar'!$A:$A,M16428,'Barang Keluar'!$C:$C,N16428))</f>
        <v>0</v>
      </c>
    </row>
    <row r="16429" spans="13:16">
      <c r="M16429" s="49">
        <f>IF($A$4+164&gt;$B$4,"",$A$4+164)</f>
        <v>46187</v>
      </c>
      <c r="N16429" t="str">
        <f>IF(M16429="","",'Master Barang'!A23)</f>
        <v>PRL-022</v>
      </c>
      <c r="O16429" t="str">
        <f>IF(N16429="","",'Master Barang'!B23)</f>
        <v>sabun cuci tangan</v>
      </c>
      <c r="P16429">
        <f>IF(OR(M16429="",N16429=""),"",SUMIFS('Barang Keluar'!$E:$E,'Barang Keluar'!$A:$A,M16429,'Barang Keluar'!$C:$C,N16429))</f>
        <v>0</v>
      </c>
    </row>
    <row r="16430" spans="13:16">
      <c r="M16430" s="49">
        <f>IF($A$4+164&gt;$B$4,"",$A$4+164)</f>
        <v>46187</v>
      </c>
      <c r="N16430" t="str">
        <f>IF(M16430="","",'Master Barang'!A24)</f>
        <v>PRL-023</v>
      </c>
      <c r="O16430" t="str">
        <f>IF(N16430="","",'Master Barang'!B24)</f>
        <v>gayung kecil</v>
      </c>
      <c r="P16430">
        <f>IF(OR(M16430="",N16430=""),"",SUMIFS('Barang Keluar'!$E:$E,'Barang Keluar'!$A:$A,M16430,'Barang Keluar'!$C:$C,N16430))</f>
        <v>0</v>
      </c>
    </row>
    <row r="16431" spans="13:16">
      <c r="M16431" s="49">
        <f>IF($A$4+164&gt;$B$4,"",$A$4+164)</f>
        <v>46187</v>
      </c>
      <c r="N16431" t="str">
        <f>IF(M16431="","",'Master Barang'!A25)</f>
        <v>PRL-024</v>
      </c>
      <c r="O16431" t="str">
        <f>IF(N16431="","",'Master Barang'!B25)</f>
        <v>cikrak kecil</v>
      </c>
      <c r="P16431">
        <f>IF(OR(M16431="",N16431=""),"",SUMIFS('Barang Keluar'!$E:$E,'Barang Keluar'!$A:$A,M16431,'Barang Keluar'!$C:$C,N16431))</f>
        <v>0</v>
      </c>
    </row>
    <row r="16432" spans="13:16">
      <c r="M16432" s="49">
        <f>IF($A$4+164&gt;$B$4,"",$A$4+164)</f>
        <v>46187</v>
      </c>
      <c r="N16432" t="str">
        <f>IF(M16432="","",'Master Barang'!A26)</f>
        <v>PRL-025</v>
      </c>
      <c r="O16432" t="str">
        <f>IF(N16432="","",'Master Barang'!B26)</f>
        <v>petromax plastik kecil 12x24 100 lembar</v>
      </c>
      <c r="P16432">
        <f>IF(OR(M16432="",N16432=""),"",SUMIFS('Barang Keluar'!$E:$E,'Barang Keluar'!$A:$A,M16432,'Barang Keluar'!$C:$C,N16432))</f>
        <v>0</v>
      </c>
    </row>
    <row r="16433" spans="13:16">
      <c r="M16433" s="49">
        <f>IF($A$4+164&gt;$B$4,"",$A$4+164)</f>
        <v>46187</v>
      </c>
      <c r="N16433" t="str">
        <f>IF(M16433="","",'Master Barang'!A27)</f>
        <v>PRL-026</v>
      </c>
      <c r="O16433" t="str">
        <f>IF(N16433="","",'Master Barang'!B27)</f>
        <v>lancar kresek kecil bening </v>
      </c>
      <c r="P16433">
        <f>IF(OR(M16433="",N16433=""),"",SUMIFS('Barang Keluar'!$E:$E,'Barang Keluar'!$A:$A,M16433,'Barang Keluar'!$C:$C,N16433))</f>
        <v>0</v>
      </c>
    </row>
    <row r="16434" spans="13:16">
      <c r="M16434" s="49">
        <f>IF($A$4+164&gt;$B$4,"",$A$4+164)</f>
        <v>46187</v>
      </c>
      <c r="N16434" t="str">
        <f>IF(M16434="","",'Master Barang'!A28)</f>
        <v>PRL-027</v>
      </c>
      <c r="O16434" t="str">
        <f>IF(N16434="","",'Master Barang'!B28)</f>
        <v>kresek klin warna warni kecil</v>
      </c>
      <c r="P16434">
        <f>IF(OR(M16434="",N16434=""),"",SUMIFS('Barang Keluar'!$E:$E,'Barang Keluar'!$A:$A,M16434,'Barang Keluar'!$C:$C,N16434))</f>
        <v>0</v>
      </c>
    </row>
    <row r="16435" spans="13:16">
      <c r="M16435" s="49">
        <f>IF($A$4+164&gt;$B$4,"",$A$4+164)</f>
        <v>46187</v>
      </c>
      <c r="N16435" t="str">
        <f>IF(M16435="","",'Master Barang'!A29)</f>
        <v>PRL-028</v>
      </c>
      <c r="O16435" t="str">
        <f>IF(N16435="","",'Master Barang'!B29)</f>
        <v>ctik plastik 7x10 100 pcs</v>
      </c>
      <c r="P16435">
        <f>IF(OR(M16435="",N16435=""),"",SUMIFS('Barang Keluar'!$E:$E,'Barang Keluar'!$A:$A,M16435,'Barang Keluar'!$C:$C,N16435))</f>
        <v>0</v>
      </c>
    </row>
    <row r="16436" spans="13:16">
      <c r="M16436" s="49">
        <f>IF($A$4+164&gt;$B$4,"",$A$4+164)</f>
        <v>46187</v>
      </c>
      <c r="N16436" t="str">
        <f>IF(M16436="","",'Master Barang'!A30)</f>
        <v>PRL-029</v>
      </c>
      <c r="O16436" t="str">
        <f>IF(N16436="","",'Master Barang'!B30)</f>
        <v>ctik plastik 6x10 100 pcs</v>
      </c>
      <c r="P16436">
        <f>IF(OR(M16436="",N16436=""),"",SUMIFS('Barang Keluar'!$E:$E,'Barang Keluar'!$A:$A,M16436,'Barang Keluar'!$C:$C,N16436))</f>
        <v>0</v>
      </c>
    </row>
    <row r="16437" spans="13:16">
      <c r="M16437" s="49">
        <f>IF($A$4+164&gt;$B$4,"",$A$4+164)</f>
        <v>46187</v>
      </c>
      <c r="N16437" t="str">
        <f>IF(M16437="","",'Master Barang'!A31)</f>
        <v>PRL-030</v>
      </c>
      <c r="O16437" t="str">
        <f>IF(N16437="","",'Master Barang'!B31)</f>
        <v>klip plastik 25x16 100 pcs</v>
      </c>
      <c r="P16437">
        <f>IF(OR(M16437="",N16437=""),"",SUMIFS('Barang Keluar'!$E:$E,'Barang Keluar'!$A:$A,M16437,'Barang Keluar'!$C:$C,N16437))</f>
        <v>0</v>
      </c>
    </row>
    <row r="16438" spans="13:16">
      <c r="M16438" s="49">
        <f>IF($A$4+164&gt;$B$4,"",$A$4+164)</f>
        <v>46187</v>
      </c>
      <c r="N16438" t="str">
        <f>IF(M16438="","",'Master Barang'!A32)</f>
        <v>PRL-031</v>
      </c>
      <c r="O16438" t="str">
        <f>IF(N16438="","",'Master Barang'!B32)</f>
        <v>tempat saus 20 ml</v>
      </c>
      <c r="P16438">
        <f>IF(OR(M16438="",N16438=""),"",SUMIFS('Barang Keluar'!$E:$E,'Barang Keluar'!$A:$A,M16438,'Barang Keluar'!$C:$C,N16438))</f>
        <v>0</v>
      </c>
    </row>
    <row r="16439" spans="13:16">
      <c r="M16439" s="49">
        <f>IF($A$4+164&gt;$B$4,"",$A$4+164)</f>
        <v>46187</v>
      </c>
      <c r="N16439" t="str">
        <f>IF(M16439="","",'Master Barang'!A33)</f>
        <v>PRL-032</v>
      </c>
      <c r="O16439" t="str">
        <f>IF(N16439="","",'Master Barang'!B33)</f>
        <v>plastik packaging ag box uk sedang</v>
      </c>
      <c r="P16439">
        <f>IF(OR(M16439="",N16439=""),"",SUMIFS('Barang Keluar'!$E:$E,'Barang Keluar'!$A:$A,M16439,'Barang Keluar'!$C:$C,N16439))</f>
        <v>0</v>
      </c>
    </row>
    <row r="16440" spans="13:16">
      <c r="M16440" s="49">
        <f>IF($A$4+164&gt;$B$4,"",$A$4+164)</f>
        <v>46187</v>
      </c>
      <c r="N16440" t="str">
        <f>IF(M16440="","",'Master Barang'!A34)</f>
        <v>PRL-033</v>
      </c>
      <c r="O16440">
        <f>IF(N16440="","",'Master Barang'!B34)</f>
        <v>0</v>
      </c>
      <c r="P16440">
        <f>IF(OR(M16440="",N16440=""),"",SUMIFS('Barang Keluar'!$E:$E,'Barang Keluar'!$A:$A,M16440,'Barang Keluar'!$C:$C,N16440))</f>
        <v>0</v>
      </c>
    </row>
    <row r="16441" spans="13:16">
      <c r="M16441" s="49">
        <f>IF($A$4+164&gt;$B$4,"",$A$4+164)</f>
        <v>46187</v>
      </c>
      <c r="N16441">
        <f>IF(M16441="","",'Master Barang'!A35)</f>
        <v>0</v>
      </c>
      <c r="O16441">
        <f>IF(N16441="","",'Master Barang'!B35)</f>
        <v>0</v>
      </c>
      <c r="P16441">
        <f>IF(OR(M16441="",N16441=""),"",SUMIFS('Barang Keluar'!$E:$E,'Barang Keluar'!$A:$A,M16441,'Barang Keluar'!$C:$C,N16441))</f>
        <v>0</v>
      </c>
    </row>
    <row r="16442" spans="13:16">
      <c r="M16442" s="49">
        <f>IF($A$4+164&gt;$B$4,"",$A$4+164)</f>
        <v>46187</v>
      </c>
      <c r="N16442">
        <f>IF(M16442="","",'Master Barang'!A36)</f>
        <v>0</v>
      </c>
      <c r="O16442">
        <f>IF(N16442="","",'Master Barang'!B36)</f>
        <v>0</v>
      </c>
      <c r="P16442">
        <f>IF(OR(M16442="",N16442=""),"",SUMIFS('Barang Keluar'!$E:$E,'Barang Keluar'!$A:$A,M16442,'Barang Keluar'!$C:$C,N16442))</f>
        <v>0</v>
      </c>
    </row>
    <row r="16443" spans="13:16">
      <c r="M16443" s="49">
        <f>IF($A$4+164&gt;$B$4,"",$A$4+164)</f>
        <v>46187</v>
      </c>
      <c r="N16443">
        <f>IF(M16443="","",'Master Barang'!A37)</f>
        <v>0</v>
      </c>
      <c r="O16443">
        <f>IF(N16443="","",'Master Barang'!B37)</f>
        <v>0</v>
      </c>
      <c r="P16443">
        <f>IF(OR(M16443="",N16443=""),"",SUMIFS('Barang Keluar'!$E:$E,'Barang Keluar'!$A:$A,M16443,'Barang Keluar'!$C:$C,N16443))</f>
        <v>0</v>
      </c>
    </row>
    <row r="16444" spans="13:16">
      <c r="M16444" s="49">
        <f>IF($A$4+164&gt;$B$4,"",$A$4+164)</f>
        <v>46187</v>
      </c>
      <c r="N16444">
        <f>IF(M16444="","",'Master Barang'!A38)</f>
        <v>0</v>
      </c>
      <c r="O16444">
        <f>IF(N16444="","",'Master Barang'!B38)</f>
        <v>0</v>
      </c>
      <c r="P16444">
        <f>IF(OR(M16444="",N16444=""),"",SUMIFS('Barang Keluar'!$E:$E,'Barang Keluar'!$A:$A,M16444,'Barang Keluar'!$C:$C,N16444))</f>
        <v>0</v>
      </c>
    </row>
    <row r="16445" spans="13:16">
      <c r="M16445" s="49">
        <f>IF($A$4+164&gt;$B$4,"",$A$4+164)</f>
        <v>46187</v>
      </c>
      <c r="N16445">
        <f>IF(M16445="","",'Master Barang'!A39)</f>
        <v>0</v>
      </c>
      <c r="O16445">
        <f>IF(N16445="","",'Master Barang'!B39)</f>
        <v>0</v>
      </c>
      <c r="P16445">
        <f>IF(OR(M16445="",N16445=""),"",SUMIFS('Barang Keluar'!$E:$E,'Barang Keluar'!$A:$A,M16445,'Barang Keluar'!$C:$C,N16445))</f>
        <v>0</v>
      </c>
    </row>
    <row r="16446" spans="13:16">
      <c r="M16446" s="49">
        <f>IF($A$4+164&gt;$B$4,"",$A$4+164)</f>
        <v>46187</v>
      </c>
      <c r="N16446">
        <f>IF(M16446="","",'Master Barang'!A40)</f>
        <v>0</v>
      </c>
      <c r="O16446">
        <f>IF(N16446="","",'Master Barang'!B40)</f>
        <v>0</v>
      </c>
      <c r="P16446">
        <f>IF(OR(M16446="",N16446=""),"",SUMIFS('Barang Keluar'!$E:$E,'Barang Keluar'!$A:$A,M16446,'Barang Keluar'!$C:$C,N16446))</f>
        <v>0</v>
      </c>
    </row>
    <row r="16447" spans="13:16">
      <c r="M16447" s="49">
        <f>IF($A$4+164&gt;$B$4,"",$A$4+164)</f>
        <v>46187</v>
      </c>
      <c r="N16447">
        <f>IF(M16447="","",'Master Barang'!A41)</f>
        <v>0</v>
      </c>
      <c r="O16447">
        <f>IF(N16447="","",'Master Barang'!B41)</f>
        <v>0</v>
      </c>
      <c r="P16447">
        <f>IF(OR(M16447="",N16447=""),"",SUMIFS('Barang Keluar'!$E:$E,'Barang Keluar'!$A:$A,M16447,'Barang Keluar'!$C:$C,N16447))</f>
        <v>0</v>
      </c>
    </row>
    <row r="16448" spans="13:16">
      <c r="M16448" s="49">
        <f>IF($A$4+164&gt;$B$4,"",$A$4+164)</f>
        <v>46187</v>
      </c>
      <c r="N16448">
        <f>IF(M16448="","",'Master Barang'!A42)</f>
        <v>0</v>
      </c>
      <c r="O16448">
        <f>IF(N16448="","",'Master Barang'!B42)</f>
        <v>0</v>
      </c>
      <c r="P16448">
        <f>IF(OR(M16448="",N16448=""),"",SUMIFS('Barang Keluar'!$E:$E,'Barang Keluar'!$A:$A,M16448,'Barang Keluar'!$C:$C,N16448))</f>
        <v>0</v>
      </c>
    </row>
    <row r="16449" spans="13:16">
      <c r="M16449" s="49">
        <f>IF($A$4+164&gt;$B$4,"",$A$4+164)</f>
        <v>46187</v>
      </c>
      <c r="N16449">
        <f>IF(M16449="","",'Master Barang'!A43)</f>
        <v>0</v>
      </c>
      <c r="O16449">
        <f>IF(N16449="","",'Master Barang'!B43)</f>
        <v>0</v>
      </c>
      <c r="P16449">
        <f>IF(OR(M16449="",N16449=""),"",SUMIFS('Barang Keluar'!$E:$E,'Barang Keluar'!$A:$A,M16449,'Barang Keluar'!$C:$C,N16449))</f>
        <v>0</v>
      </c>
    </row>
    <row r="16450" spans="13:16">
      <c r="M16450" s="49">
        <f>IF($A$4+164&gt;$B$4,"",$A$4+164)</f>
        <v>46187</v>
      </c>
      <c r="N16450">
        <f>IF(M16450="","",'Master Barang'!A44)</f>
        <v>0</v>
      </c>
      <c r="O16450">
        <f>IF(N16450="","",'Master Barang'!B44)</f>
        <v>0</v>
      </c>
      <c r="P16450">
        <f>IF(OR(M16450="",N16450=""),"",SUMIFS('Barang Keluar'!$E:$E,'Barang Keluar'!$A:$A,M16450,'Barang Keluar'!$C:$C,N16450))</f>
        <v>0</v>
      </c>
    </row>
    <row r="16451" spans="13:16">
      <c r="M16451" s="49">
        <f>IF($A$4+164&gt;$B$4,"",$A$4+164)</f>
        <v>46187</v>
      </c>
      <c r="N16451">
        <f>IF(M16451="","",'Master Barang'!A45)</f>
        <v>0</v>
      </c>
      <c r="O16451">
        <f>IF(N16451="","",'Master Barang'!B45)</f>
        <v>0</v>
      </c>
      <c r="P16451">
        <f>IF(OR(M16451="",N16451=""),"",SUMIFS('Barang Keluar'!$E:$E,'Barang Keluar'!$A:$A,M16451,'Barang Keluar'!$C:$C,N16451))</f>
        <v>0</v>
      </c>
    </row>
    <row r="16452" spans="13:16">
      <c r="M16452" s="49">
        <f>IF($A$4+164&gt;$B$4,"",$A$4+164)</f>
        <v>46187</v>
      </c>
      <c r="N16452">
        <f>IF(M16452="","",'Master Barang'!A46)</f>
        <v>0</v>
      </c>
      <c r="O16452">
        <f>IF(N16452="","",'Master Barang'!B46)</f>
        <v>0</v>
      </c>
      <c r="P16452">
        <f>IF(OR(M16452="",N16452=""),"",SUMIFS('Barang Keluar'!$E:$E,'Barang Keluar'!$A:$A,M16452,'Barang Keluar'!$C:$C,N16452))</f>
        <v>0</v>
      </c>
    </row>
    <row r="16453" spans="13:16">
      <c r="M16453" s="49">
        <f>IF($A$4+164&gt;$B$4,"",$A$4+164)</f>
        <v>46187</v>
      </c>
      <c r="N16453">
        <f>IF(M16453="","",'Master Barang'!A47)</f>
        <v>0</v>
      </c>
      <c r="O16453">
        <f>IF(N16453="","",'Master Barang'!B47)</f>
        <v>0</v>
      </c>
      <c r="P16453">
        <f>IF(OR(M16453="",N16453=""),"",SUMIFS('Barang Keluar'!$E:$E,'Barang Keluar'!$A:$A,M16453,'Barang Keluar'!$C:$C,N16453))</f>
        <v>0</v>
      </c>
    </row>
    <row r="16454" spans="13:16">
      <c r="M16454" s="49">
        <f>IF($A$4+164&gt;$B$4,"",$A$4+164)</f>
        <v>46187</v>
      </c>
      <c r="N16454">
        <f>IF(M16454="","",'Master Barang'!A48)</f>
        <v>0</v>
      </c>
      <c r="O16454">
        <f>IF(N16454="","",'Master Barang'!B48)</f>
        <v>0</v>
      </c>
      <c r="P16454">
        <f>IF(OR(M16454="",N16454=""),"",SUMIFS('Barang Keluar'!$E:$E,'Barang Keluar'!$A:$A,M16454,'Barang Keluar'!$C:$C,N16454))</f>
        <v>0</v>
      </c>
    </row>
    <row r="16455" spans="13:16">
      <c r="M16455" s="49">
        <f>IF($A$4+164&gt;$B$4,"",$A$4+164)</f>
        <v>46187</v>
      </c>
      <c r="N16455">
        <f>IF(M16455="","",'Master Barang'!A49)</f>
        <v>0</v>
      </c>
      <c r="O16455">
        <f>IF(N16455="","",'Master Barang'!B49)</f>
        <v>0</v>
      </c>
      <c r="P16455">
        <f>IF(OR(M16455="",N16455=""),"",SUMIFS('Barang Keluar'!$E:$E,'Barang Keluar'!$A:$A,M16455,'Barang Keluar'!$C:$C,N16455))</f>
        <v>0</v>
      </c>
    </row>
    <row r="16456" spans="13:16">
      <c r="M16456" s="49">
        <f>IF($A$4+164&gt;$B$4,"",$A$4+164)</f>
        <v>46187</v>
      </c>
      <c r="N16456">
        <f>IF(M16456="","",'Master Barang'!A50)</f>
        <v>0</v>
      </c>
      <c r="O16456">
        <f>IF(N16456="","",'Master Barang'!B50)</f>
        <v>0</v>
      </c>
      <c r="P16456">
        <f>IF(OR(M16456="",N16456=""),"",SUMIFS('Barang Keluar'!$E:$E,'Barang Keluar'!$A:$A,M16456,'Barang Keluar'!$C:$C,N16456))</f>
        <v>0</v>
      </c>
    </row>
    <row r="16457" spans="13:16">
      <c r="M16457" s="49">
        <f>IF($A$4+164&gt;$B$4,"",$A$4+164)</f>
        <v>46187</v>
      </c>
      <c r="N16457">
        <f>IF(M16457="","",'Master Barang'!A51)</f>
        <v>0</v>
      </c>
      <c r="O16457">
        <f>IF(N16457="","",'Master Barang'!B51)</f>
        <v>0</v>
      </c>
      <c r="P16457">
        <f>IF(OR(M16457="",N16457=""),"",SUMIFS('Barang Keluar'!$E:$E,'Barang Keluar'!$A:$A,M16457,'Barang Keluar'!$C:$C,N16457))</f>
        <v>0</v>
      </c>
    </row>
    <row r="16458" spans="13:16">
      <c r="M16458" s="49">
        <f>IF($A$4+164&gt;$B$4,"",$A$4+164)</f>
        <v>46187</v>
      </c>
      <c r="N16458">
        <f>IF(M16458="","",'Master Barang'!A52)</f>
        <v>0</v>
      </c>
      <c r="O16458">
        <f>IF(N16458="","",'Master Barang'!B52)</f>
        <v>0</v>
      </c>
      <c r="P16458">
        <f>IF(OR(M16458="",N16458=""),"",SUMIFS('Barang Keluar'!$E:$E,'Barang Keluar'!$A:$A,M16458,'Barang Keluar'!$C:$C,N16458))</f>
        <v>0</v>
      </c>
    </row>
    <row r="16459" spans="13:16">
      <c r="M16459" s="49">
        <f>IF($A$4+164&gt;$B$4,"",$A$4+164)</f>
        <v>46187</v>
      </c>
      <c r="N16459">
        <f>IF(M16459="","",'Master Barang'!A53)</f>
        <v>0</v>
      </c>
      <c r="O16459">
        <f>IF(N16459="","",'Master Barang'!B53)</f>
        <v>0</v>
      </c>
      <c r="P16459">
        <f>IF(OR(M16459="",N16459=""),"",SUMIFS('Barang Keluar'!$E:$E,'Barang Keluar'!$A:$A,M16459,'Barang Keluar'!$C:$C,N16459))</f>
        <v>0</v>
      </c>
    </row>
    <row r="16460" spans="13:16">
      <c r="M16460" s="49">
        <f>IF($A$4+164&gt;$B$4,"",$A$4+164)</f>
        <v>46187</v>
      </c>
      <c r="N16460">
        <f>IF(M16460="","",'Master Barang'!A54)</f>
        <v>0</v>
      </c>
      <c r="O16460">
        <f>IF(N16460="","",'Master Barang'!B54)</f>
        <v>0</v>
      </c>
      <c r="P16460">
        <f>IF(OR(M16460="",N16460=""),"",SUMIFS('Barang Keluar'!$E:$E,'Barang Keluar'!$A:$A,M16460,'Barang Keluar'!$C:$C,N16460))</f>
        <v>0</v>
      </c>
    </row>
    <row r="16461" spans="13:16">
      <c r="M16461" s="49">
        <f>IF($A$4+164&gt;$B$4,"",$A$4+164)</f>
        <v>46187</v>
      </c>
      <c r="N16461">
        <f>IF(M16461="","",'Master Barang'!A55)</f>
        <v>0</v>
      </c>
      <c r="O16461">
        <f>IF(N16461="","",'Master Barang'!B55)</f>
        <v>0</v>
      </c>
      <c r="P16461">
        <f>IF(OR(M16461="",N16461=""),"",SUMIFS('Barang Keluar'!$E:$E,'Barang Keluar'!$A:$A,M16461,'Barang Keluar'!$C:$C,N16461))</f>
        <v>0</v>
      </c>
    </row>
    <row r="16462" spans="13:16">
      <c r="M16462" s="49">
        <f>IF($A$4+164&gt;$B$4,"",$A$4+164)</f>
        <v>46187</v>
      </c>
      <c r="N16462">
        <f>IF(M16462="","",'Master Barang'!A56)</f>
        <v>0</v>
      </c>
      <c r="O16462">
        <f>IF(N16462="","",'Master Barang'!B56)</f>
        <v>0</v>
      </c>
      <c r="P16462">
        <f>IF(OR(M16462="",N16462=""),"",SUMIFS('Barang Keluar'!$E:$E,'Barang Keluar'!$A:$A,M16462,'Barang Keluar'!$C:$C,N16462))</f>
        <v>0</v>
      </c>
    </row>
    <row r="16463" spans="13:16">
      <c r="M16463" s="49">
        <f>IF($A$4+164&gt;$B$4,"",$A$4+164)</f>
        <v>46187</v>
      </c>
      <c r="N16463">
        <f>IF(M16463="","",'Master Barang'!A57)</f>
        <v>0</v>
      </c>
      <c r="O16463">
        <f>IF(N16463="","",'Master Barang'!B57)</f>
        <v>0</v>
      </c>
      <c r="P16463">
        <f>IF(OR(M16463="",N16463=""),"",SUMIFS('Barang Keluar'!$E:$E,'Barang Keluar'!$A:$A,M16463,'Barang Keluar'!$C:$C,N16463))</f>
        <v>0</v>
      </c>
    </row>
    <row r="16464" spans="13:16">
      <c r="M16464" s="49">
        <f>IF($A$4+164&gt;$B$4,"",$A$4+164)</f>
        <v>46187</v>
      </c>
      <c r="N16464">
        <f>IF(M16464="","",'Master Barang'!A58)</f>
        <v>0</v>
      </c>
      <c r="O16464">
        <f>IF(N16464="","",'Master Barang'!B58)</f>
        <v>0</v>
      </c>
      <c r="P16464">
        <f>IF(OR(M16464="",N16464=""),"",SUMIFS('Barang Keluar'!$E:$E,'Barang Keluar'!$A:$A,M16464,'Barang Keluar'!$C:$C,N16464))</f>
        <v>0</v>
      </c>
    </row>
    <row r="16465" spans="13:16">
      <c r="M16465" s="49">
        <f>IF($A$4+164&gt;$B$4,"",$A$4+164)</f>
        <v>46187</v>
      </c>
      <c r="N16465">
        <f>IF(M16465="","",'Master Barang'!A59)</f>
        <v>0</v>
      </c>
      <c r="O16465">
        <f>IF(N16465="","",'Master Barang'!B59)</f>
        <v>0</v>
      </c>
      <c r="P16465">
        <f>IF(OR(M16465="",N16465=""),"",SUMIFS('Barang Keluar'!$E:$E,'Barang Keluar'!$A:$A,M16465,'Barang Keluar'!$C:$C,N16465))</f>
        <v>0</v>
      </c>
    </row>
    <row r="16466" spans="13:16">
      <c r="M16466" s="49">
        <f>IF($A$4+164&gt;$B$4,"",$A$4+164)</f>
        <v>46187</v>
      </c>
      <c r="N16466">
        <f>IF(M16466="","",'Master Barang'!A60)</f>
        <v>0</v>
      </c>
      <c r="O16466">
        <f>IF(N16466="","",'Master Barang'!B60)</f>
        <v>0</v>
      </c>
      <c r="P16466">
        <f>IF(OR(M16466="",N16466=""),"",SUMIFS('Barang Keluar'!$E:$E,'Barang Keluar'!$A:$A,M16466,'Barang Keluar'!$C:$C,N16466))</f>
        <v>0</v>
      </c>
    </row>
    <row r="16467" spans="13:16">
      <c r="M16467" s="49">
        <f>IF($A$4+164&gt;$B$4,"",$A$4+164)</f>
        <v>46187</v>
      </c>
      <c r="N16467">
        <f>IF(M16467="","",'Master Barang'!A61)</f>
        <v>0</v>
      </c>
      <c r="O16467">
        <f>IF(N16467="","",'Master Barang'!B61)</f>
        <v>0</v>
      </c>
      <c r="P16467">
        <f>IF(OR(M16467="",N16467=""),"",SUMIFS('Barang Keluar'!$E:$E,'Barang Keluar'!$A:$A,M16467,'Barang Keluar'!$C:$C,N16467))</f>
        <v>0</v>
      </c>
    </row>
    <row r="16468" spans="13:16">
      <c r="M16468" s="49">
        <f>IF($A$4+164&gt;$B$4,"",$A$4+164)</f>
        <v>46187</v>
      </c>
      <c r="N16468">
        <f>IF(M16468="","",'Master Barang'!A62)</f>
        <v>0</v>
      </c>
      <c r="O16468">
        <f>IF(N16468="","",'Master Barang'!B62)</f>
        <v>0</v>
      </c>
      <c r="P16468">
        <f>IF(OR(M16468="",N16468=""),"",SUMIFS('Barang Keluar'!$E:$E,'Barang Keluar'!$A:$A,M16468,'Barang Keluar'!$C:$C,N16468))</f>
        <v>0</v>
      </c>
    </row>
    <row r="16469" spans="13:16">
      <c r="M16469" s="49">
        <f>IF($A$4+164&gt;$B$4,"",$A$4+164)</f>
        <v>46187</v>
      </c>
      <c r="N16469">
        <f>IF(M16469="","",'Master Barang'!A63)</f>
        <v>0</v>
      </c>
      <c r="O16469">
        <f>IF(N16469="","",'Master Barang'!B63)</f>
        <v>0</v>
      </c>
      <c r="P16469">
        <f>IF(OR(M16469="",N16469=""),"",SUMIFS('Barang Keluar'!$E:$E,'Barang Keluar'!$A:$A,M16469,'Barang Keluar'!$C:$C,N16469))</f>
        <v>0</v>
      </c>
    </row>
    <row r="16470" spans="13:16">
      <c r="M16470" s="49">
        <f>IF($A$4+164&gt;$B$4,"",$A$4+164)</f>
        <v>46187</v>
      </c>
      <c r="N16470">
        <f>IF(M16470="","",'Master Barang'!A64)</f>
        <v>0</v>
      </c>
      <c r="O16470">
        <f>IF(N16470="","",'Master Barang'!B64)</f>
        <v>0</v>
      </c>
      <c r="P16470">
        <f>IF(OR(M16470="",N16470=""),"",SUMIFS('Barang Keluar'!$E:$E,'Barang Keluar'!$A:$A,M16470,'Barang Keluar'!$C:$C,N16470))</f>
        <v>0</v>
      </c>
    </row>
    <row r="16471" spans="13:16">
      <c r="M16471" s="49">
        <f>IF($A$4+164&gt;$B$4,"",$A$4+164)</f>
        <v>46187</v>
      </c>
      <c r="N16471">
        <f>IF(M16471="","",'Master Barang'!A65)</f>
        <v>0</v>
      </c>
      <c r="O16471">
        <f>IF(N16471="","",'Master Barang'!B65)</f>
        <v>0</v>
      </c>
      <c r="P16471">
        <f>IF(OR(M16471="",N16471=""),"",SUMIFS('Barang Keluar'!$E:$E,'Barang Keluar'!$A:$A,M16471,'Barang Keluar'!$C:$C,N16471))</f>
        <v>0</v>
      </c>
    </row>
    <row r="16472" spans="13:16">
      <c r="M16472" s="49">
        <f>IF($A$4+164&gt;$B$4,"",$A$4+164)</f>
        <v>46187</v>
      </c>
      <c r="N16472">
        <f>IF(M16472="","",'Master Barang'!A66)</f>
        <v>0</v>
      </c>
      <c r="O16472">
        <f>IF(N16472="","",'Master Barang'!B66)</f>
        <v>0</v>
      </c>
      <c r="P16472">
        <f>IF(OR(M16472="",N16472=""),"",SUMIFS('Barang Keluar'!$E:$E,'Barang Keluar'!$A:$A,M16472,'Barang Keluar'!$C:$C,N16472))</f>
        <v>0</v>
      </c>
    </row>
    <row r="16473" spans="13:16">
      <c r="M16473" s="49">
        <f>IF($A$4+164&gt;$B$4,"",$A$4+164)</f>
        <v>46187</v>
      </c>
      <c r="N16473">
        <f>IF(M16473="","",'Master Barang'!A67)</f>
        <v>0</v>
      </c>
      <c r="O16473">
        <f>IF(N16473="","",'Master Barang'!B67)</f>
        <v>0</v>
      </c>
      <c r="P16473">
        <f>IF(OR(M16473="",N16473=""),"",SUMIFS('Barang Keluar'!$E:$E,'Barang Keluar'!$A:$A,M16473,'Barang Keluar'!$C:$C,N16473))</f>
        <v>0</v>
      </c>
    </row>
    <row r="16474" spans="13:16">
      <c r="M16474" s="49">
        <f>IF($A$4+164&gt;$B$4,"",$A$4+164)</f>
        <v>46187</v>
      </c>
      <c r="N16474">
        <f>IF(M16474="","",'Master Barang'!A68)</f>
        <v>0</v>
      </c>
      <c r="O16474">
        <f>IF(N16474="","",'Master Barang'!B68)</f>
        <v>0</v>
      </c>
      <c r="P16474">
        <f>IF(OR(M16474="",N16474=""),"",SUMIFS('Barang Keluar'!$E:$E,'Barang Keluar'!$A:$A,M16474,'Barang Keluar'!$C:$C,N16474))</f>
        <v>0</v>
      </c>
    </row>
    <row r="16475" spans="13:16">
      <c r="M16475" s="49">
        <f>IF($A$4+164&gt;$B$4,"",$A$4+164)</f>
        <v>46187</v>
      </c>
      <c r="N16475">
        <f>IF(M16475="","",'Master Barang'!A69)</f>
        <v>0</v>
      </c>
      <c r="O16475">
        <f>IF(N16475="","",'Master Barang'!B69)</f>
        <v>0</v>
      </c>
      <c r="P16475">
        <f>IF(OR(M16475="",N16475=""),"",SUMIFS('Barang Keluar'!$E:$E,'Barang Keluar'!$A:$A,M16475,'Barang Keluar'!$C:$C,N16475))</f>
        <v>0</v>
      </c>
    </row>
    <row r="16476" spans="13:16">
      <c r="M16476" s="49">
        <f>IF($A$4+164&gt;$B$4,"",$A$4+164)</f>
        <v>46187</v>
      </c>
      <c r="N16476">
        <f>IF(M16476="","",'Master Barang'!A70)</f>
        <v>0</v>
      </c>
      <c r="O16476">
        <f>IF(N16476="","",'Master Barang'!B70)</f>
        <v>0</v>
      </c>
      <c r="P16476">
        <f>IF(OR(M16476="",N16476=""),"",SUMIFS('Barang Keluar'!$E:$E,'Barang Keluar'!$A:$A,M16476,'Barang Keluar'!$C:$C,N16476))</f>
        <v>0</v>
      </c>
    </row>
    <row r="16477" spans="13:16">
      <c r="M16477" s="49">
        <f>IF($A$4+164&gt;$B$4,"",$A$4+164)</f>
        <v>46187</v>
      </c>
      <c r="N16477">
        <f>IF(M16477="","",'Master Barang'!A71)</f>
        <v>0</v>
      </c>
      <c r="O16477">
        <f>IF(N16477="","",'Master Barang'!B71)</f>
        <v>0</v>
      </c>
      <c r="P16477">
        <f>IF(OR(M16477="",N16477=""),"",SUMIFS('Barang Keluar'!$E:$E,'Barang Keluar'!$A:$A,M16477,'Barang Keluar'!$C:$C,N16477))</f>
        <v>0</v>
      </c>
    </row>
    <row r="16478" spans="13:16">
      <c r="M16478" s="49">
        <f>IF($A$4+164&gt;$B$4,"",$A$4+164)</f>
        <v>46187</v>
      </c>
      <c r="N16478">
        <f>IF(M16478="","",'Master Barang'!A72)</f>
        <v>0</v>
      </c>
      <c r="O16478">
        <f>IF(N16478="","",'Master Barang'!B72)</f>
        <v>0</v>
      </c>
      <c r="P16478">
        <f>IF(OR(M16478="",N16478=""),"",SUMIFS('Barang Keluar'!$E:$E,'Barang Keluar'!$A:$A,M16478,'Barang Keluar'!$C:$C,N16478))</f>
        <v>0</v>
      </c>
    </row>
    <row r="16479" spans="13:16">
      <c r="M16479" s="49">
        <f>IF($A$4+164&gt;$B$4,"",$A$4+164)</f>
        <v>46187</v>
      </c>
      <c r="N16479">
        <f>IF(M16479="","",'Master Barang'!A73)</f>
        <v>0</v>
      </c>
      <c r="O16479">
        <f>IF(N16479="","",'Master Barang'!B73)</f>
        <v>0</v>
      </c>
      <c r="P16479">
        <f>IF(OR(M16479="",N16479=""),"",SUMIFS('Barang Keluar'!$E:$E,'Barang Keluar'!$A:$A,M16479,'Barang Keluar'!$C:$C,N16479))</f>
        <v>0</v>
      </c>
    </row>
    <row r="16480" spans="13:16">
      <c r="M16480" s="49">
        <f>IF($A$4+164&gt;$B$4,"",$A$4+164)</f>
        <v>46187</v>
      </c>
      <c r="N16480">
        <f>IF(M16480="","",'Master Barang'!A74)</f>
        <v>0</v>
      </c>
      <c r="O16480">
        <f>IF(N16480="","",'Master Barang'!B74)</f>
        <v>0</v>
      </c>
      <c r="P16480">
        <f>IF(OR(M16480="",N16480=""),"",SUMIFS('Barang Keluar'!$E:$E,'Barang Keluar'!$A:$A,M16480,'Barang Keluar'!$C:$C,N16480))</f>
        <v>0</v>
      </c>
    </row>
    <row r="16481" spans="13:16">
      <c r="M16481" s="49">
        <f>IF($A$4+164&gt;$B$4,"",$A$4+164)</f>
        <v>46187</v>
      </c>
      <c r="N16481">
        <f>IF(M16481="","",'Master Barang'!A75)</f>
        <v>0</v>
      </c>
      <c r="O16481">
        <f>IF(N16481="","",'Master Barang'!B75)</f>
        <v>0</v>
      </c>
      <c r="P16481">
        <f>IF(OR(M16481="",N16481=""),"",SUMIFS('Barang Keluar'!$E:$E,'Barang Keluar'!$A:$A,M16481,'Barang Keluar'!$C:$C,N16481))</f>
        <v>0</v>
      </c>
    </row>
    <row r="16482" spans="13:16">
      <c r="M16482" s="49">
        <f>IF($A$4+164&gt;$B$4,"",$A$4+164)</f>
        <v>46187</v>
      </c>
      <c r="N16482">
        <f>IF(M16482="","",'Master Barang'!A76)</f>
        <v>0</v>
      </c>
      <c r="O16482">
        <f>IF(N16482="","",'Master Barang'!B76)</f>
        <v>0</v>
      </c>
      <c r="P16482">
        <f>IF(OR(M16482="",N16482=""),"",SUMIFS('Barang Keluar'!$E:$E,'Barang Keluar'!$A:$A,M16482,'Barang Keluar'!$C:$C,N16482))</f>
        <v>0</v>
      </c>
    </row>
    <row r="16483" spans="13:16">
      <c r="M16483" s="49">
        <f>IF($A$4+164&gt;$B$4,"",$A$4+164)</f>
        <v>46187</v>
      </c>
      <c r="N16483">
        <f>IF(M16483="","",'Master Barang'!A77)</f>
        <v>0</v>
      </c>
      <c r="O16483">
        <f>IF(N16483="","",'Master Barang'!B77)</f>
        <v>0</v>
      </c>
      <c r="P16483">
        <f>IF(OR(M16483="",N16483=""),"",SUMIFS('Barang Keluar'!$E:$E,'Barang Keluar'!$A:$A,M16483,'Barang Keluar'!$C:$C,N16483))</f>
        <v>0</v>
      </c>
    </row>
    <row r="16484" spans="13:16">
      <c r="M16484" s="49">
        <f>IF($A$4+164&gt;$B$4,"",$A$4+164)</f>
        <v>46187</v>
      </c>
      <c r="N16484">
        <f>IF(M16484="","",'Master Barang'!A78)</f>
        <v>0</v>
      </c>
      <c r="O16484">
        <f>IF(N16484="","",'Master Barang'!B78)</f>
        <v>0</v>
      </c>
      <c r="P16484">
        <f>IF(OR(M16484="",N16484=""),"",SUMIFS('Barang Keluar'!$E:$E,'Barang Keluar'!$A:$A,M16484,'Barang Keluar'!$C:$C,N16484))</f>
        <v>0</v>
      </c>
    </row>
    <row r="16485" spans="13:16">
      <c r="M16485" s="49">
        <f>IF($A$4+164&gt;$B$4,"",$A$4+164)</f>
        <v>46187</v>
      </c>
      <c r="N16485">
        <f>IF(M16485="","",'Master Barang'!A79)</f>
        <v>0</v>
      </c>
      <c r="O16485">
        <f>IF(N16485="","",'Master Barang'!B79)</f>
        <v>0</v>
      </c>
      <c r="P16485">
        <f>IF(OR(M16485="",N16485=""),"",SUMIFS('Barang Keluar'!$E:$E,'Barang Keluar'!$A:$A,M16485,'Barang Keluar'!$C:$C,N16485))</f>
        <v>0</v>
      </c>
    </row>
    <row r="16486" spans="13:16">
      <c r="M16486" s="49">
        <f>IF($A$4+164&gt;$B$4,"",$A$4+164)</f>
        <v>46187</v>
      </c>
      <c r="N16486">
        <f>IF(M16486="","",'Master Barang'!A80)</f>
        <v>0</v>
      </c>
      <c r="O16486">
        <f>IF(N16486="","",'Master Barang'!B80)</f>
        <v>0</v>
      </c>
      <c r="P16486">
        <f>IF(OR(M16486="",N16486=""),"",SUMIFS('Barang Keluar'!$E:$E,'Barang Keluar'!$A:$A,M16486,'Barang Keluar'!$C:$C,N16486))</f>
        <v>0</v>
      </c>
    </row>
    <row r="16487" spans="13:16">
      <c r="M16487" s="49">
        <f>IF($A$4+164&gt;$B$4,"",$A$4+164)</f>
        <v>46187</v>
      </c>
      <c r="N16487">
        <f>IF(M16487="","",'Master Barang'!A81)</f>
        <v>0</v>
      </c>
      <c r="O16487">
        <f>IF(N16487="","",'Master Barang'!B81)</f>
        <v>0</v>
      </c>
      <c r="P16487">
        <f>IF(OR(M16487="",N16487=""),"",SUMIFS('Barang Keluar'!$E:$E,'Barang Keluar'!$A:$A,M16487,'Barang Keluar'!$C:$C,N16487))</f>
        <v>0</v>
      </c>
    </row>
    <row r="16488" spans="13:16">
      <c r="M16488" s="49">
        <f>IF($A$4+164&gt;$B$4,"",$A$4+164)</f>
        <v>46187</v>
      </c>
      <c r="N16488">
        <f>IF(M16488="","",'Master Barang'!A82)</f>
        <v>0</v>
      </c>
      <c r="O16488">
        <f>IF(N16488="","",'Master Barang'!B82)</f>
        <v>0</v>
      </c>
      <c r="P16488">
        <f>IF(OR(M16488="",N16488=""),"",SUMIFS('Barang Keluar'!$E:$E,'Barang Keluar'!$A:$A,M16488,'Barang Keluar'!$C:$C,N16488))</f>
        <v>0</v>
      </c>
    </row>
    <row r="16489" spans="13:16">
      <c r="M16489" s="49">
        <f>IF($A$4+164&gt;$B$4,"",$A$4+164)</f>
        <v>46187</v>
      </c>
      <c r="N16489">
        <f>IF(M16489="","",'Master Barang'!A83)</f>
        <v>0</v>
      </c>
      <c r="O16489">
        <f>IF(N16489="","",'Master Barang'!B83)</f>
        <v>0</v>
      </c>
      <c r="P16489">
        <f>IF(OR(M16489="",N16489=""),"",SUMIFS('Barang Keluar'!$E:$E,'Barang Keluar'!$A:$A,M16489,'Barang Keluar'!$C:$C,N16489))</f>
        <v>0</v>
      </c>
    </row>
    <row r="16490" spans="13:16">
      <c r="M16490" s="49">
        <f>IF($A$4+164&gt;$B$4,"",$A$4+164)</f>
        <v>46187</v>
      </c>
      <c r="N16490">
        <f>IF(M16490="","",'Master Barang'!A84)</f>
        <v>0</v>
      </c>
      <c r="O16490">
        <f>IF(N16490="","",'Master Barang'!B84)</f>
        <v>0</v>
      </c>
      <c r="P16490">
        <f>IF(OR(M16490="",N16490=""),"",SUMIFS('Barang Keluar'!$E:$E,'Barang Keluar'!$A:$A,M16490,'Barang Keluar'!$C:$C,N16490))</f>
        <v>0</v>
      </c>
    </row>
    <row r="16491" spans="13:16">
      <c r="M16491" s="49">
        <f>IF($A$4+164&gt;$B$4,"",$A$4+164)</f>
        <v>46187</v>
      </c>
      <c r="N16491">
        <f>IF(M16491="","",'Master Barang'!A85)</f>
        <v>0</v>
      </c>
      <c r="O16491">
        <f>IF(N16491="","",'Master Barang'!B85)</f>
        <v>0</v>
      </c>
      <c r="P16491">
        <f>IF(OR(M16491="",N16491=""),"",SUMIFS('Barang Keluar'!$E:$E,'Barang Keluar'!$A:$A,M16491,'Barang Keluar'!$C:$C,N16491))</f>
        <v>0</v>
      </c>
    </row>
    <row r="16492" spans="13:16">
      <c r="M16492" s="49">
        <f>IF($A$4+164&gt;$B$4,"",$A$4+164)</f>
        <v>46187</v>
      </c>
      <c r="N16492">
        <f>IF(M16492="","",'Master Barang'!A86)</f>
        <v>0</v>
      </c>
      <c r="O16492">
        <f>IF(N16492="","",'Master Barang'!B86)</f>
        <v>0</v>
      </c>
      <c r="P16492">
        <f>IF(OR(M16492="",N16492=""),"",SUMIFS('Barang Keluar'!$E:$E,'Barang Keluar'!$A:$A,M16492,'Barang Keluar'!$C:$C,N16492))</f>
        <v>0</v>
      </c>
    </row>
    <row r="16493" spans="13:16">
      <c r="M16493" s="49">
        <f>IF($A$4+164&gt;$B$4,"",$A$4+164)</f>
        <v>46187</v>
      </c>
      <c r="N16493">
        <f>IF(M16493="","",'Master Barang'!A87)</f>
        <v>0</v>
      </c>
      <c r="O16493">
        <f>IF(N16493="","",'Master Barang'!B87)</f>
        <v>0</v>
      </c>
      <c r="P16493">
        <f>IF(OR(M16493="",N16493=""),"",SUMIFS('Barang Keluar'!$E:$E,'Barang Keluar'!$A:$A,M16493,'Barang Keluar'!$C:$C,N16493))</f>
        <v>0</v>
      </c>
    </row>
    <row r="16494" spans="13:16">
      <c r="M16494" s="49">
        <f>IF($A$4+164&gt;$B$4,"",$A$4+164)</f>
        <v>46187</v>
      </c>
      <c r="N16494">
        <f>IF(M16494="","",'Master Barang'!A88)</f>
        <v>0</v>
      </c>
      <c r="O16494">
        <f>IF(N16494="","",'Master Barang'!B88)</f>
        <v>0</v>
      </c>
      <c r="P16494">
        <f>IF(OR(M16494="",N16494=""),"",SUMIFS('Barang Keluar'!$E:$E,'Barang Keluar'!$A:$A,M16494,'Barang Keluar'!$C:$C,N16494))</f>
        <v>0</v>
      </c>
    </row>
    <row r="16495" spans="13:16">
      <c r="M16495" s="49">
        <f>IF($A$4+164&gt;$B$4,"",$A$4+164)</f>
        <v>46187</v>
      </c>
      <c r="N16495">
        <f>IF(M16495="","",'Master Barang'!A89)</f>
        <v>0</v>
      </c>
      <c r="O16495">
        <f>IF(N16495="","",'Master Barang'!B89)</f>
        <v>0</v>
      </c>
      <c r="P16495">
        <f>IF(OR(M16495="",N16495=""),"",SUMIFS('Barang Keluar'!$E:$E,'Barang Keluar'!$A:$A,M16495,'Barang Keluar'!$C:$C,N16495))</f>
        <v>0</v>
      </c>
    </row>
    <row r="16496" spans="13:16">
      <c r="M16496" s="49">
        <f>IF($A$4+164&gt;$B$4,"",$A$4+164)</f>
        <v>46187</v>
      </c>
      <c r="N16496">
        <f>IF(M16496="","",'Master Barang'!A90)</f>
        <v>0</v>
      </c>
      <c r="O16496">
        <f>IF(N16496="","",'Master Barang'!B90)</f>
        <v>0</v>
      </c>
      <c r="P16496">
        <f>IF(OR(M16496="",N16496=""),"",SUMIFS('Barang Keluar'!$E:$E,'Barang Keluar'!$A:$A,M16496,'Barang Keluar'!$C:$C,N16496))</f>
        <v>0</v>
      </c>
    </row>
    <row r="16497" spans="13:16">
      <c r="M16497" s="49">
        <f>IF($A$4+164&gt;$B$4,"",$A$4+164)</f>
        <v>46187</v>
      </c>
      <c r="N16497">
        <f>IF(M16497="","",'Master Barang'!A91)</f>
        <v>0</v>
      </c>
      <c r="O16497">
        <f>IF(N16497="","",'Master Barang'!B91)</f>
        <v>0</v>
      </c>
      <c r="P16497">
        <f>IF(OR(M16497="",N16497=""),"",SUMIFS('Barang Keluar'!$E:$E,'Barang Keluar'!$A:$A,M16497,'Barang Keluar'!$C:$C,N16497))</f>
        <v>0</v>
      </c>
    </row>
    <row r="16498" spans="13:16">
      <c r="M16498" s="49">
        <f>IF($A$4+164&gt;$B$4,"",$A$4+164)</f>
        <v>46187</v>
      </c>
      <c r="N16498">
        <f>IF(M16498="","",'Master Barang'!A92)</f>
        <v>0</v>
      </c>
      <c r="O16498">
        <f>IF(N16498="","",'Master Barang'!B92)</f>
        <v>0</v>
      </c>
      <c r="P16498">
        <f>IF(OR(M16498="",N16498=""),"",SUMIFS('Barang Keluar'!$E:$E,'Barang Keluar'!$A:$A,M16498,'Barang Keluar'!$C:$C,N16498))</f>
        <v>0</v>
      </c>
    </row>
    <row r="16499" spans="13:16">
      <c r="M16499" s="49">
        <f>IF($A$4+164&gt;$B$4,"",$A$4+164)</f>
        <v>46187</v>
      </c>
      <c r="N16499">
        <f>IF(M16499="","",'Master Barang'!A93)</f>
        <v>0</v>
      </c>
      <c r="O16499">
        <f>IF(N16499="","",'Master Barang'!B93)</f>
        <v>0</v>
      </c>
      <c r="P16499">
        <f>IF(OR(M16499="",N16499=""),"",SUMIFS('Barang Keluar'!$E:$E,'Barang Keluar'!$A:$A,M16499,'Barang Keluar'!$C:$C,N16499))</f>
        <v>0</v>
      </c>
    </row>
    <row r="16500" spans="13:16">
      <c r="M16500" s="49">
        <f>IF($A$4+164&gt;$B$4,"",$A$4+164)</f>
        <v>46187</v>
      </c>
      <c r="N16500">
        <f>IF(M16500="","",'Master Barang'!A94)</f>
        <v>0</v>
      </c>
      <c r="O16500">
        <f>IF(N16500="","",'Master Barang'!B94)</f>
        <v>0</v>
      </c>
      <c r="P16500">
        <f>IF(OR(M16500="",N16500=""),"",SUMIFS('Barang Keluar'!$E:$E,'Barang Keluar'!$A:$A,M16500,'Barang Keluar'!$C:$C,N16500))</f>
        <v>0</v>
      </c>
    </row>
    <row r="16501" spans="13:16">
      <c r="M16501" s="49">
        <f>IF($A$4+164&gt;$B$4,"",$A$4+164)</f>
        <v>46187</v>
      </c>
      <c r="N16501">
        <f>IF(M16501="","",'Master Barang'!A95)</f>
        <v>0</v>
      </c>
      <c r="O16501">
        <f>IF(N16501="","",'Master Barang'!B95)</f>
        <v>0</v>
      </c>
      <c r="P16501">
        <f>IF(OR(M16501="",N16501=""),"",SUMIFS('Barang Keluar'!$E:$E,'Barang Keluar'!$A:$A,M16501,'Barang Keluar'!$C:$C,N16501))</f>
        <v>0</v>
      </c>
    </row>
    <row r="16502" spans="13:16">
      <c r="M16502" s="49">
        <f>IF($A$4+164&gt;$B$4,"",$A$4+164)</f>
        <v>46187</v>
      </c>
      <c r="N16502">
        <f>IF(M16502="","",'Master Barang'!A96)</f>
        <v>0</v>
      </c>
      <c r="O16502">
        <f>IF(N16502="","",'Master Barang'!B96)</f>
        <v>0</v>
      </c>
      <c r="P16502">
        <f>IF(OR(M16502="",N16502=""),"",SUMIFS('Barang Keluar'!$E:$E,'Barang Keluar'!$A:$A,M16502,'Barang Keluar'!$C:$C,N16502))</f>
        <v>0</v>
      </c>
    </row>
    <row r="16503" spans="13:16">
      <c r="M16503" s="49">
        <f>IF($A$4+164&gt;$B$4,"",$A$4+164)</f>
        <v>46187</v>
      </c>
      <c r="N16503">
        <f>IF(M16503="","",'Master Barang'!A97)</f>
        <v>0</v>
      </c>
      <c r="O16503">
        <f>IF(N16503="","",'Master Barang'!B97)</f>
        <v>0</v>
      </c>
      <c r="P16503">
        <f>IF(OR(M16503="",N16503=""),"",SUMIFS('Barang Keluar'!$E:$E,'Barang Keluar'!$A:$A,M16503,'Barang Keluar'!$C:$C,N16503))</f>
        <v>0</v>
      </c>
    </row>
    <row r="16504" spans="13:16">
      <c r="M16504" s="49">
        <f>IF($A$4+164&gt;$B$4,"",$A$4+164)</f>
        <v>46187</v>
      </c>
      <c r="N16504">
        <f>IF(M16504="","",'Master Barang'!A98)</f>
        <v>0</v>
      </c>
      <c r="O16504">
        <f>IF(N16504="","",'Master Barang'!B98)</f>
        <v>0</v>
      </c>
      <c r="P16504">
        <f>IF(OR(M16504="",N16504=""),"",SUMIFS('Barang Keluar'!$E:$E,'Barang Keluar'!$A:$A,M16504,'Barang Keluar'!$C:$C,N16504))</f>
        <v>0</v>
      </c>
    </row>
    <row r="16505" spans="13:16">
      <c r="M16505" s="49">
        <f>IF($A$4+164&gt;$B$4,"",$A$4+164)</f>
        <v>46187</v>
      </c>
      <c r="N16505">
        <f>IF(M16505="","",'Master Barang'!A99)</f>
        <v>0</v>
      </c>
      <c r="O16505">
        <f>IF(N16505="","",'Master Barang'!B99)</f>
        <v>0</v>
      </c>
      <c r="P16505">
        <f>IF(OR(M16505="",N16505=""),"",SUMIFS('Barang Keluar'!$E:$E,'Barang Keluar'!$A:$A,M16505,'Barang Keluar'!$C:$C,N16505))</f>
        <v>0</v>
      </c>
    </row>
    <row r="16506" spans="13:16">
      <c r="M16506" s="49">
        <f>IF($A$4+164&gt;$B$4,"",$A$4+164)</f>
        <v>46187</v>
      </c>
      <c r="N16506">
        <f>IF(M16506="","",'Master Barang'!A100)</f>
        <v>0</v>
      </c>
      <c r="O16506">
        <f>IF(N16506="","",'Master Barang'!B100)</f>
        <v>0</v>
      </c>
      <c r="P16506">
        <f>IF(OR(M16506="",N16506=""),"",SUMIFS('Barang Keluar'!$E:$E,'Barang Keluar'!$A:$A,M16506,'Barang Keluar'!$C:$C,N16506))</f>
        <v>0</v>
      </c>
    </row>
    <row r="16507" spans="13:16">
      <c r="M16507" s="49">
        <f>IF($A$4+164&gt;$B$4,"",$A$4+164)</f>
        <v>46187</v>
      </c>
      <c r="N16507">
        <f>IF(M16507="","",'Master Barang'!A101)</f>
        <v>0</v>
      </c>
      <c r="O16507">
        <f>IF(N16507="","",'Master Barang'!B101)</f>
        <v>0</v>
      </c>
      <c r="P16507">
        <f>IF(OR(M16507="",N16507=""),"",SUMIFS('Barang Keluar'!$E:$E,'Barang Keluar'!$A:$A,M16507,'Barang Keluar'!$C:$C,N16507))</f>
        <v>0</v>
      </c>
    </row>
    <row r="16508" spans="13:16">
      <c r="M16508" s="49">
        <f>IF($A$4+165&gt;$B$4,"",$A$4+165)</f>
        <v>46188</v>
      </c>
      <c r="N16508" t="str">
        <f>IF(M16508="","",'Master Barang'!A2)</f>
        <v>PRL-001</v>
      </c>
      <c r="O16508" t="str">
        <f>IF(N16508="","",'Master Barang'!B2)</f>
        <v>natura desinfectant food grade 5l</v>
      </c>
      <c r="P16508">
        <f>IF(OR(M16508="",N16508=""),"",SUMIFS('Barang Keluar'!$E:$E,'Barang Keluar'!$A:$A,M16508,'Barang Keluar'!$C:$C,N16508))</f>
        <v>0</v>
      </c>
    </row>
    <row r="16509" spans="13:16">
      <c r="M16509" s="49">
        <f>IF($A$4+165&gt;$B$4,"",$A$4+165)</f>
        <v>46188</v>
      </c>
      <c r="N16509" t="str">
        <f>IF(M16509="","",'Master Barang'!A3)</f>
        <v>PRL-002</v>
      </c>
      <c r="O16509" t="str">
        <f>IF(N16509="","",'Master Barang'!B3)</f>
        <v>sunlight cairan pencuci piring 5l</v>
      </c>
      <c r="P16509">
        <f>IF(OR(M16509="",N16509=""),"",SUMIFS('Barang Keluar'!$E:$E,'Barang Keluar'!$A:$A,M16509,'Barang Keluar'!$C:$C,N16509))</f>
        <v>0</v>
      </c>
    </row>
    <row r="16510" spans="13:16">
      <c r="M16510" s="49">
        <f>IF($A$4+165&gt;$B$4,"",$A$4+165)</f>
        <v>46188</v>
      </c>
      <c r="N16510" t="str">
        <f>IF(M16510="","",'Master Barang'!A4)</f>
        <v>PRL-003</v>
      </c>
      <c r="O16510" t="str">
        <f>IF(N16510="","",'Master Barang'!B4)</f>
        <v>oixs cleaner 1l</v>
      </c>
      <c r="P16510">
        <f>IF(OR(M16510="",N16510=""),"",SUMIFS('Barang Keluar'!$E:$E,'Barang Keluar'!$A:$A,M16510,'Barang Keluar'!$C:$C,N16510))</f>
        <v>0</v>
      </c>
    </row>
    <row r="16511" spans="13:16">
      <c r="M16511" s="49">
        <f>IF($A$4+165&gt;$B$4,"",$A$4+165)</f>
        <v>46188</v>
      </c>
      <c r="N16511" t="str">
        <f>IF(M16511="","",'Master Barang'!A5)</f>
        <v>PRL-004</v>
      </c>
      <c r="O16511" t="str">
        <f>IF(N16511="","",'Master Barang'!B5)</f>
        <v>be clean tissue serbaguna</v>
      </c>
      <c r="P16511">
        <f>IF(OR(M16511="",N16511=""),"",SUMIFS('Barang Keluar'!$E:$E,'Barang Keluar'!$A:$A,M16511,'Barang Keluar'!$C:$C,N16511))</f>
        <v>0</v>
      </c>
    </row>
    <row r="16512" spans="13:16">
      <c r="M16512" s="49">
        <f>IF($A$4+165&gt;$B$4,"",$A$4+165)</f>
        <v>46188</v>
      </c>
      <c r="N16512" t="str">
        <f>IF(M16512="","",'Master Barang'!A6)</f>
        <v>PRL-005</v>
      </c>
      <c r="O16512" t="str">
        <f>IF(N16512="","",'Master Barang'!B6)</f>
        <v>spons cuci hijau</v>
      </c>
      <c r="P16512">
        <f>IF(OR(M16512="",N16512=""),"",SUMIFS('Barang Keluar'!$E:$E,'Barang Keluar'!$A:$A,M16512,'Barang Keluar'!$C:$C,N16512))</f>
        <v>0</v>
      </c>
    </row>
    <row r="16513" spans="13:16">
      <c r="M16513" s="49">
        <f>IF($A$4+165&gt;$B$4,"",$A$4+165)</f>
        <v>46188</v>
      </c>
      <c r="N16513" t="str">
        <f>IF(M16513="","",'Master Barang'!A7)</f>
        <v>PRL-006</v>
      </c>
      <c r="O16513" t="str">
        <f>IF(N16513="","",'Master Barang'!B7)</f>
        <v>sabut cuci stainless</v>
      </c>
      <c r="P16513">
        <f>IF(OR(M16513="",N16513=""),"",SUMIFS('Barang Keluar'!$E:$E,'Barang Keluar'!$A:$A,M16513,'Barang Keluar'!$C:$C,N16513))</f>
        <v>0</v>
      </c>
    </row>
    <row r="16514" spans="13:16">
      <c r="M16514" s="49">
        <f>IF($A$4+165&gt;$B$4,"",$A$4+165)</f>
        <v>46188</v>
      </c>
      <c r="N16514" t="str">
        <f>IF(M16514="","",'Master Barang'!A8)</f>
        <v>PRL-007</v>
      </c>
      <c r="O16514" t="str">
        <f>IF(N16514="","",'Master Barang'!B8)</f>
        <v>plastik kresek besar merah 50pc</v>
      </c>
      <c r="P16514">
        <f>IF(OR(M16514="",N16514=""),"",SUMIFS('Barang Keluar'!$E:$E,'Barang Keluar'!$A:$A,M16514,'Barang Keluar'!$C:$C,N16514))</f>
        <v>0</v>
      </c>
    </row>
    <row r="16515" spans="13:16">
      <c r="M16515" s="49">
        <f>IF($A$4+165&gt;$B$4,"",$A$4+165)</f>
        <v>46188</v>
      </c>
      <c r="N16515" t="str">
        <f>IF(M16515="","",'Master Barang'!A9)</f>
        <v>PRL-008</v>
      </c>
      <c r="O16515" t="str">
        <f>IF(N16515="","",'Master Barang'!B9)</f>
        <v>lap besar</v>
      </c>
      <c r="P16515">
        <f>IF(OR(M16515="",N16515=""),"",SUMIFS('Barang Keluar'!$E:$E,'Barang Keluar'!$A:$A,M16515,'Barang Keluar'!$C:$C,N16515))</f>
        <v>0</v>
      </c>
    </row>
    <row r="16516" spans="13:16">
      <c r="M16516" s="49">
        <f>IF($A$4+165&gt;$B$4,"",$A$4+165)</f>
        <v>46188</v>
      </c>
      <c r="N16516" t="str">
        <f>IF(M16516="","",'Master Barang'!A10)</f>
        <v>PRL-009</v>
      </c>
      <c r="O16516" t="str">
        <f>IF(N16516="","",'Master Barang'!B10)</f>
        <v>lap microfiber</v>
      </c>
      <c r="P16516">
        <f>IF(OR(M16516="",N16516=""),"",SUMIFS('Barang Keluar'!$E:$E,'Barang Keluar'!$A:$A,M16516,'Barang Keluar'!$C:$C,N16516))</f>
        <v>0</v>
      </c>
    </row>
    <row r="16517" spans="13:16">
      <c r="M16517" s="49">
        <f>IF($A$4+165&gt;$B$4,"",$A$4+165)</f>
        <v>46188</v>
      </c>
      <c r="N16517" t="str">
        <f>IF(M16517="","",'Master Barang'!A11)</f>
        <v>PRL-010</v>
      </c>
      <c r="O16517" t="str">
        <f>IF(N16517="","",'Master Barang'!B11)</f>
        <v>lap kecil</v>
      </c>
      <c r="P16517">
        <f>IF(OR(M16517="",N16517=""),"",SUMIFS('Barang Keluar'!$E:$E,'Barang Keluar'!$A:$A,M16517,'Barang Keluar'!$C:$C,N16517))</f>
        <v>0</v>
      </c>
    </row>
    <row r="16518" spans="13:16">
      <c r="M16518" s="49">
        <f>IF($A$4+165&gt;$B$4,"",$A$4+165)</f>
        <v>46188</v>
      </c>
      <c r="N16518" t="str">
        <f>IF(M16518="","",'Master Barang'!A12)</f>
        <v>PRL-011</v>
      </c>
      <c r="O16518" t="str">
        <f>IF(N16518="","",'Master Barang'!B12)</f>
        <v>kanebo kecil</v>
      </c>
      <c r="P16518">
        <f>IF(OR(M16518="",N16518=""),"",SUMIFS('Barang Keluar'!$E:$E,'Barang Keluar'!$A:$A,M16518,'Barang Keluar'!$C:$C,N16518))</f>
        <v>0</v>
      </c>
    </row>
    <row r="16519" spans="13:16">
      <c r="M16519" s="49">
        <f>IF($A$4+165&gt;$B$4,"",$A$4+165)</f>
        <v>46188</v>
      </c>
      <c r="N16519" t="str">
        <f>IF(M16519="","",'Master Barang'!A13)</f>
        <v>PRL-012</v>
      </c>
      <c r="O16519" t="str">
        <f>IF(N16519="","",'Master Barang'!B13)</f>
        <v>plastik 1/4kg joyoboyo 100 lembar</v>
      </c>
      <c r="P16519">
        <f>IF(OR(M16519="",N16519=""),"",SUMIFS('Barang Keluar'!$E:$E,'Barang Keluar'!$A:$A,M16519,'Barang Keluar'!$C:$C,N16519))</f>
        <v>0</v>
      </c>
    </row>
    <row r="16520" spans="13:16">
      <c r="M16520" s="49">
        <f>IF($A$4+165&gt;$B$4,"",$A$4+165)</f>
        <v>46188</v>
      </c>
      <c r="N16520" t="str">
        <f>IF(M16520="","",'Master Barang'!A14)</f>
        <v>PRL-013</v>
      </c>
      <c r="O16520" t="str">
        <f>IF(N16520="","",'Master Barang'!B14)</f>
        <v>sarung tangan plastik kaka 100 pcs</v>
      </c>
      <c r="P16520">
        <f>IF(OR(M16520="",N16520=""),"",SUMIFS('Barang Keluar'!$E:$E,'Barang Keluar'!$A:$A,M16520,'Barang Keluar'!$C:$C,N16520))</f>
        <v>0</v>
      </c>
    </row>
    <row r="16521" spans="13:16">
      <c r="M16521" s="49">
        <f>IF($A$4+165&gt;$B$4,"",$A$4+165)</f>
        <v>46188</v>
      </c>
      <c r="N16521" t="str">
        <f>IF(M16521="","",'Master Barang'!A15)</f>
        <v>PRL-014</v>
      </c>
      <c r="O16521" t="str">
        <f>IF(N16521="","",'Master Barang'!B15)</f>
        <v>optima trashbag 80x100</v>
      </c>
      <c r="P16521">
        <f>IF(OR(M16521="",N16521=""),"",SUMIFS('Barang Keluar'!$E:$E,'Barang Keluar'!$A:$A,M16521,'Barang Keluar'!$C:$C,N16521))</f>
        <v>0</v>
      </c>
    </row>
    <row r="16522" spans="13:16">
      <c r="M16522" s="49">
        <f>IF($A$4+165&gt;$B$4,"",$A$4+165)</f>
        <v>46188</v>
      </c>
      <c r="N16522" t="str">
        <f>IF(M16522="","",'Master Barang'!A16)</f>
        <v>PRL-015</v>
      </c>
      <c r="O16522" t="str">
        <f>IF(N16522="","",'Master Barang'!B16)</f>
        <v>optima trashbag 60x100</v>
      </c>
      <c r="P16522">
        <f>IF(OR(M16522="",N16522=""),"",SUMIFS('Barang Keluar'!$E:$E,'Barang Keluar'!$A:$A,M16522,'Barang Keluar'!$C:$C,N16522))</f>
        <v>0</v>
      </c>
    </row>
    <row r="16523" spans="13:16">
      <c r="M16523" s="49">
        <f>IF($A$4+165&gt;$B$4,"",$A$4+165)</f>
        <v>46188</v>
      </c>
      <c r="N16523" t="str">
        <f>IF(M16523="","",'Master Barang'!A17)</f>
        <v>PRL-016</v>
      </c>
      <c r="O16523" t="str">
        <f>IF(N16523="","",'Master Barang'!B17)</f>
        <v>rajawali trashbag 30x40</v>
      </c>
      <c r="P16523">
        <f>IF(OR(M16523="",N16523=""),"",SUMIFS('Barang Keluar'!$E:$E,'Barang Keluar'!$A:$A,M16523,'Barang Keluar'!$C:$C,N16523))</f>
        <v>0</v>
      </c>
    </row>
    <row r="16524" spans="13:16">
      <c r="M16524" s="49">
        <f>IF($A$4+165&gt;$B$4,"",$A$4+165)</f>
        <v>46188</v>
      </c>
      <c r="N16524" t="str">
        <f>IF(M16524="","",'Master Barang'!A18)</f>
        <v>PRL-017</v>
      </c>
      <c r="O16524" t="str">
        <f>IF(N16524="","",'Master Barang'!B18)</f>
        <v>onemed masker biru 3 play 50 pcs</v>
      </c>
      <c r="P16524">
        <f>IF(OR(M16524="",N16524=""),"",SUMIFS('Barang Keluar'!$E:$E,'Barang Keluar'!$A:$A,M16524,'Barang Keluar'!$C:$C,N16524))</f>
        <v>0</v>
      </c>
    </row>
    <row r="16525" spans="13:16">
      <c r="M16525" s="49">
        <f>IF($A$4+165&gt;$B$4,"",$A$4+165)</f>
        <v>46188</v>
      </c>
      <c r="N16525" t="str">
        <f>IF(M16525="","",'Master Barang'!A19)</f>
        <v>PRL-018</v>
      </c>
      <c r="O16525" t="str">
        <f>IF(N16525="","",'Master Barang'!B19)</f>
        <v>onemed masker biru 3 play hijab 50 pcs</v>
      </c>
      <c r="P16525">
        <f>IF(OR(M16525="",N16525=""),"",SUMIFS('Barang Keluar'!$E:$E,'Barang Keluar'!$A:$A,M16525,'Barang Keluar'!$C:$C,N16525))</f>
        <v>0</v>
      </c>
    </row>
    <row r="16526" spans="13:16">
      <c r="M16526" s="49">
        <f>IF($A$4+165&gt;$B$4,"",$A$4+165)</f>
        <v>46188</v>
      </c>
      <c r="N16526" t="str">
        <f>IF(M16526="","",'Master Barang'!A20)</f>
        <v>PRL-019</v>
      </c>
      <c r="O16526" t="str">
        <f>IF(N16526="","",'Master Barang'!B20)</f>
        <v>neo health masker biru 3 play 50 pcs</v>
      </c>
      <c r="P16526">
        <f>IF(OR(M16526="",N16526=""),"",SUMIFS('Barang Keluar'!$E:$E,'Barang Keluar'!$A:$A,M16526,'Barang Keluar'!$C:$C,N16526))</f>
        <v>0</v>
      </c>
    </row>
    <row r="16527" spans="13:16">
      <c r="M16527" s="49">
        <f>IF($A$4+165&gt;$B$4,"",$A$4+165)</f>
        <v>46188</v>
      </c>
      <c r="N16527" t="str">
        <f>IF(M16527="","",'Master Barang'!A21)</f>
        <v>PRL-020</v>
      </c>
      <c r="O16527" t="str">
        <f>IF(N16527="","",'Master Barang'!B21)</f>
        <v>baymed masker hijau 3 play hijau 50 pcs</v>
      </c>
      <c r="P16527">
        <f>IF(OR(M16527="",N16527=""),"",SUMIFS('Barang Keluar'!$E:$E,'Barang Keluar'!$A:$A,M16527,'Barang Keluar'!$C:$C,N16527))</f>
        <v>0</v>
      </c>
    </row>
    <row r="16528" spans="13:16">
      <c r="M16528" s="49">
        <f>IF($A$4+165&gt;$B$4,"",$A$4+165)</f>
        <v>46188</v>
      </c>
      <c r="N16528" t="str">
        <f>IF(M16528="","",'Master Barang'!A22)</f>
        <v>PRL-021</v>
      </c>
      <c r="O16528" t="str">
        <f>IF(N16528="","",'Master Barang'!B22)</f>
        <v>altamed nurse cap penutup kepala 100 pcs</v>
      </c>
      <c r="P16528">
        <f>IF(OR(M16528="",N16528=""),"",SUMIFS('Barang Keluar'!$E:$E,'Barang Keluar'!$A:$A,M16528,'Barang Keluar'!$C:$C,N16528))</f>
        <v>0</v>
      </c>
    </row>
    <row r="16529" spans="13:16">
      <c r="M16529" s="49">
        <f>IF($A$4+165&gt;$B$4,"",$A$4+165)</f>
        <v>46188</v>
      </c>
      <c r="N16529" t="str">
        <f>IF(M16529="","",'Master Barang'!A23)</f>
        <v>PRL-022</v>
      </c>
      <c r="O16529" t="str">
        <f>IF(N16529="","",'Master Barang'!B23)</f>
        <v>sabun cuci tangan</v>
      </c>
      <c r="P16529">
        <f>IF(OR(M16529="",N16529=""),"",SUMIFS('Barang Keluar'!$E:$E,'Barang Keluar'!$A:$A,M16529,'Barang Keluar'!$C:$C,N16529))</f>
        <v>0</v>
      </c>
    </row>
    <row r="16530" spans="13:16">
      <c r="M16530" s="49">
        <f>IF($A$4+165&gt;$B$4,"",$A$4+165)</f>
        <v>46188</v>
      </c>
      <c r="N16530" t="str">
        <f>IF(M16530="","",'Master Barang'!A24)</f>
        <v>PRL-023</v>
      </c>
      <c r="O16530" t="str">
        <f>IF(N16530="","",'Master Barang'!B24)</f>
        <v>gayung kecil</v>
      </c>
      <c r="P16530">
        <f>IF(OR(M16530="",N16530=""),"",SUMIFS('Barang Keluar'!$E:$E,'Barang Keluar'!$A:$A,M16530,'Barang Keluar'!$C:$C,N16530))</f>
        <v>0</v>
      </c>
    </row>
    <row r="16531" spans="13:16">
      <c r="M16531" s="49">
        <f>IF($A$4+165&gt;$B$4,"",$A$4+165)</f>
        <v>46188</v>
      </c>
      <c r="N16531" t="str">
        <f>IF(M16531="","",'Master Barang'!A25)</f>
        <v>PRL-024</v>
      </c>
      <c r="O16531" t="str">
        <f>IF(N16531="","",'Master Barang'!B25)</f>
        <v>cikrak kecil</v>
      </c>
      <c r="P16531">
        <f>IF(OR(M16531="",N16531=""),"",SUMIFS('Barang Keluar'!$E:$E,'Barang Keluar'!$A:$A,M16531,'Barang Keluar'!$C:$C,N16531))</f>
        <v>0</v>
      </c>
    </row>
    <row r="16532" spans="13:16">
      <c r="M16532" s="49">
        <f>IF($A$4+165&gt;$B$4,"",$A$4+165)</f>
        <v>46188</v>
      </c>
      <c r="N16532" t="str">
        <f>IF(M16532="","",'Master Barang'!A26)</f>
        <v>PRL-025</v>
      </c>
      <c r="O16532" t="str">
        <f>IF(N16532="","",'Master Barang'!B26)</f>
        <v>petromax plastik kecil 12x24 100 lembar</v>
      </c>
      <c r="P16532">
        <f>IF(OR(M16532="",N16532=""),"",SUMIFS('Barang Keluar'!$E:$E,'Barang Keluar'!$A:$A,M16532,'Barang Keluar'!$C:$C,N16532))</f>
        <v>0</v>
      </c>
    </row>
    <row r="16533" spans="13:16">
      <c r="M16533" s="49">
        <f>IF($A$4+165&gt;$B$4,"",$A$4+165)</f>
        <v>46188</v>
      </c>
      <c r="N16533" t="str">
        <f>IF(M16533="","",'Master Barang'!A27)</f>
        <v>PRL-026</v>
      </c>
      <c r="O16533" t="str">
        <f>IF(N16533="","",'Master Barang'!B27)</f>
        <v>lancar kresek kecil bening </v>
      </c>
      <c r="P16533">
        <f>IF(OR(M16533="",N16533=""),"",SUMIFS('Barang Keluar'!$E:$E,'Barang Keluar'!$A:$A,M16533,'Barang Keluar'!$C:$C,N16533))</f>
        <v>0</v>
      </c>
    </row>
    <row r="16534" spans="13:16">
      <c r="M16534" s="49">
        <f>IF($A$4+165&gt;$B$4,"",$A$4+165)</f>
        <v>46188</v>
      </c>
      <c r="N16534" t="str">
        <f>IF(M16534="","",'Master Barang'!A28)</f>
        <v>PRL-027</v>
      </c>
      <c r="O16534" t="str">
        <f>IF(N16534="","",'Master Barang'!B28)</f>
        <v>kresek klin warna warni kecil</v>
      </c>
      <c r="P16534">
        <f>IF(OR(M16534="",N16534=""),"",SUMIFS('Barang Keluar'!$E:$E,'Barang Keluar'!$A:$A,M16534,'Barang Keluar'!$C:$C,N16534))</f>
        <v>0</v>
      </c>
    </row>
    <row r="16535" spans="13:16">
      <c r="M16535" s="49">
        <f>IF($A$4+165&gt;$B$4,"",$A$4+165)</f>
        <v>46188</v>
      </c>
      <c r="N16535" t="str">
        <f>IF(M16535="","",'Master Barang'!A29)</f>
        <v>PRL-028</v>
      </c>
      <c r="O16535" t="str">
        <f>IF(N16535="","",'Master Barang'!B29)</f>
        <v>ctik plastik 7x10 100 pcs</v>
      </c>
      <c r="P16535">
        <f>IF(OR(M16535="",N16535=""),"",SUMIFS('Barang Keluar'!$E:$E,'Barang Keluar'!$A:$A,M16535,'Barang Keluar'!$C:$C,N16535))</f>
        <v>0</v>
      </c>
    </row>
    <row r="16536" spans="13:16">
      <c r="M16536" s="49">
        <f>IF($A$4+165&gt;$B$4,"",$A$4+165)</f>
        <v>46188</v>
      </c>
      <c r="N16536" t="str">
        <f>IF(M16536="","",'Master Barang'!A30)</f>
        <v>PRL-029</v>
      </c>
      <c r="O16536" t="str">
        <f>IF(N16536="","",'Master Barang'!B30)</f>
        <v>ctik plastik 6x10 100 pcs</v>
      </c>
      <c r="P16536">
        <f>IF(OR(M16536="",N16536=""),"",SUMIFS('Barang Keluar'!$E:$E,'Barang Keluar'!$A:$A,M16536,'Barang Keluar'!$C:$C,N16536))</f>
        <v>0</v>
      </c>
    </row>
    <row r="16537" spans="13:16">
      <c r="M16537" s="49">
        <f>IF($A$4+165&gt;$B$4,"",$A$4+165)</f>
        <v>46188</v>
      </c>
      <c r="N16537" t="str">
        <f>IF(M16537="","",'Master Barang'!A31)</f>
        <v>PRL-030</v>
      </c>
      <c r="O16537" t="str">
        <f>IF(N16537="","",'Master Barang'!B31)</f>
        <v>klip plastik 25x16 100 pcs</v>
      </c>
      <c r="P16537">
        <f>IF(OR(M16537="",N16537=""),"",SUMIFS('Barang Keluar'!$E:$E,'Barang Keluar'!$A:$A,M16537,'Barang Keluar'!$C:$C,N16537))</f>
        <v>0</v>
      </c>
    </row>
    <row r="16538" spans="13:16">
      <c r="M16538" s="49">
        <f>IF($A$4+165&gt;$B$4,"",$A$4+165)</f>
        <v>46188</v>
      </c>
      <c r="N16538" t="str">
        <f>IF(M16538="","",'Master Barang'!A32)</f>
        <v>PRL-031</v>
      </c>
      <c r="O16538" t="str">
        <f>IF(N16538="","",'Master Barang'!B32)</f>
        <v>tempat saus 20 ml</v>
      </c>
      <c r="P16538">
        <f>IF(OR(M16538="",N16538=""),"",SUMIFS('Barang Keluar'!$E:$E,'Barang Keluar'!$A:$A,M16538,'Barang Keluar'!$C:$C,N16538))</f>
        <v>0</v>
      </c>
    </row>
    <row r="16539" spans="13:16">
      <c r="M16539" s="49">
        <f>IF($A$4+165&gt;$B$4,"",$A$4+165)</f>
        <v>46188</v>
      </c>
      <c r="N16539" t="str">
        <f>IF(M16539="","",'Master Barang'!A33)</f>
        <v>PRL-032</v>
      </c>
      <c r="O16539" t="str">
        <f>IF(N16539="","",'Master Barang'!B33)</f>
        <v>plastik packaging ag box uk sedang</v>
      </c>
      <c r="P16539">
        <f>IF(OR(M16539="",N16539=""),"",SUMIFS('Barang Keluar'!$E:$E,'Barang Keluar'!$A:$A,M16539,'Barang Keluar'!$C:$C,N16539))</f>
        <v>0</v>
      </c>
    </row>
    <row r="16540" spans="13:16">
      <c r="M16540" s="49">
        <f>IF($A$4+165&gt;$B$4,"",$A$4+165)</f>
        <v>46188</v>
      </c>
      <c r="N16540" t="str">
        <f>IF(M16540="","",'Master Barang'!A34)</f>
        <v>PRL-033</v>
      </c>
      <c r="O16540">
        <f>IF(N16540="","",'Master Barang'!B34)</f>
        <v>0</v>
      </c>
      <c r="P16540">
        <f>IF(OR(M16540="",N16540=""),"",SUMIFS('Barang Keluar'!$E:$E,'Barang Keluar'!$A:$A,M16540,'Barang Keluar'!$C:$C,N16540))</f>
        <v>0</v>
      </c>
    </row>
    <row r="16541" spans="13:16">
      <c r="M16541" s="49">
        <f>IF($A$4+165&gt;$B$4,"",$A$4+165)</f>
        <v>46188</v>
      </c>
      <c r="N16541">
        <f>IF(M16541="","",'Master Barang'!A35)</f>
        <v>0</v>
      </c>
      <c r="O16541">
        <f>IF(N16541="","",'Master Barang'!B35)</f>
        <v>0</v>
      </c>
      <c r="P16541">
        <f>IF(OR(M16541="",N16541=""),"",SUMIFS('Barang Keluar'!$E:$E,'Barang Keluar'!$A:$A,M16541,'Barang Keluar'!$C:$C,N16541))</f>
        <v>0</v>
      </c>
    </row>
    <row r="16542" spans="13:16">
      <c r="M16542" s="49">
        <f>IF($A$4+165&gt;$B$4,"",$A$4+165)</f>
        <v>46188</v>
      </c>
      <c r="N16542">
        <f>IF(M16542="","",'Master Barang'!A36)</f>
        <v>0</v>
      </c>
      <c r="O16542">
        <f>IF(N16542="","",'Master Barang'!B36)</f>
        <v>0</v>
      </c>
      <c r="P16542">
        <f>IF(OR(M16542="",N16542=""),"",SUMIFS('Barang Keluar'!$E:$E,'Barang Keluar'!$A:$A,M16542,'Barang Keluar'!$C:$C,N16542))</f>
        <v>0</v>
      </c>
    </row>
    <row r="16543" spans="13:16">
      <c r="M16543" s="49">
        <f>IF($A$4+165&gt;$B$4,"",$A$4+165)</f>
        <v>46188</v>
      </c>
      <c r="N16543">
        <f>IF(M16543="","",'Master Barang'!A37)</f>
        <v>0</v>
      </c>
      <c r="O16543">
        <f>IF(N16543="","",'Master Barang'!B37)</f>
        <v>0</v>
      </c>
      <c r="P16543">
        <f>IF(OR(M16543="",N16543=""),"",SUMIFS('Barang Keluar'!$E:$E,'Barang Keluar'!$A:$A,M16543,'Barang Keluar'!$C:$C,N16543))</f>
        <v>0</v>
      </c>
    </row>
    <row r="16544" spans="13:16">
      <c r="M16544" s="49">
        <f>IF($A$4+165&gt;$B$4,"",$A$4+165)</f>
        <v>46188</v>
      </c>
      <c r="N16544">
        <f>IF(M16544="","",'Master Barang'!A38)</f>
        <v>0</v>
      </c>
      <c r="O16544">
        <f>IF(N16544="","",'Master Barang'!B38)</f>
        <v>0</v>
      </c>
      <c r="P16544">
        <f>IF(OR(M16544="",N16544=""),"",SUMIFS('Barang Keluar'!$E:$E,'Barang Keluar'!$A:$A,M16544,'Barang Keluar'!$C:$C,N16544))</f>
        <v>0</v>
      </c>
    </row>
    <row r="16545" spans="13:16">
      <c r="M16545" s="49">
        <f>IF($A$4+165&gt;$B$4,"",$A$4+165)</f>
        <v>46188</v>
      </c>
      <c r="N16545">
        <f>IF(M16545="","",'Master Barang'!A39)</f>
        <v>0</v>
      </c>
      <c r="O16545">
        <f>IF(N16545="","",'Master Barang'!B39)</f>
        <v>0</v>
      </c>
      <c r="P16545">
        <f>IF(OR(M16545="",N16545=""),"",SUMIFS('Barang Keluar'!$E:$E,'Barang Keluar'!$A:$A,M16545,'Barang Keluar'!$C:$C,N16545))</f>
        <v>0</v>
      </c>
    </row>
    <row r="16546" spans="13:16">
      <c r="M16546" s="49">
        <f>IF($A$4+165&gt;$B$4,"",$A$4+165)</f>
        <v>46188</v>
      </c>
      <c r="N16546">
        <f>IF(M16546="","",'Master Barang'!A40)</f>
        <v>0</v>
      </c>
      <c r="O16546">
        <f>IF(N16546="","",'Master Barang'!B40)</f>
        <v>0</v>
      </c>
      <c r="P16546">
        <f>IF(OR(M16546="",N16546=""),"",SUMIFS('Barang Keluar'!$E:$E,'Barang Keluar'!$A:$A,M16546,'Barang Keluar'!$C:$C,N16546))</f>
        <v>0</v>
      </c>
    </row>
    <row r="16547" spans="13:16">
      <c r="M16547" s="49">
        <f>IF($A$4+165&gt;$B$4,"",$A$4+165)</f>
        <v>46188</v>
      </c>
      <c r="N16547">
        <f>IF(M16547="","",'Master Barang'!A41)</f>
        <v>0</v>
      </c>
      <c r="O16547">
        <f>IF(N16547="","",'Master Barang'!B41)</f>
        <v>0</v>
      </c>
      <c r="P16547">
        <f>IF(OR(M16547="",N16547=""),"",SUMIFS('Barang Keluar'!$E:$E,'Barang Keluar'!$A:$A,M16547,'Barang Keluar'!$C:$C,N16547))</f>
        <v>0</v>
      </c>
    </row>
    <row r="16548" spans="13:16">
      <c r="M16548" s="49">
        <f>IF($A$4+165&gt;$B$4,"",$A$4+165)</f>
        <v>46188</v>
      </c>
      <c r="N16548">
        <f>IF(M16548="","",'Master Barang'!A42)</f>
        <v>0</v>
      </c>
      <c r="O16548">
        <f>IF(N16548="","",'Master Barang'!B42)</f>
        <v>0</v>
      </c>
      <c r="P16548">
        <f>IF(OR(M16548="",N16548=""),"",SUMIFS('Barang Keluar'!$E:$E,'Barang Keluar'!$A:$A,M16548,'Barang Keluar'!$C:$C,N16548))</f>
        <v>0</v>
      </c>
    </row>
    <row r="16549" spans="13:16">
      <c r="M16549" s="49">
        <f>IF($A$4+165&gt;$B$4,"",$A$4+165)</f>
        <v>46188</v>
      </c>
      <c r="N16549">
        <f>IF(M16549="","",'Master Barang'!A43)</f>
        <v>0</v>
      </c>
      <c r="O16549">
        <f>IF(N16549="","",'Master Barang'!B43)</f>
        <v>0</v>
      </c>
      <c r="P16549">
        <f>IF(OR(M16549="",N16549=""),"",SUMIFS('Barang Keluar'!$E:$E,'Barang Keluar'!$A:$A,M16549,'Barang Keluar'!$C:$C,N16549))</f>
        <v>0</v>
      </c>
    </row>
    <row r="16550" spans="13:16">
      <c r="M16550" s="49">
        <f>IF($A$4+165&gt;$B$4,"",$A$4+165)</f>
        <v>46188</v>
      </c>
      <c r="N16550">
        <f>IF(M16550="","",'Master Barang'!A44)</f>
        <v>0</v>
      </c>
      <c r="O16550">
        <f>IF(N16550="","",'Master Barang'!B44)</f>
        <v>0</v>
      </c>
      <c r="P16550">
        <f>IF(OR(M16550="",N16550=""),"",SUMIFS('Barang Keluar'!$E:$E,'Barang Keluar'!$A:$A,M16550,'Barang Keluar'!$C:$C,N16550))</f>
        <v>0</v>
      </c>
    </row>
    <row r="16551" spans="13:16">
      <c r="M16551" s="49">
        <f>IF($A$4+165&gt;$B$4,"",$A$4+165)</f>
        <v>46188</v>
      </c>
      <c r="N16551">
        <f>IF(M16551="","",'Master Barang'!A45)</f>
        <v>0</v>
      </c>
      <c r="O16551">
        <f>IF(N16551="","",'Master Barang'!B45)</f>
        <v>0</v>
      </c>
      <c r="P16551">
        <f>IF(OR(M16551="",N16551=""),"",SUMIFS('Barang Keluar'!$E:$E,'Barang Keluar'!$A:$A,M16551,'Barang Keluar'!$C:$C,N16551))</f>
        <v>0</v>
      </c>
    </row>
    <row r="16552" spans="13:16">
      <c r="M16552" s="49">
        <f>IF($A$4+165&gt;$B$4,"",$A$4+165)</f>
        <v>46188</v>
      </c>
      <c r="N16552">
        <f>IF(M16552="","",'Master Barang'!A46)</f>
        <v>0</v>
      </c>
      <c r="O16552">
        <f>IF(N16552="","",'Master Barang'!B46)</f>
        <v>0</v>
      </c>
      <c r="P16552">
        <f>IF(OR(M16552="",N16552=""),"",SUMIFS('Barang Keluar'!$E:$E,'Barang Keluar'!$A:$A,M16552,'Barang Keluar'!$C:$C,N16552))</f>
        <v>0</v>
      </c>
    </row>
    <row r="16553" spans="13:16">
      <c r="M16553" s="49">
        <f>IF($A$4+165&gt;$B$4,"",$A$4+165)</f>
        <v>46188</v>
      </c>
      <c r="N16553">
        <f>IF(M16553="","",'Master Barang'!A47)</f>
        <v>0</v>
      </c>
      <c r="O16553">
        <f>IF(N16553="","",'Master Barang'!B47)</f>
        <v>0</v>
      </c>
      <c r="P16553">
        <f>IF(OR(M16553="",N16553=""),"",SUMIFS('Barang Keluar'!$E:$E,'Barang Keluar'!$A:$A,M16553,'Barang Keluar'!$C:$C,N16553))</f>
        <v>0</v>
      </c>
    </row>
    <row r="16554" spans="13:16">
      <c r="M16554" s="49">
        <f>IF($A$4+165&gt;$B$4,"",$A$4+165)</f>
        <v>46188</v>
      </c>
      <c r="N16554">
        <f>IF(M16554="","",'Master Barang'!A48)</f>
        <v>0</v>
      </c>
      <c r="O16554">
        <f>IF(N16554="","",'Master Barang'!B48)</f>
        <v>0</v>
      </c>
      <c r="P16554">
        <f>IF(OR(M16554="",N16554=""),"",SUMIFS('Barang Keluar'!$E:$E,'Barang Keluar'!$A:$A,M16554,'Barang Keluar'!$C:$C,N16554))</f>
        <v>0</v>
      </c>
    </row>
    <row r="16555" spans="13:16">
      <c r="M16555" s="49">
        <f>IF($A$4+165&gt;$B$4,"",$A$4+165)</f>
        <v>46188</v>
      </c>
      <c r="N16555">
        <f>IF(M16555="","",'Master Barang'!A49)</f>
        <v>0</v>
      </c>
      <c r="O16555">
        <f>IF(N16555="","",'Master Barang'!B49)</f>
        <v>0</v>
      </c>
      <c r="P16555">
        <f>IF(OR(M16555="",N16555=""),"",SUMIFS('Barang Keluar'!$E:$E,'Barang Keluar'!$A:$A,M16555,'Barang Keluar'!$C:$C,N16555))</f>
        <v>0</v>
      </c>
    </row>
    <row r="16556" spans="13:16">
      <c r="M16556" s="49">
        <f>IF($A$4+165&gt;$B$4,"",$A$4+165)</f>
        <v>46188</v>
      </c>
      <c r="N16556">
        <f>IF(M16556="","",'Master Barang'!A50)</f>
        <v>0</v>
      </c>
      <c r="O16556">
        <f>IF(N16556="","",'Master Barang'!B50)</f>
        <v>0</v>
      </c>
      <c r="P16556">
        <f>IF(OR(M16556="",N16556=""),"",SUMIFS('Barang Keluar'!$E:$E,'Barang Keluar'!$A:$A,M16556,'Barang Keluar'!$C:$C,N16556))</f>
        <v>0</v>
      </c>
    </row>
    <row r="16557" spans="13:16">
      <c r="M16557" s="49">
        <f>IF($A$4+165&gt;$B$4,"",$A$4+165)</f>
        <v>46188</v>
      </c>
      <c r="N16557">
        <f>IF(M16557="","",'Master Barang'!A51)</f>
        <v>0</v>
      </c>
      <c r="O16557">
        <f>IF(N16557="","",'Master Barang'!B51)</f>
        <v>0</v>
      </c>
      <c r="P16557">
        <f>IF(OR(M16557="",N16557=""),"",SUMIFS('Barang Keluar'!$E:$E,'Barang Keluar'!$A:$A,M16557,'Barang Keluar'!$C:$C,N16557))</f>
        <v>0</v>
      </c>
    </row>
    <row r="16558" spans="13:16">
      <c r="M16558" s="49">
        <f>IF($A$4+165&gt;$B$4,"",$A$4+165)</f>
        <v>46188</v>
      </c>
      <c r="N16558">
        <f>IF(M16558="","",'Master Barang'!A52)</f>
        <v>0</v>
      </c>
      <c r="O16558">
        <f>IF(N16558="","",'Master Barang'!B52)</f>
        <v>0</v>
      </c>
      <c r="P16558">
        <f>IF(OR(M16558="",N16558=""),"",SUMIFS('Barang Keluar'!$E:$E,'Barang Keluar'!$A:$A,M16558,'Barang Keluar'!$C:$C,N16558))</f>
        <v>0</v>
      </c>
    </row>
    <row r="16559" spans="13:16">
      <c r="M16559" s="49">
        <f>IF($A$4+165&gt;$B$4,"",$A$4+165)</f>
        <v>46188</v>
      </c>
      <c r="N16559">
        <f>IF(M16559="","",'Master Barang'!A53)</f>
        <v>0</v>
      </c>
      <c r="O16559">
        <f>IF(N16559="","",'Master Barang'!B53)</f>
        <v>0</v>
      </c>
      <c r="P16559">
        <f>IF(OR(M16559="",N16559=""),"",SUMIFS('Barang Keluar'!$E:$E,'Barang Keluar'!$A:$A,M16559,'Barang Keluar'!$C:$C,N16559))</f>
        <v>0</v>
      </c>
    </row>
    <row r="16560" spans="13:16">
      <c r="M16560" s="49">
        <f>IF($A$4+165&gt;$B$4,"",$A$4+165)</f>
        <v>46188</v>
      </c>
      <c r="N16560">
        <f>IF(M16560="","",'Master Barang'!A54)</f>
        <v>0</v>
      </c>
      <c r="O16560">
        <f>IF(N16560="","",'Master Barang'!B54)</f>
        <v>0</v>
      </c>
      <c r="P16560">
        <f>IF(OR(M16560="",N16560=""),"",SUMIFS('Barang Keluar'!$E:$E,'Barang Keluar'!$A:$A,M16560,'Barang Keluar'!$C:$C,N16560))</f>
        <v>0</v>
      </c>
    </row>
    <row r="16561" spans="13:16">
      <c r="M16561" s="49">
        <f>IF($A$4+165&gt;$B$4,"",$A$4+165)</f>
        <v>46188</v>
      </c>
      <c r="N16561">
        <f>IF(M16561="","",'Master Barang'!A55)</f>
        <v>0</v>
      </c>
      <c r="O16561">
        <f>IF(N16561="","",'Master Barang'!B55)</f>
        <v>0</v>
      </c>
      <c r="P16561">
        <f>IF(OR(M16561="",N16561=""),"",SUMIFS('Barang Keluar'!$E:$E,'Barang Keluar'!$A:$A,M16561,'Barang Keluar'!$C:$C,N16561))</f>
        <v>0</v>
      </c>
    </row>
    <row r="16562" spans="13:16">
      <c r="M16562" s="49">
        <f>IF($A$4+165&gt;$B$4,"",$A$4+165)</f>
        <v>46188</v>
      </c>
      <c r="N16562">
        <f>IF(M16562="","",'Master Barang'!A56)</f>
        <v>0</v>
      </c>
      <c r="O16562">
        <f>IF(N16562="","",'Master Barang'!B56)</f>
        <v>0</v>
      </c>
      <c r="P16562">
        <f>IF(OR(M16562="",N16562=""),"",SUMIFS('Barang Keluar'!$E:$E,'Barang Keluar'!$A:$A,M16562,'Barang Keluar'!$C:$C,N16562))</f>
        <v>0</v>
      </c>
    </row>
    <row r="16563" spans="13:16">
      <c r="M16563" s="49">
        <f>IF($A$4+165&gt;$B$4,"",$A$4+165)</f>
        <v>46188</v>
      </c>
      <c r="N16563">
        <f>IF(M16563="","",'Master Barang'!A57)</f>
        <v>0</v>
      </c>
      <c r="O16563">
        <f>IF(N16563="","",'Master Barang'!B57)</f>
        <v>0</v>
      </c>
      <c r="P16563">
        <f>IF(OR(M16563="",N16563=""),"",SUMIFS('Barang Keluar'!$E:$E,'Barang Keluar'!$A:$A,M16563,'Barang Keluar'!$C:$C,N16563))</f>
        <v>0</v>
      </c>
    </row>
    <row r="16564" spans="13:16">
      <c r="M16564" s="49">
        <f>IF($A$4+165&gt;$B$4,"",$A$4+165)</f>
        <v>46188</v>
      </c>
      <c r="N16564">
        <f>IF(M16564="","",'Master Barang'!A58)</f>
        <v>0</v>
      </c>
      <c r="O16564">
        <f>IF(N16564="","",'Master Barang'!B58)</f>
        <v>0</v>
      </c>
      <c r="P16564">
        <f>IF(OR(M16564="",N16564=""),"",SUMIFS('Barang Keluar'!$E:$E,'Barang Keluar'!$A:$A,M16564,'Barang Keluar'!$C:$C,N16564))</f>
        <v>0</v>
      </c>
    </row>
    <row r="16565" spans="13:16">
      <c r="M16565" s="49">
        <f>IF($A$4+165&gt;$B$4,"",$A$4+165)</f>
        <v>46188</v>
      </c>
      <c r="N16565">
        <f>IF(M16565="","",'Master Barang'!A59)</f>
        <v>0</v>
      </c>
      <c r="O16565">
        <f>IF(N16565="","",'Master Barang'!B59)</f>
        <v>0</v>
      </c>
      <c r="P16565">
        <f>IF(OR(M16565="",N16565=""),"",SUMIFS('Barang Keluar'!$E:$E,'Barang Keluar'!$A:$A,M16565,'Barang Keluar'!$C:$C,N16565))</f>
        <v>0</v>
      </c>
    </row>
    <row r="16566" spans="13:16">
      <c r="M16566" s="49">
        <f>IF($A$4+165&gt;$B$4,"",$A$4+165)</f>
        <v>46188</v>
      </c>
      <c r="N16566">
        <f>IF(M16566="","",'Master Barang'!A60)</f>
        <v>0</v>
      </c>
      <c r="O16566">
        <f>IF(N16566="","",'Master Barang'!B60)</f>
        <v>0</v>
      </c>
      <c r="P16566">
        <f>IF(OR(M16566="",N16566=""),"",SUMIFS('Barang Keluar'!$E:$E,'Barang Keluar'!$A:$A,M16566,'Barang Keluar'!$C:$C,N16566))</f>
        <v>0</v>
      </c>
    </row>
    <row r="16567" spans="13:16">
      <c r="M16567" s="49">
        <f>IF($A$4+165&gt;$B$4,"",$A$4+165)</f>
        <v>46188</v>
      </c>
      <c r="N16567">
        <f>IF(M16567="","",'Master Barang'!A61)</f>
        <v>0</v>
      </c>
      <c r="O16567">
        <f>IF(N16567="","",'Master Barang'!B61)</f>
        <v>0</v>
      </c>
      <c r="P16567">
        <f>IF(OR(M16567="",N16567=""),"",SUMIFS('Barang Keluar'!$E:$E,'Barang Keluar'!$A:$A,M16567,'Barang Keluar'!$C:$C,N16567))</f>
        <v>0</v>
      </c>
    </row>
    <row r="16568" spans="13:16">
      <c r="M16568" s="49">
        <f>IF($A$4+165&gt;$B$4,"",$A$4+165)</f>
        <v>46188</v>
      </c>
      <c r="N16568">
        <f>IF(M16568="","",'Master Barang'!A62)</f>
        <v>0</v>
      </c>
      <c r="O16568">
        <f>IF(N16568="","",'Master Barang'!B62)</f>
        <v>0</v>
      </c>
      <c r="P16568">
        <f>IF(OR(M16568="",N16568=""),"",SUMIFS('Barang Keluar'!$E:$E,'Barang Keluar'!$A:$A,M16568,'Barang Keluar'!$C:$C,N16568))</f>
        <v>0</v>
      </c>
    </row>
    <row r="16569" spans="13:16">
      <c r="M16569" s="49">
        <f>IF($A$4+165&gt;$B$4,"",$A$4+165)</f>
        <v>46188</v>
      </c>
      <c r="N16569">
        <f>IF(M16569="","",'Master Barang'!A63)</f>
        <v>0</v>
      </c>
      <c r="O16569">
        <f>IF(N16569="","",'Master Barang'!B63)</f>
        <v>0</v>
      </c>
      <c r="P16569">
        <f>IF(OR(M16569="",N16569=""),"",SUMIFS('Barang Keluar'!$E:$E,'Barang Keluar'!$A:$A,M16569,'Barang Keluar'!$C:$C,N16569))</f>
        <v>0</v>
      </c>
    </row>
    <row r="16570" spans="13:16">
      <c r="M16570" s="49">
        <f>IF($A$4+165&gt;$B$4,"",$A$4+165)</f>
        <v>46188</v>
      </c>
      <c r="N16570">
        <f>IF(M16570="","",'Master Barang'!A64)</f>
        <v>0</v>
      </c>
      <c r="O16570">
        <f>IF(N16570="","",'Master Barang'!B64)</f>
        <v>0</v>
      </c>
      <c r="P16570">
        <f>IF(OR(M16570="",N16570=""),"",SUMIFS('Barang Keluar'!$E:$E,'Barang Keluar'!$A:$A,M16570,'Barang Keluar'!$C:$C,N16570))</f>
        <v>0</v>
      </c>
    </row>
    <row r="16571" spans="13:16">
      <c r="M16571" s="49">
        <f>IF($A$4+165&gt;$B$4,"",$A$4+165)</f>
        <v>46188</v>
      </c>
      <c r="N16571">
        <f>IF(M16571="","",'Master Barang'!A65)</f>
        <v>0</v>
      </c>
      <c r="O16571">
        <f>IF(N16571="","",'Master Barang'!B65)</f>
        <v>0</v>
      </c>
      <c r="P16571">
        <f>IF(OR(M16571="",N16571=""),"",SUMIFS('Barang Keluar'!$E:$E,'Barang Keluar'!$A:$A,M16571,'Barang Keluar'!$C:$C,N16571))</f>
        <v>0</v>
      </c>
    </row>
    <row r="16572" spans="13:16">
      <c r="M16572" s="49">
        <f>IF($A$4+165&gt;$B$4,"",$A$4+165)</f>
        <v>46188</v>
      </c>
      <c r="N16572">
        <f>IF(M16572="","",'Master Barang'!A66)</f>
        <v>0</v>
      </c>
      <c r="O16572">
        <f>IF(N16572="","",'Master Barang'!B66)</f>
        <v>0</v>
      </c>
      <c r="P16572">
        <f>IF(OR(M16572="",N16572=""),"",SUMIFS('Barang Keluar'!$E:$E,'Barang Keluar'!$A:$A,M16572,'Barang Keluar'!$C:$C,N16572))</f>
        <v>0</v>
      </c>
    </row>
    <row r="16573" spans="13:16">
      <c r="M16573" s="49">
        <f>IF($A$4+165&gt;$B$4,"",$A$4+165)</f>
        <v>46188</v>
      </c>
      <c r="N16573">
        <f>IF(M16573="","",'Master Barang'!A67)</f>
        <v>0</v>
      </c>
      <c r="O16573">
        <f>IF(N16573="","",'Master Barang'!B67)</f>
        <v>0</v>
      </c>
      <c r="P16573">
        <f>IF(OR(M16573="",N16573=""),"",SUMIFS('Barang Keluar'!$E:$E,'Barang Keluar'!$A:$A,M16573,'Barang Keluar'!$C:$C,N16573))</f>
        <v>0</v>
      </c>
    </row>
    <row r="16574" spans="13:16">
      <c r="M16574" s="49">
        <f>IF($A$4+165&gt;$B$4,"",$A$4+165)</f>
        <v>46188</v>
      </c>
      <c r="N16574">
        <f>IF(M16574="","",'Master Barang'!A68)</f>
        <v>0</v>
      </c>
      <c r="O16574">
        <f>IF(N16574="","",'Master Barang'!B68)</f>
        <v>0</v>
      </c>
      <c r="P16574">
        <f>IF(OR(M16574="",N16574=""),"",SUMIFS('Barang Keluar'!$E:$E,'Barang Keluar'!$A:$A,M16574,'Barang Keluar'!$C:$C,N16574))</f>
        <v>0</v>
      </c>
    </row>
    <row r="16575" spans="13:16">
      <c r="M16575" s="49">
        <f>IF($A$4+165&gt;$B$4,"",$A$4+165)</f>
        <v>46188</v>
      </c>
      <c r="N16575">
        <f>IF(M16575="","",'Master Barang'!A69)</f>
        <v>0</v>
      </c>
      <c r="O16575">
        <f>IF(N16575="","",'Master Barang'!B69)</f>
        <v>0</v>
      </c>
      <c r="P16575">
        <f>IF(OR(M16575="",N16575=""),"",SUMIFS('Barang Keluar'!$E:$E,'Barang Keluar'!$A:$A,M16575,'Barang Keluar'!$C:$C,N16575))</f>
        <v>0</v>
      </c>
    </row>
    <row r="16576" spans="13:16">
      <c r="M16576" s="49">
        <f>IF($A$4+165&gt;$B$4,"",$A$4+165)</f>
        <v>46188</v>
      </c>
      <c r="N16576">
        <f>IF(M16576="","",'Master Barang'!A70)</f>
        <v>0</v>
      </c>
      <c r="O16576">
        <f>IF(N16576="","",'Master Barang'!B70)</f>
        <v>0</v>
      </c>
      <c r="P16576">
        <f>IF(OR(M16576="",N16576=""),"",SUMIFS('Barang Keluar'!$E:$E,'Barang Keluar'!$A:$A,M16576,'Barang Keluar'!$C:$C,N16576))</f>
        <v>0</v>
      </c>
    </row>
    <row r="16577" spans="13:16">
      <c r="M16577" s="49">
        <f>IF($A$4+165&gt;$B$4,"",$A$4+165)</f>
        <v>46188</v>
      </c>
      <c r="N16577">
        <f>IF(M16577="","",'Master Barang'!A71)</f>
        <v>0</v>
      </c>
      <c r="O16577">
        <f>IF(N16577="","",'Master Barang'!B71)</f>
        <v>0</v>
      </c>
      <c r="P16577">
        <f>IF(OR(M16577="",N16577=""),"",SUMIFS('Barang Keluar'!$E:$E,'Barang Keluar'!$A:$A,M16577,'Barang Keluar'!$C:$C,N16577))</f>
        <v>0</v>
      </c>
    </row>
    <row r="16578" spans="13:16">
      <c r="M16578" s="49">
        <f>IF($A$4+165&gt;$B$4,"",$A$4+165)</f>
        <v>46188</v>
      </c>
      <c r="N16578">
        <f>IF(M16578="","",'Master Barang'!A72)</f>
        <v>0</v>
      </c>
      <c r="O16578">
        <f>IF(N16578="","",'Master Barang'!B72)</f>
        <v>0</v>
      </c>
      <c r="P16578">
        <f>IF(OR(M16578="",N16578=""),"",SUMIFS('Barang Keluar'!$E:$E,'Barang Keluar'!$A:$A,M16578,'Barang Keluar'!$C:$C,N16578))</f>
        <v>0</v>
      </c>
    </row>
    <row r="16579" spans="13:16">
      <c r="M16579" s="49">
        <f>IF($A$4+165&gt;$B$4,"",$A$4+165)</f>
        <v>46188</v>
      </c>
      <c r="N16579">
        <f>IF(M16579="","",'Master Barang'!A73)</f>
        <v>0</v>
      </c>
      <c r="O16579">
        <f>IF(N16579="","",'Master Barang'!B73)</f>
        <v>0</v>
      </c>
      <c r="P16579">
        <f>IF(OR(M16579="",N16579=""),"",SUMIFS('Barang Keluar'!$E:$E,'Barang Keluar'!$A:$A,M16579,'Barang Keluar'!$C:$C,N16579))</f>
        <v>0</v>
      </c>
    </row>
    <row r="16580" spans="13:16">
      <c r="M16580" s="49">
        <f>IF($A$4+165&gt;$B$4,"",$A$4+165)</f>
        <v>46188</v>
      </c>
      <c r="N16580">
        <f>IF(M16580="","",'Master Barang'!A74)</f>
        <v>0</v>
      </c>
      <c r="O16580">
        <f>IF(N16580="","",'Master Barang'!B74)</f>
        <v>0</v>
      </c>
      <c r="P16580">
        <f>IF(OR(M16580="",N16580=""),"",SUMIFS('Barang Keluar'!$E:$E,'Barang Keluar'!$A:$A,M16580,'Barang Keluar'!$C:$C,N16580))</f>
        <v>0</v>
      </c>
    </row>
    <row r="16581" spans="13:16">
      <c r="M16581" s="49">
        <f>IF($A$4+165&gt;$B$4,"",$A$4+165)</f>
        <v>46188</v>
      </c>
      <c r="N16581">
        <f>IF(M16581="","",'Master Barang'!A75)</f>
        <v>0</v>
      </c>
      <c r="O16581">
        <f>IF(N16581="","",'Master Barang'!B75)</f>
        <v>0</v>
      </c>
      <c r="P16581">
        <f>IF(OR(M16581="",N16581=""),"",SUMIFS('Barang Keluar'!$E:$E,'Barang Keluar'!$A:$A,M16581,'Barang Keluar'!$C:$C,N16581))</f>
        <v>0</v>
      </c>
    </row>
    <row r="16582" spans="13:16">
      <c r="M16582" s="49">
        <f>IF($A$4+165&gt;$B$4,"",$A$4+165)</f>
        <v>46188</v>
      </c>
      <c r="N16582">
        <f>IF(M16582="","",'Master Barang'!A76)</f>
        <v>0</v>
      </c>
      <c r="O16582">
        <f>IF(N16582="","",'Master Barang'!B76)</f>
        <v>0</v>
      </c>
      <c r="P16582">
        <f>IF(OR(M16582="",N16582=""),"",SUMIFS('Barang Keluar'!$E:$E,'Barang Keluar'!$A:$A,M16582,'Barang Keluar'!$C:$C,N16582))</f>
        <v>0</v>
      </c>
    </row>
    <row r="16583" spans="13:16">
      <c r="M16583" s="49">
        <f>IF($A$4+165&gt;$B$4,"",$A$4+165)</f>
        <v>46188</v>
      </c>
      <c r="N16583">
        <f>IF(M16583="","",'Master Barang'!A77)</f>
        <v>0</v>
      </c>
      <c r="O16583">
        <f>IF(N16583="","",'Master Barang'!B77)</f>
        <v>0</v>
      </c>
      <c r="P16583">
        <f>IF(OR(M16583="",N16583=""),"",SUMIFS('Barang Keluar'!$E:$E,'Barang Keluar'!$A:$A,M16583,'Barang Keluar'!$C:$C,N16583))</f>
        <v>0</v>
      </c>
    </row>
    <row r="16584" spans="13:16">
      <c r="M16584" s="49">
        <f>IF($A$4+165&gt;$B$4,"",$A$4+165)</f>
        <v>46188</v>
      </c>
      <c r="N16584">
        <f>IF(M16584="","",'Master Barang'!A78)</f>
        <v>0</v>
      </c>
      <c r="O16584">
        <f>IF(N16584="","",'Master Barang'!B78)</f>
        <v>0</v>
      </c>
      <c r="P16584">
        <f>IF(OR(M16584="",N16584=""),"",SUMIFS('Barang Keluar'!$E:$E,'Barang Keluar'!$A:$A,M16584,'Barang Keluar'!$C:$C,N16584))</f>
        <v>0</v>
      </c>
    </row>
    <row r="16585" spans="13:16">
      <c r="M16585" s="49">
        <f>IF($A$4+165&gt;$B$4,"",$A$4+165)</f>
        <v>46188</v>
      </c>
      <c r="N16585">
        <f>IF(M16585="","",'Master Barang'!A79)</f>
        <v>0</v>
      </c>
      <c r="O16585">
        <f>IF(N16585="","",'Master Barang'!B79)</f>
        <v>0</v>
      </c>
      <c r="P16585">
        <f>IF(OR(M16585="",N16585=""),"",SUMIFS('Barang Keluar'!$E:$E,'Barang Keluar'!$A:$A,M16585,'Barang Keluar'!$C:$C,N16585))</f>
        <v>0</v>
      </c>
    </row>
    <row r="16586" spans="13:16">
      <c r="M16586" s="49">
        <f>IF($A$4+165&gt;$B$4,"",$A$4+165)</f>
        <v>46188</v>
      </c>
      <c r="N16586">
        <f>IF(M16586="","",'Master Barang'!A80)</f>
        <v>0</v>
      </c>
      <c r="O16586">
        <f>IF(N16586="","",'Master Barang'!B80)</f>
        <v>0</v>
      </c>
      <c r="P16586">
        <f>IF(OR(M16586="",N16586=""),"",SUMIFS('Barang Keluar'!$E:$E,'Barang Keluar'!$A:$A,M16586,'Barang Keluar'!$C:$C,N16586))</f>
        <v>0</v>
      </c>
    </row>
    <row r="16587" spans="13:16">
      <c r="M16587" s="49">
        <f>IF($A$4+165&gt;$B$4,"",$A$4+165)</f>
        <v>46188</v>
      </c>
      <c r="N16587">
        <f>IF(M16587="","",'Master Barang'!A81)</f>
        <v>0</v>
      </c>
      <c r="O16587">
        <f>IF(N16587="","",'Master Barang'!B81)</f>
        <v>0</v>
      </c>
      <c r="P16587">
        <f>IF(OR(M16587="",N16587=""),"",SUMIFS('Barang Keluar'!$E:$E,'Barang Keluar'!$A:$A,M16587,'Barang Keluar'!$C:$C,N16587))</f>
        <v>0</v>
      </c>
    </row>
    <row r="16588" spans="13:16">
      <c r="M16588" s="49">
        <f>IF($A$4+165&gt;$B$4,"",$A$4+165)</f>
        <v>46188</v>
      </c>
      <c r="N16588">
        <f>IF(M16588="","",'Master Barang'!A82)</f>
        <v>0</v>
      </c>
      <c r="O16588">
        <f>IF(N16588="","",'Master Barang'!B82)</f>
        <v>0</v>
      </c>
      <c r="P16588">
        <f>IF(OR(M16588="",N16588=""),"",SUMIFS('Barang Keluar'!$E:$E,'Barang Keluar'!$A:$A,M16588,'Barang Keluar'!$C:$C,N16588))</f>
        <v>0</v>
      </c>
    </row>
    <row r="16589" spans="13:16">
      <c r="M16589" s="49">
        <f>IF($A$4+165&gt;$B$4,"",$A$4+165)</f>
        <v>46188</v>
      </c>
      <c r="N16589">
        <f>IF(M16589="","",'Master Barang'!A83)</f>
        <v>0</v>
      </c>
      <c r="O16589">
        <f>IF(N16589="","",'Master Barang'!B83)</f>
        <v>0</v>
      </c>
      <c r="P16589">
        <f>IF(OR(M16589="",N16589=""),"",SUMIFS('Barang Keluar'!$E:$E,'Barang Keluar'!$A:$A,M16589,'Barang Keluar'!$C:$C,N16589))</f>
        <v>0</v>
      </c>
    </row>
    <row r="16590" spans="13:16">
      <c r="M16590" s="49">
        <f>IF($A$4+165&gt;$B$4,"",$A$4+165)</f>
        <v>46188</v>
      </c>
      <c r="N16590">
        <f>IF(M16590="","",'Master Barang'!A84)</f>
        <v>0</v>
      </c>
      <c r="O16590">
        <f>IF(N16590="","",'Master Barang'!B84)</f>
        <v>0</v>
      </c>
      <c r="P16590">
        <f>IF(OR(M16590="",N16590=""),"",SUMIFS('Barang Keluar'!$E:$E,'Barang Keluar'!$A:$A,M16590,'Barang Keluar'!$C:$C,N16590))</f>
        <v>0</v>
      </c>
    </row>
    <row r="16591" spans="13:16">
      <c r="M16591" s="49">
        <f>IF($A$4+165&gt;$B$4,"",$A$4+165)</f>
        <v>46188</v>
      </c>
      <c r="N16591">
        <f>IF(M16591="","",'Master Barang'!A85)</f>
        <v>0</v>
      </c>
      <c r="O16591">
        <f>IF(N16591="","",'Master Barang'!B85)</f>
        <v>0</v>
      </c>
      <c r="P16591">
        <f>IF(OR(M16591="",N16591=""),"",SUMIFS('Barang Keluar'!$E:$E,'Barang Keluar'!$A:$A,M16591,'Barang Keluar'!$C:$C,N16591))</f>
        <v>0</v>
      </c>
    </row>
    <row r="16592" spans="13:16">
      <c r="M16592" s="49">
        <f>IF($A$4+165&gt;$B$4,"",$A$4+165)</f>
        <v>46188</v>
      </c>
      <c r="N16592">
        <f>IF(M16592="","",'Master Barang'!A86)</f>
        <v>0</v>
      </c>
      <c r="O16592">
        <f>IF(N16592="","",'Master Barang'!B86)</f>
        <v>0</v>
      </c>
      <c r="P16592">
        <f>IF(OR(M16592="",N16592=""),"",SUMIFS('Barang Keluar'!$E:$E,'Barang Keluar'!$A:$A,M16592,'Barang Keluar'!$C:$C,N16592))</f>
        <v>0</v>
      </c>
    </row>
    <row r="16593" spans="13:16">
      <c r="M16593" s="49">
        <f>IF($A$4+165&gt;$B$4,"",$A$4+165)</f>
        <v>46188</v>
      </c>
      <c r="N16593">
        <f>IF(M16593="","",'Master Barang'!A87)</f>
        <v>0</v>
      </c>
      <c r="O16593">
        <f>IF(N16593="","",'Master Barang'!B87)</f>
        <v>0</v>
      </c>
      <c r="P16593">
        <f>IF(OR(M16593="",N16593=""),"",SUMIFS('Barang Keluar'!$E:$E,'Barang Keluar'!$A:$A,M16593,'Barang Keluar'!$C:$C,N16593))</f>
        <v>0</v>
      </c>
    </row>
    <row r="16594" spans="13:16">
      <c r="M16594" s="49">
        <f>IF($A$4+165&gt;$B$4,"",$A$4+165)</f>
        <v>46188</v>
      </c>
      <c r="N16594">
        <f>IF(M16594="","",'Master Barang'!A88)</f>
        <v>0</v>
      </c>
      <c r="O16594">
        <f>IF(N16594="","",'Master Barang'!B88)</f>
        <v>0</v>
      </c>
      <c r="P16594">
        <f>IF(OR(M16594="",N16594=""),"",SUMIFS('Barang Keluar'!$E:$E,'Barang Keluar'!$A:$A,M16594,'Barang Keluar'!$C:$C,N16594))</f>
        <v>0</v>
      </c>
    </row>
    <row r="16595" spans="13:16">
      <c r="M16595" s="49">
        <f>IF($A$4+165&gt;$B$4,"",$A$4+165)</f>
        <v>46188</v>
      </c>
      <c r="N16595">
        <f>IF(M16595="","",'Master Barang'!A89)</f>
        <v>0</v>
      </c>
      <c r="O16595">
        <f>IF(N16595="","",'Master Barang'!B89)</f>
        <v>0</v>
      </c>
      <c r="P16595">
        <f>IF(OR(M16595="",N16595=""),"",SUMIFS('Barang Keluar'!$E:$E,'Barang Keluar'!$A:$A,M16595,'Barang Keluar'!$C:$C,N16595))</f>
        <v>0</v>
      </c>
    </row>
    <row r="16596" spans="13:16">
      <c r="M16596" s="49">
        <f>IF($A$4+165&gt;$B$4,"",$A$4+165)</f>
        <v>46188</v>
      </c>
      <c r="N16596">
        <f>IF(M16596="","",'Master Barang'!A90)</f>
        <v>0</v>
      </c>
      <c r="O16596">
        <f>IF(N16596="","",'Master Barang'!B90)</f>
        <v>0</v>
      </c>
      <c r="P16596">
        <f>IF(OR(M16596="",N16596=""),"",SUMIFS('Barang Keluar'!$E:$E,'Barang Keluar'!$A:$A,M16596,'Barang Keluar'!$C:$C,N16596))</f>
        <v>0</v>
      </c>
    </row>
    <row r="16597" spans="13:16">
      <c r="M16597" s="49">
        <f>IF($A$4+165&gt;$B$4,"",$A$4+165)</f>
        <v>46188</v>
      </c>
      <c r="N16597">
        <f>IF(M16597="","",'Master Barang'!A91)</f>
        <v>0</v>
      </c>
      <c r="O16597">
        <f>IF(N16597="","",'Master Barang'!B91)</f>
        <v>0</v>
      </c>
      <c r="P16597">
        <f>IF(OR(M16597="",N16597=""),"",SUMIFS('Barang Keluar'!$E:$E,'Barang Keluar'!$A:$A,M16597,'Barang Keluar'!$C:$C,N16597))</f>
        <v>0</v>
      </c>
    </row>
    <row r="16598" spans="13:16">
      <c r="M16598" s="49">
        <f>IF($A$4+165&gt;$B$4,"",$A$4+165)</f>
        <v>46188</v>
      </c>
      <c r="N16598">
        <f>IF(M16598="","",'Master Barang'!A92)</f>
        <v>0</v>
      </c>
      <c r="O16598">
        <f>IF(N16598="","",'Master Barang'!B92)</f>
        <v>0</v>
      </c>
      <c r="P16598">
        <f>IF(OR(M16598="",N16598=""),"",SUMIFS('Barang Keluar'!$E:$E,'Barang Keluar'!$A:$A,M16598,'Barang Keluar'!$C:$C,N16598))</f>
        <v>0</v>
      </c>
    </row>
    <row r="16599" spans="13:16">
      <c r="M16599" s="49">
        <f>IF($A$4+165&gt;$B$4,"",$A$4+165)</f>
        <v>46188</v>
      </c>
      <c r="N16599">
        <f>IF(M16599="","",'Master Barang'!A93)</f>
        <v>0</v>
      </c>
      <c r="O16599">
        <f>IF(N16599="","",'Master Barang'!B93)</f>
        <v>0</v>
      </c>
      <c r="P16599">
        <f>IF(OR(M16599="",N16599=""),"",SUMIFS('Barang Keluar'!$E:$E,'Barang Keluar'!$A:$A,M16599,'Barang Keluar'!$C:$C,N16599))</f>
        <v>0</v>
      </c>
    </row>
    <row r="16600" spans="13:16">
      <c r="M16600" s="49">
        <f>IF($A$4+165&gt;$B$4,"",$A$4+165)</f>
        <v>46188</v>
      </c>
      <c r="N16600">
        <f>IF(M16600="","",'Master Barang'!A94)</f>
        <v>0</v>
      </c>
      <c r="O16600">
        <f>IF(N16600="","",'Master Barang'!B94)</f>
        <v>0</v>
      </c>
      <c r="P16600">
        <f>IF(OR(M16600="",N16600=""),"",SUMIFS('Barang Keluar'!$E:$E,'Barang Keluar'!$A:$A,M16600,'Barang Keluar'!$C:$C,N16600))</f>
        <v>0</v>
      </c>
    </row>
    <row r="16601" spans="13:16">
      <c r="M16601" s="49">
        <f>IF($A$4+165&gt;$B$4,"",$A$4+165)</f>
        <v>46188</v>
      </c>
      <c r="N16601">
        <f>IF(M16601="","",'Master Barang'!A95)</f>
        <v>0</v>
      </c>
      <c r="O16601">
        <f>IF(N16601="","",'Master Barang'!B95)</f>
        <v>0</v>
      </c>
      <c r="P16601">
        <f>IF(OR(M16601="",N16601=""),"",SUMIFS('Barang Keluar'!$E:$E,'Barang Keluar'!$A:$A,M16601,'Barang Keluar'!$C:$C,N16601))</f>
        <v>0</v>
      </c>
    </row>
    <row r="16602" spans="13:16">
      <c r="M16602" s="49">
        <f>IF($A$4+165&gt;$B$4,"",$A$4+165)</f>
        <v>46188</v>
      </c>
      <c r="N16602">
        <f>IF(M16602="","",'Master Barang'!A96)</f>
        <v>0</v>
      </c>
      <c r="O16602">
        <f>IF(N16602="","",'Master Barang'!B96)</f>
        <v>0</v>
      </c>
      <c r="P16602">
        <f>IF(OR(M16602="",N16602=""),"",SUMIFS('Barang Keluar'!$E:$E,'Barang Keluar'!$A:$A,M16602,'Barang Keluar'!$C:$C,N16602))</f>
        <v>0</v>
      </c>
    </row>
    <row r="16603" spans="13:16">
      <c r="M16603" s="49">
        <f>IF($A$4+165&gt;$B$4,"",$A$4+165)</f>
        <v>46188</v>
      </c>
      <c r="N16603">
        <f>IF(M16603="","",'Master Barang'!A97)</f>
        <v>0</v>
      </c>
      <c r="O16603">
        <f>IF(N16603="","",'Master Barang'!B97)</f>
        <v>0</v>
      </c>
      <c r="P16603">
        <f>IF(OR(M16603="",N16603=""),"",SUMIFS('Barang Keluar'!$E:$E,'Barang Keluar'!$A:$A,M16603,'Barang Keluar'!$C:$C,N16603))</f>
        <v>0</v>
      </c>
    </row>
    <row r="16604" spans="13:16">
      <c r="M16604" s="49">
        <f>IF($A$4+165&gt;$B$4,"",$A$4+165)</f>
        <v>46188</v>
      </c>
      <c r="N16604">
        <f>IF(M16604="","",'Master Barang'!A98)</f>
        <v>0</v>
      </c>
      <c r="O16604">
        <f>IF(N16604="","",'Master Barang'!B98)</f>
        <v>0</v>
      </c>
      <c r="P16604">
        <f>IF(OR(M16604="",N16604=""),"",SUMIFS('Barang Keluar'!$E:$E,'Barang Keluar'!$A:$A,M16604,'Barang Keluar'!$C:$C,N16604))</f>
        <v>0</v>
      </c>
    </row>
    <row r="16605" spans="13:16">
      <c r="M16605" s="49">
        <f>IF($A$4+165&gt;$B$4,"",$A$4+165)</f>
        <v>46188</v>
      </c>
      <c r="N16605">
        <f>IF(M16605="","",'Master Barang'!A99)</f>
        <v>0</v>
      </c>
      <c r="O16605">
        <f>IF(N16605="","",'Master Barang'!B99)</f>
        <v>0</v>
      </c>
      <c r="P16605">
        <f>IF(OR(M16605="",N16605=""),"",SUMIFS('Barang Keluar'!$E:$E,'Barang Keluar'!$A:$A,M16605,'Barang Keluar'!$C:$C,N16605))</f>
        <v>0</v>
      </c>
    </row>
    <row r="16606" spans="13:16">
      <c r="M16606" s="49">
        <f>IF($A$4+165&gt;$B$4,"",$A$4+165)</f>
        <v>46188</v>
      </c>
      <c r="N16606">
        <f>IF(M16606="","",'Master Barang'!A100)</f>
        <v>0</v>
      </c>
      <c r="O16606">
        <f>IF(N16606="","",'Master Barang'!B100)</f>
        <v>0</v>
      </c>
      <c r="P16606">
        <f>IF(OR(M16606="",N16606=""),"",SUMIFS('Barang Keluar'!$E:$E,'Barang Keluar'!$A:$A,M16606,'Barang Keluar'!$C:$C,N16606))</f>
        <v>0</v>
      </c>
    </row>
    <row r="16607" spans="13:16">
      <c r="M16607" s="49">
        <f>IF($A$4+165&gt;$B$4,"",$A$4+165)</f>
        <v>46188</v>
      </c>
      <c r="N16607">
        <f>IF(M16607="","",'Master Barang'!A101)</f>
        <v>0</v>
      </c>
      <c r="O16607">
        <f>IF(N16607="","",'Master Barang'!B101)</f>
        <v>0</v>
      </c>
      <c r="P16607">
        <f>IF(OR(M16607="",N16607=""),"",SUMIFS('Barang Keluar'!$E:$E,'Barang Keluar'!$A:$A,M16607,'Barang Keluar'!$C:$C,N16607))</f>
        <v>0</v>
      </c>
    </row>
    <row r="16608" spans="13:16">
      <c r="M16608" s="49">
        <f>IF($A$4+166&gt;$B$4,"",$A$4+166)</f>
        <v>46189</v>
      </c>
      <c r="N16608" t="str">
        <f>IF(M16608="","",'Master Barang'!A2)</f>
        <v>PRL-001</v>
      </c>
      <c r="O16608" t="str">
        <f>IF(N16608="","",'Master Barang'!B2)</f>
        <v>natura desinfectant food grade 5l</v>
      </c>
      <c r="P16608">
        <f>IF(OR(M16608="",N16608=""),"",SUMIFS('Barang Keluar'!$E:$E,'Barang Keluar'!$A:$A,M16608,'Barang Keluar'!$C:$C,N16608))</f>
        <v>0</v>
      </c>
    </row>
    <row r="16609" spans="13:16">
      <c r="M16609" s="49">
        <f>IF($A$4+166&gt;$B$4,"",$A$4+166)</f>
        <v>46189</v>
      </c>
      <c r="N16609" t="str">
        <f>IF(M16609="","",'Master Barang'!A3)</f>
        <v>PRL-002</v>
      </c>
      <c r="O16609" t="str">
        <f>IF(N16609="","",'Master Barang'!B3)</f>
        <v>sunlight cairan pencuci piring 5l</v>
      </c>
      <c r="P16609">
        <f>IF(OR(M16609="",N16609=""),"",SUMIFS('Barang Keluar'!$E:$E,'Barang Keluar'!$A:$A,M16609,'Barang Keluar'!$C:$C,N16609))</f>
        <v>0</v>
      </c>
    </row>
    <row r="16610" spans="13:16">
      <c r="M16610" s="49">
        <f>IF($A$4+166&gt;$B$4,"",$A$4+166)</f>
        <v>46189</v>
      </c>
      <c r="N16610" t="str">
        <f>IF(M16610="","",'Master Barang'!A4)</f>
        <v>PRL-003</v>
      </c>
      <c r="O16610" t="str">
        <f>IF(N16610="","",'Master Barang'!B4)</f>
        <v>oixs cleaner 1l</v>
      </c>
      <c r="P16610">
        <f>IF(OR(M16610="",N16610=""),"",SUMIFS('Barang Keluar'!$E:$E,'Barang Keluar'!$A:$A,M16610,'Barang Keluar'!$C:$C,N16610))</f>
        <v>0</v>
      </c>
    </row>
    <row r="16611" spans="13:16">
      <c r="M16611" s="49">
        <f>IF($A$4+166&gt;$B$4,"",$A$4+166)</f>
        <v>46189</v>
      </c>
      <c r="N16611" t="str">
        <f>IF(M16611="","",'Master Barang'!A5)</f>
        <v>PRL-004</v>
      </c>
      <c r="O16611" t="str">
        <f>IF(N16611="","",'Master Barang'!B5)</f>
        <v>be clean tissue serbaguna</v>
      </c>
      <c r="P16611">
        <f>IF(OR(M16611="",N16611=""),"",SUMIFS('Barang Keluar'!$E:$E,'Barang Keluar'!$A:$A,M16611,'Barang Keluar'!$C:$C,N16611))</f>
        <v>0</v>
      </c>
    </row>
    <row r="16612" spans="13:16">
      <c r="M16612" s="49">
        <f>IF($A$4+166&gt;$B$4,"",$A$4+166)</f>
        <v>46189</v>
      </c>
      <c r="N16612" t="str">
        <f>IF(M16612="","",'Master Barang'!A6)</f>
        <v>PRL-005</v>
      </c>
      <c r="O16612" t="str">
        <f>IF(N16612="","",'Master Barang'!B6)</f>
        <v>spons cuci hijau</v>
      </c>
      <c r="P16612">
        <f>IF(OR(M16612="",N16612=""),"",SUMIFS('Barang Keluar'!$E:$E,'Barang Keluar'!$A:$A,M16612,'Barang Keluar'!$C:$C,N16612))</f>
        <v>0</v>
      </c>
    </row>
    <row r="16613" spans="13:16">
      <c r="M16613" s="49">
        <f>IF($A$4+166&gt;$B$4,"",$A$4+166)</f>
        <v>46189</v>
      </c>
      <c r="N16613" t="str">
        <f>IF(M16613="","",'Master Barang'!A7)</f>
        <v>PRL-006</v>
      </c>
      <c r="O16613" t="str">
        <f>IF(N16613="","",'Master Barang'!B7)</f>
        <v>sabut cuci stainless</v>
      </c>
      <c r="P16613">
        <f>IF(OR(M16613="",N16613=""),"",SUMIFS('Barang Keluar'!$E:$E,'Barang Keluar'!$A:$A,M16613,'Barang Keluar'!$C:$C,N16613))</f>
        <v>0</v>
      </c>
    </row>
    <row r="16614" spans="13:16">
      <c r="M16614" s="49">
        <f>IF($A$4+166&gt;$B$4,"",$A$4+166)</f>
        <v>46189</v>
      </c>
      <c r="N16614" t="str">
        <f>IF(M16614="","",'Master Barang'!A8)</f>
        <v>PRL-007</v>
      </c>
      <c r="O16614" t="str">
        <f>IF(N16614="","",'Master Barang'!B8)</f>
        <v>plastik kresek besar merah 50pc</v>
      </c>
      <c r="P16614">
        <f>IF(OR(M16614="",N16614=""),"",SUMIFS('Barang Keluar'!$E:$E,'Barang Keluar'!$A:$A,M16614,'Barang Keluar'!$C:$C,N16614))</f>
        <v>0</v>
      </c>
    </row>
    <row r="16615" spans="13:16">
      <c r="M16615" s="49">
        <f>IF($A$4+166&gt;$B$4,"",$A$4+166)</f>
        <v>46189</v>
      </c>
      <c r="N16615" t="str">
        <f>IF(M16615="","",'Master Barang'!A9)</f>
        <v>PRL-008</v>
      </c>
      <c r="O16615" t="str">
        <f>IF(N16615="","",'Master Barang'!B9)</f>
        <v>lap besar</v>
      </c>
      <c r="P16615">
        <f>IF(OR(M16615="",N16615=""),"",SUMIFS('Barang Keluar'!$E:$E,'Barang Keluar'!$A:$A,M16615,'Barang Keluar'!$C:$C,N16615))</f>
        <v>0</v>
      </c>
    </row>
    <row r="16616" spans="13:16">
      <c r="M16616" s="49">
        <f>IF($A$4+166&gt;$B$4,"",$A$4+166)</f>
        <v>46189</v>
      </c>
      <c r="N16616" t="str">
        <f>IF(M16616="","",'Master Barang'!A10)</f>
        <v>PRL-009</v>
      </c>
      <c r="O16616" t="str">
        <f>IF(N16616="","",'Master Barang'!B10)</f>
        <v>lap microfiber</v>
      </c>
      <c r="P16616">
        <f>IF(OR(M16616="",N16616=""),"",SUMIFS('Barang Keluar'!$E:$E,'Barang Keluar'!$A:$A,M16616,'Barang Keluar'!$C:$C,N16616))</f>
        <v>0</v>
      </c>
    </row>
    <row r="16617" spans="13:16">
      <c r="M16617" s="49">
        <f>IF($A$4+166&gt;$B$4,"",$A$4+166)</f>
        <v>46189</v>
      </c>
      <c r="N16617" t="str">
        <f>IF(M16617="","",'Master Barang'!A11)</f>
        <v>PRL-010</v>
      </c>
      <c r="O16617" t="str">
        <f>IF(N16617="","",'Master Barang'!B11)</f>
        <v>lap kecil</v>
      </c>
      <c r="P16617">
        <f>IF(OR(M16617="",N16617=""),"",SUMIFS('Barang Keluar'!$E:$E,'Barang Keluar'!$A:$A,M16617,'Barang Keluar'!$C:$C,N16617))</f>
        <v>0</v>
      </c>
    </row>
    <row r="16618" spans="13:16">
      <c r="M16618" s="49">
        <f>IF($A$4+166&gt;$B$4,"",$A$4+166)</f>
        <v>46189</v>
      </c>
      <c r="N16618" t="str">
        <f>IF(M16618="","",'Master Barang'!A12)</f>
        <v>PRL-011</v>
      </c>
      <c r="O16618" t="str">
        <f>IF(N16618="","",'Master Barang'!B12)</f>
        <v>kanebo kecil</v>
      </c>
      <c r="P16618">
        <f>IF(OR(M16618="",N16618=""),"",SUMIFS('Barang Keluar'!$E:$E,'Barang Keluar'!$A:$A,M16618,'Barang Keluar'!$C:$C,N16618))</f>
        <v>0</v>
      </c>
    </row>
    <row r="16619" spans="13:16">
      <c r="M16619" s="49">
        <f>IF($A$4+166&gt;$B$4,"",$A$4+166)</f>
        <v>46189</v>
      </c>
      <c r="N16619" t="str">
        <f>IF(M16619="","",'Master Barang'!A13)</f>
        <v>PRL-012</v>
      </c>
      <c r="O16619" t="str">
        <f>IF(N16619="","",'Master Barang'!B13)</f>
        <v>plastik 1/4kg joyoboyo 100 lembar</v>
      </c>
      <c r="P16619">
        <f>IF(OR(M16619="",N16619=""),"",SUMIFS('Barang Keluar'!$E:$E,'Barang Keluar'!$A:$A,M16619,'Barang Keluar'!$C:$C,N16619))</f>
        <v>0</v>
      </c>
    </row>
    <row r="16620" spans="13:16">
      <c r="M16620" s="49">
        <f>IF($A$4+166&gt;$B$4,"",$A$4+166)</f>
        <v>46189</v>
      </c>
      <c r="N16620" t="str">
        <f>IF(M16620="","",'Master Barang'!A14)</f>
        <v>PRL-013</v>
      </c>
      <c r="O16620" t="str">
        <f>IF(N16620="","",'Master Barang'!B14)</f>
        <v>sarung tangan plastik kaka 100 pcs</v>
      </c>
      <c r="P16620">
        <f>IF(OR(M16620="",N16620=""),"",SUMIFS('Barang Keluar'!$E:$E,'Barang Keluar'!$A:$A,M16620,'Barang Keluar'!$C:$C,N16620))</f>
        <v>0</v>
      </c>
    </row>
    <row r="16621" spans="13:16">
      <c r="M16621" s="49">
        <f>IF($A$4+166&gt;$B$4,"",$A$4+166)</f>
        <v>46189</v>
      </c>
      <c r="N16621" t="str">
        <f>IF(M16621="","",'Master Barang'!A15)</f>
        <v>PRL-014</v>
      </c>
      <c r="O16621" t="str">
        <f>IF(N16621="","",'Master Barang'!B15)</f>
        <v>optima trashbag 80x100</v>
      </c>
      <c r="P16621">
        <f>IF(OR(M16621="",N16621=""),"",SUMIFS('Barang Keluar'!$E:$E,'Barang Keluar'!$A:$A,M16621,'Barang Keluar'!$C:$C,N16621))</f>
        <v>0</v>
      </c>
    </row>
    <row r="16622" spans="13:16">
      <c r="M16622" s="49">
        <f>IF($A$4+166&gt;$B$4,"",$A$4+166)</f>
        <v>46189</v>
      </c>
      <c r="N16622" t="str">
        <f>IF(M16622="","",'Master Barang'!A16)</f>
        <v>PRL-015</v>
      </c>
      <c r="O16622" t="str">
        <f>IF(N16622="","",'Master Barang'!B16)</f>
        <v>optima trashbag 60x100</v>
      </c>
      <c r="P16622">
        <f>IF(OR(M16622="",N16622=""),"",SUMIFS('Barang Keluar'!$E:$E,'Barang Keluar'!$A:$A,M16622,'Barang Keluar'!$C:$C,N16622))</f>
        <v>0</v>
      </c>
    </row>
    <row r="16623" spans="13:16">
      <c r="M16623" s="49">
        <f>IF($A$4+166&gt;$B$4,"",$A$4+166)</f>
        <v>46189</v>
      </c>
      <c r="N16623" t="str">
        <f>IF(M16623="","",'Master Barang'!A17)</f>
        <v>PRL-016</v>
      </c>
      <c r="O16623" t="str">
        <f>IF(N16623="","",'Master Barang'!B17)</f>
        <v>rajawali trashbag 30x40</v>
      </c>
      <c r="P16623">
        <f>IF(OR(M16623="",N16623=""),"",SUMIFS('Barang Keluar'!$E:$E,'Barang Keluar'!$A:$A,M16623,'Barang Keluar'!$C:$C,N16623))</f>
        <v>0</v>
      </c>
    </row>
    <row r="16624" spans="13:16">
      <c r="M16624" s="49">
        <f>IF($A$4+166&gt;$B$4,"",$A$4+166)</f>
        <v>46189</v>
      </c>
      <c r="N16624" t="str">
        <f>IF(M16624="","",'Master Barang'!A18)</f>
        <v>PRL-017</v>
      </c>
      <c r="O16624" t="str">
        <f>IF(N16624="","",'Master Barang'!B18)</f>
        <v>onemed masker biru 3 play 50 pcs</v>
      </c>
      <c r="P16624">
        <f>IF(OR(M16624="",N16624=""),"",SUMIFS('Barang Keluar'!$E:$E,'Barang Keluar'!$A:$A,M16624,'Barang Keluar'!$C:$C,N16624))</f>
        <v>0</v>
      </c>
    </row>
    <row r="16625" spans="13:16">
      <c r="M16625" s="49">
        <f>IF($A$4+166&gt;$B$4,"",$A$4+166)</f>
        <v>46189</v>
      </c>
      <c r="N16625" t="str">
        <f>IF(M16625="","",'Master Barang'!A19)</f>
        <v>PRL-018</v>
      </c>
      <c r="O16625" t="str">
        <f>IF(N16625="","",'Master Barang'!B19)</f>
        <v>onemed masker biru 3 play hijab 50 pcs</v>
      </c>
      <c r="P16625">
        <f>IF(OR(M16625="",N16625=""),"",SUMIFS('Barang Keluar'!$E:$E,'Barang Keluar'!$A:$A,M16625,'Barang Keluar'!$C:$C,N16625))</f>
        <v>0</v>
      </c>
    </row>
    <row r="16626" spans="13:16">
      <c r="M16626" s="49">
        <f>IF($A$4+166&gt;$B$4,"",$A$4+166)</f>
        <v>46189</v>
      </c>
      <c r="N16626" t="str">
        <f>IF(M16626="","",'Master Barang'!A20)</f>
        <v>PRL-019</v>
      </c>
      <c r="O16626" t="str">
        <f>IF(N16626="","",'Master Barang'!B20)</f>
        <v>neo health masker biru 3 play 50 pcs</v>
      </c>
      <c r="P16626">
        <f>IF(OR(M16626="",N16626=""),"",SUMIFS('Barang Keluar'!$E:$E,'Barang Keluar'!$A:$A,M16626,'Barang Keluar'!$C:$C,N16626))</f>
        <v>0</v>
      </c>
    </row>
    <row r="16627" spans="13:16">
      <c r="M16627" s="49">
        <f>IF($A$4+166&gt;$B$4,"",$A$4+166)</f>
        <v>46189</v>
      </c>
      <c r="N16627" t="str">
        <f>IF(M16627="","",'Master Barang'!A21)</f>
        <v>PRL-020</v>
      </c>
      <c r="O16627" t="str">
        <f>IF(N16627="","",'Master Barang'!B21)</f>
        <v>baymed masker hijau 3 play hijau 50 pcs</v>
      </c>
      <c r="P16627">
        <f>IF(OR(M16627="",N16627=""),"",SUMIFS('Barang Keluar'!$E:$E,'Barang Keluar'!$A:$A,M16627,'Barang Keluar'!$C:$C,N16627))</f>
        <v>0</v>
      </c>
    </row>
    <row r="16628" spans="13:16">
      <c r="M16628" s="49">
        <f>IF($A$4+166&gt;$B$4,"",$A$4+166)</f>
        <v>46189</v>
      </c>
      <c r="N16628" t="str">
        <f>IF(M16628="","",'Master Barang'!A22)</f>
        <v>PRL-021</v>
      </c>
      <c r="O16628" t="str">
        <f>IF(N16628="","",'Master Barang'!B22)</f>
        <v>altamed nurse cap penutup kepala 100 pcs</v>
      </c>
      <c r="P16628">
        <f>IF(OR(M16628="",N16628=""),"",SUMIFS('Barang Keluar'!$E:$E,'Barang Keluar'!$A:$A,M16628,'Barang Keluar'!$C:$C,N16628))</f>
        <v>0</v>
      </c>
    </row>
    <row r="16629" spans="13:16">
      <c r="M16629" s="49">
        <f>IF($A$4+166&gt;$B$4,"",$A$4+166)</f>
        <v>46189</v>
      </c>
      <c r="N16629" t="str">
        <f>IF(M16629="","",'Master Barang'!A23)</f>
        <v>PRL-022</v>
      </c>
      <c r="O16629" t="str">
        <f>IF(N16629="","",'Master Barang'!B23)</f>
        <v>sabun cuci tangan</v>
      </c>
      <c r="P16629">
        <f>IF(OR(M16629="",N16629=""),"",SUMIFS('Barang Keluar'!$E:$E,'Barang Keluar'!$A:$A,M16629,'Barang Keluar'!$C:$C,N16629))</f>
        <v>0</v>
      </c>
    </row>
    <row r="16630" spans="13:16">
      <c r="M16630" s="49">
        <f>IF($A$4+166&gt;$B$4,"",$A$4+166)</f>
        <v>46189</v>
      </c>
      <c r="N16630" t="str">
        <f>IF(M16630="","",'Master Barang'!A24)</f>
        <v>PRL-023</v>
      </c>
      <c r="O16630" t="str">
        <f>IF(N16630="","",'Master Barang'!B24)</f>
        <v>gayung kecil</v>
      </c>
      <c r="P16630">
        <f>IF(OR(M16630="",N16630=""),"",SUMIFS('Barang Keluar'!$E:$E,'Barang Keluar'!$A:$A,M16630,'Barang Keluar'!$C:$C,N16630))</f>
        <v>0</v>
      </c>
    </row>
    <row r="16631" spans="13:16">
      <c r="M16631" s="49">
        <f>IF($A$4+166&gt;$B$4,"",$A$4+166)</f>
        <v>46189</v>
      </c>
      <c r="N16631" t="str">
        <f>IF(M16631="","",'Master Barang'!A25)</f>
        <v>PRL-024</v>
      </c>
      <c r="O16631" t="str">
        <f>IF(N16631="","",'Master Barang'!B25)</f>
        <v>cikrak kecil</v>
      </c>
      <c r="P16631">
        <f>IF(OR(M16631="",N16631=""),"",SUMIFS('Barang Keluar'!$E:$E,'Barang Keluar'!$A:$A,M16631,'Barang Keluar'!$C:$C,N16631))</f>
        <v>0</v>
      </c>
    </row>
    <row r="16632" spans="13:16">
      <c r="M16632" s="49">
        <f>IF($A$4+166&gt;$B$4,"",$A$4+166)</f>
        <v>46189</v>
      </c>
      <c r="N16632" t="str">
        <f>IF(M16632="","",'Master Barang'!A26)</f>
        <v>PRL-025</v>
      </c>
      <c r="O16632" t="str">
        <f>IF(N16632="","",'Master Barang'!B26)</f>
        <v>petromax plastik kecil 12x24 100 lembar</v>
      </c>
      <c r="P16632">
        <f>IF(OR(M16632="",N16632=""),"",SUMIFS('Barang Keluar'!$E:$E,'Barang Keluar'!$A:$A,M16632,'Barang Keluar'!$C:$C,N16632))</f>
        <v>0</v>
      </c>
    </row>
    <row r="16633" spans="13:16">
      <c r="M16633" s="49">
        <f>IF($A$4+166&gt;$B$4,"",$A$4+166)</f>
        <v>46189</v>
      </c>
      <c r="N16633" t="str">
        <f>IF(M16633="","",'Master Barang'!A27)</f>
        <v>PRL-026</v>
      </c>
      <c r="O16633" t="str">
        <f>IF(N16633="","",'Master Barang'!B27)</f>
        <v>lancar kresek kecil bening </v>
      </c>
      <c r="P16633">
        <f>IF(OR(M16633="",N16633=""),"",SUMIFS('Barang Keluar'!$E:$E,'Barang Keluar'!$A:$A,M16633,'Barang Keluar'!$C:$C,N16633))</f>
        <v>0</v>
      </c>
    </row>
    <row r="16634" spans="13:16">
      <c r="M16634" s="49">
        <f>IF($A$4+166&gt;$B$4,"",$A$4+166)</f>
        <v>46189</v>
      </c>
      <c r="N16634" t="str">
        <f>IF(M16634="","",'Master Barang'!A28)</f>
        <v>PRL-027</v>
      </c>
      <c r="O16634" t="str">
        <f>IF(N16634="","",'Master Barang'!B28)</f>
        <v>kresek klin warna warni kecil</v>
      </c>
      <c r="P16634">
        <f>IF(OR(M16634="",N16634=""),"",SUMIFS('Barang Keluar'!$E:$E,'Barang Keluar'!$A:$A,M16634,'Barang Keluar'!$C:$C,N16634))</f>
        <v>0</v>
      </c>
    </row>
    <row r="16635" spans="13:16">
      <c r="M16635" s="49">
        <f>IF($A$4+166&gt;$B$4,"",$A$4+166)</f>
        <v>46189</v>
      </c>
      <c r="N16635" t="str">
        <f>IF(M16635="","",'Master Barang'!A29)</f>
        <v>PRL-028</v>
      </c>
      <c r="O16635" t="str">
        <f>IF(N16635="","",'Master Barang'!B29)</f>
        <v>ctik plastik 7x10 100 pcs</v>
      </c>
      <c r="P16635">
        <f>IF(OR(M16635="",N16635=""),"",SUMIFS('Barang Keluar'!$E:$E,'Barang Keluar'!$A:$A,M16635,'Barang Keluar'!$C:$C,N16635))</f>
        <v>0</v>
      </c>
    </row>
    <row r="16636" spans="13:16">
      <c r="M16636" s="49">
        <f>IF($A$4+166&gt;$B$4,"",$A$4+166)</f>
        <v>46189</v>
      </c>
      <c r="N16636" t="str">
        <f>IF(M16636="","",'Master Barang'!A30)</f>
        <v>PRL-029</v>
      </c>
      <c r="O16636" t="str">
        <f>IF(N16636="","",'Master Barang'!B30)</f>
        <v>ctik plastik 6x10 100 pcs</v>
      </c>
      <c r="P16636">
        <f>IF(OR(M16636="",N16636=""),"",SUMIFS('Barang Keluar'!$E:$E,'Barang Keluar'!$A:$A,M16636,'Barang Keluar'!$C:$C,N16636))</f>
        <v>0</v>
      </c>
    </row>
    <row r="16637" spans="13:16">
      <c r="M16637" s="49">
        <f>IF($A$4+166&gt;$B$4,"",$A$4+166)</f>
        <v>46189</v>
      </c>
      <c r="N16637" t="str">
        <f>IF(M16637="","",'Master Barang'!A31)</f>
        <v>PRL-030</v>
      </c>
      <c r="O16637" t="str">
        <f>IF(N16637="","",'Master Barang'!B31)</f>
        <v>klip plastik 25x16 100 pcs</v>
      </c>
      <c r="P16637">
        <f>IF(OR(M16637="",N16637=""),"",SUMIFS('Barang Keluar'!$E:$E,'Barang Keluar'!$A:$A,M16637,'Barang Keluar'!$C:$C,N16637))</f>
        <v>0</v>
      </c>
    </row>
    <row r="16638" spans="13:16">
      <c r="M16638" s="49">
        <f>IF($A$4+166&gt;$B$4,"",$A$4+166)</f>
        <v>46189</v>
      </c>
      <c r="N16638" t="str">
        <f>IF(M16638="","",'Master Barang'!A32)</f>
        <v>PRL-031</v>
      </c>
      <c r="O16638" t="str">
        <f>IF(N16638="","",'Master Barang'!B32)</f>
        <v>tempat saus 20 ml</v>
      </c>
      <c r="P16638">
        <f>IF(OR(M16638="",N16638=""),"",SUMIFS('Barang Keluar'!$E:$E,'Barang Keluar'!$A:$A,M16638,'Barang Keluar'!$C:$C,N16638))</f>
        <v>0</v>
      </c>
    </row>
    <row r="16639" spans="13:16">
      <c r="M16639" s="49">
        <f>IF($A$4+166&gt;$B$4,"",$A$4+166)</f>
        <v>46189</v>
      </c>
      <c r="N16639" t="str">
        <f>IF(M16639="","",'Master Barang'!A33)</f>
        <v>PRL-032</v>
      </c>
      <c r="O16639" t="str">
        <f>IF(N16639="","",'Master Barang'!B33)</f>
        <v>plastik packaging ag box uk sedang</v>
      </c>
      <c r="P16639">
        <f>IF(OR(M16639="",N16639=""),"",SUMIFS('Barang Keluar'!$E:$E,'Barang Keluar'!$A:$A,M16639,'Barang Keluar'!$C:$C,N16639))</f>
        <v>0</v>
      </c>
    </row>
    <row r="16640" spans="13:16">
      <c r="M16640" s="49">
        <f>IF($A$4+166&gt;$B$4,"",$A$4+166)</f>
        <v>46189</v>
      </c>
      <c r="N16640" t="str">
        <f>IF(M16640="","",'Master Barang'!A34)</f>
        <v>PRL-033</v>
      </c>
      <c r="O16640">
        <f>IF(N16640="","",'Master Barang'!B34)</f>
        <v>0</v>
      </c>
      <c r="P16640">
        <f>IF(OR(M16640="",N16640=""),"",SUMIFS('Barang Keluar'!$E:$E,'Barang Keluar'!$A:$A,M16640,'Barang Keluar'!$C:$C,N16640))</f>
        <v>0</v>
      </c>
    </row>
    <row r="16641" spans="13:16">
      <c r="M16641" s="49">
        <f>IF($A$4+166&gt;$B$4,"",$A$4+166)</f>
        <v>46189</v>
      </c>
      <c r="N16641">
        <f>IF(M16641="","",'Master Barang'!A35)</f>
        <v>0</v>
      </c>
      <c r="O16641">
        <f>IF(N16641="","",'Master Barang'!B35)</f>
        <v>0</v>
      </c>
      <c r="P16641">
        <f>IF(OR(M16641="",N16641=""),"",SUMIFS('Barang Keluar'!$E:$E,'Barang Keluar'!$A:$A,M16641,'Barang Keluar'!$C:$C,N16641))</f>
        <v>0</v>
      </c>
    </row>
    <row r="16642" spans="13:16">
      <c r="M16642" s="49">
        <f>IF($A$4+166&gt;$B$4,"",$A$4+166)</f>
        <v>46189</v>
      </c>
      <c r="N16642">
        <f>IF(M16642="","",'Master Barang'!A36)</f>
        <v>0</v>
      </c>
      <c r="O16642">
        <f>IF(N16642="","",'Master Barang'!B36)</f>
        <v>0</v>
      </c>
      <c r="P16642">
        <f>IF(OR(M16642="",N16642=""),"",SUMIFS('Barang Keluar'!$E:$E,'Barang Keluar'!$A:$A,M16642,'Barang Keluar'!$C:$C,N16642))</f>
        <v>0</v>
      </c>
    </row>
    <row r="16643" spans="13:16">
      <c r="M16643" s="49">
        <f>IF($A$4+166&gt;$B$4,"",$A$4+166)</f>
        <v>46189</v>
      </c>
      <c r="N16643">
        <f>IF(M16643="","",'Master Barang'!A37)</f>
        <v>0</v>
      </c>
      <c r="O16643">
        <f>IF(N16643="","",'Master Barang'!B37)</f>
        <v>0</v>
      </c>
      <c r="P16643">
        <f>IF(OR(M16643="",N16643=""),"",SUMIFS('Barang Keluar'!$E:$E,'Barang Keluar'!$A:$A,M16643,'Barang Keluar'!$C:$C,N16643))</f>
        <v>0</v>
      </c>
    </row>
    <row r="16644" spans="13:16">
      <c r="M16644" s="49">
        <f>IF($A$4+166&gt;$B$4,"",$A$4+166)</f>
        <v>46189</v>
      </c>
      <c r="N16644">
        <f>IF(M16644="","",'Master Barang'!A38)</f>
        <v>0</v>
      </c>
      <c r="O16644">
        <f>IF(N16644="","",'Master Barang'!B38)</f>
        <v>0</v>
      </c>
      <c r="P16644">
        <f>IF(OR(M16644="",N16644=""),"",SUMIFS('Barang Keluar'!$E:$E,'Barang Keluar'!$A:$A,M16644,'Barang Keluar'!$C:$C,N16644))</f>
        <v>0</v>
      </c>
    </row>
    <row r="16645" spans="13:16">
      <c r="M16645" s="49">
        <f>IF($A$4+166&gt;$B$4,"",$A$4+166)</f>
        <v>46189</v>
      </c>
      <c r="N16645">
        <f>IF(M16645="","",'Master Barang'!A39)</f>
        <v>0</v>
      </c>
      <c r="O16645">
        <f>IF(N16645="","",'Master Barang'!B39)</f>
        <v>0</v>
      </c>
      <c r="P16645">
        <f>IF(OR(M16645="",N16645=""),"",SUMIFS('Barang Keluar'!$E:$E,'Barang Keluar'!$A:$A,M16645,'Barang Keluar'!$C:$C,N16645))</f>
        <v>0</v>
      </c>
    </row>
    <row r="16646" spans="13:16">
      <c r="M16646" s="49">
        <f>IF($A$4+166&gt;$B$4,"",$A$4+166)</f>
        <v>46189</v>
      </c>
      <c r="N16646">
        <f>IF(M16646="","",'Master Barang'!A40)</f>
        <v>0</v>
      </c>
      <c r="O16646">
        <f>IF(N16646="","",'Master Barang'!B40)</f>
        <v>0</v>
      </c>
      <c r="P16646">
        <f>IF(OR(M16646="",N16646=""),"",SUMIFS('Barang Keluar'!$E:$E,'Barang Keluar'!$A:$A,M16646,'Barang Keluar'!$C:$C,N16646))</f>
        <v>0</v>
      </c>
    </row>
    <row r="16647" spans="13:16">
      <c r="M16647" s="49">
        <f>IF($A$4+166&gt;$B$4,"",$A$4+166)</f>
        <v>46189</v>
      </c>
      <c r="N16647">
        <f>IF(M16647="","",'Master Barang'!A41)</f>
        <v>0</v>
      </c>
      <c r="O16647">
        <f>IF(N16647="","",'Master Barang'!B41)</f>
        <v>0</v>
      </c>
      <c r="P16647">
        <f>IF(OR(M16647="",N16647=""),"",SUMIFS('Barang Keluar'!$E:$E,'Barang Keluar'!$A:$A,M16647,'Barang Keluar'!$C:$C,N16647))</f>
        <v>0</v>
      </c>
    </row>
    <row r="16648" spans="13:16">
      <c r="M16648" s="49">
        <f>IF($A$4+166&gt;$B$4,"",$A$4+166)</f>
        <v>46189</v>
      </c>
      <c r="N16648">
        <f>IF(M16648="","",'Master Barang'!A42)</f>
        <v>0</v>
      </c>
      <c r="O16648">
        <f>IF(N16648="","",'Master Barang'!B42)</f>
        <v>0</v>
      </c>
      <c r="P16648">
        <f>IF(OR(M16648="",N16648=""),"",SUMIFS('Barang Keluar'!$E:$E,'Barang Keluar'!$A:$A,M16648,'Barang Keluar'!$C:$C,N16648))</f>
        <v>0</v>
      </c>
    </row>
    <row r="16649" spans="13:16">
      <c r="M16649" s="49">
        <f>IF($A$4+166&gt;$B$4,"",$A$4+166)</f>
        <v>46189</v>
      </c>
      <c r="N16649">
        <f>IF(M16649="","",'Master Barang'!A43)</f>
        <v>0</v>
      </c>
      <c r="O16649">
        <f>IF(N16649="","",'Master Barang'!B43)</f>
        <v>0</v>
      </c>
      <c r="P16649">
        <f>IF(OR(M16649="",N16649=""),"",SUMIFS('Barang Keluar'!$E:$E,'Barang Keluar'!$A:$A,M16649,'Barang Keluar'!$C:$C,N16649))</f>
        <v>0</v>
      </c>
    </row>
    <row r="16650" spans="13:16">
      <c r="M16650" s="49">
        <f>IF($A$4+166&gt;$B$4,"",$A$4+166)</f>
        <v>46189</v>
      </c>
      <c r="N16650">
        <f>IF(M16650="","",'Master Barang'!A44)</f>
        <v>0</v>
      </c>
      <c r="O16650">
        <f>IF(N16650="","",'Master Barang'!B44)</f>
        <v>0</v>
      </c>
      <c r="P16650">
        <f>IF(OR(M16650="",N16650=""),"",SUMIFS('Barang Keluar'!$E:$E,'Barang Keluar'!$A:$A,M16650,'Barang Keluar'!$C:$C,N16650))</f>
        <v>0</v>
      </c>
    </row>
    <row r="16651" spans="13:16">
      <c r="M16651" s="49">
        <f>IF($A$4+166&gt;$B$4,"",$A$4+166)</f>
        <v>46189</v>
      </c>
      <c r="N16651">
        <f>IF(M16651="","",'Master Barang'!A45)</f>
        <v>0</v>
      </c>
      <c r="O16651">
        <f>IF(N16651="","",'Master Barang'!B45)</f>
        <v>0</v>
      </c>
      <c r="P16651">
        <f>IF(OR(M16651="",N16651=""),"",SUMIFS('Barang Keluar'!$E:$E,'Barang Keluar'!$A:$A,M16651,'Barang Keluar'!$C:$C,N16651))</f>
        <v>0</v>
      </c>
    </row>
    <row r="16652" spans="13:16">
      <c r="M16652" s="49">
        <f>IF($A$4+166&gt;$B$4,"",$A$4+166)</f>
        <v>46189</v>
      </c>
      <c r="N16652">
        <f>IF(M16652="","",'Master Barang'!A46)</f>
        <v>0</v>
      </c>
      <c r="O16652">
        <f>IF(N16652="","",'Master Barang'!B46)</f>
        <v>0</v>
      </c>
      <c r="P16652">
        <f>IF(OR(M16652="",N16652=""),"",SUMIFS('Barang Keluar'!$E:$E,'Barang Keluar'!$A:$A,M16652,'Barang Keluar'!$C:$C,N16652))</f>
        <v>0</v>
      </c>
    </row>
    <row r="16653" spans="13:16">
      <c r="M16653" s="49">
        <f>IF($A$4+166&gt;$B$4,"",$A$4+166)</f>
        <v>46189</v>
      </c>
      <c r="N16653">
        <f>IF(M16653="","",'Master Barang'!A47)</f>
        <v>0</v>
      </c>
      <c r="O16653">
        <f>IF(N16653="","",'Master Barang'!B47)</f>
        <v>0</v>
      </c>
      <c r="P16653">
        <f>IF(OR(M16653="",N16653=""),"",SUMIFS('Barang Keluar'!$E:$E,'Barang Keluar'!$A:$A,M16653,'Barang Keluar'!$C:$C,N16653))</f>
        <v>0</v>
      </c>
    </row>
    <row r="16654" spans="13:16">
      <c r="M16654" s="49">
        <f>IF($A$4+166&gt;$B$4,"",$A$4+166)</f>
        <v>46189</v>
      </c>
      <c r="N16654">
        <f>IF(M16654="","",'Master Barang'!A48)</f>
        <v>0</v>
      </c>
      <c r="O16654">
        <f>IF(N16654="","",'Master Barang'!B48)</f>
        <v>0</v>
      </c>
      <c r="P16654">
        <f>IF(OR(M16654="",N16654=""),"",SUMIFS('Barang Keluar'!$E:$E,'Barang Keluar'!$A:$A,M16654,'Barang Keluar'!$C:$C,N16654))</f>
        <v>0</v>
      </c>
    </row>
    <row r="16655" spans="13:16">
      <c r="M16655" s="49">
        <f>IF($A$4+166&gt;$B$4,"",$A$4+166)</f>
        <v>46189</v>
      </c>
      <c r="N16655">
        <f>IF(M16655="","",'Master Barang'!A49)</f>
        <v>0</v>
      </c>
      <c r="O16655">
        <f>IF(N16655="","",'Master Barang'!B49)</f>
        <v>0</v>
      </c>
      <c r="P16655">
        <f>IF(OR(M16655="",N16655=""),"",SUMIFS('Barang Keluar'!$E:$E,'Barang Keluar'!$A:$A,M16655,'Barang Keluar'!$C:$C,N16655))</f>
        <v>0</v>
      </c>
    </row>
    <row r="16656" spans="13:16">
      <c r="M16656" s="49">
        <f>IF($A$4+166&gt;$B$4,"",$A$4+166)</f>
        <v>46189</v>
      </c>
      <c r="N16656">
        <f>IF(M16656="","",'Master Barang'!A50)</f>
        <v>0</v>
      </c>
      <c r="O16656">
        <f>IF(N16656="","",'Master Barang'!B50)</f>
        <v>0</v>
      </c>
      <c r="P16656">
        <f>IF(OR(M16656="",N16656=""),"",SUMIFS('Barang Keluar'!$E:$E,'Barang Keluar'!$A:$A,M16656,'Barang Keluar'!$C:$C,N16656))</f>
        <v>0</v>
      </c>
    </row>
    <row r="16657" spans="13:16">
      <c r="M16657" s="49">
        <f>IF($A$4+166&gt;$B$4,"",$A$4+166)</f>
        <v>46189</v>
      </c>
      <c r="N16657">
        <f>IF(M16657="","",'Master Barang'!A51)</f>
        <v>0</v>
      </c>
      <c r="O16657">
        <f>IF(N16657="","",'Master Barang'!B51)</f>
        <v>0</v>
      </c>
      <c r="P16657">
        <f>IF(OR(M16657="",N16657=""),"",SUMIFS('Barang Keluar'!$E:$E,'Barang Keluar'!$A:$A,M16657,'Barang Keluar'!$C:$C,N16657))</f>
        <v>0</v>
      </c>
    </row>
    <row r="16658" spans="13:16">
      <c r="M16658" s="49">
        <f>IF($A$4+166&gt;$B$4,"",$A$4+166)</f>
        <v>46189</v>
      </c>
      <c r="N16658">
        <f>IF(M16658="","",'Master Barang'!A52)</f>
        <v>0</v>
      </c>
      <c r="O16658">
        <f>IF(N16658="","",'Master Barang'!B52)</f>
        <v>0</v>
      </c>
      <c r="P16658">
        <f>IF(OR(M16658="",N16658=""),"",SUMIFS('Barang Keluar'!$E:$E,'Barang Keluar'!$A:$A,M16658,'Barang Keluar'!$C:$C,N16658))</f>
        <v>0</v>
      </c>
    </row>
    <row r="16659" spans="13:16">
      <c r="M16659" s="49">
        <f>IF($A$4+166&gt;$B$4,"",$A$4+166)</f>
        <v>46189</v>
      </c>
      <c r="N16659">
        <f>IF(M16659="","",'Master Barang'!A53)</f>
        <v>0</v>
      </c>
      <c r="O16659">
        <f>IF(N16659="","",'Master Barang'!B53)</f>
        <v>0</v>
      </c>
      <c r="P16659">
        <f>IF(OR(M16659="",N16659=""),"",SUMIFS('Barang Keluar'!$E:$E,'Barang Keluar'!$A:$A,M16659,'Barang Keluar'!$C:$C,N16659))</f>
        <v>0</v>
      </c>
    </row>
    <row r="16660" spans="13:16">
      <c r="M16660" s="49">
        <f>IF($A$4+166&gt;$B$4,"",$A$4+166)</f>
        <v>46189</v>
      </c>
      <c r="N16660">
        <f>IF(M16660="","",'Master Barang'!A54)</f>
        <v>0</v>
      </c>
      <c r="O16660">
        <f>IF(N16660="","",'Master Barang'!B54)</f>
        <v>0</v>
      </c>
      <c r="P16660">
        <f>IF(OR(M16660="",N16660=""),"",SUMIFS('Barang Keluar'!$E:$E,'Barang Keluar'!$A:$A,M16660,'Barang Keluar'!$C:$C,N16660))</f>
        <v>0</v>
      </c>
    </row>
    <row r="16661" spans="13:16">
      <c r="M16661" s="49">
        <f>IF($A$4+166&gt;$B$4,"",$A$4+166)</f>
        <v>46189</v>
      </c>
      <c r="N16661">
        <f>IF(M16661="","",'Master Barang'!A55)</f>
        <v>0</v>
      </c>
      <c r="O16661">
        <f>IF(N16661="","",'Master Barang'!B55)</f>
        <v>0</v>
      </c>
      <c r="P16661">
        <f>IF(OR(M16661="",N16661=""),"",SUMIFS('Barang Keluar'!$E:$E,'Barang Keluar'!$A:$A,M16661,'Barang Keluar'!$C:$C,N16661))</f>
        <v>0</v>
      </c>
    </row>
    <row r="16662" spans="13:16">
      <c r="M16662" s="49">
        <f>IF($A$4+166&gt;$B$4,"",$A$4+166)</f>
        <v>46189</v>
      </c>
      <c r="N16662">
        <f>IF(M16662="","",'Master Barang'!A56)</f>
        <v>0</v>
      </c>
      <c r="O16662">
        <f>IF(N16662="","",'Master Barang'!B56)</f>
        <v>0</v>
      </c>
      <c r="P16662">
        <f>IF(OR(M16662="",N16662=""),"",SUMIFS('Barang Keluar'!$E:$E,'Barang Keluar'!$A:$A,M16662,'Barang Keluar'!$C:$C,N16662))</f>
        <v>0</v>
      </c>
    </row>
    <row r="16663" spans="13:16">
      <c r="M16663" s="49">
        <f>IF($A$4+166&gt;$B$4,"",$A$4+166)</f>
        <v>46189</v>
      </c>
      <c r="N16663">
        <f>IF(M16663="","",'Master Barang'!A57)</f>
        <v>0</v>
      </c>
      <c r="O16663">
        <f>IF(N16663="","",'Master Barang'!B57)</f>
        <v>0</v>
      </c>
      <c r="P16663">
        <f>IF(OR(M16663="",N16663=""),"",SUMIFS('Barang Keluar'!$E:$E,'Barang Keluar'!$A:$A,M16663,'Barang Keluar'!$C:$C,N16663))</f>
        <v>0</v>
      </c>
    </row>
    <row r="16664" spans="13:16">
      <c r="M16664" s="49">
        <f>IF($A$4+166&gt;$B$4,"",$A$4+166)</f>
        <v>46189</v>
      </c>
      <c r="N16664">
        <f>IF(M16664="","",'Master Barang'!A58)</f>
        <v>0</v>
      </c>
      <c r="O16664">
        <f>IF(N16664="","",'Master Barang'!B58)</f>
        <v>0</v>
      </c>
      <c r="P16664">
        <f>IF(OR(M16664="",N16664=""),"",SUMIFS('Barang Keluar'!$E:$E,'Barang Keluar'!$A:$A,M16664,'Barang Keluar'!$C:$C,N16664))</f>
        <v>0</v>
      </c>
    </row>
    <row r="16665" spans="13:16">
      <c r="M16665" s="49">
        <f>IF($A$4+166&gt;$B$4,"",$A$4+166)</f>
        <v>46189</v>
      </c>
      <c r="N16665">
        <f>IF(M16665="","",'Master Barang'!A59)</f>
        <v>0</v>
      </c>
      <c r="O16665">
        <f>IF(N16665="","",'Master Barang'!B59)</f>
        <v>0</v>
      </c>
      <c r="P16665">
        <f>IF(OR(M16665="",N16665=""),"",SUMIFS('Barang Keluar'!$E:$E,'Barang Keluar'!$A:$A,M16665,'Barang Keluar'!$C:$C,N16665))</f>
        <v>0</v>
      </c>
    </row>
    <row r="16666" spans="13:16">
      <c r="M16666" s="49">
        <f>IF($A$4+166&gt;$B$4,"",$A$4+166)</f>
        <v>46189</v>
      </c>
      <c r="N16666">
        <f>IF(M16666="","",'Master Barang'!A60)</f>
        <v>0</v>
      </c>
      <c r="O16666">
        <f>IF(N16666="","",'Master Barang'!B60)</f>
        <v>0</v>
      </c>
      <c r="P16666">
        <f>IF(OR(M16666="",N16666=""),"",SUMIFS('Barang Keluar'!$E:$E,'Barang Keluar'!$A:$A,M16666,'Barang Keluar'!$C:$C,N16666))</f>
        <v>0</v>
      </c>
    </row>
    <row r="16667" spans="13:16">
      <c r="M16667" s="49">
        <f>IF($A$4+166&gt;$B$4,"",$A$4+166)</f>
        <v>46189</v>
      </c>
      <c r="N16667">
        <f>IF(M16667="","",'Master Barang'!A61)</f>
        <v>0</v>
      </c>
      <c r="O16667">
        <f>IF(N16667="","",'Master Barang'!B61)</f>
        <v>0</v>
      </c>
      <c r="P16667">
        <f>IF(OR(M16667="",N16667=""),"",SUMIFS('Barang Keluar'!$E:$E,'Barang Keluar'!$A:$A,M16667,'Barang Keluar'!$C:$C,N16667))</f>
        <v>0</v>
      </c>
    </row>
    <row r="16668" spans="13:16">
      <c r="M16668" s="49">
        <f>IF($A$4+166&gt;$B$4,"",$A$4+166)</f>
        <v>46189</v>
      </c>
      <c r="N16668">
        <f>IF(M16668="","",'Master Barang'!A62)</f>
        <v>0</v>
      </c>
      <c r="O16668">
        <f>IF(N16668="","",'Master Barang'!B62)</f>
        <v>0</v>
      </c>
      <c r="P16668">
        <f>IF(OR(M16668="",N16668=""),"",SUMIFS('Barang Keluar'!$E:$E,'Barang Keluar'!$A:$A,M16668,'Barang Keluar'!$C:$C,N16668))</f>
        <v>0</v>
      </c>
    </row>
    <row r="16669" spans="13:16">
      <c r="M16669" s="49">
        <f>IF($A$4+166&gt;$B$4,"",$A$4+166)</f>
        <v>46189</v>
      </c>
      <c r="N16669">
        <f>IF(M16669="","",'Master Barang'!A63)</f>
        <v>0</v>
      </c>
      <c r="O16669">
        <f>IF(N16669="","",'Master Barang'!B63)</f>
        <v>0</v>
      </c>
      <c r="P16669">
        <f>IF(OR(M16669="",N16669=""),"",SUMIFS('Barang Keluar'!$E:$E,'Barang Keluar'!$A:$A,M16669,'Barang Keluar'!$C:$C,N16669))</f>
        <v>0</v>
      </c>
    </row>
    <row r="16670" spans="13:16">
      <c r="M16670" s="49">
        <f>IF($A$4+166&gt;$B$4,"",$A$4+166)</f>
        <v>46189</v>
      </c>
      <c r="N16670">
        <f>IF(M16670="","",'Master Barang'!A64)</f>
        <v>0</v>
      </c>
      <c r="O16670">
        <f>IF(N16670="","",'Master Barang'!B64)</f>
        <v>0</v>
      </c>
      <c r="P16670">
        <f>IF(OR(M16670="",N16670=""),"",SUMIFS('Barang Keluar'!$E:$E,'Barang Keluar'!$A:$A,M16670,'Barang Keluar'!$C:$C,N16670))</f>
        <v>0</v>
      </c>
    </row>
    <row r="16671" spans="13:16">
      <c r="M16671" s="49">
        <f>IF($A$4+166&gt;$B$4,"",$A$4+166)</f>
        <v>46189</v>
      </c>
      <c r="N16671">
        <f>IF(M16671="","",'Master Barang'!A65)</f>
        <v>0</v>
      </c>
      <c r="O16671">
        <f>IF(N16671="","",'Master Barang'!B65)</f>
        <v>0</v>
      </c>
      <c r="P16671">
        <f>IF(OR(M16671="",N16671=""),"",SUMIFS('Barang Keluar'!$E:$E,'Barang Keluar'!$A:$A,M16671,'Barang Keluar'!$C:$C,N16671))</f>
        <v>0</v>
      </c>
    </row>
    <row r="16672" spans="13:16">
      <c r="M16672" s="49">
        <f>IF($A$4+166&gt;$B$4,"",$A$4+166)</f>
        <v>46189</v>
      </c>
      <c r="N16672">
        <f>IF(M16672="","",'Master Barang'!A66)</f>
        <v>0</v>
      </c>
      <c r="O16672">
        <f>IF(N16672="","",'Master Barang'!B66)</f>
        <v>0</v>
      </c>
      <c r="P16672">
        <f>IF(OR(M16672="",N16672=""),"",SUMIFS('Barang Keluar'!$E:$E,'Barang Keluar'!$A:$A,M16672,'Barang Keluar'!$C:$C,N16672))</f>
        <v>0</v>
      </c>
    </row>
    <row r="16673" spans="13:16">
      <c r="M16673" s="49">
        <f>IF($A$4+166&gt;$B$4,"",$A$4+166)</f>
        <v>46189</v>
      </c>
      <c r="N16673">
        <f>IF(M16673="","",'Master Barang'!A67)</f>
        <v>0</v>
      </c>
      <c r="O16673">
        <f>IF(N16673="","",'Master Barang'!B67)</f>
        <v>0</v>
      </c>
      <c r="P16673">
        <f>IF(OR(M16673="",N16673=""),"",SUMIFS('Barang Keluar'!$E:$E,'Barang Keluar'!$A:$A,M16673,'Barang Keluar'!$C:$C,N16673))</f>
        <v>0</v>
      </c>
    </row>
    <row r="16674" spans="13:16">
      <c r="M16674" s="49">
        <f>IF($A$4+166&gt;$B$4,"",$A$4+166)</f>
        <v>46189</v>
      </c>
      <c r="N16674">
        <f>IF(M16674="","",'Master Barang'!A68)</f>
        <v>0</v>
      </c>
      <c r="O16674">
        <f>IF(N16674="","",'Master Barang'!B68)</f>
        <v>0</v>
      </c>
      <c r="P16674">
        <f>IF(OR(M16674="",N16674=""),"",SUMIFS('Barang Keluar'!$E:$E,'Barang Keluar'!$A:$A,M16674,'Barang Keluar'!$C:$C,N16674))</f>
        <v>0</v>
      </c>
    </row>
    <row r="16675" spans="13:16">
      <c r="M16675" s="49">
        <f>IF($A$4+166&gt;$B$4,"",$A$4+166)</f>
        <v>46189</v>
      </c>
      <c r="N16675">
        <f>IF(M16675="","",'Master Barang'!A69)</f>
        <v>0</v>
      </c>
      <c r="O16675">
        <f>IF(N16675="","",'Master Barang'!B69)</f>
        <v>0</v>
      </c>
      <c r="P16675">
        <f>IF(OR(M16675="",N16675=""),"",SUMIFS('Barang Keluar'!$E:$E,'Barang Keluar'!$A:$A,M16675,'Barang Keluar'!$C:$C,N16675))</f>
        <v>0</v>
      </c>
    </row>
    <row r="16676" spans="13:16">
      <c r="M16676" s="49">
        <f>IF($A$4+166&gt;$B$4,"",$A$4+166)</f>
        <v>46189</v>
      </c>
      <c r="N16676">
        <f>IF(M16676="","",'Master Barang'!A70)</f>
        <v>0</v>
      </c>
      <c r="O16676">
        <f>IF(N16676="","",'Master Barang'!B70)</f>
        <v>0</v>
      </c>
      <c r="P16676">
        <f>IF(OR(M16676="",N16676=""),"",SUMIFS('Barang Keluar'!$E:$E,'Barang Keluar'!$A:$A,M16676,'Barang Keluar'!$C:$C,N16676))</f>
        <v>0</v>
      </c>
    </row>
    <row r="16677" spans="13:16">
      <c r="M16677" s="49">
        <f>IF($A$4+166&gt;$B$4,"",$A$4+166)</f>
        <v>46189</v>
      </c>
      <c r="N16677">
        <f>IF(M16677="","",'Master Barang'!A71)</f>
        <v>0</v>
      </c>
      <c r="O16677">
        <f>IF(N16677="","",'Master Barang'!B71)</f>
        <v>0</v>
      </c>
      <c r="P16677">
        <f>IF(OR(M16677="",N16677=""),"",SUMIFS('Barang Keluar'!$E:$E,'Barang Keluar'!$A:$A,M16677,'Barang Keluar'!$C:$C,N16677))</f>
        <v>0</v>
      </c>
    </row>
    <row r="16678" spans="13:16">
      <c r="M16678" s="49">
        <f>IF($A$4+166&gt;$B$4,"",$A$4+166)</f>
        <v>46189</v>
      </c>
      <c r="N16678">
        <f>IF(M16678="","",'Master Barang'!A72)</f>
        <v>0</v>
      </c>
      <c r="O16678">
        <f>IF(N16678="","",'Master Barang'!B72)</f>
        <v>0</v>
      </c>
      <c r="P16678">
        <f>IF(OR(M16678="",N16678=""),"",SUMIFS('Barang Keluar'!$E:$E,'Barang Keluar'!$A:$A,M16678,'Barang Keluar'!$C:$C,N16678))</f>
        <v>0</v>
      </c>
    </row>
    <row r="16679" spans="13:16">
      <c r="M16679" s="49">
        <f>IF($A$4+166&gt;$B$4,"",$A$4+166)</f>
        <v>46189</v>
      </c>
      <c r="N16679">
        <f>IF(M16679="","",'Master Barang'!A73)</f>
        <v>0</v>
      </c>
      <c r="O16679">
        <f>IF(N16679="","",'Master Barang'!B73)</f>
        <v>0</v>
      </c>
      <c r="P16679">
        <f>IF(OR(M16679="",N16679=""),"",SUMIFS('Barang Keluar'!$E:$E,'Barang Keluar'!$A:$A,M16679,'Barang Keluar'!$C:$C,N16679))</f>
        <v>0</v>
      </c>
    </row>
    <row r="16680" spans="13:16">
      <c r="M16680" s="49">
        <f>IF($A$4+166&gt;$B$4,"",$A$4+166)</f>
        <v>46189</v>
      </c>
      <c r="N16680">
        <f>IF(M16680="","",'Master Barang'!A74)</f>
        <v>0</v>
      </c>
      <c r="O16680">
        <f>IF(N16680="","",'Master Barang'!B74)</f>
        <v>0</v>
      </c>
      <c r="P16680">
        <f>IF(OR(M16680="",N16680=""),"",SUMIFS('Barang Keluar'!$E:$E,'Barang Keluar'!$A:$A,M16680,'Barang Keluar'!$C:$C,N16680))</f>
        <v>0</v>
      </c>
    </row>
    <row r="16681" spans="13:16">
      <c r="M16681" s="49">
        <f>IF($A$4+166&gt;$B$4,"",$A$4+166)</f>
        <v>46189</v>
      </c>
      <c r="N16681">
        <f>IF(M16681="","",'Master Barang'!A75)</f>
        <v>0</v>
      </c>
      <c r="O16681">
        <f>IF(N16681="","",'Master Barang'!B75)</f>
        <v>0</v>
      </c>
      <c r="P16681">
        <f>IF(OR(M16681="",N16681=""),"",SUMIFS('Barang Keluar'!$E:$E,'Barang Keluar'!$A:$A,M16681,'Barang Keluar'!$C:$C,N16681))</f>
        <v>0</v>
      </c>
    </row>
    <row r="16682" spans="13:16">
      <c r="M16682" s="49">
        <f>IF($A$4+166&gt;$B$4,"",$A$4+166)</f>
        <v>46189</v>
      </c>
      <c r="N16682">
        <f>IF(M16682="","",'Master Barang'!A76)</f>
        <v>0</v>
      </c>
      <c r="O16682">
        <f>IF(N16682="","",'Master Barang'!B76)</f>
        <v>0</v>
      </c>
      <c r="P16682">
        <f>IF(OR(M16682="",N16682=""),"",SUMIFS('Barang Keluar'!$E:$E,'Barang Keluar'!$A:$A,M16682,'Barang Keluar'!$C:$C,N16682))</f>
        <v>0</v>
      </c>
    </row>
    <row r="16683" spans="13:16">
      <c r="M16683" s="49">
        <f>IF($A$4+166&gt;$B$4,"",$A$4+166)</f>
        <v>46189</v>
      </c>
      <c r="N16683">
        <f>IF(M16683="","",'Master Barang'!A77)</f>
        <v>0</v>
      </c>
      <c r="O16683">
        <f>IF(N16683="","",'Master Barang'!B77)</f>
        <v>0</v>
      </c>
      <c r="P16683">
        <f>IF(OR(M16683="",N16683=""),"",SUMIFS('Barang Keluar'!$E:$E,'Barang Keluar'!$A:$A,M16683,'Barang Keluar'!$C:$C,N16683))</f>
        <v>0</v>
      </c>
    </row>
    <row r="16684" spans="13:16">
      <c r="M16684" s="49">
        <f>IF($A$4+166&gt;$B$4,"",$A$4+166)</f>
        <v>46189</v>
      </c>
      <c r="N16684">
        <f>IF(M16684="","",'Master Barang'!A78)</f>
        <v>0</v>
      </c>
      <c r="O16684">
        <f>IF(N16684="","",'Master Barang'!B78)</f>
        <v>0</v>
      </c>
      <c r="P16684">
        <f>IF(OR(M16684="",N16684=""),"",SUMIFS('Barang Keluar'!$E:$E,'Barang Keluar'!$A:$A,M16684,'Barang Keluar'!$C:$C,N16684))</f>
        <v>0</v>
      </c>
    </row>
    <row r="16685" spans="13:16">
      <c r="M16685" s="49">
        <f>IF($A$4+166&gt;$B$4,"",$A$4+166)</f>
        <v>46189</v>
      </c>
      <c r="N16685">
        <f>IF(M16685="","",'Master Barang'!A79)</f>
        <v>0</v>
      </c>
      <c r="O16685">
        <f>IF(N16685="","",'Master Barang'!B79)</f>
        <v>0</v>
      </c>
      <c r="P16685">
        <f>IF(OR(M16685="",N16685=""),"",SUMIFS('Barang Keluar'!$E:$E,'Barang Keluar'!$A:$A,M16685,'Barang Keluar'!$C:$C,N16685))</f>
        <v>0</v>
      </c>
    </row>
    <row r="16686" spans="13:16">
      <c r="M16686" s="49">
        <f>IF($A$4+166&gt;$B$4,"",$A$4+166)</f>
        <v>46189</v>
      </c>
      <c r="N16686">
        <f>IF(M16686="","",'Master Barang'!A80)</f>
        <v>0</v>
      </c>
      <c r="O16686">
        <f>IF(N16686="","",'Master Barang'!B80)</f>
        <v>0</v>
      </c>
      <c r="P16686">
        <f>IF(OR(M16686="",N16686=""),"",SUMIFS('Barang Keluar'!$E:$E,'Barang Keluar'!$A:$A,M16686,'Barang Keluar'!$C:$C,N16686))</f>
        <v>0</v>
      </c>
    </row>
    <row r="16687" spans="13:16">
      <c r="M16687" s="49">
        <f>IF($A$4+166&gt;$B$4,"",$A$4+166)</f>
        <v>46189</v>
      </c>
      <c r="N16687">
        <f>IF(M16687="","",'Master Barang'!A81)</f>
        <v>0</v>
      </c>
      <c r="O16687">
        <f>IF(N16687="","",'Master Barang'!B81)</f>
        <v>0</v>
      </c>
      <c r="P16687">
        <f>IF(OR(M16687="",N16687=""),"",SUMIFS('Barang Keluar'!$E:$E,'Barang Keluar'!$A:$A,M16687,'Barang Keluar'!$C:$C,N16687))</f>
        <v>0</v>
      </c>
    </row>
    <row r="16688" spans="13:16">
      <c r="M16688" s="49">
        <f>IF($A$4+166&gt;$B$4,"",$A$4+166)</f>
        <v>46189</v>
      </c>
      <c r="N16688">
        <f>IF(M16688="","",'Master Barang'!A82)</f>
        <v>0</v>
      </c>
      <c r="O16688">
        <f>IF(N16688="","",'Master Barang'!B82)</f>
        <v>0</v>
      </c>
      <c r="P16688">
        <f>IF(OR(M16688="",N16688=""),"",SUMIFS('Barang Keluar'!$E:$E,'Barang Keluar'!$A:$A,M16688,'Barang Keluar'!$C:$C,N16688))</f>
        <v>0</v>
      </c>
    </row>
    <row r="16689" spans="13:16">
      <c r="M16689" s="49">
        <f>IF($A$4+166&gt;$B$4,"",$A$4+166)</f>
        <v>46189</v>
      </c>
      <c r="N16689">
        <f>IF(M16689="","",'Master Barang'!A83)</f>
        <v>0</v>
      </c>
      <c r="O16689">
        <f>IF(N16689="","",'Master Barang'!B83)</f>
        <v>0</v>
      </c>
      <c r="P16689">
        <f>IF(OR(M16689="",N16689=""),"",SUMIFS('Barang Keluar'!$E:$E,'Barang Keluar'!$A:$A,M16689,'Barang Keluar'!$C:$C,N16689))</f>
        <v>0</v>
      </c>
    </row>
    <row r="16690" spans="13:16">
      <c r="M16690" s="49">
        <f>IF($A$4+166&gt;$B$4,"",$A$4+166)</f>
        <v>46189</v>
      </c>
      <c r="N16690">
        <f>IF(M16690="","",'Master Barang'!A84)</f>
        <v>0</v>
      </c>
      <c r="O16690">
        <f>IF(N16690="","",'Master Barang'!B84)</f>
        <v>0</v>
      </c>
      <c r="P16690">
        <f>IF(OR(M16690="",N16690=""),"",SUMIFS('Barang Keluar'!$E:$E,'Barang Keluar'!$A:$A,M16690,'Barang Keluar'!$C:$C,N16690))</f>
        <v>0</v>
      </c>
    </row>
    <row r="16691" spans="13:16">
      <c r="M16691" s="49">
        <f>IF($A$4+166&gt;$B$4,"",$A$4+166)</f>
        <v>46189</v>
      </c>
      <c r="N16691">
        <f>IF(M16691="","",'Master Barang'!A85)</f>
        <v>0</v>
      </c>
      <c r="O16691">
        <f>IF(N16691="","",'Master Barang'!B85)</f>
        <v>0</v>
      </c>
      <c r="P16691">
        <f>IF(OR(M16691="",N16691=""),"",SUMIFS('Barang Keluar'!$E:$E,'Barang Keluar'!$A:$A,M16691,'Barang Keluar'!$C:$C,N16691))</f>
        <v>0</v>
      </c>
    </row>
    <row r="16692" spans="13:16">
      <c r="M16692" s="49">
        <f>IF($A$4+166&gt;$B$4,"",$A$4+166)</f>
        <v>46189</v>
      </c>
      <c r="N16692">
        <f>IF(M16692="","",'Master Barang'!A86)</f>
        <v>0</v>
      </c>
      <c r="O16692">
        <f>IF(N16692="","",'Master Barang'!B86)</f>
        <v>0</v>
      </c>
      <c r="P16692">
        <f>IF(OR(M16692="",N16692=""),"",SUMIFS('Barang Keluar'!$E:$E,'Barang Keluar'!$A:$A,M16692,'Barang Keluar'!$C:$C,N16692))</f>
        <v>0</v>
      </c>
    </row>
    <row r="16693" spans="13:16">
      <c r="M16693" s="49">
        <f>IF($A$4+166&gt;$B$4,"",$A$4+166)</f>
        <v>46189</v>
      </c>
      <c r="N16693">
        <f>IF(M16693="","",'Master Barang'!A87)</f>
        <v>0</v>
      </c>
      <c r="O16693">
        <f>IF(N16693="","",'Master Barang'!B87)</f>
        <v>0</v>
      </c>
      <c r="P16693">
        <f>IF(OR(M16693="",N16693=""),"",SUMIFS('Barang Keluar'!$E:$E,'Barang Keluar'!$A:$A,M16693,'Barang Keluar'!$C:$C,N16693))</f>
        <v>0</v>
      </c>
    </row>
    <row r="16694" spans="13:16">
      <c r="M16694" s="49">
        <f>IF($A$4+166&gt;$B$4,"",$A$4+166)</f>
        <v>46189</v>
      </c>
      <c r="N16694">
        <f>IF(M16694="","",'Master Barang'!A88)</f>
        <v>0</v>
      </c>
      <c r="O16694">
        <f>IF(N16694="","",'Master Barang'!B88)</f>
        <v>0</v>
      </c>
      <c r="P16694">
        <f>IF(OR(M16694="",N16694=""),"",SUMIFS('Barang Keluar'!$E:$E,'Barang Keluar'!$A:$A,M16694,'Barang Keluar'!$C:$C,N16694))</f>
        <v>0</v>
      </c>
    </row>
    <row r="16695" spans="13:16">
      <c r="M16695" s="49">
        <f>IF($A$4+166&gt;$B$4,"",$A$4+166)</f>
        <v>46189</v>
      </c>
      <c r="N16695">
        <f>IF(M16695="","",'Master Barang'!A89)</f>
        <v>0</v>
      </c>
      <c r="O16695">
        <f>IF(N16695="","",'Master Barang'!B89)</f>
        <v>0</v>
      </c>
      <c r="P16695">
        <f>IF(OR(M16695="",N16695=""),"",SUMIFS('Barang Keluar'!$E:$E,'Barang Keluar'!$A:$A,M16695,'Barang Keluar'!$C:$C,N16695))</f>
        <v>0</v>
      </c>
    </row>
    <row r="16696" spans="13:16">
      <c r="M16696" s="49">
        <f>IF($A$4+166&gt;$B$4,"",$A$4+166)</f>
        <v>46189</v>
      </c>
      <c r="N16696">
        <f>IF(M16696="","",'Master Barang'!A90)</f>
        <v>0</v>
      </c>
      <c r="O16696">
        <f>IF(N16696="","",'Master Barang'!B90)</f>
        <v>0</v>
      </c>
      <c r="P16696">
        <f>IF(OR(M16696="",N16696=""),"",SUMIFS('Barang Keluar'!$E:$E,'Barang Keluar'!$A:$A,M16696,'Barang Keluar'!$C:$C,N16696))</f>
        <v>0</v>
      </c>
    </row>
    <row r="16697" spans="13:16">
      <c r="M16697" s="49">
        <f>IF($A$4+166&gt;$B$4,"",$A$4+166)</f>
        <v>46189</v>
      </c>
      <c r="N16697">
        <f>IF(M16697="","",'Master Barang'!A91)</f>
        <v>0</v>
      </c>
      <c r="O16697">
        <f>IF(N16697="","",'Master Barang'!B91)</f>
        <v>0</v>
      </c>
      <c r="P16697">
        <f>IF(OR(M16697="",N16697=""),"",SUMIFS('Barang Keluar'!$E:$E,'Barang Keluar'!$A:$A,M16697,'Barang Keluar'!$C:$C,N16697))</f>
        <v>0</v>
      </c>
    </row>
    <row r="16698" spans="13:16">
      <c r="M16698" s="49">
        <f>IF($A$4+166&gt;$B$4,"",$A$4+166)</f>
        <v>46189</v>
      </c>
      <c r="N16698">
        <f>IF(M16698="","",'Master Barang'!A92)</f>
        <v>0</v>
      </c>
      <c r="O16698">
        <f>IF(N16698="","",'Master Barang'!B92)</f>
        <v>0</v>
      </c>
      <c r="P16698">
        <f>IF(OR(M16698="",N16698=""),"",SUMIFS('Barang Keluar'!$E:$E,'Barang Keluar'!$A:$A,M16698,'Barang Keluar'!$C:$C,N16698))</f>
        <v>0</v>
      </c>
    </row>
    <row r="16699" spans="13:16">
      <c r="M16699" s="49">
        <f>IF($A$4+166&gt;$B$4,"",$A$4+166)</f>
        <v>46189</v>
      </c>
      <c r="N16699">
        <f>IF(M16699="","",'Master Barang'!A93)</f>
        <v>0</v>
      </c>
      <c r="O16699">
        <f>IF(N16699="","",'Master Barang'!B93)</f>
        <v>0</v>
      </c>
      <c r="P16699">
        <f>IF(OR(M16699="",N16699=""),"",SUMIFS('Barang Keluar'!$E:$E,'Barang Keluar'!$A:$A,M16699,'Barang Keluar'!$C:$C,N16699))</f>
        <v>0</v>
      </c>
    </row>
    <row r="16700" spans="13:16">
      <c r="M16700" s="49">
        <f>IF($A$4+166&gt;$B$4,"",$A$4+166)</f>
        <v>46189</v>
      </c>
      <c r="N16700">
        <f>IF(M16700="","",'Master Barang'!A94)</f>
        <v>0</v>
      </c>
      <c r="O16700">
        <f>IF(N16700="","",'Master Barang'!B94)</f>
        <v>0</v>
      </c>
      <c r="P16700">
        <f>IF(OR(M16700="",N16700=""),"",SUMIFS('Barang Keluar'!$E:$E,'Barang Keluar'!$A:$A,M16700,'Barang Keluar'!$C:$C,N16700))</f>
        <v>0</v>
      </c>
    </row>
    <row r="16701" spans="13:16">
      <c r="M16701" s="49">
        <f>IF($A$4+166&gt;$B$4,"",$A$4+166)</f>
        <v>46189</v>
      </c>
      <c r="N16701">
        <f>IF(M16701="","",'Master Barang'!A95)</f>
        <v>0</v>
      </c>
      <c r="O16701">
        <f>IF(N16701="","",'Master Barang'!B95)</f>
        <v>0</v>
      </c>
      <c r="P16701">
        <f>IF(OR(M16701="",N16701=""),"",SUMIFS('Barang Keluar'!$E:$E,'Barang Keluar'!$A:$A,M16701,'Barang Keluar'!$C:$C,N16701))</f>
        <v>0</v>
      </c>
    </row>
    <row r="16702" spans="13:16">
      <c r="M16702" s="49">
        <f>IF($A$4+166&gt;$B$4,"",$A$4+166)</f>
        <v>46189</v>
      </c>
      <c r="N16702">
        <f>IF(M16702="","",'Master Barang'!A96)</f>
        <v>0</v>
      </c>
      <c r="O16702">
        <f>IF(N16702="","",'Master Barang'!B96)</f>
        <v>0</v>
      </c>
      <c r="P16702">
        <f>IF(OR(M16702="",N16702=""),"",SUMIFS('Barang Keluar'!$E:$E,'Barang Keluar'!$A:$A,M16702,'Barang Keluar'!$C:$C,N16702))</f>
        <v>0</v>
      </c>
    </row>
    <row r="16703" spans="13:16">
      <c r="M16703" s="49">
        <f>IF($A$4+166&gt;$B$4,"",$A$4+166)</f>
        <v>46189</v>
      </c>
      <c r="N16703">
        <f>IF(M16703="","",'Master Barang'!A97)</f>
        <v>0</v>
      </c>
      <c r="O16703">
        <f>IF(N16703="","",'Master Barang'!B97)</f>
        <v>0</v>
      </c>
      <c r="P16703">
        <f>IF(OR(M16703="",N16703=""),"",SUMIFS('Barang Keluar'!$E:$E,'Barang Keluar'!$A:$A,M16703,'Barang Keluar'!$C:$C,N16703))</f>
        <v>0</v>
      </c>
    </row>
    <row r="16704" spans="13:16">
      <c r="M16704" s="49">
        <f>IF($A$4+166&gt;$B$4,"",$A$4+166)</f>
        <v>46189</v>
      </c>
      <c r="N16704">
        <f>IF(M16704="","",'Master Barang'!A98)</f>
        <v>0</v>
      </c>
      <c r="O16704">
        <f>IF(N16704="","",'Master Barang'!B98)</f>
        <v>0</v>
      </c>
      <c r="P16704">
        <f>IF(OR(M16704="",N16704=""),"",SUMIFS('Barang Keluar'!$E:$E,'Barang Keluar'!$A:$A,M16704,'Barang Keluar'!$C:$C,N16704))</f>
        <v>0</v>
      </c>
    </row>
    <row r="16705" spans="13:16">
      <c r="M16705" s="49">
        <f>IF($A$4+166&gt;$B$4,"",$A$4+166)</f>
        <v>46189</v>
      </c>
      <c r="N16705">
        <f>IF(M16705="","",'Master Barang'!A99)</f>
        <v>0</v>
      </c>
      <c r="O16705">
        <f>IF(N16705="","",'Master Barang'!B99)</f>
        <v>0</v>
      </c>
      <c r="P16705">
        <f>IF(OR(M16705="",N16705=""),"",SUMIFS('Barang Keluar'!$E:$E,'Barang Keluar'!$A:$A,M16705,'Barang Keluar'!$C:$C,N16705))</f>
        <v>0</v>
      </c>
    </row>
    <row r="16706" spans="13:16">
      <c r="M16706" s="49">
        <f>IF($A$4+166&gt;$B$4,"",$A$4+166)</f>
        <v>46189</v>
      </c>
      <c r="N16706">
        <f>IF(M16706="","",'Master Barang'!A100)</f>
        <v>0</v>
      </c>
      <c r="O16706">
        <f>IF(N16706="","",'Master Barang'!B100)</f>
        <v>0</v>
      </c>
      <c r="P16706">
        <f>IF(OR(M16706="",N16706=""),"",SUMIFS('Barang Keluar'!$E:$E,'Barang Keluar'!$A:$A,M16706,'Barang Keluar'!$C:$C,N16706))</f>
        <v>0</v>
      </c>
    </row>
    <row r="16707" spans="13:16">
      <c r="M16707" s="49">
        <f>IF($A$4+166&gt;$B$4,"",$A$4+166)</f>
        <v>46189</v>
      </c>
      <c r="N16707">
        <f>IF(M16707="","",'Master Barang'!A101)</f>
        <v>0</v>
      </c>
      <c r="O16707">
        <f>IF(N16707="","",'Master Barang'!B101)</f>
        <v>0</v>
      </c>
      <c r="P16707">
        <f>IF(OR(M16707="",N16707=""),"",SUMIFS('Barang Keluar'!$E:$E,'Barang Keluar'!$A:$A,M16707,'Barang Keluar'!$C:$C,N16707))</f>
        <v>0</v>
      </c>
    </row>
    <row r="16708" spans="13:16">
      <c r="M16708" s="49">
        <f>IF($A$4+167&gt;$B$4,"",$A$4+167)</f>
        <v>46190</v>
      </c>
      <c r="N16708" t="str">
        <f>IF(M16708="","",'Master Barang'!A2)</f>
        <v>PRL-001</v>
      </c>
      <c r="O16708" t="str">
        <f>IF(N16708="","",'Master Barang'!B2)</f>
        <v>natura desinfectant food grade 5l</v>
      </c>
      <c r="P16708">
        <f>IF(OR(M16708="",N16708=""),"",SUMIFS('Barang Keluar'!$E:$E,'Barang Keluar'!$A:$A,M16708,'Barang Keluar'!$C:$C,N16708))</f>
        <v>0</v>
      </c>
    </row>
    <row r="16709" spans="13:16">
      <c r="M16709" s="49">
        <f>IF($A$4+167&gt;$B$4,"",$A$4+167)</f>
        <v>46190</v>
      </c>
      <c r="N16709" t="str">
        <f>IF(M16709="","",'Master Barang'!A3)</f>
        <v>PRL-002</v>
      </c>
      <c r="O16709" t="str">
        <f>IF(N16709="","",'Master Barang'!B3)</f>
        <v>sunlight cairan pencuci piring 5l</v>
      </c>
      <c r="P16709">
        <f>IF(OR(M16709="",N16709=""),"",SUMIFS('Barang Keluar'!$E:$E,'Barang Keluar'!$A:$A,M16709,'Barang Keluar'!$C:$C,N16709))</f>
        <v>0</v>
      </c>
    </row>
    <row r="16710" spans="13:16">
      <c r="M16710" s="49">
        <f>IF($A$4+167&gt;$B$4,"",$A$4+167)</f>
        <v>46190</v>
      </c>
      <c r="N16710" t="str">
        <f>IF(M16710="","",'Master Barang'!A4)</f>
        <v>PRL-003</v>
      </c>
      <c r="O16710" t="str">
        <f>IF(N16710="","",'Master Barang'!B4)</f>
        <v>oixs cleaner 1l</v>
      </c>
      <c r="P16710">
        <f>IF(OR(M16710="",N16710=""),"",SUMIFS('Barang Keluar'!$E:$E,'Barang Keluar'!$A:$A,M16710,'Barang Keluar'!$C:$C,N16710))</f>
        <v>0</v>
      </c>
    </row>
    <row r="16711" spans="13:16">
      <c r="M16711" s="49">
        <f>IF($A$4+167&gt;$B$4,"",$A$4+167)</f>
        <v>46190</v>
      </c>
      <c r="N16711" t="str">
        <f>IF(M16711="","",'Master Barang'!A5)</f>
        <v>PRL-004</v>
      </c>
      <c r="O16711" t="str">
        <f>IF(N16711="","",'Master Barang'!B5)</f>
        <v>be clean tissue serbaguna</v>
      </c>
      <c r="P16711">
        <f>IF(OR(M16711="",N16711=""),"",SUMIFS('Barang Keluar'!$E:$E,'Barang Keluar'!$A:$A,M16711,'Barang Keluar'!$C:$C,N16711))</f>
        <v>0</v>
      </c>
    </row>
    <row r="16712" spans="13:16">
      <c r="M16712" s="49">
        <f>IF($A$4+167&gt;$B$4,"",$A$4+167)</f>
        <v>46190</v>
      </c>
      <c r="N16712" t="str">
        <f>IF(M16712="","",'Master Barang'!A6)</f>
        <v>PRL-005</v>
      </c>
      <c r="O16712" t="str">
        <f>IF(N16712="","",'Master Barang'!B6)</f>
        <v>spons cuci hijau</v>
      </c>
      <c r="P16712">
        <f>IF(OR(M16712="",N16712=""),"",SUMIFS('Barang Keluar'!$E:$E,'Barang Keluar'!$A:$A,M16712,'Barang Keluar'!$C:$C,N16712))</f>
        <v>0</v>
      </c>
    </row>
    <row r="16713" spans="13:16">
      <c r="M16713" s="49">
        <f>IF($A$4+167&gt;$B$4,"",$A$4+167)</f>
        <v>46190</v>
      </c>
      <c r="N16713" t="str">
        <f>IF(M16713="","",'Master Barang'!A7)</f>
        <v>PRL-006</v>
      </c>
      <c r="O16713" t="str">
        <f>IF(N16713="","",'Master Barang'!B7)</f>
        <v>sabut cuci stainless</v>
      </c>
      <c r="P16713">
        <f>IF(OR(M16713="",N16713=""),"",SUMIFS('Barang Keluar'!$E:$E,'Barang Keluar'!$A:$A,M16713,'Barang Keluar'!$C:$C,N16713))</f>
        <v>0</v>
      </c>
    </row>
    <row r="16714" spans="13:16">
      <c r="M16714" s="49">
        <f>IF($A$4+167&gt;$B$4,"",$A$4+167)</f>
        <v>46190</v>
      </c>
      <c r="N16714" t="str">
        <f>IF(M16714="","",'Master Barang'!A8)</f>
        <v>PRL-007</v>
      </c>
      <c r="O16714" t="str">
        <f>IF(N16714="","",'Master Barang'!B8)</f>
        <v>plastik kresek besar merah 50pc</v>
      </c>
      <c r="P16714">
        <f>IF(OR(M16714="",N16714=""),"",SUMIFS('Barang Keluar'!$E:$E,'Barang Keluar'!$A:$A,M16714,'Barang Keluar'!$C:$C,N16714))</f>
        <v>0</v>
      </c>
    </row>
    <row r="16715" spans="13:16">
      <c r="M16715" s="49">
        <f>IF($A$4+167&gt;$B$4,"",$A$4+167)</f>
        <v>46190</v>
      </c>
      <c r="N16715" t="str">
        <f>IF(M16715="","",'Master Barang'!A9)</f>
        <v>PRL-008</v>
      </c>
      <c r="O16715" t="str">
        <f>IF(N16715="","",'Master Barang'!B9)</f>
        <v>lap besar</v>
      </c>
      <c r="P16715">
        <f>IF(OR(M16715="",N16715=""),"",SUMIFS('Barang Keluar'!$E:$E,'Barang Keluar'!$A:$A,M16715,'Barang Keluar'!$C:$C,N16715))</f>
        <v>0</v>
      </c>
    </row>
    <row r="16716" spans="13:16">
      <c r="M16716" s="49">
        <f>IF($A$4+167&gt;$B$4,"",$A$4+167)</f>
        <v>46190</v>
      </c>
      <c r="N16716" t="str">
        <f>IF(M16716="","",'Master Barang'!A10)</f>
        <v>PRL-009</v>
      </c>
      <c r="O16716" t="str">
        <f>IF(N16716="","",'Master Barang'!B10)</f>
        <v>lap microfiber</v>
      </c>
      <c r="P16716">
        <f>IF(OR(M16716="",N16716=""),"",SUMIFS('Barang Keluar'!$E:$E,'Barang Keluar'!$A:$A,M16716,'Barang Keluar'!$C:$C,N16716))</f>
        <v>0</v>
      </c>
    </row>
    <row r="16717" spans="13:16">
      <c r="M16717" s="49">
        <f>IF($A$4+167&gt;$B$4,"",$A$4+167)</f>
        <v>46190</v>
      </c>
      <c r="N16717" t="str">
        <f>IF(M16717="","",'Master Barang'!A11)</f>
        <v>PRL-010</v>
      </c>
      <c r="O16717" t="str">
        <f>IF(N16717="","",'Master Barang'!B11)</f>
        <v>lap kecil</v>
      </c>
      <c r="P16717">
        <f>IF(OR(M16717="",N16717=""),"",SUMIFS('Barang Keluar'!$E:$E,'Barang Keluar'!$A:$A,M16717,'Barang Keluar'!$C:$C,N16717))</f>
        <v>0</v>
      </c>
    </row>
    <row r="16718" spans="13:16">
      <c r="M16718" s="49">
        <f>IF($A$4+167&gt;$B$4,"",$A$4+167)</f>
        <v>46190</v>
      </c>
      <c r="N16718" t="str">
        <f>IF(M16718="","",'Master Barang'!A12)</f>
        <v>PRL-011</v>
      </c>
      <c r="O16718" t="str">
        <f>IF(N16718="","",'Master Barang'!B12)</f>
        <v>kanebo kecil</v>
      </c>
      <c r="P16718">
        <f>IF(OR(M16718="",N16718=""),"",SUMIFS('Barang Keluar'!$E:$E,'Barang Keluar'!$A:$A,M16718,'Barang Keluar'!$C:$C,N16718))</f>
        <v>0</v>
      </c>
    </row>
    <row r="16719" spans="13:16">
      <c r="M16719" s="49">
        <f>IF($A$4+167&gt;$B$4,"",$A$4+167)</f>
        <v>46190</v>
      </c>
      <c r="N16719" t="str">
        <f>IF(M16719="","",'Master Barang'!A13)</f>
        <v>PRL-012</v>
      </c>
      <c r="O16719" t="str">
        <f>IF(N16719="","",'Master Barang'!B13)</f>
        <v>plastik 1/4kg joyoboyo 100 lembar</v>
      </c>
      <c r="P16719">
        <f>IF(OR(M16719="",N16719=""),"",SUMIFS('Barang Keluar'!$E:$E,'Barang Keluar'!$A:$A,M16719,'Barang Keluar'!$C:$C,N16719))</f>
        <v>0</v>
      </c>
    </row>
    <row r="16720" spans="13:16">
      <c r="M16720" s="49">
        <f>IF($A$4+167&gt;$B$4,"",$A$4+167)</f>
        <v>46190</v>
      </c>
      <c r="N16720" t="str">
        <f>IF(M16720="","",'Master Barang'!A14)</f>
        <v>PRL-013</v>
      </c>
      <c r="O16720" t="str">
        <f>IF(N16720="","",'Master Barang'!B14)</f>
        <v>sarung tangan plastik kaka 100 pcs</v>
      </c>
      <c r="P16720">
        <f>IF(OR(M16720="",N16720=""),"",SUMIFS('Barang Keluar'!$E:$E,'Barang Keluar'!$A:$A,M16720,'Barang Keluar'!$C:$C,N16720))</f>
        <v>0</v>
      </c>
    </row>
    <row r="16721" spans="13:16">
      <c r="M16721" s="49">
        <f>IF($A$4+167&gt;$B$4,"",$A$4+167)</f>
        <v>46190</v>
      </c>
      <c r="N16721" t="str">
        <f>IF(M16721="","",'Master Barang'!A15)</f>
        <v>PRL-014</v>
      </c>
      <c r="O16721" t="str">
        <f>IF(N16721="","",'Master Barang'!B15)</f>
        <v>optima trashbag 80x100</v>
      </c>
      <c r="P16721">
        <f>IF(OR(M16721="",N16721=""),"",SUMIFS('Barang Keluar'!$E:$E,'Barang Keluar'!$A:$A,M16721,'Barang Keluar'!$C:$C,N16721))</f>
        <v>0</v>
      </c>
    </row>
    <row r="16722" spans="13:16">
      <c r="M16722" s="49">
        <f>IF($A$4+167&gt;$B$4,"",$A$4+167)</f>
        <v>46190</v>
      </c>
      <c r="N16722" t="str">
        <f>IF(M16722="","",'Master Barang'!A16)</f>
        <v>PRL-015</v>
      </c>
      <c r="O16722" t="str">
        <f>IF(N16722="","",'Master Barang'!B16)</f>
        <v>optima trashbag 60x100</v>
      </c>
      <c r="P16722">
        <f>IF(OR(M16722="",N16722=""),"",SUMIFS('Barang Keluar'!$E:$E,'Barang Keluar'!$A:$A,M16722,'Barang Keluar'!$C:$C,N16722))</f>
        <v>0</v>
      </c>
    </row>
    <row r="16723" spans="13:16">
      <c r="M16723" s="49">
        <f>IF($A$4+167&gt;$B$4,"",$A$4+167)</f>
        <v>46190</v>
      </c>
      <c r="N16723" t="str">
        <f>IF(M16723="","",'Master Barang'!A17)</f>
        <v>PRL-016</v>
      </c>
      <c r="O16723" t="str">
        <f>IF(N16723="","",'Master Barang'!B17)</f>
        <v>rajawali trashbag 30x40</v>
      </c>
      <c r="P16723">
        <f>IF(OR(M16723="",N16723=""),"",SUMIFS('Barang Keluar'!$E:$E,'Barang Keluar'!$A:$A,M16723,'Barang Keluar'!$C:$C,N16723))</f>
        <v>0</v>
      </c>
    </row>
    <row r="16724" spans="13:16">
      <c r="M16724" s="49">
        <f>IF($A$4+167&gt;$B$4,"",$A$4+167)</f>
        <v>46190</v>
      </c>
      <c r="N16724" t="str">
        <f>IF(M16724="","",'Master Barang'!A18)</f>
        <v>PRL-017</v>
      </c>
      <c r="O16724" t="str">
        <f>IF(N16724="","",'Master Barang'!B18)</f>
        <v>onemed masker biru 3 play 50 pcs</v>
      </c>
      <c r="P16724">
        <f>IF(OR(M16724="",N16724=""),"",SUMIFS('Barang Keluar'!$E:$E,'Barang Keluar'!$A:$A,M16724,'Barang Keluar'!$C:$C,N16724))</f>
        <v>0</v>
      </c>
    </row>
    <row r="16725" spans="13:16">
      <c r="M16725" s="49">
        <f>IF($A$4+167&gt;$B$4,"",$A$4+167)</f>
        <v>46190</v>
      </c>
      <c r="N16725" t="str">
        <f>IF(M16725="","",'Master Barang'!A19)</f>
        <v>PRL-018</v>
      </c>
      <c r="O16725" t="str">
        <f>IF(N16725="","",'Master Barang'!B19)</f>
        <v>onemed masker biru 3 play hijab 50 pcs</v>
      </c>
      <c r="P16725">
        <f>IF(OR(M16725="",N16725=""),"",SUMIFS('Barang Keluar'!$E:$E,'Barang Keluar'!$A:$A,M16725,'Barang Keluar'!$C:$C,N16725))</f>
        <v>0</v>
      </c>
    </row>
    <row r="16726" spans="13:16">
      <c r="M16726" s="49">
        <f>IF($A$4+167&gt;$B$4,"",$A$4+167)</f>
        <v>46190</v>
      </c>
      <c r="N16726" t="str">
        <f>IF(M16726="","",'Master Barang'!A20)</f>
        <v>PRL-019</v>
      </c>
      <c r="O16726" t="str">
        <f>IF(N16726="","",'Master Barang'!B20)</f>
        <v>neo health masker biru 3 play 50 pcs</v>
      </c>
      <c r="P16726">
        <f>IF(OR(M16726="",N16726=""),"",SUMIFS('Barang Keluar'!$E:$E,'Barang Keluar'!$A:$A,M16726,'Barang Keluar'!$C:$C,N16726))</f>
        <v>0</v>
      </c>
    </row>
    <row r="16727" spans="13:16">
      <c r="M16727" s="49">
        <f>IF($A$4+167&gt;$B$4,"",$A$4+167)</f>
        <v>46190</v>
      </c>
      <c r="N16727" t="str">
        <f>IF(M16727="","",'Master Barang'!A21)</f>
        <v>PRL-020</v>
      </c>
      <c r="O16727" t="str">
        <f>IF(N16727="","",'Master Barang'!B21)</f>
        <v>baymed masker hijau 3 play hijau 50 pcs</v>
      </c>
      <c r="P16727">
        <f>IF(OR(M16727="",N16727=""),"",SUMIFS('Barang Keluar'!$E:$E,'Barang Keluar'!$A:$A,M16727,'Barang Keluar'!$C:$C,N16727))</f>
        <v>0</v>
      </c>
    </row>
    <row r="16728" spans="13:16">
      <c r="M16728" s="49">
        <f>IF($A$4+167&gt;$B$4,"",$A$4+167)</f>
        <v>46190</v>
      </c>
      <c r="N16728" t="str">
        <f>IF(M16728="","",'Master Barang'!A22)</f>
        <v>PRL-021</v>
      </c>
      <c r="O16728" t="str">
        <f>IF(N16728="","",'Master Barang'!B22)</f>
        <v>altamed nurse cap penutup kepala 100 pcs</v>
      </c>
      <c r="P16728">
        <f>IF(OR(M16728="",N16728=""),"",SUMIFS('Barang Keluar'!$E:$E,'Barang Keluar'!$A:$A,M16728,'Barang Keluar'!$C:$C,N16728))</f>
        <v>0</v>
      </c>
    </row>
    <row r="16729" spans="13:16">
      <c r="M16729" s="49">
        <f>IF($A$4+167&gt;$B$4,"",$A$4+167)</f>
        <v>46190</v>
      </c>
      <c r="N16729" t="str">
        <f>IF(M16729="","",'Master Barang'!A23)</f>
        <v>PRL-022</v>
      </c>
      <c r="O16729" t="str">
        <f>IF(N16729="","",'Master Barang'!B23)</f>
        <v>sabun cuci tangan</v>
      </c>
      <c r="P16729">
        <f>IF(OR(M16729="",N16729=""),"",SUMIFS('Barang Keluar'!$E:$E,'Barang Keluar'!$A:$A,M16729,'Barang Keluar'!$C:$C,N16729))</f>
        <v>0</v>
      </c>
    </row>
    <row r="16730" spans="13:16">
      <c r="M16730" s="49">
        <f>IF($A$4+167&gt;$B$4,"",$A$4+167)</f>
        <v>46190</v>
      </c>
      <c r="N16730" t="str">
        <f>IF(M16730="","",'Master Barang'!A24)</f>
        <v>PRL-023</v>
      </c>
      <c r="O16730" t="str">
        <f>IF(N16730="","",'Master Barang'!B24)</f>
        <v>gayung kecil</v>
      </c>
      <c r="P16730">
        <f>IF(OR(M16730="",N16730=""),"",SUMIFS('Barang Keluar'!$E:$E,'Barang Keluar'!$A:$A,M16730,'Barang Keluar'!$C:$C,N16730))</f>
        <v>0</v>
      </c>
    </row>
    <row r="16731" spans="13:16">
      <c r="M16731" s="49">
        <f>IF($A$4+167&gt;$B$4,"",$A$4+167)</f>
        <v>46190</v>
      </c>
      <c r="N16731" t="str">
        <f>IF(M16731="","",'Master Barang'!A25)</f>
        <v>PRL-024</v>
      </c>
      <c r="O16731" t="str">
        <f>IF(N16731="","",'Master Barang'!B25)</f>
        <v>cikrak kecil</v>
      </c>
      <c r="P16731">
        <f>IF(OR(M16731="",N16731=""),"",SUMIFS('Barang Keluar'!$E:$E,'Barang Keluar'!$A:$A,M16731,'Barang Keluar'!$C:$C,N16731))</f>
        <v>0</v>
      </c>
    </row>
    <row r="16732" spans="13:16">
      <c r="M16732" s="49">
        <f>IF($A$4+167&gt;$B$4,"",$A$4+167)</f>
        <v>46190</v>
      </c>
      <c r="N16732" t="str">
        <f>IF(M16732="","",'Master Barang'!A26)</f>
        <v>PRL-025</v>
      </c>
      <c r="O16732" t="str">
        <f>IF(N16732="","",'Master Barang'!B26)</f>
        <v>petromax plastik kecil 12x24 100 lembar</v>
      </c>
      <c r="P16732">
        <f>IF(OR(M16732="",N16732=""),"",SUMIFS('Barang Keluar'!$E:$E,'Barang Keluar'!$A:$A,M16732,'Barang Keluar'!$C:$C,N16732))</f>
        <v>0</v>
      </c>
    </row>
    <row r="16733" spans="13:16">
      <c r="M16733" s="49">
        <f>IF($A$4+167&gt;$B$4,"",$A$4+167)</f>
        <v>46190</v>
      </c>
      <c r="N16733" t="str">
        <f>IF(M16733="","",'Master Barang'!A27)</f>
        <v>PRL-026</v>
      </c>
      <c r="O16733" t="str">
        <f>IF(N16733="","",'Master Barang'!B27)</f>
        <v>lancar kresek kecil bening </v>
      </c>
      <c r="P16733">
        <f>IF(OR(M16733="",N16733=""),"",SUMIFS('Barang Keluar'!$E:$E,'Barang Keluar'!$A:$A,M16733,'Barang Keluar'!$C:$C,N16733))</f>
        <v>0</v>
      </c>
    </row>
    <row r="16734" spans="13:16">
      <c r="M16734" s="49">
        <f>IF($A$4+167&gt;$B$4,"",$A$4+167)</f>
        <v>46190</v>
      </c>
      <c r="N16734" t="str">
        <f>IF(M16734="","",'Master Barang'!A28)</f>
        <v>PRL-027</v>
      </c>
      <c r="O16734" t="str">
        <f>IF(N16734="","",'Master Barang'!B28)</f>
        <v>kresek klin warna warni kecil</v>
      </c>
      <c r="P16734">
        <f>IF(OR(M16734="",N16734=""),"",SUMIFS('Barang Keluar'!$E:$E,'Barang Keluar'!$A:$A,M16734,'Barang Keluar'!$C:$C,N16734))</f>
        <v>0</v>
      </c>
    </row>
    <row r="16735" spans="13:16">
      <c r="M16735" s="49">
        <f>IF($A$4+167&gt;$B$4,"",$A$4+167)</f>
        <v>46190</v>
      </c>
      <c r="N16735" t="str">
        <f>IF(M16735="","",'Master Barang'!A29)</f>
        <v>PRL-028</v>
      </c>
      <c r="O16735" t="str">
        <f>IF(N16735="","",'Master Barang'!B29)</f>
        <v>ctik plastik 7x10 100 pcs</v>
      </c>
      <c r="P16735">
        <f>IF(OR(M16735="",N16735=""),"",SUMIFS('Barang Keluar'!$E:$E,'Barang Keluar'!$A:$A,M16735,'Barang Keluar'!$C:$C,N16735))</f>
        <v>0</v>
      </c>
    </row>
    <row r="16736" spans="13:16">
      <c r="M16736" s="49">
        <f>IF($A$4+167&gt;$B$4,"",$A$4+167)</f>
        <v>46190</v>
      </c>
      <c r="N16736" t="str">
        <f>IF(M16736="","",'Master Barang'!A30)</f>
        <v>PRL-029</v>
      </c>
      <c r="O16736" t="str">
        <f>IF(N16736="","",'Master Barang'!B30)</f>
        <v>ctik plastik 6x10 100 pcs</v>
      </c>
      <c r="P16736">
        <f>IF(OR(M16736="",N16736=""),"",SUMIFS('Barang Keluar'!$E:$E,'Barang Keluar'!$A:$A,M16736,'Barang Keluar'!$C:$C,N16736))</f>
        <v>0</v>
      </c>
    </row>
    <row r="16737" spans="13:16">
      <c r="M16737" s="49">
        <f>IF($A$4+167&gt;$B$4,"",$A$4+167)</f>
        <v>46190</v>
      </c>
      <c r="N16737" t="str">
        <f>IF(M16737="","",'Master Barang'!A31)</f>
        <v>PRL-030</v>
      </c>
      <c r="O16737" t="str">
        <f>IF(N16737="","",'Master Barang'!B31)</f>
        <v>klip plastik 25x16 100 pcs</v>
      </c>
      <c r="P16737">
        <f>IF(OR(M16737="",N16737=""),"",SUMIFS('Barang Keluar'!$E:$E,'Barang Keluar'!$A:$A,M16737,'Barang Keluar'!$C:$C,N16737))</f>
        <v>0</v>
      </c>
    </row>
    <row r="16738" spans="13:16">
      <c r="M16738" s="49">
        <f>IF($A$4+167&gt;$B$4,"",$A$4+167)</f>
        <v>46190</v>
      </c>
      <c r="N16738" t="str">
        <f>IF(M16738="","",'Master Barang'!A32)</f>
        <v>PRL-031</v>
      </c>
      <c r="O16738" t="str">
        <f>IF(N16738="","",'Master Barang'!B32)</f>
        <v>tempat saus 20 ml</v>
      </c>
      <c r="P16738">
        <f>IF(OR(M16738="",N16738=""),"",SUMIFS('Barang Keluar'!$E:$E,'Barang Keluar'!$A:$A,M16738,'Barang Keluar'!$C:$C,N16738))</f>
        <v>0</v>
      </c>
    </row>
    <row r="16739" spans="13:16">
      <c r="M16739" s="49">
        <f>IF($A$4+167&gt;$B$4,"",$A$4+167)</f>
        <v>46190</v>
      </c>
      <c r="N16739" t="str">
        <f>IF(M16739="","",'Master Barang'!A33)</f>
        <v>PRL-032</v>
      </c>
      <c r="O16739" t="str">
        <f>IF(N16739="","",'Master Barang'!B33)</f>
        <v>plastik packaging ag box uk sedang</v>
      </c>
      <c r="P16739">
        <f>IF(OR(M16739="",N16739=""),"",SUMIFS('Barang Keluar'!$E:$E,'Barang Keluar'!$A:$A,M16739,'Barang Keluar'!$C:$C,N16739))</f>
        <v>0</v>
      </c>
    </row>
    <row r="16740" spans="13:16">
      <c r="M16740" s="49">
        <f>IF($A$4+167&gt;$B$4,"",$A$4+167)</f>
        <v>46190</v>
      </c>
      <c r="N16740" t="str">
        <f>IF(M16740="","",'Master Barang'!A34)</f>
        <v>PRL-033</v>
      </c>
      <c r="O16740">
        <f>IF(N16740="","",'Master Barang'!B34)</f>
        <v>0</v>
      </c>
      <c r="P16740">
        <f>IF(OR(M16740="",N16740=""),"",SUMIFS('Barang Keluar'!$E:$E,'Barang Keluar'!$A:$A,M16740,'Barang Keluar'!$C:$C,N16740))</f>
        <v>0</v>
      </c>
    </row>
    <row r="16741" spans="13:16">
      <c r="M16741" s="49">
        <f>IF($A$4+167&gt;$B$4,"",$A$4+167)</f>
        <v>46190</v>
      </c>
      <c r="N16741">
        <f>IF(M16741="","",'Master Barang'!A35)</f>
        <v>0</v>
      </c>
      <c r="O16741">
        <f>IF(N16741="","",'Master Barang'!B35)</f>
        <v>0</v>
      </c>
      <c r="P16741">
        <f>IF(OR(M16741="",N16741=""),"",SUMIFS('Barang Keluar'!$E:$E,'Barang Keluar'!$A:$A,M16741,'Barang Keluar'!$C:$C,N16741))</f>
        <v>0</v>
      </c>
    </row>
    <row r="16742" spans="13:16">
      <c r="M16742" s="49">
        <f>IF($A$4+167&gt;$B$4,"",$A$4+167)</f>
        <v>46190</v>
      </c>
      <c r="N16742">
        <f>IF(M16742="","",'Master Barang'!A36)</f>
        <v>0</v>
      </c>
      <c r="O16742">
        <f>IF(N16742="","",'Master Barang'!B36)</f>
        <v>0</v>
      </c>
      <c r="P16742">
        <f>IF(OR(M16742="",N16742=""),"",SUMIFS('Barang Keluar'!$E:$E,'Barang Keluar'!$A:$A,M16742,'Barang Keluar'!$C:$C,N16742))</f>
        <v>0</v>
      </c>
    </row>
    <row r="16743" spans="13:16">
      <c r="M16743" s="49">
        <f>IF($A$4+167&gt;$B$4,"",$A$4+167)</f>
        <v>46190</v>
      </c>
      <c r="N16743">
        <f>IF(M16743="","",'Master Barang'!A37)</f>
        <v>0</v>
      </c>
      <c r="O16743">
        <f>IF(N16743="","",'Master Barang'!B37)</f>
        <v>0</v>
      </c>
      <c r="P16743">
        <f>IF(OR(M16743="",N16743=""),"",SUMIFS('Barang Keluar'!$E:$E,'Barang Keluar'!$A:$A,M16743,'Barang Keluar'!$C:$C,N16743))</f>
        <v>0</v>
      </c>
    </row>
    <row r="16744" spans="13:16">
      <c r="M16744" s="49">
        <f>IF($A$4+167&gt;$B$4,"",$A$4+167)</f>
        <v>46190</v>
      </c>
      <c r="N16744">
        <f>IF(M16744="","",'Master Barang'!A38)</f>
        <v>0</v>
      </c>
      <c r="O16744">
        <f>IF(N16744="","",'Master Barang'!B38)</f>
        <v>0</v>
      </c>
      <c r="P16744">
        <f>IF(OR(M16744="",N16744=""),"",SUMIFS('Barang Keluar'!$E:$E,'Barang Keluar'!$A:$A,M16744,'Barang Keluar'!$C:$C,N16744))</f>
        <v>0</v>
      </c>
    </row>
    <row r="16745" spans="13:16">
      <c r="M16745" s="49">
        <f>IF($A$4+167&gt;$B$4,"",$A$4+167)</f>
        <v>46190</v>
      </c>
      <c r="N16745">
        <f>IF(M16745="","",'Master Barang'!A39)</f>
        <v>0</v>
      </c>
      <c r="O16745">
        <f>IF(N16745="","",'Master Barang'!B39)</f>
        <v>0</v>
      </c>
      <c r="P16745">
        <f>IF(OR(M16745="",N16745=""),"",SUMIFS('Barang Keluar'!$E:$E,'Barang Keluar'!$A:$A,M16745,'Barang Keluar'!$C:$C,N16745))</f>
        <v>0</v>
      </c>
    </row>
    <row r="16746" spans="13:16">
      <c r="M16746" s="49">
        <f>IF($A$4+167&gt;$B$4,"",$A$4+167)</f>
        <v>46190</v>
      </c>
      <c r="N16746">
        <f>IF(M16746="","",'Master Barang'!A40)</f>
        <v>0</v>
      </c>
      <c r="O16746">
        <f>IF(N16746="","",'Master Barang'!B40)</f>
        <v>0</v>
      </c>
      <c r="P16746">
        <f>IF(OR(M16746="",N16746=""),"",SUMIFS('Barang Keluar'!$E:$E,'Barang Keluar'!$A:$A,M16746,'Barang Keluar'!$C:$C,N16746))</f>
        <v>0</v>
      </c>
    </row>
    <row r="16747" spans="13:16">
      <c r="M16747" s="49">
        <f>IF($A$4+167&gt;$B$4,"",$A$4+167)</f>
        <v>46190</v>
      </c>
      <c r="N16747">
        <f>IF(M16747="","",'Master Barang'!A41)</f>
        <v>0</v>
      </c>
      <c r="O16747">
        <f>IF(N16747="","",'Master Barang'!B41)</f>
        <v>0</v>
      </c>
      <c r="P16747">
        <f>IF(OR(M16747="",N16747=""),"",SUMIFS('Barang Keluar'!$E:$E,'Barang Keluar'!$A:$A,M16747,'Barang Keluar'!$C:$C,N16747))</f>
        <v>0</v>
      </c>
    </row>
    <row r="16748" spans="13:16">
      <c r="M16748" s="49">
        <f>IF($A$4+167&gt;$B$4,"",$A$4+167)</f>
        <v>46190</v>
      </c>
      <c r="N16748">
        <f>IF(M16748="","",'Master Barang'!A42)</f>
        <v>0</v>
      </c>
      <c r="O16748">
        <f>IF(N16748="","",'Master Barang'!B42)</f>
        <v>0</v>
      </c>
      <c r="P16748">
        <f>IF(OR(M16748="",N16748=""),"",SUMIFS('Barang Keluar'!$E:$E,'Barang Keluar'!$A:$A,M16748,'Barang Keluar'!$C:$C,N16748))</f>
        <v>0</v>
      </c>
    </row>
    <row r="16749" spans="13:16">
      <c r="M16749" s="49">
        <f>IF($A$4+167&gt;$B$4,"",$A$4+167)</f>
        <v>46190</v>
      </c>
      <c r="N16749">
        <f>IF(M16749="","",'Master Barang'!A43)</f>
        <v>0</v>
      </c>
      <c r="O16749">
        <f>IF(N16749="","",'Master Barang'!B43)</f>
        <v>0</v>
      </c>
      <c r="P16749">
        <f>IF(OR(M16749="",N16749=""),"",SUMIFS('Barang Keluar'!$E:$E,'Barang Keluar'!$A:$A,M16749,'Barang Keluar'!$C:$C,N16749))</f>
        <v>0</v>
      </c>
    </row>
    <row r="16750" spans="13:16">
      <c r="M16750" s="49">
        <f>IF($A$4+167&gt;$B$4,"",$A$4+167)</f>
        <v>46190</v>
      </c>
      <c r="N16750">
        <f>IF(M16750="","",'Master Barang'!A44)</f>
        <v>0</v>
      </c>
      <c r="O16750">
        <f>IF(N16750="","",'Master Barang'!B44)</f>
        <v>0</v>
      </c>
      <c r="P16750">
        <f>IF(OR(M16750="",N16750=""),"",SUMIFS('Barang Keluar'!$E:$E,'Barang Keluar'!$A:$A,M16750,'Barang Keluar'!$C:$C,N16750))</f>
        <v>0</v>
      </c>
    </row>
    <row r="16751" spans="13:16">
      <c r="M16751" s="49">
        <f>IF($A$4+167&gt;$B$4,"",$A$4+167)</f>
        <v>46190</v>
      </c>
      <c r="N16751">
        <f>IF(M16751="","",'Master Barang'!A45)</f>
        <v>0</v>
      </c>
      <c r="O16751">
        <f>IF(N16751="","",'Master Barang'!B45)</f>
        <v>0</v>
      </c>
      <c r="P16751">
        <f>IF(OR(M16751="",N16751=""),"",SUMIFS('Barang Keluar'!$E:$E,'Barang Keluar'!$A:$A,M16751,'Barang Keluar'!$C:$C,N16751))</f>
        <v>0</v>
      </c>
    </row>
    <row r="16752" spans="13:16">
      <c r="M16752" s="49">
        <f>IF($A$4+167&gt;$B$4,"",$A$4+167)</f>
        <v>46190</v>
      </c>
      <c r="N16752">
        <f>IF(M16752="","",'Master Barang'!A46)</f>
        <v>0</v>
      </c>
      <c r="O16752">
        <f>IF(N16752="","",'Master Barang'!B46)</f>
        <v>0</v>
      </c>
      <c r="P16752">
        <f>IF(OR(M16752="",N16752=""),"",SUMIFS('Barang Keluar'!$E:$E,'Barang Keluar'!$A:$A,M16752,'Barang Keluar'!$C:$C,N16752))</f>
        <v>0</v>
      </c>
    </row>
    <row r="16753" spans="13:16">
      <c r="M16753" s="49">
        <f>IF($A$4+167&gt;$B$4,"",$A$4+167)</f>
        <v>46190</v>
      </c>
      <c r="N16753">
        <f>IF(M16753="","",'Master Barang'!A47)</f>
        <v>0</v>
      </c>
      <c r="O16753">
        <f>IF(N16753="","",'Master Barang'!B47)</f>
        <v>0</v>
      </c>
      <c r="P16753">
        <f>IF(OR(M16753="",N16753=""),"",SUMIFS('Barang Keluar'!$E:$E,'Barang Keluar'!$A:$A,M16753,'Barang Keluar'!$C:$C,N16753))</f>
        <v>0</v>
      </c>
    </row>
    <row r="16754" spans="13:16">
      <c r="M16754" s="49">
        <f>IF($A$4+167&gt;$B$4,"",$A$4+167)</f>
        <v>46190</v>
      </c>
      <c r="N16754">
        <f>IF(M16754="","",'Master Barang'!A48)</f>
        <v>0</v>
      </c>
      <c r="O16754">
        <f>IF(N16754="","",'Master Barang'!B48)</f>
        <v>0</v>
      </c>
      <c r="P16754">
        <f>IF(OR(M16754="",N16754=""),"",SUMIFS('Barang Keluar'!$E:$E,'Barang Keluar'!$A:$A,M16754,'Barang Keluar'!$C:$C,N16754))</f>
        <v>0</v>
      </c>
    </row>
    <row r="16755" spans="13:16">
      <c r="M16755" s="49">
        <f>IF($A$4+167&gt;$B$4,"",$A$4+167)</f>
        <v>46190</v>
      </c>
      <c r="N16755">
        <f>IF(M16755="","",'Master Barang'!A49)</f>
        <v>0</v>
      </c>
      <c r="O16755">
        <f>IF(N16755="","",'Master Barang'!B49)</f>
        <v>0</v>
      </c>
      <c r="P16755">
        <f>IF(OR(M16755="",N16755=""),"",SUMIFS('Barang Keluar'!$E:$E,'Barang Keluar'!$A:$A,M16755,'Barang Keluar'!$C:$C,N16755))</f>
        <v>0</v>
      </c>
    </row>
    <row r="16756" spans="13:16">
      <c r="M16756" s="49">
        <f>IF($A$4+167&gt;$B$4,"",$A$4+167)</f>
        <v>46190</v>
      </c>
      <c r="N16756">
        <f>IF(M16756="","",'Master Barang'!A50)</f>
        <v>0</v>
      </c>
      <c r="O16756">
        <f>IF(N16756="","",'Master Barang'!B50)</f>
        <v>0</v>
      </c>
      <c r="P16756">
        <f>IF(OR(M16756="",N16756=""),"",SUMIFS('Barang Keluar'!$E:$E,'Barang Keluar'!$A:$A,M16756,'Barang Keluar'!$C:$C,N16756))</f>
        <v>0</v>
      </c>
    </row>
    <row r="16757" spans="13:16">
      <c r="M16757" s="49">
        <f>IF($A$4+167&gt;$B$4,"",$A$4+167)</f>
        <v>46190</v>
      </c>
      <c r="N16757">
        <f>IF(M16757="","",'Master Barang'!A51)</f>
        <v>0</v>
      </c>
      <c r="O16757">
        <f>IF(N16757="","",'Master Barang'!B51)</f>
        <v>0</v>
      </c>
      <c r="P16757">
        <f>IF(OR(M16757="",N16757=""),"",SUMIFS('Barang Keluar'!$E:$E,'Barang Keluar'!$A:$A,M16757,'Barang Keluar'!$C:$C,N16757))</f>
        <v>0</v>
      </c>
    </row>
    <row r="16758" spans="13:16">
      <c r="M16758" s="49">
        <f>IF($A$4+167&gt;$B$4,"",$A$4+167)</f>
        <v>46190</v>
      </c>
      <c r="N16758">
        <f>IF(M16758="","",'Master Barang'!A52)</f>
        <v>0</v>
      </c>
      <c r="O16758">
        <f>IF(N16758="","",'Master Barang'!B52)</f>
        <v>0</v>
      </c>
      <c r="P16758">
        <f>IF(OR(M16758="",N16758=""),"",SUMIFS('Barang Keluar'!$E:$E,'Barang Keluar'!$A:$A,M16758,'Barang Keluar'!$C:$C,N16758))</f>
        <v>0</v>
      </c>
    </row>
    <row r="16759" spans="13:16">
      <c r="M16759" s="49">
        <f>IF($A$4+167&gt;$B$4,"",$A$4+167)</f>
        <v>46190</v>
      </c>
      <c r="N16759">
        <f>IF(M16759="","",'Master Barang'!A53)</f>
        <v>0</v>
      </c>
      <c r="O16759">
        <f>IF(N16759="","",'Master Barang'!B53)</f>
        <v>0</v>
      </c>
      <c r="P16759">
        <f>IF(OR(M16759="",N16759=""),"",SUMIFS('Barang Keluar'!$E:$E,'Barang Keluar'!$A:$A,M16759,'Barang Keluar'!$C:$C,N16759))</f>
        <v>0</v>
      </c>
    </row>
    <row r="16760" spans="13:16">
      <c r="M16760" s="49">
        <f>IF($A$4+167&gt;$B$4,"",$A$4+167)</f>
        <v>46190</v>
      </c>
      <c r="N16760">
        <f>IF(M16760="","",'Master Barang'!A54)</f>
        <v>0</v>
      </c>
      <c r="O16760">
        <f>IF(N16760="","",'Master Barang'!B54)</f>
        <v>0</v>
      </c>
      <c r="P16760">
        <f>IF(OR(M16760="",N16760=""),"",SUMIFS('Barang Keluar'!$E:$E,'Barang Keluar'!$A:$A,M16760,'Barang Keluar'!$C:$C,N16760))</f>
        <v>0</v>
      </c>
    </row>
    <row r="16761" spans="13:16">
      <c r="M16761" s="49">
        <f>IF($A$4+167&gt;$B$4,"",$A$4+167)</f>
        <v>46190</v>
      </c>
      <c r="N16761">
        <f>IF(M16761="","",'Master Barang'!A55)</f>
        <v>0</v>
      </c>
      <c r="O16761">
        <f>IF(N16761="","",'Master Barang'!B55)</f>
        <v>0</v>
      </c>
      <c r="P16761">
        <f>IF(OR(M16761="",N16761=""),"",SUMIFS('Barang Keluar'!$E:$E,'Barang Keluar'!$A:$A,M16761,'Barang Keluar'!$C:$C,N16761))</f>
        <v>0</v>
      </c>
    </row>
    <row r="16762" spans="13:16">
      <c r="M16762" s="49">
        <f>IF($A$4+167&gt;$B$4,"",$A$4+167)</f>
        <v>46190</v>
      </c>
      <c r="N16762">
        <f>IF(M16762="","",'Master Barang'!A56)</f>
        <v>0</v>
      </c>
      <c r="O16762">
        <f>IF(N16762="","",'Master Barang'!B56)</f>
        <v>0</v>
      </c>
      <c r="P16762">
        <f>IF(OR(M16762="",N16762=""),"",SUMIFS('Barang Keluar'!$E:$E,'Barang Keluar'!$A:$A,M16762,'Barang Keluar'!$C:$C,N16762))</f>
        <v>0</v>
      </c>
    </row>
    <row r="16763" spans="13:16">
      <c r="M16763" s="49">
        <f>IF($A$4+167&gt;$B$4,"",$A$4+167)</f>
        <v>46190</v>
      </c>
      <c r="N16763">
        <f>IF(M16763="","",'Master Barang'!A57)</f>
        <v>0</v>
      </c>
      <c r="O16763">
        <f>IF(N16763="","",'Master Barang'!B57)</f>
        <v>0</v>
      </c>
      <c r="P16763">
        <f>IF(OR(M16763="",N16763=""),"",SUMIFS('Barang Keluar'!$E:$E,'Barang Keluar'!$A:$A,M16763,'Barang Keluar'!$C:$C,N16763))</f>
        <v>0</v>
      </c>
    </row>
    <row r="16764" spans="13:16">
      <c r="M16764" s="49">
        <f>IF($A$4+167&gt;$B$4,"",$A$4+167)</f>
        <v>46190</v>
      </c>
      <c r="N16764">
        <f>IF(M16764="","",'Master Barang'!A58)</f>
        <v>0</v>
      </c>
      <c r="O16764">
        <f>IF(N16764="","",'Master Barang'!B58)</f>
        <v>0</v>
      </c>
      <c r="P16764">
        <f>IF(OR(M16764="",N16764=""),"",SUMIFS('Barang Keluar'!$E:$E,'Barang Keluar'!$A:$A,M16764,'Barang Keluar'!$C:$C,N16764))</f>
        <v>0</v>
      </c>
    </row>
    <row r="16765" spans="13:16">
      <c r="M16765" s="49">
        <f>IF($A$4+167&gt;$B$4,"",$A$4+167)</f>
        <v>46190</v>
      </c>
      <c r="N16765">
        <f>IF(M16765="","",'Master Barang'!A59)</f>
        <v>0</v>
      </c>
      <c r="O16765">
        <f>IF(N16765="","",'Master Barang'!B59)</f>
        <v>0</v>
      </c>
      <c r="P16765">
        <f>IF(OR(M16765="",N16765=""),"",SUMIFS('Barang Keluar'!$E:$E,'Barang Keluar'!$A:$A,M16765,'Barang Keluar'!$C:$C,N16765))</f>
        <v>0</v>
      </c>
    </row>
    <row r="16766" spans="13:16">
      <c r="M16766" s="49">
        <f>IF($A$4+167&gt;$B$4,"",$A$4+167)</f>
        <v>46190</v>
      </c>
      <c r="N16766">
        <f>IF(M16766="","",'Master Barang'!A60)</f>
        <v>0</v>
      </c>
      <c r="O16766">
        <f>IF(N16766="","",'Master Barang'!B60)</f>
        <v>0</v>
      </c>
      <c r="P16766">
        <f>IF(OR(M16766="",N16766=""),"",SUMIFS('Barang Keluar'!$E:$E,'Barang Keluar'!$A:$A,M16766,'Barang Keluar'!$C:$C,N16766))</f>
        <v>0</v>
      </c>
    </row>
    <row r="16767" spans="13:16">
      <c r="M16767" s="49">
        <f>IF($A$4+167&gt;$B$4,"",$A$4+167)</f>
        <v>46190</v>
      </c>
      <c r="N16767">
        <f>IF(M16767="","",'Master Barang'!A61)</f>
        <v>0</v>
      </c>
      <c r="O16767">
        <f>IF(N16767="","",'Master Barang'!B61)</f>
        <v>0</v>
      </c>
      <c r="P16767">
        <f>IF(OR(M16767="",N16767=""),"",SUMIFS('Barang Keluar'!$E:$E,'Barang Keluar'!$A:$A,M16767,'Barang Keluar'!$C:$C,N16767))</f>
        <v>0</v>
      </c>
    </row>
    <row r="16768" spans="13:16">
      <c r="M16768" s="49">
        <f>IF($A$4+167&gt;$B$4,"",$A$4+167)</f>
        <v>46190</v>
      </c>
      <c r="N16768">
        <f>IF(M16768="","",'Master Barang'!A62)</f>
        <v>0</v>
      </c>
      <c r="O16768">
        <f>IF(N16768="","",'Master Barang'!B62)</f>
        <v>0</v>
      </c>
      <c r="P16768">
        <f>IF(OR(M16768="",N16768=""),"",SUMIFS('Barang Keluar'!$E:$E,'Barang Keluar'!$A:$A,M16768,'Barang Keluar'!$C:$C,N16768))</f>
        <v>0</v>
      </c>
    </row>
    <row r="16769" spans="13:16">
      <c r="M16769" s="49">
        <f>IF($A$4+167&gt;$B$4,"",$A$4+167)</f>
        <v>46190</v>
      </c>
      <c r="N16769">
        <f>IF(M16769="","",'Master Barang'!A63)</f>
        <v>0</v>
      </c>
      <c r="O16769">
        <f>IF(N16769="","",'Master Barang'!B63)</f>
        <v>0</v>
      </c>
      <c r="P16769">
        <f>IF(OR(M16769="",N16769=""),"",SUMIFS('Barang Keluar'!$E:$E,'Barang Keluar'!$A:$A,M16769,'Barang Keluar'!$C:$C,N16769))</f>
        <v>0</v>
      </c>
    </row>
    <row r="16770" spans="13:16">
      <c r="M16770" s="49">
        <f>IF($A$4+167&gt;$B$4,"",$A$4+167)</f>
        <v>46190</v>
      </c>
      <c r="N16770">
        <f>IF(M16770="","",'Master Barang'!A64)</f>
        <v>0</v>
      </c>
      <c r="O16770">
        <f>IF(N16770="","",'Master Barang'!B64)</f>
        <v>0</v>
      </c>
      <c r="P16770">
        <f>IF(OR(M16770="",N16770=""),"",SUMIFS('Barang Keluar'!$E:$E,'Barang Keluar'!$A:$A,M16770,'Barang Keluar'!$C:$C,N16770))</f>
        <v>0</v>
      </c>
    </row>
    <row r="16771" spans="13:16">
      <c r="M16771" s="49">
        <f>IF($A$4+167&gt;$B$4,"",$A$4+167)</f>
        <v>46190</v>
      </c>
      <c r="N16771">
        <f>IF(M16771="","",'Master Barang'!A65)</f>
        <v>0</v>
      </c>
      <c r="O16771">
        <f>IF(N16771="","",'Master Barang'!B65)</f>
        <v>0</v>
      </c>
      <c r="P16771">
        <f>IF(OR(M16771="",N16771=""),"",SUMIFS('Barang Keluar'!$E:$E,'Barang Keluar'!$A:$A,M16771,'Barang Keluar'!$C:$C,N16771))</f>
        <v>0</v>
      </c>
    </row>
    <row r="16772" spans="13:16">
      <c r="M16772" s="49">
        <f>IF($A$4+167&gt;$B$4,"",$A$4+167)</f>
        <v>46190</v>
      </c>
      <c r="N16772">
        <f>IF(M16772="","",'Master Barang'!A66)</f>
        <v>0</v>
      </c>
      <c r="O16772">
        <f>IF(N16772="","",'Master Barang'!B66)</f>
        <v>0</v>
      </c>
      <c r="P16772">
        <f>IF(OR(M16772="",N16772=""),"",SUMIFS('Barang Keluar'!$E:$E,'Barang Keluar'!$A:$A,M16772,'Barang Keluar'!$C:$C,N16772))</f>
        <v>0</v>
      </c>
    </row>
    <row r="16773" spans="13:16">
      <c r="M16773" s="49">
        <f>IF($A$4+167&gt;$B$4,"",$A$4+167)</f>
        <v>46190</v>
      </c>
      <c r="N16773">
        <f>IF(M16773="","",'Master Barang'!A67)</f>
        <v>0</v>
      </c>
      <c r="O16773">
        <f>IF(N16773="","",'Master Barang'!B67)</f>
        <v>0</v>
      </c>
      <c r="P16773">
        <f>IF(OR(M16773="",N16773=""),"",SUMIFS('Barang Keluar'!$E:$E,'Barang Keluar'!$A:$A,M16773,'Barang Keluar'!$C:$C,N16773))</f>
        <v>0</v>
      </c>
    </row>
    <row r="16774" spans="13:16">
      <c r="M16774" s="49">
        <f>IF($A$4+167&gt;$B$4,"",$A$4+167)</f>
        <v>46190</v>
      </c>
      <c r="N16774">
        <f>IF(M16774="","",'Master Barang'!A68)</f>
        <v>0</v>
      </c>
      <c r="O16774">
        <f>IF(N16774="","",'Master Barang'!B68)</f>
        <v>0</v>
      </c>
      <c r="P16774">
        <f>IF(OR(M16774="",N16774=""),"",SUMIFS('Barang Keluar'!$E:$E,'Barang Keluar'!$A:$A,M16774,'Barang Keluar'!$C:$C,N16774))</f>
        <v>0</v>
      </c>
    </row>
    <row r="16775" spans="13:16">
      <c r="M16775" s="49">
        <f>IF($A$4+167&gt;$B$4,"",$A$4+167)</f>
        <v>46190</v>
      </c>
      <c r="N16775">
        <f>IF(M16775="","",'Master Barang'!A69)</f>
        <v>0</v>
      </c>
      <c r="O16775">
        <f>IF(N16775="","",'Master Barang'!B69)</f>
        <v>0</v>
      </c>
      <c r="P16775">
        <f>IF(OR(M16775="",N16775=""),"",SUMIFS('Barang Keluar'!$E:$E,'Barang Keluar'!$A:$A,M16775,'Barang Keluar'!$C:$C,N16775))</f>
        <v>0</v>
      </c>
    </row>
    <row r="16776" spans="13:16">
      <c r="M16776" s="49">
        <f>IF($A$4+167&gt;$B$4,"",$A$4+167)</f>
        <v>46190</v>
      </c>
      <c r="N16776">
        <f>IF(M16776="","",'Master Barang'!A70)</f>
        <v>0</v>
      </c>
      <c r="O16776">
        <f>IF(N16776="","",'Master Barang'!B70)</f>
        <v>0</v>
      </c>
      <c r="P16776">
        <f>IF(OR(M16776="",N16776=""),"",SUMIFS('Barang Keluar'!$E:$E,'Barang Keluar'!$A:$A,M16776,'Barang Keluar'!$C:$C,N16776))</f>
        <v>0</v>
      </c>
    </row>
    <row r="16777" spans="13:16">
      <c r="M16777" s="49">
        <f>IF($A$4+167&gt;$B$4,"",$A$4+167)</f>
        <v>46190</v>
      </c>
      <c r="N16777">
        <f>IF(M16777="","",'Master Barang'!A71)</f>
        <v>0</v>
      </c>
      <c r="O16777">
        <f>IF(N16777="","",'Master Barang'!B71)</f>
        <v>0</v>
      </c>
      <c r="P16777">
        <f>IF(OR(M16777="",N16777=""),"",SUMIFS('Barang Keluar'!$E:$E,'Barang Keluar'!$A:$A,M16777,'Barang Keluar'!$C:$C,N16777))</f>
        <v>0</v>
      </c>
    </row>
    <row r="16778" spans="13:16">
      <c r="M16778" s="49">
        <f>IF($A$4+167&gt;$B$4,"",$A$4+167)</f>
        <v>46190</v>
      </c>
      <c r="N16778">
        <f>IF(M16778="","",'Master Barang'!A72)</f>
        <v>0</v>
      </c>
      <c r="O16778">
        <f>IF(N16778="","",'Master Barang'!B72)</f>
        <v>0</v>
      </c>
      <c r="P16778">
        <f>IF(OR(M16778="",N16778=""),"",SUMIFS('Barang Keluar'!$E:$E,'Barang Keluar'!$A:$A,M16778,'Barang Keluar'!$C:$C,N16778))</f>
        <v>0</v>
      </c>
    </row>
    <row r="16779" spans="13:16">
      <c r="M16779" s="49">
        <f>IF($A$4+167&gt;$B$4,"",$A$4+167)</f>
        <v>46190</v>
      </c>
      <c r="N16779">
        <f>IF(M16779="","",'Master Barang'!A73)</f>
        <v>0</v>
      </c>
      <c r="O16779">
        <f>IF(N16779="","",'Master Barang'!B73)</f>
        <v>0</v>
      </c>
      <c r="P16779">
        <f>IF(OR(M16779="",N16779=""),"",SUMIFS('Barang Keluar'!$E:$E,'Barang Keluar'!$A:$A,M16779,'Barang Keluar'!$C:$C,N16779))</f>
        <v>0</v>
      </c>
    </row>
    <row r="16780" spans="13:16">
      <c r="M16780" s="49">
        <f>IF($A$4+167&gt;$B$4,"",$A$4+167)</f>
        <v>46190</v>
      </c>
      <c r="N16780">
        <f>IF(M16780="","",'Master Barang'!A74)</f>
        <v>0</v>
      </c>
      <c r="O16780">
        <f>IF(N16780="","",'Master Barang'!B74)</f>
        <v>0</v>
      </c>
      <c r="P16780">
        <f>IF(OR(M16780="",N16780=""),"",SUMIFS('Barang Keluar'!$E:$E,'Barang Keluar'!$A:$A,M16780,'Barang Keluar'!$C:$C,N16780))</f>
        <v>0</v>
      </c>
    </row>
    <row r="16781" spans="13:16">
      <c r="M16781" s="49">
        <f>IF($A$4+167&gt;$B$4,"",$A$4+167)</f>
        <v>46190</v>
      </c>
      <c r="N16781">
        <f>IF(M16781="","",'Master Barang'!A75)</f>
        <v>0</v>
      </c>
      <c r="O16781">
        <f>IF(N16781="","",'Master Barang'!B75)</f>
        <v>0</v>
      </c>
      <c r="P16781">
        <f>IF(OR(M16781="",N16781=""),"",SUMIFS('Barang Keluar'!$E:$E,'Barang Keluar'!$A:$A,M16781,'Barang Keluar'!$C:$C,N16781))</f>
        <v>0</v>
      </c>
    </row>
    <row r="16782" spans="13:16">
      <c r="M16782" s="49">
        <f>IF($A$4+167&gt;$B$4,"",$A$4+167)</f>
        <v>46190</v>
      </c>
      <c r="N16782">
        <f>IF(M16782="","",'Master Barang'!A76)</f>
        <v>0</v>
      </c>
      <c r="O16782">
        <f>IF(N16782="","",'Master Barang'!B76)</f>
        <v>0</v>
      </c>
      <c r="P16782">
        <f>IF(OR(M16782="",N16782=""),"",SUMIFS('Barang Keluar'!$E:$E,'Barang Keluar'!$A:$A,M16782,'Barang Keluar'!$C:$C,N16782))</f>
        <v>0</v>
      </c>
    </row>
    <row r="16783" spans="13:16">
      <c r="M16783" s="49">
        <f>IF($A$4+167&gt;$B$4,"",$A$4+167)</f>
        <v>46190</v>
      </c>
      <c r="N16783">
        <f>IF(M16783="","",'Master Barang'!A77)</f>
        <v>0</v>
      </c>
      <c r="O16783">
        <f>IF(N16783="","",'Master Barang'!B77)</f>
        <v>0</v>
      </c>
      <c r="P16783">
        <f>IF(OR(M16783="",N16783=""),"",SUMIFS('Barang Keluar'!$E:$E,'Barang Keluar'!$A:$A,M16783,'Barang Keluar'!$C:$C,N16783))</f>
        <v>0</v>
      </c>
    </row>
    <row r="16784" spans="13:16">
      <c r="M16784" s="49">
        <f>IF($A$4+167&gt;$B$4,"",$A$4+167)</f>
        <v>46190</v>
      </c>
      <c r="N16784">
        <f>IF(M16784="","",'Master Barang'!A78)</f>
        <v>0</v>
      </c>
      <c r="O16784">
        <f>IF(N16784="","",'Master Barang'!B78)</f>
        <v>0</v>
      </c>
      <c r="P16784">
        <f>IF(OR(M16784="",N16784=""),"",SUMIFS('Barang Keluar'!$E:$E,'Barang Keluar'!$A:$A,M16784,'Barang Keluar'!$C:$C,N16784))</f>
        <v>0</v>
      </c>
    </row>
    <row r="16785" spans="13:16">
      <c r="M16785" s="49">
        <f>IF($A$4+167&gt;$B$4,"",$A$4+167)</f>
        <v>46190</v>
      </c>
      <c r="N16785">
        <f>IF(M16785="","",'Master Barang'!A79)</f>
        <v>0</v>
      </c>
      <c r="O16785">
        <f>IF(N16785="","",'Master Barang'!B79)</f>
        <v>0</v>
      </c>
      <c r="P16785">
        <f>IF(OR(M16785="",N16785=""),"",SUMIFS('Barang Keluar'!$E:$E,'Barang Keluar'!$A:$A,M16785,'Barang Keluar'!$C:$C,N16785))</f>
        <v>0</v>
      </c>
    </row>
    <row r="16786" spans="13:16">
      <c r="M16786" s="49">
        <f>IF($A$4+167&gt;$B$4,"",$A$4+167)</f>
        <v>46190</v>
      </c>
      <c r="N16786">
        <f>IF(M16786="","",'Master Barang'!A80)</f>
        <v>0</v>
      </c>
      <c r="O16786">
        <f>IF(N16786="","",'Master Barang'!B80)</f>
        <v>0</v>
      </c>
      <c r="P16786">
        <f>IF(OR(M16786="",N16786=""),"",SUMIFS('Barang Keluar'!$E:$E,'Barang Keluar'!$A:$A,M16786,'Barang Keluar'!$C:$C,N16786))</f>
        <v>0</v>
      </c>
    </row>
    <row r="16787" spans="13:16">
      <c r="M16787" s="49">
        <f>IF($A$4+167&gt;$B$4,"",$A$4+167)</f>
        <v>46190</v>
      </c>
      <c r="N16787">
        <f>IF(M16787="","",'Master Barang'!A81)</f>
        <v>0</v>
      </c>
      <c r="O16787">
        <f>IF(N16787="","",'Master Barang'!B81)</f>
        <v>0</v>
      </c>
      <c r="P16787">
        <f>IF(OR(M16787="",N16787=""),"",SUMIFS('Barang Keluar'!$E:$E,'Barang Keluar'!$A:$A,M16787,'Barang Keluar'!$C:$C,N16787))</f>
        <v>0</v>
      </c>
    </row>
    <row r="16788" spans="13:16">
      <c r="M16788" s="49">
        <f>IF($A$4+167&gt;$B$4,"",$A$4+167)</f>
        <v>46190</v>
      </c>
      <c r="N16788">
        <f>IF(M16788="","",'Master Barang'!A82)</f>
        <v>0</v>
      </c>
      <c r="O16788">
        <f>IF(N16788="","",'Master Barang'!B82)</f>
        <v>0</v>
      </c>
      <c r="P16788">
        <f>IF(OR(M16788="",N16788=""),"",SUMIFS('Barang Keluar'!$E:$E,'Barang Keluar'!$A:$A,M16788,'Barang Keluar'!$C:$C,N16788))</f>
        <v>0</v>
      </c>
    </row>
    <row r="16789" spans="13:16">
      <c r="M16789" s="49">
        <f>IF($A$4+167&gt;$B$4,"",$A$4+167)</f>
        <v>46190</v>
      </c>
      <c r="N16789">
        <f>IF(M16789="","",'Master Barang'!A83)</f>
        <v>0</v>
      </c>
      <c r="O16789">
        <f>IF(N16789="","",'Master Barang'!B83)</f>
        <v>0</v>
      </c>
      <c r="P16789">
        <f>IF(OR(M16789="",N16789=""),"",SUMIFS('Barang Keluar'!$E:$E,'Barang Keluar'!$A:$A,M16789,'Barang Keluar'!$C:$C,N16789))</f>
        <v>0</v>
      </c>
    </row>
    <row r="16790" spans="13:16">
      <c r="M16790" s="49">
        <f>IF($A$4+167&gt;$B$4,"",$A$4+167)</f>
        <v>46190</v>
      </c>
      <c r="N16790">
        <f>IF(M16790="","",'Master Barang'!A84)</f>
        <v>0</v>
      </c>
      <c r="O16790">
        <f>IF(N16790="","",'Master Barang'!B84)</f>
        <v>0</v>
      </c>
      <c r="P16790">
        <f>IF(OR(M16790="",N16790=""),"",SUMIFS('Barang Keluar'!$E:$E,'Barang Keluar'!$A:$A,M16790,'Barang Keluar'!$C:$C,N16790))</f>
        <v>0</v>
      </c>
    </row>
    <row r="16791" spans="13:16">
      <c r="M16791" s="49">
        <f>IF($A$4+167&gt;$B$4,"",$A$4+167)</f>
        <v>46190</v>
      </c>
      <c r="N16791">
        <f>IF(M16791="","",'Master Barang'!A85)</f>
        <v>0</v>
      </c>
      <c r="O16791">
        <f>IF(N16791="","",'Master Barang'!B85)</f>
        <v>0</v>
      </c>
      <c r="P16791">
        <f>IF(OR(M16791="",N16791=""),"",SUMIFS('Barang Keluar'!$E:$E,'Barang Keluar'!$A:$A,M16791,'Barang Keluar'!$C:$C,N16791))</f>
        <v>0</v>
      </c>
    </row>
    <row r="16792" spans="13:16">
      <c r="M16792" s="49">
        <f>IF($A$4+167&gt;$B$4,"",$A$4+167)</f>
        <v>46190</v>
      </c>
      <c r="N16792">
        <f>IF(M16792="","",'Master Barang'!A86)</f>
        <v>0</v>
      </c>
      <c r="O16792">
        <f>IF(N16792="","",'Master Barang'!B86)</f>
        <v>0</v>
      </c>
      <c r="P16792">
        <f>IF(OR(M16792="",N16792=""),"",SUMIFS('Barang Keluar'!$E:$E,'Barang Keluar'!$A:$A,M16792,'Barang Keluar'!$C:$C,N16792))</f>
        <v>0</v>
      </c>
    </row>
    <row r="16793" spans="13:16">
      <c r="M16793" s="49">
        <f>IF($A$4+167&gt;$B$4,"",$A$4+167)</f>
        <v>46190</v>
      </c>
      <c r="N16793">
        <f>IF(M16793="","",'Master Barang'!A87)</f>
        <v>0</v>
      </c>
      <c r="O16793">
        <f>IF(N16793="","",'Master Barang'!B87)</f>
        <v>0</v>
      </c>
      <c r="P16793">
        <f>IF(OR(M16793="",N16793=""),"",SUMIFS('Barang Keluar'!$E:$E,'Barang Keluar'!$A:$A,M16793,'Barang Keluar'!$C:$C,N16793))</f>
        <v>0</v>
      </c>
    </row>
    <row r="16794" spans="13:16">
      <c r="M16794" s="49">
        <f>IF($A$4+167&gt;$B$4,"",$A$4+167)</f>
        <v>46190</v>
      </c>
      <c r="N16794">
        <f>IF(M16794="","",'Master Barang'!A88)</f>
        <v>0</v>
      </c>
      <c r="O16794">
        <f>IF(N16794="","",'Master Barang'!B88)</f>
        <v>0</v>
      </c>
      <c r="P16794">
        <f>IF(OR(M16794="",N16794=""),"",SUMIFS('Barang Keluar'!$E:$E,'Barang Keluar'!$A:$A,M16794,'Barang Keluar'!$C:$C,N16794))</f>
        <v>0</v>
      </c>
    </row>
    <row r="16795" spans="13:16">
      <c r="M16795" s="49">
        <f>IF($A$4+167&gt;$B$4,"",$A$4+167)</f>
        <v>46190</v>
      </c>
      <c r="N16795">
        <f>IF(M16795="","",'Master Barang'!A89)</f>
        <v>0</v>
      </c>
      <c r="O16795">
        <f>IF(N16795="","",'Master Barang'!B89)</f>
        <v>0</v>
      </c>
      <c r="P16795">
        <f>IF(OR(M16795="",N16795=""),"",SUMIFS('Barang Keluar'!$E:$E,'Barang Keluar'!$A:$A,M16795,'Barang Keluar'!$C:$C,N16795))</f>
        <v>0</v>
      </c>
    </row>
    <row r="16796" spans="13:16">
      <c r="M16796" s="49">
        <f>IF($A$4+167&gt;$B$4,"",$A$4+167)</f>
        <v>46190</v>
      </c>
      <c r="N16796">
        <f>IF(M16796="","",'Master Barang'!A90)</f>
        <v>0</v>
      </c>
      <c r="O16796">
        <f>IF(N16796="","",'Master Barang'!B90)</f>
        <v>0</v>
      </c>
      <c r="P16796">
        <f>IF(OR(M16796="",N16796=""),"",SUMIFS('Barang Keluar'!$E:$E,'Barang Keluar'!$A:$A,M16796,'Barang Keluar'!$C:$C,N16796))</f>
        <v>0</v>
      </c>
    </row>
    <row r="16797" spans="13:16">
      <c r="M16797" s="49">
        <f>IF($A$4+167&gt;$B$4,"",$A$4+167)</f>
        <v>46190</v>
      </c>
      <c r="N16797">
        <f>IF(M16797="","",'Master Barang'!A91)</f>
        <v>0</v>
      </c>
      <c r="O16797">
        <f>IF(N16797="","",'Master Barang'!B91)</f>
        <v>0</v>
      </c>
      <c r="P16797">
        <f>IF(OR(M16797="",N16797=""),"",SUMIFS('Barang Keluar'!$E:$E,'Barang Keluar'!$A:$A,M16797,'Barang Keluar'!$C:$C,N16797))</f>
        <v>0</v>
      </c>
    </row>
    <row r="16798" spans="13:16">
      <c r="M16798" s="49">
        <f>IF($A$4+167&gt;$B$4,"",$A$4+167)</f>
        <v>46190</v>
      </c>
      <c r="N16798">
        <f>IF(M16798="","",'Master Barang'!A92)</f>
        <v>0</v>
      </c>
      <c r="O16798">
        <f>IF(N16798="","",'Master Barang'!B92)</f>
        <v>0</v>
      </c>
      <c r="P16798">
        <f>IF(OR(M16798="",N16798=""),"",SUMIFS('Barang Keluar'!$E:$E,'Barang Keluar'!$A:$A,M16798,'Barang Keluar'!$C:$C,N16798))</f>
        <v>0</v>
      </c>
    </row>
    <row r="16799" spans="13:16">
      <c r="M16799" s="49">
        <f>IF($A$4+167&gt;$B$4,"",$A$4+167)</f>
        <v>46190</v>
      </c>
      <c r="N16799">
        <f>IF(M16799="","",'Master Barang'!A93)</f>
        <v>0</v>
      </c>
      <c r="O16799">
        <f>IF(N16799="","",'Master Barang'!B93)</f>
        <v>0</v>
      </c>
      <c r="P16799">
        <f>IF(OR(M16799="",N16799=""),"",SUMIFS('Barang Keluar'!$E:$E,'Barang Keluar'!$A:$A,M16799,'Barang Keluar'!$C:$C,N16799))</f>
        <v>0</v>
      </c>
    </row>
    <row r="16800" spans="13:16">
      <c r="M16800" s="49">
        <f>IF($A$4+167&gt;$B$4,"",$A$4+167)</f>
        <v>46190</v>
      </c>
      <c r="N16800">
        <f>IF(M16800="","",'Master Barang'!A94)</f>
        <v>0</v>
      </c>
      <c r="O16800">
        <f>IF(N16800="","",'Master Barang'!B94)</f>
        <v>0</v>
      </c>
      <c r="P16800">
        <f>IF(OR(M16800="",N16800=""),"",SUMIFS('Barang Keluar'!$E:$E,'Barang Keluar'!$A:$A,M16800,'Barang Keluar'!$C:$C,N16800))</f>
        <v>0</v>
      </c>
    </row>
    <row r="16801" spans="13:16">
      <c r="M16801" s="49">
        <f>IF($A$4+167&gt;$B$4,"",$A$4+167)</f>
        <v>46190</v>
      </c>
      <c r="N16801">
        <f>IF(M16801="","",'Master Barang'!A95)</f>
        <v>0</v>
      </c>
      <c r="O16801">
        <f>IF(N16801="","",'Master Barang'!B95)</f>
        <v>0</v>
      </c>
      <c r="P16801">
        <f>IF(OR(M16801="",N16801=""),"",SUMIFS('Barang Keluar'!$E:$E,'Barang Keluar'!$A:$A,M16801,'Barang Keluar'!$C:$C,N16801))</f>
        <v>0</v>
      </c>
    </row>
    <row r="16802" spans="13:16">
      <c r="M16802" s="49">
        <f>IF($A$4+167&gt;$B$4,"",$A$4+167)</f>
        <v>46190</v>
      </c>
      <c r="N16802">
        <f>IF(M16802="","",'Master Barang'!A96)</f>
        <v>0</v>
      </c>
      <c r="O16802">
        <f>IF(N16802="","",'Master Barang'!B96)</f>
        <v>0</v>
      </c>
      <c r="P16802">
        <f>IF(OR(M16802="",N16802=""),"",SUMIFS('Barang Keluar'!$E:$E,'Barang Keluar'!$A:$A,M16802,'Barang Keluar'!$C:$C,N16802))</f>
        <v>0</v>
      </c>
    </row>
    <row r="16803" spans="13:16">
      <c r="M16803" s="49">
        <f>IF($A$4+167&gt;$B$4,"",$A$4+167)</f>
        <v>46190</v>
      </c>
      <c r="N16803">
        <f>IF(M16803="","",'Master Barang'!A97)</f>
        <v>0</v>
      </c>
      <c r="O16803">
        <f>IF(N16803="","",'Master Barang'!B97)</f>
        <v>0</v>
      </c>
      <c r="P16803">
        <f>IF(OR(M16803="",N16803=""),"",SUMIFS('Barang Keluar'!$E:$E,'Barang Keluar'!$A:$A,M16803,'Barang Keluar'!$C:$C,N16803))</f>
        <v>0</v>
      </c>
    </row>
    <row r="16804" spans="13:16">
      <c r="M16804" s="49">
        <f>IF($A$4+167&gt;$B$4,"",$A$4+167)</f>
        <v>46190</v>
      </c>
      <c r="N16804">
        <f>IF(M16804="","",'Master Barang'!A98)</f>
        <v>0</v>
      </c>
      <c r="O16804">
        <f>IF(N16804="","",'Master Barang'!B98)</f>
        <v>0</v>
      </c>
      <c r="P16804">
        <f>IF(OR(M16804="",N16804=""),"",SUMIFS('Barang Keluar'!$E:$E,'Barang Keluar'!$A:$A,M16804,'Barang Keluar'!$C:$C,N16804))</f>
        <v>0</v>
      </c>
    </row>
    <row r="16805" spans="13:16">
      <c r="M16805" s="49">
        <f>IF($A$4+167&gt;$B$4,"",$A$4+167)</f>
        <v>46190</v>
      </c>
      <c r="N16805">
        <f>IF(M16805="","",'Master Barang'!A99)</f>
        <v>0</v>
      </c>
      <c r="O16805">
        <f>IF(N16805="","",'Master Barang'!B99)</f>
        <v>0</v>
      </c>
      <c r="P16805">
        <f>IF(OR(M16805="",N16805=""),"",SUMIFS('Barang Keluar'!$E:$E,'Barang Keluar'!$A:$A,M16805,'Barang Keluar'!$C:$C,N16805))</f>
        <v>0</v>
      </c>
    </row>
    <row r="16806" spans="13:16">
      <c r="M16806" s="49">
        <f>IF($A$4+167&gt;$B$4,"",$A$4+167)</f>
        <v>46190</v>
      </c>
      <c r="N16806">
        <f>IF(M16806="","",'Master Barang'!A100)</f>
        <v>0</v>
      </c>
      <c r="O16806">
        <f>IF(N16806="","",'Master Barang'!B100)</f>
        <v>0</v>
      </c>
      <c r="P16806">
        <f>IF(OR(M16806="",N16806=""),"",SUMIFS('Barang Keluar'!$E:$E,'Barang Keluar'!$A:$A,M16806,'Barang Keluar'!$C:$C,N16806))</f>
        <v>0</v>
      </c>
    </row>
    <row r="16807" spans="13:16">
      <c r="M16807" s="49">
        <f>IF($A$4+167&gt;$B$4,"",$A$4+167)</f>
        <v>46190</v>
      </c>
      <c r="N16807">
        <f>IF(M16807="","",'Master Barang'!A101)</f>
        <v>0</v>
      </c>
      <c r="O16807">
        <f>IF(N16807="","",'Master Barang'!B101)</f>
        <v>0</v>
      </c>
      <c r="P16807">
        <f>IF(OR(M16807="",N16807=""),"",SUMIFS('Barang Keluar'!$E:$E,'Barang Keluar'!$A:$A,M16807,'Barang Keluar'!$C:$C,N16807))</f>
        <v>0</v>
      </c>
    </row>
    <row r="16808" spans="13:16">
      <c r="M16808" s="49">
        <f>IF($A$4+168&gt;$B$4,"",$A$4+168)</f>
        <v>46191</v>
      </c>
      <c r="N16808" t="str">
        <f>IF(M16808="","",'Master Barang'!A2)</f>
        <v>PRL-001</v>
      </c>
      <c r="O16808" t="str">
        <f>IF(N16808="","",'Master Barang'!B2)</f>
        <v>natura desinfectant food grade 5l</v>
      </c>
      <c r="P16808">
        <f>IF(OR(M16808="",N16808=""),"",SUMIFS('Barang Keluar'!$E:$E,'Barang Keluar'!$A:$A,M16808,'Barang Keluar'!$C:$C,N16808))</f>
        <v>0</v>
      </c>
    </row>
    <row r="16809" spans="13:16">
      <c r="M16809" s="49">
        <f>IF($A$4+168&gt;$B$4,"",$A$4+168)</f>
        <v>46191</v>
      </c>
      <c r="N16809" t="str">
        <f>IF(M16809="","",'Master Barang'!A3)</f>
        <v>PRL-002</v>
      </c>
      <c r="O16809" t="str">
        <f>IF(N16809="","",'Master Barang'!B3)</f>
        <v>sunlight cairan pencuci piring 5l</v>
      </c>
      <c r="P16809">
        <f>IF(OR(M16809="",N16809=""),"",SUMIFS('Barang Keluar'!$E:$E,'Barang Keluar'!$A:$A,M16809,'Barang Keluar'!$C:$C,N16809))</f>
        <v>0</v>
      </c>
    </row>
    <row r="16810" spans="13:16">
      <c r="M16810" s="49">
        <f>IF($A$4+168&gt;$B$4,"",$A$4+168)</f>
        <v>46191</v>
      </c>
      <c r="N16810" t="str">
        <f>IF(M16810="","",'Master Barang'!A4)</f>
        <v>PRL-003</v>
      </c>
      <c r="O16810" t="str">
        <f>IF(N16810="","",'Master Barang'!B4)</f>
        <v>oixs cleaner 1l</v>
      </c>
      <c r="P16810">
        <f>IF(OR(M16810="",N16810=""),"",SUMIFS('Barang Keluar'!$E:$E,'Barang Keluar'!$A:$A,M16810,'Barang Keluar'!$C:$C,N16810))</f>
        <v>0</v>
      </c>
    </row>
    <row r="16811" spans="13:16">
      <c r="M16811" s="49">
        <f>IF($A$4+168&gt;$B$4,"",$A$4+168)</f>
        <v>46191</v>
      </c>
      <c r="N16811" t="str">
        <f>IF(M16811="","",'Master Barang'!A5)</f>
        <v>PRL-004</v>
      </c>
      <c r="O16811" t="str">
        <f>IF(N16811="","",'Master Barang'!B5)</f>
        <v>be clean tissue serbaguna</v>
      </c>
      <c r="P16811">
        <f>IF(OR(M16811="",N16811=""),"",SUMIFS('Barang Keluar'!$E:$E,'Barang Keluar'!$A:$A,M16811,'Barang Keluar'!$C:$C,N16811))</f>
        <v>0</v>
      </c>
    </row>
    <row r="16812" spans="13:16">
      <c r="M16812" s="49">
        <f>IF($A$4+168&gt;$B$4,"",$A$4+168)</f>
        <v>46191</v>
      </c>
      <c r="N16812" t="str">
        <f>IF(M16812="","",'Master Barang'!A6)</f>
        <v>PRL-005</v>
      </c>
      <c r="O16812" t="str">
        <f>IF(N16812="","",'Master Barang'!B6)</f>
        <v>spons cuci hijau</v>
      </c>
      <c r="P16812">
        <f>IF(OR(M16812="",N16812=""),"",SUMIFS('Barang Keluar'!$E:$E,'Barang Keluar'!$A:$A,M16812,'Barang Keluar'!$C:$C,N16812))</f>
        <v>0</v>
      </c>
    </row>
    <row r="16813" spans="13:16">
      <c r="M16813" s="49">
        <f>IF($A$4+168&gt;$B$4,"",$A$4+168)</f>
        <v>46191</v>
      </c>
      <c r="N16813" t="str">
        <f>IF(M16813="","",'Master Barang'!A7)</f>
        <v>PRL-006</v>
      </c>
      <c r="O16813" t="str">
        <f>IF(N16813="","",'Master Barang'!B7)</f>
        <v>sabut cuci stainless</v>
      </c>
      <c r="P16813">
        <f>IF(OR(M16813="",N16813=""),"",SUMIFS('Barang Keluar'!$E:$E,'Barang Keluar'!$A:$A,M16813,'Barang Keluar'!$C:$C,N16813))</f>
        <v>0</v>
      </c>
    </row>
    <row r="16814" spans="13:16">
      <c r="M16814" s="49">
        <f>IF($A$4+168&gt;$B$4,"",$A$4+168)</f>
        <v>46191</v>
      </c>
      <c r="N16814" t="str">
        <f>IF(M16814="","",'Master Barang'!A8)</f>
        <v>PRL-007</v>
      </c>
      <c r="O16814" t="str">
        <f>IF(N16814="","",'Master Barang'!B8)</f>
        <v>plastik kresek besar merah 50pc</v>
      </c>
      <c r="P16814">
        <f>IF(OR(M16814="",N16814=""),"",SUMIFS('Barang Keluar'!$E:$E,'Barang Keluar'!$A:$A,M16814,'Barang Keluar'!$C:$C,N16814))</f>
        <v>0</v>
      </c>
    </row>
    <row r="16815" spans="13:16">
      <c r="M16815" s="49">
        <f>IF($A$4+168&gt;$B$4,"",$A$4+168)</f>
        <v>46191</v>
      </c>
      <c r="N16815" t="str">
        <f>IF(M16815="","",'Master Barang'!A9)</f>
        <v>PRL-008</v>
      </c>
      <c r="O16815" t="str">
        <f>IF(N16815="","",'Master Barang'!B9)</f>
        <v>lap besar</v>
      </c>
      <c r="P16815">
        <f>IF(OR(M16815="",N16815=""),"",SUMIFS('Barang Keluar'!$E:$E,'Barang Keluar'!$A:$A,M16815,'Barang Keluar'!$C:$C,N16815))</f>
        <v>0</v>
      </c>
    </row>
    <row r="16816" spans="13:16">
      <c r="M16816" s="49">
        <f>IF($A$4+168&gt;$B$4,"",$A$4+168)</f>
        <v>46191</v>
      </c>
      <c r="N16816" t="str">
        <f>IF(M16816="","",'Master Barang'!A10)</f>
        <v>PRL-009</v>
      </c>
      <c r="O16816" t="str">
        <f>IF(N16816="","",'Master Barang'!B10)</f>
        <v>lap microfiber</v>
      </c>
      <c r="P16816">
        <f>IF(OR(M16816="",N16816=""),"",SUMIFS('Barang Keluar'!$E:$E,'Barang Keluar'!$A:$A,M16816,'Barang Keluar'!$C:$C,N16816))</f>
        <v>0</v>
      </c>
    </row>
    <row r="16817" spans="13:16">
      <c r="M16817" s="49">
        <f>IF($A$4+168&gt;$B$4,"",$A$4+168)</f>
        <v>46191</v>
      </c>
      <c r="N16817" t="str">
        <f>IF(M16817="","",'Master Barang'!A11)</f>
        <v>PRL-010</v>
      </c>
      <c r="O16817" t="str">
        <f>IF(N16817="","",'Master Barang'!B11)</f>
        <v>lap kecil</v>
      </c>
      <c r="P16817">
        <f>IF(OR(M16817="",N16817=""),"",SUMIFS('Barang Keluar'!$E:$E,'Barang Keluar'!$A:$A,M16817,'Barang Keluar'!$C:$C,N16817))</f>
        <v>0</v>
      </c>
    </row>
    <row r="16818" spans="13:16">
      <c r="M16818" s="49">
        <f>IF($A$4+168&gt;$B$4,"",$A$4+168)</f>
        <v>46191</v>
      </c>
      <c r="N16818" t="str">
        <f>IF(M16818="","",'Master Barang'!A12)</f>
        <v>PRL-011</v>
      </c>
      <c r="O16818" t="str">
        <f>IF(N16818="","",'Master Barang'!B12)</f>
        <v>kanebo kecil</v>
      </c>
      <c r="P16818">
        <f>IF(OR(M16818="",N16818=""),"",SUMIFS('Barang Keluar'!$E:$E,'Barang Keluar'!$A:$A,M16818,'Barang Keluar'!$C:$C,N16818))</f>
        <v>0</v>
      </c>
    </row>
    <row r="16819" spans="13:16">
      <c r="M16819" s="49">
        <f>IF($A$4+168&gt;$B$4,"",$A$4+168)</f>
        <v>46191</v>
      </c>
      <c r="N16819" t="str">
        <f>IF(M16819="","",'Master Barang'!A13)</f>
        <v>PRL-012</v>
      </c>
      <c r="O16819" t="str">
        <f>IF(N16819="","",'Master Barang'!B13)</f>
        <v>plastik 1/4kg joyoboyo 100 lembar</v>
      </c>
      <c r="P16819">
        <f>IF(OR(M16819="",N16819=""),"",SUMIFS('Barang Keluar'!$E:$E,'Barang Keluar'!$A:$A,M16819,'Barang Keluar'!$C:$C,N16819))</f>
        <v>0</v>
      </c>
    </row>
    <row r="16820" spans="13:16">
      <c r="M16820" s="49">
        <f>IF($A$4+168&gt;$B$4,"",$A$4+168)</f>
        <v>46191</v>
      </c>
      <c r="N16820" t="str">
        <f>IF(M16820="","",'Master Barang'!A14)</f>
        <v>PRL-013</v>
      </c>
      <c r="O16820" t="str">
        <f>IF(N16820="","",'Master Barang'!B14)</f>
        <v>sarung tangan plastik kaka 100 pcs</v>
      </c>
      <c r="P16820">
        <f>IF(OR(M16820="",N16820=""),"",SUMIFS('Barang Keluar'!$E:$E,'Barang Keluar'!$A:$A,M16820,'Barang Keluar'!$C:$C,N16820))</f>
        <v>0</v>
      </c>
    </row>
    <row r="16821" spans="13:16">
      <c r="M16821" s="49">
        <f>IF($A$4+168&gt;$B$4,"",$A$4+168)</f>
        <v>46191</v>
      </c>
      <c r="N16821" t="str">
        <f>IF(M16821="","",'Master Barang'!A15)</f>
        <v>PRL-014</v>
      </c>
      <c r="O16821" t="str">
        <f>IF(N16821="","",'Master Barang'!B15)</f>
        <v>optima trashbag 80x100</v>
      </c>
      <c r="P16821">
        <f>IF(OR(M16821="",N16821=""),"",SUMIFS('Barang Keluar'!$E:$E,'Barang Keluar'!$A:$A,M16821,'Barang Keluar'!$C:$C,N16821))</f>
        <v>0</v>
      </c>
    </row>
    <row r="16822" spans="13:16">
      <c r="M16822" s="49">
        <f>IF($A$4+168&gt;$B$4,"",$A$4+168)</f>
        <v>46191</v>
      </c>
      <c r="N16822" t="str">
        <f>IF(M16822="","",'Master Barang'!A16)</f>
        <v>PRL-015</v>
      </c>
      <c r="O16822" t="str">
        <f>IF(N16822="","",'Master Barang'!B16)</f>
        <v>optima trashbag 60x100</v>
      </c>
      <c r="P16822">
        <f>IF(OR(M16822="",N16822=""),"",SUMIFS('Barang Keluar'!$E:$E,'Barang Keluar'!$A:$A,M16822,'Barang Keluar'!$C:$C,N16822))</f>
        <v>0</v>
      </c>
    </row>
    <row r="16823" spans="13:16">
      <c r="M16823" s="49">
        <f>IF($A$4+168&gt;$B$4,"",$A$4+168)</f>
        <v>46191</v>
      </c>
      <c r="N16823" t="str">
        <f>IF(M16823="","",'Master Barang'!A17)</f>
        <v>PRL-016</v>
      </c>
      <c r="O16823" t="str">
        <f>IF(N16823="","",'Master Barang'!B17)</f>
        <v>rajawali trashbag 30x40</v>
      </c>
      <c r="P16823">
        <f>IF(OR(M16823="",N16823=""),"",SUMIFS('Barang Keluar'!$E:$E,'Barang Keluar'!$A:$A,M16823,'Barang Keluar'!$C:$C,N16823))</f>
        <v>0</v>
      </c>
    </row>
    <row r="16824" spans="13:16">
      <c r="M16824" s="49">
        <f>IF($A$4+168&gt;$B$4,"",$A$4+168)</f>
        <v>46191</v>
      </c>
      <c r="N16824" t="str">
        <f>IF(M16824="","",'Master Barang'!A18)</f>
        <v>PRL-017</v>
      </c>
      <c r="O16824" t="str">
        <f>IF(N16824="","",'Master Barang'!B18)</f>
        <v>onemed masker biru 3 play 50 pcs</v>
      </c>
      <c r="P16824">
        <f>IF(OR(M16824="",N16824=""),"",SUMIFS('Barang Keluar'!$E:$E,'Barang Keluar'!$A:$A,M16824,'Barang Keluar'!$C:$C,N16824))</f>
        <v>0</v>
      </c>
    </row>
    <row r="16825" spans="13:16">
      <c r="M16825" s="49">
        <f>IF($A$4+168&gt;$B$4,"",$A$4+168)</f>
        <v>46191</v>
      </c>
      <c r="N16825" t="str">
        <f>IF(M16825="","",'Master Barang'!A19)</f>
        <v>PRL-018</v>
      </c>
      <c r="O16825" t="str">
        <f>IF(N16825="","",'Master Barang'!B19)</f>
        <v>onemed masker biru 3 play hijab 50 pcs</v>
      </c>
      <c r="P16825">
        <f>IF(OR(M16825="",N16825=""),"",SUMIFS('Barang Keluar'!$E:$E,'Barang Keluar'!$A:$A,M16825,'Barang Keluar'!$C:$C,N16825))</f>
        <v>0</v>
      </c>
    </row>
    <row r="16826" spans="13:16">
      <c r="M16826" s="49">
        <f>IF($A$4+168&gt;$B$4,"",$A$4+168)</f>
        <v>46191</v>
      </c>
      <c r="N16826" t="str">
        <f>IF(M16826="","",'Master Barang'!A20)</f>
        <v>PRL-019</v>
      </c>
      <c r="O16826" t="str">
        <f>IF(N16826="","",'Master Barang'!B20)</f>
        <v>neo health masker biru 3 play 50 pcs</v>
      </c>
      <c r="P16826">
        <f>IF(OR(M16826="",N16826=""),"",SUMIFS('Barang Keluar'!$E:$E,'Barang Keluar'!$A:$A,M16826,'Barang Keluar'!$C:$C,N16826))</f>
        <v>0</v>
      </c>
    </row>
    <row r="16827" spans="13:16">
      <c r="M16827" s="49">
        <f>IF($A$4+168&gt;$B$4,"",$A$4+168)</f>
        <v>46191</v>
      </c>
      <c r="N16827" t="str">
        <f>IF(M16827="","",'Master Barang'!A21)</f>
        <v>PRL-020</v>
      </c>
      <c r="O16827" t="str">
        <f>IF(N16827="","",'Master Barang'!B21)</f>
        <v>baymed masker hijau 3 play hijau 50 pcs</v>
      </c>
      <c r="P16827">
        <f>IF(OR(M16827="",N16827=""),"",SUMIFS('Barang Keluar'!$E:$E,'Barang Keluar'!$A:$A,M16827,'Barang Keluar'!$C:$C,N16827))</f>
        <v>0</v>
      </c>
    </row>
    <row r="16828" spans="13:16">
      <c r="M16828" s="49">
        <f>IF($A$4+168&gt;$B$4,"",$A$4+168)</f>
        <v>46191</v>
      </c>
      <c r="N16828" t="str">
        <f>IF(M16828="","",'Master Barang'!A22)</f>
        <v>PRL-021</v>
      </c>
      <c r="O16828" t="str">
        <f>IF(N16828="","",'Master Barang'!B22)</f>
        <v>altamed nurse cap penutup kepala 100 pcs</v>
      </c>
      <c r="P16828">
        <f>IF(OR(M16828="",N16828=""),"",SUMIFS('Barang Keluar'!$E:$E,'Barang Keluar'!$A:$A,M16828,'Barang Keluar'!$C:$C,N16828))</f>
        <v>0</v>
      </c>
    </row>
    <row r="16829" spans="13:16">
      <c r="M16829" s="49">
        <f>IF($A$4+168&gt;$B$4,"",$A$4+168)</f>
        <v>46191</v>
      </c>
      <c r="N16829" t="str">
        <f>IF(M16829="","",'Master Barang'!A23)</f>
        <v>PRL-022</v>
      </c>
      <c r="O16829" t="str">
        <f>IF(N16829="","",'Master Barang'!B23)</f>
        <v>sabun cuci tangan</v>
      </c>
      <c r="P16829">
        <f>IF(OR(M16829="",N16829=""),"",SUMIFS('Barang Keluar'!$E:$E,'Barang Keluar'!$A:$A,M16829,'Barang Keluar'!$C:$C,N16829))</f>
        <v>0</v>
      </c>
    </row>
    <row r="16830" spans="13:16">
      <c r="M16830" s="49">
        <f>IF($A$4+168&gt;$B$4,"",$A$4+168)</f>
        <v>46191</v>
      </c>
      <c r="N16830" t="str">
        <f>IF(M16830="","",'Master Barang'!A24)</f>
        <v>PRL-023</v>
      </c>
      <c r="O16830" t="str">
        <f>IF(N16830="","",'Master Barang'!B24)</f>
        <v>gayung kecil</v>
      </c>
      <c r="P16830">
        <f>IF(OR(M16830="",N16830=""),"",SUMIFS('Barang Keluar'!$E:$E,'Barang Keluar'!$A:$A,M16830,'Barang Keluar'!$C:$C,N16830))</f>
        <v>0</v>
      </c>
    </row>
    <row r="16831" spans="13:16">
      <c r="M16831" s="49">
        <f>IF($A$4+168&gt;$B$4,"",$A$4+168)</f>
        <v>46191</v>
      </c>
      <c r="N16831" t="str">
        <f>IF(M16831="","",'Master Barang'!A25)</f>
        <v>PRL-024</v>
      </c>
      <c r="O16831" t="str">
        <f>IF(N16831="","",'Master Barang'!B25)</f>
        <v>cikrak kecil</v>
      </c>
      <c r="P16831">
        <f>IF(OR(M16831="",N16831=""),"",SUMIFS('Barang Keluar'!$E:$E,'Barang Keluar'!$A:$A,M16831,'Barang Keluar'!$C:$C,N16831))</f>
        <v>0</v>
      </c>
    </row>
    <row r="16832" spans="13:16">
      <c r="M16832" s="49">
        <f>IF($A$4+168&gt;$B$4,"",$A$4+168)</f>
        <v>46191</v>
      </c>
      <c r="N16832" t="str">
        <f>IF(M16832="","",'Master Barang'!A26)</f>
        <v>PRL-025</v>
      </c>
      <c r="O16832" t="str">
        <f>IF(N16832="","",'Master Barang'!B26)</f>
        <v>petromax plastik kecil 12x24 100 lembar</v>
      </c>
      <c r="P16832">
        <f>IF(OR(M16832="",N16832=""),"",SUMIFS('Barang Keluar'!$E:$E,'Barang Keluar'!$A:$A,M16832,'Barang Keluar'!$C:$C,N16832))</f>
        <v>0</v>
      </c>
    </row>
    <row r="16833" spans="13:16">
      <c r="M16833" s="49">
        <f>IF($A$4+168&gt;$B$4,"",$A$4+168)</f>
        <v>46191</v>
      </c>
      <c r="N16833" t="str">
        <f>IF(M16833="","",'Master Barang'!A27)</f>
        <v>PRL-026</v>
      </c>
      <c r="O16833" t="str">
        <f>IF(N16833="","",'Master Barang'!B27)</f>
        <v>lancar kresek kecil bening </v>
      </c>
      <c r="P16833">
        <f>IF(OR(M16833="",N16833=""),"",SUMIFS('Barang Keluar'!$E:$E,'Barang Keluar'!$A:$A,M16833,'Barang Keluar'!$C:$C,N16833))</f>
        <v>0</v>
      </c>
    </row>
    <row r="16834" spans="13:16">
      <c r="M16834" s="49">
        <f>IF($A$4+168&gt;$B$4,"",$A$4+168)</f>
        <v>46191</v>
      </c>
      <c r="N16834" t="str">
        <f>IF(M16834="","",'Master Barang'!A28)</f>
        <v>PRL-027</v>
      </c>
      <c r="O16834" t="str">
        <f>IF(N16834="","",'Master Barang'!B28)</f>
        <v>kresek klin warna warni kecil</v>
      </c>
      <c r="P16834">
        <f>IF(OR(M16834="",N16834=""),"",SUMIFS('Barang Keluar'!$E:$E,'Barang Keluar'!$A:$A,M16834,'Barang Keluar'!$C:$C,N16834))</f>
        <v>0</v>
      </c>
    </row>
    <row r="16835" spans="13:16">
      <c r="M16835" s="49">
        <f>IF($A$4+168&gt;$B$4,"",$A$4+168)</f>
        <v>46191</v>
      </c>
      <c r="N16835" t="str">
        <f>IF(M16835="","",'Master Barang'!A29)</f>
        <v>PRL-028</v>
      </c>
      <c r="O16835" t="str">
        <f>IF(N16835="","",'Master Barang'!B29)</f>
        <v>ctik plastik 7x10 100 pcs</v>
      </c>
      <c r="P16835">
        <f>IF(OR(M16835="",N16835=""),"",SUMIFS('Barang Keluar'!$E:$E,'Barang Keluar'!$A:$A,M16835,'Barang Keluar'!$C:$C,N16835))</f>
        <v>0</v>
      </c>
    </row>
    <row r="16836" spans="13:16">
      <c r="M16836" s="49">
        <f>IF($A$4+168&gt;$B$4,"",$A$4+168)</f>
        <v>46191</v>
      </c>
      <c r="N16836" t="str">
        <f>IF(M16836="","",'Master Barang'!A30)</f>
        <v>PRL-029</v>
      </c>
      <c r="O16836" t="str">
        <f>IF(N16836="","",'Master Barang'!B30)</f>
        <v>ctik plastik 6x10 100 pcs</v>
      </c>
      <c r="P16836">
        <f>IF(OR(M16836="",N16836=""),"",SUMIFS('Barang Keluar'!$E:$E,'Barang Keluar'!$A:$A,M16836,'Barang Keluar'!$C:$C,N16836))</f>
        <v>0</v>
      </c>
    </row>
    <row r="16837" spans="13:16">
      <c r="M16837" s="49">
        <f>IF($A$4+168&gt;$B$4,"",$A$4+168)</f>
        <v>46191</v>
      </c>
      <c r="N16837" t="str">
        <f>IF(M16837="","",'Master Barang'!A31)</f>
        <v>PRL-030</v>
      </c>
      <c r="O16837" t="str">
        <f>IF(N16837="","",'Master Barang'!B31)</f>
        <v>klip plastik 25x16 100 pcs</v>
      </c>
      <c r="P16837">
        <f>IF(OR(M16837="",N16837=""),"",SUMIFS('Barang Keluar'!$E:$E,'Barang Keluar'!$A:$A,M16837,'Barang Keluar'!$C:$C,N16837))</f>
        <v>0</v>
      </c>
    </row>
    <row r="16838" spans="13:16">
      <c r="M16838" s="49">
        <f>IF($A$4+168&gt;$B$4,"",$A$4+168)</f>
        <v>46191</v>
      </c>
      <c r="N16838" t="str">
        <f>IF(M16838="","",'Master Barang'!A32)</f>
        <v>PRL-031</v>
      </c>
      <c r="O16838" t="str">
        <f>IF(N16838="","",'Master Barang'!B32)</f>
        <v>tempat saus 20 ml</v>
      </c>
      <c r="P16838">
        <f>IF(OR(M16838="",N16838=""),"",SUMIFS('Barang Keluar'!$E:$E,'Barang Keluar'!$A:$A,M16838,'Barang Keluar'!$C:$C,N16838))</f>
        <v>0</v>
      </c>
    </row>
    <row r="16839" spans="13:16">
      <c r="M16839" s="49">
        <f>IF($A$4+168&gt;$B$4,"",$A$4+168)</f>
        <v>46191</v>
      </c>
      <c r="N16839" t="str">
        <f>IF(M16839="","",'Master Barang'!A33)</f>
        <v>PRL-032</v>
      </c>
      <c r="O16839" t="str">
        <f>IF(N16839="","",'Master Barang'!B33)</f>
        <v>plastik packaging ag box uk sedang</v>
      </c>
      <c r="P16839">
        <f>IF(OR(M16839="",N16839=""),"",SUMIFS('Barang Keluar'!$E:$E,'Barang Keluar'!$A:$A,M16839,'Barang Keluar'!$C:$C,N16839))</f>
        <v>0</v>
      </c>
    </row>
    <row r="16840" spans="13:16">
      <c r="M16840" s="49">
        <f>IF($A$4+168&gt;$B$4,"",$A$4+168)</f>
        <v>46191</v>
      </c>
      <c r="N16840" t="str">
        <f>IF(M16840="","",'Master Barang'!A34)</f>
        <v>PRL-033</v>
      </c>
      <c r="O16840">
        <f>IF(N16840="","",'Master Barang'!B34)</f>
        <v>0</v>
      </c>
      <c r="P16840">
        <f>IF(OR(M16840="",N16840=""),"",SUMIFS('Barang Keluar'!$E:$E,'Barang Keluar'!$A:$A,M16840,'Barang Keluar'!$C:$C,N16840))</f>
        <v>0</v>
      </c>
    </row>
    <row r="16841" spans="13:16">
      <c r="M16841" s="49">
        <f>IF($A$4+168&gt;$B$4,"",$A$4+168)</f>
        <v>46191</v>
      </c>
      <c r="N16841">
        <f>IF(M16841="","",'Master Barang'!A35)</f>
        <v>0</v>
      </c>
      <c r="O16841">
        <f>IF(N16841="","",'Master Barang'!B35)</f>
        <v>0</v>
      </c>
      <c r="P16841">
        <f>IF(OR(M16841="",N16841=""),"",SUMIFS('Barang Keluar'!$E:$E,'Barang Keluar'!$A:$A,M16841,'Barang Keluar'!$C:$C,N16841))</f>
        <v>0</v>
      </c>
    </row>
    <row r="16842" spans="13:16">
      <c r="M16842" s="49">
        <f>IF($A$4+168&gt;$B$4,"",$A$4+168)</f>
        <v>46191</v>
      </c>
      <c r="N16842">
        <f>IF(M16842="","",'Master Barang'!A36)</f>
        <v>0</v>
      </c>
      <c r="O16842">
        <f>IF(N16842="","",'Master Barang'!B36)</f>
        <v>0</v>
      </c>
      <c r="P16842">
        <f>IF(OR(M16842="",N16842=""),"",SUMIFS('Barang Keluar'!$E:$E,'Barang Keluar'!$A:$A,M16842,'Barang Keluar'!$C:$C,N16842))</f>
        <v>0</v>
      </c>
    </row>
    <row r="16843" spans="13:16">
      <c r="M16843" s="49">
        <f>IF($A$4+168&gt;$B$4,"",$A$4+168)</f>
        <v>46191</v>
      </c>
      <c r="N16843">
        <f>IF(M16843="","",'Master Barang'!A37)</f>
        <v>0</v>
      </c>
      <c r="O16843">
        <f>IF(N16843="","",'Master Barang'!B37)</f>
        <v>0</v>
      </c>
      <c r="P16843">
        <f>IF(OR(M16843="",N16843=""),"",SUMIFS('Barang Keluar'!$E:$E,'Barang Keluar'!$A:$A,M16843,'Barang Keluar'!$C:$C,N16843))</f>
        <v>0</v>
      </c>
    </row>
    <row r="16844" spans="13:16">
      <c r="M16844" s="49">
        <f>IF($A$4+168&gt;$B$4,"",$A$4+168)</f>
        <v>46191</v>
      </c>
      <c r="N16844">
        <f>IF(M16844="","",'Master Barang'!A38)</f>
        <v>0</v>
      </c>
      <c r="O16844">
        <f>IF(N16844="","",'Master Barang'!B38)</f>
        <v>0</v>
      </c>
      <c r="P16844">
        <f>IF(OR(M16844="",N16844=""),"",SUMIFS('Barang Keluar'!$E:$E,'Barang Keluar'!$A:$A,M16844,'Barang Keluar'!$C:$C,N16844))</f>
        <v>0</v>
      </c>
    </row>
    <row r="16845" spans="13:16">
      <c r="M16845" s="49">
        <f>IF($A$4+168&gt;$B$4,"",$A$4+168)</f>
        <v>46191</v>
      </c>
      <c r="N16845">
        <f>IF(M16845="","",'Master Barang'!A39)</f>
        <v>0</v>
      </c>
      <c r="O16845">
        <f>IF(N16845="","",'Master Barang'!B39)</f>
        <v>0</v>
      </c>
      <c r="P16845">
        <f>IF(OR(M16845="",N16845=""),"",SUMIFS('Barang Keluar'!$E:$E,'Barang Keluar'!$A:$A,M16845,'Barang Keluar'!$C:$C,N16845))</f>
        <v>0</v>
      </c>
    </row>
    <row r="16846" spans="13:16">
      <c r="M16846" s="49">
        <f>IF($A$4+168&gt;$B$4,"",$A$4+168)</f>
        <v>46191</v>
      </c>
      <c r="N16846">
        <f>IF(M16846="","",'Master Barang'!A40)</f>
        <v>0</v>
      </c>
      <c r="O16846">
        <f>IF(N16846="","",'Master Barang'!B40)</f>
        <v>0</v>
      </c>
      <c r="P16846">
        <f>IF(OR(M16846="",N16846=""),"",SUMIFS('Barang Keluar'!$E:$E,'Barang Keluar'!$A:$A,M16846,'Barang Keluar'!$C:$C,N16846))</f>
        <v>0</v>
      </c>
    </row>
    <row r="16847" spans="13:16">
      <c r="M16847" s="49">
        <f>IF($A$4+168&gt;$B$4,"",$A$4+168)</f>
        <v>46191</v>
      </c>
      <c r="N16847">
        <f>IF(M16847="","",'Master Barang'!A41)</f>
        <v>0</v>
      </c>
      <c r="O16847">
        <f>IF(N16847="","",'Master Barang'!B41)</f>
        <v>0</v>
      </c>
      <c r="P16847">
        <f>IF(OR(M16847="",N16847=""),"",SUMIFS('Barang Keluar'!$E:$E,'Barang Keluar'!$A:$A,M16847,'Barang Keluar'!$C:$C,N16847))</f>
        <v>0</v>
      </c>
    </row>
    <row r="16848" spans="13:16">
      <c r="M16848" s="49">
        <f>IF($A$4+168&gt;$B$4,"",$A$4+168)</f>
        <v>46191</v>
      </c>
      <c r="N16848">
        <f>IF(M16848="","",'Master Barang'!A42)</f>
        <v>0</v>
      </c>
      <c r="O16848">
        <f>IF(N16848="","",'Master Barang'!B42)</f>
        <v>0</v>
      </c>
      <c r="P16848">
        <f>IF(OR(M16848="",N16848=""),"",SUMIFS('Barang Keluar'!$E:$E,'Barang Keluar'!$A:$A,M16848,'Barang Keluar'!$C:$C,N16848))</f>
        <v>0</v>
      </c>
    </row>
    <row r="16849" spans="13:16">
      <c r="M16849" s="49">
        <f>IF($A$4+168&gt;$B$4,"",$A$4+168)</f>
        <v>46191</v>
      </c>
      <c r="N16849">
        <f>IF(M16849="","",'Master Barang'!A43)</f>
        <v>0</v>
      </c>
      <c r="O16849">
        <f>IF(N16849="","",'Master Barang'!B43)</f>
        <v>0</v>
      </c>
      <c r="P16849">
        <f>IF(OR(M16849="",N16849=""),"",SUMIFS('Barang Keluar'!$E:$E,'Barang Keluar'!$A:$A,M16849,'Barang Keluar'!$C:$C,N16849))</f>
        <v>0</v>
      </c>
    </row>
    <row r="16850" spans="13:16">
      <c r="M16850" s="49">
        <f>IF($A$4+168&gt;$B$4,"",$A$4+168)</f>
        <v>46191</v>
      </c>
      <c r="N16850">
        <f>IF(M16850="","",'Master Barang'!A44)</f>
        <v>0</v>
      </c>
      <c r="O16850">
        <f>IF(N16850="","",'Master Barang'!B44)</f>
        <v>0</v>
      </c>
      <c r="P16850">
        <f>IF(OR(M16850="",N16850=""),"",SUMIFS('Barang Keluar'!$E:$E,'Barang Keluar'!$A:$A,M16850,'Barang Keluar'!$C:$C,N16850))</f>
        <v>0</v>
      </c>
    </row>
    <row r="16851" spans="13:16">
      <c r="M16851" s="49">
        <f>IF($A$4+168&gt;$B$4,"",$A$4+168)</f>
        <v>46191</v>
      </c>
      <c r="N16851">
        <f>IF(M16851="","",'Master Barang'!A45)</f>
        <v>0</v>
      </c>
      <c r="O16851">
        <f>IF(N16851="","",'Master Barang'!B45)</f>
        <v>0</v>
      </c>
      <c r="P16851">
        <f>IF(OR(M16851="",N16851=""),"",SUMIFS('Barang Keluar'!$E:$E,'Barang Keluar'!$A:$A,M16851,'Barang Keluar'!$C:$C,N16851))</f>
        <v>0</v>
      </c>
    </row>
    <row r="16852" spans="13:16">
      <c r="M16852" s="49">
        <f>IF($A$4+168&gt;$B$4,"",$A$4+168)</f>
        <v>46191</v>
      </c>
      <c r="N16852">
        <f>IF(M16852="","",'Master Barang'!A46)</f>
        <v>0</v>
      </c>
      <c r="O16852">
        <f>IF(N16852="","",'Master Barang'!B46)</f>
        <v>0</v>
      </c>
      <c r="P16852">
        <f>IF(OR(M16852="",N16852=""),"",SUMIFS('Barang Keluar'!$E:$E,'Barang Keluar'!$A:$A,M16852,'Barang Keluar'!$C:$C,N16852))</f>
        <v>0</v>
      </c>
    </row>
    <row r="16853" spans="13:16">
      <c r="M16853" s="49">
        <f>IF($A$4+168&gt;$B$4,"",$A$4+168)</f>
        <v>46191</v>
      </c>
      <c r="N16853">
        <f>IF(M16853="","",'Master Barang'!A47)</f>
        <v>0</v>
      </c>
      <c r="O16853">
        <f>IF(N16853="","",'Master Barang'!B47)</f>
        <v>0</v>
      </c>
      <c r="P16853">
        <f>IF(OR(M16853="",N16853=""),"",SUMIFS('Barang Keluar'!$E:$E,'Barang Keluar'!$A:$A,M16853,'Barang Keluar'!$C:$C,N16853))</f>
        <v>0</v>
      </c>
    </row>
    <row r="16854" spans="13:16">
      <c r="M16854" s="49">
        <f>IF($A$4+168&gt;$B$4,"",$A$4+168)</f>
        <v>46191</v>
      </c>
      <c r="N16854">
        <f>IF(M16854="","",'Master Barang'!A48)</f>
        <v>0</v>
      </c>
      <c r="O16854">
        <f>IF(N16854="","",'Master Barang'!B48)</f>
        <v>0</v>
      </c>
      <c r="P16854">
        <f>IF(OR(M16854="",N16854=""),"",SUMIFS('Barang Keluar'!$E:$E,'Barang Keluar'!$A:$A,M16854,'Barang Keluar'!$C:$C,N16854))</f>
        <v>0</v>
      </c>
    </row>
    <row r="16855" spans="13:16">
      <c r="M16855" s="49">
        <f>IF($A$4+168&gt;$B$4,"",$A$4+168)</f>
        <v>46191</v>
      </c>
      <c r="N16855">
        <f>IF(M16855="","",'Master Barang'!A49)</f>
        <v>0</v>
      </c>
      <c r="O16855">
        <f>IF(N16855="","",'Master Barang'!B49)</f>
        <v>0</v>
      </c>
      <c r="P16855">
        <f>IF(OR(M16855="",N16855=""),"",SUMIFS('Barang Keluar'!$E:$E,'Barang Keluar'!$A:$A,M16855,'Barang Keluar'!$C:$C,N16855))</f>
        <v>0</v>
      </c>
    </row>
    <row r="16856" spans="13:16">
      <c r="M16856" s="49">
        <f>IF($A$4+168&gt;$B$4,"",$A$4+168)</f>
        <v>46191</v>
      </c>
      <c r="N16856">
        <f>IF(M16856="","",'Master Barang'!A50)</f>
        <v>0</v>
      </c>
      <c r="O16856">
        <f>IF(N16856="","",'Master Barang'!B50)</f>
        <v>0</v>
      </c>
      <c r="P16856">
        <f>IF(OR(M16856="",N16856=""),"",SUMIFS('Barang Keluar'!$E:$E,'Barang Keluar'!$A:$A,M16856,'Barang Keluar'!$C:$C,N16856))</f>
        <v>0</v>
      </c>
    </row>
    <row r="16857" spans="13:16">
      <c r="M16857" s="49">
        <f>IF($A$4+168&gt;$B$4,"",$A$4+168)</f>
        <v>46191</v>
      </c>
      <c r="N16857">
        <f>IF(M16857="","",'Master Barang'!A51)</f>
        <v>0</v>
      </c>
      <c r="O16857">
        <f>IF(N16857="","",'Master Barang'!B51)</f>
        <v>0</v>
      </c>
      <c r="P16857">
        <f>IF(OR(M16857="",N16857=""),"",SUMIFS('Barang Keluar'!$E:$E,'Barang Keluar'!$A:$A,M16857,'Barang Keluar'!$C:$C,N16857))</f>
        <v>0</v>
      </c>
    </row>
    <row r="16858" spans="13:16">
      <c r="M16858" s="49">
        <f>IF($A$4+168&gt;$B$4,"",$A$4+168)</f>
        <v>46191</v>
      </c>
      <c r="N16858">
        <f>IF(M16858="","",'Master Barang'!A52)</f>
        <v>0</v>
      </c>
      <c r="O16858">
        <f>IF(N16858="","",'Master Barang'!B52)</f>
        <v>0</v>
      </c>
      <c r="P16858">
        <f>IF(OR(M16858="",N16858=""),"",SUMIFS('Barang Keluar'!$E:$E,'Barang Keluar'!$A:$A,M16858,'Barang Keluar'!$C:$C,N16858))</f>
        <v>0</v>
      </c>
    </row>
    <row r="16859" spans="13:16">
      <c r="M16859" s="49">
        <f>IF($A$4+168&gt;$B$4,"",$A$4+168)</f>
        <v>46191</v>
      </c>
      <c r="N16859">
        <f>IF(M16859="","",'Master Barang'!A53)</f>
        <v>0</v>
      </c>
      <c r="O16859">
        <f>IF(N16859="","",'Master Barang'!B53)</f>
        <v>0</v>
      </c>
      <c r="P16859">
        <f>IF(OR(M16859="",N16859=""),"",SUMIFS('Barang Keluar'!$E:$E,'Barang Keluar'!$A:$A,M16859,'Barang Keluar'!$C:$C,N16859))</f>
        <v>0</v>
      </c>
    </row>
    <row r="16860" spans="13:16">
      <c r="M16860" s="49">
        <f>IF($A$4+168&gt;$B$4,"",$A$4+168)</f>
        <v>46191</v>
      </c>
      <c r="N16860">
        <f>IF(M16860="","",'Master Barang'!A54)</f>
        <v>0</v>
      </c>
      <c r="O16860">
        <f>IF(N16860="","",'Master Barang'!B54)</f>
        <v>0</v>
      </c>
      <c r="P16860">
        <f>IF(OR(M16860="",N16860=""),"",SUMIFS('Barang Keluar'!$E:$E,'Barang Keluar'!$A:$A,M16860,'Barang Keluar'!$C:$C,N16860))</f>
        <v>0</v>
      </c>
    </row>
    <row r="16861" spans="13:16">
      <c r="M16861" s="49">
        <f>IF($A$4+168&gt;$B$4,"",$A$4+168)</f>
        <v>46191</v>
      </c>
      <c r="N16861">
        <f>IF(M16861="","",'Master Barang'!A55)</f>
        <v>0</v>
      </c>
      <c r="O16861">
        <f>IF(N16861="","",'Master Barang'!B55)</f>
        <v>0</v>
      </c>
      <c r="P16861">
        <f>IF(OR(M16861="",N16861=""),"",SUMIFS('Barang Keluar'!$E:$E,'Barang Keluar'!$A:$A,M16861,'Barang Keluar'!$C:$C,N16861))</f>
        <v>0</v>
      </c>
    </row>
    <row r="16862" spans="13:16">
      <c r="M16862" s="49">
        <f>IF($A$4+168&gt;$B$4,"",$A$4+168)</f>
        <v>46191</v>
      </c>
      <c r="N16862">
        <f>IF(M16862="","",'Master Barang'!A56)</f>
        <v>0</v>
      </c>
      <c r="O16862">
        <f>IF(N16862="","",'Master Barang'!B56)</f>
        <v>0</v>
      </c>
      <c r="P16862">
        <f>IF(OR(M16862="",N16862=""),"",SUMIFS('Barang Keluar'!$E:$E,'Barang Keluar'!$A:$A,M16862,'Barang Keluar'!$C:$C,N16862))</f>
        <v>0</v>
      </c>
    </row>
    <row r="16863" spans="13:16">
      <c r="M16863" s="49">
        <f>IF($A$4+168&gt;$B$4,"",$A$4+168)</f>
        <v>46191</v>
      </c>
      <c r="N16863">
        <f>IF(M16863="","",'Master Barang'!A57)</f>
        <v>0</v>
      </c>
      <c r="O16863">
        <f>IF(N16863="","",'Master Barang'!B57)</f>
        <v>0</v>
      </c>
      <c r="P16863">
        <f>IF(OR(M16863="",N16863=""),"",SUMIFS('Barang Keluar'!$E:$E,'Barang Keluar'!$A:$A,M16863,'Barang Keluar'!$C:$C,N16863))</f>
        <v>0</v>
      </c>
    </row>
    <row r="16864" spans="13:16">
      <c r="M16864" s="49">
        <f>IF($A$4+168&gt;$B$4,"",$A$4+168)</f>
        <v>46191</v>
      </c>
      <c r="N16864">
        <f>IF(M16864="","",'Master Barang'!A58)</f>
        <v>0</v>
      </c>
      <c r="O16864">
        <f>IF(N16864="","",'Master Barang'!B58)</f>
        <v>0</v>
      </c>
      <c r="P16864">
        <f>IF(OR(M16864="",N16864=""),"",SUMIFS('Barang Keluar'!$E:$E,'Barang Keluar'!$A:$A,M16864,'Barang Keluar'!$C:$C,N16864))</f>
        <v>0</v>
      </c>
    </row>
    <row r="16865" spans="13:16">
      <c r="M16865" s="49">
        <f>IF($A$4+168&gt;$B$4,"",$A$4+168)</f>
        <v>46191</v>
      </c>
      <c r="N16865">
        <f>IF(M16865="","",'Master Barang'!A59)</f>
        <v>0</v>
      </c>
      <c r="O16865">
        <f>IF(N16865="","",'Master Barang'!B59)</f>
        <v>0</v>
      </c>
      <c r="P16865">
        <f>IF(OR(M16865="",N16865=""),"",SUMIFS('Barang Keluar'!$E:$E,'Barang Keluar'!$A:$A,M16865,'Barang Keluar'!$C:$C,N16865))</f>
        <v>0</v>
      </c>
    </row>
    <row r="16866" spans="13:16">
      <c r="M16866" s="49">
        <f>IF($A$4+168&gt;$B$4,"",$A$4+168)</f>
        <v>46191</v>
      </c>
      <c r="N16866">
        <f>IF(M16866="","",'Master Barang'!A60)</f>
        <v>0</v>
      </c>
      <c r="O16866">
        <f>IF(N16866="","",'Master Barang'!B60)</f>
        <v>0</v>
      </c>
      <c r="P16866">
        <f>IF(OR(M16866="",N16866=""),"",SUMIFS('Barang Keluar'!$E:$E,'Barang Keluar'!$A:$A,M16866,'Barang Keluar'!$C:$C,N16866))</f>
        <v>0</v>
      </c>
    </row>
    <row r="16867" spans="13:16">
      <c r="M16867" s="49">
        <f>IF($A$4+168&gt;$B$4,"",$A$4+168)</f>
        <v>46191</v>
      </c>
      <c r="N16867">
        <f>IF(M16867="","",'Master Barang'!A61)</f>
        <v>0</v>
      </c>
      <c r="O16867">
        <f>IF(N16867="","",'Master Barang'!B61)</f>
        <v>0</v>
      </c>
      <c r="P16867">
        <f>IF(OR(M16867="",N16867=""),"",SUMIFS('Barang Keluar'!$E:$E,'Barang Keluar'!$A:$A,M16867,'Barang Keluar'!$C:$C,N16867))</f>
        <v>0</v>
      </c>
    </row>
    <row r="16868" spans="13:16">
      <c r="M16868" s="49">
        <f>IF($A$4+168&gt;$B$4,"",$A$4+168)</f>
        <v>46191</v>
      </c>
      <c r="N16868">
        <f>IF(M16868="","",'Master Barang'!A62)</f>
        <v>0</v>
      </c>
      <c r="O16868">
        <f>IF(N16868="","",'Master Barang'!B62)</f>
        <v>0</v>
      </c>
      <c r="P16868">
        <f>IF(OR(M16868="",N16868=""),"",SUMIFS('Barang Keluar'!$E:$E,'Barang Keluar'!$A:$A,M16868,'Barang Keluar'!$C:$C,N16868))</f>
        <v>0</v>
      </c>
    </row>
    <row r="16869" spans="13:16">
      <c r="M16869" s="49">
        <f>IF($A$4+168&gt;$B$4,"",$A$4+168)</f>
        <v>46191</v>
      </c>
      <c r="N16869">
        <f>IF(M16869="","",'Master Barang'!A63)</f>
        <v>0</v>
      </c>
      <c r="O16869">
        <f>IF(N16869="","",'Master Barang'!B63)</f>
        <v>0</v>
      </c>
      <c r="P16869">
        <f>IF(OR(M16869="",N16869=""),"",SUMIFS('Barang Keluar'!$E:$E,'Barang Keluar'!$A:$A,M16869,'Barang Keluar'!$C:$C,N16869))</f>
        <v>0</v>
      </c>
    </row>
    <row r="16870" spans="13:16">
      <c r="M16870" s="49">
        <f>IF($A$4+168&gt;$B$4,"",$A$4+168)</f>
        <v>46191</v>
      </c>
      <c r="N16870">
        <f>IF(M16870="","",'Master Barang'!A64)</f>
        <v>0</v>
      </c>
      <c r="O16870">
        <f>IF(N16870="","",'Master Barang'!B64)</f>
        <v>0</v>
      </c>
      <c r="P16870">
        <f>IF(OR(M16870="",N16870=""),"",SUMIFS('Barang Keluar'!$E:$E,'Barang Keluar'!$A:$A,M16870,'Barang Keluar'!$C:$C,N16870))</f>
        <v>0</v>
      </c>
    </row>
    <row r="16871" spans="13:16">
      <c r="M16871" s="49">
        <f>IF($A$4+168&gt;$B$4,"",$A$4+168)</f>
        <v>46191</v>
      </c>
      <c r="N16871">
        <f>IF(M16871="","",'Master Barang'!A65)</f>
        <v>0</v>
      </c>
      <c r="O16871">
        <f>IF(N16871="","",'Master Barang'!B65)</f>
        <v>0</v>
      </c>
      <c r="P16871">
        <f>IF(OR(M16871="",N16871=""),"",SUMIFS('Barang Keluar'!$E:$E,'Barang Keluar'!$A:$A,M16871,'Barang Keluar'!$C:$C,N16871))</f>
        <v>0</v>
      </c>
    </row>
    <row r="16872" spans="13:16">
      <c r="M16872" s="49">
        <f>IF($A$4+168&gt;$B$4,"",$A$4+168)</f>
        <v>46191</v>
      </c>
      <c r="N16872">
        <f>IF(M16872="","",'Master Barang'!A66)</f>
        <v>0</v>
      </c>
      <c r="O16872">
        <f>IF(N16872="","",'Master Barang'!B66)</f>
        <v>0</v>
      </c>
      <c r="P16872">
        <f>IF(OR(M16872="",N16872=""),"",SUMIFS('Barang Keluar'!$E:$E,'Barang Keluar'!$A:$A,M16872,'Barang Keluar'!$C:$C,N16872))</f>
        <v>0</v>
      </c>
    </row>
    <row r="16873" spans="13:16">
      <c r="M16873" s="49">
        <f>IF($A$4+168&gt;$B$4,"",$A$4+168)</f>
        <v>46191</v>
      </c>
      <c r="N16873">
        <f>IF(M16873="","",'Master Barang'!A67)</f>
        <v>0</v>
      </c>
      <c r="O16873">
        <f>IF(N16873="","",'Master Barang'!B67)</f>
        <v>0</v>
      </c>
      <c r="P16873">
        <f>IF(OR(M16873="",N16873=""),"",SUMIFS('Barang Keluar'!$E:$E,'Barang Keluar'!$A:$A,M16873,'Barang Keluar'!$C:$C,N16873))</f>
        <v>0</v>
      </c>
    </row>
    <row r="16874" spans="13:16">
      <c r="M16874" s="49">
        <f>IF($A$4+168&gt;$B$4,"",$A$4+168)</f>
        <v>46191</v>
      </c>
      <c r="N16874">
        <f>IF(M16874="","",'Master Barang'!A68)</f>
        <v>0</v>
      </c>
      <c r="O16874">
        <f>IF(N16874="","",'Master Barang'!B68)</f>
        <v>0</v>
      </c>
      <c r="P16874">
        <f>IF(OR(M16874="",N16874=""),"",SUMIFS('Barang Keluar'!$E:$E,'Barang Keluar'!$A:$A,M16874,'Barang Keluar'!$C:$C,N16874))</f>
        <v>0</v>
      </c>
    </row>
    <row r="16875" spans="13:16">
      <c r="M16875" s="49">
        <f>IF($A$4+168&gt;$B$4,"",$A$4+168)</f>
        <v>46191</v>
      </c>
      <c r="N16875">
        <f>IF(M16875="","",'Master Barang'!A69)</f>
        <v>0</v>
      </c>
      <c r="O16875">
        <f>IF(N16875="","",'Master Barang'!B69)</f>
        <v>0</v>
      </c>
      <c r="P16875">
        <f>IF(OR(M16875="",N16875=""),"",SUMIFS('Barang Keluar'!$E:$E,'Barang Keluar'!$A:$A,M16875,'Barang Keluar'!$C:$C,N16875))</f>
        <v>0</v>
      </c>
    </row>
    <row r="16876" spans="13:16">
      <c r="M16876" s="49">
        <f>IF($A$4+168&gt;$B$4,"",$A$4+168)</f>
        <v>46191</v>
      </c>
      <c r="N16876">
        <f>IF(M16876="","",'Master Barang'!A70)</f>
        <v>0</v>
      </c>
      <c r="O16876">
        <f>IF(N16876="","",'Master Barang'!B70)</f>
        <v>0</v>
      </c>
      <c r="P16876">
        <f>IF(OR(M16876="",N16876=""),"",SUMIFS('Barang Keluar'!$E:$E,'Barang Keluar'!$A:$A,M16876,'Barang Keluar'!$C:$C,N16876))</f>
        <v>0</v>
      </c>
    </row>
    <row r="16877" spans="13:16">
      <c r="M16877" s="49">
        <f>IF($A$4+168&gt;$B$4,"",$A$4+168)</f>
        <v>46191</v>
      </c>
      <c r="N16877">
        <f>IF(M16877="","",'Master Barang'!A71)</f>
        <v>0</v>
      </c>
      <c r="O16877">
        <f>IF(N16877="","",'Master Barang'!B71)</f>
        <v>0</v>
      </c>
      <c r="P16877">
        <f>IF(OR(M16877="",N16877=""),"",SUMIFS('Barang Keluar'!$E:$E,'Barang Keluar'!$A:$A,M16877,'Barang Keluar'!$C:$C,N16877))</f>
        <v>0</v>
      </c>
    </row>
    <row r="16878" spans="13:16">
      <c r="M16878" s="49">
        <f>IF($A$4+168&gt;$B$4,"",$A$4+168)</f>
        <v>46191</v>
      </c>
      <c r="N16878">
        <f>IF(M16878="","",'Master Barang'!A72)</f>
        <v>0</v>
      </c>
      <c r="O16878">
        <f>IF(N16878="","",'Master Barang'!B72)</f>
        <v>0</v>
      </c>
      <c r="P16878">
        <f>IF(OR(M16878="",N16878=""),"",SUMIFS('Barang Keluar'!$E:$E,'Barang Keluar'!$A:$A,M16878,'Barang Keluar'!$C:$C,N16878))</f>
        <v>0</v>
      </c>
    </row>
    <row r="16879" spans="13:16">
      <c r="M16879" s="49">
        <f>IF($A$4+168&gt;$B$4,"",$A$4+168)</f>
        <v>46191</v>
      </c>
      <c r="N16879">
        <f>IF(M16879="","",'Master Barang'!A73)</f>
        <v>0</v>
      </c>
      <c r="O16879">
        <f>IF(N16879="","",'Master Barang'!B73)</f>
        <v>0</v>
      </c>
      <c r="P16879">
        <f>IF(OR(M16879="",N16879=""),"",SUMIFS('Barang Keluar'!$E:$E,'Barang Keluar'!$A:$A,M16879,'Barang Keluar'!$C:$C,N16879))</f>
        <v>0</v>
      </c>
    </row>
    <row r="16880" spans="13:16">
      <c r="M16880" s="49">
        <f>IF($A$4+168&gt;$B$4,"",$A$4+168)</f>
        <v>46191</v>
      </c>
      <c r="N16880">
        <f>IF(M16880="","",'Master Barang'!A74)</f>
        <v>0</v>
      </c>
      <c r="O16880">
        <f>IF(N16880="","",'Master Barang'!B74)</f>
        <v>0</v>
      </c>
      <c r="P16880">
        <f>IF(OR(M16880="",N16880=""),"",SUMIFS('Barang Keluar'!$E:$E,'Barang Keluar'!$A:$A,M16880,'Barang Keluar'!$C:$C,N16880))</f>
        <v>0</v>
      </c>
    </row>
    <row r="16881" spans="13:16">
      <c r="M16881" s="49">
        <f>IF($A$4+168&gt;$B$4,"",$A$4+168)</f>
        <v>46191</v>
      </c>
      <c r="N16881">
        <f>IF(M16881="","",'Master Barang'!A75)</f>
        <v>0</v>
      </c>
      <c r="O16881">
        <f>IF(N16881="","",'Master Barang'!B75)</f>
        <v>0</v>
      </c>
      <c r="P16881">
        <f>IF(OR(M16881="",N16881=""),"",SUMIFS('Barang Keluar'!$E:$E,'Barang Keluar'!$A:$A,M16881,'Barang Keluar'!$C:$C,N16881))</f>
        <v>0</v>
      </c>
    </row>
    <row r="16882" spans="13:16">
      <c r="M16882" s="49">
        <f>IF($A$4+168&gt;$B$4,"",$A$4+168)</f>
        <v>46191</v>
      </c>
      <c r="N16882">
        <f>IF(M16882="","",'Master Barang'!A76)</f>
        <v>0</v>
      </c>
      <c r="O16882">
        <f>IF(N16882="","",'Master Barang'!B76)</f>
        <v>0</v>
      </c>
      <c r="P16882">
        <f>IF(OR(M16882="",N16882=""),"",SUMIFS('Barang Keluar'!$E:$E,'Barang Keluar'!$A:$A,M16882,'Barang Keluar'!$C:$C,N16882))</f>
        <v>0</v>
      </c>
    </row>
    <row r="16883" spans="13:16">
      <c r="M16883" s="49">
        <f>IF($A$4+168&gt;$B$4,"",$A$4+168)</f>
        <v>46191</v>
      </c>
      <c r="N16883">
        <f>IF(M16883="","",'Master Barang'!A77)</f>
        <v>0</v>
      </c>
      <c r="O16883">
        <f>IF(N16883="","",'Master Barang'!B77)</f>
        <v>0</v>
      </c>
      <c r="P16883">
        <f>IF(OR(M16883="",N16883=""),"",SUMIFS('Barang Keluar'!$E:$E,'Barang Keluar'!$A:$A,M16883,'Barang Keluar'!$C:$C,N16883))</f>
        <v>0</v>
      </c>
    </row>
    <row r="16884" spans="13:16">
      <c r="M16884" s="49">
        <f>IF($A$4+168&gt;$B$4,"",$A$4+168)</f>
        <v>46191</v>
      </c>
      <c r="N16884">
        <f>IF(M16884="","",'Master Barang'!A78)</f>
        <v>0</v>
      </c>
      <c r="O16884">
        <f>IF(N16884="","",'Master Barang'!B78)</f>
        <v>0</v>
      </c>
      <c r="P16884">
        <f>IF(OR(M16884="",N16884=""),"",SUMIFS('Barang Keluar'!$E:$E,'Barang Keluar'!$A:$A,M16884,'Barang Keluar'!$C:$C,N16884))</f>
        <v>0</v>
      </c>
    </row>
    <row r="16885" spans="13:16">
      <c r="M16885" s="49">
        <f>IF($A$4+168&gt;$B$4,"",$A$4+168)</f>
        <v>46191</v>
      </c>
      <c r="N16885">
        <f>IF(M16885="","",'Master Barang'!A79)</f>
        <v>0</v>
      </c>
      <c r="O16885">
        <f>IF(N16885="","",'Master Barang'!B79)</f>
        <v>0</v>
      </c>
      <c r="P16885">
        <f>IF(OR(M16885="",N16885=""),"",SUMIFS('Barang Keluar'!$E:$E,'Barang Keluar'!$A:$A,M16885,'Barang Keluar'!$C:$C,N16885))</f>
        <v>0</v>
      </c>
    </row>
    <row r="16886" spans="13:16">
      <c r="M16886" s="49">
        <f>IF($A$4+168&gt;$B$4,"",$A$4+168)</f>
        <v>46191</v>
      </c>
      <c r="N16886">
        <f>IF(M16886="","",'Master Barang'!A80)</f>
        <v>0</v>
      </c>
      <c r="O16886">
        <f>IF(N16886="","",'Master Barang'!B80)</f>
        <v>0</v>
      </c>
      <c r="P16886">
        <f>IF(OR(M16886="",N16886=""),"",SUMIFS('Barang Keluar'!$E:$E,'Barang Keluar'!$A:$A,M16886,'Barang Keluar'!$C:$C,N16886))</f>
        <v>0</v>
      </c>
    </row>
    <row r="16887" spans="13:16">
      <c r="M16887" s="49">
        <f>IF($A$4+168&gt;$B$4,"",$A$4+168)</f>
        <v>46191</v>
      </c>
      <c r="N16887">
        <f>IF(M16887="","",'Master Barang'!A81)</f>
        <v>0</v>
      </c>
      <c r="O16887">
        <f>IF(N16887="","",'Master Barang'!B81)</f>
        <v>0</v>
      </c>
      <c r="P16887">
        <f>IF(OR(M16887="",N16887=""),"",SUMIFS('Barang Keluar'!$E:$E,'Barang Keluar'!$A:$A,M16887,'Barang Keluar'!$C:$C,N16887))</f>
        <v>0</v>
      </c>
    </row>
    <row r="16888" spans="13:16">
      <c r="M16888" s="49">
        <f>IF($A$4+168&gt;$B$4,"",$A$4+168)</f>
        <v>46191</v>
      </c>
      <c r="N16888">
        <f>IF(M16888="","",'Master Barang'!A82)</f>
        <v>0</v>
      </c>
      <c r="O16888">
        <f>IF(N16888="","",'Master Barang'!B82)</f>
        <v>0</v>
      </c>
      <c r="P16888">
        <f>IF(OR(M16888="",N16888=""),"",SUMIFS('Barang Keluar'!$E:$E,'Barang Keluar'!$A:$A,M16888,'Barang Keluar'!$C:$C,N16888))</f>
        <v>0</v>
      </c>
    </row>
    <row r="16889" spans="13:16">
      <c r="M16889" s="49">
        <f>IF($A$4+168&gt;$B$4,"",$A$4+168)</f>
        <v>46191</v>
      </c>
      <c r="N16889">
        <f>IF(M16889="","",'Master Barang'!A83)</f>
        <v>0</v>
      </c>
      <c r="O16889">
        <f>IF(N16889="","",'Master Barang'!B83)</f>
        <v>0</v>
      </c>
      <c r="P16889">
        <f>IF(OR(M16889="",N16889=""),"",SUMIFS('Barang Keluar'!$E:$E,'Barang Keluar'!$A:$A,M16889,'Barang Keluar'!$C:$C,N16889))</f>
        <v>0</v>
      </c>
    </row>
    <row r="16890" spans="13:16">
      <c r="M16890" s="49">
        <f>IF($A$4+168&gt;$B$4,"",$A$4+168)</f>
        <v>46191</v>
      </c>
      <c r="N16890">
        <f>IF(M16890="","",'Master Barang'!A84)</f>
        <v>0</v>
      </c>
      <c r="O16890">
        <f>IF(N16890="","",'Master Barang'!B84)</f>
        <v>0</v>
      </c>
      <c r="P16890">
        <f>IF(OR(M16890="",N16890=""),"",SUMIFS('Barang Keluar'!$E:$E,'Barang Keluar'!$A:$A,M16890,'Barang Keluar'!$C:$C,N16890))</f>
        <v>0</v>
      </c>
    </row>
    <row r="16891" spans="13:16">
      <c r="M16891" s="49">
        <f>IF($A$4+168&gt;$B$4,"",$A$4+168)</f>
        <v>46191</v>
      </c>
      <c r="N16891">
        <f>IF(M16891="","",'Master Barang'!A85)</f>
        <v>0</v>
      </c>
      <c r="O16891">
        <f>IF(N16891="","",'Master Barang'!B85)</f>
        <v>0</v>
      </c>
      <c r="P16891">
        <f>IF(OR(M16891="",N16891=""),"",SUMIFS('Barang Keluar'!$E:$E,'Barang Keluar'!$A:$A,M16891,'Barang Keluar'!$C:$C,N16891))</f>
        <v>0</v>
      </c>
    </row>
    <row r="16892" spans="13:16">
      <c r="M16892" s="49">
        <f>IF($A$4+168&gt;$B$4,"",$A$4+168)</f>
        <v>46191</v>
      </c>
      <c r="N16892">
        <f>IF(M16892="","",'Master Barang'!A86)</f>
        <v>0</v>
      </c>
      <c r="O16892">
        <f>IF(N16892="","",'Master Barang'!B86)</f>
        <v>0</v>
      </c>
      <c r="P16892">
        <f>IF(OR(M16892="",N16892=""),"",SUMIFS('Barang Keluar'!$E:$E,'Barang Keluar'!$A:$A,M16892,'Barang Keluar'!$C:$C,N16892))</f>
        <v>0</v>
      </c>
    </row>
    <row r="16893" spans="13:16">
      <c r="M16893" s="49">
        <f>IF($A$4+168&gt;$B$4,"",$A$4+168)</f>
        <v>46191</v>
      </c>
      <c r="N16893">
        <f>IF(M16893="","",'Master Barang'!A87)</f>
        <v>0</v>
      </c>
      <c r="O16893">
        <f>IF(N16893="","",'Master Barang'!B87)</f>
        <v>0</v>
      </c>
      <c r="P16893">
        <f>IF(OR(M16893="",N16893=""),"",SUMIFS('Barang Keluar'!$E:$E,'Barang Keluar'!$A:$A,M16893,'Barang Keluar'!$C:$C,N16893))</f>
        <v>0</v>
      </c>
    </row>
    <row r="16894" spans="13:16">
      <c r="M16894" s="49">
        <f>IF($A$4+168&gt;$B$4,"",$A$4+168)</f>
        <v>46191</v>
      </c>
      <c r="N16894">
        <f>IF(M16894="","",'Master Barang'!A88)</f>
        <v>0</v>
      </c>
      <c r="O16894">
        <f>IF(N16894="","",'Master Barang'!B88)</f>
        <v>0</v>
      </c>
      <c r="P16894">
        <f>IF(OR(M16894="",N16894=""),"",SUMIFS('Barang Keluar'!$E:$E,'Barang Keluar'!$A:$A,M16894,'Barang Keluar'!$C:$C,N16894))</f>
        <v>0</v>
      </c>
    </row>
    <row r="16895" spans="13:16">
      <c r="M16895" s="49">
        <f>IF($A$4+168&gt;$B$4,"",$A$4+168)</f>
        <v>46191</v>
      </c>
      <c r="N16895">
        <f>IF(M16895="","",'Master Barang'!A89)</f>
        <v>0</v>
      </c>
      <c r="O16895">
        <f>IF(N16895="","",'Master Barang'!B89)</f>
        <v>0</v>
      </c>
      <c r="P16895">
        <f>IF(OR(M16895="",N16895=""),"",SUMIFS('Barang Keluar'!$E:$E,'Barang Keluar'!$A:$A,M16895,'Barang Keluar'!$C:$C,N16895))</f>
        <v>0</v>
      </c>
    </row>
    <row r="16896" spans="13:16">
      <c r="M16896" s="49">
        <f>IF($A$4+168&gt;$B$4,"",$A$4+168)</f>
        <v>46191</v>
      </c>
      <c r="N16896">
        <f>IF(M16896="","",'Master Barang'!A90)</f>
        <v>0</v>
      </c>
      <c r="O16896">
        <f>IF(N16896="","",'Master Barang'!B90)</f>
        <v>0</v>
      </c>
      <c r="P16896">
        <f>IF(OR(M16896="",N16896=""),"",SUMIFS('Barang Keluar'!$E:$E,'Barang Keluar'!$A:$A,M16896,'Barang Keluar'!$C:$C,N16896))</f>
        <v>0</v>
      </c>
    </row>
    <row r="16897" spans="13:16">
      <c r="M16897" s="49">
        <f>IF($A$4+168&gt;$B$4,"",$A$4+168)</f>
        <v>46191</v>
      </c>
      <c r="N16897">
        <f>IF(M16897="","",'Master Barang'!A91)</f>
        <v>0</v>
      </c>
      <c r="O16897">
        <f>IF(N16897="","",'Master Barang'!B91)</f>
        <v>0</v>
      </c>
      <c r="P16897">
        <f>IF(OR(M16897="",N16897=""),"",SUMIFS('Barang Keluar'!$E:$E,'Barang Keluar'!$A:$A,M16897,'Barang Keluar'!$C:$C,N16897))</f>
        <v>0</v>
      </c>
    </row>
    <row r="16898" spans="13:16">
      <c r="M16898" s="49">
        <f>IF($A$4+168&gt;$B$4,"",$A$4+168)</f>
        <v>46191</v>
      </c>
      <c r="N16898">
        <f>IF(M16898="","",'Master Barang'!A92)</f>
        <v>0</v>
      </c>
      <c r="O16898">
        <f>IF(N16898="","",'Master Barang'!B92)</f>
        <v>0</v>
      </c>
      <c r="P16898">
        <f>IF(OR(M16898="",N16898=""),"",SUMIFS('Barang Keluar'!$E:$E,'Barang Keluar'!$A:$A,M16898,'Barang Keluar'!$C:$C,N16898))</f>
        <v>0</v>
      </c>
    </row>
    <row r="16899" spans="13:16">
      <c r="M16899" s="49">
        <f>IF($A$4+168&gt;$B$4,"",$A$4+168)</f>
        <v>46191</v>
      </c>
      <c r="N16899">
        <f>IF(M16899="","",'Master Barang'!A93)</f>
        <v>0</v>
      </c>
      <c r="O16899">
        <f>IF(N16899="","",'Master Barang'!B93)</f>
        <v>0</v>
      </c>
      <c r="P16899">
        <f>IF(OR(M16899="",N16899=""),"",SUMIFS('Barang Keluar'!$E:$E,'Barang Keluar'!$A:$A,M16899,'Barang Keluar'!$C:$C,N16899))</f>
        <v>0</v>
      </c>
    </row>
    <row r="16900" spans="13:16">
      <c r="M16900" s="49">
        <f>IF($A$4+168&gt;$B$4,"",$A$4+168)</f>
        <v>46191</v>
      </c>
      <c r="N16900">
        <f>IF(M16900="","",'Master Barang'!A94)</f>
        <v>0</v>
      </c>
      <c r="O16900">
        <f>IF(N16900="","",'Master Barang'!B94)</f>
        <v>0</v>
      </c>
      <c r="P16900">
        <f>IF(OR(M16900="",N16900=""),"",SUMIFS('Barang Keluar'!$E:$E,'Barang Keluar'!$A:$A,M16900,'Barang Keluar'!$C:$C,N16900))</f>
        <v>0</v>
      </c>
    </row>
    <row r="16901" spans="13:16">
      <c r="M16901" s="49">
        <f>IF($A$4+168&gt;$B$4,"",$A$4+168)</f>
        <v>46191</v>
      </c>
      <c r="N16901">
        <f>IF(M16901="","",'Master Barang'!A95)</f>
        <v>0</v>
      </c>
      <c r="O16901">
        <f>IF(N16901="","",'Master Barang'!B95)</f>
        <v>0</v>
      </c>
      <c r="P16901">
        <f>IF(OR(M16901="",N16901=""),"",SUMIFS('Barang Keluar'!$E:$E,'Barang Keluar'!$A:$A,M16901,'Barang Keluar'!$C:$C,N16901))</f>
        <v>0</v>
      </c>
    </row>
    <row r="16902" spans="13:16">
      <c r="M16902" s="49">
        <f>IF($A$4+168&gt;$B$4,"",$A$4+168)</f>
        <v>46191</v>
      </c>
      <c r="N16902">
        <f>IF(M16902="","",'Master Barang'!A96)</f>
        <v>0</v>
      </c>
      <c r="O16902">
        <f>IF(N16902="","",'Master Barang'!B96)</f>
        <v>0</v>
      </c>
      <c r="P16902">
        <f>IF(OR(M16902="",N16902=""),"",SUMIFS('Barang Keluar'!$E:$E,'Barang Keluar'!$A:$A,M16902,'Barang Keluar'!$C:$C,N16902))</f>
        <v>0</v>
      </c>
    </row>
    <row r="16903" spans="13:16">
      <c r="M16903" s="49">
        <f>IF($A$4+168&gt;$B$4,"",$A$4+168)</f>
        <v>46191</v>
      </c>
      <c r="N16903">
        <f>IF(M16903="","",'Master Barang'!A97)</f>
        <v>0</v>
      </c>
      <c r="O16903">
        <f>IF(N16903="","",'Master Barang'!B97)</f>
        <v>0</v>
      </c>
      <c r="P16903">
        <f>IF(OR(M16903="",N16903=""),"",SUMIFS('Barang Keluar'!$E:$E,'Barang Keluar'!$A:$A,M16903,'Barang Keluar'!$C:$C,N16903))</f>
        <v>0</v>
      </c>
    </row>
    <row r="16904" spans="13:16">
      <c r="M16904" s="49">
        <f>IF($A$4+168&gt;$B$4,"",$A$4+168)</f>
        <v>46191</v>
      </c>
      <c r="N16904">
        <f>IF(M16904="","",'Master Barang'!A98)</f>
        <v>0</v>
      </c>
      <c r="O16904">
        <f>IF(N16904="","",'Master Barang'!B98)</f>
        <v>0</v>
      </c>
      <c r="P16904">
        <f>IF(OR(M16904="",N16904=""),"",SUMIFS('Barang Keluar'!$E:$E,'Barang Keluar'!$A:$A,M16904,'Barang Keluar'!$C:$C,N16904))</f>
        <v>0</v>
      </c>
    </row>
    <row r="16905" spans="13:16">
      <c r="M16905" s="49">
        <f>IF($A$4+168&gt;$B$4,"",$A$4+168)</f>
        <v>46191</v>
      </c>
      <c r="N16905">
        <f>IF(M16905="","",'Master Barang'!A99)</f>
        <v>0</v>
      </c>
      <c r="O16905">
        <f>IF(N16905="","",'Master Barang'!B99)</f>
        <v>0</v>
      </c>
      <c r="P16905">
        <f>IF(OR(M16905="",N16905=""),"",SUMIFS('Barang Keluar'!$E:$E,'Barang Keluar'!$A:$A,M16905,'Barang Keluar'!$C:$C,N16905))</f>
        <v>0</v>
      </c>
    </row>
    <row r="16906" spans="13:16">
      <c r="M16906" s="49">
        <f>IF($A$4+168&gt;$B$4,"",$A$4+168)</f>
        <v>46191</v>
      </c>
      <c r="N16906">
        <f>IF(M16906="","",'Master Barang'!A100)</f>
        <v>0</v>
      </c>
      <c r="O16906">
        <f>IF(N16906="","",'Master Barang'!B100)</f>
        <v>0</v>
      </c>
      <c r="P16906">
        <f>IF(OR(M16906="",N16906=""),"",SUMIFS('Barang Keluar'!$E:$E,'Barang Keluar'!$A:$A,M16906,'Barang Keluar'!$C:$C,N16906))</f>
        <v>0</v>
      </c>
    </row>
    <row r="16907" spans="13:16">
      <c r="M16907" s="49">
        <f>IF($A$4+168&gt;$B$4,"",$A$4+168)</f>
        <v>46191</v>
      </c>
      <c r="N16907">
        <f>IF(M16907="","",'Master Barang'!A101)</f>
        <v>0</v>
      </c>
      <c r="O16907">
        <f>IF(N16907="","",'Master Barang'!B101)</f>
        <v>0</v>
      </c>
      <c r="P16907">
        <f>IF(OR(M16907="",N16907=""),"",SUMIFS('Barang Keluar'!$E:$E,'Barang Keluar'!$A:$A,M16907,'Barang Keluar'!$C:$C,N16907))</f>
        <v>0</v>
      </c>
    </row>
    <row r="16908" spans="13:16">
      <c r="M16908" s="49">
        <f>IF($A$4+169&gt;$B$4,"",$A$4+169)</f>
        <v>46192</v>
      </c>
      <c r="N16908" t="str">
        <f>IF(M16908="","",'Master Barang'!A2)</f>
        <v>PRL-001</v>
      </c>
      <c r="O16908" t="str">
        <f>IF(N16908="","",'Master Barang'!B2)</f>
        <v>natura desinfectant food grade 5l</v>
      </c>
      <c r="P16908">
        <f>IF(OR(M16908="",N16908=""),"",SUMIFS('Barang Keluar'!$E:$E,'Barang Keluar'!$A:$A,M16908,'Barang Keluar'!$C:$C,N16908))</f>
        <v>0</v>
      </c>
    </row>
    <row r="16909" spans="13:16">
      <c r="M16909" s="49">
        <f>IF($A$4+169&gt;$B$4,"",$A$4+169)</f>
        <v>46192</v>
      </c>
      <c r="N16909" t="str">
        <f>IF(M16909="","",'Master Barang'!A3)</f>
        <v>PRL-002</v>
      </c>
      <c r="O16909" t="str">
        <f>IF(N16909="","",'Master Barang'!B3)</f>
        <v>sunlight cairan pencuci piring 5l</v>
      </c>
      <c r="P16909">
        <f>IF(OR(M16909="",N16909=""),"",SUMIFS('Barang Keluar'!$E:$E,'Barang Keluar'!$A:$A,M16909,'Barang Keluar'!$C:$C,N16909))</f>
        <v>0</v>
      </c>
    </row>
    <row r="16910" spans="13:16">
      <c r="M16910" s="49">
        <f>IF($A$4+169&gt;$B$4,"",$A$4+169)</f>
        <v>46192</v>
      </c>
      <c r="N16910" t="str">
        <f>IF(M16910="","",'Master Barang'!A4)</f>
        <v>PRL-003</v>
      </c>
      <c r="O16910" t="str">
        <f>IF(N16910="","",'Master Barang'!B4)</f>
        <v>oixs cleaner 1l</v>
      </c>
      <c r="P16910">
        <f>IF(OR(M16910="",N16910=""),"",SUMIFS('Barang Keluar'!$E:$E,'Barang Keluar'!$A:$A,M16910,'Barang Keluar'!$C:$C,N16910))</f>
        <v>0</v>
      </c>
    </row>
    <row r="16911" spans="13:16">
      <c r="M16911" s="49">
        <f>IF($A$4+169&gt;$B$4,"",$A$4+169)</f>
        <v>46192</v>
      </c>
      <c r="N16911" t="str">
        <f>IF(M16911="","",'Master Barang'!A5)</f>
        <v>PRL-004</v>
      </c>
      <c r="O16911" t="str">
        <f>IF(N16911="","",'Master Barang'!B5)</f>
        <v>be clean tissue serbaguna</v>
      </c>
      <c r="P16911">
        <f>IF(OR(M16911="",N16911=""),"",SUMIFS('Barang Keluar'!$E:$E,'Barang Keluar'!$A:$A,M16911,'Barang Keluar'!$C:$C,N16911))</f>
        <v>0</v>
      </c>
    </row>
    <row r="16912" spans="13:16">
      <c r="M16912" s="49">
        <f>IF($A$4+169&gt;$B$4,"",$A$4+169)</f>
        <v>46192</v>
      </c>
      <c r="N16912" t="str">
        <f>IF(M16912="","",'Master Barang'!A6)</f>
        <v>PRL-005</v>
      </c>
      <c r="O16912" t="str">
        <f>IF(N16912="","",'Master Barang'!B6)</f>
        <v>spons cuci hijau</v>
      </c>
      <c r="P16912">
        <f>IF(OR(M16912="",N16912=""),"",SUMIFS('Barang Keluar'!$E:$E,'Barang Keluar'!$A:$A,M16912,'Barang Keluar'!$C:$C,N16912))</f>
        <v>0</v>
      </c>
    </row>
    <row r="16913" spans="13:16">
      <c r="M16913" s="49">
        <f>IF($A$4+169&gt;$B$4,"",$A$4+169)</f>
        <v>46192</v>
      </c>
      <c r="N16913" t="str">
        <f>IF(M16913="","",'Master Barang'!A7)</f>
        <v>PRL-006</v>
      </c>
      <c r="O16913" t="str">
        <f>IF(N16913="","",'Master Barang'!B7)</f>
        <v>sabut cuci stainless</v>
      </c>
      <c r="P16913">
        <f>IF(OR(M16913="",N16913=""),"",SUMIFS('Barang Keluar'!$E:$E,'Barang Keluar'!$A:$A,M16913,'Barang Keluar'!$C:$C,N16913))</f>
        <v>0</v>
      </c>
    </row>
    <row r="16914" spans="13:16">
      <c r="M16914" s="49">
        <f>IF($A$4+169&gt;$B$4,"",$A$4+169)</f>
        <v>46192</v>
      </c>
      <c r="N16914" t="str">
        <f>IF(M16914="","",'Master Barang'!A8)</f>
        <v>PRL-007</v>
      </c>
      <c r="O16914" t="str">
        <f>IF(N16914="","",'Master Barang'!B8)</f>
        <v>plastik kresek besar merah 50pc</v>
      </c>
      <c r="P16914">
        <f>IF(OR(M16914="",N16914=""),"",SUMIFS('Barang Keluar'!$E:$E,'Barang Keluar'!$A:$A,M16914,'Barang Keluar'!$C:$C,N16914))</f>
        <v>0</v>
      </c>
    </row>
    <row r="16915" spans="13:16">
      <c r="M16915" s="49">
        <f>IF($A$4+169&gt;$B$4,"",$A$4+169)</f>
        <v>46192</v>
      </c>
      <c r="N16915" t="str">
        <f>IF(M16915="","",'Master Barang'!A9)</f>
        <v>PRL-008</v>
      </c>
      <c r="O16915" t="str">
        <f>IF(N16915="","",'Master Barang'!B9)</f>
        <v>lap besar</v>
      </c>
      <c r="P16915">
        <f>IF(OR(M16915="",N16915=""),"",SUMIFS('Barang Keluar'!$E:$E,'Barang Keluar'!$A:$A,M16915,'Barang Keluar'!$C:$C,N16915))</f>
        <v>0</v>
      </c>
    </row>
    <row r="16916" spans="13:16">
      <c r="M16916" s="49">
        <f>IF($A$4+169&gt;$B$4,"",$A$4+169)</f>
        <v>46192</v>
      </c>
      <c r="N16916" t="str">
        <f>IF(M16916="","",'Master Barang'!A10)</f>
        <v>PRL-009</v>
      </c>
      <c r="O16916" t="str">
        <f>IF(N16916="","",'Master Barang'!B10)</f>
        <v>lap microfiber</v>
      </c>
      <c r="P16916">
        <f>IF(OR(M16916="",N16916=""),"",SUMIFS('Barang Keluar'!$E:$E,'Barang Keluar'!$A:$A,M16916,'Barang Keluar'!$C:$C,N16916))</f>
        <v>0</v>
      </c>
    </row>
    <row r="16917" spans="13:16">
      <c r="M16917" s="49">
        <f>IF($A$4+169&gt;$B$4,"",$A$4+169)</f>
        <v>46192</v>
      </c>
      <c r="N16917" t="str">
        <f>IF(M16917="","",'Master Barang'!A11)</f>
        <v>PRL-010</v>
      </c>
      <c r="O16917" t="str">
        <f>IF(N16917="","",'Master Barang'!B11)</f>
        <v>lap kecil</v>
      </c>
      <c r="P16917">
        <f>IF(OR(M16917="",N16917=""),"",SUMIFS('Barang Keluar'!$E:$E,'Barang Keluar'!$A:$A,M16917,'Barang Keluar'!$C:$C,N16917))</f>
        <v>0</v>
      </c>
    </row>
    <row r="16918" spans="13:16">
      <c r="M16918" s="49">
        <f>IF($A$4+169&gt;$B$4,"",$A$4+169)</f>
        <v>46192</v>
      </c>
      <c r="N16918" t="str">
        <f>IF(M16918="","",'Master Barang'!A12)</f>
        <v>PRL-011</v>
      </c>
      <c r="O16918" t="str">
        <f>IF(N16918="","",'Master Barang'!B12)</f>
        <v>kanebo kecil</v>
      </c>
      <c r="P16918">
        <f>IF(OR(M16918="",N16918=""),"",SUMIFS('Barang Keluar'!$E:$E,'Barang Keluar'!$A:$A,M16918,'Barang Keluar'!$C:$C,N16918))</f>
        <v>0</v>
      </c>
    </row>
    <row r="16919" spans="13:16">
      <c r="M16919" s="49">
        <f>IF($A$4+169&gt;$B$4,"",$A$4+169)</f>
        <v>46192</v>
      </c>
      <c r="N16919" t="str">
        <f>IF(M16919="","",'Master Barang'!A13)</f>
        <v>PRL-012</v>
      </c>
      <c r="O16919" t="str">
        <f>IF(N16919="","",'Master Barang'!B13)</f>
        <v>plastik 1/4kg joyoboyo 100 lembar</v>
      </c>
      <c r="P16919">
        <f>IF(OR(M16919="",N16919=""),"",SUMIFS('Barang Keluar'!$E:$E,'Barang Keluar'!$A:$A,M16919,'Barang Keluar'!$C:$C,N16919))</f>
        <v>0</v>
      </c>
    </row>
    <row r="16920" spans="13:16">
      <c r="M16920" s="49">
        <f>IF($A$4+169&gt;$B$4,"",$A$4+169)</f>
        <v>46192</v>
      </c>
      <c r="N16920" t="str">
        <f>IF(M16920="","",'Master Barang'!A14)</f>
        <v>PRL-013</v>
      </c>
      <c r="O16920" t="str">
        <f>IF(N16920="","",'Master Barang'!B14)</f>
        <v>sarung tangan plastik kaka 100 pcs</v>
      </c>
      <c r="P16920">
        <f>IF(OR(M16920="",N16920=""),"",SUMIFS('Barang Keluar'!$E:$E,'Barang Keluar'!$A:$A,M16920,'Barang Keluar'!$C:$C,N16920))</f>
        <v>0</v>
      </c>
    </row>
    <row r="16921" spans="13:16">
      <c r="M16921" s="49">
        <f>IF($A$4+169&gt;$B$4,"",$A$4+169)</f>
        <v>46192</v>
      </c>
      <c r="N16921" t="str">
        <f>IF(M16921="","",'Master Barang'!A15)</f>
        <v>PRL-014</v>
      </c>
      <c r="O16921" t="str">
        <f>IF(N16921="","",'Master Barang'!B15)</f>
        <v>optima trashbag 80x100</v>
      </c>
      <c r="P16921">
        <f>IF(OR(M16921="",N16921=""),"",SUMIFS('Barang Keluar'!$E:$E,'Barang Keluar'!$A:$A,M16921,'Barang Keluar'!$C:$C,N16921))</f>
        <v>0</v>
      </c>
    </row>
    <row r="16922" spans="13:16">
      <c r="M16922" s="49">
        <f>IF($A$4+169&gt;$B$4,"",$A$4+169)</f>
        <v>46192</v>
      </c>
      <c r="N16922" t="str">
        <f>IF(M16922="","",'Master Barang'!A16)</f>
        <v>PRL-015</v>
      </c>
      <c r="O16922" t="str">
        <f>IF(N16922="","",'Master Barang'!B16)</f>
        <v>optima trashbag 60x100</v>
      </c>
      <c r="P16922">
        <f>IF(OR(M16922="",N16922=""),"",SUMIFS('Barang Keluar'!$E:$E,'Barang Keluar'!$A:$A,M16922,'Barang Keluar'!$C:$C,N16922))</f>
        <v>0</v>
      </c>
    </row>
    <row r="16923" spans="13:16">
      <c r="M16923" s="49">
        <f>IF($A$4+169&gt;$B$4,"",$A$4+169)</f>
        <v>46192</v>
      </c>
      <c r="N16923" t="str">
        <f>IF(M16923="","",'Master Barang'!A17)</f>
        <v>PRL-016</v>
      </c>
      <c r="O16923" t="str">
        <f>IF(N16923="","",'Master Barang'!B17)</f>
        <v>rajawali trashbag 30x40</v>
      </c>
      <c r="P16923">
        <f>IF(OR(M16923="",N16923=""),"",SUMIFS('Barang Keluar'!$E:$E,'Barang Keluar'!$A:$A,M16923,'Barang Keluar'!$C:$C,N16923))</f>
        <v>0</v>
      </c>
    </row>
    <row r="16924" spans="13:16">
      <c r="M16924" s="49">
        <f>IF($A$4+169&gt;$B$4,"",$A$4+169)</f>
        <v>46192</v>
      </c>
      <c r="N16924" t="str">
        <f>IF(M16924="","",'Master Barang'!A18)</f>
        <v>PRL-017</v>
      </c>
      <c r="O16924" t="str">
        <f>IF(N16924="","",'Master Barang'!B18)</f>
        <v>onemed masker biru 3 play 50 pcs</v>
      </c>
      <c r="P16924">
        <f>IF(OR(M16924="",N16924=""),"",SUMIFS('Barang Keluar'!$E:$E,'Barang Keluar'!$A:$A,M16924,'Barang Keluar'!$C:$C,N16924))</f>
        <v>0</v>
      </c>
    </row>
    <row r="16925" spans="13:16">
      <c r="M16925" s="49">
        <f>IF($A$4+169&gt;$B$4,"",$A$4+169)</f>
        <v>46192</v>
      </c>
      <c r="N16925" t="str">
        <f>IF(M16925="","",'Master Barang'!A19)</f>
        <v>PRL-018</v>
      </c>
      <c r="O16925" t="str">
        <f>IF(N16925="","",'Master Barang'!B19)</f>
        <v>onemed masker biru 3 play hijab 50 pcs</v>
      </c>
      <c r="P16925">
        <f>IF(OR(M16925="",N16925=""),"",SUMIFS('Barang Keluar'!$E:$E,'Barang Keluar'!$A:$A,M16925,'Barang Keluar'!$C:$C,N16925))</f>
        <v>0</v>
      </c>
    </row>
    <row r="16926" spans="13:16">
      <c r="M16926" s="49">
        <f>IF($A$4+169&gt;$B$4,"",$A$4+169)</f>
        <v>46192</v>
      </c>
      <c r="N16926" t="str">
        <f>IF(M16926="","",'Master Barang'!A20)</f>
        <v>PRL-019</v>
      </c>
      <c r="O16926" t="str">
        <f>IF(N16926="","",'Master Barang'!B20)</f>
        <v>neo health masker biru 3 play 50 pcs</v>
      </c>
      <c r="P16926">
        <f>IF(OR(M16926="",N16926=""),"",SUMIFS('Barang Keluar'!$E:$E,'Barang Keluar'!$A:$A,M16926,'Barang Keluar'!$C:$C,N16926))</f>
        <v>0</v>
      </c>
    </row>
    <row r="16927" spans="13:16">
      <c r="M16927" s="49">
        <f>IF($A$4+169&gt;$B$4,"",$A$4+169)</f>
        <v>46192</v>
      </c>
      <c r="N16927" t="str">
        <f>IF(M16927="","",'Master Barang'!A21)</f>
        <v>PRL-020</v>
      </c>
      <c r="O16927" t="str">
        <f>IF(N16927="","",'Master Barang'!B21)</f>
        <v>baymed masker hijau 3 play hijau 50 pcs</v>
      </c>
      <c r="P16927">
        <f>IF(OR(M16927="",N16927=""),"",SUMIFS('Barang Keluar'!$E:$E,'Barang Keluar'!$A:$A,M16927,'Barang Keluar'!$C:$C,N16927))</f>
        <v>0</v>
      </c>
    </row>
    <row r="16928" spans="13:16">
      <c r="M16928" s="49">
        <f>IF($A$4+169&gt;$B$4,"",$A$4+169)</f>
        <v>46192</v>
      </c>
      <c r="N16928" t="str">
        <f>IF(M16928="","",'Master Barang'!A22)</f>
        <v>PRL-021</v>
      </c>
      <c r="O16928" t="str">
        <f>IF(N16928="","",'Master Barang'!B22)</f>
        <v>altamed nurse cap penutup kepala 100 pcs</v>
      </c>
      <c r="P16928">
        <f>IF(OR(M16928="",N16928=""),"",SUMIFS('Barang Keluar'!$E:$E,'Barang Keluar'!$A:$A,M16928,'Barang Keluar'!$C:$C,N16928))</f>
        <v>0</v>
      </c>
    </row>
    <row r="16929" spans="13:16">
      <c r="M16929" s="49">
        <f>IF($A$4+169&gt;$B$4,"",$A$4+169)</f>
        <v>46192</v>
      </c>
      <c r="N16929" t="str">
        <f>IF(M16929="","",'Master Barang'!A23)</f>
        <v>PRL-022</v>
      </c>
      <c r="O16929" t="str">
        <f>IF(N16929="","",'Master Barang'!B23)</f>
        <v>sabun cuci tangan</v>
      </c>
      <c r="P16929">
        <f>IF(OR(M16929="",N16929=""),"",SUMIFS('Barang Keluar'!$E:$E,'Barang Keluar'!$A:$A,M16929,'Barang Keluar'!$C:$C,N16929))</f>
        <v>0</v>
      </c>
    </row>
    <row r="16930" spans="13:16">
      <c r="M16930" s="49">
        <f>IF($A$4+169&gt;$B$4,"",$A$4+169)</f>
        <v>46192</v>
      </c>
      <c r="N16930" t="str">
        <f>IF(M16930="","",'Master Barang'!A24)</f>
        <v>PRL-023</v>
      </c>
      <c r="O16930" t="str">
        <f>IF(N16930="","",'Master Barang'!B24)</f>
        <v>gayung kecil</v>
      </c>
      <c r="P16930">
        <f>IF(OR(M16930="",N16930=""),"",SUMIFS('Barang Keluar'!$E:$E,'Barang Keluar'!$A:$A,M16930,'Barang Keluar'!$C:$C,N16930))</f>
        <v>0</v>
      </c>
    </row>
    <row r="16931" spans="13:16">
      <c r="M16931" s="49">
        <f>IF($A$4+169&gt;$B$4,"",$A$4+169)</f>
        <v>46192</v>
      </c>
      <c r="N16931" t="str">
        <f>IF(M16931="","",'Master Barang'!A25)</f>
        <v>PRL-024</v>
      </c>
      <c r="O16931" t="str">
        <f>IF(N16931="","",'Master Barang'!B25)</f>
        <v>cikrak kecil</v>
      </c>
      <c r="P16931">
        <f>IF(OR(M16931="",N16931=""),"",SUMIFS('Barang Keluar'!$E:$E,'Barang Keluar'!$A:$A,M16931,'Barang Keluar'!$C:$C,N16931))</f>
        <v>0</v>
      </c>
    </row>
    <row r="16932" spans="13:16">
      <c r="M16932" s="49">
        <f>IF($A$4+169&gt;$B$4,"",$A$4+169)</f>
        <v>46192</v>
      </c>
      <c r="N16932" t="str">
        <f>IF(M16932="","",'Master Barang'!A26)</f>
        <v>PRL-025</v>
      </c>
      <c r="O16932" t="str">
        <f>IF(N16932="","",'Master Barang'!B26)</f>
        <v>petromax plastik kecil 12x24 100 lembar</v>
      </c>
      <c r="P16932">
        <f>IF(OR(M16932="",N16932=""),"",SUMIFS('Barang Keluar'!$E:$E,'Barang Keluar'!$A:$A,M16932,'Barang Keluar'!$C:$C,N16932))</f>
        <v>0</v>
      </c>
    </row>
    <row r="16933" spans="13:16">
      <c r="M16933" s="49">
        <f>IF($A$4+169&gt;$B$4,"",$A$4+169)</f>
        <v>46192</v>
      </c>
      <c r="N16933" t="str">
        <f>IF(M16933="","",'Master Barang'!A27)</f>
        <v>PRL-026</v>
      </c>
      <c r="O16933" t="str">
        <f>IF(N16933="","",'Master Barang'!B27)</f>
        <v>lancar kresek kecil bening </v>
      </c>
      <c r="P16933">
        <f>IF(OR(M16933="",N16933=""),"",SUMIFS('Barang Keluar'!$E:$E,'Barang Keluar'!$A:$A,M16933,'Barang Keluar'!$C:$C,N16933))</f>
        <v>0</v>
      </c>
    </row>
    <row r="16934" spans="13:16">
      <c r="M16934" s="49">
        <f>IF($A$4+169&gt;$B$4,"",$A$4+169)</f>
        <v>46192</v>
      </c>
      <c r="N16934" t="str">
        <f>IF(M16934="","",'Master Barang'!A28)</f>
        <v>PRL-027</v>
      </c>
      <c r="O16934" t="str">
        <f>IF(N16934="","",'Master Barang'!B28)</f>
        <v>kresek klin warna warni kecil</v>
      </c>
      <c r="P16934">
        <f>IF(OR(M16934="",N16934=""),"",SUMIFS('Barang Keluar'!$E:$E,'Barang Keluar'!$A:$A,M16934,'Barang Keluar'!$C:$C,N16934))</f>
        <v>0</v>
      </c>
    </row>
    <row r="16935" spans="13:16">
      <c r="M16935" s="49">
        <f>IF($A$4+169&gt;$B$4,"",$A$4+169)</f>
        <v>46192</v>
      </c>
      <c r="N16935" t="str">
        <f>IF(M16935="","",'Master Barang'!A29)</f>
        <v>PRL-028</v>
      </c>
      <c r="O16935" t="str">
        <f>IF(N16935="","",'Master Barang'!B29)</f>
        <v>ctik plastik 7x10 100 pcs</v>
      </c>
      <c r="P16935">
        <f>IF(OR(M16935="",N16935=""),"",SUMIFS('Barang Keluar'!$E:$E,'Barang Keluar'!$A:$A,M16935,'Barang Keluar'!$C:$C,N16935))</f>
        <v>0</v>
      </c>
    </row>
    <row r="16936" spans="13:16">
      <c r="M16936" s="49">
        <f>IF($A$4+169&gt;$B$4,"",$A$4+169)</f>
        <v>46192</v>
      </c>
      <c r="N16936" t="str">
        <f>IF(M16936="","",'Master Barang'!A30)</f>
        <v>PRL-029</v>
      </c>
      <c r="O16936" t="str">
        <f>IF(N16936="","",'Master Barang'!B30)</f>
        <v>ctik plastik 6x10 100 pcs</v>
      </c>
      <c r="P16936">
        <f>IF(OR(M16936="",N16936=""),"",SUMIFS('Barang Keluar'!$E:$E,'Barang Keluar'!$A:$A,M16936,'Barang Keluar'!$C:$C,N16936))</f>
        <v>0</v>
      </c>
    </row>
    <row r="16937" spans="13:16">
      <c r="M16937" s="49">
        <f>IF($A$4+169&gt;$B$4,"",$A$4+169)</f>
        <v>46192</v>
      </c>
      <c r="N16937" t="str">
        <f>IF(M16937="","",'Master Barang'!A31)</f>
        <v>PRL-030</v>
      </c>
      <c r="O16937" t="str">
        <f>IF(N16937="","",'Master Barang'!B31)</f>
        <v>klip plastik 25x16 100 pcs</v>
      </c>
      <c r="P16937">
        <f>IF(OR(M16937="",N16937=""),"",SUMIFS('Barang Keluar'!$E:$E,'Barang Keluar'!$A:$A,M16937,'Barang Keluar'!$C:$C,N16937))</f>
        <v>0</v>
      </c>
    </row>
    <row r="16938" spans="13:16">
      <c r="M16938" s="49">
        <f>IF($A$4+169&gt;$B$4,"",$A$4+169)</f>
        <v>46192</v>
      </c>
      <c r="N16938" t="str">
        <f>IF(M16938="","",'Master Barang'!A32)</f>
        <v>PRL-031</v>
      </c>
      <c r="O16938" t="str">
        <f>IF(N16938="","",'Master Barang'!B32)</f>
        <v>tempat saus 20 ml</v>
      </c>
      <c r="P16938">
        <f>IF(OR(M16938="",N16938=""),"",SUMIFS('Barang Keluar'!$E:$E,'Barang Keluar'!$A:$A,M16938,'Barang Keluar'!$C:$C,N16938))</f>
        <v>0</v>
      </c>
    </row>
    <row r="16939" spans="13:16">
      <c r="M16939" s="49">
        <f>IF($A$4+169&gt;$B$4,"",$A$4+169)</f>
        <v>46192</v>
      </c>
      <c r="N16939" t="str">
        <f>IF(M16939="","",'Master Barang'!A33)</f>
        <v>PRL-032</v>
      </c>
      <c r="O16939" t="str">
        <f>IF(N16939="","",'Master Barang'!B33)</f>
        <v>plastik packaging ag box uk sedang</v>
      </c>
      <c r="P16939">
        <f>IF(OR(M16939="",N16939=""),"",SUMIFS('Barang Keluar'!$E:$E,'Barang Keluar'!$A:$A,M16939,'Barang Keluar'!$C:$C,N16939))</f>
        <v>0</v>
      </c>
    </row>
    <row r="16940" spans="13:16">
      <c r="M16940" s="49">
        <f>IF($A$4+169&gt;$B$4,"",$A$4+169)</f>
        <v>46192</v>
      </c>
      <c r="N16940" t="str">
        <f>IF(M16940="","",'Master Barang'!A34)</f>
        <v>PRL-033</v>
      </c>
      <c r="O16940">
        <f>IF(N16940="","",'Master Barang'!B34)</f>
        <v>0</v>
      </c>
      <c r="P16940">
        <f>IF(OR(M16940="",N16940=""),"",SUMIFS('Barang Keluar'!$E:$E,'Barang Keluar'!$A:$A,M16940,'Barang Keluar'!$C:$C,N16940))</f>
        <v>0</v>
      </c>
    </row>
    <row r="16941" spans="13:16">
      <c r="M16941" s="49">
        <f>IF($A$4+169&gt;$B$4,"",$A$4+169)</f>
        <v>46192</v>
      </c>
      <c r="N16941">
        <f>IF(M16941="","",'Master Barang'!A35)</f>
        <v>0</v>
      </c>
      <c r="O16941">
        <f>IF(N16941="","",'Master Barang'!B35)</f>
        <v>0</v>
      </c>
      <c r="P16941">
        <f>IF(OR(M16941="",N16941=""),"",SUMIFS('Barang Keluar'!$E:$E,'Barang Keluar'!$A:$A,M16941,'Barang Keluar'!$C:$C,N16941))</f>
        <v>0</v>
      </c>
    </row>
    <row r="16942" spans="13:16">
      <c r="M16942" s="49">
        <f>IF($A$4+169&gt;$B$4,"",$A$4+169)</f>
        <v>46192</v>
      </c>
      <c r="N16942">
        <f>IF(M16942="","",'Master Barang'!A36)</f>
        <v>0</v>
      </c>
      <c r="O16942">
        <f>IF(N16942="","",'Master Barang'!B36)</f>
        <v>0</v>
      </c>
      <c r="P16942">
        <f>IF(OR(M16942="",N16942=""),"",SUMIFS('Barang Keluar'!$E:$E,'Barang Keluar'!$A:$A,M16942,'Barang Keluar'!$C:$C,N16942))</f>
        <v>0</v>
      </c>
    </row>
    <row r="16943" spans="13:16">
      <c r="M16943" s="49">
        <f>IF($A$4+169&gt;$B$4,"",$A$4+169)</f>
        <v>46192</v>
      </c>
      <c r="N16943">
        <f>IF(M16943="","",'Master Barang'!A37)</f>
        <v>0</v>
      </c>
      <c r="O16943">
        <f>IF(N16943="","",'Master Barang'!B37)</f>
        <v>0</v>
      </c>
      <c r="P16943">
        <f>IF(OR(M16943="",N16943=""),"",SUMIFS('Barang Keluar'!$E:$E,'Barang Keluar'!$A:$A,M16943,'Barang Keluar'!$C:$C,N16943))</f>
        <v>0</v>
      </c>
    </row>
    <row r="16944" spans="13:16">
      <c r="M16944" s="49">
        <f>IF($A$4+169&gt;$B$4,"",$A$4+169)</f>
        <v>46192</v>
      </c>
      <c r="N16944">
        <f>IF(M16944="","",'Master Barang'!A38)</f>
        <v>0</v>
      </c>
      <c r="O16944">
        <f>IF(N16944="","",'Master Barang'!B38)</f>
        <v>0</v>
      </c>
      <c r="P16944">
        <f>IF(OR(M16944="",N16944=""),"",SUMIFS('Barang Keluar'!$E:$E,'Barang Keluar'!$A:$A,M16944,'Barang Keluar'!$C:$C,N16944))</f>
        <v>0</v>
      </c>
    </row>
    <row r="16945" spans="13:16">
      <c r="M16945" s="49">
        <f>IF($A$4+169&gt;$B$4,"",$A$4+169)</f>
        <v>46192</v>
      </c>
      <c r="N16945">
        <f>IF(M16945="","",'Master Barang'!A39)</f>
        <v>0</v>
      </c>
      <c r="O16945">
        <f>IF(N16945="","",'Master Barang'!B39)</f>
        <v>0</v>
      </c>
      <c r="P16945">
        <f>IF(OR(M16945="",N16945=""),"",SUMIFS('Barang Keluar'!$E:$E,'Barang Keluar'!$A:$A,M16945,'Barang Keluar'!$C:$C,N16945))</f>
        <v>0</v>
      </c>
    </row>
    <row r="16946" spans="13:16">
      <c r="M16946" s="49">
        <f>IF($A$4+169&gt;$B$4,"",$A$4+169)</f>
        <v>46192</v>
      </c>
      <c r="N16946">
        <f>IF(M16946="","",'Master Barang'!A40)</f>
        <v>0</v>
      </c>
      <c r="O16946">
        <f>IF(N16946="","",'Master Barang'!B40)</f>
        <v>0</v>
      </c>
      <c r="P16946">
        <f>IF(OR(M16946="",N16946=""),"",SUMIFS('Barang Keluar'!$E:$E,'Barang Keluar'!$A:$A,M16946,'Barang Keluar'!$C:$C,N16946))</f>
        <v>0</v>
      </c>
    </row>
    <row r="16947" spans="13:16">
      <c r="M16947" s="49">
        <f>IF($A$4+169&gt;$B$4,"",$A$4+169)</f>
        <v>46192</v>
      </c>
      <c r="N16947">
        <f>IF(M16947="","",'Master Barang'!A41)</f>
        <v>0</v>
      </c>
      <c r="O16947">
        <f>IF(N16947="","",'Master Barang'!B41)</f>
        <v>0</v>
      </c>
      <c r="P16947">
        <f>IF(OR(M16947="",N16947=""),"",SUMIFS('Barang Keluar'!$E:$E,'Barang Keluar'!$A:$A,M16947,'Barang Keluar'!$C:$C,N16947))</f>
        <v>0</v>
      </c>
    </row>
    <row r="16948" spans="13:16">
      <c r="M16948" s="49">
        <f>IF($A$4+169&gt;$B$4,"",$A$4+169)</f>
        <v>46192</v>
      </c>
      <c r="N16948">
        <f>IF(M16948="","",'Master Barang'!A42)</f>
        <v>0</v>
      </c>
      <c r="O16948">
        <f>IF(N16948="","",'Master Barang'!B42)</f>
        <v>0</v>
      </c>
      <c r="P16948">
        <f>IF(OR(M16948="",N16948=""),"",SUMIFS('Barang Keluar'!$E:$E,'Barang Keluar'!$A:$A,M16948,'Barang Keluar'!$C:$C,N16948))</f>
        <v>0</v>
      </c>
    </row>
    <row r="16949" spans="13:16">
      <c r="M16949" s="49">
        <f>IF($A$4+169&gt;$B$4,"",$A$4+169)</f>
        <v>46192</v>
      </c>
      <c r="N16949">
        <f>IF(M16949="","",'Master Barang'!A43)</f>
        <v>0</v>
      </c>
      <c r="O16949">
        <f>IF(N16949="","",'Master Barang'!B43)</f>
        <v>0</v>
      </c>
      <c r="P16949">
        <f>IF(OR(M16949="",N16949=""),"",SUMIFS('Barang Keluar'!$E:$E,'Barang Keluar'!$A:$A,M16949,'Barang Keluar'!$C:$C,N16949))</f>
        <v>0</v>
      </c>
    </row>
    <row r="16950" spans="13:16">
      <c r="M16950" s="49">
        <f>IF($A$4+169&gt;$B$4,"",$A$4+169)</f>
        <v>46192</v>
      </c>
      <c r="N16950">
        <f>IF(M16950="","",'Master Barang'!A44)</f>
        <v>0</v>
      </c>
      <c r="O16950">
        <f>IF(N16950="","",'Master Barang'!B44)</f>
        <v>0</v>
      </c>
      <c r="P16950">
        <f>IF(OR(M16950="",N16950=""),"",SUMIFS('Barang Keluar'!$E:$E,'Barang Keluar'!$A:$A,M16950,'Barang Keluar'!$C:$C,N16950))</f>
        <v>0</v>
      </c>
    </row>
    <row r="16951" spans="13:16">
      <c r="M16951" s="49">
        <f>IF($A$4+169&gt;$B$4,"",$A$4+169)</f>
        <v>46192</v>
      </c>
      <c r="N16951">
        <f>IF(M16951="","",'Master Barang'!A45)</f>
        <v>0</v>
      </c>
      <c r="O16951">
        <f>IF(N16951="","",'Master Barang'!B45)</f>
        <v>0</v>
      </c>
      <c r="P16951">
        <f>IF(OR(M16951="",N16951=""),"",SUMIFS('Barang Keluar'!$E:$E,'Barang Keluar'!$A:$A,M16951,'Barang Keluar'!$C:$C,N16951))</f>
        <v>0</v>
      </c>
    </row>
    <row r="16952" spans="13:16">
      <c r="M16952" s="49">
        <f>IF($A$4+169&gt;$B$4,"",$A$4+169)</f>
        <v>46192</v>
      </c>
      <c r="N16952">
        <f>IF(M16952="","",'Master Barang'!A46)</f>
        <v>0</v>
      </c>
      <c r="O16952">
        <f>IF(N16952="","",'Master Barang'!B46)</f>
        <v>0</v>
      </c>
      <c r="P16952">
        <f>IF(OR(M16952="",N16952=""),"",SUMIFS('Barang Keluar'!$E:$E,'Barang Keluar'!$A:$A,M16952,'Barang Keluar'!$C:$C,N16952))</f>
        <v>0</v>
      </c>
    </row>
    <row r="16953" spans="13:16">
      <c r="M16953" s="49">
        <f>IF($A$4+169&gt;$B$4,"",$A$4+169)</f>
        <v>46192</v>
      </c>
      <c r="N16953">
        <f>IF(M16953="","",'Master Barang'!A47)</f>
        <v>0</v>
      </c>
      <c r="O16953">
        <f>IF(N16953="","",'Master Barang'!B47)</f>
        <v>0</v>
      </c>
      <c r="P16953">
        <f>IF(OR(M16953="",N16953=""),"",SUMIFS('Barang Keluar'!$E:$E,'Barang Keluar'!$A:$A,M16953,'Barang Keluar'!$C:$C,N16953))</f>
        <v>0</v>
      </c>
    </row>
    <row r="16954" spans="13:16">
      <c r="M16954" s="49">
        <f>IF($A$4+169&gt;$B$4,"",$A$4+169)</f>
        <v>46192</v>
      </c>
      <c r="N16954">
        <f>IF(M16954="","",'Master Barang'!A48)</f>
        <v>0</v>
      </c>
      <c r="O16954">
        <f>IF(N16954="","",'Master Barang'!B48)</f>
        <v>0</v>
      </c>
      <c r="P16954">
        <f>IF(OR(M16954="",N16954=""),"",SUMIFS('Barang Keluar'!$E:$E,'Barang Keluar'!$A:$A,M16954,'Barang Keluar'!$C:$C,N16954))</f>
        <v>0</v>
      </c>
    </row>
    <row r="16955" spans="13:16">
      <c r="M16955" s="49">
        <f>IF($A$4+169&gt;$B$4,"",$A$4+169)</f>
        <v>46192</v>
      </c>
      <c r="N16955">
        <f>IF(M16955="","",'Master Barang'!A49)</f>
        <v>0</v>
      </c>
      <c r="O16955">
        <f>IF(N16955="","",'Master Barang'!B49)</f>
        <v>0</v>
      </c>
      <c r="P16955">
        <f>IF(OR(M16955="",N16955=""),"",SUMIFS('Barang Keluar'!$E:$E,'Barang Keluar'!$A:$A,M16955,'Barang Keluar'!$C:$C,N16955))</f>
        <v>0</v>
      </c>
    </row>
    <row r="16956" spans="13:16">
      <c r="M16956" s="49">
        <f>IF($A$4+169&gt;$B$4,"",$A$4+169)</f>
        <v>46192</v>
      </c>
      <c r="N16956">
        <f>IF(M16956="","",'Master Barang'!A50)</f>
        <v>0</v>
      </c>
      <c r="O16956">
        <f>IF(N16956="","",'Master Barang'!B50)</f>
        <v>0</v>
      </c>
      <c r="P16956">
        <f>IF(OR(M16956="",N16956=""),"",SUMIFS('Barang Keluar'!$E:$E,'Barang Keluar'!$A:$A,M16956,'Barang Keluar'!$C:$C,N16956))</f>
        <v>0</v>
      </c>
    </row>
    <row r="16957" spans="13:16">
      <c r="M16957" s="49">
        <f>IF($A$4+169&gt;$B$4,"",$A$4+169)</f>
        <v>46192</v>
      </c>
      <c r="N16957">
        <f>IF(M16957="","",'Master Barang'!A51)</f>
        <v>0</v>
      </c>
      <c r="O16957">
        <f>IF(N16957="","",'Master Barang'!B51)</f>
        <v>0</v>
      </c>
      <c r="P16957">
        <f>IF(OR(M16957="",N16957=""),"",SUMIFS('Barang Keluar'!$E:$E,'Barang Keluar'!$A:$A,M16957,'Barang Keluar'!$C:$C,N16957))</f>
        <v>0</v>
      </c>
    </row>
    <row r="16958" spans="13:16">
      <c r="M16958" s="49">
        <f>IF($A$4+169&gt;$B$4,"",$A$4+169)</f>
        <v>46192</v>
      </c>
      <c r="N16958">
        <f>IF(M16958="","",'Master Barang'!A52)</f>
        <v>0</v>
      </c>
      <c r="O16958">
        <f>IF(N16958="","",'Master Barang'!B52)</f>
        <v>0</v>
      </c>
      <c r="P16958">
        <f>IF(OR(M16958="",N16958=""),"",SUMIFS('Barang Keluar'!$E:$E,'Barang Keluar'!$A:$A,M16958,'Barang Keluar'!$C:$C,N16958))</f>
        <v>0</v>
      </c>
    </row>
    <row r="16959" spans="13:16">
      <c r="M16959" s="49">
        <f>IF($A$4+169&gt;$B$4,"",$A$4+169)</f>
        <v>46192</v>
      </c>
      <c r="N16959">
        <f>IF(M16959="","",'Master Barang'!A53)</f>
        <v>0</v>
      </c>
      <c r="O16959">
        <f>IF(N16959="","",'Master Barang'!B53)</f>
        <v>0</v>
      </c>
      <c r="P16959">
        <f>IF(OR(M16959="",N16959=""),"",SUMIFS('Barang Keluar'!$E:$E,'Barang Keluar'!$A:$A,M16959,'Barang Keluar'!$C:$C,N16959))</f>
        <v>0</v>
      </c>
    </row>
    <row r="16960" spans="13:16">
      <c r="M16960" s="49">
        <f>IF($A$4+169&gt;$B$4,"",$A$4+169)</f>
        <v>46192</v>
      </c>
      <c r="N16960">
        <f>IF(M16960="","",'Master Barang'!A54)</f>
        <v>0</v>
      </c>
      <c r="O16960">
        <f>IF(N16960="","",'Master Barang'!B54)</f>
        <v>0</v>
      </c>
      <c r="P16960">
        <f>IF(OR(M16960="",N16960=""),"",SUMIFS('Barang Keluar'!$E:$E,'Barang Keluar'!$A:$A,M16960,'Barang Keluar'!$C:$C,N16960))</f>
        <v>0</v>
      </c>
    </row>
    <row r="16961" spans="13:16">
      <c r="M16961" s="49">
        <f>IF($A$4+169&gt;$B$4,"",$A$4+169)</f>
        <v>46192</v>
      </c>
      <c r="N16961">
        <f>IF(M16961="","",'Master Barang'!A55)</f>
        <v>0</v>
      </c>
      <c r="O16961">
        <f>IF(N16961="","",'Master Barang'!B55)</f>
        <v>0</v>
      </c>
      <c r="P16961">
        <f>IF(OR(M16961="",N16961=""),"",SUMIFS('Barang Keluar'!$E:$E,'Barang Keluar'!$A:$A,M16961,'Barang Keluar'!$C:$C,N16961))</f>
        <v>0</v>
      </c>
    </row>
    <row r="16962" spans="13:16">
      <c r="M16962" s="49">
        <f>IF($A$4+169&gt;$B$4,"",$A$4+169)</f>
        <v>46192</v>
      </c>
      <c r="N16962">
        <f>IF(M16962="","",'Master Barang'!A56)</f>
        <v>0</v>
      </c>
      <c r="O16962">
        <f>IF(N16962="","",'Master Barang'!B56)</f>
        <v>0</v>
      </c>
      <c r="P16962">
        <f>IF(OR(M16962="",N16962=""),"",SUMIFS('Barang Keluar'!$E:$E,'Barang Keluar'!$A:$A,M16962,'Barang Keluar'!$C:$C,N16962))</f>
        <v>0</v>
      </c>
    </row>
    <row r="16963" spans="13:16">
      <c r="M16963" s="49">
        <f>IF($A$4+169&gt;$B$4,"",$A$4+169)</f>
        <v>46192</v>
      </c>
      <c r="N16963">
        <f>IF(M16963="","",'Master Barang'!A57)</f>
        <v>0</v>
      </c>
      <c r="O16963">
        <f>IF(N16963="","",'Master Barang'!B57)</f>
        <v>0</v>
      </c>
      <c r="P16963">
        <f>IF(OR(M16963="",N16963=""),"",SUMIFS('Barang Keluar'!$E:$E,'Barang Keluar'!$A:$A,M16963,'Barang Keluar'!$C:$C,N16963))</f>
        <v>0</v>
      </c>
    </row>
    <row r="16964" spans="13:16">
      <c r="M16964" s="49">
        <f>IF($A$4+169&gt;$B$4,"",$A$4+169)</f>
        <v>46192</v>
      </c>
      <c r="N16964">
        <f>IF(M16964="","",'Master Barang'!A58)</f>
        <v>0</v>
      </c>
      <c r="O16964">
        <f>IF(N16964="","",'Master Barang'!B58)</f>
        <v>0</v>
      </c>
      <c r="P16964">
        <f>IF(OR(M16964="",N16964=""),"",SUMIFS('Barang Keluar'!$E:$E,'Barang Keluar'!$A:$A,M16964,'Barang Keluar'!$C:$C,N16964))</f>
        <v>0</v>
      </c>
    </row>
    <row r="16965" spans="13:16">
      <c r="M16965" s="49">
        <f>IF($A$4+169&gt;$B$4,"",$A$4+169)</f>
        <v>46192</v>
      </c>
      <c r="N16965">
        <f>IF(M16965="","",'Master Barang'!A59)</f>
        <v>0</v>
      </c>
      <c r="O16965">
        <f>IF(N16965="","",'Master Barang'!B59)</f>
        <v>0</v>
      </c>
      <c r="P16965">
        <f>IF(OR(M16965="",N16965=""),"",SUMIFS('Barang Keluar'!$E:$E,'Barang Keluar'!$A:$A,M16965,'Barang Keluar'!$C:$C,N16965))</f>
        <v>0</v>
      </c>
    </row>
    <row r="16966" spans="13:16">
      <c r="M16966" s="49">
        <f>IF($A$4+169&gt;$B$4,"",$A$4+169)</f>
        <v>46192</v>
      </c>
      <c r="N16966">
        <f>IF(M16966="","",'Master Barang'!A60)</f>
        <v>0</v>
      </c>
      <c r="O16966">
        <f>IF(N16966="","",'Master Barang'!B60)</f>
        <v>0</v>
      </c>
      <c r="P16966">
        <f>IF(OR(M16966="",N16966=""),"",SUMIFS('Barang Keluar'!$E:$E,'Barang Keluar'!$A:$A,M16966,'Barang Keluar'!$C:$C,N16966))</f>
        <v>0</v>
      </c>
    </row>
    <row r="16967" spans="13:16">
      <c r="M16967" s="49">
        <f>IF($A$4+169&gt;$B$4,"",$A$4+169)</f>
        <v>46192</v>
      </c>
      <c r="N16967">
        <f>IF(M16967="","",'Master Barang'!A61)</f>
        <v>0</v>
      </c>
      <c r="O16967">
        <f>IF(N16967="","",'Master Barang'!B61)</f>
        <v>0</v>
      </c>
      <c r="P16967">
        <f>IF(OR(M16967="",N16967=""),"",SUMIFS('Barang Keluar'!$E:$E,'Barang Keluar'!$A:$A,M16967,'Barang Keluar'!$C:$C,N16967))</f>
        <v>0</v>
      </c>
    </row>
    <row r="16968" spans="13:16">
      <c r="M16968" s="49">
        <f>IF($A$4+169&gt;$B$4,"",$A$4+169)</f>
        <v>46192</v>
      </c>
      <c r="N16968">
        <f>IF(M16968="","",'Master Barang'!A62)</f>
        <v>0</v>
      </c>
      <c r="O16968">
        <f>IF(N16968="","",'Master Barang'!B62)</f>
        <v>0</v>
      </c>
      <c r="P16968">
        <f>IF(OR(M16968="",N16968=""),"",SUMIFS('Barang Keluar'!$E:$E,'Barang Keluar'!$A:$A,M16968,'Barang Keluar'!$C:$C,N16968))</f>
        <v>0</v>
      </c>
    </row>
    <row r="16969" spans="13:16">
      <c r="M16969" s="49">
        <f>IF($A$4+169&gt;$B$4,"",$A$4+169)</f>
        <v>46192</v>
      </c>
      <c r="N16969">
        <f>IF(M16969="","",'Master Barang'!A63)</f>
        <v>0</v>
      </c>
      <c r="O16969">
        <f>IF(N16969="","",'Master Barang'!B63)</f>
        <v>0</v>
      </c>
      <c r="P16969">
        <f>IF(OR(M16969="",N16969=""),"",SUMIFS('Barang Keluar'!$E:$E,'Barang Keluar'!$A:$A,M16969,'Barang Keluar'!$C:$C,N16969))</f>
        <v>0</v>
      </c>
    </row>
    <row r="16970" spans="13:16">
      <c r="M16970" s="49">
        <f>IF($A$4+169&gt;$B$4,"",$A$4+169)</f>
        <v>46192</v>
      </c>
      <c r="N16970">
        <f>IF(M16970="","",'Master Barang'!A64)</f>
        <v>0</v>
      </c>
      <c r="O16970">
        <f>IF(N16970="","",'Master Barang'!B64)</f>
        <v>0</v>
      </c>
      <c r="P16970">
        <f>IF(OR(M16970="",N16970=""),"",SUMIFS('Barang Keluar'!$E:$E,'Barang Keluar'!$A:$A,M16970,'Barang Keluar'!$C:$C,N16970))</f>
        <v>0</v>
      </c>
    </row>
    <row r="16971" spans="13:16">
      <c r="M16971" s="49">
        <f>IF($A$4+169&gt;$B$4,"",$A$4+169)</f>
        <v>46192</v>
      </c>
      <c r="N16971">
        <f>IF(M16971="","",'Master Barang'!A65)</f>
        <v>0</v>
      </c>
      <c r="O16971">
        <f>IF(N16971="","",'Master Barang'!B65)</f>
        <v>0</v>
      </c>
      <c r="P16971">
        <f>IF(OR(M16971="",N16971=""),"",SUMIFS('Barang Keluar'!$E:$E,'Barang Keluar'!$A:$A,M16971,'Barang Keluar'!$C:$C,N16971))</f>
        <v>0</v>
      </c>
    </row>
    <row r="16972" spans="13:16">
      <c r="M16972" s="49">
        <f>IF($A$4+169&gt;$B$4,"",$A$4+169)</f>
        <v>46192</v>
      </c>
      <c r="N16972">
        <f>IF(M16972="","",'Master Barang'!A66)</f>
        <v>0</v>
      </c>
      <c r="O16972">
        <f>IF(N16972="","",'Master Barang'!B66)</f>
        <v>0</v>
      </c>
      <c r="P16972">
        <f>IF(OR(M16972="",N16972=""),"",SUMIFS('Barang Keluar'!$E:$E,'Barang Keluar'!$A:$A,M16972,'Barang Keluar'!$C:$C,N16972))</f>
        <v>0</v>
      </c>
    </row>
    <row r="16973" spans="13:16">
      <c r="M16973" s="49">
        <f>IF($A$4+169&gt;$B$4,"",$A$4+169)</f>
        <v>46192</v>
      </c>
      <c r="N16973">
        <f>IF(M16973="","",'Master Barang'!A67)</f>
        <v>0</v>
      </c>
      <c r="O16973">
        <f>IF(N16973="","",'Master Barang'!B67)</f>
        <v>0</v>
      </c>
      <c r="P16973">
        <f>IF(OR(M16973="",N16973=""),"",SUMIFS('Barang Keluar'!$E:$E,'Barang Keluar'!$A:$A,M16973,'Barang Keluar'!$C:$C,N16973))</f>
        <v>0</v>
      </c>
    </row>
    <row r="16974" spans="13:16">
      <c r="M16974" s="49">
        <f>IF($A$4+169&gt;$B$4,"",$A$4+169)</f>
        <v>46192</v>
      </c>
      <c r="N16974">
        <f>IF(M16974="","",'Master Barang'!A68)</f>
        <v>0</v>
      </c>
      <c r="O16974">
        <f>IF(N16974="","",'Master Barang'!B68)</f>
        <v>0</v>
      </c>
      <c r="P16974">
        <f>IF(OR(M16974="",N16974=""),"",SUMIFS('Barang Keluar'!$E:$E,'Barang Keluar'!$A:$A,M16974,'Barang Keluar'!$C:$C,N16974))</f>
        <v>0</v>
      </c>
    </row>
    <row r="16975" spans="13:16">
      <c r="M16975" s="49">
        <f>IF($A$4+169&gt;$B$4,"",$A$4+169)</f>
        <v>46192</v>
      </c>
      <c r="N16975">
        <f>IF(M16975="","",'Master Barang'!A69)</f>
        <v>0</v>
      </c>
      <c r="O16975">
        <f>IF(N16975="","",'Master Barang'!B69)</f>
        <v>0</v>
      </c>
      <c r="P16975">
        <f>IF(OR(M16975="",N16975=""),"",SUMIFS('Barang Keluar'!$E:$E,'Barang Keluar'!$A:$A,M16975,'Barang Keluar'!$C:$C,N16975))</f>
        <v>0</v>
      </c>
    </row>
    <row r="16976" spans="13:16">
      <c r="M16976" s="49">
        <f>IF($A$4+169&gt;$B$4,"",$A$4+169)</f>
        <v>46192</v>
      </c>
      <c r="N16976">
        <f>IF(M16976="","",'Master Barang'!A70)</f>
        <v>0</v>
      </c>
      <c r="O16976">
        <f>IF(N16976="","",'Master Barang'!B70)</f>
        <v>0</v>
      </c>
      <c r="P16976">
        <f>IF(OR(M16976="",N16976=""),"",SUMIFS('Barang Keluar'!$E:$E,'Barang Keluar'!$A:$A,M16976,'Barang Keluar'!$C:$C,N16976))</f>
        <v>0</v>
      </c>
    </row>
    <row r="16977" spans="13:16">
      <c r="M16977" s="49">
        <f>IF($A$4+169&gt;$B$4,"",$A$4+169)</f>
        <v>46192</v>
      </c>
      <c r="N16977">
        <f>IF(M16977="","",'Master Barang'!A71)</f>
        <v>0</v>
      </c>
      <c r="O16977">
        <f>IF(N16977="","",'Master Barang'!B71)</f>
        <v>0</v>
      </c>
      <c r="P16977">
        <f>IF(OR(M16977="",N16977=""),"",SUMIFS('Barang Keluar'!$E:$E,'Barang Keluar'!$A:$A,M16977,'Barang Keluar'!$C:$C,N16977))</f>
        <v>0</v>
      </c>
    </row>
    <row r="16978" spans="13:16">
      <c r="M16978" s="49">
        <f>IF($A$4+169&gt;$B$4,"",$A$4+169)</f>
        <v>46192</v>
      </c>
      <c r="N16978">
        <f>IF(M16978="","",'Master Barang'!A72)</f>
        <v>0</v>
      </c>
      <c r="O16978">
        <f>IF(N16978="","",'Master Barang'!B72)</f>
        <v>0</v>
      </c>
      <c r="P16978">
        <f>IF(OR(M16978="",N16978=""),"",SUMIFS('Barang Keluar'!$E:$E,'Barang Keluar'!$A:$A,M16978,'Barang Keluar'!$C:$C,N16978))</f>
        <v>0</v>
      </c>
    </row>
    <row r="16979" spans="13:16">
      <c r="M16979" s="49">
        <f>IF($A$4+169&gt;$B$4,"",$A$4+169)</f>
        <v>46192</v>
      </c>
      <c r="N16979">
        <f>IF(M16979="","",'Master Barang'!A73)</f>
        <v>0</v>
      </c>
      <c r="O16979">
        <f>IF(N16979="","",'Master Barang'!B73)</f>
        <v>0</v>
      </c>
      <c r="P16979">
        <f>IF(OR(M16979="",N16979=""),"",SUMIFS('Barang Keluar'!$E:$E,'Barang Keluar'!$A:$A,M16979,'Barang Keluar'!$C:$C,N16979))</f>
        <v>0</v>
      </c>
    </row>
    <row r="16980" spans="13:16">
      <c r="M16980" s="49">
        <f>IF($A$4+169&gt;$B$4,"",$A$4+169)</f>
        <v>46192</v>
      </c>
      <c r="N16980">
        <f>IF(M16980="","",'Master Barang'!A74)</f>
        <v>0</v>
      </c>
      <c r="O16980">
        <f>IF(N16980="","",'Master Barang'!B74)</f>
        <v>0</v>
      </c>
      <c r="P16980">
        <f>IF(OR(M16980="",N16980=""),"",SUMIFS('Barang Keluar'!$E:$E,'Barang Keluar'!$A:$A,M16980,'Barang Keluar'!$C:$C,N16980))</f>
        <v>0</v>
      </c>
    </row>
    <row r="16981" spans="13:16">
      <c r="M16981" s="49">
        <f>IF($A$4+169&gt;$B$4,"",$A$4+169)</f>
        <v>46192</v>
      </c>
      <c r="N16981">
        <f>IF(M16981="","",'Master Barang'!A75)</f>
        <v>0</v>
      </c>
      <c r="O16981">
        <f>IF(N16981="","",'Master Barang'!B75)</f>
        <v>0</v>
      </c>
      <c r="P16981">
        <f>IF(OR(M16981="",N16981=""),"",SUMIFS('Barang Keluar'!$E:$E,'Barang Keluar'!$A:$A,M16981,'Barang Keluar'!$C:$C,N16981))</f>
        <v>0</v>
      </c>
    </row>
    <row r="16982" spans="13:16">
      <c r="M16982" s="49">
        <f>IF($A$4+169&gt;$B$4,"",$A$4+169)</f>
        <v>46192</v>
      </c>
      <c r="N16982">
        <f>IF(M16982="","",'Master Barang'!A76)</f>
        <v>0</v>
      </c>
      <c r="O16982">
        <f>IF(N16982="","",'Master Barang'!B76)</f>
        <v>0</v>
      </c>
      <c r="P16982">
        <f>IF(OR(M16982="",N16982=""),"",SUMIFS('Barang Keluar'!$E:$E,'Barang Keluar'!$A:$A,M16982,'Barang Keluar'!$C:$C,N16982))</f>
        <v>0</v>
      </c>
    </row>
    <row r="16983" spans="13:16">
      <c r="M16983" s="49">
        <f>IF($A$4+169&gt;$B$4,"",$A$4+169)</f>
        <v>46192</v>
      </c>
      <c r="N16983">
        <f>IF(M16983="","",'Master Barang'!A77)</f>
        <v>0</v>
      </c>
      <c r="O16983">
        <f>IF(N16983="","",'Master Barang'!B77)</f>
        <v>0</v>
      </c>
      <c r="P16983">
        <f>IF(OR(M16983="",N16983=""),"",SUMIFS('Barang Keluar'!$E:$E,'Barang Keluar'!$A:$A,M16983,'Barang Keluar'!$C:$C,N16983))</f>
        <v>0</v>
      </c>
    </row>
    <row r="16984" spans="13:16">
      <c r="M16984" s="49">
        <f>IF($A$4+169&gt;$B$4,"",$A$4+169)</f>
        <v>46192</v>
      </c>
      <c r="N16984">
        <f>IF(M16984="","",'Master Barang'!A78)</f>
        <v>0</v>
      </c>
      <c r="O16984">
        <f>IF(N16984="","",'Master Barang'!B78)</f>
        <v>0</v>
      </c>
      <c r="P16984">
        <f>IF(OR(M16984="",N16984=""),"",SUMIFS('Barang Keluar'!$E:$E,'Barang Keluar'!$A:$A,M16984,'Barang Keluar'!$C:$C,N16984))</f>
        <v>0</v>
      </c>
    </row>
    <row r="16985" spans="13:16">
      <c r="M16985" s="49">
        <f>IF($A$4+169&gt;$B$4,"",$A$4+169)</f>
        <v>46192</v>
      </c>
      <c r="N16985">
        <f>IF(M16985="","",'Master Barang'!A79)</f>
        <v>0</v>
      </c>
      <c r="O16985">
        <f>IF(N16985="","",'Master Barang'!B79)</f>
        <v>0</v>
      </c>
      <c r="P16985">
        <f>IF(OR(M16985="",N16985=""),"",SUMIFS('Barang Keluar'!$E:$E,'Barang Keluar'!$A:$A,M16985,'Barang Keluar'!$C:$C,N16985))</f>
        <v>0</v>
      </c>
    </row>
    <row r="16986" spans="13:16">
      <c r="M16986" s="49">
        <f>IF($A$4+169&gt;$B$4,"",$A$4+169)</f>
        <v>46192</v>
      </c>
      <c r="N16986">
        <f>IF(M16986="","",'Master Barang'!A80)</f>
        <v>0</v>
      </c>
      <c r="O16986">
        <f>IF(N16986="","",'Master Barang'!B80)</f>
        <v>0</v>
      </c>
      <c r="P16986">
        <f>IF(OR(M16986="",N16986=""),"",SUMIFS('Barang Keluar'!$E:$E,'Barang Keluar'!$A:$A,M16986,'Barang Keluar'!$C:$C,N16986))</f>
        <v>0</v>
      </c>
    </row>
    <row r="16987" spans="13:16">
      <c r="M16987" s="49">
        <f>IF($A$4+169&gt;$B$4,"",$A$4+169)</f>
        <v>46192</v>
      </c>
      <c r="N16987">
        <f>IF(M16987="","",'Master Barang'!A81)</f>
        <v>0</v>
      </c>
      <c r="O16987">
        <f>IF(N16987="","",'Master Barang'!B81)</f>
        <v>0</v>
      </c>
      <c r="P16987">
        <f>IF(OR(M16987="",N16987=""),"",SUMIFS('Barang Keluar'!$E:$E,'Barang Keluar'!$A:$A,M16987,'Barang Keluar'!$C:$C,N16987))</f>
        <v>0</v>
      </c>
    </row>
    <row r="16988" spans="13:16">
      <c r="M16988" s="49">
        <f>IF($A$4+169&gt;$B$4,"",$A$4+169)</f>
        <v>46192</v>
      </c>
      <c r="N16988">
        <f>IF(M16988="","",'Master Barang'!A82)</f>
        <v>0</v>
      </c>
      <c r="O16988">
        <f>IF(N16988="","",'Master Barang'!B82)</f>
        <v>0</v>
      </c>
      <c r="P16988">
        <f>IF(OR(M16988="",N16988=""),"",SUMIFS('Barang Keluar'!$E:$E,'Barang Keluar'!$A:$A,M16988,'Barang Keluar'!$C:$C,N16988))</f>
        <v>0</v>
      </c>
    </row>
    <row r="16989" spans="13:16">
      <c r="M16989" s="49">
        <f>IF($A$4+169&gt;$B$4,"",$A$4+169)</f>
        <v>46192</v>
      </c>
      <c r="N16989">
        <f>IF(M16989="","",'Master Barang'!A83)</f>
        <v>0</v>
      </c>
      <c r="O16989">
        <f>IF(N16989="","",'Master Barang'!B83)</f>
        <v>0</v>
      </c>
      <c r="P16989">
        <f>IF(OR(M16989="",N16989=""),"",SUMIFS('Barang Keluar'!$E:$E,'Barang Keluar'!$A:$A,M16989,'Barang Keluar'!$C:$C,N16989))</f>
        <v>0</v>
      </c>
    </row>
    <row r="16990" spans="13:16">
      <c r="M16990" s="49">
        <f>IF($A$4+169&gt;$B$4,"",$A$4+169)</f>
        <v>46192</v>
      </c>
      <c r="N16990">
        <f>IF(M16990="","",'Master Barang'!A84)</f>
        <v>0</v>
      </c>
      <c r="O16990">
        <f>IF(N16990="","",'Master Barang'!B84)</f>
        <v>0</v>
      </c>
      <c r="P16990">
        <f>IF(OR(M16990="",N16990=""),"",SUMIFS('Barang Keluar'!$E:$E,'Barang Keluar'!$A:$A,M16990,'Barang Keluar'!$C:$C,N16990))</f>
        <v>0</v>
      </c>
    </row>
    <row r="16991" spans="13:16">
      <c r="M16991" s="49">
        <f>IF($A$4+169&gt;$B$4,"",$A$4+169)</f>
        <v>46192</v>
      </c>
      <c r="N16991">
        <f>IF(M16991="","",'Master Barang'!A85)</f>
        <v>0</v>
      </c>
      <c r="O16991">
        <f>IF(N16991="","",'Master Barang'!B85)</f>
        <v>0</v>
      </c>
      <c r="P16991">
        <f>IF(OR(M16991="",N16991=""),"",SUMIFS('Barang Keluar'!$E:$E,'Barang Keluar'!$A:$A,M16991,'Barang Keluar'!$C:$C,N16991))</f>
        <v>0</v>
      </c>
    </row>
    <row r="16992" spans="13:16">
      <c r="M16992" s="49">
        <f>IF($A$4+169&gt;$B$4,"",$A$4+169)</f>
        <v>46192</v>
      </c>
      <c r="N16992">
        <f>IF(M16992="","",'Master Barang'!A86)</f>
        <v>0</v>
      </c>
      <c r="O16992">
        <f>IF(N16992="","",'Master Barang'!B86)</f>
        <v>0</v>
      </c>
      <c r="P16992">
        <f>IF(OR(M16992="",N16992=""),"",SUMIFS('Barang Keluar'!$E:$E,'Barang Keluar'!$A:$A,M16992,'Barang Keluar'!$C:$C,N16992))</f>
        <v>0</v>
      </c>
    </row>
    <row r="16993" spans="13:16">
      <c r="M16993" s="49">
        <f>IF($A$4+169&gt;$B$4,"",$A$4+169)</f>
        <v>46192</v>
      </c>
      <c r="N16993">
        <f>IF(M16993="","",'Master Barang'!A87)</f>
        <v>0</v>
      </c>
      <c r="O16993">
        <f>IF(N16993="","",'Master Barang'!B87)</f>
        <v>0</v>
      </c>
      <c r="P16993">
        <f>IF(OR(M16993="",N16993=""),"",SUMIFS('Barang Keluar'!$E:$E,'Barang Keluar'!$A:$A,M16993,'Barang Keluar'!$C:$C,N16993))</f>
        <v>0</v>
      </c>
    </row>
    <row r="16994" spans="13:16">
      <c r="M16994" s="49">
        <f>IF($A$4+169&gt;$B$4,"",$A$4+169)</f>
        <v>46192</v>
      </c>
      <c r="N16994">
        <f>IF(M16994="","",'Master Barang'!A88)</f>
        <v>0</v>
      </c>
      <c r="O16994">
        <f>IF(N16994="","",'Master Barang'!B88)</f>
        <v>0</v>
      </c>
      <c r="P16994">
        <f>IF(OR(M16994="",N16994=""),"",SUMIFS('Barang Keluar'!$E:$E,'Barang Keluar'!$A:$A,M16994,'Barang Keluar'!$C:$C,N16994))</f>
        <v>0</v>
      </c>
    </row>
    <row r="16995" spans="13:16">
      <c r="M16995" s="49">
        <f>IF($A$4+169&gt;$B$4,"",$A$4+169)</f>
        <v>46192</v>
      </c>
      <c r="N16995">
        <f>IF(M16995="","",'Master Barang'!A89)</f>
        <v>0</v>
      </c>
      <c r="O16995">
        <f>IF(N16995="","",'Master Barang'!B89)</f>
        <v>0</v>
      </c>
      <c r="P16995">
        <f>IF(OR(M16995="",N16995=""),"",SUMIFS('Barang Keluar'!$E:$E,'Barang Keluar'!$A:$A,M16995,'Barang Keluar'!$C:$C,N16995))</f>
        <v>0</v>
      </c>
    </row>
    <row r="16996" spans="13:16">
      <c r="M16996" s="49">
        <f>IF($A$4+169&gt;$B$4,"",$A$4+169)</f>
        <v>46192</v>
      </c>
      <c r="N16996">
        <f>IF(M16996="","",'Master Barang'!A90)</f>
        <v>0</v>
      </c>
      <c r="O16996">
        <f>IF(N16996="","",'Master Barang'!B90)</f>
        <v>0</v>
      </c>
      <c r="P16996">
        <f>IF(OR(M16996="",N16996=""),"",SUMIFS('Barang Keluar'!$E:$E,'Barang Keluar'!$A:$A,M16996,'Barang Keluar'!$C:$C,N16996))</f>
        <v>0</v>
      </c>
    </row>
    <row r="16997" spans="13:16">
      <c r="M16997" s="49">
        <f>IF($A$4+169&gt;$B$4,"",$A$4+169)</f>
        <v>46192</v>
      </c>
      <c r="N16997">
        <f>IF(M16997="","",'Master Barang'!A91)</f>
        <v>0</v>
      </c>
      <c r="O16997">
        <f>IF(N16997="","",'Master Barang'!B91)</f>
        <v>0</v>
      </c>
      <c r="P16997">
        <f>IF(OR(M16997="",N16997=""),"",SUMIFS('Barang Keluar'!$E:$E,'Barang Keluar'!$A:$A,M16997,'Barang Keluar'!$C:$C,N16997))</f>
        <v>0</v>
      </c>
    </row>
    <row r="16998" spans="13:16">
      <c r="M16998" s="49">
        <f>IF($A$4+169&gt;$B$4,"",$A$4+169)</f>
        <v>46192</v>
      </c>
      <c r="N16998">
        <f>IF(M16998="","",'Master Barang'!A92)</f>
        <v>0</v>
      </c>
      <c r="O16998">
        <f>IF(N16998="","",'Master Barang'!B92)</f>
        <v>0</v>
      </c>
      <c r="P16998">
        <f>IF(OR(M16998="",N16998=""),"",SUMIFS('Barang Keluar'!$E:$E,'Barang Keluar'!$A:$A,M16998,'Barang Keluar'!$C:$C,N16998))</f>
        <v>0</v>
      </c>
    </row>
    <row r="16999" spans="13:16">
      <c r="M16999" s="49">
        <f>IF($A$4+169&gt;$B$4,"",$A$4+169)</f>
        <v>46192</v>
      </c>
      <c r="N16999">
        <f>IF(M16999="","",'Master Barang'!A93)</f>
        <v>0</v>
      </c>
      <c r="O16999">
        <f>IF(N16999="","",'Master Barang'!B93)</f>
        <v>0</v>
      </c>
      <c r="P16999">
        <f>IF(OR(M16999="",N16999=""),"",SUMIFS('Barang Keluar'!$E:$E,'Barang Keluar'!$A:$A,M16999,'Barang Keluar'!$C:$C,N16999))</f>
        <v>0</v>
      </c>
    </row>
    <row r="17000" spans="13:16">
      <c r="M17000" s="49">
        <f>IF($A$4+169&gt;$B$4,"",$A$4+169)</f>
        <v>46192</v>
      </c>
      <c r="N17000">
        <f>IF(M17000="","",'Master Barang'!A94)</f>
        <v>0</v>
      </c>
      <c r="O17000">
        <f>IF(N17000="","",'Master Barang'!B94)</f>
        <v>0</v>
      </c>
      <c r="P17000">
        <f>IF(OR(M17000="",N17000=""),"",SUMIFS('Barang Keluar'!$E:$E,'Barang Keluar'!$A:$A,M17000,'Barang Keluar'!$C:$C,N17000))</f>
        <v>0</v>
      </c>
    </row>
    <row r="17001" spans="13:16">
      <c r="M17001" s="49">
        <f>IF($A$4+169&gt;$B$4,"",$A$4+169)</f>
        <v>46192</v>
      </c>
      <c r="N17001">
        <f>IF(M17001="","",'Master Barang'!A95)</f>
        <v>0</v>
      </c>
      <c r="O17001">
        <f>IF(N17001="","",'Master Barang'!B95)</f>
        <v>0</v>
      </c>
      <c r="P17001">
        <f>IF(OR(M17001="",N17001=""),"",SUMIFS('Barang Keluar'!$E:$E,'Barang Keluar'!$A:$A,M17001,'Barang Keluar'!$C:$C,N17001))</f>
        <v>0</v>
      </c>
    </row>
    <row r="17002" spans="13:16">
      <c r="M17002" s="49">
        <f>IF($A$4+169&gt;$B$4,"",$A$4+169)</f>
        <v>46192</v>
      </c>
      <c r="N17002">
        <f>IF(M17002="","",'Master Barang'!A96)</f>
        <v>0</v>
      </c>
      <c r="O17002">
        <f>IF(N17002="","",'Master Barang'!B96)</f>
        <v>0</v>
      </c>
      <c r="P17002">
        <f>IF(OR(M17002="",N17002=""),"",SUMIFS('Barang Keluar'!$E:$E,'Barang Keluar'!$A:$A,M17002,'Barang Keluar'!$C:$C,N17002))</f>
        <v>0</v>
      </c>
    </row>
    <row r="17003" spans="13:16">
      <c r="M17003" s="49">
        <f>IF($A$4+169&gt;$B$4,"",$A$4+169)</f>
        <v>46192</v>
      </c>
      <c r="N17003">
        <f>IF(M17003="","",'Master Barang'!A97)</f>
        <v>0</v>
      </c>
      <c r="O17003">
        <f>IF(N17003="","",'Master Barang'!B97)</f>
        <v>0</v>
      </c>
      <c r="P17003">
        <f>IF(OR(M17003="",N17003=""),"",SUMIFS('Barang Keluar'!$E:$E,'Barang Keluar'!$A:$A,M17003,'Barang Keluar'!$C:$C,N17003))</f>
        <v>0</v>
      </c>
    </row>
    <row r="17004" spans="13:16">
      <c r="M17004" s="49">
        <f>IF($A$4+169&gt;$B$4,"",$A$4+169)</f>
        <v>46192</v>
      </c>
      <c r="N17004">
        <f>IF(M17004="","",'Master Barang'!A98)</f>
        <v>0</v>
      </c>
      <c r="O17004">
        <f>IF(N17004="","",'Master Barang'!B98)</f>
        <v>0</v>
      </c>
      <c r="P17004">
        <f>IF(OR(M17004="",N17004=""),"",SUMIFS('Barang Keluar'!$E:$E,'Barang Keluar'!$A:$A,M17004,'Barang Keluar'!$C:$C,N17004))</f>
        <v>0</v>
      </c>
    </row>
    <row r="17005" spans="13:16">
      <c r="M17005" s="49">
        <f>IF($A$4+169&gt;$B$4,"",$A$4+169)</f>
        <v>46192</v>
      </c>
      <c r="N17005">
        <f>IF(M17005="","",'Master Barang'!A99)</f>
        <v>0</v>
      </c>
      <c r="O17005">
        <f>IF(N17005="","",'Master Barang'!B99)</f>
        <v>0</v>
      </c>
      <c r="P17005">
        <f>IF(OR(M17005="",N17005=""),"",SUMIFS('Barang Keluar'!$E:$E,'Barang Keluar'!$A:$A,M17005,'Barang Keluar'!$C:$C,N17005))</f>
        <v>0</v>
      </c>
    </row>
    <row r="17006" spans="13:16">
      <c r="M17006" s="49">
        <f>IF($A$4+169&gt;$B$4,"",$A$4+169)</f>
        <v>46192</v>
      </c>
      <c r="N17006">
        <f>IF(M17006="","",'Master Barang'!A100)</f>
        <v>0</v>
      </c>
      <c r="O17006">
        <f>IF(N17006="","",'Master Barang'!B100)</f>
        <v>0</v>
      </c>
      <c r="P17006">
        <f>IF(OR(M17006="",N17006=""),"",SUMIFS('Barang Keluar'!$E:$E,'Barang Keluar'!$A:$A,M17006,'Barang Keluar'!$C:$C,N17006))</f>
        <v>0</v>
      </c>
    </row>
    <row r="17007" spans="13:16">
      <c r="M17007" s="49">
        <f>IF($A$4+169&gt;$B$4,"",$A$4+169)</f>
        <v>46192</v>
      </c>
      <c r="N17007">
        <f>IF(M17007="","",'Master Barang'!A101)</f>
        <v>0</v>
      </c>
      <c r="O17007">
        <f>IF(N17007="","",'Master Barang'!B101)</f>
        <v>0</v>
      </c>
      <c r="P17007">
        <f>IF(OR(M17007="",N17007=""),"",SUMIFS('Barang Keluar'!$E:$E,'Barang Keluar'!$A:$A,M17007,'Barang Keluar'!$C:$C,N17007))</f>
        <v>0</v>
      </c>
    </row>
    <row r="17008" spans="13:16">
      <c r="M17008" s="49">
        <f>IF($A$4+170&gt;$B$4,"",$A$4+170)</f>
        <v>46193</v>
      </c>
      <c r="N17008" t="str">
        <f>IF(M17008="","",'Master Barang'!A2)</f>
        <v>PRL-001</v>
      </c>
      <c r="O17008" t="str">
        <f>IF(N17008="","",'Master Barang'!B2)</f>
        <v>natura desinfectant food grade 5l</v>
      </c>
      <c r="P17008">
        <f>IF(OR(M17008="",N17008=""),"",SUMIFS('Barang Keluar'!$E:$E,'Barang Keluar'!$A:$A,M17008,'Barang Keluar'!$C:$C,N17008))</f>
        <v>0</v>
      </c>
    </row>
    <row r="17009" spans="13:16">
      <c r="M17009" s="49">
        <f>IF($A$4+170&gt;$B$4,"",$A$4+170)</f>
        <v>46193</v>
      </c>
      <c r="N17009" t="str">
        <f>IF(M17009="","",'Master Barang'!A3)</f>
        <v>PRL-002</v>
      </c>
      <c r="O17009" t="str">
        <f>IF(N17009="","",'Master Barang'!B3)</f>
        <v>sunlight cairan pencuci piring 5l</v>
      </c>
      <c r="P17009">
        <f>IF(OR(M17009="",N17009=""),"",SUMIFS('Barang Keluar'!$E:$E,'Barang Keluar'!$A:$A,M17009,'Barang Keluar'!$C:$C,N17009))</f>
        <v>0</v>
      </c>
    </row>
    <row r="17010" spans="13:16">
      <c r="M17010" s="49">
        <f>IF($A$4+170&gt;$B$4,"",$A$4+170)</f>
        <v>46193</v>
      </c>
      <c r="N17010" t="str">
        <f>IF(M17010="","",'Master Barang'!A4)</f>
        <v>PRL-003</v>
      </c>
      <c r="O17010" t="str">
        <f>IF(N17010="","",'Master Barang'!B4)</f>
        <v>oixs cleaner 1l</v>
      </c>
      <c r="P17010">
        <f>IF(OR(M17010="",N17010=""),"",SUMIFS('Barang Keluar'!$E:$E,'Barang Keluar'!$A:$A,M17010,'Barang Keluar'!$C:$C,N17010))</f>
        <v>0</v>
      </c>
    </row>
    <row r="17011" spans="13:16">
      <c r="M17011" s="49">
        <f>IF($A$4+170&gt;$B$4,"",$A$4+170)</f>
        <v>46193</v>
      </c>
      <c r="N17011" t="str">
        <f>IF(M17011="","",'Master Barang'!A5)</f>
        <v>PRL-004</v>
      </c>
      <c r="O17011" t="str">
        <f>IF(N17011="","",'Master Barang'!B5)</f>
        <v>be clean tissue serbaguna</v>
      </c>
      <c r="P17011">
        <f>IF(OR(M17011="",N17011=""),"",SUMIFS('Barang Keluar'!$E:$E,'Barang Keluar'!$A:$A,M17011,'Barang Keluar'!$C:$C,N17011))</f>
        <v>0</v>
      </c>
    </row>
    <row r="17012" spans="13:16">
      <c r="M17012" s="49">
        <f>IF($A$4+170&gt;$B$4,"",$A$4+170)</f>
        <v>46193</v>
      </c>
      <c r="N17012" t="str">
        <f>IF(M17012="","",'Master Barang'!A6)</f>
        <v>PRL-005</v>
      </c>
      <c r="O17012" t="str">
        <f>IF(N17012="","",'Master Barang'!B6)</f>
        <v>spons cuci hijau</v>
      </c>
      <c r="P17012">
        <f>IF(OR(M17012="",N17012=""),"",SUMIFS('Barang Keluar'!$E:$E,'Barang Keluar'!$A:$A,M17012,'Barang Keluar'!$C:$C,N17012))</f>
        <v>0</v>
      </c>
    </row>
    <row r="17013" spans="13:16">
      <c r="M17013" s="49">
        <f>IF($A$4+170&gt;$B$4,"",$A$4+170)</f>
        <v>46193</v>
      </c>
      <c r="N17013" t="str">
        <f>IF(M17013="","",'Master Barang'!A7)</f>
        <v>PRL-006</v>
      </c>
      <c r="O17013" t="str">
        <f>IF(N17013="","",'Master Barang'!B7)</f>
        <v>sabut cuci stainless</v>
      </c>
      <c r="P17013">
        <f>IF(OR(M17013="",N17013=""),"",SUMIFS('Barang Keluar'!$E:$E,'Barang Keluar'!$A:$A,M17013,'Barang Keluar'!$C:$C,N17013))</f>
        <v>0</v>
      </c>
    </row>
    <row r="17014" spans="13:16">
      <c r="M17014" s="49">
        <f>IF($A$4+170&gt;$B$4,"",$A$4+170)</f>
        <v>46193</v>
      </c>
      <c r="N17014" t="str">
        <f>IF(M17014="","",'Master Barang'!A8)</f>
        <v>PRL-007</v>
      </c>
      <c r="O17014" t="str">
        <f>IF(N17014="","",'Master Barang'!B8)</f>
        <v>plastik kresek besar merah 50pc</v>
      </c>
      <c r="P17014">
        <f>IF(OR(M17014="",N17014=""),"",SUMIFS('Barang Keluar'!$E:$E,'Barang Keluar'!$A:$A,M17014,'Barang Keluar'!$C:$C,N17014))</f>
        <v>0</v>
      </c>
    </row>
    <row r="17015" spans="13:16">
      <c r="M17015" s="49">
        <f>IF($A$4+170&gt;$B$4,"",$A$4+170)</f>
        <v>46193</v>
      </c>
      <c r="N17015" t="str">
        <f>IF(M17015="","",'Master Barang'!A9)</f>
        <v>PRL-008</v>
      </c>
      <c r="O17015" t="str">
        <f>IF(N17015="","",'Master Barang'!B9)</f>
        <v>lap besar</v>
      </c>
      <c r="P17015">
        <f>IF(OR(M17015="",N17015=""),"",SUMIFS('Barang Keluar'!$E:$E,'Barang Keluar'!$A:$A,M17015,'Barang Keluar'!$C:$C,N17015))</f>
        <v>0</v>
      </c>
    </row>
    <row r="17016" spans="13:16">
      <c r="M17016" s="49">
        <f>IF($A$4+170&gt;$B$4,"",$A$4+170)</f>
        <v>46193</v>
      </c>
      <c r="N17016" t="str">
        <f>IF(M17016="","",'Master Barang'!A10)</f>
        <v>PRL-009</v>
      </c>
      <c r="O17016" t="str">
        <f>IF(N17016="","",'Master Barang'!B10)</f>
        <v>lap microfiber</v>
      </c>
      <c r="P17016">
        <f>IF(OR(M17016="",N17016=""),"",SUMIFS('Barang Keluar'!$E:$E,'Barang Keluar'!$A:$A,M17016,'Barang Keluar'!$C:$C,N17016))</f>
        <v>0</v>
      </c>
    </row>
    <row r="17017" spans="13:16">
      <c r="M17017" s="49">
        <f>IF($A$4+170&gt;$B$4,"",$A$4+170)</f>
        <v>46193</v>
      </c>
      <c r="N17017" t="str">
        <f>IF(M17017="","",'Master Barang'!A11)</f>
        <v>PRL-010</v>
      </c>
      <c r="O17017" t="str">
        <f>IF(N17017="","",'Master Barang'!B11)</f>
        <v>lap kecil</v>
      </c>
      <c r="P17017">
        <f>IF(OR(M17017="",N17017=""),"",SUMIFS('Barang Keluar'!$E:$E,'Barang Keluar'!$A:$A,M17017,'Barang Keluar'!$C:$C,N17017))</f>
        <v>0</v>
      </c>
    </row>
    <row r="17018" spans="13:16">
      <c r="M17018" s="49">
        <f>IF($A$4+170&gt;$B$4,"",$A$4+170)</f>
        <v>46193</v>
      </c>
      <c r="N17018" t="str">
        <f>IF(M17018="","",'Master Barang'!A12)</f>
        <v>PRL-011</v>
      </c>
      <c r="O17018" t="str">
        <f>IF(N17018="","",'Master Barang'!B12)</f>
        <v>kanebo kecil</v>
      </c>
      <c r="P17018">
        <f>IF(OR(M17018="",N17018=""),"",SUMIFS('Barang Keluar'!$E:$E,'Barang Keluar'!$A:$A,M17018,'Barang Keluar'!$C:$C,N17018))</f>
        <v>0</v>
      </c>
    </row>
    <row r="17019" spans="13:16">
      <c r="M17019" s="49">
        <f>IF($A$4+170&gt;$B$4,"",$A$4+170)</f>
        <v>46193</v>
      </c>
      <c r="N17019" t="str">
        <f>IF(M17019="","",'Master Barang'!A13)</f>
        <v>PRL-012</v>
      </c>
      <c r="O17019" t="str">
        <f>IF(N17019="","",'Master Barang'!B13)</f>
        <v>plastik 1/4kg joyoboyo 100 lembar</v>
      </c>
      <c r="P17019">
        <f>IF(OR(M17019="",N17019=""),"",SUMIFS('Barang Keluar'!$E:$E,'Barang Keluar'!$A:$A,M17019,'Barang Keluar'!$C:$C,N17019))</f>
        <v>0</v>
      </c>
    </row>
    <row r="17020" spans="13:16">
      <c r="M17020" s="49">
        <f>IF($A$4+170&gt;$B$4,"",$A$4+170)</f>
        <v>46193</v>
      </c>
      <c r="N17020" t="str">
        <f>IF(M17020="","",'Master Barang'!A14)</f>
        <v>PRL-013</v>
      </c>
      <c r="O17020" t="str">
        <f>IF(N17020="","",'Master Barang'!B14)</f>
        <v>sarung tangan plastik kaka 100 pcs</v>
      </c>
      <c r="P17020">
        <f>IF(OR(M17020="",N17020=""),"",SUMIFS('Barang Keluar'!$E:$E,'Barang Keluar'!$A:$A,M17020,'Barang Keluar'!$C:$C,N17020))</f>
        <v>0</v>
      </c>
    </row>
    <row r="17021" spans="13:16">
      <c r="M17021" s="49">
        <f>IF($A$4+170&gt;$B$4,"",$A$4+170)</f>
        <v>46193</v>
      </c>
      <c r="N17021" t="str">
        <f>IF(M17021="","",'Master Barang'!A15)</f>
        <v>PRL-014</v>
      </c>
      <c r="O17021" t="str">
        <f>IF(N17021="","",'Master Barang'!B15)</f>
        <v>optima trashbag 80x100</v>
      </c>
      <c r="P17021">
        <f>IF(OR(M17021="",N17021=""),"",SUMIFS('Barang Keluar'!$E:$E,'Barang Keluar'!$A:$A,M17021,'Barang Keluar'!$C:$C,N17021))</f>
        <v>0</v>
      </c>
    </row>
    <row r="17022" spans="13:16">
      <c r="M17022" s="49">
        <f>IF($A$4+170&gt;$B$4,"",$A$4+170)</f>
        <v>46193</v>
      </c>
      <c r="N17022" t="str">
        <f>IF(M17022="","",'Master Barang'!A16)</f>
        <v>PRL-015</v>
      </c>
      <c r="O17022" t="str">
        <f>IF(N17022="","",'Master Barang'!B16)</f>
        <v>optima trashbag 60x100</v>
      </c>
      <c r="P17022">
        <f>IF(OR(M17022="",N17022=""),"",SUMIFS('Barang Keluar'!$E:$E,'Barang Keluar'!$A:$A,M17022,'Barang Keluar'!$C:$C,N17022))</f>
        <v>0</v>
      </c>
    </row>
    <row r="17023" spans="13:16">
      <c r="M17023" s="49">
        <f>IF($A$4+170&gt;$B$4,"",$A$4+170)</f>
        <v>46193</v>
      </c>
      <c r="N17023" t="str">
        <f>IF(M17023="","",'Master Barang'!A17)</f>
        <v>PRL-016</v>
      </c>
      <c r="O17023" t="str">
        <f>IF(N17023="","",'Master Barang'!B17)</f>
        <v>rajawali trashbag 30x40</v>
      </c>
      <c r="P17023">
        <f>IF(OR(M17023="",N17023=""),"",SUMIFS('Barang Keluar'!$E:$E,'Barang Keluar'!$A:$A,M17023,'Barang Keluar'!$C:$C,N17023))</f>
        <v>0</v>
      </c>
    </row>
    <row r="17024" spans="13:16">
      <c r="M17024" s="49">
        <f>IF($A$4+170&gt;$B$4,"",$A$4+170)</f>
        <v>46193</v>
      </c>
      <c r="N17024" t="str">
        <f>IF(M17024="","",'Master Barang'!A18)</f>
        <v>PRL-017</v>
      </c>
      <c r="O17024" t="str">
        <f>IF(N17024="","",'Master Barang'!B18)</f>
        <v>onemed masker biru 3 play 50 pcs</v>
      </c>
      <c r="P17024">
        <f>IF(OR(M17024="",N17024=""),"",SUMIFS('Barang Keluar'!$E:$E,'Barang Keluar'!$A:$A,M17024,'Barang Keluar'!$C:$C,N17024))</f>
        <v>0</v>
      </c>
    </row>
    <row r="17025" spans="13:16">
      <c r="M17025" s="49">
        <f>IF($A$4+170&gt;$B$4,"",$A$4+170)</f>
        <v>46193</v>
      </c>
      <c r="N17025" t="str">
        <f>IF(M17025="","",'Master Barang'!A19)</f>
        <v>PRL-018</v>
      </c>
      <c r="O17025" t="str">
        <f>IF(N17025="","",'Master Barang'!B19)</f>
        <v>onemed masker biru 3 play hijab 50 pcs</v>
      </c>
      <c r="P17025">
        <f>IF(OR(M17025="",N17025=""),"",SUMIFS('Barang Keluar'!$E:$E,'Barang Keluar'!$A:$A,M17025,'Barang Keluar'!$C:$C,N17025))</f>
        <v>0</v>
      </c>
    </row>
    <row r="17026" spans="13:16">
      <c r="M17026" s="49">
        <f>IF($A$4+170&gt;$B$4,"",$A$4+170)</f>
        <v>46193</v>
      </c>
      <c r="N17026" t="str">
        <f>IF(M17026="","",'Master Barang'!A20)</f>
        <v>PRL-019</v>
      </c>
      <c r="O17026" t="str">
        <f>IF(N17026="","",'Master Barang'!B20)</f>
        <v>neo health masker biru 3 play 50 pcs</v>
      </c>
      <c r="P17026">
        <f>IF(OR(M17026="",N17026=""),"",SUMIFS('Barang Keluar'!$E:$E,'Barang Keluar'!$A:$A,M17026,'Barang Keluar'!$C:$C,N17026))</f>
        <v>0</v>
      </c>
    </row>
    <row r="17027" spans="13:16">
      <c r="M17027" s="49">
        <f>IF($A$4+170&gt;$B$4,"",$A$4+170)</f>
        <v>46193</v>
      </c>
      <c r="N17027" t="str">
        <f>IF(M17027="","",'Master Barang'!A21)</f>
        <v>PRL-020</v>
      </c>
      <c r="O17027" t="str">
        <f>IF(N17027="","",'Master Barang'!B21)</f>
        <v>baymed masker hijau 3 play hijau 50 pcs</v>
      </c>
      <c r="P17027">
        <f>IF(OR(M17027="",N17027=""),"",SUMIFS('Barang Keluar'!$E:$E,'Barang Keluar'!$A:$A,M17027,'Barang Keluar'!$C:$C,N17027))</f>
        <v>0</v>
      </c>
    </row>
    <row r="17028" spans="13:16">
      <c r="M17028" s="49">
        <f>IF($A$4+170&gt;$B$4,"",$A$4+170)</f>
        <v>46193</v>
      </c>
      <c r="N17028" t="str">
        <f>IF(M17028="","",'Master Barang'!A22)</f>
        <v>PRL-021</v>
      </c>
      <c r="O17028" t="str">
        <f>IF(N17028="","",'Master Barang'!B22)</f>
        <v>altamed nurse cap penutup kepala 100 pcs</v>
      </c>
      <c r="P17028">
        <f>IF(OR(M17028="",N17028=""),"",SUMIFS('Barang Keluar'!$E:$E,'Barang Keluar'!$A:$A,M17028,'Barang Keluar'!$C:$C,N17028))</f>
        <v>0</v>
      </c>
    </row>
    <row r="17029" spans="13:16">
      <c r="M17029" s="49">
        <f>IF($A$4+170&gt;$B$4,"",$A$4+170)</f>
        <v>46193</v>
      </c>
      <c r="N17029" t="str">
        <f>IF(M17029="","",'Master Barang'!A23)</f>
        <v>PRL-022</v>
      </c>
      <c r="O17029" t="str">
        <f>IF(N17029="","",'Master Barang'!B23)</f>
        <v>sabun cuci tangan</v>
      </c>
      <c r="P17029">
        <f>IF(OR(M17029="",N17029=""),"",SUMIFS('Barang Keluar'!$E:$E,'Barang Keluar'!$A:$A,M17029,'Barang Keluar'!$C:$C,N17029))</f>
        <v>0</v>
      </c>
    </row>
    <row r="17030" spans="13:16">
      <c r="M17030" s="49">
        <f>IF($A$4+170&gt;$B$4,"",$A$4+170)</f>
        <v>46193</v>
      </c>
      <c r="N17030" t="str">
        <f>IF(M17030="","",'Master Barang'!A24)</f>
        <v>PRL-023</v>
      </c>
      <c r="O17030" t="str">
        <f>IF(N17030="","",'Master Barang'!B24)</f>
        <v>gayung kecil</v>
      </c>
      <c r="P17030">
        <f>IF(OR(M17030="",N17030=""),"",SUMIFS('Barang Keluar'!$E:$E,'Barang Keluar'!$A:$A,M17030,'Barang Keluar'!$C:$C,N17030))</f>
        <v>0</v>
      </c>
    </row>
    <row r="17031" spans="13:16">
      <c r="M17031" s="49">
        <f>IF($A$4+170&gt;$B$4,"",$A$4+170)</f>
        <v>46193</v>
      </c>
      <c r="N17031" t="str">
        <f>IF(M17031="","",'Master Barang'!A25)</f>
        <v>PRL-024</v>
      </c>
      <c r="O17031" t="str">
        <f>IF(N17031="","",'Master Barang'!B25)</f>
        <v>cikrak kecil</v>
      </c>
      <c r="P17031">
        <f>IF(OR(M17031="",N17031=""),"",SUMIFS('Barang Keluar'!$E:$E,'Barang Keluar'!$A:$A,M17031,'Barang Keluar'!$C:$C,N17031))</f>
        <v>0</v>
      </c>
    </row>
    <row r="17032" spans="13:16">
      <c r="M17032" s="49">
        <f>IF($A$4+170&gt;$B$4,"",$A$4+170)</f>
        <v>46193</v>
      </c>
      <c r="N17032" t="str">
        <f>IF(M17032="","",'Master Barang'!A26)</f>
        <v>PRL-025</v>
      </c>
      <c r="O17032" t="str">
        <f>IF(N17032="","",'Master Barang'!B26)</f>
        <v>petromax plastik kecil 12x24 100 lembar</v>
      </c>
      <c r="P17032">
        <f>IF(OR(M17032="",N17032=""),"",SUMIFS('Barang Keluar'!$E:$E,'Barang Keluar'!$A:$A,M17032,'Barang Keluar'!$C:$C,N17032))</f>
        <v>0</v>
      </c>
    </row>
    <row r="17033" spans="13:16">
      <c r="M17033" s="49">
        <f>IF($A$4+170&gt;$B$4,"",$A$4+170)</f>
        <v>46193</v>
      </c>
      <c r="N17033" t="str">
        <f>IF(M17033="","",'Master Barang'!A27)</f>
        <v>PRL-026</v>
      </c>
      <c r="O17033" t="str">
        <f>IF(N17033="","",'Master Barang'!B27)</f>
        <v>lancar kresek kecil bening </v>
      </c>
      <c r="P17033">
        <f>IF(OR(M17033="",N17033=""),"",SUMIFS('Barang Keluar'!$E:$E,'Barang Keluar'!$A:$A,M17033,'Barang Keluar'!$C:$C,N17033))</f>
        <v>0</v>
      </c>
    </row>
    <row r="17034" spans="13:16">
      <c r="M17034" s="49">
        <f>IF($A$4+170&gt;$B$4,"",$A$4+170)</f>
        <v>46193</v>
      </c>
      <c r="N17034" t="str">
        <f>IF(M17034="","",'Master Barang'!A28)</f>
        <v>PRL-027</v>
      </c>
      <c r="O17034" t="str">
        <f>IF(N17034="","",'Master Barang'!B28)</f>
        <v>kresek klin warna warni kecil</v>
      </c>
      <c r="P17034">
        <f>IF(OR(M17034="",N17034=""),"",SUMIFS('Barang Keluar'!$E:$E,'Barang Keluar'!$A:$A,M17034,'Barang Keluar'!$C:$C,N17034))</f>
        <v>0</v>
      </c>
    </row>
    <row r="17035" spans="13:16">
      <c r="M17035" s="49">
        <f>IF($A$4+170&gt;$B$4,"",$A$4+170)</f>
        <v>46193</v>
      </c>
      <c r="N17035" t="str">
        <f>IF(M17035="","",'Master Barang'!A29)</f>
        <v>PRL-028</v>
      </c>
      <c r="O17035" t="str">
        <f>IF(N17035="","",'Master Barang'!B29)</f>
        <v>ctik plastik 7x10 100 pcs</v>
      </c>
      <c r="P17035">
        <f>IF(OR(M17035="",N17035=""),"",SUMIFS('Barang Keluar'!$E:$E,'Barang Keluar'!$A:$A,M17035,'Barang Keluar'!$C:$C,N17035))</f>
        <v>0</v>
      </c>
    </row>
    <row r="17036" spans="13:16">
      <c r="M17036" s="49">
        <f>IF($A$4+170&gt;$B$4,"",$A$4+170)</f>
        <v>46193</v>
      </c>
      <c r="N17036" t="str">
        <f>IF(M17036="","",'Master Barang'!A30)</f>
        <v>PRL-029</v>
      </c>
      <c r="O17036" t="str">
        <f>IF(N17036="","",'Master Barang'!B30)</f>
        <v>ctik plastik 6x10 100 pcs</v>
      </c>
      <c r="P17036">
        <f>IF(OR(M17036="",N17036=""),"",SUMIFS('Barang Keluar'!$E:$E,'Barang Keluar'!$A:$A,M17036,'Barang Keluar'!$C:$C,N17036))</f>
        <v>0</v>
      </c>
    </row>
    <row r="17037" spans="13:16">
      <c r="M17037" s="49">
        <f>IF($A$4+170&gt;$B$4,"",$A$4+170)</f>
        <v>46193</v>
      </c>
      <c r="N17037" t="str">
        <f>IF(M17037="","",'Master Barang'!A31)</f>
        <v>PRL-030</v>
      </c>
      <c r="O17037" t="str">
        <f>IF(N17037="","",'Master Barang'!B31)</f>
        <v>klip plastik 25x16 100 pcs</v>
      </c>
      <c r="P17037">
        <f>IF(OR(M17037="",N17037=""),"",SUMIFS('Barang Keluar'!$E:$E,'Barang Keluar'!$A:$A,M17037,'Barang Keluar'!$C:$C,N17037))</f>
        <v>0</v>
      </c>
    </row>
    <row r="17038" spans="13:16">
      <c r="M17038" s="49">
        <f>IF($A$4+170&gt;$B$4,"",$A$4+170)</f>
        <v>46193</v>
      </c>
      <c r="N17038" t="str">
        <f>IF(M17038="","",'Master Barang'!A32)</f>
        <v>PRL-031</v>
      </c>
      <c r="O17038" t="str">
        <f>IF(N17038="","",'Master Barang'!B32)</f>
        <v>tempat saus 20 ml</v>
      </c>
      <c r="P17038">
        <f>IF(OR(M17038="",N17038=""),"",SUMIFS('Barang Keluar'!$E:$E,'Barang Keluar'!$A:$A,M17038,'Barang Keluar'!$C:$C,N17038))</f>
        <v>0</v>
      </c>
    </row>
    <row r="17039" spans="13:16">
      <c r="M17039" s="49">
        <f>IF($A$4+170&gt;$B$4,"",$A$4+170)</f>
        <v>46193</v>
      </c>
      <c r="N17039" t="str">
        <f>IF(M17039="","",'Master Barang'!A33)</f>
        <v>PRL-032</v>
      </c>
      <c r="O17039" t="str">
        <f>IF(N17039="","",'Master Barang'!B33)</f>
        <v>plastik packaging ag box uk sedang</v>
      </c>
      <c r="P17039">
        <f>IF(OR(M17039="",N17039=""),"",SUMIFS('Barang Keluar'!$E:$E,'Barang Keluar'!$A:$A,M17039,'Barang Keluar'!$C:$C,N17039))</f>
        <v>0</v>
      </c>
    </row>
    <row r="17040" spans="13:16">
      <c r="M17040" s="49">
        <f>IF($A$4+170&gt;$B$4,"",$A$4+170)</f>
        <v>46193</v>
      </c>
      <c r="N17040" t="str">
        <f>IF(M17040="","",'Master Barang'!A34)</f>
        <v>PRL-033</v>
      </c>
      <c r="O17040">
        <f>IF(N17040="","",'Master Barang'!B34)</f>
        <v>0</v>
      </c>
      <c r="P17040">
        <f>IF(OR(M17040="",N17040=""),"",SUMIFS('Barang Keluar'!$E:$E,'Barang Keluar'!$A:$A,M17040,'Barang Keluar'!$C:$C,N17040))</f>
        <v>0</v>
      </c>
    </row>
    <row r="17041" spans="13:16">
      <c r="M17041" s="49">
        <f>IF($A$4+170&gt;$B$4,"",$A$4+170)</f>
        <v>46193</v>
      </c>
      <c r="N17041">
        <f>IF(M17041="","",'Master Barang'!A35)</f>
        <v>0</v>
      </c>
      <c r="O17041">
        <f>IF(N17041="","",'Master Barang'!B35)</f>
        <v>0</v>
      </c>
      <c r="P17041">
        <f>IF(OR(M17041="",N17041=""),"",SUMIFS('Barang Keluar'!$E:$E,'Barang Keluar'!$A:$A,M17041,'Barang Keluar'!$C:$C,N17041))</f>
        <v>0</v>
      </c>
    </row>
    <row r="17042" spans="13:16">
      <c r="M17042" s="49">
        <f>IF($A$4+170&gt;$B$4,"",$A$4+170)</f>
        <v>46193</v>
      </c>
      <c r="N17042">
        <f>IF(M17042="","",'Master Barang'!A36)</f>
        <v>0</v>
      </c>
      <c r="O17042">
        <f>IF(N17042="","",'Master Barang'!B36)</f>
        <v>0</v>
      </c>
      <c r="P17042">
        <f>IF(OR(M17042="",N17042=""),"",SUMIFS('Barang Keluar'!$E:$E,'Barang Keluar'!$A:$A,M17042,'Barang Keluar'!$C:$C,N17042))</f>
        <v>0</v>
      </c>
    </row>
    <row r="17043" spans="13:16">
      <c r="M17043" s="49">
        <f>IF($A$4+170&gt;$B$4,"",$A$4+170)</f>
        <v>46193</v>
      </c>
      <c r="N17043">
        <f>IF(M17043="","",'Master Barang'!A37)</f>
        <v>0</v>
      </c>
      <c r="O17043">
        <f>IF(N17043="","",'Master Barang'!B37)</f>
        <v>0</v>
      </c>
      <c r="P17043">
        <f>IF(OR(M17043="",N17043=""),"",SUMIFS('Barang Keluar'!$E:$E,'Barang Keluar'!$A:$A,M17043,'Barang Keluar'!$C:$C,N17043))</f>
        <v>0</v>
      </c>
    </row>
    <row r="17044" spans="13:16">
      <c r="M17044" s="49">
        <f>IF($A$4+170&gt;$B$4,"",$A$4+170)</f>
        <v>46193</v>
      </c>
      <c r="N17044">
        <f>IF(M17044="","",'Master Barang'!A38)</f>
        <v>0</v>
      </c>
      <c r="O17044">
        <f>IF(N17044="","",'Master Barang'!B38)</f>
        <v>0</v>
      </c>
      <c r="P17044">
        <f>IF(OR(M17044="",N17044=""),"",SUMIFS('Barang Keluar'!$E:$E,'Barang Keluar'!$A:$A,M17044,'Barang Keluar'!$C:$C,N17044))</f>
        <v>0</v>
      </c>
    </row>
    <row r="17045" spans="13:16">
      <c r="M17045" s="49">
        <f>IF($A$4+170&gt;$B$4,"",$A$4+170)</f>
        <v>46193</v>
      </c>
      <c r="N17045">
        <f>IF(M17045="","",'Master Barang'!A39)</f>
        <v>0</v>
      </c>
      <c r="O17045">
        <f>IF(N17045="","",'Master Barang'!B39)</f>
        <v>0</v>
      </c>
      <c r="P17045">
        <f>IF(OR(M17045="",N17045=""),"",SUMIFS('Barang Keluar'!$E:$E,'Barang Keluar'!$A:$A,M17045,'Barang Keluar'!$C:$C,N17045))</f>
        <v>0</v>
      </c>
    </row>
    <row r="17046" spans="13:16">
      <c r="M17046" s="49">
        <f>IF($A$4+170&gt;$B$4,"",$A$4+170)</f>
        <v>46193</v>
      </c>
      <c r="N17046">
        <f>IF(M17046="","",'Master Barang'!A40)</f>
        <v>0</v>
      </c>
      <c r="O17046">
        <f>IF(N17046="","",'Master Barang'!B40)</f>
        <v>0</v>
      </c>
      <c r="P17046">
        <f>IF(OR(M17046="",N17046=""),"",SUMIFS('Barang Keluar'!$E:$E,'Barang Keluar'!$A:$A,M17046,'Barang Keluar'!$C:$C,N17046))</f>
        <v>0</v>
      </c>
    </row>
    <row r="17047" spans="13:16">
      <c r="M17047" s="49">
        <f>IF($A$4+170&gt;$B$4,"",$A$4+170)</f>
        <v>46193</v>
      </c>
      <c r="N17047">
        <f>IF(M17047="","",'Master Barang'!A41)</f>
        <v>0</v>
      </c>
      <c r="O17047">
        <f>IF(N17047="","",'Master Barang'!B41)</f>
        <v>0</v>
      </c>
      <c r="P17047">
        <f>IF(OR(M17047="",N17047=""),"",SUMIFS('Barang Keluar'!$E:$E,'Barang Keluar'!$A:$A,M17047,'Barang Keluar'!$C:$C,N17047))</f>
        <v>0</v>
      </c>
    </row>
    <row r="17048" spans="13:16">
      <c r="M17048" s="49">
        <f>IF($A$4+170&gt;$B$4,"",$A$4+170)</f>
        <v>46193</v>
      </c>
      <c r="N17048">
        <f>IF(M17048="","",'Master Barang'!A42)</f>
        <v>0</v>
      </c>
      <c r="O17048">
        <f>IF(N17048="","",'Master Barang'!B42)</f>
        <v>0</v>
      </c>
      <c r="P17048">
        <f>IF(OR(M17048="",N17048=""),"",SUMIFS('Barang Keluar'!$E:$E,'Barang Keluar'!$A:$A,M17048,'Barang Keluar'!$C:$C,N17048))</f>
        <v>0</v>
      </c>
    </row>
    <row r="17049" spans="13:16">
      <c r="M17049" s="49">
        <f>IF($A$4+170&gt;$B$4,"",$A$4+170)</f>
        <v>46193</v>
      </c>
      <c r="N17049">
        <f>IF(M17049="","",'Master Barang'!A43)</f>
        <v>0</v>
      </c>
      <c r="O17049">
        <f>IF(N17049="","",'Master Barang'!B43)</f>
        <v>0</v>
      </c>
      <c r="P17049">
        <f>IF(OR(M17049="",N17049=""),"",SUMIFS('Barang Keluar'!$E:$E,'Barang Keluar'!$A:$A,M17049,'Barang Keluar'!$C:$C,N17049))</f>
        <v>0</v>
      </c>
    </row>
    <row r="17050" spans="13:16">
      <c r="M17050" s="49">
        <f>IF($A$4+170&gt;$B$4,"",$A$4+170)</f>
        <v>46193</v>
      </c>
      <c r="N17050">
        <f>IF(M17050="","",'Master Barang'!A44)</f>
        <v>0</v>
      </c>
      <c r="O17050">
        <f>IF(N17050="","",'Master Barang'!B44)</f>
        <v>0</v>
      </c>
      <c r="P17050">
        <f>IF(OR(M17050="",N17050=""),"",SUMIFS('Barang Keluar'!$E:$E,'Barang Keluar'!$A:$A,M17050,'Barang Keluar'!$C:$C,N17050))</f>
        <v>0</v>
      </c>
    </row>
    <row r="17051" spans="13:16">
      <c r="M17051" s="49">
        <f>IF($A$4+170&gt;$B$4,"",$A$4+170)</f>
        <v>46193</v>
      </c>
      <c r="N17051">
        <f>IF(M17051="","",'Master Barang'!A45)</f>
        <v>0</v>
      </c>
      <c r="O17051">
        <f>IF(N17051="","",'Master Barang'!B45)</f>
        <v>0</v>
      </c>
      <c r="P17051">
        <f>IF(OR(M17051="",N17051=""),"",SUMIFS('Barang Keluar'!$E:$E,'Barang Keluar'!$A:$A,M17051,'Barang Keluar'!$C:$C,N17051))</f>
        <v>0</v>
      </c>
    </row>
    <row r="17052" spans="13:16">
      <c r="M17052" s="49">
        <f>IF($A$4+170&gt;$B$4,"",$A$4+170)</f>
        <v>46193</v>
      </c>
      <c r="N17052">
        <f>IF(M17052="","",'Master Barang'!A46)</f>
        <v>0</v>
      </c>
      <c r="O17052">
        <f>IF(N17052="","",'Master Barang'!B46)</f>
        <v>0</v>
      </c>
      <c r="P17052">
        <f>IF(OR(M17052="",N17052=""),"",SUMIFS('Barang Keluar'!$E:$E,'Barang Keluar'!$A:$A,M17052,'Barang Keluar'!$C:$C,N17052))</f>
        <v>0</v>
      </c>
    </row>
    <row r="17053" spans="13:16">
      <c r="M17053" s="49">
        <f>IF($A$4+170&gt;$B$4,"",$A$4+170)</f>
        <v>46193</v>
      </c>
      <c r="N17053">
        <f>IF(M17053="","",'Master Barang'!A47)</f>
        <v>0</v>
      </c>
      <c r="O17053">
        <f>IF(N17053="","",'Master Barang'!B47)</f>
        <v>0</v>
      </c>
      <c r="P17053">
        <f>IF(OR(M17053="",N17053=""),"",SUMIFS('Barang Keluar'!$E:$E,'Barang Keluar'!$A:$A,M17053,'Barang Keluar'!$C:$C,N17053))</f>
        <v>0</v>
      </c>
    </row>
    <row r="17054" spans="13:16">
      <c r="M17054" s="49">
        <f>IF($A$4+170&gt;$B$4,"",$A$4+170)</f>
        <v>46193</v>
      </c>
      <c r="N17054">
        <f>IF(M17054="","",'Master Barang'!A48)</f>
        <v>0</v>
      </c>
      <c r="O17054">
        <f>IF(N17054="","",'Master Barang'!B48)</f>
        <v>0</v>
      </c>
      <c r="P17054">
        <f>IF(OR(M17054="",N17054=""),"",SUMIFS('Barang Keluar'!$E:$E,'Barang Keluar'!$A:$A,M17054,'Barang Keluar'!$C:$C,N17054))</f>
        <v>0</v>
      </c>
    </row>
    <row r="17055" spans="13:16">
      <c r="M17055" s="49">
        <f>IF($A$4+170&gt;$B$4,"",$A$4+170)</f>
        <v>46193</v>
      </c>
      <c r="N17055">
        <f>IF(M17055="","",'Master Barang'!A49)</f>
        <v>0</v>
      </c>
      <c r="O17055">
        <f>IF(N17055="","",'Master Barang'!B49)</f>
        <v>0</v>
      </c>
      <c r="P17055">
        <f>IF(OR(M17055="",N17055=""),"",SUMIFS('Barang Keluar'!$E:$E,'Barang Keluar'!$A:$A,M17055,'Barang Keluar'!$C:$C,N17055))</f>
        <v>0</v>
      </c>
    </row>
    <row r="17056" spans="13:16">
      <c r="M17056" s="49">
        <f>IF($A$4+170&gt;$B$4,"",$A$4+170)</f>
        <v>46193</v>
      </c>
      <c r="N17056">
        <f>IF(M17056="","",'Master Barang'!A50)</f>
        <v>0</v>
      </c>
      <c r="O17056">
        <f>IF(N17056="","",'Master Barang'!B50)</f>
        <v>0</v>
      </c>
      <c r="P17056">
        <f>IF(OR(M17056="",N17056=""),"",SUMIFS('Barang Keluar'!$E:$E,'Barang Keluar'!$A:$A,M17056,'Barang Keluar'!$C:$C,N17056))</f>
        <v>0</v>
      </c>
    </row>
    <row r="17057" spans="13:16">
      <c r="M17057" s="49">
        <f>IF($A$4+170&gt;$B$4,"",$A$4+170)</f>
        <v>46193</v>
      </c>
      <c r="N17057">
        <f>IF(M17057="","",'Master Barang'!A51)</f>
        <v>0</v>
      </c>
      <c r="O17057">
        <f>IF(N17057="","",'Master Barang'!B51)</f>
        <v>0</v>
      </c>
      <c r="P17057">
        <f>IF(OR(M17057="",N17057=""),"",SUMIFS('Barang Keluar'!$E:$E,'Barang Keluar'!$A:$A,M17057,'Barang Keluar'!$C:$C,N17057))</f>
        <v>0</v>
      </c>
    </row>
    <row r="17058" spans="13:16">
      <c r="M17058" s="49">
        <f>IF($A$4+170&gt;$B$4,"",$A$4+170)</f>
        <v>46193</v>
      </c>
      <c r="N17058">
        <f>IF(M17058="","",'Master Barang'!A52)</f>
        <v>0</v>
      </c>
      <c r="O17058">
        <f>IF(N17058="","",'Master Barang'!B52)</f>
        <v>0</v>
      </c>
      <c r="P17058">
        <f>IF(OR(M17058="",N17058=""),"",SUMIFS('Barang Keluar'!$E:$E,'Barang Keluar'!$A:$A,M17058,'Barang Keluar'!$C:$C,N17058))</f>
        <v>0</v>
      </c>
    </row>
    <row r="17059" spans="13:16">
      <c r="M17059" s="49">
        <f>IF($A$4+170&gt;$B$4,"",$A$4+170)</f>
        <v>46193</v>
      </c>
      <c r="N17059">
        <f>IF(M17059="","",'Master Barang'!A53)</f>
        <v>0</v>
      </c>
      <c r="O17059">
        <f>IF(N17059="","",'Master Barang'!B53)</f>
        <v>0</v>
      </c>
      <c r="P17059">
        <f>IF(OR(M17059="",N17059=""),"",SUMIFS('Barang Keluar'!$E:$E,'Barang Keluar'!$A:$A,M17059,'Barang Keluar'!$C:$C,N17059))</f>
        <v>0</v>
      </c>
    </row>
    <row r="17060" spans="13:16">
      <c r="M17060" s="49">
        <f>IF($A$4+170&gt;$B$4,"",$A$4+170)</f>
        <v>46193</v>
      </c>
      <c r="N17060">
        <f>IF(M17060="","",'Master Barang'!A54)</f>
        <v>0</v>
      </c>
      <c r="O17060">
        <f>IF(N17060="","",'Master Barang'!B54)</f>
        <v>0</v>
      </c>
      <c r="P17060">
        <f>IF(OR(M17060="",N17060=""),"",SUMIFS('Barang Keluar'!$E:$E,'Barang Keluar'!$A:$A,M17060,'Barang Keluar'!$C:$C,N17060))</f>
        <v>0</v>
      </c>
    </row>
    <row r="17061" spans="13:16">
      <c r="M17061" s="49">
        <f>IF($A$4+170&gt;$B$4,"",$A$4+170)</f>
        <v>46193</v>
      </c>
      <c r="N17061">
        <f>IF(M17061="","",'Master Barang'!A55)</f>
        <v>0</v>
      </c>
      <c r="O17061">
        <f>IF(N17061="","",'Master Barang'!B55)</f>
        <v>0</v>
      </c>
      <c r="P17061">
        <f>IF(OR(M17061="",N17061=""),"",SUMIFS('Barang Keluar'!$E:$E,'Barang Keluar'!$A:$A,M17061,'Barang Keluar'!$C:$C,N17061))</f>
        <v>0</v>
      </c>
    </row>
    <row r="17062" spans="13:16">
      <c r="M17062" s="49">
        <f>IF($A$4+170&gt;$B$4,"",$A$4+170)</f>
        <v>46193</v>
      </c>
      <c r="N17062">
        <f>IF(M17062="","",'Master Barang'!A56)</f>
        <v>0</v>
      </c>
      <c r="O17062">
        <f>IF(N17062="","",'Master Barang'!B56)</f>
        <v>0</v>
      </c>
      <c r="P17062">
        <f>IF(OR(M17062="",N17062=""),"",SUMIFS('Barang Keluar'!$E:$E,'Barang Keluar'!$A:$A,M17062,'Barang Keluar'!$C:$C,N17062))</f>
        <v>0</v>
      </c>
    </row>
    <row r="17063" spans="13:16">
      <c r="M17063" s="49">
        <f>IF($A$4+170&gt;$B$4,"",$A$4+170)</f>
        <v>46193</v>
      </c>
      <c r="N17063">
        <f>IF(M17063="","",'Master Barang'!A57)</f>
        <v>0</v>
      </c>
      <c r="O17063">
        <f>IF(N17063="","",'Master Barang'!B57)</f>
        <v>0</v>
      </c>
      <c r="P17063">
        <f>IF(OR(M17063="",N17063=""),"",SUMIFS('Barang Keluar'!$E:$E,'Barang Keluar'!$A:$A,M17063,'Barang Keluar'!$C:$C,N17063))</f>
        <v>0</v>
      </c>
    </row>
    <row r="17064" spans="13:16">
      <c r="M17064" s="49">
        <f>IF($A$4+170&gt;$B$4,"",$A$4+170)</f>
        <v>46193</v>
      </c>
      <c r="N17064">
        <f>IF(M17064="","",'Master Barang'!A58)</f>
        <v>0</v>
      </c>
      <c r="O17064">
        <f>IF(N17064="","",'Master Barang'!B58)</f>
        <v>0</v>
      </c>
      <c r="P17064">
        <f>IF(OR(M17064="",N17064=""),"",SUMIFS('Barang Keluar'!$E:$E,'Barang Keluar'!$A:$A,M17064,'Barang Keluar'!$C:$C,N17064))</f>
        <v>0</v>
      </c>
    </row>
    <row r="17065" spans="13:16">
      <c r="M17065" s="49">
        <f>IF($A$4+170&gt;$B$4,"",$A$4+170)</f>
        <v>46193</v>
      </c>
      <c r="N17065">
        <f>IF(M17065="","",'Master Barang'!A59)</f>
        <v>0</v>
      </c>
      <c r="O17065">
        <f>IF(N17065="","",'Master Barang'!B59)</f>
        <v>0</v>
      </c>
      <c r="P17065">
        <f>IF(OR(M17065="",N17065=""),"",SUMIFS('Barang Keluar'!$E:$E,'Barang Keluar'!$A:$A,M17065,'Barang Keluar'!$C:$C,N17065))</f>
        <v>0</v>
      </c>
    </row>
    <row r="17066" spans="13:16">
      <c r="M17066" s="49">
        <f>IF($A$4+170&gt;$B$4,"",$A$4+170)</f>
        <v>46193</v>
      </c>
      <c r="N17066">
        <f>IF(M17066="","",'Master Barang'!A60)</f>
        <v>0</v>
      </c>
      <c r="O17066">
        <f>IF(N17066="","",'Master Barang'!B60)</f>
        <v>0</v>
      </c>
      <c r="P17066">
        <f>IF(OR(M17066="",N17066=""),"",SUMIFS('Barang Keluar'!$E:$E,'Barang Keluar'!$A:$A,M17066,'Barang Keluar'!$C:$C,N17066))</f>
        <v>0</v>
      </c>
    </row>
    <row r="17067" spans="13:16">
      <c r="M17067" s="49">
        <f>IF($A$4+170&gt;$B$4,"",$A$4+170)</f>
        <v>46193</v>
      </c>
      <c r="N17067">
        <f>IF(M17067="","",'Master Barang'!A61)</f>
        <v>0</v>
      </c>
      <c r="O17067">
        <f>IF(N17067="","",'Master Barang'!B61)</f>
        <v>0</v>
      </c>
      <c r="P17067">
        <f>IF(OR(M17067="",N17067=""),"",SUMIFS('Barang Keluar'!$E:$E,'Barang Keluar'!$A:$A,M17067,'Barang Keluar'!$C:$C,N17067))</f>
        <v>0</v>
      </c>
    </row>
    <row r="17068" spans="13:16">
      <c r="M17068" s="49">
        <f>IF($A$4+170&gt;$B$4,"",$A$4+170)</f>
        <v>46193</v>
      </c>
      <c r="N17068">
        <f>IF(M17068="","",'Master Barang'!A62)</f>
        <v>0</v>
      </c>
      <c r="O17068">
        <f>IF(N17068="","",'Master Barang'!B62)</f>
        <v>0</v>
      </c>
      <c r="P17068">
        <f>IF(OR(M17068="",N17068=""),"",SUMIFS('Barang Keluar'!$E:$E,'Barang Keluar'!$A:$A,M17068,'Barang Keluar'!$C:$C,N17068))</f>
        <v>0</v>
      </c>
    </row>
    <row r="17069" spans="13:16">
      <c r="M17069" s="49">
        <f>IF($A$4+170&gt;$B$4,"",$A$4+170)</f>
        <v>46193</v>
      </c>
      <c r="N17069">
        <f>IF(M17069="","",'Master Barang'!A63)</f>
        <v>0</v>
      </c>
      <c r="O17069">
        <f>IF(N17069="","",'Master Barang'!B63)</f>
        <v>0</v>
      </c>
      <c r="P17069">
        <f>IF(OR(M17069="",N17069=""),"",SUMIFS('Barang Keluar'!$E:$E,'Barang Keluar'!$A:$A,M17069,'Barang Keluar'!$C:$C,N17069))</f>
        <v>0</v>
      </c>
    </row>
    <row r="17070" spans="13:16">
      <c r="M17070" s="49">
        <f>IF($A$4+170&gt;$B$4,"",$A$4+170)</f>
        <v>46193</v>
      </c>
      <c r="N17070">
        <f>IF(M17070="","",'Master Barang'!A64)</f>
        <v>0</v>
      </c>
      <c r="O17070">
        <f>IF(N17070="","",'Master Barang'!B64)</f>
        <v>0</v>
      </c>
      <c r="P17070">
        <f>IF(OR(M17070="",N17070=""),"",SUMIFS('Barang Keluar'!$E:$E,'Barang Keluar'!$A:$A,M17070,'Barang Keluar'!$C:$C,N17070))</f>
        <v>0</v>
      </c>
    </row>
    <row r="17071" spans="13:16">
      <c r="M17071" s="49">
        <f>IF($A$4+170&gt;$B$4,"",$A$4+170)</f>
        <v>46193</v>
      </c>
      <c r="N17071">
        <f>IF(M17071="","",'Master Barang'!A65)</f>
        <v>0</v>
      </c>
      <c r="O17071">
        <f>IF(N17071="","",'Master Barang'!B65)</f>
        <v>0</v>
      </c>
      <c r="P17071">
        <f>IF(OR(M17071="",N17071=""),"",SUMIFS('Barang Keluar'!$E:$E,'Barang Keluar'!$A:$A,M17071,'Barang Keluar'!$C:$C,N17071))</f>
        <v>0</v>
      </c>
    </row>
    <row r="17072" spans="13:16">
      <c r="M17072" s="49">
        <f>IF($A$4+170&gt;$B$4,"",$A$4+170)</f>
        <v>46193</v>
      </c>
      <c r="N17072">
        <f>IF(M17072="","",'Master Barang'!A66)</f>
        <v>0</v>
      </c>
      <c r="O17072">
        <f>IF(N17072="","",'Master Barang'!B66)</f>
        <v>0</v>
      </c>
      <c r="P17072">
        <f>IF(OR(M17072="",N17072=""),"",SUMIFS('Barang Keluar'!$E:$E,'Barang Keluar'!$A:$A,M17072,'Barang Keluar'!$C:$C,N17072))</f>
        <v>0</v>
      </c>
    </row>
    <row r="17073" spans="13:16">
      <c r="M17073" s="49">
        <f>IF($A$4+170&gt;$B$4,"",$A$4+170)</f>
        <v>46193</v>
      </c>
      <c r="N17073">
        <f>IF(M17073="","",'Master Barang'!A67)</f>
        <v>0</v>
      </c>
      <c r="O17073">
        <f>IF(N17073="","",'Master Barang'!B67)</f>
        <v>0</v>
      </c>
      <c r="P17073">
        <f>IF(OR(M17073="",N17073=""),"",SUMIFS('Barang Keluar'!$E:$E,'Barang Keluar'!$A:$A,M17073,'Barang Keluar'!$C:$C,N17073))</f>
        <v>0</v>
      </c>
    </row>
    <row r="17074" spans="13:16">
      <c r="M17074" s="49">
        <f>IF($A$4+170&gt;$B$4,"",$A$4+170)</f>
        <v>46193</v>
      </c>
      <c r="N17074">
        <f>IF(M17074="","",'Master Barang'!A68)</f>
        <v>0</v>
      </c>
      <c r="O17074">
        <f>IF(N17074="","",'Master Barang'!B68)</f>
        <v>0</v>
      </c>
      <c r="P17074">
        <f>IF(OR(M17074="",N17074=""),"",SUMIFS('Barang Keluar'!$E:$E,'Barang Keluar'!$A:$A,M17074,'Barang Keluar'!$C:$C,N17074))</f>
        <v>0</v>
      </c>
    </row>
    <row r="17075" spans="13:16">
      <c r="M17075" s="49">
        <f>IF($A$4+170&gt;$B$4,"",$A$4+170)</f>
        <v>46193</v>
      </c>
      <c r="N17075">
        <f>IF(M17075="","",'Master Barang'!A69)</f>
        <v>0</v>
      </c>
      <c r="O17075">
        <f>IF(N17075="","",'Master Barang'!B69)</f>
        <v>0</v>
      </c>
      <c r="P17075">
        <f>IF(OR(M17075="",N17075=""),"",SUMIFS('Barang Keluar'!$E:$E,'Barang Keluar'!$A:$A,M17075,'Barang Keluar'!$C:$C,N17075))</f>
        <v>0</v>
      </c>
    </row>
    <row r="17076" spans="13:16">
      <c r="M17076" s="49">
        <f>IF($A$4+170&gt;$B$4,"",$A$4+170)</f>
        <v>46193</v>
      </c>
      <c r="N17076">
        <f>IF(M17076="","",'Master Barang'!A70)</f>
        <v>0</v>
      </c>
      <c r="O17076">
        <f>IF(N17076="","",'Master Barang'!B70)</f>
        <v>0</v>
      </c>
      <c r="P17076">
        <f>IF(OR(M17076="",N17076=""),"",SUMIFS('Barang Keluar'!$E:$E,'Barang Keluar'!$A:$A,M17076,'Barang Keluar'!$C:$C,N17076))</f>
        <v>0</v>
      </c>
    </row>
    <row r="17077" spans="13:16">
      <c r="M17077" s="49">
        <f>IF($A$4+170&gt;$B$4,"",$A$4+170)</f>
        <v>46193</v>
      </c>
      <c r="N17077">
        <f>IF(M17077="","",'Master Barang'!A71)</f>
        <v>0</v>
      </c>
      <c r="O17077">
        <f>IF(N17077="","",'Master Barang'!B71)</f>
        <v>0</v>
      </c>
      <c r="P17077">
        <f>IF(OR(M17077="",N17077=""),"",SUMIFS('Barang Keluar'!$E:$E,'Barang Keluar'!$A:$A,M17077,'Barang Keluar'!$C:$C,N17077))</f>
        <v>0</v>
      </c>
    </row>
    <row r="17078" spans="13:16">
      <c r="M17078" s="49">
        <f>IF($A$4+170&gt;$B$4,"",$A$4+170)</f>
        <v>46193</v>
      </c>
      <c r="N17078">
        <f>IF(M17078="","",'Master Barang'!A72)</f>
        <v>0</v>
      </c>
      <c r="O17078">
        <f>IF(N17078="","",'Master Barang'!B72)</f>
        <v>0</v>
      </c>
      <c r="P17078">
        <f>IF(OR(M17078="",N17078=""),"",SUMIFS('Barang Keluar'!$E:$E,'Barang Keluar'!$A:$A,M17078,'Barang Keluar'!$C:$C,N17078))</f>
        <v>0</v>
      </c>
    </row>
    <row r="17079" spans="13:16">
      <c r="M17079" s="49">
        <f>IF($A$4+170&gt;$B$4,"",$A$4+170)</f>
        <v>46193</v>
      </c>
      <c r="N17079">
        <f>IF(M17079="","",'Master Barang'!A73)</f>
        <v>0</v>
      </c>
      <c r="O17079">
        <f>IF(N17079="","",'Master Barang'!B73)</f>
        <v>0</v>
      </c>
      <c r="P17079">
        <f>IF(OR(M17079="",N17079=""),"",SUMIFS('Barang Keluar'!$E:$E,'Barang Keluar'!$A:$A,M17079,'Barang Keluar'!$C:$C,N17079))</f>
        <v>0</v>
      </c>
    </row>
    <row r="17080" spans="13:16">
      <c r="M17080" s="49">
        <f>IF($A$4+170&gt;$B$4,"",$A$4+170)</f>
        <v>46193</v>
      </c>
      <c r="N17080">
        <f>IF(M17080="","",'Master Barang'!A74)</f>
        <v>0</v>
      </c>
      <c r="O17080">
        <f>IF(N17080="","",'Master Barang'!B74)</f>
        <v>0</v>
      </c>
      <c r="P17080">
        <f>IF(OR(M17080="",N17080=""),"",SUMIFS('Barang Keluar'!$E:$E,'Barang Keluar'!$A:$A,M17080,'Barang Keluar'!$C:$C,N17080))</f>
        <v>0</v>
      </c>
    </row>
    <row r="17081" spans="13:16">
      <c r="M17081" s="49">
        <f>IF($A$4+170&gt;$B$4,"",$A$4+170)</f>
        <v>46193</v>
      </c>
      <c r="N17081">
        <f>IF(M17081="","",'Master Barang'!A75)</f>
        <v>0</v>
      </c>
      <c r="O17081">
        <f>IF(N17081="","",'Master Barang'!B75)</f>
        <v>0</v>
      </c>
      <c r="P17081">
        <f>IF(OR(M17081="",N17081=""),"",SUMIFS('Barang Keluar'!$E:$E,'Barang Keluar'!$A:$A,M17081,'Barang Keluar'!$C:$C,N17081))</f>
        <v>0</v>
      </c>
    </row>
    <row r="17082" spans="13:16">
      <c r="M17082" s="49">
        <f>IF($A$4+170&gt;$B$4,"",$A$4+170)</f>
        <v>46193</v>
      </c>
      <c r="N17082">
        <f>IF(M17082="","",'Master Barang'!A76)</f>
        <v>0</v>
      </c>
      <c r="O17082">
        <f>IF(N17082="","",'Master Barang'!B76)</f>
        <v>0</v>
      </c>
      <c r="P17082">
        <f>IF(OR(M17082="",N17082=""),"",SUMIFS('Barang Keluar'!$E:$E,'Barang Keluar'!$A:$A,M17082,'Barang Keluar'!$C:$C,N17082))</f>
        <v>0</v>
      </c>
    </row>
    <row r="17083" spans="13:16">
      <c r="M17083" s="49">
        <f>IF($A$4+170&gt;$B$4,"",$A$4+170)</f>
        <v>46193</v>
      </c>
      <c r="N17083">
        <f>IF(M17083="","",'Master Barang'!A77)</f>
        <v>0</v>
      </c>
      <c r="O17083">
        <f>IF(N17083="","",'Master Barang'!B77)</f>
        <v>0</v>
      </c>
      <c r="P17083">
        <f>IF(OR(M17083="",N17083=""),"",SUMIFS('Barang Keluar'!$E:$E,'Barang Keluar'!$A:$A,M17083,'Barang Keluar'!$C:$C,N17083))</f>
        <v>0</v>
      </c>
    </row>
    <row r="17084" spans="13:16">
      <c r="M17084" s="49">
        <f>IF($A$4+170&gt;$B$4,"",$A$4+170)</f>
        <v>46193</v>
      </c>
      <c r="N17084">
        <f>IF(M17084="","",'Master Barang'!A78)</f>
        <v>0</v>
      </c>
      <c r="O17084">
        <f>IF(N17084="","",'Master Barang'!B78)</f>
        <v>0</v>
      </c>
      <c r="P17084">
        <f>IF(OR(M17084="",N17084=""),"",SUMIFS('Barang Keluar'!$E:$E,'Barang Keluar'!$A:$A,M17084,'Barang Keluar'!$C:$C,N17084))</f>
        <v>0</v>
      </c>
    </row>
    <row r="17085" spans="13:16">
      <c r="M17085" s="49">
        <f>IF($A$4+170&gt;$B$4,"",$A$4+170)</f>
        <v>46193</v>
      </c>
      <c r="N17085">
        <f>IF(M17085="","",'Master Barang'!A79)</f>
        <v>0</v>
      </c>
      <c r="O17085">
        <f>IF(N17085="","",'Master Barang'!B79)</f>
        <v>0</v>
      </c>
      <c r="P17085">
        <f>IF(OR(M17085="",N17085=""),"",SUMIFS('Barang Keluar'!$E:$E,'Barang Keluar'!$A:$A,M17085,'Barang Keluar'!$C:$C,N17085))</f>
        <v>0</v>
      </c>
    </row>
    <row r="17086" spans="13:16">
      <c r="M17086" s="49">
        <f>IF($A$4+170&gt;$B$4,"",$A$4+170)</f>
        <v>46193</v>
      </c>
      <c r="N17086">
        <f>IF(M17086="","",'Master Barang'!A80)</f>
        <v>0</v>
      </c>
      <c r="O17086">
        <f>IF(N17086="","",'Master Barang'!B80)</f>
        <v>0</v>
      </c>
      <c r="P17086">
        <f>IF(OR(M17086="",N17086=""),"",SUMIFS('Barang Keluar'!$E:$E,'Barang Keluar'!$A:$A,M17086,'Barang Keluar'!$C:$C,N17086))</f>
        <v>0</v>
      </c>
    </row>
    <row r="17087" spans="13:16">
      <c r="M17087" s="49">
        <f>IF($A$4+170&gt;$B$4,"",$A$4+170)</f>
        <v>46193</v>
      </c>
      <c r="N17087">
        <f>IF(M17087="","",'Master Barang'!A81)</f>
        <v>0</v>
      </c>
      <c r="O17087">
        <f>IF(N17087="","",'Master Barang'!B81)</f>
        <v>0</v>
      </c>
      <c r="P17087">
        <f>IF(OR(M17087="",N17087=""),"",SUMIFS('Barang Keluar'!$E:$E,'Barang Keluar'!$A:$A,M17087,'Barang Keluar'!$C:$C,N17087))</f>
        <v>0</v>
      </c>
    </row>
    <row r="17088" spans="13:16">
      <c r="M17088" s="49">
        <f>IF($A$4+170&gt;$B$4,"",$A$4+170)</f>
        <v>46193</v>
      </c>
      <c r="N17088">
        <f>IF(M17088="","",'Master Barang'!A82)</f>
        <v>0</v>
      </c>
      <c r="O17088">
        <f>IF(N17088="","",'Master Barang'!B82)</f>
        <v>0</v>
      </c>
      <c r="P17088">
        <f>IF(OR(M17088="",N17088=""),"",SUMIFS('Barang Keluar'!$E:$E,'Barang Keluar'!$A:$A,M17088,'Barang Keluar'!$C:$C,N17088))</f>
        <v>0</v>
      </c>
    </row>
    <row r="17089" spans="13:16">
      <c r="M17089" s="49">
        <f>IF($A$4+170&gt;$B$4,"",$A$4+170)</f>
        <v>46193</v>
      </c>
      <c r="N17089">
        <f>IF(M17089="","",'Master Barang'!A83)</f>
        <v>0</v>
      </c>
      <c r="O17089">
        <f>IF(N17089="","",'Master Barang'!B83)</f>
        <v>0</v>
      </c>
      <c r="P17089">
        <f>IF(OR(M17089="",N17089=""),"",SUMIFS('Barang Keluar'!$E:$E,'Barang Keluar'!$A:$A,M17089,'Barang Keluar'!$C:$C,N17089))</f>
        <v>0</v>
      </c>
    </row>
    <row r="17090" spans="13:16">
      <c r="M17090" s="49">
        <f>IF($A$4+170&gt;$B$4,"",$A$4+170)</f>
        <v>46193</v>
      </c>
      <c r="N17090">
        <f>IF(M17090="","",'Master Barang'!A84)</f>
        <v>0</v>
      </c>
      <c r="O17090">
        <f>IF(N17090="","",'Master Barang'!B84)</f>
        <v>0</v>
      </c>
      <c r="P17090">
        <f>IF(OR(M17090="",N17090=""),"",SUMIFS('Barang Keluar'!$E:$E,'Barang Keluar'!$A:$A,M17090,'Barang Keluar'!$C:$C,N17090))</f>
        <v>0</v>
      </c>
    </row>
    <row r="17091" spans="13:16">
      <c r="M17091" s="49">
        <f>IF($A$4+170&gt;$B$4,"",$A$4+170)</f>
        <v>46193</v>
      </c>
      <c r="N17091">
        <f>IF(M17091="","",'Master Barang'!A85)</f>
        <v>0</v>
      </c>
      <c r="O17091">
        <f>IF(N17091="","",'Master Barang'!B85)</f>
        <v>0</v>
      </c>
      <c r="P17091">
        <f>IF(OR(M17091="",N17091=""),"",SUMIFS('Barang Keluar'!$E:$E,'Barang Keluar'!$A:$A,M17091,'Barang Keluar'!$C:$C,N17091))</f>
        <v>0</v>
      </c>
    </row>
    <row r="17092" spans="13:16">
      <c r="M17092" s="49">
        <f>IF($A$4+170&gt;$B$4,"",$A$4+170)</f>
        <v>46193</v>
      </c>
      <c r="N17092">
        <f>IF(M17092="","",'Master Barang'!A86)</f>
        <v>0</v>
      </c>
      <c r="O17092">
        <f>IF(N17092="","",'Master Barang'!B86)</f>
        <v>0</v>
      </c>
      <c r="P17092">
        <f>IF(OR(M17092="",N17092=""),"",SUMIFS('Barang Keluar'!$E:$E,'Barang Keluar'!$A:$A,M17092,'Barang Keluar'!$C:$C,N17092))</f>
        <v>0</v>
      </c>
    </row>
    <row r="17093" spans="13:16">
      <c r="M17093" s="49">
        <f>IF($A$4+170&gt;$B$4,"",$A$4+170)</f>
        <v>46193</v>
      </c>
      <c r="N17093">
        <f>IF(M17093="","",'Master Barang'!A87)</f>
        <v>0</v>
      </c>
      <c r="O17093">
        <f>IF(N17093="","",'Master Barang'!B87)</f>
        <v>0</v>
      </c>
      <c r="P17093">
        <f>IF(OR(M17093="",N17093=""),"",SUMIFS('Barang Keluar'!$E:$E,'Barang Keluar'!$A:$A,M17093,'Barang Keluar'!$C:$C,N17093))</f>
        <v>0</v>
      </c>
    </row>
    <row r="17094" spans="13:16">
      <c r="M17094" s="49">
        <f>IF($A$4+170&gt;$B$4,"",$A$4+170)</f>
        <v>46193</v>
      </c>
      <c r="N17094">
        <f>IF(M17094="","",'Master Barang'!A88)</f>
        <v>0</v>
      </c>
      <c r="O17094">
        <f>IF(N17094="","",'Master Barang'!B88)</f>
        <v>0</v>
      </c>
      <c r="P17094">
        <f>IF(OR(M17094="",N17094=""),"",SUMIFS('Barang Keluar'!$E:$E,'Barang Keluar'!$A:$A,M17094,'Barang Keluar'!$C:$C,N17094))</f>
        <v>0</v>
      </c>
    </row>
    <row r="17095" spans="13:16">
      <c r="M17095" s="49">
        <f>IF($A$4+170&gt;$B$4,"",$A$4+170)</f>
        <v>46193</v>
      </c>
      <c r="N17095">
        <f>IF(M17095="","",'Master Barang'!A89)</f>
        <v>0</v>
      </c>
      <c r="O17095">
        <f>IF(N17095="","",'Master Barang'!B89)</f>
        <v>0</v>
      </c>
      <c r="P17095">
        <f>IF(OR(M17095="",N17095=""),"",SUMIFS('Barang Keluar'!$E:$E,'Barang Keluar'!$A:$A,M17095,'Barang Keluar'!$C:$C,N17095))</f>
        <v>0</v>
      </c>
    </row>
    <row r="17096" spans="13:16">
      <c r="M17096" s="49">
        <f>IF($A$4+170&gt;$B$4,"",$A$4+170)</f>
        <v>46193</v>
      </c>
      <c r="N17096">
        <f>IF(M17096="","",'Master Barang'!A90)</f>
        <v>0</v>
      </c>
      <c r="O17096">
        <f>IF(N17096="","",'Master Barang'!B90)</f>
        <v>0</v>
      </c>
      <c r="P17096">
        <f>IF(OR(M17096="",N17096=""),"",SUMIFS('Barang Keluar'!$E:$E,'Barang Keluar'!$A:$A,M17096,'Barang Keluar'!$C:$C,N17096))</f>
        <v>0</v>
      </c>
    </row>
    <row r="17097" spans="13:16">
      <c r="M17097" s="49">
        <f>IF($A$4+170&gt;$B$4,"",$A$4+170)</f>
        <v>46193</v>
      </c>
      <c r="N17097">
        <f>IF(M17097="","",'Master Barang'!A91)</f>
        <v>0</v>
      </c>
      <c r="O17097">
        <f>IF(N17097="","",'Master Barang'!B91)</f>
        <v>0</v>
      </c>
      <c r="P17097">
        <f>IF(OR(M17097="",N17097=""),"",SUMIFS('Barang Keluar'!$E:$E,'Barang Keluar'!$A:$A,M17097,'Barang Keluar'!$C:$C,N17097))</f>
        <v>0</v>
      </c>
    </row>
    <row r="17098" spans="13:16">
      <c r="M17098" s="49">
        <f>IF($A$4+170&gt;$B$4,"",$A$4+170)</f>
        <v>46193</v>
      </c>
      <c r="N17098">
        <f>IF(M17098="","",'Master Barang'!A92)</f>
        <v>0</v>
      </c>
      <c r="O17098">
        <f>IF(N17098="","",'Master Barang'!B92)</f>
        <v>0</v>
      </c>
      <c r="P17098">
        <f>IF(OR(M17098="",N17098=""),"",SUMIFS('Barang Keluar'!$E:$E,'Barang Keluar'!$A:$A,M17098,'Barang Keluar'!$C:$C,N17098))</f>
        <v>0</v>
      </c>
    </row>
    <row r="17099" spans="13:16">
      <c r="M17099" s="49">
        <f>IF($A$4+170&gt;$B$4,"",$A$4+170)</f>
        <v>46193</v>
      </c>
      <c r="N17099">
        <f>IF(M17099="","",'Master Barang'!A93)</f>
        <v>0</v>
      </c>
      <c r="O17099">
        <f>IF(N17099="","",'Master Barang'!B93)</f>
        <v>0</v>
      </c>
      <c r="P17099">
        <f>IF(OR(M17099="",N17099=""),"",SUMIFS('Barang Keluar'!$E:$E,'Barang Keluar'!$A:$A,M17099,'Barang Keluar'!$C:$C,N17099))</f>
        <v>0</v>
      </c>
    </row>
    <row r="17100" spans="13:16">
      <c r="M17100" s="49">
        <f>IF($A$4+170&gt;$B$4,"",$A$4+170)</f>
        <v>46193</v>
      </c>
      <c r="N17100">
        <f>IF(M17100="","",'Master Barang'!A94)</f>
        <v>0</v>
      </c>
      <c r="O17100">
        <f>IF(N17100="","",'Master Barang'!B94)</f>
        <v>0</v>
      </c>
      <c r="P17100">
        <f>IF(OR(M17100="",N17100=""),"",SUMIFS('Barang Keluar'!$E:$E,'Barang Keluar'!$A:$A,M17100,'Barang Keluar'!$C:$C,N17100))</f>
        <v>0</v>
      </c>
    </row>
    <row r="17101" spans="13:16">
      <c r="M17101" s="49">
        <f>IF($A$4+170&gt;$B$4,"",$A$4+170)</f>
        <v>46193</v>
      </c>
      <c r="N17101">
        <f>IF(M17101="","",'Master Barang'!A95)</f>
        <v>0</v>
      </c>
      <c r="O17101">
        <f>IF(N17101="","",'Master Barang'!B95)</f>
        <v>0</v>
      </c>
      <c r="P17101">
        <f>IF(OR(M17101="",N17101=""),"",SUMIFS('Barang Keluar'!$E:$E,'Barang Keluar'!$A:$A,M17101,'Barang Keluar'!$C:$C,N17101))</f>
        <v>0</v>
      </c>
    </row>
    <row r="17102" spans="13:16">
      <c r="M17102" s="49">
        <f>IF($A$4+170&gt;$B$4,"",$A$4+170)</f>
        <v>46193</v>
      </c>
      <c r="N17102">
        <f>IF(M17102="","",'Master Barang'!A96)</f>
        <v>0</v>
      </c>
      <c r="O17102">
        <f>IF(N17102="","",'Master Barang'!B96)</f>
        <v>0</v>
      </c>
      <c r="P17102">
        <f>IF(OR(M17102="",N17102=""),"",SUMIFS('Barang Keluar'!$E:$E,'Barang Keluar'!$A:$A,M17102,'Barang Keluar'!$C:$C,N17102))</f>
        <v>0</v>
      </c>
    </row>
    <row r="17103" spans="13:16">
      <c r="M17103" s="49">
        <f>IF($A$4+170&gt;$B$4,"",$A$4+170)</f>
        <v>46193</v>
      </c>
      <c r="N17103">
        <f>IF(M17103="","",'Master Barang'!A97)</f>
        <v>0</v>
      </c>
      <c r="O17103">
        <f>IF(N17103="","",'Master Barang'!B97)</f>
        <v>0</v>
      </c>
      <c r="P17103">
        <f>IF(OR(M17103="",N17103=""),"",SUMIFS('Barang Keluar'!$E:$E,'Barang Keluar'!$A:$A,M17103,'Barang Keluar'!$C:$C,N17103))</f>
        <v>0</v>
      </c>
    </row>
    <row r="17104" spans="13:16">
      <c r="M17104" s="49">
        <f>IF($A$4+170&gt;$B$4,"",$A$4+170)</f>
        <v>46193</v>
      </c>
      <c r="N17104">
        <f>IF(M17104="","",'Master Barang'!A98)</f>
        <v>0</v>
      </c>
      <c r="O17104">
        <f>IF(N17104="","",'Master Barang'!B98)</f>
        <v>0</v>
      </c>
      <c r="P17104">
        <f>IF(OR(M17104="",N17104=""),"",SUMIFS('Barang Keluar'!$E:$E,'Barang Keluar'!$A:$A,M17104,'Barang Keluar'!$C:$C,N17104))</f>
        <v>0</v>
      </c>
    </row>
    <row r="17105" spans="13:16">
      <c r="M17105" s="49">
        <f>IF($A$4+170&gt;$B$4,"",$A$4+170)</f>
        <v>46193</v>
      </c>
      <c r="N17105">
        <f>IF(M17105="","",'Master Barang'!A99)</f>
        <v>0</v>
      </c>
      <c r="O17105">
        <f>IF(N17105="","",'Master Barang'!B99)</f>
        <v>0</v>
      </c>
      <c r="P17105">
        <f>IF(OR(M17105="",N17105=""),"",SUMIFS('Barang Keluar'!$E:$E,'Barang Keluar'!$A:$A,M17105,'Barang Keluar'!$C:$C,N17105))</f>
        <v>0</v>
      </c>
    </row>
    <row r="17106" spans="13:16">
      <c r="M17106" s="49">
        <f>IF($A$4+170&gt;$B$4,"",$A$4+170)</f>
        <v>46193</v>
      </c>
      <c r="N17106">
        <f>IF(M17106="","",'Master Barang'!A100)</f>
        <v>0</v>
      </c>
      <c r="O17106">
        <f>IF(N17106="","",'Master Barang'!B100)</f>
        <v>0</v>
      </c>
      <c r="P17106">
        <f>IF(OR(M17106="",N17106=""),"",SUMIFS('Barang Keluar'!$E:$E,'Barang Keluar'!$A:$A,M17106,'Barang Keluar'!$C:$C,N17106))</f>
        <v>0</v>
      </c>
    </row>
    <row r="17107" spans="13:16">
      <c r="M17107" s="49">
        <f>IF($A$4+170&gt;$B$4,"",$A$4+170)</f>
        <v>46193</v>
      </c>
      <c r="N17107">
        <f>IF(M17107="","",'Master Barang'!A101)</f>
        <v>0</v>
      </c>
      <c r="O17107">
        <f>IF(N17107="","",'Master Barang'!B101)</f>
        <v>0</v>
      </c>
      <c r="P17107">
        <f>IF(OR(M17107="",N17107=""),"",SUMIFS('Barang Keluar'!$E:$E,'Barang Keluar'!$A:$A,M17107,'Barang Keluar'!$C:$C,N17107))</f>
        <v>0</v>
      </c>
    </row>
    <row r="17108" spans="13:16">
      <c r="M17108" s="49">
        <f>IF($A$4+171&gt;$B$4,"",$A$4+171)</f>
        <v>46194</v>
      </c>
      <c r="N17108" t="str">
        <f>IF(M17108="","",'Master Barang'!A2)</f>
        <v>PRL-001</v>
      </c>
      <c r="O17108" t="str">
        <f>IF(N17108="","",'Master Barang'!B2)</f>
        <v>natura desinfectant food grade 5l</v>
      </c>
      <c r="P17108">
        <f>IF(OR(M17108="",N17108=""),"",SUMIFS('Barang Keluar'!$E:$E,'Barang Keluar'!$A:$A,M17108,'Barang Keluar'!$C:$C,N17108))</f>
        <v>0</v>
      </c>
    </row>
    <row r="17109" spans="13:16">
      <c r="M17109" s="49">
        <f>IF($A$4+171&gt;$B$4,"",$A$4+171)</f>
        <v>46194</v>
      </c>
      <c r="N17109" t="str">
        <f>IF(M17109="","",'Master Barang'!A3)</f>
        <v>PRL-002</v>
      </c>
      <c r="O17109" t="str">
        <f>IF(N17109="","",'Master Barang'!B3)</f>
        <v>sunlight cairan pencuci piring 5l</v>
      </c>
      <c r="P17109">
        <f>IF(OR(M17109="",N17109=""),"",SUMIFS('Barang Keluar'!$E:$E,'Barang Keluar'!$A:$A,M17109,'Barang Keluar'!$C:$C,N17109))</f>
        <v>0</v>
      </c>
    </row>
    <row r="17110" spans="13:16">
      <c r="M17110" s="49">
        <f>IF($A$4+171&gt;$B$4,"",$A$4+171)</f>
        <v>46194</v>
      </c>
      <c r="N17110" t="str">
        <f>IF(M17110="","",'Master Barang'!A4)</f>
        <v>PRL-003</v>
      </c>
      <c r="O17110" t="str">
        <f>IF(N17110="","",'Master Barang'!B4)</f>
        <v>oixs cleaner 1l</v>
      </c>
      <c r="P17110">
        <f>IF(OR(M17110="",N17110=""),"",SUMIFS('Barang Keluar'!$E:$E,'Barang Keluar'!$A:$A,M17110,'Barang Keluar'!$C:$C,N17110))</f>
        <v>0</v>
      </c>
    </row>
    <row r="17111" spans="13:16">
      <c r="M17111" s="49">
        <f>IF($A$4+171&gt;$B$4,"",$A$4+171)</f>
        <v>46194</v>
      </c>
      <c r="N17111" t="str">
        <f>IF(M17111="","",'Master Barang'!A5)</f>
        <v>PRL-004</v>
      </c>
      <c r="O17111" t="str">
        <f>IF(N17111="","",'Master Barang'!B5)</f>
        <v>be clean tissue serbaguna</v>
      </c>
      <c r="P17111">
        <f>IF(OR(M17111="",N17111=""),"",SUMIFS('Barang Keluar'!$E:$E,'Barang Keluar'!$A:$A,M17111,'Barang Keluar'!$C:$C,N17111))</f>
        <v>0</v>
      </c>
    </row>
    <row r="17112" spans="13:16">
      <c r="M17112" s="49">
        <f>IF($A$4+171&gt;$B$4,"",$A$4+171)</f>
        <v>46194</v>
      </c>
      <c r="N17112" t="str">
        <f>IF(M17112="","",'Master Barang'!A6)</f>
        <v>PRL-005</v>
      </c>
      <c r="O17112" t="str">
        <f>IF(N17112="","",'Master Barang'!B6)</f>
        <v>spons cuci hijau</v>
      </c>
      <c r="P17112">
        <f>IF(OR(M17112="",N17112=""),"",SUMIFS('Barang Keluar'!$E:$E,'Barang Keluar'!$A:$A,M17112,'Barang Keluar'!$C:$C,N17112))</f>
        <v>0</v>
      </c>
    </row>
    <row r="17113" spans="13:16">
      <c r="M17113" s="49">
        <f>IF($A$4+171&gt;$B$4,"",$A$4+171)</f>
        <v>46194</v>
      </c>
      <c r="N17113" t="str">
        <f>IF(M17113="","",'Master Barang'!A7)</f>
        <v>PRL-006</v>
      </c>
      <c r="O17113" t="str">
        <f>IF(N17113="","",'Master Barang'!B7)</f>
        <v>sabut cuci stainless</v>
      </c>
      <c r="P17113">
        <f>IF(OR(M17113="",N17113=""),"",SUMIFS('Barang Keluar'!$E:$E,'Barang Keluar'!$A:$A,M17113,'Barang Keluar'!$C:$C,N17113))</f>
        <v>0</v>
      </c>
    </row>
    <row r="17114" spans="13:16">
      <c r="M17114" s="49">
        <f>IF($A$4+171&gt;$B$4,"",$A$4+171)</f>
        <v>46194</v>
      </c>
      <c r="N17114" t="str">
        <f>IF(M17114="","",'Master Barang'!A8)</f>
        <v>PRL-007</v>
      </c>
      <c r="O17114" t="str">
        <f>IF(N17114="","",'Master Barang'!B8)</f>
        <v>plastik kresek besar merah 50pc</v>
      </c>
      <c r="P17114">
        <f>IF(OR(M17114="",N17114=""),"",SUMIFS('Barang Keluar'!$E:$E,'Barang Keluar'!$A:$A,M17114,'Barang Keluar'!$C:$C,N17114))</f>
        <v>0</v>
      </c>
    </row>
    <row r="17115" spans="13:16">
      <c r="M17115" s="49">
        <f>IF($A$4+171&gt;$B$4,"",$A$4+171)</f>
        <v>46194</v>
      </c>
      <c r="N17115" t="str">
        <f>IF(M17115="","",'Master Barang'!A9)</f>
        <v>PRL-008</v>
      </c>
      <c r="O17115" t="str">
        <f>IF(N17115="","",'Master Barang'!B9)</f>
        <v>lap besar</v>
      </c>
      <c r="P17115">
        <f>IF(OR(M17115="",N17115=""),"",SUMIFS('Barang Keluar'!$E:$E,'Barang Keluar'!$A:$A,M17115,'Barang Keluar'!$C:$C,N17115))</f>
        <v>0</v>
      </c>
    </row>
    <row r="17116" spans="13:16">
      <c r="M17116" s="49">
        <f>IF($A$4+171&gt;$B$4,"",$A$4+171)</f>
        <v>46194</v>
      </c>
      <c r="N17116" t="str">
        <f>IF(M17116="","",'Master Barang'!A10)</f>
        <v>PRL-009</v>
      </c>
      <c r="O17116" t="str">
        <f>IF(N17116="","",'Master Barang'!B10)</f>
        <v>lap microfiber</v>
      </c>
      <c r="P17116">
        <f>IF(OR(M17116="",N17116=""),"",SUMIFS('Barang Keluar'!$E:$E,'Barang Keluar'!$A:$A,M17116,'Barang Keluar'!$C:$C,N17116))</f>
        <v>0</v>
      </c>
    </row>
    <row r="17117" spans="13:16">
      <c r="M17117" s="49">
        <f>IF($A$4+171&gt;$B$4,"",$A$4+171)</f>
        <v>46194</v>
      </c>
      <c r="N17117" t="str">
        <f>IF(M17117="","",'Master Barang'!A11)</f>
        <v>PRL-010</v>
      </c>
      <c r="O17117" t="str">
        <f>IF(N17117="","",'Master Barang'!B11)</f>
        <v>lap kecil</v>
      </c>
      <c r="P17117">
        <f>IF(OR(M17117="",N17117=""),"",SUMIFS('Barang Keluar'!$E:$E,'Barang Keluar'!$A:$A,M17117,'Barang Keluar'!$C:$C,N17117))</f>
        <v>0</v>
      </c>
    </row>
    <row r="17118" spans="13:16">
      <c r="M17118" s="49">
        <f>IF($A$4+171&gt;$B$4,"",$A$4+171)</f>
        <v>46194</v>
      </c>
      <c r="N17118" t="str">
        <f>IF(M17118="","",'Master Barang'!A12)</f>
        <v>PRL-011</v>
      </c>
      <c r="O17118" t="str">
        <f>IF(N17118="","",'Master Barang'!B12)</f>
        <v>kanebo kecil</v>
      </c>
      <c r="P17118">
        <f>IF(OR(M17118="",N17118=""),"",SUMIFS('Barang Keluar'!$E:$E,'Barang Keluar'!$A:$A,M17118,'Barang Keluar'!$C:$C,N17118))</f>
        <v>0</v>
      </c>
    </row>
    <row r="17119" spans="13:16">
      <c r="M17119" s="49">
        <f>IF($A$4+171&gt;$B$4,"",$A$4+171)</f>
        <v>46194</v>
      </c>
      <c r="N17119" t="str">
        <f>IF(M17119="","",'Master Barang'!A13)</f>
        <v>PRL-012</v>
      </c>
      <c r="O17119" t="str">
        <f>IF(N17119="","",'Master Barang'!B13)</f>
        <v>plastik 1/4kg joyoboyo 100 lembar</v>
      </c>
      <c r="P17119">
        <f>IF(OR(M17119="",N17119=""),"",SUMIFS('Barang Keluar'!$E:$E,'Barang Keluar'!$A:$A,M17119,'Barang Keluar'!$C:$C,N17119))</f>
        <v>0</v>
      </c>
    </row>
    <row r="17120" spans="13:16">
      <c r="M17120" s="49">
        <f>IF($A$4+171&gt;$B$4,"",$A$4+171)</f>
        <v>46194</v>
      </c>
      <c r="N17120" t="str">
        <f>IF(M17120="","",'Master Barang'!A14)</f>
        <v>PRL-013</v>
      </c>
      <c r="O17120" t="str">
        <f>IF(N17120="","",'Master Barang'!B14)</f>
        <v>sarung tangan plastik kaka 100 pcs</v>
      </c>
      <c r="P17120">
        <f>IF(OR(M17120="",N17120=""),"",SUMIFS('Barang Keluar'!$E:$E,'Barang Keluar'!$A:$A,M17120,'Barang Keluar'!$C:$C,N17120))</f>
        <v>0</v>
      </c>
    </row>
    <row r="17121" spans="13:16">
      <c r="M17121" s="49">
        <f>IF($A$4+171&gt;$B$4,"",$A$4+171)</f>
        <v>46194</v>
      </c>
      <c r="N17121" t="str">
        <f>IF(M17121="","",'Master Barang'!A15)</f>
        <v>PRL-014</v>
      </c>
      <c r="O17121" t="str">
        <f>IF(N17121="","",'Master Barang'!B15)</f>
        <v>optima trashbag 80x100</v>
      </c>
      <c r="P17121">
        <f>IF(OR(M17121="",N17121=""),"",SUMIFS('Barang Keluar'!$E:$E,'Barang Keluar'!$A:$A,M17121,'Barang Keluar'!$C:$C,N17121))</f>
        <v>0</v>
      </c>
    </row>
    <row r="17122" spans="13:16">
      <c r="M17122" s="49">
        <f>IF($A$4+171&gt;$B$4,"",$A$4+171)</f>
        <v>46194</v>
      </c>
      <c r="N17122" t="str">
        <f>IF(M17122="","",'Master Barang'!A16)</f>
        <v>PRL-015</v>
      </c>
      <c r="O17122" t="str">
        <f>IF(N17122="","",'Master Barang'!B16)</f>
        <v>optima trashbag 60x100</v>
      </c>
      <c r="P17122">
        <f>IF(OR(M17122="",N17122=""),"",SUMIFS('Barang Keluar'!$E:$E,'Barang Keluar'!$A:$A,M17122,'Barang Keluar'!$C:$C,N17122))</f>
        <v>0</v>
      </c>
    </row>
    <row r="17123" spans="13:16">
      <c r="M17123" s="49">
        <f>IF($A$4+171&gt;$B$4,"",$A$4+171)</f>
        <v>46194</v>
      </c>
      <c r="N17123" t="str">
        <f>IF(M17123="","",'Master Barang'!A17)</f>
        <v>PRL-016</v>
      </c>
      <c r="O17123" t="str">
        <f>IF(N17123="","",'Master Barang'!B17)</f>
        <v>rajawali trashbag 30x40</v>
      </c>
      <c r="P17123">
        <f>IF(OR(M17123="",N17123=""),"",SUMIFS('Barang Keluar'!$E:$E,'Barang Keluar'!$A:$A,M17123,'Barang Keluar'!$C:$C,N17123))</f>
        <v>0</v>
      </c>
    </row>
    <row r="17124" spans="13:16">
      <c r="M17124" s="49">
        <f>IF($A$4+171&gt;$B$4,"",$A$4+171)</f>
        <v>46194</v>
      </c>
      <c r="N17124" t="str">
        <f>IF(M17124="","",'Master Barang'!A18)</f>
        <v>PRL-017</v>
      </c>
      <c r="O17124" t="str">
        <f>IF(N17124="","",'Master Barang'!B18)</f>
        <v>onemed masker biru 3 play 50 pcs</v>
      </c>
      <c r="P17124">
        <f>IF(OR(M17124="",N17124=""),"",SUMIFS('Barang Keluar'!$E:$E,'Barang Keluar'!$A:$A,M17124,'Barang Keluar'!$C:$C,N17124))</f>
        <v>0</v>
      </c>
    </row>
    <row r="17125" spans="13:16">
      <c r="M17125" s="49">
        <f>IF($A$4+171&gt;$B$4,"",$A$4+171)</f>
        <v>46194</v>
      </c>
      <c r="N17125" t="str">
        <f>IF(M17125="","",'Master Barang'!A19)</f>
        <v>PRL-018</v>
      </c>
      <c r="O17125" t="str">
        <f>IF(N17125="","",'Master Barang'!B19)</f>
        <v>onemed masker biru 3 play hijab 50 pcs</v>
      </c>
      <c r="P17125">
        <f>IF(OR(M17125="",N17125=""),"",SUMIFS('Barang Keluar'!$E:$E,'Barang Keluar'!$A:$A,M17125,'Barang Keluar'!$C:$C,N17125))</f>
        <v>0</v>
      </c>
    </row>
    <row r="17126" spans="13:16">
      <c r="M17126" s="49">
        <f>IF($A$4+171&gt;$B$4,"",$A$4+171)</f>
        <v>46194</v>
      </c>
      <c r="N17126" t="str">
        <f>IF(M17126="","",'Master Barang'!A20)</f>
        <v>PRL-019</v>
      </c>
      <c r="O17126" t="str">
        <f>IF(N17126="","",'Master Barang'!B20)</f>
        <v>neo health masker biru 3 play 50 pcs</v>
      </c>
      <c r="P17126">
        <f>IF(OR(M17126="",N17126=""),"",SUMIFS('Barang Keluar'!$E:$E,'Barang Keluar'!$A:$A,M17126,'Barang Keluar'!$C:$C,N17126))</f>
        <v>0</v>
      </c>
    </row>
    <row r="17127" spans="13:16">
      <c r="M17127" s="49">
        <f>IF($A$4+171&gt;$B$4,"",$A$4+171)</f>
        <v>46194</v>
      </c>
      <c r="N17127" t="str">
        <f>IF(M17127="","",'Master Barang'!A21)</f>
        <v>PRL-020</v>
      </c>
      <c r="O17127" t="str">
        <f>IF(N17127="","",'Master Barang'!B21)</f>
        <v>baymed masker hijau 3 play hijau 50 pcs</v>
      </c>
      <c r="P17127">
        <f>IF(OR(M17127="",N17127=""),"",SUMIFS('Barang Keluar'!$E:$E,'Barang Keluar'!$A:$A,M17127,'Barang Keluar'!$C:$C,N17127))</f>
        <v>0</v>
      </c>
    </row>
    <row r="17128" spans="13:16">
      <c r="M17128" s="49">
        <f>IF($A$4+171&gt;$B$4,"",$A$4+171)</f>
        <v>46194</v>
      </c>
      <c r="N17128" t="str">
        <f>IF(M17128="","",'Master Barang'!A22)</f>
        <v>PRL-021</v>
      </c>
      <c r="O17128" t="str">
        <f>IF(N17128="","",'Master Barang'!B22)</f>
        <v>altamed nurse cap penutup kepala 100 pcs</v>
      </c>
      <c r="P17128">
        <f>IF(OR(M17128="",N17128=""),"",SUMIFS('Barang Keluar'!$E:$E,'Barang Keluar'!$A:$A,M17128,'Barang Keluar'!$C:$C,N17128))</f>
        <v>0</v>
      </c>
    </row>
    <row r="17129" spans="13:16">
      <c r="M17129" s="49">
        <f>IF($A$4+171&gt;$B$4,"",$A$4+171)</f>
        <v>46194</v>
      </c>
      <c r="N17129" t="str">
        <f>IF(M17129="","",'Master Barang'!A23)</f>
        <v>PRL-022</v>
      </c>
      <c r="O17129" t="str">
        <f>IF(N17129="","",'Master Barang'!B23)</f>
        <v>sabun cuci tangan</v>
      </c>
      <c r="P17129">
        <f>IF(OR(M17129="",N17129=""),"",SUMIFS('Barang Keluar'!$E:$E,'Barang Keluar'!$A:$A,M17129,'Barang Keluar'!$C:$C,N17129))</f>
        <v>0</v>
      </c>
    </row>
    <row r="17130" spans="13:16">
      <c r="M17130" s="49">
        <f>IF($A$4+171&gt;$B$4,"",$A$4+171)</f>
        <v>46194</v>
      </c>
      <c r="N17130" t="str">
        <f>IF(M17130="","",'Master Barang'!A24)</f>
        <v>PRL-023</v>
      </c>
      <c r="O17130" t="str">
        <f>IF(N17130="","",'Master Barang'!B24)</f>
        <v>gayung kecil</v>
      </c>
      <c r="P17130">
        <f>IF(OR(M17130="",N17130=""),"",SUMIFS('Barang Keluar'!$E:$E,'Barang Keluar'!$A:$A,M17130,'Barang Keluar'!$C:$C,N17130))</f>
        <v>0</v>
      </c>
    </row>
    <row r="17131" spans="13:16">
      <c r="M17131" s="49">
        <f>IF($A$4+171&gt;$B$4,"",$A$4+171)</f>
        <v>46194</v>
      </c>
      <c r="N17131" t="str">
        <f>IF(M17131="","",'Master Barang'!A25)</f>
        <v>PRL-024</v>
      </c>
      <c r="O17131" t="str">
        <f>IF(N17131="","",'Master Barang'!B25)</f>
        <v>cikrak kecil</v>
      </c>
      <c r="P17131">
        <f>IF(OR(M17131="",N17131=""),"",SUMIFS('Barang Keluar'!$E:$E,'Barang Keluar'!$A:$A,M17131,'Barang Keluar'!$C:$C,N17131))</f>
        <v>0</v>
      </c>
    </row>
    <row r="17132" spans="13:16">
      <c r="M17132" s="49">
        <f>IF($A$4+171&gt;$B$4,"",$A$4+171)</f>
        <v>46194</v>
      </c>
      <c r="N17132" t="str">
        <f>IF(M17132="","",'Master Barang'!A26)</f>
        <v>PRL-025</v>
      </c>
      <c r="O17132" t="str">
        <f>IF(N17132="","",'Master Barang'!B26)</f>
        <v>petromax plastik kecil 12x24 100 lembar</v>
      </c>
      <c r="P17132">
        <f>IF(OR(M17132="",N17132=""),"",SUMIFS('Barang Keluar'!$E:$E,'Barang Keluar'!$A:$A,M17132,'Barang Keluar'!$C:$C,N17132))</f>
        <v>0</v>
      </c>
    </row>
    <row r="17133" spans="13:16">
      <c r="M17133" s="49">
        <f>IF($A$4+171&gt;$B$4,"",$A$4+171)</f>
        <v>46194</v>
      </c>
      <c r="N17133" t="str">
        <f>IF(M17133="","",'Master Barang'!A27)</f>
        <v>PRL-026</v>
      </c>
      <c r="O17133" t="str">
        <f>IF(N17133="","",'Master Barang'!B27)</f>
        <v>lancar kresek kecil bening </v>
      </c>
      <c r="P17133">
        <f>IF(OR(M17133="",N17133=""),"",SUMIFS('Barang Keluar'!$E:$E,'Barang Keluar'!$A:$A,M17133,'Barang Keluar'!$C:$C,N17133))</f>
        <v>0</v>
      </c>
    </row>
    <row r="17134" spans="13:16">
      <c r="M17134" s="49">
        <f>IF($A$4+171&gt;$B$4,"",$A$4+171)</f>
        <v>46194</v>
      </c>
      <c r="N17134" t="str">
        <f>IF(M17134="","",'Master Barang'!A28)</f>
        <v>PRL-027</v>
      </c>
      <c r="O17134" t="str">
        <f>IF(N17134="","",'Master Barang'!B28)</f>
        <v>kresek klin warna warni kecil</v>
      </c>
      <c r="P17134">
        <f>IF(OR(M17134="",N17134=""),"",SUMIFS('Barang Keluar'!$E:$E,'Barang Keluar'!$A:$A,M17134,'Barang Keluar'!$C:$C,N17134))</f>
        <v>0</v>
      </c>
    </row>
    <row r="17135" spans="13:16">
      <c r="M17135" s="49">
        <f>IF($A$4+171&gt;$B$4,"",$A$4+171)</f>
        <v>46194</v>
      </c>
      <c r="N17135" t="str">
        <f>IF(M17135="","",'Master Barang'!A29)</f>
        <v>PRL-028</v>
      </c>
      <c r="O17135" t="str">
        <f>IF(N17135="","",'Master Barang'!B29)</f>
        <v>ctik plastik 7x10 100 pcs</v>
      </c>
      <c r="P17135">
        <f>IF(OR(M17135="",N17135=""),"",SUMIFS('Barang Keluar'!$E:$E,'Barang Keluar'!$A:$A,M17135,'Barang Keluar'!$C:$C,N17135))</f>
        <v>0</v>
      </c>
    </row>
    <row r="17136" spans="13:16">
      <c r="M17136" s="49">
        <f>IF($A$4+171&gt;$B$4,"",$A$4+171)</f>
        <v>46194</v>
      </c>
      <c r="N17136" t="str">
        <f>IF(M17136="","",'Master Barang'!A30)</f>
        <v>PRL-029</v>
      </c>
      <c r="O17136" t="str">
        <f>IF(N17136="","",'Master Barang'!B30)</f>
        <v>ctik plastik 6x10 100 pcs</v>
      </c>
      <c r="P17136">
        <f>IF(OR(M17136="",N17136=""),"",SUMIFS('Barang Keluar'!$E:$E,'Barang Keluar'!$A:$A,M17136,'Barang Keluar'!$C:$C,N17136))</f>
        <v>0</v>
      </c>
    </row>
    <row r="17137" spans="13:16">
      <c r="M17137" s="49">
        <f>IF($A$4+171&gt;$B$4,"",$A$4+171)</f>
        <v>46194</v>
      </c>
      <c r="N17137" t="str">
        <f>IF(M17137="","",'Master Barang'!A31)</f>
        <v>PRL-030</v>
      </c>
      <c r="O17137" t="str">
        <f>IF(N17137="","",'Master Barang'!B31)</f>
        <v>klip plastik 25x16 100 pcs</v>
      </c>
      <c r="P17137">
        <f>IF(OR(M17137="",N17137=""),"",SUMIFS('Barang Keluar'!$E:$E,'Barang Keluar'!$A:$A,M17137,'Barang Keluar'!$C:$C,N17137))</f>
        <v>0</v>
      </c>
    </row>
    <row r="17138" spans="13:16">
      <c r="M17138" s="49">
        <f>IF($A$4+171&gt;$B$4,"",$A$4+171)</f>
        <v>46194</v>
      </c>
      <c r="N17138" t="str">
        <f>IF(M17138="","",'Master Barang'!A32)</f>
        <v>PRL-031</v>
      </c>
      <c r="O17138" t="str">
        <f>IF(N17138="","",'Master Barang'!B32)</f>
        <v>tempat saus 20 ml</v>
      </c>
      <c r="P17138">
        <f>IF(OR(M17138="",N17138=""),"",SUMIFS('Barang Keluar'!$E:$E,'Barang Keluar'!$A:$A,M17138,'Barang Keluar'!$C:$C,N17138))</f>
        <v>0</v>
      </c>
    </row>
    <row r="17139" spans="13:16">
      <c r="M17139" s="49">
        <f>IF($A$4+171&gt;$B$4,"",$A$4+171)</f>
        <v>46194</v>
      </c>
      <c r="N17139" t="str">
        <f>IF(M17139="","",'Master Barang'!A33)</f>
        <v>PRL-032</v>
      </c>
      <c r="O17139" t="str">
        <f>IF(N17139="","",'Master Barang'!B33)</f>
        <v>plastik packaging ag box uk sedang</v>
      </c>
      <c r="P17139">
        <f>IF(OR(M17139="",N17139=""),"",SUMIFS('Barang Keluar'!$E:$E,'Barang Keluar'!$A:$A,M17139,'Barang Keluar'!$C:$C,N17139))</f>
        <v>0</v>
      </c>
    </row>
    <row r="17140" spans="13:16">
      <c r="M17140" s="49">
        <f>IF($A$4+171&gt;$B$4,"",$A$4+171)</f>
        <v>46194</v>
      </c>
      <c r="N17140" t="str">
        <f>IF(M17140="","",'Master Barang'!A34)</f>
        <v>PRL-033</v>
      </c>
      <c r="O17140">
        <f>IF(N17140="","",'Master Barang'!B34)</f>
        <v>0</v>
      </c>
      <c r="P17140">
        <f>IF(OR(M17140="",N17140=""),"",SUMIFS('Barang Keluar'!$E:$E,'Barang Keluar'!$A:$A,M17140,'Barang Keluar'!$C:$C,N17140))</f>
        <v>0</v>
      </c>
    </row>
    <row r="17141" spans="13:16">
      <c r="M17141" s="49">
        <f>IF($A$4+171&gt;$B$4,"",$A$4+171)</f>
        <v>46194</v>
      </c>
      <c r="N17141">
        <f>IF(M17141="","",'Master Barang'!A35)</f>
        <v>0</v>
      </c>
      <c r="O17141">
        <f>IF(N17141="","",'Master Barang'!B35)</f>
        <v>0</v>
      </c>
      <c r="P17141">
        <f>IF(OR(M17141="",N17141=""),"",SUMIFS('Barang Keluar'!$E:$E,'Barang Keluar'!$A:$A,M17141,'Barang Keluar'!$C:$C,N17141))</f>
        <v>0</v>
      </c>
    </row>
    <row r="17142" spans="13:16">
      <c r="M17142" s="49">
        <f>IF($A$4+171&gt;$B$4,"",$A$4+171)</f>
        <v>46194</v>
      </c>
      <c r="N17142">
        <f>IF(M17142="","",'Master Barang'!A36)</f>
        <v>0</v>
      </c>
      <c r="O17142">
        <f>IF(N17142="","",'Master Barang'!B36)</f>
        <v>0</v>
      </c>
      <c r="P17142">
        <f>IF(OR(M17142="",N17142=""),"",SUMIFS('Barang Keluar'!$E:$E,'Barang Keluar'!$A:$A,M17142,'Barang Keluar'!$C:$C,N17142))</f>
        <v>0</v>
      </c>
    </row>
    <row r="17143" spans="13:16">
      <c r="M17143" s="49">
        <f>IF($A$4+171&gt;$B$4,"",$A$4+171)</f>
        <v>46194</v>
      </c>
      <c r="N17143">
        <f>IF(M17143="","",'Master Barang'!A37)</f>
        <v>0</v>
      </c>
      <c r="O17143">
        <f>IF(N17143="","",'Master Barang'!B37)</f>
        <v>0</v>
      </c>
      <c r="P17143">
        <f>IF(OR(M17143="",N17143=""),"",SUMIFS('Barang Keluar'!$E:$E,'Barang Keluar'!$A:$A,M17143,'Barang Keluar'!$C:$C,N17143))</f>
        <v>0</v>
      </c>
    </row>
    <row r="17144" spans="13:16">
      <c r="M17144" s="49">
        <f>IF($A$4+171&gt;$B$4,"",$A$4+171)</f>
        <v>46194</v>
      </c>
      <c r="N17144">
        <f>IF(M17144="","",'Master Barang'!A38)</f>
        <v>0</v>
      </c>
      <c r="O17144">
        <f>IF(N17144="","",'Master Barang'!B38)</f>
        <v>0</v>
      </c>
      <c r="P17144">
        <f>IF(OR(M17144="",N17144=""),"",SUMIFS('Barang Keluar'!$E:$E,'Barang Keluar'!$A:$A,M17144,'Barang Keluar'!$C:$C,N17144))</f>
        <v>0</v>
      </c>
    </row>
    <row r="17145" spans="13:16">
      <c r="M17145" s="49">
        <f>IF($A$4+171&gt;$B$4,"",$A$4+171)</f>
        <v>46194</v>
      </c>
      <c r="N17145">
        <f>IF(M17145="","",'Master Barang'!A39)</f>
        <v>0</v>
      </c>
      <c r="O17145">
        <f>IF(N17145="","",'Master Barang'!B39)</f>
        <v>0</v>
      </c>
      <c r="P17145">
        <f>IF(OR(M17145="",N17145=""),"",SUMIFS('Barang Keluar'!$E:$E,'Barang Keluar'!$A:$A,M17145,'Barang Keluar'!$C:$C,N17145))</f>
        <v>0</v>
      </c>
    </row>
    <row r="17146" spans="13:16">
      <c r="M17146" s="49">
        <f>IF($A$4+171&gt;$B$4,"",$A$4+171)</f>
        <v>46194</v>
      </c>
      <c r="N17146">
        <f>IF(M17146="","",'Master Barang'!A40)</f>
        <v>0</v>
      </c>
      <c r="O17146">
        <f>IF(N17146="","",'Master Barang'!B40)</f>
        <v>0</v>
      </c>
      <c r="P17146">
        <f>IF(OR(M17146="",N17146=""),"",SUMIFS('Barang Keluar'!$E:$E,'Barang Keluar'!$A:$A,M17146,'Barang Keluar'!$C:$C,N17146))</f>
        <v>0</v>
      </c>
    </row>
    <row r="17147" spans="13:16">
      <c r="M17147" s="49">
        <f>IF($A$4+171&gt;$B$4,"",$A$4+171)</f>
        <v>46194</v>
      </c>
      <c r="N17147">
        <f>IF(M17147="","",'Master Barang'!A41)</f>
        <v>0</v>
      </c>
      <c r="O17147">
        <f>IF(N17147="","",'Master Barang'!B41)</f>
        <v>0</v>
      </c>
      <c r="P17147">
        <f>IF(OR(M17147="",N17147=""),"",SUMIFS('Barang Keluar'!$E:$E,'Barang Keluar'!$A:$A,M17147,'Barang Keluar'!$C:$C,N17147))</f>
        <v>0</v>
      </c>
    </row>
    <row r="17148" spans="13:16">
      <c r="M17148" s="49">
        <f>IF($A$4+171&gt;$B$4,"",$A$4+171)</f>
        <v>46194</v>
      </c>
      <c r="N17148">
        <f>IF(M17148="","",'Master Barang'!A42)</f>
        <v>0</v>
      </c>
      <c r="O17148">
        <f>IF(N17148="","",'Master Barang'!B42)</f>
        <v>0</v>
      </c>
      <c r="P17148">
        <f>IF(OR(M17148="",N17148=""),"",SUMIFS('Barang Keluar'!$E:$E,'Barang Keluar'!$A:$A,M17148,'Barang Keluar'!$C:$C,N17148))</f>
        <v>0</v>
      </c>
    </row>
    <row r="17149" spans="13:16">
      <c r="M17149" s="49">
        <f>IF($A$4+171&gt;$B$4,"",$A$4+171)</f>
        <v>46194</v>
      </c>
      <c r="N17149">
        <f>IF(M17149="","",'Master Barang'!A43)</f>
        <v>0</v>
      </c>
      <c r="O17149">
        <f>IF(N17149="","",'Master Barang'!B43)</f>
        <v>0</v>
      </c>
      <c r="P17149">
        <f>IF(OR(M17149="",N17149=""),"",SUMIFS('Barang Keluar'!$E:$E,'Barang Keluar'!$A:$A,M17149,'Barang Keluar'!$C:$C,N17149))</f>
        <v>0</v>
      </c>
    </row>
    <row r="17150" spans="13:16">
      <c r="M17150" s="49">
        <f>IF($A$4+171&gt;$B$4,"",$A$4+171)</f>
        <v>46194</v>
      </c>
      <c r="N17150">
        <f>IF(M17150="","",'Master Barang'!A44)</f>
        <v>0</v>
      </c>
      <c r="O17150">
        <f>IF(N17150="","",'Master Barang'!B44)</f>
        <v>0</v>
      </c>
      <c r="P17150">
        <f>IF(OR(M17150="",N17150=""),"",SUMIFS('Barang Keluar'!$E:$E,'Barang Keluar'!$A:$A,M17150,'Barang Keluar'!$C:$C,N17150))</f>
        <v>0</v>
      </c>
    </row>
    <row r="17151" spans="13:16">
      <c r="M17151" s="49">
        <f>IF($A$4+171&gt;$B$4,"",$A$4+171)</f>
        <v>46194</v>
      </c>
      <c r="N17151">
        <f>IF(M17151="","",'Master Barang'!A45)</f>
        <v>0</v>
      </c>
      <c r="O17151">
        <f>IF(N17151="","",'Master Barang'!B45)</f>
        <v>0</v>
      </c>
      <c r="P17151">
        <f>IF(OR(M17151="",N17151=""),"",SUMIFS('Barang Keluar'!$E:$E,'Barang Keluar'!$A:$A,M17151,'Barang Keluar'!$C:$C,N17151))</f>
        <v>0</v>
      </c>
    </row>
    <row r="17152" spans="13:16">
      <c r="M17152" s="49">
        <f>IF($A$4+171&gt;$B$4,"",$A$4+171)</f>
        <v>46194</v>
      </c>
      <c r="N17152">
        <f>IF(M17152="","",'Master Barang'!A46)</f>
        <v>0</v>
      </c>
      <c r="O17152">
        <f>IF(N17152="","",'Master Barang'!B46)</f>
        <v>0</v>
      </c>
      <c r="P17152">
        <f>IF(OR(M17152="",N17152=""),"",SUMIFS('Barang Keluar'!$E:$E,'Barang Keluar'!$A:$A,M17152,'Barang Keluar'!$C:$C,N17152))</f>
        <v>0</v>
      </c>
    </row>
    <row r="17153" spans="13:16">
      <c r="M17153" s="49">
        <f>IF($A$4+171&gt;$B$4,"",$A$4+171)</f>
        <v>46194</v>
      </c>
      <c r="N17153">
        <f>IF(M17153="","",'Master Barang'!A47)</f>
        <v>0</v>
      </c>
      <c r="O17153">
        <f>IF(N17153="","",'Master Barang'!B47)</f>
        <v>0</v>
      </c>
      <c r="P17153">
        <f>IF(OR(M17153="",N17153=""),"",SUMIFS('Barang Keluar'!$E:$E,'Barang Keluar'!$A:$A,M17153,'Barang Keluar'!$C:$C,N17153))</f>
        <v>0</v>
      </c>
    </row>
    <row r="17154" spans="13:16">
      <c r="M17154" s="49">
        <f>IF($A$4+171&gt;$B$4,"",$A$4+171)</f>
        <v>46194</v>
      </c>
      <c r="N17154">
        <f>IF(M17154="","",'Master Barang'!A48)</f>
        <v>0</v>
      </c>
      <c r="O17154">
        <f>IF(N17154="","",'Master Barang'!B48)</f>
        <v>0</v>
      </c>
      <c r="P17154">
        <f>IF(OR(M17154="",N17154=""),"",SUMIFS('Barang Keluar'!$E:$E,'Barang Keluar'!$A:$A,M17154,'Barang Keluar'!$C:$C,N17154))</f>
        <v>0</v>
      </c>
    </row>
    <row r="17155" spans="13:16">
      <c r="M17155" s="49">
        <f>IF($A$4+171&gt;$B$4,"",$A$4+171)</f>
        <v>46194</v>
      </c>
      <c r="N17155">
        <f>IF(M17155="","",'Master Barang'!A49)</f>
        <v>0</v>
      </c>
      <c r="O17155">
        <f>IF(N17155="","",'Master Barang'!B49)</f>
        <v>0</v>
      </c>
      <c r="P17155">
        <f>IF(OR(M17155="",N17155=""),"",SUMIFS('Barang Keluar'!$E:$E,'Barang Keluar'!$A:$A,M17155,'Barang Keluar'!$C:$C,N17155))</f>
        <v>0</v>
      </c>
    </row>
    <row r="17156" spans="13:16">
      <c r="M17156" s="49">
        <f>IF($A$4+171&gt;$B$4,"",$A$4+171)</f>
        <v>46194</v>
      </c>
      <c r="N17156">
        <f>IF(M17156="","",'Master Barang'!A50)</f>
        <v>0</v>
      </c>
      <c r="O17156">
        <f>IF(N17156="","",'Master Barang'!B50)</f>
        <v>0</v>
      </c>
      <c r="P17156">
        <f>IF(OR(M17156="",N17156=""),"",SUMIFS('Barang Keluar'!$E:$E,'Barang Keluar'!$A:$A,M17156,'Barang Keluar'!$C:$C,N17156))</f>
        <v>0</v>
      </c>
    </row>
    <row r="17157" spans="13:16">
      <c r="M17157" s="49">
        <f>IF($A$4+171&gt;$B$4,"",$A$4+171)</f>
        <v>46194</v>
      </c>
      <c r="N17157">
        <f>IF(M17157="","",'Master Barang'!A51)</f>
        <v>0</v>
      </c>
      <c r="O17157">
        <f>IF(N17157="","",'Master Barang'!B51)</f>
        <v>0</v>
      </c>
      <c r="P17157">
        <f>IF(OR(M17157="",N17157=""),"",SUMIFS('Barang Keluar'!$E:$E,'Barang Keluar'!$A:$A,M17157,'Barang Keluar'!$C:$C,N17157))</f>
        <v>0</v>
      </c>
    </row>
    <row r="17158" spans="13:16">
      <c r="M17158" s="49">
        <f>IF($A$4+171&gt;$B$4,"",$A$4+171)</f>
        <v>46194</v>
      </c>
      <c r="N17158">
        <f>IF(M17158="","",'Master Barang'!A52)</f>
        <v>0</v>
      </c>
      <c r="O17158">
        <f>IF(N17158="","",'Master Barang'!B52)</f>
        <v>0</v>
      </c>
      <c r="P17158">
        <f>IF(OR(M17158="",N17158=""),"",SUMIFS('Barang Keluar'!$E:$E,'Barang Keluar'!$A:$A,M17158,'Barang Keluar'!$C:$C,N17158))</f>
        <v>0</v>
      </c>
    </row>
    <row r="17159" spans="13:16">
      <c r="M17159" s="49">
        <f>IF($A$4+171&gt;$B$4,"",$A$4+171)</f>
        <v>46194</v>
      </c>
      <c r="N17159">
        <f>IF(M17159="","",'Master Barang'!A53)</f>
        <v>0</v>
      </c>
      <c r="O17159">
        <f>IF(N17159="","",'Master Barang'!B53)</f>
        <v>0</v>
      </c>
      <c r="P17159">
        <f>IF(OR(M17159="",N17159=""),"",SUMIFS('Barang Keluar'!$E:$E,'Barang Keluar'!$A:$A,M17159,'Barang Keluar'!$C:$C,N17159))</f>
        <v>0</v>
      </c>
    </row>
    <row r="17160" spans="13:16">
      <c r="M17160" s="49">
        <f>IF($A$4+171&gt;$B$4,"",$A$4+171)</f>
        <v>46194</v>
      </c>
      <c r="N17160">
        <f>IF(M17160="","",'Master Barang'!A54)</f>
        <v>0</v>
      </c>
      <c r="O17160">
        <f>IF(N17160="","",'Master Barang'!B54)</f>
        <v>0</v>
      </c>
      <c r="P17160">
        <f>IF(OR(M17160="",N17160=""),"",SUMIFS('Barang Keluar'!$E:$E,'Barang Keluar'!$A:$A,M17160,'Barang Keluar'!$C:$C,N17160))</f>
        <v>0</v>
      </c>
    </row>
    <row r="17161" spans="13:16">
      <c r="M17161" s="49">
        <f>IF($A$4+171&gt;$B$4,"",$A$4+171)</f>
        <v>46194</v>
      </c>
      <c r="N17161">
        <f>IF(M17161="","",'Master Barang'!A55)</f>
        <v>0</v>
      </c>
      <c r="O17161">
        <f>IF(N17161="","",'Master Barang'!B55)</f>
        <v>0</v>
      </c>
      <c r="P17161">
        <f>IF(OR(M17161="",N17161=""),"",SUMIFS('Barang Keluar'!$E:$E,'Barang Keluar'!$A:$A,M17161,'Barang Keluar'!$C:$C,N17161))</f>
        <v>0</v>
      </c>
    </row>
    <row r="17162" spans="13:16">
      <c r="M17162" s="49">
        <f>IF($A$4+171&gt;$B$4,"",$A$4+171)</f>
        <v>46194</v>
      </c>
      <c r="N17162">
        <f>IF(M17162="","",'Master Barang'!A56)</f>
        <v>0</v>
      </c>
      <c r="O17162">
        <f>IF(N17162="","",'Master Barang'!B56)</f>
        <v>0</v>
      </c>
      <c r="P17162">
        <f>IF(OR(M17162="",N17162=""),"",SUMIFS('Barang Keluar'!$E:$E,'Barang Keluar'!$A:$A,M17162,'Barang Keluar'!$C:$C,N17162))</f>
        <v>0</v>
      </c>
    </row>
    <row r="17163" spans="13:16">
      <c r="M17163" s="49">
        <f>IF($A$4+171&gt;$B$4,"",$A$4+171)</f>
        <v>46194</v>
      </c>
      <c r="N17163">
        <f>IF(M17163="","",'Master Barang'!A57)</f>
        <v>0</v>
      </c>
      <c r="O17163">
        <f>IF(N17163="","",'Master Barang'!B57)</f>
        <v>0</v>
      </c>
      <c r="P17163">
        <f>IF(OR(M17163="",N17163=""),"",SUMIFS('Barang Keluar'!$E:$E,'Barang Keluar'!$A:$A,M17163,'Barang Keluar'!$C:$C,N17163))</f>
        <v>0</v>
      </c>
    </row>
    <row r="17164" spans="13:16">
      <c r="M17164" s="49">
        <f>IF($A$4+171&gt;$B$4,"",$A$4+171)</f>
        <v>46194</v>
      </c>
      <c r="N17164">
        <f>IF(M17164="","",'Master Barang'!A58)</f>
        <v>0</v>
      </c>
      <c r="O17164">
        <f>IF(N17164="","",'Master Barang'!B58)</f>
        <v>0</v>
      </c>
      <c r="P17164">
        <f>IF(OR(M17164="",N17164=""),"",SUMIFS('Barang Keluar'!$E:$E,'Barang Keluar'!$A:$A,M17164,'Barang Keluar'!$C:$C,N17164))</f>
        <v>0</v>
      </c>
    </row>
    <row r="17165" spans="13:16">
      <c r="M17165" s="49">
        <f>IF($A$4+171&gt;$B$4,"",$A$4+171)</f>
        <v>46194</v>
      </c>
      <c r="N17165">
        <f>IF(M17165="","",'Master Barang'!A59)</f>
        <v>0</v>
      </c>
      <c r="O17165">
        <f>IF(N17165="","",'Master Barang'!B59)</f>
        <v>0</v>
      </c>
      <c r="P17165">
        <f>IF(OR(M17165="",N17165=""),"",SUMIFS('Barang Keluar'!$E:$E,'Barang Keluar'!$A:$A,M17165,'Barang Keluar'!$C:$C,N17165))</f>
        <v>0</v>
      </c>
    </row>
    <row r="17166" spans="13:16">
      <c r="M17166" s="49">
        <f>IF($A$4+171&gt;$B$4,"",$A$4+171)</f>
        <v>46194</v>
      </c>
      <c r="N17166">
        <f>IF(M17166="","",'Master Barang'!A60)</f>
        <v>0</v>
      </c>
      <c r="O17166">
        <f>IF(N17166="","",'Master Barang'!B60)</f>
        <v>0</v>
      </c>
      <c r="P17166">
        <f>IF(OR(M17166="",N17166=""),"",SUMIFS('Barang Keluar'!$E:$E,'Barang Keluar'!$A:$A,M17166,'Barang Keluar'!$C:$C,N17166))</f>
        <v>0</v>
      </c>
    </row>
    <row r="17167" spans="13:16">
      <c r="M17167" s="49">
        <f>IF($A$4+171&gt;$B$4,"",$A$4+171)</f>
        <v>46194</v>
      </c>
      <c r="N17167">
        <f>IF(M17167="","",'Master Barang'!A61)</f>
        <v>0</v>
      </c>
      <c r="O17167">
        <f>IF(N17167="","",'Master Barang'!B61)</f>
        <v>0</v>
      </c>
      <c r="P17167">
        <f>IF(OR(M17167="",N17167=""),"",SUMIFS('Barang Keluar'!$E:$E,'Barang Keluar'!$A:$A,M17167,'Barang Keluar'!$C:$C,N17167))</f>
        <v>0</v>
      </c>
    </row>
    <row r="17168" spans="13:16">
      <c r="M17168" s="49">
        <f>IF($A$4+171&gt;$B$4,"",$A$4+171)</f>
        <v>46194</v>
      </c>
      <c r="N17168">
        <f>IF(M17168="","",'Master Barang'!A62)</f>
        <v>0</v>
      </c>
      <c r="O17168">
        <f>IF(N17168="","",'Master Barang'!B62)</f>
        <v>0</v>
      </c>
      <c r="P17168">
        <f>IF(OR(M17168="",N17168=""),"",SUMIFS('Barang Keluar'!$E:$E,'Barang Keluar'!$A:$A,M17168,'Barang Keluar'!$C:$C,N17168))</f>
        <v>0</v>
      </c>
    </row>
    <row r="17169" spans="13:16">
      <c r="M17169" s="49">
        <f>IF($A$4+171&gt;$B$4,"",$A$4+171)</f>
        <v>46194</v>
      </c>
      <c r="N17169">
        <f>IF(M17169="","",'Master Barang'!A63)</f>
        <v>0</v>
      </c>
      <c r="O17169">
        <f>IF(N17169="","",'Master Barang'!B63)</f>
        <v>0</v>
      </c>
      <c r="P17169">
        <f>IF(OR(M17169="",N17169=""),"",SUMIFS('Barang Keluar'!$E:$E,'Barang Keluar'!$A:$A,M17169,'Barang Keluar'!$C:$C,N17169))</f>
        <v>0</v>
      </c>
    </row>
    <row r="17170" spans="13:16">
      <c r="M17170" s="49">
        <f>IF($A$4+171&gt;$B$4,"",$A$4+171)</f>
        <v>46194</v>
      </c>
      <c r="N17170">
        <f>IF(M17170="","",'Master Barang'!A64)</f>
        <v>0</v>
      </c>
      <c r="O17170">
        <f>IF(N17170="","",'Master Barang'!B64)</f>
        <v>0</v>
      </c>
      <c r="P17170">
        <f>IF(OR(M17170="",N17170=""),"",SUMIFS('Barang Keluar'!$E:$E,'Barang Keluar'!$A:$A,M17170,'Barang Keluar'!$C:$C,N17170))</f>
        <v>0</v>
      </c>
    </row>
    <row r="17171" spans="13:16">
      <c r="M17171" s="49">
        <f>IF($A$4+171&gt;$B$4,"",$A$4+171)</f>
        <v>46194</v>
      </c>
      <c r="N17171">
        <f>IF(M17171="","",'Master Barang'!A65)</f>
        <v>0</v>
      </c>
      <c r="O17171">
        <f>IF(N17171="","",'Master Barang'!B65)</f>
        <v>0</v>
      </c>
      <c r="P17171">
        <f>IF(OR(M17171="",N17171=""),"",SUMIFS('Barang Keluar'!$E:$E,'Barang Keluar'!$A:$A,M17171,'Barang Keluar'!$C:$C,N17171))</f>
        <v>0</v>
      </c>
    </row>
    <row r="17172" spans="13:16">
      <c r="M17172" s="49">
        <f>IF($A$4+171&gt;$B$4,"",$A$4+171)</f>
        <v>46194</v>
      </c>
      <c r="N17172">
        <f>IF(M17172="","",'Master Barang'!A66)</f>
        <v>0</v>
      </c>
      <c r="O17172">
        <f>IF(N17172="","",'Master Barang'!B66)</f>
        <v>0</v>
      </c>
      <c r="P17172">
        <f>IF(OR(M17172="",N17172=""),"",SUMIFS('Barang Keluar'!$E:$E,'Barang Keluar'!$A:$A,M17172,'Barang Keluar'!$C:$C,N17172))</f>
        <v>0</v>
      </c>
    </row>
    <row r="17173" spans="13:16">
      <c r="M17173" s="49">
        <f>IF($A$4+171&gt;$B$4,"",$A$4+171)</f>
        <v>46194</v>
      </c>
      <c r="N17173">
        <f>IF(M17173="","",'Master Barang'!A67)</f>
        <v>0</v>
      </c>
      <c r="O17173">
        <f>IF(N17173="","",'Master Barang'!B67)</f>
        <v>0</v>
      </c>
      <c r="P17173">
        <f>IF(OR(M17173="",N17173=""),"",SUMIFS('Barang Keluar'!$E:$E,'Barang Keluar'!$A:$A,M17173,'Barang Keluar'!$C:$C,N17173))</f>
        <v>0</v>
      </c>
    </row>
    <row r="17174" spans="13:16">
      <c r="M17174" s="49">
        <f>IF($A$4+171&gt;$B$4,"",$A$4+171)</f>
        <v>46194</v>
      </c>
      <c r="N17174">
        <f>IF(M17174="","",'Master Barang'!A68)</f>
        <v>0</v>
      </c>
      <c r="O17174">
        <f>IF(N17174="","",'Master Barang'!B68)</f>
        <v>0</v>
      </c>
      <c r="P17174">
        <f>IF(OR(M17174="",N17174=""),"",SUMIFS('Barang Keluar'!$E:$E,'Barang Keluar'!$A:$A,M17174,'Barang Keluar'!$C:$C,N17174))</f>
        <v>0</v>
      </c>
    </row>
    <row r="17175" spans="13:16">
      <c r="M17175" s="49">
        <f>IF($A$4+171&gt;$B$4,"",$A$4+171)</f>
        <v>46194</v>
      </c>
      <c r="N17175">
        <f>IF(M17175="","",'Master Barang'!A69)</f>
        <v>0</v>
      </c>
      <c r="O17175">
        <f>IF(N17175="","",'Master Barang'!B69)</f>
        <v>0</v>
      </c>
      <c r="P17175">
        <f>IF(OR(M17175="",N17175=""),"",SUMIFS('Barang Keluar'!$E:$E,'Barang Keluar'!$A:$A,M17175,'Barang Keluar'!$C:$C,N17175))</f>
        <v>0</v>
      </c>
    </row>
    <row r="17176" spans="13:16">
      <c r="M17176" s="49">
        <f>IF($A$4+171&gt;$B$4,"",$A$4+171)</f>
        <v>46194</v>
      </c>
      <c r="N17176">
        <f>IF(M17176="","",'Master Barang'!A70)</f>
        <v>0</v>
      </c>
      <c r="O17176">
        <f>IF(N17176="","",'Master Barang'!B70)</f>
        <v>0</v>
      </c>
      <c r="P17176">
        <f>IF(OR(M17176="",N17176=""),"",SUMIFS('Barang Keluar'!$E:$E,'Barang Keluar'!$A:$A,M17176,'Barang Keluar'!$C:$C,N17176))</f>
        <v>0</v>
      </c>
    </row>
    <row r="17177" spans="13:16">
      <c r="M17177" s="49">
        <f>IF($A$4+171&gt;$B$4,"",$A$4+171)</f>
        <v>46194</v>
      </c>
      <c r="N17177">
        <f>IF(M17177="","",'Master Barang'!A71)</f>
        <v>0</v>
      </c>
      <c r="O17177">
        <f>IF(N17177="","",'Master Barang'!B71)</f>
        <v>0</v>
      </c>
      <c r="P17177">
        <f>IF(OR(M17177="",N17177=""),"",SUMIFS('Barang Keluar'!$E:$E,'Barang Keluar'!$A:$A,M17177,'Barang Keluar'!$C:$C,N17177))</f>
        <v>0</v>
      </c>
    </row>
    <row r="17178" spans="13:16">
      <c r="M17178" s="49">
        <f>IF($A$4+171&gt;$B$4,"",$A$4+171)</f>
        <v>46194</v>
      </c>
      <c r="N17178">
        <f>IF(M17178="","",'Master Barang'!A72)</f>
        <v>0</v>
      </c>
      <c r="O17178">
        <f>IF(N17178="","",'Master Barang'!B72)</f>
        <v>0</v>
      </c>
      <c r="P17178">
        <f>IF(OR(M17178="",N17178=""),"",SUMIFS('Barang Keluar'!$E:$E,'Barang Keluar'!$A:$A,M17178,'Barang Keluar'!$C:$C,N17178))</f>
        <v>0</v>
      </c>
    </row>
    <row r="17179" spans="13:16">
      <c r="M17179" s="49">
        <f>IF($A$4+171&gt;$B$4,"",$A$4+171)</f>
        <v>46194</v>
      </c>
      <c r="N17179">
        <f>IF(M17179="","",'Master Barang'!A73)</f>
        <v>0</v>
      </c>
      <c r="O17179">
        <f>IF(N17179="","",'Master Barang'!B73)</f>
        <v>0</v>
      </c>
      <c r="P17179">
        <f>IF(OR(M17179="",N17179=""),"",SUMIFS('Barang Keluar'!$E:$E,'Barang Keluar'!$A:$A,M17179,'Barang Keluar'!$C:$C,N17179))</f>
        <v>0</v>
      </c>
    </row>
    <row r="17180" spans="13:16">
      <c r="M17180" s="49">
        <f>IF($A$4+171&gt;$B$4,"",$A$4+171)</f>
        <v>46194</v>
      </c>
      <c r="N17180">
        <f>IF(M17180="","",'Master Barang'!A74)</f>
        <v>0</v>
      </c>
      <c r="O17180">
        <f>IF(N17180="","",'Master Barang'!B74)</f>
        <v>0</v>
      </c>
      <c r="P17180">
        <f>IF(OR(M17180="",N17180=""),"",SUMIFS('Barang Keluar'!$E:$E,'Barang Keluar'!$A:$A,M17180,'Barang Keluar'!$C:$C,N17180))</f>
        <v>0</v>
      </c>
    </row>
    <row r="17181" spans="13:16">
      <c r="M17181" s="49">
        <f>IF($A$4+171&gt;$B$4,"",$A$4+171)</f>
        <v>46194</v>
      </c>
      <c r="N17181">
        <f>IF(M17181="","",'Master Barang'!A75)</f>
        <v>0</v>
      </c>
      <c r="O17181">
        <f>IF(N17181="","",'Master Barang'!B75)</f>
        <v>0</v>
      </c>
      <c r="P17181">
        <f>IF(OR(M17181="",N17181=""),"",SUMIFS('Barang Keluar'!$E:$E,'Barang Keluar'!$A:$A,M17181,'Barang Keluar'!$C:$C,N17181))</f>
        <v>0</v>
      </c>
    </row>
    <row r="17182" spans="13:16">
      <c r="M17182" s="49">
        <f>IF($A$4+171&gt;$B$4,"",$A$4+171)</f>
        <v>46194</v>
      </c>
      <c r="N17182">
        <f>IF(M17182="","",'Master Barang'!A76)</f>
        <v>0</v>
      </c>
      <c r="O17182">
        <f>IF(N17182="","",'Master Barang'!B76)</f>
        <v>0</v>
      </c>
      <c r="P17182">
        <f>IF(OR(M17182="",N17182=""),"",SUMIFS('Barang Keluar'!$E:$E,'Barang Keluar'!$A:$A,M17182,'Barang Keluar'!$C:$C,N17182))</f>
        <v>0</v>
      </c>
    </row>
    <row r="17183" spans="13:16">
      <c r="M17183" s="49">
        <f>IF($A$4+171&gt;$B$4,"",$A$4+171)</f>
        <v>46194</v>
      </c>
      <c r="N17183">
        <f>IF(M17183="","",'Master Barang'!A77)</f>
        <v>0</v>
      </c>
      <c r="O17183">
        <f>IF(N17183="","",'Master Barang'!B77)</f>
        <v>0</v>
      </c>
      <c r="P17183">
        <f>IF(OR(M17183="",N17183=""),"",SUMIFS('Barang Keluar'!$E:$E,'Barang Keluar'!$A:$A,M17183,'Barang Keluar'!$C:$C,N17183))</f>
        <v>0</v>
      </c>
    </row>
    <row r="17184" spans="13:16">
      <c r="M17184" s="49">
        <f>IF($A$4+171&gt;$B$4,"",$A$4+171)</f>
        <v>46194</v>
      </c>
      <c r="N17184">
        <f>IF(M17184="","",'Master Barang'!A78)</f>
        <v>0</v>
      </c>
      <c r="O17184">
        <f>IF(N17184="","",'Master Barang'!B78)</f>
        <v>0</v>
      </c>
      <c r="P17184">
        <f>IF(OR(M17184="",N17184=""),"",SUMIFS('Barang Keluar'!$E:$E,'Barang Keluar'!$A:$A,M17184,'Barang Keluar'!$C:$C,N17184))</f>
        <v>0</v>
      </c>
    </row>
    <row r="17185" spans="13:16">
      <c r="M17185" s="49">
        <f>IF($A$4+171&gt;$B$4,"",$A$4+171)</f>
        <v>46194</v>
      </c>
      <c r="N17185">
        <f>IF(M17185="","",'Master Barang'!A79)</f>
        <v>0</v>
      </c>
      <c r="O17185">
        <f>IF(N17185="","",'Master Barang'!B79)</f>
        <v>0</v>
      </c>
      <c r="P17185">
        <f>IF(OR(M17185="",N17185=""),"",SUMIFS('Barang Keluar'!$E:$E,'Barang Keluar'!$A:$A,M17185,'Barang Keluar'!$C:$C,N17185))</f>
        <v>0</v>
      </c>
    </row>
    <row r="17186" spans="13:16">
      <c r="M17186" s="49">
        <f>IF($A$4+171&gt;$B$4,"",$A$4+171)</f>
        <v>46194</v>
      </c>
      <c r="N17186">
        <f>IF(M17186="","",'Master Barang'!A80)</f>
        <v>0</v>
      </c>
      <c r="O17186">
        <f>IF(N17186="","",'Master Barang'!B80)</f>
        <v>0</v>
      </c>
      <c r="P17186">
        <f>IF(OR(M17186="",N17186=""),"",SUMIFS('Barang Keluar'!$E:$E,'Barang Keluar'!$A:$A,M17186,'Barang Keluar'!$C:$C,N17186))</f>
        <v>0</v>
      </c>
    </row>
    <row r="17187" spans="13:16">
      <c r="M17187" s="49">
        <f>IF($A$4+171&gt;$B$4,"",$A$4+171)</f>
        <v>46194</v>
      </c>
      <c r="N17187">
        <f>IF(M17187="","",'Master Barang'!A81)</f>
        <v>0</v>
      </c>
      <c r="O17187">
        <f>IF(N17187="","",'Master Barang'!B81)</f>
        <v>0</v>
      </c>
      <c r="P17187">
        <f>IF(OR(M17187="",N17187=""),"",SUMIFS('Barang Keluar'!$E:$E,'Barang Keluar'!$A:$A,M17187,'Barang Keluar'!$C:$C,N17187))</f>
        <v>0</v>
      </c>
    </row>
    <row r="17188" spans="13:16">
      <c r="M17188" s="49">
        <f>IF($A$4+171&gt;$B$4,"",$A$4+171)</f>
        <v>46194</v>
      </c>
      <c r="N17188">
        <f>IF(M17188="","",'Master Barang'!A82)</f>
        <v>0</v>
      </c>
      <c r="O17188">
        <f>IF(N17188="","",'Master Barang'!B82)</f>
        <v>0</v>
      </c>
      <c r="P17188">
        <f>IF(OR(M17188="",N17188=""),"",SUMIFS('Barang Keluar'!$E:$E,'Barang Keluar'!$A:$A,M17188,'Barang Keluar'!$C:$C,N17188))</f>
        <v>0</v>
      </c>
    </row>
    <row r="17189" spans="13:16">
      <c r="M17189" s="49">
        <f>IF($A$4+171&gt;$B$4,"",$A$4+171)</f>
        <v>46194</v>
      </c>
      <c r="N17189">
        <f>IF(M17189="","",'Master Barang'!A83)</f>
        <v>0</v>
      </c>
      <c r="O17189">
        <f>IF(N17189="","",'Master Barang'!B83)</f>
        <v>0</v>
      </c>
      <c r="P17189">
        <f>IF(OR(M17189="",N17189=""),"",SUMIFS('Barang Keluar'!$E:$E,'Barang Keluar'!$A:$A,M17189,'Barang Keluar'!$C:$C,N17189))</f>
        <v>0</v>
      </c>
    </row>
    <row r="17190" spans="13:16">
      <c r="M17190" s="49">
        <f>IF($A$4+171&gt;$B$4,"",$A$4+171)</f>
        <v>46194</v>
      </c>
      <c r="N17190">
        <f>IF(M17190="","",'Master Barang'!A84)</f>
        <v>0</v>
      </c>
      <c r="O17190">
        <f>IF(N17190="","",'Master Barang'!B84)</f>
        <v>0</v>
      </c>
      <c r="P17190">
        <f>IF(OR(M17190="",N17190=""),"",SUMIFS('Barang Keluar'!$E:$E,'Barang Keluar'!$A:$A,M17190,'Barang Keluar'!$C:$C,N17190))</f>
        <v>0</v>
      </c>
    </row>
    <row r="17191" spans="13:16">
      <c r="M17191" s="49">
        <f>IF($A$4+171&gt;$B$4,"",$A$4+171)</f>
        <v>46194</v>
      </c>
      <c r="N17191">
        <f>IF(M17191="","",'Master Barang'!A85)</f>
        <v>0</v>
      </c>
      <c r="O17191">
        <f>IF(N17191="","",'Master Barang'!B85)</f>
        <v>0</v>
      </c>
      <c r="P17191">
        <f>IF(OR(M17191="",N17191=""),"",SUMIFS('Barang Keluar'!$E:$E,'Barang Keluar'!$A:$A,M17191,'Barang Keluar'!$C:$C,N17191))</f>
        <v>0</v>
      </c>
    </row>
    <row r="17192" spans="13:16">
      <c r="M17192" s="49">
        <f>IF($A$4+171&gt;$B$4,"",$A$4+171)</f>
        <v>46194</v>
      </c>
      <c r="N17192">
        <f>IF(M17192="","",'Master Barang'!A86)</f>
        <v>0</v>
      </c>
      <c r="O17192">
        <f>IF(N17192="","",'Master Barang'!B86)</f>
        <v>0</v>
      </c>
      <c r="P17192">
        <f>IF(OR(M17192="",N17192=""),"",SUMIFS('Barang Keluar'!$E:$E,'Barang Keluar'!$A:$A,M17192,'Barang Keluar'!$C:$C,N17192))</f>
        <v>0</v>
      </c>
    </row>
    <row r="17193" spans="13:16">
      <c r="M17193" s="49">
        <f>IF($A$4+171&gt;$B$4,"",$A$4+171)</f>
        <v>46194</v>
      </c>
      <c r="N17193">
        <f>IF(M17193="","",'Master Barang'!A87)</f>
        <v>0</v>
      </c>
      <c r="O17193">
        <f>IF(N17193="","",'Master Barang'!B87)</f>
        <v>0</v>
      </c>
      <c r="P17193">
        <f>IF(OR(M17193="",N17193=""),"",SUMIFS('Barang Keluar'!$E:$E,'Barang Keluar'!$A:$A,M17193,'Barang Keluar'!$C:$C,N17193))</f>
        <v>0</v>
      </c>
    </row>
    <row r="17194" spans="13:16">
      <c r="M17194" s="49">
        <f>IF($A$4+171&gt;$B$4,"",$A$4+171)</f>
        <v>46194</v>
      </c>
      <c r="N17194">
        <f>IF(M17194="","",'Master Barang'!A88)</f>
        <v>0</v>
      </c>
      <c r="O17194">
        <f>IF(N17194="","",'Master Barang'!B88)</f>
        <v>0</v>
      </c>
      <c r="P17194">
        <f>IF(OR(M17194="",N17194=""),"",SUMIFS('Barang Keluar'!$E:$E,'Barang Keluar'!$A:$A,M17194,'Barang Keluar'!$C:$C,N17194))</f>
        <v>0</v>
      </c>
    </row>
    <row r="17195" spans="13:16">
      <c r="M17195" s="49">
        <f>IF($A$4+171&gt;$B$4,"",$A$4+171)</f>
        <v>46194</v>
      </c>
      <c r="N17195">
        <f>IF(M17195="","",'Master Barang'!A89)</f>
        <v>0</v>
      </c>
      <c r="O17195">
        <f>IF(N17195="","",'Master Barang'!B89)</f>
        <v>0</v>
      </c>
      <c r="P17195">
        <f>IF(OR(M17195="",N17195=""),"",SUMIFS('Barang Keluar'!$E:$E,'Barang Keluar'!$A:$A,M17195,'Barang Keluar'!$C:$C,N17195))</f>
        <v>0</v>
      </c>
    </row>
    <row r="17196" spans="13:16">
      <c r="M17196" s="49">
        <f>IF($A$4+171&gt;$B$4,"",$A$4+171)</f>
        <v>46194</v>
      </c>
      <c r="N17196">
        <f>IF(M17196="","",'Master Barang'!A90)</f>
        <v>0</v>
      </c>
      <c r="O17196">
        <f>IF(N17196="","",'Master Barang'!B90)</f>
        <v>0</v>
      </c>
      <c r="P17196">
        <f>IF(OR(M17196="",N17196=""),"",SUMIFS('Barang Keluar'!$E:$E,'Barang Keluar'!$A:$A,M17196,'Barang Keluar'!$C:$C,N17196))</f>
        <v>0</v>
      </c>
    </row>
    <row r="17197" spans="13:16">
      <c r="M17197" s="49">
        <f>IF($A$4+171&gt;$B$4,"",$A$4+171)</f>
        <v>46194</v>
      </c>
      <c r="N17197">
        <f>IF(M17197="","",'Master Barang'!A91)</f>
        <v>0</v>
      </c>
      <c r="O17197">
        <f>IF(N17197="","",'Master Barang'!B91)</f>
        <v>0</v>
      </c>
      <c r="P17197">
        <f>IF(OR(M17197="",N17197=""),"",SUMIFS('Barang Keluar'!$E:$E,'Barang Keluar'!$A:$A,M17197,'Barang Keluar'!$C:$C,N17197))</f>
        <v>0</v>
      </c>
    </row>
    <row r="17198" spans="13:16">
      <c r="M17198" s="49">
        <f>IF($A$4+171&gt;$B$4,"",$A$4+171)</f>
        <v>46194</v>
      </c>
      <c r="N17198">
        <f>IF(M17198="","",'Master Barang'!A92)</f>
        <v>0</v>
      </c>
      <c r="O17198">
        <f>IF(N17198="","",'Master Barang'!B92)</f>
        <v>0</v>
      </c>
      <c r="P17198">
        <f>IF(OR(M17198="",N17198=""),"",SUMIFS('Barang Keluar'!$E:$E,'Barang Keluar'!$A:$A,M17198,'Barang Keluar'!$C:$C,N17198))</f>
        <v>0</v>
      </c>
    </row>
    <row r="17199" spans="13:16">
      <c r="M17199" s="49">
        <f>IF($A$4+171&gt;$B$4,"",$A$4+171)</f>
        <v>46194</v>
      </c>
      <c r="N17199">
        <f>IF(M17199="","",'Master Barang'!A93)</f>
        <v>0</v>
      </c>
      <c r="O17199">
        <f>IF(N17199="","",'Master Barang'!B93)</f>
        <v>0</v>
      </c>
      <c r="P17199">
        <f>IF(OR(M17199="",N17199=""),"",SUMIFS('Barang Keluar'!$E:$E,'Barang Keluar'!$A:$A,M17199,'Barang Keluar'!$C:$C,N17199))</f>
        <v>0</v>
      </c>
    </row>
    <row r="17200" spans="13:16">
      <c r="M17200" s="49">
        <f>IF($A$4+171&gt;$B$4,"",$A$4+171)</f>
        <v>46194</v>
      </c>
      <c r="N17200">
        <f>IF(M17200="","",'Master Barang'!A94)</f>
        <v>0</v>
      </c>
      <c r="O17200">
        <f>IF(N17200="","",'Master Barang'!B94)</f>
        <v>0</v>
      </c>
      <c r="P17200">
        <f>IF(OR(M17200="",N17200=""),"",SUMIFS('Barang Keluar'!$E:$E,'Barang Keluar'!$A:$A,M17200,'Barang Keluar'!$C:$C,N17200))</f>
        <v>0</v>
      </c>
    </row>
    <row r="17201" spans="13:16">
      <c r="M17201" s="49">
        <f>IF($A$4+171&gt;$B$4,"",$A$4+171)</f>
        <v>46194</v>
      </c>
      <c r="N17201">
        <f>IF(M17201="","",'Master Barang'!A95)</f>
        <v>0</v>
      </c>
      <c r="O17201">
        <f>IF(N17201="","",'Master Barang'!B95)</f>
        <v>0</v>
      </c>
      <c r="P17201">
        <f>IF(OR(M17201="",N17201=""),"",SUMIFS('Barang Keluar'!$E:$E,'Barang Keluar'!$A:$A,M17201,'Barang Keluar'!$C:$C,N17201))</f>
        <v>0</v>
      </c>
    </row>
    <row r="17202" spans="13:16">
      <c r="M17202" s="49">
        <f>IF($A$4+171&gt;$B$4,"",$A$4+171)</f>
        <v>46194</v>
      </c>
      <c r="N17202">
        <f>IF(M17202="","",'Master Barang'!A96)</f>
        <v>0</v>
      </c>
      <c r="O17202">
        <f>IF(N17202="","",'Master Barang'!B96)</f>
        <v>0</v>
      </c>
      <c r="P17202">
        <f>IF(OR(M17202="",N17202=""),"",SUMIFS('Barang Keluar'!$E:$E,'Barang Keluar'!$A:$A,M17202,'Barang Keluar'!$C:$C,N17202))</f>
        <v>0</v>
      </c>
    </row>
    <row r="17203" spans="13:16">
      <c r="M17203" s="49">
        <f>IF($A$4+171&gt;$B$4,"",$A$4+171)</f>
        <v>46194</v>
      </c>
      <c r="N17203">
        <f>IF(M17203="","",'Master Barang'!A97)</f>
        <v>0</v>
      </c>
      <c r="O17203">
        <f>IF(N17203="","",'Master Barang'!B97)</f>
        <v>0</v>
      </c>
      <c r="P17203">
        <f>IF(OR(M17203="",N17203=""),"",SUMIFS('Barang Keluar'!$E:$E,'Barang Keluar'!$A:$A,M17203,'Barang Keluar'!$C:$C,N17203))</f>
        <v>0</v>
      </c>
    </row>
    <row r="17204" spans="13:16">
      <c r="M17204" s="49">
        <f>IF($A$4+171&gt;$B$4,"",$A$4+171)</f>
        <v>46194</v>
      </c>
      <c r="N17204">
        <f>IF(M17204="","",'Master Barang'!A98)</f>
        <v>0</v>
      </c>
      <c r="O17204">
        <f>IF(N17204="","",'Master Barang'!B98)</f>
        <v>0</v>
      </c>
      <c r="P17204">
        <f>IF(OR(M17204="",N17204=""),"",SUMIFS('Barang Keluar'!$E:$E,'Barang Keluar'!$A:$A,M17204,'Barang Keluar'!$C:$C,N17204))</f>
        <v>0</v>
      </c>
    </row>
    <row r="17205" spans="13:16">
      <c r="M17205" s="49">
        <f>IF($A$4+171&gt;$B$4,"",$A$4+171)</f>
        <v>46194</v>
      </c>
      <c r="N17205">
        <f>IF(M17205="","",'Master Barang'!A99)</f>
        <v>0</v>
      </c>
      <c r="O17205">
        <f>IF(N17205="","",'Master Barang'!B99)</f>
        <v>0</v>
      </c>
      <c r="P17205">
        <f>IF(OR(M17205="",N17205=""),"",SUMIFS('Barang Keluar'!$E:$E,'Barang Keluar'!$A:$A,M17205,'Barang Keluar'!$C:$C,N17205))</f>
        <v>0</v>
      </c>
    </row>
    <row r="17206" spans="13:16">
      <c r="M17206" s="49">
        <f>IF($A$4+171&gt;$B$4,"",$A$4+171)</f>
        <v>46194</v>
      </c>
      <c r="N17206">
        <f>IF(M17206="","",'Master Barang'!A100)</f>
        <v>0</v>
      </c>
      <c r="O17206">
        <f>IF(N17206="","",'Master Barang'!B100)</f>
        <v>0</v>
      </c>
      <c r="P17206">
        <f>IF(OR(M17206="",N17206=""),"",SUMIFS('Barang Keluar'!$E:$E,'Barang Keluar'!$A:$A,M17206,'Barang Keluar'!$C:$C,N17206))</f>
        <v>0</v>
      </c>
    </row>
    <row r="17207" spans="13:16">
      <c r="M17207" s="49">
        <f>IF($A$4+171&gt;$B$4,"",$A$4+171)</f>
        <v>46194</v>
      </c>
      <c r="N17207">
        <f>IF(M17207="","",'Master Barang'!A101)</f>
        <v>0</v>
      </c>
      <c r="O17207">
        <f>IF(N17207="","",'Master Barang'!B101)</f>
        <v>0</v>
      </c>
      <c r="P17207">
        <f>IF(OR(M17207="",N17207=""),"",SUMIFS('Barang Keluar'!$E:$E,'Barang Keluar'!$A:$A,M17207,'Barang Keluar'!$C:$C,N17207))</f>
        <v>0</v>
      </c>
    </row>
    <row r="17208" spans="13:16">
      <c r="M17208" s="49">
        <f>IF($A$4+172&gt;$B$4,"",$A$4+172)</f>
        <v>46195</v>
      </c>
      <c r="N17208" t="str">
        <f>IF(M17208="","",'Master Barang'!A2)</f>
        <v>PRL-001</v>
      </c>
      <c r="O17208" t="str">
        <f>IF(N17208="","",'Master Barang'!B2)</f>
        <v>natura desinfectant food grade 5l</v>
      </c>
      <c r="P17208">
        <f>IF(OR(M17208="",N17208=""),"",SUMIFS('Barang Keluar'!$E:$E,'Barang Keluar'!$A:$A,M17208,'Barang Keluar'!$C:$C,N17208))</f>
        <v>0</v>
      </c>
    </row>
    <row r="17209" spans="13:16">
      <c r="M17209" s="49">
        <f>IF($A$4+172&gt;$B$4,"",$A$4+172)</f>
        <v>46195</v>
      </c>
      <c r="N17209" t="str">
        <f>IF(M17209="","",'Master Barang'!A3)</f>
        <v>PRL-002</v>
      </c>
      <c r="O17209" t="str">
        <f>IF(N17209="","",'Master Barang'!B3)</f>
        <v>sunlight cairan pencuci piring 5l</v>
      </c>
      <c r="P17209">
        <f>IF(OR(M17209="",N17209=""),"",SUMIFS('Barang Keluar'!$E:$E,'Barang Keluar'!$A:$A,M17209,'Barang Keluar'!$C:$C,N17209))</f>
        <v>0</v>
      </c>
    </row>
    <row r="17210" spans="13:16">
      <c r="M17210" s="49">
        <f>IF($A$4+172&gt;$B$4,"",$A$4+172)</f>
        <v>46195</v>
      </c>
      <c r="N17210" t="str">
        <f>IF(M17210="","",'Master Barang'!A4)</f>
        <v>PRL-003</v>
      </c>
      <c r="O17210" t="str">
        <f>IF(N17210="","",'Master Barang'!B4)</f>
        <v>oixs cleaner 1l</v>
      </c>
      <c r="P17210">
        <f>IF(OR(M17210="",N17210=""),"",SUMIFS('Barang Keluar'!$E:$E,'Barang Keluar'!$A:$A,M17210,'Barang Keluar'!$C:$C,N17210))</f>
        <v>0</v>
      </c>
    </row>
    <row r="17211" spans="13:16">
      <c r="M17211" s="49">
        <f>IF($A$4+172&gt;$B$4,"",$A$4+172)</f>
        <v>46195</v>
      </c>
      <c r="N17211" t="str">
        <f>IF(M17211="","",'Master Barang'!A5)</f>
        <v>PRL-004</v>
      </c>
      <c r="O17211" t="str">
        <f>IF(N17211="","",'Master Barang'!B5)</f>
        <v>be clean tissue serbaguna</v>
      </c>
      <c r="P17211">
        <f>IF(OR(M17211="",N17211=""),"",SUMIFS('Barang Keluar'!$E:$E,'Barang Keluar'!$A:$A,M17211,'Barang Keluar'!$C:$C,N17211))</f>
        <v>0</v>
      </c>
    </row>
    <row r="17212" spans="13:16">
      <c r="M17212" s="49">
        <f>IF($A$4+172&gt;$B$4,"",$A$4+172)</f>
        <v>46195</v>
      </c>
      <c r="N17212" t="str">
        <f>IF(M17212="","",'Master Barang'!A6)</f>
        <v>PRL-005</v>
      </c>
      <c r="O17212" t="str">
        <f>IF(N17212="","",'Master Barang'!B6)</f>
        <v>spons cuci hijau</v>
      </c>
      <c r="P17212">
        <f>IF(OR(M17212="",N17212=""),"",SUMIFS('Barang Keluar'!$E:$E,'Barang Keluar'!$A:$A,M17212,'Barang Keluar'!$C:$C,N17212))</f>
        <v>0</v>
      </c>
    </row>
    <row r="17213" spans="13:16">
      <c r="M17213" s="49">
        <f>IF($A$4+172&gt;$B$4,"",$A$4+172)</f>
        <v>46195</v>
      </c>
      <c r="N17213" t="str">
        <f>IF(M17213="","",'Master Barang'!A7)</f>
        <v>PRL-006</v>
      </c>
      <c r="O17213" t="str">
        <f>IF(N17213="","",'Master Barang'!B7)</f>
        <v>sabut cuci stainless</v>
      </c>
      <c r="P17213">
        <f>IF(OR(M17213="",N17213=""),"",SUMIFS('Barang Keluar'!$E:$E,'Barang Keluar'!$A:$A,M17213,'Barang Keluar'!$C:$C,N17213))</f>
        <v>0</v>
      </c>
    </row>
    <row r="17214" spans="13:16">
      <c r="M17214" s="49">
        <f>IF($A$4+172&gt;$B$4,"",$A$4+172)</f>
        <v>46195</v>
      </c>
      <c r="N17214" t="str">
        <f>IF(M17214="","",'Master Barang'!A8)</f>
        <v>PRL-007</v>
      </c>
      <c r="O17214" t="str">
        <f>IF(N17214="","",'Master Barang'!B8)</f>
        <v>plastik kresek besar merah 50pc</v>
      </c>
      <c r="P17214">
        <f>IF(OR(M17214="",N17214=""),"",SUMIFS('Barang Keluar'!$E:$E,'Barang Keluar'!$A:$A,M17214,'Barang Keluar'!$C:$C,N17214))</f>
        <v>0</v>
      </c>
    </row>
    <row r="17215" spans="13:16">
      <c r="M17215" s="49">
        <f>IF($A$4+172&gt;$B$4,"",$A$4+172)</f>
        <v>46195</v>
      </c>
      <c r="N17215" t="str">
        <f>IF(M17215="","",'Master Barang'!A9)</f>
        <v>PRL-008</v>
      </c>
      <c r="O17215" t="str">
        <f>IF(N17215="","",'Master Barang'!B9)</f>
        <v>lap besar</v>
      </c>
      <c r="P17215">
        <f>IF(OR(M17215="",N17215=""),"",SUMIFS('Barang Keluar'!$E:$E,'Barang Keluar'!$A:$A,M17215,'Barang Keluar'!$C:$C,N17215))</f>
        <v>0</v>
      </c>
    </row>
    <row r="17216" spans="13:16">
      <c r="M17216" s="49">
        <f>IF($A$4+172&gt;$B$4,"",$A$4+172)</f>
        <v>46195</v>
      </c>
      <c r="N17216" t="str">
        <f>IF(M17216="","",'Master Barang'!A10)</f>
        <v>PRL-009</v>
      </c>
      <c r="O17216" t="str">
        <f>IF(N17216="","",'Master Barang'!B10)</f>
        <v>lap microfiber</v>
      </c>
      <c r="P17216">
        <f>IF(OR(M17216="",N17216=""),"",SUMIFS('Barang Keluar'!$E:$E,'Barang Keluar'!$A:$A,M17216,'Barang Keluar'!$C:$C,N17216))</f>
        <v>0</v>
      </c>
    </row>
    <row r="17217" spans="13:16">
      <c r="M17217" s="49">
        <f>IF($A$4+172&gt;$B$4,"",$A$4+172)</f>
        <v>46195</v>
      </c>
      <c r="N17217" t="str">
        <f>IF(M17217="","",'Master Barang'!A11)</f>
        <v>PRL-010</v>
      </c>
      <c r="O17217" t="str">
        <f>IF(N17217="","",'Master Barang'!B11)</f>
        <v>lap kecil</v>
      </c>
      <c r="P17217">
        <f>IF(OR(M17217="",N17217=""),"",SUMIFS('Barang Keluar'!$E:$E,'Barang Keluar'!$A:$A,M17217,'Barang Keluar'!$C:$C,N17217))</f>
        <v>0</v>
      </c>
    </row>
    <row r="17218" spans="13:16">
      <c r="M17218" s="49">
        <f>IF($A$4+172&gt;$B$4,"",$A$4+172)</f>
        <v>46195</v>
      </c>
      <c r="N17218" t="str">
        <f>IF(M17218="","",'Master Barang'!A12)</f>
        <v>PRL-011</v>
      </c>
      <c r="O17218" t="str">
        <f>IF(N17218="","",'Master Barang'!B12)</f>
        <v>kanebo kecil</v>
      </c>
      <c r="P17218">
        <f>IF(OR(M17218="",N17218=""),"",SUMIFS('Barang Keluar'!$E:$E,'Barang Keluar'!$A:$A,M17218,'Barang Keluar'!$C:$C,N17218))</f>
        <v>0</v>
      </c>
    </row>
    <row r="17219" spans="13:16">
      <c r="M17219" s="49">
        <f>IF($A$4+172&gt;$B$4,"",$A$4+172)</f>
        <v>46195</v>
      </c>
      <c r="N17219" t="str">
        <f>IF(M17219="","",'Master Barang'!A13)</f>
        <v>PRL-012</v>
      </c>
      <c r="O17219" t="str">
        <f>IF(N17219="","",'Master Barang'!B13)</f>
        <v>plastik 1/4kg joyoboyo 100 lembar</v>
      </c>
      <c r="P17219">
        <f>IF(OR(M17219="",N17219=""),"",SUMIFS('Barang Keluar'!$E:$E,'Barang Keluar'!$A:$A,M17219,'Barang Keluar'!$C:$C,N17219))</f>
        <v>0</v>
      </c>
    </row>
    <row r="17220" spans="13:16">
      <c r="M17220" s="49">
        <f>IF($A$4+172&gt;$B$4,"",$A$4+172)</f>
        <v>46195</v>
      </c>
      <c r="N17220" t="str">
        <f>IF(M17220="","",'Master Barang'!A14)</f>
        <v>PRL-013</v>
      </c>
      <c r="O17220" t="str">
        <f>IF(N17220="","",'Master Barang'!B14)</f>
        <v>sarung tangan plastik kaka 100 pcs</v>
      </c>
      <c r="P17220">
        <f>IF(OR(M17220="",N17220=""),"",SUMIFS('Barang Keluar'!$E:$E,'Barang Keluar'!$A:$A,M17220,'Barang Keluar'!$C:$C,N17220))</f>
        <v>0</v>
      </c>
    </row>
    <row r="17221" spans="13:16">
      <c r="M17221" s="49">
        <f>IF($A$4+172&gt;$B$4,"",$A$4+172)</f>
        <v>46195</v>
      </c>
      <c r="N17221" t="str">
        <f>IF(M17221="","",'Master Barang'!A15)</f>
        <v>PRL-014</v>
      </c>
      <c r="O17221" t="str">
        <f>IF(N17221="","",'Master Barang'!B15)</f>
        <v>optima trashbag 80x100</v>
      </c>
      <c r="P17221">
        <f>IF(OR(M17221="",N17221=""),"",SUMIFS('Barang Keluar'!$E:$E,'Barang Keluar'!$A:$A,M17221,'Barang Keluar'!$C:$C,N17221))</f>
        <v>0</v>
      </c>
    </row>
    <row r="17222" spans="13:16">
      <c r="M17222" s="49">
        <f>IF($A$4+172&gt;$B$4,"",$A$4+172)</f>
        <v>46195</v>
      </c>
      <c r="N17222" t="str">
        <f>IF(M17222="","",'Master Barang'!A16)</f>
        <v>PRL-015</v>
      </c>
      <c r="O17222" t="str">
        <f>IF(N17222="","",'Master Barang'!B16)</f>
        <v>optima trashbag 60x100</v>
      </c>
      <c r="P17222">
        <f>IF(OR(M17222="",N17222=""),"",SUMIFS('Barang Keluar'!$E:$E,'Barang Keluar'!$A:$A,M17222,'Barang Keluar'!$C:$C,N17222))</f>
        <v>0</v>
      </c>
    </row>
    <row r="17223" spans="13:16">
      <c r="M17223" s="49">
        <f>IF($A$4+172&gt;$B$4,"",$A$4+172)</f>
        <v>46195</v>
      </c>
      <c r="N17223" t="str">
        <f>IF(M17223="","",'Master Barang'!A17)</f>
        <v>PRL-016</v>
      </c>
      <c r="O17223" t="str">
        <f>IF(N17223="","",'Master Barang'!B17)</f>
        <v>rajawali trashbag 30x40</v>
      </c>
      <c r="P17223">
        <f>IF(OR(M17223="",N17223=""),"",SUMIFS('Barang Keluar'!$E:$E,'Barang Keluar'!$A:$A,M17223,'Barang Keluar'!$C:$C,N17223))</f>
        <v>0</v>
      </c>
    </row>
    <row r="17224" spans="13:16">
      <c r="M17224" s="49">
        <f>IF($A$4+172&gt;$B$4,"",$A$4+172)</f>
        <v>46195</v>
      </c>
      <c r="N17224" t="str">
        <f>IF(M17224="","",'Master Barang'!A18)</f>
        <v>PRL-017</v>
      </c>
      <c r="O17224" t="str">
        <f>IF(N17224="","",'Master Barang'!B18)</f>
        <v>onemed masker biru 3 play 50 pcs</v>
      </c>
      <c r="P17224">
        <f>IF(OR(M17224="",N17224=""),"",SUMIFS('Barang Keluar'!$E:$E,'Barang Keluar'!$A:$A,M17224,'Barang Keluar'!$C:$C,N17224))</f>
        <v>0</v>
      </c>
    </row>
    <row r="17225" spans="13:16">
      <c r="M17225" s="49">
        <f>IF($A$4+172&gt;$B$4,"",$A$4+172)</f>
        <v>46195</v>
      </c>
      <c r="N17225" t="str">
        <f>IF(M17225="","",'Master Barang'!A19)</f>
        <v>PRL-018</v>
      </c>
      <c r="O17225" t="str">
        <f>IF(N17225="","",'Master Barang'!B19)</f>
        <v>onemed masker biru 3 play hijab 50 pcs</v>
      </c>
      <c r="P17225">
        <f>IF(OR(M17225="",N17225=""),"",SUMIFS('Barang Keluar'!$E:$E,'Barang Keluar'!$A:$A,M17225,'Barang Keluar'!$C:$C,N17225))</f>
        <v>0</v>
      </c>
    </row>
    <row r="17226" spans="13:16">
      <c r="M17226" s="49">
        <f>IF($A$4+172&gt;$B$4,"",$A$4+172)</f>
        <v>46195</v>
      </c>
      <c r="N17226" t="str">
        <f>IF(M17226="","",'Master Barang'!A20)</f>
        <v>PRL-019</v>
      </c>
      <c r="O17226" t="str">
        <f>IF(N17226="","",'Master Barang'!B20)</f>
        <v>neo health masker biru 3 play 50 pcs</v>
      </c>
      <c r="P17226">
        <f>IF(OR(M17226="",N17226=""),"",SUMIFS('Barang Keluar'!$E:$E,'Barang Keluar'!$A:$A,M17226,'Barang Keluar'!$C:$C,N17226))</f>
        <v>0</v>
      </c>
    </row>
    <row r="17227" spans="13:16">
      <c r="M17227" s="49">
        <f>IF($A$4+172&gt;$B$4,"",$A$4+172)</f>
        <v>46195</v>
      </c>
      <c r="N17227" t="str">
        <f>IF(M17227="","",'Master Barang'!A21)</f>
        <v>PRL-020</v>
      </c>
      <c r="O17227" t="str">
        <f>IF(N17227="","",'Master Barang'!B21)</f>
        <v>baymed masker hijau 3 play hijau 50 pcs</v>
      </c>
      <c r="P17227">
        <f>IF(OR(M17227="",N17227=""),"",SUMIFS('Barang Keluar'!$E:$E,'Barang Keluar'!$A:$A,M17227,'Barang Keluar'!$C:$C,N17227))</f>
        <v>0</v>
      </c>
    </row>
    <row r="17228" spans="13:16">
      <c r="M17228" s="49">
        <f>IF($A$4+172&gt;$B$4,"",$A$4+172)</f>
        <v>46195</v>
      </c>
      <c r="N17228" t="str">
        <f>IF(M17228="","",'Master Barang'!A22)</f>
        <v>PRL-021</v>
      </c>
      <c r="O17228" t="str">
        <f>IF(N17228="","",'Master Barang'!B22)</f>
        <v>altamed nurse cap penutup kepala 100 pcs</v>
      </c>
      <c r="P17228">
        <f>IF(OR(M17228="",N17228=""),"",SUMIFS('Barang Keluar'!$E:$E,'Barang Keluar'!$A:$A,M17228,'Barang Keluar'!$C:$C,N17228))</f>
        <v>0</v>
      </c>
    </row>
    <row r="17229" spans="13:16">
      <c r="M17229" s="49">
        <f>IF($A$4+172&gt;$B$4,"",$A$4+172)</f>
        <v>46195</v>
      </c>
      <c r="N17229" t="str">
        <f>IF(M17229="","",'Master Barang'!A23)</f>
        <v>PRL-022</v>
      </c>
      <c r="O17229" t="str">
        <f>IF(N17229="","",'Master Barang'!B23)</f>
        <v>sabun cuci tangan</v>
      </c>
      <c r="P17229">
        <f>IF(OR(M17229="",N17229=""),"",SUMIFS('Barang Keluar'!$E:$E,'Barang Keluar'!$A:$A,M17229,'Barang Keluar'!$C:$C,N17229))</f>
        <v>0</v>
      </c>
    </row>
    <row r="17230" spans="13:16">
      <c r="M17230" s="49">
        <f>IF($A$4+172&gt;$B$4,"",$A$4+172)</f>
        <v>46195</v>
      </c>
      <c r="N17230" t="str">
        <f>IF(M17230="","",'Master Barang'!A24)</f>
        <v>PRL-023</v>
      </c>
      <c r="O17230" t="str">
        <f>IF(N17230="","",'Master Barang'!B24)</f>
        <v>gayung kecil</v>
      </c>
      <c r="P17230">
        <f>IF(OR(M17230="",N17230=""),"",SUMIFS('Barang Keluar'!$E:$E,'Barang Keluar'!$A:$A,M17230,'Barang Keluar'!$C:$C,N17230))</f>
        <v>0</v>
      </c>
    </row>
    <row r="17231" spans="13:16">
      <c r="M17231" s="49">
        <f>IF($A$4+172&gt;$B$4,"",$A$4+172)</f>
        <v>46195</v>
      </c>
      <c r="N17231" t="str">
        <f>IF(M17231="","",'Master Barang'!A25)</f>
        <v>PRL-024</v>
      </c>
      <c r="O17231" t="str">
        <f>IF(N17231="","",'Master Barang'!B25)</f>
        <v>cikrak kecil</v>
      </c>
      <c r="P17231">
        <f>IF(OR(M17231="",N17231=""),"",SUMIFS('Barang Keluar'!$E:$E,'Barang Keluar'!$A:$A,M17231,'Barang Keluar'!$C:$C,N17231))</f>
        <v>0</v>
      </c>
    </row>
    <row r="17232" spans="13:16">
      <c r="M17232" s="49">
        <f>IF($A$4+172&gt;$B$4,"",$A$4+172)</f>
        <v>46195</v>
      </c>
      <c r="N17232" t="str">
        <f>IF(M17232="","",'Master Barang'!A26)</f>
        <v>PRL-025</v>
      </c>
      <c r="O17232" t="str">
        <f>IF(N17232="","",'Master Barang'!B26)</f>
        <v>petromax plastik kecil 12x24 100 lembar</v>
      </c>
      <c r="P17232">
        <f>IF(OR(M17232="",N17232=""),"",SUMIFS('Barang Keluar'!$E:$E,'Barang Keluar'!$A:$A,M17232,'Barang Keluar'!$C:$C,N17232))</f>
        <v>0</v>
      </c>
    </row>
    <row r="17233" spans="13:16">
      <c r="M17233" s="49">
        <f>IF($A$4+172&gt;$B$4,"",$A$4+172)</f>
        <v>46195</v>
      </c>
      <c r="N17233" t="str">
        <f>IF(M17233="","",'Master Barang'!A27)</f>
        <v>PRL-026</v>
      </c>
      <c r="O17233" t="str">
        <f>IF(N17233="","",'Master Barang'!B27)</f>
        <v>lancar kresek kecil bening </v>
      </c>
      <c r="P17233">
        <f>IF(OR(M17233="",N17233=""),"",SUMIFS('Barang Keluar'!$E:$E,'Barang Keluar'!$A:$A,M17233,'Barang Keluar'!$C:$C,N17233))</f>
        <v>0</v>
      </c>
    </row>
    <row r="17234" spans="13:16">
      <c r="M17234" s="49">
        <f>IF($A$4+172&gt;$B$4,"",$A$4+172)</f>
        <v>46195</v>
      </c>
      <c r="N17234" t="str">
        <f>IF(M17234="","",'Master Barang'!A28)</f>
        <v>PRL-027</v>
      </c>
      <c r="O17234" t="str">
        <f>IF(N17234="","",'Master Barang'!B28)</f>
        <v>kresek klin warna warni kecil</v>
      </c>
      <c r="P17234">
        <f>IF(OR(M17234="",N17234=""),"",SUMIFS('Barang Keluar'!$E:$E,'Barang Keluar'!$A:$A,M17234,'Barang Keluar'!$C:$C,N17234))</f>
        <v>0</v>
      </c>
    </row>
    <row r="17235" spans="13:16">
      <c r="M17235" s="49">
        <f>IF($A$4+172&gt;$B$4,"",$A$4+172)</f>
        <v>46195</v>
      </c>
      <c r="N17235" t="str">
        <f>IF(M17235="","",'Master Barang'!A29)</f>
        <v>PRL-028</v>
      </c>
      <c r="O17235" t="str">
        <f>IF(N17235="","",'Master Barang'!B29)</f>
        <v>ctik plastik 7x10 100 pcs</v>
      </c>
      <c r="P17235">
        <f>IF(OR(M17235="",N17235=""),"",SUMIFS('Barang Keluar'!$E:$E,'Barang Keluar'!$A:$A,M17235,'Barang Keluar'!$C:$C,N17235))</f>
        <v>0</v>
      </c>
    </row>
    <row r="17236" spans="13:16">
      <c r="M17236" s="49">
        <f>IF($A$4+172&gt;$B$4,"",$A$4+172)</f>
        <v>46195</v>
      </c>
      <c r="N17236" t="str">
        <f>IF(M17236="","",'Master Barang'!A30)</f>
        <v>PRL-029</v>
      </c>
      <c r="O17236" t="str">
        <f>IF(N17236="","",'Master Barang'!B30)</f>
        <v>ctik plastik 6x10 100 pcs</v>
      </c>
      <c r="P17236">
        <f>IF(OR(M17236="",N17236=""),"",SUMIFS('Barang Keluar'!$E:$E,'Barang Keluar'!$A:$A,M17236,'Barang Keluar'!$C:$C,N17236))</f>
        <v>0</v>
      </c>
    </row>
    <row r="17237" spans="13:16">
      <c r="M17237" s="49">
        <f>IF($A$4+172&gt;$B$4,"",$A$4+172)</f>
        <v>46195</v>
      </c>
      <c r="N17237" t="str">
        <f>IF(M17237="","",'Master Barang'!A31)</f>
        <v>PRL-030</v>
      </c>
      <c r="O17237" t="str">
        <f>IF(N17237="","",'Master Barang'!B31)</f>
        <v>klip plastik 25x16 100 pcs</v>
      </c>
      <c r="P17237">
        <f>IF(OR(M17237="",N17237=""),"",SUMIFS('Barang Keluar'!$E:$E,'Barang Keluar'!$A:$A,M17237,'Barang Keluar'!$C:$C,N17237))</f>
        <v>0</v>
      </c>
    </row>
    <row r="17238" spans="13:16">
      <c r="M17238" s="49">
        <f>IF($A$4+172&gt;$B$4,"",$A$4+172)</f>
        <v>46195</v>
      </c>
      <c r="N17238" t="str">
        <f>IF(M17238="","",'Master Barang'!A32)</f>
        <v>PRL-031</v>
      </c>
      <c r="O17238" t="str">
        <f>IF(N17238="","",'Master Barang'!B32)</f>
        <v>tempat saus 20 ml</v>
      </c>
      <c r="P17238">
        <f>IF(OR(M17238="",N17238=""),"",SUMIFS('Barang Keluar'!$E:$E,'Barang Keluar'!$A:$A,M17238,'Barang Keluar'!$C:$C,N17238))</f>
        <v>0</v>
      </c>
    </row>
    <row r="17239" spans="13:16">
      <c r="M17239" s="49">
        <f>IF($A$4+172&gt;$B$4,"",$A$4+172)</f>
        <v>46195</v>
      </c>
      <c r="N17239" t="str">
        <f>IF(M17239="","",'Master Barang'!A33)</f>
        <v>PRL-032</v>
      </c>
      <c r="O17239" t="str">
        <f>IF(N17239="","",'Master Barang'!B33)</f>
        <v>plastik packaging ag box uk sedang</v>
      </c>
      <c r="P17239">
        <f>IF(OR(M17239="",N17239=""),"",SUMIFS('Barang Keluar'!$E:$E,'Barang Keluar'!$A:$A,M17239,'Barang Keluar'!$C:$C,N17239))</f>
        <v>0</v>
      </c>
    </row>
    <row r="17240" spans="13:16">
      <c r="M17240" s="49">
        <f>IF($A$4+172&gt;$B$4,"",$A$4+172)</f>
        <v>46195</v>
      </c>
      <c r="N17240" t="str">
        <f>IF(M17240="","",'Master Barang'!A34)</f>
        <v>PRL-033</v>
      </c>
      <c r="O17240">
        <f>IF(N17240="","",'Master Barang'!B34)</f>
        <v>0</v>
      </c>
      <c r="P17240">
        <f>IF(OR(M17240="",N17240=""),"",SUMIFS('Barang Keluar'!$E:$E,'Barang Keluar'!$A:$A,M17240,'Barang Keluar'!$C:$C,N17240))</f>
        <v>0</v>
      </c>
    </row>
    <row r="17241" spans="13:16">
      <c r="M17241" s="49">
        <f>IF($A$4+172&gt;$B$4,"",$A$4+172)</f>
        <v>46195</v>
      </c>
      <c r="N17241">
        <f>IF(M17241="","",'Master Barang'!A35)</f>
        <v>0</v>
      </c>
      <c r="O17241">
        <f>IF(N17241="","",'Master Barang'!B35)</f>
        <v>0</v>
      </c>
      <c r="P17241">
        <f>IF(OR(M17241="",N17241=""),"",SUMIFS('Barang Keluar'!$E:$E,'Barang Keluar'!$A:$A,M17241,'Barang Keluar'!$C:$C,N17241))</f>
        <v>0</v>
      </c>
    </row>
    <row r="17242" spans="13:16">
      <c r="M17242" s="49">
        <f>IF($A$4+172&gt;$B$4,"",$A$4+172)</f>
        <v>46195</v>
      </c>
      <c r="N17242">
        <f>IF(M17242="","",'Master Barang'!A36)</f>
        <v>0</v>
      </c>
      <c r="O17242">
        <f>IF(N17242="","",'Master Barang'!B36)</f>
        <v>0</v>
      </c>
      <c r="P17242">
        <f>IF(OR(M17242="",N17242=""),"",SUMIFS('Barang Keluar'!$E:$E,'Barang Keluar'!$A:$A,M17242,'Barang Keluar'!$C:$C,N17242))</f>
        <v>0</v>
      </c>
    </row>
    <row r="17243" spans="13:16">
      <c r="M17243" s="49">
        <f>IF($A$4+172&gt;$B$4,"",$A$4+172)</f>
        <v>46195</v>
      </c>
      <c r="N17243">
        <f>IF(M17243="","",'Master Barang'!A37)</f>
        <v>0</v>
      </c>
      <c r="O17243">
        <f>IF(N17243="","",'Master Barang'!B37)</f>
        <v>0</v>
      </c>
      <c r="P17243">
        <f>IF(OR(M17243="",N17243=""),"",SUMIFS('Barang Keluar'!$E:$E,'Barang Keluar'!$A:$A,M17243,'Barang Keluar'!$C:$C,N17243))</f>
        <v>0</v>
      </c>
    </row>
    <row r="17244" spans="13:16">
      <c r="M17244" s="49">
        <f>IF($A$4+172&gt;$B$4,"",$A$4+172)</f>
        <v>46195</v>
      </c>
      <c r="N17244">
        <f>IF(M17244="","",'Master Barang'!A38)</f>
        <v>0</v>
      </c>
      <c r="O17244">
        <f>IF(N17244="","",'Master Barang'!B38)</f>
        <v>0</v>
      </c>
      <c r="P17244">
        <f>IF(OR(M17244="",N17244=""),"",SUMIFS('Barang Keluar'!$E:$E,'Barang Keluar'!$A:$A,M17244,'Barang Keluar'!$C:$C,N17244))</f>
        <v>0</v>
      </c>
    </row>
    <row r="17245" spans="13:16">
      <c r="M17245" s="49">
        <f>IF($A$4+172&gt;$B$4,"",$A$4+172)</f>
        <v>46195</v>
      </c>
      <c r="N17245">
        <f>IF(M17245="","",'Master Barang'!A39)</f>
        <v>0</v>
      </c>
      <c r="O17245">
        <f>IF(N17245="","",'Master Barang'!B39)</f>
        <v>0</v>
      </c>
      <c r="P17245">
        <f>IF(OR(M17245="",N17245=""),"",SUMIFS('Barang Keluar'!$E:$E,'Barang Keluar'!$A:$A,M17245,'Barang Keluar'!$C:$C,N17245))</f>
        <v>0</v>
      </c>
    </row>
    <row r="17246" spans="13:16">
      <c r="M17246" s="49">
        <f>IF($A$4+172&gt;$B$4,"",$A$4+172)</f>
        <v>46195</v>
      </c>
      <c r="N17246">
        <f>IF(M17246="","",'Master Barang'!A40)</f>
        <v>0</v>
      </c>
      <c r="O17246">
        <f>IF(N17246="","",'Master Barang'!B40)</f>
        <v>0</v>
      </c>
      <c r="P17246">
        <f>IF(OR(M17246="",N17246=""),"",SUMIFS('Barang Keluar'!$E:$E,'Barang Keluar'!$A:$A,M17246,'Barang Keluar'!$C:$C,N17246))</f>
        <v>0</v>
      </c>
    </row>
    <row r="17247" spans="13:16">
      <c r="M17247" s="49">
        <f>IF($A$4+172&gt;$B$4,"",$A$4+172)</f>
        <v>46195</v>
      </c>
      <c r="N17247">
        <f>IF(M17247="","",'Master Barang'!A41)</f>
        <v>0</v>
      </c>
      <c r="O17247">
        <f>IF(N17247="","",'Master Barang'!B41)</f>
        <v>0</v>
      </c>
      <c r="P17247">
        <f>IF(OR(M17247="",N17247=""),"",SUMIFS('Barang Keluar'!$E:$E,'Barang Keluar'!$A:$A,M17247,'Barang Keluar'!$C:$C,N17247))</f>
        <v>0</v>
      </c>
    </row>
    <row r="17248" spans="13:16">
      <c r="M17248" s="49">
        <f>IF($A$4+172&gt;$B$4,"",$A$4+172)</f>
        <v>46195</v>
      </c>
      <c r="N17248">
        <f>IF(M17248="","",'Master Barang'!A42)</f>
        <v>0</v>
      </c>
      <c r="O17248">
        <f>IF(N17248="","",'Master Barang'!B42)</f>
        <v>0</v>
      </c>
      <c r="P17248">
        <f>IF(OR(M17248="",N17248=""),"",SUMIFS('Barang Keluar'!$E:$E,'Barang Keluar'!$A:$A,M17248,'Barang Keluar'!$C:$C,N17248))</f>
        <v>0</v>
      </c>
    </row>
    <row r="17249" spans="13:16">
      <c r="M17249" s="49">
        <f>IF($A$4+172&gt;$B$4,"",$A$4+172)</f>
        <v>46195</v>
      </c>
      <c r="N17249">
        <f>IF(M17249="","",'Master Barang'!A43)</f>
        <v>0</v>
      </c>
      <c r="O17249">
        <f>IF(N17249="","",'Master Barang'!B43)</f>
        <v>0</v>
      </c>
      <c r="P17249">
        <f>IF(OR(M17249="",N17249=""),"",SUMIFS('Barang Keluar'!$E:$E,'Barang Keluar'!$A:$A,M17249,'Barang Keluar'!$C:$C,N17249))</f>
        <v>0</v>
      </c>
    </row>
    <row r="17250" spans="13:16">
      <c r="M17250" s="49">
        <f>IF($A$4+172&gt;$B$4,"",$A$4+172)</f>
        <v>46195</v>
      </c>
      <c r="N17250">
        <f>IF(M17250="","",'Master Barang'!A44)</f>
        <v>0</v>
      </c>
      <c r="O17250">
        <f>IF(N17250="","",'Master Barang'!B44)</f>
        <v>0</v>
      </c>
      <c r="P17250">
        <f>IF(OR(M17250="",N17250=""),"",SUMIFS('Barang Keluar'!$E:$E,'Barang Keluar'!$A:$A,M17250,'Barang Keluar'!$C:$C,N17250))</f>
        <v>0</v>
      </c>
    </row>
    <row r="17251" spans="13:16">
      <c r="M17251" s="49">
        <f>IF($A$4+172&gt;$B$4,"",$A$4+172)</f>
        <v>46195</v>
      </c>
      <c r="N17251">
        <f>IF(M17251="","",'Master Barang'!A45)</f>
        <v>0</v>
      </c>
      <c r="O17251">
        <f>IF(N17251="","",'Master Barang'!B45)</f>
        <v>0</v>
      </c>
      <c r="P17251">
        <f>IF(OR(M17251="",N17251=""),"",SUMIFS('Barang Keluar'!$E:$E,'Barang Keluar'!$A:$A,M17251,'Barang Keluar'!$C:$C,N17251))</f>
        <v>0</v>
      </c>
    </row>
    <row r="17252" spans="13:16">
      <c r="M17252" s="49">
        <f>IF($A$4+172&gt;$B$4,"",$A$4+172)</f>
        <v>46195</v>
      </c>
      <c r="N17252">
        <f>IF(M17252="","",'Master Barang'!A46)</f>
        <v>0</v>
      </c>
      <c r="O17252">
        <f>IF(N17252="","",'Master Barang'!B46)</f>
        <v>0</v>
      </c>
      <c r="P17252">
        <f>IF(OR(M17252="",N17252=""),"",SUMIFS('Barang Keluar'!$E:$E,'Barang Keluar'!$A:$A,M17252,'Barang Keluar'!$C:$C,N17252))</f>
        <v>0</v>
      </c>
    </row>
    <row r="17253" spans="13:16">
      <c r="M17253" s="49">
        <f>IF($A$4+172&gt;$B$4,"",$A$4+172)</f>
        <v>46195</v>
      </c>
      <c r="N17253">
        <f>IF(M17253="","",'Master Barang'!A47)</f>
        <v>0</v>
      </c>
      <c r="O17253">
        <f>IF(N17253="","",'Master Barang'!B47)</f>
        <v>0</v>
      </c>
      <c r="P17253">
        <f>IF(OR(M17253="",N17253=""),"",SUMIFS('Barang Keluar'!$E:$E,'Barang Keluar'!$A:$A,M17253,'Barang Keluar'!$C:$C,N17253))</f>
        <v>0</v>
      </c>
    </row>
    <row r="17254" spans="13:16">
      <c r="M17254" s="49">
        <f>IF($A$4+172&gt;$B$4,"",$A$4+172)</f>
        <v>46195</v>
      </c>
      <c r="N17254">
        <f>IF(M17254="","",'Master Barang'!A48)</f>
        <v>0</v>
      </c>
      <c r="O17254">
        <f>IF(N17254="","",'Master Barang'!B48)</f>
        <v>0</v>
      </c>
      <c r="P17254">
        <f>IF(OR(M17254="",N17254=""),"",SUMIFS('Barang Keluar'!$E:$E,'Barang Keluar'!$A:$A,M17254,'Barang Keluar'!$C:$C,N17254))</f>
        <v>0</v>
      </c>
    </row>
    <row r="17255" spans="13:16">
      <c r="M17255" s="49">
        <f>IF($A$4+172&gt;$B$4,"",$A$4+172)</f>
        <v>46195</v>
      </c>
      <c r="N17255">
        <f>IF(M17255="","",'Master Barang'!A49)</f>
        <v>0</v>
      </c>
      <c r="O17255">
        <f>IF(N17255="","",'Master Barang'!B49)</f>
        <v>0</v>
      </c>
      <c r="P17255">
        <f>IF(OR(M17255="",N17255=""),"",SUMIFS('Barang Keluar'!$E:$E,'Barang Keluar'!$A:$A,M17255,'Barang Keluar'!$C:$C,N17255))</f>
        <v>0</v>
      </c>
    </row>
    <row r="17256" spans="13:16">
      <c r="M17256" s="49">
        <f>IF($A$4+172&gt;$B$4,"",$A$4+172)</f>
        <v>46195</v>
      </c>
      <c r="N17256">
        <f>IF(M17256="","",'Master Barang'!A50)</f>
        <v>0</v>
      </c>
      <c r="O17256">
        <f>IF(N17256="","",'Master Barang'!B50)</f>
        <v>0</v>
      </c>
      <c r="P17256">
        <f>IF(OR(M17256="",N17256=""),"",SUMIFS('Barang Keluar'!$E:$E,'Barang Keluar'!$A:$A,M17256,'Barang Keluar'!$C:$C,N17256))</f>
        <v>0</v>
      </c>
    </row>
    <row r="17257" spans="13:16">
      <c r="M17257" s="49">
        <f>IF($A$4+172&gt;$B$4,"",$A$4+172)</f>
        <v>46195</v>
      </c>
      <c r="N17257">
        <f>IF(M17257="","",'Master Barang'!A51)</f>
        <v>0</v>
      </c>
      <c r="O17257">
        <f>IF(N17257="","",'Master Barang'!B51)</f>
        <v>0</v>
      </c>
      <c r="P17257">
        <f>IF(OR(M17257="",N17257=""),"",SUMIFS('Barang Keluar'!$E:$E,'Barang Keluar'!$A:$A,M17257,'Barang Keluar'!$C:$C,N17257))</f>
        <v>0</v>
      </c>
    </row>
    <row r="17258" spans="13:16">
      <c r="M17258" s="49">
        <f>IF($A$4+172&gt;$B$4,"",$A$4+172)</f>
        <v>46195</v>
      </c>
      <c r="N17258">
        <f>IF(M17258="","",'Master Barang'!A52)</f>
        <v>0</v>
      </c>
      <c r="O17258">
        <f>IF(N17258="","",'Master Barang'!B52)</f>
        <v>0</v>
      </c>
      <c r="P17258">
        <f>IF(OR(M17258="",N17258=""),"",SUMIFS('Barang Keluar'!$E:$E,'Barang Keluar'!$A:$A,M17258,'Barang Keluar'!$C:$C,N17258))</f>
        <v>0</v>
      </c>
    </row>
    <row r="17259" spans="13:16">
      <c r="M17259" s="49">
        <f>IF($A$4+172&gt;$B$4,"",$A$4+172)</f>
        <v>46195</v>
      </c>
      <c r="N17259">
        <f>IF(M17259="","",'Master Barang'!A53)</f>
        <v>0</v>
      </c>
      <c r="O17259">
        <f>IF(N17259="","",'Master Barang'!B53)</f>
        <v>0</v>
      </c>
      <c r="P17259">
        <f>IF(OR(M17259="",N17259=""),"",SUMIFS('Barang Keluar'!$E:$E,'Barang Keluar'!$A:$A,M17259,'Barang Keluar'!$C:$C,N17259))</f>
        <v>0</v>
      </c>
    </row>
    <row r="17260" spans="13:16">
      <c r="M17260" s="49">
        <f>IF($A$4+172&gt;$B$4,"",$A$4+172)</f>
        <v>46195</v>
      </c>
      <c r="N17260">
        <f>IF(M17260="","",'Master Barang'!A54)</f>
        <v>0</v>
      </c>
      <c r="O17260">
        <f>IF(N17260="","",'Master Barang'!B54)</f>
        <v>0</v>
      </c>
      <c r="P17260">
        <f>IF(OR(M17260="",N17260=""),"",SUMIFS('Barang Keluar'!$E:$E,'Barang Keluar'!$A:$A,M17260,'Barang Keluar'!$C:$C,N17260))</f>
        <v>0</v>
      </c>
    </row>
    <row r="17261" spans="13:16">
      <c r="M17261" s="49">
        <f>IF($A$4+172&gt;$B$4,"",$A$4+172)</f>
        <v>46195</v>
      </c>
      <c r="N17261">
        <f>IF(M17261="","",'Master Barang'!A55)</f>
        <v>0</v>
      </c>
      <c r="O17261">
        <f>IF(N17261="","",'Master Barang'!B55)</f>
        <v>0</v>
      </c>
      <c r="P17261">
        <f>IF(OR(M17261="",N17261=""),"",SUMIFS('Barang Keluar'!$E:$E,'Barang Keluar'!$A:$A,M17261,'Barang Keluar'!$C:$C,N17261))</f>
        <v>0</v>
      </c>
    </row>
    <row r="17262" spans="13:16">
      <c r="M17262" s="49">
        <f>IF($A$4+172&gt;$B$4,"",$A$4+172)</f>
        <v>46195</v>
      </c>
      <c r="N17262">
        <f>IF(M17262="","",'Master Barang'!A56)</f>
        <v>0</v>
      </c>
      <c r="O17262">
        <f>IF(N17262="","",'Master Barang'!B56)</f>
        <v>0</v>
      </c>
      <c r="P17262">
        <f>IF(OR(M17262="",N17262=""),"",SUMIFS('Barang Keluar'!$E:$E,'Barang Keluar'!$A:$A,M17262,'Barang Keluar'!$C:$C,N17262))</f>
        <v>0</v>
      </c>
    </row>
    <row r="17263" spans="13:16">
      <c r="M17263" s="49">
        <f>IF($A$4+172&gt;$B$4,"",$A$4+172)</f>
        <v>46195</v>
      </c>
      <c r="N17263">
        <f>IF(M17263="","",'Master Barang'!A57)</f>
        <v>0</v>
      </c>
      <c r="O17263">
        <f>IF(N17263="","",'Master Barang'!B57)</f>
        <v>0</v>
      </c>
      <c r="P17263">
        <f>IF(OR(M17263="",N17263=""),"",SUMIFS('Barang Keluar'!$E:$E,'Barang Keluar'!$A:$A,M17263,'Barang Keluar'!$C:$C,N17263))</f>
        <v>0</v>
      </c>
    </row>
    <row r="17264" spans="13:16">
      <c r="M17264" s="49">
        <f>IF($A$4+172&gt;$B$4,"",$A$4+172)</f>
        <v>46195</v>
      </c>
      <c r="N17264">
        <f>IF(M17264="","",'Master Barang'!A58)</f>
        <v>0</v>
      </c>
      <c r="O17264">
        <f>IF(N17264="","",'Master Barang'!B58)</f>
        <v>0</v>
      </c>
      <c r="P17264">
        <f>IF(OR(M17264="",N17264=""),"",SUMIFS('Barang Keluar'!$E:$E,'Barang Keluar'!$A:$A,M17264,'Barang Keluar'!$C:$C,N17264))</f>
        <v>0</v>
      </c>
    </row>
    <row r="17265" spans="13:16">
      <c r="M17265" s="49">
        <f>IF($A$4+172&gt;$B$4,"",$A$4+172)</f>
        <v>46195</v>
      </c>
      <c r="N17265">
        <f>IF(M17265="","",'Master Barang'!A59)</f>
        <v>0</v>
      </c>
      <c r="O17265">
        <f>IF(N17265="","",'Master Barang'!B59)</f>
        <v>0</v>
      </c>
      <c r="P17265">
        <f>IF(OR(M17265="",N17265=""),"",SUMIFS('Barang Keluar'!$E:$E,'Barang Keluar'!$A:$A,M17265,'Barang Keluar'!$C:$C,N17265))</f>
        <v>0</v>
      </c>
    </row>
    <row r="17266" spans="13:16">
      <c r="M17266" s="49">
        <f>IF($A$4+172&gt;$B$4,"",$A$4+172)</f>
        <v>46195</v>
      </c>
      <c r="N17266">
        <f>IF(M17266="","",'Master Barang'!A60)</f>
        <v>0</v>
      </c>
      <c r="O17266">
        <f>IF(N17266="","",'Master Barang'!B60)</f>
        <v>0</v>
      </c>
      <c r="P17266">
        <f>IF(OR(M17266="",N17266=""),"",SUMIFS('Barang Keluar'!$E:$E,'Barang Keluar'!$A:$A,M17266,'Barang Keluar'!$C:$C,N17266))</f>
        <v>0</v>
      </c>
    </row>
    <row r="17267" spans="13:16">
      <c r="M17267" s="49">
        <f>IF($A$4+172&gt;$B$4,"",$A$4+172)</f>
        <v>46195</v>
      </c>
      <c r="N17267">
        <f>IF(M17267="","",'Master Barang'!A61)</f>
        <v>0</v>
      </c>
      <c r="O17267">
        <f>IF(N17267="","",'Master Barang'!B61)</f>
        <v>0</v>
      </c>
      <c r="P17267">
        <f>IF(OR(M17267="",N17267=""),"",SUMIFS('Barang Keluar'!$E:$E,'Barang Keluar'!$A:$A,M17267,'Barang Keluar'!$C:$C,N17267))</f>
        <v>0</v>
      </c>
    </row>
    <row r="17268" spans="13:16">
      <c r="M17268" s="49">
        <f>IF($A$4+172&gt;$B$4,"",$A$4+172)</f>
        <v>46195</v>
      </c>
      <c r="N17268">
        <f>IF(M17268="","",'Master Barang'!A62)</f>
        <v>0</v>
      </c>
      <c r="O17268">
        <f>IF(N17268="","",'Master Barang'!B62)</f>
        <v>0</v>
      </c>
      <c r="P17268">
        <f>IF(OR(M17268="",N17268=""),"",SUMIFS('Barang Keluar'!$E:$E,'Barang Keluar'!$A:$A,M17268,'Barang Keluar'!$C:$C,N17268))</f>
        <v>0</v>
      </c>
    </row>
    <row r="17269" spans="13:16">
      <c r="M17269" s="49">
        <f>IF($A$4+172&gt;$B$4,"",$A$4+172)</f>
        <v>46195</v>
      </c>
      <c r="N17269">
        <f>IF(M17269="","",'Master Barang'!A63)</f>
        <v>0</v>
      </c>
      <c r="O17269">
        <f>IF(N17269="","",'Master Barang'!B63)</f>
        <v>0</v>
      </c>
      <c r="P17269">
        <f>IF(OR(M17269="",N17269=""),"",SUMIFS('Barang Keluar'!$E:$E,'Barang Keluar'!$A:$A,M17269,'Barang Keluar'!$C:$C,N17269))</f>
        <v>0</v>
      </c>
    </row>
    <row r="17270" spans="13:16">
      <c r="M17270" s="49">
        <f>IF($A$4+172&gt;$B$4,"",$A$4+172)</f>
        <v>46195</v>
      </c>
      <c r="N17270">
        <f>IF(M17270="","",'Master Barang'!A64)</f>
        <v>0</v>
      </c>
      <c r="O17270">
        <f>IF(N17270="","",'Master Barang'!B64)</f>
        <v>0</v>
      </c>
      <c r="P17270">
        <f>IF(OR(M17270="",N17270=""),"",SUMIFS('Barang Keluar'!$E:$E,'Barang Keluar'!$A:$A,M17270,'Barang Keluar'!$C:$C,N17270))</f>
        <v>0</v>
      </c>
    </row>
    <row r="17271" spans="13:16">
      <c r="M17271" s="49">
        <f>IF($A$4+172&gt;$B$4,"",$A$4+172)</f>
        <v>46195</v>
      </c>
      <c r="N17271">
        <f>IF(M17271="","",'Master Barang'!A65)</f>
        <v>0</v>
      </c>
      <c r="O17271">
        <f>IF(N17271="","",'Master Barang'!B65)</f>
        <v>0</v>
      </c>
      <c r="P17271">
        <f>IF(OR(M17271="",N17271=""),"",SUMIFS('Barang Keluar'!$E:$E,'Barang Keluar'!$A:$A,M17271,'Barang Keluar'!$C:$C,N17271))</f>
        <v>0</v>
      </c>
    </row>
    <row r="17272" spans="13:16">
      <c r="M17272" s="49">
        <f>IF($A$4+172&gt;$B$4,"",$A$4+172)</f>
        <v>46195</v>
      </c>
      <c r="N17272">
        <f>IF(M17272="","",'Master Barang'!A66)</f>
        <v>0</v>
      </c>
      <c r="O17272">
        <f>IF(N17272="","",'Master Barang'!B66)</f>
        <v>0</v>
      </c>
      <c r="P17272">
        <f>IF(OR(M17272="",N17272=""),"",SUMIFS('Barang Keluar'!$E:$E,'Barang Keluar'!$A:$A,M17272,'Barang Keluar'!$C:$C,N17272))</f>
        <v>0</v>
      </c>
    </row>
    <row r="17273" spans="13:16">
      <c r="M17273" s="49">
        <f>IF($A$4+172&gt;$B$4,"",$A$4+172)</f>
        <v>46195</v>
      </c>
      <c r="N17273">
        <f>IF(M17273="","",'Master Barang'!A67)</f>
        <v>0</v>
      </c>
      <c r="O17273">
        <f>IF(N17273="","",'Master Barang'!B67)</f>
        <v>0</v>
      </c>
      <c r="P17273">
        <f>IF(OR(M17273="",N17273=""),"",SUMIFS('Barang Keluar'!$E:$E,'Barang Keluar'!$A:$A,M17273,'Barang Keluar'!$C:$C,N17273))</f>
        <v>0</v>
      </c>
    </row>
    <row r="17274" spans="13:16">
      <c r="M17274" s="49">
        <f>IF($A$4+172&gt;$B$4,"",$A$4+172)</f>
        <v>46195</v>
      </c>
      <c r="N17274">
        <f>IF(M17274="","",'Master Barang'!A68)</f>
        <v>0</v>
      </c>
      <c r="O17274">
        <f>IF(N17274="","",'Master Barang'!B68)</f>
        <v>0</v>
      </c>
      <c r="P17274">
        <f>IF(OR(M17274="",N17274=""),"",SUMIFS('Barang Keluar'!$E:$E,'Barang Keluar'!$A:$A,M17274,'Barang Keluar'!$C:$C,N17274))</f>
        <v>0</v>
      </c>
    </row>
    <row r="17275" spans="13:16">
      <c r="M17275" s="49">
        <f>IF($A$4+172&gt;$B$4,"",$A$4+172)</f>
        <v>46195</v>
      </c>
      <c r="N17275">
        <f>IF(M17275="","",'Master Barang'!A69)</f>
        <v>0</v>
      </c>
      <c r="O17275">
        <f>IF(N17275="","",'Master Barang'!B69)</f>
        <v>0</v>
      </c>
      <c r="P17275">
        <f>IF(OR(M17275="",N17275=""),"",SUMIFS('Barang Keluar'!$E:$E,'Barang Keluar'!$A:$A,M17275,'Barang Keluar'!$C:$C,N17275))</f>
        <v>0</v>
      </c>
    </row>
    <row r="17276" spans="13:16">
      <c r="M17276" s="49">
        <f>IF($A$4+172&gt;$B$4,"",$A$4+172)</f>
        <v>46195</v>
      </c>
      <c r="N17276">
        <f>IF(M17276="","",'Master Barang'!A70)</f>
        <v>0</v>
      </c>
      <c r="O17276">
        <f>IF(N17276="","",'Master Barang'!B70)</f>
        <v>0</v>
      </c>
      <c r="P17276">
        <f>IF(OR(M17276="",N17276=""),"",SUMIFS('Barang Keluar'!$E:$E,'Barang Keluar'!$A:$A,M17276,'Barang Keluar'!$C:$C,N17276))</f>
        <v>0</v>
      </c>
    </row>
    <row r="17277" spans="13:16">
      <c r="M17277" s="49">
        <f>IF($A$4+172&gt;$B$4,"",$A$4+172)</f>
        <v>46195</v>
      </c>
      <c r="N17277">
        <f>IF(M17277="","",'Master Barang'!A71)</f>
        <v>0</v>
      </c>
      <c r="O17277">
        <f>IF(N17277="","",'Master Barang'!B71)</f>
        <v>0</v>
      </c>
      <c r="P17277">
        <f>IF(OR(M17277="",N17277=""),"",SUMIFS('Barang Keluar'!$E:$E,'Barang Keluar'!$A:$A,M17277,'Barang Keluar'!$C:$C,N17277))</f>
        <v>0</v>
      </c>
    </row>
    <row r="17278" spans="13:16">
      <c r="M17278" s="49">
        <f>IF($A$4+172&gt;$B$4,"",$A$4+172)</f>
        <v>46195</v>
      </c>
      <c r="N17278">
        <f>IF(M17278="","",'Master Barang'!A72)</f>
        <v>0</v>
      </c>
      <c r="O17278">
        <f>IF(N17278="","",'Master Barang'!B72)</f>
        <v>0</v>
      </c>
      <c r="P17278">
        <f>IF(OR(M17278="",N17278=""),"",SUMIFS('Barang Keluar'!$E:$E,'Barang Keluar'!$A:$A,M17278,'Barang Keluar'!$C:$C,N17278))</f>
        <v>0</v>
      </c>
    </row>
    <row r="17279" spans="13:16">
      <c r="M17279" s="49">
        <f>IF($A$4+172&gt;$B$4,"",$A$4+172)</f>
        <v>46195</v>
      </c>
      <c r="N17279">
        <f>IF(M17279="","",'Master Barang'!A73)</f>
        <v>0</v>
      </c>
      <c r="O17279">
        <f>IF(N17279="","",'Master Barang'!B73)</f>
        <v>0</v>
      </c>
      <c r="P17279">
        <f>IF(OR(M17279="",N17279=""),"",SUMIFS('Barang Keluar'!$E:$E,'Barang Keluar'!$A:$A,M17279,'Barang Keluar'!$C:$C,N17279))</f>
        <v>0</v>
      </c>
    </row>
    <row r="17280" spans="13:16">
      <c r="M17280" s="49">
        <f>IF($A$4+172&gt;$B$4,"",$A$4+172)</f>
        <v>46195</v>
      </c>
      <c r="N17280">
        <f>IF(M17280="","",'Master Barang'!A74)</f>
        <v>0</v>
      </c>
      <c r="O17280">
        <f>IF(N17280="","",'Master Barang'!B74)</f>
        <v>0</v>
      </c>
      <c r="P17280">
        <f>IF(OR(M17280="",N17280=""),"",SUMIFS('Barang Keluar'!$E:$E,'Barang Keluar'!$A:$A,M17280,'Barang Keluar'!$C:$C,N17280))</f>
        <v>0</v>
      </c>
    </row>
    <row r="17281" spans="13:16">
      <c r="M17281" s="49">
        <f>IF($A$4+172&gt;$B$4,"",$A$4+172)</f>
        <v>46195</v>
      </c>
      <c r="N17281">
        <f>IF(M17281="","",'Master Barang'!A75)</f>
        <v>0</v>
      </c>
      <c r="O17281">
        <f>IF(N17281="","",'Master Barang'!B75)</f>
        <v>0</v>
      </c>
      <c r="P17281">
        <f>IF(OR(M17281="",N17281=""),"",SUMIFS('Barang Keluar'!$E:$E,'Barang Keluar'!$A:$A,M17281,'Barang Keluar'!$C:$C,N17281))</f>
        <v>0</v>
      </c>
    </row>
    <row r="17282" spans="13:16">
      <c r="M17282" s="49">
        <f>IF($A$4+172&gt;$B$4,"",$A$4+172)</f>
        <v>46195</v>
      </c>
      <c r="N17282">
        <f>IF(M17282="","",'Master Barang'!A76)</f>
        <v>0</v>
      </c>
      <c r="O17282">
        <f>IF(N17282="","",'Master Barang'!B76)</f>
        <v>0</v>
      </c>
      <c r="P17282">
        <f>IF(OR(M17282="",N17282=""),"",SUMIFS('Barang Keluar'!$E:$E,'Barang Keluar'!$A:$A,M17282,'Barang Keluar'!$C:$C,N17282))</f>
        <v>0</v>
      </c>
    </row>
    <row r="17283" spans="13:16">
      <c r="M17283" s="49">
        <f>IF($A$4+172&gt;$B$4,"",$A$4+172)</f>
        <v>46195</v>
      </c>
      <c r="N17283">
        <f>IF(M17283="","",'Master Barang'!A77)</f>
        <v>0</v>
      </c>
      <c r="O17283">
        <f>IF(N17283="","",'Master Barang'!B77)</f>
        <v>0</v>
      </c>
      <c r="P17283">
        <f>IF(OR(M17283="",N17283=""),"",SUMIFS('Barang Keluar'!$E:$E,'Barang Keluar'!$A:$A,M17283,'Barang Keluar'!$C:$C,N17283))</f>
        <v>0</v>
      </c>
    </row>
    <row r="17284" spans="13:16">
      <c r="M17284" s="49">
        <f>IF($A$4+172&gt;$B$4,"",$A$4+172)</f>
        <v>46195</v>
      </c>
      <c r="N17284">
        <f>IF(M17284="","",'Master Barang'!A78)</f>
        <v>0</v>
      </c>
      <c r="O17284">
        <f>IF(N17284="","",'Master Barang'!B78)</f>
        <v>0</v>
      </c>
      <c r="P17284">
        <f>IF(OR(M17284="",N17284=""),"",SUMIFS('Barang Keluar'!$E:$E,'Barang Keluar'!$A:$A,M17284,'Barang Keluar'!$C:$C,N17284))</f>
        <v>0</v>
      </c>
    </row>
    <row r="17285" spans="13:16">
      <c r="M17285" s="49">
        <f>IF($A$4+172&gt;$B$4,"",$A$4+172)</f>
        <v>46195</v>
      </c>
      <c r="N17285">
        <f>IF(M17285="","",'Master Barang'!A79)</f>
        <v>0</v>
      </c>
      <c r="O17285">
        <f>IF(N17285="","",'Master Barang'!B79)</f>
        <v>0</v>
      </c>
      <c r="P17285">
        <f>IF(OR(M17285="",N17285=""),"",SUMIFS('Barang Keluar'!$E:$E,'Barang Keluar'!$A:$A,M17285,'Barang Keluar'!$C:$C,N17285))</f>
        <v>0</v>
      </c>
    </row>
    <row r="17286" spans="13:16">
      <c r="M17286" s="49">
        <f>IF($A$4+172&gt;$B$4,"",$A$4+172)</f>
        <v>46195</v>
      </c>
      <c r="N17286">
        <f>IF(M17286="","",'Master Barang'!A80)</f>
        <v>0</v>
      </c>
      <c r="O17286">
        <f>IF(N17286="","",'Master Barang'!B80)</f>
        <v>0</v>
      </c>
      <c r="P17286">
        <f>IF(OR(M17286="",N17286=""),"",SUMIFS('Barang Keluar'!$E:$E,'Barang Keluar'!$A:$A,M17286,'Barang Keluar'!$C:$C,N17286))</f>
        <v>0</v>
      </c>
    </row>
    <row r="17287" spans="13:16">
      <c r="M17287" s="49">
        <f>IF($A$4+172&gt;$B$4,"",$A$4+172)</f>
        <v>46195</v>
      </c>
      <c r="N17287">
        <f>IF(M17287="","",'Master Barang'!A81)</f>
        <v>0</v>
      </c>
      <c r="O17287">
        <f>IF(N17287="","",'Master Barang'!B81)</f>
        <v>0</v>
      </c>
      <c r="P17287">
        <f>IF(OR(M17287="",N17287=""),"",SUMIFS('Barang Keluar'!$E:$E,'Barang Keluar'!$A:$A,M17287,'Barang Keluar'!$C:$C,N17287))</f>
        <v>0</v>
      </c>
    </row>
    <row r="17288" spans="13:16">
      <c r="M17288" s="49">
        <f>IF($A$4+172&gt;$B$4,"",$A$4+172)</f>
        <v>46195</v>
      </c>
      <c r="N17288">
        <f>IF(M17288="","",'Master Barang'!A82)</f>
        <v>0</v>
      </c>
      <c r="O17288">
        <f>IF(N17288="","",'Master Barang'!B82)</f>
        <v>0</v>
      </c>
      <c r="P17288">
        <f>IF(OR(M17288="",N17288=""),"",SUMIFS('Barang Keluar'!$E:$E,'Barang Keluar'!$A:$A,M17288,'Barang Keluar'!$C:$C,N17288))</f>
        <v>0</v>
      </c>
    </row>
    <row r="17289" spans="13:16">
      <c r="M17289" s="49">
        <f>IF($A$4+172&gt;$B$4,"",$A$4+172)</f>
        <v>46195</v>
      </c>
      <c r="N17289">
        <f>IF(M17289="","",'Master Barang'!A83)</f>
        <v>0</v>
      </c>
      <c r="O17289">
        <f>IF(N17289="","",'Master Barang'!B83)</f>
        <v>0</v>
      </c>
      <c r="P17289">
        <f>IF(OR(M17289="",N17289=""),"",SUMIFS('Barang Keluar'!$E:$E,'Barang Keluar'!$A:$A,M17289,'Barang Keluar'!$C:$C,N17289))</f>
        <v>0</v>
      </c>
    </row>
    <row r="17290" spans="13:16">
      <c r="M17290" s="49">
        <f>IF($A$4+172&gt;$B$4,"",$A$4+172)</f>
        <v>46195</v>
      </c>
      <c r="N17290">
        <f>IF(M17290="","",'Master Barang'!A84)</f>
        <v>0</v>
      </c>
      <c r="O17290">
        <f>IF(N17290="","",'Master Barang'!B84)</f>
        <v>0</v>
      </c>
      <c r="P17290">
        <f>IF(OR(M17290="",N17290=""),"",SUMIFS('Barang Keluar'!$E:$E,'Barang Keluar'!$A:$A,M17290,'Barang Keluar'!$C:$C,N17290))</f>
        <v>0</v>
      </c>
    </row>
    <row r="17291" spans="13:16">
      <c r="M17291" s="49">
        <f>IF($A$4+172&gt;$B$4,"",$A$4+172)</f>
        <v>46195</v>
      </c>
      <c r="N17291">
        <f>IF(M17291="","",'Master Barang'!A85)</f>
        <v>0</v>
      </c>
      <c r="O17291">
        <f>IF(N17291="","",'Master Barang'!B85)</f>
        <v>0</v>
      </c>
      <c r="P17291">
        <f>IF(OR(M17291="",N17291=""),"",SUMIFS('Barang Keluar'!$E:$E,'Barang Keluar'!$A:$A,M17291,'Barang Keluar'!$C:$C,N17291))</f>
        <v>0</v>
      </c>
    </row>
    <row r="17292" spans="13:16">
      <c r="M17292" s="49">
        <f>IF($A$4+172&gt;$B$4,"",$A$4+172)</f>
        <v>46195</v>
      </c>
      <c r="N17292">
        <f>IF(M17292="","",'Master Barang'!A86)</f>
        <v>0</v>
      </c>
      <c r="O17292">
        <f>IF(N17292="","",'Master Barang'!B86)</f>
        <v>0</v>
      </c>
      <c r="P17292">
        <f>IF(OR(M17292="",N17292=""),"",SUMIFS('Barang Keluar'!$E:$E,'Barang Keluar'!$A:$A,M17292,'Barang Keluar'!$C:$C,N17292))</f>
        <v>0</v>
      </c>
    </row>
    <row r="17293" spans="13:16">
      <c r="M17293" s="49">
        <f>IF($A$4+172&gt;$B$4,"",$A$4+172)</f>
        <v>46195</v>
      </c>
      <c r="N17293">
        <f>IF(M17293="","",'Master Barang'!A87)</f>
        <v>0</v>
      </c>
      <c r="O17293">
        <f>IF(N17293="","",'Master Barang'!B87)</f>
        <v>0</v>
      </c>
      <c r="P17293">
        <f>IF(OR(M17293="",N17293=""),"",SUMIFS('Barang Keluar'!$E:$E,'Barang Keluar'!$A:$A,M17293,'Barang Keluar'!$C:$C,N17293))</f>
        <v>0</v>
      </c>
    </row>
    <row r="17294" spans="13:16">
      <c r="M17294" s="49">
        <f>IF($A$4+172&gt;$B$4,"",$A$4+172)</f>
        <v>46195</v>
      </c>
      <c r="N17294">
        <f>IF(M17294="","",'Master Barang'!A88)</f>
        <v>0</v>
      </c>
      <c r="O17294">
        <f>IF(N17294="","",'Master Barang'!B88)</f>
        <v>0</v>
      </c>
      <c r="P17294">
        <f>IF(OR(M17294="",N17294=""),"",SUMIFS('Barang Keluar'!$E:$E,'Barang Keluar'!$A:$A,M17294,'Barang Keluar'!$C:$C,N17294))</f>
        <v>0</v>
      </c>
    </row>
    <row r="17295" spans="13:16">
      <c r="M17295" s="49">
        <f>IF($A$4+172&gt;$B$4,"",$A$4+172)</f>
        <v>46195</v>
      </c>
      <c r="N17295">
        <f>IF(M17295="","",'Master Barang'!A89)</f>
        <v>0</v>
      </c>
      <c r="O17295">
        <f>IF(N17295="","",'Master Barang'!B89)</f>
        <v>0</v>
      </c>
      <c r="P17295">
        <f>IF(OR(M17295="",N17295=""),"",SUMIFS('Barang Keluar'!$E:$E,'Barang Keluar'!$A:$A,M17295,'Barang Keluar'!$C:$C,N17295))</f>
        <v>0</v>
      </c>
    </row>
    <row r="17296" spans="13:16">
      <c r="M17296" s="49">
        <f>IF($A$4+172&gt;$B$4,"",$A$4+172)</f>
        <v>46195</v>
      </c>
      <c r="N17296">
        <f>IF(M17296="","",'Master Barang'!A90)</f>
        <v>0</v>
      </c>
      <c r="O17296">
        <f>IF(N17296="","",'Master Barang'!B90)</f>
        <v>0</v>
      </c>
      <c r="P17296">
        <f>IF(OR(M17296="",N17296=""),"",SUMIFS('Barang Keluar'!$E:$E,'Barang Keluar'!$A:$A,M17296,'Barang Keluar'!$C:$C,N17296))</f>
        <v>0</v>
      </c>
    </row>
    <row r="17297" spans="13:16">
      <c r="M17297" s="49">
        <f>IF($A$4+172&gt;$B$4,"",$A$4+172)</f>
        <v>46195</v>
      </c>
      <c r="N17297">
        <f>IF(M17297="","",'Master Barang'!A91)</f>
        <v>0</v>
      </c>
      <c r="O17297">
        <f>IF(N17297="","",'Master Barang'!B91)</f>
        <v>0</v>
      </c>
      <c r="P17297">
        <f>IF(OR(M17297="",N17297=""),"",SUMIFS('Barang Keluar'!$E:$E,'Barang Keluar'!$A:$A,M17297,'Barang Keluar'!$C:$C,N17297))</f>
        <v>0</v>
      </c>
    </row>
    <row r="17298" spans="13:16">
      <c r="M17298" s="49">
        <f>IF($A$4+172&gt;$B$4,"",$A$4+172)</f>
        <v>46195</v>
      </c>
      <c r="N17298">
        <f>IF(M17298="","",'Master Barang'!A92)</f>
        <v>0</v>
      </c>
      <c r="O17298">
        <f>IF(N17298="","",'Master Barang'!B92)</f>
        <v>0</v>
      </c>
      <c r="P17298">
        <f>IF(OR(M17298="",N17298=""),"",SUMIFS('Barang Keluar'!$E:$E,'Barang Keluar'!$A:$A,M17298,'Barang Keluar'!$C:$C,N17298))</f>
        <v>0</v>
      </c>
    </row>
    <row r="17299" spans="13:16">
      <c r="M17299" s="49">
        <f>IF($A$4+172&gt;$B$4,"",$A$4+172)</f>
        <v>46195</v>
      </c>
      <c r="N17299">
        <f>IF(M17299="","",'Master Barang'!A93)</f>
        <v>0</v>
      </c>
      <c r="O17299">
        <f>IF(N17299="","",'Master Barang'!B93)</f>
        <v>0</v>
      </c>
      <c r="P17299">
        <f>IF(OR(M17299="",N17299=""),"",SUMIFS('Barang Keluar'!$E:$E,'Barang Keluar'!$A:$A,M17299,'Barang Keluar'!$C:$C,N17299))</f>
        <v>0</v>
      </c>
    </row>
    <row r="17300" spans="13:16">
      <c r="M17300" s="49">
        <f>IF($A$4+172&gt;$B$4,"",$A$4+172)</f>
        <v>46195</v>
      </c>
      <c r="N17300">
        <f>IF(M17300="","",'Master Barang'!A94)</f>
        <v>0</v>
      </c>
      <c r="O17300">
        <f>IF(N17300="","",'Master Barang'!B94)</f>
        <v>0</v>
      </c>
      <c r="P17300">
        <f>IF(OR(M17300="",N17300=""),"",SUMIFS('Barang Keluar'!$E:$E,'Barang Keluar'!$A:$A,M17300,'Barang Keluar'!$C:$C,N17300))</f>
        <v>0</v>
      </c>
    </row>
    <row r="17301" spans="13:16">
      <c r="M17301" s="49">
        <f>IF($A$4+172&gt;$B$4,"",$A$4+172)</f>
        <v>46195</v>
      </c>
      <c r="N17301">
        <f>IF(M17301="","",'Master Barang'!A95)</f>
        <v>0</v>
      </c>
      <c r="O17301">
        <f>IF(N17301="","",'Master Barang'!B95)</f>
        <v>0</v>
      </c>
      <c r="P17301">
        <f>IF(OR(M17301="",N17301=""),"",SUMIFS('Barang Keluar'!$E:$E,'Barang Keluar'!$A:$A,M17301,'Barang Keluar'!$C:$C,N17301))</f>
        <v>0</v>
      </c>
    </row>
    <row r="17302" spans="13:16">
      <c r="M17302" s="49">
        <f>IF($A$4+172&gt;$B$4,"",$A$4+172)</f>
        <v>46195</v>
      </c>
      <c r="N17302">
        <f>IF(M17302="","",'Master Barang'!A96)</f>
        <v>0</v>
      </c>
      <c r="O17302">
        <f>IF(N17302="","",'Master Barang'!B96)</f>
        <v>0</v>
      </c>
      <c r="P17302">
        <f>IF(OR(M17302="",N17302=""),"",SUMIFS('Barang Keluar'!$E:$E,'Barang Keluar'!$A:$A,M17302,'Barang Keluar'!$C:$C,N17302))</f>
        <v>0</v>
      </c>
    </row>
    <row r="17303" spans="13:16">
      <c r="M17303" s="49">
        <f>IF($A$4+172&gt;$B$4,"",$A$4+172)</f>
        <v>46195</v>
      </c>
      <c r="N17303">
        <f>IF(M17303="","",'Master Barang'!A97)</f>
        <v>0</v>
      </c>
      <c r="O17303">
        <f>IF(N17303="","",'Master Barang'!B97)</f>
        <v>0</v>
      </c>
      <c r="P17303">
        <f>IF(OR(M17303="",N17303=""),"",SUMIFS('Barang Keluar'!$E:$E,'Barang Keluar'!$A:$A,M17303,'Barang Keluar'!$C:$C,N17303))</f>
        <v>0</v>
      </c>
    </row>
    <row r="17304" spans="13:16">
      <c r="M17304" s="49">
        <f>IF($A$4+172&gt;$B$4,"",$A$4+172)</f>
        <v>46195</v>
      </c>
      <c r="N17304">
        <f>IF(M17304="","",'Master Barang'!A98)</f>
        <v>0</v>
      </c>
      <c r="O17304">
        <f>IF(N17304="","",'Master Barang'!B98)</f>
        <v>0</v>
      </c>
      <c r="P17304">
        <f>IF(OR(M17304="",N17304=""),"",SUMIFS('Barang Keluar'!$E:$E,'Barang Keluar'!$A:$A,M17304,'Barang Keluar'!$C:$C,N17304))</f>
        <v>0</v>
      </c>
    </row>
    <row r="17305" spans="13:16">
      <c r="M17305" s="49">
        <f>IF($A$4+172&gt;$B$4,"",$A$4+172)</f>
        <v>46195</v>
      </c>
      <c r="N17305">
        <f>IF(M17305="","",'Master Barang'!A99)</f>
        <v>0</v>
      </c>
      <c r="O17305">
        <f>IF(N17305="","",'Master Barang'!B99)</f>
        <v>0</v>
      </c>
      <c r="P17305">
        <f>IF(OR(M17305="",N17305=""),"",SUMIFS('Barang Keluar'!$E:$E,'Barang Keluar'!$A:$A,M17305,'Barang Keluar'!$C:$C,N17305))</f>
        <v>0</v>
      </c>
    </row>
    <row r="17306" spans="13:16">
      <c r="M17306" s="49">
        <f>IF($A$4+172&gt;$B$4,"",$A$4+172)</f>
        <v>46195</v>
      </c>
      <c r="N17306">
        <f>IF(M17306="","",'Master Barang'!A100)</f>
        <v>0</v>
      </c>
      <c r="O17306">
        <f>IF(N17306="","",'Master Barang'!B100)</f>
        <v>0</v>
      </c>
      <c r="P17306">
        <f>IF(OR(M17306="",N17306=""),"",SUMIFS('Barang Keluar'!$E:$E,'Barang Keluar'!$A:$A,M17306,'Barang Keluar'!$C:$C,N17306))</f>
        <v>0</v>
      </c>
    </row>
    <row r="17307" spans="13:16">
      <c r="M17307" s="49">
        <f>IF($A$4+172&gt;$B$4,"",$A$4+172)</f>
        <v>46195</v>
      </c>
      <c r="N17307">
        <f>IF(M17307="","",'Master Barang'!A101)</f>
        <v>0</v>
      </c>
      <c r="O17307">
        <f>IF(N17307="","",'Master Barang'!B101)</f>
        <v>0</v>
      </c>
      <c r="P17307">
        <f>IF(OR(M17307="",N17307=""),"",SUMIFS('Barang Keluar'!$E:$E,'Barang Keluar'!$A:$A,M17307,'Barang Keluar'!$C:$C,N17307))</f>
        <v>0</v>
      </c>
    </row>
    <row r="17308" spans="13:16">
      <c r="M17308" s="49">
        <f>IF($A$4+173&gt;$B$4,"",$A$4+173)</f>
        <v>46196</v>
      </c>
      <c r="N17308" t="str">
        <f>IF(M17308="","",'Master Barang'!A2)</f>
        <v>PRL-001</v>
      </c>
      <c r="O17308" t="str">
        <f>IF(N17308="","",'Master Barang'!B2)</f>
        <v>natura desinfectant food grade 5l</v>
      </c>
      <c r="P17308">
        <f>IF(OR(M17308="",N17308=""),"",SUMIFS('Barang Keluar'!$E:$E,'Barang Keluar'!$A:$A,M17308,'Barang Keluar'!$C:$C,N17308))</f>
        <v>0</v>
      </c>
    </row>
    <row r="17309" spans="13:16">
      <c r="M17309" s="49">
        <f>IF($A$4+173&gt;$B$4,"",$A$4+173)</f>
        <v>46196</v>
      </c>
      <c r="N17309" t="str">
        <f>IF(M17309="","",'Master Barang'!A3)</f>
        <v>PRL-002</v>
      </c>
      <c r="O17309" t="str">
        <f>IF(N17309="","",'Master Barang'!B3)</f>
        <v>sunlight cairan pencuci piring 5l</v>
      </c>
      <c r="P17309">
        <f>IF(OR(M17309="",N17309=""),"",SUMIFS('Barang Keluar'!$E:$E,'Barang Keluar'!$A:$A,M17309,'Barang Keluar'!$C:$C,N17309))</f>
        <v>0</v>
      </c>
    </row>
    <row r="17310" spans="13:16">
      <c r="M17310" s="49">
        <f>IF($A$4+173&gt;$B$4,"",$A$4+173)</f>
        <v>46196</v>
      </c>
      <c r="N17310" t="str">
        <f>IF(M17310="","",'Master Barang'!A4)</f>
        <v>PRL-003</v>
      </c>
      <c r="O17310" t="str">
        <f>IF(N17310="","",'Master Barang'!B4)</f>
        <v>oixs cleaner 1l</v>
      </c>
      <c r="P17310">
        <f>IF(OR(M17310="",N17310=""),"",SUMIFS('Barang Keluar'!$E:$E,'Barang Keluar'!$A:$A,M17310,'Barang Keluar'!$C:$C,N17310))</f>
        <v>0</v>
      </c>
    </row>
    <row r="17311" spans="13:16">
      <c r="M17311" s="49">
        <f>IF($A$4+173&gt;$B$4,"",$A$4+173)</f>
        <v>46196</v>
      </c>
      <c r="N17311" t="str">
        <f>IF(M17311="","",'Master Barang'!A5)</f>
        <v>PRL-004</v>
      </c>
      <c r="O17311" t="str">
        <f>IF(N17311="","",'Master Barang'!B5)</f>
        <v>be clean tissue serbaguna</v>
      </c>
      <c r="P17311">
        <f>IF(OR(M17311="",N17311=""),"",SUMIFS('Barang Keluar'!$E:$E,'Barang Keluar'!$A:$A,M17311,'Barang Keluar'!$C:$C,N17311))</f>
        <v>0</v>
      </c>
    </row>
    <row r="17312" spans="13:16">
      <c r="M17312" s="49">
        <f>IF($A$4+173&gt;$B$4,"",$A$4+173)</f>
        <v>46196</v>
      </c>
      <c r="N17312" t="str">
        <f>IF(M17312="","",'Master Barang'!A6)</f>
        <v>PRL-005</v>
      </c>
      <c r="O17312" t="str">
        <f>IF(N17312="","",'Master Barang'!B6)</f>
        <v>spons cuci hijau</v>
      </c>
      <c r="P17312">
        <f>IF(OR(M17312="",N17312=""),"",SUMIFS('Barang Keluar'!$E:$E,'Barang Keluar'!$A:$A,M17312,'Barang Keluar'!$C:$C,N17312))</f>
        <v>0</v>
      </c>
    </row>
    <row r="17313" spans="13:16">
      <c r="M17313" s="49">
        <f>IF($A$4+173&gt;$B$4,"",$A$4+173)</f>
        <v>46196</v>
      </c>
      <c r="N17313" t="str">
        <f>IF(M17313="","",'Master Barang'!A7)</f>
        <v>PRL-006</v>
      </c>
      <c r="O17313" t="str">
        <f>IF(N17313="","",'Master Barang'!B7)</f>
        <v>sabut cuci stainless</v>
      </c>
      <c r="P17313">
        <f>IF(OR(M17313="",N17313=""),"",SUMIFS('Barang Keluar'!$E:$E,'Barang Keluar'!$A:$A,M17313,'Barang Keluar'!$C:$C,N17313))</f>
        <v>0</v>
      </c>
    </row>
    <row r="17314" spans="13:16">
      <c r="M17314" s="49">
        <f>IF($A$4+173&gt;$B$4,"",$A$4+173)</f>
        <v>46196</v>
      </c>
      <c r="N17314" t="str">
        <f>IF(M17314="","",'Master Barang'!A8)</f>
        <v>PRL-007</v>
      </c>
      <c r="O17314" t="str">
        <f>IF(N17314="","",'Master Barang'!B8)</f>
        <v>plastik kresek besar merah 50pc</v>
      </c>
      <c r="P17314">
        <f>IF(OR(M17314="",N17314=""),"",SUMIFS('Barang Keluar'!$E:$E,'Barang Keluar'!$A:$A,M17314,'Barang Keluar'!$C:$C,N17314))</f>
        <v>0</v>
      </c>
    </row>
    <row r="17315" spans="13:16">
      <c r="M17315" s="49">
        <f>IF($A$4+173&gt;$B$4,"",$A$4+173)</f>
        <v>46196</v>
      </c>
      <c r="N17315" t="str">
        <f>IF(M17315="","",'Master Barang'!A9)</f>
        <v>PRL-008</v>
      </c>
      <c r="O17315" t="str">
        <f>IF(N17315="","",'Master Barang'!B9)</f>
        <v>lap besar</v>
      </c>
      <c r="P17315">
        <f>IF(OR(M17315="",N17315=""),"",SUMIFS('Barang Keluar'!$E:$E,'Barang Keluar'!$A:$A,M17315,'Barang Keluar'!$C:$C,N17315))</f>
        <v>0</v>
      </c>
    </row>
    <row r="17316" spans="13:16">
      <c r="M17316" s="49">
        <f>IF($A$4+173&gt;$B$4,"",$A$4+173)</f>
        <v>46196</v>
      </c>
      <c r="N17316" t="str">
        <f>IF(M17316="","",'Master Barang'!A10)</f>
        <v>PRL-009</v>
      </c>
      <c r="O17316" t="str">
        <f>IF(N17316="","",'Master Barang'!B10)</f>
        <v>lap microfiber</v>
      </c>
      <c r="P17316">
        <f>IF(OR(M17316="",N17316=""),"",SUMIFS('Barang Keluar'!$E:$E,'Barang Keluar'!$A:$A,M17316,'Barang Keluar'!$C:$C,N17316))</f>
        <v>0</v>
      </c>
    </row>
    <row r="17317" spans="13:16">
      <c r="M17317" s="49">
        <f>IF($A$4+173&gt;$B$4,"",$A$4+173)</f>
        <v>46196</v>
      </c>
      <c r="N17317" t="str">
        <f>IF(M17317="","",'Master Barang'!A11)</f>
        <v>PRL-010</v>
      </c>
      <c r="O17317" t="str">
        <f>IF(N17317="","",'Master Barang'!B11)</f>
        <v>lap kecil</v>
      </c>
      <c r="P17317">
        <f>IF(OR(M17317="",N17317=""),"",SUMIFS('Barang Keluar'!$E:$E,'Barang Keluar'!$A:$A,M17317,'Barang Keluar'!$C:$C,N17317))</f>
        <v>0</v>
      </c>
    </row>
    <row r="17318" spans="13:16">
      <c r="M17318" s="49">
        <f>IF($A$4+173&gt;$B$4,"",$A$4+173)</f>
        <v>46196</v>
      </c>
      <c r="N17318" t="str">
        <f>IF(M17318="","",'Master Barang'!A12)</f>
        <v>PRL-011</v>
      </c>
      <c r="O17318" t="str">
        <f>IF(N17318="","",'Master Barang'!B12)</f>
        <v>kanebo kecil</v>
      </c>
      <c r="P17318">
        <f>IF(OR(M17318="",N17318=""),"",SUMIFS('Barang Keluar'!$E:$E,'Barang Keluar'!$A:$A,M17318,'Barang Keluar'!$C:$C,N17318))</f>
        <v>0</v>
      </c>
    </row>
    <row r="17319" spans="13:16">
      <c r="M17319" s="49">
        <f>IF($A$4+173&gt;$B$4,"",$A$4+173)</f>
        <v>46196</v>
      </c>
      <c r="N17319" t="str">
        <f>IF(M17319="","",'Master Barang'!A13)</f>
        <v>PRL-012</v>
      </c>
      <c r="O17319" t="str">
        <f>IF(N17319="","",'Master Barang'!B13)</f>
        <v>plastik 1/4kg joyoboyo 100 lembar</v>
      </c>
      <c r="P17319">
        <f>IF(OR(M17319="",N17319=""),"",SUMIFS('Barang Keluar'!$E:$E,'Barang Keluar'!$A:$A,M17319,'Barang Keluar'!$C:$C,N17319))</f>
        <v>0</v>
      </c>
    </row>
    <row r="17320" spans="13:16">
      <c r="M17320" s="49">
        <f>IF($A$4+173&gt;$B$4,"",$A$4+173)</f>
        <v>46196</v>
      </c>
      <c r="N17320" t="str">
        <f>IF(M17320="","",'Master Barang'!A14)</f>
        <v>PRL-013</v>
      </c>
      <c r="O17320" t="str">
        <f>IF(N17320="","",'Master Barang'!B14)</f>
        <v>sarung tangan plastik kaka 100 pcs</v>
      </c>
      <c r="P17320">
        <f>IF(OR(M17320="",N17320=""),"",SUMIFS('Barang Keluar'!$E:$E,'Barang Keluar'!$A:$A,M17320,'Barang Keluar'!$C:$C,N17320))</f>
        <v>0</v>
      </c>
    </row>
    <row r="17321" spans="13:16">
      <c r="M17321" s="49">
        <f>IF($A$4+173&gt;$B$4,"",$A$4+173)</f>
        <v>46196</v>
      </c>
      <c r="N17321" t="str">
        <f>IF(M17321="","",'Master Barang'!A15)</f>
        <v>PRL-014</v>
      </c>
      <c r="O17321" t="str">
        <f>IF(N17321="","",'Master Barang'!B15)</f>
        <v>optima trashbag 80x100</v>
      </c>
      <c r="P17321">
        <f>IF(OR(M17321="",N17321=""),"",SUMIFS('Barang Keluar'!$E:$E,'Barang Keluar'!$A:$A,M17321,'Barang Keluar'!$C:$C,N17321))</f>
        <v>0</v>
      </c>
    </row>
    <row r="17322" spans="13:16">
      <c r="M17322" s="49">
        <f>IF($A$4+173&gt;$B$4,"",$A$4+173)</f>
        <v>46196</v>
      </c>
      <c r="N17322" t="str">
        <f>IF(M17322="","",'Master Barang'!A16)</f>
        <v>PRL-015</v>
      </c>
      <c r="O17322" t="str">
        <f>IF(N17322="","",'Master Barang'!B16)</f>
        <v>optima trashbag 60x100</v>
      </c>
      <c r="P17322">
        <f>IF(OR(M17322="",N17322=""),"",SUMIFS('Barang Keluar'!$E:$E,'Barang Keluar'!$A:$A,M17322,'Barang Keluar'!$C:$C,N17322))</f>
        <v>0</v>
      </c>
    </row>
    <row r="17323" spans="13:16">
      <c r="M17323" s="49">
        <f>IF($A$4+173&gt;$B$4,"",$A$4+173)</f>
        <v>46196</v>
      </c>
      <c r="N17323" t="str">
        <f>IF(M17323="","",'Master Barang'!A17)</f>
        <v>PRL-016</v>
      </c>
      <c r="O17323" t="str">
        <f>IF(N17323="","",'Master Barang'!B17)</f>
        <v>rajawali trashbag 30x40</v>
      </c>
      <c r="P17323">
        <f>IF(OR(M17323="",N17323=""),"",SUMIFS('Barang Keluar'!$E:$E,'Barang Keluar'!$A:$A,M17323,'Barang Keluar'!$C:$C,N17323))</f>
        <v>0</v>
      </c>
    </row>
    <row r="17324" spans="13:16">
      <c r="M17324" s="49">
        <f>IF($A$4+173&gt;$B$4,"",$A$4+173)</f>
        <v>46196</v>
      </c>
      <c r="N17324" t="str">
        <f>IF(M17324="","",'Master Barang'!A18)</f>
        <v>PRL-017</v>
      </c>
      <c r="O17324" t="str">
        <f>IF(N17324="","",'Master Barang'!B18)</f>
        <v>onemed masker biru 3 play 50 pcs</v>
      </c>
      <c r="P17324">
        <f>IF(OR(M17324="",N17324=""),"",SUMIFS('Barang Keluar'!$E:$E,'Barang Keluar'!$A:$A,M17324,'Barang Keluar'!$C:$C,N17324))</f>
        <v>0</v>
      </c>
    </row>
    <row r="17325" spans="13:16">
      <c r="M17325" s="49">
        <f>IF($A$4+173&gt;$B$4,"",$A$4+173)</f>
        <v>46196</v>
      </c>
      <c r="N17325" t="str">
        <f>IF(M17325="","",'Master Barang'!A19)</f>
        <v>PRL-018</v>
      </c>
      <c r="O17325" t="str">
        <f>IF(N17325="","",'Master Barang'!B19)</f>
        <v>onemed masker biru 3 play hijab 50 pcs</v>
      </c>
      <c r="P17325">
        <f>IF(OR(M17325="",N17325=""),"",SUMIFS('Barang Keluar'!$E:$E,'Barang Keluar'!$A:$A,M17325,'Barang Keluar'!$C:$C,N17325))</f>
        <v>0</v>
      </c>
    </row>
    <row r="17326" spans="13:16">
      <c r="M17326" s="49">
        <f>IF($A$4+173&gt;$B$4,"",$A$4+173)</f>
        <v>46196</v>
      </c>
      <c r="N17326" t="str">
        <f>IF(M17326="","",'Master Barang'!A20)</f>
        <v>PRL-019</v>
      </c>
      <c r="O17326" t="str">
        <f>IF(N17326="","",'Master Barang'!B20)</f>
        <v>neo health masker biru 3 play 50 pcs</v>
      </c>
      <c r="P17326">
        <f>IF(OR(M17326="",N17326=""),"",SUMIFS('Barang Keluar'!$E:$E,'Barang Keluar'!$A:$A,M17326,'Barang Keluar'!$C:$C,N17326))</f>
        <v>0</v>
      </c>
    </row>
    <row r="17327" spans="13:16">
      <c r="M17327" s="49">
        <f>IF($A$4+173&gt;$B$4,"",$A$4+173)</f>
        <v>46196</v>
      </c>
      <c r="N17327" t="str">
        <f>IF(M17327="","",'Master Barang'!A21)</f>
        <v>PRL-020</v>
      </c>
      <c r="O17327" t="str">
        <f>IF(N17327="","",'Master Barang'!B21)</f>
        <v>baymed masker hijau 3 play hijau 50 pcs</v>
      </c>
      <c r="P17327">
        <f>IF(OR(M17327="",N17327=""),"",SUMIFS('Barang Keluar'!$E:$E,'Barang Keluar'!$A:$A,M17327,'Barang Keluar'!$C:$C,N17327))</f>
        <v>0</v>
      </c>
    </row>
    <row r="17328" spans="13:16">
      <c r="M17328" s="49">
        <f>IF($A$4+173&gt;$B$4,"",$A$4+173)</f>
        <v>46196</v>
      </c>
      <c r="N17328" t="str">
        <f>IF(M17328="","",'Master Barang'!A22)</f>
        <v>PRL-021</v>
      </c>
      <c r="O17328" t="str">
        <f>IF(N17328="","",'Master Barang'!B22)</f>
        <v>altamed nurse cap penutup kepala 100 pcs</v>
      </c>
      <c r="P17328">
        <f>IF(OR(M17328="",N17328=""),"",SUMIFS('Barang Keluar'!$E:$E,'Barang Keluar'!$A:$A,M17328,'Barang Keluar'!$C:$C,N17328))</f>
        <v>0</v>
      </c>
    </row>
    <row r="17329" spans="13:16">
      <c r="M17329" s="49">
        <f>IF($A$4+173&gt;$B$4,"",$A$4+173)</f>
        <v>46196</v>
      </c>
      <c r="N17329" t="str">
        <f>IF(M17329="","",'Master Barang'!A23)</f>
        <v>PRL-022</v>
      </c>
      <c r="O17329" t="str">
        <f>IF(N17329="","",'Master Barang'!B23)</f>
        <v>sabun cuci tangan</v>
      </c>
      <c r="P17329">
        <f>IF(OR(M17329="",N17329=""),"",SUMIFS('Barang Keluar'!$E:$E,'Barang Keluar'!$A:$A,M17329,'Barang Keluar'!$C:$C,N17329))</f>
        <v>0</v>
      </c>
    </row>
    <row r="17330" spans="13:16">
      <c r="M17330" s="49">
        <f>IF($A$4+173&gt;$B$4,"",$A$4+173)</f>
        <v>46196</v>
      </c>
      <c r="N17330" t="str">
        <f>IF(M17330="","",'Master Barang'!A24)</f>
        <v>PRL-023</v>
      </c>
      <c r="O17330" t="str">
        <f>IF(N17330="","",'Master Barang'!B24)</f>
        <v>gayung kecil</v>
      </c>
      <c r="P17330">
        <f>IF(OR(M17330="",N17330=""),"",SUMIFS('Barang Keluar'!$E:$E,'Barang Keluar'!$A:$A,M17330,'Barang Keluar'!$C:$C,N17330))</f>
        <v>0</v>
      </c>
    </row>
    <row r="17331" spans="13:16">
      <c r="M17331" s="49">
        <f>IF($A$4+173&gt;$B$4,"",$A$4+173)</f>
        <v>46196</v>
      </c>
      <c r="N17331" t="str">
        <f>IF(M17331="","",'Master Barang'!A25)</f>
        <v>PRL-024</v>
      </c>
      <c r="O17331" t="str">
        <f>IF(N17331="","",'Master Barang'!B25)</f>
        <v>cikrak kecil</v>
      </c>
      <c r="P17331">
        <f>IF(OR(M17331="",N17331=""),"",SUMIFS('Barang Keluar'!$E:$E,'Barang Keluar'!$A:$A,M17331,'Barang Keluar'!$C:$C,N17331))</f>
        <v>0</v>
      </c>
    </row>
    <row r="17332" spans="13:16">
      <c r="M17332" s="49">
        <f>IF($A$4+173&gt;$B$4,"",$A$4+173)</f>
        <v>46196</v>
      </c>
      <c r="N17332" t="str">
        <f>IF(M17332="","",'Master Barang'!A26)</f>
        <v>PRL-025</v>
      </c>
      <c r="O17332" t="str">
        <f>IF(N17332="","",'Master Barang'!B26)</f>
        <v>petromax plastik kecil 12x24 100 lembar</v>
      </c>
      <c r="P17332">
        <f>IF(OR(M17332="",N17332=""),"",SUMIFS('Barang Keluar'!$E:$E,'Barang Keluar'!$A:$A,M17332,'Barang Keluar'!$C:$C,N17332))</f>
        <v>0</v>
      </c>
    </row>
    <row r="17333" spans="13:16">
      <c r="M17333" s="49">
        <f>IF($A$4+173&gt;$B$4,"",$A$4+173)</f>
        <v>46196</v>
      </c>
      <c r="N17333" t="str">
        <f>IF(M17333="","",'Master Barang'!A27)</f>
        <v>PRL-026</v>
      </c>
      <c r="O17333" t="str">
        <f>IF(N17333="","",'Master Barang'!B27)</f>
        <v>lancar kresek kecil bening </v>
      </c>
      <c r="P17333">
        <f>IF(OR(M17333="",N17333=""),"",SUMIFS('Barang Keluar'!$E:$E,'Barang Keluar'!$A:$A,M17333,'Barang Keluar'!$C:$C,N17333))</f>
        <v>0</v>
      </c>
    </row>
    <row r="17334" spans="13:16">
      <c r="M17334" s="49">
        <f>IF($A$4+173&gt;$B$4,"",$A$4+173)</f>
        <v>46196</v>
      </c>
      <c r="N17334" t="str">
        <f>IF(M17334="","",'Master Barang'!A28)</f>
        <v>PRL-027</v>
      </c>
      <c r="O17334" t="str">
        <f>IF(N17334="","",'Master Barang'!B28)</f>
        <v>kresek klin warna warni kecil</v>
      </c>
      <c r="P17334">
        <f>IF(OR(M17334="",N17334=""),"",SUMIFS('Barang Keluar'!$E:$E,'Barang Keluar'!$A:$A,M17334,'Barang Keluar'!$C:$C,N17334))</f>
        <v>0</v>
      </c>
    </row>
    <row r="17335" spans="13:16">
      <c r="M17335" s="49">
        <f>IF($A$4+173&gt;$B$4,"",$A$4+173)</f>
        <v>46196</v>
      </c>
      <c r="N17335" t="str">
        <f>IF(M17335="","",'Master Barang'!A29)</f>
        <v>PRL-028</v>
      </c>
      <c r="O17335" t="str">
        <f>IF(N17335="","",'Master Barang'!B29)</f>
        <v>ctik plastik 7x10 100 pcs</v>
      </c>
      <c r="P17335">
        <f>IF(OR(M17335="",N17335=""),"",SUMIFS('Barang Keluar'!$E:$E,'Barang Keluar'!$A:$A,M17335,'Barang Keluar'!$C:$C,N17335))</f>
        <v>0</v>
      </c>
    </row>
    <row r="17336" spans="13:16">
      <c r="M17336" s="49">
        <f>IF($A$4+173&gt;$B$4,"",$A$4+173)</f>
        <v>46196</v>
      </c>
      <c r="N17336" t="str">
        <f>IF(M17336="","",'Master Barang'!A30)</f>
        <v>PRL-029</v>
      </c>
      <c r="O17336" t="str">
        <f>IF(N17336="","",'Master Barang'!B30)</f>
        <v>ctik plastik 6x10 100 pcs</v>
      </c>
      <c r="P17336">
        <f>IF(OR(M17336="",N17336=""),"",SUMIFS('Barang Keluar'!$E:$E,'Barang Keluar'!$A:$A,M17336,'Barang Keluar'!$C:$C,N17336))</f>
        <v>0</v>
      </c>
    </row>
    <row r="17337" spans="13:16">
      <c r="M17337" s="49">
        <f>IF($A$4+173&gt;$B$4,"",$A$4+173)</f>
        <v>46196</v>
      </c>
      <c r="N17337" t="str">
        <f>IF(M17337="","",'Master Barang'!A31)</f>
        <v>PRL-030</v>
      </c>
      <c r="O17337" t="str">
        <f>IF(N17337="","",'Master Barang'!B31)</f>
        <v>klip plastik 25x16 100 pcs</v>
      </c>
      <c r="P17337">
        <f>IF(OR(M17337="",N17337=""),"",SUMIFS('Barang Keluar'!$E:$E,'Barang Keluar'!$A:$A,M17337,'Barang Keluar'!$C:$C,N17337))</f>
        <v>0</v>
      </c>
    </row>
    <row r="17338" spans="13:16">
      <c r="M17338" s="49">
        <f>IF($A$4+173&gt;$B$4,"",$A$4+173)</f>
        <v>46196</v>
      </c>
      <c r="N17338" t="str">
        <f>IF(M17338="","",'Master Barang'!A32)</f>
        <v>PRL-031</v>
      </c>
      <c r="O17338" t="str">
        <f>IF(N17338="","",'Master Barang'!B32)</f>
        <v>tempat saus 20 ml</v>
      </c>
      <c r="P17338">
        <f>IF(OR(M17338="",N17338=""),"",SUMIFS('Barang Keluar'!$E:$E,'Barang Keluar'!$A:$A,M17338,'Barang Keluar'!$C:$C,N17338))</f>
        <v>0</v>
      </c>
    </row>
    <row r="17339" spans="13:16">
      <c r="M17339" s="49">
        <f>IF($A$4+173&gt;$B$4,"",$A$4+173)</f>
        <v>46196</v>
      </c>
      <c r="N17339" t="str">
        <f>IF(M17339="","",'Master Barang'!A33)</f>
        <v>PRL-032</v>
      </c>
      <c r="O17339" t="str">
        <f>IF(N17339="","",'Master Barang'!B33)</f>
        <v>plastik packaging ag box uk sedang</v>
      </c>
      <c r="P17339">
        <f>IF(OR(M17339="",N17339=""),"",SUMIFS('Barang Keluar'!$E:$E,'Barang Keluar'!$A:$A,M17339,'Barang Keluar'!$C:$C,N17339))</f>
        <v>0</v>
      </c>
    </row>
    <row r="17340" spans="13:16">
      <c r="M17340" s="49">
        <f>IF($A$4+173&gt;$B$4,"",$A$4+173)</f>
        <v>46196</v>
      </c>
      <c r="N17340" t="str">
        <f>IF(M17340="","",'Master Barang'!A34)</f>
        <v>PRL-033</v>
      </c>
      <c r="O17340">
        <f>IF(N17340="","",'Master Barang'!B34)</f>
        <v>0</v>
      </c>
      <c r="P17340">
        <f>IF(OR(M17340="",N17340=""),"",SUMIFS('Barang Keluar'!$E:$E,'Barang Keluar'!$A:$A,M17340,'Barang Keluar'!$C:$C,N17340))</f>
        <v>0</v>
      </c>
    </row>
    <row r="17341" spans="13:16">
      <c r="M17341" s="49">
        <f>IF($A$4+173&gt;$B$4,"",$A$4+173)</f>
        <v>46196</v>
      </c>
      <c r="N17341">
        <f>IF(M17341="","",'Master Barang'!A35)</f>
        <v>0</v>
      </c>
      <c r="O17341">
        <f>IF(N17341="","",'Master Barang'!B35)</f>
        <v>0</v>
      </c>
      <c r="P17341">
        <f>IF(OR(M17341="",N17341=""),"",SUMIFS('Barang Keluar'!$E:$E,'Barang Keluar'!$A:$A,M17341,'Barang Keluar'!$C:$C,N17341))</f>
        <v>0</v>
      </c>
    </row>
    <row r="17342" spans="13:16">
      <c r="M17342" s="49">
        <f>IF($A$4+173&gt;$B$4,"",$A$4+173)</f>
        <v>46196</v>
      </c>
      <c r="N17342">
        <f>IF(M17342="","",'Master Barang'!A36)</f>
        <v>0</v>
      </c>
      <c r="O17342">
        <f>IF(N17342="","",'Master Barang'!B36)</f>
        <v>0</v>
      </c>
      <c r="P17342">
        <f>IF(OR(M17342="",N17342=""),"",SUMIFS('Barang Keluar'!$E:$E,'Barang Keluar'!$A:$A,M17342,'Barang Keluar'!$C:$C,N17342))</f>
        <v>0</v>
      </c>
    </row>
    <row r="17343" spans="13:16">
      <c r="M17343" s="49">
        <f>IF($A$4+173&gt;$B$4,"",$A$4+173)</f>
        <v>46196</v>
      </c>
      <c r="N17343">
        <f>IF(M17343="","",'Master Barang'!A37)</f>
        <v>0</v>
      </c>
      <c r="O17343">
        <f>IF(N17343="","",'Master Barang'!B37)</f>
        <v>0</v>
      </c>
      <c r="P17343">
        <f>IF(OR(M17343="",N17343=""),"",SUMIFS('Barang Keluar'!$E:$E,'Barang Keluar'!$A:$A,M17343,'Barang Keluar'!$C:$C,N17343))</f>
        <v>0</v>
      </c>
    </row>
    <row r="17344" spans="13:16">
      <c r="M17344" s="49">
        <f>IF($A$4+173&gt;$B$4,"",$A$4+173)</f>
        <v>46196</v>
      </c>
      <c r="N17344">
        <f>IF(M17344="","",'Master Barang'!A38)</f>
        <v>0</v>
      </c>
      <c r="O17344">
        <f>IF(N17344="","",'Master Barang'!B38)</f>
        <v>0</v>
      </c>
      <c r="P17344">
        <f>IF(OR(M17344="",N17344=""),"",SUMIFS('Barang Keluar'!$E:$E,'Barang Keluar'!$A:$A,M17344,'Barang Keluar'!$C:$C,N17344))</f>
        <v>0</v>
      </c>
    </row>
    <row r="17345" spans="13:16">
      <c r="M17345" s="49">
        <f>IF($A$4+173&gt;$B$4,"",$A$4+173)</f>
        <v>46196</v>
      </c>
      <c r="N17345">
        <f>IF(M17345="","",'Master Barang'!A39)</f>
        <v>0</v>
      </c>
      <c r="O17345">
        <f>IF(N17345="","",'Master Barang'!B39)</f>
        <v>0</v>
      </c>
      <c r="P17345">
        <f>IF(OR(M17345="",N17345=""),"",SUMIFS('Barang Keluar'!$E:$E,'Barang Keluar'!$A:$A,M17345,'Barang Keluar'!$C:$C,N17345))</f>
        <v>0</v>
      </c>
    </row>
    <row r="17346" spans="13:16">
      <c r="M17346" s="49">
        <f>IF($A$4+173&gt;$B$4,"",$A$4+173)</f>
        <v>46196</v>
      </c>
      <c r="N17346">
        <f>IF(M17346="","",'Master Barang'!A40)</f>
        <v>0</v>
      </c>
      <c r="O17346">
        <f>IF(N17346="","",'Master Barang'!B40)</f>
        <v>0</v>
      </c>
      <c r="P17346">
        <f>IF(OR(M17346="",N17346=""),"",SUMIFS('Barang Keluar'!$E:$E,'Barang Keluar'!$A:$A,M17346,'Barang Keluar'!$C:$C,N17346))</f>
        <v>0</v>
      </c>
    </row>
    <row r="17347" spans="13:16">
      <c r="M17347" s="49">
        <f>IF($A$4+173&gt;$B$4,"",$A$4+173)</f>
        <v>46196</v>
      </c>
      <c r="N17347">
        <f>IF(M17347="","",'Master Barang'!A41)</f>
        <v>0</v>
      </c>
      <c r="O17347">
        <f>IF(N17347="","",'Master Barang'!B41)</f>
        <v>0</v>
      </c>
      <c r="P17347">
        <f>IF(OR(M17347="",N17347=""),"",SUMIFS('Barang Keluar'!$E:$E,'Barang Keluar'!$A:$A,M17347,'Barang Keluar'!$C:$C,N17347))</f>
        <v>0</v>
      </c>
    </row>
    <row r="17348" spans="13:16">
      <c r="M17348" s="49">
        <f>IF($A$4+173&gt;$B$4,"",$A$4+173)</f>
        <v>46196</v>
      </c>
      <c r="N17348">
        <f>IF(M17348="","",'Master Barang'!A42)</f>
        <v>0</v>
      </c>
      <c r="O17348">
        <f>IF(N17348="","",'Master Barang'!B42)</f>
        <v>0</v>
      </c>
      <c r="P17348">
        <f>IF(OR(M17348="",N17348=""),"",SUMIFS('Barang Keluar'!$E:$E,'Barang Keluar'!$A:$A,M17348,'Barang Keluar'!$C:$C,N17348))</f>
        <v>0</v>
      </c>
    </row>
    <row r="17349" spans="13:16">
      <c r="M17349" s="49">
        <f>IF($A$4+173&gt;$B$4,"",$A$4+173)</f>
        <v>46196</v>
      </c>
      <c r="N17349">
        <f>IF(M17349="","",'Master Barang'!A43)</f>
        <v>0</v>
      </c>
      <c r="O17349">
        <f>IF(N17349="","",'Master Barang'!B43)</f>
        <v>0</v>
      </c>
      <c r="P17349">
        <f>IF(OR(M17349="",N17349=""),"",SUMIFS('Barang Keluar'!$E:$E,'Barang Keluar'!$A:$A,M17349,'Barang Keluar'!$C:$C,N17349))</f>
        <v>0</v>
      </c>
    </row>
    <row r="17350" spans="13:16">
      <c r="M17350" s="49">
        <f>IF($A$4+173&gt;$B$4,"",$A$4+173)</f>
        <v>46196</v>
      </c>
      <c r="N17350">
        <f>IF(M17350="","",'Master Barang'!A44)</f>
        <v>0</v>
      </c>
      <c r="O17350">
        <f>IF(N17350="","",'Master Barang'!B44)</f>
        <v>0</v>
      </c>
      <c r="P17350">
        <f>IF(OR(M17350="",N17350=""),"",SUMIFS('Barang Keluar'!$E:$E,'Barang Keluar'!$A:$A,M17350,'Barang Keluar'!$C:$C,N17350))</f>
        <v>0</v>
      </c>
    </row>
    <row r="17351" spans="13:16">
      <c r="M17351" s="49">
        <f>IF($A$4+173&gt;$B$4,"",$A$4+173)</f>
        <v>46196</v>
      </c>
      <c r="N17351">
        <f>IF(M17351="","",'Master Barang'!A45)</f>
        <v>0</v>
      </c>
      <c r="O17351">
        <f>IF(N17351="","",'Master Barang'!B45)</f>
        <v>0</v>
      </c>
      <c r="P17351">
        <f>IF(OR(M17351="",N17351=""),"",SUMIFS('Barang Keluar'!$E:$E,'Barang Keluar'!$A:$A,M17351,'Barang Keluar'!$C:$C,N17351))</f>
        <v>0</v>
      </c>
    </row>
    <row r="17352" spans="13:16">
      <c r="M17352" s="49">
        <f>IF($A$4+173&gt;$B$4,"",$A$4+173)</f>
        <v>46196</v>
      </c>
      <c r="N17352">
        <f>IF(M17352="","",'Master Barang'!A46)</f>
        <v>0</v>
      </c>
      <c r="O17352">
        <f>IF(N17352="","",'Master Barang'!B46)</f>
        <v>0</v>
      </c>
      <c r="P17352">
        <f>IF(OR(M17352="",N17352=""),"",SUMIFS('Barang Keluar'!$E:$E,'Barang Keluar'!$A:$A,M17352,'Barang Keluar'!$C:$C,N17352))</f>
        <v>0</v>
      </c>
    </row>
    <row r="17353" spans="13:16">
      <c r="M17353" s="49">
        <f>IF($A$4+173&gt;$B$4,"",$A$4+173)</f>
        <v>46196</v>
      </c>
      <c r="N17353">
        <f>IF(M17353="","",'Master Barang'!A47)</f>
        <v>0</v>
      </c>
      <c r="O17353">
        <f>IF(N17353="","",'Master Barang'!B47)</f>
        <v>0</v>
      </c>
      <c r="P17353">
        <f>IF(OR(M17353="",N17353=""),"",SUMIFS('Barang Keluar'!$E:$E,'Barang Keluar'!$A:$A,M17353,'Barang Keluar'!$C:$C,N17353))</f>
        <v>0</v>
      </c>
    </row>
    <row r="17354" spans="13:16">
      <c r="M17354" s="49">
        <f>IF($A$4+173&gt;$B$4,"",$A$4+173)</f>
        <v>46196</v>
      </c>
      <c r="N17354">
        <f>IF(M17354="","",'Master Barang'!A48)</f>
        <v>0</v>
      </c>
      <c r="O17354">
        <f>IF(N17354="","",'Master Barang'!B48)</f>
        <v>0</v>
      </c>
      <c r="P17354">
        <f>IF(OR(M17354="",N17354=""),"",SUMIFS('Barang Keluar'!$E:$E,'Barang Keluar'!$A:$A,M17354,'Barang Keluar'!$C:$C,N17354))</f>
        <v>0</v>
      </c>
    </row>
    <row r="17355" spans="13:16">
      <c r="M17355" s="49">
        <f>IF($A$4+173&gt;$B$4,"",$A$4+173)</f>
        <v>46196</v>
      </c>
      <c r="N17355">
        <f>IF(M17355="","",'Master Barang'!A49)</f>
        <v>0</v>
      </c>
      <c r="O17355">
        <f>IF(N17355="","",'Master Barang'!B49)</f>
        <v>0</v>
      </c>
      <c r="P17355">
        <f>IF(OR(M17355="",N17355=""),"",SUMIFS('Barang Keluar'!$E:$E,'Barang Keluar'!$A:$A,M17355,'Barang Keluar'!$C:$C,N17355))</f>
        <v>0</v>
      </c>
    </row>
    <row r="17356" spans="13:16">
      <c r="M17356" s="49">
        <f>IF($A$4+173&gt;$B$4,"",$A$4+173)</f>
        <v>46196</v>
      </c>
      <c r="N17356">
        <f>IF(M17356="","",'Master Barang'!A50)</f>
        <v>0</v>
      </c>
      <c r="O17356">
        <f>IF(N17356="","",'Master Barang'!B50)</f>
        <v>0</v>
      </c>
      <c r="P17356">
        <f>IF(OR(M17356="",N17356=""),"",SUMIFS('Barang Keluar'!$E:$E,'Barang Keluar'!$A:$A,M17356,'Barang Keluar'!$C:$C,N17356))</f>
        <v>0</v>
      </c>
    </row>
    <row r="17357" spans="13:16">
      <c r="M17357" s="49">
        <f>IF($A$4+173&gt;$B$4,"",$A$4+173)</f>
        <v>46196</v>
      </c>
      <c r="N17357">
        <f>IF(M17357="","",'Master Barang'!A51)</f>
        <v>0</v>
      </c>
      <c r="O17357">
        <f>IF(N17357="","",'Master Barang'!B51)</f>
        <v>0</v>
      </c>
      <c r="P17357">
        <f>IF(OR(M17357="",N17357=""),"",SUMIFS('Barang Keluar'!$E:$E,'Barang Keluar'!$A:$A,M17357,'Barang Keluar'!$C:$C,N17357))</f>
        <v>0</v>
      </c>
    </row>
    <row r="17358" spans="13:16">
      <c r="M17358" s="49">
        <f>IF($A$4+173&gt;$B$4,"",$A$4+173)</f>
        <v>46196</v>
      </c>
      <c r="N17358">
        <f>IF(M17358="","",'Master Barang'!A52)</f>
        <v>0</v>
      </c>
      <c r="O17358">
        <f>IF(N17358="","",'Master Barang'!B52)</f>
        <v>0</v>
      </c>
      <c r="P17358">
        <f>IF(OR(M17358="",N17358=""),"",SUMIFS('Barang Keluar'!$E:$E,'Barang Keluar'!$A:$A,M17358,'Barang Keluar'!$C:$C,N17358))</f>
        <v>0</v>
      </c>
    </row>
    <row r="17359" spans="13:16">
      <c r="M17359" s="49">
        <f>IF($A$4+173&gt;$B$4,"",$A$4+173)</f>
        <v>46196</v>
      </c>
      <c r="N17359">
        <f>IF(M17359="","",'Master Barang'!A53)</f>
        <v>0</v>
      </c>
      <c r="O17359">
        <f>IF(N17359="","",'Master Barang'!B53)</f>
        <v>0</v>
      </c>
      <c r="P17359">
        <f>IF(OR(M17359="",N17359=""),"",SUMIFS('Barang Keluar'!$E:$E,'Barang Keluar'!$A:$A,M17359,'Barang Keluar'!$C:$C,N17359))</f>
        <v>0</v>
      </c>
    </row>
    <row r="17360" spans="13:16">
      <c r="M17360" s="49">
        <f>IF($A$4+173&gt;$B$4,"",$A$4+173)</f>
        <v>46196</v>
      </c>
      <c r="N17360">
        <f>IF(M17360="","",'Master Barang'!A54)</f>
        <v>0</v>
      </c>
      <c r="O17360">
        <f>IF(N17360="","",'Master Barang'!B54)</f>
        <v>0</v>
      </c>
      <c r="P17360">
        <f>IF(OR(M17360="",N17360=""),"",SUMIFS('Barang Keluar'!$E:$E,'Barang Keluar'!$A:$A,M17360,'Barang Keluar'!$C:$C,N17360))</f>
        <v>0</v>
      </c>
    </row>
    <row r="17361" spans="13:16">
      <c r="M17361" s="49">
        <f>IF($A$4+173&gt;$B$4,"",$A$4+173)</f>
        <v>46196</v>
      </c>
      <c r="N17361">
        <f>IF(M17361="","",'Master Barang'!A55)</f>
        <v>0</v>
      </c>
      <c r="O17361">
        <f>IF(N17361="","",'Master Barang'!B55)</f>
        <v>0</v>
      </c>
      <c r="P17361">
        <f>IF(OR(M17361="",N17361=""),"",SUMIFS('Barang Keluar'!$E:$E,'Barang Keluar'!$A:$A,M17361,'Barang Keluar'!$C:$C,N17361))</f>
        <v>0</v>
      </c>
    </row>
    <row r="17362" spans="13:16">
      <c r="M17362" s="49">
        <f>IF($A$4+173&gt;$B$4,"",$A$4+173)</f>
        <v>46196</v>
      </c>
      <c r="N17362">
        <f>IF(M17362="","",'Master Barang'!A56)</f>
        <v>0</v>
      </c>
      <c r="O17362">
        <f>IF(N17362="","",'Master Barang'!B56)</f>
        <v>0</v>
      </c>
      <c r="P17362">
        <f>IF(OR(M17362="",N17362=""),"",SUMIFS('Barang Keluar'!$E:$E,'Barang Keluar'!$A:$A,M17362,'Barang Keluar'!$C:$C,N17362))</f>
        <v>0</v>
      </c>
    </row>
    <row r="17363" spans="13:16">
      <c r="M17363" s="49">
        <f>IF($A$4+173&gt;$B$4,"",$A$4+173)</f>
        <v>46196</v>
      </c>
      <c r="N17363">
        <f>IF(M17363="","",'Master Barang'!A57)</f>
        <v>0</v>
      </c>
      <c r="O17363">
        <f>IF(N17363="","",'Master Barang'!B57)</f>
        <v>0</v>
      </c>
      <c r="P17363">
        <f>IF(OR(M17363="",N17363=""),"",SUMIFS('Barang Keluar'!$E:$E,'Barang Keluar'!$A:$A,M17363,'Barang Keluar'!$C:$C,N17363))</f>
        <v>0</v>
      </c>
    </row>
    <row r="17364" spans="13:16">
      <c r="M17364" s="49">
        <f>IF($A$4+173&gt;$B$4,"",$A$4+173)</f>
        <v>46196</v>
      </c>
      <c r="N17364">
        <f>IF(M17364="","",'Master Barang'!A58)</f>
        <v>0</v>
      </c>
      <c r="O17364">
        <f>IF(N17364="","",'Master Barang'!B58)</f>
        <v>0</v>
      </c>
      <c r="P17364">
        <f>IF(OR(M17364="",N17364=""),"",SUMIFS('Barang Keluar'!$E:$E,'Barang Keluar'!$A:$A,M17364,'Barang Keluar'!$C:$C,N17364))</f>
        <v>0</v>
      </c>
    </row>
    <row r="17365" spans="13:16">
      <c r="M17365" s="49">
        <f>IF($A$4+173&gt;$B$4,"",$A$4+173)</f>
        <v>46196</v>
      </c>
      <c r="N17365">
        <f>IF(M17365="","",'Master Barang'!A59)</f>
        <v>0</v>
      </c>
      <c r="O17365">
        <f>IF(N17365="","",'Master Barang'!B59)</f>
        <v>0</v>
      </c>
      <c r="P17365">
        <f>IF(OR(M17365="",N17365=""),"",SUMIFS('Barang Keluar'!$E:$E,'Barang Keluar'!$A:$A,M17365,'Barang Keluar'!$C:$C,N17365))</f>
        <v>0</v>
      </c>
    </row>
    <row r="17366" spans="13:16">
      <c r="M17366" s="49">
        <f>IF($A$4+173&gt;$B$4,"",$A$4+173)</f>
        <v>46196</v>
      </c>
      <c r="N17366">
        <f>IF(M17366="","",'Master Barang'!A60)</f>
        <v>0</v>
      </c>
      <c r="O17366">
        <f>IF(N17366="","",'Master Barang'!B60)</f>
        <v>0</v>
      </c>
      <c r="P17366">
        <f>IF(OR(M17366="",N17366=""),"",SUMIFS('Barang Keluar'!$E:$E,'Barang Keluar'!$A:$A,M17366,'Barang Keluar'!$C:$C,N17366))</f>
        <v>0</v>
      </c>
    </row>
    <row r="17367" spans="13:16">
      <c r="M17367" s="49">
        <f>IF($A$4+173&gt;$B$4,"",$A$4+173)</f>
        <v>46196</v>
      </c>
      <c r="N17367">
        <f>IF(M17367="","",'Master Barang'!A61)</f>
        <v>0</v>
      </c>
      <c r="O17367">
        <f>IF(N17367="","",'Master Barang'!B61)</f>
        <v>0</v>
      </c>
      <c r="P17367">
        <f>IF(OR(M17367="",N17367=""),"",SUMIFS('Barang Keluar'!$E:$E,'Barang Keluar'!$A:$A,M17367,'Barang Keluar'!$C:$C,N17367))</f>
        <v>0</v>
      </c>
    </row>
    <row r="17368" spans="13:16">
      <c r="M17368" s="49">
        <f>IF($A$4+173&gt;$B$4,"",$A$4+173)</f>
        <v>46196</v>
      </c>
      <c r="N17368">
        <f>IF(M17368="","",'Master Barang'!A62)</f>
        <v>0</v>
      </c>
      <c r="O17368">
        <f>IF(N17368="","",'Master Barang'!B62)</f>
        <v>0</v>
      </c>
      <c r="P17368">
        <f>IF(OR(M17368="",N17368=""),"",SUMIFS('Barang Keluar'!$E:$E,'Barang Keluar'!$A:$A,M17368,'Barang Keluar'!$C:$C,N17368))</f>
        <v>0</v>
      </c>
    </row>
    <row r="17369" spans="13:16">
      <c r="M17369" s="49">
        <f>IF($A$4+173&gt;$B$4,"",$A$4+173)</f>
        <v>46196</v>
      </c>
      <c r="N17369">
        <f>IF(M17369="","",'Master Barang'!A63)</f>
        <v>0</v>
      </c>
      <c r="O17369">
        <f>IF(N17369="","",'Master Barang'!B63)</f>
        <v>0</v>
      </c>
      <c r="P17369">
        <f>IF(OR(M17369="",N17369=""),"",SUMIFS('Barang Keluar'!$E:$E,'Barang Keluar'!$A:$A,M17369,'Barang Keluar'!$C:$C,N17369))</f>
        <v>0</v>
      </c>
    </row>
    <row r="17370" spans="13:16">
      <c r="M17370" s="49">
        <f>IF($A$4+173&gt;$B$4,"",$A$4+173)</f>
        <v>46196</v>
      </c>
      <c r="N17370">
        <f>IF(M17370="","",'Master Barang'!A64)</f>
        <v>0</v>
      </c>
      <c r="O17370">
        <f>IF(N17370="","",'Master Barang'!B64)</f>
        <v>0</v>
      </c>
      <c r="P17370">
        <f>IF(OR(M17370="",N17370=""),"",SUMIFS('Barang Keluar'!$E:$E,'Barang Keluar'!$A:$A,M17370,'Barang Keluar'!$C:$C,N17370))</f>
        <v>0</v>
      </c>
    </row>
    <row r="17371" spans="13:16">
      <c r="M17371" s="49">
        <f>IF($A$4+173&gt;$B$4,"",$A$4+173)</f>
        <v>46196</v>
      </c>
      <c r="N17371">
        <f>IF(M17371="","",'Master Barang'!A65)</f>
        <v>0</v>
      </c>
      <c r="O17371">
        <f>IF(N17371="","",'Master Barang'!B65)</f>
        <v>0</v>
      </c>
      <c r="P17371">
        <f>IF(OR(M17371="",N17371=""),"",SUMIFS('Barang Keluar'!$E:$E,'Barang Keluar'!$A:$A,M17371,'Barang Keluar'!$C:$C,N17371))</f>
        <v>0</v>
      </c>
    </row>
    <row r="17372" spans="13:16">
      <c r="M17372" s="49">
        <f>IF($A$4+173&gt;$B$4,"",$A$4+173)</f>
        <v>46196</v>
      </c>
      <c r="N17372">
        <f>IF(M17372="","",'Master Barang'!A66)</f>
        <v>0</v>
      </c>
      <c r="O17372">
        <f>IF(N17372="","",'Master Barang'!B66)</f>
        <v>0</v>
      </c>
      <c r="P17372">
        <f>IF(OR(M17372="",N17372=""),"",SUMIFS('Barang Keluar'!$E:$E,'Barang Keluar'!$A:$A,M17372,'Barang Keluar'!$C:$C,N17372))</f>
        <v>0</v>
      </c>
    </row>
    <row r="17373" spans="13:16">
      <c r="M17373" s="49">
        <f>IF($A$4+173&gt;$B$4,"",$A$4+173)</f>
        <v>46196</v>
      </c>
      <c r="N17373">
        <f>IF(M17373="","",'Master Barang'!A67)</f>
        <v>0</v>
      </c>
      <c r="O17373">
        <f>IF(N17373="","",'Master Barang'!B67)</f>
        <v>0</v>
      </c>
      <c r="P17373">
        <f>IF(OR(M17373="",N17373=""),"",SUMIFS('Barang Keluar'!$E:$E,'Barang Keluar'!$A:$A,M17373,'Barang Keluar'!$C:$C,N17373))</f>
        <v>0</v>
      </c>
    </row>
    <row r="17374" spans="13:16">
      <c r="M17374" s="49">
        <f>IF($A$4+173&gt;$B$4,"",$A$4+173)</f>
        <v>46196</v>
      </c>
      <c r="N17374">
        <f>IF(M17374="","",'Master Barang'!A68)</f>
        <v>0</v>
      </c>
      <c r="O17374">
        <f>IF(N17374="","",'Master Barang'!B68)</f>
        <v>0</v>
      </c>
      <c r="P17374">
        <f>IF(OR(M17374="",N17374=""),"",SUMIFS('Barang Keluar'!$E:$E,'Barang Keluar'!$A:$A,M17374,'Barang Keluar'!$C:$C,N17374))</f>
        <v>0</v>
      </c>
    </row>
    <row r="17375" spans="13:16">
      <c r="M17375" s="49">
        <f>IF($A$4+173&gt;$B$4,"",$A$4+173)</f>
        <v>46196</v>
      </c>
      <c r="N17375">
        <f>IF(M17375="","",'Master Barang'!A69)</f>
        <v>0</v>
      </c>
      <c r="O17375">
        <f>IF(N17375="","",'Master Barang'!B69)</f>
        <v>0</v>
      </c>
      <c r="P17375">
        <f>IF(OR(M17375="",N17375=""),"",SUMIFS('Barang Keluar'!$E:$E,'Barang Keluar'!$A:$A,M17375,'Barang Keluar'!$C:$C,N17375))</f>
        <v>0</v>
      </c>
    </row>
    <row r="17376" spans="13:16">
      <c r="M17376" s="49">
        <f>IF($A$4+173&gt;$B$4,"",$A$4+173)</f>
        <v>46196</v>
      </c>
      <c r="N17376">
        <f>IF(M17376="","",'Master Barang'!A70)</f>
        <v>0</v>
      </c>
      <c r="O17376">
        <f>IF(N17376="","",'Master Barang'!B70)</f>
        <v>0</v>
      </c>
      <c r="P17376">
        <f>IF(OR(M17376="",N17376=""),"",SUMIFS('Barang Keluar'!$E:$E,'Barang Keluar'!$A:$A,M17376,'Barang Keluar'!$C:$C,N17376))</f>
        <v>0</v>
      </c>
    </row>
    <row r="17377" spans="13:16">
      <c r="M17377" s="49">
        <f>IF($A$4+173&gt;$B$4,"",$A$4+173)</f>
        <v>46196</v>
      </c>
      <c r="N17377">
        <f>IF(M17377="","",'Master Barang'!A71)</f>
        <v>0</v>
      </c>
      <c r="O17377">
        <f>IF(N17377="","",'Master Barang'!B71)</f>
        <v>0</v>
      </c>
      <c r="P17377">
        <f>IF(OR(M17377="",N17377=""),"",SUMIFS('Barang Keluar'!$E:$E,'Barang Keluar'!$A:$A,M17377,'Barang Keluar'!$C:$C,N17377))</f>
        <v>0</v>
      </c>
    </row>
    <row r="17378" spans="13:16">
      <c r="M17378" s="49">
        <f>IF($A$4+173&gt;$B$4,"",$A$4+173)</f>
        <v>46196</v>
      </c>
      <c r="N17378">
        <f>IF(M17378="","",'Master Barang'!A72)</f>
        <v>0</v>
      </c>
      <c r="O17378">
        <f>IF(N17378="","",'Master Barang'!B72)</f>
        <v>0</v>
      </c>
      <c r="P17378">
        <f>IF(OR(M17378="",N17378=""),"",SUMIFS('Barang Keluar'!$E:$E,'Barang Keluar'!$A:$A,M17378,'Barang Keluar'!$C:$C,N17378))</f>
        <v>0</v>
      </c>
    </row>
    <row r="17379" spans="13:16">
      <c r="M17379" s="49">
        <f>IF($A$4+173&gt;$B$4,"",$A$4+173)</f>
        <v>46196</v>
      </c>
      <c r="N17379">
        <f>IF(M17379="","",'Master Barang'!A73)</f>
        <v>0</v>
      </c>
      <c r="O17379">
        <f>IF(N17379="","",'Master Barang'!B73)</f>
        <v>0</v>
      </c>
      <c r="P17379">
        <f>IF(OR(M17379="",N17379=""),"",SUMIFS('Barang Keluar'!$E:$E,'Barang Keluar'!$A:$A,M17379,'Barang Keluar'!$C:$C,N17379))</f>
        <v>0</v>
      </c>
    </row>
    <row r="17380" spans="13:16">
      <c r="M17380" s="49">
        <f>IF($A$4+173&gt;$B$4,"",$A$4+173)</f>
        <v>46196</v>
      </c>
      <c r="N17380">
        <f>IF(M17380="","",'Master Barang'!A74)</f>
        <v>0</v>
      </c>
      <c r="O17380">
        <f>IF(N17380="","",'Master Barang'!B74)</f>
        <v>0</v>
      </c>
      <c r="P17380">
        <f>IF(OR(M17380="",N17380=""),"",SUMIFS('Barang Keluar'!$E:$E,'Barang Keluar'!$A:$A,M17380,'Barang Keluar'!$C:$C,N17380))</f>
        <v>0</v>
      </c>
    </row>
    <row r="17381" spans="13:16">
      <c r="M17381" s="49">
        <f>IF($A$4+173&gt;$B$4,"",$A$4+173)</f>
        <v>46196</v>
      </c>
      <c r="N17381">
        <f>IF(M17381="","",'Master Barang'!A75)</f>
        <v>0</v>
      </c>
      <c r="O17381">
        <f>IF(N17381="","",'Master Barang'!B75)</f>
        <v>0</v>
      </c>
      <c r="P17381">
        <f>IF(OR(M17381="",N17381=""),"",SUMIFS('Barang Keluar'!$E:$E,'Barang Keluar'!$A:$A,M17381,'Barang Keluar'!$C:$C,N17381))</f>
        <v>0</v>
      </c>
    </row>
    <row r="17382" spans="13:16">
      <c r="M17382" s="49">
        <f>IF($A$4+173&gt;$B$4,"",$A$4+173)</f>
        <v>46196</v>
      </c>
      <c r="N17382">
        <f>IF(M17382="","",'Master Barang'!A76)</f>
        <v>0</v>
      </c>
      <c r="O17382">
        <f>IF(N17382="","",'Master Barang'!B76)</f>
        <v>0</v>
      </c>
      <c r="P17382">
        <f>IF(OR(M17382="",N17382=""),"",SUMIFS('Barang Keluar'!$E:$E,'Barang Keluar'!$A:$A,M17382,'Barang Keluar'!$C:$C,N17382))</f>
        <v>0</v>
      </c>
    </row>
    <row r="17383" spans="13:16">
      <c r="M17383" s="49">
        <f>IF($A$4+173&gt;$B$4,"",$A$4+173)</f>
        <v>46196</v>
      </c>
      <c r="N17383">
        <f>IF(M17383="","",'Master Barang'!A77)</f>
        <v>0</v>
      </c>
      <c r="O17383">
        <f>IF(N17383="","",'Master Barang'!B77)</f>
        <v>0</v>
      </c>
      <c r="P17383">
        <f>IF(OR(M17383="",N17383=""),"",SUMIFS('Barang Keluar'!$E:$E,'Barang Keluar'!$A:$A,M17383,'Barang Keluar'!$C:$C,N17383))</f>
        <v>0</v>
      </c>
    </row>
    <row r="17384" spans="13:16">
      <c r="M17384" s="49">
        <f>IF($A$4+173&gt;$B$4,"",$A$4+173)</f>
        <v>46196</v>
      </c>
      <c r="N17384">
        <f>IF(M17384="","",'Master Barang'!A78)</f>
        <v>0</v>
      </c>
      <c r="O17384">
        <f>IF(N17384="","",'Master Barang'!B78)</f>
        <v>0</v>
      </c>
      <c r="P17384">
        <f>IF(OR(M17384="",N17384=""),"",SUMIFS('Barang Keluar'!$E:$E,'Barang Keluar'!$A:$A,M17384,'Barang Keluar'!$C:$C,N17384))</f>
        <v>0</v>
      </c>
    </row>
    <row r="17385" spans="13:16">
      <c r="M17385" s="49">
        <f>IF($A$4+173&gt;$B$4,"",$A$4+173)</f>
        <v>46196</v>
      </c>
      <c r="N17385">
        <f>IF(M17385="","",'Master Barang'!A79)</f>
        <v>0</v>
      </c>
      <c r="O17385">
        <f>IF(N17385="","",'Master Barang'!B79)</f>
        <v>0</v>
      </c>
      <c r="P17385">
        <f>IF(OR(M17385="",N17385=""),"",SUMIFS('Barang Keluar'!$E:$E,'Barang Keluar'!$A:$A,M17385,'Barang Keluar'!$C:$C,N17385))</f>
        <v>0</v>
      </c>
    </row>
    <row r="17386" spans="13:16">
      <c r="M17386" s="49">
        <f>IF($A$4+173&gt;$B$4,"",$A$4+173)</f>
        <v>46196</v>
      </c>
      <c r="N17386">
        <f>IF(M17386="","",'Master Barang'!A80)</f>
        <v>0</v>
      </c>
      <c r="O17386">
        <f>IF(N17386="","",'Master Barang'!B80)</f>
        <v>0</v>
      </c>
      <c r="P17386">
        <f>IF(OR(M17386="",N17386=""),"",SUMIFS('Barang Keluar'!$E:$E,'Barang Keluar'!$A:$A,M17386,'Barang Keluar'!$C:$C,N17386))</f>
        <v>0</v>
      </c>
    </row>
    <row r="17387" spans="13:16">
      <c r="M17387" s="49">
        <f>IF($A$4+173&gt;$B$4,"",$A$4+173)</f>
        <v>46196</v>
      </c>
      <c r="N17387">
        <f>IF(M17387="","",'Master Barang'!A81)</f>
        <v>0</v>
      </c>
      <c r="O17387">
        <f>IF(N17387="","",'Master Barang'!B81)</f>
        <v>0</v>
      </c>
      <c r="P17387">
        <f>IF(OR(M17387="",N17387=""),"",SUMIFS('Barang Keluar'!$E:$E,'Barang Keluar'!$A:$A,M17387,'Barang Keluar'!$C:$C,N17387))</f>
        <v>0</v>
      </c>
    </row>
    <row r="17388" spans="13:16">
      <c r="M17388" s="49">
        <f>IF($A$4+173&gt;$B$4,"",$A$4+173)</f>
        <v>46196</v>
      </c>
      <c r="N17388">
        <f>IF(M17388="","",'Master Barang'!A82)</f>
        <v>0</v>
      </c>
      <c r="O17388">
        <f>IF(N17388="","",'Master Barang'!B82)</f>
        <v>0</v>
      </c>
      <c r="P17388">
        <f>IF(OR(M17388="",N17388=""),"",SUMIFS('Barang Keluar'!$E:$E,'Barang Keluar'!$A:$A,M17388,'Barang Keluar'!$C:$C,N17388))</f>
        <v>0</v>
      </c>
    </row>
    <row r="17389" spans="13:16">
      <c r="M17389" s="49">
        <f>IF($A$4+173&gt;$B$4,"",$A$4+173)</f>
        <v>46196</v>
      </c>
      <c r="N17389">
        <f>IF(M17389="","",'Master Barang'!A83)</f>
        <v>0</v>
      </c>
      <c r="O17389">
        <f>IF(N17389="","",'Master Barang'!B83)</f>
        <v>0</v>
      </c>
      <c r="P17389">
        <f>IF(OR(M17389="",N17389=""),"",SUMIFS('Barang Keluar'!$E:$E,'Barang Keluar'!$A:$A,M17389,'Barang Keluar'!$C:$C,N17389))</f>
        <v>0</v>
      </c>
    </row>
    <row r="17390" spans="13:16">
      <c r="M17390" s="49">
        <f>IF($A$4+173&gt;$B$4,"",$A$4+173)</f>
        <v>46196</v>
      </c>
      <c r="N17390">
        <f>IF(M17390="","",'Master Barang'!A84)</f>
        <v>0</v>
      </c>
      <c r="O17390">
        <f>IF(N17390="","",'Master Barang'!B84)</f>
        <v>0</v>
      </c>
      <c r="P17390">
        <f>IF(OR(M17390="",N17390=""),"",SUMIFS('Barang Keluar'!$E:$E,'Barang Keluar'!$A:$A,M17390,'Barang Keluar'!$C:$C,N17390))</f>
        <v>0</v>
      </c>
    </row>
    <row r="17391" spans="13:16">
      <c r="M17391" s="49">
        <f>IF($A$4+173&gt;$B$4,"",$A$4+173)</f>
        <v>46196</v>
      </c>
      <c r="N17391">
        <f>IF(M17391="","",'Master Barang'!A85)</f>
        <v>0</v>
      </c>
      <c r="O17391">
        <f>IF(N17391="","",'Master Barang'!B85)</f>
        <v>0</v>
      </c>
      <c r="P17391">
        <f>IF(OR(M17391="",N17391=""),"",SUMIFS('Barang Keluar'!$E:$E,'Barang Keluar'!$A:$A,M17391,'Barang Keluar'!$C:$C,N17391))</f>
        <v>0</v>
      </c>
    </row>
    <row r="17392" spans="13:16">
      <c r="M17392" s="49">
        <f>IF($A$4+173&gt;$B$4,"",$A$4+173)</f>
        <v>46196</v>
      </c>
      <c r="N17392">
        <f>IF(M17392="","",'Master Barang'!A86)</f>
        <v>0</v>
      </c>
      <c r="O17392">
        <f>IF(N17392="","",'Master Barang'!B86)</f>
        <v>0</v>
      </c>
      <c r="P17392">
        <f>IF(OR(M17392="",N17392=""),"",SUMIFS('Barang Keluar'!$E:$E,'Barang Keluar'!$A:$A,M17392,'Barang Keluar'!$C:$C,N17392))</f>
        <v>0</v>
      </c>
    </row>
    <row r="17393" spans="13:16">
      <c r="M17393" s="49">
        <f>IF($A$4+173&gt;$B$4,"",$A$4+173)</f>
        <v>46196</v>
      </c>
      <c r="N17393">
        <f>IF(M17393="","",'Master Barang'!A87)</f>
        <v>0</v>
      </c>
      <c r="O17393">
        <f>IF(N17393="","",'Master Barang'!B87)</f>
        <v>0</v>
      </c>
      <c r="P17393">
        <f>IF(OR(M17393="",N17393=""),"",SUMIFS('Barang Keluar'!$E:$E,'Barang Keluar'!$A:$A,M17393,'Barang Keluar'!$C:$C,N17393))</f>
        <v>0</v>
      </c>
    </row>
    <row r="17394" spans="13:16">
      <c r="M17394" s="49">
        <f>IF($A$4+173&gt;$B$4,"",$A$4+173)</f>
        <v>46196</v>
      </c>
      <c r="N17394">
        <f>IF(M17394="","",'Master Barang'!A88)</f>
        <v>0</v>
      </c>
      <c r="O17394">
        <f>IF(N17394="","",'Master Barang'!B88)</f>
        <v>0</v>
      </c>
      <c r="P17394">
        <f>IF(OR(M17394="",N17394=""),"",SUMIFS('Barang Keluar'!$E:$E,'Barang Keluar'!$A:$A,M17394,'Barang Keluar'!$C:$C,N17394))</f>
        <v>0</v>
      </c>
    </row>
    <row r="17395" spans="13:16">
      <c r="M17395" s="49">
        <f>IF($A$4+173&gt;$B$4,"",$A$4+173)</f>
        <v>46196</v>
      </c>
      <c r="N17395">
        <f>IF(M17395="","",'Master Barang'!A89)</f>
        <v>0</v>
      </c>
      <c r="O17395">
        <f>IF(N17395="","",'Master Barang'!B89)</f>
        <v>0</v>
      </c>
      <c r="P17395">
        <f>IF(OR(M17395="",N17395=""),"",SUMIFS('Barang Keluar'!$E:$E,'Barang Keluar'!$A:$A,M17395,'Barang Keluar'!$C:$C,N17395))</f>
        <v>0</v>
      </c>
    </row>
    <row r="17396" spans="13:16">
      <c r="M17396" s="49">
        <f>IF($A$4+173&gt;$B$4,"",$A$4+173)</f>
        <v>46196</v>
      </c>
      <c r="N17396">
        <f>IF(M17396="","",'Master Barang'!A90)</f>
        <v>0</v>
      </c>
      <c r="O17396">
        <f>IF(N17396="","",'Master Barang'!B90)</f>
        <v>0</v>
      </c>
      <c r="P17396">
        <f>IF(OR(M17396="",N17396=""),"",SUMIFS('Barang Keluar'!$E:$E,'Barang Keluar'!$A:$A,M17396,'Barang Keluar'!$C:$C,N17396))</f>
        <v>0</v>
      </c>
    </row>
    <row r="17397" spans="13:16">
      <c r="M17397" s="49">
        <f>IF($A$4+173&gt;$B$4,"",$A$4+173)</f>
        <v>46196</v>
      </c>
      <c r="N17397">
        <f>IF(M17397="","",'Master Barang'!A91)</f>
        <v>0</v>
      </c>
      <c r="O17397">
        <f>IF(N17397="","",'Master Barang'!B91)</f>
        <v>0</v>
      </c>
      <c r="P17397">
        <f>IF(OR(M17397="",N17397=""),"",SUMIFS('Barang Keluar'!$E:$E,'Barang Keluar'!$A:$A,M17397,'Barang Keluar'!$C:$C,N17397))</f>
        <v>0</v>
      </c>
    </row>
    <row r="17398" spans="13:16">
      <c r="M17398" s="49">
        <f>IF($A$4+173&gt;$B$4,"",$A$4+173)</f>
        <v>46196</v>
      </c>
      <c r="N17398">
        <f>IF(M17398="","",'Master Barang'!A92)</f>
        <v>0</v>
      </c>
      <c r="O17398">
        <f>IF(N17398="","",'Master Barang'!B92)</f>
        <v>0</v>
      </c>
      <c r="P17398">
        <f>IF(OR(M17398="",N17398=""),"",SUMIFS('Barang Keluar'!$E:$E,'Barang Keluar'!$A:$A,M17398,'Barang Keluar'!$C:$C,N17398))</f>
        <v>0</v>
      </c>
    </row>
    <row r="17399" spans="13:16">
      <c r="M17399" s="49">
        <f>IF($A$4+173&gt;$B$4,"",$A$4+173)</f>
        <v>46196</v>
      </c>
      <c r="N17399">
        <f>IF(M17399="","",'Master Barang'!A93)</f>
        <v>0</v>
      </c>
      <c r="O17399">
        <f>IF(N17399="","",'Master Barang'!B93)</f>
        <v>0</v>
      </c>
      <c r="P17399">
        <f>IF(OR(M17399="",N17399=""),"",SUMIFS('Barang Keluar'!$E:$E,'Barang Keluar'!$A:$A,M17399,'Barang Keluar'!$C:$C,N17399))</f>
        <v>0</v>
      </c>
    </row>
    <row r="17400" spans="13:16">
      <c r="M17400" s="49">
        <f>IF($A$4+173&gt;$B$4,"",$A$4+173)</f>
        <v>46196</v>
      </c>
      <c r="N17400">
        <f>IF(M17400="","",'Master Barang'!A94)</f>
        <v>0</v>
      </c>
      <c r="O17400">
        <f>IF(N17400="","",'Master Barang'!B94)</f>
        <v>0</v>
      </c>
      <c r="P17400">
        <f>IF(OR(M17400="",N17400=""),"",SUMIFS('Barang Keluar'!$E:$E,'Barang Keluar'!$A:$A,M17400,'Barang Keluar'!$C:$C,N17400))</f>
        <v>0</v>
      </c>
    </row>
    <row r="17401" spans="13:16">
      <c r="M17401" s="49">
        <f>IF($A$4+173&gt;$B$4,"",$A$4+173)</f>
        <v>46196</v>
      </c>
      <c r="N17401">
        <f>IF(M17401="","",'Master Barang'!A95)</f>
        <v>0</v>
      </c>
      <c r="O17401">
        <f>IF(N17401="","",'Master Barang'!B95)</f>
        <v>0</v>
      </c>
      <c r="P17401">
        <f>IF(OR(M17401="",N17401=""),"",SUMIFS('Barang Keluar'!$E:$E,'Barang Keluar'!$A:$A,M17401,'Barang Keluar'!$C:$C,N17401))</f>
        <v>0</v>
      </c>
    </row>
    <row r="17402" spans="13:16">
      <c r="M17402" s="49">
        <f>IF($A$4+173&gt;$B$4,"",$A$4+173)</f>
        <v>46196</v>
      </c>
      <c r="N17402">
        <f>IF(M17402="","",'Master Barang'!A96)</f>
        <v>0</v>
      </c>
      <c r="O17402">
        <f>IF(N17402="","",'Master Barang'!B96)</f>
        <v>0</v>
      </c>
      <c r="P17402">
        <f>IF(OR(M17402="",N17402=""),"",SUMIFS('Barang Keluar'!$E:$E,'Barang Keluar'!$A:$A,M17402,'Barang Keluar'!$C:$C,N17402))</f>
        <v>0</v>
      </c>
    </row>
    <row r="17403" spans="13:16">
      <c r="M17403" s="49">
        <f>IF($A$4+173&gt;$B$4,"",$A$4+173)</f>
        <v>46196</v>
      </c>
      <c r="N17403">
        <f>IF(M17403="","",'Master Barang'!A97)</f>
        <v>0</v>
      </c>
      <c r="O17403">
        <f>IF(N17403="","",'Master Barang'!B97)</f>
        <v>0</v>
      </c>
      <c r="P17403">
        <f>IF(OR(M17403="",N17403=""),"",SUMIFS('Barang Keluar'!$E:$E,'Barang Keluar'!$A:$A,M17403,'Barang Keluar'!$C:$C,N17403))</f>
        <v>0</v>
      </c>
    </row>
    <row r="17404" spans="13:16">
      <c r="M17404" s="49">
        <f>IF($A$4+173&gt;$B$4,"",$A$4+173)</f>
        <v>46196</v>
      </c>
      <c r="N17404">
        <f>IF(M17404="","",'Master Barang'!A98)</f>
        <v>0</v>
      </c>
      <c r="O17404">
        <f>IF(N17404="","",'Master Barang'!B98)</f>
        <v>0</v>
      </c>
      <c r="P17404">
        <f>IF(OR(M17404="",N17404=""),"",SUMIFS('Barang Keluar'!$E:$E,'Barang Keluar'!$A:$A,M17404,'Barang Keluar'!$C:$C,N17404))</f>
        <v>0</v>
      </c>
    </row>
    <row r="17405" spans="13:16">
      <c r="M17405" s="49">
        <f>IF($A$4+173&gt;$B$4,"",$A$4+173)</f>
        <v>46196</v>
      </c>
      <c r="N17405">
        <f>IF(M17405="","",'Master Barang'!A99)</f>
        <v>0</v>
      </c>
      <c r="O17405">
        <f>IF(N17405="","",'Master Barang'!B99)</f>
        <v>0</v>
      </c>
      <c r="P17405">
        <f>IF(OR(M17405="",N17405=""),"",SUMIFS('Barang Keluar'!$E:$E,'Barang Keluar'!$A:$A,M17405,'Barang Keluar'!$C:$C,N17405))</f>
        <v>0</v>
      </c>
    </row>
    <row r="17406" spans="13:16">
      <c r="M17406" s="49">
        <f>IF($A$4+173&gt;$B$4,"",$A$4+173)</f>
        <v>46196</v>
      </c>
      <c r="N17406">
        <f>IF(M17406="","",'Master Barang'!A100)</f>
        <v>0</v>
      </c>
      <c r="O17406">
        <f>IF(N17406="","",'Master Barang'!B100)</f>
        <v>0</v>
      </c>
      <c r="P17406">
        <f>IF(OR(M17406="",N17406=""),"",SUMIFS('Barang Keluar'!$E:$E,'Barang Keluar'!$A:$A,M17406,'Barang Keluar'!$C:$C,N17406))</f>
        <v>0</v>
      </c>
    </row>
    <row r="17407" spans="13:16">
      <c r="M17407" s="49">
        <f>IF($A$4+173&gt;$B$4,"",$A$4+173)</f>
        <v>46196</v>
      </c>
      <c r="N17407">
        <f>IF(M17407="","",'Master Barang'!A101)</f>
        <v>0</v>
      </c>
      <c r="O17407">
        <f>IF(N17407="","",'Master Barang'!B101)</f>
        <v>0</v>
      </c>
      <c r="P17407">
        <f>IF(OR(M17407="",N17407=""),"",SUMIFS('Barang Keluar'!$E:$E,'Barang Keluar'!$A:$A,M17407,'Barang Keluar'!$C:$C,N17407))</f>
        <v>0</v>
      </c>
    </row>
    <row r="17408" spans="13:16">
      <c r="M17408" s="49">
        <f>IF($A$4+174&gt;$B$4,"",$A$4+174)</f>
        <v>46197</v>
      </c>
      <c r="N17408" t="str">
        <f>IF(M17408="","",'Master Barang'!A2)</f>
        <v>PRL-001</v>
      </c>
      <c r="O17408" t="str">
        <f>IF(N17408="","",'Master Barang'!B2)</f>
        <v>natura desinfectant food grade 5l</v>
      </c>
      <c r="P17408">
        <f>IF(OR(M17408="",N17408=""),"",SUMIFS('Barang Keluar'!$E:$E,'Barang Keluar'!$A:$A,M17408,'Barang Keluar'!$C:$C,N17408))</f>
        <v>0</v>
      </c>
    </row>
    <row r="17409" spans="13:16">
      <c r="M17409" s="49">
        <f>IF($A$4+174&gt;$B$4,"",$A$4+174)</f>
        <v>46197</v>
      </c>
      <c r="N17409" t="str">
        <f>IF(M17409="","",'Master Barang'!A3)</f>
        <v>PRL-002</v>
      </c>
      <c r="O17409" t="str">
        <f>IF(N17409="","",'Master Barang'!B3)</f>
        <v>sunlight cairan pencuci piring 5l</v>
      </c>
      <c r="P17409">
        <f>IF(OR(M17409="",N17409=""),"",SUMIFS('Barang Keluar'!$E:$E,'Barang Keluar'!$A:$A,M17409,'Barang Keluar'!$C:$C,N17409))</f>
        <v>0</v>
      </c>
    </row>
    <row r="17410" spans="13:16">
      <c r="M17410" s="49">
        <f>IF($A$4+174&gt;$B$4,"",$A$4+174)</f>
        <v>46197</v>
      </c>
      <c r="N17410" t="str">
        <f>IF(M17410="","",'Master Barang'!A4)</f>
        <v>PRL-003</v>
      </c>
      <c r="O17410" t="str">
        <f>IF(N17410="","",'Master Barang'!B4)</f>
        <v>oixs cleaner 1l</v>
      </c>
      <c r="P17410">
        <f>IF(OR(M17410="",N17410=""),"",SUMIFS('Barang Keluar'!$E:$E,'Barang Keluar'!$A:$A,M17410,'Barang Keluar'!$C:$C,N17410))</f>
        <v>0</v>
      </c>
    </row>
    <row r="17411" spans="13:16">
      <c r="M17411" s="49">
        <f>IF($A$4+174&gt;$B$4,"",$A$4+174)</f>
        <v>46197</v>
      </c>
      <c r="N17411" t="str">
        <f>IF(M17411="","",'Master Barang'!A5)</f>
        <v>PRL-004</v>
      </c>
      <c r="O17411" t="str">
        <f>IF(N17411="","",'Master Barang'!B5)</f>
        <v>be clean tissue serbaguna</v>
      </c>
      <c r="P17411">
        <f>IF(OR(M17411="",N17411=""),"",SUMIFS('Barang Keluar'!$E:$E,'Barang Keluar'!$A:$A,M17411,'Barang Keluar'!$C:$C,N17411))</f>
        <v>0</v>
      </c>
    </row>
    <row r="17412" spans="13:16">
      <c r="M17412" s="49">
        <f>IF($A$4+174&gt;$B$4,"",$A$4+174)</f>
        <v>46197</v>
      </c>
      <c r="N17412" t="str">
        <f>IF(M17412="","",'Master Barang'!A6)</f>
        <v>PRL-005</v>
      </c>
      <c r="O17412" t="str">
        <f>IF(N17412="","",'Master Barang'!B6)</f>
        <v>spons cuci hijau</v>
      </c>
      <c r="P17412">
        <f>IF(OR(M17412="",N17412=""),"",SUMIFS('Barang Keluar'!$E:$E,'Barang Keluar'!$A:$A,M17412,'Barang Keluar'!$C:$C,N17412))</f>
        <v>0</v>
      </c>
    </row>
    <row r="17413" spans="13:16">
      <c r="M17413" s="49">
        <f>IF($A$4+174&gt;$B$4,"",$A$4+174)</f>
        <v>46197</v>
      </c>
      <c r="N17413" t="str">
        <f>IF(M17413="","",'Master Barang'!A7)</f>
        <v>PRL-006</v>
      </c>
      <c r="O17413" t="str">
        <f>IF(N17413="","",'Master Barang'!B7)</f>
        <v>sabut cuci stainless</v>
      </c>
      <c r="P17413">
        <f>IF(OR(M17413="",N17413=""),"",SUMIFS('Barang Keluar'!$E:$E,'Barang Keluar'!$A:$A,M17413,'Barang Keluar'!$C:$C,N17413))</f>
        <v>0</v>
      </c>
    </row>
    <row r="17414" spans="13:16">
      <c r="M17414" s="49">
        <f>IF($A$4+174&gt;$B$4,"",$A$4+174)</f>
        <v>46197</v>
      </c>
      <c r="N17414" t="str">
        <f>IF(M17414="","",'Master Barang'!A8)</f>
        <v>PRL-007</v>
      </c>
      <c r="O17414" t="str">
        <f>IF(N17414="","",'Master Barang'!B8)</f>
        <v>plastik kresek besar merah 50pc</v>
      </c>
      <c r="P17414">
        <f>IF(OR(M17414="",N17414=""),"",SUMIFS('Barang Keluar'!$E:$E,'Barang Keluar'!$A:$A,M17414,'Barang Keluar'!$C:$C,N17414))</f>
        <v>0</v>
      </c>
    </row>
    <row r="17415" spans="13:16">
      <c r="M17415" s="49">
        <f>IF($A$4+174&gt;$B$4,"",$A$4+174)</f>
        <v>46197</v>
      </c>
      <c r="N17415" t="str">
        <f>IF(M17415="","",'Master Barang'!A9)</f>
        <v>PRL-008</v>
      </c>
      <c r="O17415" t="str">
        <f>IF(N17415="","",'Master Barang'!B9)</f>
        <v>lap besar</v>
      </c>
      <c r="P17415">
        <f>IF(OR(M17415="",N17415=""),"",SUMIFS('Barang Keluar'!$E:$E,'Barang Keluar'!$A:$A,M17415,'Barang Keluar'!$C:$C,N17415))</f>
        <v>0</v>
      </c>
    </row>
    <row r="17416" spans="13:16">
      <c r="M17416" s="49">
        <f>IF($A$4+174&gt;$B$4,"",$A$4+174)</f>
        <v>46197</v>
      </c>
      <c r="N17416" t="str">
        <f>IF(M17416="","",'Master Barang'!A10)</f>
        <v>PRL-009</v>
      </c>
      <c r="O17416" t="str">
        <f>IF(N17416="","",'Master Barang'!B10)</f>
        <v>lap microfiber</v>
      </c>
      <c r="P17416">
        <f>IF(OR(M17416="",N17416=""),"",SUMIFS('Barang Keluar'!$E:$E,'Barang Keluar'!$A:$A,M17416,'Barang Keluar'!$C:$C,N17416))</f>
        <v>0</v>
      </c>
    </row>
    <row r="17417" spans="13:16">
      <c r="M17417" s="49">
        <f>IF($A$4+174&gt;$B$4,"",$A$4+174)</f>
        <v>46197</v>
      </c>
      <c r="N17417" t="str">
        <f>IF(M17417="","",'Master Barang'!A11)</f>
        <v>PRL-010</v>
      </c>
      <c r="O17417" t="str">
        <f>IF(N17417="","",'Master Barang'!B11)</f>
        <v>lap kecil</v>
      </c>
      <c r="P17417">
        <f>IF(OR(M17417="",N17417=""),"",SUMIFS('Barang Keluar'!$E:$E,'Barang Keluar'!$A:$A,M17417,'Barang Keluar'!$C:$C,N17417))</f>
        <v>0</v>
      </c>
    </row>
    <row r="17418" spans="13:16">
      <c r="M17418" s="49">
        <f>IF($A$4+174&gt;$B$4,"",$A$4+174)</f>
        <v>46197</v>
      </c>
      <c r="N17418" t="str">
        <f>IF(M17418="","",'Master Barang'!A12)</f>
        <v>PRL-011</v>
      </c>
      <c r="O17418" t="str">
        <f>IF(N17418="","",'Master Barang'!B12)</f>
        <v>kanebo kecil</v>
      </c>
      <c r="P17418">
        <f>IF(OR(M17418="",N17418=""),"",SUMIFS('Barang Keluar'!$E:$E,'Barang Keluar'!$A:$A,M17418,'Barang Keluar'!$C:$C,N17418))</f>
        <v>0</v>
      </c>
    </row>
    <row r="17419" spans="13:16">
      <c r="M17419" s="49">
        <f>IF($A$4+174&gt;$B$4,"",$A$4+174)</f>
        <v>46197</v>
      </c>
      <c r="N17419" t="str">
        <f>IF(M17419="","",'Master Barang'!A13)</f>
        <v>PRL-012</v>
      </c>
      <c r="O17419" t="str">
        <f>IF(N17419="","",'Master Barang'!B13)</f>
        <v>plastik 1/4kg joyoboyo 100 lembar</v>
      </c>
      <c r="P17419">
        <f>IF(OR(M17419="",N17419=""),"",SUMIFS('Barang Keluar'!$E:$E,'Barang Keluar'!$A:$A,M17419,'Barang Keluar'!$C:$C,N17419))</f>
        <v>0</v>
      </c>
    </row>
    <row r="17420" spans="13:16">
      <c r="M17420" s="49">
        <f>IF($A$4+174&gt;$B$4,"",$A$4+174)</f>
        <v>46197</v>
      </c>
      <c r="N17420" t="str">
        <f>IF(M17420="","",'Master Barang'!A14)</f>
        <v>PRL-013</v>
      </c>
      <c r="O17420" t="str">
        <f>IF(N17420="","",'Master Barang'!B14)</f>
        <v>sarung tangan plastik kaka 100 pcs</v>
      </c>
      <c r="P17420">
        <f>IF(OR(M17420="",N17420=""),"",SUMIFS('Barang Keluar'!$E:$E,'Barang Keluar'!$A:$A,M17420,'Barang Keluar'!$C:$C,N17420))</f>
        <v>0</v>
      </c>
    </row>
    <row r="17421" spans="13:16">
      <c r="M17421" s="49">
        <f>IF($A$4+174&gt;$B$4,"",$A$4+174)</f>
        <v>46197</v>
      </c>
      <c r="N17421" t="str">
        <f>IF(M17421="","",'Master Barang'!A15)</f>
        <v>PRL-014</v>
      </c>
      <c r="O17421" t="str">
        <f>IF(N17421="","",'Master Barang'!B15)</f>
        <v>optima trashbag 80x100</v>
      </c>
      <c r="P17421">
        <f>IF(OR(M17421="",N17421=""),"",SUMIFS('Barang Keluar'!$E:$E,'Barang Keluar'!$A:$A,M17421,'Barang Keluar'!$C:$C,N17421))</f>
        <v>0</v>
      </c>
    </row>
    <row r="17422" spans="13:16">
      <c r="M17422" s="49">
        <f>IF($A$4+174&gt;$B$4,"",$A$4+174)</f>
        <v>46197</v>
      </c>
      <c r="N17422" t="str">
        <f>IF(M17422="","",'Master Barang'!A16)</f>
        <v>PRL-015</v>
      </c>
      <c r="O17422" t="str">
        <f>IF(N17422="","",'Master Barang'!B16)</f>
        <v>optima trashbag 60x100</v>
      </c>
      <c r="P17422">
        <f>IF(OR(M17422="",N17422=""),"",SUMIFS('Barang Keluar'!$E:$E,'Barang Keluar'!$A:$A,M17422,'Barang Keluar'!$C:$C,N17422))</f>
        <v>0</v>
      </c>
    </row>
    <row r="17423" spans="13:16">
      <c r="M17423" s="49">
        <f>IF($A$4+174&gt;$B$4,"",$A$4+174)</f>
        <v>46197</v>
      </c>
      <c r="N17423" t="str">
        <f>IF(M17423="","",'Master Barang'!A17)</f>
        <v>PRL-016</v>
      </c>
      <c r="O17423" t="str">
        <f>IF(N17423="","",'Master Barang'!B17)</f>
        <v>rajawali trashbag 30x40</v>
      </c>
      <c r="P17423">
        <f>IF(OR(M17423="",N17423=""),"",SUMIFS('Barang Keluar'!$E:$E,'Barang Keluar'!$A:$A,M17423,'Barang Keluar'!$C:$C,N17423))</f>
        <v>0</v>
      </c>
    </row>
    <row r="17424" spans="13:16">
      <c r="M17424" s="49">
        <f>IF($A$4+174&gt;$B$4,"",$A$4+174)</f>
        <v>46197</v>
      </c>
      <c r="N17424" t="str">
        <f>IF(M17424="","",'Master Barang'!A18)</f>
        <v>PRL-017</v>
      </c>
      <c r="O17424" t="str">
        <f>IF(N17424="","",'Master Barang'!B18)</f>
        <v>onemed masker biru 3 play 50 pcs</v>
      </c>
      <c r="P17424">
        <f>IF(OR(M17424="",N17424=""),"",SUMIFS('Barang Keluar'!$E:$E,'Barang Keluar'!$A:$A,M17424,'Barang Keluar'!$C:$C,N17424))</f>
        <v>0</v>
      </c>
    </row>
    <row r="17425" spans="13:16">
      <c r="M17425" s="49">
        <f>IF($A$4+174&gt;$B$4,"",$A$4+174)</f>
        <v>46197</v>
      </c>
      <c r="N17425" t="str">
        <f>IF(M17425="","",'Master Barang'!A19)</f>
        <v>PRL-018</v>
      </c>
      <c r="O17425" t="str">
        <f>IF(N17425="","",'Master Barang'!B19)</f>
        <v>onemed masker biru 3 play hijab 50 pcs</v>
      </c>
      <c r="P17425">
        <f>IF(OR(M17425="",N17425=""),"",SUMIFS('Barang Keluar'!$E:$E,'Barang Keluar'!$A:$A,M17425,'Barang Keluar'!$C:$C,N17425))</f>
        <v>0</v>
      </c>
    </row>
    <row r="17426" spans="13:16">
      <c r="M17426" s="49">
        <f>IF($A$4+174&gt;$B$4,"",$A$4+174)</f>
        <v>46197</v>
      </c>
      <c r="N17426" t="str">
        <f>IF(M17426="","",'Master Barang'!A20)</f>
        <v>PRL-019</v>
      </c>
      <c r="O17426" t="str">
        <f>IF(N17426="","",'Master Barang'!B20)</f>
        <v>neo health masker biru 3 play 50 pcs</v>
      </c>
      <c r="P17426">
        <f>IF(OR(M17426="",N17426=""),"",SUMIFS('Barang Keluar'!$E:$E,'Barang Keluar'!$A:$A,M17426,'Barang Keluar'!$C:$C,N17426))</f>
        <v>0</v>
      </c>
    </row>
    <row r="17427" spans="13:16">
      <c r="M17427" s="49">
        <f>IF($A$4+174&gt;$B$4,"",$A$4+174)</f>
        <v>46197</v>
      </c>
      <c r="N17427" t="str">
        <f>IF(M17427="","",'Master Barang'!A21)</f>
        <v>PRL-020</v>
      </c>
      <c r="O17427" t="str">
        <f>IF(N17427="","",'Master Barang'!B21)</f>
        <v>baymed masker hijau 3 play hijau 50 pcs</v>
      </c>
      <c r="P17427">
        <f>IF(OR(M17427="",N17427=""),"",SUMIFS('Barang Keluar'!$E:$E,'Barang Keluar'!$A:$A,M17427,'Barang Keluar'!$C:$C,N17427))</f>
        <v>0</v>
      </c>
    </row>
    <row r="17428" spans="13:16">
      <c r="M17428" s="49">
        <f>IF($A$4+174&gt;$B$4,"",$A$4+174)</f>
        <v>46197</v>
      </c>
      <c r="N17428" t="str">
        <f>IF(M17428="","",'Master Barang'!A22)</f>
        <v>PRL-021</v>
      </c>
      <c r="O17428" t="str">
        <f>IF(N17428="","",'Master Barang'!B22)</f>
        <v>altamed nurse cap penutup kepala 100 pcs</v>
      </c>
      <c r="P17428">
        <f>IF(OR(M17428="",N17428=""),"",SUMIFS('Barang Keluar'!$E:$E,'Barang Keluar'!$A:$A,M17428,'Barang Keluar'!$C:$C,N17428))</f>
        <v>0</v>
      </c>
    </row>
    <row r="17429" spans="13:16">
      <c r="M17429" s="49">
        <f>IF($A$4+174&gt;$B$4,"",$A$4+174)</f>
        <v>46197</v>
      </c>
      <c r="N17429" t="str">
        <f>IF(M17429="","",'Master Barang'!A23)</f>
        <v>PRL-022</v>
      </c>
      <c r="O17429" t="str">
        <f>IF(N17429="","",'Master Barang'!B23)</f>
        <v>sabun cuci tangan</v>
      </c>
      <c r="P17429">
        <f>IF(OR(M17429="",N17429=""),"",SUMIFS('Barang Keluar'!$E:$E,'Barang Keluar'!$A:$A,M17429,'Barang Keluar'!$C:$C,N17429))</f>
        <v>0</v>
      </c>
    </row>
    <row r="17430" spans="13:16">
      <c r="M17430" s="49">
        <f>IF($A$4+174&gt;$B$4,"",$A$4+174)</f>
        <v>46197</v>
      </c>
      <c r="N17430" t="str">
        <f>IF(M17430="","",'Master Barang'!A24)</f>
        <v>PRL-023</v>
      </c>
      <c r="O17430" t="str">
        <f>IF(N17430="","",'Master Barang'!B24)</f>
        <v>gayung kecil</v>
      </c>
      <c r="P17430">
        <f>IF(OR(M17430="",N17430=""),"",SUMIFS('Barang Keluar'!$E:$E,'Barang Keluar'!$A:$A,M17430,'Barang Keluar'!$C:$C,N17430))</f>
        <v>0</v>
      </c>
    </row>
    <row r="17431" spans="13:16">
      <c r="M17431" s="49">
        <f>IF($A$4+174&gt;$B$4,"",$A$4+174)</f>
        <v>46197</v>
      </c>
      <c r="N17431" t="str">
        <f>IF(M17431="","",'Master Barang'!A25)</f>
        <v>PRL-024</v>
      </c>
      <c r="O17431" t="str">
        <f>IF(N17431="","",'Master Barang'!B25)</f>
        <v>cikrak kecil</v>
      </c>
      <c r="P17431">
        <f>IF(OR(M17431="",N17431=""),"",SUMIFS('Barang Keluar'!$E:$E,'Barang Keluar'!$A:$A,M17431,'Barang Keluar'!$C:$C,N17431))</f>
        <v>0</v>
      </c>
    </row>
    <row r="17432" spans="13:16">
      <c r="M17432" s="49">
        <f>IF($A$4+174&gt;$B$4,"",$A$4+174)</f>
        <v>46197</v>
      </c>
      <c r="N17432" t="str">
        <f>IF(M17432="","",'Master Barang'!A26)</f>
        <v>PRL-025</v>
      </c>
      <c r="O17432" t="str">
        <f>IF(N17432="","",'Master Barang'!B26)</f>
        <v>petromax plastik kecil 12x24 100 lembar</v>
      </c>
      <c r="P17432">
        <f>IF(OR(M17432="",N17432=""),"",SUMIFS('Barang Keluar'!$E:$E,'Barang Keluar'!$A:$A,M17432,'Barang Keluar'!$C:$C,N17432))</f>
        <v>0</v>
      </c>
    </row>
    <row r="17433" spans="13:16">
      <c r="M17433" s="49">
        <f>IF($A$4+174&gt;$B$4,"",$A$4+174)</f>
        <v>46197</v>
      </c>
      <c r="N17433" t="str">
        <f>IF(M17433="","",'Master Barang'!A27)</f>
        <v>PRL-026</v>
      </c>
      <c r="O17433" t="str">
        <f>IF(N17433="","",'Master Barang'!B27)</f>
        <v>lancar kresek kecil bening </v>
      </c>
      <c r="P17433">
        <f>IF(OR(M17433="",N17433=""),"",SUMIFS('Barang Keluar'!$E:$E,'Barang Keluar'!$A:$A,M17433,'Barang Keluar'!$C:$C,N17433))</f>
        <v>0</v>
      </c>
    </row>
    <row r="17434" spans="13:16">
      <c r="M17434" s="49">
        <f>IF($A$4+174&gt;$B$4,"",$A$4+174)</f>
        <v>46197</v>
      </c>
      <c r="N17434" t="str">
        <f>IF(M17434="","",'Master Barang'!A28)</f>
        <v>PRL-027</v>
      </c>
      <c r="O17434" t="str">
        <f>IF(N17434="","",'Master Barang'!B28)</f>
        <v>kresek klin warna warni kecil</v>
      </c>
      <c r="P17434">
        <f>IF(OR(M17434="",N17434=""),"",SUMIFS('Barang Keluar'!$E:$E,'Barang Keluar'!$A:$A,M17434,'Barang Keluar'!$C:$C,N17434))</f>
        <v>0</v>
      </c>
    </row>
    <row r="17435" spans="13:16">
      <c r="M17435" s="49">
        <f>IF($A$4+174&gt;$B$4,"",$A$4+174)</f>
        <v>46197</v>
      </c>
      <c r="N17435" t="str">
        <f>IF(M17435="","",'Master Barang'!A29)</f>
        <v>PRL-028</v>
      </c>
      <c r="O17435" t="str">
        <f>IF(N17435="","",'Master Barang'!B29)</f>
        <v>ctik plastik 7x10 100 pcs</v>
      </c>
      <c r="P17435">
        <f>IF(OR(M17435="",N17435=""),"",SUMIFS('Barang Keluar'!$E:$E,'Barang Keluar'!$A:$A,M17435,'Barang Keluar'!$C:$C,N17435))</f>
        <v>0</v>
      </c>
    </row>
    <row r="17436" spans="13:16">
      <c r="M17436" s="49">
        <f>IF($A$4+174&gt;$B$4,"",$A$4+174)</f>
        <v>46197</v>
      </c>
      <c r="N17436" t="str">
        <f>IF(M17436="","",'Master Barang'!A30)</f>
        <v>PRL-029</v>
      </c>
      <c r="O17436" t="str">
        <f>IF(N17436="","",'Master Barang'!B30)</f>
        <v>ctik plastik 6x10 100 pcs</v>
      </c>
      <c r="P17436">
        <f>IF(OR(M17436="",N17436=""),"",SUMIFS('Barang Keluar'!$E:$E,'Barang Keluar'!$A:$A,M17436,'Barang Keluar'!$C:$C,N17436))</f>
        <v>0</v>
      </c>
    </row>
    <row r="17437" spans="13:16">
      <c r="M17437" s="49">
        <f>IF($A$4+174&gt;$B$4,"",$A$4+174)</f>
        <v>46197</v>
      </c>
      <c r="N17437" t="str">
        <f>IF(M17437="","",'Master Barang'!A31)</f>
        <v>PRL-030</v>
      </c>
      <c r="O17437" t="str">
        <f>IF(N17437="","",'Master Barang'!B31)</f>
        <v>klip plastik 25x16 100 pcs</v>
      </c>
      <c r="P17437">
        <f>IF(OR(M17437="",N17437=""),"",SUMIFS('Barang Keluar'!$E:$E,'Barang Keluar'!$A:$A,M17437,'Barang Keluar'!$C:$C,N17437))</f>
        <v>0</v>
      </c>
    </row>
    <row r="17438" spans="13:16">
      <c r="M17438" s="49">
        <f>IF($A$4+174&gt;$B$4,"",$A$4+174)</f>
        <v>46197</v>
      </c>
      <c r="N17438" t="str">
        <f>IF(M17438="","",'Master Barang'!A32)</f>
        <v>PRL-031</v>
      </c>
      <c r="O17438" t="str">
        <f>IF(N17438="","",'Master Barang'!B32)</f>
        <v>tempat saus 20 ml</v>
      </c>
      <c r="P17438">
        <f>IF(OR(M17438="",N17438=""),"",SUMIFS('Barang Keluar'!$E:$E,'Barang Keluar'!$A:$A,M17438,'Barang Keluar'!$C:$C,N17438))</f>
        <v>0</v>
      </c>
    </row>
    <row r="17439" spans="13:16">
      <c r="M17439" s="49">
        <f>IF($A$4+174&gt;$B$4,"",$A$4+174)</f>
        <v>46197</v>
      </c>
      <c r="N17439" t="str">
        <f>IF(M17439="","",'Master Barang'!A33)</f>
        <v>PRL-032</v>
      </c>
      <c r="O17439" t="str">
        <f>IF(N17439="","",'Master Barang'!B33)</f>
        <v>plastik packaging ag box uk sedang</v>
      </c>
      <c r="P17439">
        <f>IF(OR(M17439="",N17439=""),"",SUMIFS('Barang Keluar'!$E:$E,'Barang Keluar'!$A:$A,M17439,'Barang Keluar'!$C:$C,N17439))</f>
        <v>0</v>
      </c>
    </row>
    <row r="17440" spans="13:16">
      <c r="M17440" s="49">
        <f>IF($A$4+174&gt;$B$4,"",$A$4+174)</f>
        <v>46197</v>
      </c>
      <c r="N17440" t="str">
        <f>IF(M17440="","",'Master Barang'!A34)</f>
        <v>PRL-033</v>
      </c>
      <c r="O17440">
        <f>IF(N17440="","",'Master Barang'!B34)</f>
        <v>0</v>
      </c>
      <c r="P17440">
        <f>IF(OR(M17440="",N17440=""),"",SUMIFS('Barang Keluar'!$E:$E,'Barang Keluar'!$A:$A,M17440,'Barang Keluar'!$C:$C,N17440))</f>
        <v>0</v>
      </c>
    </row>
    <row r="17441" spans="13:16">
      <c r="M17441" s="49">
        <f>IF($A$4+174&gt;$B$4,"",$A$4+174)</f>
        <v>46197</v>
      </c>
      <c r="N17441">
        <f>IF(M17441="","",'Master Barang'!A35)</f>
        <v>0</v>
      </c>
      <c r="O17441">
        <f>IF(N17441="","",'Master Barang'!B35)</f>
        <v>0</v>
      </c>
      <c r="P17441">
        <f>IF(OR(M17441="",N17441=""),"",SUMIFS('Barang Keluar'!$E:$E,'Barang Keluar'!$A:$A,M17441,'Barang Keluar'!$C:$C,N17441))</f>
        <v>0</v>
      </c>
    </row>
    <row r="17442" spans="13:16">
      <c r="M17442" s="49">
        <f>IF($A$4+174&gt;$B$4,"",$A$4+174)</f>
        <v>46197</v>
      </c>
      <c r="N17442">
        <f>IF(M17442="","",'Master Barang'!A36)</f>
        <v>0</v>
      </c>
      <c r="O17442">
        <f>IF(N17442="","",'Master Barang'!B36)</f>
        <v>0</v>
      </c>
      <c r="P17442">
        <f>IF(OR(M17442="",N17442=""),"",SUMIFS('Barang Keluar'!$E:$E,'Barang Keluar'!$A:$A,M17442,'Barang Keluar'!$C:$C,N17442))</f>
        <v>0</v>
      </c>
    </row>
    <row r="17443" spans="13:16">
      <c r="M17443" s="49">
        <f>IF($A$4+174&gt;$B$4,"",$A$4+174)</f>
        <v>46197</v>
      </c>
      <c r="N17443">
        <f>IF(M17443="","",'Master Barang'!A37)</f>
        <v>0</v>
      </c>
      <c r="O17443">
        <f>IF(N17443="","",'Master Barang'!B37)</f>
        <v>0</v>
      </c>
      <c r="P17443">
        <f>IF(OR(M17443="",N17443=""),"",SUMIFS('Barang Keluar'!$E:$E,'Barang Keluar'!$A:$A,M17443,'Barang Keluar'!$C:$C,N17443))</f>
        <v>0</v>
      </c>
    </row>
    <row r="17444" spans="13:16">
      <c r="M17444" s="49">
        <f>IF($A$4+174&gt;$B$4,"",$A$4+174)</f>
        <v>46197</v>
      </c>
      <c r="N17444">
        <f>IF(M17444="","",'Master Barang'!A38)</f>
        <v>0</v>
      </c>
      <c r="O17444">
        <f>IF(N17444="","",'Master Barang'!B38)</f>
        <v>0</v>
      </c>
      <c r="P17444">
        <f>IF(OR(M17444="",N17444=""),"",SUMIFS('Barang Keluar'!$E:$E,'Barang Keluar'!$A:$A,M17444,'Barang Keluar'!$C:$C,N17444))</f>
        <v>0</v>
      </c>
    </row>
    <row r="17445" spans="13:16">
      <c r="M17445" s="49">
        <f>IF($A$4+174&gt;$B$4,"",$A$4+174)</f>
        <v>46197</v>
      </c>
      <c r="N17445">
        <f>IF(M17445="","",'Master Barang'!A39)</f>
        <v>0</v>
      </c>
      <c r="O17445">
        <f>IF(N17445="","",'Master Barang'!B39)</f>
        <v>0</v>
      </c>
      <c r="P17445">
        <f>IF(OR(M17445="",N17445=""),"",SUMIFS('Barang Keluar'!$E:$E,'Barang Keluar'!$A:$A,M17445,'Barang Keluar'!$C:$C,N17445))</f>
        <v>0</v>
      </c>
    </row>
    <row r="17446" spans="13:16">
      <c r="M17446" s="49">
        <f>IF($A$4+174&gt;$B$4,"",$A$4+174)</f>
        <v>46197</v>
      </c>
      <c r="N17446">
        <f>IF(M17446="","",'Master Barang'!A40)</f>
        <v>0</v>
      </c>
      <c r="O17446">
        <f>IF(N17446="","",'Master Barang'!B40)</f>
        <v>0</v>
      </c>
      <c r="P17446">
        <f>IF(OR(M17446="",N17446=""),"",SUMIFS('Barang Keluar'!$E:$E,'Barang Keluar'!$A:$A,M17446,'Barang Keluar'!$C:$C,N17446))</f>
        <v>0</v>
      </c>
    </row>
    <row r="17447" spans="13:16">
      <c r="M17447" s="49">
        <f>IF($A$4+174&gt;$B$4,"",$A$4+174)</f>
        <v>46197</v>
      </c>
      <c r="N17447">
        <f>IF(M17447="","",'Master Barang'!A41)</f>
        <v>0</v>
      </c>
      <c r="O17447">
        <f>IF(N17447="","",'Master Barang'!B41)</f>
        <v>0</v>
      </c>
      <c r="P17447">
        <f>IF(OR(M17447="",N17447=""),"",SUMIFS('Barang Keluar'!$E:$E,'Barang Keluar'!$A:$A,M17447,'Barang Keluar'!$C:$C,N17447))</f>
        <v>0</v>
      </c>
    </row>
    <row r="17448" spans="13:16">
      <c r="M17448" s="49">
        <f>IF($A$4+174&gt;$B$4,"",$A$4+174)</f>
        <v>46197</v>
      </c>
      <c r="N17448">
        <f>IF(M17448="","",'Master Barang'!A42)</f>
        <v>0</v>
      </c>
      <c r="O17448">
        <f>IF(N17448="","",'Master Barang'!B42)</f>
        <v>0</v>
      </c>
      <c r="P17448">
        <f>IF(OR(M17448="",N17448=""),"",SUMIFS('Barang Keluar'!$E:$E,'Barang Keluar'!$A:$A,M17448,'Barang Keluar'!$C:$C,N17448))</f>
        <v>0</v>
      </c>
    </row>
    <row r="17449" spans="13:16">
      <c r="M17449" s="49">
        <f>IF($A$4+174&gt;$B$4,"",$A$4+174)</f>
        <v>46197</v>
      </c>
      <c r="N17449">
        <f>IF(M17449="","",'Master Barang'!A43)</f>
        <v>0</v>
      </c>
      <c r="O17449">
        <f>IF(N17449="","",'Master Barang'!B43)</f>
        <v>0</v>
      </c>
      <c r="P17449">
        <f>IF(OR(M17449="",N17449=""),"",SUMIFS('Barang Keluar'!$E:$E,'Barang Keluar'!$A:$A,M17449,'Barang Keluar'!$C:$C,N17449))</f>
        <v>0</v>
      </c>
    </row>
    <row r="17450" spans="13:16">
      <c r="M17450" s="49">
        <f>IF($A$4+174&gt;$B$4,"",$A$4+174)</f>
        <v>46197</v>
      </c>
      <c r="N17450">
        <f>IF(M17450="","",'Master Barang'!A44)</f>
        <v>0</v>
      </c>
      <c r="O17450">
        <f>IF(N17450="","",'Master Barang'!B44)</f>
        <v>0</v>
      </c>
      <c r="P17450">
        <f>IF(OR(M17450="",N17450=""),"",SUMIFS('Barang Keluar'!$E:$E,'Barang Keluar'!$A:$A,M17450,'Barang Keluar'!$C:$C,N17450))</f>
        <v>0</v>
      </c>
    </row>
    <row r="17451" spans="13:16">
      <c r="M17451" s="49">
        <f>IF($A$4+174&gt;$B$4,"",$A$4+174)</f>
        <v>46197</v>
      </c>
      <c r="N17451">
        <f>IF(M17451="","",'Master Barang'!A45)</f>
        <v>0</v>
      </c>
      <c r="O17451">
        <f>IF(N17451="","",'Master Barang'!B45)</f>
        <v>0</v>
      </c>
      <c r="P17451">
        <f>IF(OR(M17451="",N17451=""),"",SUMIFS('Barang Keluar'!$E:$E,'Barang Keluar'!$A:$A,M17451,'Barang Keluar'!$C:$C,N17451))</f>
        <v>0</v>
      </c>
    </row>
    <row r="17452" spans="13:16">
      <c r="M17452" s="49">
        <f>IF($A$4+174&gt;$B$4,"",$A$4+174)</f>
        <v>46197</v>
      </c>
      <c r="N17452">
        <f>IF(M17452="","",'Master Barang'!A46)</f>
        <v>0</v>
      </c>
      <c r="O17452">
        <f>IF(N17452="","",'Master Barang'!B46)</f>
        <v>0</v>
      </c>
      <c r="P17452">
        <f>IF(OR(M17452="",N17452=""),"",SUMIFS('Barang Keluar'!$E:$E,'Barang Keluar'!$A:$A,M17452,'Barang Keluar'!$C:$C,N17452))</f>
        <v>0</v>
      </c>
    </row>
    <row r="17453" spans="13:16">
      <c r="M17453" s="49">
        <f>IF($A$4+174&gt;$B$4,"",$A$4+174)</f>
        <v>46197</v>
      </c>
      <c r="N17453">
        <f>IF(M17453="","",'Master Barang'!A47)</f>
        <v>0</v>
      </c>
      <c r="O17453">
        <f>IF(N17453="","",'Master Barang'!B47)</f>
        <v>0</v>
      </c>
      <c r="P17453">
        <f>IF(OR(M17453="",N17453=""),"",SUMIFS('Barang Keluar'!$E:$E,'Barang Keluar'!$A:$A,M17453,'Barang Keluar'!$C:$C,N17453))</f>
        <v>0</v>
      </c>
    </row>
    <row r="17454" spans="13:16">
      <c r="M17454" s="49">
        <f>IF($A$4+174&gt;$B$4,"",$A$4+174)</f>
        <v>46197</v>
      </c>
      <c r="N17454">
        <f>IF(M17454="","",'Master Barang'!A48)</f>
        <v>0</v>
      </c>
      <c r="O17454">
        <f>IF(N17454="","",'Master Barang'!B48)</f>
        <v>0</v>
      </c>
      <c r="P17454">
        <f>IF(OR(M17454="",N17454=""),"",SUMIFS('Barang Keluar'!$E:$E,'Barang Keluar'!$A:$A,M17454,'Barang Keluar'!$C:$C,N17454))</f>
        <v>0</v>
      </c>
    </row>
    <row r="17455" spans="13:16">
      <c r="M17455" s="49">
        <f>IF($A$4+174&gt;$B$4,"",$A$4+174)</f>
        <v>46197</v>
      </c>
      <c r="N17455">
        <f>IF(M17455="","",'Master Barang'!A49)</f>
        <v>0</v>
      </c>
      <c r="O17455">
        <f>IF(N17455="","",'Master Barang'!B49)</f>
        <v>0</v>
      </c>
      <c r="P17455">
        <f>IF(OR(M17455="",N17455=""),"",SUMIFS('Barang Keluar'!$E:$E,'Barang Keluar'!$A:$A,M17455,'Barang Keluar'!$C:$C,N17455))</f>
        <v>0</v>
      </c>
    </row>
    <row r="17456" spans="13:16">
      <c r="M17456" s="49">
        <f>IF($A$4+174&gt;$B$4,"",$A$4+174)</f>
        <v>46197</v>
      </c>
      <c r="N17456">
        <f>IF(M17456="","",'Master Barang'!A50)</f>
        <v>0</v>
      </c>
      <c r="O17456">
        <f>IF(N17456="","",'Master Barang'!B50)</f>
        <v>0</v>
      </c>
      <c r="P17456">
        <f>IF(OR(M17456="",N17456=""),"",SUMIFS('Barang Keluar'!$E:$E,'Barang Keluar'!$A:$A,M17456,'Barang Keluar'!$C:$C,N17456))</f>
        <v>0</v>
      </c>
    </row>
    <row r="17457" spans="13:16">
      <c r="M17457" s="49">
        <f>IF($A$4+174&gt;$B$4,"",$A$4+174)</f>
        <v>46197</v>
      </c>
      <c r="N17457">
        <f>IF(M17457="","",'Master Barang'!A51)</f>
        <v>0</v>
      </c>
      <c r="O17457">
        <f>IF(N17457="","",'Master Barang'!B51)</f>
        <v>0</v>
      </c>
      <c r="P17457">
        <f>IF(OR(M17457="",N17457=""),"",SUMIFS('Barang Keluar'!$E:$E,'Barang Keluar'!$A:$A,M17457,'Barang Keluar'!$C:$C,N17457))</f>
        <v>0</v>
      </c>
    </row>
    <row r="17458" spans="13:16">
      <c r="M17458" s="49">
        <f>IF($A$4+174&gt;$B$4,"",$A$4+174)</f>
        <v>46197</v>
      </c>
      <c r="N17458">
        <f>IF(M17458="","",'Master Barang'!A52)</f>
        <v>0</v>
      </c>
      <c r="O17458">
        <f>IF(N17458="","",'Master Barang'!B52)</f>
        <v>0</v>
      </c>
      <c r="P17458">
        <f>IF(OR(M17458="",N17458=""),"",SUMIFS('Barang Keluar'!$E:$E,'Barang Keluar'!$A:$A,M17458,'Barang Keluar'!$C:$C,N17458))</f>
        <v>0</v>
      </c>
    </row>
    <row r="17459" spans="13:16">
      <c r="M17459" s="49">
        <f>IF($A$4+174&gt;$B$4,"",$A$4+174)</f>
        <v>46197</v>
      </c>
      <c r="N17459">
        <f>IF(M17459="","",'Master Barang'!A53)</f>
        <v>0</v>
      </c>
      <c r="O17459">
        <f>IF(N17459="","",'Master Barang'!B53)</f>
        <v>0</v>
      </c>
      <c r="P17459">
        <f>IF(OR(M17459="",N17459=""),"",SUMIFS('Barang Keluar'!$E:$E,'Barang Keluar'!$A:$A,M17459,'Barang Keluar'!$C:$C,N17459))</f>
        <v>0</v>
      </c>
    </row>
    <row r="17460" spans="13:16">
      <c r="M17460" s="49">
        <f>IF($A$4+174&gt;$B$4,"",$A$4+174)</f>
        <v>46197</v>
      </c>
      <c r="N17460">
        <f>IF(M17460="","",'Master Barang'!A54)</f>
        <v>0</v>
      </c>
      <c r="O17460">
        <f>IF(N17460="","",'Master Barang'!B54)</f>
        <v>0</v>
      </c>
      <c r="P17460">
        <f>IF(OR(M17460="",N17460=""),"",SUMIFS('Barang Keluar'!$E:$E,'Barang Keluar'!$A:$A,M17460,'Barang Keluar'!$C:$C,N17460))</f>
        <v>0</v>
      </c>
    </row>
    <row r="17461" spans="13:16">
      <c r="M17461" s="49">
        <f>IF($A$4+174&gt;$B$4,"",$A$4+174)</f>
        <v>46197</v>
      </c>
      <c r="N17461">
        <f>IF(M17461="","",'Master Barang'!A55)</f>
        <v>0</v>
      </c>
      <c r="O17461">
        <f>IF(N17461="","",'Master Barang'!B55)</f>
        <v>0</v>
      </c>
      <c r="P17461">
        <f>IF(OR(M17461="",N17461=""),"",SUMIFS('Barang Keluar'!$E:$E,'Barang Keluar'!$A:$A,M17461,'Barang Keluar'!$C:$C,N17461))</f>
        <v>0</v>
      </c>
    </row>
    <row r="17462" spans="13:16">
      <c r="M17462" s="49">
        <f>IF($A$4+174&gt;$B$4,"",$A$4+174)</f>
        <v>46197</v>
      </c>
      <c r="N17462">
        <f>IF(M17462="","",'Master Barang'!A56)</f>
        <v>0</v>
      </c>
      <c r="O17462">
        <f>IF(N17462="","",'Master Barang'!B56)</f>
        <v>0</v>
      </c>
      <c r="P17462">
        <f>IF(OR(M17462="",N17462=""),"",SUMIFS('Barang Keluar'!$E:$E,'Barang Keluar'!$A:$A,M17462,'Barang Keluar'!$C:$C,N17462))</f>
        <v>0</v>
      </c>
    </row>
    <row r="17463" spans="13:16">
      <c r="M17463" s="49">
        <f>IF($A$4+174&gt;$B$4,"",$A$4+174)</f>
        <v>46197</v>
      </c>
      <c r="N17463">
        <f>IF(M17463="","",'Master Barang'!A57)</f>
        <v>0</v>
      </c>
      <c r="O17463">
        <f>IF(N17463="","",'Master Barang'!B57)</f>
        <v>0</v>
      </c>
      <c r="P17463">
        <f>IF(OR(M17463="",N17463=""),"",SUMIFS('Barang Keluar'!$E:$E,'Barang Keluar'!$A:$A,M17463,'Barang Keluar'!$C:$C,N17463))</f>
        <v>0</v>
      </c>
    </row>
    <row r="17464" spans="13:16">
      <c r="M17464" s="49">
        <f>IF($A$4+174&gt;$B$4,"",$A$4+174)</f>
        <v>46197</v>
      </c>
      <c r="N17464">
        <f>IF(M17464="","",'Master Barang'!A58)</f>
        <v>0</v>
      </c>
      <c r="O17464">
        <f>IF(N17464="","",'Master Barang'!B58)</f>
        <v>0</v>
      </c>
      <c r="P17464">
        <f>IF(OR(M17464="",N17464=""),"",SUMIFS('Barang Keluar'!$E:$E,'Barang Keluar'!$A:$A,M17464,'Barang Keluar'!$C:$C,N17464))</f>
        <v>0</v>
      </c>
    </row>
    <row r="17465" spans="13:16">
      <c r="M17465" s="49">
        <f>IF($A$4+174&gt;$B$4,"",$A$4+174)</f>
        <v>46197</v>
      </c>
      <c r="N17465">
        <f>IF(M17465="","",'Master Barang'!A59)</f>
        <v>0</v>
      </c>
      <c r="O17465">
        <f>IF(N17465="","",'Master Barang'!B59)</f>
        <v>0</v>
      </c>
      <c r="P17465">
        <f>IF(OR(M17465="",N17465=""),"",SUMIFS('Barang Keluar'!$E:$E,'Barang Keluar'!$A:$A,M17465,'Barang Keluar'!$C:$C,N17465))</f>
        <v>0</v>
      </c>
    </row>
    <row r="17466" spans="13:16">
      <c r="M17466" s="49">
        <f>IF($A$4+174&gt;$B$4,"",$A$4+174)</f>
        <v>46197</v>
      </c>
      <c r="N17466">
        <f>IF(M17466="","",'Master Barang'!A60)</f>
        <v>0</v>
      </c>
      <c r="O17466">
        <f>IF(N17466="","",'Master Barang'!B60)</f>
        <v>0</v>
      </c>
      <c r="P17466">
        <f>IF(OR(M17466="",N17466=""),"",SUMIFS('Barang Keluar'!$E:$E,'Barang Keluar'!$A:$A,M17466,'Barang Keluar'!$C:$C,N17466))</f>
        <v>0</v>
      </c>
    </row>
    <row r="17467" spans="13:16">
      <c r="M17467" s="49">
        <f>IF($A$4+174&gt;$B$4,"",$A$4+174)</f>
        <v>46197</v>
      </c>
      <c r="N17467">
        <f>IF(M17467="","",'Master Barang'!A61)</f>
        <v>0</v>
      </c>
      <c r="O17467">
        <f>IF(N17467="","",'Master Barang'!B61)</f>
        <v>0</v>
      </c>
      <c r="P17467">
        <f>IF(OR(M17467="",N17467=""),"",SUMIFS('Barang Keluar'!$E:$E,'Barang Keluar'!$A:$A,M17467,'Barang Keluar'!$C:$C,N17467))</f>
        <v>0</v>
      </c>
    </row>
    <row r="17468" spans="13:16">
      <c r="M17468" s="49">
        <f>IF($A$4+174&gt;$B$4,"",$A$4+174)</f>
        <v>46197</v>
      </c>
      <c r="N17468">
        <f>IF(M17468="","",'Master Barang'!A62)</f>
        <v>0</v>
      </c>
      <c r="O17468">
        <f>IF(N17468="","",'Master Barang'!B62)</f>
        <v>0</v>
      </c>
      <c r="P17468">
        <f>IF(OR(M17468="",N17468=""),"",SUMIFS('Barang Keluar'!$E:$E,'Barang Keluar'!$A:$A,M17468,'Barang Keluar'!$C:$C,N17468))</f>
        <v>0</v>
      </c>
    </row>
    <row r="17469" spans="13:16">
      <c r="M17469" s="49">
        <f>IF($A$4+174&gt;$B$4,"",$A$4+174)</f>
        <v>46197</v>
      </c>
      <c r="N17469">
        <f>IF(M17469="","",'Master Barang'!A63)</f>
        <v>0</v>
      </c>
      <c r="O17469">
        <f>IF(N17469="","",'Master Barang'!B63)</f>
        <v>0</v>
      </c>
      <c r="P17469">
        <f>IF(OR(M17469="",N17469=""),"",SUMIFS('Barang Keluar'!$E:$E,'Barang Keluar'!$A:$A,M17469,'Barang Keluar'!$C:$C,N17469))</f>
        <v>0</v>
      </c>
    </row>
    <row r="17470" spans="13:16">
      <c r="M17470" s="49">
        <f>IF($A$4+174&gt;$B$4,"",$A$4+174)</f>
        <v>46197</v>
      </c>
      <c r="N17470">
        <f>IF(M17470="","",'Master Barang'!A64)</f>
        <v>0</v>
      </c>
      <c r="O17470">
        <f>IF(N17470="","",'Master Barang'!B64)</f>
        <v>0</v>
      </c>
      <c r="P17470">
        <f>IF(OR(M17470="",N17470=""),"",SUMIFS('Barang Keluar'!$E:$E,'Barang Keluar'!$A:$A,M17470,'Barang Keluar'!$C:$C,N17470))</f>
        <v>0</v>
      </c>
    </row>
    <row r="17471" spans="13:16">
      <c r="M17471" s="49">
        <f>IF($A$4+174&gt;$B$4,"",$A$4+174)</f>
        <v>46197</v>
      </c>
      <c r="N17471">
        <f>IF(M17471="","",'Master Barang'!A65)</f>
        <v>0</v>
      </c>
      <c r="O17471">
        <f>IF(N17471="","",'Master Barang'!B65)</f>
        <v>0</v>
      </c>
      <c r="P17471">
        <f>IF(OR(M17471="",N17471=""),"",SUMIFS('Barang Keluar'!$E:$E,'Barang Keluar'!$A:$A,M17471,'Barang Keluar'!$C:$C,N17471))</f>
        <v>0</v>
      </c>
    </row>
    <row r="17472" spans="13:16">
      <c r="M17472" s="49">
        <f>IF($A$4+174&gt;$B$4,"",$A$4+174)</f>
        <v>46197</v>
      </c>
      <c r="N17472">
        <f>IF(M17472="","",'Master Barang'!A66)</f>
        <v>0</v>
      </c>
      <c r="O17472">
        <f>IF(N17472="","",'Master Barang'!B66)</f>
        <v>0</v>
      </c>
      <c r="P17472">
        <f>IF(OR(M17472="",N17472=""),"",SUMIFS('Barang Keluar'!$E:$E,'Barang Keluar'!$A:$A,M17472,'Barang Keluar'!$C:$C,N17472))</f>
        <v>0</v>
      </c>
    </row>
    <row r="17473" spans="13:16">
      <c r="M17473" s="49">
        <f>IF($A$4+174&gt;$B$4,"",$A$4+174)</f>
        <v>46197</v>
      </c>
      <c r="N17473">
        <f>IF(M17473="","",'Master Barang'!A67)</f>
        <v>0</v>
      </c>
      <c r="O17473">
        <f>IF(N17473="","",'Master Barang'!B67)</f>
        <v>0</v>
      </c>
      <c r="P17473">
        <f>IF(OR(M17473="",N17473=""),"",SUMIFS('Barang Keluar'!$E:$E,'Barang Keluar'!$A:$A,M17473,'Barang Keluar'!$C:$C,N17473))</f>
        <v>0</v>
      </c>
    </row>
    <row r="17474" spans="13:16">
      <c r="M17474" s="49">
        <f>IF($A$4+174&gt;$B$4,"",$A$4+174)</f>
        <v>46197</v>
      </c>
      <c r="N17474">
        <f>IF(M17474="","",'Master Barang'!A68)</f>
        <v>0</v>
      </c>
      <c r="O17474">
        <f>IF(N17474="","",'Master Barang'!B68)</f>
        <v>0</v>
      </c>
      <c r="P17474">
        <f>IF(OR(M17474="",N17474=""),"",SUMIFS('Barang Keluar'!$E:$E,'Barang Keluar'!$A:$A,M17474,'Barang Keluar'!$C:$C,N17474))</f>
        <v>0</v>
      </c>
    </row>
    <row r="17475" spans="13:16">
      <c r="M17475" s="49">
        <f>IF($A$4+174&gt;$B$4,"",$A$4+174)</f>
        <v>46197</v>
      </c>
      <c r="N17475">
        <f>IF(M17475="","",'Master Barang'!A69)</f>
        <v>0</v>
      </c>
      <c r="O17475">
        <f>IF(N17475="","",'Master Barang'!B69)</f>
        <v>0</v>
      </c>
      <c r="P17475">
        <f>IF(OR(M17475="",N17475=""),"",SUMIFS('Barang Keluar'!$E:$E,'Barang Keluar'!$A:$A,M17475,'Barang Keluar'!$C:$C,N17475))</f>
        <v>0</v>
      </c>
    </row>
    <row r="17476" spans="13:16">
      <c r="M17476" s="49">
        <f>IF($A$4+174&gt;$B$4,"",$A$4+174)</f>
        <v>46197</v>
      </c>
      <c r="N17476">
        <f>IF(M17476="","",'Master Barang'!A70)</f>
        <v>0</v>
      </c>
      <c r="O17476">
        <f>IF(N17476="","",'Master Barang'!B70)</f>
        <v>0</v>
      </c>
      <c r="P17476">
        <f>IF(OR(M17476="",N17476=""),"",SUMIFS('Barang Keluar'!$E:$E,'Barang Keluar'!$A:$A,M17476,'Barang Keluar'!$C:$C,N17476))</f>
        <v>0</v>
      </c>
    </row>
    <row r="17477" spans="13:16">
      <c r="M17477" s="49">
        <f>IF($A$4+174&gt;$B$4,"",$A$4+174)</f>
        <v>46197</v>
      </c>
      <c r="N17477">
        <f>IF(M17477="","",'Master Barang'!A71)</f>
        <v>0</v>
      </c>
      <c r="O17477">
        <f>IF(N17477="","",'Master Barang'!B71)</f>
        <v>0</v>
      </c>
      <c r="P17477">
        <f>IF(OR(M17477="",N17477=""),"",SUMIFS('Barang Keluar'!$E:$E,'Barang Keluar'!$A:$A,M17477,'Barang Keluar'!$C:$C,N17477))</f>
        <v>0</v>
      </c>
    </row>
    <row r="17478" spans="13:16">
      <c r="M17478" s="49">
        <f>IF($A$4+174&gt;$B$4,"",$A$4+174)</f>
        <v>46197</v>
      </c>
      <c r="N17478">
        <f>IF(M17478="","",'Master Barang'!A72)</f>
        <v>0</v>
      </c>
      <c r="O17478">
        <f>IF(N17478="","",'Master Barang'!B72)</f>
        <v>0</v>
      </c>
      <c r="P17478">
        <f>IF(OR(M17478="",N17478=""),"",SUMIFS('Barang Keluar'!$E:$E,'Barang Keluar'!$A:$A,M17478,'Barang Keluar'!$C:$C,N17478))</f>
        <v>0</v>
      </c>
    </row>
    <row r="17479" spans="13:16">
      <c r="M17479" s="49">
        <f>IF($A$4+174&gt;$B$4,"",$A$4+174)</f>
        <v>46197</v>
      </c>
      <c r="N17479">
        <f>IF(M17479="","",'Master Barang'!A73)</f>
        <v>0</v>
      </c>
      <c r="O17479">
        <f>IF(N17479="","",'Master Barang'!B73)</f>
        <v>0</v>
      </c>
      <c r="P17479">
        <f>IF(OR(M17479="",N17479=""),"",SUMIFS('Barang Keluar'!$E:$E,'Barang Keluar'!$A:$A,M17479,'Barang Keluar'!$C:$C,N17479))</f>
        <v>0</v>
      </c>
    </row>
    <row r="17480" spans="13:16">
      <c r="M17480" s="49">
        <f>IF($A$4+174&gt;$B$4,"",$A$4+174)</f>
        <v>46197</v>
      </c>
      <c r="N17480">
        <f>IF(M17480="","",'Master Barang'!A74)</f>
        <v>0</v>
      </c>
      <c r="O17480">
        <f>IF(N17480="","",'Master Barang'!B74)</f>
        <v>0</v>
      </c>
      <c r="P17480">
        <f>IF(OR(M17480="",N17480=""),"",SUMIFS('Barang Keluar'!$E:$E,'Barang Keluar'!$A:$A,M17480,'Barang Keluar'!$C:$C,N17480))</f>
        <v>0</v>
      </c>
    </row>
    <row r="17481" spans="13:16">
      <c r="M17481" s="49">
        <f>IF($A$4+174&gt;$B$4,"",$A$4+174)</f>
        <v>46197</v>
      </c>
      <c r="N17481">
        <f>IF(M17481="","",'Master Barang'!A75)</f>
        <v>0</v>
      </c>
      <c r="O17481">
        <f>IF(N17481="","",'Master Barang'!B75)</f>
        <v>0</v>
      </c>
      <c r="P17481">
        <f>IF(OR(M17481="",N17481=""),"",SUMIFS('Barang Keluar'!$E:$E,'Barang Keluar'!$A:$A,M17481,'Barang Keluar'!$C:$C,N17481))</f>
        <v>0</v>
      </c>
    </row>
    <row r="17482" spans="13:16">
      <c r="M17482" s="49">
        <f>IF($A$4+174&gt;$B$4,"",$A$4+174)</f>
        <v>46197</v>
      </c>
      <c r="N17482">
        <f>IF(M17482="","",'Master Barang'!A76)</f>
        <v>0</v>
      </c>
      <c r="O17482">
        <f>IF(N17482="","",'Master Barang'!B76)</f>
        <v>0</v>
      </c>
      <c r="P17482">
        <f>IF(OR(M17482="",N17482=""),"",SUMIFS('Barang Keluar'!$E:$E,'Barang Keluar'!$A:$A,M17482,'Barang Keluar'!$C:$C,N17482))</f>
        <v>0</v>
      </c>
    </row>
    <row r="17483" spans="13:16">
      <c r="M17483" s="49">
        <f>IF($A$4+174&gt;$B$4,"",$A$4+174)</f>
        <v>46197</v>
      </c>
      <c r="N17483">
        <f>IF(M17483="","",'Master Barang'!A77)</f>
        <v>0</v>
      </c>
      <c r="O17483">
        <f>IF(N17483="","",'Master Barang'!B77)</f>
        <v>0</v>
      </c>
      <c r="P17483">
        <f>IF(OR(M17483="",N17483=""),"",SUMIFS('Barang Keluar'!$E:$E,'Barang Keluar'!$A:$A,M17483,'Barang Keluar'!$C:$C,N17483))</f>
        <v>0</v>
      </c>
    </row>
    <row r="17484" spans="13:16">
      <c r="M17484" s="49">
        <f>IF($A$4+174&gt;$B$4,"",$A$4+174)</f>
        <v>46197</v>
      </c>
      <c r="N17484">
        <f>IF(M17484="","",'Master Barang'!A78)</f>
        <v>0</v>
      </c>
      <c r="O17484">
        <f>IF(N17484="","",'Master Barang'!B78)</f>
        <v>0</v>
      </c>
      <c r="P17484">
        <f>IF(OR(M17484="",N17484=""),"",SUMIFS('Barang Keluar'!$E:$E,'Barang Keluar'!$A:$A,M17484,'Barang Keluar'!$C:$C,N17484))</f>
        <v>0</v>
      </c>
    </row>
    <row r="17485" spans="13:16">
      <c r="M17485" s="49">
        <f>IF($A$4+174&gt;$B$4,"",$A$4+174)</f>
        <v>46197</v>
      </c>
      <c r="N17485">
        <f>IF(M17485="","",'Master Barang'!A79)</f>
        <v>0</v>
      </c>
      <c r="O17485">
        <f>IF(N17485="","",'Master Barang'!B79)</f>
        <v>0</v>
      </c>
      <c r="P17485">
        <f>IF(OR(M17485="",N17485=""),"",SUMIFS('Barang Keluar'!$E:$E,'Barang Keluar'!$A:$A,M17485,'Barang Keluar'!$C:$C,N17485))</f>
        <v>0</v>
      </c>
    </row>
    <row r="17486" spans="13:16">
      <c r="M17486" s="49">
        <f>IF($A$4+174&gt;$B$4,"",$A$4+174)</f>
        <v>46197</v>
      </c>
      <c r="N17486">
        <f>IF(M17486="","",'Master Barang'!A80)</f>
        <v>0</v>
      </c>
      <c r="O17486">
        <f>IF(N17486="","",'Master Barang'!B80)</f>
        <v>0</v>
      </c>
      <c r="P17486">
        <f>IF(OR(M17486="",N17486=""),"",SUMIFS('Barang Keluar'!$E:$E,'Barang Keluar'!$A:$A,M17486,'Barang Keluar'!$C:$C,N17486))</f>
        <v>0</v>
      </c>
    </row>
    <row r="17487" spans="13:16">
      <c r="M17487" s="49">
        <f>IF($A$4+174&gt;$B$4,"",$A$4+174)</f>
        <v>46197</v>
      </c>
      <c r="N17487">
        <f>IF(M17487="","",'Master Barang'!A81)</f>
        <v>0</v>
      </c>
      <c r="O17487">
        <f>IF(N17487="","",'Master Barang'!B81)</f>
        <v>0</v>
      </c>
      <c r="P17487">
        <f>IF(OR(M17487="",N17487=""),"",SUMIFS('Barang Keluar'!$E:$E,'Barang Keluar'!$A:$A,M17487,'Barang Keluar'!$C:$C,N17487))</f>
        <v>0</v>
      </c>
    </row>
    <row r="17488" spans="13:16">
      <c r="M17488" s="49">
        <f>IF($A$4+174&gt;$B$4,"",$A$4+174)</f>
        <v>46197</v>
      </c>
      <c r="N17488">
        <f>IF(M17488="","",'Master Barang'!A82)</f>
        <v>0</v>
      </c>
      <c r="O17488">
        <f>IF(N17488="","",'Master Barang'!B82)</f>
        <v>0</v>
      </c>
      <c r="P17488">
        <f>IF(OR(M17488="",N17488=""),"",SUMIFS('Barang Keluar'!$E:$E,'Barang Keluar'!$A:$A,M17488,'Barang Keluar'!$C:$C,N17488))</f>
        <v>0</v>
      </c>
    </row>
    <row r="17489" spans="13:16">
      <c r="M17489" s="49">
        <f>IF($A$4+174&gt;$B$4,"",$A$4+174)</f>
        <v>46197</v>
      </c>
      <c r="N17489">
        <f>IF(M17489="","",'Master Barang'!A83)</f>
        <v>0</v>
      </c>
      <c r="O17489">
        <f>IF(N17489="","",'Master Barang'!B83)</f>
        <v>0</v>
      </c>
      <c r="P17489">
        <f>IF(OR(M17489="",N17489=""),"",SUMIFS('Barang Keluar'!$E:$E,'Barang Keluar'!$A:$A,M17489,'Barang Keluar'!$C:$C,N17489))</f>
        <v>0</v>
      </c>
    </row>
    <row r="17490" spans="13:16">
      <c r="M17490" s="49">
        <f>IF($A$4+174&gt;$B$4,"",$A$4+174)</f>
        <v>46197</v>
      </c>
      <c r="N17490">
        <f>IF(M17490="","",'Master Barang'!A84)</f>
        <v>0</v>
      </c>
      <c r="O17490">
        <f>IF(N17490="","",'Master Barang'!B84)</f>
        <v>0</v>
      </c>
      <c r="P17490">
        <f>IF(OR(M17490="",N17490=""),"",SUMIFS('Barang Keluar'!$E:$E,'Barang Keluar'!$A:$A,M17490,'Barang Keluar'!$C:$C,N17490))</f>
        <v>0</v>
      </c>
    </row>
    <row r="17491" spans="13:16">
      <c r="M17491" s="49">
        <f>IF($A$4+174&gt;$B$4,"",$A$4+174)</f>
        <v>46197</v>
      </c>
      <c r="N17491">
        <f>IF(M17491="","",'Master Barang'!A85)</f>
        <v>0</v>
      </c>
      <c r="O17491">
        <f>IF(N17491="","",'Master Barang'!B85)</f>
        <v>0</v>
      </c>
      <c r="P17491">
        <f>IF(OR(M17491="",N17491=""),"",SUMIFS('Barang Keluar'!$E:$E,'Barang Keluar'!$A:$A,M17491,'Barang Keluar'!$C:$C,N17491))</f>
        <v>0</v>
      </c>
    </row>
    <row r="17492" spans="13:16">
      <c r="M17492" s="49">
        <f>IF($A$4+174&gt;$B$4,"",$A$4+174)</f>
        <v>46197</v>
      </c>
      <c r="N17492">
        <f>IF(M17492="","",'Master Barang'!A86)</f>
        <v>0</v>
      </c>
      <c r="O17492">
        <f>IF(N17492="","",'Master Barang'!B86)</f>
        <v>0</v>
      </c>
      <c r="P17492">
        <f>IF(OR(M17492="",N17492=""),"",SUMIFS('Barang Keluar'!$E:$E,'Barang Keluar'!$A:$A,M17492,'Barang Keluar'!$C:$C,N17492))</f>
        <v>0</v>
      </c>
    </row>
    <row r="17493" spans="13:16">
      <c r="M17493" s="49">
        <f>IF($A$4+174&gt;$B$4,"",$A$4+174)</f>
        <v>46197</v>
      </c>
      <c r="N17493">
        <f>IF(M17493="","",'Master Barang'!A87)</f>
        <v>0</v>
      </c>
      <c r="O17493">
        <f>IF(N17493="","",'Master Barang'!B87)</f>
        <v>0</v>
      </c>
      <c r="P17493">
        <f>IF(OR(M17493="",N17493=""),"",SUMIFS('Barang Keluar'!$E:$E,'Barang Keluar'!$A:$A,M17493,'Barang Keluar'!$C:$C,N17493))</f>
        <v>0</v>
      </c>
    </row>
    <row r="17494" spans="13:16">
      <c r="M17494" s="49">
        <f>IF($A$4+174&gt;$B$4,"",$A$4+174)</f>
        <v>46197</v>
      </c>
      <c r="N17494">
        <f>IF(M17494="","",'Master Barang'!A88)</f>
        <v>0</v>
      </c>
      <c r="O17494">
        <f>IF(N17494="","",'Master Barang'!B88)</f>
        <v>0</v>
      </c>
      <c r="P17494">
        <f>IF(OR(M17494="",N17494=""),"",SUMIFS('Barang Keluar'!$E:$E,'Barang Keluar'!$A:$A,M17494,'Barang Keluar'!$C:$C,N17494))</f>
        <v>0</v>
      </c>
    </row>
    <row r="17495" spans="13:16">
      <c r="M17495" s="49">
        <f>IF($A$4+174&gt;$B$4,"",$A$4+174)</f>
        <v>46197</v>
      </c>
      <c r="N17495">
        <f>IF(M17495="","",'Master Barang'!A89)</f>
        <v>0</v>
      </c>
      <c r="O17495">
        <f>IF(N17495="","",'Master Barang'!B89)</f>
        <v>0</v>
      </c>
      <c r="P17495">
        <f>IF(OR(M17495="",N17495=""),"",SUMIFS('Barang Keluar'!$E:$E,'Barang Keluar'!$A:$A,M17495,'Barang Keluar'!$C:$C,N17495))</f>
        <v>0</v>
      </c>
    </row>
    <row r="17496" spans="13:16">
      <c r="M17496" s="49">
        <f>IF($A$4+174&gt;$B$4,"",$A$4+174)</f>
        <v>46197</v>
      </c>
      <c r="N17496">
        <f>IF(M17496="","",'Master Barang'!A90)</f>
        <v>0</v>
      </c>
      <c r="O17496">
        <f>IF(N17496="","",'Master Barang'!B90)</f>
        <v>0</v>
      </c>
      <c r="P17496">
        <f>IF(OR(M17496="",N17496=""),"",SUMIFS('Barang Keluar'!$E:$E,'Barang Keluar'!$A:$A,M17496,'Barang Keluar'!$C:$C,N17496))</f>
        <v>0</v>
      </c>
    </row>
    <row r="17497" spans="13:16">
      <c r="M17497" s="49">
        <f>IF($A$4+174&gt;$B$4,"",$A$4+174)</f>
        <v>46197</v>
      </c>
      <c r="N17497">
        <f>IF(M17497="","",'Master Barang'!A91)</f>
        <v>0</v>
      </c>
      <c r="O17497">
        <f>IF(N17497="","",'Master Barang'!B91)</f>
        <v>0</v>
      </c>
      <c r="P17497">
        <f>IF(OR(M17497="",N17497=""),"",SUMIFS('Barang Keluar'!$E:$E,'Barang Keluar'!$A:$A,M17497,'Barang Keluar'!$C:$C,N17497))</f>
        <v>0</v>
      </c>
    </row>
    <row r="17498" spans="13:16">
      <c r="M17498" s="49">
        <f>IF($A$4+174&gt;$B$4,"",$A$4+174)</f>
        <v>46197</v>
      </c>
      <c r="N17498">
        <f>IF(M17498="","",'Master Barang'!A92)</f>
        <v>0</v>
      </c>
      <c r="O17498">
        <f>IF(N17498="","",'Master Barang'!B92)</f>
        <v>0</v>
      </c>
      <c r="P17498">
        <f>IF(OR(M17498="",N17498=""),"",SUMIFS('Barang Keluar'!$E:$E,'Barang Keluar'!$A:$A,M17498,'Barang Keluar'!$C:$C,N17498))</f>
        <v>0</v>
      </c>
    </row>
    <row r="17499" spans="13:16">
      <c r="M17499" s="49">
        <f>IF($A$4+174&gt;$B$4,"",$A$4+174)</f>
        <v>46197</v>
      </c>
      <c r="N17499">
        <f>IF(M17499="","",'Master Barang'!A93)</f>
        <v>0</v>
      </c>
      <c r="O17499">
        <f>IF(N17499="","",'Master Barang'!B93)</f>
        <v>0</v>
      </c>
      <c r="P17499">
        <f>IF(OR(M17499="",N17499=""),"",SUMIFS('Barang Keluar'!$E:$E,'Barang Keluar'!$A:$A,M17499,'Barang Keluar'!$C:$C,N17499))</f>
        <v>0</v>
      </c>
    </row>
    <row r="17500" spans="13:16">
      <c r="M17500" s="49">
        <f>IF($A$4+174&gt;$B$4,"",$A$4+174)</f>
        <v>46197</v>
      </c>
      <c r="N17500">
        <f>IF(M17500="","",'Master Barang'!A94)</f>
        <v>0</v>
      </c>
      <c r="O17500">
        <f>IF(N17500="","",'Master Barang'!B94)</f>
        <v>0</v>
      </c>
      <c r="P17500">
        <f>IF(OR(M17500="",N17500=""),"",SUMIFS('Barang Keluar'!$E:$E,'Barang Keluar'!$A:$A,M17500,'Barang Keluar'!$C:$C,N17500))</f>
        <v>0</v>
      </c>
    </row>
    <row r="17501" spans="13:16">
      <c r="M17501" s="49">
        <f>IF($A$4+174&gt;$B$4,"",$A$4+174)</f>
        <v>46197</v>
      </c>
      <c r="N17501">
        <f>IF(M17501="","",'Master Barang'!A95)</f>
        <v>0</v>
      </c>
      <c r="O17501">
        <f>IF(N17501="","",'Master Barang'!B95)</f>
        <v>0</v>
      </c>
      <c r="P17501">
        <f>IF(OR(M17501="",N17501=""),"",SUMIFS('Barang Keluar'!$E:$E,'Barang Keluar'!$A:$A,M17501,'Barang Keluar'!$C:$C,N17501))</f>
        <v>0</v>
      </c>
    </row>
    <row r="17502" spans="13:16">
      <c r="M17502" s="49">
        <f>IF($A$4+174&gt;$B$4,"",$A$4+174)</f>
        <v>46197</v>
      </c>
      <c r="N17502">
        <f>IF(M17502="","",'Master Barang'!A96)</f>
        <v>0</v>
      </c>
      <c r="O17502">
        <f>IF(N17502="","",'Master Barang'!B96)</f>
        <v>0</v>
      </c>
      <c r="P17502">
        <f>IF(OR(M17502="",N17502=""),"",SUMIFS('Barang Keluar'!$E:$E,'Barang Keluar'!$A:$A,M17502,'Barang Keluar'!$C:$C,N17502))</f>
        <v>0</v>
      </c>
    </row>
    <row r="17503" spans="13:16">
      <c r="M17503" s="49">
        <f>IF($A$4+174&gt;$B$4,"",$A$4+174)</f>
        <v>46197</v>
      </c>
      <c r="N17503">
        <f>IF(M17503="","",'Master Barang'!A97)</f>
        <v>0</v>
      </c>
      <c r="O17503">
        <f>IF(N17503="","",'Master Barang'!B97)</f>
        <v>0</v>
      </c>
      <c r="P17503">
        <f>IF(OR(M17503="",N17503=""),"",SUMIFS('Barang Keluar'!$E:$E,'Barang Keluar'!$A:$A,M17503,'Barang Keluar'!$C:$C,N17503))</f>
        <v>0</v>
      </c>
    </row>
    <row r="17504" spans="13:16">
      <c r="M17504" s="49">
        <f>IF($A$4+174&gt;$B$4,"",$A$4+174)</f>
        <v>46197</v>
      </c>
      <c r="N17504">
        <f>IF(M17504="","",'Master Barang'!A98)</f>
        <v>0</v>
      </c>
      <c r="O17504">
        <f>IF(N17504="","",'Master Barang'!B98)</f>
        <v>0</v>
      </c>
      <c r="P17504">
        <f>IF(OR(M17504="",N17504=""),"",SUMIFS('Barang Keluar'!$E:$E,'Barang Keluar'!$A:$A,M17504,'Barang Keluar'!$C:$C,N17504))</f>
        <v>0</v>
      </c>
    </row>
    <row r="17505" spans="13:16">
      <c r="M17505" s="49">
        <f>IF($A$4+174&gt;$B$4,"",$A$4+174)</f>
        <v>46197</v>
      </c>
      <c r="N17505">
        <f>IF(M17505="","",'Master Barang'!A99)</f>
        <v>0</v>
      </c>
      <c r="O17505">
        <f>IF(N17505="","",'Master Barang'!B99)</f>
        <v>0</v>
      </c>
      <c r="P17505">
        <f>IF(OR(M17505="",N17505=""),"",SUMIFS('Barang Keluar'!$E:$E,'Barang Keluar'!$A:$A,M17505,'Barang Keluar'!$C:$C,N17505))</f>
        <v>0</v>
      </c>
    </row>
    <row r="17506" spans="13:16">
      <c r="M17506" s="49">
        <f>IF($A$4+174&gt;$B$4,"",$A$4+174)</f>
        <v>46197</v>
      </c>
      <c r="N17506">
        <f>IF(M17506="","",'Master Barang'!A100)</f>
        <v>0</v>
      </c>
      <c r="O17506">
        <f>IF(N17506="","",'Master Barang'!B100)</f>
        <v>0</v>
      </c>
      <c r="P17506">
        <f>IF(OR(M17506="",N17506=""),"",SUMIFS('Barang Keluar'!$E:$E,'Barang Keluar'!$A:$A,M17506,'Barang Keluar'!$C:$C,N17506))</f>
        <v>0</v>
      </c>
    </row>
    <row r="17507" spans="13:16">
      <c r="M17507" s="49">
        <f>IF($A$4+174&gt;$B$4,"",$A$4+174)</f>
        <v>46197</v>
      </c>
      <c r="N17507">
        <f>IF(M17507="","",'Master Barang'!A101)</f>
        <v>0</v>
      </c>
      <c r="O17507">
        <f>IF(N17507="","",'Master Barang'!B101)</f>
        <v>0</v>
      </c>
      <c r="P17507">
        <f>IF(OR(M17507="",N17507=""),"",SUMIFS('Barang Keluar'!$E:$E,'Barang Keluar'!$A:$A,M17507,'Barang Keluar'!$C:$C,N17507))</f>
        <v>0</v>
      </c>
    </row>
    <row r="17508" spans="13:16">
      <c r="M17508" s="49">
        <f>IF($A$4+175&gt;$B$4,"",$A$4+175)</f>
        <v>46198</v>
      </c>
      <c r="N17508" t="str">
        <f>IF(M17508="","",'Master Barang'!A2)</f>
        <v>PRL-001</v>
      </c>
      <c r="O17508" t="str">
        <f>IF(N17508="","",'Master Barang'!B2)</f>
        <v>natura desinfectant food grade 5l</v>
      </c>
      <c r="P17508">
        <f>IF(OR(M17508="",N17508=""),"",SUMIFS('Barang Keluar'!$E:$E,'Barang Keluar'!$A:$A,M17508,'Barang Keluar'!$C:$C,N17508))</f>
        <v>0</v>
      </c>
    </row>
    <row r="17509" spans="13:16">
      <c r="M17509" s="49">
        <f>IF($A$4+175&gt;$B$4,"",$A$4+175)</f>
        <v>46198</v>
      </c>
      <c r="N17509" t="str">
        <f>IF(M17509="","",'Master Barang'!A3)</f>
        <v>PRL-002</v>
      </c>
      <c r="O17509" t="str">
        <f>IF(N17509="","",'Master Barang'!B3)</f>
        <v>sunlight cairan pencuci piring 5l</v>
      </c>
      <c r="P17509">
        <f>IF(OR(M17509="",N17509=""),"",SUMIFS('Barang Keluar'!$E:$E,'Barang Keluar'!$A:$A,M17509,'Barang Keluar'!$C:$C,N17509))</f>
        <v>0</v>
      </c>
    </row>
    <row r="17510" spans="13:16">
      <c r="M17510" s="49">
        <f>IF($A$4+175&gt;$B$4,"",$A$4+175)</f>
        <v>46198</v>
      </c>
      <c r="N17510" t="str">
        <f>IF(M17510="","",'Master Barang'!A4)</f>
        <v>PRL-003</v>
      </c>
      <c r="O17510" t="str">
        <f>IF(N17510="","",'Master Barang'!B4)</f>
        <v>oixs cleaner 1l</v>
      </c>
      <c r="P17510">
        <f>IF(OR(M17510="",N17510=""),"",SUMIFS('Barang Keluar'!$E:$E,'Barang Keluar'!$A:$A,M17510,'Barang Keluar'!$C:$C,N17510))</f>
        <v>0</v>
      </c>
    </row>
    <row r="17511" spans="13:16">
      <c r="M17511" s="49">
        <f>IF($A$4+175&gt;$B$4,"",$A$4+175)</f>
        <v>46198</v>
      </c>
      <c r="N17511" t="str">
        <f>IF(M17511="","",'Master Barang'!A5)</f>
        <v>PRL-004</v>
      </c>
      <c r="O17511" t="str">
        <f>IF(N17511="","",'Master Barang'!B5)</f>
        <v>be clean tissue serbaguna</v>
      </c>
      <c r="P17511">
        <f>IF(OR(M17511="",N17511=""),"",SUMIFS('Barang Keluar'!$E:$E,'Barang Keluar'!$A:$A,M17511,'Barang Keluar'!$C:$C,N17511))</f>
        <v>0</v>
      </c>
    </row>
    <row r="17512" spans="13:16">
      <c r="M17512" s="49">
        <f>IF($A$4+175&gt;$B$4,"",$A$4+175)</f>
        <v>46198</v>
      </c>
      <c r="N17512" t="str">
        <f>IF(M17512="","",'Master Barang'!A6)</f>
        <v>PRL-005</v>
      </c>
      <c r="O17512" t="str">
        <f>IF(N17512="","",'Master Barang'!B6)</f>
        <v>spons cuci hijau</v>
      </c>
      <c r="P17512">
        <f>IF(OR(M17512="",N17512=""),"",SUMIFS('Barang Keluar'!$E:$E,'Barang Keluar'!$A:$A,M17512,'Barang Keluar'!$C:$C,N17512))</f>
        <v>0</v>
      </c>
    </row>
    <row r="17513" spans="13:16">
      <c r="M17513" s="49">
        <f>IF($A$4+175&gt;$B$4,"",$A$4+175)</f>
        <v>46198</v>
      </c>
      <c r="N17513" t="str">
        <f>IF(M17513="","",'Master Barang'!A7)</f>
        <v>PRL-006</v>
      </c>
      <c r="O17513" t="str">
        <f>IF(N17513="","",'Master Barang'!B7)</f>
        <v>sabut cuci stainless</v>
      </c>
      <c r="P17513">
        <f>IF(OR(M17513="",N17513=""),"",SUMIFS('Barang Keluar'!$E:$E,'Barang Keluar'!$A:$A,M17513,'Barang Keluar'!$C:$C,N17513))</f>
        <v>0</v>
      </c>
    </row>
    <row r="17514" spans="13:16">
      <c r="M17514" s="49">
        <f>IF($A$4+175&gt;$B$4,"",$A$4+175)</f>
        <v>46198</v>
      </c>
      <c r="N17514" t="str">
        <f>IF(M17514="","",'Master Barang'!A8)</f>
        <v>PRL-007</v>
      </c>
      <c r="O17514" t="str">
        <f>IF(N17514="","",'Master Barang'!B8)</f>
        <v>plastik kresek besar merah 50pc</v>
      </c>
      <c r="P17514">
        <f>IF(OR(M17514="",N17514=""),"",SUMIFS('Barang Keluar'!$E:$E,'Barang Keluar'!$A:$A,M17514,'Barang Keluar'!$C:$C,N17514))</f>
        <v>0</v>
      </c>
    </row>
    <row r="17515" spans="13:16">
      <c r="M17515" s="49">
        <f>IF($A$4+175&gt;$B$4,"",$A$4+175)</f>
        <v>46198</v>
      </c>
      <c r="N17515" t="str">
        <f>IF(M17515="","",'Master Barang'!A9)</f>
        <v>PRL-008</v>
      </c>
      <c r="O17515" t="str">
        <f>IF(N17515="","",'Master Barang'!B9)</f>
        <v>lap besar</v>
      </c>
      <c r="P17515">
        <f>IF(OR(M17515="",N17515=""),"",SUMIFS('Barang Keluar'!$E:$E,'Barang Keluar'!$A:$A,M17515,'Barang Keluar'!$C:$C,N17515))</f>
        <v>0</v>
      </c>
    </row>
    <row r="17516" spans="13:16">
      <c r="M17516" s="49">
        <f>IF($A$4+175&gt;$B$4,"",$A$4+175)</f>
        <v>46198</v>
      </c>
      <c r="N17516" t="str">
        <f>IF(M17516="","",'Master Barang'!A10)</f>
        <v>PRL-009</v>
      </c>
      <c r="O17516" t="str">
        <f>IF(N17516="","",'Master Barang'!B10)</f>
        <v>lap microfiber</v>
      </c>
      <c r="P17516">
        <f>IF(OR(M17516="",N17516=""),"",SUMIFS('Barang Keluar'!$E:$E,'Barang Keluar'!$A:$A,M17516,'Barang Keluar'!$C:$C,N17516))</f>
        <v>0</v>
      </c>
    </row>
    <row r="17517" spans="13:16">
      <c r="M17517" s="49">
        <f>IF($A$4+175&gt;$B$4,"",$A$4+175)</f>
        <v>46198</v>
      </c>
      <c r="N17517" t="str">
        <f>IF(M17517="","",'Master Barang'!A11)</f>
        <v>PRL-010</v>
      </c>
      <c r="O17517" t="str">
        <f>IF(N17517="","",'Master Barang'!B11)</f>
        <v>lap kecil</v>
      </c>
      <c r="P17517">
        <f>IF(OR(M17517="",N17517=""),"",SUMIFS('Barang Keluar'!$E:$E,'Barang Keluar'!$A:$A,M17517,'Barang Keluar'!$C:$C,N17517))</f>
        <v>0</v>
      </c>
    </row>
    <row r="17518" spans="13:16">
      <c r="M17518" s="49">
        <f>IF($A$4+175&gt;$B$4,"",$A$4+175)</f>
        <v>46198</v>
      </c>
      <c r="N17518" t="str">
        <f>IF(M17518="","",'Master Barang'!A12)</f>
        <v>PRL-011</v>
      </c>
      <c r="O17518" t="str">
        <f>IF(N17518="","",'Master Barang'!B12)</f>
        <v>kanebo kecil</v>
      </c>
      <c r="P17518">
        <f>IF(OR(M17518="",N17518=""),"",SUMIFS('Barang Keluar'!$E:$E,'Barang Keluar'!$A:$A,M17518,'Barang Keluar'!$C:$C,N17518))</f>
        <v>0</v>
      </c>
    </row>
    <row r="17519" spans="13:16">
      <c r="M17519" s="49">
        <f>IF($A$4+175&gt;$B$4,"",$A$4+175)</f>
        <v>46198</v>
      </c>
      <c r="N17519" t="str">
        <f>IF(M17519="","",'Master Barang'!A13)</f>
        <v>PRL-012</v>
      </c>
      <c r="O17519" t="str">
        <f>IF(N17519="","",'Master Barang'!B13)</f>
        <v>plastik 1/4kg joyoboyo 100 lembar</v>
      </c>
      <c r="P17519">
        <f>IF(OR(M17519="",N17519=""),"",SUMIFS('Barang Keluar'!$E:$E,'Barang Keluar'!$A:$A,M17519,'Barang Keluar'!$C:$C,N17519))</f>
        <v>0</v>
      </c>
    </row>
    <row r="17520" spans="13:16">
      <c r="M17520" s="49">
        <f>IF($A$4+175&gt;$B$4,"",$A$4+175)</f>
        <v>46198</v>
      </c>
      <c r="N17520" t="str">
        <f>IF(M17520="","",'Master Barang'!A14)</f>
        <v>PRL-013</v>
      </c>
      <c r="O17520" t="str">
        <f>IF(N17520="","",'Master Barang'!B14)</f>
        <v>sarung tangan plastik kaka 100 pcs</v>
      </c>
      <c r="P17520">
        <f>IF(OR(M17520="",N17520=""),"",SUMIFS('Barang Keluar'!$E:$E,'Barang Keluar'!$A:$A,M17520,'Barang Keluar'!$C:$C,N17520))</f>
        <v>0</v>
      </c>
    </row>
    <row r="17521" spans="13:16">
      <c r="M17521" s="49">
        <f>IF($A$4+175&gt;$B$4,"",$A$4+175)</f>
        <v>46198</v>
      </c>
      <c r="N17521" t="str">
        <f>IF(M17521="","",'Master Barang'!A15)</f>
        <v>PRL-014</v>
      </c>
      <c r="O17521" t="str">
        <f>IF(N17521="","",'Master Barang'!B15)</f>
        <v>optima trashbag 80x100</v>
      </c>
      <c r="P17521">
        <f>IF(OR(M17521="",N17521=""),"",SUMIFS('Barang Keluar'!$E:$E,'Barang Keluar'!$A:$A,M17521,'Barang Keluar'!$C:$C,N17521))</f>
        <v>0</v>
      </c>
    </row>
    <row r="17522" spans="13:16">
      <c r="M17522" s="49">
        <f>IF($A$4+175&gt;$B$4,"",$A$4+175)</f>
        <v>46198</v>
      </c>
      <c r="N17522" t="str">
        <f>IF(M17522="","",'Master Barang'!A16)</f>
        <v>PRL-015</v>
      </c>
      <c r="O17522" t="str">
        <f>IF(N17522="","",'Master Barang'!B16)</f>
        <v>optima trashbag 60x100</v>
      </c>
      <c r="P17522">
        <f>IF(OR(M17522="",N17522=""),"",SUMIFS('Barang Keluar'!$E:$E,'Barang Keluar'!$A:$A,M17522,'Barang Keluar'!$C:$C,N17522))</f>
        <v>0</v>
      </c>
    </row>
    <row r="17523" spans="13:16">
      <c r="M17523" s="49">
        <f>IF($A$4+175&gt;$B$4,"",$A$4+175)</f>
        <v>46198</v>
      </c>
      <c r="N17523" t="str">
        <f>IF(M17523="","",'Master Barang'!A17)</f>
        <v>PRL-016</v>
      </c>
      <c r="O17523" t="str">
        <f>IF(N17523="","",'Master Barang'!B17)</f>
        <v>rajawali trashbag 30x40</v>
      </c>
      <c r="P17523">
        <f>IF(OR(M17523="",N17523=""),"",SUMIFS('Barang Keluar'!$E:$E,'Barang Keluar'!$A:$A,M17523,'Barang Keluar'!$C:$C,N17523))</f>
        <v>0</v>
      </c>
    </row>
    <row r="17524" spans="13:16">
      <c r="M17524" s="49">
        <f>IF($A$4+175&gt;$B$4,"",$A$4+175)</f>
        <v>46198</v>
      </c>
      <c r="N17524" t="str">
        <f>IF(M17524="","",'Master Barang'!A18)</f>
        <v>PRL-017</v>
      </c>
      <c r="O17524" t="str">
        <f>IF(N17524="","",'Master Barang'!B18)</f>
        <v>onemed masker biru 3 play 50 pcs</v>
      </c>
      <c r="P17524">
        <f>IF(OR(M17524="",N17524=""),"",SUMIFS('Barang Keluar'!$E:$E,'Barang Keluar'!$A:$A,M17524,'Barang Keluar'!$C:$C,N17524))</f>
        <v>0</v>
      </c>
    </row>
    <row r="17525" spans="13:16">
      <c r="M17525" s="49">
        <f>IF($A$4+175&gt;$B$4,"",$A$4+175)</f>
        <v>46198</v>
      </c>
      <c r="N17525" t="str">
        <f>IF(M17525="","",'Master Barang'!A19)</f>
        <v>PRL-018</v>
      </c>
      <c r="O17525" t="str">
        <f>IF(N17525="","",'Master Barang'!B19)</f>
        <v>onemed masker biru 3 play hijab 50 pcs</v>
      </c>
      <c r="P17525">
        <f>IF(OR(M17525="",N17525=""),"",SUMIFS('Barang Keluar'!$E:$E,'Barang Keluar'!$A:$A,M17525,'Barang Keluar'!$C:$C,N17525))</f>
        <v>0</v>
      </c>
    </row>
    <row r="17526" spans="13:16">
      <c r="M17526" s="49">
        <f>IF($A$4+175&gt;$B$4,"",$A$4+175)</f>
        <v>46198</v>
      </c>
      <c r="N17526" t="str">
        <f>IF(M17526="","",'Master Barang'!A20)</f>
        <v>PRL-019</v>
      </c>
      <c r="O17526" t="str">
        <f>IF(N17526="","",'Master Barang'!B20)</f>
        <v>neo health masker biru 3 play 50 pcs</v>
      </c>
      <c r="P17526">
        <f>IF(OR(M17526="",N17526=""),"",SUMIFS('Barang Keluar'!$E:$E,'Barang Keluar'!$A:$A,M17526,'Barang Keluar'!$C:$C,N17526))</f>
        <v>0</v>
      </c>
    </row>
    <row r="17527" spans="13:16">
      <c r="M17527" s="49">
        <f>IF($A$4+175&gt;$B$4,"",$A$4+175)</f>
        <v>46198</v>
      </c>
      <c r="N17527" t="str">
        <f>IF(M17527="","",'Master Barang'!A21)</f>
        <v>PRL-020</v>
      </c>
      <c r="O17527" t="str">
        <f>IF(N17527="","",'Master Barang'!B21)</f>
        <v>baymed masker hijau 3 play hijau 50 pcs</v>
      </c>
      <c r="P17527">
        <f>IF(OR(M17527="",N17527=""),"",SUMIFS('Barang Keluar'!$E:$E,'Barang Keluar'!$A:$A,M17527,'Barang Keluar'!$C:$C,N17527))</f>
        <v>0</v>
      </c>
    </row>
    <row r="17528" spans="13:16">
      <c r="M17528" s="49">
        <f>IF($A$4+175&gt;$B$4,"",$A$4+175)</f>
        <v>46198</v>
      </c>
      <c r="N17528" t="str">
        <f>IF(M17528="","",'Master Barang'!A22)</f>
        <v>PRL-021</v>
      </c>
      <c r="O17528" t="str">
        <f>IF(N17528="","",'Master Barang'!B22)</f>
        <v>altamed nurse cap penutup kepala 100 pcs</v>
      </c>
      <c r="P17528">
        <f>IF(OR(M17528="",N17528=""),"",SUMIFS('Barang Keluar'!$E:$E,'Barang Keluar'!$A:$A,M17528,'Barang Keluar'!$C:$C,N17528))</f>
        <v>0</v>
      </c>
    </row>
    <row r="17529" spans="13:16">
      <c r="M17529" s="49">
        <f>IF($A$4+175&gt;$B$4,"",$A$4+175)</f>
        <v>46198</v>
      </c>
      <c r="N17529" t="str">
        <f>IF(M17529="","",'Master Barang'!A23)</f>
        <v>PRL-022</v>
      </c>
      <c r="O17529" t="str">
        <f>IF(N17529="","",'Master Barang'!B23)</f>
        <v>sabun cuci tangan</v>
      </c>
      <c r="P17529">
        <f>IF(OR(M17529="",N17529=""),"",SUMIFS('Barang Keluar'!$E:$E,'Barang Keluar'!$A:$A,M17529,'Barang Keluar'!$C:$C,N17529))</f>
        <v>0</v>
      </c>
    </row>
    <row r="17530" spans="13:16">
      <c r="M17530" s="49">
        <f>IF($A$4+175&gt;$B$4,"",$A$4+175)</f>
        <v>46198</v>
      </c>
      <c r="N17530" t="str">
        <f>IF(M17530="","",'Master Barang'!A24)</f>
        <v>PRL-023</v>
      </c>
      <c r="O17530" t="str">
        <f>IF(N17530="","",'Master Barang'!B24)</f>
        <v>gayung kecil</v>
      </c>
      <c r="P17530">
        <f>IF(OR(M17530="",N17530=""),"",SUMIFS('Barang Keluar'!$E:$E,'Barang Keluar'!$A:$A,M17530,'Barang Keluar'!$C:$C,N17530))</f>
        <v>0</v>
      </c>
    </row>
    <row r="17531" spans="13:16">
      <c r="M17531" s="49">
        <f>IF($A$4+175&gt;$B$4,"",$A$4+175)</f>
        <v>46198</v>
      </c>
      <c r="N17531" t="str">
        <f>IF(M17531="","",'Master Barang'!A25)</f>
        <v>PRL-024</v>
      </c>
      <c r="O17531" t="str">
        <f>IF(N17531="","",'Master Barang'!B25)</f>
        <v>cikrak kecil</v>
      </c>
      <c r="P17531">
        <f>IF(OR(M17531="",N17531=""),"",SUMIFS('Barang Keluar'!$E:$E,'Barang Keluar'!$A:$A,M17531,'Barang Keluar'!$C:$C,N17531))</f>
        <v>0</v>
      </c>
    </row>
    <row r="17532" spans="13:16">
      <c r="M17532" s="49">
        <f>IF($A$4+175&gt;$B$4,"",$A$4+175)</f>
        <v>46198</v>
      </c>
      <c r="N17532" t="str">
        <f>IF(M17532="","",'Master Barang'!A26)</f>
        <v>PRL-025</v>
      </c>
      <c r="O17532" t="str">
        <f>IF(N17532="","",'Master Barang'!B26)</f>
        <v>petromax plastik kecil 12x24 100 lembar</v>
      </c>
      <c r="P17532">
        <f>IF(OR(M17532="",N17532=""),"",SUMIFS('Barang Keluar'!$E:$E,'Barang Keluar'!$A:$A,M17532,'Barang Keluar'!$C:$C,N17532))</f>
        <v>0</v>
      </c>
    </row>
    <row r="17533" spans="13:16">
      <c r="M17533" s="49">
        <f>IF($A$4+175&gt;$B$4,"",$A$4+175)</f>
        <v>46198</v>
      </c>
      <c r="N17533" t="str">
        <f>IF(M17533="","",'Master Barang'!A27)</f>
        <v>PRL-026</v>
      </c>
      <c r="O17533" t="str">
        <f>IF(N17533="","",'Master Barang'!B27)</f>
        <v>lancar kresek kecil bening </v>
      </c>
      <c r="P17533">
        <f>IF(OR(M17533="",N17533=""),"",SUMIFS('Barang Keluar'!$E:$E,'Barang Keluar'!$A:$A,M17533,'Barang Keluar'!$C:$C,N17533))</f>
        <v>0</v>
      </c>
    </row>
    <row r="17534" spans="13:16">
      <c r="M17534" s="49">
        <f>IF($A$4+175&gt;$B$4,"",$A$4+175)</f>
        <v>46198</v>
      </c>
      <c r="N17534" t="str">
        <f>IF(M17534="","",'Master Barang'!A28)</f>
        <v>PRL-027</v>
      </c>
      <c r="O17534" t="str">
        <f>IF(N17534="","",'Master Barang'!B28)</f>
        <v>kresek klin warna warni kecil</v>
      </c>
      <c r="P17534">
        <f>IF(OR(M17534="",N17534=""),"",SUMIFS('Barang Keluar'!$E:$E,'Barang Keluar'!$A:$A,M17534,'Barang Keluar'!$C:$C,N17534))</f>
        <v>0</v>
      </c>
    </row>
    <row r="17535" spans="13:16">
      <c r="M17535" s="49">
        <f>IF($A$4+175&gt;$B$4,"",$A$4+175)</f>
        <v>46198</v>
      </c>
      <c r="N17535" t="str">
        <f>IF(M17535="","",'Master Barang'!A29)</f>
        <v>PRL-028</v>
      </c>
      <c r="O17535" t="str">
        <f>IF(N17535="","",'Master Barang'!B29)</f>
        <v>ctik plastik 7x10 100 pcs</v>
      </c>
      <c r="P17535">
        <f>IF(OR(M17535="",N17535=""),"",SUMIFS('Barang Keluar'!$E:$E,'Barang Keluar'!$A:$A,M17535,'Barang Keluar'!$C:$C,N17535))</f>
        <v>0</v>
      </c>
    </row>
    <row r="17536" spans="13:16">
      <c r="M17536" s="49">
        <f>IF($A$4+175&gt;$B$4,"",$A$4+175)</f>
        <v>46198</v>
      </c>
      <c r="N17536" t="str">
        <f>IF(M17536="","",'Master Barang'!A30)</f>
        <v>PRL-029</v>
      </c>
      <c r="O17536" t="str">
        <f>IF(N17536="","",'Master Barang'!B30)</f>
        <v>ctik plastik 6x10 100 pcs</v>
      </c>
      <c r="P17536">
        <f>IF(OR(M17536="",N17536=""),"",SUMIFS('Barang Keluar'!$E:$E,'Barang Keluar'!$A:$A,M17536,'Barang Keluar'!$C:$C,N17536))</f>
        <v>0</v>
      </c>
    </row>
    <row r="17537" spans="13:16">
      <c r="M17537" s="49">
        <f>IF($A$4+175&gt;$B$4,"",$A$4+175)</f>
        <v>46198</v>
      </c>
      <c r="N17537" t="str">
        <f>IF(M17537="","",'Master Barang'!A31)</f>
        <v>PRL-030</v>
      </c>
      <c r="O17537" t="str">
        <f>IF(N17537="","",'Master Barang'!B31)</f>
        <v>klip plastik 25x16 100 pcs</v>
      </c>
      <c r="P17537">
        <f>IF(OR(M17537="",N17537=""),"",SUMIFS('Barang Keluar'!$E:$E,'Barang Keluar'!$A:$A,M17537,'Barang Keluar'!$C:$C,N17537))</f>
        <v>0</v>
      </c>
    </row>
    <row r="17538" spans="13:16">
      <c r="M17538" s="49">
        <f>IF($A$4+175&gt;$B$4,"",$A$4+175)</f>
        <v>46198</v>
      </c>
      <c r="N17538" t="str">
        <f>IF(M17538="","",'Master Barang'!A32)</f>
        <v>PRL-031</v>
      </c>
      <c r="O17538" t="str">
        <f>IF(N17538="","",'Master Barang'!B32)</f>
        <v>tempat saus 20 ml</v>
      </c>
      <c r="P17538">
        <f>IF(OR(M17538="",N17538=""),"",SUMIFS('Barang Keluar'!$E:$E,'Barang Keluar'!$A:$A,M17538,'Barang Keluar'!$C:$C,N17538))</f>
        <v>0</v>
      </c>
    </row>
    <row r="17539" spans="13:16">
      <c r="M17539" s="49">
        <f>IF($A$4+175&gt;$B$4,"",$A$4+175)</f>
        <v>46198</v>
      </c>
      <c r="N17539" t="str">
        <f>IF(M17539="","",'Master Barang'!A33)</f>
        <v>PRL-032</v>
      </c>
      <c r="O17539" t="str">
        <f>IF(N17539="","",'Master Barang'!B33)</f>
        <v>plastik packaging ag box uk sedang</v>
      </c>
      <c r="P17539">
        <f>IF(OR(M17539="",N17539=""),"",SUMIFS('Barang Keluar'!$E:$E,'Barang Keluar'!$A:$A,M17539,'Barang Keluar'!$C:$C,N17539))</f>
        <v>0</v>
      </c>
    </row>
    <row r="17540" spans="13:16">
      <c r="M17540" s="49">
        <f>IF($A$4+175&gt;$B$4,"",$A$4+175)</f>
        <v>46198</v>
      </c>
      <c r="N17540" t="str">
        <f>IF(M17540="","",'Master Barang'!A34)</f>
        <v>PRL-033</v>
      </c>
      <c r="O17540">
        <f>IF(N17540="","",'Master Barang'!B34)</f>
        <v>0</v>
      </c>
      <c r="P17540">
        <f>IF(OR(M17540="",N17540=""),"",SUMIFS('Barang Keluar'!$E:$E,'Barang Keluar'!$A:$A,M17540,'Barang Keluar'!$C:$C,N17540))</f>
        <v>0</v>
      </c>
    </row>
    <row r="17541" spans="13:16">
      <c r="M17541" s="49">
        <f>IF($A$4+175&gt;$B$4,"",$A$4+175)</f>
        <v>46198</v>
      </c>
      <c r="N17541">
        <f>IF(M17541="","",'Master Barang'!A35)</f>
        <v>0</v>
      </c>
      <c r="O17541">
        <f>IF(N17541="","",'Master Barang'!B35)</f>
        <v>0</v>
      </c>
      <c r="P17541">
        <f>IF(OR(M17541="",N17541=""),"",SUMIFS('Barang Keluar'!$E:$E,'Barang Keluar'!$A:$A,M17541,'Barang Keluar'!$C:$C,N17541))</f>
        <v>0</v>
      </c>
    </row>
    <row r="17542" spans="13:16">
      <c r="M17542" s="49">
        <f>IF($A$4+175&gt;$B$4,"",$A$4+175)</f>
        <v>46198</v>
      </c>
      <c r="N17542">
        <f>IF(M17542="","",'Master Barang'!A36)</f>
        <v>0</v>
      </c>
      <c r="O17542">
        <f>IF(N17542="","",'Master Barang'!B36)</f>
        <v>0</v>
      </c>
      <c r="P17542">
        <f>IF(OR(M17542="",N17542=""),"",SUMIFS('Barang Keluar'!$E:$E,'Barang Keluar'!$A:$A,M17542,'Barang Keluar'!$C:$C,N17542))</f>
        <v>0</v>
      </c>
    </row>
    <row r="17543" spans="13:16">
      <c r="M17543" s="49">
        <f>IF($A$4+175&gt;$B$4,"",$A$4+175)</f>
        <v>46198</v>
      </c>
      <c r="N17543">
        <f>IF(M17543="","",'Master Barang'!A37)</f>
        <v>0</v>
      </c>
      <c r="O17543">
        <f>IF(N17543="","",'Master Barang'!B37)</f>
        <v>0</v>
      </c>
      <c r="P17543">
        <f>IF(OR(M17543="",N17543=""),"",SUMIFS('Barang Keluar'!$E:$E,'Barang Keluar'!$A:$A,M17543,'Barang Keluar'!$C:$C,N17543))</f>
        <v>0</v>
      </c>
    </row>
    <row r="17544" spans="13:16">
      <c r="M17544" s="49">
        <f>IF($A$4+175&gt;$B$4,"",$A$4+175)</f>
        <v>46198</v>
      </c>
      <c r="N17544">
        <f>IF(M17544="","",'Master Barang'!A38)</f>
        <v>0</v>
      </c>
      <c r="O17544">
        <f>IF(N17544="","",'Master Barang'!B38)</f>
        <v>0</v>
      </c>
      <c r="P17544">
        <f>IF(OR(M17544="",N17544=""),"",SUMIFS('Barang Keluar'!$E:$E,'Barang Keluar'!$A:$A,M17544,'Barang Keluar'!$C:$C,N17544))</f>
        <v>0</v>
      </c>
    </row>
    <row r="17545" spans="13:16">
      <c r="M17545" s="49">
        <f>IF($A$4+175&gt;$B$4,"",$A$4+175)</f>
        <v>46198</v>
      </c>
      <c r="N17545">
        <f>IF(M17545="","",'Master Barang'!A39)</f>
        <v>0</v>
      </c>
      <c r="O17545">
        <f>IF(N17545="","",'Master Barang'!B39)</f>
        <v>0</v>
      </c>
      <c r="P17545">
        <f>IF(OR(M17545="",N17545=""),"",SUMIFS('Barang Keluar'!$E:$E,'Barang Keluar'!$A:$A,M17545,'Barang Keluar'!$C:$C,N17545))</f>
        <v>0</v>
      </c>
    </row>
    <row r="17546" spans="13:16">
      <c r="M17546" s="49">
        <f>IF($A$4+175&gt;$B$4,"",$A$4+175)</f>
        <v>46198</v>
      </c>
      <c r="N17546">
        <f>IF(M17546="","",'Master Barang'!A40)</f>
        <v>0</v>
      </c>
      <c r="O17546">
        <f>IF(N17546="","",'Master Barang'!B40)</f>
        <v>0</v>
      </c>
      <c r="P17546">
        <f>IF(OR(M17546="",N17546=""),"",SUMIFS('Barang Keluar'!$E:$E,'Barang Keluar'!$A:$A,M17546,'Barang Keluar'!$C:$C,N17546))</f>
        <v>0</v>
      </c>
    </row>
    <row r="17547" spans="13:16">
      <c r="M17547" s="49">
        <f>IF($A$4+175&gt;$B$4,"",$A$4+175)</f>
        <v>46198</v>
      </c>
      <c r="N17547">
        <f>IF(M17547="","",'Master Barang'!A41)</f>
        <v>0</v>
      </c>
      <c r="O17547">
        <f>IF(N17547="","",'Master Barang'!B41)</f>
        <v>0</v>
      </c>
      <c r="P17547">
        <f>IF(OR(M17547="",N17547=""),"",SUMIFS('Barang Keluar'!$E:$E,'Barang Keluar'!$A:$A,M17547,'Barang Keluar'!$C:$C,N17547))</f>
        <v>0</v>
      </c>
    </row>
    <row r="17548" spans="13:16">
      <c r="M17548" s="49">
        <f>IF($A$4+175&gt;$B$4,"",$A$4+175)</f>
        <v>46198</v>
      </c>
      <c r="N17548">
        <f>IF(M17548="","",'Master Barang'!A42)</f>
        <v>0</v>
      </c>
      <c r="O17548">
        <f>IF(N17548="","",'Master Barang'!B42)</f>
        <v>0</v>
      </c>
      <c r="P17548">
        <f>IF(OR(M17548="",N17548=""),"",SUMIFS('Barang Keluar'!$E:$E,'Barang Keluar'!$A:$A,M17548,'Barang Keluar'!$C:$C,N17548))</f>
        <v>0</v>
      </c>
    </row>
    <row r="17549" spans="13:16">
      <c r="M17549" s="49">
        <f>IF($A$4+175&gt;$B$4,"",$A$4+175)</f>
        <v>46198</v>
      </c>
      <c r="N17549">
        <f>IF(M17549="","",'Master Barang'!A43)</f>
        <v>0</v>
      </c>
      <c r="O17549">
        <f>IF(N17549="","",'Master Barang'!B43)</f>
        <v>0</v>
      </c>
      <c r="P17549">
        <f>IF(OR(M17549="",N17549=""),"",SUMIFS('Barang Keluar'!$E:$E,'Barang Keluar'!$A:$A,M17549,'Barang Keluar'!$C:$C,N17549))</f>
        <v>0</v>
      </c>
    </row>
    <row r="17550" spans="13:16">
      <c r="M17550" s="49">
        <f>IF($A$4+175&gt;$B$4,"",$A$4+175)</f>
        <v>46198</v>
      </c>
      <c r="N17550">
        <f>IF(M17550="","",'Master Barang'!A44)</f>
        <v>0</v>
      </c>
      <c r="O17550">
        <f>IF(N17550="","",'Master Barang'!B44)</f>
        <v>0</v>
      </c>
      <c r="P17550">
        <f>IF(OR(M17550="",N17550=""),"",SUMIFS('Barang Keluar'!$E:$E,'Barang Keluar'!$A:$A,M17550,'Barang Keluar'!$C:$C,N17550))</f>
        <v>0</v>
      </c>
    </row>
    <row r="17551" spans="13:16">
      <c r="M17551" s="49">
        <f>IF($A$4+175&gt;$B$4,"",$A$4+175)</f>
        <v>46198</v>
      </c>
      <c r="N17551">
        <f>IF(M17551="","",'Master Barang'!A45)</f>
        <v>0</v>
      </c>
      <c r="O17551">
        <f>IF(N17551="","",'Master Barang'!B45)</f>
        <v>0</v>
      </c>
      <c r="P17551">
        <f>IF(OR(M17551="",N17551=""),"",SUMIFS('Barang Keluar'!$E:$E,'Barang Keluar'!$A:$A,M17551,'Barang Keluar'!$C:$C,N17551))</f>
        <v>0</v>
      </c>
    </row>
    <row r="17552" spans="13:16">
      <c r="M17552" s="49">
        <f>IF($A$4+175&gt;$B$4,"",$A$4+175)</f>
        <v>46198</v>
      </c>
      <c r="N17552">
        <f>IF(M17552="","",'Master Barang'!A46)</f>
        <v>0</v>
      </c>
      <c r="O17552">
        <f>IF(N17552="","",'Master Barang'!B46)</f>
        <v>0</v>
      </c>
      <c r="P17552">
        <f>IF(OR(M17552="",N17552=""),"",SUMIFS('Barang Keluar'!$E:$E,'Barang Keluar'!$A:$A,M17552,'Barang Keluar'!$C:$C,N17552))</f>
        <v>0</v>
      </c>
    </row>
    <row r="17553" spans="13:16">
      <c r="M17553" s="49">
        <f>IF($A$4+175&gt;$B$4,"",$A$4+175)</f>
        <v>46198</v>
      </c>
      <c r="N17553">
        <f>IF(M17553="","",'Master Barang'!A47)</f>
        <v>0</v>
      </c>
      <c r="O17553">
        <f>IF(N17553="","",'Master Barang'!B47)</f>
        <v>0</v>
      </c>
      <c r="P17553">
        <f>IF(OR(M17553="",N17553=""),"",SUMIFS('Barang Keluar'!$E:$E,'Barang Keluar'!$A:$A,M17553,'Barang Keluar'!$C:$C,N17553))</f>
        <v>0</v>
      </c>
    </row>
    <row r="17554" spans="13:16">
      <c r="M17554" s="49">
        <f>IF($A$4+175&gt;$B$4,"",$A$4+175)</f>
        <v>46198</v>
      </c>
      <c r="N17554">
        <f>IF(M17554="","",'Master Barang'!A48)</f>
        <v>0</v>
      </c>
      <c r="O17554">
        <f>IF(N17554="","",'Master Barang'!B48)</f>
        <v>0</v>
      </c>
      <c r="P17554">
        <f>IF(OR(M17554="",N17554=""),"",SUMIFS('Barang Keluar'!$E:$E,'Barang Keluar'!$A:$A,M17554,'Barang Keluar'!$C:$C,N17554))</f>
        <v>0</v>
      </c>
    </row>
    <row r="17555" spans="13:16">
      <c r="M17555" s="49">
        <f>IF($A$4+175&gt;$B$4,"",$A$4+175)</f>
        <v>46198</v>
      </c>
      <c r="N17555">
        <f>IF(M17555="","",'Master Barang'!A49)</f>
        <v>0</v>
      </c>
      <c r="O17555">
        <f>IF(N17555="","",'Master Barang'!B49)</f>
        <v>0</v>
      </c>
      <c r="P17555">
        <f>IF(OR(M17555="",N17555=""),"",SUMIFS('Barang Keluar'!$E:$E,'Barang Keluar'!$A:$A,M17555,'Barang Keluar'!$C:$C,N17555))</f>
        <v>0</v>
      </c>
    </row>
    <row r="17556" spans="13:16">
      <c r="M17556" s="49">
        <f>IF($A$4+175&gt;$B$4,"",$A$4+175)</f>
        <v>46198</v>
      </c>
      <c r="N17556">
        <f>IF(M17556="","",'Master Barang'!A50)</f>
        <v>0</v>
      </c>
      <c r="O17556">
        <f>IF(N17556="","",'Master Barang'!B50)</f>
        <v>0</v>
      </c>
      <c r="P17556">
        <f>IF(OR(M17556="",N17556=""),"",SUMIFS('Barang Keluar'!$E:$E,'Barang Keluar'!$A:$A,M17556,'Barang Keluar'!$C:$C,N17556))</f>
        <v>0</v>
      </c>
    </row>
    <row r="17557" spans="13:16">
      <c r="M17557" s="49">
        <f>IF($A$4+175&gt;$B$4,"",$A$4+175)</f>
        <v>46198</v>
      </c>
      <c r="N17557">
        <f>IF(M17557="","",'Master Barang'!A51)</f>
        <v>0</v>
      </c>
      <c r="O17557">
        <f>IF(N17557="","",'Master Barang'!B51)</f>
        <v>0</v>
      </c>
      <c r="P17557">
        <f>IF(OR(M17557="",N17557=""),"",SUMIFS('Barang Keluar'!$E:$E,'Barang Keluar'!$A:$A,M17557,'Barang Keluar'!$C:$C,N17557))</f>
        <v>0</v>
      </c>
    </row>
    <row r="17558" spans="13:16">
      <c r="M17558" s="49">
        <f>IF($A$4+175&gt;$B$4,"",$A$4+175)</f>
        <v>46198</v>
      </c>
      <c r="N17558">
        <f>IF(M17558="","",'Master Barang'!A52)</f>
        <v>0</v>
      </c>
      <c r="O17558">
        <f>IF(N17558="","",'Master Barang'!B52)</f>
        <v>0</v>
      </c>
      <c r="P17558">
        <f>IF(OR(M17558="",N17558=""),"",SUMIFS('Barang Keluar'!$E:$E,'Barang Keluar'!$A:$A,M17558,'Barang Keluar'!$C:$C,N17558))</f>
        <v>0</v>
      </c>
    </row>
    <row r="17559" spans="13:16">
      <c r="M17559" s="49">
        <f>IF($A$4+175&gt;$B$4,"",$A$4+175)</f>
        <v>46198</v>
      </c>
      <c r="N17559">
        <f>IF(M17559="","",'Master Barang'!A53)</f>
        <v>0</v>
      </c>
      <c r="O17559">
        <f>IF(N17559="","",'Master Barang'!B53)</f>
        <v>0</v>
      </c>
      <c r="P17559">
        <f>IF(OR(M17559="",N17559=""),"",SUMIFS('Barang Keluar'!$E:$E,'Barang Keluar'!$A:$A,M17559,'Barang Keluar'!$C:$C,N17559))</f>
        <v>0</v>
      </c>
    </row>
    <row r="17560" spans="13:16">
      <c r="M17560" s="49">
        <f>IF($A$4+175&gt;$B$4,"",$A$4+175)</f>
        <v>46198</v>
      </c>
      <c r="N17560">
        <f>IF(M17560="","",'Master Barang'!A54)</f>
        <v>0</v>
      </c>
      <c r="O17560">
        <f>IF(N17560="","",'Master Barang'!B54)</f>
        <v>0</v>
      </c>
      <c r="P17560">
        <f>IF(OR(M17560="",N17560=""),"",SUMIFS('Barang Keluar'!$E:$E,'Barang Keluar'!$A:$A,M17560,'Barang Keluar'!$C:$C,N17560))</f>
        <v>0</v>
      </c>
    </row>
    <row r="17561" spans="13:16">
      <c r="M17561" s="49">
        <f>IF($A$4+175&gt;$B$4,"",$A$4+175)</f>
        <v>46198</v>
      </c>
      <c r="N17561">
        <f>IF(M17561="","",'Master Barang'!A55)</f>
        <v>0</v>
      </c>
      <c r="O17561">
        <f>IF(N17561="","",'Master Barang'!B55)</f>
        <v>0</v>
      </c>
      <c r="P17561">
        <f>IF(OR(M17561="",N17561=""),"",SUMIFS('Barang Keluar'!$E:$E,'Barang Keluar'!$A:$A,M17561,'Barang Keluar'!$C:$C,N17561))</f>
        <v>0</v>
      </c>
    </row>
    <row r="17562" spans="13:16">
      <c r="M17562" s="49">
        <f>IF($A$4+175&gt;$B$4,"",$A$4+175)</f>
        <v>46198</v>
      </c>
      <c r="N17562">
        <f>IF(M17562="","",'Master Barang'!A56)</f>
        <v>0</v>
      </c>
      <c r="O17562">
        <f>IF(N17562="","",'Master Barang'!B56)</f>
        <v>0</v>
      </c>
      <c r="P17562">
        <f>IF(OR(M17562="",N17562=""),"",SUMIFS('Barang Keluar'!$E:$E,'Barang Keluar'!$A:$A,M17562,'Barang Keluar'!$C:$C,N17562))</f>
        <v>0</v>
      </c>
    </row>
    <row r="17563" spans="13:16">
      <c r="M17563" s="49">
        <f>IF($A$4+175&gt;$B$4,"",$A$4+175)</f>
        <v>46198</v>
      </c>
      <c r="N17563">
        <f>IF(M17563="","",'Master Barang'!A57)</f>
        <v>0</v>
      </c>
      <c r="O17563">
        <f>IF(N17563="","",'Master Barang'!B57)</f>
        <v>0</v>
      </c>
      <c r="P17563">
        <f>IF(OR(M17563="",N17563=""),"",SUMIFS('Barang Keluar'!$E:$E,'Barang Keluar'!$A:$A,M17563,'Barang Keluar'!$C:$C,N17563))</f>
        <v>0</v>
      </c>
    </row>
    <row r="17564" spans="13:16">
      <c r="M17564" s="49">
        <f>IF($A$4+175&gt;$B$4,"",$A$4+175)</f>
        <v>46198</v>
      </c>
      <c r="N17564">
        <f>IF(M17564="","",'Master Barang'!A58)</f>
        <v>0</v>
      </c>
      <c r="O17564">
        <f>IF(N17564="","",'Master Barang'!B58)</f>
        <v>0</v>
      </c>
      <c r="P17564">
        <f>IF(OR(M17564="",N17564=""),"",SUMIFS('Barang Keluar'!$E:$E,'Barang Keluar'!$A:$A,M17564,'Barang Keluar'!$C:$C,N17564))</f>
        <v>0</v>
      </c>
    </row>
    <row r="17565" spans="13:16">
      <c r="M17565" s="49">
        <f>IF($A$4+175&gt;$B$4,"",$A$4+175)</f>
        <v>46198</v>
      </c>
      <c r="N17565">
        <f>IF(M17565="","",'Master Barang'!A59)</f>
        <v>0</v>
      </c>
      <c r="O17565">
        <f>IF(N17565="","",'Master Barang'!B59)</f>
        <v>0</v>
      </c>
      <c r="P17565">
        <f>IF(OR(M17565="",N17565=""),"",SUMIFS('Barang Keluar'!$E:$E,'Barang Keluar'!$A:$A,M17565,'Barang Keluar'!$C:$C,N17565))</f>
        <v>0</v>
      </c>
    </row>
    <row r="17566" spans="13:16">
      <c r="M17566" s="49">
        <f>IF($A$4+175&gt;$B$4,"",$A$4+175)</f>
        <v>46198</v>
      </c>
      <c r="N17566">
        <f>IF(M17566="","",'Master Barang'!A60)</f>
        <v>0</v>
      </c>
      <c r="O17566">
        <f>IF(N17566="","",'Master Barang'!B60)</f>
        <v>0</v>
      </c>
      <c r="P17566">
        <f>IF(OR(M17566="",N17566=""),"",SUMIFS('Barang Keluar'!$E:$E,'Barang Keluar'!$A:$A,M17566,'Barang Keluar'!$C:$C,N17566))</f>
        <v>0</v>
      </c>
    </row>
    <row r="17567" spans="13:16">
      <c r="M17567" s="49">
        <f>IF($A$4+175&gt;$B$4,"",$A$4+175)</f>
        <v>46198</v>
      </c>
      <c r="N17567">
        <f>IF(M17567="","",'Master Barang'!A61)</f>
        <v>0</v>
      </c>
      <c r="O17567">
        <f>IF(N17567="","",'Master Barang'!B61)</f>
        <v>0</v>
      </c>
      <c r="P17567">
        <f>IF(OR(M17567="",N17567=""),"",SUMIFS('Barang Keluar'!$E:$E,'Barang Keluar'!$A:$A,M17567,'Barang Keluar'!$C:$C,N17567))</f>
        <v>0</v>
      </c>
    </row>
    <row r="17568" spans="13:16">
      <c r="M17568" s="49">
        <f>IF($A$4+175&gt;$B$4,"",$A$4+175)</f>
        <v>46198</v>
      </c>
      <c r="N17568">
        <f>IF(M17568="","",'Master Barang'!A62)</f>
        <v>0</v>
      </c>
      <c r="O17568">
        <f>IF(N17568="","",'Master Barang'!B62)</f>
        <v>0</v>
      </c>
      <c r="P17568">
        <f>IF(OR(M17568="",N17568=""),"",SUMIFS('Barang Keluar'!$E:$E,'Barang Keluar'!$A:$A,M17568,'Barang Keluar'!$C:$C,N17568))</f>
        <v>0</v>
      </c>
    </row>
    <row r="17569" spans="13:16">
      <c r="M17569" s="49">
        <f>IF($A$4+175&gt;$B$4,"",$A$4+175)</f>
        <v>46198</v>
      </c>
      <c r="N17569">
        <f>IF(M17569="","",'Master Barang'!A63)</f>
        <v>0</v>
      </c>
      <c r="O17569">
        <f>IF(N17569="","",'Master Barang'!B63)</f>
        <v>0</v>
      </c>
      <c r="P17569">
        <f>IF(OR(M17569="",N17569=""),"",SUMIFS('Barang Keluar'!$E:$E,'Barang Keluar'!$A:$A,M17569,'Barang Keluar'!$C:$C,N17569))</f>
        <v>0</v>
      </c>
    </row>
    <row r="17570" spans="13:16">
      <c r="M17570" s="49">
        <f>IF($A$4+175&gt;$B$4,"",$A$4+175)</f>
        <v>46198</v>
      </c>
      <c r="N17570">
        <f>IF(M17570="","",'Master Barang'!A64)</f>
        <v>0</v>
      </c>
      <c r="O17570">
        <f>IF(N17570="","",'Master Barang'!B64)</f>
        <v>0</v>
      </c>
      <c r="P17570">
        <f>IF(OR(M17570="",N17570=""),"",SUMIFS('Barang Keluar'!$E:$E,'Barang Keluar'!$A:$A,M17570,'Barang Keluar'!$C:$C,N17570))</f>
        <v>0</v>
      </c>
    </row>
    <row r="17571" spans="13:16">
      <c r="M17571" s="49">
        <f>IF($A$4+175&gt;$B$4,"",$A$4+175)</f>
        <v>46198</v>
      </c>
      <c r="N17571">
        <f>IF(M17571="","",'Master Barang'!A65)</f>
        <v>0</v>
      </c>
      <c r="O17571">
        <f>IF(N17571="","",'Master Barang'!B65)</f>
        <v>0</v>
      </c>
      <c r="P17571">
        <f>IF(OR(M17571="",N17571=""),"",SUMIFS('Barang Keluar'!$E:$E,'Barang Keluar'!$A:$A,M17571,'Barang Keluar'!$C:$C,N17571))</f>
        <v>0</v>
      </c>
    </row>
    <row r="17572" spans="13:16">
      <c r="M17572" s="49">
        <f>IF($A$4+175&gt;$B$4,"",$A$4+175)</f>
        <v>46198</v>
      </c>
      <c r="N17572">
        <f>IF(M17572="","",'Master Barang'!A66)</f>
        <v>0</v>
      </c>
      <c r="O17572">
        <f>IF(N17572="","",'Master Barang'!B66)</f>
        <v>0</v>
      </c>
      <c r="P17572">
        <f>IF(OR(M17572="",N17572=""),"",SUMIFS('Barang Keluar'!$E:$E,'Barang Keluar'!$A:$A,M17572,'Barang Keluar'!$C:$C,N17572))</f>
        <v>0</v>
      </c>
    </row>
    <row r="17573" spans="13:16">
      <c r="M17573" s="49">
        <f>IF($A$4+175&gt;$B$4,"",$A$4+175)</f>
        <v>46198</v>
      </c>
      <c r="N17573">
        <f>IF(M17573="","",'Master Barang'!A67)</f>
        <v>0</v>
      </c>
      <c r="O17573">
        <f>IF(N17573="","",'Master Barang'!B67)</f>
        <v>0</v>
      </c>
      <c r="P17573">
        <f>IF(OR(M17573="",N17573=""),"",SUMIFS('Barang Keluar'!$E:$E,'Barang Keluar'!$A:$A,M17573,'Barang Keluar'!$C:$C,N17573))</f>
        <v>0</v>
      </c>
    </row>
    <row r="17574" spans="13:16">
      <c r="M17574" s="49">
        <f>IF($A$4+175&gt;$B$4,"",$A$4+175)</f>
        <v>46198</v>
      </c>
      <c r="N17574">
        <f>IF(M17574="","",'Master Barang'!A68)</f>
        <v>0</v>
      </c>
      <c r="O17574">
        <f>IF(N17574="","",'Master Barang'!B68)</f>
        <v>0</v>
      </c>
      <c r="P17574">
        <f>IF(OR(M17574="",N17574=""),"",SUMIFS('Barang Keluar'!$E:$E,'Barang Keluar'!$A:$A,M17574,'Barang Keluar'!$C:$C,N17574))</f>
        <v>0</v>
      </c>
    </row>
    <row r="17575" spans="13:16">
      <c r="M17575" s="49">
        <f>IF($A$4+175&gt;$B$4,"",$A$4+175)</f>
        <v>46198</v>
      </c>
      <c r="N17575">
        <f>IF(M17575="","",'Master Barang'!A69)</f>
        <v>0</v>
      </c>
      <c r="O17575">
        <f>IF(N17575="","",'Master Barang'!B69)</f>
        <v>0</v>
      </c>
      <c r="P17575">
        <f>IF(OR(M17575="",N17575=""),"",SUMIFS('Barang Keluar'!$E:$E,'Barang Keluar'!$A:$A,M17575,'Barang Keluar'!$C:$C,N17575))</f>
        <v>0</v>
      </c>
    </row>
    <row r="17576" spans="13:16">
      <c r="M17576" s="49">
        <f>IF($A$4+175&gt;$B$4,"",$A$4+175)</f>
        <v>46198</v>
      </c>
      <c r="N17576">
        <f>IF(M17576="","",'Master Barang'!A70)</f>
        <v>0</v>
      </c>
      <c r="O17576">
        <f>IF(N17576="","",'Master Barang'!B70)</f>
        <v>0</v>
      </c>
      <c r="P17576">
        <f>IF(OR(M17576="",N17576=""),"",SUMIFS('Barang Keluar'!$E:$E,'Barang Keluar'!$A:$A,M17576,'Barang Keluar'!$C:$C,N17576))</f>
        <v>0</v>
      </c>
    </row>
    <row r="17577" spans="13:16">
      <c r="M17577" s="49">
        <f>IF($A$4+175&gt;$B$4,"",$A$4+175)</f>
        <v>46198</v>
      </c>
      <c r="N17577">
        <f>IF(M17577="","",'Master Barang'!A71)</f>
        <v>0</v>
      </c>
      <c r="O17577">
        <f>IF(N17577="","",'Master Barang'!B71)</f>
        <v>0</v>
      </c>
      <c r="P17577">
        <f>IF(OR(M17577="",N17577=""),"",SUMIFS('Barang Keluar'!$E:$E,'Barang Keluar'!$A:$A,M17577,'Barang Keluar'!$C:$C,N17577))</f>
        <v>0</v>
      </c>
    </row>
    <row r="17578" spans="13:16">
      <c r="M17578" s="49">
        <f>IF($A$4+175&gt;$B$4,"",$A$4+175)</f>
        <v>46198</v>
      </c>
      <c r="N17578">
        <f>IF(M17578="","",'Master Barang'!A72)</f>
        <v>0</v>
      </c>
      <c r="O17578">
        <f>IF(N17578="","",'Master Barang'!B72)</f>
        <v>0</v>
      </c>
      <c r="P17578">
        <f>IF(OR(M17578="",N17578=""),"",SUMIFS('Barang Keluar'!$E:$E,'Barang Keluar'!$A:$A,M17578,'Barang Keluar'!$C:$C,N17578))</f>
        <v>0</v>
      </c>
    </row>
    <row r="17579" spans="13:16">
      <c r="M17579" s="49">
        <f>IF($A$4+175&gt;$B$4,"",$A$4+175)</f>
        <v>46198</v>
      </c>
      <c r="N17579">
        <f>IF(M17579="","",'Master Barang'!A73)</f>
        <v>0</v>
      </c>
      <c r="O17579">
        <f>IF(N17579="","",'Master Barang'!B73)</f>
        <v>0</v>
      </c>
      <c r="P17579">
        <f>IF(OR(M17579="",N17579=""),"",SUMIFS('Barang Keluar'!$E:$E,'Barang Keluar'!$A:$A,M17579,'Barang Keluar'!$C:$C,N17579))</f>
        <v>0</v>
      </c>
    </row>
    <row r="17580" spans="13:16">
      <c r="M17580" s="49">
        <f>IF($A$4+175&gt;$B$4,"",$A$4+175)</f>
        <v>46198</v>
      </c>
      <c r="N17580">
        <f>IF(M17580="","",'Master Barang'!A74)</f>
        <v>0</v>
      </c>
      <c r="O17580">
        <f>IF(N17580="","",'Master Barang'!B74)</f>
        <v>0</v>
      </c>
      <c r="P17580">
        <f>IF(OR(M17580="",N17580=""),"",SUMIFS('Barang Keluar'!$E:$E,'Barang Keluar'!$A:$A,M17580,'Barang Keluar'!$C:$C,N17580))</f>
        <v>0</v>
      </c>
    </row>
    <row r="17581" spans="13:16">
      <c r="M17581" s="49">
        <f>IF($A$4+175&gt;$B$4,"",$A$4+175)</f>
        <v>46198</v>
      </c>
      <c r="N17581">
        <f>IF(M17581="","",'Master Barang'!A75)</f>
        <v>0</v>
      </c>
      <c r="O17581">
        <f>IF(N17581="","",'Master Barang'!B75)</f>
        <v>0</v>
      </c>
      <c r="P17581">
        <f>IF(OR(M17581="",N17581=""),"",SUMIFS('Barang Keluar'!$E:$E,'Barang Keluar'!$A:$A,M17581,'Barang Keluar'!$C:$C,N17581))</f>
        <v>0</v>
      </c>
    </row>
    <row r="17582" spans="13:16">
      <c r="M17582" s="49">
        <f>IF($A$4+175&gt;$B$4,"",$A$4+175)</f>
        <v>46198</v>
      </c>
      <c r="N17582">
        <f>IF(M17582="","",'Master Barang'!A76)</f>
        <v>0</v>
      </c>
      <c r="O17582">
        <f>IF(N17582="","",'Master Barang'!B76)</f>
        <v>0</v>
      </c>
      <c r="P17582">
        <f>IF(OR(M17582="",N17582=""),"",SUMIFS('Barang Keluar'!$E:$E,'Barang Keluar'!$A:$A,M17582,'Barang Keluar'!$C:$C,N17582))</f>
        <v>0</v>
      </c>
    </row>
    <row r="17583" spans="13:16">
      <c r="M17583" s="49">
        <f>IF($A$4+175&gt;$B$4,"",$A$4+175)</f>
        <v>46198</v>
      </c>
      <c r="N17583">
        <f>IF(M17583="","",'Master Barang'!A77)</f>
        <v>0</v>
      </c>
      <c r="O17583">
        <f>IF(N17583="","",'Master Barang'!B77)</f>
        <v>0</v>
      </c>
      <c r="P17583">
        <f>IF(OR(M17583="",N17583=""),"",SUMIFS('Barang Keluar'!$E:$E,'Barang Keluar'!$A:$A,M17583,'Barang Keluar'!$C:$C,N17583))</f>
        <v>0</v>
      </c>
    </row>
    <row r="17584" spans="13:16">
      <c r="M17584" s="49">
        <f>IF($A$4+175&gt;$B$4,"",$A$4+175)</f>
        <v>46198</v>
      </c>
      <c r="N17584">
        <f>IF(M17584="","",'Master Barang'!A78)</f>
        <v>0</v>
      </c>
      <c r="O17584">
        <f>IF(N17584="","",'Master Barang'!B78)</f>
        <v>0</v>
      </c>
      <c r="P17584">
        <f>IF(OR(M17584="",N17584=""),"",SUMIFS('Barang Keluar'!$E:$E,'Barang Keluar'!$A:$A,M17584,'Barang Keluar'!$C:$C,N17584))</f>
        <v>0</v>
      </c>
    </row>
    <row r="17585" spans="13:16">
      <c r="M17585" s="49">
        <f>IF($A$4+175&gt;$B$4,"",$A$4+175)</f>
        <v>46198</v>
      </c>
      <c r="N17585">
        <f>IF(M17585="","",'Master Barang'!A79)</f>
        <v>0</v>
      </c>
      <c r="O17585">
        <f>IF(N17585="","",'Master Barang'!B79)</f>
        <v>0</v>
      </c>
      <c r="P17585">
        <f>IF(OR(M17585="",N17585=""),"",SUMIFS('Barang Keluar'!$E:$E,'Barang Keluar'!$A:$A,M17585,'Barang Keluar'!$C:$C,N17585))</f>
        <v>0</v>
      </c>
    </row>
    <row r="17586" spans="13:16">
      <c r="M17586" s="49">
        <f>IF($A$4+175&gt;$B$4,"",$A$4+175)</f>
        <v>46198</v>
      </c>
      <c r="N17586">
        <f>IF(M17586="","",'Master Barang'!A80)</f>
        <v>0</v>
      </c>
      <c r="O17586">
        <f>IF(N17586="","",'Master Barang'!B80)</f>
        <v>0</v>
      </c>
      <c r="P17586">
        <f>IF(OR(M17586="",N17586=""),"",SUMIFS('Barang Keluar'!$E:$E,'Barang Keluar'!$A:$A,M17586,'Barang Keluar'!$C:$C,N17586))</f>
        <v>0</v>
      </c>
    </row>
    <row r="17587" spans="13:16">
      <c r="M17587" s="49">
        <f>IF($A$4+175&gt;$B$4,"",$A$4+175)</f>
        <v>46198</v>
      </c>
      <c r="N17587">
        <f>IF(M17587="","",'Master Barang'!A81)</f>
        <v>0</v>
      </c>
      <c r="O17587">
        <f>IF(N17587="","",'Master Barang'!B81)</f>
        <v>0</v>
      </c>
      <c r="P17587">
        <f>IF(OR(M17587="",N17587=""),"",SUMIFS('Barang Keluar'!$E:$E,'Barang Keluar'!$A:$A,M17587,'Barang Keluar'!$C:$C,N17587))</f>
        <v>0</v>
      </c>
    </row>
    <row r="17588" spans="13:16">
      <c r="M17588" s="49">
        <f>IF($A$4+175&gt;$B$4,"",$A$4+175)</f>
        <v>46198</v>
      </c>
      <c r="N17588">
        <f>IF(M17588="","",'Master Barang'!A82)</f>
        <v>0</v>
      </c>
      <c r="O17588">
        <f>IF(N17588="","",'Master Barang'!B82)</f>
        <v>0</v>
      </c>
      <c r="P17588">
        <f>IF(OR(M17588="",N17588=""),"",SUMIFS('Barang Keluar'!$E:$E,'Barang Keluar'!$A:$A,M17588,'Barang Keluar'!$C:$C,N17588))</f>
        <v>0</v>
      </c>
    </row>
    <row r="17589" spans="13:16">
      <c r="M17589" s="49">
        <f>IF($A$4+175&gt;$B$4,"",$A$4+175)</f>
        <v>46198</v>
      </c>
      <c r="N17589">
        <f>IF(M17589="","",'Master Barang'!A83)</f>
        <v>0</v>
      </c>
      <c r="O17589">
        <f>IF(N17589="","",'Master Barang'!B83)</f>
        <v>0</v>
      </c>
      <c r="P17589">
        <f>IF(OR(M17589="",N17589=""),"",SUMIFS('Barang Keluar'!$E:$E,'Barang Keluar'!$A:$A,M17589,'Barang Keluar'!$C:$C,N17589))</f>
        <v>0</v>
      </c>
    </row>
    <row r="17590" spans="13:16">
      <c r="M17590" s="49">
        <f>IF($A$4+175&gt;$B$4,"",$A$4+175)</f>
        <v>46198</v>
      </c>
      <c r="N17590">
        <f>IF(M17590="","",'Master Barang'!A84)</f>
        <v>0</v>
      </c>
      <c r="O17590">
        <f>IF(N17590="","",'Master Barang'!B84)</f>
        <v>0</v>
      </c>
      <c r="P17590">
        <f>IF(OR(M17590="",N17590=""),"",SUMIFS('Barang Keluar'!$E:$E,'Barang Keluar'!$A:$A,M17590,'Barang Keluar'!$C:$C,N17590))</f>
        <v>0</v>
      </c>
    </row>
    <row r="17591" spans="13:16">
      <c r="M17591" s="49">
        <f>IF($A$4+175&gt;$B$4,"",$A$4+175)</f>
        <v>46198</v>
      </c>
      <c r="N17591">
        <f>IF(M17591="","",'Master Barang'!A85)</f>
        <v>0</v>
      </c>
      <c r="O17591">
        <f>IF(N17591="","",'Master Barang'!B85)</f>
        <v>0</v>
      </c>
      <c r="P17591">
        <f>IF(OR(M17591="",N17591=""),"",SUMIFS('Barang Keluar'!$E:$E,'Barang Keluar'!$A:$A,M17591,'Barang Keluar'!$C:$C,N17591))</f>
        <v>0</v>
      </c>
    </row>
    <row r="17592" spans="13:16">
      <c r="M17592" s="49">
        <f>IF($A$4+175&gt;$B$4,"",$A$4+175)</f>
        <v>46198</v>
      </c>
      <c r="N17592">
        <f>IF(M17592="","",'Master Barang'!A86)</f>
        <v>0</v>
      </c>
      <c r="O17592">
        <f>IF(N17592="","",'Master Barang'!B86)</f>
        <v>0</v>
      </c>
      <c r="P17592">
        <f>IF(OR(M17592="",N17592=""),"",SUMIFS('Barang Keluar'!$E:$E,'Barang Keluar'!$A:$A,M17592,'Barang Keluar'!$C:$C,N17592))</f>
        <v>0</v>
      </c>
    </row>
    <row r="17593" spans="13:16">
      <c r="M17593" s="49">
        <f>IF($A$4+175&gt;$B$4,"",$A$4+175)</f>
        <v>46198</v>
      </c>
      <c r="N17593">
        <f>IF(M17593="","",'Master Barang'!A87)</f>
        <v>0</v>
      </c>
      <c r="O17593">
        <f>IF(N17593="","",'Master Barang'!B87)</f>
        <v>0</v>
      </c>
      <c r="P17593">
        <f>IF(OR(M17593="",N17593=""),"",SUMIFS('Barang Keluar'!$E:$E,'Barang Keluar'!$A:$A,M17593,'Barang Keluar'!$C:$C,N17593))</f>
        <v>0</v>
      </c>
    </row>
    <row r="17594" spans="13:16">
      <c r="M17594" s="49">
        <f>IF($A$4+175&gt;$B$4,"",$A$4+175)</f>
        <v>46198</v>
      </c>
      <c r="N17594">
        <f>IF(M17594="","",'Master Barang'!A88)</f>
        <v>0</v>
      </c>
      <c r="O17594">
        <f>IF(N17594="","",'Master Barang'!B88)</f>
        <v>0</v>
      </c>
      <c r="P17594">
        <f>IF(OR(M17594="",N17594=""),"",SUMIFS('Barang Keluar'!$E:$E,'Barang Keluar'!$A:$A,M17594,'Barang Keluar'!$C:$C,N17594))</f>
        <v>0</v>
      </c>
    </row>
    <row r="17595" spans="13:16">
      <c r="M17595" s="49">
        <f>IF($A$4+175&gt;$B$4,"",$A$4+175)</f>
        <v>46198</v>
      </c>
      <c r="N17595">
        <f>IF(M17595="","",'Master Barang'!A89)</f>
        <v>0</v>
      </c>
      <c r="O17595">
        <f>IF(N17595="","",'Master Barang'!B89)</f>
        <v>0</v>
      </c>
      <c r="P17595">
        <f>IF(OR(M17595="",N17595=""),"",SUMIFS('Barang Keluar'!$E:$E,'Barang Keluar'!$A:$A,M17595,'Barang Keluar'!$C:$C,N17595))</f>
        <v>0</v>
      </c>
    </row>
    <row r="17596" spans="13:16">
      <c r="M17596" s="49">
        <f>IF($A$4+175&gt;$B$4,"",$A$4+175)</f>
        <v>46198</v>
      </c>
      <c r="N17596">
        <f>IF(M17596="","",'Master Barang'!A90)</f>
        <v>0</v>
      </c>
      <c r="O17596">
        <f>IF(N17596="","",'Master Barang'!B90)</f>
        <v>0</v>
      </c>
      <c r="P17596">
        <f>IF(OR(M17596="",N17596=""),"",SUMIFS('Barang Keluar'!$E:$E,'Barang Keluar'!$A:$A,M17596,'Barang Keluar'!$C:$C,N17596))</f>
        <v>0</v>
      </c>
    </row>
    <row r="17597" spans="13:16">
      <c r="M17597" s="49">
        <f>IF($A$4+175&gt;$B$4,"",$A$4+175)</f>
        <v>46198</v>
      </c>
      <c r="N17597">
        <f>IF(M17597="","",'Master Barang'!A91)</f>
        <v>0</v>
      </c>
      <c r="O17597">
        <f>IF(N17597="","",'Master Barang'!B91)</f>
        <v>0</v>
      </c>
      <c r="P17597">
        <f>IF(OR(M17597="",N17597=""),"",SUMIFS('Barang Keluar'!$E:$E,'Barang Keluar'!$A:$A,M17597,'Barang Keluar'!$C:$C,N17597))</f>
        <v>0</v>
      </c>
    </row>
    <row r="17598" spans="13:16">
      <c r="M17598" s="49">
        <f>IF($A$4+175&gt;$B$4,"",$A$4+175)</f>
        <v>46198</v>
      </c>
      <c r="N17598">
        <f>IF(M17598="","",'Master Barang'!A92)</f>
        <v>0</v>
      </c>
      <c r="O17598">
        <f>IF(N17598="","",'Master Barang'!B92)</f>
        <v>0</v>
      </c>
      <c r="P17598">
        <f>IF(OR(M17598="",N17598=""),"",SUMIFS('Barang Keluar'!$E:$E,'Barang Keluar'!$A:$A,M17598,'Barang Keluar'!$C:$C,N17598))</f>
        <v>0</v>
      </c>
    </row>
    <row r="17599" spans="13:16">
      <c r="M17599" s="49">
        <f>IF($A$4+175&gt;$B$4,"",$A$4+175)</f>
        <v>46198</v>
      </c>
      <c r="N17599">
        <f>IF(M17599="","",'Master Barang'!A93)</f>
        <v>0</v>
      </c>
      <c r="O17599">
        <f>IF(N17599="","",'Master Barang'!B93)</f>
        <v>0</v>
      </c>
      <c r="P17599">
        <f>IF(OR(M17599="",N17599=""),"",SUMIFS('Barang Keluar'!$E:$E,'Barang Keluar'!$A:$A,M17599,'Barang Keluar'!$C:$C,N17599))</f>
        <v>0</v>
      </c>
    </row>
    <row r="17600" spans="13:16">
      <c r="M17600" s="49">
        <f>IF($A$4+175&gt;$B$4,"",$A$4+175)</f>
        <v>46198</v>
      </c>
      <c r="N17600">
        <f>IF(M17600="","",'Master Barang'!A94)</f>
        <v>0</v>
      </c>
      <c r="O17600">
        <f>IF(N17600="","",'Master Barang'!B94)</f>
        <v>0</v>
      </c>
      <c r="P17600">
        <f>IF(OR(M17600="",N17600=""),"",SUMIFS('Barang Keluar'!$E:$E,'Barang Keluar'!$A:$A,M17600,'Barang Keluar'!$C:$C,N17600))</f>
        <v>0</v>
      </c>
    </row>
    <row r="17601" spans="13:16">
      <c r="M17601" s="49">
        <f>IF($A$4+175&gt;$B$4,"",$A$4+175)</f>
        <v>46198</v>
      </c>
      <c r="N17601">
        <f>IF(M17601="","",'Master Barang'!A95)</f>
        <v>0</v>
      </c>
      <c r="O17601">
        <f>IF(N17601="","",'Master Barang'!B95)</f>
        <v>0</v>
      </c>
      <c r="P17601">
        <f>IF(OR(M17601="",N17601=""),"",SUMIFS('Barang Keluar'!$E:$E,'Barang Keluar'!$A:$A,M17601,'Barang Keluar'!$C:$C,N17601))</f>
        <v>0</v>
      </c>
    </row>
    <row r="17602" spans="13:16">
      <c r="M17602" s="49">
        <f>IF($A$4+175&gt;$B$4,"",$A$4+175)</f>
        <v>46198</v>
      </c>
      <c r="N17602">
        <f>IF(M17602="","",'Master Barang'!A96)</f>
        <v>0</v>
      </c>
      <c r="O17602">
        <f>IF(N17602="","",'Master Barang'!B96)</f>
        <v>0</v>
      </c>
      <c r="P17602">
        <f>IF(OR(M17602="",N17602=""),"",SUMIFS('Barang Keluar'!$E:$E,'Barang Keluar'!$A:$A,M17602,'Barang Keluar'!$C:$C,N17602))</f>
        <v>0</v>
      </c>
    </row>
    <row r="17603" spans="13:16">
      <c r="M17603" s="49">
        <f>IF($A$4+175&gt;$B$4,"",$A$4+175)</f>
        <v>46198</v>
      </c>
      <c r="N17603">
        <f>IF(M17603="","",'Master Barang'!A97)</f>
        <v>0</v>
      </c>
      <c r="O17603">
        <f>IF(N17603="","",'Master Barang'!B97)</f>
        <v>0</v>
      </c>
      <c r="P17603">
        <f>IF(OR(M17603="",N17603=""),"",SUMIFS('Barang Keluar'!$E:$E,'Barang Keluar'!$A:$A,M17603,'Barang Keluar'!$C:$C,N17603))</f>
        <v>0</v>
      </c>
    </row>
    <row r="17604" spans="13:16">
      <c r="M17604" s="49">
        <f>IF($A$4+175&gt;$B$4,"",$A$4+175)</f>
        <v>46198</v>
      </c>
      <c r="N17604">
        <f>IF(M17604="","",'Master Barang'!A98)</f>
        <v>0</v>
      </c>
      <c r="O17604">
        <f>IF(N17604="","",'Master Barang'!B98)</f>
        <v>0</v>
      </c>
      <c r="P17604">
        <f>IF(OR(M17604="",N17604=""),"",SUMIFS('Barang Keluar'!$E:$E,'Barang Keluar'!$A:$A,M17604,'Barang Keluar'!$C:$C,N17604))</f>
        <v>0</v>
      </c>
    </row>
    <row r="17605" spans="13:16">
      <c r="M17605" s="49">
        <f>IF($A$4+175&gt;$B$4,"",$A$4+175)</f>
        <v>46198</v>
      </c>
      <c r="N17605">
        <f>IF(M17605="","",'Master Barang'!A99)</f>
        <v>0</v>
      </c>
      <c r="O17605">
        <f>IF(N17605="","",'Master Barang'!B99)</f>
        <v>0</v>
      </c>
      <c r="P17605">
        <f>IF(OR(M17605="",N17605=""),"",SUMIFS('Barang Keluar'!$E:$E,'Barang Keluar'!$A:$A,M17605,'Barang Keluar'!$C:$C,N17605))</f>
        <v>0</v>
      </c>
    </row>
    <row r="17606" spans="13:16">
      <c r="M17606" s="49">
        <f>IF($A$4+175&gt;$B$4,"",$A$4+175)</f>
        <v>46198</v>
      </c>
      <c r="N17606">
        <f>IF(M17606="","",'Master Barang'!A100)</f>
        <v>0</v>
      </c>
      <c r="O17606">
        <f>IF(N17606="","",'Master Barang'!B100)</f>
        <v>0</v>
      </c>
      <c r="P17606">
        <f>IF(OR(M17606="",N17606=""),"",SUMIFS('Barang Keluar'!$E:$E,'Barang Keluar'!$A:$A,M17606,'Barang Keluar'!$C:$C,N17606))</f>
        <v>0</v>
      </c>
    </row>
    <row r="17607" spans="13:16">
      <c r="M17607" s="49">
        <f>IF($A$4+175&gt;$B$4,"",$A$4+175)</f>
        <v>46198</v>
      </c>
      <c r="N17607">
        <f>IF(M17607="","",'Master Barang'!A101)</f>
        <v>0</v>
      </c>
      <c r="O17607">
        <f>IF(N17607="","",'Master Barang'!B101)</f>
        <v>0</v>
      </c>
      <c r="P17607">
        <f>IF(OR(M17607="",N17607=""),"",SUMIFS('Barang Keluar'!$E:$E,'Barang Keluar'!$A:$A,M17607,'Barang Keluar'!$C:$C,N17607))</f>
        <v>0</v>
      </c>
    </row>
    <row r="17608" spans="13:16">
      <c r="M17608" s="49">
        <f>IF($A$4+176&gt;$B$4,"",$A$4+176)</f>
        <v>46199</v>
      </c>
      <c r="N17608" t="str">
        <f>IF(M17608="","",'Master Barang'!A2)</f>
        <v>PRL-001</v>
      </c>
      <c r="O17608" t="str">
        <f>IF(N17608="","",'Master Barang'!B2)</f>
        <v>natura desinfectant food grade 5l</v>
      </c>
      <c r="P17608">
        <f>IF(OR(M17608="",N17608=""),"",SUMIFS('Barang Keluar'!$E:$E,'Barang Keluar'!$A:$A,M17608,'Barang Keluar'!$C:$C,N17608))</f>
        <v>0</v>
      </c>
    </row>
    <row r="17609" spans="13:16">
      <c r="M17609" s="49">
        <f>IF($A$4+176&gt;$B$4,"",$A$4+176)</f>
        <v>46199</v>
      </c>
      <c r="N17609" t="str">
        <f>IF(M17609="","",'Master Barang'!A3)</f>
        <v>PRL-002</v>
      </c>
      <c r="O17609" t="str">
        <f>IF(N17609="","",'Master Barang'!B3)</f>
        <v>sunlight cairan pencuci piring 5l</v>
      </c>
      <c r="P17609">
        <f>IF(OR(M17609="",N17609=""),"",SUMIFS('Barang Keluar'!$E:$E,'Barang Keluar'!$A:$A,M17609,'Barang Keluar'!$C:$C,N17609))</f>
        <v>0</v>
      </c>
    </row>
    <row r="17610" spans="13:16">
      <c r="M17610" s="49">
        <f>IF($A$4+176&gt;$B$4,"",$A$4+176)</f>
        <v>46199</v>
      </c>
      <c r="N17610" t="str">
        <f>IF(M17610="","",'Master Barang'!A4)</f>
        <v>PRL-003</v>
      </c>
      <c r="O17610" t="str">
        <f>IF(N17610="","",'Master Barang'!B4)</f>
        <v>oixs cleaner 1l</v>
      </c>
      <c r="P17610">
        <f>IF(OR(M17610="",N17610=""),"",SUMIFS('Barang Keluar'!$E:$E,'Barang Keluar'!$A:$A,M17610,'Barang Keluar'!$C:$C,N17610))</f>
        <v>0</v>
      </c>
    </row>
    <row r="17611" spans="13:16">
      <c r="M17611" s="49">
        <f>IF($A$4+176&gt;$B$4,"",$A$4+176)</f>
        <v>46199</v>
      </c>
      <c r="N17611" t="str">
        <f>IF(M17611="","",'Master Barang'!A5)</f>
        <v>PRL-004</v>
      </c>
      <c r="O17611" t="str">
        <f>IF(N17611="","",'Master Barang'!B5)</f>
        <v>be clean tissue serbaguna</v>
      </c>
      <c r="P17611">
        <f>IF(OR(M17611="",N17611=""),"",SUMIFS('Barang Keluar'!$E:$E,'Barang Keluar'!$A:$A,M17611,'Barang Keluar'!$C:$C,N17611))</f>
        <v>0</v>
      </c>
    </row>
    <row r="17612" spans="13:16">
      <c r="M17612" s="49">
        <f>IF($A$4+176&gt;$B$4,"",$A$4+176)</f>
        <v>46199</v>
      </c>
      <c r="N17612" t="str">
        <f>IF(M17612="","",'Master Barang'!A6)</f>
        <v>PRL-005</v>
      </c>
      <c r="O17612" t="str">
        <f>IF(N17612="","",'Master Barang'!B6)</f>
        <v>spons cuci hijau</v>
      </c>
      <c r="P17612">
        <f>IF(OR(M17612="",N17612=""),"",SUMIFS('Barang Keluar'!$E:$E,'Barang Keluar'!$A:$A,M17612,'Barang Keluar'!$C:$C,N17612))</f>
        <v>0</v>
      </c>
    </row>
    <row r="17613" spans="13:16">
      <c r="M17613" s="49">
        <f>IF($A$4+176&gt;$B$4,"",$A$4+176)</f>
        <v>46199</v>
      </c>
      <c r="N17613" t="str">
        <f>IF(M17613="","",'Master Barang'!A7)</f>
        <v>PRL-006</v>
      </c>
      <c r="O17613" t="str">
        <f>IF(N17613="","",'Master Barang'!B7)</f>
        <v>sabut cuci stainless</v>
      </c>
      <c r="P17613">
        <f>IF(OR(M17613="",N17613=""),"",SUMIFS('Barang Keluar'!$E:$E,'Barang Keluar'!$A:$A,M17613,'Barang Keluar'!$C:$C,N17613))</f>
        <v>0</v>
      </c>
    </row>
    <row r="17614" spans="13:16">
      <c r="M17614" s="49">
        <f>IF($A$4+176&gt;$B$4,"",$A$4+176)</f>
        <v>46199</v>
      </c>
      <c r="N17614" t="str">
        <f>IF(M17614="","",'Master Barang'!A8)</f>
        <v>PRL-007</v>
      </c>
      <c r="O17614" t="str">
        <f>IF(N17614="","",'Master Barang'!B8)</f>
        <v>plastik kresek besar merah 50pc</v>
      </c>
      <c r="P17614">
        <f>IF(OR(M17614="",N17614=""),"",SUMIFS('Barang Keluar'!$E:$E,'Barang Keluar'!$A:$A,M17614,'Barang Keluar'!$C:$C,N17614))</f>
        <v>0</v>
      </c>
    </row>
    <row r="17615" spans="13:16">
      <c r="M17615" s="49">
        <f>IF($A$4+176&gt;$B$4,"",$A$4+176)</f>
        <v>46199</v>
      </c>
      <c r="N17615" t="str">
        <f>IF(M17615="","",'Master Barang'!A9)</f>
        <v>PRL-008</v>
      </c>
      <c r="O17615" t="str">
        <f>IF(N17615="","",'Master Barang'!B9)</f>
        <v>lap besar</v>
      </c>
      <c r="P17615">
        <f>IF(OR(M17615="",N17615=""),"",SUMIFS('Barang Keluar'!$E:$E,'Barang Keluar'!$A:$A,M17615,'Barang Keluar'!$C:$C,N17615))</f>
        <v>0</v>
      </c>
    </row>
    <row r="17616" spans="13:16">
      <c r="M17616" s="49">
        <f>IF($A$4+176&gt;$B$4,"",$A$4+176)</f>
        <v>46199</v>
      </c>
      <c r="N17616" t="str">
        <f>IF(M17616="","",'Master Barang'!A10)</f>
        <v>PRL-009</v>
      </c>
      <c r="O17616" t="str">
        <f>IF(N17616="","",'Master Barang'!B10)</f>
        <v>lap microfiber</v>
      </c>
      <c r="P17616">
        <f>IF(OR(M17616="",N17616=""),"",SUMIFS('Barang Keluar'!$E:$E,'Barang Keluar'!$A:$A,M17616,'Barang Keluar'!$C:$C,N17616))</f>
        <v>0</v>
      </c>
    </row>
    <row r="17617" spans="13:16">
      <c r="M17617" s="49">
        <f>IF($A$4+176&gt;$B$4,"",$A$4+176)</f>
        <v>46199</v>
      </c>
      <c r="N17617" t="str">
        <f>IF(M17617="","",'Master Barang'!A11)</f>
        <v>PRL-010</v>
      </c>
      <c r="O17617" t="str">
        <f>IF(N17617="","",'Master Barang'!B11)</f>
        <v>lap kecil</v>
      </c>
      <c r="P17617">
        <f>IF(OR(M17617="",N17617=""),"",SUMIFS('Barang Keluar'!$E:$E,'Barang Keluar'!$A:$A,M17617,'Barang Keluar'!$C:$C,N17617))</f>
        <v>0</v>
      </c>
    </row>
    <row r="17618" spans="13:16">
      <c r="M17618" s="49">
        <f>IF($A$4+176&gt;$B$4,"",$A$4+176)</f>
        <v>46199</v>
      </c>
      <c r="N17618" t="str">
        <f>IF(M17618="","",'Master Barang'!A12)</f>
        <v>PRL-011</v>
      </c>
      <c r="O17618" t="str">
        <f>IF(N17618="","",'Master Barang'!B12)</f>
        <v>kanebo kecil</v>
      </c>
      <c r="P17618">
        <f>IF(OR(M17618="",N17618=""),"",SUMIFS('Barang Keluar'!$E:$E,'Barang Keluar'!$A:$A,M17618,'Barang Keluar'!$C:$C,N17618))</f>
        <v>0</v>
      </c>
    </row>
    <row r="17619" spans="13:16">
      <c r="M17619" s="49">
        <f>IF($A$4+176&gt;$B$4,"",$A$4+176)</f>
        <v>46199</v>
      </c>
      <c r="N17619" t="str">
        <f>IF(M17619="","",'Master Barang'!A13)</f>
        <v>PRL-012</v>
      </c>
      <c r="O17619" t="str">
        <f>IF(N17619="","",'Master Barang'!B13)</f>
        <v>plastik 1/4kg joyoboyo 100 lembar</v>
      </c>
      <c r="P17619">
        <f>IF(OR(M17619="",N17619=""),"",SUMIFS('Barang Keluar'!$E:$E,'Barang Keluar'!$A:$A,M17619,'Barang Keluar'!$C:$C,N17619))</f>
        <v>0</v>
      </c>
    </row>
    <row r="17620" spans="13:16">
      <c r="M17620" s="49">
        <f>IF($A$4+176&gt;$B$4,"",$A$4+176)</f>
        <v>46199</v>
      </c>
      <c r="N17620" t="str">
        <f>IF(M17620="","",'Master Barang'!A14)</f>
        <v>PRL-013</v>
      </c>
      <c r="O17620" t="str">
        <f>IF(N17620="","",'Master Barang'!B14)</f>
        <v>sarung tangan plastik kaka 100 pcs</v>
      </c>
      <c r="P17620">
        <f>IF(OR(M17620="",N17620=""),"",SUMIFS('Barang Keluar'!$E:$E,'Barang Keluar'!$A:$A,M17620,'Barang Keluar'!$C:$C,N17620))</f>
        <v>0</v>
      </c>
    </row>
    <row r="17621" spans="13:16">
      <c r="M17621" s="49">
        <f>IF($A$4+176&gt;$B$4,"",$A$4+176)</f>
        <v>46199</v>
      </c>
      <c r="N17621" t="str">
        <f>IF(M17621="","",'Master Barang'!A15)</f>
        <v>PRL-014</v>
      </c>
      <c r="O17621" t="str">
        <f>IF(N17621="","",'Master Barang'!B15)</f>
        <v>optima trashbag 80x100</v>
      </c>
      <c r="P17621">
        <f>IF(OR(M17621="",N17621=""),"",SUMIFS('Barang Keluar'!$E:$E,'Barang Keluar'!$A:$A,M17621,'Barang Keluar'!$C:$C,N17621))</f>
        <v>0</v>
      </c>
    </row>
    <row r="17622" spans="13:16">
      <c r="M17622" s="49">
        <f>IF($A$4+176&gt;$B$4,"",$A$4+176)</f>
        <v>46199</v>
      </c>
      <c r="N17622" t="str">
        <f>IF(M17622="","",'Master Barang'!A16)</f>
        <v>PRL-015</v>
      </c>
      <c r="O17622" t="str">
        <f>IF(N17622="","",'Master Barang'!B16)</f>
        <v>optima trashbag 60x100</v>
      </c>
      <c r="P17622">
        <f>IF(OR(M17622="",N17622=""),"",SUMIFS('Barang Keluar'!$E:$E,'Barang Keluar'!$A:$A,M17622,'Barang Keluar'!$C:$C,N17622))</f>
        <v>0</v>
      </c>
    </row>
    <row r="17623" spans="13:16">
      <c r="M17623" s="49">
        <f>IF($A$4+176&gt;$B$4,"",$A$4+176)</f>
        <v>46199</v>
      </c>
      <c r="N17623" t="str">
        <f>IF(M17623="","",'Master Barang'!A17)</f>
        <v>PRL-016</v>
      </c>
      <c r="O17623" t="str">
        <f>IF(N17623="","",'Master Barang'!B17)</f>
        <v>rajawali trashbag 30x40</v>
      </c>
      <c r="P17623">
        <f>IF(OR(M17623="",N17623=""),"",SUMIFS('Barang Keluar'!$E:$E,'Barang Keluar'!$A:$A,M17623,'Barang Keluar'!$C:$C,N17623))</f>
        <v>0</v>
      </c>
    </row>
    <row r="17624" spans="13:16">
      <c r="M17624" s="49">
        <f>IF($A$4+176&gt;$B$4,"",$A$4+176)</f>
        <v>46199</v>
      </c>
      <c r="N17624" t="str">
        <f>IF(M17624="","",'Master Barang'!A18)</f>
        <v>PRL-017</v>
      </c>
      <c r="O17624" t="str">
        <f>IF(N17624="","",'Master Barang'!B18)</f>
        <v>onemed masker biru 3 play 50 pcs</v>
      </c>
      <c r="P17624">
        <f>IF(OR(M17624="",N17624=""),"",SUMIFS('Barang Keluar'!$E:$E,'Barang Keluar'!$A:$A,M17624,'Barang Keluar'!$C:$C,N17624))</f>
        <v>0</v>
      </c>
    </row>
    <row r="17625" spans="13:16">
      <c r="M17625" s="49">
        <f>IF($A$4+176&gt;$B$4,"",$A$4+176)</f>
        <v>46199</v>
      </c>
      <c r="N17625" t="str">
        <f>IF(M17625="","",'Master Barang'!A19)</f>
        <v>PRL-018</v>
      </c>
      <c r="O17625" t="str">
        <f>IF(N17625="","",'Master Barang'!B19)</f>
        <v>onemed masker biru 3 play hijab 50 pcs</v>
      </c>
      <c r="P17625">
        <f>IF(OR(M17625="",N17625=""),"",SUMIFS('Barang Keluar'!$E:$E,'Barang Keluar'!$A:$A,M17625,'Barang Keluar'!$C:$C,N17625))</f>
        <v>0</v>
      </c>
    </row>
    <row r="17626" spans="13:16">
      <c r="M17626" s="49">
        <f>IF($A$4+176&gt;$B$4,"",$A$4+176)</f>
        <v>46199</v>
      </c>
      <c r="N17626" t="str">
        <f>IF(M17626="","",'Master Barang'!A20)</f>
        <v>PRL-019</v>
      </c>
      <c r="O17626" t="str">
        <f>IF(N17626="","",'Master Barang'!B20)</f>
        <v>neo health masker biru 3 play 50 pcs</v>
      </c>
      <c r="P17626">
        <f>IF(OR(M17626="",N17626=""),"",SUMIFS('Barang Keluar'!$E:$E,'Barang Keluar'!$A:$A,M17626,'Barang Keluar'!$C:$C,N17626))</f>
        <v>0</v>
      </c>
    </row>
    <row r="17627" spans="13:16">
      <c r="M17627" s="49">
        <f>IF($A$4+176&gt;$B$4,"",$A$4+176)</f>
        <v>46199</v>
      </c>
      <c r="N17627" t="str">
        <f>IF(M17627="","",'Master Barang'!A21)</f>
        <v>PRL-020</v>
      </c>
      <c r="O17627" t="str">
        <f>IF(N17627="","",'Master Barang'!B21)</f>
        <v>baymed masker hijau 3 play hijau 50 pcs</v>
      </c>
      <c r="P17627">
        <f>IF(OR(M17627="",N17627=""),"",SUMIFS('Barang Keluar'!$E:$E,'Barang Keluar'!$A:$A,M17627,'Barang Keluar'!$C:$C,N17627))</f>
        <v>0</v>
      </c>
    </row>
    <row r="17628" spans="13:16">
      <c r="M17628" s="49">
        <f>IF($A$4+176&gt;$B$4,"",$A$4+176)</f>
        <v>46199</v>
      </c>
      <c r="N17628" t="str">
        <f>IF(M17628="","",'Master Barang'!A22)</f>
        <v>PRL-021</v>
      </c>
      <c r="O17628" t="str">
        <f>IF(N17628="","",'Master Barang'!B22)</f>
        <v>altamed nurse cap penutup kepala 100 pcs</v>
      </c>
      <c r="P17628">
        <f>IF(OR(M17628="",N17628=""),"",SUMIFS('Barang Keluar'!$E:$E,'Barang Keluar'!$A:$A,M17628,'Barang Keluar'!$C:$C,N17628))</f>
        <v>0</v>
      </c>
    </row>
    <row r="17629" spans="13:16">
      <c r="M17629" s="49">
        <f>IF($A$4+176&gt;$B$4,"",$A$4+176)</f>
        <v>46199</v>
      </c>
      <c r="N17629" t="str">
        <f>IF(M17629="","",'Master Barang'!A23)</f>
        <v>PRL-022</v>
      </c>
      <c r="O17629" t="str">
        <f>IF(N17629="","",'Master Barang'!B23)</f>
        <v>sabun cuci tangan</v>
      </c>
      <c r="P17629">
        <f>IF(OR(M17629="",N17629=""),"",SUMIFS('Barang Keluar'!$E:$E,'Barang Keluar'!$A:$A,M17629,'Barang Keluar'!$C:$C,N17629))</f>
        <v>0</v>
      </c>
    </row>
    <row r="17630" spans="13:16">
      <c r="M17630" s="49">
        <f>IF($A$4+176&gt;$B$4,"",$A$4+176)</f>
        <v>46199</v>
      </c>
      <c r="N17630" t="str">
        <f>IF(M17630="","",'Master Barang'!A24)</f>
        <v>PRL-023</v>
      </c>
      <c r="O17630" t="str">
        <f>IF(N17630="","",'Master Barang'!B24)</f>
        <v>gayung kecil</v>
      </c>
      <c r="P17630">
        <f>IF(OR(M17630="",N17630=""),"",SUMIFS('Barang Keluar'!$E:$E,'Barang Keluar'!$A:$A,M17630,'Barang Keluar'!$C:$C,N17630))</f>
        <v>0</v>
      </c>
    </row>
    <row r="17631" spans="13:16">
      <c r="M17631" s="49">
        <f>IF($A$4+176&gt;$B$4,"",$A$4+176)</f>
        <v>46199</v>
      </c>
      <c r="N17631" t="str">
        <f>IF(M17631="","",'Master Barang'!A25)</f>
        <v>PRL-024</v>
      </c>
      <c r="O17631" t="str">
        <f>IF(N17631="","",'Master Barang'!B25)</f>
        <v>cikrak kecil</v>
      </c>
      <c r="P17631">
        <f>IF(OR(M17631="",N17631=""),"",SUMIFS('Barang Keluar'!$E:$E,'Barang Keluar'!$A:$A,M17631,'Barang Keluar'!$C:$C,N17631))</f>
        <v>0</v>
      </c>
    </row>
    <row r="17632" spans="13:16">
      <c r="M17632" s="49">
        <f>IF($A$4+176&gt;$B$4,"",$A$4+176)</f>
        <v>46199</v>
      </c>
      <c r="N17632" t="str">
        <f>IF(M17632="","",'Master Barang'!A26)</f>
        <v>PRL-025</v>
      </c>
      <c r="O17632" t="str">
        <f>IF(N17632="","",'Master Barang'!B26)</f>
        <v>petromax plastik kecil 12x24 100 lembar</v>
      </c>
      <c r="P17632">
        <f>IF(OR(M17632="",N17632=""),"",SUMIFS('Barang Keluar'!$E:$E,'Barang Keluar'!$A:$A,M17632,'Barang Keluar'!$C:$C,N17632))</f>
        <v>0</v>
      </c>
    </row>
    <row r="17633" spans="13:16">
      <c r="M17633" s="49">
        <f>IF($A$4+176&gt;$B$4,"",$A$4+176)</f>
        <v>46199</v>
      </c>
      <c r="N17633" t="str">
        <f>IF(M17633="","",'Master Barang'!A27)</f>
        <v>PRL-026</v>
      </c>
      <c r="O17633" t="str">
        <f>IF(N17633="","",'Master Barang'!B27)</f>
        <v>lancar kresek kecil bening </v>
      </c>
      <c r="P17633">
        <f>IF(OR(M17633="",N17633=""),"",SUMIFS('Barang Keluar'!$E:$E,'Barang Keluar'!$A:$A,M17633,'Barang Keluar'!$C:$C,N17633))</f>
        <v>0</v>
      </c>
    </row>
    <row r="17634" spans="13:16">
      <c r="M17634" s="49">
        <f>IF($A$4+176&gt;$B$4,"",$A$4+176)</f>
        <v>46199</v>
      </c>
      <c r="N17634" t="str">
        <f>IF(M17634="","",'Master Barang'!A28)</f>
        <v>PRL-027</v>
      </c>
      <c r="O17634" t="str">
        <f>IF(N17634="","",'Master Barang'!B28)</f>
        <v>kresek klin warna warni kecil</v>
      </c>
      <c r="P17634">
        <f>IF(OR(M17634="",N17634=""),"",SUMIFS('Barang Keluar'!$E:$E,'Barang Keluar'!$A:$A,M17634,'Barang Keluar'!$C:$C,N17634))</f>
        <v>0</v>
      </c>
    </row>
    <row r="17635" spans="13:16">
      <c r="M17635" s="49">
        <f>IF($A$4+176&gt;$B$4,"",$A$4+176)</f>
        <v>46199</v>
      </c>
      <c r="N17635" t="str">
        <f>IF(M17635="","",'Master Barang'!A29)</f>
        <v>PRL-028</v>
      </c>
      <c r="O17635" t="str">
        <f>IF(N17635="","",'Master Barang'!B29)</f>
        <v>ctik plastik 7x10 100 pcs</v>
      </c>
      <c r="P17635">
        <f>IF(OR(M17635="",N17635=""),"",SUMIFS('Barang Keluar'!$E:$E,'Barang Keluar'!$A:$A,M17635,'Barang Keluar'!$C:$C,N17635))</f>
        <v>0</v>
      </c>
    </row>
    <row r="17636" spans="13:16">
      <c r="M17636" s="49">
        <f>IF($A$4+176&gt;$B$4,"",$A$4+176)</f>
        <v>46199</v>
      </c>
      <c r="N17636" t="str">
        <f>IF(M17636="","",'Master Barang'!A30)</f>
        <v>PRL-029</v>
      </c>
      <c r="O17636" t="str">
        <f>IF(N17636="","",'Master Barang'!B30)</f>
        <v>ctik plastik 6x10 100 pcs</v>
      </c>
      <c r="P17636">
        <f>IF(OR(M17636="",N17636=""),"",SUMIFS('Barang Keluar'!$E:$E,'Barang Keluar'!$A:$A,M17636,'Barang Keluar'!$C:$C,N17636))</f>
        <v>0</v>
      </c>
    </row>
    <row r="17637" spans="13:16">
      <c r="M17637" s="49">
        <f>IF($A$4+176&gt;$B$4,"",$A$4+176)</f>
        <v>46199</v>
      </c>
      <c r="N17637" t="str">
        <f>IF(M17637="","",'Master Barang'!A31)</f>
        <v>PRL-030</v>
      </c>
      <c r="O17637" t="str">
        <f>IF(N17637="","",'Master Barang'!B31)</f>
        <v>klip plastik 25x16 100 pcs</v>
      </c>
      <c r="P17637">
        <f>IF(OR(M17637="",N17637=""),"",SUMIFS('Barang Keluar'!$E:$E,'Barang Keluar'!$A:$A,M17637,'Barang Keluar'!$C:$C,N17637))</f>
        <v>0</v>
      </c>
    </row>
    <row r="17638" spans="13:16">
      <c r="M17638" s="49">
        <f>IF($A$4+176&gt;$B$4,"",$A$4+176)</f>
        <v>46199</v>
      </c>
      <c r="N17638" t="str">
        <f>IF(M17638="","",'Master Barang'!A32)</f>
        <v>PRL-031</v>
      </c>
      <c r="O17638" t="str">
        <f>IF(N17638="","",'Master Barang'!B32)</f>
        <v>tempat saus 20 ml</v>
      </c>
      <c r="P17638">
        <f>IF(OR(M17638="",N17638=""),"",SUMIFS('Barang Keluar'!$E:$E,'Barang Keluar'!$A:$A,M17638,'Barang Keluar'!$C:$C,N17638))</f>
        <v>0</v>
      </c>
    </row>
    <row r="17639" spans="13:16">
      <c r="M17639" s="49">
        <f>IF($A$4+176&gt;$B$4,"",$A$4+176)</f>
        <v>46199</v>
      </c>
      <c r="N17639" t="str">
        <f>IF(M17639="","",'Master Barang'!A33)</f>
        <v>PRL-032</v>
      </c>
      <c r="O17639" t="str">
        <f>IF(N17639="","",'Master Barang'!B33)</f>
        <v>plastik packaging ag box uk sedang</v>
      </c>
      <c r="P17639">
        <f>IF(OR(M17639="",N17639=""),"",SUMIFS('Barang Keluar'!$E:$E,'Barang Keluar'!$A:$A,M17639,'Barang Keluar'!$C:$C,N17639))</f>
        <v>0</v>
      </c>
    </row>
    <row r="17640" spans="13:16">
      <c r="M17640" s="49">
        <f>IF($A$4+176&gt;$B$4,"",$A$4+176)</f>
        <v>46199</v>
      </c>
      <c r="N17640" t="str">
        <f>IF(M17640="","",'Master Barang'!A34)</f>
        <v>PRL-033</v>
      </c>
      <c r="O17640">
        <f>IF(N17640="","",'Master Barang'!B34)</f>
        <v>0</v>
      </c>
      <c r="P17640">
        <f>IF(OR(M17640="",N17640=""),"",SUMIFS('Barang Keluar'!$E:$E,'Barang Keluar'!$A:$A,M17640,'Barang Keluar'!$C:$C,N17640))</f>
        <v>0</v>
      </c>
    </row>
    <row r="17641" spans="13:16">
      <c r="M17641" s="49">
        <f>IF($A$4+176&gt;$B$4,"",$A$4+176)</f>
        <v>46199</v>
      </c>
      <c r="N17641">
        <f>IF(M17641="","",'Master Barang'!A35)</f>
        <v>0</v>
      </c>
      <c r="O17641">
        <f>IF(N17641="","",'Master Barang'!B35)</f>
        <v>0</v>
      </c>
      <c r="P17641">
        <f>IF(OR(M17641="",N17641=""),"",SUMIFS('Barang Keluar'!$E:$E,'Barang Keluar'!$A:$A,M17641,'Barang Keluar'!$C:$C,N17641))</f>
        <v>0</v>
      </c>
    </row>
    <row r="17642" spans="13:16">
      <c r="M17642" s="49">
        <f>IF($A$4+176&gt;$B$4,"",$A$4+176)</f>
        <v>46199</v>
      </c>
      <c r="N17642">
        <f>IF(M17642="","",'Master Barang'!A36)</f>
        <v>0</v>
      </c>
      <c r="O17642">
        <f>IF(N17642="","",'Master Barang'!B36)</f>
        <v>0</v>
      </c>
      <c r="P17642">
        <f>IF(OR(M17642="",N17642=""),"",SUMIFS('Barang Keluar'!$E:$E,'Barang Keluar'!$A:$A,M17642,'Barang Keluar'!$C:$C,N17642))</f>
        <v>0</v>
      </c>
    </row>
    <row r="17643" spans="13:16">
      <c r="M17643" s="49">
        <f>IF($A$4+176&gt;$B$4,"",$A$4+176)</f>
        <v>46199</v>
      </c>
      <c r="N17643">
        <f>IF(M17643="","",'Master Barang'!A37)</f>
        <v>0</v>
      </c>
      <c r="O17643">
        <f>IF(N17643="","",'Master Barang'!B37)</f>
        <v>0</v>
      </c>
      <c r="P17643">
        <f>IF(OR(M17643="",N17643=""),"",SUMIFS('Barang Keluar'!$E:$E,'Barang Keluar'!$A:$A,M17643,'Barang Keluar'!$C:$C,N17643))</f>
        <v>0</v>
      </c>
    </row>
    <row r="17644" spans="13:16">
      <c r="M17644" s="49">
        <f>IF($A$4+176&gt;$B$4,"",$A$4+176)</f>
        <v>46199</v>
      </c>
      <c r="N17644">
        <f>IF(M17644="","",'Master Barang'!A38)</f>
        <v>0</v>
      </c>
      <c r="O17644">
        <f>IF(N17644="","",'Master Barang'!B38)</f>
        <v>0</v>
      </c>
      <c r="P17644">
        <f>IF(OR(M17644="",N17644=""),"",SUMIFS('Barang Keluar'!$E:$E,'Barang Keluar'!$A:$A,M17644,'Barang Keluar'!$C:$C,N17644))</f>
        <v>0</v>
      </c>
    </row>
    <row r="17645" spans="13:16">
      <c r="M17645" s="49">
        <f>IF($A$4+176&gt;$B$4,"",$A$4+176)</f>
        <v>46199</v>
      </c>
      <c r="N17645">
        <f>IF(M17645="","",'Master Barang'!A39)</f>
        <v>0</v>
      </c>
      <c r="O17645">
        <f>IF(N17645="","",'Master Barang'!B39)</f>
        <v>0</v>
      </c>
      <c r="P17645">
        <f>IF(OR(M17645="",N17645=""),"",SUMIFS('Barang Keluar'!$E:$E,'Barang Keluar'!$A:$A,M17645,'Barang Keluar'!$C:$C,N17645))</f>
        <v>0</v>
      </c>
    </row>
    <row r="17646" spans="13:16">
      <c r="M17646" s="49">
        <f>IF($A$4+176&gt;$B$4,"",$A$4+176)</f>
        <v>46199</v>
      </c>
      <c r="N17646">
        <f>IF(M17646="","",'Master Barang'!A40)</f>
        <v>0</v>
      </c>
      <c r="O17646">
        <f>IF(N17646="","",'Master Barang'!B40)</f>
        <v>0</v>
      </c>
      <c r="P17646">
        <f>IF(OR(M17646="",N17646=""),"",SUMIFS('Barang Keluar'!$E:$E,'Barang Keluar'!$A:$A,M17646,'Barang Keluar'!$C:$C,N17646))</f>
        <v>0</v>
      </c>
    </row>
    <row r="17647" spans="13:16">
      <c r="M17647" s="49">
        <f>IF($A$4+176&gt;$B$4,"",$A$4+176)</f>
        <v>46199</v>
      </c>
      <c r="N17647">
        <f>IF(M17647="","",'Master Barang'!A41)</f>
        <v>0</v>
      </c>
      <c r="O17647">
        <f>IF(N17647="","",'Master Barang'!B41)</f>
        <v>0</v>
      </c>
      <c r="P17647">
        <f>IF(OR(M17647="",N17647=""),"",SUMIFS('Barang Keluar'!$E:$E,'Barang Keluar'!$A:$A,M17647,'Barang Keluar'!$C:$C,N17647))</f>
        <v>0</v>
      </c>
    </row>
    <row r="17648" spans="13:16">
      <c r="M17648" s="49">
        <f>IF($A$4+176&gt;$B$4,"",$A$4+176)</f>
        <v>46199</v>
      </c>
      <c r="N17648">
        <f>IF(M17648="","",'Master Barang'!A42)</f>
        <v>0</v>
      </c>
      <c r="O17648">
        <f>IF(N17648="","",'Master Barang'!B42)</f>
        <v>0</v>
      </c>
      <c r="P17648">
        <f>IF(OR(M17648="",N17648=""),"",SUMIFS('Barang Keluar'!$E:$E,'Barang Keluar'!$A:$A,M17648,'Barang Keluar'!$C:$C,N17648))</f>
        <v>0</v>
      </c>
    </row>
    <row r="17649" spans="13:16">
      <c r="M17649" s="49">
        <f>IF($A$4+176&gt;$B$4,"",$A$4+176)</f>
        <v>46199</v>
      </c>
      <c r="N17649">
        <f>IF(M17649="","",'Master Barang'!A43)</f>
        <v>0</v>
      </c>
      <c r="O17649">
        <f>IF(N17649="","",'Master Barang'!B43)</f>
        <v>0</v>
      </c>
      <c r="P17649">
        <f>IF(OR(M17649="",N17649=""),"",SUMIFS('Barang Keluar'!$E:$E,'Barang Keluar'!$A:$A,M17649,'Barang Keluar'!$C:$C,N17649))</f>
        <v>0</v>
      </c>
    </row>
    <row r="17650" spans="13:16">
      <c r="M17650" s="49">
        <f>IF($A$4+176&gt;$B$4,"",$A$4+176)</f>
        <v>46199</v>
      </c>
      <c r="N17650">
        <f>IF(M17650="","",'Master Barang'!A44)</f>
        <v>0</v>
      </c>
      <c r="O17650">
        <f>IF(N17650="","",'Master Barang'!B44)</f>
        <v>0</v>
      </c>
      <c r="P17650">
        <f>IF(OR(M17650="",N17650=""),"",SUMIFS('Barang Keluar'!$E:$E,'Barang Keluar'!$A:$A,M17650,'Barang Keluar'!$C:$C,N17650))</f>
        <v>0</v>
      </c>
    </row>
    <row r="17651" spans="13:16">
      <c r="M17651" s="49">
        <f>IF($A$4+176&gt;$B$4,"",$A$4+176)</f>
        <v>46199</v>
      </c>
      <c r="N17651">
        <f>IF(M17651="","",'Master Barang'!A45)</f>
        <v>0</v>
      </c>
      <c r="O17651">
        <f>IF(N17651="","",'Master Barang'!B45)</f>
        <v>0</v>
      </c>
      <c r="P17651">
        <f>IF(OR(M17651="",N17651=""),"",SUMIFS('Barang Keluar'!$E:$E,'Barang Keluar'!$A:$A,M17651,'Barang Keluar'!$C:$C,N17651))</f>
        <v>0</v>
      </c>
    </row>
    <row r="17652" spans="13:16">
      <c r="M17652" s="49">
        <f>IF($A$4+176&gt;$B$4,"",$A$4+176)</f>
        <v>46199</v>
      </c>
      <c r="N17652">
        <f>IF(M17652="","",'Master Barang'!A46)</f>
        <v>0</v>
      </c>
      <c r="O17652">
        <f>IF(N17652="","",'Master Barang'!B46)</f>
        <v>0</v>
      </c>
      <c r="P17652">
        <f>IF(OR(M17652="",N17652=""),"",SUMIFS('Barang Keluar'!$E:$E,'Barang Keluar'!$A:$A,M17652,'Barang Keluar'!$C:$C,N17652))</f>
        <v>0</v>
      </c>
    </row>
    <row r="17653" spans="13:16">
      <c r="M17653" s="49">
        <f>IF($A$4+176&gt;$B$4,"",$A$4+176)</f>
        <v>46199</v>
      </c>
      <c r="N17653">
        <f>IF(M17653="","",'Master Barang'!A47)</f>
        <v>0</v>
      </c>
      <c r="O17653">
        <f>IF(N17653="","",'Master Barang'!B47)</f>
        <v>0</v>
      </c>
      <c r="P17653">
        <f>IF(OR(M17653="",N17653=""),"",SUMIFS('Barang Keluar'!$E:$E,'Barang Keluar'!$A:$A,M17653,'Barang Keluar'!$C:$C,N17653))</f>
        <v>0</v>
      </c>
    </row>
    <row r="17654" spans="13:16">
      <c r="M17654" s="49">
        <f>IF($A$4+176&gt;$B$4,"",$A$4+176)</f>
        <v>46199</v>
      </c>
      <c r="N17654">
        <f>IF(M17654="","",'Master Barang'!A48)</f>
        <v>0</v>
      </c>
      <c r="O17654">
        <f>IF(N17654="","",'Master Barang'!B48)</f>
        <v>0</v>
      </c>
      <c r="P17654">
        <f>IF(OR(M17654="",N17654=""),"",SUMIFS('Barang Keluar'!$E:$E,'Barang Keluar'!$A:$A,M17654,'Barang Keluar'!$C:$C,N17654))</f>
        <v>0</v>
      </c>
    </row>
    <row r="17655" spans="13:16">
      <c r="M17655" s="49">
        <f>IF($A$4+176&gt;$B$4,"",$A$4+176)</f>
        <v>46199</v>
      </c>
      <c r="N17655">
        <f>IF(M17655="","",'Master Barang'!A49)</f>
        <v>0</v>
      </c>
      <c r="O17655">
        <f>IF(N17655="","",'Master Barang'!B49)</f>
        <v>0</v>
      </c>
      <c r="P17655">
        <f>IF(OR(M17655="",N17655=""),"",SUMIFS('Barang Keluar'!$E:$E,'Barang Keluar'!$A:$A,M17655,'Barang Keluar'!$C:$C,N17655))</f>
        <v>0</v>
      </c>
    </row>
    <row r="17656" spans="13:16">
      <c r="M17656" s="49">
        <f>IF($A$4+176&gt;$B$4,"",$A$4+176)</f>
        <v>46199</v>
      </c>
      <c r="N17656">
        <f>IF(M17656="","",'Master Barang'!A50)</f>
        <v>0</v>
      </c>
      <c r="O17656">
        <f>IF(N17656="","",'Master Barang'!B50)</f>
        <v>0</v>
      </c>
      <c r="P17656">
        <f>IF(OR(M17656="",N17656=""),"",SUMIFS('Barang Keluar'!$E:$E,'Barang Keluar'!$A:$A,M17656,'Barang Keluar'!$C:$C,N17656))</f>
        <v>0</v>
      </c>
    </row>
    <row r="17657" spans="13:16">
      <c r="M17657" s="49">
        <f>IF($A$4+176&gt;$B$4,"",$A$4+176)</f>
        <v>46199</v>
      </c>
      <c r="N17657">
        <f>IF(M17657="","",'Master Barang'!A51)</f>
        <v>0</v>
      </c>
      <c r="O17657">
        <f>IF(N17657="","",'Master Barang'!B51)</f>
        <v>0</v>
      </c>
      <c r="P17657">
        <f>IF(OR(M17657="",N17657=""),"",SUMIFS('Barang Keluar'!$E:$E,'Barang Keluar'!$A:$A,M17657,'Barang Keluar'!$C:$C,N17657))</f>
        <v>0</v>
      </c>
    </row>
    <row r="17658" spans="13:16">
      <c r="M17658" s="49">
        <f>IF($A$4+176&gt;$B$4,"",$A$4+176)</f>
        <v>46199</v>
      </c>
      <c r="N17658">
        <f>IF(M17658="","",'Master Barang'!A52)</f>
        <v>0</v>
      </c>
      <c r="O17658">
        <f>IF(N17658="","",'Master Barang'!B52)</f>
        <v>0</v>
      </c>
      <c r="P17658">
        <f>IF(OR(M17658="",N17658=""),"",SUMIFS('Barang Keluar'!$E:$E,'Barang Keluar'!$A:$A,M17658,'Barang Keluar'!$C:$C,N17658))</f>
        <v>0</v>
      </c>
    </row>
    <row r="17659" spans="13:16">
      <c r="M17659" s="49">
        <f>IF($A$4+176&gt;$B$4,"",$A$4+176)</f>
        <v>46199</v>
      </c>
      <c r="N17659">
        <f>IF(M17659="","",'Master Barang'!A53)</f>
        <v>0</v>
      </c>
      <c r="O17659">
        <f>IF(N17659="","",'Master Barang'!B53)</f>
        <v>0</v>
      </c>
      <c r="P17659">
        <f>IF(OR(M17659="",N17659=""),"",SUMIFS('Barang Keluar'!$E:$E,'Barang Keluar'!$A:$A,M17659,'Barang Keluar'!$C:$C,N17659))</f>
        <v>0</v>
      </c>
    </row>
    <row r="17660" spans="13:16">
      <c r="M17660" s="49">
        <f>IF($A$4+176&gt;$B$4,"",$A$4+176)</f>
        <v>46199</v>
      </c>
      <c r="N17660">
        <f>IF(M17660="","",'Master Barang'!A54)</f>
        <v>0</v>
      </c>
      <c r="O17660">
        <f>IF(N17660="","",'Master Barang'!B54)</f>
        <v>0</v>
      </c>
      <c r="P17660">
        <f>IF(OR(M17660="",N17660=""),"",SUMIFS('Barang Keluar'!$E:$E,'Barang Keluar'!$A:$A,M17660,'Barang Keluar'!$C:$C,N17660))</f>
        <v>0</v>
      </c>
    </row>
    <row r="17661" spans="13:16">
      <c r="M17661" s="49">
        <f>IF($A$4+176&gt;$B$4,"",$A$4+176)</f>
        <v>46199</v>
      </c>
      <c r="N17661">
        <f>IF(M17661="","",'Master Barang'!A55)</f>
        <v>0</v>
      </c>
      <c r="O17661">
        <f>IF(N17661="","",'Master Barang'!B55)</f>
        <v>0</v>
      </c>
      <c r="P17661">
        <f>IF(OR(M17661="",N17661=""),"",SUMIFS('Barang Keluar'!$E:$E,'Barang Keluar'!$A:$A,M17661,'Barang Keluar'!$C:$C,N17661))</f>
        <v>0</v>
      </c>
    </row>
    <row r="17662" spans="13:16">
      <c r="M17662" s="49">
        <f>IF($A$4+176&gt;$B$4,"",$A$4+176)</f>
        <v>46199</v>
      </c>
      <c r="N17662">
        <f>IF(M17662="","",'Master Barang'!A56)</f>
        <v>0</v>
      </c>
      <c r="O17662">
        <f>IF(N17662="","",'Master Barang'!B56)</f>
        <v>0</v>
      </c>
      <c r="P17662">
        <f>IF(OR(M17662="",N17662=""),"",SUMIFS('Barang Keluar'!$E:$E,'Barang Keluar'!$A:$A,M17662,'Barang Keluar'!$C:$C,N17662))</f>
        <v>0</v>
      </c>
    </row>
    <row r="17663" spans="13:16">
      <c r="M17663" s="49">
        <f>IF($A$4+176&gt;$B$4,"",$A$4+176)</f>
        <v>46199</v>
      </c>
      <c r="N17663">
        <f>IF(M17663="","",'Master Barang'!A57)</f>
        <v>0</v>
      </c>
      <c r="O17663">
        <f>IF(N17663="","",'Master Barang'!B57)</f>
        <v>0</v>
      </c>
      <c r="P17663">
        <f>IF(OR(M17663="",N17663=""),"",SUMIFS('Barang Keluar'!$E:$E,'Barang Keluar'!$A:$A,M17663,'Barang Keluar'!$C:$C,N17663))</f>
        <v>0</v>
      </c>
    </row>
    <row r="17664" spans="13:16">
      <c r="M17664" s="49">
        <f>IF($A$4+176&gt;$B$4,"",$A$4+176)</f>
        <v>46199</v>
      </c>
      <c r="N17664">
        <f>IF(M17664="","",'Master Barang'!A58)</f>
        <v>0</v>
      </c>
      <c r="O17664">
        <f>IF(N17664="","",'Master Barang'!B58)</f>
        <v>0</v>
      </c>
      <c r="P17664">
        <f>IF(OR(M17664="",N17664=""),"",SUMIFS('Barang Keluar'!$E:$E,'Barang Keluar'!$A:$A,M17664,'Barang Keluar'!$C:$C,N17664))</f>
        <v>0</v>
      </c>
    </row>
    <row r="17665" spans="13:16">
      <c r="M17665" s="49">
        <f>IF($A$4+176&gt;$B$4,"",$A$4+176)</f>
        <v>46199</v>
      </c>
      <c r="N17665">
        <f>IF(M17665="","",'Master Barang'!A59)</f>
        <v>0</v>
      </c>
      <c r="O17665">
        <f>IF(N17665="","",'Master Barang'!B59)</f>
        <v>0</v>
      </c>
      <c r="P17665">
        <f>IF(OR(M17665="",N17665=""),"",SUMIFS('Barang Keluar'!$E:$E,'Barang Keluar'!$A:$A,M17665,'Barang Keluar'!$C:$C,N17665))</f>
        <v>0</v>
      </c>
    </row>
    <row r="17666" spans="13:16">
      <c r="M17666" s="49">
        <f>IF($A$4+176&gt;$B$4,"",$A$4+176)</f>
        <v>46199</v>
      </c>
      <c r="N17666">
        <f>IF(M17666="","",'Master Barang'!A60)</f>
        <v>0</v>
      </c>
      <c r="O17666">
        <f>IF(N17666="","",'Master Barang'!B60)</f>
        <v>0</v>
      </c>
      <c r="P17666">
        <f>IF(OR(M17666="",N17666=""),"",SUMIFS('Barang Keluar'!$E:$E,'Barang Keluar'!$A:$A,M17666,'Barang Keluar'!$C:$C,N17666))</f>
        <v>0</v>
      </c>
    </row>
    <row r="17667" spans="13:16">
      <c r="M17667" s="49">
        <f>IF($A$4+176&gt;$B$4,"",$A$4+176)</f>
        <v>46199</v>
      </c>
      <c r="N17667">
        <f>IF(M17667="","",'Master Barang'!A61)</f>
        <v>0</v>
      </c>
      <c r="O17667">
        <f>IF(N17667="","",'Master Barang'!B61)</f>
        <v>0</v>
      </c>
      <c r="P17667">
        <f>IF(OR(M17667="",N17667=""),"",SUMIFS('Barang Keluar'!$E:$E,'Barang Keluar'!$A:$A,M17667,'Barang Keluar'!$C:$C,N17667))</f>
        <v>0</v>
      </c>
    </row>
    <row r="17668" spans="13:16">
      <c r="M17668" s="49">
        <f>IF($A$4+176&gt;$B$4,"",$A$4+176)</f>
        <v>46199</v>
      </c>
      <c r="N17668">
        <f>IF(M17668="","",'Master Barang'!A62)</f>
        <v>0</v>
      </c>
      <c r="O17668">
        <f>IF(N17668="","",'Master Barang'!B62)</f>
        <v>0</v>
      </c>
      <c r="P17668">
        <f>IF(OR(M17668="",N17668=""),"",SUMIFS('Barang Keluar'!$E:$E,'Barang Keluar'!$A:$A,M17668,'Barang Keluar'!$C:$C,N17668))</f>
        <v>0</v>
      </c>
    </row>
    <row r="17669" spans="13:16">
      <c r="M17669" s="49">
        <f>IF($A$4+176&gt;$B$4,"",$A$4+176)</f>
        <v>46199</v>
      </c>
      <c r="N17669">
        <f>IF(M17669="","",'Master Barang'!A63)</f>
        <v>0</v>
      </c>
      <c r="O17669">
        <f>IF(N17669="","",'Master Barang'!B63)</f>
        <v>0</v>
      </c>
      <c r="P17669">
        <f>IF(OR(M17669="",N17669=""),"",SUMIFS('Barang Keluar'!$E:$E,'Barang Keluar'!$A:$A,M17669,'Barang Keluar'!$C:$C,N17669))</f>
        <v>0</v>
      </c>
    </row>
    <row r="17670" spans="13:16">
      <c r="M17670" s="49">
        <f>IF($A$4+176&gt;$B$4,"",$A$4+176)</f>
        <v>46199</v>
      </c>
      <c r="N17670">
        <f>IF(M17670="","",'Master Barang'!A64)</f>
        <v>0</v>
      </c>
      <c r="O17670">
        <f>IF(N17670="","",'Master Barang'!B64)</f>
        <v>0</v>
      </c>
      <c r="P17670">
        <f>IF(OR(M17670="",N17670=""),"",SUMIFS('Barang Keluar'!$E:$E,'Barang Keluar'!$A:$A,M17670,'Barang Keluar'!$C:$C,N17670))</f>
        <v>0</v>
      </c>
    </row>
    <row r="17671" spans="13:16">
      <c r="M17671" s="49">
        <f>IF($A$4+176&gt;$B$4,"",$A$4+176)</f>
        <v>46199</v>
      </c>
      <c r="N17671">
        <f>IF(M17671="","",'Master Barang'!A65)</f>
        <v>0</v>
      </c>
      <c r="O17671">
        <f>IF(N17671="","",'Master Barang'!B65)</f>
        <v>0</v>
      </c>
      <c r="P17671">
        <f>IF(OR(M17671="",N17671=""),"",SUMIFS('Barang Keluar'!$E:$E,'Barang Keluar'!$A:$A,M17671,'Barang Keluar'!$C:$C,N17671))</f>
        <v>0</v>
      </c>
    </row>
    <row r="17672" spans="13:16">
      <c r="M17672" s="49">
        <f>IF($A$4+176&gt;$B$4,"",$A$4+176)</f>
        <v>46199</v>
      </c>
      <c r="N17672">
        <f>IF(M17672="","",'Master Barang'!A66)</f>
        <v>0</v>
      </c>
      <c r="O17672">
        <f>IF(N17672="","",'Master Barang'!B66)</f>
        <v>0</v>
      </c>
      <c r="P17672">
        <f>IF(OR(M17672="",N17672=""),"",SUMIFS('Barang Keluar'!$E:$E,'Barang Keluar'!$A:$A,M17672,'Barang Keluar'!$C:$C,N17672))</f>
        <v>0</v>
      </c>
    </row>
    <row r="17673" spans="13:16">
      <c r="M17673" s="49">
        <f>IF($A$4+176&gt;$B$4,"",$A$4+176)</f>
        <v>46199</v>
      </c>
      <c r="N17673">
        <f>IF(M17673="","",'Master Barang'!A67)</f>
        <v>0</v>
      </c>
      <c r="O17673">
        <f>IF(N17673="","",'Master Barang'!B67)</f>
        <v>0</v>
      </c>
      <c r="P17673">
        <f>IF(OR(M17673="",N17673=""),"",SUMIFS('Barang Keluar'!$E:$E,'Barang Keluar'!$A:$A,M17673,'Barang Keluar'!$C:$C,N17673))</f>
        <v>0</v>
      </c>
    </row>
    <row r="17674" spans="13:16">
      <c r="M17674" s="49">
        <f>IF($A$4+176&gt;$B$4,"",$A$4+176)</f>
        <v>46199</v>
      </c>
      <c r="N17674">
        <f>IF(M17674="","",'Master Barang'!A68)</f>
        <v>0</v>
      </c>
      <c r="O17674">
        <f>IF(N17674="","",'Master Barang'!B68)</f>
        <v>0</v>
      </c>
      <c r="P17674">
        <f>IF(OR(M17674="",N17674=""),"",SUMIFS('Barang Keluar'!$E:$E,'Barang Keluar'!$A:$A,M17674,'Barang Keluar'!$C:$C,N17674))</f>
        <v>0</v>
      </c>
    </row>
    <row r="17675" spans="13:16">
      <c r="M17675" s="49">
        <f>IF($A$4+176&gt;$B$4,"",$A$4+176)</f>
        <v>46199</v>
      </c>
      <c r="N17675">
        <f>IF(M17675="","",'Master Barang'!A69)</f>
        <v>0</v>
      </c>
      <c r="O17675">
        <f>IF(N17675="","",'Master Barang'!B69)</f>
        <v>0</v>
      </c>
      <c r="P17675">
        <f>IF(OR(M17675="",N17675=""),"",SUMIFS('Barang Keluar'!$E:$E,'Barang Keluar'!$A:$A,M17675,'Barang Keluar'!$C:$C,N17675))</f>
        <v>0</v>
      </c>
    </row>
    <row r="17676" spans="13:16">
      <c r="M17676" s="49">
        <f>IF($A$4+176&gt;$B$4,"",$A$4+176)</f>
        <v>46199</v>
      </c>
      <c r="N17676">
        <f>IF(M17676="","",'Master Barang'!A70)</f>
        <v>0</v>
      </c>
      <c r="O17676">
        <f>IF(N17676="","",'Master Barang'!B70)</f>
        <v>0</v>
      </c>
      <c r="P17676">
        <f>IF(OR(M17676="",N17676=""),"",SUMIFS('Barang Keluar'!$E:$E,'Barang Keluar'!$A:$A,M17676,'Barang Keluar'!$C:$C,N17676))</f>
        <v>0</v>
      </c>
    </row>
    <row r="17677" spans="13:16">
      <c r="M17677" s="49">
        <f>IF($A$4+176&gt;$B$4,"",$A$4+176)</f>
        <v>46199</v>
      </c>
      <c r="N17677">
        <f>IF(M17677="","",'Master Barang'!A71)</f>
        <v>0</v>
      </c>
      <c r="O17677">
        <f>IF(N17677="","",'Master Barang'!B71)</f>
        <v>0</v>
      </c>
      <c r="P17677">
        <f>IF(OR(M17677="",N17677=""),"",SUMIFS('Barang Keluar'!$E:$E,'Barang Keluar'!$A:$A,M17677,'Barang Keluar'!$C:$C,N17677))</f>
        <v>0</v>
      </c>
    </row>
    <row r="17678" spans="13:16">
      <c r="M17678" s="49">
        <f>IF($A$4+176&gt;$B$4,"",$A$4+176)</f>
        <v>46199</v>
      </c>
      <c r="N17678">
        <f>IF(M17678="","",'Master Barang'!A72)</f>
        <v>0</v>
      </c>
      <c r="O17678">
        <f>IF(N17678="","",'Master Barang'!B72)</f>
        <v>0</v>
      </c>
      <c r="P17678">
        <f>IF(OR(M17678="",N17678=""),"",SUMIFS('Barang Keluar'!$E:$E,'Barang Keluar'!$A:$A,M17678,'Barang Keluar'!$C:$C,N17678))</f>
        <v>0</v>
      </c>
    </row>
    <row r="17679" spans="13:16">
      <c r="M17679" s="49">
        <f>IF($A$4+176&gt;$B$4,"",$A$4+176)</f>
        <v>46199</v>
      </c>
      <c r="N17679">
        <f>IF(M17679="","",'Master Barang'!A73)</f>
        <v>0</v>
      </c>
      <c r="O17679">
        <f>IF(N17679="","",'Master Barang'!B73)</f>
        <v>0</v>
      </c>
      <c r="P17679">
        <f>IF(OR(M17679="",N17679=""),"",SUMIFS('Barang Keluar'!$E:$E,'Barang Keluar'!$A:$A,M17679,'Barang Keluar'!$C:$C,N17679))</f>
        <v>0</v>
      </c>
    </row>
    <row r="17680" spans="13:16">
      <c r="M17680" s="49">
        <f>IF($A$4+176&gt;$B$4,"",$A$4+176)</f>
        <v>46199</v>
      </c>
      <c r="N17680">
        <f>IF(M17680="","",'Master Barang'!A74)</f>
        <v>0</v>
      </c>
      <c r="O17680">
        <f>IF(N17680="","",'Master Barang'!B74)</f>
        <v>0</v>
      </c>
      <c r="P17680">
        <f>IF(OR(M17680="",N17680=""),"",SUMIFS('Barang Keluar'!$E:$E,'Barang Keluar'!$A:$A,M17680,'Barang Keluar'!$C:$C,N17680))</f>
        <v>0</v>
      </c>
    </row>
    <row r="17681" spans="13:16">
      <c r="M17681" s="49">
        <f>IF($A$4+176&gt;$B$4,"",$A$4+176)</f>
        <v>46199</v>
      </c>
      <c r="N17681">
        <f>IF(M17681="","",'Master Barang'!A75)</f>
        <v>0</v>
      </c>
      <c r="O17681">
        <f>IF(N17681="","",'Master Barang'!B75)</f>
        <v>0</v>
      </c>
      <c r="P17681">
        <f>IF(OR(M17681="",N17681=""),"",SUMIFS('Barang Keluar'!$E:$E,'Barang Keluar'!$A:$A,M17681,'Barang Keluar'!$C:$C,N17681))</f>
        <v>0</v>
      </c>
    </row>
    <row r="17682" spans="13:16">
      <c r="M17682" s="49">
        <f>IF($A$4+176&gt;$B$4,"",$A$4+176)</f>
        <v>46199</v>
      </c>
      <c r="N17682">
        <f>IF(M17682="","",'Master Barang'!A76)</f>
        <v>0</v>
      </c>
      <c r="O17682">
        <f>IF(N17682="","",'Master Barang'!B76)</f>
        <v>0</v>
      </c>
      <c r="P17682">
        <f>IF(OR(M17682="",N17682=""),"",SUMIFS('Barang Keluar'!$E:$E,'Barang Keluar'!$A:$A,M17682,'Barang Keluar'!$C:$C,N17682))</f>
        <v>0</v>
      </c>
    </row>
    <row r="17683" spans="13:16">
      <c r="M17683" s="49">
        <f>IF($A$4+176&gt;$B$4,"",$A$4+176)</f>
        <v>46199</v>
      </c>
      <c r="N17683">
        <f>IF(M17683="","",'Master Barang'!A77)</f>
        <v>0</v>
      </c>
      <c r="O17683">
        <f>IF(N17683="","",'Master Barang'!B77)</f>
        <v>0</v>
      </c>
      <c r="P17683">
        <f>IF(OR(M17683="",N17683=""),"",SUMIFS('Barang Keluar'!$E:$E,'Barang Keluar'!$A:$A,M17683,'Barang Keluar'!$C:$C,N17683))</f>
        <v>0</v>
      </c>
    </row>
    <row r="17684" spans="13:16">
      <c r="M17684" s="49">
        <f>IF($A$4+176&gt;$B$4,"",$A$4+176)</f>
        <v>46199</v>
      </c>
      <c r="N17684">
        <f>IF(M17684="","",'Master Barang'!A78)</f>
        <v>0</v>
      </c>
      <c r="O17684">
        <f>IF(N17684="","",'Master Barang'!B78)</f>
        <v>0</v>
      </c>
      <c r="P17684">
        <f>IF(OR(M17684="",N17684=""),"",SUMIFS('Barang Keluar'!$E:$E,'Barang Keluar'!$A:$A,M17684,'Barang Keluar'!$C:$C,N17684))</f>
        <v>0</v>
      </c>
    </row>
    <row r="17685" spans="13:16">
      <c r="M17685" s="49">
        <f>IF($A$4+176&gt;$B$4,"",$A$4+176)</f>
        <v>46199</v>
      </c>
      <c r="N17685">
        <f>IF(M17685="","",'Master Barang'!A79)</f>
        <v>0</v>
      </c>
      <c r="O17685">
        <f>IF(N17685="","",'Master Barang'!B79)</f>
        <v>0</v>
      </c>
      <c r="P17685">
        <f>IF(OR(M17685="",N17685=""),"",SUMIFS('Barang Keluar'!$E:$E,'Barang Keluar'!$A:$A,M17685,'Barang Keluar'!$C:$C,N17685))</f>
        <v>0</v>
      </c>
    </row>
    <row r="17686" spans="13:16">
      <c r="M17686" s="49">
        <f>IF($A$4+176&gt;$B$4,"",$A$4+176)</f>
        <v>46199</v>
      </c>
      <c r="N17686">
        <f>IF(M17686="","",'Master Barang'!A80)</f>
        <v>0</v>
      </c>
      <c r="O17686">
        <f>IF(N17686="","",'Master Barang'!B80)</f>
        <v>0</v>
      </c>
      <c r="P17686">
        <f>IF(OR(M17686="",N17686=""),"",SUMIFS('Barang Keluar'!$E:$E,'Barang Keluar'!$A:$A,M17686,'Barang Keluar'!$C:$C,N17686))</f>
        <v>0</v>
      </c>
    </row>
    <row r="17687" spans="13:16">
      <c r="M17687" s="49">
        <f>IF($A$4+176&gt;$B$4,"",$A$4+176)</f>
        <v>46199</v>
      </c>
      <c r="N17687">
        <f>IF(M17687="","",'Master Barang'!A81)</f>
        <v>0</v>
      </c>
      <c r="O17687">
        <f>IF(N17687="","",'Master Barang'!B81)</f>
        <v>0</v>
      </c>
      <c r="P17687">
        <f>IF(OR(M17687="",N17687=""),"",SUMIFS('Barang Keluar'!$E:$E,'Barang Keluar'!$A:$A,M17687,'Barang Keluar'!$C:$C,N17687))</f>
        <v>0</v>
      </c>
    </row>
    <row r="17688" spans="13:16">
      <c r="M17688" s="49">
        <f>IF($A$4+176&gt;$B$4,"",$A$4+176)</f>
        <v>46199</v>
      </c>
      <c r="N17688">
        <f>IF(M17688="","",'Master Barang'!A82)</f>
        <v>0</v>
      </c>
      <c r="O17688">
        <f>IF(N17688="","",'Master Barang'!B82)</f>
        <v>0</v>
      </c>
      <c r="P17688">
        <f>IF(OR(M17688="",N17688=""),"",SUMIFS('Barang Keluar'!$E:$E,'Barang Keluar'!$A:$A,M17688,'Barang Keluar'!$C:$C,N17688))</f>
        <v>0</v>
      </c>
    </row>
    <row r="17689" spans="13:16">
      <c r="M17689" s="49">
        <f>IF($A$4+176&gt;$B$4,"",$A$4+176)</f>
        <v>46199</v>
      </c>
      <c r="N17689">
        <f>IF(M17689="","",'Master Barang'!A83)</f>
        <v>0</v>
      </c>
      <c r="O17689">
        <f>IF(N17689="","",'Master Barang'!B83)</f>
        <v>0</v>
      </c>
      <c r="P17689">
        <f>IF(OR(M17689="",N17689=""),"",SUMIFS('Barang Keluar'!$E:$E,'Barang Keluar'!$A:$A,M17689,'Barang Keluar'!$C:$C,N17689))</f>
        <v>0</v>
      </c>
    </row>
    <row r="17690" spans="13:16">
      <c r="M17690" s="49">
        <f>IF($A$4+176&gt;$B$4,"",$A$4+176)</f>
        <v>46199</v>
      </c>
      <c r="N17690">
        <f>IF(M17690="","",'Master Barang'!A84)</f>
        <v>0</v>
      </c>
      <c r="O17690">
        <f>IF(N17690="","",'Master Barang'!B84)</f>
        <v>0</v>
      </c>
      <c r="P17690">
        <f>IF(OR(M17690="",N17690=""),"",SUMIFS('Barang Keluar'!$E:$E,'Barang Keluar'!$A:$A,M17690,'Barang Keluar'!$C:$C,N17690))</f>
        <v>0</v>
      </c>
    </row>
    <row r="17691" spans="13:16">
      <c r="M17691" s="49">
        <f>IF($A$4+176&gt;$B$4,"",$A$4+176)</f>
        <v>46199</v>
      </c>
      <c r="N17691">
        <f>IF(M17691="","",'Master Barang'!A85)</f>
        <v>0</v>
      </c>
      <c r="O17691">
        <f>IF(N17691="","",'Master Barang'!B85)</f>
        <v>0</v>
      </c>
      <c r="P17691">
        <f>IF(OR(M17691="",N17691=""),"",SUMIFS('Barang Keluar'!$E:$E,'Barang Keluar'!$A:$A,M17691,'Barang Keluar'!$C:$C,N17691))</f>
        <v>0</v>
      </c>
    </row>
    <row r="17692" spans="13:16">
      <c r="M17692" s="49">
        <f>IF($A$4+176&gt;$B$4,"",$A$4+176)</f>
        <v>46199</v>
      </c>
      <c r="N17692">
        <f>IF(M17692="","",'Master Barang'!A86)</f>
        <v>0</v>
      </c>
      <c r="O17692">
        <f>IF(N17692="","",'Master Barang'!B86)</f>
        <v>0</v>
      </c>
      <c r="P17692">
        <f>IF(OR(M17692="",N17692=""),"",SUMIFS('Barang Keluar'!$E:$E,'Barang Keluar'!$A:$A,M17692,'Barang Keluar'!$C:$C,N17692))</f>
        <v>0</v>
      </c>
    </row>
    <row r="17693" spans="13:16">
      <c r="M17693" s="49">
        <f>IF($A$4+176&gt;$B$4,"",$A$4+176)</f>
        <v>46199</v>
      </c>
      <c r="N17693">
        <f>IF(M17693="","",'Master Barang'!A87)</f>
        <v>0</v>
      </c>
      <c r="O17693">
        <f>IF(N17693="","",'Master Barang'!B87)</f>
        <v>0</v>
      </c>
      <c r="P17693">
        <f>IF(OR(M17693="",N17693=""),"",SUMIFS('Barang Keluar'!$E:$E,'Barang Keluar'!$A:$A,M17693,'Barang Keluar'!$C:$C,N17693))</f>
        <v>0</v>
      </c>
    </row>
    <row r="17694" spans="13:16">
      <c r="M17694" s="49">
        <f>IF($A$4+176&gt;$B$4,"",$A$4+176)</f>
        <v>46199</v>
      </c>
      <c r="N17694">
        <f>IF(M17694="","",'Master Barang'!A88)</f>
        <v>0</v>
      </c>
      <c r="O17694">
        <f>IF(N17694="","",'Master Barang'!B88)</f>
        <v>0</v>
      </c>
      <c r="P17694">
        <f>IF(OR(M17694="",N17694=""),"",SUMIFS('Barang Keluar'!$E:$E,'Barang Keluar'!$A:$A,M17694,'Barang Keluar'!$C:$C,N17694))</f>
        <v>0</v>
      </c>
    </row>
    <row r="17695" spans="13:16">
      <c r="M17695" s="49">
        <f>IF($A$4+176&gt;$B$4,"",$A$4+176)</f>
        <v>46199</v>
      </c>
      <c r="N17695">
        <f>IF(M17695="","",'Master Barang'!A89)</f>
        <v>0</v>
      </c>
      <c r="O17695">
        <f>IF(N17695="","",'Master Barang'!B89)</f>
        <v>0</v>
      </c>
      <c r="P17695">
        <f>IF(OR(M17695="",N17695=""),"",SUMIFS('Barang Keluar'!$E:$E,'Barang Keluar'!$A:$A,M17695,'Barang Keluar'!$C:$C,N17695))</f>
        <v>0</v>
      </c>
    </row>
    <row r="17696" spans="13:16">
      <c r="M17696" s="49">
        <f>IF($A$4+176&gt;$B$4,"",$A$4+176)</f>
        <v>46199</v>
      </c>
      <c r="N17696">
        <f>IF(M17696="","",'Master Barang'!A90)</f>
        <v>0</v>
      </c>
      <c r="O17696">
        <f>IF(N17696="","",'Master Barang'!B90)</f>
        <v>0</v>
      </c>
      <c r="P17696">
        <f>IF(OR(M17696="",N17696=""),"",SUMIFS('Barang Keluar'!$E:$E,'Barang Keluar'!$A:$A,M17696,'Barang Keluar'!$C:$C,N17696))</f>
        <v>0</v>
      </c>
    </row>
    <row r="17697" spans="13:16">
      <c r="M17697" s="49">
        <f>IF($A$4+176&gt;$B$4,"",$A$4+176)</f>
        <v>46199</v>
      </c>
      <c r="N17697">
        <f>IF(M17697="","",'Master Barang'!A91)</f>
        <v>0</v>
      </c>
      <c r="O17697">
        <f>IF(N17697="","",'Master Barang'!B91)</f>
        <v>0</v>
      </c>
      <c r="P17697">
        <f>IF(OR(M17697="",N17697=""),"",SUMIFS('Barang Keluar'!$E:$E,'Barang Keluar'!$A:$A,M17697,'Barang Keluar'!$C:$C,N17697))</f>
        <v>0</v>
      </c>
    </row>
    <row r="17698" spans="13:16">
      <c r="M17698" s="49">
        <f>IF($A$4+176&gt;$B$4,"",$A$4+176)</f>
        <v>46199</v>
      </c>
      <c r="N17698">
        <f>IF(M17698="","",'Master Barang'!A92)</f>
        <v>0</v>
      </c>
      <c r="O17698">
        <f>IF(N17698="","",'Master Barang'!B92)</f>
        <v>0</v>
      </c>
      <c r="P17698">
        <f>IF(OR(M17698="",N17698=""),"",SUMIFS('Barang Keluar'!$E:$E,'Barang Keluar'!$A:$A,M17698,'Barang Keluar'!$C:$C,N17698))</f>
        <v>0</v>
      </c>
    </row>
    <row r="17699" spans="13:16">
      <c r="M17699" s="49">
        <f>IF($A$4+176&gt;$B$4,"",$A$4+176)</f>
        <v>46199</v>
      </c>
      <c r="N17699">
        <f>IF(M17699="","",'Master Barang'!A93)</f>
        <v>0</v>
      </c>
      <c r="O17699">
        <f>IF(N17699="","",'Master Barang'!B93)</f>
        <v>0</v>
      </c>
      <c r="P17699">
        <f>IF(OR(M17699="",N17699=""),"",SUMIFS('Barang Keluar'!$E:$E,'Barang Keluar'!$A:$A,M17699,'Barang Keluar'!$C:$C,N17699))</f>
        <v>0</v>
      </c>
    </row>
    <row r="17700" spans="13:16">
      <c r="M17700" s="49">
        <f>IF($A$4+176&gt;$B$4,"",$A$4+176)</f>
        <v>46199</v>
      </c>
      <c r="N17700">
        <f>IF(M17700="","",'Master Barang'!A94)</f>
        <v>0</v>
      </c>
      <c r="O17700">
        <f>IF(N17700="","",'Master Barang'!B94)</f>
        <v>0</v>
      </c>
      <c r="P17700">
        <f>IF(OR(M17700="",N17700=""),"",SUMIFS('Barang Keluar'!$E:$E,'Barang Keluar'!$A:$A,M17700,'Barang Keluar'!$C:$C,N17700))</f>
        <v>0</v>
      </c>
    </row>
    <row r="17701" spans="13:16">
      <c r="M17701" s="49">
        <f>IF($A$4+176&gt;$B$4,"",$A$4+176)</f>
        <v>46199</v>
      </c>
      <c r="N17701">
        <f>IF(M17701="","",'Master Barang'!A95)</f>
        <v>0</v>
      </c>
      <c r="O17701">
        <f>IF(N17701="","",'Master Barang'!B95)</f>
        <v>0</v>
      </c>
      <c r="P17701">
        <f>IF(OR(M17701="",N17701=""),"",SUMIFS('Barang Keluar'!$E:$E,'Barang Keluar'!$A:$A,M17701,'Barang Keluar'!$C:$C,N17701))</f>
        <v>0</v>
      </c>
    </row>
    <row r="17702" spans="13:16">
      <c r="M17702" s="49">
        <f>IF($A$4+176&gt;$B$4,"",$A$4+176)</f>
        <v>46199</v>
      </c>
      <c r="N17702">
        <f>IF(M17702="","",'Master Barang'!A96)</f>
        <v>0</v>
      </c>
      <c r="O17702">
        <f>IF(N17702="","",'Master Barang'!B96)</f>
        <v>0</v>
      </c>
      <c r="P17702">
        <f>IF(OR(M17702="",N17702=""),"",SUMIFS('Barang Keluar'!$E:$E,'Barang Keluar'!$A:$A,M17702,'Barang Keluar'!$C:$C,N17702))</f>
        <v>0</v>
      </c>
    </row>
    <row r="17703" spans="13:16">
      <c r="M17703" s="49">
        <f>IF($A$4+176&gt;$B$4,"",$A$4+176)</f>
        <v>46199</v>
      </c>
      <c r="N17703">
        <f>IF(M17703="","",'Master Barang'!A97)</f>
        <v>0</v>
      </c>
      <c r="O17703">
        <f>IF(N17703="","",'Master Barang'!B97)</f>
        <v>0</v>
      </c>
      <c r="P17703">
        <f>IF(OR(M17703="",N17703=""),"",SUMIFS('Barang Keluar'!$E:$E,'Barang Keluar'!$A:$A,M17703,'Barang Keluar'!$C:$C,N17703))</f>
        <v>0</v>
      </c>
    </row>
    <row r="17704" spans="13:16">
      <c r="M17704" s="49">
        <f>IF($A$4+176&gt;$B$4,"",$A$4+176)</f>
        <v>46199</v>
      </c>
      <c r="N17704">
        <f>IF(M17704="","",'Master Barang'!A98)</f>
        <v>0</v>
      </c>
      <c r="O17704">
        <f>IF(N17704="","",'Master Barang'!B98)</f>
        <v>0</v>
      </c>
      <c r="P17704">
        <f>IF(OR(M17704="",N17704=""),"",SUMIFS('Barang Keluar'!$E:$E,'Barang Keluar'!$A:$A,M17704,'Barang Keluar'!$C:$C,N17704))</f>
        <v>0</v>
      </c>
    </row>
    <row r="17705" spans="13:16">
      <c r="M17705" s="49">
        <f>IF($A$4+176&gt;$B$4,"",$A$4+176)</f>
        <v>46199</v>
      </c>
      <c r="N17705">
        <f>IF(M17705="","",'Master Barang'!A99)</f>
        <v>0</v>
      </c>
      <c r="O17705">
        <f>IF(N17705="","",'Master Barang'!B99)</f>
        <v>0</v>
      </c>
      <c r="P17705">
        <f>IF(OR(M17705="",N17705=""),"",SUMIFS('Barang Keluar'!$E:$E,'Barang Keluar'!$A:$A,M17705,'Barang Keluar'!$C:$C,N17705))</f>
        <v>0</v>
      </c>
    </row>
    <row r="17706" spans="13:16">
      <c r="M17706" s="49">
        <f>IF($A$4+176&gt;$B$4,"",$A$4+176)</f>
        <v>46199</v>
      </c>
      <c r="N17706">
        <f>IF(M17706="","",'Master Barang'!A100)</f>
        <v>0</v>
      </c>
      <c r="O17706">
        <f>IF(N17706="","",'Master Barang'!B100)</f>
        <v>0</v>
      </c>
      <c r="P17706">
        <f>IF(OR(M17706="",N17706=""),"",SUMIFS('Barang Keluar'!$E:$E,'Barang Keluar'!$A:$A,M17706,'Barang Keluar'!$C:$C,N17706))</f>
        <v>0</v>
      </c>
    </row>
    <row r="17707" spans="13:16">
      <c r="M17707" s="49">
        <f>IF($A$4+176&gt;$B$4,"",$A$4+176)</f>
        <v>46199</v>
      </c>
      <c r="N17707">
        <f>IF(M17707="","",'Master Barang'!A101)</f>
        <v>0</v>
      </c>
      <c r="O17707">
        <f>IF(N17707="","",'Master Barang'!B101)</f>
        <v>0</v>
      </c>
      <c r="P17707">
        <f>IF(OR(M17707="",N17707=""),"",SUMIFS('Barang Keluar'!$E:$E,'Barang Keluar'!$A:$A,M17707,'Barang Keluar'!$C:$C,N17707))</f>
        <v>0</v>
      </c>
    </row>
    <row r="17708" spans="13:16">
      <c r="M17708" s="49">
        <f>IF($A$4+177&gt;$B$4,"",$A$4+177)</f>
        <v>46200</v>
      </c>
      <c r="N17708" t="str">
        <f>IF(M17708="","",'Master Barang'!A2)</f>
        <v>PRL-001</v>
      </c>
      <c r="O17708" t="str">
        <f>IF(N17708="","",'Master Barang'!B2)</f>
        <v>natura desinfectant food grade 5l</v>
      </c>
      <c r="P17708">
        <f>IF(OR(M17708="",N17708=""),"",SUMIFS('Barang Keluar'!$E:$E,'Barang Keluar'!$A:$A,M17708,'Barang Keluar'!$C:$C,N17708))</f>
        <v>0</v>
      </c>
    </row>
    <row r="17709" spans="13:16">
      <c r="M17709" s="49">
        <f>IF($A$4+177&gt;$B$4,"",$A$4+177)</f>
        <v>46200</v>
      </c>
      <c r="N17709" t="str">
        <f>IF(M17709="","",'Master Barang'!A3)</f>
        <v>PRL-002</v>
      </c>
      <c r="O17709" t="str">
        <f>IF(N17709="","",'Master Barang'!B3)</f>
        <v>sunlight cairan pencuci piring 5l</v>
      </c>
      <c r="P17709">
        <f>IF(OR(M17709="",N17709=""),"",SUMIFS('Barang Keluar'!$E:$E,'Barang Keluar'!$A:$A,M17709,'Barang Keluar'!$C:$C,N17709))</f>
        <v>0</v>
      </c>
    </row>
    <row r="17710" spans="13:16">
      <c r="M17710" s="49">
        <f>IF($A$4+177&gt;$B$4,"",$A$4+177)</f>
        <v>46200</v>
      </c>
      <c r="N17710" t="str">
        <f>IF(M17710="","",'Master Barang'!A4)</f>
        <v>PRL-003</v>
      </c>
      <c r="O17710" t="str">
        <f>IF(N17710="","",'Master Barang'!B4)</f>
        <v>oixs cleaner 1l</v>
      </c>
      <c r="P17710">
        <f>IF(OR(M17710="",N17710=""),"",SUMIFS('Barang Keluar'!$E:$E,'Barang Keluar'!$A:$A,M17710,'Barang Keluar'!$C:$C,N17710))</f>
        <v>0</v>
      </c>
    </row>
    <row r="17711" spans="13:16">
      <c r="M17711" s="49">
        <f>IF($A$4+177&gt;$B$4,"",$A$4+177)</f>
        <v>46200</v>
      </c>
      <c r="N17711" t="str">
        <f>IF(M17711="","",'Master Barang'!A5)</f>
        <v>PRL-004</v>
      </c>
      <c r="O17711" t="str">
        <f>IF(N17711="","",'Master Barang'!B5)</f>
        <v>be clean tissue serbaguna</v>
      </c>
      <c r="P17711">
        <f>IF(OR(M17711="",N17711=""),"",SUMIFS('Barang Keluar'!$E:$E,'Barang Keluar'!$A:$A,M17711,'Barang Keluar'!$C:$C,N17711))</f>
        <v>0</v>
      </c>
    </row>
    <row r="17712" spans="13:16">
      <c r="M17712" s="49">
        <f>IF($A$4+177&gt;$B$4,"",$A$4+177)</f>
        <v>46200</v>
      </c>
      <c r="N17712" t="str">
        <f>IF(M17712="","",'Master Barang'!A6)</f>
        <v>PRL-005</v>
      </c>
      <c r="O17712" t="str">
        <f>IF(N17712="","",'Master Barang'!B6)</f>
        <v>spons cuci hijau</v>
      </c>
      <c r="P17712">
        <f>IF(OR(M17712="",N17712=""),"",SUMIFS('Barang Keluar'!$E:$E,'Barang Keluar'!$A:$A,M17712,'Barang Keluar'!$C:$C,N17712))</f>
        <v>0</v>
      </c>
    </row>
    <row r="17713" spans="13:16">
      <c r="M17713" s="49">
        <f>IF($A$4+177&gt;$B$4,"",$A$4+177)</f>
        <v>46200</v>
      </c>
      <c r="N17713" t="str">
        <f>IF(M17713="","",'Master Barang'!A7)</f>
        <v>PRL-006</v>
      </c>
      <c r="O17713" t="str">
        <f>IF(N17713="","",'Master Barang'!B7)</f>
        <v>sabut cuci stainless</v>
      </c>
      <c r="P17713">
        <f>IF(OR(M17713="",N17713=""),"",SUMIFS('Barang Keluar'!$E:$E,'Barang Keluar'!$A:$A,M17713,'Barang Keluar'!$C:$C,N17713))</f>
        <v>0</v>
      </c>
    </row>
    <row r="17714" spans="13:16">
      <c r="M17714" s="49">
        <f>IF($A$4+177&gt;$B$4,"",$A$4+177)</f>
        <v>46200</v>
      </c>
      <c r="N17714" t="str">
        <f>IF(M17714="","",'Master Barang'!A8)</f>
        <v>PRL-007</v>
      </c>
      <c r="O17714" t="str">
        <f>IF(N17714="","",'Master Barang'!B8)</f>
        <v>plastik kresek besar merah 50pc</v>
      </c>
      <c r="P17714">
        <f>IF(OR(M17714="",N17714=""),"",SUMIFS('Barang Keluar'!$E:$E,'Barang Keluar'!$A:$A,M17714,'Barang Keluar'!$C:$C,N17714))</f>
        <v>0</v>
      </c>
    </row>
    <row r="17715" spans="13:16">
      <c r="M17715" s="49">
        <f>IF($A$4+177&gt;$B$4,"",$A$4+177)</f>
        <v>46200</v>
      </c>
      <c r="N17715" t="str">
        <f>IF(M17715="","",'Master Barang'!A9)</f>
        <v>PRL-008</v>
      </c>
      <c r="O17715" t="str">
        <f>IF(N17715="","",'Master Barang'!B9)</f>
        <v>lap besar</v>
      </c>
      <c r="P17715">
        <f>IF(OR(M17715="",N17715=""),"",SUMIFS('Barang Keluar'!$E:$E,'Barang Keluar'!$A:$A,M17715,'Barang Keluar'!$C:$C,N17715))</f>
        <v>0</v>
      </c>
    </row>
    <row r="17716" spans="13:16">
      <c r="M17716" s="49">
        <f>IF($A$4+177&gt;$B$4,"",$A$4+177)</f>
        <v>46200</v>
      </c>
      <c r="N17716" t="str">
        <f>IF(M17716="","",'Master Barang'!A10)</f>
        <v>PRL-009</v>
      </c>
      <c r="O17716" t="str">
        <f>IF(N17716="","",'Master Barang'!B10)</f>
        <v>lap microfiber</v>
      </c>
      <c r="P17716">
        <f>IF(OR(M17716="",N17716=""),"",SUMIFS('Barang Keluar'!$E:$E,'Barang Keluar'!$A:$A,M17716,'Barang Keluar'!$C:$C,N17716))</f>
        <v>0</v>
      </c>
    </row>
    <row r="17717" spans="13:16">
      <c r="M17717" s="49">
        <f>IF($A$4+177&gt;$B$4,"",$A$4+177)</f>
        <v>46200</v>
      </c>
      <c r="N17717" t="str">
        <f>IF(M17717="","",'Master Barang'!A11)</f>
        <v>PRL-010</v>
      </c>
      <c r="O17717" t="str">
        <f>IF(N17717="","",'Master Barang'!B11)</f>
        <v>lap kecil</v>
      </c>
      <c r="P17717">
        <f>IF(OR(M17717="",N17717=""),"",SUMIFS('Barang Keluar'!$E:$E,'Barang Keluar'!$A:$A,M17717,'Barang Keluar'!$C:$C,N17717))</f>
        <v>0</v>
      </c>
    </row>
    <row r="17718" spans="13:16">
      <c r="M17718" s="49">
        <f>IF($A$4+177&gt;$B$4,"",$A$4+177)</f>
        <v>46200</v>
      </c>
      <c r="N17718" t="str">
        <f>IF(M17718="","",'Master Barang'!A12)</f>
        <v>PRL-011</v>
      </c>
      <c r="O17718" t="str">
        <f>IF(N17718="","",'Master Barang'!B12)</f>
        <v>kanebo kecil</v>
      </c>
      <c r="P17718">
        <f>IF(OR(M17718="",N17718=""),"",SUMIFS('Barang Keluar'!$E:$E,'Barang Keluar'!$A:$A,M17718,'Barang Keluar'!$C:$C,N17718))</f>
        <v>0</v>
      </c>
    </row>
    <row r="17719" spans="13:16">
      <c r="M17719" s="49">
        <f>IF($A$4+177&gt;$B$4,"",$A$4+177)</f>
        <v>46200</v>
      </c>
      <c r="N17719" t="str">
        <f>IF(M17719="","",'Master Barang'!A13)</f>
        <v>PRL-012</v>
      </c>
      <c r="O17719" t="str">
        <f>IF(N17719="","",'Master Barang'!B13)</f>
        <v>plastik 1/4kg joyoboyo 100 lembar</v>
      </c>
      <c r="P17719">
        <f>IF(OR(M17719="",N17719=""),"",SUMIFS('Barang Keluar'!$E:$E,'Barang Keluar'!$A:$A,M17719,'Barang Keluar'!$C:$C,N17719))</f>
        <v>0</v>
      </c>
    </row>
    <row r="17720" spans="13:16">
      <c r="M17720" s="49">
        <f>IF($A$4+177&gt;$B$4,"",$A$4+177)</f>
        <v>46200</v>
      </c>
      <c r="N17720" t="str">
        <f>IF(M17720="","",'Master Barang'!A14)</f>
        <v>PRL-013</v>
      </c>
      <c r="O17720" t="str">
        <f>IF(N17720="","",'Master Barang'!B14)</f>
        <v>sarung tangan plastik kaka 100 pcs</v>
      </c>
      <c r="P17720">
        <f>IF(OR(M17720="",N17720=""),"",SUMIFS('Barang Keluar'!$E:$E,'Barang Keluar'!$A:$A,M17720,'Barang Keluar'!$C:$C,N17720))</f>
        <v>0</v>
      </c>
    </row>
    <row r="17721" spans="13:16">
      <c r="M17721" s="49">
        <f>IF($A$4+177&gt;$B$4,"",$A$4+177)</f>
        <v>46200</v>
      </c>
      <c r="N17721" t="str">
        <f>IF(M17721="","",'Master Barang'!A15)</f>
        <v>PRL-014</v>
      </c>
      <c r="O17721" t="str">
        <f>IF(N17721="","",'Master Barang'!B15)</f>
        <v>optima trashbag 80x100</v>
      </c>
      <c r="P17721">
        <f>IF(OR(M17721="",N17721=""),"",SUMIFS('Barang Keluar'!$E:$E,'Barang Keluar'!$A:$A,M17721,'Barang Keluar'!$C:$C,N17721))</f>
        <v>0</v>
      </c>
    </row>
    <row r="17722" spans="13:16">
      <c r="M17722" s="49">
        <f>IF($A$4+177&gt;$B$4,"",$A$4+177)</f>
        <v>46200</v>
      </c>
      <c r="N17722" t="str">
        <f>IF(M17722="","",'Master Barang'!A16)</f>
        <v>PRL-015</v>
      </c>
      <c r="O17722" t="str">
        <f>IF(N17722="","",'Master Barang'!B16)</f>
        <v>optima trashbag 60x100</v>
      </c>
      <c r="P17722">
        <f>IF(OR(M17722="",N17722=""),"",SUMIFS('Barang Keluar'!$E:$E,'Barang Keluar'!$A:$A,M17722,'Barang Keluar'!$C:$C,N17722))</f>
        <v>0</v>
      </c>
    </row>
    <row r="17723" spans="13:16">
      <c r="M17723" s="49">
        <f>IF($A$4+177&gt;$B$4,"",$A$4+177)</f>
        <v>46200</v>
      </c>
      <c r="N17723" t="str">
        <f>IF(M17723="","",'Master Barang'!A17)</f>
        <v>PRL-016</v>
      </c>
      <c r="O17723" t="str">
        <f>IF(N17723="","",'Master Barang'!B17)</f>
        <v>rajawali trashbag 30x40</v>
      </c>
      <c r="P17723">
        <f>IF(OR(M17723="",N17723=""),"",SUMIFS('Barang Keluar'!$E:$E,'Barang Keluar'!$A:$A,M17723,'Barang Keluar'!$C:$C,N17723))</f>
        <v>0</v>
      </c>
    </row>
    <row r="17724" spans="13:16">
      <c r="M17724" s="49">
        <f>IF($A$4+177&gt;$B$4,"",$A$4+177)</f>
        <v>46200</v>
      </c>
      <c r="N17724" t="str">
        <f>IF(M17724="","",'Master Barang'!A18)</f>
        <v>PRL-017</v>
      </c>
      <c r="O17724" t="str">
        <f>IF(N17724="","",'Master Barang'!B18)</f>
        <v>onemed masker biru 3 play 50 pcs</v>
      </c>
      <c r="P17724">
        <f>IF(OR(M17724="",N17724=""),"",SUMIFS('Barang Keluar'!$E:$E,'Barang Keluar'!$A:$A,M17724,'Barang Keluar'!$C:$C,N17724))</f>
        <v>0</v>
      </c>
    </row>
    <row r="17725" spans="13:16">
      <c r="M17725" s="49">
        <f>IF($A$4+177&gt;$B$4,"",$A$4+177)</f>
        <v>46200</v>
      </c>
      <c r="N17725" t="str">
        <f>IF(M17725="","",'Master Barang'!A19)</f>
        <v>PRL-018</v>
      </c>
      <c r="O17725" t="str">
        <f>IF(N17725="","",'Master Barang'!B19)</f>
        <v>onemed masker biru 3 play hijab 50 pcs</v>
      </c>
      <c r="P17725">
        <f>IF(OR(M17725="",N17725=""),"",SUMIFS('Barang Keluar'!$E:$E,'Barang Keluar'!$A:$A,M17725,'Barang Keluar'!$C:$C,N17725))</f>
        <v>0</v>
      </c>
    </row>
    <row r="17726" spans="13:16">
      <c r="M17726" s="49">
        <f>IF($A$4+177&gt;$B$4,"",$A$4+177)</f>
        <v>46200</v>
      </c>
      <c r="N17726" t="str">
        <f>IF(M17726="","",'Master Barang'!A20)</f>
        <v>PRL-019</v>
      </c>
      <c r="O17726" t="str">
        <f>IF(N17726="","",'Master Barang'!B20)</f>
        <v>neo health masker biru 3 play 50 pcs</v>
      </c>
      <c r="P17726">
        <f>IF(OR(M17726="",N17726=""),"",SUMIFS('Barang Keluar'!$E:$E,'Barang Keluar'!$A:$A,M17726,'Barang Keluar'!$C:$C,N17726))</f>
        <v>0</v>
      </c>
    </row>
    <row r="17727" spans="13:16">
      <c r="M17727" s="49">
        <f>IF($A$4+177&gt;$B$4,"",$A$4+177)</f>
        <v>46200</v>
      </c>
      <c r="N17727" t="str">
        <f>IF(M17727="","",'Master Barang'!A21)</f>
        <v>PRL-020</v>
      </c>
      <c r="O17727" t="str">
        <f>IF(N17727="","",'Master Barang'!B21)</f>
        <v>baymed masker hijau 3 play hijau 50 pcs</v>
      </c>
      <c r="P17727">
        <f>IF(OR(M17727="",N17727=""),"",SUMIFS('Barang Keluar'!$E:$E,'Barang Keluar'!$A:$A,M17727,'Barang Keluar'!$C:$C,N17727))</f>
        <v>0</v>
      </c>
    </row>
    <row r="17728" spans="13:16">
      <c r="M17728" s="49">
        <f>IF($A$4+177&gt;$B$4,"",$A$4+177)</f>
        <v>46200</v>
      </c>
      <c r="N17728" t="str">
        <f>IF(M17728="","",'Master Barang'!A22)</f>
        <v>PRL-021</v>
      </c>
      <c r="O17728" t="str">
        <f>IF(N17728="","",'Master Barang'!B22)</f>
        <v>altamed nurse cap penutup kepala 100 pcs</v>
      </c>
      <c r="P17728">
        <f>IF(OR(M17728="",N17728=""),"",SUMIFS('Barang Keluar'!$E:$E,'Barang Keluar'!$A:$A,M17728,'Barang Keluar'!$C:$C,N17728))</f>
        <v>0</v>
      </c>
    </row>
    <row r="17729" spans="13:16">
      <c r="M17729" s="49">
        <f>IF($A$4+177&gt;$B$4,"",$A$4+177)</f>
        <v>46200</v>
      </c>
      <c r="N17729" t="str">
        <f>IF(M17729="","",'Master Barang'!A23)</f>
        <v>PRL-022</v>
      </c>
      <c r="O17729" t="str">
        <f>IF(N17729="","",'Master Barang'!B23)</f>
        <v>sabun cuci tangan</v>
      </c>
      <c r="P17729">
        <f>IF(OR(M17729="",N17729=""),"",SUMIFS('Barang Keluar'!$E:$E,'Barang Keluar'!$A:$A,M17729,'Barang Keluar'!$C:$C,N17729))</f>
        <v>0</v>
      </c>
    </row>
    <row r="17730" spans="13:16">
      <c r="M17730" s="49">
        <f>IF($A$4+177&gt;$B$4,"",$A$4+177)</f>
        <v>46200</v>
      </c>
      <c r="N17730" t="str">
        <f>IF(M17730="","",'Master Barang'!A24)</f>
        <v>PRL-023</v>
      </c>
      <c r="O17730" t="str">
        <f>IF(N17730="","",'Master Barang'!B24)</f>
        <v>gayung kecil</v>
      </c>
      <c r="P17730">
        <f>IF(OR(M17730="",N17730=""),"",SUMIFS('Barang Keluar'!$E:$E,'Barang Keluar'!$A:$A,M17730,'Barang Keluar'!$C:$C,N17730))</f>
        <v>0</v>
      </c>
    </row>
    <row r="17731" spans="13:16">
      <c r="M17731" s="49">
        <f>IF($A$4+177&gt;$B$4,"",$A$4+177)</f>
        <v>46200</v>
      </c>
      <c r="N17731" t="str">
        <f>IF(M17731="","",'Master Barang'!A25)</f>
        <v>PRL-024</v>
      </c>
      <c r="O17731" t="str">
        <f>IF(N17731="","",'Master Barang'!B25)</f>
        <v>cikrak kecil</v>
      </c>
      <c r="P17731">
        <f>IF(OR(M17731="",N17731=""),"",SUMIFS('Barang Keluar'!$E:$E,'Barang Keluar'!$A:$A,M17731,'Barang Keluar'!$C:$C,N17731))</f>
        <v>0</v>
      </c>
    </row>
    <row r="17732" spans="13:16">
      <c r="M17732" s="49">
        <f>IF($A$4+177&gt;$B$4,"",$A$4+177)</f>
        <v>46200</v>
      </c>
      <c r="N17732" t="str">
        <f>IF(M17732="","",'Master Barang'!A26)</f>
        <v>PRL-025</v>
      </c>
      <c r="O17732" t="str">
        <f>IF(N17732="","",'Master Barang'!B26)</f>
        <v>petromax plastik kecil 12x24 100 lembar</v>
      </c>
      <c r="P17732">
        <f>IF(OR(M17732="",N17732=""),"",SUMIFS('Barang Keluar'!$E:$E,'Barang Keluar'!$A:$A,M17732,'Barang Keluar'!$C:$C,N17732))</f>
        <v>0</v>
      </c>
    </row>
    <row r="17733" spans="13:16">
      <c r="M17733" s="49">
        <f>IF($A$4+177&gt;$B$4,"",$A$4+177)</f>
        <v>46200</v>
      </c>
      <c r="N17733" t="str">
        <f>IF(M17733="","",'Master Barang'!A27)</f>
        <v>PRL-026</v>
      </c>
      <c r="O17733" t="str">
        <f>IF(N17733="","",'Master Barang'!B27)</f>
        <v>lancar kresek kecil bening </v>
      </c>
      <c r="P17733">
        <f>IF(OR(M17733="",N17733=""),"",SUMIFS('Barang Keluar'!$E:$E,'Barang Keluar'!$A:$A,M17733,'Barang Keluar'!$C:$C,N17733))</f>
        <v>0</v>
      </c>
    </row>
    <row r="17734" spans="13:16">
      <c r="M17734" s="49">
        <f>IF($A$4+177&gt;$B$4,"",$A$4+177)</f>
        <v>46200</v>
      </c>
      <c r="N17734" t="str">
        <f>IF(M17734="","",'Master Barang'!A28)</f>
        <v>PRL-027</v>
      </c>
      <c r="O17734" t="str">
        <f>IF(N17734="","",'Master Barang'!B28)</f>
        <v>kresek klin warna warni kecil</v>
      </c>
      <c r="P17734">
        <f>IF(OR(M17734="",N17734=""),"",SUMIFS('Barang Keluar'!$E:$E,'Barang Keluar'!$A:$A,M17734,'Barang Keluar'!$C:$C,N17734))</f>
        <v>0</v>
      </c>
    </row>
    <row r="17735" spans="13:16">
      <c r="M17735" s="49">
        <f>IF($A$4+177&gt;$B$4,"",$A$4+177)</f>
        <v>46200</v>
      </c>
      <c r="N17735" t="str">
        <f>IF(M17735="","",'Master Barang'!A29)</f>
        <v>PRL-028</v>
      </c>
      <c r="O17735" t="str">
        <f>IF(N17735="","",'Master Barang'!B29)</f>
        <v>ctik plastik 7x10 100 pcs</v>
      </c>
      <c r="P17735">
        <f>IF(OR(M17735="",N17735=""),"",SUMIFS('Barang Keluar'!$E:$E,'Barang Keluar'!$A:$A,M17735,'Barang Keluar'!$C:$C,N17735))</f>
        <v>0</v>
      </c>
    </row>
    <row r="17736" spans="13:16">
      <c r="M17736" s="49">
        <f>IF($A$4+177&gt;$B$4,"",$A$4+177)</f>
        <v>46200</v>
      </c>
      <c r="N17736" t="str">
        <f>IF(M17736="","",'Master Barang'!A30)</f>
        <v>PRL-029</v>
      </c>
      <c r="O17736" t="str">
        <f>IF(N17736="","",'Master Barang'!B30)</f>
        <v>ctik plastik 6x10 100 pcs</v>
      </c>
      <c r="P17736">
        <f>IF(OR(M17736="",N17736=""),"",SUMIFS('Barang Keluar'!$E:$E,'Barang Keluar'!$A:$A,M17736,'Barang Keluar'!$C:$C,N17736))</f>
        <v>0</v>
      </c>
    </row>
    <row r="17737" spans="13:16">
      <c r="M17737" s="49">
        <f>IF($A$4+177&gt;$B$4,"",$A$4+177)</f>
        <v>46200</v>
      </c>
      <c r="N17737" t="str">
        <f>IF(M17737="","",'Master Barang'!A31)</f>
        <v>PRL-030</v>
      </c>
      <c r="O17737" t="str">
        <f>IF(N17737="","",'Master Barang'!B31)</f>
        <v>klip plastik 25x16 100 pcs</v>
      </c>
      <c r="P17737">
        <f>IF(OR(M17737="",N17737=""),"",SUMIFS('Barang Keluar'!$E:$E,'Barang Keluar'!$A:$A,M17737,'Barang Keluar'!$C:$C,N17737))</f>
        <v>0</v>
      </c>
    </row>
    <row r="17738" spans="13:16">
      <c r="M17738" s="49">
        <f>IF($A$4+177&gt;$B$4,"",$A$4+177)</f>
        <v>46200</v>
      </c>
      <c r="N17738" t="str">
        <f>IF(M17738="","",'Master Barang'!A32)</f>
        <v>PRL-031</v>
      </c>
      <c r="O17738" t="str">
        <f>IF(N17738="","",'Master Barang'!B32)</f>
        <v>tempat saus 20 ml</v>
      </c>
      <c r="P17738">
        <f>IF(OR(M17738="",N17738=""),"",SUMIFS('Barang Keluar'!$E:$E,'Barang Keluar'!$A:$A,M17738,'Barang Keluar'!$C:$C,N17738))</f>
        <v>0</v>
      </c>
    </row>
    <row r="17739" spans="13:16">
      <c r="M17739" s="49">
        <f>IF($A$4+177&gt;$B$4,"",$A$4+177)</f>
        <v>46200</v>
      </c>
      <c r="N17739" t="str">
        <f>IF(M17739="","",'Master Barang'!A33)</f>
        <v>PRL-032</v>
      </c>
      <c r="O17739" t="str">
        <f>IF(N17739="","",'Master Barang'!B33)</f>
        <v>plastik packaging ag box uk sedang</v>
      </c>
      <c r="P17739">
        <f>IF(OR(M17739="",N17739=""),"",SUMIFS('Barang Keluar'!$E:$E,'Barang Keluar'!$A:$A,M17739,'Barang Keluar'!$C:$C,N17739))</f>
        <v>0</v>
      </c>
    </row>
    <row r="17740" spans="13:16">
      <c r="M17740" s="49">
        <f>IF($A$4+177&gt;$B$4,"",$A$4+177)</f>
        <v>46200</v>
      </c>
      <c r="N17740" t="str">
        <f>IF(M17740="","",'Master Barang'!A34)</f>
        <v>PRL-033</v>
      </c>
      <c r="O17740">
        <f>IF(N17740="","",'Master Barang'!B34)</f>
        <v>0</v>
      </c>
      <c r="P17740">
        <f>IF(OR(M17740="",N17740=""),"",SUMIFS('Barang Keluar'!$E:$E,'Barang Keluar'!$A:$A,M17740,'Barang Keluar'!$C:$C,N17740))</f>
        <v>0</v>
      </c>
    </row>
    <row r="17741" spans="13:16">
      <c r="M17741" s="49">
        <f>IF($A$4+177&gt;$B$4,"",$A$4+177)</f>
        <v>46200</v>
      </c>
      <c r="N17741">
        <f>IF(M17741="","",'Master Barang'!A35)</f>
        <v>0</v>
      </c>
      <c r="O17741">
        <f>IF(N17741="","",'Master Barang'!B35)</f>
        <v>0</v>
      </c>
      <c r="P17741">
        <f>IF(OR(M17741="",N17741=""),"",SUMIFS('Barang Keluar'!$E:$E,'Barang Keluar'!$A:$A,M17741,'Barang Keluar'!$C:$C,N17741))</f>
        <v>0</v>
      </c>
    </row>
    <row r="17742" spans="13:16">
      <c r="M17742" s="49">
        <f>IF($A$4+177&gt;$B$4,"",$A$4+177)</f>
        <v>46200</v>
      </c>
      <c r="N17742">
        <f>IF(M17742="","",'Master Barang'!A36)</f>
        <v>0</v>
      </c>
      <c r="O17742">
        <f>IF(N17742="","",'Master Barang'!B36)</f>
        <v>0</v>
      </c>
      <c r="P17742">
        <f>IF(OR(M17742="",N17742=""),"",SUMIFS('Barang Keluar'!$E:$E,'Barang Keluar'!$A:$A,M17742,'Barang Keluar'!$C:$C,N17742))</f>
        <v>0</v>
      </c>
    </row>
    <row r="17743" spans="13:16">
      <c r="M17743" s="49">
        <f>IF($A$4+177&gt;$B$4,"",$A$4+177)</f>
        <v>46200</v>
      </c>
      <c r="N17743">
        <f>IF(M17743="","",'Master Barang'!A37)</f>
        <v>0</v>
      </c>
      <c r="O17743">
        <f>IF(N17743="","",'Master Barang'!B37)</f>
        <v>0</v>
      </c>
      <c r="P17743">
        <f>IF(OR(M17743="",N17743=""),"",SUMIFS('Barang Keluar'!$E:$E,'Barang Keluar'!$A:$A,M17743,'Barang Keluar'!$C:$C,N17743))</f>
        <v>0</v>
      </c>
    </row>
    <row r="17744" spans="13:16">
      <c r="M17744" s="49">
        <f>IF($A$4+177&gt;$B$4,"",$A$4+177)</f>
        <v>46200</v>
      </c>
      <c r="N17744">
        <f>IF(M17744="","",'Master Barang'!A38)</f>
        <v>0</v>
      </c>
      <c r="O17744">
        <f>IF(N17744="","",'Master Barang'!B38)</f>
        <v>0</v>
      </c>
      <c r="P17744">
        <f>IF(OR(M17744="",N17744=""),"",SUMIFS('Barang Keluar'!$E:$E,'Barang Keluar'!$A:$A,M17744,'Barang Keluar'!$C:$C,N17744))</f>
        <v>0</v>
      </c>
    </row>
    <row r="17745" spans="13:16">
      <c r="M17745" s="49">
        <f>IF($A$4+177&gt;$B$4,"",$A$4+177)</f>
        <v>46200</v>
      </c>
      <c r="N17745">
        <f>IF(M17745="","",'Master Barang'!A39)</f>
        <v>0</v>
      </c>
      <c r="O17745">
        <f>IF(N17745="","",'Master Barang'!B39)</f>
        <v>0</v>
      </c>
      <c r="P17745">
        <f>IF(OR(M17745="",N17745=""),"",SUMIFS('Barang Keluar'!$E:$E,'Barang Keluar'!$A:$A,M17745,'Barang Keluar'!$C:$C,N17745))</f>
        <v>0</v>
      </c>
    </row>
    <row r="17746" spans="13:16">
      <c r="M17746" s="49">
        <f>IF($A$4+177&gt;$B$4,"",$A$4+177)</f>
        <v>46200</v>
      </c>
      <c r="N17746">
        <f>IF(M17746="","",'Master Barang'!A40)</f>
        <v>0</v>
      </c>
      <c r="O17746">
        <f>IF(N17746="","",'Master Barang'!B40)</f>
        <v>0</v>
      </c>
      <c r="P17746">
        <f>IF(OR(M17746="",N17746=""),"",SUMIFS('Barang Keluar'!$E:$E,'Barang Keluar'!$A:$A,M17746,'Barang Keluar'!$C:$C,N17746))</f>
        <v>0</v>
      </c>
    </row>
    <row r="17747" spans="13:16">
      <c r="M17747" s="49">
        <f>IF($A$4+177&gt;$B$4,"",$A$4+177)</f>
        <v>46200</v>
      </c>
      <c r="N17747">
        <f>IF(M17747="","",'Master Barang'!A41)</f>
        <v>0</v>
      </c>
      <c r="O17747">
        <f>IF(N17747="","",'Master Barang'!B41)</f>
        <v>0</v>
      </c>
      <c r="P17747">
        <f>IF(OR(M17747="",N17747=""),"",SUMIFS('Barang Keluar'!$E:$E,'Barang Keluar'!$A:$A,M17747,'Barang Keluar'!$C:$C,N17747))</f>
        <v>0</v>
      </c>
    </row>
    <row r="17748" spans="13:16">
      <c r="M17748" s="49">
        <f>IF($A$4+177&gt;$B$4,"",$A$4+177)</f>
        <v>46200</v>
      </c>
      <c r="N17748">
        <f>IF(M17748="","",'Master Barang'!A42)</f>
        <v>0</v>
      </c>
      <c r="O17748">
        <f>IF(N17748="","",'Master Barang'!B42)</f>
        <v>0</v>
      </c>
      <c r="P17748">
        <f>IF(OR(M17748="",N17748=""),"",SUMIFS('Barang Keluar'!$E:$E,'Barang Keluar'!$A:$A,M17748,'Barang Keluar'!$C:$C,N17748))</f>
        <v>0</v>
      </c>
    </row>
    <row r="17749" spans="13:16">
      <c r="M17749" s="49">
        <f>IF($A$4+177&gt;$B$4,"",$A$4+177)</f>
        <v>46200</v>
      </c>
      <c r="N17749">
        <f>IF(M17749="","",'Master Barang'!A43)</f>
        <v>0</v>
      </c>
      <c r="O17749">
        <f>IF(N17749="","",'Master Barang'!B43)</f>
        <v>0</v>
      </c>
      <c r="P17749">
        <f>IF(OR(M17749="",N17749=""),"",SUMIFS('Barang Keluar'!$E:$E,'Barang Keluar'!$A:$A,M17749,'Barang Keluar'!$C:$C,N17749))</f>
        <v>0</v>
      </c>
    </row>
    <row r="17750" spans="13:16">
      <c r="M17750" s="49">
        <f>IF($A$4+177&gt;$B$4,"",$A$4+177)</f>
        <v>46200</v>
      </c>
      <c r="N17750">
        <f>IF(M17750="","",'Master Barang'!A44)</f>
        <v>0</v>
      </c>
      <c r="O17750">
        <f>IF(N17750="","",'Master Barang'!B44)</f>
        <v>0</v>
      </c>
      <c r="P17750">
        <f>IF(OR(M17750="",N17750=""),"",SUMIFS('Barang Keluar'!$E:$E,'Barang Keluar'!$A:$A,M17750,'Barang Keluar'!$C:$C,N17750))</f>
        <v>0</v>
      </c>
    </row>
    <row r="17751" spans="13:16">
      <c r="M17751" s="49">
        <f>IF($A$4+177&gt;$B$4,"",$A$4+177)</f>
        <v>46200</v>
      </c>
      <c r="N17751">
        <f>IF(M17751="","",'Master Barang'!A45)</f>
        <v>0</v>
      </c>
      <c r="O17751">
        <f>IF(N17751="","",'Master Barang'!B45)</f>
        <v>0</v>
      </c>
      <c r="P17751">
        <f>IF(OR(M17751="",N17751=""),"",SUMIFS('Barang Keluar'!$E:$E,'Barang Keluar'!$A:$A,M17751,'Barang Keluar'!$C:$C,N17751))</f>
        <v>0</v>
      </c>
    </row>
    <row r="17752" spans="13:16">
      <c r="M17752" s="49">
        <f>IF($A$4+177&gt;$B$4,"",$A$4+177)</f>
        <v>46200</v>
      </c>
      <c r="N17752">
        <f>IF(M17752="","",'Master Barang'!A46)</f>
        <v>0</v>
      </c>
      <c r="O17752">
        <f>IF(N17752="","",'Master Barang'!B46)</f>
        <v>0</v>
      </c>
      <c r="P17752">
        <f>IF(OR(M17752="",N17752=""),"",SUMIFS('Barang Keluar'!$E:$E,'Barang Keluar'!$A:$A,M17752,'Barang Keluar'!$C:$C,N17752))</f>
        <v>0</v>
      </c>
    </row>
    <row r="17753" spans="13:16">
      <c r="M17753" s="49">
        <f>IF($A$4+177&gt;$B$4,"",$A$4+177)</f>
        <v>46200</v>
      </c>
      <c r="N17753">
        <f>IF(M17753="","",'Master Barang'!A47)</f>
        <v>0</v>
      </c>
      <c r="O17753">
        <f>IF(N17753="","",'Master Barang'!B47)</f>
        <v>0</v>
      </c>
      <c r="P17753">
        <f>IF(OR(M17753="",N17753=""),"",SUMIFS('Barang Keluar'!$E:$E,'Barang Keluar'!$A:$A,M17753,'Barang Keluar'!$C:$C,N17753))</f>
        <v>0</v>
      </c>
    </row>
    <row r="17754" spans="13:16">
      <c r="M17754" s="49">
        <f>IF($A$4+177&gt;$B$4,"",$A$4+177)</f>
        <v>46200</v>
      </c>
      <c r="N17754">
        <f>IF(M17754="","",'Master Barang'!A48)</f>
        <v>0</v>
      </c>
      <c r="O17754">
        <f>IF(N17754="","",'Master Barang'!B48)</f>
        <v>0</v>
      </c>
      <c r="P17754">
        <f>IF(OR(M17754="",N17754=""),"",SUMIFS('Barang Keluar'!$E:$E,'Barang Keluar'!$A:$A,M17754,'Barang Keluar'!$C:$C,N17754))</f>
        <v>0</v>
      </c>
    </row>
    <row r="17755" spans="13:16">
      <c r="M17755" s="49">
        <f>IF($A$4+177&gt;$B$4,"",$A$4+177)</f>
        <v>46200</v>
      </c>
      <c r="N17755">
        <f>IF(M17755="","",'Master Barang'!A49)</f>
        <v>0</v>
      </c>
      <c r="O17755">
        <f>IF(N17755="","",'Master Barang'!B49)</f>
        <v>0</v>
      </c>
      <c r="P17755">
        <f>IF(OR(M17755="",N17755=""),"",SUMIFS('Barang Keluar'!$E:$E,'Barang Keluar'!$A:$A,M17755,'Barang Keluar'!$C:$C,N17755))</f>
        <v>0</v>
      </c>
    </row>
    <row r="17756" spans="13:16">
      <c r="M17756" s="49">
        <f>IF($A$4+177&gt;$B$4,"",$A$4+177)</f>
        <v>46200</v>
      </c>
      <c r="N17756">
        <f>IF(M17756="","",'Master Barang'!A50)</f>
        <v>0</v>
      </c>
      <c r="O17756">
        <f>IF(N17756="","",'Master Barang'!B50)</f>
        <v>0</v>
      </c>
      <c r="P17756">
        <f>IF(OR(M17756="",N17756=""),"",SUMIFS('Barang Keluar'!$E:$E,'Barang Keluar'!$A:$A,M17756,'Barang Keluar'!$C:$C,N17756))</f>
        <v>0</v>
      </c>
    </row>
    <row r="17757" spans="13:16">
      <c r="M17757" s="49">
        <f>IF($A$4+177&gt;$B$4,"",$A$4+177)</f>
        <v>46200</v>
      </c>
      <c r="N17757">
        <f>IF(M17757="","",'Master Barang'!A51)</f>
        <v>0</v>
      </c>
      <c r="O17757">
        <f>IF(N17757="","",'Master Barang'!B51)</f>
        <v>0</v>
      </c>
      <c r="P17757">
        <f>IF(OR(M17757="",N17757=""),"",SUMIFS('Barang Keluar'!$E:$E,'Barang Keluar'!$A:$A,M17757,'Barang Keluar'!$C:$C,N17757))</f>
        <v>0</v>
      </c>
    </row>
    <row r="17758" spans="13:16">
      <c r="M17758" s="49">
        <f>IF($A$4+177&gt;$B$4,"",$A$4+177)</f>
        <v>46200</v>
      </c>
      <c r="N17758">
        <f>IF(M17758="","",'Master Barang'!A52)</f>
        <v>0</v>
      </c>
      <c r="O17758">
        <f>IF(N17758="","",'Master Barang'!B52)</f>
        <v>0</v>
      </c>
      <c r="P17758">
        <f>IF(OR(M17758="",N17758=""),"",SUMIFS('Barang Keluar'!$E:$E,'Barang Keluar'!$A:$A,M17758,'Barang Keluar'!$C:$C,N17758))</f>
        <v>0</v>
      </c>
    </row>
    <row r="17759" spans="13:16">
      <c r="M17759" s="49">
        <f>IF($A$4+177&gt;$B$4,"",$A$4+177)</f>
        <v>46200</v>
      </c>
      <c r="N17759">
        <f>IF(M17759="","",'Master Barang'!A53)</f>
        <v>0</v>
      </c>
      <c r="O17759">
        <f>IF(N17759="","",'Master Barang'!B53)</f>
        <v>0</v>
      </c>
      <c r="P17759">
        <f>IF(OR(M17759="",N17759=""),"",SUMIFS('Barang Keluar'!$E:$E,'Barang Keluar'!$A:$A,M17759,'Barang Keluar'!$C:$C,N17759))</f>
        <v>0</v>
      </c>
    </row>
    <row r="17760" spans="13:16">
      <c r="M17760" s="49">
        <f>IF($A$4+177&gt;$B$4,"",$A$4+177)</f>
        <v>46200</v>
      </c>
      <c r="N17760">
        <f>IF(M17760="","",'Master Barang'!A54)</f>
        <v>0</v>
      </c>
      <c r="O17760">
        <f>IF(N17760="","",'Master Barang'!B54)</f>
        <v>0</v>
      </c>
      <c r="P17760">
        <f>IF(OR(M17760="",N17760=""),"",SUMIFS('Barang Keluar'!$E:$E,'Barang Keluar'!$A:$A,M17760,'Barang Keluar'!$C:$C,N17760))</f>
        <v>0</v>
      </c>
    </row>
    <row r="17761" spans="13:16">
      <c r="M17761" s="49">
        <f>IF($A$4+177&gt;$B$4,"",$A$4+177)</f>
        <v>46200</v>
      </c>
      <c r="N17761">
        <f>IF(M17761="","",'Master Barang'!A55)</f>
        <v>0</v>
      </c>
      <c r="O17761">
        <f>IF(N17761="","",'Master Barang'!B55)</f>
        <v>0</v>
      </c>
      <c r="P17761">
        <f>IF(OR(M17761="",N17761=""),"",SUMIFS('Barang Keluar'!$E:$E,'Barang Keluar'!$A:$A,M17761,'Barang Keluar'!$C:$C,N17761))</f>
        <v>0</v>
      </c>
    </row>
    <row r="17762" spans="13:16">
      <c r="M17762" s="49">
        <f>IF($A$4+177&gt;$B$4,"",$A$4+177)</f>
        <v>46200</v>
      </c>
      <c r="N17762">
        <f>IF(M17762="","",'Master Barang'!A56)</f>
        <v>0</v>
      </c>
      <c r="O17762">
        <f>IF(N17762="","",'Master Barang'!B56)</f>
        <v>0</v>
      </c>
      <c r="P17762">
        <f>IF(OR(M17762="",N17762=""),"",SUMIFS('Barang Keluar'!$E:$E,'Barang Keluar'!$A:$A,M17762,'Barang Keluar'!$C:$C,N17762))</f>
        <v>0</v>
      </c>
    </row>
    <row r="17763" spans="13:16">
      <c r="M17763" s="49">
        <f>IF($A$4+177&gt;$B$4,"",$A$4+177)</f>
        <v>46200</v>
      </c>
      <c r="N17763">
        <f>IF(M17763="","",'Master Barang'!A57)</f>
        <v>0</v>
      </c>
      <c r="O17763">
        <f>IF(N17763="","",'Master Barang'!B57)</f>
        <v>0</v>
      </c>
      <c r="P17763">
        <f>IF(OR(M17763="",N17763=""),"",SUMIFS('Barang Keluar'!$E:$E,'Barang Keluar'!$A:$A,M17763,'Barang Keluar'!$C:$C,N17763))</f>
        <v>0</v>
      </c>
    </row>
    <row r="17764" spans="13:16">
      <c r="M17764" s="49">
        <f>IF($A$4+177&gt;$B$4,"",$A$4+177)</f>
        <v>46200</v>
      </c>
      <c r="N17764">
        <f>IF(M17764="","",'Master Barang'!A58)</f>
        <v>0</v>
      </c>
      <c r="O17764">
        <f>IF(N17764="","",'Master Barang'!B58)</f>
        <v>0</v>
      </c>
      <c r="P17764">
        <f>IF(OR(M17764="",N17764=""),"",SUMIFS('Barang Keluar'!$E:$E,'Barang Keluar'!$A:$A,M17764,'Barang Keluar'!$C:$C,N17764))</f>
        <v>0</v>
      </c>
    </row>
    <row r="17765" spans="13:16">
      <c r="M17765" s="49">
        <f>IF($A$4+177&gt;$B$4,"",$A$4+177)</f>
        <v>46200</v>
      </c>
      <c r="N17765">
        <f>IF(M17765="","",'Master Barang'!A59)</f>
        <v>0</v>
      </c>
      <c r="O17765">
        <f>IF(N17765="","",'Master Barang'!B59)</f>
        <v>0</v>
      </c>
      <c r="P17765">
        <f>IF(OR(M17765="",N17765=""),"",SUMIFS('Barang Keluar'!$E:$E,'Barang Keluar'!$A:$A,M17765,'Barang Keluar'!$C:$C,N17765))</f>
        <v>0</v>
      </c>
    </row>
    <row r="17766" spans="13:16">
      <c r="M17766" s="49">
        <f>IF($A$4+177&gt;$B$4,"",$A$4+177)</f>
        <v>46200</v>
      </c>
      <c r="N17766">
        <f>IF(M17766="","",'Master Barang'!A60)</f>
        <v>0</v>
      </c>
      <c r="O17766">
        <f>IF(N17766="","",'Master Barang'!B60)</f>
        <v>0</v>
      </c>
      <c r="P17766">
        <f>IF(OR(M17766="",N17766=""),"",SUMIFS('Barang Keluar'!$E:$E,'Barang Keluar'!$A:$A,M17766,'Barang Keluar'!$C:$C,N17766))</f>
        <v>0</v>
      </c>
    </row>
    <row r="17767" spans="13:16">
      <c r="M17767" s="49">
        <f>IF($A$4+177&gt;$B$4,"",$A$4+177)</f>
        <v>46200</v>
      </c>
      <c r="N17767">
        <f>IF(M17767="","",'Master Barang'!A61)</f>
        <v>0</v>
      </c>
      <c r="O17767">
        <f>IF(N17767="","",'Master Barang'!B61)</f>
        <v>0</v>
      </c>
      <c r="P17767">
        <f>IF(OR(M17767="",N17767=""),"",SUMIFS('Barang Keluar'!$E:$E,'Barang Keluar'!$A:$A,M17767,'Barang Keluar'!$C:$C,N17767))</f>
        <v>0</v>
      </c>
    </row>
    <row r="17768" spans="13:16">
      <c r="M17768" s="49">
        <f>IF($A$4+177&gt;$B$4,"",$A$4+177)</f>
        <v>46200</v>
      </c>
      <c r="N17768">
        <f>IF(M17768="","",'Master Barang'!A62)</f>
        <v>0</v>
      </c>
      <c r="O17768">
        <f>IF(N17768="","",'Master Barang'!B62)</f>
        <v>0</v>
      </c>
      <c r="P17768">
        <f>IF(OR(M17768="",N17768=""),"",SUMIFS('Barang Keluar'!$E:$E,'Barang Keluar'!$A:$A,M17768,'Barang Keluar'!$C:$C,N17768))</f>
        <v>0</v>
      </c>
    </row>
    <row r="17769" spans="13:16">
      <c r="M17769" s="49">
        <f>IF($A$4+177&gt;$B$4,"",$A$4+177)</f>
        <v>46200</v>
      </c>
      <c r="N17769">
        <f>IF(M17769="","",'Master Barang'!A63)</f>
        <v>0</v>
      </c>
      <c r="O17769">
        <f>IF(N17769="","",'Master Barang'!B63)</f>
        <v>0</v>
      </c>
      <c r="P17769">
        <f>IF(OR(M17769="",N17769=""),"",SUMIFS('Barang Keluar'!$E:$E,'Barang Keluar'!$A:$A,M17769,'Barang Keluar'!$C:$C,N17769))</f>
        <v>0</v>
      </c>
    </row>
    <row r="17770" spans="13:16">
      <c r="M17770" s="49">
        <f>IF($A$4+177&gt;$B$4,"",$A$4+177)</f>
        <v>46200</v>
      </c>
      <c r="N17770">
        <f>IF(M17770="","",'Master Barang'!A64)</f>
        <v>0</v>
      </c>
      <c r="O17770">
        <f>IF(N17770="","",'Master Barang'!B64)</f>
        <v>0</v>
      </c>
      <c r="P17770">
        <f>IF(OR(M17770="",N17770=""),"",SUMIFS('Barang Keluar'!$E:$E,'Barang Keluar'!$A:$A,M17770,'Barang Keluar'!$C:$C,N17770))</f>
        <v>0</v>
      </c>
    </row>
    <row r="17771" spans="13:16">
      <c r="M17771" s="49">
        <f>IF($A$4+177&gt;$B$4,"",$A$4+177)</f>
        <v>46200</v>
      </c>
      <c r="N17771">
        <f>IF(M17771="","",'Master Barang'!A65)</f>
        <v>0</v>
      </c>
      <c r="O17771">
        <f>IF(N17771="","",'Master Barang'!B65)</f>
        <v>0</v>
      </c>
      <c r="P17771">
        <f>IF(OR(M17771="",N17771=""),"",SUMIFS('Barang Keluar'!$E:$E,'Barang Keluar'!$A:$A,M17771,'Barang Keluar'!$C:$C,N17771))</f>
        <v>0</v>
      </c>
    </row>
    <row r="17772" spans="13:16">
      <c r="M17772" s="49">
        <f>IF($A$4+177&gt;$B$4,"",$A$4+177)</f>
        <v>46200</v>
      </c>
      <c r="N17772">
        <f>IF(M17772="","",'Master Barang'!A66)</f>
        <v>0</v>
      </c>
      <c r="O17772">
        <f>IF(N17772="","",'Master Barang'!B66)</f>
        <v>0</v>
      </c>
      <c r="P17772">
        <f>IF(OR(M17772="",N17772=""),"",SUMIFS('Barang Keluar'!$E:$E,'Barang Keluar'!$A:$A,M17772,'Barang Keluar'!$C:$C,N17772))</f>
        <v>0</v>
      </c>
    </row>
    <row r="17773" spans="13:16">
      <c r="M17773" s="49">
        <f>IF($A$4+177&gt;$B$4,"",$A$4+177)</f>
        <v>46200</v>
      </c>
      <c r="N17773">
        <f>IF(M17773="","",'Master Barang'!A67)</f>
        <v>0</v>
      </c>
      <c r="O17773">
        <f>IF(N17773="","",'Master Barang'!B67)</f>
        <v>0</v>
      </c>
      <c r="P17773">
        <f>IF(OR(M17773="",N17773=""),"",SUMIFS('Barang Keluar'!$E:$E,'Barang Keluar'!$A:$A,M17773,'Barang Keluar'!$C:$C,N17773))</f>
        <v>0</v>
      </c>
    </row>
    <row r="17774" spans="13:16">
      <c r="M17774" s="49">
        <f>IF($A$4+177&gt;$B$4,"",$A$4+177)</f>
        <v>46200</v>
      </c>
      <c r="N17774">
        <f>IF(M17774="","",'Master Barang'!A68)</f>
        <v>0</v>
      </c>
      <c r="O17774">
        <f>IF(N17774="","",'Master Barang'!B68)</f>
        <v>0</v>
      </c>
      <c r="P17774">
        <f>IF(OR(M17774="",N17774=""),"",SUMIFS('Barang Keluar'!$E:$E,'Barang Keluar'!$A:$A,M17774,'Barang Keluar'!$C:$C,N17774))</f>
        <v>0</v>
      </c>
    </row>
    <row r="17775" spans="13:16">
      <c r="M17775" s="49">
        <f>IF($A$4+177&gt;$B$4,"",$A$4+177)</f>
        <v>46200</v>
      </c>
      <c r="N17775">
        <f>IF(M17775="","",'Master Barang'!A69)</f>
        <v>0</v>
      </c>
      <c r="O17775">
        <f>IF(N17775="","",'Master Barang'!B69)</f>
        <v>0</v>
      </c>
      <c r="P17775">
        <f>IF(OR(M17775="",N17775=""),"",SUMIFS('Barang Keluar'!$E:$E,'Barang Keluar'!$A:$A,M17775,'Barang Keluar'!$C:$C,N17775))</f>
        <v>0</v>
      </c>
    </row>
    <row r="17776" spans="13:16">
      <c r="M17776" s="49">
        <f>IF($A$4+177&gt;$B$4,"",$A$4+177)</f>
        <v>46200</v>
      </c>
      <c r="N17776">
        <f>IF(M17776="","",'Master Barang'!A70)</f>
        <v>0</v>
      </c>
      <c r="O17776">
        <f>IF(N17776="","",'Master Barang'!B70)</f>
        <v>0</v>
      </c>
      <c r="P17776">
        <f>IF(OR(M17776="",N17776=""),"",SUMIFS('Barang Keluar'!$E:$E,'Barang Keluar'!$A:$A,M17776,'Barang Keluar'!$C:$C,N17776))</f>
        <v>0</v>
      </c>
    </row>
    <row r="17777" spans="13:16">
      <c r="M17777" s="49">
        <f>IF($A$4+177&gt;$B$4,"",$A$4+177)</f>
        <v>46200</v>
      </c>
      <c r="N17777">
        <f>IF(M17777="","",'Master Barang'!A71)</f>
        <v>0</v>
      </c>
      <c r="O17777">
        <f>IF(N17777="","",'Master Barang'!B71)</f>
        <v>0</v>
      </c>
      <c r="P17777">
        <f>IF(OR(M17777="",N17777=""),"",SUMIFS('Barang Keluar'!$E:$E,'Barang Keluar'!$A:$A,M17777,'Barang Keluar'!$C:$C,N17777))</f>
        <v>0</v>
      </c>
    </row>
    <row r="17778" spans="13:16">
      <c r="M17778" s="49">
        <f>IF($A$4+177&gt;$B$4,"",$A$4+177)</f>
        <v>46200</v>
      </c>
      <c r="N17778">
        <f>IF(M17778="","",'Master Barang'!A72)</f>
        <v>0</v>
      </c>
      <c r="O17778">
        <f>IF(N17778="","",'Master Barang'!B72)</f>
        <v>0</v>
      </c>
      <c r="P17778">
        <f>IF(OR(M17778="",N17778=""),"",SUMIFS('Barang Keluar'!$E:$E,'Barang Keluar'!$A:$A,M17778,'Barang Keluar'!$C:$C,N17778))</f>
        <v>0</v>
      </c>
    </row>
    <row r="17779" spans="13:16">
      <c r="M17779" s="49">
        <f>IF($A$4+177&gt;$B$4,"",$A$4+177)</f>
        <v>46200</v>
      </c>
      <c r="N17779">
        <f>IF(M17779="","",'Master Barang'!A73)</f>
        <v>0</v>
      </c>
      <c r="O17779">
        <f>IF(N17779="","",'Master Barang'!B73)</f>
        <v>0</v>
      </c>
      <c r="P17779">
        <f>IF(OR(M17779="",N17779=""),"",SUMIFS('Barang Keluar'!$E:$E,'Barang Keluar'!$A:$A,M17779,'Barang Keluar'!$C:$C,N17779))</f>
        <v>0</v>
      </c>
    </row>
    <row r="17780" spans="13:16">
      <c r="M17780" s="49">
        <f>IF($A$4+177&gt;$B$4,"",$A$4+177)</f>
        <v>46200</v>
      </c>
      <c r="N17780">
        <f>IF(M17780="","",'Master Barang'!A74)</f>
        <v>0</v>
      </c>
      <c r="O17780">
        <f>IF(N17780="","",'Master Barang'!B74)</f>
        <v>0</v>
      </c>
      <c r="P17780">
        <f>IF(OR(M17780="",N17780=""),"",SUMIFS('Barang Keluar'!$E:$E,'Barang Keluar'!$A:$A,M17780,'Barang Keluar'!$C:$C,N17780))</f>
        <v>0</v>
      </c>
    </row>
    <row r="17781" spans="13:16">
      <c r="M17781" s="49">
        <f>IF($A$4+177&gt;$B$4,"",$A$4+177)</f>
        <v>46200</v>
      </c>
      <c r="N17781">
        <f>IF(M17781="","",'Master Barang'!A75)</f>
        <v>0</v>
      </c>
      <c r="O17781">
        <f>IF(N17781="","",'Master Barang'!B75)</f>
        <v>0</v>
      </c>
      <c r="P17781">
        <f>IF(OR(M17781="",N17781=""),"",SUMIFS('Barang Keluar'!$E:$E,'Barang Keluar'!$A:$A,M17781,'Barang Keluar'!$C:$C,N17781))</f>
        <v>0</v>
      </c>
    </row>
    <row r="17782" spans="13:16">
      <c r="M17782" s="49">
        <f>IF($A$4+177&gt;$B$4,"",$A$4+177)</f>
        <v>46200</v>
      </c>
      <c r="N17782">
        <f>IF(M17782="","",'Master Barang'!A76)</f>
        <v>0</v>
      </c>
      <c r="O17782">
        <f>IF(N17782="","",'Master Barang'!B76)</f>
        <v>0</v>
      </c>
      <c r="P17782">
        <f>IF(OR(M17782="",N17782=""),"",SUMIFS('Barang Keluar'!$E:$E,'Barang Keluar'!$A:$A,M17782,'Barang Keluar'!$C:$C,N17782))</f>
        <v>0</v>
      </c>
    </row>
    <row r="17783" spans="13:16">
      <c r="M17783" s="49">
        <f>IF($A$4+177&gt;$B$4,"",$A$4+177)</f>
        <v>46200</v>
      </c>
      <c r="N17783">
        <f>IF(M17783="","",'Master Barang'!A77)</f>
        <v>0</v>
      </c>
      <c r="O17783">
        <f>IF(N17783="","",'Master Barang'!B77)</f>
        <v>0</v>
      </c>
      <c r="P17783">
        <f>IF(OR(M17783="",N17783=""),"",SUMIFS('Barang Keluar'!$E:$E,'Barang Keluar'!$A:$A,M17783,'Barang Keluar'!$C:$C,N17783))</f>
        <v>0</v>
      </c>
    </row>
    <row r="17784" spans="13:16">
      <c r="M17784" s="49">
        <f>IF($A$4+177&gt;$B$4,"",$A$4+177)</f>
        <v>46200</v>
      </c>
      <c r="N17784">
        <f>IF(M17784="","",'Master Barang'!A78)</f>
        <v>0</v>
      </c>
      <c r="O17784">
        <f>IF(N17784="","",'Master Barang'!B78)</f>
        <v>0</v>
      </c>
      <c r="P17784">
        <f>IF(OR(M17784="",N17784=""),"",SUMIFS('Barang Keluar'!$E:$E,'Barang Keluar'!$A:$A,M17784,'Barang Keluar'!$C:$C,N17784))</f>
        <v>0</v>
      </c>
    </row>
    <row r="17785" spans="13:16">
      <c r="M17785" s="49">
        <f>IF($A$4+177&gt;$B$4,"",$A$4+177)</f>
        <v>46200</v>
      </c>
      <c r="N17785">
        <f>IF(M17785="","",'Master Barang'!A79)</f>
        <v>0</v>
      </c>
      <c r="O17785">
        <f>IF(N17785="","",'Master Barang'!B79)</f>
        <v>0</v>
      </c>
      <c r="P17785">
        <f>IF(OR(M17785="",N17785=""),"",SUMIFS('Barang Keluar'!$E:$E,'Barang Keluar'!$A:$A,M17785,'Barang Keluar'!$C:$C,N17785))</f>
        <v>0</v>
      </c>
    </row>
    <row r="17786" spans="13:16">
      <c r="M17786" s="49">
        <f>IF($A$4+177&gt;$B$4,"",$A$4+177)</f>
        <v>46200</v>
      </c>
      <c r="N17786">
        <f>IF(M17786="","",'Master Barang'!A80)</f>
        <v>0</v>
      </c>
      <c r="O17786">
        <f>IF(N17786="","",'Master Barang'!B80)</f>
        <v>0</v>
      </c>
      <c r="P17786">
        <f>IF(OR(M17786="",N17786=""),"",SUMIFS('Barang Keluar'!$E:$E,'Barang Keluar'!$A:$A,M17786,'Barang Keluar'!$C:$C,N17786))</f>
        <v>0</v>
      </c>
    </row>
    <row r="17787" spans="13:16">
      <c r="M17787" s="49">
        <f>IF($A$4+177&gt;$B$4,"",$A$4+177)</f>
        <v>46200</v>
      </c>
      <c r="N17787">
        <f>IF(M17787="","",'Master Barang'!A81)</f>
        <v>0</v>
      </c>
      <c r="O17787">
        <f>IF(N17787="","",'Master Barang'!B81)</f>
        <v>0</v>
      </c>
      <c r="P17787">
        <f>IF(OR(M17787="",N17787=""),"",SUMIFS('Barang Keluar'!$E:$E,'Barang Keluar'!$A:$A,M17787,'Barang Keluar'!$C:$C,N17787))</f>
        <v>0</v>
      </c>
    </row>
    <row r="17788" spans="13:16">
      <c r="M17788" s="49">
        <f>IF($A$4+177&gt;$B$4,"",$A$4+177)</f>
        <v>46200</v>
      </c>
      <c r="N17788">
        <f>IF(M17788="","",'Master Barang'!A82)</f>
        <v>0</v>
      </c>
      <c r="O17788">
        <f>IF(N17788="","",'Master Barang'!B82)</f>
        <v>0</v>
      </c>
      <c r="P17788">
        <f>IF(OR(M17788="",N17788=""),"",SUMIFS('Barang Keluar'!$E:$E,'Barang Keluar'!$A:$A,M17788,'Barang Keluar'!$C:$C,N17788))</f>
        <v>0</v>
      </c>
    </row>
    <row r="17789" spans="13:16">
      <c r="M17789" s="49">
        <f>IF($A$4+177&gt;$B$4,"",$A$4+177)</f>
        <v>46200</v>
      </c>
      <c r="N17789">
        <f>IF(M17789="","",'Master Barang'!A83)</f>
        <v>0</v>
      </c>
      <c r="O17789">
        <f>IF(N17789="","",'Master Barang'!B83)</f>
        <v>0</v>
      </c>
      <c r="P17789">
        <f>IF(OR(M17789="",N17789=""),"",SUMIFS('Barang Keluar'!$E:$E,'Barang Keluar'!$A:$A,M17789,'Barang Keluar'!$C:$C,N17789))</f>
        <v>0</v>
      </c>
    </row>
    <row r="17790" spans="13:16">
      <c r="M17790" s="49">
        <f>IF($A$4+177&gt;$B$4,"",$A$4+177)</f>
        <v>46200</v>
      </c>
      <c r="N17790">
        <f>IF(M17790="","",'Master Barang'!A84)</f>
        <v>0</v>
      </c>
      <c r="O17790">
        <f>IF(N17790="","",'Master Barang'!B84)</f>
        <v>0</v>
      </c>
      <c r="P17790">
        <f>IF(OR(M17790="",N17790=""),"",SUMIFS('Barang Keluar'!$E:$E,'Barang Keluar'!$A:$A,M17790,'Barang Keluar'!$C:$C,N17790))</f>
        <v>0</v>
      </c>
    </row>
    <row r="17791" spans="13:16">
      <c r="M17791" s="49">
        <f>IF($A$4+177&gt;$B$4,"",$A$4+177)</f>
        <v>46200</v>
      </c>
      <c r="N17791">
        <f>IF(M17791="","",'Master Barang'!A85)</f>
        <v>0</v>
      </c>
      <c r="O17791">
        <f>IF(N17791="","",'Master Barang'!B85)</f>
        <v>0</v>
      </c>
      <c r="P17791">
        <f>IF(OR(M17791="",N17791=""),"",SUMIFS('Barang Keluar'!$E:$E,'Barang Keluar'!$A:$A,M17791,'Barang Keluar'!$C:$C,N17791))</f>
        <v>0</v>
      </c>
    </row>
    <row r="17792" spans="13:16">
      <c r="M17792" s="49">
        <f>IF($A$4+177&gt;$B$4,"",$A$4+177)</f>
        <v>46200</v>
      </c>
      <c r="N17792">
        <f>IF(M17792="","",'Master Barang'!A86)</f>
        <v>0</v>
      </c>
      <c r="O17792">
        <f>IF(N17792="","",'Master Barang'!B86)</f>
        <v>0</v>
      </c>
      <c r="P17792">
        <f>IF(OR(M17792="",N17792=""),"",SUMIFS('Barang Keluar'!$E:$E,'Barang Keluar'!$A:$A,M17792,'Barang Keluar'!$C:$C,N17792))</f>
        <v>0</v>
      </c>
    </row>
    <row r="17793" spans="13:16">
      <c r="M17793" s="49">
        <f>IF($A$4+177&gt;$B$4,"",$A$4+177)</f>
        <v>46200</v>
      </c>
      <c r="N17793">
        <f>IF(M17793="","",'Master Barang'!A87)</f>
        <v>0</v>
      </c>
      <c r="O17793">
        <f>IF(N17793="","",'Master Barang'!B87)</f>
        <v>0</v>
      </c>
      <c r="P17793">
        <f>IF(OR(M17793="",N17793=""),"",SUMIFS('Barang Keluar'!$E:$E,'Barang Keluar'!$A:$A,M17793,'Barang Keluar'!$C:$C,N17793))</f>
        <v>0</v>
      </c>
    </row>
    <row r="17794" spans="13:16">
      <c r="M17794" s="49">
        <f>IF($A$4+177&gt;$B$4,"",$A$4+177)</f>
        <v>46200</v>
      </c>
      <c r="N17794">
        <f>IF(M17794="","",'Master Barang'!A88)</f>
        <v>0</v>
      </c>
      <c r="O17794">
        <f>IF(N17794="","",'Master Barang'!B88)</f>
        <v>0</v>
      </c>
      <c r="P17794">
        <f>IF(OR(M17794="",N17794=""),"",SUMIFS('Barang Keluar'!$E:$E,'Barang Keluar'!$A:$A,M17794,'Barang Keluar'!$C:$C,N17794))</f>
        <v>0</v>
      </c>
    </row>
    <row r="17795" spans="13:16">
      <c r="M17795" s="49">
        <f>IF($A$4+177&gt;$B$4,"",$A$4+177)</f>
        <v>46200</v>
      </c>
      <c r="N17795">
        <f>IF(M17795="","",'Master Barang'!A89)</f>
        <v>0</v>
      </c>
      <c r="O17795">
        <f>IF(N17795="","",'Master Barang'!B89)</f>
        <v>0</v>
      </c>
      <c r="P17795">
        <f>IF(OR(M17795="",N17795=""),"",SUMIFS('Barang Keluar'!$E:$E,'Barang Keluar'!$A:$A,M17795,'Barang Keluar'!$C:$C,N17795))</f>
        <v>0</v>
      </c>
    </row>
    <row r="17796" spans="13:16">
      <c r="M17796" s="49">
        <f>IF($A$4+177&gt;$B$4,"",$A$4+177)</f>
        <v>46200</v>
      </c>
      <c r="N17796">
        <f>IF(M17796="","",'Master Barang'!A90)</f>
        <v>0</v>
      </c>
      <c r="O17796">
        <f>IF(N17796="","",'Master Barang'!B90)</f>
        <v>0</v>
      </c>
      <c r="P17796">
        <f>IF(OR(M17796="",N17796=""),"",SUMIFS('Barang Keluar'!$E:$E,'Barang Keluar'!$A:$A,M17796,'Barang Keluar'!$C:$C,N17796))</f>
        <v>0</v>
      </c>
    </row>
    <row r="17797" spans="13:16">
      <c r="M17797" s="49">
        <f>IF($A$4+177&gt;$B$4,"",$A$4+177)</f>
        <v>46200</v>
      </c>
      <c r="N17797">
        <f>IF(M17797="","",'Master Barang'!A91)</f>
        <v>0</v>
      </c>
      <c r="O17797">
        <f>IF(N17797="","",'Master Barang'!B91)</f>
        <v>0</v>
      </c>
      <c r="P17797">
        <f>IF(OR(M17797="",N17797=""),"",SUMIFS('Barang Keluar'!$E:$E,'Barang Keluar'!$A:$A,M17797,'Barang Keluar'!$C:$C,N17797))</f>
        <v>0</v>
      </c>
    </row>
    <row r="17798" spans="13:16">
      <c r="M17798" s="49">
        <f>IF($A$4+177&gt;$B$4,"",$A$4+177)</f>
        <v>46200</v>
      </c>
      <c r="N17798">
        <f>IF(M17798="","",'Master Barang'!A92)</f>
        <v>0</v>
      </c>
      <c r="O17798">
        <f>IF(N17798="","",'Master Barang'!B92)</f>
        <v>0</v>
      </c>
      <c r="P17798">
        <f>IF(OR(M17798="",N17798=""),"",SUMIFS('Barang Keluar'!$E:$E,'Barang Keluar'!$A:$A,M17798,'Barang Keluar'!$C:$C,N17798))</f>
        <v>0</v>
      </c>
    </row>
    <row r="17799" spans="13:16">
      <c r="M17799" s="49">
        <f>IF($A$4+177&gt;$B$4,"",$A$4+177)</f>
        <v>46200</v>
      </c>
      <c r="N17799">
        <f>IF(M17799="","",'Master Barang'!A93)</f>
        <v>0</v>
      </c>
      <c r="O17799">
        <f>IF(N17799="","",'Master Barang'!B93)</f>
        <v>0</v>
      </c>
      <c r="P17799">
        <f>IF(OR(M17799="",N17799=""),"",SUMIFS('Barang Keluar'!$E:$E,'Barang Keluar'!$A:$A,M17799,'Barang Keluar'!$C:$C,N17799))</f>
        <v>0</v>
      </c>
    </row>
    <row r="17800" spans="13:16">
      <c r="M17800" s="49">
        <f>IF($A$4+177&gt;$B$4,"",$A$4+177)</f>
        <v>46200</v>
      </c>
      <c r="N17800">
        <f>IF(M17800="","",'Master Barang'!A94)</f>
        <v>0</v>
      </c>
      <c r="O17800">
        <f>IF(N17800="","",'Master Barang'!B94)</f>
        <v>0</v>
      </c>
      <c r="P17800">
        <f>IF(OR(M17800="",N17800=""),"",SUMIFS('Barang Keluar'!$E:$E,'Barang Keluar'!$A:$A,M17800,'Barang Keluar'!$C:$C,N17800))</f>
        <v>0</v>
      </c>
    </row>
    <row r="17801" spans="13:16">
      <c r="M17801" s="49">
        <f>IF($A$4+177&gt;$B$4,"",$A$4+177)</f>
        <v>46200</v>
      </c>
      <c r="N17801">
        <f>IF(M17801="","",'Master Barang'!A95)</f>
        <v>0</v>
      </c>
      <c r="O17801">
        <f>IF(N17801="","",'Master Barang'!B95)</f>
        <v>0</v>
      </c>
      <c r="P17801">
        <f>IF(OR(M17801="",N17801=""),"",SUMIFS('Barang Keluar'!$E:$E,'Barang Keluar'!$A:$A,M17801,'Barang Keluar'!$C:$C,N17801))</f>
        <v>0</v>
      </c>
    </row>
    <row r="17802" spans="13:16">
      <c r="M17802" s="49">
        <f>IF($A$4+177&gt;$B$4,"",$A$4+177)</f>
        <v>46200</v>
      </c>
      <c r="N17802">
        <f>IF(M17802="","",'Master Barang'!A96)</f>
        <v>0</v>
      </c>
      <c r="O17802">
        <f>IF(N17802="","",'Master Barang'!B96)</f>
        <v>0</v>
      </c>
      <c r="P17802">
        <f>IF(OR(M17802="",N17802=""),"",SUMIFS('Barang Keluar'!$E:$E,'Barang Keluar'!$A:$A,M17802,'Barang Keluar'!$C:$C,N17802))</f>
        <v>0</v>
      </c>
    </row>
    <row r="17803" spans="13:16">
      <c r="M17803" s="49">
        <f>IF($A$4+177&gt;$B$4,"",$A$4+177)</f>
        <v>46200</v>
      </c>
      <c r="N17803">
        <f>IF(M17803="","",'Master Barang'!A97)</f>
        <v>0</v>
      </c>
      <c r="O17803">
        <f>IF(N17803="","",'Master Barang'!B97)</f>
        <v>0</v>
      </c>
      <c r="P17803">
        <f>IF(OR(M17803="",N17803=""),"",SUMIFS('Barang Keluar'!$E:$E,'Barang Keluar'!$A:$A,M17803,'Barang Keluar'!$C:$C,N17803))</f>
        <v>0</v>
      </c>
    </row>
    <row r="17804" spans="13:16">
      <c r="M17804" s="49">
        <f>IF($A$4+177&gt;$B$4,"",$A$4+177)</f>
        <v>46200</v>
      </c>
      <c r="N17804">
        <f>IF(M17804="","",'Master Barang'!A98)</f>
        <v>0</v>
      </c>
      <c r="O17804">
        <f>IF(N17804="","",'Master Barang'!B98)</f>
        <v>0</v>
      </c>
      <c r="P17804">
        <f>IF(OR(M17804="",N17804=""),"",SUMIFS('Barang Keluar'!$E:$E,'Barang Keluar'!$A:$A,M17804,'Barang Keluar'!$C:$C,N17804))</f>
        <v>0</v>
      </c>
    </row>
    <row r="17805" spans="13:16">
      <c r="M17805" s="49">
        <f>IF($A$4+177&gt;$B$4,"",$A$4+177)</f>
        <v>46200</v>
      </c>
      <c r="N17805">
        <f>IF(M17805="","",'Master Barang'!A99)</f>
        <v>0</v>
      </c>
      <c r="O17805">
        <f>IF(N17805="","",'Master Barang'!B99)</f>
        <v>0</v>
      </c>
      <c r="P17805">
        <f>IF(OR(M17805="",N17805=""),"",SUMIFS('Barang Keluar'!$E:$E,'Barang Keluar'!$A:$A,M17805,'Barang Keluar'!$C:$C,N17805))</f>
        <v>0</v>
      </c>
    </row>
    <row r="17806" spans="13:16">
      <c r="M17806" s="49">
        <f>IF($A$4+177&gt;$B$4,"",$A$4+177)</f>
        <v>46200</v>
      </c>
      <c r="N17806">
        <f>IF(M17806="","",'Master Barang'!A100)</f>
        <v>0</v>
      </c>
      <c r="O17806">
        <f>IF(N17806="","",'Master Barang'!B100)</f>
        <v>0</v>
      </c>
      <c r="P17806">
        <f>IF(OR(M17806="",N17806=""),"",SUMIFS('Barang Keluar'!$E:$E,'Barang Keluar'!$A:$A,M17806,'Barang Keluar'!$C:$C,N17806))</f>
        <v>0</v>
      </c>
    </row>
    <row r="17807" spans="13:16">
      <c r="M17807" s="49">
        <f>IF($A$4+177&gt;$B$4,"",$A$4+177)</f>
        <v>46200</v>
      </c>
      <c r="N17807">
        <f>IF(M17807="","",'Master Barang'!A101)</f>
        <v>0</v>
      </c>
      <c r="O17807">
        <f>IF(N17807="","",'Master Barang'!B101)</f>
        <v>0</v>
      </c>
      <c r="P17807">
        <f>IF(OR(M17807="",N17807=""),"",SUMIFS('Barang Keluar'!$E:$E,'Barang Keluar'!$A:$A,M17807,'Barang Keluar'!$C:$C,N17807))</f>
        <v>0</v>
      </c>
    </row>
    <row r="17808" spans="13:16">
      <c r="M17808" s="49">
        <f>IF($A$4+178&gt;$B$4,"",$A$4+178)</f>
        <v>46201</v>
      </c>
      <c r="N17808" t="str">
        <f>IF(M17808="","",'Master Barang'!A2)</f>
        <v>PRL-001</v>
      </c>
      <c r="O17808" t="str">
        <f>IF(N17808="","",'Master Barang'!B2)</f>
        <v>natura desinfectant food grade 5l</v>
      </c>
      <c r="P17808">
        <f>IF(OR(M17808="",N17808=""),"",SUMIFS('Barang Keluar'!$E:$E,'Barang Keluar'!$A:$A,M17808,'Barang Keluar'!$C:$C,N17808))</f>
        <v>0</v>
      </c>
    </row>
    <row r="17809" spans="13:16">
      <c r="M17809" s="49">
        <f>IF($A$4+178&gt;$B$4,"",$A$4+178)</f>
        <v>46201</v>
      </c>
      <c r="N17809" t="str">
        <f>IF(M17809="","",'Master Barang'!A3)</f>
        <v>PRL-002</v>
      </c>
      <c r="O17809" t="str">
        <f>IF(N17809="","",'Master Barang'!B3)</f>
        <v>sunlight cairan pencuci piring 5l</v>
      </c>
      <c r="P17809">
        <f>IF(OR(M17809="",N17809=""),"",SUMIFS('Barang Keluar'!$E:$E,'Barang Keluar'!$A:$A,M17809,'Barang Keluar'!$C:$C,N17809))</f>
        <v>0</v>
      </c>
    </row>
    <row r="17810" spans="13:16">
      <c r="M17810" s="49">
        <f>IF($A$4+178&gt;$B$4,"",$A$4+178)</f>
        <v>46201</v>
      </c>
      <c r="N17810" t="str">
        <f>IF(M17810="","",'Master Barang'!A4)</f>
        <v>PRL-003</v>
      </c>
      <c r="O17810" t="str">
        <f>IF(N17810="","",'Master Barang'!B4)</f>
        <v>oixs cleaner 1l</v>
      </c>
      <c r="P17810">
        <f>IF(OR(M17810="",N17810=""),"",SUMIFS('Barang Keluar'!$E:$E,'Barang Keluar'!$A:$A,M17810,'Barang Keluar'!$C:$C,N17810))</f>
        <v>0</v>
      </c>
    </row>
    <row r="17811" spans="13:16">
      <c r="M17811" s="49">
        <f>IF($A$4+178&gt;$B$4,"",$A$4+178)</f>
        <v>46201</v>
      </c>
      <c r="N17811" t="str">
        <f>IF(M17811="","",'Master Barang'!A5)</f>
        <v>PRL-004</v>
      </c>
      <c r="O17811" t="str">
        <f>IF(N17811="","",'Master Barang'!B5)</f>
        <v>be clean tissue serbaguna</v>
      </c>
      <c r="P17811">
        <f>IF(OR(M17811="",N17811=""),"",SUMIFS('Barang Keluar'!$E:$E,'Barang Keluar'!$A:$A,M17811,'Barang Keluar'!$C:$C,N17811))</f>
        <v>0</v>
      </c>
    </row>
    <row r="17812" spans="13:16">
      <c r="M17812" s="49">
        <f>IF($A$4+178&gt;$B$4,"",$A$4+178)</f>
        <v>46201</v>
      </c>
      <c r="N17812" t="str">
        <f>IF(M17812="","",'Master Barang'!A6)</f>
        <v>PRL-005</v>
      </c>
      <c r="O17812" t="str">
        <f>IF(N17812="","",'Master Barang'!B6)</f>
        <v>spons cuci hijau</v>
      </c>
      <c r="P17812">
        <f>IF(OR(M17812="",N17812=""),"",SUMIFS('Barang Keluar'!$E:$E,'Barang Keluar'!$A:$A,M17812,'Barang Keluar'!$C:$C,N17812))</f>
        <v>0</v>
      </c>
    </row>
    <row r="17813" spans="13:16">
      <c r="M17813" s="49">
        <f>IF($A$4+178&gt;$B$4,"",$A$4+178)</f>
        <v>46201</v>
      </c>
      <c r="N17813" t="str">
        <f>IF(M17813="","",'Master Barang'!A7)</f>
        <v>PRL-006</v>
      </c>
      <c r="O17813" t="str">
        <f>IF(N17813="","",'Master Barang'!B7)</f>
        <v>sabut cuci stainless</v>
      </c>
      <c r="P17813">
        <f>IF(OR(M17813="",N17813=""),"",SUMIFS('Barang Keluar'!$E:$E,'Barang Keluar'!$A:$A,M17813,'Barang Keluar'!$C:$C,N17813))</f>
        <v>0</v>
      </c>
    </row>
    <row r="17814" spans="13:16">
      <c r="M17814" s="49">
        <f>IF($A$4+178&gt;$B$4,"",$A$4+178)</f>
        <v>46201</v>
      </c>
      <c r="N17814" t="str">
        <f>IF(M17814="","",'Master Barang'!A8)</f>
        <v>PRL-007</v>
      </c>
      <c r="O17814" t="str">
        <f>IF(N17814="","",'Master Barang'!B8)</f>
        <v>plastik kresek besar merah 50pc</v>
      </c>
      <c r="P17814">
        <f>IF(OR(M17814="",N17814=""),"",SUMIFS('Barang Keluar'!$E:$E,'Barang Keluar'!$A:$A,M17814,'Barang Keluar'!$C:$C,N17814))</f>
        <v>0</v>
      </c>
    </row>
    <row r="17815" spans="13:16">
      <c r="M17815" s="49">
        <f>IF($A$4+178&gt;$B$4,"",$A$4+178)</f>
        <v>46201</v>
      </c>
      <c r="N17815" t="str">
        <f>IF(M17815="","",'Master Barang'!A9)</f>
        <v>PRL-008</v>
      </c>
      <c r="O17815" t="str">
        <f>IF(N17815="","",'Master Barang'!B9)</f>
        <v>lap besar</v>
      </c>
      <c r="P17815">
        <f>IF(OR(M17815="",N17815=""),"",SUMIFS('Barang Keluar'!$E:$E,'Barang Keluar'!$A:$A,M17815,'Barang Keluar'!$C:$C,N17815))</f>
        <v>0</v>
      </c>
    </row>
    <row r="17816" spans="13:16">
      <c r="M17816" s="49">
        <f>IF($A$4+178&gt;$B$4,"",$A$4+178)</f>
        <v>46201</v>
      </c>
      <c r="N17816" t="str">
        <f>IF(M17816="","",'Master Barang'!A10)</f>
        <v>PRL-009</v>
      </c>
      <c r="O17816" t="str">
        <f>IF(N17816="","",'Master Barang'!B10)</f>
        <v>lap microfiber</v>
      </c>
      <c r="P17816">
        <f>IF(OR(M17816="",N17816=""),"",SUMIFS('Barang Keluar'!$E:$E,'Barang Keluar'!$A:$A,M17816,'Barang Keluar'!$C:$C,N17816))</f>
        <v>0</v>
      </c>
    </row>
    <row r="17817" spans="13:16">
      <c r="M17817" s="49">
        <f>IF($A$4+178&gt;$B$4,"",$A$4+178)</f>
        <v>46201</v>
      </c>
      <c r="N17817" t="str">
        <f>IF(M17817="","",'Master Barang'!A11)</f>
        <v>PRL-010</v>
      </c>
      <c r="O17817" t="str">
        <f>IF(N17817="","",'Master Barang'!B11)</f>
        <v>lap kecil</v>
      </c>
      <c r="P17817">
        <f>IF(OR(M17817="",N17817=""),"",SUMIFS('Barang Keluar'!$E:$E,'Barang Keluar'!$A:$A,M17817,'Barang Keluar'!$C:$C,N17817))</f>
        <v>0</v>
      </c>
    </row>
    <row r="17818" spans="13:16">
      <c r="M17818" s="49">
        <f>IF($A$4+178&gt;$B$4,"",$A$4+178)</f>
        <v>46201</v>
      </c>
      <c r="N17818" t="str">
        <f>IF(M17818="","",'Master Barang'!A12)</f>
        <v>PRL-011</v>
      </c>
      <c r="O17818" t="str">
        <f>IF(N17818="","",'Master Barang'!B12)</f>
        <v>kanebo kecil</v>
      </c>
      <c r="P17818">
        <f>IF(OR(M17818="",N17818=""),"",SUMIFS('Barang Keluar'!$E:$E,'Barang Keluar'!$A:$A,M17818,'Barang Keluar'!$C:$C,N17818))</f>
        <v>0</v>
      </c>
    </row>
    <row r="17819" spans="13:16">
      <c r="M17819" s="49">
        <f>IF($A$4+178&gt;$B$4,"",$A$4+178)</f>
        <v>46201</v>
      </c>
      <c r="N17819" t="str">
        <f>IF(M17819="","",'Master Barang'!A13)</f>
        <v>PRL-012</v>
      </c>
      <c r="O17819" t="str">
        <f>IF(N17819="","",'Master Barang'!B13)</f>
        <v>plastik 1/4kg joyoboyo 100 lembar</v>
      </c>
      <c r="P17819">
        <f>IF(OR(M17819="",N17819=""),"",SUMIFS('Barang Keluar'!$E:$E,'Barang Keluar'!$A:$A,M17819,'Barang Keluar'!$C:$C,N17819))</f>
        <v>0</v>
      </c>
    </row>
    <row r="17820" spans="13:16">
      <c r="M17820" s="49">
        <f>IF($A$4+178&gt;$B$4,"",$A$4+178)</f>
        <v>46201</v>
      </c>
      <c r="N17820" t="str">
        <f>IF(M17820="","",'Master Barang'!A14)</f>
        <v>PRL-013</v>
      </c>
      <c r="O17820" t="str">
        <f>IF(N17820="","",'Master Barang'!B14)</f>
        <v>sarung tangan plastik kaka 100 pcs</v>
      </c>
      <c r="P17820">
        <f>IF(OR(M17820="",N17820=""),"",SUMIFS('Barang Keluar'!$E:$E,'Barang Keluar'!$A:$A,M17820,'Barang Keluar'!$C:$C,N17820))</f>
        <v>0</v>
      </c>
    </row>
    <row r="17821" spans="13:16">
      <c r="M17821" s="49">
        <f>IF($A$4+178&gt;$B$4,"",$A$4+178)</f>
        <v>46201</v>
      </c>
      <c r="N17821" t="str">
        <f>IF(M17821="","",'Master Barang'!A15)</f>
        <v>PRL-014</v>
      </c>
      <c r="O17821" t="str">
        <f>IF(N17821="","",'Master Barang'!B15)</f>
        <v>optima trashbag 80x100</v>
      </c>
      <c r="P17821">
        <f>IF(OR(M17821="",N17821=""),"",SUMIFS('Barang Keluar'!$E:$E,'Barang Keluar'!$A:$A,M17821,'Barang Keluar'!$C:$C,N17821))</f>
        <v>0</v>
      </c>
    </row>
    <row r="17822" spans="13:16">
      <c r="M17822" s="49">
        <f>IF($A$4+178&gt;$B$4,"",$A$4+178)</f>
        <v>46201</v>
      </c>
      <c r="N17822" t="str">
        <f>IF(M17822="","",'Master Barang'!A16)</f>
        <v>PRL-015</v>
      </c>
      <c r="O17822" t="str">
        <f>IF(N17822="","",'Master Barang'!B16)</f>
        <v>optima trashbag 60x100</v>
      </c>
      <c r="P17822">
        <f>IF(OR(M17822="",N17822=""),"",SUMIFS('Barang Keluar'!$E:$E,'Barang Keluar'!$A:$A,M17822,'Barang Keluar'!$C:$C,N17822))</f>
        <v>0</v>
      </c>
    </row>
    <row r="17823" spans="13:16">
      <c r="M17823" s="49">
        <f>IF($A$4+178&gt;$B$4,"",$A$4+178)</f>
        <v>46201</v>
      </c>
      <c r="N17823" t="str">
        <f>IF(M17823="","",'Master Barang'!A17)</f>
        <v>PRL-016</v>
      </c>
      <c r="O17823" t="str">
        <f>IF(N17823="","",'Master Barang'!B17)</f>
        <v>rajawali trashbag 30x40</v>
      </c>
      <c r="P17823">
        <f>IF(OR(M17823="",N17823=""),"",SUMIFS('Barang Keluar'!$E:$E,'Barang Keluar'!$A:$A,M17823,'Barang Keluar'!$C:$C,N17823))</f>
        <v>0</v>
      </c>
    </row>
    <row r="17824" spans="13:16">
      <c r="M17824" s="49">
        <f>IF($A$4+178&gt;$B$4,"",$A$4+178)</f>
        <v>46201</v>
      </c>
      <c r="N17824" t="str">
        <f>IF(M17824="","",'Master Barang'!A18)</f>
        <v>PRL-017</v>
      </c>
      <c r="O17824" t="str">
        <f>IF(N17824="","",'Master Barang'!B18)</f>
        <v>onemed masker biru 3 play 50 pcs</v>
      </c>
      <c r="P17824">
        <f>IF(OR(M17824="",N17824=""),"",SUMIFS('Barang Keluar'!$E:$E,'Barang Keluar'!$A:$A,M17824,'Barang Keluar'!$C:$C,N17824))</f>
        <v>0</v>
      </c>
    </row>
    <row r="17825" spans="13:16">
      <c r="M17825" s="49">
        <f>IF($A$4+178&gt;$B$4,"",$A$4+178)</f>
        <v>46201</v>
      </c>
      <c r="N17825" t="str">
        <f>IF(M17825="","",'Master Barang'!A19)</f>
        <v>PRL-018</v>
      </c>
      <c r="O17825" t="str">
        <f>IF(N17825="","",'Master Barang'!B19)</f>
        <v>onemed masker biru 3 play hijab 50 pcs</v>
      </c>
      <c r="P17825">
        <f>IF(OR(M17825="",N17825=""),"",SUMIFS('Barang Keluar'!$E:$E,'Barang Keluar'!$A:$A,M17825,'Barang Keluar'!$C:$C,N17825))</f>
        <v>0</v>
      </c>
    </row>
    <row r="17826" spans="13:16">
      <c r="M17826" s="49">
        <f>IF($A$4+178&gt;$B$4,"",$A$4+178)</f>
        <v>46201</v>
      </c>
      <c r="N17826" t="str">
        <f>IF(M17826="","",'Master Barang'!A20)</f>
        <v>PRL-019</v>
      </c>
      <c r="O17826" t="str">
        <f>IF(N17826="","",'Master Barang'!B20)</f>
        <v>neo health masker biru 3 play 50 pcs</v>
      </c>
      <c r="P17826">
        <f>IF(OR(M17826="",N17826=""),"",SUMIFS('Barang Keluar'!$E:$E,'Barang Keluar'!$A:$A,M17826,'Barang Keluar'!$C:$C,N17826))</f>
        <v>0</v>
      </c>
    </row>
    <row r="17827" spans="13:16">
      <c r="M17827" s="49">
        <f>IF($A$4+178&gt;$B$4,"",$A$4+178)</f>
        <v>46201</v>
      </c>
      <c r="N17827" t="str">
        <f>IF(M17827="","",'Master Barang'!A21)</f>
        <v>PRL-020</v>
      </c>
      <c r="O17827" t="str">
        <f>IF(N17827="","",'Master Barang'!B21)</f>
        <v>baymed masker hijau 3 play hijau 50 pcs</v>
      </c>
      <c r="P17827">
        <f>IF(OR(M17827="",N17827=""),"",SUMIFS('Barang Keluar'!$E:$E,'Barang Keluar'!$A:$A,M17827,'Barang Keluar'!$C:$C,N17827))</f>
        <v>0</v>
      </c>
    </row>
    <row r="17828" spans="13:16">
      <c r="M17828" s="49">
        <f>IF($A$4+178&gt;$B$4,"",$A$4+178)</f>
        <v>46201</v>
      </c>
      <c r="N17828" t="str">
        <f>IF(M17828="","",'Master Barang'!A22)</f>
        <v>PRL-021</v>
      </c>
      <c r="O17828" t="str">
        <f>IF(N17828="","",'Master Barang'!B22)</f>
        <v>altamed nurse cap penutup kepala 100 pcs</v>
      </c>
      <c r="P17828">
        <f>IF(OR(M17828="",N17828=""),"",SUMIFS('Barang Keluar'!$E:$E,'Barang Keluar'!$A:$A,M17828,'Barang Keluar'!$C:$C,N17828))</f>
        <v>0</v>
      </c>
    </row>
    <row r="17829" spans="13:16">
      <c r="M17829" s="49">
        <f>IF($A$4+178&gt;$B$4,"",$A$4+178)</f>
        <v>46201</v>
      </c>
      <c r="N17829" t="str">
        <f>IF(M17829="","",'Master Barang'!A23)</f>
        <v>PRL-022</v>
      </c>
      <c r="O17829" t="str">
        <f>IF(N17829="","",'Master Barang'!B23)</f>
        <v>sabun cuci tangan</v>
      </c>
      <c r="P17829">
        <f>IF(OR(M17829="",N17829=""),"",SUMIFS('Barang Keluar'!$E:$E,'Barang Keluar'!$A:$A,M17829,'Barang Keluar'!$C:$C,N17829))</f>
        <v>0</v>
      </c>
    </row>
    <row r="17830" spans="13:16">
      <c r="M17830" s="49">
        <f>IF($A$4+178&gt;$B$4,"",$A$4+178)</f>
        <v>46201</v>
      </c>
      <c r="N17830" t="str">
        <f>IF(M17830="","",'Master Barang'!A24)</f>
        <v>PRL-023</v>
      </c>
      <c r="O17830" t="str">
        <f>IF(N17830="","",'Master Barang'!B24)</f>
        <v>gayung kecil</v>
      </c>
      <c r="P17830">
        <f>IF(OR(M17830="",N17830=""),"",SUMIFS('Barang Keluar'!$E:$E,'Barang Keluar'!$A:$A,M17830,'Barang Keluar'!$C:$C,N17830))</f>
        <v>0</v>
      </c>
    </row>
    <row r="17831" spans="13:16">
      <c r="M17831" s="49">
        <f>IF($A$4+178&gt;$B$4,"",$A$4+178)</f>
        <v>46201</v>
      </c>
      <c r="N17831" t="str">
        <f>IF(M17831="","",'Master Barang'!A25)</f>
        <v>PRL-024</v>
      </c>
      <c r="O17831" t="str">
        <f>IF(N17831="","",'Master Barang'!B25)</f>
        <v>cikrak kecil</v>
      </c>
      <c r="P17831">
        <f>IF(OR(M17831="",N17831=""),"",SUMIFS('Barang Keluar'!$E:$E,'Barang Keluar'!$A:$A,M17831,'Barang Keluar'!$C:$C,N17831))</f>
        <v>0</v>
      </c>
    </row>
    <row r="17832" spans="13:16">
      <c r="M17832" s="49">
        <f>IF($A$4+178&gt;$B$4,"",$A$4+178)</f>
        <v>46201</v>
      </c>
      <c r="N17832" t="str">
        <f>IF(M17832="","",'Master Barang'!A26)</f>
        <v>PRL-025</v>
      </c>
      <c r="O17832" t="str">
        <f>IF(N17832="","",'Master Barang'!B26)</f>
        <v>petromax plastik kecil 12x24 100 lembar</v>
      </c>
      <c r="P17832">
        <f>IF(OR(M17832="",N17832=""),"",SUMIFS('Barang Keluar'!$E:$E,'Barang Keluar'!$A:$A,M17832,'Barang Keluar'!$C:$C,N17832))</f>
        <v>0</v>
      </c>
    </row>
    <row r="17833" spans="13:16">
      <c r="M17833" s="49">
        <f>IF($A$4+178&gt;$B$4,"",$A$4+178)</f>
        <v>46201</v>
      </c>
      <c r="N17833" t="str">
        <f>IF(M17833="","",'Master Barang'!A27)</f>
        <v>PRL-026</v>
      </c>
      <c r="O17833" t="str">
        <f>IF(N17833="","",'Master Barang'!B27)</f>
        <v>lancar kresek kecil bening </v>
      </c>
      <c r="P17833">
        <f>IF(OR(M17833="",N17833=""),"",SUMIFS('Barang Keluar'!$E:$E,'Barang Keluar'!$A:$A,M17833,'Barang Keluar'!$C:$C,N17833))</f>
        <v>0</v>
      </c>
    </row>
    <row r="17834" spans="13:16">
      <c r="M17834" s="49">
        <f>IF($A$4+178&gt;$B$4,"",$A$4+178)</f>
        <v>46201</v>
      </c>
      <c r="N17834" t="str">
        <f>IF(M17834="","",'Master Barang'!A28)</f>
        <v>PRL-027</v>
      </c>
      <c r="O17834" t="str">
        <f>IF(N17834="","",'Master Barang'!B28)</f>
        <v>kresek klin warna warni kecil</v>
      </c>
      <c r="P17834">
        <f>IF(OR(M17834="",N17834=""),"",SUMIFS('Barang Keluar'!$E:$E,'Barang Keluar'!$A:$A,M17834,'Barang Keluar'!$C:$C,N17834))</f>
        <v>0</v>
      </c>
    </row>
    <row r="17835" spans="13:16">
      <c r="M17835" s="49">
        <f>IF($A$4+178&gt;$B$4,"",$A$4+178)</f>
        <v>46201</v>
      </c>
      <c r="N17835" t="str">
        <f>IF(M17835="","",'Master Barang'!A29)</f>
        <v>PRL-028</v>
      </c>
      <c r="O17835" t="str">
        <f>IF(N17835="","",'Master Barang'!B29)</f>
        <v>ctik plastik 7x10 100 pcs</v>
      </c>
      <c r="P17835">
        <f>IF(OR(M17835="",N17835=""),"",SUMIFS('Barang Keluar'!$E:$E,'Barang Keluar'!$A:$A,M17835,'Barang Keluar'!$C:$C,N17835))</f>
        <v>0</v>
      </c>
    </row>
    <row r="17836" spans="13:16">
      <c r="M17836" s="49">
        <f>IF($A$4+178&gt;$B$4,"",$A$4+178)</f>
        <v>46201</v>
      </c>
      <c r="N17836" t="str">
        <f>IF(M17836="","",'Master Barang'!A30)</f>
        <v>PRL-029</v>
      </c>
      <c r="O17836" t="str">
        <f>IF(N17836="","",'Master Barang'!B30)</f>
        <v>ctik plastik 6x10 100 pcs</v>
      </c>
      <c r="P17836">
        <f>IF(OR(M17836="",N17836=""),"",SUMIFS('Barang Keluar'!$E:$E,'Barang Keluar'!$A:$A,M17836,'Barang Keluar'!$C:$C,N17836))</f>
        <v>0</v>
      </c>
    </row>
    <row r="17837" spans="13:16">
      <c r="M17837" s="49">
        <f>IF($A$4+178&gt;$B$4,"",$A$4+178)</f>
        <v>46201</v>
      </c>
      <c r="N17837" t="str">
        <f>IF(M17837="","",'Master Barang'!A31)</f>
        <v>PRL-030</v>
      </c>
      <c r="O17837" t="str">
        <f>IF(N17837="","",'Master Barang'!B31)</f>
        <v>klip plastik 25x16 100 pcs</v>
      </c>
      <c r="P17837">
        <f>IF(OR(M17837="",N17837=""),"",SUMIFS('Barang Keluar'!$E:$E,'Barang Keluar'!$A:$A,M17837,'Barang Keluar'!$C:$C,N17837))</f>
        <v>0</v>
      </c>
    </row>
    <row r="17838" spans="13:16">
      <c r="M17838" s="49">
        <f>IF($A$4+178&gt;$B$4,"",$A$4+178)</f>
        <v>46201</v>
      </c>
      <c r="N17838" t="str">
        <f>IF(M17838="","",'Master Barang'!A32)</f>
        <v>PRL-031</v>
      </c>
      <c r="O17838" t="str">
        <f>IF(N17838="","",'Master Barang'!B32)</f>
        <v>tempat saus 20 ml</v>
      </c>
      <c r="P17838">
        <f>IF(OR(M17838="",N17838=""),"",SUMIFS('Barang Keluar'!$E:$E,'Barang Keluar'!$A:$A,M17838,'Barang Keluar'!$C:$C,N17838))</f>
        <v>0</v>
      </c>
    </row>
    <row r="17839" spans="13:16">
      <c r="M17839" s="49">
        <f>IF($A$4+178&gt;$B$4,"",$A$4+178)</f>
        <v>46201</v>
      </c>
      <c r="N17839" t="str">
        <f>IF(M17839="","",'Master Barang'!A33)</f>
        <v>PRL-032</v>
      </c>
      <c r="O17839" t="str">
        <f>IF(N17839="","",'Master Barang'!B33)</f>
        <v>plastik packaging ag box uk sedang</v>
      </c>
      <c r="P17839">
        <f>IF(OR(M17839="",N17839=""),"",SUMIFS('Barang Keluar'!$E:$E,'Barang Keluar'!$A:$A,M17839,'Barang Keluar'!$C:$C,N17839))</f>
        <v>0</v>
      </c>
    </row>
    <row r="17840" spans="13:16">
      <c r="M17840" s="49">
        <f>IF($A$4+178&gt;$B$4,"",$A$4+178)</f>
        <v>46201</v>
      </c>
      <c r="N17840" t="str">
        <f>IF(M17840="","",'Master Barang'!A34)</f>
        <v>PRL-033</v>
      </c>
      <c r="O17840">
        <f>IF(N17840="","",'Master Barang'!B34)</f>
        <v>0</v>
      </c>
      <c r="P17840">
        <f>IF(OR(M17840="",N17840=""),"",SUMIFS('Barang Keluar'!$E:$E,'Barang Keluar'!$A:$A,M17840,'Barang Keluar'!$C:$C,N17840))</f>
        <v>0</v>
      </c>
    </row>
    <row r="17841" spans="13:16">
      <c r="M17841" s="49">
        <f>IF($A$4+178&gt;$B$4,"",$A$4+178)</f>
        <v>46201</v>
      </c>
      <c r="N17841">
        <f>IF(M17841="","",'Master Barang'!A35)</f>
        <v>0</v>
      </c>
      <c r="O17841">
        <f>IF(N17841="","",'Master Barang'!B35)</f>
        <v>0</v>
      </c>
      <c r="P17841">
        <f>IF(OR(M17841="",N17841=""),"",SUMIFS('Barang Keluar'!$E:$E,'Barang Keluar'!$A:$A,M17841,'Barang Keluar'!$C:$C,N17841))</f>
        <v>0</v>
      </c>
    </row>
    <row r="17842" spans="13:16">
      <c r="M17842" s="49">
        <f>IF($A$4+178&gt;$B$4,"",$A$4+178)</f>
        <v>46201</v>
      </c>
      <c r="N17842">
        <f>IF(M17842="","",'Master Barang'!A36)</f>
        <v>0</v>
      </c>
      <c r="O17842">
        <f>IF(N17842="","",'Master Barang'!B36)</f>
        <v>0</v>
      </c>
      <c r="P17842">
        <f>IF(OR(M17842="",N17842=""),"",SUMIFS('Barang Keluar'!$E:$E,'Barang Keluar'!$A:$A,M17842,'Barang Keluar'!$C:$C,N17842))</f>
        <v>0</v>
      </c>
    </row>
    <row r="17843" spans="13:16">
      <c r="M17843" s="49">
        <f>IF($A$4+178&gt;$B$4,"",$A$4+178)</f>
        <v>46201</v>
      </c>
      <c r="N17843">
        <f>IF(M17843="","",'Master Barang'!A37)</f>
        <v>0</v>
      </c>
      <c r="O17843">
        <f>IF(N17843="","",'Master Barang'!B37)</f>
        <v>0</v>
      </c>
      <c r="P17843">
        <f>IF(OR(M17843="",N17843=""),"",SUMIFS('Barang Keluar'!$E:$E,'Barang Keluar'!$A:$A,M17843,'Barang Keluar'!$C:$C,N17843))</f>
        <v>0</v>
      </c>
    </row>
    <row r="17844" spans="13:16">
      <c r="M17844" s="49">
        <f>IF($A$4+178&gt;$B$4,"",$A$4+178)</f>
        <v>46201</v>
      </c>
      <c r="N17844">
        <f>IF(M17844="","",'Master Barang'!A38)</f>
        <v>0</v>
      </c>
      <c r="O17844">
        <f>IF(N17844="","",'Master Barang'!B38)</f>
        <v>0</v>
      </c>
      <c r="P17844">
        <f>IF(OR(M17844="",N17844=""),"",SUMIFS('Barang Keluar'!$E:$E,'Barang Keluar'!$A:$A,M17844,'Barang Keluar'!$C:$C,N17844))</f>
        <v>0</v>
      </c>
    </row>
    <row r="17845" spans="13:16">
      <c r="M17845" s="49">
        <f>IF($A$4+178&gt;$B$4,"",$A$4+178)</f>
        <v>46201</v>
      </c>
      <c r="N17845">
        <f>IF(M17845="","",'Master Barang'!A39)</f>
        <v>0</v>
      </c>
      <c r="O17845">
        <f>IF(N17845="","",'Master Barang'!B39)</f>
        <v>0</v>
      </c>
      <c r="P17845">
        <f>IF(OR(M17845="",N17845=""),"",SUMIFS('Barang Keluar'!$E:$E,'Barang Keluar'!$A:$A,M17845,'Barang Keluar'!$C:$C,N17845))</f>
        <v>0</v>
      </c>
    </row>
    <row r="17846" spans="13:16">
      <c r="M17846" s="49">
        <f>IF($A$4+178&gt;$B$4,"",$A$4+178)</f>
        <v>46201</v>
      </c>
      <c r="N17846">
        <f>IF(M17846="","",'Master Barang'!A40)</f>
        <v>0</v>
      </c>
      <c r="O17846">
        <f>IF(N17846="","",'Master Barang'!B40)</f>
        <v>0</v>
      </c>
      <c r="P17846">
        <f>IF(OR(M17846="",N17846=""),"",SUMIFS('Barang Keluar'!$E:$E,'Barang Keluar'!$A:$A,M17846,'Barang Keluar'!$C:$C,N17846))</f>
        <v>0</v>
      </c>
    </row>
    <row r="17847" spans="13:16">
      <c r="M17847" s="49">
        <f>IF($A$4+178&gt;$B$4,"",$A$4+178)</f>
        <v>46201</v>
      </c>
      <c r="N17847">
        <f>IF(M17847="","",'Master Barang'!A41)</f>
        <v>0</v>
      </c>
      <c r="O17847">
        <f>IF(N17847="","",'Master Barang'!B41)</f>
        <v>0</v>
      </c>
      <c r="P17847">
        <f>IF(OR(M17847="",N17847=""),"",SUMIFS('Barang Keluar'!$E:$E,'Barang Keluar'!$A:$A,M17847,'Barang Keluar'!$C:$C,N17847))</f>
        <v>0</v>
      </c>
    </row>
    <row r="17848" spans="13:16">
      <c r="M17848" s="49">
        <f>IF($A$4+178&gt;$B$4,"",$A$4+178)</f>
        <v>46201</v>
      </c>
      <c r="N17848">
        <f>IF(M17848="","",'Master Barang'!A42)</f>
        <v>0</v>
      </c>
      <c r="O17848">
        <f>IF(N17848="","",'Master Barang'!B42)</f>
        <v>0</v>
      </c>
      <c r="P17848">
        <f>IF(OR(M17848="",N17848=""),"",SUMIFS('Barang Keluar'!$E:$E,'Barang Keluar'!$A:$A,M17848,'Barang Keluar'!$C:$C,N17848))</f>
        <v>0</v>
      </c>
    </row>
    <row r="17849" spans="13:16">
      <c r="M17849" s="49">
        <f>IF($A$4+178&gt;$B$4,"",$A$4+178)</f>
        <v>46201</v>
      </c>
      <c r="N17849">
        <f>IF(M17849="","",'Master Barang'!A43)</f>
        <v>0</v>
      </c>
      <c r="O17849">
        <f>IF(N17849="","",'Master Barang'!B43)</f>
        <v>0</v>
      </c>
      <c r="P17849">
        <f>IF(OR(M17849="",N17849=""),"",SUMIFS('Barang Keluar'!$E:$E,'Barang Keluar'!$A:$A,M17849,'Barang Keluar'!$C:$C,N17849))</f>
        <v>0</v>
      </c>
    </row>
    <row r="17850" spans="13:16">
      <c r="M17850" s="49">
        <f>IF($A$4+178&gt;$B$4,"",$A$4+178)</f>
        <v>46201</v>
      </c>
      <c r="N17850">
        <f>IF(M17850="","",'Master Barang'!A44)</f>
        <v>0</v>
      </c>
      <c r="O17850">
        <f>IF(N17850="","",'Master Barang'!B44)</f>
        <v>0</v>
      </c>
      <c r="P17850">
        <f>IF(OR(M17850="",N17850=""),"",SUMIFS('Barang Keluar'!$E:$E,'Barang Keluar'!$A:$A,M17850,'Barang Keluar'!$C:$C,N17850))</f>
        <v>0</v>
      </c>
    </row>
    <row r="17851" spans="13:16">
      <c r="M17851" s="49">
        <f>IF($A$4+178&gt;$B$4,"",$A$4+178)</f>
        <v>46201</v>
      </c>
      <c r="N17851">
        <f>IF(M17851="","",'Master Barang'!A45)</f>
        <v>0</v>
      </c>
      <c r="O17851">
        <f>IF(N17851="","",'Master Barang'!B45)</f>
        <v>0</v>
      </c>
      <c r="P17851">
        <f>IF(OR(M17851="",N17851=""),"",SUMIFS('Barang Keluar'!$E:$E,'Barang Keluar'!$A:$A,M17851,'Barang Keluar'!$C:$C,N17851))</f>
        <v>0</v>
      </c>
    </row>
    <row r="17852" spans="13:16">
      <c r="M17852" s="49">
        <f>IF($A$4+178&gt;$B$4,"",$A$4+178)</f>
        <v>46201</v>
      </c>
      <c r="N17852">
        <f>IF(M17852="","",'Master Barang'!A46)</f>
        <v>0</v>
      </c>
      <c r="O17852">
        <f>IF(N17852="","",'Master Barang'!B46)</f>
        <v>0</v>
      </c>
      <c r="P17852">
        <f>IF(OR(M17852="",N17852=""),"",SUMIFS('Barang Keluar'!$E:$E,'Barang Keluar'!$A:$A,M17852,'Barang Keluar'!$C:$C,N17852))</f>
        <v>0</v>
      </c>
    </row>
    <row r="17853" spans="13:16">
      <c r="M17853" s="49">
        <f>IF($A$4+178&gt;$B$4,"",$A$4+178)</f>
        <v>46201</v>
      </c>
      <c r="N17853">
        <f>IF(M17853="","",'Master Barang'!A47)</f>
        <v>0</v>
      </c>
      <c r="O17853">
        <f>IF(N17853="","",'Master Barang'!B47)</f>
        <v>0</v>
      </c>
      <c r="P17853">
        <f>IF(OR(M17853="",N17853=""),"",SUMIFS('Barang Keluar'!$E:$E,'Barang Keluar'!$A:$A,M17853,'Barang Keluar'!$C:$C,N17853))</f>
        <v>0</v>
      </c>
    </row>
    <row r="17854" spans="13:16">
      <c r="M17854" s="49">
        <f>IF($A$4+178&gt;$B$4,"",$A$4+178)</f>
        <v>46201</v>
      </c>
      <c r="N17854">
        <f>IF(M17854="","",'Master Barang'!A48)</f>
        <v>0</v>
      </c>
      <c r="O17854">
        <f>IF(N17854="","",'Master Barang'!B48)</f>
        <v>0</v>
      </c>
      <c r="P17854">
        <f>IF(OR(M17854="",N17854=""),"",SUMIFS('Barang Keluar'!$E:$E,'Barang Keluar'!$A:$A,M17854,'Barang Keluar'!$C:$C,N17854))</f>
        <v>0</v>
      </c>
    </row>
    <row r="17855" spans="13:16">
      <c r="M17855" s="49">
        <f>IF($A$4+178&gt;$B$4,"",$A$4+178)</f>
        <v>46201</v>
      </c>
      <c r="N17855">
        <f>IF(M17855="","",'Master Barang'!A49)</f>
        <v>0</v>
      </c>
      <c r="O17855">
        <f>IF(N17855="","",'Master Barang'!B49)</f>
        <v>0</v>
      </c>
      <c r="P17855">
        <f>IF(OR(M17855="",N17855=""),"",SUMIFS('Barang Keluar'!$E:$E,'Barang Keluar'!$A:$A,M17855,'Barang Keluar'!$C:$C,N17855))</f>
        <v>0</v>
      </c>
    </row>
    <row r="17856" spans="13:16">
      <c r="M17856" s="49">
        <f>IF($A$4+178&gt;$B$4,"",$A$4+178)</f>
        <v>46201</v>
      </c>
      <c r="N17856">
        <f>IF(M17856="","",'Master Barang'!A50)</f>
        <v>0</v>
      </c>
      <c r="O17856">
        <f>IF(N17856="","",'Master Barang'!B50)</f>
        <v>0</v>
      </c>
      <c r="P17856">
        <f>IF(OR(M17856="",N17856=""),"",SUMIFS('Barang Keluar'!$E:$E,'Barang Keluar'!$A:$A,M17856,'Barang Keluar'!$C:$C,N17856))</f>
        <v>0</v>
      </c>
    </row>
    <row r="17857" spans="13:16">
      <c r="M17857" s="49">
        <f>IF($A$4+178&gt;$B$4,"",$A$4+178)</f>
        <v>46201</v>
      </c>
      <c r="N17857">
        <f>IF(M17857="","",'Master Barang'!A51)</f>
        <v>0</v>
      </c>
      <c r="O17857">
        <f>IF(N17857="","",'Master Barang'!B51)</f>
        <v>0</v>
      </c>
      <c r="P17857">
        <f>IF(OR(M17857="",N17857=""),"",SUMIFS('Barang Keluar'!$E:$E,'Barang Keluar'!$A:$A,M17857,'Barang Keluar'!$C:$C,N17857))</f>
        <v>0</v>
      </c>
    </row>
    <row r="17858" spans="13:16">
      <c r="M17858" s="49">
        <f>IF($A$4+178&gt;$B$4,"",$A$4+178)</f>
        <v>46201</v>
      </c>
      <c r="N17858">
        <f>IF(M17858="","",'Master Barang'!A52)</f>
        <v>0</v>
      </c>
      <c r="O17858">
        <f>IF(N17858="","",'Master Barang'!B52)</f>
        <v>0</v>
      </c>
      <c r="P17858">
        <f>IF(OR(M17858="",N17858=""),"",SUMIFS('Barang Keluar'!$E:$E,'Barang Keluar'!$A:$A,M17858,'Barang Keluar'!$C:$C,N17858))</f>
        <v>0</v>
      </c>
    </row>
    <row r="17859" spans="13:16">
      <c r="M17859" s="49">
        <f>IF($A$4+178&gt;$B$4,"",$A$4+178)</f>
        <v>46201</v>
      </c>
      <c r="N17859">
        <f>IF(M17859="","",'Master Barang'!A53)</f>
        <v>0</v>
      </c>
      <c r="O17859">
        <f>IF(N17859="","",'Master Barang'!B53)</f>
        <v>0</v>
      </c>
      <c r="P17859">
        <f>IF(OR(M17859="",N17859=""),"",SUMIFS('Barang Keluar'!$E:$E,'Barang Keluar'!$A:$A,M17859,'Barang Keluar'!$C:$C,N17859))</f>
        <v>0</v>
      </c>
    </row>
    <row r="17860" spans="13:16">
      <c r="M17860" s="49">
        <f>IF($A$4+178&gt;$B$4,"",$A$4+178)</f>
        <v>46201</v>
      </c>
      <c r="N17860">
        <f>IF(M17860="","",'Master Barang'!A54)</f>
        <v>0</v>
      </c>
      <c r="O17860">
        <f>IF(N17860="","",'Master Barang'!B54)</f>
        <v>0</v>
      </c>
      <c r="P17860">
        <f>IF(OR(M17860="",N17860=""),"",SUMIFS('Barang Keluar'!$E:$E,'Barang Keluar'!$A:$A,M17860,'Barang Keluar'!$C:$C,N17860))</f>
        <v>0</v>
      </c>
    </row>
    <row r="17861" spans="13:16">
      <c r="M17861" s="49">
        <f>IF($A$4+178&gt;$B$4,"",$A$4+178)</f>
        <v>46201</v>
      </c>
      <c r="N17861">
        <f>IF(M17861="","",'Master Barang'!A55)</f>
        <v>0</v>
      </c>
      <c r="O17861">
        <f>IF(N17861="","",'Master Barang'!B55)</f>
        <v>0</v>
      </c>
      <c r="P17861">
        <f>IF(OR(M17861="",N17861=""),"",SUMIFS('Barang Keluar'!$E:$E,'Barang Keluar'!$A:$A,M17861,'Barang Keluar'!$C:$C,N17861))</f>
        <v>0</v>
      </c>
    </row>
    <row r="17862" spans="13:16">
      <c r="M17862" s="49">
        <f>IF($A$4+178&gt;$B$4,"",$A$4+178)</f>
        <v>46201</v>
      </c>
      <c r="N17862">
        <f>IF(M17862="","",'Master Barang'!A56)</f>
        <v>0</v>
      </c>
      <c r="O17862">
        <f>IF(N17862="","",'Master Barang'!B56)</f>
        <v>0</v>
      </c>
      <c r="P17862">
        <f>IF(OR(M17862="",N17862=""),"",SUMIFS('Barang Keluar'!$E:$E,'Barang Keluar'!$A:$A,M17862,'Barang Keluar'!$C:$C,N17862))</f>
        <v>0</v>
      </c>
    </row>
    <row r="17863" spans="13:16">
      <c r="M17863" s="49">
        <f>IF($A$4+178&gt;$B$4,"",$A$4+178)</f>
        <v>46201</v>
      </c>
      <c r="N17863">
        <f>IF(M17863="","",'Master Barang'!A57)</f>
        <v>0</v>
      </c>
      <c r="O17863">
        <f>IF(N17863="","",'Master Barang'!B57)</f>
        <v>0</v>
      </c>
      <c r="P17863">
        <f>IF(OR(M17863="",N17863=""),"",SUMIFS('Barang Keluar'!$E:$E,'Barang Keluar'!$A:$A,M17863,'Barang Keluar'!$C:$C,N17863))</f>
        <v>0</v>
      </c>
    </row>
    <row r="17864" spans="13:16">
      <c r="M17864" s="49">
        <f>IF($A$4+178&gt;$B$4,"",$A$4+178)</f>
        <v>46201</v>
      </c>
      <c r="N17864">
        <f>IF(M17864="","",'Master Barang'!A58)</f>
        <v>0</v>
      </c>
      <c r="O17864">
        <f>IF(N17864="","",'Master Barang'!B58)</f>
        <v>0</v>
      </c>
      <c r="P17864">
        <f>IF(OR(M17864="",N17864=""),"",SUMIFS('Barang Keluar'!$E:$E,'Barang Keluar'!$A:$A,M17864,'Barang Keluar'!$C:$C,N17864))</f>
        <v>0</v>
      </c>
    </row>
    <row r="17865" spans="13:16">
      <c r="M17865" s="49">
        <f>IF($A$4+178&gt;$B$4,"",$A$4+178)</f>
        <v>46201</v>
      </c>
      <c r="N17865">
        <f>IF(M17865="","",'Master Barang'!A59)</f>
        <v>0</v>
      </c>
      <c r="O17865">
        <f>IF(N17865="","",'Master Barang'!B59)</f>
        <v>0</v>
      </c>
      <c r="P17865">
        <f>IF(OR(M17865="",N17865=""),"",SUMIFS('Barang Keluar'!$E:$E,'Barang Keluar'!$A:$A,M17865,'Barang Keluar'!$C:$C,N17865))</f>
        <v>0</v>
      </c>
    </row>
    <row r="17866" spans="13:16">
      <c r="M17866" s="49">
        <f>IF($A$4+178&gt;$B$4,"",$A$4+178)</f>
        <v>46201</v>
      </c>
      <c r="N17866">
        <f>IF(M17866="","",'Master Barang'!A60)</f>
        <v>0</v>
      </c>
      <c r="O17866">
        <f>IF(N17866="","",'Master Barang'!B60)</f>
        <v>0</v>
      </c>
      <c r="P17866">
        <f>IF(OR(M17866="",N17866=""),"",SUMIFS('Barang Keluar'!$E:$E,'Barang Keluar'!$A:$A,M17866,'Barang Keluar'!$C:$C,N17866))</f>
        <v>0</v>
      </c>
    </row>
    <row r="17867" spans="13:16">
      <c r="M17867" s="49">
        <f>IF($A$4+178&gt;$B$4,"",$A$4+178)</f>
        <v>46201</v>
      </c>
      <c r="N17867">
        <f>IF(M17867="","",'Master Barang'!A61)</f>
        <v>0</v>
      </c>
      <c r="O17867">
        <f>IF(N17867="","",'Master Barang'!B61)</f>
        <v>0</v>
      </c>
      <c r="P17867">
        <f>IF(OR(M17867="",N17867=""),"",SUMIFS('Barang Keluar'!$E:$E,'Barang Keluar'!$A:$A,M17867,'Barang Keluar'!$C:$C,N17867))</f>
        <v>0</v>
      </c>
    </row>
    <row r="17868" spans="13:16">
      <c r="M17868" s="49">
        <f>IF($A$4+178&gt;$B$4,"",$A$4+178)</f>
        <v>46201</v>
      </c>
      <c r="N17868">
        <f>IF(M17868="","",'Master Barang'!A62)</f>
        <v>0</v>
      </c>
      <c r="O17868">
        <f>IF(N17868="","",'Master Barang'!B62)</f>
        <v>0</v>
      </c>
      <c r="P17868">
        <f>IF(OR(M17868="",N17868=""),"",SUMIFS('Barang Keluar'!$E:$E,'Barang Keluar'!$A:$A,M17868,'Barang Keluar'!$C:$C,N17868))</f>
        <v>0</v>
      </c>
    </row>
    <row r="17869" spans="13:16">
      <c r="M17869" s="49">
        <f>IF($A$4+178&gt;$B$4,"",$A$4+178)</f>
        <v>46201</v>
      </c>
      <c r="N17869">
        <f>IF(M17869="","",'Master Barang'!A63)</f>
        <v>0</v>
      </c>
      <c r="O17869">
        <f>IF(N17869="","",'Master Barang'!B63)</f>
        <v>0</v>
      </c>
      <c r="P17869">
        <f>IF(OR(M17869="",N17869=""),"",SUMIFS('Barang Keluar'!$E:$E,'Barang Keluar'!$A:$A,M17869,'Barang Keluar'!$C:$C,N17869))</f>
        <v>0</v>
      </c>
    </row>
    <row r="17870" spans="13:16">
      <c r="M17870" s="49">
        <f>IF($A$4+178&gt;$B$4,"",$A$4+178)</f>
        <v>46201</v>
      </c>
      <c r="N17870">
        <f>IF(M17870="","",'Master Barang'!A64)</f>
        <v>0</v>
      </c>
      <c r="O17870">
        <f>IF(N17870="","",'Master Barang'!B64)</f>
        <v>0</v>
      </c>
      <c r="P17870">
        <f>IF(OR(M17870="",N17870=""),"",SUMIFS('Barang Keluar'!$E:$E,'Barang Keluar'!$A:$A,M17870,'Barang Keluar'!$C:$C,N17870))</f>
        <v>0</v>
      </c>
    </row>
    <row r="17871" spans="13:16">
      <c r="M17871" s="49">
        <f>IF($A$4+178&gt;$B$4,"",$A$4+178)</f>
        <v>46201</v>
      </c>
      <c r="N17871">
        <f>IF(M17871="","",'Master Barang'!A65)</f>
        <v>0</v>
      </c>
      <c r="O17871">
        <f>IF(N17871="","",'Master Barang'!B65)</f>
        <v>0</v>
      </c>
      <c r="P17871">
        <f>IF(OR(M17871="",N17871=""),"",SUMIFS('Barang Keluar'!$E:$E,'Barang Keluar'!$A:$A,M17871,'Barang Keluar'!$C:$C,N17871))</f>
        <v>0</v>
      </c>
    </row>
    <row r="17872" spans="13:16">
      <c r="M17872" s="49">
        <f>IF($A$4+178&gt;$B$4,"",$A$4+178)</f>
        <v>46201</v>
      </c>
      <c r="N17872">
        <f>IF(M17872="","",'Master Barang'!A66)</f>
        <v>0</v>
      </c>
      <c r="O17872">
        <f>IF(N17872="","",'Master Barang'!B66)</f>
        <v>0</v>
      </c>
      <c r="P17872">
        <f>IF(OR(M17872="",N17872=""),"",SUMIFS('Barang Keluar'!$E:$E,'Barang Keluar'!$A:$A,M17872,'Barang Keluar'!$C:$C,N17872))</f>
        <v>0</v>
      </c>
    </row>
    <row r="17873" spans="13:16">
      <c r="M17873" s="49">
        <f>IF($A$4+178&gt;$B$4,"",$A$4+178)</f>
        <v>46201</v>
      </c>
      <c r="N17873">
        <f>IF(M17873="","",'Master Barang'!A67)</f>
        <v>0</v>
      </c>
      <c r="O17873">
        <f>IF(N17873="","",'Master Barang'!B67)</f>
        <v>0</v>
      </c>
      <c r="P17873">
        <f>IF(OR(M17873="",N17873=""),"",SUMIFS('Barang Keluar'!$E:$E,'Barang Keluar'!$A:$A,M17873,'Barang Keluar'!$C:$C,N17873))</f>
        <v>0</v>
      </c>
    </row>
    <row r="17874" spans="13:16">
      <c r="M17874" s="49">
        <f>IF($A$4+178&gt;$B$4,"",$A$4+178)</f>
        <v>46201</v>
      </c>
      <c r="N17874">
        <f>IF(M17874="","",'Master Barang'!A68)</f>
        <v>0</v>
      </c>
      <c r="O17874">
        <f>IF(N17874="","",'Master Barang'!B68)</f>
        <v>0</v>
      </c>
      <c r="P17874">
        <f>IF(OR(M17874="",N17874=""),"",SUMIFS('Barang Keluar'!$E:$E,'Barang Keluar'!$A:$A,M17874,'Barang Keluar'!$C:$C,N17874))</f>
        <v>0</v>
      </c>
    </row>
    <row r="17875" spans="13:16">
      <c r="M17875" s="49">
        <f>IF($A$4+178&gt;$B$4,"",$A$4+178)</f>
        <v>46201</v>
      </c>
      <c r="N17875">
        <f>IF(M17875="","",'Master Barang'!A69)</f>
        <v>0</v>
      </c>
      <c r="O17875">
        <f>IF(N17875="","",'Master Barang'!B69)</f>
        <v>0</v>
      </c>
      <c r="P17875">
        <f>IF(OR(M17875="",N17875=""),"",SUMIFS('Barang Keluar'!$E:$E,'Barang Keluar'!$A:$A,M17875,'Barang Keluar'!$C:$C,N17875))</f>
        <v>0</v>
      </c>
    </row>
    <row r="17876" spans="13:16">
      <c r="M17876" s="49">
        <f>IF($A$4+178&gt;$B$4,"",$A$4+178)</f>
        <v>46201</v>
      </c>
      <c r="N17876">
        <f>IF(M17876="","",'Master Barang'!A70)</f>
        <v>0</v>
      </c>
      <c r="O17876">
        <f>IF(N17876="","",'Master Barang'!B70)</f>
        <v>0</v>
      </c>
      <c r="P17876">
        <f>IF(OR(M17876="",N17876=""),"",SUMIFS('Barang Keluar'!$E:$E,'Barang Keluar'!$A:$A,M17876,'Barang Keluar'!$C:$C,N17876))</f>
        <v>0</v>
      </c>
    </row>
    <row r="17877" spans="13:16">
      <c r="M17877" s="49">
        <f>IF($A$4+178&gt;$B$4,"",$A$4+178)</f>
        <v>46201</v>
      </c>
      <c r="N17877">
        <f>IF(M17877="","",'Master Barang'!A71)</f>
        <v>0</v>
      </c>
      <c r="O17877">
        <f>IF(N17877="","",'Master Barang'!B71)</f>
        <v>0</v>
      </c>
      <c r="P17877">
        <f>IF(OR(M17877="",N17877=""),"",SUMIFS('Barang Keluar'!$E:$E,'Barang Keluar'!$A:$A,M17877,'Barang Keluar'!$C:$C,N17877))</f>
        <v>0</v>
      </c>
    </row>
    <row r="17878" spans="13:16">
      <c r="M17878" s="49">
        <f>IF($A$4+178&gt;$B$4,"",$A$4+178)</f>
        <v>46201</v>
      </c>
      <c r="N17878">
        <f>IF(M17878="","",'Master Barang'!A72)</f>
        <v>0</v>
      </c>
      <c r="O17878">
        <f>IF(N17878="","",'Master Barang'!B72)</f>
        <v>0</v>
      </c>
      <c r="P17878">
        <f>IF(OR(M17878="",N17878=""),"",SUMIFS('Barang Keluar'!$E:$E,'Barang Keluar'!$A:$A,M17878,'Barang Keluar'!$C:$C,N17878))</f>
        <v>0</v>
      </c>
    </row>
    <row r="17879" spans="13:16">
      <c r="M17879" s="49">
        <f>IF($A$4+178&gt;$B$4,"",$A$4+178)</f>
        <v>46201</v>
      </c>
      <c r="N17879">
        <f>IF(M17879="","",'Master Barang'!A73)</f>
        <v>0</v>
      </c>
      <c r="O17879">
        <f>IF(N17879="","",'Master Barang'!B73)</f>
        <v>0</v>
      </c>
      <c r="P17879">
        <f>IF(OR(M17879="",N17879=""),"",SUMIFS('Barang Keluar'!$E:$E,'Barang Keluar'!$A:$A,M17879,'Barang Keluar'!$C:$C,N17879))</f>
        <v>0</v>
      </c>
    </row>
    <row r="17880" spans="13:16">
      <c r="M17880" s="49">
        <f>IF($A$4+178&gt;$B$4,"",$A$4+178)</f>
        <v>46201</v>
      </c>
      <c r="N17880">
        <f>IF(M17880="","",'Master Barang'!A74)</f>
        <v>0</v>
      </c>
      <c r="O17880">
        <f>IF(N17880="","",'Master Barang'!B74)</f>
        <v>0</v>
      </c>
      <c r="P17880">
        <f>IF(OR(M17880="",N17880=""),"",SUMIFS('Barang Keluar'!$E:$E,'Barang Keluar'!$A:$A,M17880,'Barang Keluar'!$C:$C,N17880))</f>
        <v>0</v>
      </c>
    </row>
    <row r="17881" spans="13:16">
      <c r="M17881" s="49">
        <f>IF($A$4+178&gt;$B$4,"",$A$4+178)</f>
        <v>46201</v>
      </c>
      <c r="N17881">
        <f>IF(M17881="","",'Master Barang'!A75)</f>
        <v>0</v>
      </c>
      <c r="O17881">
        <f>IF(N17881="","",'Master Barang'!B75)</f>
        <v>0</v>
      </c>
      <c r="P17881">
        <f>IF(OR(M17881="",N17881=""),"",SUMIFS('Barang Keluar'!$E:$E,'Barang Keluar'!$A:$A,M17881,'Barang Keluar'!$C:$C,N17881))</f>
        <v>0</v>
      </c>
    </row>
    <row r="17882" spans="13:16">
      <c r="M17882" s="49">
        <f>IF($A$4+178&gt;$B$4,"",$A$4+178)</f>
        <v>46201</v>
      </c>
      <c r="N17882">
        <f>IF(M17882="","",'Master Barang'!A76)</f>
        <v>0</v>
      </c>
      <c r="O17882">
        <f>IF(N17882="","",'Master Barang'!B76)</f>
        <v>0</v>
      </c>
      <c r="P17882">
        <f>IF(OR(M17882="",N17882=""),"",SUMIFS('Barang Keluar'!$E:$E,'Barang Keluar'!$A:$A,M17882,'Barang Keluar'!$C:$C,N17882))</f>
        <v>0</v>
      </c>
    </row>
    <row r="17883" spans="13:16">
      <c r="M17883" s="49">
        <f>IF($A$4+178&gt;$B$4,"",$A$4+178)</f>
        <v>46201</v>
      </c>
      <c r="N17883">
        <f>IF(M17883="","",'Master Barang'!A77)</f>
        <v>0</v>
      </c>
      <c r="O17883">
        <f>IF(N17883="","",'Master Barang'!B77)</f>
        <v>0</v>
      </c>
      <c r="P17883">
        <f>IF(OR(M17883="",N17883=""),"",SUMIFS('Barang Keluar'!$E:$E,'Barang Keluar'!$A:$A,M17883,'Barang Keluar'!$C:$C,N17883))</f>
        <v>0</v>
      </c>
    </row>
    <row r="17884" spans="13:16">
      <c r="M17884" s="49">
        <f>IF($A$4+178&gt;$B$4,"",$A$4+178)</f>
        <v>46201</v>
      </c>
      <c r="N17884">
        <f>IF(M17884="","",'Master Barang'!A78)</f>
        <v>0</v>
      </c>
      <c r="O17884">
        <f>IF(N17884="","",'Master Barang'!B78)</f>
        <v>0</v>
      </c>
      <c r="P17884">
        <f>IF(OR(M17884="",N17884=""),"",SUMIFS('Barang Keluar'!$E:$E,'Barang Keluar'!$A:$A,M17884,'Barang Keluar'!$C:$C,N17884))</f>
        <v>0</v>
      </c>
    </row>
    <row r="17885" spans="13:16">
      <c r="M17885" s="49">
        <f>IF($A$4+178&gt;$B$4,"",$A$4+178)</f>
        <v>46201</v>
      </c>
      <c r="N17885">
        <f>IF(M17885="","",'Master Barang'!A79)</f>
        <v>0</v>
      </c>
      <c r="O17885">
        <f>IF(N17885="","",'Master Barang'!B79)</f>
        <v>0</v>
      </c>
      <c r="P17885">
        <f>IF(OR(M17885="",N17885=""),"",SUMIFS('Barang Keluar'!$E:$E,'Barang Keluar'!$A:$A,M17885,'Barang Keluar'!$C:$C,N17885))</f>
        <v>0</v>
      </c>
    </row>
    <row r="17886" spans="13:16">
      <c r="M17886" s="49">
        <f>IF($A$4+178&gt;$B$4,"",$A$4+178)</f>
        <v>46201</v>
      </c>
      <c r="N17886">
        <f>IF(M17886="","",'Master Barang'!A80)</f>
        <v>0</v>
      </c>
      <c r="O17886">
        <f>IF(N17886="","",'Master Barang'!B80)</f>
        <v>0</v>
      </c>
      <c r="P17886">
        <f>IF(OR(M17886="",N17886=""),"",SUMIFS('Barang Keluar'!$E:$E,'Barang Keluar'!$A:$A,M17886,'Barang Keluar'!$C:$C,N17886))</f>
        <v>0</v>
      </c>
    </row>
    <row r="17887" spans="13:16">
      <c r="M17887" s="49">
        <f>IF($A$4+178&gt;$B$4,"",$A$4+178)</f>
        <v>46201</v>
      </c>
      <c r="N17887">
        <f>IF(M17887="","",'Master Barang'!A81)</f>
        <v>0</v>
      </c>
      <c r="O17887">
        <f>IF(N17887="","",'Master Barang'!B81)</f>
        <v>0</v>
      </c>
      <c r="P17887">
        <f>IF(OR(M17887="",N17887=""),"",SUMIFS('Barang Keluar'!$E:$E,'Barang Keluar'!$A:$A,M17887,'Barang Keluar'!$C:$C,N17887))</f>
        <v>0</v>
      </c>
    </row>
    <row r="17888" spans="13:16">
      <c r="M17888" s="49">
        <f>IF($A$4+178&gt;$B$4,"",$A$4+178)</f>
        <v>46201</v>
      </c>
      <c r="N17888">
        <f>IF(M17888="","",'Master Barang'!A82)</f>
        <v>0</v>
      </c>
      <c r="O17888">
        <f>IF(N17888="","",'Master Barang'!B82)</f>
        <v>0</v>
      </c>
      <c r="P17888">
        <f>IF(OR(M17888="",N17888=""),"",SUMIFS('Barang Keluar'!$E:$E,'Barang Keluar'!$A:$A,M17888,'Barang Keluar'!$C:$C,N17888))</f>
        <v>0</v>
      </c>
    </row>
    <row r="17889" spans="13:16">
      <c r="M17889" s="49">
        <f>IF($A$4+178&gt;$B$4,"",$A$4+178)</f>
        <v>46201</v>
      </c>
      <c r="N17889">
        <f>IF(M17889="","",'Master Barang'!A83)</f>
        <v>0</v>
      </c>
      <c r="O17889">
        <f>IF(N17889="","",'Master Barang'!B83)</f>
        <v>0</v>
      </c>
      <c r="P17889">
        <f>IF(OR(M17889="",N17889=""),"",SUMIFS('Barang Keluar'!$E:$E,'Barang Keluar'!$A:$A,M17889,'Barang Keluar'!$C:$C,N17889))</f>
        <v>0</v>
      </c>
    </row>
    <row r="17890" spans="13:16">
      <c r="M17890" s="49">
        <f>IF($A$4+178&gt;$B$4,"",$A$4+178)</f>
        <v>46201</v>
      </c>
      <c r="N17890">
        <f>IF(M17890="","",'Master Barang'!A84)</f>
        <v>0</v>
      </c>
      <c r="O17890">
        <f>IF(N17890="","",'Master Barang'!B84)</f>
        <v>0</v>
      </c>
      <c r="P17890">
        <f>IF(OR(M17890="",N17890=""),"",SUMIFS('Barang Keluar'!$E:$E,'Barang Keluar'!$A:$A,M17890,'Barang Keluar'!$C:$C,N17890))</f>
        <v>0</v>
      </c>
    </row>
    <row r="17891" spans="13:16">
      <c r="M17891" s="49">
        <f>IF($A$4+178&gt;$B$4,"",$A$4+178)</f>
        <v>46201</v>
      </c>
      <c r="N17891">
        <f>IF(M17891="","",'Master Barang'!A85)</f>
        <v>0</v>
      </c>
      <c r="O17891">
        <f>IF(N17891="","",'Master Barang'!B85)</f>
        <v>0</v>
      </c>
      <c r="P17891">
        <f>IF(OR(M17891="",N17891=""),"",SUMIFS('Barang Keluar'!$E:$E,'Barang Keluar'!$A:$A,M17891,'Barang Keluar'!$C:$C,N17891))</f>
        <v>0</v>
      </c>
    </row>
    <row r="17892" spans="13:16">
      <c r="M17892" s="49">
        <f>IF($A$4+178&gt;$B$4,"",$A$4+178)</f>
        <v>46201</v>
      </c>
      <c r="N17892">
        <f>IF(M17892="","",'Master Barang'!A86)</f>
        <v>0</v>
      </c>
      <c r="O17892">
        <f>IF(N17892="","",'Master Barang'!B86)</f>
        <v>0</v>
      </c>
      <c r="P17892">
        <f>IF(OR(M17892="",N17892=""),"",SUMIFS('Barang Keluar'!$E:$E,'Barang Keluar'!$A:$A,M17892,'Barang Keluar'!$C:$C,N17892))</f>
        <v>0</v>
      </c>
    </row>
    <row r="17893" spans="13:16">
      <c r="M17893" s="49">
        <f>IF($A$4+178&gt;$B$4,"",$A$4+178)</f>
        <v>46201</v>
      </c>
      <c r="N17893">
        <f>IF(M17893="","",'Master Barang'!A87)</f>
        <v>0</v>
      </c>
      <c r="O17893">
        <f>IF(N17893="","",'Master Barang'!B87)</f>
        <v>0</v>
      </c>
      <c r="P17893">
        <f>IF(OR(M17893="",N17893=""),"",SUMIFS('Barang Keluar'!$E:$E,'Barang Keluar'!$A:$A,M17893,'Barang Keluar'!$C:$C,N17893))</f>
        <v>0</v>
      </c>
    </row>
    <row r="17894" spans="13:16">
      <c r="M17894" s="49">
        <f>IF($A$4+178&gt;$B$4,"",$A$4+178)</f>
        <v>46201</v>
      </c>
      <c r="N17894">
        <f>IF(M17894="","",'Master Barang'!A88)</f>
        <v>0</v>
      </c>
      <c r="O17894">
        <f>IF(N17894="","",'Master Barang'!B88)</f>
        <v>0</v>
      </c>
      <c r="P17894">
        <f>IF(OR(M17894="",N17894=""),"",SUMIFS('Barang Keluar'!$E:$E,'Barang Keluar'!$A:$A,M17894,'Barang Keluar'!$C:$C,N17894))</f>
        <v>0</v>
      </c>
    </row>
    <row r="17895" spans="13:16">
      <c r="M17895" s="49">
        <f>IF($A$4+178&gt;$B$4,"",$A$4+178)</f>
        <v>46201</v>
      </c>
      <c r="N17895">
        <f>IF(M17895="","",'Master Barang'!A89)</f>
        <v>0</v>
      </c>
      <c r="O17895">
        <f>IF(N17895="","",'Master Barang'!B89)</f>
        <v>0</v>
      </c>
      <c r="P17895">
        <f>IF(OR(M17895="",N17895=""),"",SUMIFS('Barang Keluar'!$E:$E,'Barang Keluar'!$A:$A,M17895,'Barang Keluar'!$C:$C,N17895))</f>
        <v>0</v>
      </c>
    </row>
    <row r="17896" spans="13:16">
      <c r="M17896" s="49">
        <f>IF($A$4+178&gt;$B$4,"",$A$4+178)</f>
        <v>46201</v>
      </c>
      <c r="N17896">
        <f>IF(M17896="","",'Master Barang'!A90)</f>
        <v>0</v>
      </c>
      <c r="O17896">
        <f>IF(N17896="","",'Master Barang'!B90)</f>
        <v>0</v>
      </c>
      <c r="P17896">
        <f>IF(OR(M17896="",N17896=""),"",SUMIFS('Barang Keluar'!$E:$E,'Barang Keluar'!$A:$A,M17896,'Barang Keluar'!$C:$C,N17896))</f>
        <v>0</v>
      </c>
    </row>
    <row r="17897" spans="13:16">
      <c r="M17897" s="49">
        <f>IF($A$4+178&gt;$B$4,"",$A$4+178)</f>
        <v>46201</v>
      </c>
      <c r="N17897">
        <f>IF(M17897="","",'Master Barang'!A91)</f>
        <v>0</v>
      </c>
      <c r="O17897">
        <f>IF(N17897="","",'Master Barang'!B91)</f>
        <v>0</v>
      </c>
      <c r="P17897">
        <f>IF(OR(M17897="",N17897=""),"",SUMIFS('Barang Keluar'!$E:$E,'Barang Keluar'!$A:$A,M17897,'Barang Keluar'!$C:$C,N17897))</f>
        <v>0</v>
      </c>
    </row>
    <row r="17898" spans="13:16">
      <c r="M17898" s="49">
        <f>IF($A$4+178&gt;$B$4,"",$A$4+178)</f>
        <v>46201</v>
      </c>
      <c r="N17898">
        <f>IF(M17898="","",'Master Barang'!A92)</f>
        <v>0</v>
      </c>
      <c r="O17898">
        <f>IF(N17898="","",'Master Barang'!B92)</f>
        <v>0</v>
      </c>
      <c r="P17898">
        <f>IF(OR(M17898="",N17898=""),"",SUMIFS('Barang Keluar'!$E:$E,'Barang Keluar'!$A:$A,M17898,'Barang Keluar'!$C:$C,N17898))</f>
        <v>0</v>
      </c>
    </row>
    <row r="17899" spans="13:16">
      <c r="M17899" s="49">
        <f>IF($A$4+178&gt;$B$4,"",$A$4+178)</f>
        <v>46201</v>
      </c>
      <c r="N17899">
        <f>IF(M17899="","",'Master Barang'!A93)</f>
        <v>0</v>
      </c>
      <c r="O17899">
        <f>IF(N17899="","",'Master Barang'!B93)</f>
        <v>0</v>
      </c>
      <c r="P17899">
        <f>IF(OR(M17899="",N17899=""),"",SUMIFS('Barang Keluar'!$E:$E,'Barang Keluar'!$A:$A,M17899,'Barang Keluar'!$C:$C,N17899))</f>
        <v>0</v>
      </c>
    </row>
    <row r="17900" spans="13:16">
      <c r="M17900" s="49">
        <f>IF($A$4+178&gt;$B$4,"",$A$4+178)</f>
        <v>46201</v>
      </c>
      <c r="N17900">
        <f>IF(M17900="","",'Master Barang'!A94)</f>
        <v>0</v>
      </c>
      <c r="O17900">
        <f>IF(N17900="","",'Master Barang'!B94)</f>
        <v>0</v>
      </c>
      <c r="P17900">
        <f>IF(OR(M17900="",N17900=""),"",SUMIFS('Barang Keluar'!$E:$E,'Barang Keluar'!$A:$A,M17900,'Barang Keluar'!$C:$C,N17900))</f>
        <v>0</v>
      </c>
    </row>
    <row r="17901" spans="13:16">
      <c r="M17901" s="49">
        <f>IF($A$4+178&gt;$B$4,"",$A$4+178)</f>
        <v>46201</v>
      </c>
      <c r="N17901">
        <f>IF(M17901="","",'Master Barang'!A95)</f>
        <v>0</v>
      </c>
      <c r="O17901">
        <f>IF(N17901="","",'Master Barang'!B95)</f>
        <v>0</v>
      </c>
      <c r="P17901">
        <f>IF(OR(M17901="",N17901=""),"",SUMIFS('Barang Keluar'!$E:$E,'Barang Keluar'!$A:$A,M17901,'Barang Keluar'!$C:$C,N17901))</f>
        <v>0</v>
      </c>
    </row>
    <row r="17902" spans="13:16">
      <c r="M17902" s="49">
        <f>IF($A$4+178&gt;$B$4,"",$A$4+178)</f>
        <v>46201</v>
      </c>
      <c r="N17902">
        <f>IF(M17902="","",'Master Barang'!A96)</f>
        <v>0</v>
      </c>
      <c r="O17902">
        <f>IF(N17902="","",'Master Barang'!B96)</f>
        <v>0</v>
      </c>
      <c r="P17902">
        <f>IF(OR(M17902="",N17902=""),"",SUMIFS('Barang Keluar'!$E:$E,'Barang Keluar'!$A:$A,M17902,'Barang Keluar'!$C:$C,N17902))</f>
        <v>0</v>
      </c>
    </row>
    <row r="17903" spans="13:16">
      <c r="M17903" s="49">
        <f>IF($A$4+178&gt;$B$4,"",$A$4+178)</f>
        <v>46201</v>
      </c>
      <c r="N17903">
        <f>IF(M17903="","",'Master Barang'!A97)</f>
        <v>0</v>
      </c>
      <c r="O17903">
        <f>IF(N17903="","",'Master Barang'!B97)</f>
        <v>0</v>
      </c>
      <c r="P17903">
        <f>IF(OR(M17903="",N17903=""),"",SUMIFS('Barang Keluar'!$E:$E,'Barang Keluar'!$A:$A,M17903,'Barang Keluar'!$C:$C,N17903))</f>
        <v>0</v>
      </c>
    </row>
    <row r="17904" spans="13:16">
      <c r="M17904" s="49">
        <f>IF($A$4+178&gt;$B$4,"",$A$4+178)</f>
        <v>46201</v>
      </c>
      <c r="N17904">
        <f>IF(M17904="","",'Master Barang'!A98)</f>
        <v>0</v>
      </c>
      <c r="O17904">
        <f>IF(N17904="","",'Master Barang'!B98)</f>
        <v>0</v>
      </c>
      <c r="P17904">
        <f>IF(OR(M17904="",N17904=""),"",SUMIFS('Barang Keluar'!$E:$E,'Barang Keluar'!$A:$A,M17904,'Barang Keluar'!$C:$C,N17904))</f>
        <v>0</v>
      </c>
    </row>
    <row r="17905" spans="13:16">
      <c r="M17905" s="49">
        <f>IF($A$4+178&gt;$B$4,"",$A$4+178)</f>
        <v>46201</v>
      </c>
      <c r="N17905">
        <f>IF(M17905="","",'Master Barang'!A99)</f>
        <v>0</v>
      </c>
      <c r="O17905">
        <f>IF(N17905="","",'Master Barang'!B99)</f>
        <v>0</v>
      </c>
      <c r="P17905">
        <f>IF(OR(M17905="",N17905=""),"",SUMIFS('Barang Keluar'!$E:$E,'Barang Keluar'!$A:$A,M17905,'Barang Keluar'!$C:$C,N17905))</f>
        <v>0</v>
      </c>
    </row>
    <row r="17906" spans="13:16">
      <c r="M17906" s="49">
        <f>IF($A$4+178&gt;$B$4,"",$A$4+178)</f>
        <v>46201</v>
      </c>
      <c r="N17906">
        <f>IF(M17906="","",'Master Barang'!A100)</f>
        <v>0</v>
      </c>
      <c r="O17906">
        <f>IF(N17906="","",'Master Barang'!B100)</f>
        <v>0</v>
      </c>
      <c r="P17906">
        <f>IF(OR(M17906="",N17906=""),"",SUMIFS('Barang Keluar'!$E:$E,'Barang Keluar'!$A:$A,M17906,'Barang Keluar'!$C:$C,N17906))</f>
        <v>0</v>
      </c>
    </row>
    <row r="17907" spans="13:16">
      <c r="M17907" s="49">
        <f>IF($A$4+178&gt;$B$4,"",$A$4+178)</f>
        <v>46201</v>
      </c>
      <c r="N17907">
        <f>IF(M17907="","",'Master Barang'!A101)</f>
        <v>0</v>
      </c>
      <c r="O17907">
        <f>IF(N17907="","",'Master Barang'!B101)</f>
        <v>0</v>
      </c>
      <c r="P17907">
        <f>IF(OR(M17907="",N17907=""),"",SUMIFS('Barang Keluar'!$E:$E,'Barang Keluar'!$A:$A,M17907,'Barang Keluar'!$C:$C,N17907))</f>
        <v>0</v>
      </c>
    </row>
    <row r="17908" spans="13:16">
      <c r="M17908" s="49">
        <f>IF($A$4+179&gt;$B$4,"",$A$4+179)</f>
        <v>46202</v>
      </c>
      <c r="N17908" t="str">
        <f>IF(M17908="","",'Master Barang'!A2)</f>
        <v>PRL-001</v>
      </c>
      <c r="O17908" t="str">
        <f>IF(N17908="","",'Master Barang'!B2)</f>
        <v>natura desinfectant food grade 5l</v>
      </c>
      <c r="P17908">
        <f>IF(OR(M17908="",N17908=""),"",SUMIFS('Barang Keluar'!$E:$E,'Barang Keluar'!$A:$A,M17908,'Barang Keluar'!$C:$C,N17908))</f>
        <v>0</v>
      </c>
    </row>
    <row r="17909" spans="13:16">
      <c r="M17909" s="49">
        <f>IF($A$4+179&gt;$B$4,"",$A$4+179)</f>
        <v>46202</v>
      </c>
      <c r="N17909" t="str">
        <f>IF(M17909="","",'Master Barang'!A3)</f>
        <v>PRL-002</v>
      </c>
      <c r="O17909" t="str">
        <f>IF(N17909="","",'Master Barang'!B3)</f>
        <v>sunlight cairan pencuci piring 5l</v>
      </c>
      <c r="P17909">
        <f>IF(OR(M17909="",N17909=""),"",SUMIFS('Barang Keluar'!$E:$E,'Barang Keluar'!$A:$A,M17909,'Barang Keluar'!$C:$C,N17909))</f>
        <v>0</v>
      </c>
    </row>
    <row r="17910" spans="13:16">
      <c r="M17910" s="49">
        <f>IF($A$4+179&gt;$B$4,"",$A$4+179)</f>
        <v>46202</v>
      </c>
      <c r="N17910" t="str">
        <f>IF(M17910="","",'Master Barang'!A4)</f>
        <v>PRL-003</v>
      </c>
      <c r="O17910" t="str">
        <f>IF(N17910="","",'Master Barang'!B4)</f>
        <v>oixs cleaner 1l</v>
      </c>
      <c r="P17910">
        <f>IF(OR(M17910="",N17910=""),"",SUMIFS('Barang Keluar'!$E:$E,'Barang Keluar'!$A:$A,M17910,'Barang Keluar'!$C:$C,N17910))</f>
        <v>0</v>
      </c>
    </row>
    <row r="17911" spans="13:16">
      <c r="M17911" s="49">
        <f>IF($A$4+179&gt;$B$4,"",$A$4+179)</f>
        <v>46202</v>
      </c>
      <c r="N17911" t="str">
        <f>IF(M17911="","",'Master Barang'!A5)</f>
        <v>PRL-004</v>
      </c>
      <c r="O17911" t="str">
        <f>IF(N17911="","",'Master Barang'!B5)</f>
        <v>be clean tissue serbaguna</v>
      </c>
      <c r="P17911">
        <f>IF(OR(M17911="",N17911=""),"",SUMIFS('Barang Keluar'!$E:$E,'Barang Keluar'!$A:$A,M17911,'Barang Keluar'!$C:$C,N17911))</f>
        <v>0</v>
      </c>
    </row>
    <row r="17912" spans="13:16">
      <c r="M17912" s="49">
        <f>IF($A$4+179&gt;$B$4,"",$A$4+179)</f>
        <v>46202</v>
      </c>
      <c r="N17912" t="str">
        <f>IF(M17912="","",'Master Barang'!A6)</f>
        <v>PRL-005</v>
      </c>
      <c r="O17912" t="str">
        <f>IF(N17912="","",'Master Barang'!B6)</f>
        <v>spons cuci hijau</v>
      </c>
      <c r="P17912">
        <f>IF(OR(M17912="",N17912=""),"",SUMIFS('Barang Keluar'!$E:$E,'Barang Keluar'!$A:$A,M17912,'Barang Keluar'!$C:$C,N17912))</f>
        <v>0</v>
      </c>
    </row>
    <row r="17913" spans="13:16">
      <c r="M17913" s="49">
        <f>IF($A$4+179&gt;$B$4,"",$A$4+179)</f>
        <v>46202</v>
      </c>
      <c r="N17913" t="str">
        <f>IF(M17913="","",'Master Barang'!A7)</f>
        <v>PRL-006</v>
      </c>
      <c r="O17913" t="str">
        <f>IF(N17913="","",'Master Barang'!B7)</f>
        <v>sabut cuci stainless</v>
      </c>
      <c r="P17913">
        <f>IF(OR(M17913="",N17913=""),"",SUMIFS('Barang Keluar'!$E:$E,'Barang Keluar'!$A:$A,M17913,'Barang Keluar'!$C:$C,N17913))</f>
        <v>0</v>
      </c>
    </row>
    <row r="17914" spans="13:16">
      <c r="M17914" s="49">
        <f>IF($A$4+179&gt;$B$4,"",$A$4+179)</f>
        <v>46202</v>
      </c>
      <c r="N17914" t="str">
        <f>IF(M17914="","",'Master Barang'!A8)</f>
        <v>PRL-007</v>
      </c>
      <c r="O17914" t="str">
        <f>IF(N17914="","",'Master Barang'!B8)</f>
        <v>plastik kresek besar merah 50pc</v>
      </c>
      <c r="P17914">
        <f>IF(OR(M17914="",N17914=""),"",SUMIFS('Barang Keluar'!$E:$E,'Barang Keluar'!$A:$A,M17914,'Barang Keluar'!$C:$C,N17914))</f>
        <v>0</v>
      </c>
    </row>
    <row r="17915" spans="13:16">
      <c r="M17915" s="49">
        <f>IF($A$4+179&gt;$B$4,"",$A$4+179)</f>
        <v>46202</v>
      </c>
      <c r="N17915" t="str">
        <f>IF(M17915="","",'Master Barang'!A9)</f>
        <v>PRL-008</v>
      </c>
      <c r="O17915" t="str">
        <f>IF(N17915="","",'Master Barang'!B9)</f>
        <v>lap besar</v>
      </c>
      <c r="P17915">
        <f>IF(OR(M17915="",N17915=""),"",SUMIFS('Barang Keluar'!$E:$E,'Barang Keluar'!$A:$A,M17915,'Barang Keluar'!$C:$C,N17915))</f>
        <v>0</v>
      </c>
    </row>
    <row r="17916" spans="13:16">
      <c r="M17916" s="49">
        <f>IF($A$4+179&gt;$B$4,"",$A$4+179)</f>
        <v>46202</v>
      </c>
      <c r="N17916" t="str">
        <f>IF(M17916="","",'Master Barang'!A10)</f>
        <v>PRL-009</v>
      </c>
      <c r="O17916" t="str">
        <f>IF(N17916="","",'Master Barang'!B10)</f>
        <v>lap microfiber</v>
      </c>
      <c r="P17916">
        <f>IF(OR(M17916="",N17916=""),"",SUMIFS('Barang Keluar'!$E:$E,'Barang Keluar'!$A:$A,M17916,'Barang Keluar'!$C:$C,N17916))</f>
        <v>0</v>
      </c>
    </row>
    <row r="17917" spans="13:16">
      <c r="M17917" s="49">
        <f>IF($A$4+179&gt;$B$4,"",$A$4+179)</f>
        <v>46202</v>
      </c>
      <c r="N17917" t="str">
        <f>IF(M17917="","",'Master Barang'!A11)</f>
        <v>PRL-010</v>
      </c>
      <c r="O17917" t="str">
        <f>IF(N17917="","",'Master Barang'!B11)</f>
        <v>lap kecil</v>
      </c>
      <c r="P17917">
        <f>IF(OR(M17917="",N17917=""),"",SUMIFS('Barang Keluar'!$E:$E,'Barang Keluar'!$A:$A,M17917,'Barang Keluar'!$C:$C,N17917))</f>
        <v>0</v>
      </c>
    </row>
    <row r="17918" spans="13:16">
      <c r="M17918" s="49">
        <f>IF($A$4+179&gt;$B$4,"",$A$4+179)</f>
        <v>46202</v>
      </c>
      <c r="N17918" t="str">
        <f>IF(M17918="","",'Master Barang'!A12)</f>
        <v>PRL-011</v>
      </c>
      <c r="O17918" t="str">
        <f>IF(N17918="","",'Master Barang'!B12)</f>
        <v>kanebo kecil</v>
      </c>
      <c r="P17918">
        <f>IF(OR(M17918="",N17918=""),"",SUMIFS('Barang Keluar'!$E:$E,'Barang Keluar'!$A:$A,M17918,'Barang Keluar'!$C:$C,N17918))</f>
        <v>0</v>
      </c>
    </row>
    <row r="17919" spans="13:16">
      <c r="M17919" s="49">
        <f>IF($A$4+179&gt;$B$4,"",$A$4+179)</f>
        <v>46202</v>
      </c>
      <c r="N17919" t="str">
        <f>IF(M17919="","",'Master Barang'!A13)</f>
        <v>PRL-012</v>
      </c>
      <c r="O17919" t="str">
        <f>IF(N17919="","",'Master Barang'!B13)</f>
        <v>plastik 1/4kg joyoboyo 100 lembar</v>
      </c>
      <c r="P17919">
        <f>IF(OR(M17919="",N17919=""),"",SUMIFS('Barang Keluar'!$E:$E,'Barang Keluar'!$A:$A,M17919,'Barang Keluar'!$C:$C,N17919))</f>
        <v>0</v>
      </c>
    </row>
    <row r="17920" spans="13:16">
      <c r="M17920" s="49">
        <f>IF($A$4+179&gt;$B$4,"",$A$4+179)</f>
        <v>46202</v>
      </c>
      <c r="N17920" t="str">
        <f>IF(M17920="","",'Master Barang'!A14)</f>
        <v>PRL-013</v>
      </c>
      <c r="O17920" t="str">
        <f>IF(N17920="","",'Master Barang'!B14)</f>
        <v>sarung tangan plastik kaka 100 pcs</v>
      </c>
      <c r="P17920">
        <f>IF(OR(M17920="",N17920=""),"",SUMIFS('Barang Keluar'!$E:$E,'Barang Keluar'!$A:$A,M17920,'Barang Keluar'!$C:$C,N17920))</f>
        <v>0</v>
      </c>
    </row>
    <row r="17921" spans="13:16">
      <c r="M17921" s="49">
        <f>IF($A$4+179&gt;$B$4,"",$A$4+179)</f>
        <v>46202</v>
      </c>
      <c r="N17921" t="str">
        <f>IF(M17921="","",'Master Barang'!A15)</f>
        <v>PRL-014</v>
      </c>
      <c r="O17921" t="str">
        <f>IF(N17921="","",'Master Barang'!B15)</f>
        <v>optima trashbag 80x100</v>
      </c>
      <c r="P17921">
        <f>IF(OR(M17921="",N17921=""),"",SUMIFS('Barang Keluar'!$E:$E,'Barang Keluar'!$A:$A,M17921,'Barang Keluar'!$C:$C,N17921))</f>
        <v>0</v>
      </c>
    </row>
    <row r="17922" spans="13:16">
      <c r="M17922" s="49">
        <f>IF($A$4+179&gt;$B$4,"",$A$4+179)</f>
        <v>46202</v>
      </c>
      <c r="N17922" t="str">
        <f>IF(M17922="","",'Master Barang'!A16)</f>
        <v>PRL-015</v>
      </c>
      <c r="O17922" t="str">
        <f>IF(N17922="","",'Master Barang'!B16)</f>
        <v>optima trashbag 60x100</v>
      </c>
      <c r="P17922">
        <f>IF(OR(M17922="",N17922=""),"",SUMIFS('Barang Keluar'!$E:$E,'Barang Keluar'!$A:$A,M17922,'Barang Keluar'!$C:$C,N17922))</f>
        <v>0</v>
      </c>
    </row>
    <row r="17923" spans="13:16">
      <c r="M17923" s="49">
        <f>IF($A$4+179&gt;$B$4,"",$A$4+179)</f>
        <v>46202</v>
      </c>
      <c r="N17923" t="str">
        <f>IF(M17923="","",'Master Barang'!A17)</f>
        <v>PRL-016</v>
      </c>
      <c r="O17923" t="str">
        <f>IF(N17923="","",'Master Barang'!B17)</f>
        <v>rajawali trashbag 30x40</v>
      </c>
      <c r="P17923">
        <f>IF(OR(M17923="",N17923=""),"",SUMIFS('Barang Keluar'!$E:$E,'Barang Keluar'!$A:$A,M17923,'Barang Keluar'!$C:$C,N17923))</f>
        <v>0</v>
      </c>
    </row>
    <row r="17924" spans="13:16">
      <c r="M17924" s="49">
        <f>IF($A$4+179&gt;$B$4,"",$A$4+179)</f>
        <v>46202</v>
      </c>
      <c r="N17924" t="str">
        <f>IF(M17924="","",'Master Barang'!A18)</f>
        <v>PRL-017</v>
      </c>
      <c r="O17924" t="str">
        <f>IF(N17924="","",'Master Barang'!B18)</f>
        <v>onemed masker biru 3 play 50 pcs</v>
      </c>
      <c r="P17924">
        <f>IF(OR(M17924="",N17924=""),"",SUMIFS('Barang Keluar'!$E:$E,'Barang Keluar'!$A:$A,M17924,'Barang Keluar'!$C:$C,N17924))</f>
        <v>0</v>
      </c>
    </row>
    <row r="17925" spans="13:16">
      <c r="M17925" s="49">
        <f>IF($A$4+179&gt;$B$4,"",$A$4+179)</f>
        <v>46202</v>
      </c>
      <c r="N17925" t="str">
        <f>IF(M17925="","",'Master Barang'!A19)</f>
        <v>PRL-018</v>
      </c>
      <c r="O17925" t="str">
        <f>IF(N17925="","",'Master Barang'!B19)</f>
        <v>onemed masker biru 3 play hijab 50 pcs</v>
      </c>
      <c r="P17925">
        <f>IF(OR(M17925="",N17925=""),"",SUMIFS('Barang Keluar'!$E:$E,'Barang Keluar'!$A:$A,M17925,'Barang Keluar'!$C:$C,N17925))</f>
        <v>0</v>
      </c>
    </row>
    <row r="17926" spans="13:16">
      <c r="M17926" s="49">
        <f>IF($A$4+179&gt;$B$4,"",$A$4+179)</f>
        <v>46202</v>
      </c>
      <c r="N17926" t="str">
        <f>IF(M17926="","",'Master Barang'!A20)</f>
        <v>PRL-019</v>
      </c>
      <c r="O17926" t="str">
        <f>IF(N17926="","",'Master Barang'!B20)</f>
        <v>neo health masker biru 3 play 50 pcs</v>
      </c>
      <c r="P17926">
        <f>IF(OR(M17926="",N17926=""),"",SUMIFS('Barang Keluar'!$E:$E,'Barang Keluar'!$A:$A,M17926,'Barang Keluar'!$C:$C,N17926))</f>
        <v>0</v>
      </c>
    </row>
    <row r="17927" spans="13:16">
      <c r="M17927" s="49">
        <f>IF($A$4+179&gt;$B$4,"",$A$4+179)</f>
        <v>46202</v>
      </c>
      <c r="N17927" t="str">
        <f>IF(M17927="","",'Master Barang'!A21)</f>
        <v>PRL-020</v>
      </c>
      <c r="O17927" t="str">
        <f>IF(N17927="","",'Master Barang'!B21)</f>
        <v>baymed masker hijau 3 play hijau 50 pcs</v>
      </c>
      <c r="P17927">
        <f>IF(OR(M17927="",N17927=""),"",SUMIFS('Barang Keluar'!$E:$E,'Barang Keluar'!$A:$A,M17927,'Barang Keluar'!$C:$C,N17927))</f>
        <v>0</v>
      </c>
    </row>
    <row r="17928" spans="13:16">
      <c r="M17928" s="49">
        <f>IF($A$4+179&gt;$B$4,"",$A$4+179)</f>
        <v>46202</v>
      </c>
      <c r="N17928" t="str">
        <f>IF(M17928="","",'Master Barang'!A22)</f>
        <v>PRL-021</v>
      </c>
      <c r="O17928" t="str">
        <f>IF(N17928="","",'Master Barang'!B22)</f>
        <v>altamed nurse cap penutup kepala 100 pcs</v>
      </c>
      <c r="P17928">
        <f>IF(OR(M17928="",N17928=""),"",SUMIFS('Barang Keluar'!$E:$E,'Barang Keluar'!$A:$A,M17928,'Barang Keluar'!$C:$C,N17928))</f>
        <v>0</v>
      </c>
    </row>
    <row r="17929" spans="13:16">
      <c r="M17929" s="49">
        <f>IF($A$4+179&gt;$B$4,"",$A$4+179)</f>
        <v>46202</v>
      </c>
      <c r="N17929" t="str">
        <f>IF(M17929="","",'Master Barang'!A23)</f>
        <v>PRL-022</v>
      </c>
      <c r="O17929" t="str">
        <f>IF(N17929="","",'Master Barang'!B23)</f>
        <v>sabun cuci tangan</v>
      </c>
      <c r="P17929">
        <f>IF(OR(M17929="",N17929=""),"",SUMIFS('Barang Keluar'!$E:$E,'Barang Keluar'!$A:$A,M17929,'Barang Keluar'!$C:$C,N17929))</f>
        <v>0</v>
      </c>
    </row>
    <row r="17930" spans="13:16">
      <c r="M17930" s="49">
        <f>IF($A$4+179&gt;$B$4,"",$A$4+179)</f>
        <v>46202</v>
      </c>
      <c r="N17930" t="str">
        <f>IF(M17930="","",'Master Barang'!A24)</f>
        <v>PRL-023</v>
      </c>
      <c r="O17930" t="str">
        <f>IF(N17930="","",'Master Barang'!B24)</f>
        <v>gayung kecil</v>
      </c>
      <c r="P17930">
        <f>IF(OR(M17930="",N17930=""),"",SUMIFS('Barang Keluar'!$E:$E,'Barang Keluar'!$A:$A,M17930,'Barang Keluar'!$C:$C,N17930))</f>
        <v>0</v>
      </c>
    </row>
    <row r="17931" spans="13:16">
      <c r="M17931" s="49">
        <f>IF($A$4+179&gt;$B$4,"",$A$4+179)</f>
        <v>46202</v>
      </c>
      <c r="N17931" t="str">
        <f>IF(M17931="","",'Master Barang'!A25)</f>
        <v>PRL-024</v>
      </c>
      <c r="O17931" t="str">
        <f>IF(N17931="","",'Master Barang'!B25)</f>
        <v>cikrak kecil</v>
      </c>
      <c r="P17931">
        <f>IF(OR(M17931="",N17931=""),"",SUMIFS('Barang Keluar'!$E:$E,'Barang Keluar'!$A:$A,M17931,'Barang Keluar'!$C:$C,N17931))</f>
        <v>0</v>
      </c>
    </row>
    <row r="17932" spans="13:16">
      <c r="M17932" s="49">
        <f>IF($A$4+179&gt;$B$4,"",$A$4+179)</f>
        <v>46202</v>
      </c>
      <c r="N17932" t="str">
        <f>IF(M17932="","",'Master Barang'!A26)</f>
        <v>PRL-025</v>
      </c>
      <c r="O17932" t="str">
        <f>IF(N17932="","",'Master Barang'!B26)</f>
        <v>petromax plastik kecil 12x24 100 lembar</v>
      </c>
      <c r="P17932">
        <f>IF(OR(M17932="",N17932=""),"",SUMIFS('Barang Keluar'!$E:$E,'Barang Keluar'!$A:$A,M17932,'Barang Keluar'!$C:$C,N17932))</f>
        <v>0</v>
      </c>
    </row>
    <row r="17933" spans="13:16">
      <c r="M17933" s="49">
        <f>IF($A$4+179&gt;$B$4,"",$A$4+179)</f>
        <v>46202</v>
      </c>
      <c r="N17933" t="str">
        <f>IF(M17933="","",'Master Barang'!A27)</f>
        <v>PRL-026</v>
      </c>
      <c r="O17933" t="str">
        <f>IF(N17933="","",'Master Barang'!B27)</f>
        <v>lancar kresek kecil bening </v>
      </c>
      <c r="P17933">
        <f>IF(OR(M17933="",N17933=""),"",SUMIFS('Barang Keluar'!$E:$E,'Barang Keluar'!$A:$A,M17933,'Barang Keluar'!$C:$C,N17933))</f>
        <v>0</v>
      </c>
    </row>
    <row r="17934" spans="13:16">
      <c r="M17934" s="49">
        <f>IF($A$4+179&gt;$B$4,"",$A$4+179)</f>
        <v>46202</v>
      </c>
      <c r="N17934" t="str">
        <f>IF(M17934="","",'Master Barang'!A28)</f>
        <v>PRL-027</v>
      </c>
      <c r="O17934" t="str">
        <f>IF(N17934="","",'Master Barang'!B28)</f>
        <v>kresek klin warna warni kecil</v>
      </c>
      <c r="P17934">
        <f>IF(OR(M17934="",N17934=""),"",SUMIFS('Barang Keluar'!$E:$E,'Barang Keluar'!$A:$A,M17934,'Barang Keluar'!$C:$C,N17934))</f>
        <v>0</v>
      </c>
    </row>
    <row r="17935" spans="13:16">
      <c r="M17935" s="49">
        <f>IF($A$4+179&gt;$B$4,"",$A$4+179)</f>
        <v>46202</v>
      </c>
      <c r="N17935" t="str">
        <f>IF(M17935="","",'Master Barang'!A29)</f>
        <v>PRL-028</v>
      </c>
      <c r="O17935" t="str">
        <f>IF(N17935="","",'Master Barang'!B29)</f>
        <v>ctik plastik 7x10 100 pcs</v>
      </c>
      <c r="P17935">
        <f>IF(OR(M17935="",N17935=""),"",SUMIFS('Barang Keluar'!$E:$E,'Barang Keluar'!$A:$A,M17935,'Barang Keluar'!$C:$C,N17935))</f>
        <v>0</v>
      </c>
    </row>
    <row r="17936" spans="13:16">
      <c r="M17936" s="49">
        <f>IF($A$4+179&gt;$B$4,"",$A$4+179)</f>
        <v>46202</v>
      </c>
      <c r="N17936" t="str">
        <f>IF(M17936="","",'Master Barang'!A30)</f>
        <v>PRL-029</v>
      </c>
      <c r="O17936" t="str">
        <f>IF(N17936="","",'Master Barang'!B30)</f>
        <v>ctik plastik 6x10 100 pcs</v>
      </c>
      <c r="P17936">
        <f>IF(OR(M17936="",N17936=""),"",SUMIFS('Barang Keluar'!$E:$E,'Barang Keluar'!$A:$A,M17936,'Barang Keluar'!$C:$C,N17936))</f>
        <v>0</v>
      </c>
    </row>
    <row r="17937" spans="13:16">
      <c r="M17937" s="49">
        <f>IF($A$4+179&gt;$B$4,"",$A$4+179)</f>
        <v>46202</v>
      </c>
      <c r="N17937" t="str">
        <f>IF(M17937="","",'Master Barang'!A31)</f>
        <v>PRL-030</v>
      </c>
      <c r="O17937" t="str">
        <f>IF(N17937="","",'Master Barang'!B31)</f>
        <v>klip plastik 25x16 100 pcs</v>
      </c>
      <c r="P17937">
        <f>IF(OR(M17937="",N17937=""),"",SUMIFS('Barang Keluar'!$E:$E,'Barang Keluar'!$A:$A,M17937,'Barang Keluar'!$C:$C,N17937))</f>
        <v>0</v>
      </c>
    </row>
    <row r="17938" spans="13:16">
      <c r="M17938" s="49">
        <f>IF($A$4+179&gt;$B$4,"",$A$4+179)</f>
        <v>46202</v>
      </c>
      <c r="N17938" t="str">
        <f>IF(M17938="","",'Master Barang'!A32)</f>
        <v>PRL-031</v>
      </c>
      <c r="O17938" t="str">
        <f>IF(N17938="","",'Master Barang'!B32)</f>
        <v>tempat saus 20 ml</v>
      </c>
      <c r="P17938">
        <f>IF(OR(M17938="",N17938=""),"",SUMIFS('Barang Keluar'!$E:$E,'Barang Keluar'!$A:$A,M17938,'Barang Keluar'!$C:$C,N17938))</f>
        <v>0</v>
      </c>
    </row>
    <row r="17939" spans="13:16">
      <c r="M17939" s="49">
        <f>IF($A$4+179&gt;$B$4,"",$A$4+179)</f>
        <v>46202</v>
      </c>
      <c r="N17939" t="str">
        <f>IF(M17939="","",'Master Barang'!A33)</f>
        <v>PRL-032</v>
      </c>
      <c r="O17939" t="str">
        <f>IF(N17939="","",'Master Barang'!B33)</f>
        <v>plastik packaging ag box uk sedang</v>
      </c>
      <c r="P17939">
        <f>IF(OR(M17939="",N17939=""),"",SUMIFS('Barang Keluar'!$E:$E,'Barang Keluar'!$A:$A,M17939,'Barang Keluar'!$C:$C,N17939))</f>
        <v>0</v>
      </c>
    </row>
    <row r="17940" spans="13:16">
      <c r="M17940" s="49">
        <f>IF($A$4+179&gt;$B$4,"",$A$4+179)</f>
        <v>46202</v>
      </c>
      <c r="N17940" t="str">
        <f>IF(M17940="","",'Master Barang'!A34)</f>
        <v>PRL-033</v>
      </c>
      <c r="O17940">
        <f>IF(N17940="","",'Master Barang'!B34)</f>
        <v>0</v>
      </c>
      <c r="P17940">
        <f>IF(OR(M17940="",N17940=""),"",SUMIFS('Barang Keluar'!$E:$E,'Barang Keluar'!$A:$A,M17940,'Barang Keluar'!$C:$C,N17940))</f>
        <v>0</v>
      </c>
    </row>
    <row r="17941" spans="13:16">
      <c r="M17941" s="49">
        <f>IF($A$4+179&gt;$B$4,"",$A$4+179)</f>
        <v>46202</v>
      </c>
      <c r="N17941">
        <f>IF(M17941="","",'Master Barang'!A35)</f>
        <v>0</v>
      </c>
      <c r="O17941">
        <f>IF(N17941="","",'Master Barang'!B35)</f>
        <v>0</v>
      </c>
      <c r="P17941">
        <f>IF(OR(M17941="",N17941=""),"",SUMIFS('Barang Keluar'!$E:$E,'Barang Keluar'!$A:$A,M17941,'Barang Keluar'!$C:$C,N17941))</f>
        <v>0</v>
      </c>
    </row>
    <row r="17942" spans="13:16">
      <c r="M17942" s="49">
        <f>IF($A$4+179&gt;$B$4,"",$A$4+179)</f>
        <v>46202</v>
      </c>
      <c r="N17942">
        <f>IF(M17942="","",'Master Barang'!A36)</f>
        <v>0</v>
      </c>
      <c r="O17942">
        <f>IF(N17942="","",'Master Barang'!B36)</f>
        <v>0</v>
      </c>
      <c r="P17942">
        <f>IF(OR(M17942="",N17942=""),"",SUMIFS('Barang Keluar'!$E:$E,'Barang Keluar'!$A:$A,M17942,'Barang Keluar'!$C:$C,N17942))</f>
        <v>0</v>
      </c>
    </row>
    <row r="17943" spans="13:16">
      <c r="M17943" s="49">
        <f>IF($A$4+179&gt;$B$4,"",$A$4+179)</f>
        <v>46202</v>
      </c>
      <c r="N17943">
        <f>IF(M17943="","",'Master Barang'!A37)</f>
        <v>0</v>
      </c>
      <c r="O17943">
        <f>IF(N17943="","",'Master Barang'!B37)</f>
        <v>0</v>
      </c>
      <c r="P17943">
        <f>IF(OR(M17943="",N17943=""),"",SUMIFS('Barang Keluar'!$E:$E,'Barang Keluar'!$A:$A,M17943,'Barang Keluar'!$C:$C,N17943))</f>
        <v>0</v>
      </c>
    </row>
    <row r="17944" spans="13:16">
      <c r="M17944" s="49">
        <f>IF($A$4+179&gt;$B$4,"",$A$4+179)</f>
        <v>46202</v>
      </c>
      <c r="N17944">
        <f>IF(M17944="","",'Master Barang'!A38)</f>
        <v>0</v>
      </c>
      <c r="O17944">
        <f>IF(N17944="","",'Master Barang'!B38)</f>
        <v>0</v>
      </c>
      <c r="P17944">
        <f>IF(OR(M17944="",N17944=""),"",SUMIFS('Barang Keluar'!$E:$E,'Barang Keluar'!$A:$A,M17944,'Barang Keluar'!$C:$C,N17944))</f>
        <v>0</v>
      </c>
    </row>
    <row r="17945" spans="13:16">
      <c r="M17945" s="49">
        <f>IF($A$4+179&gt;$B$4,"",$A$4+179)</f>
        <v>46202</v>
      </c>
      <c r="N17945">
        <f>IF(M17945="","",'Master Barang'!A39)</f>
        <v>0</v>
      </c>
      <c r="O17945">
        <f>IF(N17945="","",'Master Barang'!B39)</f>
        <v>0</v>
      </c>
      <c r="P17945">
        <f>IF(OR(M17945="",N17945=""),"",SUMIFS('Barang Keluar'!$E:$E,'Barang Keluar'!$A:$A,M17945,'Barang Keluar'!$C:$C,N17945))</f>
        <v>0</v>
      </c>
    </row>
    <row r="17946" spans="13:16">
      <c r="M17946" s="49">
        <f>IF($A$4+179&gt;$B$4,"",$A$4+179)</f>
        <v>46202</v>
      </c>
      <c r="N17946">
        <f>IF(M17946="","",'Master Barang'!A40)</f>
        <v>0</v>
      </c>
      <c r="O17946">
        <f>IF(N17946="","",'Master Barang'!B40)</f>
        <v>0</v>
      </c>
      <c r="P17946">
        <f>IF(OR(M17946="",N17946=""),"",SUMIFS('Barang Keluar'!$E:$E,'Barang Keluar'!$A:$A,M17946,'Barang Keluar'!$C:$C,N17946))</f>
        <v>0</v>
      </c>
    </row>
    <row r="17947" spans="13:16">
      <c r="M17947" s="49">
        <f>IF($A$4+179&gt;$B$4,"",$A$4+179)</f>
        <v>46202</v>
      </c>
      <c r="N17947">
        <f>IF(M17947="","",'Master Barang'!A41)</f>
        <v>0</v>
      </c>
      <c r="O17947">
        <f>IF(N17947="","",'Master Barang'!B41)</f>
        <v>0</v>
      </c>
      <c r="P17947">
        <f>IF(OR(M17947="",N17947=""),"",SUMIFS('Barang Keluar'!$E:$E,'Barang Keluar'!$A:$A,M17947,'Barang Keluar'!$C:$C,N17947))</f>
        <v>0</v>
      </c>
    </row>
    <row r="17948" spans="13:16">
      <c r="M17948" s="49">
        <f>IF($A$4+179&gt;$B$4,"",$A$4+179)</f>
        <v>46202</v>
      </c>
      <c r="N17948">
        <f>IF(M17948="","",'Master Barang'!A42)</f>
        <v>0</v>
      </c>
      <c r="O17948">
        <f>IF(N17948="","",'Master Barang'!B42)</f>
        <v>0</v>
      </c>
      <c r="P17948">
        <f>IF(OR(M17948="",N17948=""),"",SUMIFS('Barang Keluar'!$E:$E,'Barang Keluar'!$A:$A,M17948,'Barang Keluar'!$C:$C,N17948))</f>
        <v>0</v>
      </c>
    </row>
    <row r="17949" spans="13:16">
      <c r="M17949" s="49">
        <f>IF($A$4+179&gt;$B$4,"",$A$4+179)</f>
        <v>46202</v>
      </c>
      <c r="N17949">
        <f>IF(M17949="","",'Master Barang'!A43)</f>
        <v>0</v>
      </c>
      <c r="O17949">
        <f>IF(N17949="","",'Master Barang'!B43)</f>
        <v>0</v>
      </c>
      <c r="P17949">
        <f>IF(OR(M17949="",N17949=""),"",SUMIFS('Barang Keluar'!$E:$E,'Barang Keluar'!$A:$A,M17949,'Barang Keluar'!$C:$C,N17949))</f>
        <v>0</v>
      </c>
    </row>
    <row r="17950" spans="13:16">
      <c r="M17950" s="49">
        <f>IF($A$4+179&gt;$B$4,"",$A$4+179)</f>
        <v>46202</v>
      </c>
      <c r="N17950">
        <f>IF(M17950="","",'Master Barang'!A44)</f>
        <v>0</v>
      </c>
      <c r="O17950">
        <f>IF(N17950="","",'Master Barang'!B44)</f>
        <v>0</v>
      </c>
      <c r="P17950">
        <f>IF(OR(M17950="",N17950=""),"",SUMIFS('Barang Keluar'!$E:$E,'Barang Keluar'!$A:$A,M17950,'Barang Keluar'!$C:$C,N17950))</f>
        <v>0</v>
      </c>
    </row>
    <row r="17951" spans="13:16">
      <c r="M17951" s="49">
        <f>IF($A$4+179&gt;$B$4,"",$A$4+179)</f>
        <v>46202</v>
      </c>
      <c r="N17951">
        <f>IF(M17951="","",'Master Barang'!A45)</f>
        <v>0</v>
      </c>
      <c r="O17951">
        <f>IF(N17951="","",'Master Barang'!B45)</f>
        <v>0</v>
      </c>
      <c r="P17951">
        <f>IF(OR(M17951="",N17951=""),"",SUMIFS('Barang Keluar'!$E:$E,'Barang Keluar'!$A:$A,M17951,'Barang Keluar'!$C:$C,N17951))</f>
        <v>0</v>
      </c>
    </row>
    <row r="17952" spans="13:16">
      <c r="M17952" s="49">
        <f>IF($A$4+179&gt;$B$4,"",$A$4+179)</f>
        <v>46202</v>
      </c>
      <c r="N17952">
        <f>IF(M17952="","",'Master Barang'!A46)</f>
        <v>0</v>
      </c>
      <c r="O17952">
        <f>IF(N17952="","",'Master Barang'!B46)</f>
        <v>0</v>
      </c>
      <c r="P17952">
        <f>IF(OR(M17952="",N17952=""),"",SUMIFS('Barang Keluar'!$E:$E,'Barang Keluar'!$A:$A,M17952,'Barang Keluar'!$C:$C,N17952))</f>
        <v>0</v>
      </c>
    </row>
    <row r="17953" spans="13:16">
      <c r="M17953" s="49">
        <f>IF($A$4+179&gt;$B$4,"",$A$4+179)</f>
        <v>46202</v>
      </c>
      <c r="N17953">
        <f>IF(M17953="","",'Master Barang'!A47)</f>
        <v>0</v>
      </c>
      <c r="O17953">
        <f>IF(N17953="","",'Master Barang'!B47)</f>
        <v>0</v>
      </c>
      <c r="P17953">
        <f>IF(OR(M17953="",N17953=""),"",SUMIFS('Barang Keluar'!$E:$E,'Barang Keluar'!$A:$A,M17953,'Barang Keluar'!$C:$C,N17953))</f>
        <v>0</v>
      </c>
    </row>
    <row r="17954" spans="13:16">
      <c r="M17954" s="49">
        <f>IF($A$4+179&gt;$B$4,"",$A$4+179)</f>
        <v>46202</v>
      </c>
      <c r="N17954">
        <f>IF(M17954="","",'Master Barang'!A48)</f>
        <v>0</v>
      </c>
      <c r="O17954">
        <f>IF(N17954="","",'Master Barang'!B48)</f>
        <v>0</v>
      </c>
      <c r="P17954">
        <f>IF(OR(M17954="",N17954=""),"",SUMIFS('Barang Keluar'!$E:$E,'Barang Keluar'!$A:$A,M17954,'Barang Keluar'!$C:$C,N17954))</f>
        <v>0</v>
      </c>
    </row>
    <row r="17955" spans="13:16">
      <c r="M17955" s="49">
        <f>IF($A$4+179&gt;$B$4,"",$A$4+179)</f>
        <v>46202</v>
      </c>
      <c r="N17955">
        <f>IF(M17955="","",'Master Barang'!A49)</f>
        <v>0</v>
      </c>
      <c r="O17955">
        <f>IF(N17955="","",'Master Barang'!B49)</f>
        <v>0</v>
      </c>
      <c r="P17955">
        <f>IF(OR(M17955="",N17955=""),"",SUMIFS('Barang Keluar'!$E:$E,'Barang Keluar'!$A:$A,M17955,'Barang Keluar'!$C:$C,N17955))</f>
        <v>0</v>
      </c>
    </row>
    <row r="17956" spans="13:16">
      <c r="M17956" s="49">
        <f>IF($A$4+179&gt;$B$4,"",$A$4+179)</f>
        <v>46202</v>
      </c>
      <c r="N17956">
        <f>IF(M17956="","",'Master Barang'!A50)</f>
        <v>0</v>
      </c>
      <c r="O17956">
        <f>IF(N17956="","",'Master Barang'!B50)</f>
        <v>0</v>
      </c>
      <c r="P17956">
        <f>IF(OR(M17956="",N17956=""),"",SUMIFS('Barang Keluar'!$E:$E,'Barang Keluar'!$A:$A,M17956,'Barang Keluar'!$C:$C,N17956))</f>
        <v>0</v>
      </c>
    </row>
    <row r="17957" spans="13:16">
      <c r="M17957" s="49">
        <f>IF($A$4+179&gt;$B$4,"",$A$4+179)</f>
        <v>46202</v>
      </c>
      <c r="N17957">
        <f>IF(M17957="","",'Master Barang'!A51)</f>
        <v>0</v>
      </c>
      <c r="O17957">
        <f>IF(N17957="","",'Master Barang'!B51)</f>
        <v>0</v>
      </c>
      <c r="P17957">
        <f>IF(OR(M17957="",N17957=""),"",SUMIFS('Barang Keluar'!$E:$E,'Barang Keluar'!$A:$A,M17957,'Barang Keluar'!$C:$C,N17957))</f>
        <v>0</v>
      </c>
    </row>
    <row r="17958" spans="13:16">
      <c r="M17958" s="49">
        <f>IF($A$4+179&gt;$B$4,"",$A$4+179)</f>
        <v>46202</v>
      </c>
      <c r="N17958">
        <f>IF(M17958="","",'Master Barang'!A52)</f>
        <v>0</v>
      </c>
      <c r="O17958">
        <f>IF(N17958="","",'Master Barang'!B52)</f>
        <v>0</v>
      </c>
      <c r="P17958">
        <f>IF(OR(M17958="",N17958=""),"",SUMIFS('Barang Keluar'!$E:$E,'Barang Keluar'!$A:$A,M17958,'Barang Keluar'!$C:$C,N17958))</f>
        <v>0</v>
      </c>
    </row>
    <row r="17959" spans="13:16">
      <c r="M17959" s="49">
        <f>IF($A$4+179&gt;$B$4,"",$A$4+179)</f>
        <v>46202</v>
      </c>
      <c r="N17959">
        <f>IF(M17959="","",'Master Barang'!A53)</f>
        <v>0</v>
      </c>
      <c r="O17959">
        <f>IF(N17959="","",'Master Barang'!B53)</f>
        <v>0</v>
      </c>
      <c r="P17959">
        <f>IF(OR(M17959="",N17959=""),"",SUMIFS('Barang Keluar'!$E:$E,'Barang Keluar'!$A:$A,M17959,'Barang Keluar'!$C:$C,N17959))</f>
        <v>0</v>
      </c>
    </row>
    <row r="17960" spans="13:16">
      <c r="M17960" s="49">
        <f>IF($A$4+179&gt;$B$4,"",$A$4+179)</f>
        <v>46202</v>
      </c>
      <c r="N17960">
        <f>IF(M17960="","",'Master Barang'!A54)</f>
        <v>0</v>
      </c>
      <c r="O17960">
        <f>IF(N17960="","",'Master Barang'!B54)</f>
        <v>0</v>
      </c>
      <c r="P17960">
        <f>IF(OR(M17960="",N17960=""),"",SUMIFS('Barang Keluar'!$E:$E,'Barang Keluar'!$A:$A,M17960,'Barang Keluar'!$C:$C,N17960))</f>
        <v>0</v>
      </c>
    </row>
    <row r="17961" spans="13:16">
      <c r="M17961" s="49">
        <f>IF($A$4+179&gt;$B$4,"",$A$4+179)</f>
        <v>46202</v>
      </c>
      <c r="N17961">
        <f>IF(M17961="","",'Master Barang'!A55)</f>
        <v>0</v>
      </c>
      <c r="O17961">
        <f>IF(N17961="","",'Master Barang'!B55)</f>
        <v>0</v>
      </c>
      <c r="P17961">
        <f>IF(OR(M17961="",N17961=""),"",SUMIFS('Barang Keluar'!$E:$E,'Barang Keluar'!$A:$A,M17961,'Barang Keluar'!$C:$C,N17961))</f>
        <v>0</v>
      </c>
    </row>
    <row r="17962" spans="13:16">
      <c r="M17962" s="49">
        <f>IF($A$4+179&gt;$B$4,"",$A$4+179)</f>
        <v>46202</v>
      </c>
      <c r="N17962">
        <f>IF(M17962="","",'Master Barang'!A56)</f>
        <v>0</v>
      </c>
      <c r="O17962">
        <f>IF(N17962="","",'Master Barang'!B56)</f>
        <v>0</v>
      </c>
      <c r="P17962">
        <f>IF(OR(M17962="",N17962=""),"",SUMIFS('Barang Keluar'!$E:$E,'Barang Keluar'!$A:$A,M17962,'Barang Keluar'!$C:$C,N17962))</f>
        <v>0</v>
      </c>
    </row>
    <row r="17963" spans="13:16">
      <c r="M17963" s="49">
        <f>IF($A$4+179&gt;$B$4,"",$A$4+179)</f>
        <v>46202</v>
      </c>
      <c r="N17963">
        <f>IF(M17963="","",'Master Barang'!A57)</f>
        <v>0</v>
      </c>
      <c r="O17963">
        <f>IF(N17963="","",'Master Barang'!B57)</f>
        <v>0</v>
      </c>
      <c r="P17963">
        <f>IF(OR(M17963="",N17963=""),"",SUMIFS('Barang Keluar'!$E:$E,'Barang Keluar'!$A:$A,M17963,'Barang Keluar'!$C:$C,N17963))</f>
        <v>0</v>
      </c>
    </row>
    <row r="17964" spans="13:16">
      <c r="M17964" s="49">
        <f>IF($A$4+179&gt;$B$4,"",$A$4+179)</f>
        <v>46202</v>
      </c>
      <c r="N17964">
        <f>IF(M17964="","",'Master Barang'!A58)</f>
        <v>0</v>
      </c>
      <c r="O17964">
        <f>IF(N17964="","",'Master Barang'!B58)</f>
        <v>0</v>
      </c>
      <c r="P17964">
        <f>IF(OR(M17964="",N17964=""),"",SUMIFS('Barang Keluar'!$E:$E,'Barang Keluar'!$A:$A,M17964,'Barang Keluar'!$C:$C,N17964))</f>
        <v>0</v>
      </c>
    </row>
    <row r="17965" spans="13:16">
      <c r="M17965" s="49">
        <f>IF($A$4+179&gt;$B$4,"",$A$4+179)</f>
        <v>46202</v>
      </c>
      <c r="N17965">
        <f>IF(M17965="","",'Master Barang'!A59)</f>
        <v>0</v>
      </c>
      <c r="O17965">
        <f>IF(N17965="","",'Master Barang'!B59)</f>
        <v>0</v>
      </c>
      <c r="P17965">
        <f>IF(OR(M17965="",N17965=""),"",SUMIFS('Barang Keluar'!$E:$E,'Barang Keluar'!$A:$A,M17965,'Barang Keluar'!$C:$C,N17965))</f>
        <v>0</v>
      </c>
    </row>
    <row r="17966" spans="13:16">
      <c r="M17966" s="49">
        <f>IF($A$4+179&gt;$B$4,"",$A$4+179)</f>
        <v>46202</v>
      </c>
      <c r="N17966">
        <f>IF(M17966="","",'Master Barang'!A60)</f>
        <v>0</v>
      </c>
      <c r="O17966">
        <f>IF(N17966="","",'Master Barang'!B60)</f>
        <v>0</v>
      </c>
      <c r="P17966">
        <f>IF(OR(M17966="",N17966=""),"",SUMIFS('Barang Keluar'!$E:$E,'Barang Keluar'!$A:$A,M17966,'Barang Keluar'!$C:$C,N17966))</f>
        <v>0</v>
      </c>
    </row>
    <row r="17967" spans="13:16">
      <c r="M17967" s="49">
        <f>IF($A$4+179&gt;$B$4,"",$A$4+179)</f>
        <v>46202</v>
      </c>
      <c r="N17967">
        <f>IF(M17967="","",'Master Barang'!A61)</f>
        <v>0</v>
      </c>
      <c r="O17967">
        <f>IF(N17967="","",'Master Barang'!B61)</f>
        <v>0</v>
      </c>
      <c r="P17967">
        <f>IF(OR(M17967="",N17967=""),"",SUMIFS('Barang Keluar'!$E:$E,'Barang Keluar'!$A:$A,M17967,'Barang Keluar'!$C:$C,N17967))</f>
        <v>0</v>
      </c>
    </row>
    <row r="17968" spans="13:16">
      <c r="M17968" s="49">
        <f>IF($A$4+179&gt;$B$4,"",$A$4+179)</f>
        <v>46202</v>
      </c>
      <c r="N17968">
        <f>IF(M17968="","",'Master Barang'!A62)</f>
        <v>0</v>
      </c>
      <c r="O17968">
        <f>IF(N17968="","",'Master Barang'!B62)</f>
        <v>0</v>
      </c>
      <c r="P17968">
        <f>IF(OR(M17968="",N17968=""),"",SUMIFS('Barang Keluar'!$E:$E,'Barang Keluar'!$A:$A,M17968,'Barang Keluar'!$C:$C,N17968))</f>
        <v>0</v>
      </c>
    </row>
    <row r="17969" spans="13:16">
      <c r="M17969" s="49">
        <f>IF($A$4+179&gt;$B$4,"",$A$4+179)</f>
        <v>46202</v>
      </c>
      <c r="N17969">
        <f>IF(M17969="","",'Master Barang'!A63)</f>
        <v>0</v>
      </c>
      <c r="O17969">
        <f>IF(N17969="","",'Master Barang'!B63)</f>
        <v>0</v>
      </c>
      <c r="P17969">
        <f>IF(OR(M17969="",N17969=""),"",SUMIFS('Barang Keluar'!$E:$E,'Barang Keluar'!$A:$A,M17969,'Barang Keluar'!$C:$C,N17969))</f>
        <v>0</v>
      </c>
    </row>
    <row r="17970" spans="13:16">
      <c r="M17970" s="49">
        <f>IF($A$4+179&gt;$B$4,"",$A$4+179)</f>
        <v>46202</v>
      </c>
      <c r="N17970">
        <f>IF(M17970="","",'Master Barang'!A64)</f>
        <v>0</v>
      </c>
      <c r="O17970">
        <f>IF(N17970="","",'Master Barang'!B64)</f>
        <v>0</v>
      </c>
      <c r="P17970">
        <f>IF(OR(M17970="",N17970=""),"",SUMIFS('Barang Keluar'!$E:$E,'Barang Keluar'!$A:$A,M17970,'Barang Keluar'!$C:$C,N17970))</f>
        <v>0</v>
      </c>
    </row>
    <row r="17971" spans="13:16">
      <c r="M17971" s="49">
        <f>IF($A$4+179&gt;$B$4,"",$A$4+179)</f>
        <v>46202</v>
      </c>
      <c r="N17971">
        <f>IF(M17971="","",'Master Barang'!A65)</f>
        <v>0</v>
      </c>
      <c r="O17971">
        <f>IF(N17971="","",'Master Barang'!B65)</f>
        <v>0</v>
      </c>
      <c r="P17971">
        <f>IF(OR(M17971="",N17971=""),"",SUMIFS('Barang Keluar'!$E:$E,'Barang Keluar'!$A:$A,M17971,'Barang Keluar'!$C:$C,N17971))</f>
        <v>0</v>
      </c>
    </row>
    <row r="17972" spans="13:16">
      <c r="M17972" s="49">
        <f>IF($A$4+179&gt;$B$4,"",$A$4+179)</f>
        <v>46202</v>
      </c>
      <c r="N17972">
        <f>IF(M17972="","",'Master Barang'!A66)</f>
        <v>0</v>
      </c>
      <c r="O17972">
        <f>IF(N17972="","",'Master Barang'!B66)</f>
        <v>0</v>
      </c>
      <c r="P17972">
        <f>IF(OR(M17972="",N17972=""),"",SUMIFS('Barang Keluar'!$E:$E,'Barang Keluar'!$A:$A,M17972,'Barang Keluar'!$C:$C,N17972))</f>
        <v>0</v>
      </c>
    </row>
    <row r="17973" spans="13:16">
      <c r="M17973" s="49">
        <f>IF($A$4+179&gt;$B$4,"",$A$4+179)</f>
        <v>46202</v>
      </c>
      <c r="N17973">
        <f>IF(M17973="","",'Master Barang'!A67)</f>
        <v>0</v>
      </c>
      <c r="O17973">
        <f>IF(N17973="","",'Master Barang'!B67)</f>
        <v>0</v>
      </c>
      <c r="P17973">
        <f>IF(OR(M17973="",N17973=""),"",SUMIFS('Barang Keluar'!$E:$E,'Barang Keluar'!$A:$A,M17973,'Barang Keluar'!$C:$C,N17973))</f>
        <v>0</v>
      </c>
    </row>
    <row r="17974" spans="13:16">
      <c r="M17974" s="49">
        <f>IF($A$4+179&gt;$B$4,"",$A$4+179)</f>
        <v>46202</v>
      </c>
      <c r="N17974">
        <f>IF(M17974="","",'Master Barang'!A68)</f>
        <v>0</v>
      </c>
      <c r="O17974">
        <f>IF(N17974="","",'Master Barang'!B68)</f>
        <v>0</v>
      </c>
      <c r="P17974">
        <f>IF(OR(M17974="",N17974=""),"",SUMIFS('Barang Keluar'!$E:$E,'Barang Keluar'!$A:$A,M17974,'Barang Keluar'!$C:$C,N17974))</f>
        <v>0</v>
      </c>
    </row>
    <row r="17975" spans="13:16">
      <c r="M17975" s="49">
        <f>IF($A$4+179&gt;$B$4,"",$A$4+179)</f>
        <v>46202</v>
      </c>
      <c r="N17975">
        <f>IF(M17975="","",'Master Barang'!A69)</f>
        <v>0</v>
      </c>
      <c r="O17975">
        <f>IF(N17975="","",'Master Barang'!B69)</f>
        <v>0</v>
      </c>
      <c r="P17975">
        <f>IF(OR(M17975="",N17975=""),"",SUMIFS('Barang Keluar'!$E:$E,'Barang Keluar'!$A:$A,M17975,'Barang Keluar'!$C:$C,N17975))</f>
        <v>0</v>
      </c>
    </row>
    <row r="17976" spans="13:16">
      <c r="M17976" s="49">
        <f>IF($A$4+179&gt;$B$4,"",$A$4+179)</f>
        <v>46202</v>
      </c>
      <c r="N17976">
        <f>IF(M17976="","",'Master Barang'!A70)</f>
        <v>0</v>
      </c>
      <c r="O17976">
        <f>IF(N17976="","",'Master Barang'!B70)</f>
        <v>0</v>
      </c>
      <c r="P17976">
        <f>IF(OR(M17976="",N17976=""),"",SUMIFS('Barang Keluar'!$E:$E,'Barang Keluar'!$A:$A,M17976,'Barang Keluar'!$C:$C,N17976))</f>
        <v>0</v>
      </c>
    </row>
    <row r="17977" spans="13:16">
      <c r="M17977" s="49">
        <f>IF($A$4+179&gt;$B$4,"",$A$4+179)</f>
        <v>46202</v>
      </c>
      <c r="N17977">
        <f>IF(M17977="","",'Master Barang'!A71)</f>
        <v>0</v>
      </c>
      <c r="O17977">
        <f>IF(N17977="","",'Master Barang'!B71)</f>
        <v>0</v>
      </c>
      <c r="P17977">
        <f>IF(OR(M17977="",N17977=""),"",SUMIFS('Barang Keluar'!$E:$E,'Barang Keluar'!$A:$A,M17977,'Barang Keluar'!$C:$C,N17977))</f>
        <v>0</v>
      </c>
    </row>
    <row r="17978" spans="13:16">
      <c r="M17978" s="49">
        <f>IF($A$4+179&gt;$B$4,"",$A$4+179)</f>
        <v>46202</v>
      </c>
      <c r="N17978">
        <f>IF(M17978="","",'Master Barang'!A72)</f>
        <v>0</v>
      </c>
      <c r="O17978">
        <f>IF(N17978="","",'Master Barang'!B72)</f>
        <v>0</v>
      </c>
      <c r="P17978">
        <f>IF(OR(M17978="",N17978=""),"",SUMIFS('Barang Keluar'!$E:$E,'Barang Keluar'!$A:$A,M17978,'Barang Keluar'!$C:$C,N17978))</f>
        <v>0</v>
      </c>
    </row>
    <row r="17979" spans="13:16">
      <c r="M17979" s="49">
        <f>IF($A$4+179&gt;$B$4,"",$A$4+179)</f>
        <v>46202</v>
      </c>
      <c r="N17979">
        <f>IF(M17979="","",'Master Barang'!A73)</f>
        <v>0</v>
      </c>
      <c r="O17979">
        <f>IF(N17979="","",'Master Barang'!B73)</f>
        <v>0</v>
      </c>
      <c r="P17979">
        <f>IF(OR(M17979="",N17979=""),"",SUMIFS('Barang Keluar'!$E:$E,'Barang Keluar'!$A:$A,M17979,'Barang Keluar'!$C:$C,N17979))</f>
        <v>0</v>
      </c>
    </row>
    <row r="17980" spans="13:16">
      <c r="M17980" s="49">
        <f>IF($A$4+179&gt;$B$4,"",$A$4+179)</f>
        <v>46202</v>
      </c>
      <c r="N17980">
        <f>IF(M17980="","",'Master Barang'!A74)</f>
        <v>0</v>
      </c>
      <c r="O17980">
        <f>IF(N17980="","",'Master Barang'!B74)</f>
        <v>0</v>
      </c>
      <c r="P17980">
        <f>IF(OR(M17980="",N17980=""),"",SUMIFS('Barang Keluar'!$E:$E,'Barang Keluar'!$A:$A,M17980,'Barang Keluar'!$C:$C,N17980))</f>
        <v>0</v>
      </c>
    </row>
    <row r="17981" spans="13:16">
      <c r="M17981" s="49">
        <f>IF($A$4+179&gt;$B$4,"",$A$4+179)</f>
        <v>46202</v>
      </c>
      <c r="N17981">
        <f>IF(M17981="","",'Master Barang'!A75)</f>
        <v>0</v>
      </c>
      <c r="O17981">
        <f>IF(N17981="","",'Master Barang'!B75)</f>
        <v>0</v>
      </c>
      <c r="P17981">
        <f>IF(OR(M17981="",N17981=""),"",SUMIFS('Barang Keluar'!$E:$E,'Barang Keluar'!$A:$A,M17981,'Barang Keluar'!$C:$C,N17981))</f>
        <v>0</v>
      </c>
    </row>
    <row r="17982" spans="13:16">
      <c r="M17982" s="49">
        <f>IF($A$4+179&gt;$B$4,"",$A$4+179)</f>
        <v>46202</v>
      </c>
      <c r="N17982">
        <f>IF(M17982="","",'Master Barang'!A76)</f>
        <v>0</v>
      </c>
      <c r="O17982">
        <f>IF(N17982="","",'Master Barang'!B76)</f>
        <v>0</v>
      </c>
      <c r="P17982">
        <f>IF(OR(M17982="",N17982=""),"",SUMIFS('Barang Keluar'!$E:$E,'Barang Keluar'!$A:$A,M17982,'Barang Keluar'!$C:$C,N17982))</f>
        <v>0</v>
      </c>
    </row>
    <row r="17983" spans="13:16">
      <c r="M17983" s="49">
        <f>IF($A$4+179&gt;$B$4,"",$A$4+179)</f>
        <v>46202</v>
      </c>
      <c r="N17983">
        <f>IF(M17983="","",'Master Barang'!A77)</f>
        <v>0</v>
      </c>
      <c r="O17983">
        <f>IF(N17983="","",'Master Barang'!B77)</f>
        <v>0</v>
      </c>
      <c r="P17983">
        <f>IF(OR(M17983="",N17983=""),"",SUMIFS('Barang Keluar'!$E:$E,'Barang Keluar'!$A:$A,M17983,'Barang Keluar'!$C:$C,N17983))</f>
        <v>0</v>
      </c>
    </row>
    <row r="17984" spans="13:16">
      <c r="M17984" s="49">
        <f>IF($A$4+179&gt;$B$4,"",$A$4+179)</f>
        <v>46202</v>
      </c>
      <c r="N17984">
        <f>IF(M17984="","",'Master Barang'!A78)</f>
        <v>0</v>
      </c>
      <c r="O17984">
        <f>IF(N17984="","",'Master Barang'!B78)</f>
        <v>0</v>
      </c>
      <c r="P17984">
        <f>IF(OR(M17984="",N17984=""),"",SUMIFS('Barang Keluar'!$E:$E,'Barang Keluar'!$A:$A,M17984,'Barang Keluar'!$C:$C,N17984))</f>
        <v>0</v>
      </c>
    </row>
    <row r="17985" spans="13:16">
      <c r="M17985" s="49">
        <f>IF($A$4+179&gt;$B$4,"",$A$4+179)</f>
        <v>46202</v>
      </c>
      <c r="N17985">
        <f>IF(M17985="","",'Master Barang'!A79)</f>
        <v>0</v>
      </c>
      <c r="O17985">
        <f>IF(N17985="","",'Master Barang'!B79)</f>
        <v>0</v>
      </c>
      <c r="P17985">
        <f>IF(OR(M17985="",N17985=""),"",SUMIFS('Barang Keluar'!$E:$E,'Barang Keluar'!$A:$A,M17985,'Barang Keluar'!$C:$C,N17985))</f>
        <v>0</v>
      </c>
    </row>
    <row r="17986" spans="13:16">
      <c r="M17986" s="49">
        <f>IF($A$4+179&gt;$B$4,"",$A$4+179)</f>
        <v>46202</v>
      </c>
      <c r="N17986">
        <f>IF(M17986="","",'Master Barang'!A80)</f>
        <v>0</v>
      </c>
      <c r="O17986">
        <f>IF(N17986="","",'Master Barang'!B80)</f>
        <v>0</v>
      </c>
      <c r="P17986">
        <f>IF(OR(M17986="",N17986=""),"",SUMIFS('Barang Keluar'!$E:$E,'Barang Keluar'!$A:$A,M17986,'Barang Keluar'!$C:$C,N17986))</f>
        <v>0</v>
      </c>
    </row>
    <row r="17987" spans="13:16">
      <c r="M17987" s="49">
        <f>IF($A$4+179&gt;$B$4,"",$A$4+179)</f>
        <v>46202</v>
      </c>
      <c r="N17987">
        <f>IF(M17987="","",'Master Barang'!A81)</f>
        <v>0</v>
      </c>
      <c r="O17987">
        <f>IF(N17987="","",'Master Barang'!B81)</f>
        <v>0</v>
      </c>
      <c r="P17987">
        <f>IF(OR(M17987="",N17987=""),"",SUMIFS('Barang Keluar'!$E:$E,'Barang Keluar'!$A:$A,M17987,'Barang Keluar'!$C:$C,N17987))</f>
        <v>0</v>
      </c>
    </row>
    <row r="17988" spans="13:16">
      <c r="M17988" s="49">
        <f>IF($A$4+179&gt;$B$4,"",$A$4+179)</f>
        <v>46202</v>
      </c>
      <c r="N17988">
        <f>IF(M17988="","",'Master Barang'!A82)</f>
        <v>0</v>
      </c>
      <c r="O17988">
        <f>IF(N17988="","",'Master Barang'!B82)</f>
        <v>0</v>
      </c>
      <c r="P17988">
        <f>IF(OR(M17988="",N17988=""),"",SUMIFS('Barang Keluar'!$E:$E,'Barang Keluar'!$A:$A,M17988,'Barang Keluar'!$C:$C,N17988))</f>
        <v>0</v>
      </c>
    </row>
    <row r="17989" spans="13:16">
      <c r="M17989" s="49">
        <f>IF($A$4+179&gt;$B$4,"",$A$4+179)</f>
        <v>46202</v>
      </c>
      <c r="N17989">
        <f>IF(M17989="","",'Master Barang'!A83)</f>
        <v>0</v>
      </c>
      <c r="O17989">
        <f>IF(N17989="","",'Master Barang'!B83)</f>
        <v>0</v>
      </c>
      <c r="P17989">
        <f>IF(OR(M17989="",N17989=""),"",SUMIFS('Barang Keluar'!$E:$E,'Barang Keluar'!$A:$A,M17989,'Barang Keluar'!$C:$C,N17989))</f>
        <v>0</v>
      </c>
    </row>
    <row r="17990" spans="13:16">
      <c r="M17990" s="49">
        <f>IF($A$4+179&gt;$B$4,"",$A$4+179)</f>
        <v>46202</v>
      </c>
      <c r="N17990">
        <f>IF(M17990="","",'Master Barang'!A84)</f>
        <v>0</v>
      </c>
      <c r="O17990">
        <f>IF(N17990="","",'Master Barang'!B84)</f>
        <v>0</v>
      </c>
      <c r="P17990">
        <f>IF(OR(M17990="",N17990=""),"",SUMIFS('Barang Keluar'!$E:$E,'Barang Keluar'!$A:$A,M17990,'Barang Keluar'!$C:$C,N17990))</f>
        <v>0</v>
      </c>
    </row>
    <row r="17991" spans="13:16">
      <c r="M17991" s="49">
        <f>IF($A$4+179&gt;$B$4,"",$A$4+179)</f>
        <v>46202</v>
      </c>
      <c r="N17991">
        <f>IF(M17991="","",'Master Barang'!A85)</f>
        <v>0</v>
      </c>
      <c r="O17991">
        <f>IF(N17991="","",'Master Barang'!B85)</f>
        <v>0</v>
      </c>
      <c r="P17991">
        <f>IF(OR(M17991="",N17991=""),"",SUMIFS('Barang Keluar'!$E:$E,'Barang Keluar'!$A:$A,M17991,'Barang Keluar'!$C:$C,N17991))</f>
        <v>0</v>
      </c>
    </row>
    <row r="17992" spans="13:16">
      <c r="M17992" s="49">
        <f>IF($A$4+179&gt;$B$4,"",$A$4+179)</f>
        <v>46202</v>
      </c>
      <c r="N17992">
        <f>IF(M17992="","",'Master Barang'!A86)</f>
        <v>0</v>
      </c>
      <c r="O17992">
        <f>IF(N17992="","",'Master Barang'!B86)</f>
        <v>0</v>
      </c>
      <c r="P17992">
        <f>IF(OR(M17992="",N17992=""),"",SUMIFS('Barang Keluar'!$E:$E,'Barang Keluar'!$A:$A,M17992,'Barang Keluar'!$C:$C,N17992))</f>
        <v>0</v>
      </c>
    </row>
    <row r="17993" spans="13:16">
      <c r="M17993" s="49">
        <f>IF($A$4+179&gt;$B$4,"",$A$4+179)</f>
        <v>46202</v>
      </c>
      <c r="N17993">
        <f>IF(M17993="","",'Master Barang'!A87)</f>
        <v>0</v>
      </c>
      <c r="O17993">
        <f>IF(N17993="","",'Master Barang'!B87)</f>
        <v>0</v>
      </c>
      <c r="P17993">
        <f>IF(OR(M17993="",N17993=""),"",SUMIFS('Barang Keluar'!$E:$E,'Barang Keluar'!$A:$A,M17993,'Barang Keluar'!$C:$C,N17993))</f>
        <v>0</v>
      </c>
    </row>
    <row r="17994" spans="13:16">
      <c r="M17994" s="49">
        <f>IF($A$4+179&gt;$B$4,"",$A$4+179)</f>
        <v>46202</v>
      </c>
      <c r="N17994">
        <f>IF(M17994="","",'Master Barang'!A88)</f>
        <v>0</v>
      </c>
      <c r="O17994">
        <f>IF(N17994="","",'Master Barang'!B88)</f>
        <v>0</v>
      </c>
      <c r="P17994">
        <f>IF(OR(M17994="",N17994=""),"",SUMIFS('Barang Keluar'!$E:$E,'Barang Keluar'!$A:$A,M17994,'Barang Keluar'!$C:$C,N17994))</f>
        <v>0</v>
      </c>
    </row>
    <row r="17995" spans="13:16">
      <c r="M17995" s="49">
        <f>IF($A$4+179&gt;$B$4,"",$A$4+179)</f>
        <v>46202</v>
      </c>
      <c r="N17995">
        <f>IF(M17995="","",'Master Barang'!A89)</f>
        <v>0</v>
      </c>
      <c r="O17995">
        <f>IF(N17995="","",'Master Barang'!B89)</f>
        <v>0</v>
      </c>
      <c r="P17995">
        <f>IF(OR(M17995="",N17995=""),"",SUMIFS('Barang Keluar'!$E:$E,'Barang Keluar'!$A:$A,M17995,'Barang Keluar'!$C:$C,N17995))</f>
        <v>0</v>
      </c>
    </row>
    <row r="17996" spans="13:16">
      <c r="M17996" s="49">
        <f>IF($A$4+179&gt;$B$4,"",$A$4+179)</f>
        <v>46202</v>
      </c>
      <c r="N17996">
        <f>IF(M17996="","",'Master Barang'!A90)</f>
        <v>0</v>
      </c>
      <c r="O17996">
        <f>IF(N17996="","",'Master Barang'!B90)</f>
        <v>0</v>
      </c>
      <c r="P17996">
        <f>IF(OR(M17996="",N17996=""),"",SUMIFS('Barang Keluar'!$E:$E,'Barang Keluar'!$A:$A,M17996,'Barang Keluar'!$C:$C,N17996))</f>
        <v>0</v>
      </c>
    </row>
    <row r="17997" spans="13:16">
      <c r="M17997" s="49">
        <f>IF($A$4+179&gt;$B$4,"",$A$4+179)</f>
        <v>46202</v>
      </c>
      <c r="N17997">
        <f>IF(M17997="","",'Master Barang'!A91)</f>
        <v>0</v>
      </c>
      <c r="O17997">
        <f>IF(N17997="","",'Master Barang'!B91)</f>
        <v>0</v>
      </c>
      <c r="P17997">
        <f>IF(OR(M17997="",N17997=""),"",SUMIFS('Barang Keluar'!$E:$E,'Barang Keluar'!$A:$A,M17997,'Barang Keluar'!$C:$C,N17997))</f>
        <v>0</v>
      </c>
    </row>
    <row r="17998" spans="13:16">
      <c r="M17998" s="49">
        <f>IF($A$4+179&gt;$B$4,"",$A$4+179)</f>
        <v>46202</v>
      </c>
      <c r="N17998">
        <f>IF(M17998="","",'Master Barang'!A92)</f>
        <v>0</v>
      </c>
      <c r="O17998">
        <f>IF(N17998="","",'Master Barang'!B92)</f>
        <v>0</v>
      </c>
      <c r="P17998">
        <f>IF(OR(M17998="",N17998=""),"",SUMIFS('Barang Keluar'!$E:$E,'Barang Keluar'!$A:$A,M17998,'Barang Keluar'!$C:$C,N17998))</f>
        <v>0</v>
      </c>
    </row>
    <row r="17999" spans="13:16">
      <c r="M17999" s="49">
        <f>IF($A$4+179&gt;$B$4,"",$A$4+179)</f>
        <v>46202</v>
      </c>
      <c r="N17999">
        <f>IF(M17999="","",'Master Barang'!A93)</f>
        <v>0</v>
      </c>
      <c r="O17999">
        <f>IF(N17999="","",'Master Barang'!B93)</f>
        <v>0</v>
      </c>
      <c r="P17999">
        <f>IF(OR(M17999="",N17999=""),"",SUMIFS('Barang Keluar'!$E:$E,'Barang Keluar'!$A:$A,M17999,'Barang Keluar'!$C:$C,N17999))</f>
        <v>0</v>
      </c>
    </row>
    <row r="18000" spans="13:16">
      <c r="M18000" s="49">
        <f>IF($A$4+179&gt;$B$4,"",$A$4+179)</f>
        <v>46202</v>
      </c>
      <c r="N18000">
        <f>IF(M18000="","",'Master Barang'!A94)</f>
        <v>0</v>
      </c>
      <c r="O18000">
        <f>IF(N18000="","",'Master Barang'!B94)</f>
        <v>0</v>
      </c>
      <c r="P18000">
        <f>IF(OR(M18000="",N18000=""),"",SUMIFS('Barang Keluar'!$E:$E,'Barang Keluar'!$A:$A,M18000,'Barang Keluar'!$C:$C,N18000))</f>
        <v>0</v>
      </c>
    </row>
    <row r="18001" spans="13:16">
      <c r="M18001" s="49">
        <f>IF($A$4+179&gt;$B$4,"",$A$4+179)</f>
        <v>46202</v>
      </c>
      <c r="N18001">
        <f>IF(M18001="","",'Master Barang'!A95)</f>
        <v>0</v>
      </c>
      <c r="O18001">
        <f>IF(N18001="","",'Master Barang'!B95)</f>
        <v>0</v>
      </c>
      <c r="P18001">
        <f>IF(OR(M18001="",N18001=""),"",SUMIFS('Barang Keluar'!$E:$E,'Barang Keluar'!$A:$A,M18001,'Barang Keluar'!$C:$C,N18001))</f>
        <v>0</v>
      </c>
    </row>
    <row r="18002" spans="13:16">
      <c r="M18002" s="49">
        <f>IF($A$4+179&gt;$B$4,"",$A$4+179)</f>
        <v>46202</v>
      </c>
      <c r="N18002">
        <f>IF(M18002="","",'Master Barang'!A96)</f>
        <v>0</v>
      </c>
      <c r="O18002">
        <f>IF(N18002="","",'Master Barang'!B96)</f>
        <v>0</v>
      </c>
      <c r="P18002">
        <f>IF(OR(M18002="",N18002=""),"",SUMIFS('Barang Keluar'!$E:$E,'Barang Keluar'!$A:$A,M18002,'Barang Keluar'!$C:$C,N18002))</f>
        <v>0</v>
      </c>
    </row>
    <row r="18003" spans="13:16">
      <c r="M18003" s="49">
        <f>IF($A$4+179&gt;$B$4,"",$A$4+179)</f>
        <v>46202</v>
      </c>
      <c r="N18003">
        <f>IF(M18003="","",'Master Barang'!A97)</f>
        <v>0</v>
      </c>
      <c r="O18003">
        <f>IF(N18003="","",'Master Barang'!B97)</f>
        <v>0</v>
      </c>
      <c r="P18003">
        <f>IF(OR(M18003="",N18003=""),"",SUMIFS('Barang Keluar'!$E:$E,'Barang Keluar'!$A:$A,M18003,'Barang Keluar'!$C:$C,N18003))</f>
        <v>0</v>
      </c>
    </row>
    <row r="18004" spans="13:16">
      <c r="M18004" s="49">
        <f>IF($A$4+179&gt;$B$4,"",$A$4+179)</f>
        <v>46202</v>
      </c>
      <c r="N18004">
        <f>IF(M18004="","",'Master Barang'!A98)</f>
        <v>0</v>
      </c>
      <c r="O18004">
        <f>IF(N18004="","",'Master Barang'!B98)</f>
        <v>0</v>
      </c>
      <c r="P18004">
        <f>IF(OR(M18004="",N18004=""),"",SUMIFS('Barang Keluar'!$E:$E,'Barang Keluar'!$A:$A,M18004,'Barang Keluar'!$C:$C,N18004))</f>
        <v>0</v>
      </c>
    </row>
    <row r="18005" spans="13:16">
      <c r="M18005" s="49">
        <f>IF($A$4+179&gt;$B$4,"",$A$4+179)</f>
        <v>46202</v>
      </c>
      <c r="N18005">
        <f>IF(M18005="","",'Master Barang'!A99)</f>
        <v>0</v>
      </c>
      <c r="O18005">
        <f>IF(N18005="","",'Master Barang'!B99)</f>
        <v>0</v>
      </c>
      <c r="P18005">
        <f>IF(OR(M18005="",N18005=""),"",SUMIFS('Barang Keluar'!$E:$E,'Barang Keluar'!$A:$A,M18005,'Barang Keluar'!$C:$C,N18005))</f>
        <v>0</v>
      </c>
    </row>
    <row r="18006" spans="13:16">
      <c r="M18006" s="49">
        <f>IF($A$4+179&gt;$B$4,"",$A$4+179)</f>
        <v>46202</v>
      </c>
      <c r="N18006">
        <f>IF(M18006="","",'Master Barang'!A100)</f>
        <v>0</v>
      </c>
      <c r="O18006">
        <f>IF(N18006="","",'Master Barang'!B100)</f>
        <v>0</v>
      </c>
      <c r="P18006">
        <f>IF(OR(M18006="",N18006=""),"",SUMIFS('Barang Keluar'!$E:$E,'Barang Keluar'!$A:$A,M18006,'Barang Keluar'!$C:$C,N18006))</f>
        <v>0</v>
      </c>
    </row>
    <row r="18007" spans="13:16">
      <c r="M18007" s="49">
        <f>IF($A$4+179&gt;$B$4,"",$A$4+179)</f>
        <v>46202</v>
      </c>
      <c r="N18007">
        <f>IF(M18007="","",'Master Barang'!A101)</f>
        <v>0</v>
      </c>
      <c r="O18007">
        <f>IF(N18007="","",'Master Barang'!B101)</f>
        <v>0</v>
      </c>
      <c r="P18007">
        <f>IF(OR(M18007="",N18007=""),"",SUMIFS('Barang Keluar'!$E:$E,'Barang Keluar'!$A:$A,M18007,'Barang Keluar'!$C:$C,N18007))</f>
        <v>0</v>
      </c>
    </row>
    <row r="18008" spans="13:16">
      <c r="M18008" s="49">
        <f>IF($A$4+180&gt;$B$4,"",$A$4+180)</f>
        <v>46203</v>
      </c>
      <c r="N18008" t="str">
        <f>IF(M18008="","",'Master Barang'!A2)</f>
        <v>PRL-001</v>
      </c>
      <c r="O18008" t="str">
        <f>IF(N18008="","",'Master Barang'!B2)</f>
        <v>natura desinfectant food grade 5l</v>
      </c>
      <c r="P18008">
        <f>IF(OR(M18008="",N18008=""),"",SUMIFS('Barang Keluar'!$E:$E,'Barang Keluar'!$A:$A,M18008,'Barang Keluar'!$C:$C,N18008))</f>
        <v>0</v>
      </c>
    </row>
    <row r="18009" spans="13:16">
      <c r="M18009" s="49">
        <f>IF($A$4+180&gt;$B$4,"",$A$4+180)</f>
        <v>46203</v>
      </c>
      <c r="N18009" t="str">
        <f>IF(M18009="","",'Master Barang'!A3)</f>
        <v>PRL-002</v>
      </c>
      <c r="O18009" t="str">
        <f>IF(N18009="","",'Master Barang'!B3)</f>
        <v>sunlight cairan pencuci piring 5l</v>
      </c>
      <c r="P18009">
        <f>IF(OR(M18009="",N18009=""),"",SUMIFS('Barang Keluar'!$E:$E,'Barang Keluar'!$A:$A,M18009,'Barang Keluar'!$C:$C,N18009))</f>
        <v>0</v>
      </c>
    </row>
    <row r="18010" spans="13:16">
      <c r="M18010" s="49">
        <f>IF($A$4+180&gt;$B$4,"",$A$4+180)</f>
        <v>46203</v>
      </c>
      <c r="N18010" t="str">
        <f>IF(M18010="","",'Master Barang'!A4)</f>
        <v>PRL-003</v>
      </c>
      <c r="O18010" t="str">
        <f>IF(N18010="","",'Master Barang'!B4)</f>
        <v>oixs cleaner 1l</v>
      </c>
      <c r="P18010">
        <f>IF(OR(M18010="",N18010=""),"",SUMIFS('Barang Keluar'!$E:$E,'Barang Keluar'!$A:$A,M18010,'Barang Keluar'!$C:$C,N18010))</f>
        <v>0</v>
      </c>
    </row>
    <row r="18011" spans="13:16">
      <c r="M18011" s="49">
        <f>IF($A$4+180&gt;$B$4,"",$A$4+180)</f>
        <v>46203</v>
      </c>
      <c r="N18011" t="str">
        <f>IF(M18011="","",'Master Barang'!A5)</f>
        <v>PRL-004</v>
      </c>
      <c r="O18011" t="str">
        <f>IF(N18011="","",'Master Barang'!B5)</f>
        <v>be clean tissue serbaguna</v>
      </c>
      <c r="P18011">
        <f>IF(OR(M18011="",N18011=""),"",SUMIFS('Barang Keluar'!$E:$E,'Barang Keluar'!$A:$A,M18011,'Barang Keluar'!$C:$C,N18011))</f>
        <v>0</v>
      </c>
    </row>
    <row r="18012" spans="13:16">
      <c r="M18012" s="49">
        <f>IF($A$4+180&gt;$B$4,"",$A$4+180)</f>
        <v>46203</v>
      </c>
      <c r="N18012" t="str">
        <f>IF(M18012="","",'Master Barang'!A6)</f>
        <v>PRL-005</v>
      </c>
      <c r="O18012" t="str">
        <f>IF(N18012="","",'Master Barang'!B6)</f>
        <v>spons cuci hijau</v>
      </c>
      <c r="P18012">
        <f>IF(OR(M18012="",N18012=""),"",SUMIFS('Barang Keluar'!$E:$E,'Barang Keluar'!$A:$A,M18012,'Barang Keluar'!$C:$C,N18012))</f>
        <v>0</v>
      </c>
    </row>
    <row r="18013" spans="13:16">
      <c r="M18013" s="49">
        <f>IF($A$4+180&gt;$B$4,"",$A$4+180)</f>
        <v>46203</v>
      </c>
      <c r="N18013" t="str">
        <f>IF(M18013="","",'Master Barang'!A7)</f>
        <v>PRL-006</v>
      </c>
      <c r="O18013" t="str">
        <f>IF(N18013="","",'Master Barang'!B7)</f>
        <v>sabut cuci stainless</v>
      </c>
      <c r="P18013">
        <f>IF(OR(M18013="",N18013=""),"",SUMIFS('Barang Keluar'!$E:$E,'Barang Keluar'!$A:$A,M18013,'Barang Keluar'!$C:$C,N18013))</f>
        <v>0</v>
      </c>
    </row>
    <row r="18014" spans="13:16">
      <c r="M18014" s="49">
        <f>IF($A$4+180&gt;$B$4,"",$A$4+180)</f>
        <v>46203</v>
      </c>
      <c r="N18014" t="str">
        <f>IF(M18014="","",'Master Barang'!A8)</f>
        <v>PRL-007</v>
      </c>
      <c r="O18014" t="str">
        <f>IF(N18014="","",'Master Barang'!B8)</f>
        <v>plastik kresek besar merah 50pc</v>
      </c>
      <c r="P18014">
        <f>IF(OR(M18014="",N18014=""),"",SUMIFS('Barang Keluar'!$E:$E,'Barang Keluar'!$A:$A,M18014,'Barang Keluar'!$C:$C,N18014))</f>
        <v>0</v>
      </c>
    </row>
    <row r="18015" spans="13:16">
      <c r="M18015" s="49">
        <f>IF($A$4+180&gt;$B$4,"",$A$4+180)</f>
        <v>46203</v>
      </c>
      <c r="N18015" t="str">
        <f>IF(M18015="","",'Master Barang'!A9)</f>
        <v>PRL-008</v>
      </c>
      <c r="O18015" t="str">
        <f>IF(N18015="","",'Master Barang'!B9)</f>
        <v>lap besar</v>
      </c>
      <c r="P18015">
        <f>IF(OR(M18015="",N18015=""),"",SUMIFS('Barang Keluar'!$E:$E,'Barang Keluar'!$A:$A,M18015,'Barang Keluar'!$C:$C,N18015))</f>
        <v>0</v>
      </c>
    </row>
    <row r="18016" spans="13:16">
      <c r="M18016" s="49">
        <f>IF($A$4+180&gt;$B$4,"",$A$4+180)</f>
        <v>46203</v>
      </c>
      <c r="N18016" t="str">
        <f>IF(M18016="","",'Master Barang'!A10)</f>
        <v>PRL-009</v>
      </c>
      <c r="O18016" t="str">
        <f>IF(N18016="","",'Master Barang'!B10)</f>
        <v>lap microfiber</v>
      </c>
      <c r="P18016">
        <f>IF(OR(M18016="",N18016=""),"",SUMIFS('Barang Keluar'!$E:$E,'Barang Keluar'!$A:$A,M18016,'Barang Keluar'!$C:$C,N18016))</f>
        <v>0</v>
      </c>
    </row>
    <row r="18017" spans="13:16">
      <c r="M18017" s="49">
        <f>IF($A$4+180&gt;$B$4,"",$A$4+180)</f>
        <v>46203</v>
      </c>
      <c r="N18017" t="str">
        <f>IF(M18017="","",'Master Barang'!A11)</f>
        <v>PRL-010</v>
      </c>
      <c r="O18017" t="str">
        <f>IF(N18017="","",'Master Barang'!B11)</f>
        <v>lap kecil</v>
      </c>
      <c r="P18017">
        <f>IF(OR(M18017="",N18017=""),"",SUMIFS('Barang Keluar'!$E:$E,'Barang Keluar'!$A:$A,M18017,'Barang Keluar'!$C:$C,N18017))</f>
        <v>0</v>
      </c>
    </row>
    <row r="18018" spans="13:16">
      <c r="M18018" s="49">
        <f>IF($A$4+180&gt;$B$4,"",$A$4+180)</f>
        <v>46203</v>
      </c>
      <c r="N18018" t="str">
        <f>IF(M18018="","",'Master Barang'!A12)</f>
        <v>PRL-011</v>
      </c>
      <c r="O18018" t="str">
        <f>IF(N18018="","",'Master Barang'!B12)</f>
        <v>kanebo kecil</v>
      </c>
      <c r="P18018">
        <f>IF(OR(M18018="",N18018=""),"",SUMIFS('Barang Keluar'!$E:$E,'Barang Keluar'!$A:$A,M18018,'Barang Keluar'!$C:$C,N18018))</f>
        <v>0</v>
      </c>
    </row>
    <row r="18019" spans="13:16">
      <c r="M18019" s="49">
        <f>IF($A$4+180&gt;$B$4,"",$A$4+180)</f>
        <v>46203</v>
      </c>
      <c r="N18019" t="str">
        <f>IF(M18019="","",'Master Barang'!A13)</f>
        <v>PRL-012</v>
      </c>
      <c r="O18019" t="str">
        <f>IF(N18019="","",'Master Barang'!B13)</f>
        <v>plastik 1/4kg joyoboyo 100 lembar</v>
      </c>
      <c r="P18019">
        <f>IF(OR(M18019="",N18019=""),"",SUMIFS('Barang Keluar'!$E:$E,'Barang Keluar'!$A:$A,M18019,'Barang Keluar'!$C:$C,N18019))</f>
        <v>0</v>
      </c>
    </row>
    <row r="18020" spans="13:16">
      <c r="M18020" s="49">
        <f>IF($A$4+180&gt;$B$4,"",$A$4+180)</f>
        <v>46203</v>
      </c>
      <c r="N18020" t="str">
        <f>IF(M18020="","",'Master Barang'!A14)</f>
        <v>PRL-013</v>
      </c>
      <c r="O18020" t="str">
        <f>IF(N18020="","",'Master Barang'!B14)</f>
        <v>sarung tangan plastik kaka 100 pcs</v>
      </c>
      <c r="P18020">
        <f>IF(OR(M18020="",N18020=""),"",SUMIFS('Barang Keluar'!$E:$E,'Barang Keluar'!$A:$A,M18020,'Barang Keluar'!$C:$C,N18020))</f>
        <v>0</v>
      </c>
    </row>
    <row r="18021" spans="13:16">
      <c r="M18021" s="49">
        <f>IF($A$4+180&gt;$B$4,"",$A$4+180)</f>
        <v>46203</v>
      </c>
      <c r="N18021" t="str">
        <f>IF(M18021="","",'Master Barang'!A15)</f>
        <v>PRL-014</v>
      </c>
      <c r="O18021" t="str">
        <f>IF(N18021="","",'Master Barang'!B15)</f>
        <v>optima trashbag 80x100</v>
      </c>
      <c r="P18021">
        <f>IF(OR(M18021="",N18021=""),"",SUMIFS('Barang Keluar'!$E:$E,'Barang Keluar'!$A:$A,M18021,'Barang Keluar'!$C:$C,N18021))</f>
        <v>0</v>
      </c>
    </row>
    <row r="18022" spans="13:16">
      <c r="M18022" s="49">
        <f>IF($A$4+180&gt;$B$4,"",$A$4+180)</f>
        <v>46203</v>
      </c>
      <c r="N18022" t="str">
        <f>IF(M18022="","",'Master Barang'!A16)</f>
        <v>PRL-015</v>
      </c>
      <c r="O18022" t="str">
        <f>IF(N18022="","",'Master Barang'!B16)</f>
        <v>optima trashbag 60x100</v>
      </c>
      <c r="P18022">
        <f>IF(OR(M18022="",N18022=""),"",SUMIFS('Barang Keluar'!$E:$E,'Barang Keluar'!$A:$A,M18022,'Barang Keluar'!$C:$C,N18022))</f>
        <v>0</v>
      </c>
    </row>
    <row r="18023" spans="13:16">
      <c r="M18023" s="49">
        <f>IF($A$4+180&gt;$B$4,"",$A$4+180)</f>
        <v>46203</v>
      </c>
      <c r="N18023" t="str">
        <f>IF(M18023="","",'Master Barang'!A17)</f>
        <v>PRL-016</v>
      </c>
      <c r="O18023" t="str">
        <f>IF(N18023="","",'Master Barang'!B17)</f>
        <v>rajawali trashbag 30x40</v>
      </c>
      <c r="P18023">
        <f>IF(OR(M18023="",N18023=""),"",SUMIFS('Barang Keluar'!$E:$E,'Barang Keluar'!$A:$A,M18023,'Barang Keluar'!$C:$C,N18023))</f>
        <v>0</v>
      </c>
    </row>
    <row r="18024" spans="13:16">
      <c r="M18024" s="49">
        <f>IF($A$4+180&gt;$B$4,"",$A$4+180)</f>
        <v>46203</v>
      </c>
      <c r="N18024" t="str">
        <f>IF(M18024="","",'Master Barang'!A18)</f>
        <v>PRL-017</v>
      </c>
      <c r="O18024" t="str">
        <f>IF(N18024="","",'Master Barang'!B18)</f>
        <v>onemed masker biru 3 play 50 pcs</v>
      </c>
      <c r="P18024">
        <f>IF(OR(M18024="",N18024=""),"",SUMIFS('Barang Keluar'!$E:$E,'Barang Keluar'!$A:$A,M18024,'Barang Keluar'!$C:$C,N18024))</f>
        <v>0</v>
      </c>
    </row>
    <row r="18025" spans="13:16">
      <c r="M18025" s="49">
        <f>IF($A$4+180&gt;$B$4,"",$A$4+180)</f>
        <v>46203</v>
      </c>
      <c r="N18025" t="str">
        <f>IF(M18025="","",'Master Barang'!A19)</f>
        <v>PRL-018</v>
      </c>
      <c r="O18025" t="str">
        <f>IF(N18025="","",'Master Barang'!B19)</f>
        <v>onemed masker biru 3 play hijab 50 pcs</v>
      </c>
      <c r="P18025">
        <f>IF(OR(M18025="",N18025=""),"",SUMIFS('Barang Keluar'!$E:$E,'Barang Keluar'!$A:$A,M18025,'Barang Keluar'!$C:$C,N18025))</f>
        <v>0</v>
      </c>
    </row>
    <row r="18026" spans="13:16">
      <c r="M18026" s="49">
        <f>IF($A$4+180&gt;$B$4,"",$A$4+180)</f>
        <v>46203</v>
      </c>
      <c r="N18026" t="str">
        <f>IF(M18026="","",'Master Barang'!A20)</f>
        <v>PRL-019</v>
      </c>
      <c r="O18026" t="str">
        <f>IF(N18026="","",'Master Barang'!B20)</f>
        <v>neo health masker biru 3 play 50 pcs</v>
      </c>
      <c r="P18026">
        <f>IF(OR(M18026="",N18026=""),"",SUMIFS('Barang Keluar'!$E:$E,'Barang Keluar'!$A:$A,M18026,'Barang Keluar'!$C:$C,N18026))</f>
        <v>0</v>
      </c>
    </row>
    <row r="18027" spans="13:16">
      <c r="M18027" s="49">
        <f>IF($A$4+180&gt;$B$4,"",$A$4+180)</f>
        <v>46203</v>
      </c>
      <c r="N18027" t="str">
        <f>IF(M18027="","",'Master Barang'!A21)</f>
        <v>PRL-020</v>
      </c>
      <c r="O18027" t="str">
        <f>IF(N18027="","",'Master Barang'!B21)</f>
        <v>baymed masker hijau 3 play hijau 50 pcs</v>
      </c>
      <c r="P18027">
        <f>IF(OR(M18027="",N18027=""),"",SUMIFS('Barang Keluar'!$E:$E,'Barang Keluar'!$A:$A,M18027,'Barang Keluar'!$C:$C,N18027))</f>
        <v>0</v>
      </c>
    </row>
    <row r="18028" spans="13:16">
      <c r="M18028" s="49">
        <f>IF($A$4+180&gt;$B$4,"",$A$4+180)</f>
        <v>46203</v>
      </c>
      <c r="N18028" t="str">
        <f>IF(M18028="","",'Master Barang'!A22)</f>
        <v>PRL-021</v>
      </c>
      <c r="O18028" t="str">
        <f>IF(N18028="","",'Master Barang'!B22)</f>
        <v>altamed nurse cap penutup kepala 100 pcs</v>
      </c>
      <c r="P18028">
        <f>IF(OR(M18028="",N18028=""),"",SUMIFS('Barang Keluar'!$E:$E,'Barang Keluar'!$A:$A,M18028,'Barang Keluar'!$C:$C,N18028))</f>
        <v>0</v>
      </c>
    </row>
    <row r="18029" spans="13:16">
      <c r="M18029" s="49">
        <f>IF($A$4+180&gt;$B$4,"",$A$4+180)</f>
        <v>46203</v>
      </c>
      <c r="N18029" t="str">
        <f>IF(M18029="","",'Master Barang'!A23)</f>
        <v>PRL-022</v>
      </c>
      <c r="O18029" t="str">
        <f>IF(N18029="","",'Master Barang'!B23)</f>
        <v>sabun cuci tangan</v>
      </c>
      <c r="P18029">
        <f>IF(OR(M18029="",N18029=""),"",SUMIFS('Barang Keluar'!$E:$E,'Barang Keluar'!$A:$A,M18029,'Barang Keluar'!$C:$C,N18029))</f>
        <v>0</v>
      </c>
    </row>
    <row r="18030" spans="13:16">
      <c r="M18030" s="49">
        <f>IF($A$4+180&gt;$B$4,"",$A$4+180)</f>
        <v>46203</v>
      </c>
      <c r="N18030" t="str">
        <f>IF(M18030="","",'Master Barang'!A24)</f>
        <v>PRL-023</v>
      </c>
      <c r="O18030" t="str">
        <f>IF(N18030="","",'Master Barang'!B24)</f>
        <v>gayung kecil</v>
      </c>
      <c r="P18030">
        <f>IF(OR(M18030="",N18030=""),"",SUMIFS('Barang Keluar'!$E:$E,'Barang Keluar'!$A:$A,M18030,'Barang Keluar'!$C:$C,N18030))</f>
        <v>0</v>
      </c>
    </row>
    <row r="18031" spans="13:16">
      <c r="M18031" s="49">
        <f>IF($A$4+180&gt;$B$4,"",$A$4+180)</f>
        <v>46203</v>
      </c>
      <c r="N18031" t="str">
        <f>IF(M18031="","",'Master Barang'!A25)</f>
        <v>PRL-024</v>
      </c>
      <c r="O18031" t="str">
        <f>IF(N18031="","",'Master Barang'!B25)</f>
        <v>cikrak kecil</v>
      </c>
      <c r="P18031">
        <f>IF(OR(M18031="",N18031=""),"",SUMIFS('Barang Keluar'!$E:$E,'Barang Keluar'!$A:$A,M18031,'Barang Keluar'!$C:$C,N18031))</f>
        <v>0</v>
      </c>
    </row>
    <row r="18032" spans="13:16">
      <c r="M18032" s="49">
        <f>IF($A$4+180&gt;$B$4,"",$A$4+180)</f>
        <v>46203</v>
      </c>
      <c r="N18032" t="str">
        <f>IF(M18032="","",'Master Barang'!A26)</f>
        <v>PRL-025</v>
      </c>
      <c r="O18032" t="str">
        <f>IF(N18032="","",'Master Barang'!B26)</f>
        <v>petromax plastik kecil 12x24 100 lembar</v>
      </c>
      <c r="P18032">
        <f>IF(OR(M18032="",N18032=""),"",SUMIFS('Barang Keluar'!$E:$E,'Barang Keluar'!$A:$A,M18032,'Barang Keluar'!$C:$C,N18032))</f>
        <v>0</v>
      </c>
    </row>
    <row r="18033" spans="13:16">
      <c r="M18033" s="49">
        <f>IF($A$4+180&gt;$B$4,"",$A$4+180)</f>
        <v>46203</v>
      </c>
      <c r="N18033" t="str">
        <f>IF(M18033="","",'Master Barang'!A27)</f>
        <v>PRL-026</v>
      </c>
      <c r="O18033" t="str">
        <f>IF(N18033="","",'Master Barang'!B27)</f>
        <v>lancar kresek kecil bening </v>
      </c>
      <c r="P18033">
        <f>IF(OR(M18033="",N18033=""),"",SUMIFS('Barang Keluar'!$E:$E,'Barang Keluar'!$A:$A,M18033,'Barang Keluar'!$C:$C,N18033))</f>
        <v>0</v>
      </c>
    </row>
    <row r="18034" spans="13:16">
      <c r="M18034" s="49">
        <f>IF($A$4+180&gt;$B$4,"",$A$4+180)</f>
        <v>46203</v>
      </c>
      <c r="N18034" t="str">
        <f>IF(M18034="","",'Master Barang'!A28)</f>
        <v>PRL-027</v>
      </c>
      <c r="O18034" t="str">
        <f>IF(N18034="","",'Master Barang'!B28)</f>
        <v>kresek klin warna warni kecil</v>
      </c>
      <c r="P18034">
        <f>IF(OR(M18034="",N18034=""),"",SUMIFS('Barang Keluar'!$E:$E,'Barang Keluar'!$A:$A,M18034,'Barang Keluar'!$C:$C,N18034))</f>
        <v>0</v>
      </c>
    </row>
    <row r="18035" spans="13:16">
      <c r="M18035" s="49">
        <f>IF($A$4+180&gt;$B$4,"",$A$4+180)</f>
        <v>46203</v>
      </c>
      <c r="N18035" t="str">
        <f>IF(M18035="","",'Master Barang'!A29)</f>
        <v>PRL-028</v>
      </c>
      <c r="O18035" t="str">
        <f>IF(N18035="","",'Master Barang'!B29)</f>
        <v>ctik plastik 7x10 100 pcs</v>
      </c>
      <c r="P18035">
        <f>IF(OR(M18035="",N18035=""),"",SUMIFS('Barang Keluar'!$E:$E,'Barang Keluar'!$A:$A,M18035,'Barang Keluar'!$C:$C,N18035))</f>
        <v>0</v>
      </c>
    </row>
    <row r="18036" spans="13:16">
      <c r="M18036" s="49">
        <f>IF($A$4+180&gt;$B$4,"",$A$4+180)</f>
        <v>46203</v>
      </c>
      <c r="N18036" t="str">
        <f>IF(M18036="","",'Master Barang'!A30)</f>
        <v>PRL-029</v>
      </c>
      <c r="O18036" t="str">
        <f>IF(N18036="","",'Master Barang'!B30)</f>
        <v>ctik plastik 6x10 100 pcs</v>
      </c>
      <c r="P18036">
        <f>IF(OR(M18036="",N18036=""),"",SUMIFS('Barang Keluar'!$E:$E,'Barang Keluar'!$A:$A,M18036,'Barang Keluar'!$C:$C,N18036))</f>
        <v>0</v>
      </c>
    </row>
    <row r="18037" spans="13:16">
      <c r="M18037" s="49">
        <f>IF($A$4+180&gt;$B$4,"",$A$4+180)</f>
        <v>46203</v>
      </c>
      <c r="N18037" t="str">
        <f>IF(M18037="","",'Master Barang'!A31)</f>
        <v>PRL-030</v>
      </c>
      <c r="O18037" t="str">
        <f>IF(N18037="","",'Master Barang'!B31)</f>
        <v>klip plastik 25x16 100 pcs</v>
      </c>
      <c r="P18037">
        <f>IF(OR(M18037="",N18037=""),"",SUMIFS('Barang Keluar'!$E:$E,'Barang Keluar'!$A:$A,M18037,'Barang Keluar'!$C:$C,N18037))</f>
        <v>0</v>
      </c>
    </row>
    <row r="18038" spans="13:16">
      <c r="M18038" s="49">
        <f>IF($A$4+180&gt;$B$4,"",$A$4+180)</f>
        <v>46203</v>
      </c>
      <c r="N18038" t="str">
        <f>IF(M18038="","",'Master Barang'!A32)</f>
        <v>PRL-031</v>
      </c>
      <c r="O18038" t="str">
        <f>IF(N18038="","",'Master Barang'!B32)</f>
        <v>tempat saus 20 ml</v>
      </c>
      <c r="P18038">
        <f>IF(OR(M18038="",N18038=""),"",SUMIFS('Barang Keluar'!$E:$E,'Barang Keluar'!$A:$A,M18038,'Barang Keluar'!$C:$C,N18038))</f>
        <v>0</v>
      </c>
    </row>
    <row r="18039" spans="13:16">
      <c r="M18039" s="49">
        <f>IF($A$4+180&gt;$B$4,"",$A$4+180)</f>
        <v>46203</v>
      </c>
      <c r="N18039" t="str">
        <f>IF(M18039="","",'Master Barang'!A33)</f>
        <v>PRL-032</v>
      </c>
      <c r="O18039" t="str">
        <f>IF(N18039="","",'Master Barang'!B33)</f>
        <v>plastik packaging ag box uk sedang</v>
      </c>
      <c r="P18039">
        <f>IF(OR(M18039="",N18039=""),"",SUMIFS('Barang Keluar'!$E:$E,'Barang Keluar'!$A:$A,M18039,'Barang Keluar'!$C:$C,N18039))</f>
        <v>0</v>
      </c>
    </row>
    <row r="18040" spans="13:16">
      <c r="M18040" s="49">
        <f>IF($A$4+180&gt;$B$4,"",$A$4+180)</f>
        <v>46203</v>
      </c>
      <c r="N18040" t="str">
        <f>IF(M18040="","",'Master Barang'!A34)</f>
        <v>PRL-033</v>
      </c>
      <c r="O18040">
        <f>IF(N18040="","",'Master Barang'!B34)</f>
        <v>0</v>
      </c>
      <c r="P18040">
        <f>IF(OR(M18040="",N18040=""),"",SUMIFS('Barang Keluar'!$E:$E,'Barang Keluar'!$A:$A,M18040,'Barang Keluar'!$C:$C,N18040))</f>
        <v>0</v>
      </c>
    </row>
    <row r="18041" spans="13:16">
      <c r="M18041" s="49">
        <f>IF($A$4+180&gt;$B$4,"",$A$4+180)</f>
        <v>46203</v>
      </c>
      <c r="N18041">
        <f>IF(M18041="","",'Master Barang'!A35)</f>
        <v>0</v>
      </c>
      <c r="O18041">
        <f>IF(N18041="","",'Master Barang'!B35)</f>
        <v>0</v>
      </c>
      <c r="P18041">
        <f>IF(OR(M18041="",N18041=""),"",SUMIFS('Barang Keluar'!$E:$E,'Barang Keluar'!$A:$A,M18041,'Barang Keluar'!$C:$C,N18041))</f>
        <v>0</v>
      </c>
    </row>
    <row r="18042" spans="13:16">
      <c r="M18042" s="49">
        <f>IF($A$4+180&gt;$B$4,"",$A$4+180)</f>
        <v>46203</v>
      </c>
      <c r="N18042">
        <f>IF(M18042="","",'Master Barang'!A36)</f>
        <v>0</v>
      </c>
      <c r="O18042">
        <f>IF(N18042="","",'Master Barang'!B36)</f>
        <v>0</v>
      </c>
      <c r="P18042">
        <f>IF(OR(M18042="",N18042=""),"",SUMIFS('Barang Keluar'!$E:$E,'Barang Keluar'!$A:$A,M18042,'Barang Keluar'!$C:$C,N18042))</f>
        <v>0</v>
      </c>
    </row>
    <row r="18043" spans="13:16">
      <c r="M18043" s="49">
        <f>IF($A$4+180&gt;$B$4,"",$A$4+180)</f>
        <v>46203</v>
      </c>
      <c r="N18043">
        <f>IF(M18043="","",'Master Barang'!A37)</f>
        <v>0</v>
      </c>
      <c r="O18043">
        <f>IF(N18043="","",'Master Barang'!B37)</f>
        <v>0</v>
      </c>
      <c r="P18043">
        <f>IF(OR(M18043="",N18043=""),"",SUMIFS('Barang Keluar'!$E:$E,'Barang Keluar'!$A:$A,M18043,'Barang Keluar'!$C:$C,N18043))</f>
        <v>0</v>
      </c>
    </row>
    <row r="18044" spans="13:16">
      <c r="M18044" s="49">
        <f>IF($A$4+180&gt;$B$4,"",$A$4+180)</f>
        <v>46203</v>
      </c>
      <c r="N18044">
        <f>IF(M18044="","",'Master Barang'!A38)</f>
        <v>0</v>
      </c>
      <c r="O18044">
        <f>IF(N18044="","",'Master Barang'!B38)</f>
        <v>0</v>
      </c>
      <c r="P18044">
        <f>IF(OR(M18044="",N18044=""),"",SUMIFS('Barang Keluar'!$E:$E,'Barang Keluar'!$A:$A,M18044,'Barang Keluar'!$C:$C,N18044))</f>
        <v>0</v>
      </c>
    </row>
    <row r="18045" spans="13:16">
      <c r="M18045" s="49">
        <f>IF($A$4+180&gt;$B$4,"",$A$4+180)</f>
        <v>46203</v>
      </c>
      <c r="N18045">
        <f>IF(M18045="","",'Master Barang'!A39)</f>
        <v>0</v>
      </c>
      <c r="O18045">
        <f>IF(N18045="","",'Master Barang'!B39)</f>
        <v>0</v>
      </c>
      <c r="P18045">
        <f>IF(OR(M18045="",N18045=""),"",SUMIFS('Barang Keluar'!$E:$E,'Barang Keluar'!$A:$A,M18045,'Barang Keluar'!$C:$C,N18045))</f>
        <v>0</v>
      </c>
    </row>
    <row r="18046" spans="13:16">
      <c r="M18046" s="49">
        <f>IF($A$4+180&gt;$B$4,"",$A$4+180)</f>
        <v>46203</v>
      </c>
      <c r="N18046">
        <f>IF(M18046="","",'Master Barang'!A40)</f>
        <v>0</v>
      </c>
      <c r="O18046">
        <f>IF(N18046="","",'Master Barang'!B40)</f>
        <v>0</v>
      </c>
      <c r="P18046">
        <f>IF(OR(M18046="",N18046=""),"",SUMIFS('Barang Keluar'!$E:$E,'Barang Keluar'!$A:$A,M18046,'Barang Keluar'!$C:$C,N18046))</f>
        <v>0</v>
      </c>
    </row>
    <row r="18047" spans="13:16">
      <c r="M18047" s="49">
        <f>IF($A$4+180&gt;$B$4,"",$A$4+180)</f>
        <v>46203</v>
      </c>
      <c r="N18047">
        <f>IF(M18047="","",'Master Barang'!A41)</f>
        <v>0</v>
      </c>
      <c r="O18047">
        <f>IF(N18047="","",'Master Barang'!B41)</f>
        <v>0</v>
      </c>
      <c r="P18047">
        <f>IF(OR(M18047="",N18047=""),"",SUMIFS('Barang Keluar'!$E:$E,'Barang Keluar'!$A:$A,M18047,'Barang Keluar'!$C:$C,N18047))</f>
        <v>0</v>
      </c>
    </row>
    <row r="18048" spans="13:16">
      <c r="M18048" s="49">
        <f>IF($A$4+180&gt;$B$4,"",$A$4+180)</f>
        <v>46203</v>
      </c>
      <c r="N18048">
        <f>IF(M18048="","",'Master Barang'!A42)</f>
        <v>0</v>
      </c>
      <c r="O18048">
        <f>IF(N18048="","",'Master Barang'!B42)</f>
        <v>0</v>
      </c>
      <c r="P18048">
        <f>IF(OR(M18048="",N18048=""),"",SUMIFS('Barang Keluar'!$E:$E,'Barang Keluar'!$A:$A,M18048,'Barang Keluar'!$C:$C,N18048))</f>
        <v>0</v>
      </c>
    </row>
    <row r="18049" spans="13:16">
      <c r="M18049" s="49">
        <f>IF($A$4+180&gt;$B$4,"",$A$4+180)</f>
        <v>46203</v>
      </c>
      <c r="N18049">
        <f>IF(M18049="","",'Master Barang'!A43)</f>
        <v>0</v>
      </c>
      <c r="O18049">
        <f>IF(N18049="","",'Master Barang'!B43)</f>
        <v>0</v>
      </c>
      <c r="P18049">
        <f>IF(OR(M18049="",N18049=""),"",SUMIFS('Barang Keluar'!$E:$E,'Barang Keluar'!$A:$A,M18049,'Barang Keluar'!$C:$C,N18049))</f>
        <v>0</v>
      </c>
    </row>
    <row r="18050" spans="13:16">
      <c r="M18050" s="49">
        <f>IF($A$4+180&gt;$B$4,"",$A$4+180)</f>
        <v>46203</v>
      </c>
      <c r="N18050">
        <f>IF(M18050="","",'Master Barang'!A44)</f>
        <v>0</v>
      </c>
      <c r="O18050">
        <f>IF(N18050="","",'Master Barang'!B44)</f>
        <v>0</v>
      </c>
      <c r="P18050">
        <f>IF(OR(M18050="",N18050=""),"",SUMIFS('Barang Keluar'!$E:$E,'Barang Keluar'!$A:$A,M18050,'Barang Keluar'!$C:$C,N18050))</f>
        <v>0</v>
      </c>
    </row>
    <row r="18051" spans="13:16">
      <c r="M18051" s="49">
        <f>IF($A$4+180&gt;$B$4,"",$A$4+180)</f>
        <v>46203</v>
      </c>
      <c r="N18051">
        <f>IF(M18051="","",'Master Barang'!A45)</f>
        <v>0</v>
      </c>
      <c r="O18051">
        <f>IF(N18051="","",'Master Barang'!B45)</f>
        <v>0</v>
      </c>
      <c r="P18051">
        <f>IF(OR(M18051="",N18051=""),"",SUMIFS('Barang Keluar'!$E:$E,'Barang Keluar'!$A:$A,M18051,'Barang Keluar'!$C:$C,N18051))</f>
        <v>0</v>
      </c>
    </row>
    <row r="18052" spans="13:16">
      <c r="M18052" s="49">
        <f>IF($A$4+180&gt;$B$4,"",$A$4+180)</f>
        <v>46203</v>
      </c>
      <c r="N18052">
        <f>IF(M18052="","",'Master Barang'!A46)</f>
        <v>0</v>
      </c>
      <c r="O18052">
        <f>IF(N18052="","",'Master Barang'!B46)</f>
        <v>0</v>
      </c>
      <c r="P18052">
        <f>IF(OR(M18052="",N18052=""),"",SUMIFS('Barang Keluar'!$E:$E,'Barang Keluar'!$A:$A,M18052,'Barang Keluar'!$C:$C,N18052))</f>
        <v>0</v>
      </c>
    </row>
    <row r="18053" spans="13:16">
      <c r="M18053" s="49">
        <f>IF($A$4+180&gt;$B$4,"",$A$4+180)</f>
        <v>46203</v>
      </c>
      <c r="N18053">
        <f>IF(M18053="","",'Master Barang'!A47)</f>
        <v>0</v>
      </c>
      <c r="O18053">
        <f>IF(N18053="","",'Master Barang'!B47)</f>
        <v>0</v>
      </c>
      <c r="P18053">
        <f>IF(OR(M18053="",N18053=""),"",SUMIFS('Barang Keluar'!$E:$E,'Barang Keluar'!$A:$A,M18053,'Barang Keluar'!$C:$C,N18053))</f>
        <v>0</v>
      </c>
    </row>
    <row r="18054" spans="13:16">
      <c r="M18054" s="49">
        <f>IF($A$4+180&gt;$B$4,"",$A$4+180)</f>
        <v>46203</v>
      </c>
      <c r="N18054">
        <f>IF(M18054="","",'Master Barang'!A48)</f>
        <v>0</v>
      </c>
      <c r="O18054">
        <f>IF(N18054="","",'Master Barang'!B48)</f>
        <v>0</v>
      </c>
      <c r="P18054">
        <f>IF(OR(M18054="",N18054=""),"",SUMIFS('Barang Keluar'!$E:$E,'Barang Keluar'!$A:$A,M18054,'Barang Keluar'!$C:$C,N18054))</f>
        <v>0</v>
      </c>
    </row>
    <row r="18055" spans="13:16">
      <c r="M18055" s="49">
        <f>IF($A$4+180&gt;$B$4,"",$A$4+180)</f>
        <v>46203</v>
      </c>
      <c r="N18055">
        <f>IF(M18055="","",'Master Barang'!A49)</f>
        <v>0</v>
      </c>
      <c r="O18055">
        <f>IF(N18055="","",'Master Barang'!B49)</f>
        <v>0</v>
      </c>
      <c r="P18055">
        <f>IF(OR(M18055="",N18055=""),"",SUMIFS('Barang Keluar'!$E:$E,'Barang Keluar'!$A:$A,M18055,'Barang Keluar'!$C:$C,N18055))</f>
        <v>0</v>
      </c>
    </row>
    <row r="18056" spans="13:16">
      <c r="M18056" s="49">
        <f>IF($A$4+180&gt;$B$4,"",$A$4+180)</f>
        <v>46203</v>
      </c>
      <c r="N18056">
        <f>IF(M18056="","",'Master Barang'!A50)</f>
        <v>0</v>
      </c>
      <c r="O18056">
        <f>IF(N18056="","",'Master Barang'!B50)</f>
        <v>0</v>
      </c>
      <c r="P18056">
        <f>IF(OR(M18056="",N18056=""),"",SUMIFS('Barang Keluar'!$E:$E,'Barang Keluar'!$A:$A,M18056,'Barang Keluar'!$C:$C,N18056))</f>
        <v>0</v>
      </c>
    </row>
    <row r="18057" spans="13:16">
      <c r="M18057" s="49">
        <f>IF($A$4+180&gt;$B$4,"",$A$4+180)</f>
        <v>46203</v>
      </c>
      <c r="N18057">
        <f>IF(M18057="","",'Master Barang'!A51)</f>
        <v>0</v>
      </c>
      <c r="O18057">
        <f>IF(N18057="","",'Master Barang'!B51)</f>
        <v>0</v>
      </c>
      <c r="P18057">
        <f>IF(OR(M18057="",N18057=""),"",SUMIFS('Barang Keluar'!$E:$E,'Barang Keluar'!$A:$A,M18057,'Barang Keluar'!$C:$C,N18057))</f>
        <v>0</v>
      </c>
    </row>
    <row r="18058" spans="13:16">
      <c r="M18058" s="49">
        <f>IF($A$4+180&gt;$B$4,"",$A$4+180)</f>
        <v>46203</v>
      </c>
      <c r="N18058">
        <f>IF(M18058="","",'Master Barang'!A52)</f>
        <v>0</v>
      </c>
      <c r="O18058">
        <f>IF(N18058="","",'Master Barang'!B52)</f>
        <v>0</v>
      </c>
      <c r="P18058">
        <f>IF(OR(M18058="",N18058=""),"",SUMIFS('Barang Keluar'!$E:$E,'Barang Keluar'!$A:$A,M18058,'Barang Keluar'!$C:$C,N18058))</f>
        <v>0</v>
      </c>
    </row>
    <row r="18059" spans="13:16">
      <c r="M18059" s="49">
        <f>IF($A$4+180&gt;$B$4,"",$A$4+180)</f>
        <v>46203</v>
      </c>
      <c r="N18059">
        <f>IF(M18059="","",'Master Barang'!A53)</f>
        <v>0</v>
      </c>
      <c r="O18059">
        <f>IF(N18059="","",'Master Barang'!B53)</f>
        <v>0</v>
      </c>
      <c r="P18059">
        <f>IF(OR(M18059="",N18059=""),"",SUMIFS('Barang Keluar'!$E:$E,'Barang Keluar'!$A:$A,M18059,'Barang Keluar'!$C:$C,N18059))</f>
        <v>0</v>
      </c>
    </row>
    <row r="18060" spans="13:16">
      <c r="M18060" s="49">
        <f>IF($A$4+180&gt;$B$4,"",$A$4+180)</f>
        <v>46203</v>
      </c>
      <c r="N18060">
        <f>IF(M18060="","",'Master Barang'!A54)</f>
        <v>0</v>
      </c>
      <c r="O18060">
        <f>IF(N18060="","",'Master Barang'!B54)</f>
        <v>0</v>
      </c>
      <c r="P18060">
        <f>IF(OR(M18060="",N18060=""),"",SUMIFS('Barang Keluar'!$E:$E,'Barang Keluar'!$A:$A,M18060,'Barang Keluar'!$C:$C,N18060))</f>
        <v>0</v>
      </c>
    </row>
    <row r="18061" spans="13:16">
      <c r="M18061" s="49">
        <f>IF($A$4+180&gt;$B$4,"",$A$4+180)</f>
        <v>46203</v>
      </c>
      <c r="N18061">
        <f>IF(M18061="","",'Master Barang'!A55)</f>
        <v>0</v>
      </c>
      <c r="O18061">
        <f>IF(N18061="","",'Master Barang'!B55)</f>
        <v>0</v>
      </c>
      <c r="P18061">
        <f>IF(OR(M18061="",N18061=""),"",SUMIFS('Barang Keluar'!$E:$E,'Barang Keluar'!$A:$A,M18061,'Barang Keluar'!$C:$C,N18061))</f>
        <v>0</v>
      </c>
    </row>
    <row r="18062" spans="13:16">
      <c r="M18062" s="49">
        <f>IF($A$4+180&gt;$B$4,"",$A$4+180)</f>
        <v>46203</v>
      </c>
      <c r="N18062">
        <f>IF(M18062="","",'Master Barang'!A56)</f>
        <v>0</v>
      </c>
      <c r="O18062">
        <f>IF(N18062="","",'Master Barang'!B56)</f>
        <v>0</v>
      </c>
      <c r="P18062">
        <f>IF(OR(M18062="",N18062=""),"",SUMIFS('Barang Keluar'!$E:$E,'Barang Keluar'!$A:$A,M18062,'Barang Keluar'!$C:$C,N18062))</f>
        <v>0</v>
      </c>
    </row>
    <row r="18063" spans="13:16">
      <c r="M18063" s="49">
        <f>IF($A$4+180&gt;$B$4,"",$A$4+180)</f>
        <v>46203</v>
      </c>
      <c r="N18063">
        <f>IF(M18063="","",'Master Barang'!A57)</f>
        <v>0</v>
      </c>
      <c r="O18063">
        <f>IF(N18063="","",'Master Barang'!B57)</f>
        <v>0</v>
      </c>
      <c r="P18063">
        <f>IF(OR(M18063="",N18063=""),"",SUMIFS('Barang Keluar'!$E:$E,'Barang Keluar'!$A:$A,M18063,'Barang Keluar'!$C:$C,N18063))</f>
        <v>0</v>
      </c>
    </row>
    <row r="18064" spans="13:16">
      <c r="M18064" s="49">
        <f>IF($A$4+180&gt;$B$4,"",$A$4+180)</f>
        <v>46203</v>
      </c>
      <c r="N18064">
        <f>IF(M18064="","",'Master Barang'!A58)</f>
        <v>0</v>
      </c>
      <c r="O18064">
        <f>IF(N18064="","",'Master Barang'!B58)</f>
        <v>0</v>
      </c>
      <c r="P18064">
        <f>IF(OR(M18064="",N18064=""),"",SUMIFS('Barang Keluar'!$E:$E,'Barang Keluar'!$A:$A,M18064,'Barang Keluar'!$C:$C,N18064))</f>
        <v>0</v>
      </c>
    </row>
    <row r="18065" spans="13:16">
      <c r="M18065" s="49">
        <f>IF($A$4+180&gt;$B$4,"",$A$4+180)</f>
        <v>46203</v>
      </c>
      <c r="N18065">
        <f>IF(M18065="","",'Master Barang'!A59)</f>
        <v>0</v>
      </c>
      <c r="O18065">
        <f>IF(N18065="","",'Master Barang'!B59)</f>
        <v>0</v>
      </c>
      <c r="P18065">
        <f>IF(OR(M18065="",N18065=""),"",SUMIFS('Barang Keluar'!$E:$E,'Barang Keluar'!$A:$A,M18065,'Barang Keluar'!$C:$C,N18065))</f>
        <v>0</v>
      </c>
    </row>
    <row r="18066" spans="13:16">
      <c r="M18066" s="49">
        <f>IF($A$4+180&gt;$B$4,"",$A$4+180)</f>
        <v>46203</v>
      </c>
      <c r="N18066">
        <f>IF(M18066="","",'Master Barang'!A60)</f>
        <v>0</v>
      </c>
      <c r="O18066">
        <f>IF(N18066="","",'Master Barang'!B60)</f>
        <v>0</v>
      </c>
      <c r="P18066">
        <f>IF(OR(M18066="",N18066=""),"",SUMIFS('Barang Keluar'!$E:$E,'Barang Keluar'!$A:$A,M18066,'Barang Keluar'!$C:$C,N18066))</f>
        <v>0</v>
      </c>
    </row>
    <row r="18067" spans="13:16">
      <c r="M18067" s="49">
        <f>IF($A$4+180&gt;$B$4,"",$A$4+180)</f>
        <v>46203</v>
      </c>
      <c r="N18067">
        <f>IF(M18067="","",'Master Barang'!A61)</f>
        <v>0</v>
      </c>
      <c r="O18067">
        <f>IF(N18067="","",'Master Barang'!B61)</f>
        <v>0</v>
      </c>
      <c r="P18067">
        <f>IF(OR(M18067="",N18067=""),"",SUMIFS('Barang Keluar'!$E:$E,'Barang Keluar'!$A:$A,M18067,'Barang Keluar'!$C:$C,N18067))</f>
        <v>0</v>
      </c>
    </row>
    <row r="18068" spans="13:16">
      <c r="M18068" s="49">
        <f>IF($A$4+180&gt;$B$4,"",$A$4+180)</f>
        <v>46203</v>
      </c>
      <c r="N18068">
        <f>IF(M18068="","",'Master Barang'!A62)</f>
        <v>0</v>
      </c>
      <c r="O18068">
        <f>IF(N18068="","",'Master Barang'!B62)</f>
        <v>0</v>
      </c>
      <c r="P18068">
        <f>IF(OR(M18068="",N18068=""),"",SUMIFS('Barang Keluar'!$E:$E,'Barang Keluar'!$A:$A,M18068,'Barang Keluar'!$C:$C,N18068))</f>
        <v>0</v>
      </c>
    </row>
    <row r="18069" spans="13:16">
      <c r="M18069" s="49">
        <f>IF($A$4+180&gt;$B$4,"",$A$4+180)</f>
        <v>46203</v>
      </c>
      <c r="N18069">
        <f>IF(M18069="","",'Master Barang'!A63)</f>
        <v>0</v>
      </c>
      <c r="O18069">
        <f>IF(N18069="","",'Master Barang'!B63)</f>
        <v>0</v>
      </c>
      <c r="P18069">
        <f>IF(OR(M18069="",N18069=""),"",SUMIFS('Barang Keluar'!$E:$E,'Barang Keluar'!$A:$A,M18069,'Barang Keluar'!$C:$C,N18069))</f>
        <v>0</v>
      </c>
    </row>
    <row r="18070" spans="13:16">
      <c r="M18070" s="49">
        <f>IF($A$4+180&gt;$B$4,"",$A$4+180)</f>
        <v>46203</v>
      </c>
      <c r="N18070">
        <f>IF(M18070="","",'Master Barang'!A64)</f>
        <v>0</v>
      </c>
      <c r="O18070">
        <f>IF(N18070="","",'Master Barang'!B64)</f>
        <v>0</v>
      </c>
      <c r="P18070">
        <f>IF(OR(M18070="",N18070=""),"",SUMIFS('Barang Keluar'!$E:$E,'Barang Keluar'!$A:$A,M18070,'Barang Keluar'!$C:$C,N18070))</f>
        <v>0</v>
      </c>
    </row>
    <row r="18071" spans="13:16">
      <c r="M18071" s="49">
        <f>IF($A$4+180&gt;$B$4,"",$A$4+180)</f>
        <v>46203</v>
      </c>
      <c r="N18071">
        <f>IF(M18071="","",'Master Barang'!A65)</f>
        <v>0</v>
      </c>
      <c r="O18071">
        <f>IF(N18071="","",'Master Barang'!B65)</f>
        <v>0</v>
      </c>
      <c r="P18071">
        <f>IF(OR(M18071="",N18071=""),"",SUMIFS('Barang Keluar'!$E:$E,'Barang Keluar'!$A:$A,M18071,'Barang Keluar'!$C:$C,N18071))</f>
        <v>0</v>
      </c>
    </row>
    <row r="18072" spans="13:16">
      <c r="M18072" s="49">
        <f>IF($A$4+180&gt;$B$4,"",$A$4+180)</f>
        <v>46203</v>
      </c>
      <c r="N18072">
        <f>IF(M18072="","",'Master Barang'!A66)</f>
        <v>0</v>
      </c>
      <c r="O18072">
        <f>IF(N18072="","",'Master Barang'!B66)</f>
        <v>0</v>
      </c>
      <c r="P18072">
        <f>IF(OR(M18072="",N18072=""),"",SUMIFS('Barang Keluar'!$E:$E,'Barang Keluar'!$A:$A,M18072,'Barang Keluar'!$C:$C,N18072))</f>
        <v>0</v>
      </c>
    </row>
    <row r="18073" spans="13:16">
      <c r="M18073" s="49">
        <f>IF($A$4+180&gt;$B$4,"",$A$4+180)</f>
        <v>46203</v>
      </c>
      <c r="N18073">
        <f>IF(M18073="","",'Master Barang'!A67)</f>
        <v>0</v>
      </c>
      <c r="O18073">
        <f>IF(N18073="","",'Master Barang'!B67)</f>
        <v>0</v>
      </c>
      <c r="P18073">
        <f>IF(OR(M18073="",N18073=""),"",SUMIFS('Barang Keluar'!$E:$E,'Barang Keluar'!$A:$A,M18073,'Barang Keluar'!$C:$C,N18073))</f>
        <v>0</v>
      </c>
    </row>
    <row r="18074" spans="13:16">
      <c r="M18074" s="49">
        <f>IF($A$4+180&gt;$B$4,"",$A$4+180)</f>
        <v>46203</v>
      </c>
      <c r="N18074">
        <f>IF(M18074="","",'Master Barang'!A68)</f>
        <v>0</v>
      </c>
      <c r="O18074">
        <f>IF(N18074="","",'Master Barang'!B68)</f>
        <v>0</v>
      </c>
      <c r="P18074">
        <f>IF(OR(M18074="",N18074=""),"",SUMIFS('Barang Keluar'!$E:$E,'Barang Keluar'!$A:$A,M18074,'Barang Keluar'!$C:$C,N18074))</f>
        <v>0</v>
      </c>
    </row>
    <row r="18075" spans="13:16">
      <c r="M18075" s="49">
        <f>IF($A$4+180&gt;$B$4,"",$A$4+180)</f>
        <v>46203</v>
      </c>
      <c r="N18075">
        <f>IF(M18075="","",'Master Barang'!A69)</f>
        <v>0</v>
      </c>
      <c r="O18075">
        <f>IF(N18075="","",'Master Barang'!B69)</f>
        <v>0</v>
      </c>
      <c r="P18075">
        <f>IF(OR(M18075="",N18075=""),"",SUMIFS('Barang Keluar'!$E:$E,'Barang Keluar'!$A:$A,M18075,'Barang Keluar'!$C:$C,N18075))</f>
        <v>0</v>
      </c>
    </row>
    <row r="18076" spans="13:16">
      <c r="M18076" s="49">
        <f>IF($A$4+180&gt;$B$4,"",$A$4+180)</f>
        <v>46203</v>
      </c>
      <c r="N18076">
        <f>IF(M18076="","",'Master Barang'!A70)</f>
        <v>0</v>
      </c>
      <c r="O18076">
        <f>IF(N18076="","",'Master Barang'!B70)</f>
        <v>0</v>
      </c>
      <c r="P18076">
        <f>IF(OR(M18076="",N18076=""),"",SUMIFS('Barang Keluar'!$E:$E,'Barang Keluar'!$A:$A,M18076,'Barang Keluar'!$C:$C,N18076))</f>
        <v>0</v>
      </c>
    </row>
    <row r="18077" spans="13:16">
      <c r="M18077" s="49">
        <f>IF($A$4+180&gt;$B$4,"",$A$4+180)</f>
        <v>46203</v>
      </c>
      <c r="N18077">
        <f>IF(M18077="","",'Master Barang'!A71)</f>
        <v>0</v>
      </c>
      <c r="O18077">
        <f>IF(N18077="","",'Master Barang'!B71)</f>
        <v>0</v>
      </c>
      <c r="P18077">
        <f>IF(OR(M18077="",N18077=""),"",SUMIFS('Barang Keluar'!$E:$E,'Barang Keluar'!$A:$A,M18077,'Barang Keluar'!$C:$C,N18077))</f>
        <v>0</v>
      </c>
    </row>
    <row r="18078" spans="13:16">
      <c r="M18078" s="49">
        <f>IF($A$4+180&gt;$B$4,"",$A$4+180)</f>
        <v>46203</v>
      </c>
      <c r="N18078">
        <f>IF(M18078="","",'Master Barang'!A72)</f>
        <v>0</v>
      </c>
      <c r="O18078">
        <f>IF(N18078="","",'Master Barang'!B72)</f>
        <v>0</v>
      </c>
      <c r="P18078">
        <f>IF(OR(M18078="",N18078=""),"",SUMIFS('Barang Keluar'!$E:$E,'Barang Keluar'!$A:$A,M18078,'Barang Keluar'!$C:$C,N18078))</f>
        <v>0</v>
      </c>
    </row>
    <row r="18079" spans="13:16">
      <c r="M18079" s="49">
        <f>IF($A$4+180&gt;$B$4,"",$A$4+180)</f>
        <v>46203</v>
      </c>
      <c r="N18079">
        <f>IF(M18079="","",'Master Barang'!A73)</f>
        <v>0</v>
      </c>
      <c r="O18079">
        <f>IF(N18079="","",'Master Barang'!B73)</f>
        <v>0</v>
      </c>
      <c r="P18079">
        <f>IF(OR(M18079="",N18079=""),"",SUMIFS('Barang Keluar'!$E:$E,'Barang Keluar'!$A:$A,M18079,'Barang Keluar'!$C:$C,N18079))</f>
        <v>0</v>
      </c>
    </row>
    <row r="18080" spans="13:16">
      <c r="M18080" s="49">
        <f>IF($A$4+180&gt;$B$4,"",$A$4+180)</f>
        <v>46203</v>
      </c>
      <c r="N18080">
        <f>IF(M18080="","",'Master Barang'!A74)</f>
        <v>0</v>
      </c>
      <c r="O18080">
        <f>IF(N18080="","",'Master Barang'!B74)</f>
        <v>0</v>
      </c>
      <c r="P18080">
        <f>IF(OR(M18080="",N18080=""),"",SUMIFS('Barang Keluar'!$E:$E,'Barang Keluar'!$A:$A,M18080,'Barang Keluar'!$C:$C,N18080))</f>
        <v>0</v>
      </c>
    </row>
    <row r="18081" spans="13:16">
      <c r="M18081" s="49">
        <f>IF($A$4+180&gt;$B$4,"",$A$4+180)</f>
        <v>46203</v>
      </c>
      <c r="N18081">
        <f>IF(M18081="","",'Master Barang'!A75)</f>
        <v>0</v>
      </c>
      <c r="O18081">
        <f>IF(N18081="","",'Master Barang'!B75)</f>
        <v>0</v>
      </c>
      <c r="P18081">
        <f>IF(OR(M18081="",N18081=""),"",SUMIFS('Barang Keluar'!$E:$E,'Barang Keluar'!$A:$A,M18081,'Barang Keluar'!$C:$C,N18081))</f>
        <v>0</v>
      </c>
    </row>
    <row r="18082" spans="13:16">
      <c r="M18082" s="49">
        <f>IF($A$4+180&gt;$B$4,"",$A$4+180)</f>
        <v>46203</v>
      </c>
      <c r="N18082">
        <f>IF(M18082="","",'Master Barang'!A76)</f>
        <v>0</v>
      </c>
      <c r="O18082">
        <f>IF(N18082="","",'Master Barang'!B76)</f>
        <v>0</v>
      </c>
      <c r="P18082">
        <f>IF(OR(M18082="",N18082=""),"",SUMIFS('Barang Keluar'!$E:$E,'Barang Keluar'!$A:$A,M18082,'Barang Keluar'!$C:$C,N18082))</f>
        <v>0</v>
      </c>
    </row>
    <row r="18083" spans="13:16">
      <c r="M18083" s="49">
        <f>IF($A$4+180&gt;$B$4,"",$A$4+180)</f>
        <v>46203</v>
      </c>
      <c r="N18083">
        <f>IF(M18083="","",'Master Barang'!A77)</f>
        <v>0</v>
      </c>
      <c r="O18083">
        <f>IF(N18083="","",'Master Barang'!B77)</f>
        <v>0</v>
      </c>
      <c r="P18083">
        <f>IF(OR(M18083="",N18083=""),"",SUMIFS('Barang Keluar'!$E:$E,'Barang Keluar'!$A:$A,M18083,'Barang Keluar'!$C:$C,N18083))</f>
        <v>0</v>
      </c>
    </row>
    <row r="18084" spans="13:16">
      <c r="M18084" s="49">
        <f>IF($A$4+180&gt;$B$4,"",$A$4+180)</f>
        <v>46203</v>
      </c>
      <c r="N18084">
        <f>IF(M18084="","",'Master Barang'!A78)</f>
        <v>0</v>
      </c>
      <c r="O18084">
        <f>IF(N18084="","",'Master Barang'!B78)</f>
        <v>0</v>
      </c>
      <c r="P18084">
        <f>IF(OR(M18084="",N18084=""),"",SUMIFS('Barang Keluar'!$E:$E,'Barang Keluar'!$A:$A,M18084,'Barang Keluar'!$C:$C,N18084))</f>
        <v>0</v>
      </c>
    </row>
    <row r="18085" spans="13:16">
      <c r="M18085" s="49">
        <f>IF($A$4+180&gt;$B$4,"",$A$4+180)</f>
        <v>46203</v>
      </c>
      <c r="N18085">
        <f>IF(M18085="","",'Master Barang'!A79)</f>
        <v>0</v>
      </c>
      <c r="O18085">
        <f>IF(N18085="","",'Master Barang'!B79)</f>
        <v>0</v>
      </c>
      <c r="P18085">
        <f>IF(OR(M18085="",N18085=""),"",SUMIFS('Barang Keluar'!$E:$E,'Barang Keluar'!$A:$A,M18085,'Barang Keluar'!$C:$C,N18085))</f>
        <v>0</v>
      </c>
    </row>
    <row r="18086" spans="13:16">
      <c r="M18086" s="49">
        <f>IF($A$4+180&gt;$B$4,"",$A$4+180)</f>
        <v>46203</v>
      </c>
      <c r="N18086">
        <f>IF(M18086="","",'Master Barang'!A80)</f>
        <v>0</v>
      </c>
      <c r="O18086">
        <f>IF(N18086="","",'Master Barang'!B80)</f>
        <v>0</v>
      </c>
      <c r="P18086">
        <f>IF(OR(M18086="",N18086=""),"",SUMIFS('Barang Keluar'!$E:$E,'Barang Keluar'!$A:$A,M18086,'Barang Keluar'!$C:$C,N18086))</f>
        <v>0</v>
      </c>
    </row>
    <row r="18087" spans="13:16">
      <c r="M18087" s="49">
        <f>IF($A$4+180&gt;$B$4,"",$A$4+180)</f>
        <v>46203</v>
      </c>
      <c r="N18087">
        <f>IF(M18087="","",'Master Barang'!A81)</f>
        <v>0</v>
      </c>
      <c r="O18087">
        <f>IF(N18087="","",'Master Barang'!B81)</f>
        <v>0</v>
      </c>
      <c r="P18087">
        <f>IF(OR(M18087="",N18087=""),"",SUMIFS('Barang Keluar'!$E:$E,'Barang Keluar'!$A:$A,M18087,'Barang Keluar'!$C:$C,N18087))</f>
        <v>0</v>
      </c>
    </row>
    <row r="18088" spans="13:16">
      <c r="M18088" s="49">
        <f>IF($A$4+180&gt;$B$4,"",$A$4+180)</f>
        <v>46203</v>
      </c>
      <c r="N18088">
        <f>IF(M18088="","",'Master Barang'!A82)</f>
        <v>0</v>
      </c>
      <c r="O18088">
        <f>IF(N18088="","",'Master Barang'!B82)</f>
        <v>0</v>
      </c>
      <c r="P18088">
        <f>IF(OR(M18088="",N18088=""),"",SUMIFS('Barang Keluar'!$E:$E,'Barang Keluar'!$A:$A,M18088,'Barang Keluar'!$C:$C,N18088))</f>
        <v>0</v>
      </c>
    </row>
    <row r="18089" spans="13:16">
      <c r="M18089" s="49">
        <f>IF($A$4+180&gt;$B$4,"",$A$4+180)</f>
        <v>46203</v>
      </c>
      <c r="N18089">
        <f>IF(M18089="","",'Master Barang'!A83)</f>
        <v>0</v>
      </c>
      <c r="O18089">
        <f>IF(N18089="","",'Master Barang'!B83)</f>
        <v>0</v>
      </c>
      <c r="P18089">
        <f>IF(OR(M18089="",N18089=""),"",SUMIFS('Barang Keluar'!$E:$E,'Barang Keluar'!$A:$A,M18089,'Barang Keluar'!$C:$C,N18089))</f>
        <v>0</v>
      </c>
    </row>
    <row r="18090" spans="13:16">
      <c r="M18090" s="49">
        <f>IF($A$4+180&gt;$B$4,"",$A$4+180)</f>
        <v>46203</v>
      </c>
      <c r="N18090">
        <f>IF(M18090="","",'Master Barang'!A84)</f>
        <v>0</v>
      </c>
      <c r="O18090">
        <f>IF(N18090="","",'Master Barang'!B84)</f>
        <v>0</v>
      </c>
      <c r="P18090">
        <f>IF(OR(M18090="",N18090=""),"",SUMIFS('Barang Keluar'!$E:$E,'Barang Keluar'!$A:$A,M18090,'Barang Keluar'!$C:$C,N18090))</f>
        <v>0</v>
      </c>
    </row>
    <row r="18091" spans="13:16">
      <c r="M18091" s="49">
        <f>IF($A$4+180&gt;$B$4,"",$A$4+180)</f>
        <v>46203</v>
      </c>
      <c r="N18091">
        <f>IF(M18091="","",'Master Barang'!A85)</f>
        <v>0</v>
      </c>
      <c r="O18091">
        <f>IF(N18091="","",'Master Barang'!B85)</f>
        <v>0</v>
      </c>
      <c r="P18091">
        <f>IF(OR(M18091="",N18091=""),"",SUMIFS('Barang Keluar'!$E:$E,'Barang Keluar'!$A:$A,M18091,'Barang Keluar'!$C:$C,N18091))</f>
        <v>0</v>
      </c>
    </row>
    <row r="18092" spans="13:16">
      <c r="M18092" s="49">
        <f>IF($A$4+180&gt;$B$4,"",$A$4+180)</f>
        <v>46203</v>
      </c>
      <c r="N18092">
        <f>IF(M18092="","",'Master Barang'!A86)</f>
        <v>0</v>
      </c>
      <c r="O18092">
        <f>IF(N18092="","",'Master Barang'!B86)</f>
        <v>0</v>
      </c>
      <c r="P18092">
        <f>IF(OR(M18092="",N18092=""),"",SUMIFS('Barang Keluar'!$E:$E,'Barang Keluar'!$A:$A,M18092,'Barang Keluar'!$C:$C,N18092))</f>
        <v>0</v>
      </c>
    </row>
    <row r="18093" spans="13:16">
      <c r="M18093" s="49">
        <f>IF($A$4+180&gt;$B$4,"",$A$4+180)</f>
        <v>46203</v>
      </c>
      <c r="N18093">
        <f>IF(M18093="","",'Master Barang'!A87)</f>
        <v>0</v>
      </c>
      <c r="O18093">
        <f>IF(N18093="","",'Master Barang'!B87)</f>
        <v>0</v>
      </c>
      <c r="P18093">
        <f>IF(OR(M18093="",N18093=""),"",SUMIFS('Barang Keluar'!$E:$E,'Barang Keluar'!$A:$A,M18093,'Barang Keluar'!$C:$C,N18093))</f>
        <v>0</v>
      </c>
    </row>
    <row r="18094" spans="13:16">
      <c r="M18094" s="49">
        <f>IF($A$4+180&gt;$B$4,"",$A$4+180)</f>
        <v>46203</v>
      </c>
      <c r="N18094">
        <f>IF(M18094="","",'Master Barang'!A88)</f>
        <v>0</v>
      </c>
      <c r="O18094">
        <f>IF(N18094="","",'Master Barang'!B88)</f>
        <v>0</v>
      </c>
      <c r="P18094">
        <f>IF(OR(M18094="",N18094=""),"",SUMIFS('Barang Keluar'!$E:$E,'Barang Keluar'!$A:$A,M18094,'Barang Keluar'!$C:$C,N18094))</f>
        <v>0</v>
      </c>
    </row>
    <row r="18095" spans="13:16">
      <c r="M18095" s="49">
        <f>IF($A$4+180&gt;$B$4,"",$A$4+180)</f>
        <v>46203</v>
      </c>
      <c r="N18095">
        <f>IF(M18095="","",'Master Barang'!A89)</f>
        <v>0</v>
      </c>
      <c r="O18095">
        <f>IF(N18095="","",'Master Barang'!B89)</f>
        <v>0</v>
      </c>
      <c r="P18095">
        <f>IF(OR(M18095="",N18095=""),"",SUMIFS('Barang Keluar'!$E:$E,'Barang Keluar'!$A:$A,M18095,'Barang Keluar'!$C:$C,N18095))</f>
        <v>0</v>
      </c>
    </row>
    <row r="18096" spans="13:16">
      <c r="M18096" s="49">
        <f>IF($A$4+180&gt;$B$4,"",$A$4+180)</f>
        <v>46203</v>
      </c>
      <c r="N18096">
        <f>IF(M18096="","",'Master Barang'!A90)</f>
        <v>0</v>
      </c>
      <c r="O18096">
        <f>IF(N18096="","",'Master Barang'!B90)</f>
        <v>0</v>
      </c>
      <c r="P18096">
        <f>IF(OR(M18096="",N18096=""),"",SUMIFS('Barang Keluar'!$E:$E,'Barang Keluar'!$A:$A,M18096,'Barang Keluar'!$C:$C,N18096))</f>
        <v>0</v>
      </c>
    </row>
    <row r="18097" spans="13:16">
      <c r="M18097" s="49">
        <f>IF($A$4+180&gt;$B$4,"",$A$4+180)</f>
        <v>46203</v>
      </c>
      <c r="N18097">
        <f>IF(M18097="","",'Master Barang'!A91)</f>
        <v>0</v>
      </c>
      <c r="O18097">
        <f>IF(N18097="","",'Master Barang'!B91)</f>
        <v>0</v>
      </c>
      <c r="P18097">
        <f>IF(OR(M18097="",N18097=""),"",SUMIFS('Barang Keluar'!$E:$E,'Barang Keluar'!$A:$A,M18097,'Barang Keluar'!$C:$C,N18097))</f>
        <v>0</v>
      </c>
    </row>
    <row r="18098" spans="13:16">
      <c r="M18098" s="49">
        <f>IF($A$4+180&gt;$B$4,"",$A$4+180)</f>
        <v>46203</v>
      </c>
      <c r="N18098">
        <f>IF(M18098="","",'Master Barang'!A92)</f>
        <v>0</v>
      </c>
      <c r="O18098">
        <f>IF(N18098="","",'Master Barang'!B92)</f>
        <v>0</v>
      </c>
      <c r="P18098">
        <f>IF(OR(M18098="",N18098=""),"",SUMIFS('Barang Keluar'!$E:$E,'Barang Keluar'!$A:$A,M18098,'Barang Keluar'!$C:$C,N18098))</f>
        <v>0</v>
      </c>
    </row>
    <row r="18099" spans="13:16">
      <c r="M18099" s="49">
        <f>IF($A$4+180&gt;$B$4,"",$A$4+180)</f>
        <v>46203</v>
      </c>
      <c r="N18099">
        <f>IF(M18099="","",'Master Barang'!A93)</f>
        <v>0</v>
      </c>
      <c r="O18099">
        <f>IF(N18099="","",'Master Barang'!B93)</f>
        <v>0</v>
      </c>
      <c r="P18099">
        <f>IF(OR(M18099="",N18099=""),"",SUMIFS('Barang Keluar'!$E:$E,'Barang Keluar'!$A:$A,M18099,'Barang Keluar'!$C:$C,N18099))</f>
        <v>0</v>
      </c>
    </row>
    <row r="18100" spans="13:16">
      <c r="M18100" s="49">
        <f>IF($A$4+180&gt;$B$4,"",$A$4+180)</f>
        <v>46203</v>
      </c>
      <c r="N18100">
        <f>IF(M18100="","",'Master Barang'!A94)</f>
        <v>0</v>
      </c>
      <c r="O18100">
        <f>IF(N18100="","",'Master Barang'!B94)</f>
        <v>0</v>
      </c>
      <c r="P18100">
        <f>IF(OR(M18100="",N18100=""),"",SUMIFS('Barang Keluar'!$E:$E,'Barang Keluar'!$A:$A,M18100,'Barang Keluar'!$C:$C,N18100))</f>
        <v>0</v>
      </c>
    </row>
    <row r="18101" spans="13:16">
      <c r="M18101" s="49">
        <f>IF($A$4+180&gt;$B$4,"",$A$4+180)</f>
        <v>46203</v>
      </c>
      <c r="N18101">
        <f>IF(M18101="","",'Master Barang'!A95)</f>
        <v>0</v>
      </c>
      <c r="O18101">
        <f>IF(N18101="","",'Master Barang'!B95)</f>
        <v>0</v>
      </c>
      <c r="P18101">
        <f>IF(OR(M18101="",N18101=""),"",SUMIFS('Barang Keluar'!$E:$E,'Barang Keluar'!$A:$A,M18101,'Barang Keluar'!$C:$C,N18101))</f>
        <v>0</v>
      </c>
    </row>
    <row r="18102" spans="13:16">
      <c r="M18102" s="49">
        <f>IF($A$4+180&gt;$B$4,"",$A$4+180)</f>
        <v>46203</v>
      </c>
      <c r="N18102">
        <f>IF(M18102="","",'Master Barang'!A96)</f>
        <v>0</v>
      </c>
      <c r="O18102">
        <f>IF(N18102="","",'Master Barang'!B96)</f>
        <v>0</v>
      </c>
      <c r="P18102">
        <f>IF(OR(M18102="",N18102=""),"",SUMIFS('Barang Keluar'!$E:$E,'Barang Keluar'!$A:$A,M18102,'Barang Keluar'!$C:$C,N18102))</f>
        <v>0</v>
      </c>
    </row>
    <row r="18103" spans="13:16">
      <c r="M18103" s="49">
        <f>IF($A$4+180&gt;$B$4,"",$A$4+180)</f>
        <v>46203</v>
      </c>
      <c r="N18103">
        <f>IF(M18103="","",'Master Barang'!A97)</f>
        <v>0</v>
      </c>
      <c r="O18103">
        <f>IF(N18103="","",'Master Barang'!B97)</f>
        <v>0</v>
      </c>
      <c r="P18103">
        <f>IF(OR(M18103="",N18103=""),"",SUMIFS('Barang Keluar'!$E:$E,'Barang Keluar'!$A:$A,M18103,'Barang Keluar'!$C:$C,N18103))</f>
        <v>0</v>
      </c>
    </row>
    <row r="18104" spans="13:16">
      <c r="M18104" s="49">
        <f>IF($A$4+180&gt;$B$4,"",$A$4+180)</f>
        <v>46203</v>
      </c>
      <c r="N18104">
        <f>IF(M18104="","",'Master Barang'!A98)</f>
        <v>0</v>
      </c>
      <c r="O18104">
        <f>IF(N18104="","",'Master Barang'!B98)</f>
        <v>0</v>
      </c>
      <c r="P18104">
        <f>IF(OR(M18104="",N18104=""),"",SUMIFS('Barang Keluar'!$E:$E,'Barang Keluar'!$A:$A,M18104,'Barang Keluar'!$C:$C,N18104))</f>
        <v>0</v>
      </c>
    </row>
    <row r="18105" spans="13:16">
      <c r="M18105" s="49">
        <f>IF($A$4+180&gt;$B$4,"",$A$4+180)</f>
        <v>46203</v>
      </c>
      <c r="N18105">
        <f>IF(M18105="","",'Master Barang'!A99)</f>
        <v>0</v>
      </c>
      <c r="O18105">
        <f>IF(N18105="","",'Master Barang'!B99)</f>
        <v>0</v>
      </c>
      <c r="P18105">
        <f>IF(OR(M18105="",N18105=""),"",SUMIFS('Barang Keluar'!$E:$E,'Barang Keluar'!$A:$A,M18105,'Barang Keluar'!$C:$C,N18105))</f>
        <v>0</v>
      </c>
    </row>
    <row r="18106" spans="13:16">
      <c r="M18106" s="49">
        <f>IF($A$4+180&gt;$B$4,"",$A$4+180)</f>
        <v>46203</v>
      </c>
      <c r="N18106">
        <f>IF(M18106="","",'Master Barang'!A100)</f>
        <v>0</v>
      </c>
      <c r="O18106">
        <f>IF(N18106="","",'Master Barang'!B100)</f>
        <v>0</v>
      </c>
      <c r="P18106">
        <f>IF(OR(M18106="",N18106=""),"",SUMIFS('Barang Keluar'!$E:$E,'Barang Keluar'!$A:$A,M18106,'Barang Keluar'!$C:$C,N18106))</f>
        <v>0</v>
      </c>
    </row>
    <row r="18107" spans="13:16">
      <c r="M18107" s="49">
        <f>IF($A$4+180&gt;$B$4,"",$A$4+180)</f>
        <v>46203</v>
      </c>
      <c r="N18107">
        <f>IF(M18107="","",'Master Barang'!A101)</f>
        <v>0</v>
      </c>
      <c r="O18107">
        <f>IF(N18107="","",'Master Barang'!B101)</f>
        <v>0</v>
      </c>
      <c r="P18107">
        <f>IF(OR(M18107="",N18107=""),"",SUMIFS('Barang Keluar'!$E:$E,'Barang Keluar'!$A:$A,M18107,'Barang Keluar'!$C:$C,N18107))</f>
        <v>0</v>
      </c>
    </row>
    <row r="18108" spans="13:16">
      <c r="M18108" s="49">
        <f>IF($A$4+181&gt;$B$4,"",$A$4+181)</f>
        <v>46204</v>
      </c>
      <c r="N18108" t="str">
        <f>IF(M18108="","",'Master Barang'!A2)</f>
        <v>PRL-001</v>
      </c>
      <c r="O18108" t="str">
        <f>IF(N18108="","",'Master Barang'!B2)</f>
        <v>natura desinfectant food grade 5l</v>
      </c>
      <c r="P18108">
        <f>IF(OR(M18108="",N18108=""),"",SUMIFS('Barang Keluar'!$E:$E,'Barang Keluar'!$A:$A,M18108,'Barang Keluar'!$C:$C,N18108))</f>
        <v>0</v>
      </c>
    </row>
    <row r="18109" spans="13:16">
      <c r="M18109" s="49">
        <f>IF($A$4+181&gt;$B$4,"",$A$4+181)</f>
        <v>46204</v>
      </c>
      <c r="N18109" t="str">
        <f>IF(M18109="","",'Master Barang'!A3)</f>
        <v>PRL-002</v>
      </c>
      <c r="O18109" t="str">
        <f>IF(N18109="","",'Master Barang'!B3)</f>
        <v>sunlight cairan pencuci piring 5l</v>
      </c>
      <c r="P18109">
        <f>IF(OR(M18109="",N18109=""),"",SUMIFS('Barang Keluar'!$E:$E,'Barang Keluar'!$A:$A,M18109,'Barang Keluar'!$C:$C,N18109))</f>
        <v>0</v>
      </c>
    </row>
    <row r="18110" spans="13:16">
      <c r="M18110" s="49">
        <f>IF($A$4+181&gt;$B$4,"",$A$4+181)</f>
        <v>46204</v>
      </c>
      <c r="N18110" t="str">
        <f>IF(M18110="","",'Master Barang'!A4)</f>
        <v>PRL-003</v>
      </c>
      <c r="O18110" t="str">
        <f>IF(N18110="","",'Master Barang'!B4)</f>
        <v>oixs cleaner 1l</v>
      </c>
      <c r="P18110">
        <f>IF(OR(M18110="",N18110=""),"",SUMIFS('Barang Keluar'!$E:$E,'Barang Keluar'!$A:$A,M18110,'Barang Keluar'!$C:$C,N18110))</f>
        <v>0</v>
      </c>
    </row>
    <row r="18111" spans="13:16">
      <c r="M18111" s="49">
        <f>IF($A$4+181&gt;$B$4,"",$A$4+181)</f>
        <v>46204</v>
      </c>
      <c r="N18111" t="str">
        <f>IF(M18111="","",'Master Barang'!A5)</f>
        <v>PRL-004</v>
      </c>
      <c r="O18111" t="str">
        <f>IF(N18111="","",'Master Barang'!B5)</f>
        <v>be clean tissue serbaguna</v>
      </c>
      <c r="P18111">
        <f>IF(OR(M18111="",N18111=""),"",SUMIFS('Barang Keluar'!$E:$E,'Barang Keluar'!$A:$A,M18111,'Barang Keluar'!$C:$C,N18111))</f>
        <v>0</v>
      </c>
    </row>
    <row r="18112" spans="13:16">
      <c r="M18112" s="49">
        <f>IF($A$4+181&gt;$B$4,"",$A$4+181)</f>
        <v>46204</v>
      </c>
      <c r="N18112" t="str">
        <f>IF(M18112="","",'Master Barang'!A6)</f>
        <v>PRL-005</v>
      </c>
      <c r="O18112" t="str">
        <f>IF(N18112="","",'Master Barang'!B6)</f>
        <v>spons cuci hijau</v>
      </c>
      <c r="P18112">
        <f>IF(OR(M18112="",N18112=""),"",SUMIFS('Barang Keluar'!$E:$E,'Barang Keluar'!$A:$A,M18112,'Barang Keluar'!$C:$C,N18112))</f>
        <v>0</v>
      </c>
    </row>
    <row r="18113" spans="13:16">
      <c r="M18113" s="49">
        <f>IF($A$4+181&gt;$B$4,"",$A$4+181)</f>
        <v>46204</v>
      </c>
      <c r="N18113" t="str">
        <f>IF(M18113="","",'Master Barang'!A7)</f>
        <v>PRL-006</v>
      </c>
      <c r="O18113" t="str">
        <f>IF(N18113="","",'Master Barang'!B7)</f>
        <v>sabut cuci stainless</v>
      </c>
      <c r="P18113">
        <f>IF(OR(M18113="",N18113=""),"",SUMIFS('Barang Keluar'!$E:$E,'Barang Keluar'!$A:$A,M18113,'Barang Keluar'!$C:$C,N18113))</f>
        <v>0</v>
      </c>
    </row>
    <row r="18114" spans="13:16">
      <c r="M18114" s="49">
        <f>IF($A$4+181&gt;$B$4,"",$A$4+181)</f>
        <v>46204</v>
      </c>
      <c r="N18114" t="str">
        <f>IF(M18114="","",'Master Barang'!A8)</f>
        <v>PRL-007</v>
      </c>
      <c r="O18114" t="str">
        <f>IF(N18114="","",'Master Barang'!B8)</f>
        <v>plastik kresek besar merah 50pc</v>
      </c>
      <c r="P18114">
        <f>IF(OR(M18114="",N18114=""),"",SUMIFS('Barang Keluar'!$E:$E,'Barang Keluar'!$A:$A,M18114,'Barang Keluar'!$C:$C,N18114))</f>
        <v>0</v>
      </c>
    </row>
    <row r="18115" spans="13:16">
      <c r="M18115" s="49">
        <f>IF($A$4+181&gt;$B$4,"",$A$4+181)</f>
        <v>46204</v>
      </c>
      <c r="N18115" t="str">
        <f>IF(M18115="","",'Master Barang'!A9)</f>
        <v>PRL-008</v>
      </c>
      <c r="O18115" t="str">
        <f>IF(N18115="","",'Master Barang'!B9)</f>
        <v>lap besar</v>
      </c>
      <c r="P18115">
        <f>IF(OR(M18115="",N18115=""),"",SUMIFS('Barang Keluar'!$E:$E,'Barang Keluar'!$A:$A,M18115,'Barang Keluar'!$C:$C,N18115))</f>
        <v>0</v>
      </c>
    </row>
    <row r="18116" spans="13:16">
      <c r="M18116" s="49">
        <f>IF($A$4+181&gt;$B$4,"",$A$4+181)</f>
        <v>46204</v>
      </c>
      <c r="N18116" t="str">
        <f>IF(M18116="","",'Master Barang'!A10)</f>
        <v>PRL-009</v>
      </c>
      <c r="O18116" t="str">
        <f>IF(N18116="","",'Master Barang'!B10)</f>
        <v>lap microfiber</v>
      </c>
      <c r="P18116">
        <f>IF(OR(M18116="",N18116=""),"",SUMIFS('Barang Keluar'!$E:$E,'Barang Keluar'!$A:$A,M18116,'Barang Keluar'!$C:$C,N18116))</f>
        <v>0</v>
      </c>
    </row>
    <row r="18117" spans="13:16">
      <c r="M18117" s="49">
        <f>IF($A$4+181&gt;$B$4,"",$A$4+181)</f>
        <v>46204</v>
      </c>
      <c r="N18117" t="str">
        <f>IF(M18117="","",'Master Barang'!A11)</f>
        <v>PRL-010</v>
      </c>
      <c r="O18117" t="str">
        <f>IF(N18117="","",'Master Barang'!B11)</f>
        <v>lap kecil</v>
      </c>
      <c r="P18117">
        <f>IF(OR(M18117="",N18117=""),"",SUMIFS('Barang Keluar'!$E:$E,'Barang Keluar'!$A:$A,M18117,'Barang Keluar'!$C:$C,N18117))</f>
        <v>0</v>
      </c>
    </row>
    <row r="18118" spans="13:16">
      <c r="M18118" s="49">
        <f>IF($A$4+181&gt;$B$4,"",$A$4+181)</f>
        <v>46204</v>
      </c>
      <c r="N18118" t="str">
        <f>IF(M18118="","",'Master Barang'!A12)</f>
        <v>PRL-011</v>
      </c>
      <c r="O18118" t="str">
        <f>IF(N18118="","",'Master Barang'!B12)</f>
        <v>kanebo kecil</v>
      </c>
      <c r="P18118">
        <f>IF(OR(M18118="",N18118=""),"",SUMIFS('Barang Keluar'!$E:$E,'Barang Keluar'!$A:$A,M18118,'Barang Keluar'!$C:$C,N18118))</f>
        <v>0</v>
      </c>
    </row>
    <row r="18119" spans="13:16">
      <c r="M18119" s="49">
        <f>IF($A$4+181&gt;$B$4,"",$A$4+181)</f>
        <v>46204</v>
      </c>
      <c r="N18119" t="str">
        <f>IF(M18119="","",'Master Barang'!A13)</f>
        <v>PRL-012</v>
      </c>
      <c r="O18119" t="str">
        <f>IF(N18119="","",'Master Barang'!B13)</f>
        <v>plastik 1/4kg joyoboyo 100 lembar</v>
      </c>
      <c r="P18119">
        <f>IF(OR(M18119="",N18119=""),"",SUMIFS('Barang Keluar'!$E:$E,'Barang Keluar'!$A:$A,M18119,'Barang Keluar'!$C:$C,N18119))</f>
        <v>0</v>
      </c>
    </row>
    <row r="18120" spans="13:16">
      <c r="M18120" s="49">
        <f>IF($A$4+181&gt;$B$4,"",$A$4+181)</f>
        <v>46204</v>
      </c>
      <c r="N18120" t="str">
        <f>IF(M18120="","",'Master Barang'!A14)</f>
        <v>PRL-013</v>
      </c>
      <c r="O18120" t="str">
        <f>IF(N18120="","",'Master Barang'!B14)</f>
        <v>sarung tangan plastik kaka 100 pcs</v>
      </c>
      <c r="P18120">
        <f>IF(OR(M18120="",N18120=""),"",SUMIFS('Barang Keluar'!$E:$E,'Barang Keluar'!$A:$A,M18120,'Barang Keluar'!$C:$C,N18120))</f>
        <v>0</v>
      </c>
    </row>
    <row r="18121" spans="13:16">
      <c r="M18121" s="49">
        <f>IF($A$4+181&gt;$B$4,"",$A$4+181)</f>
        <v>46204</v>
      </c>
      <c r="N18121" t="str">
        <f>IF(M18121="","",'Master Barang'!A15)</f>
        <v>PRL-014</v>
      </c>
      <c r="O18121" t="str">
        <f>IF(N18121="","",'Master Barang'!B15)</f>
        <v>optima trashbag 80x100</v>
      </c>
      <c r="P18121">
        <f>IF(OR(M18121="",N18121=""),"",SUMIFS('Barang Keluar'!$E:$E,'Barang Keluar'!$A:$A,M18121,'Barang Keluar'!$C:$C,N18121))</f>
        <v>0</v>
      </c>
    </row>
    <row r="18122" spans="13:16">
      <c r="M18122" s="49">
        <f>IF($A$4+181&gt;$B$4,"",$A$4+181)</f>
        <v>46204</v>
      </c>
      <c r="N18122" t="str">
        <f>IF(M18122="","",'Master Barang'!A16)</f>
        <v>PRL-015</v>
      </c>
      <c r="O18122" t="str">
        <f>IF(N18122="","",'Master Barang'!B16)</f>
        <v>optima trashbag 60x100</v>
      </c>
      <c r="P18122">
        <f>IF(OR(M18122="",N18122=""),"",SUMIFS('Barang Keluar'!$E:$E,'Barang Keluar'!$A:$A,M18122,'Barang Keluar'!$C:$C,N18122))</f>
        <v>0</v>
      </c>
    </row>
    <row r="18123" spans="13:16">
      <c r="M18123" s="49">
        <f>IF($A$4+181&gt;$B$4,"",$A$4+181)</f>
        <v>46204</v>
      </c>
      <c r="N18123" t="str">
        <f>IF(M18123="","",'Master Barang'!A17)</f>
        <v>PRL-016</v>
      </c>
      <c r="O18123" t="str">
        <f>IF(N18123="","",'Master Barang'!B17)</f>
        <v>rajawali trashbag 30x40</v>
      </c>
      <c r="P18123">
        <f>IF(OR(M18123="",N18123=""),"",SUMIFS('Barang Keluar'!$E:$E,'Barang Keluar'!$A:$A,M18123,'Barang Keluar'!$C:$C,N18123))</f>
        <v>0</v>
      </c>
    </row>
    <row r="18124" spans="13:16">
      <c r="M18124" s="49">
        <f>IF($A$4+181&gt;$B$4,"",$A$4+181)</f>
        <v>46204</v>
      </c>
      <c r="N18124" t="str">
        <f>IF(M18124="","",'Master Barang'!A18)</f>
        <v>PRL-017</v>
      </c>
      <c r="O18124" t="str">
        <f>IF(N18124="","",'Master Barang'!B18)</f>
        <v>onemed masker biru 3 play 50 pcs</v>
      </c>
      <c r="P18124">
        <f>IF(OR(M18124="",N18124=""),"",SUMIFS('Barang Keluar'!$E:$E,'Barang Keluar'!$A:$A,M18124,'Barang Keluar'!$C:$C,N18124))</f>
        <v>0</v>
      </c>
    </row>
    <row r="18125" spans="13:16">
      <c r="M18125" s="49">
        <f>IF($A$4+181&gt;$B$4,"",$A$4+181)</f>
        <v>46204</v>
      </c>
      <c r="N18125" t="str">
        <f>IF(M18125="","",'Master Barang'!A19)</f>
        <v>PRL-018</v>
      </c>
      <c r="O18125" t="str">
        <f>IF(N18125="","",'Master Barang'!B19)</f>
        <v>onemed masker biru 3 play hijab 50 pcs</v>
      </c>
      <c r="P18125">
        <f>IF(OR(M18125="",N18125=""),"",SUMIFS('Barang Keluar'!$E:$E,'Barang Keluar'!$A:$A,M18125,'Barang Keluar'!$C:$C,N18125))</f>
        <v>0</v>
      </c>
    </row>
    <row r="18126" spans="13:16">
      <c r="M18126" s="49">
        <f>IF($A$4+181&gt;$B$4,"",$A$4+181)</f>
        <v>46204</v>
      </c>
      <c r="N18126" t="str">
        <f>IF(M18126="","",'Master Barang'!A20)</f>
        <v>PRL-019</v>
      </c>
      <c r="O18126" t="str">
        <f>IF(N18126="","",'Master Barang'!B20)</f>
        <v>neo health masker biru 3 play 50 pcs</v>
      </c>
      <c r="P18126">
        <f>IF(OR(M18126="",N18126=""),"",SUMIFS('Barang Keluar'!$E:$E,'Barang Keluar'!$A:$A,M18126,'Barang Keluar'!$C:$C,N18126))</f>
        <v>0</v>
      </c>
    </row>
    <row r="18127" spans="13:16">
      <c r="M18127" s="49">
        <f>IF($A$4+181&gt;$B$4,"",$A$4+181)</f>
        <v>46204</v>
      </c>
      <c r="N18127" t="str">
        <f>IF(M18127="","",'Master Barang'!A21)</f>
        <v>PRL-020</v>
      </c>
      <c r="O18127" t="str">
        <f>IF(N18127="","",'Master Barang'!B21)</f>
        <v>baymed masker hijau 3 play hijau 50 pcs</v>
      </c>
      <c r="P18127">
        <f>IF(OR(M18127="",N18127=""),"",SUMIFS('Barang Keluar'!$E:$E,'Barang Keluar'!$A:$A,M18127,'Barang Keluar'!$C:$C,N18127))</f>
        <v>0</v>
      </c>
    </row>
    <row r="18128" spans="13:16">
      <c r="M18128" s="49">
        <f>IF($A$4+181&gt;$B$4,"",$A$4+181)</f>
        <v>46204</v>
      </c>
      <c r="N18128" t="str">
        <f>IF(M18128="","",'Master Barang'!A22)</f>
        <v>PRL-021</v>
      </c>
      <c r="O18128" t="str">
        <f>IF(N18128="","",'Master Barang'!B22)</f>
        <v>altamed nurse cap penutup kepala 100 pcs</v>
      </c>
      <c r="P18128">
        <f>IF(OR(M18128="",N18128=""),"",SUMIFS('Barang Keluar'!$E:$E,'Barang Keluar'!$A:$A,M18128,'Barang Keluar'!$C:$C,N18128))</f>
        <v>0</v>
      </c>
    </row>
    <row r="18129" spans="13:16">
      <c r="M18129" s="49">
        <f>IF($A$4+181&gt;$B$4,"",$A$4+181)</f>
        <v>46204</v>
      </c>
      <c r="N18129" t="str">
        <f>IF(M18129="","",'Master Barang'!A23)</f>
        <v>PRL-022</v>
      </c>
      <c r="O18129" t="str">
        <f>IF(N18129="","",'Master Barang'!B23)</f>
        <v>sabun cuci tangan</v>
      </c>
      <c r="P18129">
        <f>IF(OR(M18129="",N18129=""),"",SUMIFS('Barang Keluar'!$E:$E,'Barang Keluar'!$A:$A,M18129,'Barang Keluar'!$C:$C,N18129))</f>
        <v>0</v>
      </c>
    </row>
    <row r="18130" spans="13:16">
      <c r="M18130" s="49">
        <f>IF($A$4+181&gt;$B$4,"",$A$4+181)</f>
        <v>46204</v>
      </c>
      <c r="N18130" t="str">
        <f>IF(M18130="","",'Master Barang'!A24)</f>
        <v>PRL-023</v>
      </c>
      <c r="O18130" t="str">
        <f>IF(N18130="","",'Master Barang'!B24)</f>
        <v>gayung kecil</v>
      </c>
      <c r="P18130">
        <f>IF(OR(M18130="",N18130=""),"",SUMIFS('Barang Keluar'!$E:$E,'Barang Keluar'!$A:$A,M18130,'Barang Keluar'!$C:$C,N18130))</f>
        <v>0</v>
      </c>
    </row>
    <row r="18131" spans="13:16">
      <c r="M18131" s="49">
        <f>IF($A$4+181&gt;$B$4,"",$A$4+181)</f>
        <v>46204</v>
      </c>
      <c r="N18131" t="str">
        <f>IF(M18131="","",'Master Barang'!A25)</f>
        <v>PRL-024</v>
      </c>
      <c r="O18131" t="str">
        <f>IF(N18131="","",'Master Barang'!B25)</f>
        <v>cikrak kecil</v>
      </c>
      <c r="P18131">
        <f>IF(OR(M18131="",N18131=""),"",SUMIFS('Barang Keluar'!$E:$E,'Barang Keluar'!$A:$A,M18131,'Barang Keluar'!$C:$C,N18131))</f>
        <v>0</v>
      </c>
    </row>
    <row r="18132" spans="13:16">
      <c r="M18132" s="49">
        <f>IF($A$4+181&gt;$B$4,"",$A$4+181)</f>
        <v>46204</v>
      </c>
      <c r="N18132" t="str">
        <f>IF(M18132="","",'Master Barang'!A26)</f>
        <v>PRL-025</v>
      </c>
      <c r="O18132" t="str">
        <f>IF(N18132="","",'Master Barang'!B26)</f>
        <v>petromax plastik kecil 12x24 100 lembar</v>
      </c>
      <c r="P18132">
        <f>IF(OR(M18132="",N18132=""),"",SUMIFS('Barang Keluar'!$E:$E,'Barang Keluar'!$A:$A,M18132,'Barang Keluar'!$C:$C,N18132))</f>
        <v>0</v>
      </c>
    </row>
    <row r="18133" spans="13:16">
      <c r="M18133" s="49">
        <f>IF($A$4+181&gt;$B$4,"",$A$4+181)</f>
        <v>46204</v>
      </c>
      <c r="N18133" t="str">
        <f>IF(M18133="","",'Master Barang'!A27)</f>
        <v>PRL-026</v>
      </c>
      <c r="O18133" t="str">
        <f>IF(N18133="","",'Master Barang'!B27)</f>
        <v>lancar kresek kecil bening </v>
      </c>
      <c r="P18133">
        <f>IF(OR(M18133="",N18133=""),"",SUMIFS('Barang Keluar'!$E:$E,'Barang Keluar'!$A:$A,M18133,'Barang Keluar'!$C:$C,N18133))</f>
        <v>0</v>
      </c>
    </row>
    <row r="18134" spans="13:16">
      <c r="M18134" s="49">
        <f>IF($A$4+181&gt;$B$4,"",$A$4+181)</f>
        <v>46204</v>
      </c>
      <c r="N18134" t="str">
        <f>IF(M18134="","",'Master Barang'!A28)</f>
        <v>PRL-027</v>
      </c>
      <c r="O18134" t="str">
        <f>IF(N18134="","",'Master Barang'!B28)</f>
        <v>kresek klin warna warni kecil</v>
      </c>
      <c r="P18134">
        <f>IF(OR(M18134="",N18134=""),"",SUMIFS('Barang Keluar'!$E:$E,'Barang Keluar'!$A:$A,M18134,'Barang Keluar'!$C:$C,N18134))</f>
        <v>0</v>
      </c>
    </row>
    <row r="18135" spans="13:16">
      <c r="M18135" s="49">
        <f>IF($A$4+181&gt;$B$4,"",$A$4+181)</f>
        <v>46204</v>
      </c>
      <c r="N18135" t="str">
        <f>IF(M18135="","",'Master Barang'!A29)</f>
        <v>PRL-028</v>
      </c>
      <c r="O18135" t="str">
        <f>IF(N18135="","",'Master Barang'!B29)</f>
        <v>ctik plastik 7x10 100 pcs</v>
      </c>
      <c r="P18135">
        <f>IF(OR(M18135="",N18135=""),"",SUMIFS('Barang Keluar'!$E:$E,'Barang Keluar'!$A:$A,M18135,'Barang Keluar'!$C:$C,N18135))</f>
        <v>0</v>
      </c>
    </row>
    <row r="18136" spans="13:16">
      <c r="M18136" s="49">
        <f>IF($A$4+181&gt;$B$4,"",$A$4+181)</f>
        <v>46204</v>
      </c>
      <c r="N18136" t="str">
        <f>IF(M18136="","",'Master Barang'!A30)</f>
        <v>PRL-029</v>
      </c>
      <c r="O18136" t="str">
        <f>IF(N18136="","",'Master Barang'!B30)</f>
        <v>ctik plastik 6x10 100 pcs</v>
      </c>
      <c r="P18136">
        <f>IF(OR(M18136="",N18136=""),"",SUMIFS('Barang Keluar'!$E:$E,'Barang Keluar'!$A:$A,M18136,'Barang Keluar'!$C:$C,N18136))</f>
        <v>0</v>
      </c>
    </row>
    <row r="18137" spans="13:16">
      <c r="M18137" s="49">
        <f>IF($A$4+181&gt;$B$4,"",$A$4+181)</f>
        <v>46204</v>
      </c>
      <c r="N18137" t="str">
        <f>IF(M18137="","",'Master Barang'!A31)</f>
        <v>PRL-030</v>
      </c>
      <c r="O18137" t="str">
        <f>IF(N18137="","",'Master Barang'!B31)</f>
        <v>klip plastik 25x16 100 pcs</v>
      </c>
      <c r="P18137">
        <f>IF(OR(M18137="",N18137=""),"",SUMIFS('Barang Keluar'!$E:$E,'Barang Keluar'!$A:$A,M18137,'Barang Keluar'!$C:$C,N18137))</f>
        <v>0</v>
      </c>
    </row>
    <row r="18138" spans="13:16">
      <c r="M18138" s="49">
        <f>IF($A$4+181&gt;$B$4,"",$A$4+181)</f>
        <v>46204</v>
      </c>
      <c r="N18138" t="str">
        <f>IF(M18138="","",'Master Barang'!A32)</f>
        <v>PRL-031</v>
      </c>
      <c r="O18138" t="str">
        <f>IF(N18138="","",'Master Barang'!B32)</f>
        <v>tempat saus 20 ml</v>
      </c>
      <c r="P18138">
        <f>IF(OR(M18138="",N18138=""),"",SUMIFS('Barang Keluar'!$E:$E,'Barang Keluar'!$A:$A,M18138,'Barang Keluar'!$C:$C,N18138))</f>
        <v>0</v>
      </c>
    </row>
    <row r="18139" spans="13:16">
      <c r="M18139" s="49">
        <f>IF($A$4+181&gt;$B$4,"",$A$4+181)</f>
        <v>46204</v>
      </c>
      <c r="N18139" t="str">
        <f>IF(M18139="","",'Master Barang'!A33)</f>
        <v>PRL-032</v>
      </c>
      <c r="O18139" t="str">
        <f>IF(N18139="","",'Master Barang'!B33)</f>
        <v>plastik packaging ag box uk sedang</v>
      </c>
      <c r="P18139">
        <f>IF(OR(M18139="",N18139=""),"",SUMIFS('Barang Keluar'!$E:$E,'Barang Keluar'!$A:$A,M18139,'Barang Keluar'!$C:$C,N18139))</f>
        <v>0</v>
      </c>
    </row>
    <row r="18140" spans="13:16">
      <c r="M18140" s="49">
        <f>IF($A$4+181&gt;$B$4,"",$A$4+181)</f>
        <v>46204</v>
      </c>
      <c r="N18140" t="str">
        <f>IF(M18140="","",'Master Barang'!A34)</f>
        <v>PRL-033</v>
      </c>
      <c r="O18140">
        <f>IF(N18140="","",'Master Barang'!B34)</f>
        <v>0</v>
      </c>
      <c r="P18140">
        <f>IF(OR(M18140="",N18140=""),"",SUMIFS('Barang Keluar'!$E:$E,'Barang Keluar'!$A:$A,M18140,'Barang Keluar'!$C:$C,N18140))</f>
        <v>0</v>
      </c>
    </row>
    <row r="18141" spans="13:16">
      <c r="M18141" s="49">
        <f>IF($A$4+181&gt;$B$4,"",$A$4+181)</f>
        <v>46204</v>
      </c>
      <c r="N18141">
        <f>IF(M18141="","",'Master Barang'!A35)</f>
        <v>0</v>
      </c>
      <c r="O18141">
        <f>IF(N18141="","",'Master Barang'!B35)</f>
        <v>0</v>
      </c>
      <c r="P18141">
        <f>IF(OR(M18141="",N18141=""),"",SUMIFS('Barang Keluar'!$E:$E,'Barang Keluar'!$A:$A,M18141,'Barang Keluar'!$C:$C,N18141))</f>
        <v>0</v>
      </c>
    </row>
    <row r="18142" spans="13:16">
      <c r="M18142" s="49">
        <f>IF($A$4+181&gt;$B$4,"",$A$4+181)</f>
        <v>46204</v>
      </c>
      <c r="N18142">
        <f>IF(M18142="","",'Master Barang'!A36)</f>
        <v>0</v>
      </c>
      <c r="O18142">
        <f>IF(N18142="","",'Master Barang'!B36)</f>
        <v>0</v>
      </c>
      <c r="P18142">
        <f>IF(OR(M18142="",N18142=""),"",SUMIFS('Barang Keluar'!$E:$E,'Barang Keluar'!$A:$A,M18142,'Barang Keluar'!$C:$C,N18142))</f>
        <v>0</v>
      </c>
    </row>
    <row r="18143" spans="13:16">
      <c r="M18143" s="49">
        <f>IF($A$4+181&gt;$B$4,"",$A$4+181)</f>
        <v>46204</v>
      </c>
      <c r="N18143">
        <f>IF(M18143="","",'Master Barang'!A37)</f>
        <v>0</v>
      </c>
      <c r="O18143">
        <f>IF(N18143="","",'Master Barang'!B37)</f>
        <v>0</v>
      </c>
      <c r="P18143">
        <f>IF(OR(M18143="",N18143=""),"",SUMIFS('Barang Keluar'!$E:$E,'Barang Keluar'!$A:$A,M18143,'Barang Keluar'!$C:$C,N18143))</f>
        <v>0</v>
      </c>
    </row>
    <row r="18144" spans="13:16">
      <c r="M18144" s="49">
        <f>IF($A$4+181&gt;$B$4,"",$A$4+181)</f>
        <v>46204</v>
      </c>
      <c r="N18144">
        <f>IF(M18144="","",'Master Barang'!A38)</f>
        <v>0</v>
      </c>
      <c r="O18144">
        <f>IF(N18144="","",'Master Barang'!B38)</f>
        <v>0</v>
      </c>
      <c r="P18144">
        <f>IF(OR(M18144="",N18144=""),"",SUMIFS('Barang Keluar'!$E:$E,'Barang Keluar'!$A:$A,M18144,'Barang Keluar'!$C:$C,N18144))</f>
        <v>0</v>
      </c>
    </row>
    <row r="18145" spans="13:16">
      <c r="M18145" s="49">
        <f>IF($A$4+181&gt;$B$4,"",$A$4+181)</f>
        <v>46204</v>
      </c>
      <c r="N18145">
        <f>IF(M18145="","",'Master Barang'!A39)</f>
        <v>0</v>
      </c>
      <c r="O18145">
        <f>IF(N18145="","",'Master Barang'!B39)</f>
        <v>0</v>
      </c>
      <c r="P18145">
        <f>IF(OR(M18145="",N18145=""),"",SUMIFS('Barang Keluar'!$E:$E,'Barang Keluar'!$A:$A,M18145,'Barang Keluar'!$C:$C,N18145))</f>
        <v>0</v>
      </c>
    </row>
    <row r="18146" spans="13:16">
      <c r="M18146" s="49">
        <f>IF($A$4+181&gt;$B$4,"",$A$4+181)</f>
        <v>46204</v>
      </c>
      <c r="N18146">
        <f>IF(M18146="","",'Master Barang'!A40)</f>
        <v>0</v>
      </c>
      <c r="O18146">
        <f>IF(N18146="","",'Master Barang'!B40)</f>
        <v>0</v>
      </c>
      <c r="P18146">
        <f>IF(OR(M18146="",N18146=""),"",SUMIFS('Barang Keluar'!$E:$E,'Barang Keluar'!$A:$A,M18146,'Barang Keluar'!$C:$C,N18146))</f>
        <v>0</v>
      </c>
    </row>
    <row r="18147" spans="13:16">
      <c r="M18147" s="49">
        <f>IF($A$4+181&gt;$B$4,"",$A$4+181)</f>
        <v>46204</v>
      </c>
      <c r="N18147">
        <f>IF(M18147="","",'Master Barang'!A41)</f>
        <v>0</v>
      </c>
      <c r="O18147">
        <f>IF(N18147="","",'Master Barang'!B41)</f>
        <v>0</v>
      </c>
      <c r="P18147">
        <f>IF(OR(M18147="",N18147=""),"",SUMIFS('Barang Keluar'!$E:$E,'Barang Keluar'!$A:$A,M18147,'Barang Keluar'!$C:$C,N18147))</f>
        <v>0</v>
      </c>
    </row>
    <row r="18148" spans="13:16">
      <c r="M18148" s="49">
        <f>IF($A$4+181&gt;$B$4,"",$A$4+181)</f>
        <v>46204</v>
      </c>
      <c r="N18148">
        <f>IF(M18148="","",'Master Barang'!A42)</f>
        <v>0</v>
      </c>
      <c r="O18148">
        <f>IF(N18148="","",'Master Barang'!B42)</f>
        <v>0</v>
      </c>
      <c r="P18148">
        <f>IF(OR(M18148="",N18148=""),"",SUMIFS('Barang Keluar'!$E:$E,'Barang Keluar'!$A:$A,M18148,'Barang Keluar'!$C:$C,N18148))</f>
        <v>0</v>
      </c>
    </row>
    <row r="18149" spans="13:16">
      <c r="M18149" s="49">
        <f>IF($A$4+181&gt;$B$4,"",$A$4+181)</f>
        <v>46204</v>
      </c>
      <c r="N18149">
        <f>IF(M18149="","",'Master Barang'!A43)</f>
        <v>0</v>
      </c>
      <c r="O18149">
        <f>IF(N18149="","",'Master Barang'!B43)</f>
        <v>0</v>
      </c>
      <c r="P18149">
        <f>IF(OR(M18149="",N18149=""),"",SUMIFS('Barang Keluar'!$E:$E,'Barang Keluar'!$A:$A,M18149,'Barang Keluar'!$C:$C,N18149))</f>
        <v>0</v>
      </c>
    </row>
    <row r="18150" spans="13:16">
      <c r="M18150" s="49">
        <f>IF($A$4+181&gt;$B$4,"",$A$4+181)</f>
        <v>46204</v>
      </c>
      <c r="N18150">
        <f>IF(M18150="","",'Master Barang'!A44)</f>
        <v>0</v>
      </c>
      <c r="O18150">
        <f>IF(N18150="","",'Master Barang'!B44)</f>
        <v>0</v>
      </c>
      <c r="P18150">
        <f>IF(OR(M18150="",N18150=""),"",SUMIFS('Barang Keluar'!$E:$E,'Barang Keluar'!$A:$A,M18150,'Barang Keluar'!$C:$C,N18150))</f>
        <v>0</v>
      </c>
    </row>
    <row r="18151" spans="13:16">
      <c r="M18151" s="49">
        <f>IF($A$4+181&gt;$B$4,"",$A$4+181)</f>
        <v>46204</v>
      </c>
      <c r="N18151">
        <f>IF(M18151="","",'Master Barang'!A45)</f>
        <v>0</v>
      </c>
      <c r="O18151">
        <f>IF(N18151="","",'Master Barang'!B45)</f>
        <v>0</v>
      </c>
      <c r="P18151">
        <f>IF(OR(M18151="",N18151=""),"",SUMIFS('Barang Keluar'!$E:$E,'Barang Keluar'!$A:$A,M18151,'Barang Keluar'!$C:$C,N18151))</f>
        <v>0</v>
      </c>
    </row>
    <row r="18152" spans="13:16">
      <c r="M18152" s="49">
        <f>IF($A$4+181&gt;$B$4,"",$A$4+181)</f>
        <v>46204</v>
      </c>
      <c r="N18152">
        <f>IF(M18152="","",'Master Barang'!A46)</f>
        <v>0</v>
      </c>
      <c r="O18152">
        <f>IF(N18152="","",'Master Barang'!B46)</f>
        <v>0</v>
      </c>
      <c r="P18152">
        <f>IF(OR(M18152="",N18152=""),"",SUMIFS('Barang Keluar'!$E:$E,'Barang Keluar'!$A:$A,M18152,'Barang Keluar'!$C:$C,N18152))</f>
        <v>0</v>
      </c>
    </row>
    <row r="18153" spans="13:16">
      <c r="M18153" s="49">
        <f>IF($A$4+181&gt;$B$4,"",$A$4+181)</f>
        <v>46204</v>
      </c>
      <c r="N18153">
        <f>IF(M18153="","",'Master Barang'!A47)</f>
        <v>0</v>
      </c>
      <c r="O18153">
        <f>IF(N18153="","",'Master Barang'!B47)</f>
        <v>0</v>
      </c>
      <c r="P18153">
        <f>IF(OR(M18153="",N18153=""),"",SUMIFS('Barang Keluar'!$E:$E,'Barang Keluar'!$A:$A,M18153,'Barang Keluar'!$C:$C,N18153))</f>
        <v>0</v>
      </c>
    </row>
    <row r="18154" spans="13:16">
      <c r="M18154" s="49">
        <f>IF($A$4+181&gt;$B$4,"",$A$4+181)</f>
        <v>46204</v>
      </c>
      <c r="N18154">
        <f>IF(M18154="","",'Master Barang'!A48)</f>
        <v>0</v>
      </c>
      <c r="O18154">
        <f>IF(N18154="","",'Master Barang'!B48)</f>
        <v>0</v>
      </c>
      <c r="P18154">
        <f>IF(OR(M18154="",N18154=""),"",SUMIFS('Barang Keluar'!$E:$E,'Barang Keluar'!$A:$A,M18154,'Barang Keluar'!$C:$C,N18154))</f>
        <v>0</v>
      </c>
    </row>
    <row r="18155" spans="13:16">
      <c r="M18155" s="49">
        <f>IF($A$4+181&gt;$B$4,"",$A$4+181)</f>
        <v>46204</v>
      </c>
      <c r="N18155">
        <f>IF(M18155="","",'Master Barang'!A49)</f>
        <v>0</v>
      </c>
      <c r="O18155">
        <f>IF(N18155="","",'Master Barang'!B49)</f>
        <v>0</v>
      </c>
      <c r="P18155">
        <f>IF(OR(M18155="",N18155=""),"",SUMIFS('Barang Keluar'!$E:$E,'Barang Keluar'!$A:$A,M18155,'Barang Keluar'!$C:$C,N18155))</f>
        <v>0</v>
      </c>
    </row>
    <row r="18156" spans="13:16">
      <c r="M18156" s="49">
        <f>IF($A$4+181&gt;$B$4,"",$A$4+181)</f>
        <v>46204</v>
      </c>
      <c r="N18156">
        <f>IF(M18156="","",'Master Barang'!A50)</f>
        <v>0</v>
      </c>
      <c r="O18156">
        <f>IF(N18156="","",'Master Barang'!B50)</f>
        <v>0</v>
      </c>
      <c r="P18156">
        <f>IF(OR(M18156="",N18156=""),"",SUMIFS('Barang Keluar'!$E:$E,'Barang Keluar'!$A:$A,M18156,'Barang Keluar'!$C:$C,N18156))</f>
        <v>0</v>
      </c>
    </row>
    <row r="18157" spans="13:16">
      <c r="M18157" s="49">
        <f>IF($A$4+181&gt;$B$4,"",$A$4+181)</f>
        <v>46204</v>
      </c>
      <c r="N18157">
        <f>IF(M18157="","",'Master Barang'!A51)</f>
        <v>0</v>
      </c>
      <c r="O18157">
        <f>IF(N18157="","",'Master Barang'!B51)</f>
        <v>0</v>
      </c>
      <c r="P18157">
        <f>IF(OR(M18157="",N18157=""),"",SUMIFS('Barang Keluar'!$E:$E,'Barang Keluar'!$A:$A,M18157,'Barang Keluar'!$C:$C,N18157))</f>
        <v>0</v>
      </c>
    </row>
    <row r="18158" spans="13:16">
      <c r="M18158" s="49">
        <f>IF($A$4+181&gt;$B$4,"",$A$4+181)</f>
        <v>46204</v>
      </c>
      <c r="N18158">
        <f>IF(M18158="","",'Master Barang'!A52)</f>
        <v>0</v>
      </c>
      <c r="O18158">
        <f>IF(N18158="","",'Master Barang'!B52)</f>
        <v>0</v>
      </c>
      <c r="P18158">
        <f>IF(OR(M18158="",N18158=""),"",SUMIFS('Barang Keluar'!$E:$E,'Barang Keluar'!$A:$A,M18158,'Barang Keluar'!$C:$C,N18158))</f>
        <v>0</v>
      </c>
    </row>
    <row r="18159" spans="13:16">
      <c r="M18159" s="49">
        <f>IF($A$4+181&gt;$B$4,"",$A$4+181)</f>
        <v>46204</v>
      </c>
      <c r="N18159">
        <f>IF(M18159="","",'Master Barang'!A53)</f>
        <v>0</v>
      </c>
      <c r="O18159">
        <f>IF(N18159="","",'Master Barang'!B53)</f>
        <v>0</v>
      </c>
      <c r="P18159">
        <f>IF(OR(M18159="",N18159=""),"",SUMIFS('Barang Keluar'!$E:$E,'Barang Keluar'!$A:$A,M18159,'Barang Keluar'!$C:$C,N18159))</f>
        <v>0</v>
      </c>
    </row>
    <row r="18160" spans="13:16">
      <c r="M18160" s="49">
        <f>IF($A$4+181&gt;$B$4,"",$A$4+181)</f>
        <v>46204</v>
      </c>
      <c r="N18160">
        <f>IF(M18160="","",'Master Barang'!A54)</f>
        <v>0</v>
      </c>
      <c r="O18160">
        <f>IF(N18160="","",'Master Barang'!B54)</f>
        <v>0</v>
      </c>
      <c r="P18160">
        <f>IF(OR(M18160="",N18160=""),"",SUMIFS('Barang Keluar'!$E:$E,'Barang Keluar'!$A:$A,M18160,'Barang Keluar'!$C:$C,N18160))</f>
        <v>0</v>
      </c>
    </row>
    <row r="18161" spans="13:16">
      <c r="M18161" s="49">
        <f>IF($A$4+181&gt;$B$4,"",$A$4+181)</f>
        <v>46204</v>
      </c>
      <c r="N18161">
        <f>IF(M18161="","",'Master Barang'!A55)</f>
        <v>0</v>
      </c>
      <c r="O18161">
        <f>IF(N18161="","",'Master Barang'!B55)</f>
        <v>0</v>
      </c>
      <c r="P18161">
        <f>IF(OR(M18161="",N18161=""),"",SUMIFS('Barang Keluar'!$E:$E,'Barang Keluar'!$A:$A,M18161,'Barang Keluar'!$C:$C,N18161))</f>
        <v>0</v>
      </c>
    </row>
    <row r="18162" spans="13:16">
      <c r="M18162" s="49">
        <f>IF($A$4+181&gt;$B$4,"",$A$4+181)</f>
        <v>46204</v>
      </c>
      <c r="N18162">
        <f>IF(M18162="","",'Master Barang'!A56)</f>
        <v>0</v>
      </c>
      <c r="O18162">
        <f>IF(N18162="","",'Master Barang'!B56)</f>
        <v>0</v>
      </c>
      <c r="P18162">
        <f>IF(OR(M18162="",N18162=""),"",SUMIFS('Barang Keluar'!$E:$E,'Barang Keluar'!$A:$A,M18162,'Barang Keluar'!$C:$C,N18162))</f>
        <v>0</v>
      </c>
    </row>
    <row r="18163" spans="13:16">
      <c r="M18163" s="49">
        <f>IF($A$4+181&gt;$B$4,"",$A$4+181)</f>
        <v>46204</v>
      </c>
      <c r="N18163">
        <f>IF(M18163="","",'Master Barang'!A57)</f>
        <v>0</v>
      </c>
      <c r="O18163">
        <f>IF(N18163="","",'Master Barang'!B57)</f>
        <v>0</v>
      </c>
      <c r="P18163">
        <f>IF(OR(M18163="",N18163=""),"",SUMIFS('Barang Keluar'!$E:$E,'Barang Keluar'!$A:$A,M18163,'Barang Keluar'!$C:$C,N18163))</f>
        <v>0</v>
      </c>
    </row>
    <row r="18164" spans="13:16">
      <c r="M18164" s="49">
        <f>IF($A$4+181&gt;$B$4,"",$A$4+181)</f>
        <v>46204</v>
      </c>
      <c r="N18164">
        <f>IF(M18164="","",'Master Barang'!A58)</f>
        <v>0</v>
      </c>
      <c r="O18164">
        <f>IF(N18164="","",'Master Barang'!B58)</f>
        <v>0</v>
      </c>
      <c r="P18164">
        <f>IF(OR(M18164="",N18164=""),"",SUMIFS('Barang Keluar'!$E:$E,'Barang Keluar'!$A:$A,M18164,'Barang Keluar'!$C:$C,N18164))</f>
        <v>0</v>
      </c>
    </row>
    <row r="18165" spans="13:16">
      <c r="M18165" s="49">
        <f>IF($A$4+181&gt;$B$4,"",$A$4+181)</f>
        <v>46204</v>
      </c>
      <c r="N18165">
        <f>IF(M18165="","",'Master Barang'!A59)</f>
        <v>0</v>
      </c>
      <c r="O18165">
        <f>IF(N18165="","",'Master Barang'!B59)</f>
        <v>0</v>
      </c>
      <c r="P18165">
        <f>IF(OR(M18165="",N18165=""),"",SUMIFS('Barang Keluar'!$E:$E,'Barang Keluar'!$A:$A,M18165,'Barang Keluar'!$C:$C,N18165))</f>
        <v>0</v>
      </c>
    </row>
    <row r="18166" spans="13:16">
      <c r="M18166" s="49">
        <f>IF($A$4+181&gt;$B$4,"",$A$4+181)</f>
        <v>46204</v>
      </c>
      <c r="N18166">
        <f>IF(M18166="","",'Master Barang'!A60)</f>
        <v>0</v>
      </c>
      <c r="O18166">
        <f>IF(N18166="","",'Master Barang'!B60)</f>
        <v>0</v>
      </c>
      <c r="P18166">
        <f>IF(OR(M18166="",N18166=""),"",SUMIFS('Barang Keluar'!$E:$E,'Barang Keluar'!$A:$A,M18166,'Barang Keluar'!$C:$C,N18166))</f>
        <v>0</v>
      </c>
    </row>
    <row r="18167" spans="13:16">
      <c r="M18167" s="49">
        <f>IF($A$4+181&gt;$B$4,"",$A$4+181)</f>
        <v>46204</v>
      </c>
      <c r="N18167">
        <f>IF(M18167="","",'Master Barang'!A61)</f>
        <v>0</v>
      </c>
      <c r="O18167">
        <f>IF(N18167="","",'Master Barang'!B61)</f>
        <v>0</v>
      </c>
      <c r="P18167">
        <f>IF(OR(M18167="",N18167=""),"",SUMIFS('Barang Keluar'!$E:$E,'Barang Keluar'!$A:$A,M18167,'Barang Keluar'!$C:$C,N18167))</f>
        <v>0</v>
      </c>
    </row>
    <row r="18168" spans="13:16">
      <c r="M18168" s="49">
        <f>IF($A$4+181&gt;$B$4,"",$A$4+181)</f>
        <v>46204</v>
      </c>
      <c r="N18168">
        <f>IF(M18168="","",'Master Barang'!A62)</f>
        <v>0</v>
      </c>
      <c r="O18168">
        <f>IF(N18168="","",'Master Barang'!B62)</f>
        <v>0</v>
      </c>
      <c r="P18168">
        <f>IF(OR(M18168="",N18168=""),"",SUMIFS('Barang Keluar'!$E:$E,'Barang Keluar'!$A:$A,M18168,'Barang Keluar'!$C:$C,N18168))</f>
        <v>0</v>
      </c>
    </row>
    <row r="18169" spans="13:16">
      <c r="M18169" s="49">
        <f>IF($A$4+181&gt;$B$4,"",$A$4+181)</f>
        <v>46204</v>
      </c>
      <c r="N18169">
        <f>IF(M18169="","",'Master Barang'!A63)</f>
        <v>0</v>
      </c>
      <c r="O18169">
        <f>IF(N18169="","",'Master Barang'!B63)</f>
        <v>0</v>
      </c>
      <c r="P18169">
        <f>IF(OR(M18169="",N18169=""),"",SUMIFS('Barang Keluar'!$E:$E,'Barang Keluar'!$A:$A,M18169,'Barang Keluar'!$C:$C,N18169))</f>
        <v>0</v>
      </c>
    </row>
    <row r="18170" spans="13:16">
      <c r="M18170" s="49">
        <f>IF($A$4+181&gt;$B$4,"",$A$4+181)</f>
        <v>46204</v>
      </c>
      <c r="N18170">
        <f>IF(M18170="","",'Master Barang'!A64)</f>
        <v>0</v>
      </c>
      <c r="O18170">
        <f>IF(N18170="","",'Master Barang'!B64)</f>
        <v>0</v>
      </c>
      <c r="P18170">
        <f>IF(OR(M18170="",N18170=""),"",SUMIFS('Barang Keluar'!$E:$E,'Barang Keluar'!$A:$A,M18170,'Barang Keluar'!$C:$C,N18170))</f>
        <v>0</v>
      </c>
    </row>
    <row r="18171" spans="13:16">
      <c r="M18171" s="49">
        <f>IF($A$4+181&gt;$B$4,"",$A$4+181)</f>
        <v>46204</v>
      </c>
      <c r="N18171">
        <f>IF(M18171="","",'Master Barang'!A65)</f>
        <v>0</v>
      </c>
      <c r="O18171">
        <f>IF(N18171="","",'Master Barang'!B65)</f>
        <v>0</v>
      </c>
      <c r="P18171">
        <f>IF(OR(M18171="",N18171=""),"",SUMIFS('Barang Keluar'!$E:$E,'Barang Keluar'!$A:$A,M18171,'Barang Keluar'!$C:$C,N18171))</f>
        <v>0</v>
      </c>
    </row>
    <row r="18172" spans="13:16">
      <c r="M18172" s="49">
        <f>IF($A$4+181&gt;$B$4,"",$A$4+181)</f>
        <v>46204</v>
      </c>
      <c r="N18172">
        <f>IF(M18172="","",'Master Barang'!A66)</f>
        <v>0</v>
      </c>
      <c r="O18172">
        <f>IF(N18172="","",'Master Barang'!B66)</f>
        <v>0</v>
      </c>
      <c r="P18172">
        <f>IF(OR(M18172="",N18172=""),"",SUMIFS('Barang Keluar'!$E:$E,'Barang Keluar'!$A:$A,M18172,'Barang Keluar'!$C:$C,N18172))</f>
        <v>0</v>
      </c>
    </row>
    <row r="18173" spans="13:16">
      <c r="M18173" s="49">
        <f>IF($A$4+181&gt;$B$4,"",$A$4+181)</f>
        <v>46204</v>
      </c>
      <c r="N18173">
        <f>IF(M18173="","",'Master Barang'!A67)</f>
        <v>0</v>
      </c>
      <c r="O18173">
        <f>IF(N18173="","",'Master Barang'!B67)</f>
        <v>0</v>
      </c>
      <c r="P18173">
        <f>IF(OR(M18173="",N18173=""),"",SUMIFS('Barang Keluar'!$E:$E,'Barang Keluar'!$A:$A,M18173,'Barang Keluar'!$C:$C,N18173))</f>
        <v>0</v>
      </c>
    </row>
    <row r="18174" spans="13:16">
      <c r="M18174" s="49">
        <f>IF($A$4+181&gt;$B$4,"",$A$4+181)</f>
        <v>46204</v>
      </c>
      <c r="N18174">
        <f>IF(M18174="","",'Master Barang'!A68)</f>
        <v>0</v>
      </c>
      <c r="O18174">
        <f>IF(N18174="","",'Master Barang'!B68)</f>
        <v>0</v>
      </c>
      <c r="P18174">
        <f>IF(OR(M18174="",N18174=""),"",SUMIFS('Barang Keluar'!$E:$E,'Barang Keluar'!$A:$A,M18174,'Barang Keluar'!$C:$C,N18174))</f>
        <v>0</v>
      </c>
    </row>
    <row r="18175" spans="13:16">
      <c r="M18175" s="49">
        <f>IF($A$4+181&gt;$B$4,"",$A$4+181)</f>
        <v>46204</v>
      </c>
      <c r="N18175">
        <f>IF(M18175="","",'Master Barang'!A69)</f>
        <v>0</v>
      </c>
      <c r="O18175">
        <f>IF(N18175="","",'Master Barang'!B69)</f>
        <v>0</v>
      </c>
      <c r="P18175">
        <f>IF(OR(M18175="",N18175=""),"",SUMIFS('Barang Keluar'!$E:$E,'Barang Keluar'!$A:$A,M18175,'Barang Keluar'!$C:$C,N18175))</f>
        <v>0</v>
      </c>
    </row>
    <row r="18176" spans="13:16">
      <c r="M18176" s="49">
        <f>IF($A$4+181&gt;$B$4,"",$A$4+181)</f>
        <v>46204</v>
      </c>
      <c r="N18176">
        <f>IF(M18176="","",'Master Barang'!A70)</f>
        <v>0</v>
      </c>
      <c r="O18176">
        <f>IF(N18176="","",'Master Barang'!B70)</f>
        <v>0</v>
      </c>
      <c r="P18176">
        <f>IF(OR(M18176="",N18176=""),"",SUMIFS('Barang Keluar'!$E:$E,'Barang Keluar'!$A:$A,M18176,'Barang Keluar'!$C:$C,N18176))</f>
        <v>0</v>
      </c>
    </row>
    <row r="18177" spans="13:16">
      <c r="M18177" s="49">
        <f>IF($A$4+181&gt;$B$4,"",$A$4+181)</f>
        <v>46204</v>
      </c>
      <c r="N18177">
        <f>IF(M18177="","",'Master Barang'!A71)</f>
        <v>0</v>
      </c>
      <c r="O18177">
        <f>IF(N18177="","",'Master Barang'!B71)</f>
        <v>0</v>
      </c>
      <c r="P18177">
        <f>IF(OR(M18177="",N18177=""),"",SUMIFS('Barang Keluar'!$E:$E,'Barang Keluar'!$A:$A,M18177,'Barang Keluar'!$C:$C,N18177))</f>
        <v>0</v>
      </c>
    </row>
    <row r="18178" spans="13:16">
      <c r="M18178" s="49">
        <f>IF($A$4+181&gt;$B$4,"",$A$4+181)</f>
        <v>46204</v>
      </c>
      <c r="N18178">
        <f>IF(M18178="","",'Master Barang'!A72)</f>
        <v>0</v>
      </c>
      <c r="O18178">
        <f>IF(N18178="","",'Master Barang'!B72)</f>
        <v>0</v>
      </c>
      <c r="P18178">
        <f>IF(OR(M18178="",N18178=""),"",SUMIFS('Barang Keluar'!$E:$E,'Barang Keluar'!$A:$A,M18178,'Barang Keluar'!$C:$C,N18178))</f>
        <v>0</v>
      </c>
    </row>
    <row r="18179" spans="13:16">
      <c r="M18179" s="49">
        <f>IF($A$4+181&gt;$B$4,"",$A$4+181)</f>
        <v>46204</v>
      </c>
      <c r="N18179">
        <f>IF(M18179="","",'Master Barang'!A73)</f>
        <v>0</v>
      </c>
      <c r="O18179">
        <f>IF(N18179="","",'Master Barang'!B73)</f>
        <v>0</v>
      </c>
      <c r="P18179">
        <f>IF(OR(M18179="",N18179=""),"",SUMIFS('Barang Keluar'!$E:$E,'Barang Keluar'!$A:$A,M18179,'Barang Keluar'!$C:$C,N18179))</f>
        <v>0</v>
      </c>
    </row>
    <row r="18180" spans="13:16">
      <c r="M18180" s="49">
        <f>IF($A$4+181&gt;$B$4,"",$A$4+181)</f>
        <v>46204</v>
      </c>
      <c r="N18180">
        <f>IF(M18180="","",'Master Barang'!A74)</f>
        <v>0</v>
      </c>
      <c r="O18180">
        <f>IF(N18180="","",'Master Barang'!B74)</f>
        <v>0</v>
      </c>
      <c r="P18180">
        <f>IF(OR(M18180="",N18180=""),"",SUMIFS('Barang Keluar'!$E:$E,'Barang Keluar'!$A:$A,M18180,'Barang Keluar'!$C:$C,N18180))</f>
        <v>0</v>
      </c>
    </row>
    <row r="18181" spans="13:16">
      <c r="M18181" s="49">
        <f>IF($A$4+181&gt;$B$4,"",$A$4+181)</f>
        <v>46204</v>
      </c>
      <c r="N18181">
        <f>IF(M18181="","",'Master Barang'!A75)</f>
        <v>0</v>
      </c>
      <c r="O18181">
        <f>IF(N18181="","",'Master Barang'!B75)</f>
        <v>0</v>
      </c>
      <c r="P18181">
        <f>IF(OR(M18181="",N18181=""),"",SUMIFS('Barang Keluar'!$E:$E,'Barang Keluar'!$A:$A,M18181,'Barang Keluar'!$C:$C,N18181))</f>
        <v>0</v>
      </c>
    </row>
    <row r="18182" spans="13:16">
      <c r="M18182" s="49">
        <f>IF($A$4+181&gt;$B$4,"",$A$4+181)</f>
        <v>46204</v>
      </c>
      <c r="N18182">
        <f>IF(M18182="","",'Master Barang'!A76)</f>
        <v>0</v>
      </c>
      <c r="O18182">
        <f>IF(N18182="","",'Master Barang'!B76)</f>
        <v>0</v>
      </c>
      <c r="P18182">
        <f>IF(OR(M18182="",N18182=""),"",SUMIFS('Barang Keluar'!$E:$E,'Barang Keluar'!$A:$A,M18182,'Barang Keluar'!$C:$C,N18182))</f>
        <v>0</v>
      </c>
    </row>
    <row r="18183" spans="13:16">
      <c r="M18183" s="49">
        <f>IF($A$4+181&gt;$B$4,"",$A$4+181)</f>
        <v>46204</v>
      </c>
      <c r="N18183">
        <f>IF(M18183="","",'Master Barang'!A77)</f>
        <v>0</v>
      </c>
      <c r="O18183">
        <f>IF(N18183="","",'Master Barang'!B77)</f>
        <v>0</v>
      </c>
      <c r="P18183">
        <f>IF(OR(M18183="",N18183=""),"",SUMIFS('Barang Keluar'!$E:$E,'Barang Keluar'!$A:$A,M18183,'Barang Keluar'!$C:$C,N18183))</f>
        <v>0</v>
      </c>
    </row>
    <row r="18184" spans="13:16">
      <c r="M18184" s="49">
        <f>IF($A$4+181&gt;$B$4,"",$A$4+181)</f>
        <v>46204</v>
      </c>
      <c r="N18184">
        <f>IF(M18184="","",'Master Barang'!A78)</f>
        <v>0</v>
      </c>
      <c r="O18184">
        <f>IF(N18184="","",'Master Barang'!B78)</f>
        <v>0</v>
      </c>
      <c r="P18184">
        <f>IF(OR(M18184="",N18184=""),"",SUMIFS('Barang Keluar'!$E:$E,'Barang Keluar'!$A:$A,M18184,'Barang Keluar'!$C:$C,N18184))</f>
        <v>0</v>
      </c>
    </row>
    <row r="18185" spans="13:16">
      <c r="M18185" s="49">
        <f>IF($A$4+181&gt;$B$4,"",$A$4+181)</f>
        <v>46204</v>
      </c>
      <c r="N18185">
        <f>IF(M18185="","",'Master Barang'!A79)</f>
        <v>0</v>
      </c>
      <c r="O18185">
        <f>IF(N18185="","",'Master Barang'!B79)</f>
        <v>0</v>
      </c>
      <c r="P18185">
        <f>IF(OR(M18185="",N18185=""),"",SUMIFS('Barang Keluar'!$E:$E,'Barang Keluar'!$A:$A,M18185,'Barang Keluar'!$C:$C,N18185))</f>
        <v>0</v>
      </c>
    </row>
    <row r="18186" spans="13:16">
      <c r="M18186" s="49">
        <f>IF($A$4+181&gt;$B$4,"",$A$4+181)</f>
        <v>46204</v>
      </c>
      <c r="N18186">
        <f>IF(M18186="","",'Master Barang'!A80)</f>
        <v>0</v>
      </c>
      <c r="O18186">
        <f>IF(N18186="","",'Master Barang'!B80)</f>
        <v>0</v>
      </c>
      <c r="P18186">
        <f>IF(OR(M18186="",N18186=""),"",SUMIFS('Barang Keluar'!$E:$E,'Barang Keluar'!$A:$A,M18186,'Barang Keluar'!$C:$C,N18186))</f>
        <v>0</v>
      </c>
    </row>
    <row r="18187" spans="13:16">
      <c r="M18187" s="49">
        <f>IF($A$4+181&gt;$B$4,"",$A$4+181)</f>
        <v>46204</v>
      </c>
      <c r="N18187">
        <f>IF(M18187="","",'Master Barang'!A81)</f>
        <v>0</v>
      </c>
      <c r="O18187">
        <f>IF(N18187="","",'Master Barang'!B81)</f>
        <v>0</v>
      </c>
      <c r="P18187">
        <f>IF(OR(M18187="",N18187=""),"",SUMIFS('Barang Keluar'!$E:$E,'Barang Keluar'!$A:$A,M18187,'Barang Keluar'!$C:$C,N18187))</f>
        <v>0</v>
      </c>
    </row>
    <row r="18188" spans="13:16">
      <c r="M18188" s="49">
        <f>IF($A$4+181&gt;$B$4,"",$A$4+181)</f>
        <v>46204</v>
      </c>
      <c r="N18188">
        <f>IF(M18188="","",'Master Barang'!A82)</f>
        <v>0</v>
      </c>
      <c r="O18188">
        <f>IF(N18188="","",'Master Barang'!B82)</f>
        <v>0</v>
      </c>
      <c r="P18188">
        <f>IF(OR(M18188="",N18188=""),"",SUMIFS('Barang Keluar'!$E:$E,'Barang Keluar'!$A:$A,M18188,'Barang Keluar'!$C:$C,N18188))</f>
        <v>0</v>
      </c>
    </row>
    <row r="18189" spans="13:16">
      <c r="M18189" s="49">
        <f>IF($A$4+181&gt;$B$4,"",$A$4+181)</f>
        <v>46204</v>
      </c>
      <c r="N18189">
        <f>IF(M18189="","",'Master Barang'!A83)</f>
        <v>0</v>
      </c>
      <c r="O18189">
        <f>IF(N18189="","",'Master Barang'!B83)</f>
        <v>0</v>
      </c>
      <c r="P18189">
        <f>IF(OR(M18189="",N18189=""),"",SUMIFS('Barang Keluar'!$E:$E,'Barang Keluar'!$A:$A,M18189,'Barang Keluar'!$C:$C,N18189))</f>
        <v>0</v>
      </c>
    </row>
    <row r="18190" spans="13:16">
      <c r="M18190" s="49">
        <f>IF($A$4+181&gt;$B$4,"",$A$4+181)</f>
        <v>46204</v>
      </c>
      <c r="N18190">
        <f>IF(M18190="","",'Master Barang'!A84)</f>
        <v>0</v>
      </c>
      <c r="O18190">
        <f>IF(N18190="","",'Master Barang'!B84)</f>
        <v>0</v>
      </c>
      <c r="P18190">
        <f>IF(OR(M18190="",N18190=""),"",SUMIFS('Barang Keluar'!$E:$E,'Barang Keluar'!$A:$A,M18190,'Barang Keluar'!$C:$C,N18190))</f>
        <v>0</v>
      </c>
    </row>
    <row r="18191" spans="13:16">
      <c r="M18191" s="49">
        <f>IF($A$4+181&gt;$B$4,"",$A$4+181)</f>
        <v>46204</v>
      </c>
      <c r="N18191">
        <f>IF(M18191="","",'Master Barang'!A85)</f>
        <v>0</v>
      </c>
      <c r="O18191">
        <f>IF(N18191="","",'Master Barang'!B85)</f>
        <v>0</v>
      </c>
      <c r="P18191">
        <f>IF(OR(M18191="",N18191=""),"",SUMIFS('Barang Keluar'!$E:$E,'Barang Keluar'!$A:$A,M18191,'Barang Keluar'!$C:$C,N18191))</f>
        <v>0</v>
      </c>
    </row>
    <row r="18192" spans="13:16">
      <c r="M18192" s="49">
        <f>IF($A$4+181&gt;$B$4,"",$A$4+181)</f>
        <v>46204</v>
      </c>
      <c r="N18192">
        <f>IF(M18192="","",'Master Barang'!A86)</f>
        <v>0</v>
      </c>
      <c r="O18192">
        <f>IF(N18192="","",'Master Barang'!B86)</f>
        <v>0</v>
      </c>
      <c r="P18192">
        <f>IF(OR(M18192="",N18192=""),"",SUMIFS('Barang Keluar'!$E:$E,'Barang Keluar'!$A:$A,M18192,'Barang Keluar'!$C:$C,N18192))</f>
        <v>0</v>
      </c>
    </row>
    <row r="18193" spans="13:16">
      <c r="M18193" s="49">
        <f>IF($A$4+181&gt;$B$4,"",$A$4+181)</f>
        <v>46204</v>
      </c>
      <c r="N18193">
        <f>IF(M18193="","",'Master Barang'!A87)</f>
        <v>0</v>
      </c>
      <c r="O18193">
        <f>IF(N18193="","",'Master Barang'!B87)</f>
        <v>0</v>
      </c>
      <c r="P18193">
        <f>IF(OR(M18193="",N18193=""),"",SUMIFS('Barang Keluar'!$E:$E,'Barang Keluar'!$A:$A,M18193,'Barang Keluar'!$C:$C,N18193))</f>
        <v>0</v>
      </c>
    </row>
    <row r="18194" spans="13:16">
      <c r="M18194" s="49">
        <f>IF($A$4+181&gt;$B$4,"",$A$4+181)</f>
        <v>46204</v>
      </c>
      <c r="N18194">
        <f>IF(M18194="","",'Master Barang'!A88)</f>
        <v>0</v>
      </c>
      <c r="O18194">
        <f>IF(N18194="","",'Master Barang'!B88)</f>
        <v>0</v>
      </c>
      <c r="P18194">
        <f>IF(OR(M18194="",N18194=""),"",SUMIFS('Barang Keluar'!$E:$E,'Barang Keluar'!$A:$A,M18194,'Barang Keluar'!$C:$C,N18194))</f>
        <v>0</v>
      </c>
    </row>
    <row r="18195" spans="13:16">
      <c r="M18195" s="49">
        <f>IF($A$4+181&gt;$B$4,"",$A$4+181)</f>
        <v>46204</v>
      </c>
      <c r="N18195">
        <f>IF(M18195="","",'Master Barang'!A89)</f>
        <v>0</v>
      </c>
      <c r="O18195">
        <f>IF(N18195="","",'Master Barang'!B89)</f>
        <v>0</v>
      </c>
      <c r="P18195">
        <f>IF(OR(M18195="",N18195=""),"",SUMIFS('Barang Keluar'!$E:$E,'Barang Keluar'!$A:$A,M18195,'Barang Keluar'!$C:$C,N18195))</f>
        <v>0</v>
      </c>
    </row>
    <row r="18196" spans="13:16">
      <c r="M18196" s="49">
        <f>IF($A$4+181&gt;$B$4,"",$A$4+181)</f>
        <v>46204</v>
      </c>
      <c r="N18196">
        <f>IF(M18196="","",'Master Barang'!A90)</f>
        <v>0</v>
      </c>
      <c r="O18196">
        <f>IF(N18196="","",'Master Barang'!B90)</f>
        <v>0</v>
      </c>
      <c r="P18196">
        <f>IF(OR(M18196="",N18196=""),"",SUMIFS('Barang Keluar'!$E:$E,'Barang Keluar'!$A:$A,M18196,'Barang Keluar'!$C:$C,N18196))</f>
        <v>0</v>
      </c>
    </row>
    <row r="18197" spans="13:16">
      <c r="M18197" s="49">
        <f>IF($A$4+181&gt;$B$4,"",$A$4+181)</f>
        <v>46204</v>
      </c>
      <c r="N18197">
        <f>IF(M18197="","",'Master Barang'!A91)</f>
        <v>0</v>
      </c>
      <c r="O18197">
        <f>IF(N18197="","",'Master Barang'!B91)</f>
        <v>0</v>
      </c>
      <c r="P18197">
        <f>IF(OR(M18197="",N18197=""),"",SUMIFS('Barang Keluar'!$E:$E,'Barang Keluar'!$A:$A,M18197,'Barang Keluar'!$C:$C,N18197))</f>
        <v>0</v>
      </c>
    </row>
    <row r="18198" spans="13:16">
      <c r="M18198" s="49">
        <f>IF($A$4+181&gt;$B$4,"",$A$4+181)</f>
        <v>46204</v>
      </c>
      <c r="N18198">
        <f>IF(M18198="","",'Master Barang'!A92)</f>
        <v>0</v>
      </c>
      <c r="O18198">
        <f>IF(N18198="","",'Master Barang'!B92)</f>
        <v>0</v>
      </c>
      <c r="P18198">
        <f>IF(OR(M18198="",N18198=""),"",SUMIFS('Barang Keluar'!$E:$E,'Barang Keluar'!$A:$A,M18198,'Barang Keluar'!$C:$C,N18198))</f>
        <v>0</v>
      </c>
    </row>
    <row r="18199" spans="13:16">
      <c r="M18199" s="49">
        <f>IF($A$4+181&gt;$B$4,"",$A$4+181)</f>
        <v>46204</v>
      </c>
      <c r="N18199">
        <f>IF(M18199="","",'Master Barang'!A93)</f>
        <v>0</v>
      </c>
      <c r="O18199">
        <f>IF(N18199="","",'Master Barang'!B93)</f>
        <v>0</v>
      </c>
      <c r="P18199">
        <f>IF(OR(M18199="",N18199=""),"",SUMIFS('Barang Keluar'!$E:$E,'Barang Keluar'!$A:$A,M18199,'Barang Keluar'!$C:$C,N18199))</f>
        <v>0</v>
      </c>
    </row>
    <row r="18200" spans="13:16">
      <c r="M18200" s="49">
        <f>IF($A$4+181&gt;$B$4,"",$A$4+181)</f>
        <v>46204</v>
      </c>
      <c r="N18200">
        <f>IF(M18200="","",'Master Barang'!A94)</f>
        <v>0</v>
      </c>
      <c r="O18200">
        <f>IF(N18200="","",'Master Barang'!B94)</f>
        <v>0</v>
      </c>
      <c r="P18200">
        <f>IF(OR(M18200="",N18200=""),"",SUMIFS('Barang Keluar'!$E:$E,'Barang Keluar'!$A:$A,M18200,'Barang Keluar'!$C:$C,N18200))</f>
        <v>0</v>
      </c>
    </row>
    <row r="18201" spans="13:16">
      <c r="M18201" s="49">
        <f>IF($A$4+181&gt;$B$4,"",$A$4+181)</f>
        <v>46204</v>
      </c>
      <c r="N18201">
        <f>IF(M18201="","",'Master Barang'!A95)</f>
        <v>0</v>
      </c>
      <c r="O18201">
        <f>IF(N18201="","",'Master Barang'!B95)</f>
        <v>0</v>
      </c>
      <c r="P18201">
        <f>IF(OR(M18201="",N18201=""),"",SUMIFS('Barang Keluar'!$E:$E,'Barang Keluar'!$A:$A,M18201,'Barang Keluar'!$C:$C,N18201))</f>
        <v>0</v>
      </c>
    </row>
    <row r="18202" spans="13:16">
      <c r="M18202" s="49">
        <f>IF($A$4+181&gt;$B$4,"",$A$4+181)</f>
        <v>46204</v>
      </c>
      <c r="N18202">
        <f>IF(M18202="","",'Master Barang'!A96)</f>
        <v>0</v>
      </c>
      <c r="O18202">
        <f>IF(N18202="","",'Master Barang'!B96)</f>
        <v>0</v>
      </c>
      <c r="P18202">
        <f>IF(OR(M18202="",N18202=""),"",SUMIFS('Barang Keluar'!$E:$E,'Barang Keluar'!$A:$A,M18202,'Barang Keluar'!$C:$C,N18202))</f>
        <v>0</v>
      </c>
    </row>
    <row r="18203" spans="13:16">
      <c r="M18203" s="49">
        <f>IF($A$4+181&gt;$B$4,"",$A$4+181)</f>
        <v>46204</v>
      </c>
      <c r="N18203">
        <f>IF(M18203="","",'Master Barang'!A97)</f>
        <v>0</v>
      </c>
      <c r="O18203">
        <f>IF(N18203="","",'Master Barang'!B97)</f>
        <v>0</v>
      </c>
      <c r="P18203">
        <f>IF(OR(M18203="",N18203=""),"",SUMIFS('Barang Keluar'!$E:$E,'Barang Keluar'!$A:$A,M18203,'Barang Keluar'!$C:$C,N18203))</f>
        <v>0</v>
      </c>
    </row>
    <row r="18204" spans="13:16">
      <c r="M18204" s="49">
        <f>IF($A$4+181&gt;$B$4,"",$A$4+181)</f>
        <v>46204</v>
      </c>
      <c r="N18204">
        <f>IF(M18204="","",'Master Barang'!A98)</f>
        <v>0</v>
      </c>
      <c r="O18204">
        <f>IF(N18204="","",'Master Barang'!B98)</f>
        <v>0</v>
      </c>
      <c r="P18204">
        <f>IF(OR(M18204="",N18204=""),"",SUMIFS('Barang Keluar'!$E:$E,'Barang Keluar'!$A:$A,M18204,'Barang Keluar'!$C:$C,N18204))</f>
        <v>0</v>
      </c>
    </row>
    <row r="18205" spans="13:16">
      <c r="M18205" s="49">
        <f>IF($A$4+181&gt;$B$4,"",$A$4+181)</f>
        <v>46204</v>
      </c>
      <c r="N18205">
        <f>IF(M18205="","",'Master Barang'!A99)</f>
        <v>0</v>
      </c>
      <c r="O18205">
        <f>IF(N18205="","",'Master Barang'!B99)</f>
        <v>0</v>
      </c>
      <c r="P18205">
        <f>IF(OR(M18205="",N18205=""),"",SUMIFS('Barang Keluar'!$E:$E,'Barang Keluar'!$A:$A,M18205,'Barang Keluar'!$C:$C,N18205))</f>
        <v>0</v>
      </c>
    </row>
    <row r="18206" spans="13:16">
      <c r="M18206" s="49">
        <f>IF($A$4+181&gt;$B$4,"",$A$4+181)</f>
        <v>46204</v>
      </c>
      <c r="N18206">
        <f>IF(M18206="","",'Master Barang'!A100)</f>
        <v>0</v>
      </c>
      <c r="O18206">
        <f>IF(N18206="","",'Master Barang'!B100)</f>
        <v>0</v>
      </c>
      <c r="P18206">
        <f>IF(OR(M18206="",N18206=""),"",SUMIFS('Barang Keluar'!$E:$E,'Barang Keluar'!$A:$A,M18206,'Barang Keluar'!$C:$C,N18206))</f>
        <v>0</v>
      </c>
    </row>
    <row r="18207" spans="13:16">
      <c r="M18207" s="49">
        <f>IF($A$4+181&gt;$B$4,"",$A$4+181)</f>
        <v>46204</v>
      </c>
      <c r="N18207">
        <f>IF(M18207="","",'Master Barang'!A101)</f>
        <v>0</v>
      </c>
      <c r="O18207">
        <f>IF(N18207="","",'Master Barang'!B101)</f>
        <v>0</v>
      </c>
      <c r="P18207">
        <f>IF(OR(M18207="",N18207=""),"",SUMIFS('Barang Keluar'!$E:$E,'Barang Keluar'!$A:$A,M18207,'Barang Keluar'!$C:$C,N18207))</f>
        <v>0</v>
      </c>
    </row>
    <row r="18208" spans="13:16">
      <c r="M18208" s="49">
        <f>IF($A$4+182&gt;$B$4,"",$A$4+182)</f>
        <v>46205</v>
      </c>
      <c r="N18208" t="str">
        <f>IF(M18208="","",'Master Barang'!A2)</f>
        <v>PRL-001</v>
      </c>
      <c r="O18208" t="str">
        <f>IF(N18208="","",'Master Barang'!B2)</f>
        <v>natura desinfectant food grade 5l</v>
      </c>
      <c r="P18208">
        <f>IF(OR(M18208="",N18208=""),"",SUMIFS('Barang Keluar'!$E:$E,'Barang Keluar'!$A:$A,M18208,'Barang Keluar'!$C:$C,N18208))</f>
        <v>0</v>
      </c>
    </row>
    <row r="18209" spans="13:16">
      <c r="M18209" s="49">
        <f>IF($A$4+182&gt;$B$4,"",$A$4+182)</f>
        <v>46205</v>
      </c>
      <c r="N18209" t="str">
        <f>IF(M18209="","",'Master Barang'!A3)</f>
        <v>PRL-002</v>
      </c>
      <c r="O18209" t="str">
        <f>IF(N18209="","",'Master Barang'!B3)</f>
        <v>sunlight cairan pencuci piring 5l</v>
      </c>
      <c r="P18209">
        <f>IF(OR(M18209="",N18209=""),"",SUMIFS('Barang Keluar'!$E:$E,'Barang Keluar'!$A:$A,M18209,'Barang Keluar'!$C:$C,N18209))</f>
        <v>0</v>
      </c>
    </row>
    <row r="18210" spans="13:16">
      <c r="M18210" s="49">
        <f>IF($A$4+182&gt;$B$4,"",$A$4+182)</f>
        <v>46205</v>
      </c>
      <c r="N18210" t="str">
        <f>IF(M18210="","",'Master Barang'!A4)</f>
        <v>PRL-003</v>
      </c>
      <c r="O18210" t="str">
        <f>IF(N18210="","",'Master Barang'!B4)</f>
        <v>oixs cleaner 1l</v>
      </c>
      <c r="P18210">
        <f>IF(OR(M18210="",N18210=""),"",SUMIFS('Barang Keluar'!$E:$E,'Barang Keluar'!$A:$A,M18210,'Barang Keluar'!$C:$C,N18210))</f>
        <v>0</v>
      </c>
    </row>
    <row r="18211" spans="13:16">
      <c r="M18211" s="49">
        <f>IF($A$4+182&gt;$B$4,"",$A$4+182)</f>
        <v>46205</v>
      </c>
      <c r="N18211" t="str">
        <f>IF(M18211="","",'Master Barang'!A5)</f>
        <v>PRL-004</v>
      </c>
      <c r="O18211" t="str">
        <f>IF(N18211="","",'Master Barang'!B5)</f>
        <v>be clean tissue serbaguna</v>
      </c>
      <c r="P18211">
        <f>IF(OR(M18211="",N18211=""),"",SUMIFS('Barang Keluar'!$E:$E,'Barang Keluar'!$A:$A,M18211,'Barang Keluar'!$C:$C,N18211))</f>
        <v>0</v>
      </c>
    </row>
    <row r="18212" spans="13:16">
      <c r="M18212" s="49">
        <f>IF($A$4+182&gt;$B$4,"",$A$4+182)</f>
        <v>46205</v>
      </c>
      <c r="N18212" t="str">
        <f>IF(M18212="","",'Master Barang'!A6)</f>
        <v>PRL-005</v>
      </c>
      <c r="O18212" t="str">
        <f>IF(N18212="","",'Master Barang'!B6)</f>
        <v>spons cuci hijau</v>
      </c>
      <c r="P18212">
        <f>IF(OR(M18212="",N18212=""),"",SUMIFS('Barang Keluar'!$E:$E,'Barang Keluar'!$A:$A,M18212,'Barang Keluar'!$C:$C,N18212))</f>
        <v>0</v>
      </c>
    </row>
    <row r="18213" spans="13:16">
      <c r="M18213" s="49">
        <f>IF($A$4+182&gt;$B$4,"",$A$4+182)</f>
        <v>46205</v>
      </c>
      <c r="N18213" t="str">
        <f>IF(M18213="","",'Master Barang'!A7)</f>
        <v>PRL-006</v>
      </c>
      <c r="O18213" t="str">
        <f>IF(N18213="","",'Master Barang'!B7)</f>
        <v>sabut cuci stainless</v>
      </c>
      <c r="P18213">
        <f>IF(OR(M18213="",N18213=""),"",SUMIFS('Barang Keluar'!$E:$E,'Barang Keluar'!$A:$A,M18213,'Barang Keluar'!$C:$C,N18213))</f>
        <v>0</v>
      </c>
    </row>
    <row r="18214" spans="13:16">
      <c r="M18214" s="49">
        <f>IF($A$4+182&gt;$B$4,"",$A$4+182)</f>
        <v>46205</v>
      </c>
      <c r="N18214" t="str">
        <f>IF(M18214="","",'Master Barang'!A8)</f>
        <v>PRL-007</v>
      </c>
      <c r="O18214" t="str">
        <f>IF(N18214="","",'Master Barang'!B8)</f>
        <v>plastik kresek besar merah 50pc</v>
      </c>
      <c r="P18214">
        <f>IF(OR(M18214="",N18214=""),"",SUMIFS('Barang Keluar'!$E:$E,'Barang Keluar'!$A:$A,M18214,'Barang Keluar'!$C:$C,N18214))</f>
        <v>0</v>
      </c>
    </row>
    <row r="18215" spans="13:16">
      <c r="M18215" s="49">
        <f>IF($A$4+182&gt;$B$4,"",$A$4+182)</f>
        <v>46205</v>
      </c>
      <c r="N18215" t="str">
        <f>IF(M18215="","",'Master Barang'!A9)</f>
        <v>PRL-008</v>
      </c>
      <c r="O18215" t="str">
        <f>IF(N18215="","",'Master Barang'!B9)</f>
        <v>lap besar</v>
      </c>
      <c r="P18215">
        <f>IF(OR(M18215="",N18215=""),"",SUMIFS('Barang Keluar'!$E:$E,'Barang Keluar'!$A:$A,M18215,'Barang Keluar'!$C:$C,N18215))</f>
        <v>0</v>
      </c>
    </row>
    <row r="18216" spans="13:16">
      <c r="M18216" s="49">
        <f>IF($A$4+182&gt;$B$4,"",$A$4+182)</f>
        <v>46205</v>
      </c>
      <c r="N18216" t="str">
        <f>IF(M18216="","",'Master Barang'!A10)</f>
        <v>PRL-009</v>
      </c>
      <c r="O18216" t="str">
        <f>IF(N18216="","",'Master Barang'!B10)</f>
        <v>lap microfiber</v>
      </c>
      <c r="P18216">
        <f>IF(OR(M18216="",N18216=""),"",SUMIFS('Barang Keluar'!$E:$E,'Barang Keluar'!$A:$A,M18216,'Barang Keluar'!$C:$C,N18216))</f>
        <v>0</v>
      </c>
    </row>
    <row r="18217" spans="13:16">
      <c r="M18217" s="49">
        <f>IF($A$4+182&gt;$B$4,"",$A$4+182)</f>
        <v>46205</v>
      </c>
      <c r="N18217" t="str">
        <f>IF(M18217="","",'Master Barang'!A11)</f>
        <v>PRL-010</v>
      </c>
      <c r="O18217" t="str">
        <f>IF(N18217="","",'Master Barang'!B11)</f>
        <v>lap kecil</v>
      </c>
      <c r="P18217">
        <f>IF(OR(M18217="",N18217=""),"",SUMIFS('Barang Keluar'!$E:$E,'Barang Keluar'!$A:$A,M18217,'Barang Keluar'!$C:$C,N18217))</f>
        <v>0</v>
      </c>
    </row>
    <row r="18218" spans="13:16">
      <c r="M18218" s="49">
        <f>IF($A$4+182&gt;$B$4,"",$A$4+182)</f>
        <v>46205</v>
      </c>
      <c r="N18218" t="str">
        <f>IF(M18218="","",'Master Barang'!A12)</f>
        <v>PRL-011</v>
      </c>
      <c r="O18218" t="str">
        <f>IF(N18218="","",'Master Barang'!B12)</f>
        <v>kanebo kecil</v>
      </c>
      <c r="P18218">
        <f>IF(OR(M18218="",N18218=""),"",SUMIFS('Barang Keluar'!$E:$E,'Barang Keluar'!$A:$A,M18218,'Barang Keluar'!$C:$C,N18218))</f>
        <v>0</v>
      </c>
    </row>
    <row r="18219" spans="13:16">
      <c r="M18219" s="49">
        <f>IF($A$4+182&gt;$B$4,"",$A$4+182)</f>
        <v>46205</v>
      </c>
      <c r="N18219" t="str">
        <f>IF(M18219="","",'Master Barang'!A13)</f>
        <v>PRL-012</v>
      </c>
      <c r="O18219" t="str">
        <f>IF(N18219="","",'Master Barang'!B13)</f>
        <v>plastik 1/4kg joyoboyo 100 lembar</v>
      </c>
      <c r="P18219">
        <f>IF(OR(M18219="",N18219=""),"",SUMIFS('Barang Keluar'!$E:$E,'Barang Keluar'!$A:$A,M18219,'Barang Keluar'!$C:$C,N18219))</f>
        <v>0</v>
      </c>
    </row>
    <row r="18220" spans="13:16">
      <c r="M18220" s="49">
        <f>IF($A$4+182&gt;$B$4,"",$A$4+182)</f>
        <v>46205</v>
      </c>
      <c r="N18220" t="str">
        <f>IF(M18220="","",'Master Barang'!A14)</f>
        <v>PRL-013</v>
      </c>
      <c r="O18220" t="str">
        <f>IF(N18220="","",'Master Barang'!B14)</f>
        <v>sarung tangan plastik kaka 100 pcs</v>
      </c>
      <c r="P18220">
        <f>IF(OR(M18220="",N18220=""),"",SUMIFS('Barang Keluar'!$E:$E,'Barang Keluar'!$A:$A,M18220,'Barang Keluar'!$C:$C,N18220))</f>
        <v>0</v>
      </c>
    </row>
    <row r="18221" spans="13:16">
      <c r="M18221" s="49">
        <f>IF($A$4+182&gt;$B$4,"",$A$4+182)</f>
        <v>46205</v>
      </c>
      <c r="N18221" t="str">
        <f>IF(M18221="","",'Master Barang'!A15)</f>
        <v>PRL-014</v>
      </c>
      <c r="O18221" t="str">
        <f>IF(N18221="","",'Master Barang'!B15)</f>
        <v>optima trashbag 80x100</v>
      </c>
      <c r="P18221">
        <f>IF(OR(M18221="",N18221=""),"",SUMIFS('Barang Keluar'!$E:$E,'Barang Keluar'!$A:$A,M18221,'Barang Keluar'!$C:$C,N18221))</f>
        <v>0</v>
      </c>
    </row>
    <row r="18222" spans="13:16">
      <c r="M18222" s="49">
        <f>IF($A$4+182&gt;$B$4,"",$A$4+182)</f>
        <v>46205</v>
      </c>
      <c r="N18222" t="str">
        <f>IF(M18222="","",'Master Barang'!A16)</f>
        <v>PRL-015</v>
      </c>
      <c r="O18222" t="str">
        <f>IF(N18222="","",'Master Barang'!B16)</f>
        <v>optima trashbag 60x100</v>
      </c>
      <c r="P18222">
        <f>IF(OR(M18222="",N18222=""),"",SUMIFS('Barang Keluar'!$E:$E,'Barang Keluar'!$A:$A,M18222,'Barang Keluar'!$C:$C,N18222))</f>
        <v>0</v>
      </c>
    </row>
    <row r="18223" spans="13:16">
      <c r="M18223" s="49">
        <f>IF($A$4+182&gt;$B$4,"",$A$4+182)</f>
        <v>46205</v>
      </c>
      <c r="N18223" t="str">
        <f>IF(M18223="","",'Master Barang'!A17)</f>
        <v>PRL-016</v>
      </c>
      <c r="O18223" t="str">
        <f>IF(N18223="","",'Master Barang'!B17)</f>
        <v>rajawali trashbag 30x40</v>
      </c>
      <c r="P18223">
        <f>IF(OR(M18223="",N18223=""),"",SUMIFS('Barang Keluar'!$E:$E,'Barang Keluar'!$A:$A,M18223,'Barang Keluar'!$C:$C,N18223))</f>
        <v>0</v>
      </c>
    </row>
    <row r="18224" spans="13:16">
      <c r="M18224" s="49">
        <f>IF($A$4+182&gt;$B$4,"",$A$4+182)</f>
        <v>46205</v>
      </c>
      <c r="N18224" t="str">
        <f>IF(M18224="","",'Master Barang'!A18)</f>
        <v>PRL-017</v>
      </c>
      <c r="O18224" t="str">
        <f>IF(N18224="","",'Master Barang'!B18)</f>
        <v>onemed masker biru 3 play 50 pcs</v>
      </c>
      <c r="P18224">
        <f>IF(OR(M18224="",N18224=""),"",SUMIFS('Barang Keluar'!$E:$E,'Barang Keluar'!$A:$A,M18224,'Barang Keluar'!$C:$C,N18224))</f>
        <v>0</v>
      </c>
    </row>
    <row r="18225" spans="13:16">
      <c r="M18225" s="49">
        <f>IF($A$4+182&gt;$B$4,"",$A$4+182)</f>
        <v>46205</v>
      </c>
      <c r="N18225" t="str">
        <f>IF(M18225="","",'Master Barang'!A19)</f>
        <v>PRL-018</v>
      </c>
      <c r="O18225" t="str">
        <f>IF(N18225="","",'Master Barang'!B19)</f>
        <v>onemed masker biru 3 play hijab 50 pcs</v>
      </c>
      <c r="P18225">
        <f>IF(OR(M18225="",N18225=""),"",SUMIFS('Barang Keluar'!$E:$E,'Barang Keluar'!$A:$A,M18225,'Barang Keluar'!$C:$C,N18225))</f>
        <v>0</v>
      </c>
    </row>
    <row r="18226" spans="13:16">
      <c r="M18226" s="49">
        <f>IF($A$4+182&gt;$B$4,"",$A$4+182)</f>
        <v>46205</v>
      </c>
      <c r="N18226" t="str">
        <f>IF(M18226="","",'Master Barang'!A20)</f>
        <v>PRL-019</v>
      </c>
      <c r="O18226" t="str">
        <f>IF(N18226="","",'Master Barang'!B20)</f>
        <v>neo health masker biru 3 play 50 pcs</v>
      </c>
      <c r="P18226">
        <f>IF(OR(M18226="",N18226=""),"",SUMIFS('Barang Keluar'!$E:$E,'Barang Keluar'!$A:$A,M18226,'Barang Keluar'!$C:$C,N18226))</f>
        <v>0</v>
      </c>
    </row>
    <row r="18227" spans="13:16">
      <c r="M18227" s="49">
        <f>IF($A$4+182&gt;$B$4,"",$A$4+182)</f>
        <v>46205</v>
      </c>
      <c r="N18227" t="str">
        <f>IF(M18227="","",'Master Barang'!A21)</f>
        <v>PRL-020</v>
      </c>
      <c r="O18227" t="str">
        <f>IF(N18227="","",'Master Barang'!B21)</f>
        <v>baymed masker hijau 3 play hijau 50 pcs</v>
      </c>
      <c r="P18227">
        <f>IF(OR(M18227="",N18227=""),"",SUMIFS('Barang Keluar'!$E:$E,'Barang Keluar'!$A:$A,M18227,'Barang Keluar'!$C:$C,N18227))</f>
        <v>0</v>
      </c>
    </row>
    <row r="18228" spans="13:16">
      <c r="M18228" s="49">
        <f>IF($A$4+182&gt;$B$4,"",$A$4+182)</f>
        <v>46205</v>
      </c>
      <c r="N18228" t="str">
        <f>IF(M18228="","",'Master Barang'!A22)</f>
        <v>PRL-021</v>
      </c>
      <c r="O18228" t="str">
        <f>IF(N18228="","",'Master Barang'!B22)</f>
        <v>altamed nurse cap penutup kepala 100 pcs</v>
      </c>
      <c r="P18228">
        <f>IF(OR(M18228="",N18228=""),"",SUMIFS('Barang Keluar'!$E:$E,'Barang Keluar'!$A:$A,M18228,'Barang Keluar'!$C:$C,N18228))</f>
        <v>0</v>
      </c>
    </row>
    <row r="18229" spans="13:16">
      <c r="M18229" s="49">
        <f>IF($A$4+182&gt;$B$4,"",$A$4+182)</f>
        <v>46205</v>
      </c>
      <c r="N18229" t="str">
        <f>IF(M18229="","",'Master Barang'!A23)</f>
        <v>PRL-022</v>
      </c>
      <c r="O18229" t="str">
        <f>IF(N18229="","",'Master Barang'!B23)</f>
        <v>sabun cuci tangan</v>
      </c>
      <c r="P18229">
        <f>IF(OR(M18229="",N18229=""),"",SUMIFS('Barang Keluar'!$E:$E,'Barang Keluar'!$A:$A,M18229,'Barang Keluar'!$C:$C,N18229))</f>
        <v>0</v>
      </c>
    </row>
    <row r="18230" spans="13:16">
      <c r="M18230" s="49">
        <f>IF($A$4+182&gt;$B$4,"",$A$4+182)</f>
        <v>46205</v>
      </c>
      <c r="N18230" t="str">
        <f>IF(M18230="","",'Master Barang'!A24)</f>
        <v>PRL-023</v>
      </c>
      <c r="O18230" t="str">
        <f>IF(N18230="","",'Master Barang'!B24)</f>
        <v>gayung kecil</v>
      </c>
      <c r="P18230">
        <f>IF(OR(M18230="",N18230=""),"",SUMIFS('Barang Keluar'!$E:$E,'Barang Keluar'!$A:$A,M18230,'Barang Keluar'!$C:$C,N18230))</f>
        <v>0</v>
      </c>
    </row>
    <row r="18231" spans="13:16">
      <c r="M18231" s="49">
        <f>IF($A$4+182&gt;$B$4,"",$A$4+182)</f>
        <v>46205</v>
      </c>
      <c r="N18231" t="str">
        <f>IF(M18231="","",'Master Barang'!A25)</f>
        <v>PRL-024</v>
      </c>
      <c r="O18231" t="str">
        <f>IF(N18231="","",'Master Barang'!B25)</f>
        <v>cikrak kecil</v>
      </c>
      <c r="P18231">
        <f>IF(OR(M18231="",N18231=""),"",SUMIFS('Barang Keluar'!$E:$E,'Barang Keluar'!$A:$A,M18231,'Barang Keluar'!$C:$C,N18231))</f>
        <v>0</v>
      </c>
    </row>
    <row r="18232" spans="13:16">
      <c r="M18232" s="49">
        <f>IF($A$4+182&gt;$B$4,"",$A$4+182)</f>
        <v>46205</v>
      </c>
      <c r="N18232" t="str">
        <f>IF(M18232="","",'Master Barang'!A26)</f>
        <v>PRL-025</v>
      </c>
      <c r="O18232" t="str">
        <f>IF(N18232="","",'Master Barang'!B26)</f>
        <v>petromax plastik kecil 12x24 100 lembar</v>
      </c>
      <c r="P18232">
        <f>IF(OR(M18232="",N18232=""),"",SUMIFS('Barang Keluar'!$E:$E,'Barang Keluar'!$A:$A,M18232,'Barang Keluar'!$C:$C,N18232))</f>
        <v>0</v>
      </c>
    </row>
    <row r="18233" spans="13:16">
      <c r="M18233" s="49">
        <f>IF($A$4+182&gt;$B$4,"",$A$4+182)</f>
        <v>46205</v>
      </c>
      <c r="N18233" t="str">
        <f>IF(M18233="","",'Master Barang'!A27)</f>
        <v>PRL-026</v>
      </c>
      <c r="O18233" t="str">
        <f>IF(N18233="","",'Master Barang'!B27)</f>
        <v>lancar kresek kecil bening </v>
      </c>
      <c r="P18233">
        <f>IF(OR(M18233="",N18233=""),"",SUMIFS('Barang Keluar'!$E:$E,'Barang Keluar'!$A:$A,M18233,'Barang Keluar'!$C:$C,N18233))</f>
        <v>0</v>
      </c>
    </row>
    <row r="18234" spans="13:16">
      <c r="M18234" s="49">
        <f>IF($A$4+182&gt;$B$4,"",$A$4+182)</f>
        <v>46205</v>
      </c>
      <c r="N18234" t="str">
        <f>IF(M18234="","",'Master Barang'!A28)</f>
        <v>PRL-027</v>
      </c>
      <c r="O18234" t="str">
        <f>IF(N18234="","",'Master Barang'!B28)</f>
        <v>kresek klin warna warni kecil</v>
      </c>
      <c r="P18234">
        <f>IF(OR(M18234="",N18234=""),"",SUMIFS('Barang Keluar'!$E:$E,'Barang Keluar'!$A:$A,M18234,'Barang Keluar'!$C:$C,N18234))</f>
        <v>0</v>
      </c>
    </row>
    <row r="18235" spans="13:16">
      <c r="M18235" s="49">
        <f>IF($A$4+182&gt;$B$4,"",$A$4+182)</f>
        <v>46205</v>
      </c>
      <c r="N18235" t="str">
        <f>IF(M18235="","",'Master Barang'!A29)</f>
        <v>PRL-028</v>
      </c>
      <c r="O18235" t="str">
        <f>IF(N18235="","",'Master Barang'!B29)</f>
        <v>ctik plastik 7x10 100 pcs</v>
      </c>
      <c r="P18235">
        <f>IF(OR(M18235="",N18235=""),"",SUMIFS('Barang Keluar'!$E:$E,'Barang Keluar'!$A:$A,M18235,'Barang Keluar'!$C:$C,N18235))</f>
        <v>0</v>
      </c>
    </row>
    <row r="18236" spans="13:16">
      <c r="M18236" s="49">
        <f>IF($A$4+182&gt;$B$4,"",$A$4+182)</f>
        <v>46205</v>
      </c>
      <c r="N18236" t="str">
        <f>IF(M18236="","",'Master Barang'!A30)</f>
        <v>PRL-029</v>
      </c>
      <c r="O18236" t="str">
        <f>IF(N18236="","",'Master Barang'!B30)</f>
        <v>ctik plastik 6x10 100 pcs</v>
      </c>
      <c r="P18236">
        <f>IF(OR(M18236="",N18236=""),"",SUMIFS('Barang Keluar'!$E:$E,'Barang Keluar'!$A:$A,M18236,'Barang Keluar'!$C:$C,N18236))</f>
        <v>0</v>
      </c>
    </row>
    <row r="18237" spans="13:16">
      <c r="M18237" s="49">
        <f>IF($A$4+182&gt;$B$4,"",$A$4+182)</f>
        <v>46205</v>
      </c>
      <c r="N18237" t="str">
        <f>IF(M18237="","",'Master Barang'!A31)</f>
        <v>PRL-030</v>
      </c>
      <c r="O18237" t="str">
        <f>IF(N18237="","",'Master Barang'!B31)</f>
        <v>klip plastik 25x16 100 pcs</v>
      </c>
      <c r="P18237">
        <f>IF(OR(M18237="",N18237=""),"",SUMIFS('Barang Keluar'!$E:$E,'Barang Keluar'!$A:$A,M18237,'Barang Keluar'!$C:$C,N18237))</f>
        <v>0</v>
      </c>
    </row>
    <row r="18238" spans="13:16">
      <c r="M18238" s="49">
        <f>IF($A$4+182&gt;$B$4,"",$A$4+182)</f>
        <v>46205</v>
      </c>
      <c r="N18238" t="str">
        <f>IF(M18238="","",'Master Barang'!A32)</f>
        <v>PRL-031</v>
      </c>
      <c r="O18238" t="str">
        <f>IF(N18238="","",'Master Barang'!B32)</f>
        <v>tempat saus 20 ml</v>
      </c>
      <c r="P18238">
        <f>IF(OR(M18238="",N18238=""),"",SUMIFS('Barang Keluar'!$E:$E,'Barang Keluar'!$A:$A,M18238,'Barang Keluar'!$C:$C,N18238))</f>
        <v>0</v>
      </c>
    </row>
    <row r="18239" spans="13:16">
      <c r="M18239" s="49">
        <f>IF($A$4+182&gt;$B$4,"",$A$4+182)</f>
        <v>46205</v>
      </c>
      <c r="N18239" t="str">
        <f>IF(M18239="","",'Master Barang'!A33)</f>
        <v>PRL-032</v>
      </c>
      <c r="O18239" t="str">
        <f>IF(N18239="","",'Master Barang'!B33)</f>
        <v>plastik packaging ag box uk sedang</v>
      </c>
      <c r="P18239">
        <f>IF(OR(M18239="",N18239=""),"",SUMIFS('Barang Keluar'!$E:$E,'Barang Keluar'!$A:$A,M18239,'Barang Keluar'!$C:$C,N18239))</f>
        <v>0</v>
      </c>
    </row>
    <row r="18240" spans="13:16">
      <c r="M18240" s="49">
        <f>IF($A$4+182&gt;$B$4,"",$A$4+182)</f>
        <v>46205</v>
      </c>
      <c r="N18240" t="str">
        <f>IF(M18240="","",'Master Barang'!A34)</f>
        <v>PRL-033</v>
      </c>
      <c r="O18240">
        <f>IF(N18240="","",'Master Barang'!B34)</f>
        <v>0</v>
      </c>
      <c r="P18240">
        <f>IF(OR(M18240="",N18240=""),"",SUMIFS('Barang Keluar'!$E:$E,'Barang Keluar'!$A:$A,M18240,'Barang Keluar'!$C:$C,N18240))</f>
        <v>0</v>
      </c>
    </row>
    <row r="18241" spans="13:16">
      <c r="M18241" s="49">
        <f>IF($A$4+182&gt;$B$4,"",$A$4+182)</f>
        <v>46205</v>
      </c>
      <c r="N18241">
        <f>IF(M18241="","",'Master Barang'!A35)</f>
        <v>0</v>
      </c>
      <c r="O18241">
        <f>IF(N18241="","",'Master Barang'!B35)</f>
        <v>0</v>
      </c>
      <c r="P18241">
        <f>IF(OR(M18241="",N18241=""),"",SUMIFS('Barang Keluar'!$E:$E,'Barang Keluar'!$A:$A,M18241,'Barang Keluar'!$C:$C,N18241))</f>
        <v>0</v>
      </c>
    </row>
    <row r="18242" spans="13:16">
      <c r="M18242" s="49">
        <f>IF($A$4+182&gt;$B$4,"",$A$4+182)</f>
        <v>46205</v>
      </c>
      <c r="N18242">
        <f>IF(M18242="","",'Master Barang'!A36)</f>
        <v>0</v>
      </c>
      <c r="O18242">
        <f>IF(N18242="","",'Master Barang'!B36)</f>
        <v>0</v>
      </c>
      <c r="P18242">
        <f>IF(OR(M18242="",N18242=""),"",SUMIFS('Barang Keluar'!$E:$E,'Barang Keluar'!$A:$A,M18242,'Barang Keluar'!$C:$C,N18242))</f>
        <v>0</v>
      </c>
    </row>
    <row r="18243" spans="13:16">
      <c r="M18243" s="49">
        <f>IF($A$4+182&gt;$B$4,"",$A$4+182)</f>
        <v>46205</v>
      </c>
      <c r="N18243">
        <f>IF(M18243="","",'Master Barang'!A37)</f>
        <v>0</v>
      </c>
      <c r="O18243">
        <f>IF(N18243="","",'Master Barang'!B37)</f>
        <v>0</v>
      </c>
      <c r="P18243">
        <f>IF(OR(M18243="",N18243=""),"",SUMIFS('Barang Keluar'!$E:$E,'Barang Keluar'!$A:$A,M18243,'Barang Keluar'!$C:$C,N18243))</f>
        <v>0</v>
      </c>
    </row>
    <row r="18244" spans="13:16">
      <c r="M18244" s="49">
        <f>IF($A$4+182&gt;$B$4,"",$A$4+182)</f>
        <v>46205</v>
      </c>
      <c r="N18244">
        <f>IF(M18244="","",'Master Barang'!A38)</f>
        <v>0</v>
      </c>
      <c r="O18244">
        <f>IF(N18244="","",'Master Barang'!B38)</f>
        <v>0</v>
      </c>
      <c r="P18244">
        <f>IF(OR(M18244="",N18244=""),"",SUMIFS('Barang Keluar'!$E:$E,'Barang Keluar'!$A:$A,M18244,'Barang Keluar'!$C:$C,N18244))</f>
        <v>0</v>
      </c>
    </row>
    <row r="18245" spans="13:16">
      <c r="M18245" s="49">
        <f>IF($A$4+182&gt;$B$4,"",$A$4+182)</f>
        <v>46205</v>
      </c>
      <c r="N18245">
        <f>IF(M18245="","",'Master Barang'!A39)</f>
        <v>0</v>
      </c>
      <c r="O18245">
        <f>IF(N18245="","",'Master Barang'!B39)</f>
        <v>0</v>
      </c>
      <c r="P18245">
        <f>IF(OR(M18245="",N18245=""),"",SUMIFS('Barang Keluar'!$E:$E,'Barang Keluar'!$A:$A,M18245,'Barang Keluar'!$C:$C,N18245))</f>
        <v>0</v>
      </c>
    </row>
    <row r="18246" spans="13:16">
      <c r="M18246" s="49">
        <f>IF($A$4+182&gt;$B$4,"",$A$4+182)</f>
        <v>46205</v>
      </c>
      <c r="N18246">
        <f>IF(M18246="","",'Master Barang'!A40)</f>
        <v>0</v>
      </c>
      <c r="O18246">
        <f>IF(N18246="","",'Master Barang'!B40)</f>
        <v>0</v>
      </c>
      <c r="P18246">
        <f>IF(OR(M18246="",N18246=""),"",SUMIFS('Barang Keluar'!$E:$E,'Barang Keluar'!$A:$A,M18246,'Barang Keluar'!$C:$C,N18246))</f>
        <v>0</v>
      </c>
    </row>
    <row r="18247" spans="13:16">
      <c r="M18247" s="49">
        <f>IF($A$4+182&gt;$B$4,"",$A$4+182)</f>
        <v>46205</v>
      </c>
      <c r="N18247">
        <f>IF(M18247="","",'Master Barang'!A41)</f>
        <v>0</v>
      </c>
      <c r="O18247">
        <f>IF(N18247="","",'Master Barang'!B41)</f>
        <v>0</v>
      </c>
      <c r="P18247">
        <f>IF(OR(M18247="",N18247=""),"",SUMIFS('Barang Keluar'!$E:$E,'Barang Keluar'!$A:$A,M18247,'Barang Keluar'!$C:$C,N18247))</f>
        <v>0</v>
      </c>
    </row>
    <row r="18248" spans="13:16">
      <c r="M18248" s="49">
        <f>IF($A$4+182&gt;$B$4,"",$A$4+182)</f>
        <v>46205</v>
      </c>
      <c r="N18248">
        <f>IF(M18248="","",'Master Barang'!A42)</f>
        <v>0</v>
      </c>
      <c r="O18248">
        <f>IF(N18248="","",'Master Barang'!B42)</f>
        <v>0</v>
      </c>
      <c r="P18248">
        <f>IF(OR(M18248="",N18248=""),"",SUMIFS('Barang Keluar'!$E:$E,'Barang Keluar'!$A:$A,M18248,'Barang Keluar'!$C:$C,N18248))</f>
        <v>0</v>
      </c>
    </row>
    <row r="18249" spans="13:16">
      <c r="M18249" s="49">
        <f>IF($A$4+182&gt;$B$4,"",$A$4+182)</f>
        <v>46205</v>
      </c>
      <c r="N18249">
        <f>IF(M18249="","",'Master Barang'!A43)</f>
        <v>0</v>
      </c>
      <c r="O18249">
        <f>IF(N18249="","",'Master Barang'!B43)</f>
        <v>0</v>
      </c>
      <c r="P18249">
        <f>IF(OR(M18249="",N18249=""),"",SUMIFS('Barang Keluar'!$E:$E,'Barang Keluar'!$A:$A,M18249,'Barang Keluar'!$C:$C,N18249))</f>
        <v>0</v>
      </c>
    </row>
    <row r="18250" spans="13:16">
      <c r="M18250" s="49">
        <f>IF($A$4+182&gt;$B$4,"",$A$4+182)</f>
        <v>46205</v>
      </c>
      <c r="N18250">
        <f>IF(M18250="","",'Master Barang'!A44)</f>
        <v>0</v>
      </c>
      <c r="O18250">
        <f>IF(N18250="","",'Master Barang'!B44)</f>
        <v>0</v>
      </c>
      <c r="P18250">
        <f>IF(OR(M18250="",N18250=""),"",SUMIFS('Barang Keluar'!$E:$E,'Barang Keluar'!$A:$A,M18250,'Barang Keluar'!$C:$C,N18250))</f>
        <v>0</v>
      </c>
    </row>
    <row r="18251" spans="13:16">
      <c r="M18251" s="49">
        <f>IF($A$4+182&gt;$B$4,"",$A$4+182)</f>
        <v>46205</v>
      </c>
      <c r="N18251">
        <f>IF(M18251="","",'Master Barang'!A45)</f>
        <v>0</v>
      </c>
      <c r="O18251">
        <f>IF(N18251="","",'Master Barang'!B45)</f>
        <v>0</v>
      </c>
      <c r="P18251">
        <f>IF(OR(M18251="",N18251=""),"",SUMIFS('Barang Keluar'!$E:$E,'Barang Keluar'!$A:$A,M18251,'Barang Keluar'!$C:$C,N18251))</f>
        <v>0</v>
      </c>
    </row>
    <row r="18252" spans="13:16">
      <c r="M18252" s="49">
        <f>IF($A$4+182&gt;$B$4,"",$A$4+182)</f>
        <v>46205</v>
      </c>
      <c r="N18252">
        <f>IF(M18252="","",'Master Barang'!A46)</f>
        <v>0</v>
      </c>
      <c r="O18252">
        <f>IF(N18252="","",'Master Barang'!B46)</f>
        <v>0</v>
      </c>
      <c r="P18252">
        <f>IF(OR(M18252="",N18252=""),"",SUMIFS('Barang Keluar'!$E:$E,'Barang Keluar'!$A:$A,M18252,'Barang Keluar'!$C:$C,N18252))</f>
        <v>0</v>
      </c>
    </row>
    <row r="18253" spans="13:16">
      <c r="M18253" s="49">
        <f>IF($A$4+182&gt;$B$4,"",$A$4+182)</f>
        <v>46205</v>
      </c>
      <c r="N18253">
        <f>IF(M18253="","",'Master Barang'!A47)</f>
        <v>0</v>
      </c>
      <c r="O18253">
        <f>IF(N18253="","",'Master Barang'!B47)</f>
        <v>0</v>
      </c>
      <c r="P18253">
        <f>IF(OR(M18253="",N18253=""),"",SUMIFS('Barang Keluar'!$E:$E,'Barang Keluar'!$A:$A,M18253,'Barang Keluar'!$C:$C,N18253))</f>
        <v>0</v>
      </c>
    </row>
    <row r="18254" spans="13:16">
      <c r="M18254" s="49">
        <f>IF($A$4+182&gt;$B$4,"",$A$4+182)</f>
        <v>46205</v>
      </c>
      <c r="N18254">
        <f>IF(M18254="","",'Master Barang'!A48)</f>
        <v>0</v>
      </c>
      <c r="O18254">
        <f>IF(N18254="","",'Master Barang'!B48)</f>
        <v>0</v>
      </c>
      <c r="P18254">
        <f>IF(OR(M18254="",N18254=""),"",SUMIFS('Barang Keluar'!$E:$E,'Barang Keluar'!$A:$A,M18254,'Barang Keluar'!$C:$C,N18254))</f>
        <v>0</v>
      </c>
    </row>
    <row r="18255" spans="13:16">
      <c r="M18255" s="49">
        <f>IF($A$4+182&gt;$B$4,"",$A$4+182)</f>
        <v>46205</v>
      </c>
      <c r="N18255">
        <f>IF(M18255="","",'Master Barang'!A49)</f>
        <v>0</v>
      </c>
      <c r="O18255">
        <f>IF(N18255="","",'Master Barang'!B49)</f>
        <v>0</v>
      </c>
      <c r="P18255">
        <f>IF(OR(M18255="",N18255=""),"",SUMIFS('Barang Keluar'!$E:$E,'Barang Keluar'!$A:$A,M18255,'Barang Keluar'!$C:$C,N18255))</f>
        <v>0</v>
      </c>
    </row>
    <row r="18256" spans="13:16">
      <c r="M18256" s="49">
        <f>IF($A$4+182&gt;$B$4,"",$A$4+182)</f>
        <v>46205</v>
      </c>
      <c r="N18256">
        <f>IF(M18256="","",'Master Barang'!A50)</f>
        <v>0</v>
      </c>
      <c r="O18256">
        <f>IF(N18256="","",'Master Barang'!B50)</f>
        <v>0</v>
      </c>
      <c r="P18256">
        <f>IF(OR(M18256="",N18256=""),"",SUMIFS('Barang Keluar'!$E:$E,'Barang Keluar'!$A:$A,M18256,'Barang Keluar'!$C:$C,N18256))</f>
        <v>0</v>
      </c>
    </row>
    <row r="18257" spans="13:16">
      <c r="M18257" s="49">
        <f>IF($A$4+182&gt;$B$4,"",$A$4+182)</f>
        <v>46205</v>
      </c>
      <c r="N18257">
        <f>IF(M18257="","",'Master Barang'!A51)</f>
        <v>0</v>
      </c>
      <c r="O18257">
        <f>IF(N18257="","",'Master Barang'!B51)</f>
        <v>0</v>
      </c>
      <c r="P18257">
        <f>IF(OR(M18257="",N18257=""),"",SUMIFS('Barang Keluar'!$E:$E,'Barang Keluar'!$A:$A,M18257,'Barang Keluar'!$C:$C,N18257))</f>
        <v>0</v>
      </c>
    </row>
    <row r="18258" spans="13:16">
      <c r="M18258" s="49">
        <f>IF($A$4+182&gt;$B$4,"",$A$4+182)</f>
        <v>46205</v>
      </c>
      <c r="N18258">
        <f>IF(M18258="","",'Master Barang'!A52)</f>
        <v>0</v>
      </c>
      <c r="O18258">
        <f>IF(N18258="","",'Master Barang'!B52)</f>
        <v>0</v>
      </c>
      <c r="P18258">
        <f>IF(OR(M18258="",N18258=""),"",SUMIFS('Barang Keluar'!$E:$E,'Barang Keluar'!$A:$A,M18258,'Barang Keluar'!$C:$C,N18258))</f>
        <v>0</v>
      </c>
    </row>
    <row r="18259" spans="13:16">
      <c r="M18259" s="49">
        <f>IF($A$4+182&gt;$B$4,"",$A$4+182)</f>
        <v>46205</v>
      </c>
      <c r="N18259">
        <f>IF(M18259="","",'Master Barang'!A53)</f>
        <v>0</v>
      </c>
      <c r="O18259">
        <f>IF(N18259="","",'Master Barang'!B53)</f>
        <v>0</v>
      </c>
      <c r="P18259">
        <f>IF(OR(M18259="",N18259=""),"",SUMIFS('Barang Keluar'!$E:$E,'Barang Keluar'!$A:$A,M18259,'Barang Keluar'!$C:$C,N18259))</f>
        <v>0</v>
      </c>
    </row>
    <row r="18260" spans="13:16">
      <c r="M18260" s="49">
        <f>IF($A$4+182&gt;$B$4,"",$A$4+182)</f>
        <v>46205</v>
      </c>
      <c r="N18260">
        <f>IF(M18260="","",'Master Barang'!A54)</f>
        <v>0</v>
      </c>
      <c r="O18260">
        <f>IF(N18260="","",'Master Barang'!B54)</f>
        <v>0</v>
      </c>
      <c r="P18260">
        <f>IF(OR(M18260="",N18260=""),"",SUMIFS('Barang Keluar'!$E:$E,'Barang Keluar'!$A:$A,M18260,'Barang Keluar'!$C:$C,N18260))</f>
        <v>0</v>
      </c>
    </row>
    <row r="18261" spans="13:16">
      <c r="M18261" s="49">
        <f>IF($A$4+182&gt;$B$4,"",$A$4+182)</f>
        <v>46205</v>
      </c>
      <c r="N18261">
        <f>IF(M18261="","",'Master Barang'!A55)</f>
        <v>0</v>
      </c>
      <c r="O18261">
        <f>IF(N18261="","",'Master Barang'!B55)</f>
        <v>0</v>
      </c>
      <c r="P18261">
        <f>IF(OR(M18261="",N18261=""),"",SUMIFS('Barang Keluar'!$E:$E,'Barang Keluar'!$A:$A,M18261,'Barang Keluar'!$C:$C,N18261))</f>
        <v>0</v>
      </c>
    </row>
    <row r="18262" spans="13:16">
      <c r="M18262" s="49">
        <f>IF($A$4+182&gt;$B$4,"",$A$4+182)</f>
        <v>46205</v>
      </c>
      <c r="N18262">
        <f>IF(M18262="","",'Master Barang'!A56)</f>
        <v>0</v>
      </c>
      <c r="O18262">
        <f>IF(N18262="","",'Master Barang'!B56)</f>
        <v>0</v>
      </c>
      <c r="P18262">
        <f>IF(OR(M18262="",N18262=""),"",SUMIFS('Barang Keluar'!$E:$E,'Barang Keluar'!$A:$A,M18262,'Barang Keluar'!$C:$C,N18262))</f>
        <v>0</v>
      </c>
    </row>
    <row r="18263" spans="13:16">
      <c r="M18263" s="49">
        <f>IF($A$4+182&gt;$B$4,"",$A$4+182)</f>
        <v>46205</v>
      </c>
      <c r="N18263">
        <f>IF(M18263="","",'Master Barang'!A57)</f>
        <v>0</v>
      </c>
      <c r="O18263">
        <f>IF(N18263="","",'Master Barang'!B57)</f>
        <v>0</v>
      </c>
      <c r="P18263">
        <f>IF(OR(M18263="",N18263=""),"",SUMIFS('Barang Keluar'!$E:$E,'Barang Keluar'!$A:$A,M18263,'Barang Keluar'!$C:$C,N18263))</f>
        <v>0</v>
      </c>
    </row>
    <row r="18264" spans="13:16">
      <c r="M18264" s="49">
        <f>IF($A$4+182&gt;$B$4,"",$A$4+182)</f>
        <v>46205</v>
      </c>
      <c r="N18264">
        <f>IF(M18264="","",'Master Barang'!A58)</f>
        <v>0</v>
      </c>
      <c r="O18264">
        <f>IF(N18264="","",'Master Barang'!B58)</f>
        <v>0</v>
      </c>
      <c r="P18264">
        <f>IF(OR(M18264="",N18264=""),"",SUMIFS('Barang Keluar'!$E:$E,'Barang Keluar'!$A:$A,M18264,'Barang Keluar'!$C:$C,N18264))</f>
        <v>0</v>
      </c>
    </row>
    <row r="18265" spans="13:16">
      <c r="M18265" s="49">
        <f>IF($A$4+182&gt;$B$4,"",$A$4+182)</f>
        <v>46205</v>
      </c>
      <c r="N18265">
        <f>IF(M18265="","",'Master Barang'!A59)</f>
        <v>0</v>
      </c>
      <c r="O18265">
        <f>IF(N18265="","",'Master Barang'!B59)</f>
        <v>0</v>
      </c>
      <c r="P18265">
        <f>IF(OR(M18265="",N18265=""),"",SUMIFS('Barang Keluar'!$E:$E,'Barang Keluar'!$A:$A,M18265,'Barang Keluar'!$C:$C,N18265))</f>
        <v>0</v>
      </c>
    </row>
    <row r="18266" spans="13:16">
      <c r="M18266" s="49">
        <f>IF($A$4+182&gt;$B$4,"",$A$4+182)</f>
        <v>46205</v>
      </c>
      <c r="N18266">
        <f>IF(M18266="","",'Master Barang'!A60)</f>
        <v>0</v>
      </c>
      <c r="O18266">
        <f>IF(N18266="","",'Master Barang'!B60)</f>
        <v>0</v>
      </c>
      <c r="P18266">
        <f>IF(OR(M18266="",N18266=""),"",SUMIFS('Barang Keluar'!$E:$E,'Barang Keluar'!$A:$A,M18266,'Barang Keluar'!$C:$C,N18266))</f>
        <v>0</v>
      </c>
    </row>
    <row r="18267" spans="13:16">
      <c r="M18267" s="49">
        <f>IF($A$4+182&gt;$B$4,"",$A$4+182)</f>
        <v>46205</v>
      </c>
      <c r="N18267">
        <f>IF(M18267="","",'Master Barang'!A61)</f>
        <v>0</v>
      </c>
      <c r="O18267">
        <f>IF(N18267="","",'Master Barang'!B61)</f>
        <v>0</v>
      </c>
      <c r="P18267">
        <f>IF(OR(M18267="",N18267=""),"",SUMIFS('Barang Keluar'!$E:$E,'Barang Keluar'!$A:$A,M18267,'Barang Keluar'!$C:$C,N18267))</f>
        <v>0</v>
      </c>
    </row>
    <row r="18268" spans="13:16">
      <c r="M18268" s="49">
        <f>IF($A$4+182&gt;$B$4,"",$A$4+182)</f>
        <v>46205</v>
      </c>
      <c r="N18268">
        <f>IF(M18268="","",'Master Barang'!A62)</f>
        <v>0</v>
      </c>
      <c r="O18268">
        <f>IF(N18268="","",'Master Barang'!B62)</f>
        <v>0</v>
      </c>
      <c r="P18268">
        <f>IF(OR(M18268="",N18268=""),"",SUMIFS('Barang Keluar'!$E:$E,'Barang Keluar'!$A:$A,M18268,'Barang Keluar'!$C:$C,N18268))</f>
        <v>0</v>
      </c>
    </row>
    <row r="18269" spans="13:16">
      <c r="M18269" s="49">
        <f>IF($A$4+182&gt;$B$4,"",$A$4+182)</f>
        <v>46205</v>
      </c>
      <c r="N18269">
        <f>IF(M18269="","",'Master Barang'!A63)</f>
        <v>0</v>
      </c>
      <c r="O18269">
        <f>IF(N18269="","",'Master Barang'!B63)</f>
        <v>0</v>
      </c>
      <c r="P18269">
        <f>IF(OR(M18269="",N18269=""),"",SUMIFS('Barang Keluar'!$E:$E,'Barang Keluar'!$A:$A,M18269,'Barang Keluar'!$C:$C,N18269))</f>
        <v>0</v>
      </c>
    </row>
    <row r="18270" spans="13:16">
      <c r="M18270" s="49">
        <f>IF($A$4+182&gt;$B$4,"",$A$4+182)</f>
        <v>46205</v>
      </c>
      <c r="N18270">
        <f>IF(M18270="","",'Master Barang'!A64)</f>
        <v>0</v>
      </c>
      <c r="O18270">
        <f>IF(N18270="","",'Master Barang'!B64)</f>
        <v>0</v>
      </c>
      <c r="P18270">
        <f>IF(OR(M18270="",N18270=""),"",SUMIFS('Barang Keluar'!$E:$E,'Barang Keluar'!$A:$A,M18270,'Barang Keluar'!$C:$C,N18270))</f>
        <v>0</v>
      </c>
    </row>
    <row r="18271" spans="13:16">
      <c r="M18271" s="49">
        <f>IF($A$4+182&gt;$B$4,"",$A$4+182)</f>
        <v>46205</v>
      </c>
      <c r="N18271">
        <f>IF(M18271="","",'Master Barang'!A65)</f>
        <v>0</v>
      </c>
      <c r="O18271">
        <f>IF(N18271="","",'Master Barang'!B65)</f>
        <v>0</v>
      </c>
      <c r="P18271">
        <f>IF(OR(M18271="",N18271=""),"",SUMIFS('Barang Keluar'!$E:$E,'Barang Keluar'!$A:$A,M18271,'Barang Keluar'!$C:$C,N18271))</f>
        <v>0</v>
      </c>
    </row>
    <row r="18272" spans="13:16">
      <c r="M18272" s="49">
        <f>IF($A$4+182&gt;$B$4,"",$A$4+182)</f>
        <v>46205</v>
      </c>
      <c r="N18272">
        <f>IF(M18272="","",'Master Barang'!A66)</f>
        <v>0</v>
      </c>
      <c r="O18272">
        <f>IF(N18272="","",'Master Barang'!B66)</f>
        <v>0</v>
      </c>
      <c r="P18272">
        <f>IF(OR(M18272="",N18272=""),"",SUMIFS('Barang Keluar'!$E:$E,'Barang Keluar'!$A:$A,M18272,'Barang Keluar'!$C:$C,N18272))</f>
        <v>0</v>
      </c>
    </row>
    <row r="18273" spans="13:16">
      <c r="M18273" s="49">
        <f>IF($A$4+182&gt;$B$4,"",$A$4+182)</f>
        <v>46205</v>
      </c>
      <c r="N18273">
        <f>IF(M18273="","",'Master Barang'!A67)</f>
        <v>0</v>
      </c>
      <c r="O18273">
        <f>IF(N18273="","",'Master Barang'!B67)</f>
        <v>0</v>
      </c>
      <c r="P18273">
        <f>IF(OR(M18273="",N18273=""),"",SUMIFS('Barang Keluar'!$E:$E,'Barang Keluar'!$A:$A,M18273,'Barang Keluar'!$C:$C,N18273))</f>
        <v>0</v>
      </c>
    </row>
    <row r="18274" spans="13:16">
      <c r="M18274" s="49">
        <f>IF($A$4+182&gt;$B$4,"",$A$4+182)</f>
        <v>46205</v>
      </c>
      <c r="N18274">
        <f>IF(M18274="","",'Master Barang'!A68)</f>
        <v>0</v>
      </c>
      <c r="O18274">
        <f>IF(N18274="","",'Master Barang'!B68)</f>
        <v>0</v>
      </c>
      <c r="P18274">
        <f>IF(OR(M18274="",N18274=""),"",SUMIFS('Barang Keluar'!$E:$E,'Barang Keluar'!$A:$A,M18274,'Barang Keluar'!$C:$C,N18274))</f>
        <v>0</v>
      </c>
    </row>
    <row r="18275" spans="13:16">
      <c r="M18275" s="49">
        <f>IF($A$4+182&gt;$B$4,"",$A$4+182)</f>
        <v>46205</v>
      </c>
      <c r="N18275">
        <f>IF(M18275="","",'Master Barang'!A69)</f>
        <v>0</v>
      </c>
      <c r="O18275">
        <f>IF(N18275="","",'Master Barang'!B69)</f>
        <v>0</v>
      </c>
      <c r="P18275">
        <f>IF(OR(M18275="",N18275=""),"",SUMIFS('Barang Keluar'!$E:$E,'Barang Keluar'!$A:$A,M18275,'Barang Keluar'!$C:$C,N18275))</f>
        <v>0</v>
      </c>
    </row>
    <row r="18276" spans="13:16">
      <c r="M18276" s="49">
        <f>IF($A$4+182&gt;$B$4,"",$A$4+182)</f>
        <v>46205</v>
      </c>
      <c r="N18276">
        <f>IF(M18276="","",'Master Barang'!A70)</f>
        <v>0</v>
      </c>
      <c r="O18276">
        <f>IF(N18276="","",'Master Barang'!B70)</f>
        <v>0</v>
      </c>
      <c r="P18276">
        <f>IF(OR(M18276="",N18276=""),"",SUMIFS('Barang Keluar'!$E:$E,'Barang Keluar'!$A:$A,M18276,'Barang Keluar'!$C:$C,N18276))</f>
        <v>0</v>
      </c>
    </row>
    <row r="18277" spans="13:16">
      <c r="M18277" s="49">
        <f>IF($A$4+182&gt;$B$4,"",$A$4+182)</f>
        <v>46205</v>
      </c>
      <c r="N18277">
        <f>IF(M18277="","",'Master Barang'!A71)</f>
        <v>0</v>
      </c>
      <c r="O18277">
        <f>IF(N18277="","",'Master Barang'!B71)</f>
        <v>0</v>
      </c>
      <c r="P18277">
        <f>IF(OR(M18277="",N18277=""),"",SUMIFS('Barang Keluar'!$E:$E,'Barang Keluar'!$A:$A,M18277,'Barang Keluar'!$C:$C,N18277))</f>
        <v>0</v>
      </c>
    </row>
    <row r="18278" spans="13:16">
      <c r="M18278" s="49">
        <f>IF($A$4+182&gt;$B$4,"",$A$4+182)</f>
        <v>46205</v>
      </c>
      <c r="N18278">
        <f>IF(M18278="","",'Master Barang'!A72)</f>
        <v>0</v>
      </c>
      <c r="O18278">
        <f>IF(N18278="","",'Master Barang'!B72)</f>
        <v>0</v>
      </c>
      <c r="P18278">
        <f>IF(OR(M18278="",N18278=""),"",SUMIFS('Barang Keluar'!$E:$E,'Barang Keluar'!$A:$A,M18278,'Barang Keluar'!$C:$C,N18278))</f>
        <v>0</v>
      </c>
    </row>
    <row r="18279" spans="13:16">
      <c r="M18279" s="49">
        <f>IF($A$4+182&gt;$B$4,"",$A$4+182)</f>
        <v>46205</v>
      </c>
      <c r="N18279">
        <f>IF(M18279="","",'Master Barang'!A73)</f>
        <v>0</v>
      </c>
      <c r="O18279">
        <f>IF(N18279="","",'Master Barang'!B73)</f>
        <v>0</v>
      </c>
      <c r="P18279">
        <f>IF(OR(M18279="",N18279=""),"",SUMIFS('Barang Keluar'!$E:$E,'Barang Keluar'!$A:$A,M18279,'Barang Keluar'!$C:$C,N18279))</f>
        <v>0</v>
      </c>
    </row>
    <row r="18280" spans="13:16">
      <c r="M18280" s="49">
        <f>IF($A$4+182&gt;$B$4,"",$A$4+182)</f>
        <v>46205</v>
      </c>
      <c r="N18280">
        <f>IF(M18280="","",'Master Barang'!A74)</f>
        <v>0</v>
      </c>
      <c r="O18280">
        <f>IF(N18280="","",'Master Barang'!B74)</f>
        <v>0</v>
      </c>
      <c r="P18280">
        <f>IF(OR(M18280="",N18280=""),"",SUMIFS('Barang Keluar'!$E:$E,'Barang Keluar'!$A:$A,M18280,'Barang Keluar'!$C:$C,N18280))</f>
        <v>0</v>
      </c>
    </row>
    <row r="18281" spans="13:16">
      <c r="M18281" s="49">
        <f>IF($A$4+182&gt;$B$4,"",$A$4+182)</f>
        <v>46205</v>
      </c>
      <c r="N18281">
        <f>IF(M18281="","",'Master Barang'!A75)</f>
        <v>0</v>
      </c>
      <c r="O18281">
        <f>IF(N18281="","",'Master Barang'!B75)</f>
        <v>0</v>
      </c>
      <c r="P18281">
        <f>IF(OR(M18281="",N18281=""),"",SUMIFS('Barang Keluar'!$E:$E,'Barang Keluar'!$A:$A,M18281,'Barang Keluar'!$C:$C,N18281))</f>
        <v>0</v>
      </c>
    </row>
    <row r="18282" spans="13:16">
      <c r="M18282" s="49">
        <f>IF($A$4+182&gt;$B$4,"",$A$4+182)</f>
        <v>46205</v>
      </c>
      <c r="N18282">
        <f>IF(M18282="","",'Master Barang'!A76)</f>
        <v>0</v>
      </c>
      <c r="O18282">
        <f>IF(N18282="","",'Master Barang'!B76)</f>
        <v>0</v>
      </c>
      <c r="P18282">
        <f>IF(OR(M18282="",N18282=""),"",SUMIFS('Barang Keluar'!$E:$E,'Barang Keluar'!$A:$A,M18282,'Barang Keluar'!$C:$C,N18282))</f>
        <v>0</v>
      </c>
    </row>
    <row r="18283" spans="13:16">
      <c r="M18283" s="49">
        <f>IF($A$4+182&gt;$B$4,"",$A$4+182)</f>
        <v>46205</v>
      </c>
      <c r="N18283">
        <f>IF(M18283="","",'Master Barang'!A77)</f>
        <v>0</v>
      </c>
      <c r="O18283">
        <f>IF(N18283="","",'Master Barang'!B77)</f>
        <v>0</v>
      </c>
      <c r="P18283">
        <f>IF(OR(M18283="",N18283=""),"",SUMIFS('Barang Keluar'!$E:$E,'Barang Keluar'!$A:$A,M18283,'Barang Keluar'!$C:$C,N18283))</f>
        <v>0</v>
      </c>
    </row>
    <row r="18284" spans="13:16">
      <c r="M18284" s="49">
        <f>IF($A$4+182&gt;$B$4,"",$A$4+182)</f>
        <v>46205</v>
      </c>
      <c r="N18284">
        <f>IF(M18284="","",'Master Barang'!A78)</f>
        <v>0</v>
      </c>
      <c r="O18284">
        <f>IF(N18284="","",'Master Barang'!B78)</f>
        <v>0</v>
      </c>
      <c r="P18284">
        <f>IF(OR(M18284="",N18284=""),"",SUMIFS('Barang Keluar'!$E:$E,'Barang Keluar'!$A:$A,M18284,'Barang Keluar'!$C:$C,N18284))</f>
        <v>0</v>
      </c>
    </row>
    <row r="18285" spans="13:16">
      <c r="M18285" s="49">
        <f>IF($A$4+182&gt;$B$4,"",$A$4+182)</f>
        <v>46205</v>
      </c>
      <c r="N18285">
        <f>IF(M18285="","",'Master Barang'!A79)</f>
        <v>0</v>
      </c>
      <c r="O18285">
        <f>IF(N18285="","",'Master Barang'!B79)</f>
        <v>0</v>
      </c>
      <c r="P18285">
        <f>IF(OR(M18285="",N18285=""),"",SUMIFS('Barang Keluar'!$E:$E,'Barang Keluar'!$A:$A,M18285,'Barang Keluar'!$C:$C,N18285))</f>
        <v>0</v>
      </c>
    </row>
    <row r="18286" spans="13:16">
      <c r="M18286" s="49">
        <f>IF($A$4+182&gt;$B$4,"",$A$4+182)</f>
        <v>46205</v>
      </c>
      <c r="N18286">
        <f>IF(M18286="","",'Master Barang'!A80)</f>
        <v>0</v>
      </c>
      <c r="O18286">
        <f>IF(N18286="","",'Master Barang'!B80)</f>
        <v>0</v>
      </c>
      <c r="P18286">
        <f>IF(OR(M18286="",N18286=""),"",SUMIFS('Barang Keluar'!$E:$E,'Barang Keluar'!$A:$A,M18286,'Barang Keluar'!$C:$C,N18286))</f>
        <v>0</v>
      </c>
    </row>
    <row r="18287" spans="13:16">
      <c r="M18287" s="49">
        <f>IF($A$4+182&gt;$B$4,"",$A$4+182)</f>
        <v>46205</v>
      </c>
      <c r="N18287">
        <f>IF(M18287="","",'Master Barang'!A81)</f>
        <v>0</v>
      </c>
      <c r="O18287">
        <f>IF(N18287="","",'Master Barang'!B81)</f>
        <v>0</v>
      </c>
      <c r="P18287">
        <f>IF(OR(M18287="",N18287=""),"",SUMIFS('Barang Keluar'!$E:$E,'Barang Keluar'!$A:$A,M18287,'Barang Keluar'!$C:$C,N18287))</f>
        <v>0</v>
      </c>
    </row>
    <row r="18288" spans="13:16">
      <c r="M18288" s="49">
        <f>IF($A$4+182&gt;$B$4,"",$A$4+182)</f>
        <v>46205</v>
      </c>
      <c r="N18288">
        <f>IF(M18288="","",'Master Barang'!A82)</f>
        <v>0</v>
      </c>
      <c r="O18288">
        <f>IF(N18288="","",'Master Barang'!B82)</f>
        <v>0</v>
      </c>
      <c r="P18288">
        <f>IF(OR(M18288="",N18288=""),"",SUMIFS('Barang Keluar'!$E:$E,'Barang Keluar'!$A:$A,M18288,'Barang Keluar'!$C:$C,N18288))</f>
        <v>0</v>
      </c>
    </row>
    <row r="18289" spans="13:16">
      <c r="M18289" s="49">
        <f>IF($A$4+182&gt;$B$4,"",$A$4+182)</f>
        <v>46205</v>
      </c>
      <c r="N18289">
        <f>IF(M18289="","",'Master Barang'!A83)</f>
        <v>0</v>
      </c>
      <c r="O18289">
        <f>IF(N18289="","",'Master Barang'!B83)</f>
        <v>0</v>
      </c>
      <c r="P18289">
        <f>IF(OR(M18289="",N18289=""),"",SUMIFS('Barang Keluar'!$E:$E,'Barang Keluar'!$A:$A,M18289,'Barang Keluar'!$C:$C,N18289))</f>
        <v>0</v>
      </c>
    </row>
    <row r="18290" spans="13:16">
      <c r="M18290" s="49">
        <f>IF($A$4+182&gt;$B$4,"",$A$4+182)</f>
        <v>46205</v>
      </c>
      <c r="N18290">
        <f>IF(M18290="","",'Master Barang'!A84)</f>
        <v>0</v>
      </c>
      <c r="O18290">
        <f>IF(N18290="","",'Master Barang'!B84)</f>
        <v>0</v>
      </c>
      <c r="P18290">
        <f>IF(OR(M18290="",N18290=""),"",SUMIFS('Barang Keluar'!$E:$E,'Barang Keluar'!$A:$A,M18290,'Barang Keluar'!$C:$C,N18290))</f>
        <v>0</v>
      </c>
    </row>
    <row r="18291" spans="13:16">
      <c r="M18291" s="49">
        <f>IF($A$4+182&gt;$B$4,"",$A$4+182)</f>
        <v>46205</v>
      </c>
      <c r="N18291">
        <f>IF(M18291="","",'Master Barang'!A85)</f>
        <v>0</v>
      </c>
      <c r="O18291">
        <f>IF(N18291="","",'Master Barang'!B85)</f>
        <v>0</v>
      </c>
      <c r="P18291">
        <f>IF(OR(M18291="",N18291=""),"",SUMIFS('Barang Keluar'!$E:$E,'Barang Keluar'!$A:$A,M18291,'Barang Keluar'!$C:$C,N18291))</f>
        <v>0</v>
      </c>
    </row>
    <row r="18292" spans="13:16">
      <c r="M18292" s="49">
        <f>IF($A$4+182&gt;$B$4,"",$A$4+182)</f>
        <v>46205</v>
      </c>
      <c r="N18292">
        <f>IF(M18292="","",'Master Barang'!A86)</f>
        <v>0</v>
      </c>
      <c r="O18292">
        <f>IF(N18292="","",'Master Barang'!B86)</f>
        <v>0</v>
      </c>
      <c r="P18292">
        <f>IF(OR(M18292="",N18292=""),"",SUMIFS('Barang Keluar'!$E:$E,'Barang Keluar'!$A:$A,M18292,'Barang Keluar'!$C:$C,N18292))</f>
        <v>0</v>
      </c>
    </row>
    <row r="18293" spans="13:16">
      <c r="M18293" s="49">
        <f>IF($A$4+182&gt;$B$4,"",$A$4+182)</f>
        <v>46205</v>
      </c>
      <c r="N18293">
        <f>IF(M18293="","",'Master Barang'!A87)</f>
        <v>0</v>
      </c>
      <c r="O18293">
        <f>IF(N18293="","",'Master Barang'!B87)</f>
        <v>0</v>
      </c>
      <c r="P18293">
        <f>IF(OR(M18293="",N18293=""),"",SUMIFS('Barang Keluar'!$E:$E,'Barang Keluar'!$A:$A,M18293,'Barang Keluar'!$C:$C,N18293))</f>
        <v>0</v>
      </c>
    </row>
    <row r="18294" spans="13:16">
      <c r="M18294" s="49">
        <f>IF($A$4+182&gt;$B$4,"",$A$4+182)</f>
        <v>46205</v>
      </c>
      <c r="N18294">
        <f>IF(M18294="","",'Master Barang'!A88)</f>
        <v>0</v>
      </c>
      <c r="O18294">
        <f>IF(N18294="","",'Master Barang'!B88)</f>
        <v>0</v>
      </c>
      <c r="P18294">
        <f>IF(OR(M18294="",N18294=""),"",SUMIFS('Barang Keluar'!$E:$E,'Barang Keluar'!$A:$A,M18294,'Barang Keluar'!$C:$C,N18294))</f>
        <v>0</v>
      </c>
    </row>
    <row r="18295" spans="13:16">
      <c r="M18295" s="49">
        <f>IF($A$4+182&gt;$B$4,"",$A$4+182)</f>
        <v>46205</v>
      </c>
      <c r="N18295">
        <f>IF(M18295="","",'Master Barang'!A89)</f>
        <v>0</v>
      </c>
      <c r="O18295">
        <f>IF(N18295="","",'Master Barang'!B89)</f>
        <v>0</v>
      </c>
      <c r="P18295">
        <f>IF(OR(M18295="",N18295=""),"",SUMIFS('Barang Keluar'!$E:$E,'Barang Keluar'!$A:$A,M18295,'Barang Keluar'!$C:$C,N18295))</f>
        <v>0</v>
      </c>
    </row>
    <row r="18296" spans="13:16">
      <c r="M18296" s="49">
        <f>IF($A$4+182&gt;$B$4,"",$A$4+182)</f>
        <v>46205</v>
      </c>
      <c r="N18296">
        <f>IF(M18296="","",'Master Barang'!A90)</f>
        <v>0</v>
      </c>
      <c r="O18296">
        <f>IF(N18296="","",'Master Barang'!B90)</f>
        <v>0</v>
      </c>
      <c r="P18296">
        <f>IF(OR(M18296="",N18296=""),"",SUMIFS('Barang Keluar'!$E:$E,'Barang Keluar'!$A:$A,M18296,'Barang Keluar'!$C:$C,N18296))</f>
        <v>0</v>
      </c>
    </row>
    <row r="18297" spans="13:16">
      <c r="M18297" s="49">
        <f>IF($A$4+182&gt;$B$4,"",$A$4+182)</f>
        <v>46205</v>
      </c>
      <c r="N18297">
        <f>IF(M18297="","",'Master Barang'!A91)</f>
        <v>0</v>
      </c>
      <c r="O18297">
        <f>IF(N18297="","",'Master Barang'!B91)</f>
        <v>0</v>
      </c>
      <c r="P18297">
        <f>IF(OR(M18297="",N18297=""),"",SUMIFS('Barang Keluar'!$E:$E,'Barang Keluar'!$A:$A,M18297,'Barang Keluar'!$C:$C,N18297))</f>
        <v>0</v>
      </c>
    </row>
    <row r="18298" spans="13:16">
      <c r="M18298" s="49">
        <f>IF($A$4+182&gt;$B$4,"",$A$4+182)</f>
        <v>46205</v>
      </c>
      <c r="N18298">
        <f>IF(M18298="","",'Master Barang'!A92)</f>
        <v>0</v>
      </c>
      <c r="O18298">
        <f>IF(N18298="","",'Master Barang'!B92)</f>
        <v>0</v>
      </c>
      <c r="P18298">
        <f>IF(OR(M18298="",N18298=""),"",SUMIFS('Barang Keluar'!$E:$E,'Barang Keluar'!$A:$A,M18298,'Barang Keluar'!$C:$C,N18298))</f>
        <v>0</v>
      </c>
    </row>
    <row r="18299" spans="13:16">
      <c r="M18299" s="49">
        <f>IF($A$4+182&gt;$B$4,"",$A$4+182)</f>
        <v>46205</v>
      </c>
      <c r="N18299">
        <f>IF(M18299="","",'Master Barang'!A93)</f>
        <v>0</v>
      </c>
      <c r="O18299">
        <f>IF(N18299="","",'Master Barang'!B93)</f>
        <v>0</v>
      </c>
      <c r="P18299">
        <f>IF(OR(M18299="",N18299=""),"",SUMIFS('Barang Keluar'!$E:$E,'Barang Keluar'!$A:$A,M18299,'Barang Keluar'!$C:$C,N18299))</f>
        <v>0</v>
      </c>
    </row>
    <row r="18300" spans="13:16">
      <c r="M18300" s="49">
        <f>IF($A$4+182&gt;$B$4,"",$A$4+182)</f>
        <v>46205</v>
      </c>
      <c r="N18300">
        <f>IF(M18300="","",'Master Barang'!A94)</f>
        <v>0</v>
      </c>
      <c r="O18300">
        <f>IF(N18300="","",'Master Barang'!B94)</f>
        <v>0</v>
      </c>
      <c r="P18300">
        <f>IF(OR(M18300="",N18300=""),"",SUMIFS('Barang Keluar'!$E:$E,'Barang Keluar'!$A:$A,M18300,'Barang Keluar'!$C:$C,N18300))</f>
        <v>0</v>
      </c>
    </row>
    <row r="18301" spans="13:16">
      <c r="M18301" s="49">
        <f>IF($A$4+182&gt;$B$4,"",$A$4+182)</f>
        <v>46205</v>
      </c>
      <c r="N18301">
        <f>IF(M18301="","",'Master Barang'!A95)</f>
        <v>0</v>
      </c>
      <c r="O18301">
        <f>IF(N18301="","",'Master Barang'!B95)</f>
        <v>0</v>
      </c>
      <c r="P18301">
        <f>IF(OR(M18301="",N18301=""),"",SUMIFS('Barang Keluar'!$E:$E,'Barang Keluar'!$A:$A,M18301,'Barang Keluar'!$C:$C,N18301))</f>
        <v>0</v>
      </c>
    </row>
    <row r="18302" spans="13:16">
      <c r="M18302" s="49">
        <f>IF($A$4+182&gt;$B$4,"",$A$4+182)</f>
        <v>46205</v>
      </c>
      <c r="N18302">
        <f>IF(M18302="","",'Master Barang'!A96)</f>
        <v>0</v>
      </c>
      <c r="O18302">
        <f>IF(N18302="","",'Master Barang'!B96)</f>
        <v>0</v>
      </c>
      <c r="P18302">
        <f>IF(OR(M18302="",N18302=""),"",SUMIFS('Barang Keluar'!$E:$E,'Barang Keluar'!$A:$A,M18302,'Barang Keluar'!$C:$C,N18302))</f>
        <v>0</v>
      </c>
    </row>
    <row r="18303" spans="13:16">
      <c r="M18303" s="49">
        <f>IF($A$4+182&gt;$B$4,"",$A$4+182)</f>
        <v>46205</v>
      </c>
      <c r="N18303">
        <f>IF(M18303="","",'Master Barang'!A97)</f>
        <v>0</v>
      </c>
      <c r="O18303">
        <f>IF(N18303="","",'Master Barang'!B97)</f>
        <v>0</v>
      </c>
      <c r="P18303">
        <f>IF(OR(M18303="",N18303=""),"",SUMIFS('Barang Keluar'!$E:$E,'Barang Keluar'!$A:$A,M18303,'Barang Keluar'!$C:$C,N18303))</f>
        <v>0</v>
      </c>
    </row>
    <row r="18304" spans="13:16">
      <c r="M18304" s="49">
        <f>IF($A$4+182&gt;$B$4,"",$A$4+182)</f>
        <v>46205</v>
      </c>
      <c r="N18304">
        <f>IF(M18304="","",'Master Barang'!A98)</f>
        <v>0</v>
      </c>
      <c r="O18304">
        <f>IF(N18304="","",'Master Barang'!B98)</f>
        <v>0</v>
      </c>
      <c r="P18304">
        <f>IF(OR(M18304="",N18304=""),"",SUMIFS('Barang Keluar'!$E:$E,'Barang Keluar'!$A:$A,M18304,'Barang Keluar'!$C:$C,N18304))</f>
        <v>0</v>
      </c>
    </row>
    <row r="18305" spans="13:16">
      <c r="M18305" s="49">
        <f>IF($A$4+182&gt;$B$4,"",$A$4+182)</f>
        <v>46205</v>
      </c>
      <c r="N18305">
        <f>IF(M18305="","",'Master Barang'!A99)</f>
        <v>0</v>
      </c>
      <c r="O18305">
        <f>IF(N18305="","",'Master Barang'!B99)</f>
        <v>0</v>
      </c>
      <c r="P18305">
        <f>IF(OR(M18305="",N18305=""),"",SUMIFS('Barang Keluar'!$E:$E,'Barang Keluar'!$A:$A,M18305,'Barang Keluar'!$C:$C,N18305))</f>
        <v>0</v>
      </c>
    </row>
    <row r="18306" spans="13:16">
      <c r="M18306" s="49">
        <f>IF($A$4+182&gt;$B$4,"",$A$4+182)</f>
        <v>46205</v>
      </c>
      <c r="N18306">
        <f>IF(M18306="","",'Master Barang'!A100)</f>
        <v>0</v>
      </c>
      <c r="O18306">
        <f>IF(N18306="","",'Master Barang'!B100)</f>
        <v>0</v>
      </c>
      <c r="P18306">
        <f>IF(OR(M18306="",N18306=""),"",SUMIFS('Barang Keluar'!$E:$E,'Barang Keluar'!$A:$A,M18306,'Barang Keluar'!$C:$C,N18306))</f>
        <v>0</v>
      </c>
    </row>
    <row r="18307" spans="13:16">
      <c r="M18307" s="49">
        <f>IF($A$4+182&gt;$B$4,"",$A$4+182)</f>
        <v>46205</v>
      </c>
      <c r="N18307">
        <f>IF(M18307="","",'Master Barang'!A101)</f>
        <v>0</v>
      </c>
      <c r="O18307">
        <f>IF(N18307="","",'Master Barang'!B101)</f>
        <v>0</v>
      </c>
      <c r="P18307">
        <f>IF(OR(M18307="",N18307=""),"",SUMIFS('Barang Keluar'!$E:$E,'Barang Keluar'!$A:$A,M18307,'Barang Keluar'!$C:$C,N18307))</f>
        <v>0</v>
      </c>
    </row>
    <row r="18308" spans="13:16">
      <c r="M18308" s="49">
        <f>IF($A$4+183&gt;$B$4,"",$A$4+183)</f>
        <v>46206</v>
      </c>
      <c r="N18308" t="str">
        <f>IF(M18308="","",'Master Barang'!A2)</f>
        <v>PRL-001</v>
      </c>
      <c r="O18308" t="str">
        <f>IF(N18308="","",'Master Barang'!B2)</f>
        <v>natura desinfectant food grade 5l</v>
      </c>
      <c r="P18308">
        <f>IF(OR(M18308="",N18308=""),"",SUMIFS('Barang Keluar'!$E:$E,'Barang Keluar'!$A:$A,M18308,'Barang Keluar'!$C:$C,N18308))</f>
        <v>0</v>
      </c>
    </row>
    <row r="18309" spans="13:16">
      <c r="M18309" s="49">
        <f>IF($A$4+183&gt;$B$4,"",$A$4+183)</f>
        <v>46206</v>
      </c>
      <c r="N18309" t="str">
        <f>IF(M18309="","",'Master Barang'!A3)</f>
        <v>PRL-002</v>
      </c>
      <c r="O18309" t="str">
        <f>IF(N18309="","",'Master Barang'!B3)</f>
        <v>sunlight cairan pencuci piring 5l</v>
      </c>
      <c r="P18309">
        <f>IF(OR(M18309="",N18309=""),"",SUMIFS('Barang Keluar'!$E:$E,'Barang Keluar'!$A:$A,M18309,'Barang Keluar'!$C:$C,N18309))</f>
        <v>0</v>
      </c>
    </row>
    <row r="18310" spans="13:16">
      <c r="M18310" s="49">
        <f>IF($A$4+183&gt;$B$4,"",$A$4+183)</f>
        <v>46206</v>
      </c>
      <c r="N18310" t="str">
        <f>IF(M18310="","",'Master Barang'!A4)</f>
        <v>PRL-003</v>
      </c>
      <c r="O18310" t="str">
        <f>IF(N18310="","",'Master Barang'!B4)</f>
        <v>oixs cleaner 1l</v>
      </c>
      <c r="P18310">
        <f>IF(OR(M18310="",N18310=""),"",SUMIFS('Barang Keluar'!$E:$E,'Barang Keluar'!$A:$A,M18310,'Barang Keluar'!$C:$C,N18310))</f>
        <v>0</v>
      </c>
    </row>
    <row r="18311" spans="13:16">
      <c r="M18311" s="49">
        <f>IF($A$4+183&gt;$B$4,"",$A$4+183)</f>
        <v>46206</v>
      </c>
      <c r="N18311" t="str">
        <f>IF(M18311="","",'Master Barang'!A5)</f>
        <v>PRL-004</v>
      </c>
      <c r="O18311" t="str">
        <f>IF(N18311="","",'Master Barang'!B5)</f>
        <v>be clean tissue serbaguna</v>
      </c>
      <c r="P18311">
        <f>IF(OR(M18311="",N18311=""),"",SUMIFS('Barang Keluar'!$E:$E,'Barang Keluar'!$A:$A,M18311,'Barang Keluar'!$C:$C,N18311))</f>
        <v>0</v>
      </c>
    </row>
    <row r="18312" spans="13:16">
      <c r="M18312" s="49">
        <f>IF($A$4+183&gt;$B$4,"",$A$4+183)</f>
        <v>46206</v>
      </c>
      <c r="N18312" t="str">
        <f>IF(M18312="","",'Master Barang'!A6)</f>
        <v>PRL-005</v>
      </c>
      <c r="O18312" t="str">
        <f>IF(N18312="","",'Master Barang'!B6)</f>
        <v>spons cuci hijau</v>
      </c>
      <c r="P18312">
        <f>IF(OR(M18312="",N18312=""),"",SUMIFS('Barang Keluar'!$E:$E,'Barang Keluar'!$A:$A,M18312,'Barang Keluar'!$C:$C,N18312))</f>
        <v>0</v>
      </c>
    </row>
    <row r="18313" spans="13:16">
      <c r="M18313" s="49">
        <f>IF($A$4+183&gt;$B$4,"",$A$4+183)</f>
        <v>46206</v>
      </c>
      <c r="N18313" t="str">
        <f>IF(M18313="","",'Master Barang'!A7)</f>
        <v>PRL-006</v>
      </c>
      <c r="O18313" t="str">
        <f>IF(N18313="","",'Master Barang'!B7)</f>
        <v>sabut cuci stainless</v>
      </c>
      <c r="P18313">
        <f>IF(OR(M18313="",N18313=""),"",SUMIFS('Barang Keluar'!$E:$E,'Barang Keluar'!$A:$A,M18313,'Barang Keluar'!$C:$C,N18313))</f>
        <v>0</v>
      </c>
    </row>
    <row r="18314" spans="13:16">
      <c r="M18314" s="49">
        <f>IF($A$4+183&gt;$B$4,"",$A$4+183)</f>
        <v>46206</v>
      </c>
      <c r="N18314" t="str">
        <f>IF(M18314="","",'Master Barang'!A8)</f>
        <v>PRL-007</v>
      </c>
      <c r="O18314" t="str">
        <f>IF(N18314="","",'Master Barang'!B8)</f>
        <v>plastik kresek besar merah 50pc</v>
      </c>
      <c r="P18314">
        <f>IF(OR(M18314="",N18314=""),"",SUMIFS('Barang Keluar'!$E:$E,'Barang Keluar'!$A:$A,M18314,'Barang Keluar'!$C:$C,N18314))</f>
        <v>0</v>
      </c>
    </row>
    <row r="18315" spans="13:16">
      <c r="M18315" s="49">
        <f>IF($A$4+183&gt;$B$4,"",$A$4+183)</f>
        <v>46206</v>
      </c>
      <c r="N18315" t="str">
        <f>IF(M18315="","",'Master Barang'!A9)</f>
        <v>PRL-008</v>
      </c>
      <c r="O18315" t="str">
        <f>IF(N18315="","",'Master Barang'!B9)</f>
        <v>lap besar</v>
      </c>
      <c r="P18315">
        <f>IF(OR(M18315="",N18315=""),"",SUMIFS('Barang Keluar'!$E:$E,'Barang Keluar'!$A:$A,M18315,'Barang Keluar'!$C:$C,N18315))</f>
        <v>0</v>
      </c>
    </row>
    <row r="18316" spans="13:16">
      <c r="M18316" s="49">
        <f>IF($A$4+183&gt;$B$4,"",$A$4+183)</f>
        <v>46206</v>
      </c>
      <c r="N18316" t="str">
        <f>IF(M18316="","",'Master Barang'!A10)</f>
        <v>PRL-009</v>
      </c>
      <c r="O18316" t="str">
        <f>IF(N18316="","",'Master Barang'!B10)</f>
        <v>lap microfiber</v>
      </c>
      <c r="P18316">
        <f>IF(OR(M18316="",N18316=""),"",SUMIFS('Barang Keluar'!$E:$E,'Barang Keluar'!$A:$A,M18316,'Barang Keluar'!$C:$C,N18316))</f>
        <v>0</v>
      </c>
    </row>
    <row r="18317" spans="13:16">
      <c r="M18317" s="49">
        <f>IF($A$4+183&gt;$B$4,"",$A$4+183)</f>
        <v>46206</v>
      </c>
      <c r="N18317" t="str">
        <f>IF(M18317="","",'Master Barang'!A11)</f>
        <v>PRL-010</v>
      </c>
      <c r="O18317" t="str">
        <f>IF(N18317="","",'Master Barang'!B11)</f>
        <v>lap kecil</v>
      </c>
      <c r="P18317">
        <f>IF(OR(M18317="",N18317=""),"",SUMIFS('Barang Keluar'!$E:$E,'Barang Keluar'!$A:$A,M18317,'Barang Keluar'!$C:$C,N18317))</f>
        <v>0</v>
      </c>
    </row>
    <row r="18318" spans="13:16">
      <c r="M18318" s="49">
        <f>IF($A$4+183&gt;$B$4,"",$A$4+183)</f>
        <v>46206</v>
      </c>
      <c r="N18318" t="str">
        <f>IF(M18318="","",'Master Barang'!A12)</f>
        <v>PRL-011</v>
      </c>
      <c r="O18318" t="str">
        <f>IF(N18318="","",'Master Barang'!B12)</f>
        <v>kanebo kecil</v>
      </c>
      <c r="P18318">
        <f>IF(OR(M18318="",N18318=""),"",SUMIFS('Barang Keluar'!$E:$E,'Barang Keluar'!$A:$A,M18318,'Barang Keluar'!$C:$C,N18318))</f>
        <v>0</v>
      </c>
    </row>
    <row r="18319" spans="13:16">
      <c r="M18319" s="49">
        <f>IF($A$4+183&gt;$B$4,"",$A$4+183)</f>
        <v>46206</v>
      </c>
      <c r="N18319" t="str">
        <f>IF(M18319="","",'Master Barang'!A13)</f>
        <v>PRL-012</v>
      </c>
      <c r="O18319" t="str">
        <f>IF(N18319="","",'Master Barang'!B13)</f>
        <v>plastik 1/4kg joyoboyo 100 lembar</v>
      </c>
      <c r="P18319">
        <f>IF(OR(M18319="",N18319=""),"",SUMIFS('Barang Keluar'!$E:$E,'Barang Keluar'!$A:$A,M18319,'Barang Keluar'!$C:$C,N18319))</f>
        <v>0</v>
      </c>
    </row>
    <row r="18320" spans="13:16">
      <c r="M18320" s="49">
        <f>IF($A$4+183&gt;$B$4,"",$A$4+183)</f>
        <v>46206</v>
      </c>
      <c r="N18320" t="str">
        <f>IF(M18320="","",'Master Barang'!A14)</f>
        <v>PRL-013</v>
      </c>
      <c r="O18320" t="str">
        <f>IF(N18320="","",'Master Barang'!B14)</f>
        <v>sarung tangan plastik kaka 100 pcs</v>
      </c>
      <c r="P18320">
        <f>IF(OR(M18320="",N18320=""),"",SUMIFS('Barang Keluar'!$E:$E,'Barang Keluar'!$A:$A,M18320,'Barang Keluar'!$C:$C,N18320))</f>
        <v>0</v>
      </c>
    </row>
    <row r="18321" spans="13:16">
      <c r="M18321" s="49">
        <f>IF($A$4+183&gt;$B$4,"",$A$4+183)</f>
        <v>46206</v>
      </c>
      <c r="N18321" t="str">
        <f>IF(M18321="","",'Master Barang'!A15)</f>
        <v>PRL-014</v>
      </c>
      <c r="O18321" t="str">
        <f>IF(N18321="","",'Master Barang'!B15)</f>
        <v>optima trashbag 80x100</v>
      </c>
      <c r="P18321">
        <f>IF(OR(M18321="",N18321=""),"",SUMIFS('Barang Keluar'!$E:$E,'Barang Keluar'!$A:$A,M18321,'Barang Keluar'!$C:$C,N18321))</f>
        <v>0</v>
      </c>
    </row>
    <row r="18322" spans="13:16">
      <c r="M18322" s="49">
        <f>IF($A$4+183&gt;$B$4,"",$A$4+183)</f>
        <v>46206</v>
      </c>
      <c r="N18322" t="str">
        <f>IF(M18322="","",'Master Barang'!A16)</f>
        <v>PRL-015</v>
      </c>
      <c r="O18322" t="str">
        <f>IF(N18322="","",'Master Barang'!B16)</f>
        <v>optima trashbag 60x100</v>
      </c>
      <c r="P18322">
        <f>IF(OR(M18322="",N18322=""),"",SUMIFS('Barang Keluar'!$E:$E,'Barang Keluar'!$A:$A,M18322,'Barang Keluar'!$C:$C,N18322))</f>
        <v>0</v>
      </c>
    </row>
    <row r="18323" spans="13:16">
      <c r="M18323" s="49">
        <f>IF($A$4+183&gt;$B$4,"",$A$4+183)</f>
        <v>46206</v>
      </c>
      <c r="N18323" t="str">
        <f>IF(M18323="","",'Master Barang'!A17)</f>
        <v>PRL-016</v>
      </c>
      <c r="O18323" t="str">
        <f>IF(N18323="","",'Master Barang'!B17)</f>
        <v>rajawali trashbag 30x40</v>
      </c>
      <c r="P18323">
        <f>IF(OR(M18323="",N18323=""),"",SUMIFS('Barang Keluar'!$E:$E,'Barang Keluar'!$A:$A,M18323,'Barang Keluar'!$C:$C,N18323))</f>
        <v>0</v>
      </c>
    </row>
    <row r="18324" spans="13:16">
      <c r="M18324" s="49">
        <f>IF($A$4+183&gt;$B$4,"",$A$4+183)</f>
        <v>46206</v>
      </c>
      <c r="N18324" t="str">
        <f>IF(M18324="","",'Master Barang'!A18)</f>
        <v>PRL-017</v>
      </c>
      <c r="O18324" t="str">
        <f>IF(N18324="","",'Master Barang'!B18)</f>
        <v>onemed masker biru 3 play 50 pcs</v>
      </c>
      <c r="P18324">
        <f>IF(OR(M18324="",N18324=""),"",SUMIFS('Barang Keluar'!$E:$E,'Barang Keluar'!$A:$A,M18324,'Barang Keluar'!$C:$C,N18324))</f>
        <v>0</v>
      </c>
    </row>
    <row r="18325" spans="13:16">
      <c r="M18325" s="49">
        <f>IF($A$4+183&gt;$B$4,"",$A$4+183)</f>
        <v>46206</v>
      </c>
      <c r="N18325" t="str">
        <f>IF(M18325="","",'Master Barang'!A19)</f>
        <v>PRL-018</v>
      </c>
      <c r="O18325" t="str">
        <f>IF(N18325="","",'Master Barang'!B19)</f>
        <v>onemed masker biru 3 play hijab 50 pcs</v>
      </c>
      <c r="P18325">
        <f>IF(OR(M18325="",N18325=""),"",SUMIFS('Barang Keluar'!$E:$E,'Barang Keluar'!$A:$A,M18325,'Barang Keluar'!$C:$C,N18325))</f>
        <v>0</v>
      </c>
    </row>
    <row r="18326" spans="13:16">
      <c r="M18326" s="49">
        <f>IF($A$4+183&gt;$B$4,"",$A$4+183)</f>
        <v>46206</v>
      </c>
      <c r="N18326" t="str">
        <f>IF(M18326="","",'Master Barang'!A20)</f>
        <v>PRL-019</v>
      </c>
      <c r="O18326" t="str">
        <f>IF(N18326="","",'Master Barang'!B20)</f>
        <v>neo health masker biru 3 play 50 pcs</v>
      </c>
      <c r="P18326">
        <f>IF(OR(M18326="",N18326=""),"",SUMIFS('Barang Keluar'!$E:$E,'Barang Keluar'!$A:$A,M18326,'Barang Keluar'!$C:$C,N18326))</f>
        <v>0</v>
      </c>
    </row>
    <row r="18327" spans="13:16">
      <c r="M18327" s="49">
        <f>IF($A$4+183&gt;$B$4,"",$A$4+183)</f>
        <v>46206</v>
      </c>
      <c r="N18327" t="str">
        <f>IF(M18327="","",'Master Barang'!A21)</f>
        <v>PRL-020</v>
      </c>
      <c r="O18327" t="str">
        <f>IF(N18327="","",'Master Barang'!B21)</f>
        <v>baymed masker hijau 3 play hijau 50 pcs</v>
      </c>
      <c r="P18327">
        <f>IF(OR(M18327="",N18327=""),"",SUMIFS('Barang Keluar'!$E:$E,'Barang Keluar'!$A:$A,M18327,'Barang Keluar'!$C:$C,N18327))</f>
        <v>0</v>
      </c>
    </row>
    <row r="18328" spans="13:16">
      <c r="M18328" s="49">
        <f>IF($A$4+183&gt;$B$4,"",$A$4+183)</f>
        <v>46206</v>
      </c>
      <c r="N18328" t="str">
        <f>IF(M18328="","",'Master Barang'!A22)</f>
        <v>PRL-021</v>
      </c>
      <c r="O18328" t="str">
        <f>IF(N18328="","",'Master Barang'!B22)</f>
        <v>altamed nurse cap penutup kepala 100 pcs</v>
      </c>
      <c r="P18328">
        <f>IF(OR(M18328="",N18328=""),"",SUMIFS('Barang Keluar'!$E:$E,'Barang Keluar'!$A:$A,M18328,'Barang Keluar'!$C:$C,N18328))</f>
        <v>0</v>
      </c>
    </row>
    <row r="18329" spans="13:16">
      <c r="M18329" s="49">
        <f>IF($A$4+183&gt;$B$4,"",$A$4+183)</f>
        <v>46206</v>
      </c>
      <c r="N18329" t="str">
        <f>IF(M18329="","",'Master Barang'!A23)</f>
        <v>PRL-022</v>
      </c>
      <c r="O18329" t="str">
        <f>IF(N18329="","",'Master Barang'!B23)</f>
        <v>sabun cuci tangan</v>
      </c>
      <c r="P18329">
        <f>IF(OR(M18329="",N18329=""),"",SUMIFS('Barang Keluar'!$E:$E,'Barang Keluar'!$A:$A,M18329,'Barang Keluar'!$C:$C,N18329))</f>
        <v>0</v>
      </c>
    </row>
    <row r="18330" spans="13:16">
      <c r="M18330" s="49">
        <f>IF($A$4+183&gt;$B$4,"",$A$4+183)</f>
        <v>46206</v>
      </c>
      <c r="N18330" t="str">
        <f>IF(M18330="","",'Master Barang'!A24)</f>
        <v>PRL-023</v>
      </c>
      <c r="O18330" t="str">
        <f>IF(N18330="","",'Master Barang'!B24)</f>
        <v>gayung kecil</v>
      </c>
      <c r="P18330">
        <f>IF(OR(M18330="",N18330=""),"",SUMIFS('Barang Keluar'!$E:$E,'Barang Keluar'!$A:$A,M18330,'Barang Keluar'!$C:$C,N18330))</f>
        <v>0</v>
      </c>
    </row>
    <row r="18331" spans="13:16">
      <c r="M18331" s="49">
        <f>IF($A$4+183&gt;$B$4,"",$A$4+183)</f>
        <v>46206</v>
      </c>
      <c r="N18331" t="str">
        <f>IF(M18331="","",'Master Barang'!A25)</f>
        <v>PRL-024</v>
      </c>
      <c r="O18331" t="str">
        <f>IF(N18331="","",'Master Barang'!B25)</f>
        <v>cikrak kecil</v>
      </c>
      <c r="P18331">
        <f>IF(OR(M18331="",N18331=""),"",SUMIFS('Barang Keluar'!$E:$E,'Barang Keluar'!$A:$A,M18331,'Barang Keluar'!$C:$C,N18331))</f>
        <v>0</v>
      </c>
    </row>
    <row r="18332" spans="13:16">
      <c r="M18332" s="49">
        <f>IF($A$4+183&gt;$B$4,"",$A$4+183)</f>
        <v>46206</v>
      </c>
      <c r="N18332" t="str">
        <f>IF(M18332="","",'Master Barang'!A26)</f>
        <v>PRL-025</v>
      </c>
      <c r="O18332" t="str">
        <f>IF(N18332="","",'Master Barang'!B26)</f>
        <v>petromax plastik kecil 12x24 100 lembar</v>
      </c>
      <c r="P18332">
        <f>IF(OR(M18332="",N18332=""),"",SUMIFS('Barang Keluar'!$E:$E,'Barang Keluar'!$A:$A,M18332,'Barang Keluar'!$C:$C,N18332))</f>
        <v>0</v>
      </c>
    </row>
    <row r="18333" spans="13:16">
      <c r="M18333" s="49">
        <f>IF($A$4+183&gt;$B$4,"",$A$4+183)</f>
        <v>46206</v>
      </c>
      <c r="N18333" t="str">
        <f>IF(M18333="","",'Master Barang'!A27)</f>
        <v>PRL-026</v>
      </c>
      <c r="O18333" t="str">
        <f>IF(N18333="","",'Master Barang'!B27)</f>
        <v>lancar kresek kecil bening </v>
      </c>
      <c r="P18333">
        <f>IF(OR(M18333="",N18333=""),"",SUMIFS('Barang Keluar'!$E:$E,'Barang Keluar'!$A:$A,M18333,'Barang Keluar'!$C:$C,N18333))</f>
        <v>0</v>
      </c>
    </row>
    <row r="18334" spans="13:16">
      <c r="M18334" s="49">
        <f>IF($A$4+183&gt;$B$4,"",$A$4+183)</f>
        <v>46206</v>
      </c>
      <c r="N18334" t="str">
        <f>IF(M18334="","",'Master Barang'!A28)</f>
        <v>PRL-027</v>
      </c>
      <c r="O18334" t="str">
        <f>IF(N18334="","",'Master Barang'!B28)</f>
        <v>kresek klin warna warni kecil</v>
      </c>
      <c r="P18334">
        <f>IF(OR(M18334="",N18334=""),"",SUMIFS('Barang Keluar'!$E:$E,'Barang Keluar'!$A:$A,M18334,'Barang Keluar'!$C:$C,N18334))</f>
        <v>0</v>
      </c>
    </row>
    <row r="18335" spans="13:16">
      <c r="M18335" s="49">
        <f>IF($A$4+183&gt;$B$4,"",$A$4+183)</f>
        <v>46206</v>
      </c>
      <c r="N18335" t="str">
        <f>IF(M18335="","",'Master Barang'!A29)</f>
        <v>PRL-028</v>
      </c>
      <c r="O18335" t="str">
        <f>IF(N18335="","",'Master Barang'!B29)</f>
        <v>ctik plastik 7x10 100 pcs</v>
      </c>
      <c r="P18335">
        <f>IF(OR(M18335="",N18335=""),"",SUMIFS('Barang Keluar'!$E:$E,'Barang Keluar'!$A:$A,M18335,'Barang Keluar'!$C:$C,N18335))</f>
        <v>0</v>
      </c>
    </row>
    <row r="18336" spans="13:16">
      <c r="M18336" s="49">
        <f>IF($A$4+183&gt;$B$4,"",$A$4+183)</f>
        <v>46206</v>
      </c>
      <c r="N18336" t="str">
        <f>IF(M18336="","",'Master Barang'!A30)</f>
        <v>PRL-029</v>
      </c>
      <c r="O18336" t="str">
        <f>IF(N18336="","",'Master Barang'!B30)</f>
        <v>ctik plastik 6x10 100 pcs</v>
      </c>
      <c r="P18336">
        <f>IF(OR(M18336="",N18336=""),"",SUMIFS('Barang Keluar'!$E:$E,'Barang Keluar'!$A:$A,M18336,'Barang Keluar'!$C:$C,N18336))</f>
        <v>0</v>
      </c>
    </row>
    <row r="18337" spans="13:16">
      <c r="M18337" s="49">
        <f>IF($A$4+183&gt;$B$4,"",$A$4+183)</f>
        <v>46206</v>
      </c>
      <c r="N18337" t="str">
        <f>IF(M18337="","",'Master Barang'!A31)</f>
        <v>PRL-030</v>
      </c>
      <c r="O18337" t="str">
        <f>IF(N18337="","",'Master Barang'!B31)</f>
        <v>klip plastik 25x16 100 pcs</v>
      </c>
      <c r="P18337">
        <f>IF(OR(M18337="",N18337=""),"",SUMIFS('Barang Keluar'!$E:$E,'Barang Keluar'!$A:$A,M18337,'Barang Keluar'!$C:$C,N18337))</f>
        <v>0</v>
      </c>
    </row>
    <row r="18338" spans="13:16">
      <c r="M18338" s="49">
        <f>IF($A$4+183&gt;$B$4,"",$A$4+183)</f>
        <v>46206</v>
      </c>
      <c r="N18338" t="str">
        <f>IF(M18338="","",'Master Barang'!A32)</f>
        <v>PRL-031</v>
      </c>
      <c r="O18338" t="str">
        <f>IF(N18338="","",'Master Barang'!B32)</f>
        <v>tempat saus 20 ml</v>
      </c>
      <c r="P18338">
        <f>IF(OR(M18338="",N18338=""),"",SUMIFS('Barang Keluar'!$E:$E,'Barang Keluar'!$A:$A,M18338,'Barang Keluar'!$C:$C,N18338))</f>
        <v>0</v>
      </c>
    </row>
    <row r="18339" spans="13:16">
      <c r="M18339" s="49">
        <f>IF($A$4+183&gt;$B$4,"",$A$4+183)</f>
        <v>46206</v>
      </c>
      <c r="N18339" t="str">
        <f>IF(M18339="","",'Master Barang'!A33)</f>
        <v>PRL-032</v>
      </c>
      <c r="O18339" t="str">
        <f>IF(N18339="","",'Master Barang'!B33)</f>
        <v>plastik packaging ag box uk sedang</v>
      </c>
      <c r="P18339">
        <f>IF(OR(M18339="",N18339=""),"",SUMIFS('Barang Keluar'!$E:$E,'Barang Keluar'!$A:$A,M18339,'Barang Keluar'!$C:$C,N18339))</f>
        <v>0</v>
      </c>
    </row>
    <row r="18340" spans="13:16">
      <c r="M18340" s="49">
        <f>IF($A$4+183&gt;$B$4,"",$A$4+183)</f>
        <v>46206</v>
      </c>
      <c r="N18340" t="str">
        <f>IF(M18340="","",'Master Barang'!A34)</f>
        <v>PRL-033</v>
      </c>
      <c r="O18340">
        <f>IF(N18340="","",'Master Barang'!B34)</f>
        <v>0</v>
      </c>
      <c r="P18340">
        <f>IF(OR(M18340="",N18340=""),"",SUMIFS('Barang Keluar'!$E:$E,'Barang Keluar'!$A:$A,M18340,'Barang Keluar'!$C:$C,N18340))</f>
        <v>0</v>
      </c>
    </row>
    <row r="18341" spans="13:16">
      <c r="M18341" s="49">
        <f>IF($A$4+183&gt;$B$4,"",$A$4+183)</f>
        <v>46206</v>
      </c>
      <c r="N18341">
        <f>IF(M18341="","",'Master Barang'!A35)</f>
        <v>0</v>
      </c>
      <c r="O18341">
        <f>IF(N18341="","",'Master Barang'!B35)</f>
        <v>0</v>
      </c>
      <c r="P18341">
        <f>IF(OR(M18341="",N18341=""),"",SUMIFS('Barang Keluar'!$E:$E,'Barang Keluar'!$A:$A,M18341,'Barang Keluar'!$C:$C,N18341))</f>
        <v>0</v>
      </c>
    </row>
    <row r="18342" spans="13:16">
      <c r="M18342" s="49">
        <f>IF($A$4+183&gt;$B$4,"",$A$4+183)</f>
        <v>46206</v>
      </c>
      <c r="N18342">
        <f>IF(M18342="","",'Master Barang'!A36)</f>
        <v>0</v>
      </c>
      <c r="O18342">
        <f>IF(N18342="","",'Master Barang'!B36)</f>
        <v>0</v>
      </c>
      <c r="P18342">
        <f>IF(OR(M18342="",N18342=""),"",SUMIFS('Barang Keluar'!$E:$E,'Barang Keluar'!$A:$A,M18342,'Barang Keluar'!$C:$C,N18342))</f>
        <v>0</v>
      </c>
    </row>
    <row r="18343" spans="13:16">
      <c r="M18343" s="49">
        <f>IF($A$4+183&gt;$B$4,"",$A$4+183)</f>
        <v>46206</v>
      </c>
      <c r="N18343">
        <f>IF(M18343="","",'Master Barang'!A37)</f>
        <v>0</v>
      </c>
      <c r="O18343">
        <f>IF(N18343="","",'Master Barang'!B37)</f>
        <v>0</v>
      </c>
      <c r="P18343">
        <f>IF(OR(M18343="",N18343=""),"",SUMIFS('Barang Keluar'!$E:$E,'Barang Keluar'!$A:$A,M18343,'Barang Keluar'!$C:$C,N18343))</f>
        <v>0</v>
      </c>
    </row>
    <row r="18344" spans="13:16">
      <c r="M18344" s="49">
        <f>IF($A$4+183&gt;$B$4,"",$A$4+183)</f>
        <v>46206</v>
      </c>
      <c r="N18344">
        <f>IF(M18344="","",'Master Barang'!A38)</f>
        <v>0</v>
      </c>
      <c r="O18344">
        <f>IF(N18344="","",'Master Barang'!B38)</f>
        <v>0</v>
      </c>
      <c r="P18344">
        <f>IF(OR(M18344="",N18344=""),"",SUMIFS('Barang Keluar'!$E:$E,'Barang Keluar'!$A:$A,M18344,'Barang Keluar'!$C:$C,N18344))</f>
        <v>0</v>
      </c>
    </row>
    <row r="18345" spans="13:16">
      <c r="M18345" s="49">
        <f>IF($A$4+183&gt;$B$4,"",$A$4+183)</f>
        <v>46206</v>
      </c>
      <c r="N18345">
        <f>IF(M18345="","",'Master Barang'!A39)</f>
        <v>0</v>
      </c>
      <c r="O18345">
        <f>IF(N18345="","",'Master Barang'!B39)</f>
        <v>0</v>
      </c>
      <c r="P18345">
        <f>IF(OR(M18345="",N18345=""),"",SUMIFS('Barang Keluar'!$E:$E,'Barang Keluar'!$A:$A,M18345,'Barang Keluar'!$C:$C,N18345))</f>
        <v>0</v>
      </c>
    </row>
    <row r="18346" spans="13:16">
      <c r="M18346" s="49">
        <f>IF($A$4+183&gt;$B$4,"",$A$4+183)</f>
        <v>46206</v>
      </c>
      <c r="N18346">
        <f>IF(M18346="","",'Master Barang'!A40)</f>
        <v>0</v>
      </c>
      <c r="O18346">
        <f>IF(N18346="","",'Master Barang'!B40)</f>
        <v>0</v>
      </c>
      <c r="P18346">
        <f>IF(OR(M18346="",N18346=""),"",SUMIFS('Barang Keluar'!$E:$E,'Barang Keluar'!$A:$A,M18346,'Barang Keluar'!$C:$C,N18346))</f>
        <v>0</v>
      </c>
    </row>
    <row r="18347" spans="13:16">
      <c r="M18347" s="49">
        <f>IF($A$4+183&gt;$B$4,"",$A$4+183)</f>
        <v>46206</v>
      </c>
      <c r="N18347">
        <f>IF(M18347="","",'Master Barang'!A41)</f>
        <v>0</v>
      </c>
      <c r="O18347">
        <f>IF(N18347="","",'Master Barang'!B41)</f>
        <v>0</v>
      </c>
      <c r="P18347">
        <f>IF(OR(M18347="",N18347=""),"",SUMIFS('Barang Keluar'!$E:$E,'Barang Keluar'!$A:$A,M18347,'Barang Keluar'!$C:$C,N18347))</f>
        <v>0</v>
      </c>
    </row>
    <row r="18348" spans="13:16">
      <c r="M18348" s="49">
        <f>IF($A$4+183&gt;$B$4,"",$A$4+183)</f>
        <v>46206</v>
      </c>
      <c r="N18348">
        <f>IF(M18348="","",'Master Barang'!A42)</f>
        <v>0</v>
      </c>
      <c r="O18348">
        <f>IF(N18348="","",'Master Barang'!B42)</f>
        <v>0</v>
      </c>
      <c r="P18348">
        <f>IF(OR(M18348="",N18348=""),"",SUMIFS('Barang Keluar'!$E:$E,'Barang Keluar'!$A:$A,M18348,'Barang Keluar'!$C:$C,N18348))</f>
        <v>0</v>
      </c>
    </row>
    <row r="18349" spans="13:16">
      <c r="M18349" s="49">
        <f>IF($A$4+183&gt;$B$4,"",$A$4+183)</f>
        <v>46206</v>
      </c>
      <c r="N18349">
        <f>IF(M18349="","",'Master Barang'!A43)</f>
        <v>0</v>
      </c>
      <c r="O18349">
        <f>IF(N18349="","",'Master Barang'!B43)</f>
        <v>0</v>
      </c>
      <c r="P18349">
        <f>IF(OR(M18349="",N18349=""),"",SUMIFS('Barang Keluar'!$E:$E,'Barang Keluar'!$A:$A,M18349,'Barang Keluar'!$C:$C,N18349))</f>
        <v>0</v>
      </c>
    </row>
    <row r="18350" spans="13:16">
      <c r="M18350" s="49">
        <f>IF($A$4+183&gt;$B$4,"",$A$4+183)</f>
        <v>46206</v>
      </c>
      <c r="N18350">
        <f>IF(M18350="","",'Master Barang'!A44)</f>
        <v>0</v>
      </c>
      <c r="O18350">
        <f>IF(N18350="","",'Master Barang'!B44)</f>
        <v>0</v>
      </c>
      <c r="P18350">
        <f>IF(OR(M18350="",N18350=""),"",SUMIFS('Barang Keluar'!$E:$E,'Barang Keluar'!$A:$A,M18350,'Barang Keluar'!$C:$C,N18350))</f>
        <v>0</v>
      </c>
    </row>
    <row r="18351" spans="13:16">
      <c r="M18351" s="49">
        <f>IF($A$4+183&gt;$B$4,"",$A$4+183)</f>
        <v>46206</v>
      </c>
      <c r="N18351">
        <f>IF(M18351="","",'Master Barang'!A45)</f>
        <v>0</v>
      </c>
      <c r="O18351">
        <f>IF(N18351="","",'Master Barang'!B45)</f>
        <v>0</v>
      </c>
      <c r="P18351">
        <f>IF(OR(M18351="",N18351=""),"",SUMIFS('Barang Keluar'!$E:$E,'Barang Keluar'!$A:$A,M18351,'Barang Keluar'!$C:$C,N18351))</f>
        <v>0</v>
      </c>
    </row>
    <row r="18352" spans="13:16">
      <c r="M18352" s="49">
        <f>IF($A$4+183&gt;$B$4,"",$A$4+183)</f>
        <v>46206</v>
      </c>
      <c r="N18352">
        <f>IF(M18352="","",'Master Barang'!A46)</f>
        <v>0</v>
      </c>
      <c r="O18352">
        <f>IF(N18352="","",'Master Barang'!B46)</f>
        <v>0</v>
      </c>
      <c r="P18352">
        <f>IF(OR(M18352="",N18352=""),"",SUMIFS('Barang Keluar'!$E:$E,'Barang Keluar'!$A:$A,M18352,'Barang Keluar'!$C:$C,N18352))</f>
        <v>0</v>
      </c>
    </row>
    <row r="18353" spans="13:16">
      <c r="M18353" s="49">
        <f>IF($A$4+183&gt;$B$4,"",$A$4+183)</f>
        <v>46206</v>
      </c>
      <c r="N18353">
        <f>IF(M18353="","",'Master Barang'!A47)</f>
        <v>0</v>
      </c>
      <c r="O18353">
        <f>IF(N18353="","",'Master Barang'!B47)</f>
        <v>0</v>
      </c>
      <c r="P18353">
        <f>IF(OR(M18353="",N18353=""),"",SUMIFS('Barang Keluar'!$E:$E,'Barang Keluar'!$A:$A,M18353,'Barang Keluar'!$C:$C,N18353))</f>
        <v>0</v>
      </c>
    </row>
    <row r="18354" spans="13:16">
      <c r="M18354" s="49">
        <f>IF($A$4+183&gt;$B$4,"",$A$4+183)</f>
        <v>46206</v>
      </c>
      <c r="N18354">
        <f>IF(M18354="","",'Master Barang'!A48)</f>
        <v>0</v>
      </c>
      <c r="O18354">
        <f>IF(N18354="","",'Master Barang'!B48)</f>
        <v>0</v>
      </c>
      <c r="P18354">
        <f>IF(OR(M18354="",N18354=""),"",SUMIFS('Barang Keluar'!$E:$E,'Barang Keluar'!$A:$A,M18354,'Barang Keluar'!$C:$C,N18354))</f>
        <v>0</v>
      </c>
    </row>
    <row r="18355" spans="13:16">
      <c r="M18355" s="49">
        <f>IF($A$4+183&gt;$B$4,"",$A$4+183)</f>
        <v>46206</v>
      </c>
      <c r="N18355">
        <f>IF(M18355="","",'Master Barang'!A49)</f>
        <v>0</v>
      </c>
      <c r="O18355">
        <f>IF(N18355="","",'Master Barang'!B49)</f>
        <v>0</v>
      </c>
      <c r="P18355">
        <f>IF(OR(M18355="",N18355=""),"",SUMIFS('Barang Keluar'!$E:$E,'Barang Keluar'!$A:$A,M18355,'Barang Keluar'!$C:$C,N18355))</f>
        <v>0</v>
      </c>
    </row>
    <row r="18356" spans="13:16">
      <c r="M18356" s="49">
        <f>IF($A$4+183&gt;$B$4,"",$A$4+183)</f>
        <v>46206</v>
      </c>
      <c r="N18356">
        <f>IF(M18356="","",'Master Barang'!A50)</f>
        <v>0</v>
      </c>
      <c r="O18356">
        <f>IF(N18356="","",'Master Barang'!B50)</f>
        <v>0</v>
      </c>
      <c r="P18356">
        <f>IF(OR(M18356="",N18356=""),"",SUMIFS('Barang Keluar'!$E:$E,'Barang Keluar'!$A:$A,M18356,'Barang Keluar'!$C:$C,N18356))</f>
        <v>0</v>
      </c>
    </row>
    <row r="18357" spans="13:16">
      <c r="M18357" s="49">
        <f>IF($A$4+183&gt;$B$4,"",$A$4+183)</f>
        <v>46206</v>
      </c>
      <c r="N18357">
        <f>IF(M18357="","",'Master Barang'!A51)</f>
        <v>0</v>
      </c>
      <c r="O18357">
        <f>IF(N18357="","",'Master Barang'!B51)</f>
        <v>0</v>
      </c>
      <c r="P18357">
        <f>IF(OR(M18357="",N18357=""),"",SUMIFS('Barang Keluar'!$E:$E,'Barang Keluar'!$A:$A,M18357,'Barang Keluar'!$C:$C,N18357))</f>
        <v>0</v>
      </c>
    </row>
    <row r="18358" spans="13:16">
      <c r="M18358" s="49">
        <f>IF($A$4+183&gt;$B$4,"",$A$4+183)</f>
        <v>46206</v>
      </c>
      <c r="N18358">
        <f>IF(M18358="","",'Master Barang'!A52)</f>
        <v>0</v>
      </c>
      <c r="O18358">
        <f>IF(N18358="","",'Master Barang'!B52)</f>
        <v>0</v>
      </c>
      <c r="P18358">
        <f>IF(OR(M18358="",N18358=""),"",SUMIFS('Barang Keluar'!$E:$E,'Barang Keluar'!$A:$A,M18358,'Barang Keluar'!$C:$C,N18358))</f>
        <v>0</v>
      </c>
    </row>
    <row r="18359" spans="13:16">
      <c r="M18359" s="49">
        <f>IF($A$4+183&gt;$B$4,"",$A$4+183)</f>
        <v>46206</v>
      </c>
      <c r="N18359">
        <f>IF(M18359="","",'Master Barang'!A53)</f>
        <v>0</v>
      </c>
      <c r="O18359">
        <f>IF(N18359="","",'Master Barang'!B53)</f>
        <v>0</v>
      </c>
      <c r="P18359">
        <f>IF(OR(M18359="",N18359=""),"",SUMIFS('Barang Keluar'!$E:$E,'Barang Keluar'!$A:$A,M18359,'Barang Keluar'!$C:$C,N18359))</f>
        <v>0</v>
      </c>
    </row>
    <row r="18360" spans="13:16">
      <c r="M18360" s="49">
        <f>IF($A$4+183&gt;$B$4,"",$A$4+183)</f>
        <v>46206</v>
      </c>
      <c r="N18360">
        <f>IF(M18360="","",'Master Barang'!A54)</f>
        <v>0</v>
      </c>
      <c r="O18360">
        <f>IF(N18360="","",'Master Barang'!B54)</f>
        <v>0</v>
      </c>
      <c r="P18360">
        <f>IF(OR(M18360="",N18360=""),"",SUMIFS('Barang Keluar'!$E:$E,'Barang Keluar'!$A:$A,M18360,'Barang Keluar'!$C:$C,N18360))</f>
        <v>0</v>
      </c>
    </row>
    <row r="18361" spans="13:16">
      <c r="M18361" s="49">
        <f>IF($A$4+183&gt;$B$4,"",$A$4+183)</f>
        <v>46206</v>
      </c>
      <c r="N18361">
        <f>IF(M18361="","",'Master Barang'!A55)</f>
        <v>0</v>
      </c>
      <c r="O18361">
        <f>IF(N18361="","",'Master Barang'!B55)</f>
        <v>0</v>
      </c>
      <c r="P18361">
        <f>IF(OR(M18361="",N18361=""),"",SUMIFS('Barang Keluar'!$E:$E,'Barang Keluar'!$A:$A,M18361,'Barang Keluar'!$C:$C,N18361))</f>
        <v>0</v>
      </c>
    </row>
    <row r="18362" spans="13:16">
      <c r="M18362" s="49">
        <f>IF($A$4+183&gt;$B$4,"",$A$4+183)</f>
        <v>46206</v>
      </c>
      <c r="N18362">
        <f>IF(M18362="","",'Master Barang'!A56)</f>
        <v>0</v>
      </c>
      <c r="O18362">
        <f>IF(N18362="","",'Master Barang'!B56)</f>
        <v>0</v>
      </c>
      <c r="P18362">
        <f>IF(OR(M18362="",N18362=""),"",SUMIFS('Barang Keluar'!$E:$E,'Barang Keluar'!$A:$A,M18362,'Barang Keluar'!$C:$C,N18362))</f>
        <v>0</v>
      </c>
    </row>
    <row r="18363" spans="13:16">
      <c r="M18363" s="49">
        <f>IF($A$4+183&gt;$B$4,"",$A$4+183)</f>
        <v>46206</v>
      </c>
      <c r="N18363">
        <f>IF(M18363="","",'Master Barang'!A57)</f>
        <v>0</v>
      </c>
      <c r="O18363">
        <f>IF(N18363="","",'Master Barang'!B57)</f>
        <v>0</v>
      </c>
      <c r="P18363">
        <f>IF(OR(M18363="",N18363=""),"",SUMIFS('Barang Keluar'!$E:$E,'Barang Keluar'!$A:$A,M18363,'Barang Keluar'!$C:$C,N18363))</f>
        <v>0</v>
      </c>
    </row>
    <row r="18364" spans="13:16">
      <c r="M18364" s="49">
        <f>IF($A$4+183&gt;$B$4,"",$A$4+183)</f>
        <v>46206</v>
      </c>
      <c r="N18364">
        <f>IF(M18364="","",'Master Barang'!A58)</f>
        <v>0</v>
      </c>
      <c r="O18364">
        <f>IF(N18364="","",'Master Barang'!B58)</f>
        <v>0</v>
      </c>
      <c r="P18364">
        <f>IF(OR(M18364="",N18364=""),"",SUMIFS('Barang Keluar'!$E:$E,'Barang Keluar'!$A:$A,M18364,'Barang Keluar'!$C:$C,N18364))</f>
        <v>0</v>
      </c>
    </row>
    <row r="18365" spans="13:16">
      <c r="M18365" s="49">
        <f>IF($A$4+183&gt;$B$4,"",$A$4+183)</f>
        <v>46206</v>
      </c>
      <c r="N18365">
        <f>IF(M18365="","",'Master Barang'!A59)</f>
        <v>0</v>
      </c>
      <c r="O18365">
        <f>IF(N18365="","",'Master Barang'!B59)</f>
        <v>0</v>
      </c>
      <c r="P18365">
        <f>IF(OR(M18365="",N18365=""),"",SUMIFS('Barang Keluar'!$E:$E,'Barang Keluar'!$A:$A,M18365,'Barang Keluar'!$C:$C,N18365))</f>
        <v>0</v>
      </c>
    </row>
    <row r="18366" spans="13:16">
      <c r="M18366" s="49">
        <f>IF($A$4+183&gt;$B$4,"",$A$4+183)</f>
        <v>46206</v>
      </c>
      <c r="N18366">
        <f>IF(M18366="","",'Master Barang'!A60)</f>
        <v>0</v>
      </c>
      <c r="O18366">
        <f>IF(N18366="","",'Master Barang'!B60)</f>
        <v>0</v>
      </c>
      <c r="P18366">
        <f>IF(OR(M18366="",N18366=""),"",SUMIFS('Barang Keluar'!$E:$E,'Barang Keluar'!$A:$A,M18366,'Barang Keluar'!$C:$C,N18366))</f>
        <v>0</v>
      </c>
    </row>
    <row r="18367" spans="13:16">
      <c r="M18367" s="49">
        <f>IF($A$4+183&gt;$B$4,"",$A$4+183)</f>
        <v>46206</v>
      </c>
      <c r="N18367">
        <f>IF(M18367="","",'Master Barang'!A61)</f>
        <v>0</v>
      </c>
      <c r="O18367">
        <f>IF(N18367="","",'Master Barang'!B61)</f>
        <v>0</v>
      </c>
      <c r="P18367">
        <f>IF(OR(M18367="",N18367=""),"",SUMIFS('Barang Keluar'!$E:$E,'Barang Keluar'!$A:$A,M18367,'Barang Keluar'!$C:$C,N18367))</f>
        <v>0</v>
      </c>
    </row>
    <row r="18368" spans="13:16">
      <c r="M18368" s="49">
        <f>IF($A$4+183&gt;$B$4,"",$A$4+183)</f>
        <v>46206</v>
      </c>
      <c r="N18368">
        <f>IF(M18368="","",'Master Barang'!A62)</f>
        <v>0</v>
      </c>
      <c r="O18368">
        <f>IF(N18368="","",'Master Barang'!B62)</f>
        <v>0</v>
      </c>
      <c r="P18368">
        <f>IF(OR(M18368="",N18368=""),"",SUMIFS('Barang Keluar'!$E:$E,'Barang Keluar'!$A:$A,M18368,'Barang Keluar'!$C:$C,N18368))</f>
        <v>0</v>
      </c>
    </row>
    <row r="18369" spans="13:16">
      <c r="M18369" s="49">
        <f>IF($A$4+183&gt;$B$4,"",$A$4+183)</f>
        <v>46206</v>
      </c>
      <c r="N18369">
        <f>IF(M18369="","",'Master Barang'!A63)</f>
        <v>0</v>
      </c>
      <c r="O18369">
        <f>IF(N18369="","",'Master Barang'!B63)</f>
        <v>0</v>
      </c>
      <c r="P18369">
        <f>IF(OR(M18369="",N18369=""),"",SUMIFS('Barang Keluar'!$E:$E,'Barang Keluar'!$A:$A,M18369,'Barang Keluar'!$C:$C,N18369))</f>
        <v>0</v>
      </c>
    </row>
    <row r="18370" spans="13:16">
      <c r="M18370" s="49">
        <f>IF($A$4+183&gt;$B$4,"",$A$4+183)</f>
        <v>46206</v>
      </c>
      <c r="N18370">
        <f>IF(M18370="","",'Master Barang'!A64)</f>
        <v>0</v>
      </c>
      <c r="O18370">
        <f>IF(N18370="","",'Master Barang'!B64)</f>
        <v>0</v>
      </c>
      <c r="P18370">
        <f>IF(OR(M18370="",N18370=""),"",SUMIFS('Barang Keluar'!$E:$E,'Barang Keluar'!$A:$A,M18370,'Barang Keluar'!$C:$C,N18370))</f>
        <v>0</v>
      </c>
    </row>
    <row r="18371" spans="13:16">
      <c r="M18371" s="49">
        <f>IF($A$4+183&gt;$B$4,"",$A$4+183)</f>
        <v>46206</v>
      </c>
      <c r="N18371">
        <f>IF(M18371="","",'Master Barang'!A65)</f>
        <v>0</v>
      </c>
      <c r="O18371">
        <f>IF(N18371="","",'Master Barang'!B65)</f>
        <v>0</v>
      </c>
      <c r="P18371">
        <f>IF(OR(M18371="",N18371=""),"",SUMIFS('Barang Keluar'!$E:$E,'Barang Keluar'!$A:$A,M18371,'Barang Keluar'!$C:$C,N18371))</f>
        <v>0</v>
      </c>
    </row>
    <row r="18372" spans="13:16">
      <c r="M18372" s="49">
        <f>IF($A$4+183&gt;$B$4,"",$A$4+183)</f>
        <v>46206</v>
      </c>
      <c r="N18372">
        <f>IF(M18372="","",'Master Barang'!A66)</f>
        <v>0</v>
      </c>
      <c r="O18372">
        <f>IF(N18372="","",'Master Barang'!B66)</f>
        <v>0</v>
      </c>
      <c r="P18372">
        <f>IF(OR(M18372="",N18372=""),"",SUMIFS('Barang Keluar'!$E:$E,'Barang Keluar'!$A:$A,M18372,'Barang Keluar'!$C:$C,N18372))</f>
        <v>0</v>
      </c>
    </row>
    <row r="18373" spans="13:16">
      <c r="M18373" s="49">
        <f>IF($A$4+183&gt;$B$4,"",$A$4+183)</f>
        <v>46206</v>
      </c>
      <c r="N18373">
        <f>IF(M18373="","",'Master Barang'!A67)</f>
        <v>0</v>
      </c>
      <c r="O18373">
        <f>IF(N18373="","",'Master Barang'!B67)</f>
        <v>0</v>
      </c>
      <c r="P18373">
        <f>IF(OR(M18373="",N18373=""),"",SUMIFS('Barang Keluar'!$E:$E,'Barang Keluar'!$A:$A,M18373,'Barang Keluar'!$C:$C,N18373))</f>
        <v>0</v>
      </c>
    </row>
    <row r="18374" spans="13:16">
      <c r="M18374" s="49">
        <f>IF($A$4+183&gt;$B$4,"",$A$4+183)</f>
        <v>46206</v>
      </c>
      <c r="N18374">
        <f>IF(M18374="","",'Master Barang'!A68)</f>
        <v>0</v>
      </c>
      <c r="O18374">
        <f>IF(N18374="","",'Master Barang'!B68)</f>
        <v>0</v>
      </c>
      <c r="P18374">
        <f>IF(OR(M18374="",N18374=""),"",SUMIFS('Barang Keluar'!$E:$E,'Barang Keluar'!$A:$A,M18374,'Barang Keluar'!$C:$C,N18374))</f>
        <v>0</v>
      </c>
    </row>
    <row r="18375" spans="13:16">
      <c r="M18375" s="49">
        <f>IF($A$4+183&gt;$B$4,"",$A$4+183)</f>
        <v>46206</v>
      </c>
      <c r="N18375">
        <f>IF(M18375="","",'Master Barang'!A69)</f>
        <v>0</v>
      </c>
      <c r="O18375">
        <f>IF(N18375="","",'Master Barang'!B69)</f>
        <v>0</v>
      </c>
      <c r="P18375">
        <f>IF(OR(M18375="",N18375=""),"",SUMIFS('Barang Keluar'!$E:$E,'Barang Keluar'!$A:$A,M18375,'Barang Keluar'!$C:$C,N18375))</f>
        <v>0</v>
      </c>
    </row>
    <row r="18376" spans="13:16">
      <c r="M18376" s="49">
        <f>IF($A$4+183&gt;$B$4,"",$A$4+183)</f>
        <v>46206</v>
      </c>
      <c r="N18376">
        <f>IF(M18376="","",'Master Barang'!A70)</f>
        <v>0</v>
      </c>
      <c r="O18376">
        <f>IF(N18376="","",'Master Barang'!B70)</f>
        <v>0</v>
      </c>
      <c r="P18376">
        <f>IF(OR(M18376="",N18376=""),"",SUMIFS('Barang Keluar'!$E:$E,'Barang Keluar'!$A:$A,M18376,'Barang Keluar'!$C:$C,N18376))</f>
        <v>0</v>
      </c>
    </row>
    <row r="18377" spans="13:16">
      <c r="M18377" s="49">
        <f>IF($A$4+183&gt;$B$4,"",$A$4+183)</f>
        <v>46206</v>
      </c>
      <c r="N18377">
        <f>IF(M18377="","",'Master Barang'!A71)</f>
        <v>0</v>
      </c>
      <c r="O18377">
        <f>IF(N18377="","",'Master Barang'!B71)</f>
        <v>0</v>
      </c>
      <c r="P18377">
        <f>IF(OR(M18377="",N18377=""),"",SUMIFS('Barang Keluar'!$E:$E,'Barang Keluar'!$A:$A,M18377,'Barang Keluar'!$C:$C,N18377))</f>
        <v>0</v>
      </c>
    </row>
    <row r="18378" spans="13:16">
      <c r="M18378" s="49">
        <f>IF($A$4+183&gt;$B$4,"",$A$4+183)</f>
        <v>46206</v>
      </c>
      <c r="N18378">
        <f>IF(M18378="","",'Master Barang'!A72)</f>
        <v>0</v>
      </c>
      <c r="O18378">
        <f>IF(N18378="","",'Master Barang'!B72)</f>
        <v>0</v>
      </c>
      <c r="P18378">
        <f>IF(OR(M18378="",N18378=""),"",SUMIFS('Barang Keluar'!$E:$E,'Barang Keluar'!$A:$A,M18378,'Barang Keluar'!$C:$C,N18378))</f>
        <v>0</v>
      </c>
    </row>
    <row r="18379" spans="13:16">
      <c r="M18379" s="49">
        <f>IF($A$4+183&gt;$B$4,"",$A$4+183)</f>
        <v>46206</v>
      </c>
      <c r="N18379">
        <f>IF(M18379="","",'Master Barang'!A73)</f>
        <v>0</v>
      </c>
      <c r="O18379">
        <f>IF(N18379="","",'Master Barang'!B73)</f>
        <v>0</v>
      </c>
      <c r="P18379">
        <f>IF(OR(M18379="",N18379=""),"",SUMIFS('Barang Keluar'!$E:$E,'Barang Keluar'!$A:$A,M18379,'Barang Keluar'!$C:$C,N18379))</f>
        <v>0</v>
      </c>
    </row>
    <row r="18380" spans="13:16">
      <c r="M18380" s="49">
        <f>IF($A$4+183&gt;$B$4,"",$A$4+183)</f>
        <v>46206</v>
      </c>
      <c r="N18380">
        <f>IF(M18380="","",'Master Barang'!A74)</f>
        <v>0</v>
      </c>
      <c r="O18380">
        <f>IF(N18380="","",'Master Barang'!B74)</f>
        <v>0</v>
      </c>
      <c r="P18380">
        <f>IF(OR(M18380="",N18380=""),"",SUMIFS('Barang Keluar'!$E:$E,'Barang Keluar'!$A:$A,M18380,'Barang Keluar'!$C:$C,N18380))</f>
        <v>0</v>
      </c>
    </row>
    <row r="18381" spans="13:16">
      <c r="M18381" s="49">
        <f>IF($A$4+183&gt;$B$4,"",$A$4+183)</f>
        <v>46206</v>
      </c>
      <c r="N18381">
        <f>IF(M18381="","",'Master Barang'!A75)</f>
        <v>0</v>
      </c>
      <c r="O18381">
        <f>IF(N18381="","",'Master Barang'!B75)</f>
        <v>0</v>
      </c>
      <c r="P18381">
        <f>IF(OR(M18381="",N18381=""),"",SUMIFS('Barang Keluar'!$E:$E,'Barang Keluar'!$A:$A,M18381,'Barang Keluar'!$C:$C,N18381))</f>
        <v>0</v>
      </c>
    </row>
    <row r="18382" spans="13:16">
      <c r="M18382" s="49">
        <f>IF($A$4+183&gt;$B$4,"",$A$4+183)</f>
        <v>46206</v>
      </c>
      <c r="N18382">
        <f>IF(M18382="","",'Master Barang'!A76)</f>
        <v>0</v>
      </c>
      <c r="O18382">
        <f>IF(N18382="","",'Master Barang'!B76)</f>
        <v>0</v>
      </c>
      <c r="P18382">
        <f>IF(OR(M18382="",N18382=""),"",SUMIFS('Barang Keluar'!$E:$E,'Barang Keluar'!$A:$A,M18382,'Barang Keluar'!$C:$C,N18382))</f>
        <v>0</v>
      </c>
    </row>
    <row r="18383" spans="13:16">
      <c r="M18383" s="49">
        <f>IF($A$4+183&gt;$B$4,"",$A$4+183)</f>
        <v>46206</v>
      </c>
      <c r="N18383">
        <f>IF(M18383="","",'Master Barang'!A77)</f>
        <v>0</v>
      </c>
      <c r="O18383">
        <f>IF(N18383="","",'Master Barang'!B77)</f>
        <v>0</v>
      </c>
      <c r="P18383">
        <f>IF(OR(M18383="",N18383=""),"",SUMIFS('Barang Keluar'!$E:$E,'Barang Keluar'!$A:$A,M18383,'Barang Keluar'!$C:$C,N18383))</f>
        <v>0</v>
      </c>
    </row>
    <row r="18384" spans="13:16">
      <c r="M18384" s="49">
        <f>IF($A$4+183&gt;$B$4,"",$A$4+183)</f>
        <v>46206</v>
      </c>
      <c r="N18384">
        <f>IF(M18384="","",'Master Barang'!A78)</f>
        <v>0</v>
      </c>
      <c r="O18384">
        <f>IF(N18384="","",'Master Barang'!B78)</f>
        <v>0</v>
      </c>
      <c r="P18384">
        <f>IF(OR(M18384="",N18384=""),"",SUMIFS('Barang Keluar'!$E:$E,'Barang Keluar'!$A:$A,M18384,'Barang Keluar'!$C:$C,N18384))</f>
        <v>0</v>
      </c>
    </row>
    <row r="18385" spans="13:16">
      <c r="M18385" s="49">
        <f>IF($A$4+183&gt;$B$4,"",$A$4+183)</f>
        <v>46206</v>
      </c>
      <c r="N18385">
        <f>IF(M18385="","",'Master Barang'!A79)</f>
        <v>0</v>
      </c>
      <c r="O18385">
        <f>IF(N18385="","",'Master Barang'!B79)</f>
        <v>0</v>
      </c>
      <c r="P18385">
        <f>IF(OR(M18385="",N18385=""),"",SUMIFS('Barang Keluar'!$E:$E,'Barang Keluar'!$A:$A,M18385,'Barang Keluar'!$C:$C,N18385))</f>
        <v>0</v>
      </c>
    </row>
    <row r="18386" spans="13:16">
      <c r="M18386" s="49">
        <f>IF($A$4+183&gt;$B$4,"",$A$4+183)</f>
        <v>46206</v>
      </c>
      <c r="N18386">
        <f>IF(M18386="","",'Master Barang'!A80)</f>
        <v>0</v>
      </c>
      <c r="O18386">
        <f>IF(N18386="","",'Master Barang'!B80)</f>
        <v>0</v>
      </c>
      <c r="P18386">
        <f>IF(OR(M18386="",N18386=""),"",SUMIFS('Barang Keluar'!$E:$E,'Barang Keluar'!$A:$A,M18386,'Barang Keluar'!$C:$C,N18386))</f>
        <v>0</v>
      </c>
    </row>
    <row r="18387" spans="13:16">
      <c r="M18387" s="49">
        <f>IF($A$4+183&gt;$B$4,"",$A$4+183)</f>
        <v>46206</v>
      </c>
      <c r="N18387">
        <f>IF(M18387="","",'Master Barang'!A81)</f>
        <v>0</v>
      </c>
      <c r="O18387">
        <f>IF(N18387="","",'Master Barang'!B81)</f>
        <v>0</v>
      </c>
      <c r="P18387">
        <f>IF(OR(M18387="",N18387=""),"",SUMIFS('Barang Keluar'!$E:$E,'Barang Keluar'!$A:$A,M18387,'Barang Keluar'!$C:$C,N18387))</f>
        <v>0</v>
      </c>
    </row>
    <row r="18388" spans="13:16">
      <c r="M18388" s="49">
        <f>IF($A$4+183&gt;$B$4,"",$A$4+183)</f>
        <v>46206</v>
      </c>
      <c r="N18388">
        <f>IF(M18388="","",'Master Barang'!A82)</f>
        <v>0</v>
      </c>
      <c r="O18388">
        <f>IF(N18388="","",'Master Barang'!B82)</f>
        <v>0</v>
      </c>
      <c r="P18388">
        <f>IF(OR(M18388="",N18388=""),"",SUMIFS('Barang Keluar'!$E:$E,'Barang Keluar'!$A:$A,M18388,'Barang Keluar'!$C:$C,N18388))</f>
        <v>0</v>
      </c>
    </row>
    <row r="18389" spans="13:16">
      <c r="M18389" s="49">
        <f>IF($A$4+183&gt;$B$4,"",$A$4+183)</f>
        <v>46206</v>
      </c>
      <c r="N18389">
        <f>IF(M18389="","",'Master Barang'!A83)</f>
        <v>0</v>
      </c>
      <c r="O18389">
        <f>IF(N18389="","",'Master Barang'!B83)</f>
        <v>0</v>
      </c>
      <c r="P18389">
        <f>IF(OR(M18389="",N18389=""),"",SUMIFS('Barang Keluar'!$E:$E,'Barang Keluar'!$A:$A,M18389,'Barang Keluar'!$C:$C,N18389))</f>
        <v>0</v>
      </c>
    </row>
    <row r="18390" spans="13:16">
      <c r="M18390" s="49">
        <f>IF($A$4+183&gt;$B$4,"",$A$4+183)</f>
        <v>46206</v>
      </c>
      <c r="N18390">
        <f>IF(M18390="","",'Master Barang'!A84)</f>
        <v>0</v>
      </c>
      <c r="O18390">
        <f>IF(N18390="","",'Master Barang'!B84)</f>
        <v>0</v>
      </c>
      <c r="P18390">
        <f>IF(OR(M18390="",N18390=""),"",SUMIFS('Barang Keluar'!$E:$E,'Barang Keluar'!$A:$A,M18390,'Barang Keluar'!$C:$C,N18390))</f>
        <v>0</v>
      </c>
    </row>
    <row r="18391" spans="13:16">
      <c r="M18391" s="49">
        <f>IF($A$4+183&gt;$B$4,"",$A$4+183)</f>
        <v>46206</v>
      </c>
      <c r="N18391">
        <f>IF(M18391="","",'Master Barang'!A85)</f>
        <v>0</v>
      </c>
      <c r="O18391">
        <f>IF(N18391="","",'Master Barang'!B85)</f>
        <v>0</v>
      </c>
      <c r="P18391">
        <f>IF(OR(M18391="",N18391=""),"",SUMIFS('Barang Keluar'!$E:$E,'Barang Keluar'!$A:$A,M18391,'Barang Keluar'!$C:$C,N18391))</f>
        <v>0</v>
      </c>
    </row>
    <row r="18392" spans="13:16">
      <c r="M18392" s="49">
        <f>IF($A$4+183&gt;$B$4,"",$A$4+183)</f>
        <v>46206</v>
      </c>
      <c r="N18392">
        <f>IF(M18392="","",'Master Barang'!A86)</f>
        <v>0</v>
      </c>
      <c r="O18392">
        <f>IF(N18392="","",'Master Barang'!B86)</f>
        <v>0</v>
      </c>
      <c r="P18392">
        <f>IF(OR(M18392="",N18392=""),"",SUMIFS('Barang Keluar'!$E:$E,'Barang Keluar'!$A:$A,M18392,'Barang Keluar'!$C:$C,N18392))</f>
        <v>0</v>
      </c>
    </row>
    <row r="18393" spans="13:16">
      <c r="M18393" s="49">
        <f>IF($A$4+183&gt;$B$4,"",$A$4+183)</f>
        <v>46206</v>
      </c>
      <c r="N18393">
        <f>IF(M18393="","",'Master Barang'!A87)</f>
        <v>0</v>
      </c>
      <c r="O18393">
        <f>IF(N18393="","",'Master Barang'!B87)</f>
        <v>0</v>
      </c>
      <c r="P18393">
        <f>IF(OR(M18393="",N18393=""),"",SUMIFS('Barang Keluar'!$E:$E,'Barang Keluar'!$A:$A,M18393,'Barang Keluar'!$C:$C,N18393))</f>
        <v>0</v>
      </c>
    </row>
    <row r="18394" spans="13:16">
      <c r="M18394" s="49">
        <f>IF($A$4+183&gt;$B$4,"",$A$4+183)</f>
        <v>46206</v>
      </c>
      <c r="N18394">
        <f>IF(M18394="","",'Master Barang'!A88)</f>
        <v>0</v>
      </c>
      <c r="O18394">
        <f>IF(N18394="","",'Master Barang'!B88)</f>
        <v>0</v>
      </c>
      <c r="P18394">
        <f>IF(OR(M18394="",N18394=""),"",SUMIFS('Barang Keluar'!$E:$E,'Barang Keluar'!$A:$A,M18394,'Barang Keluar'!$C:$C,N18394))</f>
        <v>0</v>
      </c>
    </row>
    <row r="18395" spans="13:16">
      <c r="M18395" s="49">
        <f>IF($A$4+183&gt;$B$4,"",$A$4+183)</f>
        <v>46206</v>
      </c>
      <c r="N18395">
        <f>IF(M18395="","",'Master Barang'!A89)</f>
        <v>0</v>
      </c>
      <c r="O18395">
        <f>IF(N18395="","",'Master Barang'!B89)</f>
        <v>0</v>
      </c>
      <c r="P18395">
        <f>IF(OR(M18395="",N18395=""),"",SUMIFS('Barang Keluar'!$E:$E,'Barang Keluar'!$A:$A,M18395,'Barang Keluar'!$C:$C,N18395))</f>
        <v>0</v>
      </c>
    </row>
    <row r="18396" spans="13:16">
      <c r="M18396" s="49">
        <f>IF($A$4+183&gt;$B$4,"",$A$4+183)</f>
        <v>46206</v>
      </c>
      <c r="N18396">
        <f>IF(M18396="","",'Master Barang'!A90)</f>
        <v>0</v>
      </c>
      <c r="O18396">
        <f>IF(N18396="","",'Master Barang'!B90)</f>
        <v>0</v>
      </c>
      <c r="P18396">
        <f>IF(OR(M18396="",N18396=""),"",SUMIFS('Barang Keluar'!$E:$E,'Barang Keluar'!$A:$A,M18396,'Barang Keluar'!$C:$C,N18396))</f>
        <v>0</v>
      </c>
    </row>
    <row r="18397" spans="13:16">
      <c r="M18397" s="49">
        <f>IF($A$4+183&gt;$B$4,"",$A$4+183)</f>
        <v>46206</v>
      </c>
      <c r="N18397">
        <f>IF(M18397="","",'Master Barang'!A91)</f>
        <v>0</v>
      </c>
      <c r="O18397">
        <f>IF(N18397="","",'Master Barang'!B91)</f>
        <v>0</v>
      </c>
      <c r="P18397">
        <f>IF(OR(M18397="",N18397=""),"",SUMIFS('Barang Keluar'!$E:$E,'Barang Keluar'!$A:$A,M18397,'Barang Keluar'!$C:$C,N18397))</f>
        <v>0</v>
      </c>
    </row>
    <row r="18398" spans="13:16">
      <c r="M18398" s="49">
        <f>IF($A$4+183&gt;$B$4,"",$A$4+183)</f>
        <v>46206</v>
      </c>
      <c r="N18398">
        <f>IF(M18398="","",'Master Barang'!A92)</f>
        <v>0</v>
      </c>
      <c r="O18398">
        <f>IF(N18398="","",'Master Barang'!B92)</f>
        <v>0</v>
      </c>
      <c r="P18398">
        <f>IF(OR(M18398="",N18398=""),"",SUMIFS('Barang Keluar'!$E:$E,'Barang Keluar'!$A:$A,M18398,'Barang Keluar'!$C:$C,N18398))</f>
        <v>0</v>
      </c>
    </row>
    <row r="18399" spans="13:16">
      <c r="M18399" s="49">
        <f>IF($A$4+183&gt;$B$4,"",$A$4+183)</f>
        <v>46206</v>
      </c>
      <c r="N18399">
        <f>IF(M18399="","",'Master Barang'!A93)</f>
        <v>0</v>
      </c>
      <c r="O18399">
        <f>IF(N18399="","",'Master Barang'!B93)</f>
        <v>0</v>
      </c>
      <c r="P18399">
        <f>IF(OR(M18399="",N18399=""),"",SUMIFS('Barang Keluar'!$E:$E,'Barang Keluar'!$A:$A,M18399,'Barang Keluar'!$C:$C,N18399))</f>
        <v>0</v>
      </c>
    </row>
    <row r="18400" spans="13:16">
      <c r="M18400" s="49">
        <f>IF($A$4+183&gt;$B$4,"",$A$4+183)</f>
        <v>46206</v>
      </c>
      <c r="N18400">
        <f>IF(M18400="","",'Master Barang'!A94)</f>
        <v>0</v>
      </c>
      <c r="O18400">
        <f>IF(N18400="","",'Master Barang'!B94)</f>
        <v>0</v>
      </c>
      <c r="P18400">
        <f>IF(OR(M18400="",N18400=""),"",SUMIFS('Barang Keluar'!$E:$E,'Barang Keluar'!$A:$A,M18400,'Barang Keluar'!$C:$C,N18400))</f>
        <v>0</v>
      </c>
    </row>
    <row r="18401" spans="13:16">
      <c r="M18401" s="49">
        <f>IF($A$4+183&gt;$B$4,"",$A$4+183)</f>
        <v>46206</v>
      </c>
      <c r="N18401">
        <f>IF(M18401="","",'Master Barang'!A95)</f>
        <v>0</v>
      </c>
      <c r="O18401">
        <f>IF(N18401="","",'Master Barang'!B95)</f>
        <v>0</v>
      </c>
      <c r="P18401">
        <f>IF(OR(M18401="",N18401=""),"",SUMIFS('Barang Keluar'!$E:$E,'Barang Keluar'!$A:$A,M18401,'Barang Keluar'!$C:$C,N18401))</f>
        <v>0</v>
      </c>
    </row>
    <row r="18402" spans="13:16">
      <c r="M18402" s="49">
        <f>IF($A$4+183&gt;$B$4,"",$A$4+183)</f>
        <v>46206</v>
      </c>
      <c r="N18402">
        <f>IF(M18402="","",'Master Barang'!A96)</f>
        <v>0</v>
      </c>
      <c r="O18402">
        <f>IF(N18402="","",'Master Barang'!B96)</f>
        <v>0</v>
      </c>
      <c r="P18402">
        <f>IF(OR(M18402="",N18402=""),"",SUMIFS('Barang Keluar'!$E:$E,'Barang Keluar'!$A:$A,M18402,'Barang Keluar'!$C:$C,N18402))</f>
        <v>0</v>
      </c>
    </row>
    <row r="18403" spans="13:16">
      <c r="M18403" s="49">
        <f>IF($A$4+183&gt;$B$4,"",$A$4+183)</f>
        <v>46206</v>
      </c>
      <c r="N18403">
        <f>IF(M18403="","",'Master Barang'!A97)</f>
        <v>0</v>
      </c>
      <c r="O18403">
        <f>IF(N18403="","",'Master Barang'!B97)</f>
        <v>0</v>
      </c>
      <c r="P18403">
        <f>IF(OR(M18403="",N18403=""),"",SUMIFS('Barang Keluar'!$E:$E,'Barang Keluar'!$A:$A,M18403,'Barang Keluar'!$C:$C,N18403))</f>
        <v>0</v>
      </c>
    </row>
    <row r="18404" spans="13:16">
      <c r="M18404" s="49">
        <f>IF($A$4+183&gt;$B$4,"",$A$4+183)</f>
        <v>46206</v>
      </c>
      <c r="N18404">
        <f>IF(M18404="","",'Master Barang'!A98)</f>
        <v>0</v>
      </c>
      <c r="O18404">
        <f>IF(N18404="","",'Master Barang'!B98)</f>
        <v>0</v>
      </c>
      <c r="P18404">
        <f>IF(OR(M18404="",N18404=""),"",SUMIFS('Barang Keluar'!$E:$E,'Barang Keluar'!$A:$A,M18404,'Barang Keluar'!$C:$C,N18404))</f>
        <v>0</v>
      </c>
    </row>
    <row r="18405" spans="13:16">
      <c r="M18405" s="49">
        <f>IF($A$4+183&gt;$B$4,"",$A$4+183)</f>
        <v>46206</v>
      </c>
      <c r="N18405">
        <f>IF(M18405="","",'Master Barang'!A99)</f>
        <v>0</v>
      </c>
      <c r="O18405">
        <f>IF(N18405="","",'Master Barang'!B99)</f>
        <v>0</v>
      </c>
      <c r="P18405">
        <f>IF(OR(M18405="",N18405=""),"",SUMIFS('Barang Keluar'!$E:$E,'Barang Keluar'!$A:$A,M18405,'Barang Keluar'!$C:$C,N18405))</f>
        <v>0</v>
      </c>
    </row>
    <row r="18406" spans="13:16">
      <c r="M18406" s="49">
        <f>IF($A$4+183&gt;$B$4,"",$A$4+183)</f>
        <v>46206</v>
      </c>
      <c r="N18406">
        <f>IF(M18406="","",'Master Barang'!A100)</f>
        <v>0</v>
      </c>
      <c r="O18406">
        <f>IF(N18406="","",'Master Barang'!B100)</f>
        <v>0</v>
      </c>
      <c r="P18406">
        <f>IF(OR(M18406="",N18406=""),"",SUMIFS('Barang Keluar'!$E:$E,'Barang Keluar'!$A:$A,M18406,'Barang Keluar'!$C:$C,N18406))</f>
        <v>0</v>
      </c>
    </row>
    <row r="18407" spans="13:16">
      <c r="M18407" s="49">
        <f>IF($A$4+183&gt;$B$4,"",$A$4+183)</f>
        <v>46206</v>
      </c>
      <c r="N18407">
        <f>IF(M18407="","",'Master Barang'!A101)</f>
        <v>0</v>
      </c>
      <c r="O18407">
        <f>IF(N18407="","",'Master Barang'!B101)</f>
        <v>0</v>
      </c>
      <c r="P18407">
        <f>IF(OR(M18407="",N18407=""),"",SUMIFS('Barang Keluar'!$E:$E,'Barang Keluar'!$A:$A,M18407,'Barang Keluar'!$C:$C,N18407))</f>
        <v>0</v>
      </c>
    </row>
    <row r="18408" spans="13:16">
      <c r="M18408" s="49">
        <f>IF($A$4+184&gt;$B$4,"",$A$4+184)</f>
        <v>46207</v>
      </c>
      <c r="N18408" t="str">
        <f>IF(M18408="","",'Master Barang'!A2)</f>
        <v>PRL-001</v>
      </c>
      <c r="O18408" t="str">
        <f>IF(N18408="","",'Master Barang'!B2)</f>
        <v>natura desinfectant food grade 5l</v>
      </c>
      <c r="P18408">
        <f>IF(OR(M18408="",N18408=""),"",SUMIFS('Barang Keluar'!$E:$E,'Barang Keluar'!$A:$A,M18408,'Barang Keluar'!$C:$C,N18408))</f>
        <v>0</v>
      </c>
    </row>
    <row r="18409" spans="13:16">
      <c r="M18409" s="49">
        <f>IF($A$4+184&gt;$B$4,"",$A$4+184)</f>
        <v>46207</v>
      </c>
      <c r="N18409" t="str">
        <f>IF(M18409="","",'Master Barang'!A3)</f>
        <v>PRL-002</v>
      </c>
      <c r="O18409" t="str">
        <f>IF(N18409="","",'Master Barang'!B3)</f>
        <v>sunlight cairan pencuci piring 5l</v>
      </c>
      <c r="P18409">
        <f>IF(OR(M18409="",N18409=""),"",SUMIFS('Barang Keluar'!$E:$E,'Barang Keluar'!$A:$A,M18409,'Barang Keluar'!$C:$C,N18409))</f>
        <v>0</v>
      </c>
    </row>
    <row r="18410" spans="13:16">
      <c r="M18410" s="49">
        <f>IF($A$4+184&gt;$B$4,"",$A$4+184)</f>
        <v>46207</v>
      </c>
      <c r="N18410" t="str">
        <f>IF(M18410="","",'Master Barang'!A4)</f>
        <v>PRL-003</v>
      </c>
      <c r="O18410" t="str">
        <f>IF(N18410="","",'Master Barang'!B4)</f>
        <v>oixs cleaner 1l</v>
      </c>
      <c r="P18410">
        <f>IF(OR(M18410="",N18410=""),"",SUMIFS('Barang Keluar'!$E:$E,'Barang Keluar'!$A:$A,M18410,'Barang Keluar'!$C:$C,N18410))</f>
        <v>0</v>
      </c>
    </row>
    <row r="18411" spans="13:16">
      <c r="M18411" s="49">
        <f>IF($A$4+184&gt;$B$4,"",$A$4+184)</f>
        <v>46207</v>
      </c>
      <c r="N18411" t="str">
        <f>IF(M18411="","",'Master Barang'!A5)</f>
        <v>PRL-004</v>
      </c>
      <c r="O18411" t="str">
        <f>IF(N18411="","",'Master Barang'!B5)</f>
        <v>be clean tissue serbaguna</v>
      </c>
      <c r="P18411">
        <f>IF(OR(M18411="",N18411=""),"",SUMIFS('Barang Keluar'!$E:$E,'Barang Keluar'!$A:$A,M18411,'Barang Keluar'!$C:$C,N18411))</f>
        <v>0</v>
      </c>
    </row>
    <row r="18412" spans="13:16">
      <c r="M18412" s="49">
        <f>IF($A$4+184&gt;$B$4,"",$A$4+184)</f>
        <v>46207</v>
      </c>
      <c r="N18412" t="str">
        <f>IF(M18412="","",'Master Barang'!A6)</f>
        <v>PRL-005</v>
      </c>
      <c r="O18412" t="str">
        <f>IF(N18412="","",'Master Barang'!B6)</f>
        <v>spons cuci hijau</v>
      </c>
      <c r="P18412">
        <f>IF(OR(M18412="",N18412=""),"",SUMIFS('Barang Keluar'!$E:$E,'Barang Keluar'!$A:$A,M18412,'Barang Keluar'!$C:$C,N18412))</f>
        <v>0</v>
      </c>
    </row>
    <row r="18413" spans="13:16">
      <c r="M18413" s="49">
        <f>IF($A$4+184&gt;$B$4,"",$A$4+184)</f>
        <v>46207</v>
      </c>
      <c r="N18413" t="str">
        <f>IF(M18413="","",'Master Barang'!A7)</f>
        <v>PRL-006</v>
      </c>
      <c r="O18413" t="str">
        <f>IF(N18413="","",'Master Barang'!B7)</f>
        <v>sabut cuci stainless</v>
      </c>
      <c r="P18413">
        <f>IF(OR(M18413="",N18413=""),"",SUMIFS('Barang Keluar'!$E:$E,'Barang Keluar'!$A:$A,M18413,'Barang Keluar'!$C:$C,N18413))</f>
        <v>0</v>
      </c>
    </row>
    <row r="18414" spans="13:16">
      <c r="M18414" s="49">
        <f>IF($A$4+184&gt;$B$4,"",$A$4+184)</f>
        <v>46207</v>
      </c>
      <c r="N18414" t="str">
        <f>IF(M18414="","",'Master Barang'!A8)</f>
        <v>PRL-007</v>
      </c>
      <c r="O18414" t="str">
        <f>IF(N18414="","",'Master Barang'!B8)</f>
        <v>plastik kresek besar merah 50pc</v>
      </c>
      <c r="P18414">
        <f>IF(OR(M18414="",N18414=""),"",SUMIFS('Barang Keluar'!$E:$E,'Barang Keluar'!$A:$A,M18414,'Barang Keluar'!$C:$C,N18414))</f>
        <v>0</v>
      </c>
    </row>
    <row r="18415" spans="13:16">
      <c r="M18415" s="49">
        <f>IF($A$4+184&gt;$B$4,"",$A$4+184)</f>
        <v>46207</v>
      </c>
      <c r="N18415" t="str">
        <f>IF(M18415="","",'Master Barang'!A9)</f>
        <v>PRL-008</v>
      </c>
      <c r="O18415" t="str">
        <f>IF(N18415="","",'Master Barang'!B9)</f>
        <v>lap besar</v>
      </c>
      <c r="P18415">
        <f>IF(OR(M18415="",N18415=""),"",SUMIFS('Barang Keluar'!$E:$E,'Barang Keluar'!$A:$A,M18415,'Barang Keluar'!$C:$C,N18415))</f>
        <v>0</v>
      </c>
    </row>
    <row r="18416" spans="13:16">
      <c r="M18416" s="49">
        <f>IF($A$4+184&gt;$B$4,"",$A$4+184)</f>
        <v>46207</v>
      </c>
      <c r="N18416" t="str">
        <f>IF(M18416="","",'Master Barang'!A10)</f>
        <v>PRL-009</v>
      </c>
      <c r="O18416" t="str">
        <f>IF(N18416="","",'Master Barang'!B10)</f>
        <v>lap microfiber</v>
      </c>
      <c r="P18416">
        <f>IF(OR(M18416="",N18416=""),"",SUMIFS('Barang Keluar'!$E:$E,'Barang Keluar'!$A:$A,M18416,'Barang Keluar'!$C:$C,N18416))</f>
        <v>0</v>
      </c>
    </row>
    <row r="18417" spans="13:16">
      <c r="M18417" s="49">
        <f>IF($A$4+184&gt;$B$4,"",$A$4+184)</f>
        <v>46207</v>
      </c>
      <c r="N18417" t="str">
        <f>IF(M18417="","",'Master Barang'!A11)</f>
        <v>PRL-010</v>
      </c>
      <c r="O18417" t="str">
        <f>IF(N18417="","",'Master Barang'!B11)</f>
        <v>lap kecil</v>
      </c>
      <c r="P18417">
        <f>IF(OR(M18417="",N18417=""),"",SUMIFS('Barang Keluar'!$E:$E,'Barang Keluar'!$A:$A,M18417,'Barang Keluar'!$C:$C,N18417))</f>
        <v>0</v>
      </c>
    </row>
    <row r="18418" spans="13:16">
      <c r="M18418" s="49">
        <f>IF($A$4+184&gt;$B$4,"",$A$4+184)</f>
        <v>46207</v>
      </c>
      <c r="N18418" t="str">
        <f>IF(M18418="","",'Master Barang'!A12)</f>
        <v>PRL-011</v>
      </c>
      <c r="O18418" t="str">
        <f>IF(N18418="","",'Master Barang'!B12)</f>
        <v>kanebo kecil</v>
      </c>
      <c r="P18418">
        <f>IF(OR(M18418="",N18418=""),"",SUMIFS('Barang Keluar'!$E:$E,'Barang Keluar'!$A:$A,M18418,'Barang Keluar'!$C:$C,N18418))</f>
        <v>0</v>
      </c>
    </row>
    <row r="18419" spans="13:16">
      <c r="M18419" s="49">
        <f>IF($A$4+184&gt;$B$4,"",$A$4+184)</f>
        <v>46207</v>
      </c>
      <c r="N18419" t="str">
        <f>IF(M18419="","",'Master Barang'!A13)</f>
        <v>PRL-012</v>
      </c>
      <c r="O18419" t="str">
        <f>IF(N18419="","",'Master Barang'!B13)</f>
        <v>plastik 1/4kg joyoboyo 100 lembar</v>
      </c>
      <c r="P18419">
        <f>IF(OR(M18419="",N18419=""),"",SUMIFS('Barang Keluar'!$E:$E,'Barang Keluar'!$A:$A,M18419,'Barang Keluar'!$C:$C,N18419))</f>
        <v>0</v>
      </c>
    </row>
    <row r="18420" spans="13:16">
      <c r="M18420" s="49">
        <f>IF($A$4+184&gt;$B$4,"",$A$4+184)</f>
        <v>46207</v>
      </c>
      <c r="N18420" t="str">
        <f>IF(M18420="","",'Master Barang'!A14)</f>
        <v>PRL-013</v>
      </c>
      <c r="O18420" t="str">
        <f>IF(N18420="","",'Master Barang'!B14)</f>
        <v>sarung tangan plastik kaka 100 pcs</v>
      </c>
      <c r="P18420">
        <f>IF(OR(M18420="",N18420=""),"",SUMIFS('Barang Keluar'!$E:$E,'Barang Keluar'!$A:$A,M18420,'Barang Keluar'!$C:$C,N18420))</f>
        <v>0</v>
      </c>
    </row>
    <row r="18421" spans="13:16">
      <c r="M18421" s="49">
        <f>IF($A$4+184&gt;$B$4,"",$A$4+184)</f>
        <v>46207</v>
      </c>
      <c r="N18421" t="str">
        <f>IF(M18421="","",'Master Barang'!A15)</f>
        <v>PRL-014</v>
      </c>
      <c r="O18421" t="str">
        <f>IF(N18421="","",'Master Barang'!B15)</f>
        <v>optima trashbag 80x100</v>
      </c>
      <c r="P18421">
        <f>IF(OR(M18421="",N18421=""),"",SUMIFS('Barang Keluar'!$E:$E,'Barang Keluar'!$A:$A,M18421,'Barang Keluar'!$C:$C,N18421))</f>
        <v>0</v>
      </c>
    </row>
    <row r="18422" spans="13:16">
      <c r="M18422" s="49">
        <f>IF($A$4+184&gt;$B$4,"",$A$4+184)</f>
        <v>46207</v>
      </c>
      <c r="N18422" t="str">
        <f>IF(M18422="","",'Master Barang'!A16)</f>
        <v>PRL-015</v>
      </c>
      <c r="O18422" t="str">
        <f>IF(N18422="","",'Master Barang'!B16)</f>
        <v>optima trashbag 60x100</v>
      </c>
      <c r="P18422">
        <f>IF(OR(M18422="",N18422=""),"",SUMIFS('Barang Keluar'!$E:$E,'Barang Keluar'!$A:$A,M18422,'Barang Keluar'!$C:$C,N18422))</f>
        <v>0</v>
      </c>
    </row>
    <row r="18423" spans="13:16">
      <c r="M18423" s="49">
        <f>IF($A$4+184&gt;$B$4,"",$A$4+184)</f>
        <v>46207</v>
      </c>
      <c r="N18423" t="str">
        <f>IF(M18423="","",'Master Barang'!A17)</f>
        <v>PRL-016</v>
      </c>
      <c r="O18423" t="str">
        <f>IF(N18423="","",'Master Barang'!B17)</f>
        <v>rajawali trashbag 30x40</v>
      </c>
      <c r="P18423">
        <f>IF(OR(M18423="",N18423=""),"",SUMIFS('Barang Keluar'!$E:$E,'Barang Keluar'!$A:$A,M18423,'Barang Keluar'!$C:$C,N18423))</f>
        <v>0</v>
      </c>
    </row>
    <row r="18424" spans="13:16">
      <c r="M18424" s="49">
        <f>IF($A$4+184&gt;$B$4,"",$A$4+184)</f>
        <v>46207</v>
      </c>
      <c r="N18424" t="str">
        <f>IF(M18424="","",'Master Barang'!A18)</f>
        <v>PRL-017</v>
      </c>
      <c r="O18424" t="str">
        <f>IF(N18424="","",'Master Barang'!B18)</f>
        <v>onemed masker biru 3 play 50 pcs</v>
      </c>
      <c r="P18424">
        <f>IF(OR(M18424="",N18424=""),"",SUMIFS('Barang Keluar'!$E:$E,'Barang Keluar'!$A:$A,M18424,'Barang Keluar'!$C:$C,N18424))</f>
        <v>0</v>
      </c>
    </row>
    <row r="18425" spans="13:16">
      <c r="M18425" s="49">
        <f>IF($A$4+184&gt;$B$4,"",$A$4+184)</f>
        <v>46207</v>
      </c>
      <c r="N18425" t="str">
        <f>IF(M18425="","",'Master Barang'!A19)</f>
        <v>PRL-018</v>
      </c>
      <c r="O18425" t="str">
        <f>IF(N18425="","",'Master Barang'!B19)</f>
        <v>onemed masker biru 3 play hijab 50 pcs</v>
      </c>
      <c r="P18425">
        <f>IF(OR(M18425="",N18425=""),"",SUMIFS('Barang Keluar'!$E:$E,'Barang Keluar'!$A:$A,M18425,'Barang Keluar'!$C:$C,N18425))</f>
        <v>0</v>
      </c>
    </row>
    <row r="18426" spans="13:16">
      <c r="M18426" s="49">
        <f>IF($A$4+184&gt;$B$4,"",$A$4+184)</f>
        <v>46207</v>
      </c>
      <c r="N18426" t="str">
        <f>IF(M18426="","",'Master Barang'!A20)</f>
        <v>PRL-019</v>
      </c>
      <c r="O18426" t="str">
        <f>IF(N18426="","",'Master Barang'!B20)</f>
        <v>neo health masker biru 3 play 50 pcs</v>
      </c>
      <c r="P18426">
        <f>IF(OR(M18426="",N18426=""),"",SUMIFS('Barang Keluar'!$E:$E,'Barang Keluar'!$A:$A,M18426,'Barang Keluar'!$C:$C,N18426))</f>
        <v>0</v>
      </c>
    </row>
    <row r="18427" spans="13:16">
      <c r="M18427" s="49">
        <f>IF($A$4+184&gt;$B$4,"",$A$4+184)</f>
        <v>46207</v>
      </c>
      <c r="N18427" t="str">
        <f>IF(M18427="","",'Master Barang'!A21)</f>
        <v>PRL-020</v>
      </c>
      <c r="O18427" t="str">
        <f>IF(N18427="","",'Master Barang'!B21)</f>
        <v>baymed masker hijau 3 play hijau 50 pcs</v>
      </c>
      <c r="P18427">
        <f>IF(OR(M18427="",N18427=""),"",SUMIFS('Barang Keluar'!$E:$E,'Barang Keluar'!$A:$A,M18427,'Barang Keluar'!$C:$C,N18427))</f>
        <v>0</v>
      </c>
    </row>
    <row r="18428" spans="13:16">
      <c r="M18428" s="49">
        <f>IF($A$4+184&gt;$B$4,"",$A$4+184)</f>
        <v>46207</v>
      </c>
      <c r="N18428" t="str">
        <f>IF(M18428="","",'Master Barang'!A22)</f>
        <v>PRL-021</v>
      </c>
      <c r="O18428" t="str">
        <f>IF(N18428="","",'Master Barang'!B22)</f>
        <v>altamed nurse cap penutup kepala 100 pcs</v>
      </c>
      <c r="P18428">
        <f>IF(OR(M18428="",N18428=""),"",SUMIFS('Barang Keluar'!$E:$E,'Barang Keluar'!$A:$A,M18428,'Barang Keluar'!$C:$C,N18428))</f>
        <v>0</v>
      </c>
    </row>
    <row r="18429" spans="13:16">
      <c r="M18429" s="49">
        <f>IF($A$4+184&gt;$B$4,"",$A$4+184)</f>
        <v>46207</v>
      </c>
      <c r="N18429" t="str">
        <f>IF(M18429="","",'Master Barang'!A23)</f>
        <v>PRL-022</v>
      </c>
      <c r="O18429" t="str">
        <f>IF(N18429="","",'Master Barang'!B23)</f>
        <v>sabun cuci tangan</v>
      </c>
      <c r="P18429">
        <f>IF(OR(M18429="",N18429=""),"",SUMIFS('Barang Keluar'!$E:$E,'Barang Keluar'!$A:$A,M18429,'Barang Keluar'!$C:$C,N18429))</f>
        <v>0</v>
      </c>
    </row>
    <row r="18430" spans="13:16">
      <c r="M18430" s="49">
        <f>IF($A$4+184&gt;$B$4,"",$A$4+184)</f>
        <v>46207</v>
      </c>
      <c r="N18430" t="str">
        <f>IF(M18430="","",'Master Barang'!A24)</f>
        <v>PRL-023</v>
      </c>
      <c r="O18430" t="str">
        <f>IF(N18430="","",'Master Barang'!B24)</f>
        <v>gayung kecil</v>
      </c>
      <c r="P18430">
        <f>IF(OR(M18430="",N18430=""),"",SUMIFS('Barang Keluar'!$E:$E,'Barang Keluar'!$A:$A,M18430,'Barang Keluar'!$C:$C,N18430))</f>
        <v>0</v>
      </c>
    </row>
    <row r="18431" spans="13:16">
      <c r="M18431" s="49">
        <f>IF($A$4+184&gt;$B$4,"",$A$4+184)</f>
        <v>46207</v>
      </c>
      <c r="N18431" t="str">
        <f>IF(M18431="","",'Master Barang'!A25)</f>
        <v>PRL-024</v>
      </c>
      <c r="O18431" t="str">
        <f>IF(N18431="","",'Master Barang'!B25)</f>
        <v>cikrak kecil</v>
      </c>
      <c r="P18431">
        <f>IF(OR(M18431="",N18431=""),"",SUMIFS('Barang Keluar'!$E:$E,'Barang Keluar'!$A:$A,M18431,'Barang Keluar'!$C:$C,N18431))</f>
        <v>0</v>
      </c>
    </row>
    <row r="18432" spans="13:16">
      <c r="M18432" s="49">
        <f>IF($A$4+184&gt;$B$4,"",$A$4+184)</f>
        <v>46207</v>
      </c>
      <c r="N18432" t="str">
        <f>IF(M18432="","",'Master Barang'!A26)</f>
        <v>PRL-025</v>
      </c>
      <c r="O18432" t="str">
        <f>IF(N18432="","",'Master Barang'!B26)</f>
        <v>petromax plastik kecil 12x24 100 lembar</v>
      </c>
      <c r="P18432">
        <f>IF(OR(M18432="",N18432=""),"",SUMIFS('Barang Keluar'!$E:$E,'Barang Keluar'!$A:$A,M18432,'Barang Keluar'!$C:$C,N18432))</f>
        <v>0</v>
      </c>
    </row>
    <row r="18433" spans="13:16">
      <c r="M18433" s="49">
        <f>IF($A$4+184&gt;$B$4,"",$A$4+184)</f>
        <v>46207</v>
      </c>
      <c r="N18433" t="str">
        <f>IF(M18433="","",'Master Barang'!A27)</f>
        <v>PRL-026</v>
      </c>
      <c r="O18433" t="str">
        <f>IF(N18433="","",'Master Barang'!B27)</f>
        <v>lancar kresek kecil bening </v>
      </c>
      <c r="P18433">
        <f>IF(OR(M18433="",N18433=""),"",SUMIFS('Barang Keluar'!$E:$E,'Barang Keluar'!$A:$A,M18433,'Barang Keluar'!$C:$C,N18433))</f>
        <v>0</v>
      </c>
    </row>
    <row r="18434" spans="13:16">
      <c r="M18434" s="49">
        <f>IF($A$4+184&gt;$B$4,"",$A$4+184)</f>
        <v>46207</v>
      </c>
      <c r="N18434" t="str">
        <f>IF(M18434="","",'Master Barang'!A28)</f>
        <v>PRL-027</v>
      </c>
      <c r="O18434" t="str">
        <f>IF(N18434="","",'Master Barang'!B28)</f>
        <v>kresek klin warna warni kecil</v>
      </c>
      <c r="P18434">
        <f>IF(OR(M18434="",N18434=""),"",SUMIFS('Barang Keluar'!$E:$E,'Barang Keluar'!$A:$A,M18434,'Barang Keluar'!$C:$C,N18434))</f>
        <v>0</v>
      </c>
    </row>
    <row r="18435" spans="13:16">
      <c r="M18435" s="49">
        <f>IF($A$4+184&gt;$B$4,"",$A$4+184)</f>
        <v>46207</v>
      </c>
      <c r="N18435" t="str">
        <f>IF(M18435="","",'Master Barang'!A29)</f>
        <v>PRL-028</v>
      </c>
      <c r="O18435" t="str">
        <f>IF(N18435="","",'Master Barang'!B29)</f>
        <v>ctik plastik 7x10 100 pcs</v>
      </c>
      <c r="P18435">
        <f>IF(OR(M18435="",N18435=""),"",SUMIFS('Barang Keluar'!$E:$E,'Barang Keluar'!$A:$A,M18435,'Barang Keluar'!$C:$C,N18435))</f>
        <v>0</v>
      </c>
    </row>
    <row r="18436" spans="13:16">
      <c r="M18436" s="49">
        <f>IF($A$4+184&gt;$B$4,"",$A$4+184)</f>
        <v>46207</v>
      </c>
      <c r="N18436" t="str">
        <f>IF(M18436="","",'Master Barang'!A30)</f>
        <v>PRL-029</v>
      </c>
      <c r="O18436" t="str">
        <f>IF(N18436="","",'Master Barang'!B30)</f>
        <v>ctik plastik 6x10 100 pcs</v>
      </c>
      <c r="P18436">
        <f>IF(OR(M18436="",N18436=""),"",SUMIFS('Barang Keluar'!$E:$E,'Barang Keluar'!$A:$A,M18436,'Barang Keluar'!$C:$C,N18436))</f>
        <v>0</v>
      </c>
    </row>
    <row r="18437" spans="13:16">
      <c r="M18437" s="49">
        <f>IF($A$4+184&gt;$B$4,"",$A$4+184)</f>
        <v>46207</v>
      </c>
      <c r="N18437" t="str">
        <f>IF(M18437="","",'Master Barang'!A31)</f>
        <v>PRL-030</v>
      </c>
      <c r="O18437" t="str">
        <f>IF(N18437="","",'Master Barang'!B31)</f>
        <v>klip plastik 25x16 100 pcs</v>
      </c>
      <c r="P18437">
        <f>IF(OR(M18437="",N18437=""),"",SUMIFS('Barang Keluar'!$E:$E,'Barang Keluar'!$A:$A,M18437,'Barang Keluar'!$C:$C,N18437))</f>
        <v>0</v>
      </c>
    </row>
    <row r="18438" spans="13:16">
      <c r="M18438" s="49">
        <f>IF($A$4+184&gt;$B$4,"",$A$4+184)</f>
        <v>46207</v>
      </c>
      <c r="N18438" t="str">
        <f>IF(M18438="","",'Master Barang'!A32)</f>
        <v>PRL-031</v>
      </c>
      <c r="O18438" t="str">
        <f>IF(N18438="","",'Master Barang'!B32)</f>
        <v>tempat saus 20 ml</v>
      </c>
      <c r="P18438">
        <f>IF(OR(M18438="",N18438=""),"",SUMIFS('Barang Keluar'!$E:$E,'Barang Keluar'!$A:$A,M18438,'Barang Keluar'!$C:$C,N18438))</f>
        <v>0</v>
      </c>
    </row>
    <row r="18439" spans="13:16">
      <c r="M18439" s="49">
        <f>IF($A$4+184&gt;$B$4,"",$A$4+184)</f>
        <v>46207</v>
      </c>
      <c r="N18439" t="str">
        <f>IF(M18439="","",'Master Barang'!A33)</f>
        <v>PRL-032</v>
      </c>
      <c r="O18439" t="str">
        <f>IF(N18439="","",'Master Barang'!B33)</f>
        <v>plastik packaging ag box uk sedang</v>
      </c>
      <c r="P18439">
        <f>IF(OR(M18439="",N18439=""),"",SUMIFS('Barang Keluar'!$E:$E,'Barang Keluar'!$A:$A,M18439,'Barang Keluar'!$C:$C,N18439))</f>
        <v>0</v>
      </c>
    </row>
    <row r="18440" spans="13:16">
      <c r="M18440" s="49">
        <f>IF($A$4+184&gt;$B$4,"",$A$4+184)</f>
        <v>46207</v>
      </c>
      <c r="N18440" t="str">
        <f>IF(M18440="","",'Master Barang'!A34)</f>
        <v>PRL-033</v>
      </c>
      <c r="O18440">
        <f>IF(N18440="","",'Master Barang'!B34)</f>
        <v>0</v>
      </c>
      <c r="P18440">
        <f>IF(OR(M18440="",N18440=""),"",SUMIFS('Barang Keluar'!$E:$E,'Barang Keluar'!$A:$A,M18440,'Barang Keluar'!$C:$C,N18440))</f>
        <v>0</v>
      </c>
    </row>
    <row r="18441" spans="13:16">
      <c r="M18441" s="49">
        <f>IF($A$4+184&gt;$B$4,"",$A$4+184)</f>
        <v>46207</v>
      </c>
      <c r="N18441">
        <f>IF(M18441="","",'Master Barang'!A35)</f>
        <v>0</v>
      </c>
      <c r="O18441">
        <f>IF(N18441="","",'Master Barang'!B35)</f>
        <v>0</v>
      </c>
      <c r="P18441">
        <f>IF(OR(M18441="",N18441=""),"",SUMIFS('Barang Keluar'!$E:$E,'Barang Keluar'!$A:$A,M18441,'Barang Keluar'!$C:$C,N18441))</f>
        <v>0</v>
      </c>
    </row>
    <row r="18442" spans="13:16">
      <c r="M18442" s="49">
        <f>IF($A$4+184&gt;$B$4,"",$A$4+184)</f>
        <v>46207</v>
      </c>
      <c r="N18442">
        <f>IF(M18442="","",'Master Barang'!A36)</f>
        <v>0</v>
      </c>
      <c r="O18442">
        <f>IF(N18442="","",'Master Barang'!B36)</f>
        <v>0</v>
      </c>
      <c r="P18442">
        <f>IF(OR(M18442="",N18442=""),"",SUMIFS('Barang Keluar'!$E:$E,'Barang Keluar'!$A:$A,M18442,'Barang Keluar'!$C:$C,N18442))</f>
        <v>0</v>
      </c>
    </row>
    <row r="18443" spans="13:16">
      <c r="M18443" s="49">
        <f>IF($A$4+184&gt;$B$4,"",$A$4+184)</f>
        <v>46207</v>
      </c>
      <c r="N18443">
        <f>IF(M18443="","",'Master Barang'!A37)</f>
        <v>0</v>
      </c>
      <c r="O18443">
        <f>IF(N18443="","",'Master Barang'!B37)</f>
        <v>0</v>
      </c>
      <c r="P18443">
        <f>IF(OR(M18443="",N18443=""),"",SUMIFS('Barang Keluar'!$E:$E,'Barang Keluar'!$A:$A,M18443,'Barang Keluar'!$C:$C,N18443))</f>
        <v>0</v>
      </c>
    </row>
    <row r="18444" spans="13:16">
      <c r="M18444" s="49">
        <f>IF($A$4+184&gt;$B$4,"",$A$4+184)</f>
        <v>46207</v>
      </c>
      <c r="N18444">
        <f>IF(M18444="","",'Master Barang'!A38)</f>
        <v>0</v>
      </c>
      <c r="O18444">
        <f>IF(N18444="","",'Master Barang'!B38)</f>
        <v>0</v>
      </c>
      <c r="P18444">
        <f>IF(OR(M18444="",N18444=""),"",SUMIFS('Barang Keluar'!$E:$E,'Barang Keluar'!$A:$A,M18444,'Barang Keluar'!$C:$C,N18444))</f>
        <v>0</v>
      </c>
    </row>
    <row r="18445" spans="13:16">
      <c r="M18445" s="49">
        <f>IF($A$4+184&gt;$B$4,"",$A$4+184)</f>
        <v>46207</v>
      </c>
      <c r="N18445">
        <f>IF(M18445="","",'Master Barang'!A39)</f>
        <v>0</v>
      </c>
      <c r="O18445">
        <f>IF(N18445="","",'Master Barang'!B39)</f>
        <v>0</v>
      </c>
      <c r="P18445">
        <f>IF(OR(M18445="",N18445=""),"",SUMIFS('Barang Keluar'!$E:$E,'Barang Keluar'!$A:$A,M18445,'Barang Keluar'!$C:$C,N18445))</f>
        <v>0</v>
      </c>
    </row>
    <row r="18446" spans="13:16">
      <c r="M18446" s="49">
        <f>IF($A$4+184&gt;$B$4,"",$A$4+184)</f>
        <v>46207</v>
      </c>
      <c r="N18446">
        <f>IF(M18446="","",'Master Barang'!A40)</f>
        <v>0</v>
      </c>
      <c r="O18446">
        <f>IF(N18446="","",'Master Barang'!B40)</f>
        <v>0</v>
      </c>
      <c r="P18446">
        <f>IF(OR(M18446="",N18446=""),"",SUMIFS('Barang Keluar'!$E:$E,'Barang Keluar'!$A:$A,M18446,'Barang Keluar'!$C:$C,N18446))</f>
        <v>0</v>
      </c>
    </row>
    <row r="18447" spans="13:16">
      <c r="M18447" s="49">
        <f>IF($A$4+184&gt;$B$4,"",$A$4+184)</f>
        <v>46207</v>
      </c>
      <c r="N18447">
        <f>IF(M18447="","",'Master Barang'!A41)</f>
        <v>0</v>
      </c>
      <c r="O18447">
        <f>IF(N18447="","",'Master Barang'!B41)</f>
        <v>0</v>
      </c>
      <c r="P18447">
        <f>IF(OR(M18447="",N18447=""),"",SUMIFS('Barang Keluar'!$E:$E,'Barang Keluar'!$A:$A,M18447,'Barang Keluar'!$C:$C,N18447))</f>
        <v>0</v>
      </c>
    </row>
    <row r="18448" spans="13:16">
      <c r="M18448" s="49">
        <f>IF($A$4+184&gt;$B$4,"",$A$4+184)</f>
        <v>46207</v>
      </c>
      <c r="N18448">
        <f>IF(M18448="","",'Master Barang'!A42)</f>
        <v>0</v>
      </c>
      <c r="O18448">
        <f>IF(N18448="","",'Master Barang'!B42)</f>
        <v>0</v>
      </c>
      <c r="P18448">
        <f>IF(OR(M18448="",N18448=""),"",SUMIFS('Barang Keluar'!$E:$E,'Barang Keluar'!$A:$A,M18448,'Barang Keluar'!$C:$C,N18448))</f>
        <v>0</v>
      </c>
    </row>
    <row r="18449" spans="13:16">
      <c r="M18449" s="49">
        <f>IF($A$4+184&gt;$B$4,"",$A$4+184)</f>
        <v>46207</v>
      </c>
      <c r="N18449">
        <f>IF(M18449="","",'Master Barang'!A43)</f>
        <v>0</v>
      </c>
      <c r="O18449">
        <f>IF(N18449="","",'Master Barang'!B43)</f>
        <v>0</v>
      </c>
      <c r="P18449">
        <f>IF(OR(M18449="",N18449=""),"",SUMIFS('Barang Keluar'!$E:$E,'Barang Keluar'!$A:$A,M18449,'Barang Keluar'!$C:$C,N18449))</f>
        <v>0</v>
      </c>
    </row>
    <row r="18450" spans="13:16">
      <c r="M18450" s="49">
        <f>IF($A$4+184&gt;$B$4,"",$A$4+184)</f>
        <v>46207</v>
      </c>
      <c r="N18450">
        <f>IF(M18450="","",'Master Barang'!A44)</f>
        <v>0</v>
      </c>
      <c r="O18450">
        <f>IF(N18450="","",'Master Barang'!B44)</f>
        <v>0</v>
      </c>
      <c r="P18450">
        <f>IF(OR(M18450="",N18450=""),"",SUMIFS('Barang Keluar'!$E:$E,'Barang Keluar'!$A:$A,M18450,'Barang Keluar'!$C:$C,N18450))</f>
        <v>0</v>
      </c>
    </row>
    <row r="18451" spans="13:16">
      <c r="M18451" s="49">
        <f>IF($A$4+184&gt;$B$4,"",$A$4+184)</f>
        <v>46207</v>
      </c>
      <c r="N18451">
        <f>IF(M18451="","",'Master Barang'!A45)</f>
        <v>0</v>
      </c>
      <c r="O18451">
        <f>IF(N18451="","",'Master Barang'!B45)</f>
        <v>0</v>
      </c>
      <c r="P18451">
        <f>IF(OR(M18451="",N18451=""),"",SUMIFS('Barang Keluar'!$E:$E,'Barang Keluar'!$A:$A,M18451,'Barang Keluar'!$C:$C,N18451))</f>
        <v>0</v>
      </c>
    </row>
    <row r="18452" spans="13:16">
      <c r="M18452" s="49">
        <f>IF($A$4+184&gt;$B$4,"",$A$4+184)</f>
        <v>46207</v>
      </c>
      <c r="N18452">
        <f>IF(M18452="","",'Master Barang'!A46)</f>
        <v>0</v>
      </c>
      <c r="O18452">
        <f>IF(N18452="","",'Master Barang'!B46)</f>
        <v>0</v>
      </c>
      <c r="P18452">
        <f>IF(OR(M18452="",N18452=""),"",SUMIFS('Barang Keluar'!$E:$E,'Barang Keluar'!$A:$A,M18452,'Barang Keluar'!$C:$C,N18452))</f>
        <v>0</v>
      </c>
    </row>
    <row r="18453" spans="13:16">
      <c r="M18453" s="49">
        <f>IF($A$4+184&gt;$B$4,"",$A$4+184)</f>
        <v>46207</v>
      </c>
      <c r="N18453">
        <f>IF(M18453="","",'Master Barang'!A47)</f>
        <v>0</v>
      </c>
      <c r="O18453">
        <f>IF(N18453="","",'Master Barang'!B47)</f>
        <v>0</v>
      </c>
      <c r="P18453">
        <f>IF(OR(M18453="",N18453=""),"",SUMIFS('Barang Keluar'!$E:$E,'Barang Keluar'!$A:$A,M18453,'Barang Keluar'!$C:$C,N18453))</f>
        <v>0</v>
      </c>
    </row>
    <row r="18454" spans="13:16">
      <c r="M18454" s="49">
        <f>IF($A$4+184&gt;$B$4,"",$A$4+184)</f>
        <v>46207</v>
      </c>
      <c r="N18454">
        <f>IF(M18454="","",'Master Barang'!A48)</f>
        <v>0</v>
      </c>
      <c r="O18454">
        <f>IF(N18454="","",'Master Barang'!B48)</f>
        <v>0</v>
      </c>
      <c r="P18454">
        <f>IF(OR(M18454="",N18454=""),"",SUMIFS('Barang Keluar'!$E:$E,'Barang Keluar'!$A:$A,M18454,'Barang Keluar'!$C:$C,N18454))</f>
        <v>0</v>
      </c>
    </row>
    <row r="18455" spans="13:16">
      <c r="M18455" s="49">
        <f>IF($A$4+184&gt;$B$4,"",$A$4+184)</f>
        <v>46207</v>
      </c>
      <c r="N18455">
        <f>IF(M18455="","",'Master Barang'!A49)</f>
        <v>0</v>
      </c>
      <c r="O18455">
        <f>IF(N18455="","",'Master Barang'!B49)</f>
        <v>0</v>
      </c>
      <c r="P18455">
        <f>IF(OR(M18455="",N18455=""),"",SUMIFS('Barang Keluar'!$E:$E,'Barang Keluar'!$A:$A,M18455,'Barang Keluar'!$C:$C,N18455))</f>
        <v>0</v>
      </c>
    </row>
    <row r="18456" spans="13:16">
      <c r="M18456" s="49">
        <f>IF($A$4+184&gt;$B$4,"",$A$4+184)</f>
        <v>46207</v>
      </c>
      <c r="N18456">
        <f>IF(M18456="","",'Master Barang'!A50)</f>
        <v>0</v>
      </c>
      <c r="O18456">
        <f>IF(N18456="","",'Master Barang'!B50)</f>
        <v>0</v>
      </c>
      <c r="P18456">
        <f>IF(OR(M18456="",N18456=""),"",SUMIFS('Barang Keluar'!$E:$E,'Barang Keluar'!$A:$A,M18456,'Barang Keluar'!$C:$C,N18456))</f>
        <v>0</v>
      </c>
    </row>
    <row r="18457" spans="13:16">
      <c r="M18457" s="49">
        <f>IF($A$4+184&gt;$B$4,"",$A$4+184)</f>
        <v>46207</v>
      </c>
      <c r="N18457">
        <f>IF(M18457="","",'Master Barang'!A51)</f>
        <v>0</v>
      </c>
      <c r="O18457">
        <f>IF(N18457="","",'Master Barang'!B51)</f>
        <v>0</v>
      </c>
      <c r="P18457">
        <f>IF(OR(M18457="",N18457=""),"",SUMIFS('Barang Keluar'!$E:$E,'Barang Keluar'!$A:$A,M18457,'Barang Keluar'!$C:$C,N18457))</f>
        <v>0</v>
      </c>
    </row>
    <row r="18458" spans="13:16">
      <c r="M18458" s="49">
        <f>IF($A$4+184&gt;$B$4,"",$A$4+184)</f>
        <v>46207</v>
      </c>
      <c r="N18458">
        <f>IF(M18458="","",'Master Barang'!A52)</f>
        <v>0</v>
      </c>
      <c r="O18458">
        <f>IF(N18458="","",'Master Barang'!B52)</f>
        <v>0</v>
      </c>
      <c r="P18458">
        <f>IF(OR(M18458="",N18458=""),"",SUMIFS('Barang Keluar'!$E:$E,'Barang Keluar'!$A:$A,M18458,'Barang Keluar'!$C:$C,N18458))</f>
        <v>0</v>
      </c>
    </row>
    <row r="18459" spans="13:16">
      <c r="M18459" s="49">
        <f>IF($A$4+184&gt;$B$4,"",$A$4+184)</f>
        <v>46207</v>
      </c>
      <c r="N18459">
        <f>IF(M18459="","",'Master Barang'!A53)</f>
        <v>0</v>
      </c>
      <c r="O18459">
        <f>IF(N18459="","",'Master Barang'!B53)</f>
        <v>0</v>
      </c>
      <c r="P18459">
        <f>IF(OR(M18459="",N18459=""),"",SUMIFS('Barang Keluar'!$E:$E,'Barang Keluar'!$A:$A,M18459,'Barang Keluar'!$C:$C,N18459))</f>
        <v>0</v>
      </c>
    </row>
    <row r="18460" spans="13:16">
      <c r="M18460" s="49">
        <f>IF($A$4+184&gt;$B$4,"",$A$4+184)</f>
        <v>46207</v>
      </c>
      <c r="N18460">
        <f>IF(M18460="","",'Master Barang'!A54)</f>
        <v>0</v>
      </c>
      <c r="O18460">
        <f>IF(N18460="","",'Master Barang'!B54)</f>
        <v>0</v>
      </c>
      <c r="P18460">
        <f>IF(OR(M18460="",N18460=""),"",SUMIFS('Barang Keluar'!$E:$E,'Barang Keluar'!$A:$A,M18460,'Barang Keluar'!$C:$C,N18460))</f>
        <v>0</v>
      </c>
    </row>
    <row r="18461" spans="13:16">
      <c r="M18461" s="49">
        <f>IF($A$4+184&gt;$B$4,"",$A$4+184)</f>
        <v>46207</v>
      </c>
      <c r="N18461">
        <f>IF(M18461="","",'Master Barang'!A55)</f>
        <v>0</v>
      </c>
      <c r="O18461">
        <f>IF(N18461="","",'Master Barang'!B55)</f>
        <v>0</v>
      </c>
      <c r="P18461">
        <f>IF(OR(M18461="",N18461=""),"",SUMIFS('Barang Keluar'!$E:$E,'Barang Keluar'!$A:$A,M18461,'Barang Keluar'!$C:$C,N18461))</f>
        <v>0</v>
      </c>
    </row>
    <row r="18462" spans="13:16">
      <c r="M18462" s="49">
        <f>IF($A$4+184&gt;$B$4,"",$A$4+184)</f>
        <v>46207</v>
      </c>
      <c r="N18462">
        <f>IF(M18462="","",'Master Barang'!A56)</f>
        <v>0</v>
      </c>
      <c r="O18462">
        <f>IF(N18462="","",'Master Barang'!B56)</f>
        <v>0</v>
      </c>
      <c r="P18462">
        <f>IF(OR(M18462="",N18462=""),"",SUMIFS('Barang Keluar'!$E:$E,'Barang Keluar'!$A:$A,M18462,'Barang Keluar'!$C:$C,N18462))</f>
        <v>0</v>
      </c>
    </row>
    <row r="18463" spans="13:16">
      <c r="M18463" s="49">
        <f>IF($A$4+184&gt;$B$4,"",$A$4+184)</f>
        <v>46207</v>
      </c>
      <c r="N18463">
        <f>IF(M18463="","",'Master Barang'!A57)</f>
        <v>0</v>
      </c>
      <c r="O18463">
        <f>IF(N18463="","",'Master Barang'!B57)</f>
        <v>0</v>
      </c>
      <c r="P18463">
        <f>IF(OR(M18463="",N18463=""),"",SUMIFS('Barang Keluar'!$E:$E,'Barang Keluar'!$A:$A,M18463,'Barang Keluar'!$C:$C,N18463))</f>
        <v>0</v>
      </c>
    </row>
    <row r="18464" spans="13:16">
      <c r="M18464" s="49">
        <f>IF($A$4+184&gt;$B$4,"",$A$4+184)</f>
        <v>46207</v>
      </c>
      <c r="N18464">
        <f>IF(M18464="","",'Master Barang'!A58)</f>
        <v>0</v>
      </c>
      <c r="O18464">
        <f>IF(N18464="","",'Master Barang'!B58)</f>
        <v>0</v>
      </c>
      <c r="P18464">
        <f>IF(OR(M18464="",N18464=""),"",SUMIFS('Barang Keluar'!$E:$E,'Barang Keluar'!$A:$A,M18464,'Barang Keluar'!$C:$C,N18464))</f>
        <v>0</v>
      </c>
    </row>
    <row r="18465" spans="13:16">
      <c r="M18465" s="49">
        <f>IF($A$4+184&gt;$B$4,"",$A$4+184)</f>
        <v>46207</v>
      </c>
      <c r="N18465">
        <f>IF(M18465="","",'Master Barang'!A59)</f>
        <v>0</v>
      </c>
      <c r="O18465">
        <f>IF(N18465="","",'Master Barang'!B59)</f>
        <v>0</v>
      </c>
      <c r="P18465">
        <f>IF(OR(M18465="",N18465=""),"",SUMIFS('Barang Keluar'!$E:$E,'Barang Keluar'!$A:$A,M18465,'Barang Keluar'!$C:$C,N18465))</f>
        <v>0</v>
      </c>
    </row>
    <row r="18466" spans="13:16">
      <c r="M18466" s="49">
        <f>IF($A$4+184&gt;$B$4,"",$A$4+184)</f>
        <v>46207</v>
      </c>
      <c r="N18466">
        <f>IF(M18466="","",'Master Barang'!A60)</f>
        <v>0</v>
      </c>
      <c r="O18466">
        <f>IF(N18466="","",'Master Barang'!B60)</f>
        <v>0</v>
      </c>
      <c r="P18466">
        <f>IF(OR(M18466="",N18466=""),"",SUMIFS('Barang Keluar'!$E:$E,'Barang Keluar'!$A:$A,M18466,'Barang Keluar'!$C:$C,N18466))</f>
        <v>0</v>
      </c>
    </row>
    <row r="18467" spans="13:16">
      <c r="M18467" s="49">
        <f>IF($A$4+184&gt;$B$4,"",$A$4+184)</f>
        <v>46207</v>
      </c>
      <c r="N18467">
        <f>IF(M18467="","",'Master Barang'!A61)</f>
        <v>0</v>
      </c>
      <c r="O18467">
        <f>IF(N18467="","",'Master Barang'!B61)</f>
        <v>0</v>
      </c>
      <c r="P18467">
        <f>IF(OR(M18467="",N18467=""),"",SUMIFS('Barang Keluar'!$E:$E,'Barang Keluar'!$A:$A,M18467,'Barang Keluar'!$C:$C,N18467))</f>
        <v>0</v>
      </c>
    </row>
    <row r="18468" spans="13:16">
      <c r="M18468" s="49">
        <f>IF($A$4+184&gt;$B$4,"",$A$4+184)</f>
        <v>46207</v>
      </c>
      <c r="N18468">
        <f>IF(M18468="","",'Master Barang'!A62)</f>
        <v>0</v>
      </c>
      <c r="O18468">
        <f>IF(N18468="","",'Master Barang'!B62)</f>
        <v>0</v>
      </c>
      <c r="P18468">
        <f>IF(OR(M18468="",N18468=""),"",SUMIFS('Barang Keluar'!$E:$E,'Barang Keluar'!$A:$A,M18468,'Barang Keluar'!$C:$C,N18468))</f>
        <v>0</v>
      </c>
    </row>
    <row r="18469" spans="13:16">
      <c r="M18469" s="49">
        <f>IF($A$4+184&gt;$B$4,"",$A$4+184)</f>
        <v>46207</v>
      </c>
      <c r="N18469">
        <f>IF(M18469="","",'Master Barang'!A63)</f>
        <v>0</v>
      </c>
      <c r="O18469">
        <f>IF(N18469="","",'Master Barang'!B63)</f>
        <v>0</v>
      </c>
      <c r="P18469">
        <f>IF(OR(M18469="",N18469=""),"",SUMIFS('Barang Keluar'!$E:$E,'Barang Keluar'!$A:$A,M18469,'Barang Keluar'!$C:$C,N18469))</f>
        <v>0</v>
      </c>
    </row>
    <row r="18470" spans="13:16">
      <c r="M18470" s="49">
        <f>IF($A$4+184&gt;$B$4,"",$A$4+184)</f>
        <v>46207</v>
      </c>
      <c r="N18470">
        <f>IF(M18470="","",'Master Barang'!A64)</f>
        <v>0</v>
      </c>
      <c r="O18470">
        <f>IF(N18470="","",'Master Barang'!B64)</f>
        <v>0</v>
      </c>
      <c r="P18470">
        <f>IF(OR(M18470="",N18470=""),"",SUMIFS('Barang Keluar'!$E:$E,'Barang Keluar'!$A:$A,M18470,'Barang Keluar'!$C:$C,N18470))</f>
        <v>0</v>
      </c>
    </row>
    <row r="18471" spans="13:16">
      <c r="M18471" s="49">
        <f>IF($A$4+184&gt;$B$4,"",$A$4+184)</f>
        <v>46207</v>
      </c>
      <c r="N18471">
        <f>IF(M18471="","",'Master Barang'!A65)</f>
        <v>0</v>
      </c>
      <c r="O18471">
        <f>IF(N18471="","",'Master Barang'!B65)</f>
        <v>0</v>
      </c>
      <c r="P18471">
        <f>IF(OR(M18471="",N18471=""),"",SUMIFS('Barang Keluar'!$E:$E,'Barang Keluar'!$A:$A,M18471,'Barang Keluar'!$C:$C,N18471))</f>
        <v>0</v>
      </c>
    </row>
    <row r="18472" spans="13:16">
      <c r="M18472" s="49">
        <f>IF($A$4+184&gt;$B$4,"",$A$4+184)</f>
        <v>46207</v>
      </c>
      <c r="N18472">
        <f>IF(M18472="","",'Master Barang'!A66)</f>
        <v>0</v>
      </c>
      <c r="O18472">
        <f>IF(N18472="","",'Master Barang'!B66)</f>
        <v>0</v>
      </c>
      <c r="P18472">
        <f>IF(OR(M18472="",N18472=""),"",SUMIFS('Barang Keluar'!$E:$E,'Barang Keluar'!$A:$A,M18472,'Barang Keluar'!$C:$C,N18472))</f>
        <v>0</v>
      </c>
    </row>
    <row r="18473" spans="13:16">
      <c r="M18473" s="49">
        <f>IF($A$4+184&gt;$B$4,"",$A$4+184)</f>
        <v>46207</v>
      </c>
      <c r="N18473">
        <f>IF(M18473="","",'Master Barang'!A67)</f>
        <v>0</v>
      </c>
      <c r="O18473">
        <f>IF(N18473="","",'Master Barang'!B67)</f>
        <v>0</v>
      </c>
      <c r="P18473">
        <f>IF(OR(M18473="",N18473=""),"",SUMIFS('Barang Keluar'!$E:$E,'Barang Keluar'!$A:$A,M18473,'Barang Keluar'!$C:$C,N18473))</f>
        <v>0</v>
      </c>
    </row>
    <row r="18474" spans="13:16">
      <c r="M18474" s="49">
        <f>IF($A$4+184&gt;$B$4,"",$A$4+184)</f>
        <v>46207</v>
      </c>
      <c r="N18474">
        <f>IF(M18474="","",'Master Barang'!A68)</f>
        <v>0</v>
      </c>
      <c r="O18474">
        <f>IF(N18474="","",'Master Barang'!B68)</f>
        <v>0</v>
      </c>
      <c r="P18474">
        <f>IF(OR(M18474="",N18474=""),"",SUMIFS('Barang Keluar'!$E:$E,'Barang Keluar'!$A:$A,M18474,'Barang Keluar'!$C:$C,N18474))</f>
        <v>0</v>
      </c>
    </row>
    <row r="18475" spans="13:16">
      <c r="M18475" s="49">
        <f>IF($A$4+184&gt;$B$4,"",$A$4+184)</f>
        <v>46207</v>
      </c>
      <c r="N18475">
        <f>IF(M18475="","",'Master Barang'!A69)</f>
        <v>0</v>
      </c>
      <c r="O18475">
        <f>IF(N18475="","",'Master Barang'!B69)</f>
        <v>0</v>
      </c>
      <c r="P18475">
        <f>IF(OR(M18475="",N18475=""),"",SUMIFS('Barang Keluar'!$E:$E,'Barang Keluar'!$A:$A,M18475,'Barang Keluar'!$C:$C,N18475))</f>
        <v>0</v>
      </c>
    </row>
    <row r="18476" spans="13:16">
      <c r="M18476" s="49">
        <f>IF($A$4+184&gt;$B$4,"",$A$4+184)</f>
        <v>46207</v>
      </c>
      <c r="N18476">
        <f>IF(M18476="","",'Master Barang'!A70)</f>
        <v>0</v>
      </c>
      <c r="O18476">
        <f>IF(N18476="","",'Master Barang'!B70)</f>
        <v>0</v>
      </c>
      <c r="P18476">
        <f>IF(OR(M18476="",N18476=""),"",SUMIFS('Barang Keluar'!$E:$E,'Barang Keluar'!$A:$A,M18476,'Barang Keluar'!$C:$C,N18476))</f>
        <v>0</v>
      </c>
    </row>
    <row r="18477" spans="13:16">
      <c r="M18477" s="49">
        <f>IF($A$4+184&gt;$B$4,"",$A$4+184)</f>
        <v>46207</v>
      </c>
      <c r="N18477">
        <f>IF(M18477="","",'Master Barang'!A71)</f>
        <v>0</v>
      </c>
      <c r="O18477">
        <f>IF(N18477="","",'Master Barang'!B71)</f>
        <v>0</v>
      </c>
      <c r="P18477">
        <f>IF(OR(M18477="",N18477=""),"",SUMIFS('Barang Keluar'!$E:$E,'Barang Keluar'!$A:$A,M18477,'Barang Keluar'!$C:$C,N18477))</f>
        <v>0</v>
      </c>
    </row>
    <row r="18478" spans="13:16">
      <c r="M18478" s="49">
        <f>IF($A$4+184&gt;$B$4,"",$A$4+184)</f>
        <v>46207</v>
      </c>
      <c r="N18478">
        <f>IF(M18478="","",'Master Barang'!A72)</f>
        <v>0</v>
      </c>
      <c r="O18478">
        <f>IF(N18478="","",'Master Barang'!B72)</f>
        <v>0</v>
      </c>
      <c r="P18478">
        <f>IF(OR(M18478="",N18478=""),"",SUMIFS('Barang Keluar'!$E:$E,'Barang Keluar'!$A:$A,M18478,'Barang Keluar'!$C:$C,N18478))</f>
        <v>0</v>
      </c>
    </row>
    <row r="18479" spans="13:16">
      <c r="M18479" s="49">
        <f>IF($A$4+184&gt;$B$4,"",$A$4+184)</f>
        <v>46207</v>
      </c>
      <c r="N18479">
        <f>IF(M18479="","",'Master Barang'!A73)</f>
        <v>0</v>
      </c>
      <c r="O18479">
        <f>IF(N18479="","",'Master Barang'!B73)</f>
        <v>0</v>
      </c>
      <c r="P18479">
        <f>IF(OR(M18479="",N18479=""),"",SUMIFS('Barang Keluar'!$E:$E,'Barang Keluar'!$A:$A,M18479,'Barang Keluar'!$C:$C,N18479))</f>
        <v>0</v>
      </c>
    </row>
    <row r="18480" spans="13:16">
      <c r="M18480" s="49">
        <f>IF($A$4+184&gt;$B$4,"",$A$4+184)</f>
        <v>46207</v>
      </c>
      <c r="N18480">
        <f>IF(M18480="","",'Master Barang'!A74)</f>
        <v>0</v>
      </c>
      <c r="O18480">
        <f>IF(N18480="","",'Master Barang'!B74)</f>
        <v>0</v>
      </c>
      <c r="P18480">
        <f>IF(OR(M18480="",N18480=""),"",SUMIFS('Barang Keluar'!$E:$E,'Barang Keluar'!$A:$A,M18480,'Barang Keluar'!$C:$C,N18480))</f>
        <v>0</v>
      </c>
    </row>
    <row r="18481" spans="13:16">
      <c r="M18481" s="49">
        <f>IF($A$4+184&gt;$B$4,"",$A$4+184)</f>
        <v>46207</v>
      </c>
      <c r="N18481">
        <f>IF(M18481="","",'Master Barang'!A75)</f>
        <v>0</v>
      </c>
      <c r="O18481">
        <f>IF(N18481="","",'Master Barang'!B75)</f>
        <v>0</v>
      </c>
      <c r="P18481">
        <f>IF(OR(M18481="",N18481=""),"",SUMIFS('Barang Keluar'!$E:$E,'Barang Keluar'!$A:$A,M18481,'Barang Keluar'!$C:$C,N18481))</f>
        <v>0</v>
      </c>
    </row>
    <row r="18482" spans="13:16">
      <c r="M18482" s="49">
        <f>IF($A$4+184&gt;$B$4,"",$A$4+184)</f>
        <v>46207</v>
      </c>
      <c r="N18482">
        <f>IF(M18482="","",'Master Barang'!A76)</f>
        <v>0</v>
      </c>
      <c r="O18482">
        <f>IF(N18482="","",'Master Barang'!B76)</f>
        <v>0</v>
      </c>
      <c r="P18482">
        <f>IF(OR(M18482="",N18482=""),"",SUMIFS('Barang Keluar'!$E:$E,'Barang Keluar'!$A:$A,M18482,'Barang Keluar'!$C:$C,N18482))</f>
        <v>0</v>
      </c>
    </row>
    <row r="18483" spans="13:16">
      <c r="M18483" s="49">
        <f>IF($A$4+184&gt;$B$4,"",$A$4+184)</f>
        <v>46207</v>
      </c>
      <c r="N18483">
        <f>IF(M18483="","",'Master Barang'!A77)</f>
        <v>0</v>
      </c>
      <c r="O18483">
        <f>IF(N18483="","",'Master Barang'!B77)</f>
        <v>0</v>
      </c>
      <c r="P18483">
        <f>IF(OR(M18483="",N18483=""),"",SUMIFS('Barang Keluar'!$E:$E,'Barang Keluar'!$A:$A,M18483,'Barang Keluar'!$C:$C,N18483))</f>
        <v>0</v>
      </c>
    </row>
    <row r="18484" spans="13:16">
      <c r="M18484" s="49">
        <f>IF($A$4+184&gt;$B$4,"",$A$4+184)</f>
        <v>46207</v>
      </c>
      <c r="N18484">
        <f>IF(M18484="","",'Master Barang'!A78)</f>
        <v>0</v>
      </c>
      <c r="O18484">
        <f>IF(N18484="","",'Master Barang'!B78)</f>
        <v>0</v>
      </c>
      <c r="P18484">
        <f>IF(OR(M18484="",N18484=""),"",SUMIFS('Barang Keluar'!$E:$E,'Barang Keluar'!$A:$A,M18484,'Barang Keluar'!$C:$C,N18484))</f>
        <v>0</v>
      </c>
    </row>
    <row r="18485" spans="13:16">
      <c r="M18485" s="49">
        <f>IF($A$4+184&gt;$B$4,"",$A$4+184)</f>
        <v>46207</v>
      </c>
      <c r="N18485">
        <f>IF(M18485="","",'Master Barang'!A79)</f>
        <v>0</v>
      </c>
      <c r="O18485">
        <f>IF(N18485="","",'Master Barang'!B79)</f>
        <v>0</v>
      </c>
      <c r="P18485">
        <f>IF(OR(M18485="",N18485=""),"",SUMIFS('Barang Keluar'!$E:$E,'Barang Keluar'!$A:$A,M18485,'Barang Keluar'!$C:$C,N18485))</f>
        <v>0</v>
      </c>
    </row>
    <row r="18486" spans="13:16">
      <c r="M18486" s="49">
        <f>IF($A$4+184&gt;$B$4,"",$A$4+184)</f>
        <v>46207</v>
      </c>
      <c r="N18486">
        <f>IF(M18486="","",'Master Barang'!A80)</f>
        <v>0</v>
      </c>
      <c r="O18486">
        <f>IF(N18486="","",'Master Barang'!B80)</f>
        <v>0</v>
      </c>
      <c r="P18486">
        <f>IF(OR(M18486="",N18486=""),"",SUMIFS('Barang Keluar'!$E:$E,'Barang Keluar'!$A:$A,M18486,'Barang Keluar'!$C:$C,N18486))</f>
        <v>0</v>
      </c>
    </row>
    <row r="18487" spans="13:16">
      <c r="M18487" s="49">
        <f>IF($A$4+184&gt;$B$4,"",$A$4+184)</f>
        <v>46207</v>
      </c>
      <c r="N18487">
        <f>IF(M18487="","",'Master Barang'!A81)</f>
        <v>0</v>
      </c>
      <c r="O18487">
        <f>IF(N18487="","",'Master Barang'!B81)</f>
        <v>0</v>
      </c>
      <c r="P18487">
        <f>IF(OR(M18487="",N18487=""),"",SUMIFS('Barang Keluar'!$E:$E,'Barang Keluar'!$A:$A,M18487,'Barang Keluar'!$C:$C,N18487))</f>
        <v>0</v>
      </c>
    </row>
    <row r="18488" spans="13:16">
      <c r="M18488" s="49">
        <f>IF($A$4+184&gt;$B$4,"",$A$4+184)</f>
        <v>46207</v>
      </c>
      <c r="N18488">
        <f>IF(M18488="","",'Master Barang'!A82)</f>
        <v>0</v>
      </c>
      <c r="O18488">
        <f>IF(N18488="","",'Master Barang'!B82)</f>
        <v>0</v>
      </c>
      <c r="P18488">
        <f>IF(OR(M18488="",N18488=""),"",SUMIFS('Barang Keluar'!$E:$E,'Barang Keluar'!$A:$A,M18488,'Barang Keluar'!$C:$C,N18488))</f>
        <v>0</v>
      </c>
    </row>
    <row r="18489" spans="13:16">
      <c r="M18489" s="49">
        <f>IF($A$4+184&gt;$B$4,"",$A$4+184)</f>
        <v>46207</v>
      </c>
      <c r="N18489">
        <f>IF(M18489="","",'Master Barang'!A83)</f>
        <v>0</v>
      </c>
      <c r="O18489">
        <f>IF(N18489="","",'Master Barang'!B83)</f>
        <v>0</v>
      </c>
      <c r="P18489">
        <f>IF(OR(M18489="",N18489=""),"",SUMIFS('Barang Keluar'!$E:$E,'Barang Keluar'!$A:$A,M18489,'Barang Keluar'!$C:$C,N18489))</f>
        <v>0</v>
      </c>
    </row>
    <row r="18490" spans="13:16">
      <c r="M18490" s="49">
        <f>IF($A$4+184&gt;$B$4,"",$A$4+184)</f>
        <v>46207</v>
      </c>
      <c r="N18490">
        <f>IF(M18490="","",'Master Barang'!A84)</f>
        <v>0</v>
      </c>
      <c r="O18490">
        <f>IF(N18490="","",'Master Barang'!B84)</f>
        <v>0</v>
      </c>
      <c r="P18490">
        <f>IF(OR(M18490="",N18490=""),"",SUMIFS('Barang Keluar'!$E:$E,'Barang Keluar'!$A:$A,M18490,'Barang Keluar'!$C:$C,N18490))</f>
        <v>0</v>
      </c>
    </row>
    <row r="18491" spans="13:16">
      <c r="M18491" s="49">
        <f>IF($A$4+184&gt;$B$4,"",$A$4+184)</f>
        <v>46207</v>
      </c>
      <c r="N18491">
        <f>IF(M18491="","",'Master Barang'!A85)</f>
        <v>0</v>
      </c>
      <c r="O18491">
        <f>IF(N18491="","",'Master Barang'!B85)</f>
        <v>0</v>
      </c>
      <c r="P18491">
        <f>IF(OR(M18491="",N18491=""),"",SUMIFS('Barang Keluar'!$E:$E,'Barang Keluar'!$A:$A,M18491,'Barang Keluar'!$C:$C,N18491))</f>
        <v>0</v>
      </c>
    </row>
    <row r="18492" spans="13:16">
      <c r="M18492" s="49">
        <f>IF($A$4+184&gt;$B$4,"",$A$4+184)</f>
        <v>46207</v>
      </c>
      <c r="N18492">
        <f>IF(M18492="","",'Master Barang'!A86)</f>
        <v>0</v>
      </c>
      <c r="O18492">
        <f>IF(N18492="","",'Master Barang'!B86)</f>
        <v>0</v>
      </c>
      <c r="P18492">
        <f>IF(OR(M18492="",N18492=""),"",SUMIFS('Barang Keluar'!$E:$E,'Barang Keluar'!$A:$A,M18492,'Barang Keluar'!$C:$C,N18492))</f>
        <v>0</v>
      </c>
    </row>
    <row r="18493" spans="13:16">
      <c r="M18493" s="49">
        <f>IF($A$4+184&gt;$B$4,"",$A$4+184)</f>
        <v>46207</v>
      </c>
      <c r="N18493">
        <f>IF(M18493="","",'Master Barang'!A87)</f>
        <v>0</v>
      </c>
      <c r="O18493">
        <f>IF(N18493="","",'Master Barang'!B87)</f>
        <v>0</v>
      </c>
      <c r="P18493">
        <f>IF(OR(M18493="",N18493=""),"",SUMIFS('Barang Keluar'!$E:$E,'Barang Keluar'!$A:$A,M18493,'Barang Keluar'!$C:$C,N18493))</f>
        <v>0</v>
      </c>
    </row>
    <row r="18494" spans="13:16">
      <c r="M18494" s="49">
        <f>IF($A$4+184&gt;$B$4,"",$A$4+184)</f>
        <v>46207</v>
      </c>
      <c r="N18494">
        <f>IF(M18494="","",'Master Barang'!A88)</f>
        <v>0</v>
      </c>
      <c r="O18494">
        <f>IF(N18494="","",'Master Barang'!B88)</f>
        <v>0</v>
      </c>
      <c r="P18494">
        <f>IF(OR(M18494="",N18494=""),"",SUMIFS('Barang Keluar'!$E:$E,'Barang Keluar'!$A:$A,M18494,'Barang Keluar'!$C:$C,N18494))</f>
        <v>0</v>
      </c>
    </row>
    <row r="18495" spans="13:16">
      <c r="M18495" s="49">
        <f>IF($A$4+184&gt;$B$4,"",$A$4+184)</f>
        <v>46207</v>
      </c>
      <c r="N18495">
        <f>IF(M18495="","",'Master Barang'!A89)</f>
        <v>0</v>
      </c>
      <c r="O18495">
        <f>IF(N18495="","",'Master Barang'!B89)</f>
        <v>0</v>
      </c>
      <c r="P18495">
        <f>IF(OR(M18495="",N18495=""),"",SUMIFS('Barang Keluar'!$E:$E,'Barang Keluar'!$A:$A,M18495,'Barang Keluar'!$C:$C,N18495))</f>
        <v>0</v>
      </c>
    </row>
    <row r="18496" spans="13:16">
      <c r="M18496" s="49">
        <f>IF($A$4+184&gt;$B$4,"",$A$4+184)</f>
        <v>46207</v>
      </c>
      <c r="N18496">
        <f>IF(M18496="","",'Master Barang'!A90)</f>
        <v>0</v>
      </c>
      <c r="O18496">
        <f>IF(N18496="","",'Master Barang'!B90)</f>
        <v>0</v>
      </c>
      <c r="P18496">
        <f>IF(OR(M18496="",N18496=""),"",SUMIFS('Barang Keluar'!$E:$E,'Barang Keluar'!$A:$A,M18496,'Barang Keluar'!$C:$C,N18496))</f>
        <v>0</v>
      </c>
    </row>
    <row r="18497" spans="13:16">
      <c r="M18497" s="49">
        <f>IF($A$4+184&gt;$B$4,"",$A$4+184)</f>
        <v>46207</v>
      </c>
      <c r="N18497">
        <f>IF(M18497="","",'Master Barang'!A91)</f>
        <v>0</v>
      </c>
      <c r="O18497">
        <f>IF(N18497="","",'Master Barang'!B91)</f>
        <v>0</v>
      </c>
      <c r="P18497">
        <f>IF(OR(M18497="",N18497=""),"",SUMIFS('Barang Keluar'!$E:$E,'Barang Keluar'!$A:$A,M18497,'Barang Keluar'!$C:$C,N18497))</f>
        <v>0</v>
      </c>
    </row>
    <row r="18498" spans="13:16">
      <c r="M18498" s="49">
        <f>IF($A$4+184&gt;$B$4,"",$A$4+184)</f>
        <v>46207</v>
      </c>
      <c r="N18498">
        <f>IF(M18498="","",'Master Barang'!A92)</f>
        <v>0</v>
      </c>
      <c r="O18498">
        <f>IF(N18498="","",'Master Barang'!B92)</f>
        <v>0</v>
      </c>
      <c r="P18498">
        <f>IF(OR(M18498="",N18498=""),"",SUMIFS('Barang Keluar'!$E:$E,'Barang Keluar'!$A:$A,M18498,'Barang Keluar'!$C:$C,N18498))</f>
        <v>0</v>
      </c>
    </row>
    <row r="18499" spans="13:16">
      <c r="M18499" s="49">
        <f>IF($A$4+184&gt;$B$4,"",$A$4+184)</f>
        <v>46207</v>
      </c>
      <c r="N18499">
        <f>IF(M18499="","",'Master Barang'!A93)</f>
        <v>0</v>
      </c>
      <c r="O18499">
        <f>IF(N18499="","",'Master Barang'!B93)</f>
        <v>0</v>
      </c>
      <c r="P18499">
        <f>IF(OR(M18499="",N18499=""),"",SUMIFS('Barang Keluar'!$E:$E,'Barang Keluar'!$A:$A,M18499,'Barang Keluar'!$C:$C,N18499))</f>
        <v>0</v>
      </c>
    </row>
    <row r="18500" spans="13:16">
      <c r="M18500" s="49">
        <f>IF($A$4+184&gt;$B$4,"",$A$4+184)</f>
        <v>46207</v>
      </c>
      <c r="N18500">
        <f>IF(M18500="","",'Master Barang'!A94)</f>
        <v>0</v>
      </c>
      <c r="O18500">
        <f>IF(N18500="","",'Master Barang'!B94)</f>
        <v>0</v>
      </c>
      <c r="P18500">
        <f>IF(OR(M18500="",N18500=""),"",SUMIFS('Barang Keluar'!$E:$E,'Barang Keluar'!$A:$A,M18500,'Barang Keluar'!$C:$C,N18500))</f>
        <v>0</v>
      </c>
    </row>
    <row r="18501" spans="13:16">
      <c r="M18501" s="49">
        <f>IF($A$4+184&gt;$B$4,"",$A$4+184)</f>
        <v>46207</v>
      </c>
      <c r="N18501">
        <f>IF(M18501="","",'Master Barang'!A95)</f>
        <v>0</v>
      </c>
      <c r="O18501">
        <f>IF(N18501="","",'Master Barang'!B95)</f>
        <v>0</v>
      </c>
      <c r="P18501">
        <f>IF(OR(M18501="",N18501=""),"",SUMIFS('Barang Keluar'!$E:$E,'Barang Keluar'!$A:$A,M18501,'Barang Keluar'!$C:$C,N18501))</f>
        <v>0</v>
      </c>
    </row>
    <row r="18502" spans="13:16">
      <c r="M18502" s="49">
        <f>IF($A$4+184&gt;$B$4,"",$A$4+184)</f>
        <v>46207</v>
      </c>
      <c r="N18502">
        <f>IF(M18502="","",'Master Barang'!A96)</f>
        <v>0</v>
      </c>
      <c r="O18502">
        <f>IF(N18502="","",'Master Barang'!B96)</f>
        <v>0</v>
      </c>
      <c r="P18502">
        <f>IF(OR(M18502="",N18502=""),"",SUMIFS('Barang Keluar'!$E:$E,'Barang Keluar'!$A:$A,M18502,'Barang Keluar'!$C:$C,N18502))</f>
        <v>0</v>
      </c>
    </row>
    <row r="18503" spans="13:16">
      <c r="M18503" s="49">
        <f>IF($A$4+184&gt;$B$4,"",$A$4+184)</f>
        <v>46207</v>
      </c>
      <c r="N18503">
        <f>IF(M18503="","",'Master Barang'!A97)</f>
        <v>0</v>
      </c>
      <c r="O18503">
        <f>IF(N18503="","",'Master Barang'!B97)</f>
        <v>0</v>
      </c>
      <c r="P18503">
        <f>IF(OR(M18503="",N18503=""),"",SUMIFS('Barang Keluar'!$E:$E,'Barang Keluar'!$A:$A,M18503,'Barang Keluar'!$C:$C,N18503))</f>
        <v>0</v>
      </c>
    </row>
    <row r="18504" spans="13:16">
      <c r="M18504" s="49">
        <f>IF($A$4+184&gt;$B$4,"",$A$4+184)</f>
        <v>46207</v>
      </c>
      <c r="N18504">
        <f>IF(M18504="","",'Master Barang'!A98)</f>
        <v>0</v>
      </c>
      <c r="O18504">
        <f>IF(N18504="","",'Master Barang'!B98)</f>
        <v>0</v>
      </c>
      <c r="P18504">
        <f>IF(OR(M18504="",N18504=""),"",SUMIFS('Barang Keluar'!$E:$E,'Barang Keluar'!$A:$A,M18504,'Barang Keluar'!$C:$C,N18504))</f>
        <v>0</v>
      </c>
    </row>
    <row r="18505" spans="13:16">
      <c r="M18505" s="49">
        <f>IF($A$4+184&gt;$B$4,"",$A$4+184)</f>
        <v>46207</v>
      </c>
      <c r="N18505">
        <f>IF(M18505="","",'Master Barang'!A99)</f>
        <v>0</v>
      </c>
      <c r="O18505">
        <f>IF(N18505="","",'Master Barang'!B99)</f>
        <v>0</v>
      </c>
      <c r="P18505">
        <f>IF(OR(M18505="",N18505=""),"",SUMIFS('Barang Keluar'!$E:$E,'Barang Keluar'!$A:$A,M18505,'Barang Keluar'!$C:$C,N18505))</f>
        <v>0</v>
      </c>
    </row>
    <row r="18506" spans="13:16">
      <c r="M18506" s="49">
        <f>IF($A$4+184&gt;$B$4,"",$A$4+184)</f>
        <v>46207</v>
      </c>
      <c r="N18506">
        <f>IF(M18506="","",'Master Barang'!A100)</f>
        <v>0</v>
      </c>
      <c r="O18506">
        <f>IF(N18506="","",'Master Barang'!B100)</f>
        <v>0</v>
      </c>
      <c r="P18506">
        <f>IF(OR(M18506="",N18506=""),"",SUMIFS('Barang Keluar'!$E:$E,'Barang Keluar'!$A:$A,M18506,'Barang Keluar'!$C:$C,N18506))</f>
        <v>0</v>
      </c>
    </row>
    <row r="18507" spans="13:16">
      <c r="M18507" s="49">
        <f>IF($A$4+184&gt;$B$4,"",$A$4+184)</f>
        <v>46207</v>
      </c>
      <c r="N18507">
        <f>IF(M18507="","",'Master Barang'!A101)</f>
        <v>0</v>
      </c>
      <c r="O18507">
        <f>IF(N18507="","",'Master Barang'!B101)</f>
        <v>0</v>
      </c>
      <c r="P18507">
        <f>IF(OR(M18507="",N18507=""),"",SUMIFS('Barang Keluar'!$E:$E,'Barang Keluar'!$A:$A,M18507,'Barang Keluar'!$C:$C,N18507))</f>
        <v>0</v>
      </c>
    </row>
    <row r="18508" spans="13:16">
      <c r="M18508" s="49">
        <f>IF($A$4+185&gt;$B$4,"",$A$4+185)</f>
        <v>46208</v>
      </c>
      <c r="N18508" t="str">
        <f>IF(M18508="","",'Master Barang'!A2)</f>
        <v>PRL-001</v>
      </c>
      <c r="O18508" t="str">
        <f>IF(N18508="","",'Master Barang'!B2)</f>
        <v>natura desinfectant food grade 5l</v>
      </c>
      <c r="P18508">
        <f>IF(OR(M18508="",N18508=""),"",SUMIFS('Barang Keluar'!$E:$E,'Barang Keluar'!$A:$A,M18508,'Barang Keluar'!$C:$C,N18508))</f>
        <v>0</v>
      </c>
    </row>
    <row r="18509" spans="13:16">
      <c r="M18509" s="49">
        <f>IF($A$4+185&gt;$B$4,"",$A$4+185)</f>
        <v>46208</v>
      </c>
      <c r="N18509" t="str">
        <f>IF(M18509="","",'Master Barang'!A3)</f>
        <v>PRL-002</v>
      </c>
      <c r="O18509" t="str">
        <f>IF(N18509="","",'Master Barang'!B3)</f>
        <v>sunlight cairan pencuci piring 5l</v>
      </c>
      <c r="P18509">
        <f>IF(OR(M18509="",N18509=""),"",SUMIFS('Barang Keluar'!$E:$E,'Barang Keluar'!$A:$A,M18509,'Barang Keluar'!$C:$C,N18509))</f>
        <v>0</v>
      </c>
    </row>
    <row r="18510" spans="13:16">
      <c r="M18510" s="49">
        <f>IF($A$4+185&gt;$B$4,"",$A$4+185)</f>
        <v>46208</v>
      </c>
      <c r="N18510" t="str">
        <f>IF(M18510="","",'Master Barang'!A4)</f>
        <v>PRL-003</v>
      </c>
      <c r="O18510" t="str">
        <f>IF(N18510="","",'Master Barang'!B4)</f>
        <v>oixs cleaner 1l</v>
      </c>
      <c r="P18510">
        <f>IF(OR(M18510="",N18510=""),"",SUMIFS('Barang Keluar'!$E:$E,'Barang Keluar'!$A:$A,M18510,'Barang Keluar'!$C:$C,N18510))</f>
        <v>0</v>
      </c>
    </row>
    <row r="18511" spans="13:16">
      <c r="M18511" s="49">
        <f>IF($A$4+185&gt;$B$4,"",$A$4+185)</f>
        <v>46208</v>
      </c>
      <c r="N18511" t="str">
        <f>IF(M18511="","",'Master Barang'!A5)</f>
        <v>PRL-004</v>
      </c>
      <c r="O18511" t="str">
        <f>IF(N18511="","",'Master Barang'!B5)</f>
        <v>be clean tissue serbaguna</v>
      </c>
      <c r="P18511">
        <f>IF(OR(M18511="",N18511=""),"",SUMIFS('Barang Keluar'!$E:$E,'Barang Keluar'!$A:$A,M18511,'Barang Keluar'!$C:$C,N18511))</f>
        <v>0</v>
      </c>
    </row>
    <row r="18512" spans="13:16">
      <c r="M18512" s="49">
        <f>IF($A$4+185&gt;$B$4,"",$A$4+185)</f>
        <v>46208</v>
      </c>
      <c r="N18512" t="str">
        <f>IF(M18512="","",'Master Barang'!A6)</f>
        <v>PRL-005</v>
      </c>
      <c r="O18512" t="str">
        <f>IF(N18512="","",'Master Barang'!B6)</f>
        <v>spons cuci hijau</v>
      </c>
      <c r="P18512">
        <f>IF(OR(M18512="",N18512=""),"",SUMIFS('Barang Keluar'!$E:$E,'Barang Keluar'!$A:$A,M18512,'Barang Keluar'!$C:$C,N18512))</f>
        <v>0</v>
      </c>
    </row>
    <row r="18513" spans="13:16">
      <c r="M18513" s="49">
        <f>IF($A$4+185&gt;$B$4,"",$A$4+185)</f>
        <v>46208</v>
      </c>
      <c r="N18513" t="str">
        <f>IF(M18513="","",'Master Barang'!A7)</f>
        <v>PRL-006</v>
      </c>
      <c r="O18513" t="str">
        <f>IF(N18513="","",'Master Barang'!B7)</f>
        <v>sabut cuci stainless</v>
      </c>
      <c r="P18513">
        <f>IF(OR(M18513="",N18513=""),"",SUMIFS('Barang Keluar'!$E:$E,'Barang Keluar'!$A:$A,M18513,'Barang Keluar'!$C:$C,N18513))</f>
        <v>0</v>
      </c>
    </row>
    <row r="18514" spans="13:16">
      <c r="M18514" s="49">
        <f>IF($A$4+185&gt;$B$4,"",$A$4+185)</f>
        <v>46208</v>
      </c>
      <c r="N18514" t="str">
        <f>IF(M18514="","",'Master Barang'!A8)</f>
        <v>PRL-007</v>
      </c>
      <c r="O18514" t="str">
        <f>IF(N18514="","",'Master Barang'!B8)</f>
        <v>plastik kresek besar merah 50pc</v>
      </c>
      <c r="P18514">
        <f>IF(OR(M18514="",N18514=""),"",SUMIFS('Barang Keluar'!$E:$E,'Barang Keluar'!$A:$A,M18514,'Barang Keluar'!$C:$C,N18514))</f>
        <v>0</v>
      </c>
    </row>
    <row r="18515" spans="13:16">
      <c r="M18515" s="49">
        <f>IF($A$4+185&gt;$B$4,"",$A$4+185)</f>
        <v>46208</v>
      </c>
      <c r="N18515" t="str">
        <f>IF(M18515="","",'Master Barang'!A9)</f>
        <v>PRL-008</v>
      </c>
      <c r="O18515" t="str">
        <f>IF(N18515="","",'Master Barang'!B9)</f>
        <v>lap besar</v>
      </c>
      <c r="P18515">
        <f>IF(OR(M18515="",N18515=""),"",SUMIFS('Barang Keluar'!$E:$E,'Barang Keluar'!$A:$A,M18515,'Barang Keluar'!$C:$C,N18515))</f>
        <v>0</v>
      </c>
    </row>
    <row r="18516" spans="13:16">
      <c r="M18516" s="49">
        <f>IF($A$4+185&gt;$B$4,"",$A$4+185)</f>
        <v>46208</v>
      </c>
      <c r="N18516" t="str">
        <f>IF(M18516="","",'Master Barang'!A10)</f>
        <v>PRL-009</v>
      </c>
      <c r="O18516" t="str">
        <f>IF(N18516="","",'Master Barang'!B10)</f>
        <v>lap microfiber</v>
      </c>
      <c r="P18516">
        <f>IF(OR(M18516="",N18516=""),"",SUMIFS('Barang Keluar'!$E:$E,'Barang Keluar'!$A:$A,M18516,'Barang Keluar'!$C:$C,N18516))</f>
        <v>0</v>
      </c>
    </row>
    <row r="18517" spans="13:16">
      <c r="M18517" s="49">
        <f>IF($A$4+185&gt;$B$4,"",$A$4+185)</f>
        <v>46208</v>
      </c>
      <c r="N18517" t="str">
        <f>IF(M18517="","",'Master Barang'!A11)</f>
        <v>PRL-010</v>
      </c>
      <c r="O18517" t="str">
        <f>IF(N18517="","",'Master Barang'!B11)</f>
        <v>lap kecil</v>
      </c>
      <c r="P18517">
        <f>IF(OR(M18517="",N18517=""),"",SUMIFS('Barang Keluar'!$E:$E,'Barang Keluar'!$A:$A,M18517,'Barang Keluar'!$C:$C,N18517))</f>
        <v>0</v>
      </c>
    </row>
    <row r="18518" spans="13:16">
      <c r="M18518" s="49">
        <f>IF($A$4+185&gt;$B$4,"",$A$4+185)</f>
        <v>46208</v>
      </c>
      <c r="N18518" t="str">
        <f>IF(M18518="","",'Master Barang'!A12)</f>
        <v>PRL-011</v>
      </c>
      <c r="O18518" t="str">
        <f>IF(N18518="","",'Master Barang'!B12)</f>
        <v>kanebo kecil</v>
      </c>
      <c r="P18518">
        <f>IF(OR(M18518="",N18518=""),"",SUMIFS('Barang Keluar'!$E:$E,'Barang Keluar'!$A:$A,M18518,'Barang Keluar'!$C:$C,N18518))</f>
        <v>0</v>
      </c>
    </row>
    <row r="18519" spans="13:16">
      <c r="M18519" s="49">
        <f>IF($A$4+185&gt;$B$4,"",$A$4+185)</f>
        <v>46208</v>
      </c>
      <c r="N18519" t="str">
        <f>IF(M18519="","",'Master Barang'!A13)</f>
        <v>PRL-012</v>
      </c>
      <c r="O18519" t="str">
        <f>IF(N18519="","",'Master Barang'!B13)</f>
        <v>plastik 1/4kg joyoboyo 100 lembar</v>
      </c>
      <c r="P18519">
        <f>IF(OR(M18519="",N18519=""),"",SUMIFS('Barang Keluar'!$E:$E,'Barang Keluar'!$A:$A,M18519,'Barang Keluar'!$C:$C,N18519))</f>
        <v>0</v>
      </c>
    </row>
    <row r="18520" spans="13:16">
      <c r="M18520" s="49">
        <f>IF($A$4+185&gt;$B$4,"",$A$4+185)</f>
        <v>46208</v>
      </c>
      <c r="N18520" t="str">
        <f>IF(M18520="","",'Master Barang'!A14)</f>
        <v>PRL-013</v>
      </c>
      <c r="O18520" t="str">
        <f>IF(N18520="","",'Master Barang'!B14)</f>
        <v>sarung tangan plastik kaka 100 pcs</v>
      </c>
      <c r="P18520">
        <f>IF(OR(M18520="",N18520=""),"",SUMIFS('Barang Keluar'!$E:$E,'Barang Keluar'!$A:$A,M18520,'Barang Keluar'!$C:$C,N18520))</f>
        <v>0</v>
      </c>
    </row>
    <row r="18521" spans="13:16">
      <c r="M18521" s="49">
        <f>IF($A$4+185&gt;$B$4,"",$A$4+185)</f>
        <v>46208</v>
      </c>
      <c r="N18521" t="str">
        <f>IF(M18521="","",'Master Barang'!A15)</f>
        <v>PRL-014</v>
      </c>
      <c r="O18521" t="str">
        <f>IF(N18521="","",'Master Barang'!B15)</f>
        <v>optima trashbag 80x100</v>
      </c>
      <c r="P18521">
        <f>IF(OR(M18521="",N18521=""),"",SUMIFS('Barang Keluar'!$E:$E,'Barang Keluar'!$A:$A,M18521,'Barang Keluar'!$C:$C,N18521))</f>
        <v>0</v>
      </c>
    </row>
    <row r="18522" spans="13:16">
      <c r="M18522" s="49">
        <f>IF($A$4+185&gt;$B$4,"",$A$4+185)</f>
        <v>46208</v>
      </c>
      <c r="N18522" t="str">
        <f>IF(M18522="","",'Master Barang'!A16)</f>
        <v>PRL-015</v>
      </c>
      <c r="O18522" t="str">
        <f>IF(N18522="","",'Master Barang'!B16)</f>
        <v>optima trashbag 60x100</v>
      </c>
      <c r="P18522">
        <f>IF(OR(M18522="",N18522=""),"",SUMIFS('Barang Keluar'!$E:$E,'Barang Keluar'!$A:$A,M18522,'Barang Keluar'!$C:$C,N18522))</f>
        <v>0</v>
      </c>
    </row>
    <row r="18523" spans="13:16">
      <c r="M18523" s="49">
        <f>IF($A$4+185&gt;$B$4,"",$A$4+185)</f>
        <v>46208</v>
      </c>
      <c r="N18523" t="str">
        <f>IF(M18523="","",'Master Barang'!A17)</f>
        <v>PRL-016</v>
      </c>
      <c r="O18523" t="str">
        <f>IF(N18523="","",'Master Barang'!B17)</f>
        <v>rajawali trashbag 30x40</v>
      </c>
      <c r="P18523">
        <f>IF(OR(M18523="",N18523=""),"",SUMIFS('Barang Keluar'!$E:$E,'Barang Keluar'!$A:$A,M18523,'Barang Keluar'!$C:$C,N18523))</f>
        <v>0</v>
      </c>
    </row>
    <row r="18524" spans="13:16">
      <c r="M18524" s="49">
        <f>IF($A$4+185&gt;$B$4,"",$A$4+185)</f>
        <v>46208</v>
      </c>
      <c r="N18524" t="str">
        <f>IF(M18524="","",'Master Barang'!A18)</f>
        <v>PRL-017</v>
      </c>
      <c r="O18524" t="str">
        <f>IF(N18524="","",'Master Barang'!B18)</f>
        <v>onemed masker biru 3 play 50 pcs</v>
      </c>
      <c r="P18524">
        <f>IF(OR(M18524="",N18524=""),"",SUMIFS('Barang Keluar'!$E:$E,'Barang Keluar'!$A:$A,M18524,'Barang Keluar'!$C:$C,N18524))</f>
        <v>0</v>
      </c>
    </row>
    <row r="18525" spans="13:16">
      <c r="M18525" s="49">
        <f>IF($A$4+185&gt;$B$4,"",$A$4+185)</f>
        <v>46208</v>
      </c>
      <c r="N18525" t="str">
        <f>IF(M18525="","",'Master Barang'!A19)</f>
        <v>PRL-018</v>
      </c>
      <c r="O18525" t="str">
        <f>IF(N18525="","",'Master Barang'!B19)</f>
        <v>onemed masker biru 3 play hijab 50 pcs</v>
      </c>
      <c r="P18525">
        <f>IF(OR(M18525="",N18525=""),"",SUMIFS('Barang Keluar'!$E:$E,'Barang Keluar'!$A:$A,M18525,'Barang Keluar'!$C:$C,N18525))</f>
        <v>0</v>
      </c>
    </row>
    <row r="18526" spans="13:16">
      <c r="M18526" s="49">
        <f>IF($A$4+185&gt;$B$4,"",$A$4+185)</f>
        <v>46208</v>
      </c>
      <c r="N18526" t="str">
        <f>IF(M18526="","",'Master Barang'!A20)</f>
        <v>PRL-019</v>
      </c>
      <c r="O18526" t="str">
        <f>IF(N18526="","",'Master Barang'!B20)</f>
        <v>neo health masker biru 3 play 50 pcs</v>
      </c>
      <c r="P18526">
        <f>IF(OR(M18526="",N18526=""),"",SUMIFS('Barang Keluar'!$E:$E,'Barang Keluar'!$A:$A,M18526,'Barang Keluar'!$C:$C,N18526))</f>
        <v>0</v>
      </c>
    </row>
    <row r="18527" spans="13:16">
      <c r="M18527" s="49">
        <f>IF($A$4+185&gt;$B$4,"",$A$4+185)</f>
        <v>46208</v>
      </c>
      <c r="N18527" t="str">
        <f>IF(M18527="","",'Master Barang'!A21)</f>
        <v>PRL-020</v>
      </c>
      <c r="O18527" t="str">
        <f>IF(N18527="","",'Master Barang'!B21)</f>
        <v>baymed masker hijau 3 play hijau 50 pcs</v>
      </c>
      <c r="P18527">
        <f>IF(OR(M18527="",N18527=""),"",SUMIFS('Barang Keluar'!$E:$E,'Barang Keluar'!$A:$A,M18527,'Barang Keluar'!$C:$C,N18527))</f>
        <v>0</v>
      </c>
    </row>
    <row r="18528" spans="13:16">
      <c r="M18528" s="49">
        <f>IF($A$4+185&gt;$B$4,"",$A$4+185)</f>
        <v>46208</v>
      </c>
      <c r="N18528" t="str">
        <f>IF(M18528="","",'Master Barang'!A22)</f>
        <v>PRL-021</v>
      </c>
      <c r="O18528" t="str">
        <f>IF(N18528="","",'Master Barang'!B22)</f>
        <v>altamed nurse cap penutup kepala 100 pcs</v>
      </c>
      <c r="P18528">
        <f>IF(OR(M18528="",N18528=""),"",SUMIFS('Barang Keluar'!$E:$E,'Barang Keluar'!$A:$A,M18528,'Barang Keluar'!$C:$C,N18528))</f>
        <v>0</v>
      </c>
    </row>
    <row r="18529" spans="13:16">
      <c r="M18529" s="49">
        <f>IF($A$4+185&gt;$B$4,"",$A$4+185)</f>
        <v>46208</v>
      </c>
      <c r="N18529" t="str">
        <f>IF(M18529="","",'Master Barang'!A23)</f>
        <v>PRL-022</v>
      </c>
      <c r="O18529" t="str">
        <f>IF(N18529="","",'Master Barang'!B23)</f>
        <v>sabun cuci tangan</v>
      </c>
      <c r="P18529">
        <f>IF(OR(M18529="",N18529=""),"",SUMIFS('Barang Keluar'!$E:$E,'Barang Keluar'!$A:$A,M18529,'Barang Keluar'!$C:$C,N18529))</f>
        <v>0</v>
      </c>
    </row>
    <row r="18530" spans="13:16">
      <c r="M18530" s="49">
        <f>IF($A$4+185&gt;$B$4,"",$A$4+185)</f>
        <v>46208</v>
      </c>
      <c r="N18530" t="str">
        <f>IF(M18530="","",'Master Barang'!A24)</f>
        <v>PRL-023</v>
      </c>
      <c r="O18530" t="str">
        <f>IF(N18530="","",'Master Barang'!B24)</f>
        <v>gayung kecil</v>
      </c>
      <c r="P18530">
        <f>IF(OR(M18530="",N18530=""),"",SUMIFS('Barang Keluar'!$E:$E,'Barang Keluar'!$A:$A,M18530,'Barang Keluar'!$C:$C,N18530))</f>
        <v>0</v>
      </c>
    </row>
    <row r="18531" spans="13:16">
      <c r="M18531" s="49">
        <f>IF($A$4+185&gt;$B$4,"",$A$4+185)</f>
        <v>46208</v>
      </c>
      <c r="N18531" t="str">
        <f>IF(M18531="","",'Master Barang'!A25)</f>
        <v>PRL-024</v>
      </c>
      <c r="O18531" t="str">
        <f>IF(N18531="","",'Master Barang'!B25)</f>
        <v>cikrak kecil</v>
      </c>
      <c r="P18531">
        <f>IF(OR(M18531="",N18531=""),"",SUMIFS('Barang Keluar'!$E:$E,'Barang Keluar'!$A:$A,M18531,'Barang Keluar'!$C:$C,N18531))</f>
        <v>0</v>
      </c>
    </row>
    <row r="18532" spans="13:16">
      <c r="M18532" s="49">
        <f>IF($A$4+185&gt;$B$4,"",$A$4+185)</f>
        <v>46208</v>
      </c>
      <c r="N18532" t="str">
        <f>IF(M18532="","",'Master Barang'!A26)</f>
        <v>PRL-025</v>
      </c>
      <c r="O18532" t="str">
        <f>IF(N18532="","",'Master Barang'!B26)</f>
        <v>petromax plastik kecil 12x24 100 lembar</v>
      </c>
      <c r="P18532">
        <f>IF(OR(M18532="",N18532=""),"",SUMIFS('Barang Keluar'!$E:$E,'Barang Keluar'!$A:$A,M18532,'Barang Keluar'!$C:$C,N18532))</f>
        <v>0</v>
      </c>
    </row>
    <row r="18533" spans="13:16">
      <c r="M18533" s="49">
        <f>IF($A$4+185&gt;$B$4,"",$A$4+185)</f>
        <v>46208</v>
      </c>
      <c r="N18533" t="str">
        <f>IF(M18533="","",'Master Barang'!A27)</f>
        <v>PRL-026</v>
      </c>
      <c r="O18533" t="str">
        <f>IF(N18533="","",'Master Barang'!B27)</f>
        <v>lancar kresek kecil bening </v>
      </c>
      <c r="P18533">
        <f>IF(OR(M18533="",N18533=""),"",SUMIFS('Barang Keluar'!$E:$E,'Barang Keluar'!$A:$A,M18533,'Barang Keluar'!$C:$C,N18533))</f>
        <v>0</v>
      </c>
    </row>
    <row r="18534" spans="13:16">
      <c r="M18534" s="49">
        <f>IF($A$4+185&gt;$B$4,"",$A$4+185)</f>
        <v>46208</v>
      </c>
      <c r="N18534" t="str">
        <f>IF(M18534="","",'Master Barang'!A28)</f>
        <v>PRL-027</v>
      </c>
      <c r="O18534" t="str">
        <f>IF(N18534="","",'Master Barang'!B28)</f>
        <v>kresek klin warna warni kecil</v>
      </c>
      <c r="P18534">
        <f>IF(OR(M18534="",N18534=""),"",SUMIFS('Barang Keluar'!$E:$E,'Barang Keluar'!$A:$A,M18534,'Barang Keluar'!$C:$C,N18534))</f>
        <v>0</v>
      </c>
    </row>
    <row r="18535" spans="13:16">
      <c r="M18535" s="49">
        <f>IF($A$4+185&gt;$B$4,"",$A$4+185)</f>
        <v>46208</v>
      </c>
      <c r="N18535" t="str">
        <f>IF(M18535="","",'Master Barang'!A29)</f>
        <v>PRL-028</v>
      </c>
      <c r="O18535" t="str">
        <f>IF(N18535="","",'Master Barang'!B29)</f>
        <v>ctik plastik 7x10 100 pcs</v>
      </c>
      <c r="P18535">
        <f>IF(OR(M18535="",N18535=""),"",SUMIFS('Barang Keluar'!$E:$E,'Barang Keluar'!$A:$A,M18535,'Barang Keluar'!$C:$C,N18535))</f>
        <v>0</v>
      </c>
    </row>
    <row r="18536" spans="13:16">
      <c r="M18536" s="49">
        <f>IF($A$4+185&gt;$B$4,"",$A$4+185)</f>
        <v>46208</v>
      </c>
      <c r="N18536" t="str">
        <f>IF(M18536="","",'Master Barang'!A30)</f>
        <v>PRL-029</v>
      </c>
      <c r="O18536" t="str">
        <f>IF(N18536="","",'Master Barang'!B30)</f>
        <v>ctik plastik 6x10 100 pcs</v>
      </c>
      <c r="P18536">
        <f>IF(OR(M18536="",N18536=""),"",SUMIFS('Barang Keluar'!$E:$E,'Barang Keluar'!$A:$A,M18536,'Barang Keluar'!$C:$C,N18536))</f>
        <v>0</v>
      </c>
    </row>
    <row r="18537" spans="13:16">
      <c r="M18537" s="49">
        <f>IF($A$4+185&gt;$B$4,"",$A$4+185)</f>
        <v>46208</v>
      </c>
      <c r="N18537" t="str">
        <f>IF(M18537="","",'Master Barang'!A31)</f>
        <v>PRL-030</v>
      </c>
      <c r="O18537" t="str">
        <f>IF(N18537="","",'Master Barang'!B31)</f>
        <v>klip plastik 25x16 100 pcs</v>
      </c>
      <c r="P18537">
        <f>IF(OR(M18537="",N18537=""),"",SUMIFS('Barang Keluar'!$E:$E,'Barang Keluar'!$A:$A,M18537,'Barang Keluar'!$C:$C,N18537))</f>
        <v>0</v>
      </c>
    </row>
    <row r="18538" spans="13:16">
      <c r="M18538" s="49">
        <f>IF($A$4+185&gt;$B$4,"",$A$4+185)</f>
        <v>46208</v>
      </c>
      <c r="N18538" t="str">
        <f>IF(M18538="","",'Master Barang'!A32)</f>
        <v>PRL-031</v>
      </c>
      <c r="O18538" t="str">
        <f>IF(N18538="","",'Master Barang'!B32)</f>
        <v>tempat saus 20 ml</v>
      </c>
      <c r="P18538">
        <f>IF(OR(M18538="",N18538=""),"",SUMIFS('Barang Keluar'!$E:$E,'Barang Keluar'!$A:$A,M18538,'Barang Keluar'!$C:$C,N18538))</f>
        <v>0</v>
      </c>
    </row>
    <row r="18539" spans="13:16">
      <c r="M18539" s="49">
        <f>IF($A$4+185&gt;$B$4,"",$A$4+185)</f>
        <v>46208</v>
      </c>
      <c r="N18539" t="str">
        <f>IF(M18539="","",'Master Barang'!A33)</f>
        <v>PRL-032</v>
      </c>
      <c r="O18539" t="str">
        <f>IF(N18539="","",'Master Barang'!B33)</f>
        <v>plastik packaging ag box uk sedang</v>
      </c>
      <c r="P18539">
        <f>IF(OR(M18539="",N18539=""),"",SUMIFS('Barang Keluar'!$E:$E,'Barang Keluar'!$A:$A,M18539,'Barang Keluar'!$C:$C,N18539))</f>
        <v>0</v>
      </c>
    </row>
    <row r="18540" spans="13:16">
      <c r="M18540" s="49">
        <f>IF($A$4+185&gt;$B$4,"",$A$4+185)</f>
        <v>46208</v>
      </c>
      <c r="N18540" t="str">
        <f>IF(M18540="","",'Master Barang'!A34)</f>
        <v>PRL-033</v>
      </c>
      <c r="O18540">
        <f>IF(N18540="","",'Master Barang'!B34)</f>
        <v>0</v>
      </c>
      <c r="P18540">
        <f>IF(OR(M18540="",N18540=""),"",SUMIFS('Barang Keluar'!$E:$E,'Barang Keluar'!$A:$A,M18540,'Barang Keluar'!$C:$C,N18540))</f>
        <v>0</v>
      </c>
    </row>
    <row r="18541" spans="13:16">
      <c r="M18541" s="49">
        <f>IF($A$4+185&gt;$B$4,"",$A$4+185)</f>
        <v>46208</v>
      </c>
      <c r="N18541">
        <f>IF(M18541="","",'Master Barang'!A35)</f>
        <v>0</v>
      </c>
      <c r="O18541">
        <f>IF(N18541="","",'Master Barang'!B35)</f>
        <v>0</v>
      </c>
      <c r="P18541">
        <f>IF(OR(M18541="",N18541=""),"",SUMIFS('Barang Keluar'!$E:$E,'Barang Keluar'!$A:$A,M18541,'Barang Keluar'!$C:$C,N18541))</f>
        <v>0</v>
      </c>
    </row>
    <row r="18542" spans="13:16">
      <c r="M18542" s="49">
        <f>IF($A$4+185&gt;$B$4,"",$A$4+185)</f>
        <v>46208</v>
      </c>
      <c r="N18542">
        <f>IF(M18542="","",'Master Barang'!A36)</f>
        <v>0</v>
      </c>
      <c r="O18542">
        <f>IF(N18542="","",'Master Barang'!B36)</f>
        <v>0</v>
      </c>
      <c r="P18542">
        <f>IF(OR(M18542="",N18542=""),"",SUMIFS('Barang Keluar'!$E:$E,'Barang Keluar'!$A:$A,M18542,'Barang Keluar'!$C:$C,N18542))</f>
        <v>0</v>
      </c>
    </row>
    <row r="18543" spans="13:16">
      <c r="M18543" s="49">
        <f>IF($A$4+185&gt;$B$4,"",$A$4+185)</f>
        <v>46208</v>
      </c>
      <c r="N18543">
        <f>IF(M18543="","",'Master Barang'!A37)</f>
        <v>0</v>
      </c>
      <c r="O18543">
        <f>IF(N18543="","",'Master Barang'!B37)</f>
        <v>0</v>
      </c>
      <c r="P18543">
        <f>IF(OR(M18543="",N18543=""),"",SUMIFS('Barang Keluar'!$E:$E,'Barang Keluar'!$A:$A,M18543,'Barang Keluar'!$C:$C,N18543))</f>
        <v>0</v>
      </c>
    </row>
    <row r="18544" spans="13:16">
      <c r="M18544" s="49">
        <f>IF($A$4+185&gt;$B$4,"",$A$4+185)</f>
        <v>46208</v>
      </c>
      <c r="N18544">
        <f>IF(M18544="","",'Master Barang'!A38)</f>
        <v>0</v>
      </c>
      <c r="O18544">
        <f>IF(N18544="","",'Master Barang'!B38)</f>
        <v>0</v>
      </c>
      <c r="P18544">
        <f>IF(OR(M18544="",N18544=""),"",SUMIFS('Barang Keluar'!$E:$E,'Barang Keluar'!$A:$A,M18544,'Barang Keluar'!$C:$C,N18544))</f>
        <v>0</v>
      </c>
    </row>
    <row r="18545" spans="13:16">
      <c r="M18545" s="49">
        <f>IF($A$4+185&gt;$B$4,"",$A$4+185)</f>
        <v>46208</v>
      </c>
      <c r="N18545">
        <f>IF(M18545="","",'Master Barang'!A39)</f>
        <v>0</v>
      </c>
      <c r="O18545">
        <f>IF(N18545="","",'Master Barang'!B39)</f>
        <v>0</v>
      </c>
      <c r="P18545">
        <f>IF(OR(M18545="",N18545=""),"",SUMIFS('Barang Keluar'!$E:$E,'Barang Keluar'!$A:$A,M18545,'Barang Keluar'!$C:$C,N18545))</f>
        <v>0</v>
      </c>
    </row>
    <row r="18546" spans="13:16">
      <c r="M18546" s="49">
        <f>IF($A$4+185&gt;$B$4,"",$A$4+185)</f>
        <v>46208</v>
      </c>
      <c r="N18546">
        <f>IF(M18546="","",'Master Barang'!A40)</f>
        <v>0</v>
      </c>
      <c r="O18546">
        <f>IF(N18546="","",'Master Barang'!B40)</f>
        <v>0</v>
      </c>
      <c r="P18546">
        <f>IF(OR(M18546="",N18546=""),"",SUMIFS('Barang Keluar'!$E:$E,'Barang Keluar'!$A:$A,M18546,'Barang Keluar'!$C:$C,N18546))</f>
        <v>0</v>
      </c>
    </row>
    <row r="18547" spans="13:16">
      <c r="M18547" s="49">
        <f>IF($A$4+185&gt;$B$4,"",$A$4+185)</f>
        <v>46208</v>
      </c>
      <c r="N18547">
        <f>IF(M18547="","",'Master Barang'!A41)</f>
        <v>0</v>
      </c>
      <c r="O18547">
        <f>IF(N18547="","",'Master Barang'!B41)</f>
        <v>0</v>
      </c>
      <c r="P18547">
        <f>IF(OR(M18547="",N18547=""),"",SUMIFS('Barang Keluar'!$E:$E,'Barang Keluar'!$A:$A,M18547,'Barang Keluar'!$C:$C,N18547))</f>
        <v>0</v>
      </c>
    </row>
    <row r="18548" spans="13:16">
      <c r="M18548" s="49">
        <f>IF($A$4+185&gt;$B$4,"",$A$4+185)</f>
        <v>46208</v>
      </c>
      <c r="N18548">
        <f>IF(M18548="","",'Master Barang'!A42)</f>
        <v>0</v>
      </c>
      <c r="O18548">
        <f>IF(N18548="","",'Master Barang'!B42)</f>
        <v>0</v>
      </c>
      <c r="P18548">
        <f>IF(OR(M18548="",N18548=""),"",SUMIFS('Barang Keluar'!$E:$E,'Barang Keluar'!$A:$A,M18548,'Barang Keluar'!$C:$C,N18548))</f>
        <v>0</v>
      </c>
    </row>
    <row r="18549" spans="13:16">
      <c r="M18549" s="49">
        <f>IF($A$4+185&gt;$B$4,"",$A$4+185)</f>
        <v>46208</v>
      </c>
      <c r="N18549">
        <f>IF(M18549="","",'Master Barang'!A43)</f>
        <v>0</v>
      </c>
      <c r="O18549">
        <f>IF(N18549="","",'Master Barang'!B43)</f>
        <v>0</v>
      </c>
      <c r="P18549">
        <f>IF(OR(M18549="",N18549=""),"",SUMIFS('Barang Keluar'!$E:$E,'Barang Keluar'!$A:$A,M18549,'Barang Keluar'!$C:$C,N18549))</f>
        <v>0</v>
      </c>
    </row>
    <row r="18550" spans="13:16">
      <c r="M18550" s="49">
        <f>IF($A$4+185&gt;$B$4,"",$A$4+185)</f>
        <v>46208</v>
      </c>
      <c r="N18550">
        <f>IF(M18550="","",'Master Barang'!A44)</f>
        <v>0</v>
      </c>
      <c r="O18550">
        <f>IF(N18550="","",'Master Barang'!B44)</f>
        <v>0</v>
      </c>
      <c r="P18550">
        <f>IF(OR(M18550="",N18550=""),"",SUMIFS('Barang Keluar'!$E:$E,'Barang Keluar'!$A:$A,M18550,'Barang Keluar'!$C:$C,N18550))</f>
        <v>0</v>
      </c>
    </row>
    <row r="18551" spans="13:16">
      <c r="M18551" s="49">
        <f>IF($A$4+185&gt;$B$4,"",$A$4+185)</f>
        <v>46208</v>
      </c>
      <c r="N18551">
        <f>IF(M18551="","",'Master Barang'!A45)</f>
        <v>0</v>
      </c>
      <c r="O18551">
        <f>IF(N18551="","",'Master Barang'!B45)</f>
        <v>0</v>
      </c>
      <c r="P18551">
        <f>IF(OR(M18551="",N18551=""),"",SUMIFS('Barang Keluar'!$E:$E,'Barang Keluar'!$A:$A,M18551,'Barang Keluar'!$C:$C,N18551))</f>
        <v>0</v>
      </c>
    </row>
    <row r="18552" spans="13:16">
      <c r="M18552" s="49">
        <f>IF($A$4+185&gt;$B$4,"",$A$4+185)</f>
        <v>46208</v>
      </c>
      <c r="N18552">
        <f>IF(M18552="","",'Master Barang'!A46)</f>
        <v>0</v>
      </c>
      <c r="O18552">
        <f>IF(N18552="","",'Master Barang'!B46)</f>
        <v>0</v>
      </c>
      <c r="P18552">
        <f>IF(OR(M18552="",N18552=""),"",SUMIFS('Barang Keluar'!$E:$E,'Barang Keluar'!$A:$A,M18552,'Barang Keluar'!$C:$C,N18552))</f>
        <v>0</v>
      </c>
    </row>
    <row r="18553" spans="13:16">
      <c r="M18553" s="49">
        <f>IF($A$4+185&gt;$B$4,"",$A$4+185)</f>
        <v>46208</v>
      </c>
      <c r="N18553">
        <f>IF(M18553="","",'Master Barang'!A47)</f>
        <v>0</v>
      </c>
      <c r="O18553">
        <f>IF(N18553="","",'Master Barang'!B47)</f>
        <v>0</v>
      </c>
      <c r="P18553">
        <f>IF(OR(M18553="",N18553=""),"",SUMIFS('Barang Keluar'!$E:$E,'Barang Keluar'!$A:$A,M18553,'Barang Keluar'!$C:$C,N18553))</f>
        <v>0</v>
      </c>
    </row>
    <row r="18554" spans="13:16">
      <c r="M18554" s="49">
        <f>IF($A$4+185&gt;$B$4,"",$A$4+185)</f>
        <v>46208</v>
      </c>
      <c r="N18554">
        <f>IF(M18554="","",'Master Barang'!A48)</f>
        <v>0</v>
      </c>
      <c r="O18554">
        <f>IF(N18554="","",'Master Barang'!B48)</f>
        <v>0</v>
      </c>
      <c r="P18554">
        <f>IF(OR(M18554="",N18554=""),"",SUMIFS('Barang Keluar'!$E:$E,'Barang Keluar'!$A:$A,M18554,'Barang Keluar'!$C:$C,N18554))</f>
        <v>0</v>
      </c>
    </row>
    <row r="18555" spans="13:16">
      <c r="M18555" s="49">
        <f>IF($A$4+185&gt;$B$4,"",$A$4+185)</f>
        <v>46208</v>
      </c>
      <c r="N18555">
        <f>IF(M18555="","",'Master Barang'!A49)</f>
        <v>0</v>
      </c>
      <c r="O18555">
        <f>IF(N18555="","",'Master Barang'!B49)</f>
        <v>0</v>
      </c>
      <c r="P18555">
        <f>IF(OR(M18555="",N18555=""),"",SUMIFS('Barang Keluar'!$E:$E,'Barang Keluar'!$A:$A,M18555,'Barang Keluar'!$C:$C,N18555))</f>
        <v>0</v>
      </c>
    </row>
    <row r="18556" spans="13:16">
      <c r="M18556" s="49">
        <f>IF($A$4+185&gt;$B$4,"",$A$4+185)</f>
        <v>46208</v>
      </c>
      <c r="N18556">
        <f>IF(M18556="","",'Master Barang'!A50)</f>
        <v>0</v>
      </c>
      <c r="O18556">
        <f>IF(N18556="","",'Master Barang'!B50)</f>
        <v>0</v>
      </c>
      <c r="P18556">
        <f>IF(OR(M18556="",N18556=""),"",SUMIFS('Barang Keluar'!$E:$E,'Barang Keluar'!$A:$A,M18556,'Barang Keluar'!$C:$C,N18556))</f>
        <v>0</v>
      </c>
    </row>
    <row r="18557" spans="13:16">
      <c r="M18557" s="49">
        <f>IF($A$4+185&gt;$B$4,"",$A$4+185)</f>
        <v>46208</v>
      </c>
      <c r="N18557">
        <f>IF(M18557="","",'Master Barang'!A51)</f>
        <v>0</v>
      </c>
      <c r="O18557">
        <f>IF(N18557="","",'Master Barang'!B51)</f>
        <v>0</v>
      </c>
      <c r="P18557">
        <f>IF(OR(M18557="",N18557=""),"",SUMIFS('Barang Keluar'!$E:$E,'Barang Keluar'!$A:$A,M18557,'Barang Keluar'!$C:$C,N18557))</f>
        <v>0</v>
      </c>
    </row>
    <row r="18558" spans="13:16">
      <c r="M18558" s="49">
        <f>IF($A$4+185&gt;$B$4,"",$A$4+185)</f>
        <v>46208</v>
      </c>
      <c r="N18558">
        <f>IF(M18558="","",'Master Barang'!A52)</f>
        <v>0</v>
      </c>
      <c r="O18558">
        <f>IF(N18558="","",'Master Barang'!B52)</f>
        <v>0</v>
      </c>
      <c r="P18558">
        <f>IF(OR(M18558="",N18558=""),"",SUMIFS('Barang Keluar'!$E:$E,'Barang Keluar'!$A:$A,M18558,'Barang Keluar'!$C:$C,N18558))</f>
        <v>0</v>
      </c>
    </row>
    <row r="18559" spans="13:16">
      <c r="M18559" s="49">
        <f>IF($A$4+185&gt;$B$4,"",$A$4+185)</f>
        <v>46208</v>
      </c>
      <c r="N18559">
        <f>IF(M18559="","",'Master Barang'!A53)</f>
        <v>0</v>
      </c>
      <c r="O18559">
        <f>IF(N18559="","",'Master Barang'!B53)</f>
        <v>0</v>
      </c>
      <c r="P18559">
        <f>IF(OR(M18559="",N18559=""),"",SUMIFS('Barang Keluar'!$E:$E,'Barang Keluar'!$A:$A,M18559,'Barang Keluar'!$C:$C,N18559))</f>
        <v>0</v>
      </c>
    </row>
    <row r="18560" spans="13:16">
      <c r="M18560" s="49">
        <f>IF($A$4+185&gt;$B$4,"",$A$4+185)</f>
        <v>46208</v>
      </c>
      <c r="N18560">
        <f>IF(M18560="","",'Master Barang'!A54)</f>
        <v>0</v>
      </c>
      <c r="O18560">
        <f>IF(N18560="","",'Master Barang'!B54)</f>
        <v>0</v>
      </c>
      <c r="P18560">
        <f>IF(OR(M18560="",N18560=""),"",SUMIFS('Barang Keluar'!$E:$E,'Barang Keluar'!$A:$A,M18560,'Barang Keluar'!$C:$C,N18560))</f>
        <v>0</v>
      </c>
    </row>
    <row r="18561" spans="13:16">
      <c r="M18561" s="49">
        <f>IF($A$4+185&gt;$B$4,"",$A$4+185)</f>
        <v>46208</v>
      </c>
      <c r="N18561">
        <f>IF(M18561="","",'Master Barang'!A55)</f>
        <v>0</v>
      </c>
      <c r="O18561">
        <f>IF(N18561="","",'Master Barang'!B55)</f>
        <v>0</v>
      </c>
      <c r="P18561">
        <f>IF(OR(M18561="",N18561=""),"",SUMIFS('Barang Keluar'!$E:$E,'Barang Keluar'!$A:$A,M18561,'Barang Keluar'!$C:$C,N18561))</f>
        <v>0</v>
      </c>
    </row>
    <row r="18562" spans="13:16">
      <c r="M18562" s="49">
        <f>IF($A$4+185&gt;$B$4,"",$A$4+185)</f>
        <v>46208</v>
      </c>
      <c r="N18562">
        <f>IF(M18562="","",'Master Barang'!A56)</f>
        <v>0</v>
      </c>
      <c r="O18562">
        <f>IF(N18562="","",'Master Barang'!B56)</f>
        <v>0</v>
      </c>
      <c r="P18562">
        <f>IF(OR(M18562="",N18562=""),"",SUMIFS('Barang Keluar'!$E:$E,'Barang Keluar'!$A:$A,M18562,'Barang Keluar'!$C:$C,N18562))</f>
        <v>0</v>
      </c>
    </row>
    <row r="18563" spans="13:16">
      <c r="M18563" s="49">
        <f>IF($A$4+185&gt;$B$4,"",$A$4+185)</f>
        <v>46208</v>
      </c>
      <c r="N18563">
        <f>IF(M18563="","",'Master Barang'!A57)</f>
        <v>0</v>
      </c>
      <c r="O18563">
        <f>IF(N18563="","",'Master Barang'!B57)</f>
        <v>0</v>
      </c>
      <c r="P18563">
        <f>IF(OR(M18563="",N18563=""),"",SUMIFS('Barang Keluar'!$E:$E,'Barang Keluar'!$A:$A,M18563,'Barang Keluar'!$C:$C,N18563))</f>
        <v>0</v>
      </c>
    </row>
    <row r="18564" spans="13:16">
      <c r="M18564" s="49">
        <f>IF($A$4+185&gt;$B$4,"",$A$4+185)</f>
        <v>46208</v>
      </c>
      <c r="N18564">
        <f>IF(M18564="","",'Master Barang'!A58)</f>
        <v>0</v>
      </c>
      <c r="O18564">
        <f>IF(N18564="","",'Master Barang'!B58)</f>
        <v>0</v>
      </c>
      <c r="P18564">
        <f>IF(OR(M18564="",N18564=""),"",SUMIFS('Barang Keluar'!$E:$E,'Barang Keluar'!$A:$A,M18564,'Barang Keluar'!$C:$C,N18564))</f>
        <v>0</v>
      </c>
    </row>
    <row r="18565" spans="13:16">
      <c r="M18565" s="49">
        <f>IF($A$4+185&gt;$B$4,"",$A$4+185)</f>
        <v>46208</v>
      </c>
      <c r="N18565">
        <f>IF(M18565="","",'Master Barang'!A59)</f>
        <v>0</v>
      </c>
      <c r="O18565">
        <f>IF(N18565="","",'Master Barang'!B59)</f>
        <v>0</v>
      </c>
      <c r="P18565">
        <f>IF(OR(M18565="",N18565=""),"",SUMIFS('Barang Keluar'!$E:$E,'Barang Keluar'!$A:$A,M18565,'Barang Keluar'!$C:$C,N18565))</f>
        <v>0</v>
      </c>
    </row>
    <row r="18566" spans="13:16">
      <c r="M18566" s="49">
        <f>IF($A$4+185&gt;$B$4,"",$A$4+185)</f>
        <v>46208</v>
      </c>
      <c r="N18566">
        <f>IF(M18566="","",'Master Barang'!A60)</f>
        <v>0</v>
      </c>
      <c r="O18566">
        <f>IF(N18566="","",'Master Barang'!B60)</f>
        <v>0</v>
      </c>
      <c r="P18566">
        <f>IF(OR(M18566="",N18566=""),"",SUMIFS('Barang Keluar'!$E:$E,'Barang Keluar'!$A:$A,M18566,'Barang Keluar'!$C:$C,N18566))</f>
        <v>0</v>
      </c>
    </row>
    <row r="18567" spans="13:16">
      <c r="M18567" s="49">
        <f>IF($A$4+185&gt;$B$4,"",$A$4+185)</f>
        <v>46208</v>
      </c>
      <c r="N18567">
        <f>IF(M18567="","",'Master Barang'!A61)</f>
        <v>0</v>
      </c>
      <c r="O18567">
        <f>IF(N18567="","",'Master Barang'!B61)</f>
        <v>0</v>
      </c>
      <c r="P18567">
        <f>IF(OR(M18567="",N18567=""),"",SUMIFS('Barang Keluar'!$E:$E,'Barang Keluar'!$A:$A,M18567,'Barang Keluar'!$C:$C,N18567))</f>
        <v>0</v>
      </c>
    </row>
    <row r="18568" spans="13:16">
      <c r="M18568" s="49">
        <f>IF($A$4+185&gt;$B$4,"",$A$4+185)</f>
        <v>46208</v>
      </c>
      <c r="N18568">
        <f>IF(M18568="","",'Master Barang'!A62)</f>
        <v>0</v>
      </c>
      <c r="O18568">
        <f>IF(N18568="","",'Master Barang'!B62)</f>
        <v>0</v>
      </c>
      <c r="P18568">
        <f>IF(OR(M18568="",N18568=""),"",SUMIFS('Barang Keluar'!$E:$E,'Barang Keluar'!$A:$A,M18568,'Barang Keluar'!$C:$C,N18568))</f>
        <v>0</v>
      </c>
    </row>
    <row r="18569" spans="13:16">
      <c r="M18569" s="49">
        <f>IF($A$4+185&gt;$B$4,"",$A$4+185)</f>
        <v>46208</v>
      </c>
      <c r="N18569">
        <f>IF(M18569="","",'Master Barang'!A63)</f>
        <v>0</v>
      </c>
      <c r="O18569">
        <f>IF(N18569="","",'Master Barang'!B63)</f>
        <v>0</v>
      </c>
      <c r="P18569">
        <f>IF(OR(M18569="",N18569=""),"",SUMIFS('Barang Keluar'!$E:$E,'Barang Keluar'!$A:$A,M18569,'Barang Keluar'!$C:$C,N18569))</f>
        <v>0</v>
      </c>
    </row>
    <row r="18570" spans="13:16">
      <c r="M18570" s="49">
        <f>IF($A$4+185&gt;$B$4,"",$A$4+185)</f>
        <v>46208</v>
      </c>
      <c r="N18570">
        <f>IF(M18570="","",'Master Barang'!A64)</f>
        <v>0</v>
      </c>
      <c r="O18570">
        <f>IF(N18570="","",'Master Barang'!B64)</f>
        <v>0</v>
      </c>
      <c r="P18570">
        <f>IF(OR(M18570="",N18570=""),"",SUMIFS('Barang Keluar'!$E:$E,'Barang Keluar'!$A:$A,M18570,'Barang Keluar'!$C:$C,N18570))</f>
        <v>0</v>
      </c>
    </row>
    <row r="18571" spans="13:16">
      <c r="M18571" s="49">
        <f>IF($A$4+185&gt;$B$4,"",$A$4+185)</f>
        <v>46208</v>
      </c>
      <c r="N18571">
        <f>IF(M18571="","",'Master Barang'!A65)</f>
        <v>0</v>
      </c>
      <c r="O18571">
        <f>IF(N18571="","",'Master Barang'!B65)</f>
        <v>0</v>
      </c>
      <c r="P18571">
        <f>IF(OR(M18571="",N18571=""),"",SUMIFS('Barang Keluar'!$E:$E,'Barang Keluar'!$A:$A,M18571,'Barang Keluar'!$C:$C,N18571))</f>
        <v>0</v>
      </c>
    </row>
    <row r="18572" spans="13:16">
      <c r="M18572" s="49">
        <f>IF($A$4+185&gt;$B$4,"",$A$4+185)</f>
        <v>46208</v>
      </c>
      <c r="N18572">
        <f>IF(M18572="","",'Master Barang'!A66)</f>
        <v>0</v>
      </c>
      <c r="O18572">
        <f>IF(N18572="","",'Master Barang'!B66)</f>
        <v>0</v>
      </c>
      <c r="P18572">
        <f>IF(OR(M18572="",N18572=""),"",SUMIFS('Barang Keluar'!$E:$E,'Barang Keluar'!$A:$A,M18572,'Barang Keluar'!$C:$C,N18572))</f>
        <v>0</v>
      </c>
    </row>
    <row r="18573" spans="13:16">
      <c r="M18573" s="49">
        <f>IF($A$4+185&gt;$B$4,"",$A$4+185)</f>
        <v>46208</v>
      </c>
      <c r="N18573">
        <f>IF(M18573="","",'Master Barang'!A67)</f>
        <v>0</v>
      </c>
      <c r="O18573">
        <f>IF(N18573="","",'Master Barang'!B67)</f>
        <v>0</v>
      </c>
      <c r="P18573">
        <f>IF(OR(M18573="",N18573=""),"",SUMIFS('Barang Keluar'!$E:$E,'Barang Keluar'!$A:$A,M18573,'Barang Keluar'!$C:$C,N18573))</f>
        <v>0</v>
      </c>
    </row>
    <row r="18574" spans="13:16">
      <c r="M18574" s="49">
        <f>IF($A$4+185&gt;$B$4,"",$A$4+185)</f>
        <v>46208</v>
      </c>
      <c r="N18574">
        <f>IF(M18574="","",'Master Barang'!A68)</f>
        <v>0</v>
      </c>
      <c r="O18574">
        <f>IF(N18574="","",'Master Barang'!B68)</f>
        <v>0</v>
      </c>
      <c r="P18574">
        <f>IF(OR(M18574="",N18574=""),"",SUMIFS('Barang Keluar'!$E:$E,'Barang Keluar'!$A:$A,M18574,'Barang Keluar'!$C:$C,N18574))</f>
        <v>0</v>
      </c>
    </row>
    <row r="18575" spans="13:16">
      <c r="M18575" s="49">
        <f>IF($A$4+185&gt;$B$4,"",$A$4+185)</f>
        <v>46208</v>
      </c>
      <c r="N18575">
        <f>IF(M18575="","",'Master Barang'!A69)</f>
        <v>0</v>
      </c>
      <c r="O18575">
        <f>IF(N18575="","",'Master Barang'!B69)</f>
        <v>0</v>
      </c>
      <c r="P18575">
        <f>IF(OR(M18575="",N18575=""),"",SUMIFS('Barang Keluar'!$E:$E,'Barang Keluar'!$A:$A,M18575,'Barang Keluar'!$C:$C,N18575))</f>
        <v>0</v>
      </c>
    </row>
    <row r="18576" spans="13:16">
      <c r="M18576" s="49">
        <f>IF($A$4+185&gt;$B$4,"",$A$4+185)</f>
        <v>46208</v>
      </c>
      <c r="N18576">
        <f>IF(M18576="","",'Master Barang'!A70)</f>
        <v>0</v>
      </c>
      <c r="O18576">
        <f>IF(N18576="","",'Master Barang'!B70)</f>
        <v>0</v>
      </c>
      <c r="P18576">
        <f>IF(OR(M18576="",N18576=""),"",SUMIFS('Barang Keluar'!$E:$E,'Barang Keluar'!$A:$A,M18576,'Barang Keluar'!$C:$C,N18576))</f>
        <v>0</v>
      </c>
    </row>
    <row r="18577" spans="13:16">
      <c r="M18577" s="49">
        <f>IF($A$4+185&gt;$B$4,"",$A$4+185)</f>
        <v>46208</v>
      </c>
      <c r="N18577">
        <f>IF(M18577="","",'Master Barang'!A71)</f>
        <v>0</v>
      </c>
      <c r="O18577">
        <f>IF(N18577="","",'Master Barang'!B71)</f>
        <v>0</v>
      </c>
      <c r="P18577">
        <f>IF(OR(M18577="",N18577=""),"",SUMIFS('Barang Keluar'!$E:$E,'Barang Keluar'!$A:$A,M18577,'Barang Keluar'!$C:$C,N18577))</f>
        <v>0</v>
      </c>
    </row>
    <row r="18578" spans="13:16">
      <c r="M18578" s="49">
        <f>IF($A$4+185&gt;$B$4,"",$A$4+185)</f>
        <v>46208</v>
      </c>
      <c r="N18578">
        <f>IF(M18578="","",'Master Barang'!A72)</f>
        <v>0</v>
      </c>
      <c r="O18578">
        <f>IF(N18578="","",'Master Barang'!B72)</f>
        <v>0</v>
      </c>
      <c r="P18578">
        <f>IF(OR(M18578="",N18578=""),"",SUMIFS('Barang Keluar'!$E:$E,'Barang Keluar'!$A:$A,M18578,'Barang Keluar'!$C:$C,N18578))</f>
        <v>0</v>
      </c>
    </row>
    <row r="18579" spans="13:16">
      <c r="M18579" s="49">
        <f>IF($A$4+185&gt;$B$4,"",$A$4+185)</f>
        <v>46208</v>
      </c>
      <c r="N18579">
        <f>IF(M18579="","",'Master Barang'!A73)</f>
        <v>0</v>
      </c>
      <c r="O18579">
        <f>IF(N18579="","",'Master Barang'!B73)</f>
        <v>0</v>
      </c>
      <c r="P18579">
        <f>IF(OR(M18579="",N18579=""),"",SUMIFS('Barang Keluar'!$E:$E,'Barang Keluar'!$A:$A,M18579,'Barang Keluar'!$C:$C,N18579))</f>
        <v>0</v>
      </c>
    </row>
    <row r="18580" spans="13:16">
      <c r="M18580" s="49">
        <f>IF($A$4+185&gt;$B$4,"",$A$4+185)</f>
        <v>46208</v>
      </c>
      <c r="N18580">
        <f>IF(M18580="","",'Master Barang'!A74)</f>
        <v>0</v>
      </c>
      <c r="O18580">
        <f>IF(N18580="","",'Master Barang'!B74)</f>
        <v>0</v>
      </c>
      <c r="P18580">
        <f>IF(OR(M18580="",N18580=""),"",SUMIFS('Barang Keluar'!$E:$E,'Barang Keluar'!$A:$A,M18580,'Barang Keluar'!$C:$C,N18580))</f>
        <v>0</v>
      </c>
    </row>
    <row r="18581" spans="13:16">
      <c r="M18581" s="49">
        <f>IF($A$4+185&gt;$B$4,"",$A$4+185)</f>
        <v>46208</v>
      </c>
      <c r="N18581">
        <f>IF(M18581="","",'Master Barang'!A75)</f>
        <v>0</v>
      </c>
      <c r="O18581">
        <f>IF(N18581="","",'Master Barang'!B75)</f>
        <v>0</v>
      </c>
      <c r="P18581">
        <f>IF(OR(M18581="",N18581=""),"",SUMIFS('Barang Keluar'!$E:$E,'Barang Keluar'!$A:$A,M18581,'Barang Keluar'!$C:$C,N18581))</f>
        <v>0</v>
      </c>
    </row>
    <row r="18582" spans="13:16">
      <c r="M18582" s="49">
        <f>IF($A$4+185&gt;$B$4,"",$A$4+185)</f>
        <v>46208</v>
      </c>
      <c r="N18582">
        <f>IF(M18582="","",'Master Barang'!A76)</f>
        <v>0</v>
      </c>
      <c r="O18582">
        <f>IF(N18582="","",'Master Barang'!B76)</f>
        <v>0</v>
      </c>
      <c r="P18582">
        <f>IF(OR(M18582="",N18582=""),"",SUMIFS('Barang Keluar'!$E:$E,'Barang Keluar'!$A:$A,M18582,'Barang Keluar'!$C:$C,N18582))</f>
        <v>0</v>
      </c>
    </row>
    <row r="18583" spans="13:16">
      <c r="M18583" s="49">
        <f>IF($A$4+185&gt;$B$4,"",$A$4+185)</f>
        <v>46208</v>
      </c>
      <c r="N18583">
        <f>IF(M18583="","",'Master Barang'!A77)</f>
        <v>0</v>
      </c>
      <c r="O18583">
        <f>IF(N18583="","",'Master Barang'!B77)</f>
        <v>0</v>
      </c>
      <c r="P18583">
        <f>IF(OR(M18583="",N18583=""),"",SUMIFS('Barang Keluar'!$E:$E,'Barang Keluar'!$A:$A,M18583,'Barang Keluar'!$C:$C,N18583))</f>
        <v>0</v>
      </c>
    </row>
    <row r="18584" spans="13:16">
      <c r="M18584" s="49">
        <f>IF($A$4+185&gt;$B$4,"",$A$4+185)</f>
        <v>46208</v>
      </c>
      <c r="N18584">
        <f>IF(M18584="","",'Master Barang'!A78)</f>
        <v>0</v>
      </c>
      <c r="O18584">
        <f>IF(N18584="","",'Master Barang'!B78)</f>
        <v>0</v>
      </c>
      <c r="P18584">
        <f>IF(OR(M18584="",N18584=""),"",SUMIFS('Barang Keluar'!$E:$E,'Barang Keluar'!$A:$A,M18584,'Barang Keluar'!$C:$C,N18584))</f>
        <v>0</v>
      </c>
    </row>
    <row r="18585" spans="13:16">
      <c r="M18585" s="49">
        <f>IF($A$4+185&gt;$B$4,"",$A$4+185)</f>
        <v>46208</v>
      </c>
      <c r="N18585">
        <f>IF(M18585="","",'Master Barang'!A79)</f>
        <v>0</v>
      </c>
      <c r="O18585">
        <f>IF(N18585="","",'Master Barang'!B79)</f>
        <v>0</v>
      </c>
      <c r="P18585">
        <f>IF(OR(M18585="",N18585=""),"",SUMIFS('Barang Keluar'!$E:$E,'Barang Keluar'!$A:$A,M18585,'Barang Keluar'!$C:$C,N18585))</f>
        <v>0</v>
      </c>
    </row>
    <row r="18586" spans="13:16">
      <c r="M18586" s="49">
        <f>IF($A$4+185&gt;$B$4,"",$A$4+185)</f>
        <v>46208</v>
      </c>
      <c r="N18586">
        <f>IF(M18586="","",'Master Barang'!A80)</f>
        <v>0</v>
      </c>
      <c r="O18586">
        <f>IF(N18586="","",'Master Barang'!B80)</f>
        <v>0</v>
      </c>
      <c r="P18586">
        <f>IF(OR(M18586="",N18586=""),"",SUMIFS('Barang Keluar'!$E:$E,'Barang Keluar'!$A:$A,M18586,'Barang Keluar'!$C:$C,N18586))</f>
        <v>0</v>
      </c>
    </row>
    <row r="18587" spans="13:16">
      <c r="M18587" s="49">
        <f>IF($A$4+185&gt;$B$4,"",$A$4+185)</f>
        <v>46208</v>
      </c>
      <c r="N18587">
        <f>IF(M18587="","",'Master Barang'!A81)</f>
        <v>0</v>
      </c>
      <c r="O18587">
        <f>IF(N18587="","",'Master Barang'!B81)</f>
        <v>0</v>
      </c>
      <c r="P18587">
        <f>IF(OR(M18587="",N18587=""),"",SUMIFS('Barang Keluar'!$E:$E,'Barang Keluar'!$A:$A,M18587,'Barang Keluar'!$C:$C,N18587))</f>
        <v>0</v>
      </c>
    </row>
    <row r="18588" spans="13:16">
      <c r="M18588" s="49">
        <f>IF($A$4+185&gt;$B$4,"",$A$4+185)</f>
        <v>46208</v>
      </c>
      <c r="N18588">
        <f>IF(M18588="","",'Master Barang'!A82)</f>
        <v>0</v>
      </c>
      <c r="O18588">
        <f>IF(N18588="","",'Master Barang'!B82)</f>
        <v>0</v>
      </c>
      <c r="P18588">
        <f>IF(OR(M18588="",N18588=""),"",SUMIFS('Barang Keluar'!$E:$E,'Barang Keluar'!$A:$A,M18588,'Barang Keluar'!$C:$C,N18588))</f>
        <v>0</v>
      </c>
    </row>
    <row r="18589" spans="13:16">
      <c r="M18589" s="49">
        <f>IF($A$4+185&gt;$B$4,"",$A$4+185)</f>
        <v>46208</v>
      </c>
      <c r="N18589">
        <f>IF(M18589="","",'Master Barang'!A83)</f>
        <v>0</v>
      </c>
      <c r="O18589">
        <f>IF(N18589="","",'Master Barang'!B83)</f>
        <v>0</v>
      </c>
      <c r="P18589">
        <f>IF(OR(M18589="",N18589=""),"",SUMIFS('Barang Keluar'!$E:$E,'Barang Keluar'!$A:$A,M18589,'Barang Keluar'!$C:$C,N18589))</f>
        <v>0</v>
      </c>
    </row>
    <row r="18590" spans="13:16">
      <c r="M18590" s="49">
        <f>IF($A$4+185&gt;$B$4,"",$A$4+185)</f>
        <v>46208</v>
      </c>
      <c r="N18590">
        <f>IF(M18590="","",'Master Barang'!A84)</f>
        <v>0</v>
      </c>
      <c r="O18590">
        <f>IF(N18590="","",'Master Barang'!B84)</f>
        <v>0</v>
      </c>
      <c r="P18590">
        <f>IF(OR(M18590="",N18590=""),"",SUMIFS('Barang Keluar'!$E:$E,'Barang Keluar'!$A:$A,M18590,'Barang Keluar'!$C:$C,N18590))</f>
        <v>0</v>
      </c>
    </row>
    <row r="18591" spans="13:16">
      <c r="M18591" s="49">
        <f>IF($A$4+185&gt;$B$4,"",$A$4+185)</f>
        <v>46208</v>
      </c>
      <c r="N18591">
        <f>IF(M18591="","",'Master Barang'!A85)</f>
        <v>0</v>
      </c>
      <c r="O18591">
        <f>IF(N18591="","",'Master Barang'!B85)</f>
        <v>0</v>
      </c>
      <c r="P18591">
        <f>IF(OR(M18591="",N18591=""),"",SUMIFS('Barang Keluar'!$E:$E,'Barang Keluar'!$A:$A,M18591,'Barang Keluar'!$C:$C,N18591))</f>
        <v>0</v>
      </c>
    </row>
    <row r="18592" spans="13:16">
      <c r="M18592" s="49">
        <f>IF($A$4+185&gt;$B$4,"",$A$4+185)</f>
        <v>46208</v>
      </c>
      <c r="N18592">
        <f>IF(M18592="","",'Master Barang'!A86)</f>
        <v>0</v>
      </c>
      <c r="O18592">
        <f>IF(N18592="","",'Master Barang'!B86)</f>
        <v>0</v>
      </c>
      <c r="P18592">
        <f>IF(OR(M18592="",N18592=""),"",SUMIFS('Barang Keluar'!$E:$E,'Barang Keluar'!$A:$A,M18592,'Barang Keluar'!$C:$C,N18592))</f>
        <v>0</v>
      </c>
    </row>
    <row r="18593" spans="13:16">
      <c r="M18593" s="49">
        <f>IF($A$4+185&gt;$B$4,"",$A$4+185)</f>
        <v>46208</v>
      </c>
      <c r="N18593">
        <f>IF(M18593="","",'Master Barang'!A87)</f>
        <v>0</v>
      </c>
      <c r="O18593">
        <f>IF(N18593="","",'Master Barang'!B87)</f>
        <v>0</v>
      </c>
      <c r="P18593">
        <f>IF(OR(M18593="",N18593=""),"",SUMIFS('Barang Keluar'!$E:$E,'Barang Keluar'!$A:$A,M18593,'Barang Keluar'!$C:$C,N18593))</f>
        <v>0</v>
      </c>
    </row>
    <row r="18594" spans="13:16">
      <c r="M18594" s="49">
        <f>IF($A$4+185&gt;$B$4,"",$A$4+185)</f>
        <v>46208</v>
      </c>
      <c r="N18594">
        <f>IF(M18594="","",'Master Barang'!A88)</f>
        <v>0</v>
      </c>
      <c r="O18594">
        <f>IF(N18594="","",'Master Barang'!B88)</f>
        <v>0</v>
      </c>
      <c r="P18594">
        <f>IF(OR(M18594="",N18594=""),"",SUMIFS('Barang Keluar'!$E:$E,'Barang Keluar'!$A:$A,M18594,'Barang Keluar'!$C:$C,N18594))</f>
        <v>0</v>
      </c>
    </row>
    <row r="18595" spans="13:16">
      <c r="M18595" s="49">
        <f>IF($A$4+185&gt;$B$4,"",$A$4+185)</f>
        <v>46208</v>
      </c>
      <c r="N18595">
        <f>IF(M18595="","",'Master Barang'!A89)</f>
        <v>0</v>
      </c>
      <c r="O18595">
        <f>IF(N18595="","",'Master Barang'!B89)</f>
        <v>0</v>
      </c>
      <c r="P18595">
        <f>IF(OR(M18595="",N18595=""),"",SUMIFS('Barang Keluar'!$E:$E,'Barang Keluar'!$A:$A,M18595,'Barang Keluar'!$C:$C,N18595))</f>
        <v>0</v>
      </c>
    </row>
    <row r="18596" spans="13:16">
      <c r="M18596" s="49">
        <f>IF($A$4+185&gt;$B$4,"",$A$4+185)</f>
        <v>46208</v>
      </c>
      <c r="N18596">
        <f>IF(M18596="","",'Master Barang'!A90)</f>
        <v>0</v>
      </c>
      <c r="O18596">
        <f>IF(N18596="","",'Master Barang'!B90)</f>
        <v>0</v>
      </c>
      <c r="P18596">
        <f>IF(OR(M18596="",N18596=""),"",SUMIFS('Barang Keluar'!$E:$E,'Barang Keluar'!$A:$A,M18596,'Barang Keluar'!$C:$C,N18596))</f>
        <v>0</v>
      </c>
    </row>
    <row r="18597" spans="13:16">
      <c r="M18597" s="49">
        <f>IF($A$4+185&gt;$B$4,"",$A$4+185)</f>
        <v>46208</v>
      </c>
      <c r="N18597">
        <f>IF(M18597="","",'Master Barang'!A91)</f>
        <v>0</v>
      </c>
      <c r="O18597">
        <f>IF(N18597="","",'Master Barang'!B91)</f>
        <v>0</v>
      </c>
      <c r="P18597">
        <f>IF(OR(M18597="",N18597=""),"",SUMIFS('Barang Keluar'!$E:$E,'Barang Keluar'!$A:$A,M18597,'Barang Keluar'!$C:$C,N18597))</f>
        <v>0</v>
      </c>
    </row>
    <row r="18598" spans="13:16">
      <c r="M18598" s="49">
        <f>IF($A$4+185&gt;$B$4,"",$A$4+185)</f>
        <v>46208</v>
      </c>
      <c r="N18598">
        <f>IF(M18598="","",'Master Barang'!A92)</f>
        <v>0</v>
      </c>
      <c r="O18598">
        <f>IF(N18598="","",'Master Barang'!B92)</f>
        <v>0</v>
      </c>
      <c r="P18598">
        <f>IF(OR(M18598="",N18598=""),"",SUMIFS('Barang Keluar'!$E:$E,'Barang Keluar'!$A:$A,M18598,'Barang Keluar'!$C:$C,N18598))</f>
        <v>0</v>
      </c>
    </row>
    <row r="18599" spans="13:16">
      <c r="M18599" s="49">
        <f>IF($A$4+185&gt;$B$4,"",$A$4+185)</f>
        <v>46208</v>
      </c>
      <c r="N18599">
        <f>IF(M18599="","",'Master Barang'!A93)</f>
        <v>0</v>
      </c>
      <c r="O18599">
        <f>IF(N18599="","",'Master Barang'!B93)</f>
        <v>0</v>
      </c>
      <c r="P18599">
        <f>IF(OR(M18599="",N18599=""),"",SUMIFS('Barang Keluar'!$E:$E,'Barang Keluar'!$A:$A,M18599,'Barang Keluar'!$C:$C,N18599))</f>
        <v>0</v>
      </c>
    </row>
    <row r="18600" spans="13:16">
      <c r="M18600" s="49">
        <f>IF($A$4+185&gt;$B$4,"",$A$4+185)</f>
        <v>46208</v>
      </c>
      <c r="N18600">
        <f>IF(M18600="","",'Master Barang'!A94)</f>
        <v>0</v>
      </c>
      <c r="O18600">
        <f>IF(N18600="","",'Master Barang'!B94)</f>
        <v>0</v>
      </c>
      <c r="P18600">
        <f>IF(OR(M18600="",N18600=""),"",SUMIFS('Barang Keluar'!$E:$E,'Barang Keluar'!$A:$A,M18600,'Barang Keluar'!$C:$C,N18600))</f>
        <v>0</v>
      </c>
    </row>
    <row r="18601" spans="13:16">
      <c r="M18601" s="49">
        <f>IF($A$4+185&gt;$B$4,"",$A$4+185)</f>
        <v>46208</v>
      </c>
      <c r="N18601">
        <f>IF(M18601="","",'Master Barang'!A95)</f>
        <v>0</v>
      </c>
      <c r="O18601">
        <f>IF(N18601="","",'Master Barang'!B95)</f>
        <v>0</v>
      </c>
      <c r="P18601">
        <f>IF(OR(M18601="",N18601=""),"",SUMIFS('Barang Keluar'!$E:$E,'Barang Keluar'!$A:$A,M18601,'Barang Keluar'!$C:$C,N18601))</f>
        <v>0</v>
      </c>
    </row>
    <row r="18602" spans="13:16">
      <c r="M18602" s="49">
        <f>IF($A$4+185&gt;$B$4,"",$A$4+185)</f>
        <v>46208</v>
      </c>
      <c r="N18602">
        <f>IF(M18602="","",'Master Barang'!A96)</f>
        <v>0</v>
      </c>
      <c r="O18602">
        <f>IF(N18602="","",'Master Barang'!B96)</f>
        <v>0</v>
      </c>
      <c r="P18602">
        <f>IF(OR(M18602="",N18602=""),"",SUMIFS('Barang Keluar'!$E:$E,'Barang Keluar'!$A:$A,M18602,'Barang Keluar'!$C:$C,N18602))</f>
        <v>0</v>
      </c>
    </row>
    <row r="18603" spans="13:16">
      <c r="M18603" s="49">
        <f>IF($A$4+185&gt;$B$4,"",$A$4+185)</f>
        <v>46208</v>
      </c>
      <c r="N18603">
        <f>IF(M18603="","",'Master Barang'!A97)</f>
        <v>0</v>
      </c>
      <c r="O18603">
        <f>IF(N18603="","",'Master Barang'!B97)</f>
        <v>0</v>
      </c>
      <c r="P18603">
        <f>IF(OR(M18603="",N18603=""),"",SUMIFS('Barang Keluar'!$E:$E,'Barang Keluar'!$A:$A,M18603,'Barang Keluar'!$C:$C,N18603))</f>
        <v>0</v>
      </c>
    </row>
    <row r="18604" spans="13:16">
      <c r="M18604" s="49">
        <f>IF($A$4+185&gt;$B$4,"",$A$4+185)</f>
        <v>46208</v>
      </c>
      <c r="N18604">
        <f>IF(M18604="","",'Master Barang'!A98)</f>
        <v>0</v>
      </c>
      <c r="O18604">
        <f>IF(N18604="","",'Master Barang'!B98)</f>
        <v>0</v>
      </c>
      <c r="P18604">
        <f>IF(OR(M18604="",N18604=""),"",SUMIFS('Barang Keluar'!$E:$E,'Barang Keluar'!$A:$A,M18604,'Barang Keluar'!$C:$C,N18604))</f>
        <v>0</v>
      </c>
    </row>
    <row r="18605" spans="13:16">
      <c r="M18605" s="49">
        <f>IF($A$4+185&gt;$B$4,"",$A$4+185)</f>
        <v>46208</v>
      </c>
      <c r="N18605">
        <f>IF(M18605="","",'Master Barang'!A99)</f>
        <v>0</v>
      </c>
      <c r="O18605">
        <f>IF(N18605="","",'Master Barang'!B99)</f>
        <v>0</v>
      </c>
      <c r="P18605">
        <f>IF(OR(M18605="",N18605=""),"",SUMIFS('Barang Keluar'!$E:$E,'Barang Keluar'!$A:$A,M18605,'Barang Keluar'!$C:$C,N18605))</f>
        <v>0</v>
      </c>
    </row>
    <row r="18606" spans="13:16">
      <c r="M18606" s="49">
        <f>IF($A$4+185&gt;$B$4,"",$A$4+185)</f>
        <v>46208</v>
      </c>
      <c r="N18606">
        <f>IF(M18606="","",'Master Barang'!A100)</f>
        <v>0</v>
      </c>
      <c r="O18606">
        <f>IF(N18606="","",'Master Barang'!B100)</f>
        <v>0</v>
      </c>
      <c r="P18606">
        <f>IF(OR(M18606="",N18606=""),"",SUMIFS('Barang Keluar'!$E:$E,'Barang Keluar'!$A:$A,M18606,'Barang Keluar'!$C:$C,N18606))</f>
        <v>0</v>
      </c>
    </row>
    <row r="18607" spans="13:16">
      <c r="M18607" s="49">
        <f>IF($A$4+185&gt;$B$4,"",$A$4+185)</f>
        <v>46208</v>
      </c>
      <c r="N18607">
        <f>IF(M18607="","",'Master Barang'!A101)</f>
        <v>0</v>
      </c>
      <c r="O18607">
        <f>IF(N18607="","",'Master Barang'!B101)</f>
        <v>0</v>
      </c>
      <c r="P18607">
        <f>IF(OR(M18607="",N18607=""),"",SUMIFS('Barang Keluar'!$E:$E,'Barang Keluar'!$A:$A,M18607,'Barang Keluar'!$C:$C,N18607))</f>
        <v>0</v>
      </c>
    </row>
    <row r="18608" spans="13:16">
      <c r="M18608" s="49">
        <f>IF($A$4+186&gt;$B$4,"",$A$4+186)</f>
        <v>46209</v>
      </c>
      <c r="N18608" t="str">
        <f>IF(M18608="","",'Master Barang'!A2)</f>
        <v>PRL-001</v>
      </c>
      <c r="O18608" t="str">
        <f>IF(N18608="","",'Master Barang'!B2)</f>
        <v>natura desinfectant food grade 5l</v>
      </c>
      <c r="P18608">
        <f>IF(OR(M18608="",N18608=""),"",SUMIFS('Barang Keluar'!$E:$E,'Barang Keluar'!$A:$A,M18608,'Barang Keluar'!$C:$C,N18608))</f>
        <v>0</v>
      </c>
    </row>
    <row r="18609" spans="13:16">
      <c r="M18609" s="49">
        <f>IF($A$4+186&gt;$B$4,"",$A$4+186)</f>
        <v>46209</v>
      </c>
      <c r="N18609" t="str">
        <f>IF(M18609="","",'Master Barang'!A3)</f>
        <v>PRL-002</v>
      </c>
      <c r="O18609" t="str">
        <f>IF(N18609="","",'Master Barang'!B3)</f>
        <v>sunlight cairan pencuci piring 5l</v>
      </c>
      <c r="P18609">
        <f>IF(OR(M18609="",N18609=""),"",SUMIFS('Barang Keluar'!$E:$E,'Barang Keluar'!$A:$A,M18609,'Barang Keluar'!$C:$C,N18609))</f>
        <v>0</v>
      </c>
    </row>
    <row r="18610" spans="13:16">
      <c r="M18610" s="49">
        <f>IF($A$4+186&gt;$B$4,"",$A$4+186)</f>
        <v>46209</v>
      </c>
      <c r="N18610" t="str">
        <f>IF(M18610="","",'Master Barang'!A4)</f>
        <v>PRL-003</v>
      </c>
      <c r="O18610" t="str">
        <f>IF(N18610="","",'Master Barang'!B4)</f>
        <v>oixs cleaner 1l</v>
      </c>
      <c r="P18610">
        <f>IF(OR(M18610="",N18610=""),"",SUMIFS('Barang Keluar'!$E:$E,'Barang Keluar'!$A:$A,M18610,'Barang Keluar'!$C:$C,N18610))</f>
        <v>0</v>
      </c>
    </row>
    <row r="18611" spans="13:16">
      <c r="M18611" s="49">
        <f>IF($A$4+186&gt;$B$4,"",$A$4+186)</f>
        <v>46209</v>
      </c>
      <c r="N18611" t="str">
        <f>IF(M18611="","",'Master Barang'!A5)</f>
        <v>PRL-004</v>
      </c>
      <c r="O18611" t="str">
        <f>IF(N18611="","",'Master Barang'!B5)</f>
        <v>be clean tissue serbaguna</v>
      </c>
      <c r="P18611">
        <f>IF(OR(M18611="",N18611=""),"",SUMIFS('Barang Keluar'!$E:$E,'Barang Keluar'!$A:$A,M18611,'Barang Keluar'!$C:$C,N18611))</f>
        <v>0</v>
      </c>
    </row>
    <row r="18612" spans="13:16">
      <c r="M18612" s="49">
        <f>IF($A$4+186&gt;$B$4,"",$A$4+186)</f>
        <v>46209</v>
      </c>
      <c r="N18612" t="str">
        <f>IF(M18612="","",'Master Barang'!A6)</f>
        <v>PRL-005</v>
      </c>
      <c r="O18612" t="str">
        <f>IF(N18612="","",'Master Barang'!B6)</f>
        <v>spons cuci hijau</v>
      </c>
      <c r="P18612">
        <f>IF(OR(M18612="",N18612=""),"",SUMIFS('Barang Keluar'!$E:$E,'Barang Keluar'!$A:$A,M18612,'Barang Keluar'!$C:$C,N18612))</f>
        <v>0</v>
      </c>
    </row>
    <row r="18613" spans="13:16">
      <c r="M18613" s="49">
        <f>IF($A$4+186&gt;$B$4,"",$A$4+186)</f>
        <v>46209</v>
      </c>
      <c r="N18613" t="str">
        <f>IF(M18613="","",'Master Barang'!A7)</f>
        <v>PRL-006</v>
      </c>
      <c r="O18613" t="str">
        <f>IF(N18613="","",'Master Barang'!B7)</f>
        <v>sabut cuci stainless</v>
      </c>
      <c r="P18613">
        <f>IF(OR(M18613="",N18613=""),"",SUMIFS('Barang Keluar'!$E:$E,'Barang Keluar'!$A:$A,M18613,'Barang Keluar'!$C:$C,N18613))</f>
        <v>0</v>
      </c>
    </row>
    <row r="18614" spans="13:16">
      <c r="M18614" s="49">
        <f>IF($A$4+186&gt;$B$4,"",$A$4+186)</f>
        <v>46209</v>
      </c>
      <c r="N18614" t="str">
        <f>IF(M18614="","",'Master Barang'!A8)</f>
        <v>PRL-007</v>
      </c>
      <c r="O18614" t="str">
        <f>IF(N18614="","",'Master Barang'!B8)</f>
        <v>plastik kresek besar merah 50pc</v>
      </c>
      <c r="P18614">
        <f>IF(OR(M18614="",N18614=""),"",SUMIFS('Barang Keluar'!$E:$E,'Barang Keluar'!$A:$A,M18614,'Barang Keluar'!$C:$C,N18614))</f>
        <v>0</v>
      </c>
    </row>
    <row r="18615" spans="13:16">
      <c r="M18615" s="49">
        <f>IF($A$4+186&gt;$B$4,"",$A$4+186)</f>
        <v>46209</v>
      </c>
      <c r="N18615" t="str">
        <f>IF(M18615="","",'Master Barang'!A9)</f>
        <v>PRL-008</v>
      </c>
      <c r="O18615" t="str">
        <f>IF(N18615="","",'Master Barang'!B9)</f>
        <v>lap besar</v>
      </c>
      <c r="P18615">
        <f>IF(OR(M18615="",N18615=""),"",SUMIFS('Barang Keluar'!$E:$E,'Barang Keluar'!$A:$A,M18615,'Barang Keluar'!$C:$C,N18615))</f>
        <v>0</v>
      </c>
    </row>
    <row r="18616" spans="13:16">
      <c r="M18616" s="49">
        <f>IF($A$4+186&gt;$B$4,"",$A$4+186)</f>
        <v>46209</v>
      </c>
      <c r="N18616" t="str">
        <f>IF(M18616="","",'Master Barang'!A10)</f>
        <v>PRL-009</v>
      </c>
      <c r="O18616" t="str">
        <f>IF(N18616="","",'Master Barang'!B10)</f>
        <v>lap microfiber</v>
      </c>
      <c r="P18616">
        <f>IF(OR(M18616="",N18616=""),"",SUMIFS('Barang Keluar'!$E:$E,'Barang Keluar'!$A:$A,M18616,'Barang Keluar'!$C:$C,N18616))</f>
        <v>0</v>
      </c>
    </row>
    <row r="18617" spans="13:16">
      <c r="M18617" s="49">
        <f>IF($A$4+186&gt;$B$4,"",$A$4+186)</f>
        <v>46209</v>
      </c>
      <c r="N18617" t="str">
        <f>IF(M18617="","",'Master Barang'!A11)</f>
        <v>PRL-010</v>
      </c>
      <c r="O18617" t="str">
        <f>IF(N18617="","",'Master Barang'!B11)</f>
        <v>lap kecil</v>
      </c>
      <c r="P18617">
        <f>IF(OR(M18617="",N18617=""),"",SUMIFS('Barang Keluar'!$E:$E,'Barang Keluar'!$A:$A,M18617,'Barang Keluar'!$C:$C,N18617))</f>
        <v>0</v>
      </c>
    </row>
    <row r="18618" spans="13:16">
      <c r="M18618" s="49">
        <f>IF($A$4+186&gt;$B$4,"",$A$4+186)</f>
        <v>46209</v>
      </c>
      <c r="N18618" t="str">
        <f>IF(M18618="","",'Master Barang'!A12)</f>
        <v>PRL-011</v>
      </c>
      <c r="O18618" t="str">
        <f>IF(N18618="","",'Master Barang'!B12)</f>
        <v>kanebo kecil</v>
      </c>
      <c r="P18618">
        <f>IF(OR(M18618="",N18618=""),"",SUMIFS('Barang Keluar'!$E:$E,'Barang Keluar'!$A:$A,M18618,'Barang Keluar'!$C:$C,N18618))</f>
        <v>0</v>
      </c>
    </row>
    <row r="18619" spans="13:16">
      <c r="M18619" s="49">
        <f>IF($A$4+186&gt;$B$4,"",$A$4+186)</f>
        <v>46209</v>
      </c>
      <c r="N18619" t="str">
        <f>IF(M18619="","",'Master Barang'!A13)</f>
        <v>PRL-012</v>
      </c>
      <c r="O18619" t="str">
        <f>IF(N18619="","",'Master Barang'!B13)</f>
        <v>plastik 1/4kg joyoboyo 100 lembar</v>
      </c>
      <c r="P18619">
        <f>IF(OR(M18619="",N18619=""),"",SUMIFS('Barang Keluar'!$E:$E,'Barang Keluar'!$A:$A,M18619,'Barang Keluar'!$C:$C,N18619))</f>
        <v>0</v>
      </c>
    </row>
    <row r="18620" spans="13:16">
      <c r="M18620" s="49">
        <f>IF($A$4+186&gt;$B$4,"",$A$4+186)</f>
        <v>46209</v>
      </c>
      <c r="N18620" t="str">
        <f>IF(M18620="","",'Master Barang'!A14)</f>
        <v>PRL-013</v>
      </c>
      <c r="O18620" t="str">
        <f>IF(N18620="","",'Master Barang'!B14)</f>
        <v>sarung tangan plastik kaka 100 pcs</v>
      </c>
      <c r="P18620">
        <f>IF(OR(M18620="",N18620=""),"",SUMIFS('Barang Keluar'!$E:$E,'Barang Keluar'!$A:$A,M18620,'Barang Keluar'!$C:$C,N18620))</f>
        <v>0</v>
      </c>
    </row>
    <row r="18621" spans="13:16">
      <c r="M18621" s="49">
        <f>IF($A$4+186&gt;$B$4,"",$A$4+186)</f>
        <v>46209</v>
      </c>
      <c r="N18621" t="str">
        <f>IF(M18621="","",'Master Barang'!A15)</f>
        <v>PRL-014</v>
      </c>
      <c r="O18621" t="str">
        <f>IF(N18621="","",'Master Barang'!B15)</f>
        <v>optima trashbag 80x100</v>
      </c>
      <c r="P18621">
        <f>IF(OR(M18621="",N18621=""),"",SUMIFS('Barang Keluar'!$E:$E,'Barang Keluar'!$A:$A,M18621,'Barang Keluar'!$C:$C,N18621))</f>
        <v>0</v>
      </c>
    </row>
    <row r="18622" spans="13:16">
      <c r="M18622" s="49">
        <f>IF($A$4+186&gt;$B$4,"",$A$4+186)</f>
        <v>46209</v>
      </c>
      <c r="N18622" t="str">
        <f>IF(M18622="","",'Master Barang'!A16)</f>
        <v>PRL-015</v>
      </c>
      <c r="O18622" t="str">
        <f>IF(N18622="","",'Master Barang'!B16)</f>
        <v>optima trashbag 60x100</v>
      </c>
      <c r="P18622">
        <f>IF(OR(M18622="",N18622=""),"",SUMIFS('Barang Keluar'!$E:$E,'Barang Keluar'!$A:$A,M18622,'Barang Keluar'!$C:$C,N18622))</f>
        <v>0</v>
      </c>
    </row>
    <row r="18623" spans="13:16">
      <c r="M18623" s="49">
        <f>IF($A$4+186&gt;$B$4,"",$A$4+186)</f>
        <v>46209</v>
      </c>
      <c r="N18623" t="str">
        <f>IF(M18623="","",'Master Barang'!A17)</f>
        <v>PRL-016</v>
      </c>
      <c r="O18623" t="str">
        <f>IF(N18623="","",'Master Barang'!B17)</f>
        <v>rajawali trashbag 30x40</v>
      </c>
      <c r="P18623">
        <f>IF(OR(M18623="",N18623=""),"",SUMIFS('Barang Keluar'!$E:$E,'Barang Keluar'!$A:$A,M18623,'Barang Keluar'!$C:$C,N18623))</f>
        <v>0</v>
      </c>
    </row>
    <row r="18624" spans="13:16">
      <c r="M18624" s="49">
        <f>IF($A$4+186&gt;$B$4,"",$A$4+186)</f>
        <v>46209</v>
      </c>
      <c r="N18624" t="str">
        <f>IF(M18624="","",'Master Barang'!A18)</f>
        <v>PRL-017</v>
      </c>
      <c r="O18624" t="str">
        <f>IF(N18624="","",'Master Barang'!B18)</f>
        <v>onemed masker biru 3 play 50 pcs</v>
      </c>
      <c r="P18624">
        <f>IF(OR(M18624="",N18624=""),"",SUMIFS('Barang Keluar'!$E:$E,'Barang Keluar'!$A:$A,M18624,'Barang Keluar'!$C:$C,N18624))</f>
        <v>0</v>
      </c>
    </row>
    <row r="18625" spans="13:16">
      <c r="M18625" s="49">
        <f>IF($A$4+186&gt;$B$4,"",$A$4+186)</f>
        <v>46209</v>
      </c>
      <c r="N18625" t="str">
        <f>IF(M18625="","",'Master Barang'!A19)</f>
        <v>PRL-018</v>
      </c>
      <c r="O18625" t="str">
        <f>IF(N18625="","",'Master Barang'!B19)</f>
        <v>onemed masker biru 3 play hijab 50 pcs</v>
      </c>
      <c r="P18625">
        <f>IF(OR(M18625="",N18625=""),"",SUMIFS('Barang Keluar'!$E:$E,'Barang Keluar'!$A:$A,M18625,'Barang Keluar'!$C:$C,N18625))</f>
        <v>0</v>
      </c>
    </row>
    <row r="18626" spans="13:16">
      <c r="M18626" s="49">
        <f>IF($A$4+186&gt;$B$4,"",$A$4+186)</f>
        <v>46209</v>
      </c>
      <c r="N18626" t="str">
        <f>IF(M18626="","",'Master Barang'!A20)</f>
        <v>PRL-019</v>
      </c>
      <c r="O18626" t="str">
        <f>IF(N18626="","",'Master Barang'!B20)</f>
        <v>neo health masker biru 3 play 50 pcs</v>
      </c>
      <c r="P18626">
        <f>IF(OR(M18626="",N18626=""),"",SUMIFS('Barang Keluar'!$E:$E,'Barang Keluar'!$A:$A,M18626,'Barang Keluar'!$C:$C,N18626))</f>
        <v>0</v>
      </c>
    </row>
    <row r="18627" spans="13:16">
      <c r="M18627" s="49">
        <f>IF($A$4+186&gt;$B$4,"",$A$4+186)</f>
        <v>46209</v>
      </c>
      <c r="N18627" t="str">
        <f>IF(M18627="","",'Master Barang'!A21)</f>
        <v>PRL-020</v>
      </c>
      <c r="O18627" t="str">
        <f>IF(N18627="","",'Master Barang'!B21)</f>
        <v>baymed masker hijau 3 play hijau 50 pcs</v>
      </c>
      <c r="P18627">
        <f>IF(OR(M18627="",N18627=""),"",SUMIFS('Barang Keluar'!$E:$E,'Barang Keluar'!$A:$A,M18627,'Barang Keluar'!$C:$C,N18627))</f>
        <v>0</v>
      </c>
    </row>
    <row r="18628" spans="13:16">
      <c r="M18628" s="49">
        <f>IF($A$4+186&gt;$B$4,"",$A$4+186)</f>
        <v>46209</v>
      </c>
      <c r="N18628" t="str">
        <f>IF(M18628="","",'Master Barang'!A22)</f>
        <v>PRL-021</v>
      </c>
      <c r="O18628" t="str">
        <f>IF(N18628="","",'Master Barang'!B22)</f>
        <v>altamed nurse cap penutup kepala 100 pcs</v>
      </c>
      <c r="P18628">
        <f>IF(OR(M18628="",N18628=""),"",SUMIFS('Barang Keluar'!$E:$E,'Barang Keluar'!$A:$A,M18628,'Barang Keluar'!$C:$C,N18628))</f>
        <v>0</v>
      </c>
    </row>
    <row r="18629" spans="13:16">
      <c r="M18629" s="49">
        <f>IF($A$4+186&gt;$B$4,"",$A$4+186)</f>
        <v>46209</v>
      </c>
      <c r="N18629" t="str">
        <f>IF(M18629="","",'Master Barang'!A23)</f>
        <v>PRL-022</v>
      </c>
      <c r="O18629" t="str">
        <f>IF(N18629="","",'Master Barang'!B23)</f>
        <v>sabun cuci tangan</v>
      </c>
      <c r="P18629">
        <f>IF(OR(M18629="",N18629=""),"",SUMIFS('Barang Keluar'!$E:$E,'Barang Keluar'!$A:$A,M18629,'Barang Keluar'!$C:$C,N18629))</f>
        <v>0</v>
      </c>
    </row>
    <row r="18630" spans="13:16">
      <c r="M18630" s="49">
        <f>IF($A$4+186&gt;$B$4,"",$A$4+186)</f>
        <v>46209</v>
      </c>
      <c r="N18630" t="str">
        <f>IF(M18630="","",'Master Barang'!A24)</f>
        <v>PRL-023</v>
      </c>
      <c r="O18630" t="str">
        <f>IF(N18630="","",'Master Barang'!B24)</f>
        <v>gayung kecil</v>
      </c>
      <c r="P18630">
        <f>IF(OR(M18630="",N18630=""),"",SUMIFS('Barang Keluar'!$E:$E,'Barang Keluar'!$A:$A,M18630,'Barang Keluar'!$C:$C,N18630))</f>
        <v>0</v>
      </c>
    </row>
    <row r="18631" spans="13:16">
      <c r="M18631" s="49">
        <f>IF($A$4+186&gt;$B$4,"",$A$4+186)</f>
        <v>46209</v>
      </c>
      <c r="N18631" t="str">
        <f>IF(M18631="","",'Master Barang'!A25)</f>
        <v>PRL-024</v>
      </c>
      <c r="O18631" t="str">
        <f>IF(N18631="","",'Master Barang'!B25)</f>
        <v>cikrak kecil</v>
      </c>
      <c r="P18631">
        <f>IF(OR(M18631="",N18631=""),"",SUMIFS('Barang Keluar'!$E:$E,'Barang Keluar'!$A:$A,M18631,'Barang Keluar'!$C:$C,N18631))</f>
        <v>0</v>
      </c>
    </row>
    <row r="18632" spans="13:16">
      <c r="M18632" s="49">
        <f>IF($A$4+186&gt;$B$4,"",$A$4+186)</f>
        <v>46209</v>
      </c>
      <c r="N18632" t="str">
        <f>IF(M18632="","",'Master Barang'!A26)</f>
        <v>PRL-025</v>
      </c>
      <c r="O18632" t="str">
        <f>IF(N18632="","",'Master Barang'!B26)</f>
        <v>petromax plastik kecil 12x24 100 lembar</v>
      </c>
      <c r="P18632">
        <f>IF(OR(M18632="",N18632=""),"",SUMIFS('Barang Keluar'!$E:$E,'Barang Keluar'!$A:$A,M18632,'Barang Keluar'!$C:$C,N18632))</f>
        <v>0</v>
      </c>
    </row>
    <row r="18633" spans="13:16">
      <c r="M18633" s="49">
        <f>IF($A$4+186&gt;$B$4,"",$A$4+186)</f>
        <v>46209</v>
      </c>
      <c r="N18633" t="str">
        <f>IF(M18633="","",'Master Barang'!A27)</f>
        <v>PRL-026</v>
      </c>
      <c r="O18633" t="str">
        <f>IF(N18633="","",'Master Barang'!B27)</f>
        <v>lancar kresek kecil bening </v>
      </c>
      <c r="P18633">
        <f>IF(OR(M18633="",N18633=""),"",SUMIFS('Barang Keluar'!$E:$E,'Barang Keluar'!$A:$A,M18633,'Barang Keluar'!$C:$C,N18633))</f>
        <v>0</v>
      </c>
    </row>
    <row r="18634" spans="13:16">
      <c r="M18634" s="49">
        <f>IF($A$4+186&gt;$B$4,"",$A$4+186)</f>
        <v>46209</v>
      </c>
      <c r="N18634" t="str">
        <f>IF(M18634="","",'Master Barang'!A28)</f>
        <v>PRL-027</v>
      </c>
      <c r="O18634" t="str">
        <f>IF(N18634="","",'Master Barang'!B28)</f>
        <v>kresek klin warna warni kecil</v>
      </c>
      <c r="P18634">
        <f>IF(OR(M18634="",N18634=""),"",SUMIFS('Barang Keluar'!$E:$E,'Barang Keluar'!$A:$A,M18634,'Barang Keluar'!$C:$C,N18634))</f>
        <v>0</v>
      </c>
    </row>
    <row r="18635" spans="13:16">
      <c r="M18635" s="49">
        <f>IF($A$4+186&gt;$B$4,"",$A$4+186)</f>
        <v>46209</v>
      </c>
      <c r="N18635" t="str">
        <f>IF(M18635="","",'Master Barang'!A29)</f>
        <v>PRL-028</v>
      </c>
      <c r="O18635" t="str">
        <f>IF(N18635="","",'Master Barang'!B29)</f>
        <v>ctik plastik 7x10 100 pcs</v>
      </c>
      <c r="P18635">
        <f>IF(OR(M18635="",N18635=""),"",SUMIFS('Barang Keluar'!$E:$E,'Barang Keluar'!$A:$A,M18635,'Barang Keluar'!$C:$C,N18635))</f>
        <v>0</v>
      </c>
    </row>
    <row r="18636" spans="13:16">
      <c r="M18636" s="49">
        <f>IF($A$4+186&gt;$B$4,"",$A$4+186)</f>
        <v>46209</v>
      </c>
      <c r="N18636" t="str">
        <f>IF(M18636="","",'Master Barang'!A30)</f>
        <v>PRL-029</v>
      </c>
      <c r="O18636" t="str">
        <f>IF(N18636="","",'Master Barang'!B30)</f>
        <v>ctik plastik 6x10 100 pcs</v>
      </c>
      <c r="P18636">
        <f>IF(OR(M18636="",N18636=""),"",SUMIFS('Barang Keluar'!$E:$E,'Barang Keluar'!$A:$A,M18636,'Barang Keluar'!$C:$C,N18636))</f>
        <v>0</v>
      </c>
    </row>
    <row r="18637" spans="13:16">
      <c r="M18637" s="49">
        <f>IF($A$4+186&gt;$B$4,"",$A$4+186)</f>
        <v>46209</v>
      </c>
      <c r="N18637" t="str">
        <f>IF(M18637="","",'Master Barang'!A31)</f>
        <v>PRL-030</v>
      </c>
      <c r="O18637" t="str">
        <f>IF(N18637="","",'Master Barang'!B31)</f>
        <v>klip plastik 25x16 100 pcs</v>
      </c>
      <c r="P18637">
        <f>IF(OR(M18637="",N18637=""),"",SUMIFS('Barang Keluar'!$E:$E,'Barang Keluar'!$A:$A,M18637,'Barang Keluar'!$C:$C,N18637))</f>
        <v>0</v>
      </c>
    </row>
    <row r="18638" spans="13:16">
      <c r="M18638" s="49">
        <f>IF($A$4+186&gt;$B$4,"",$A$4+186)</f>
        <v>46209</v>
      </c>
      <c r="N18638" t="str">
        <f>IF(M18638="","",'Master Barang'!A32)</f>
        <v>PRL-031</v>
      </c>
      <c r="O18638" t="str">
        <f>IF(N18638="","",'Master Barang'!B32)</f>
        <v>tempat saus 20 ml</v>
      </c>
      <c r="P18638">
        <f>IF(OR(M18638="",N18638=""),"",SUMIFS('Barang Keluar'!$E:$E,'Barang Keluar'!$A:$A,M18638,'Barang Keluar'!$C:$C,N18638))</f>
        <v>0</v>
      </c>
    </row>
    <row r="18639" spans="13:16">
      <c r="M18639" s="49">
        <f>IF($A$4+186&gt;$B$4,"",$A$4+186)</f>
        <v>46209</v>
      </c>
      <c r="N18639" t="str">
        <f>IF(M18639="","",'Master Barang'!A33)</f>
        <v>PRL-032</v>
      </c>
      <c r="O18639" t="str">
        <f>IF(N18639="","",'Master Barang'!B33)</f>
        <v>plastik packaging ag box uk sedang</v>
      </c>
      <c r="P18639">
        <f>IF(OR(M18639="",N18639=""),"",SUMIFS('Barang Keluar'!$E:$E,'Barang Keluar'!$A:$A,M18639,'Barang Keluar'!$C:$C,N18639))</f>
        <v>0</v>
      </c>
    </row>
    <row r="18640" spans="13:16">
      <c r="M18640" s="49">
        <f>IF($A$4+186&gt;$B$4,"",$A$4+186)</f>
        <v>46209</v>
      </c>
      <c r="N18640" t="str">
        <f>IF(M18640="","",'Master Barang'!A34)</f>
        <v>PRL-033</v>
      </c>
      <c r="O18640">
        <f>IF(N18640="","",'Master Barang'!B34)</f>
        <v>0</v>
      </c>
      <c r="P18640">
        <f>IF(OR(M18640="",N18640=""),"",SUMIFS('Barang Keluar'!$E:$E,'Barang Keluar'!$A:$A,M18640,'Barang Keluar'!$C:$C,N18640))</f>
        <v>0</v>
      </c>
    </row>
    <row r="18641" spans="13:16">
      <c r="M18641" s="49">
        <f>IF($A$4+186&gt;$B$4,"",$A$4+186)</f>
        <v>46209</v>
      </c>
      <c r="N18641">
        <f>IF(M18641="","",'Master Barang'!A35)</f>
        <v>0</v>
      </c>
      <c r="O18641">
        <f>IF(N18641="","",'Master Barang'!B35)</f>
        <v>0</v>
      </c>
      <c r="P18641">
        <f>IF(OR(M18641="",N18641=""),"",SUMIFS('Barang Keluar'!$E:$E,'Barang Keluar'!$A:$A,M18641,'Barang Keluar'!$C:$C,N18641))</f>
        <v>0</v>
      </c>
    </row>
    <row r="18642" spans="13:16">
      <c r="M18642" s="49">
        <f>IF($A$4+186&gt;$B$4,"",$A$4+186)</f>
        <v>46209</v>
      </c>
      <c r="N18642">
        <f>IF(M18642="","",'Master Barang'!A36)</f>
        <v>0</v>
      </c>
      <c r="O18642">
        <f>IF(N18642="","",'Master Barang'!B36)</f>
        <v>0</v>
      </c>
      <c r="P18642">
        <f>IF(OR(M18642="",N18642=""),"",SUMIFS('Barang Keluar'!$E:$E,'Barang Keluar'!$A:$A,M18642,'Barang Keluar'!$C:$C,N18642))</f>
        <v>0</v>
      </c>
    </row>
    <row r="18643" spans="13:16">
      <c r="M18643" s="49">
        <f>IF($A$4+186&gt;$B$4,"",$A$4+186)</f>
        <v>46209</v>
      </c>
      <c r="N18643">
        <f>IF(M18643="","",'Master Barang'!A37)</f>
        <v>0</v>
      </c>
      <c r="O18643">
        <f>IF(N18643="","",'Master Barang'!B37)</f>
        <v>0</v>
      </c>
      <c r="P18643">
        <f>IF(OR(M18643="",N18643=""),"",SUMIFS('Barang Keluar'!$E:$E,'Barang Keluar'!$A:$A,M18643,'Barang Keluar'!$C:$C,N18643))</f>
        <v>0</v>
      </c>
    </row>
    <row r="18644" spans="13:16">
      <c r="M18644" s="49">
        <f>IF($A$4+186&gt;$B$4,"",$A$4+186)</f>
        <v>46209</v>
      </c>
      <c r="N18644">
        <f>IF(M18644="","",'Master Barang'!A38)</f>
        <v>0</v>
      </c>
      <c r="O18644">
        <f>IF(N18644="","",'Master Barang'!B38)</f>
        <v>0</v>
      </c>
      <c r="P18644">
        <f>IF(OR(M18644="",N18644=""),"",SUMIFS('Barang Keluar'!$E:$E,'Barang Keluar'!$A:$A,M18644,'Barang Keluar'!$C:$C,N18644))</f>
        <v>0</v>
      </c>
    </row>
    <row r="18645" spans="13:16">
      <c r="M18645" s="49">
        <f>IF($A$4+186&gt;$B$4,"",$A$4+186)</f>
        <v>46209</v>
      </c>
      <c r="N18645">
        <f>IF(M18645="","",'Master Barang'!A39)</f>
        <v>0</v>
      </c>
      <c r="O18645">
        <f>IF(N18645="","",'Master Barang'!B39)</f>
        <v>0</v>
      </c>
      <c r="P18645">
        <f>IF(OR(M18645="",N18645=""),"",SUMIFS('Barang Keluar'!$E:$E,'Barang Keluar'!$A:$A,M18645,'Barang Keluar'!$C:$C,N18645))</f>
        <v>0</v>
      </c>
    </row>
    <row r="18646" spans="13:16">
      <c r="M18646" s="49">
        <f>IF($A$4+186&gt;$B$4,"",$A$4+186)</f>
        <v>46209</v>
      </c>
      <c r="N18646">
        <f>IF(M18646="","",'Master Barang'!A40)</f>
        <v>0</v>
      </c>
      <c r="O18646">
        <f>IF(N18646="","",'Master Barang'!B40)</f>
        <v>0</v>
      </c>
      <c r="P18646">
        <f>IF(OR(M18646="",N18646=""),"",SUMIFS('Barang Keluar'!$E:$E,'Barang Keluar'!$A:$A,M18646,'Barang Keluar'!$C:$C,N18646))</f>
        <v>0</v>
      </c>
    </row>
    <row r="18647" spans="13:16">
      <c r="M18647" s="49">
        <f>IF($A$4+186&gt;$B$4,"",$A$4+186)</f>
        <v>46209</v>
      </c>
      <c r="N18647">
        <f>IF(M18647="","",'Master Barang'!A41)</f>
        <v>0</v>
      </c>
      <c r="O18647">
        <f>IF(N18647="","",'Master Barang'!B41)</f>
        <v>0</v>
      </c>
      <c r="P18647">
        <f>IF(OR(M18647="",N18647=""),"",SUMIFS('Barang Keluar'!$E:$E,'Barang Keluar'!$A:$A,M18647,'Barang Keluar'!$C:$C,N18647))</f>
        <v>0</v>
      </c>
    </row>
    <row r="18648" spans="13:16">
      <c r="M18648" s="49">
        <f>IF($A$4+186&gt;$B$4,"",$A$4+186)</f>
        <v>46209</v>
      </c>
      <c r="N18648">
        <f>IF(M18648="","",'Master Barang'!A42)</f>
        <v>0</v>
      </c>
      <c r="O18648">
        <f>IF(N18648="","",'Master Barang'!B42)</f>
        <v>0</v>
      </c>
      <c r="P18648">
        <f>IF(OR(M18648="",N18648=""),"",SUMIFS('Barang Keluar'!$E:$E,'Barang Keluar'!$A:$A,M18648,'Barang Keluar'!$C:$C,N18648))</f>
        <v>0</v>
      </c>
    </row>
    <row r="18649" spans="13:16">
      <c r="M18649" s="49">
        <f>IF($A$4+186&gt;$B$4,"",$A$4+186)</f>
        <v>46209</v>
      </c>
      <c r="N18649">
        <f>IF(M18649="","",'Master Barang'!A43)</f>
        <v>0</v>
      </c>
      <c r="O18649">
        <f>IF(N18649="","",'Master Barang'!B43)</f>
        <v>0</v>
      </c>
      <c r="P18649">
        <f>IF(OR(M18649="",N18649=""),"",SUMIFS('Barang Keluar'!$E:$E,'Barang Keluar'!$A:$A,M18649,'Barang Keluar'!$C:$C,N18649))</f>
        <v>0</v>
      </c>
    </row>
    <row r="18650" spans="13:16">
      <c r="M18650" s="49">
        <f>IF($A$4+186&gt;$B$4,"",$A$4+186)</f>
        <v>46209</v>
      </c>
      <c r="N18650">
        <f>IF(M18650="","",'Master Barang'!A44)</f>
        <v>0</v>
      </c>
      <c r="O18650">
        <f>IF(N18650="","",'Master Barang'!B44)</f>
        <v>0</v>
      </c>
      <c r="P18650">
        <f>IF(OR(M18650="",N18650=""),"",SUMIFS('Barang Keluar'!$E:$E,'Barang Keluar'!$A:$A,M18650,'Barang Keluar'!$C:$C,N18650))</f>
        <v>0</v>
      </c>
    </row>
    <row r="18651" spans="13:16">
      <c r="M18651" s="49">
        <f>IF($A$4+186&gt;$B$4,"",$A$4+186)</f>
        <v>46209</v>
      </c>
      <c r="N18651">
        <f>IF(M18651="","",'Master Barang'!A45)</f>
        <v>0</v>
      </c>
      <c r="O18651">
        <f>IF(N18651="","",'Master Barang'!B45)</f>
        <v>0</v>
      </c>
      <c r="P18651">
        <f>IF(OR(M18651="",N18651=""),"",SUMIFS('Barang Keluar'!$E:$E,'Barang Keluar'!$A:$A,M18651,'Barang Keluar'!$C:$C,N18651))</f>
        <v>0</v>
      </c>
    </row>
    <row r="18652" spans="13:16">
      <c r="M18652" s="49">
        <f>IF($A$4+186&gt;$B$4,"",$A$4+186)</f>
        <v>46209</v>
      </c>
      <c r="N18652">
        <f>IF(M18652="","",'Master Barang'!A46)</f>
        <v>0</v>
      </c>
      <c r="O18652">
        <f>IF(N18652="","",'Master Barang'!B46)</f>
        <v>0</v>
      </c>
      <c r="P18652">
        <f>IF(OR(M18652="",N18652=""),"",SUMIFS('Barang Keluar'!$E:$E,'Barang Keluar'!$A:$A,M18652,'Barang Keluar'!$C:$C,N18652))</f>
        <v>0</v>
      </c>
    </row>
    <row r="18653" spans="13:16">
      <c r="M18653" s="49">
        <f>IF($A$4+186&gt;$B$4,"",$A$4+186)</f>
        <v>46209</v>
      </c>
      <c r="N18653">
        <f>IF(M18653="","",'Master Barang'!A47)</f>
        <v>0</v>
      </c>
      <c r="O18653">
        <f>IF(N18653="","",'Master Barang'!B47)</f>
        <v>0</v>
      </c>
      <c r="P18653">
        <f>IF(OR(M18653="",N18653=""),"",SUMIFS('Barang Keluar'!$E:$E,'Barang Keluar'!$A:$A,M18653,'Barang Keluar'!$C:$C,N18653))</f>
        <v>0</v>
      </c>
    </row>
    <row r="18654" spans="13:16">
      <c r="M18654" s="49">
        <f>IF($A$4+186&gt;$B$4,"",$A$4+186)</f>
        <v>46209</v>
      </c>
      <c r="N18654">
        <f>IF(M18654="","",'Master Barang'!A48)</f>
        <v>0</v>
      </c>
      <c r="O18654">
        <f>IF(N18654="","",'Master Barang'!B48)</f>
        <v>0</v>
      </c>
      <c r="P18654">
        <f>IF(OR(M18654="",N18654=""),"",SUMIFS('Barang Keluar'!$E:$E,'Barang Keluar'!$A:$A,M18654,'Barang Keluar'!$C:$C,N18654))</f>
        <v>0</v>
      </c>
    </row>
    <row r="18655" spans="13:16">
      <c r="M18655" s="49">
        <f>IF($A$4+186&gt;$B$4,"",$A$4+186)</f>
        <v>46209</v>
      </c>
      <c r="N18655">
        <f>IF(M18655="","",'Master Barang'!A49)</f>
        <v>0</v>
      </c>
      <c r="O18655">
        <f>IF(N18655="","",'Master Barang'!B49)</f>
        <v>0</v>
      </c>
      <c r="P18655">
        <f>IF(OR(M18655="",N18655=""),"",SUMIFS('Barang Keluar'!$E:$E,'Barang Keluar'!$A:$A,M18655,'Barang Keluar'!$C:$C,N18655))</f>
        <v>0</v>
      </c>
    </row>
    <row r="18656" spans="13:16">
      <c r="M18656" s="49">
        <f>IF($A$4+186&gt;$B$4,"",$A$4+186)</f>
        <v>46209</v>
      </c>
      <c r="N18656">
        <f>IF(M18656="","",'Master Barang'!A50)</f>
        <v>0</v>
      </c>
      <c r="O18656">
        <f>IF(N18656="","",'Master Barang'!B50)</f>
        <v>0</v>
      </c>
      <c r="P18656">
        <f>IF(OR(M18656="",N18656=""),"",SUMIFS('Barang Keluar'!$E:$E,'Barang Keluar'!$A:$A,M18656,'Barang Keluar'!$C:$C,N18656))</f>
        <v>0</v>
      </c>
    </row>
    <row r="18657" spans="13:16">
      <c r="M18657" s="49">
        <f>IF($A$4+186&gt;$B$4,"",$A$4+186)</f>
        <v>46209</v>
      </c>
      <c r="N18657">
        <f>IF(M18657="","",'Master Barang'!A51)</f>
        <v>0</v>
      </c>
      <c r="O18657">
        <f>IF(N18657="","",'Master Barang'!B51)</f>
        <v>0</v>
      </c>
      <c r="P18657">
        <f>IF(OR(M18657="",N18657=""),"",SUMIFS('Barang Keluar'!$E:$E,'Barang Keluar'!$A:$A,M18657,'Barang Keluar'!$C:$C,N18657))</f>
        <v>0</v>
      </c>
    </row>
    <row r="18658" spans="13:16">
      <c r="M18658" s="49">
        <f>IF($A$4+186&gt;$B$4,"",$A$4+186)</f>
        <v>46209</v>
      </c>
      <c r="N18658">
        <f>IF(M18658="","",'Master Barang'!A52)</f>
        <v>0</v>
      </c>
      <c r="O18658">
        <f>IF(N18658="","",'Master Barang'!B52)</f>
        <v>0</v>
      </c>
      <c r="P18658">
        <f>IF(OR(M18658="",N18658=""),"",SUMIFS('Barang Keluar'!$E:$E,'Barang Keluar'!$A:$A,M18658,'Barang Keluar'!$C:$C,N18658))</f>
        <v>0</v>
      </c>
    </row>
    <row r="18659" spans="13:16">
      <c r="M18659" s="49">
        <f>IF($A$4+186&gt;$B$4,"",$A$4+186)</f>
        <v>46209</v>
      </c>
      <c r="N18659">
        <f>IF(M18659="","",'Master Barang'!A53)</f>
        <v>0</v>
      </c>
      <c r="O18659">
        <f>IF(N18659="","",'Master Barang'!B53)</f>
        <v>0</v>
      </c>
      <c r="P18659">
        <f>IF(OR(M18659="",N18659=""),"",SUMIFS('Barang Keluar'!$E:$E,'Barang Keluar'!$A:$A,M18659,'Barang Keluar'!$C:$C,N18659))</f>
        <v>0</v>
      </c>
    </row>
    <row r="18660" spans="13:16">
      <c r="M18660" s="49">
        <f>IF($A$4+186&gt;$B$4,"",$A$4+186)</f>
        <v>46209</v>
      </c>
      <c r="N18660">
        <f>IF(M18660="","",'Master Barang'!A54)</f>
        <v>0</v>
      </c>
      <c r="O18660">
        <f>IF(N18660="","",'Master Barang'!B54)</f>
        <v>0</v>
      </c>
      <c r="P18660">
        <f>IF(OR(M18660="",N18660=""),"",SUMIFS('Barang Keluar'!$E:$E,'Barang Keluar'!$A:$A,M18660,'Barang Keluar'!$C:$C,N18660))</f>
        <v>0</v>
      </c>
    </row>
    <row r="18661" spans="13:16">
      <c r="M18661" s="49">
        <f>IF($A$4+186&gt;$B$4,"",$A$4+186)</f>
        <v>46209</v>
      </c>
      <c r="N18661">
        <f>IF(M18661="","",'Master Barang'!A55)</f>
        <v>0</v>
      </c>
      <c r="O18661">
        <f>IF(N18661="","",'Master Barang'!B55)</f>
        <v>0</v>
      </c>
      <c r="P18661">
        <f>IF(OR(M18661="",N18661=""),"",SUMIFS('Barang Keluar'!$E:$E,'Barang Keluar'!$A:$A,M18661,'Barang Keluar'!$C:$C,N18661))</f>
        <v>0</v>
      </c>
    </row>
    <row r="18662" spans="13:16">
      <c r="M18662" s="49">
        <f>IF($A$4+186&gt;$B$4,"",$A$4+186)</f>
        <v>46209</v>
      </c>
      <c r="N18662">
        <f>IF(M18662="","",'Master Barang'!A56)</f>
        <v>0</v>
      </c>
      <c r="O18662">
        <f>IF(N18662="","",'Master Barang'!B56)</f>
        <v>0</v>
      </c>
      <c r="P18662">
        <f>IF(OR(M18662="",N18662=""),"",SUMIFS('Barang Keluar'!$E:$E,'Barang Keluar'!$A:$A,M18662,'Barang Keluar'!$C:$C,N18662))</f>
        <v>0</v>
      </c>
    </row>
    <row r="18663" spans="13:16">
      <c r="M18663" s="49">
        <f>IF($A$4+186&gt;$B$4,"",$A$4+186)</f>
        <v>46209</v>
      </c>
      <c r="N18663">
        <f>IF(M18663="","",'Master Barang'!A57)</f>
        <v>0</v>
      </c>
      <c r="O18663">
        <f>IF(N18663="","",'Master Barang'!B57)</f>
        <v>0</v>
      </c>
      <c r="P18663">
        <f>IF(OR(M18663="",N18663=""),"",SUMIFS('Barang Keluar'!$E:$E,'Barang Keluar'!$A:$A,M18663,'Barang Keluar'!$C:$C,N18663))</f>
        <v>0</v>
      </c>
    </row>
    <row r="18664" spans="13:16">
      <c r="M18664" s="49">
        <f>IF($A$4+186&gt;$B$4,"",$A$4+186)</f>
        <v>46209</v>
      </c>
      <c r="N18664">
        <f>IF(M18664="","",'Master Barang'!A58)</f>
        <v>0</v>
      </c>
      <c r="O18664">
        <f>IF(N18664="","",'Master Barang'!B58)</f>
        <v>0</v>
      </c>
      <c r="P18664">
        <f>IF(OR(M18664="",N18664=""),"",SUMIFS('Barang Keluar'!$E:$E,'Barang Keluar'!$A:$A,M18664,'Barang Keluar'!$C:$C,N18664))</f>
        <v>0</v>
      </c>
    </row>
    <row r="18665" spans="13:16">
      <c r="M18665" s="49">
        <f>IF($A$4+186&gt;$B$4,"",$A$4+186)</f>
        <v>46209</v>
      </c>
      <c r="N18665">
        <f>IF(M18665="","",'Master Barang'!A59)</f>
        <v>0</v>
      </c>
      <c r="O18665">
        <f>IF(N18665="","",'Master Barang'!B59)</f>
        <v>0</v>
      </c>
      <c r="P18665">
        <f>IF(OR(M18665="",N18665=""),"",SUMIFS('Barang Keluar'!$E:$E,'Barang Keluar'!$A:$A,M18665,'Barang Keluar'!$C:$C,N18665))</f>
        <v>0</v>
      </c>
    </row>
    <row r="18666" spans="13:16">
      <c r="M18666" s="49">
        <f>IF($A$4+186&gt;$B$4,"",$A$4+186)</f>
        <v>46209</v>
      </c>
      <c r="N18666">
        <f>IF(M18666="","",'Master Barang'!A60)</f>
        <v>0</v>
      </c>
      <c r="O18666">
        <f>IF(N18666="","",'Master Barang'!B60)</f>
        <v>0</v>
      </c>
      <c r="P18666">
        <f>IF(OR(M18666="",N18666=""),"",SUMIFS('Barang Keluar'!$E:$E,'Barang Keluar'!$A:$A,M18666,'Barang Keluar'!$C:$C,N18666))</f>
        <v>0</v>
      </c>
    </row>
    <row r="18667" spans="13:16">
      <c r="M18667" s="49">
        <f>IF($A$4+186&gt;$B$4,"",$A$4+186)</f>
        <v>46209</v>
      </c>
      <c r="N18667">
        <f>IF(M18667="","",'Master Barang'!A61)</f>
        <v>0</v>
      </c>
      <c r="O18667">
        <f>IF(N18667="","",'Master Barang'!B61)</f>
        <v>0</v>
      </c>
      <c r="P18667">
        <f>IF(OR(M18667="",N18667=""),"",SUMIFS('Barang Keluar'!$E:$E,'Barang Keluar'!$A:$A,M18667,'Barang Keluar'!$C:$C,N18667))</f>
        <v>0</v>
      </c>
    </row>
    <row r="18668" spans="13:16">
      <c r="M18668" s="49">
        <f>IF($A$4+186&gt;$B$4,"",$A$4+186)</f>
        <v>46209</v>
      </c>
      <c r="N18668">
        <f>IF(M18668="","",'Master Barang'!A62)</f>
        <v>0</v>
      </c>
      <c r="O18668">
        <f>IF(N18668="","",'Master Barang'!B62)</f>
        <v>0</v>
      </c>
      <c r="P18668">
        <f>IF(OR(M18668="",N18668=""),"",SUMIFS('Barang Keluar'!$E:$E,'Barang Keluar'!$A:$A,M18668,'Barang Keluar'!$C:$C,N18668))</f>
        <v>0</v>
      </c>
    </row>
    <row r="18669" spans="13:16">
      <c r="M18669" s="49">
        <f>IF($A$4+186&gt;$B$4,"",$A$4+186)</f>
        <v>46209</v>
      </c>
      <c r="N18669">
        <f>IF(M18669="","",'Master Barang'!A63)</f>
        <v>0</v>
      </c>
      <c r="O18669">
        <f>IF(N18669="","",'Master Barang'!B63)</f>
        <v>0</v>
      </c>
      <c r="P18669">
        <f>IF(OR(M18669="",N18669=""),"",SUMIFS('Barang Keluar'!$E:$E,'Barang Keluar'!$A:$A,M18669,'Barang Keluar'!$C:$C,N18669))</f>
        <v>0</v>
      </c>
    </row>
    <row r="18670" spans="13:16">
      <c r="M18670" s="49">
        <f>IF($A$4+186&gt;$B$4,"",$A$4+186)</f>
        <v>46209</v>
      </c>
      <c r="N18670">
        <f>IF(M18670="","",'Master Barang'!A64)</f>
        <v>0</v>
      </c>
      <c r="O18670">
        <f>IF(N18670="","",'Master Barang'!B64)</f>
        <v>0</v>
      </c>
      <c r="P18670">
        <f>IF(OR(M18670="",N18670=""),"",SUMIFS('Barang Keluar'!$E:$E,'Barang Keluar'!$A:$A,M18670,'Barang Keluar'!$C:$C,N18670))</f>
        <v>0</v>
      </c>
    </row>
    <row r="18671" spans="13:16">
      <c r="M18671" s="49">
        <f>IF($A$4+186&gt;$B$4,"",$A$4+186)</f>
        <v>46209</v>
      </c>
      <c r="N18671">
        <f>IF(M18671="","",'Master Barang'!A65)</f>
        <v>0</v>
      </c>
      <c r="O18671">
        <f>IF(N18671="","",'Master Barang'!B65)</f>
        <v>0</v>
      </c>
      <c r="P18671">
        <f>IF(OR(M18671="",N18671=""),"",SUMIFS('Barang Keluar'!$E:$E,'Barang Keluar'!$A:$A,M18671,'Barang Keluar'!$C:$C,N18671))</f>
        <v>0</v>
      </c>
    </row>
    <row r="18672" spans="13:16">
      <c r="M18672" s="49">
        <f>IF($A$4+186&gt;$B$4,"",$A$4+186)</f>
        <v>46209</v>
      </c>
      <c r="N18672">
        <f>IF(M18672="","",'Master Barang'!A66)</f>
        <v>0</v>
      </c>
      <c r="O18672">
        <f>IF(N18672="","",'Master Barang'!B66)</f>
        <v>0</v>
      </c>
      <c r="P18672">
        <f>IF(OR(M18672="",N18672=""),"",SUMIFS('Barang Keluar'!$E:$E,'Barang Keluar'!$A:$A,M18672,'Barang Keluar'!$C:$C,N18672))</f>
        <v>0</v>
      </c>
    </row>
    <row r="18673" spans="13:16">
      <c r="M18673" s="49">
        <f>IF($A$4+186&gt;$B$4,"",$A$4+186)</f>
        <v>46209</v>
      </c>
      <c r="N18673">
        <f>IF(M18673="","",'Master Barang'!A67)</f>
        <v>0</v>
      </c>
      <c r="O18673">
        <f>IF(N18673="","",'Master Barang'!B67)</f>
        <v>0</v>
      </c>
      <c r="P18673">
        <f>IF(OR(M18673="",N18673=""),"",SUMIFS('Barang Keluar'!$E:$E,'Barang Keluar'!$A:$A,M18673,'Barang Keluar'!$C:$C,N18673))</f>
        <v>0</v>
      </c>
    </row>
    <row r="18674" spans="13:16">
      <c r="M18674" s="49">
        <f>IF($A$4+186&gt;$B$4,"",$A$4+186)</f>
        <v>46209</v>
      </c>
      <c r="N18674">
        <f>IF(M18674="","",'Master Barang'!A68)</f>
        <v>0</v>
      </c>
      <c r="O18674">
        <f>IF(N18674="","",'Master Barang'!B68)</f>
        <v>0</v>
      </c>
      <c r="P18674">
        <f>IF(OR(M18674="",N18674=""),"",SUMIFS('Barang Keluar'!$E:$E,'Barang Keluar'!$A:$A,M18674,'Barang Keluar'!$C:$C,N18674))</f>
        <v>0</v>
      </c>
    </row>
    <row r="18675" spans="13:16">
      <c r="M18675" s="49">
        <f>IF($A$4+186&gt;$B$4,"",$A$4+186)</f>
        <v>46209</v>
      </c>
      <c r="N18675">
        <f>IF(M18675="","",'Master Barang'!A69)</f>
        <v>0</v>
      </c>
      <c r="O18675">
        <f>IF(N18675="","",'Master Barang'!B69)</f>
        <v>0</v>
      </c>
      <c r="P18675">
        <f>IF(OR(M18675="",N18675=""),"",SUMIFS('Barang Keluar'!$E:$E,'Barang Keluar'!$A:$A,M18675,'Barang Keluar'!$C:$C,N18675))</f>
        <v>0</v>
      </c>
    </row>
    <row r="18676" spans="13:16">
      <c r="M18676" s="49">
        <f>IF($A$4+186&gt;$B$4,"",$A$4+186)</f>
        <v>46209</v>
      </c>
      <c r="N18676">
        <f>IF(M18676="","",'Master Barang'!A70)</f>
        <v>0</v>
      </c>
      <c r="O18676">
        <f>IF(N18676="","",'Master Barang'!B70)</f>
        <v>0</v>
      </c>
      <c r="P18676">
        <f>IF(OR(M18676="",N18676=""),"",SUMIFS('Barang Keluar'!$E:$E,'Barang Keluar'!$A:$A,M18676,'Barang Keluar'!$C:$C,N18676))</f>
        <v>0</v>
      </c>
    </row>
    <row r="18677" spans="13:16">
      <c r="M18677" s="49">
        <f>IF($A$4+186&gt;$B$4,"",$A$4+186)</f>
        <v>46209</v>
      </c>
      <c r="N18677">
        <f>IF(M18677="","",'Master Barang'!A71)</f>
        <v>0</v>
      </c>
      <c r="O18677">
        <f>IF(N18677="","",'Master Barang'!B71)</f>
        <v>0</v>
      </c>
      <c r="P18677">
        <f>IF(OR(M18677="",N18677=""),"",SUMIFS('Barang Keluar'!$E:$E,'Barang Keluar'!$A:$A,M18677,'Barang Keluar'!$C:$C,N18677))</f>
        <v>0</v>
      </c>
    </row>
    <row r="18678" spans="13:16">
      <c r="M18678" s="49">
        <f>IF($A$4+186&gt;$B$4,"",$A$4+186)</f>
        <v>46209</v>
      </c>
      <c r="N18678">
        <f>IF(M18678="","",'Master Barang'!A72)</f>
        <v>0</v>
      </c>
      <c r="O18678">
        <f>IF(N18678="","",'Master Barang'!B72)</f>
        <v>0</v>
      </c>
      <c r="P18678">
        <f>IF(OR(M18678="",N18678=""),"",SUMIFS('Barang Keluar'!$E:$E,'Barang Keluar'!$A:$A,M18678,'Barang Keluar'!$C:$C,N18678))</f>
        <v>0</v>
      </c>
    </row>
    <row r="18679" spans="13:16">
      <c r="M18679" s="49">
        <f>IF($A$4+186&gt;$B$4,"",$A$4+186)</f>
        <v>46209</v>
      </c>
      <c r="N18679">
        <f>IF(M18679="","",'Master Barang'!A73)</f>
        <v>0</v>
      </c>
      <c r="O18679">
        <f>IF(N18679="","",'Master Barang'!B73)</f>
        <v>0</v>
      </c>
      <c r="P18679">
        <f>IF(OR(M18679="",N18679=""),"",SUMIFS('Barang Keluar'!$E:$E,'Barang Keluar'!$A:$A,M18679,'Barang Keluar'!$C:$C,N18679))</f>
        <v>0</v>
      </c>
    </row>
    <row r="18680" spans="13:16">
      <c r="M18680" s="49">
        <f>IF($A$4+186&gt;$B$4,"",$A$4+186)</f>
        <v>46209</v>
      </c>
      <c r="N18680">
        <f>IF(M18680="","",'Master Barang'!A74)</f>
        <v>0</v>
      </c>
      <c r="O18680">
        <f>IF(N18680="","",'Master Barang'!B74)</f>
        <v>0</v>
      </c>
      <c r="P18680">
        <f>IF(OR(M18680="",N18680=""),"",SUMIFS('Barang Keluar'!$E:$E,'Barang Keluar'!$A:$A,M18680,'Barang Keluar'!$C:$C,N18680))</f>
        <v>0</v>
      </c>
    </row>
    <row r="18681" spans="13:16">
      <c r="M18681" s="49">
        <f>IF($A$4+186&gt;$B$4,"",$A$4+186)</f>
        <v>46209</v>
      </c>
      <c r="N18681">
        <f>IF(M18681="","",'Master Barang'!A75)</f>
        <v>0</v>
      </c>
      <c r="O18681">
        <f>IF(N18681="","",'Master Barang'!B75)</f>
        <v>0</v>
      </c>
      <c r="P18681">
        <f>IF(OR(M18681="",N18681=""),"",SUMIFS('Barang Keluar'!$E:$E,'Barang Keluar'!$A:$A,M18681,'Barang Keluar'!$C:$C,N18681))</f>
        <v>0</v>
      </c>
    </row>
    <row r="18682" spans="13:16">
      <c r="M18682" s="49">
        <f>IF($A$4+186&gt;$B$4,"",$A$4+186)</f>
        <v>46209</v>
      </c>
      <c r="N18682">
        <f>IF(M18682="","",'Master Barang'!A76)</f>
        <v>0</v>
      </c>
      <c r="O18682">
        <f>IF(N18682="","",'Master Barang'!B76)</f>
        <v>0</v>
      </c>
      <c r="P18682">
        <f>IF(OR(M18682="",N18682=""),"",SUMIFS('Barang Keluar'!$E:$E,'Barang Keluar'!$A:$A,M18682,'Barang Keluar'!$C:$C,N18682))</f>
        <v>0</v>
      </c>
    </row>
    <row r="18683" spans="13:16">
      <c r="M18683" s="49">
        <f>IF($A$4+186&gt;$B$4,"",$A$4+186)</f>
        <v>46209</v>
      </c>
      <c r="N18683">
        <f>IF(M18683="","",'Master Barang'!A77)</f>
        <v>0</v>
      </c>
      <c r="O18683">
        <f>IF(N18683="","",'Master Barang'!B77)</f>
        <v>0</v>
      </c>
      <c r="P18683">
        <f>IF(OR(M18683="",N18683=""),"",SUMIFS('Barang Keluar'!$E:$E,'Barang Keluar'!$A:$A,M18683,'Barang Keluar'!$C:$C,N18683))</f>
        <v>0</v>
      </c>
    </row>
    <row r="18684" spans="13:16">
      <c r="M18684" s="49">
        <f>IF($A$4+186&gt;$B$4,"",$A$4+186)</f>
        <v>46209</v>
      </c>
      <c r="N18684">
        <f>IF(M18684="","",'Master Barang'!A78)</f>
        <v>0</v>
      </c>
      <c r="O18684">
        <f>IF(N18684="","",'Master Barang'!B78)</f>
        <v>0</v>
      </c>
      <c r="P18684">
        <f>IF(OR(M18684="",N18684=""),"",SUMIFS('Barang Keluar'!$E:$E,'Barang Keluar'!$A:$A,M18684,'Barang Keluar'!$C:$C,N18684))</f>
        <v>0</v>
      </c>
    </row>
    <row r="18685" spans="13:16">
      <c r="M18685" s="49">
        <f>IF($A$4+186&gt;$B$4,"",$A$4+186)</f>
        <v>46209</v>
      </c>
      <c r="N18685">
        <f>IF(M18685="","",'Master Barang'!A79)</f>
        <v>0</v>
      </c>
      <c r="O18685">
        <f>IF(N18685="","",'Master Barang'!B79)</f>
        <v>0</v>
      </c>
      <c r="P18685">
        <f>IF(OR(M18685="",N18685=""),"",SUMIFS('Barang Keluar'!$E:$E,'Barang Keluar'!$A:$A,M18685,'Barang Keluar'!$C:$C,N18685))</f>
        <v>0</v>
      </c>
    </row>
    <row r="18686" spans="13:16">
      <c r="M18686" s="49">
        <f>IF($A$4+186&gt;$B$4,"",$A$4+186)</f>
        <v>46209</v>
      </c>
      <c r="N18686">
        <f>IF(M18686="","",'Master Barang'!A80)</f>
        <v>0</v>
      </c>
      <c r="O18686">
        <f>IF(N18686="","",'Master Barang'!B80)</f>
        <v>0</v>
      </c>
      <c r="P18686">
        <f>IF(OR(M18686="",N18686=""),"",SUMIFS('Barang Keluar'!$E:$E,'Barang Keluar'!$A:$A,M18686,'Barang Keluar'!$C:$C,N18686))</f>
        <v>0</v>
      </c>
    </row>
    <row r="18687" spans="13:16">
      <c r="M18687" s="49">
        <f>IF($A$4+186&gt;$B$4,"",$A$4+186)</f>
        <v>46209</v>
      </c>
      <c r="N18687">
        <f>IF(M18687="","",'Master Barang'!A81)</f>
        <v>0</v>
      </c>
      <c r="O18687">
        <f>IF(N18687="","",'Master Barang'!B81)</f>
        <v>0</v>
      </c>
      <c r="P18687">
        <f>IF(OR(M18687="",N18687=""),"",SUMIFS('Barang Keluar'!$E:$E,'Barang Keluar'!$A:$A,M18687,'Barang Keluar'!$C:$C,N18687))</f>
        <v>0</v>
      </c>
    </row>
    <row r="18688" spans="13:16">
      <c r="M18688" s="49">
        <f>IF($A$4+186&gt;$B$4,"",$A$4+186)</f>
        <v>46209</v>
      </c>
      <c r="N18688">
        <f>IF(M18688="","",'Master Barang'!A82)</f>
        <v>0</v>
      </c>
      <c r="O18688">
        <f>IF(N18688="","",'Master Barang'!B82)</f>
        <v>0</v>
      </c>
      <c r="P18688">
        <f>IF(OR(M18688="",N18688=""),"",SUMIFS('Barang Keluar'!$E:$E,'Barang Keluar'!$A:$A,M18688,'Barang Keluar'!$C:$C,N18688))</f>
        <v>0</v>
      </c>
    </row>
    <row r="18689" spans="13:16">
      <c r="M18689" s="49">
        <f>IF($A$4+186&gt;$B$4,"",$A$4+186)</f>
        <v>46209</v>
      </c>
      <c r="N18689">
        <f>IF(M18689="","",'Master Barang'!A83)</f>
        <v>0</v>
      </c>
      <c r="O18689">
        <f>IF(N18689="","",'Master Barang'!B83)</f>
        <v>0</v>
      </c>
      <c r="P18689">
        <f>IF(OR(M18689="",N18689=""),"",SUMIFS('Barang Keluar'!$E:$E,'Barang Keluar'!$A:$A,M18689,'Barang Keluar'!$C:$C,N18689))</f>
        <v>0</v>
      </c>
    </row>
    <row r="18690" spans="13:16">
      <c r="M18690" s="49">
        <f>IF($A$4+186&gt;$B$4,"",$A$4+186)</f>
        <v>46209</v>
      </c>
      <c r="N18690">
        <f>IF(M18690="","",'Master Barang'!A84)</f>
        <v>0</v>
      </c>
      <c r="O18690">
        <f>IF(N18690="","",'Master Barang'!B84)</f>
        <v>0</v>
      </c>
      <c r="P18690">
        <f>IF(OR(M18690="",N18690=""),"",SUMIFS('Barang Keluar'!$E:$E,'Barang Keluar'!$A:$A,M18690,'Barang Keluar'!$C:$C,N18690))</f>
        <v>0</v>
      </c>
    </row>
    <row r="18691" spans="13:16">
      <c r="M18691" s="49">
        <f>IF($A$4+186&gt;$B$4,"",$A$4+186)</f>
        <v>46209</v>
      </c>
      <c r="N18691">
        <f>IF(M18691="","",'Master Barang'!A85)</f>
        <v>0</v>
      </c>
      <c r="O18691">
        <f>IF(N18691="","",'Master Barang'!B85)</f>
        <v>0</v>
      </c>
      <c r="P18691">
        <f>IF(OR(M18691="",N18691=""),"",SUMIFS('Barang Keluar'!$E:$E,'Barang Keluar'!$A:$A,M18691,'Barang Keluar'!$C:$C,N18691))</f>
        <v>0</v>
      </c>
    </row>
    <row r="18692" spans="13:16">
      <c r="M18692" s="49">
        <f>IF($A$4+186&gt;$B$4,"",$A$4+186)</f>
        <v>46209</v>
      </c>
      <c r="N18692">
        <f>IF(M18692="","",'Master Barang'!A86)</f>
        <v>0</v>
      </c>
      <c r="O18692">
        <f>IF(N18692="","",'Master Barang'!B86)</f>
        <v>0</v>
      </c>
      <c r="P18692">
        <f>IF(OR(M18692="",N18692=""),"",SUMIFS('Barang Keluar'!$E:$E,'Barang Keluar'!$A:$A,M18692,'Barang Keluar'!$C:$C,N18692))</f>
        <v>0</v>
      </c>
    </row>
    <row r="18693" spans="13:16">
      <c r="M18693" s="49">
        <f>IF($A$4+186&gt;$B$4,"",$A$4+186)</f>
        <v>46209</v>
      </c>
      <c r="N18693">
        <f>IF(M18693="","",'Master Barang'!A87)</f>
        <v>0</v>
      </c>
      <c r="O18693">
        <f>IF(N18693="","",'Master Barang'!B87)</f>
        <v>0</v>
      </c>
      <c r="P18693">
        <f>IF(OR(M18693="",N18693=""),"",SUMIFS('Barang Keluar'!$E:$E,'Barang Keluar'!$A:$A,M18693,'Barang Keluar'!$C:$C,N18693))</f>
        <v>0</v>
      </c>
    </row>
    <row r="18694" spans="13:16">
      <c r="M18694" s="49">
        <f>IF($A$4+186&gt;$B$4,"",$A$4+186)</f>
        <v>46209</v>
      </c>
      <c r="N18694">
        <f>IF(M18694="","",'Master Barang'!A88)</f>
        <v>0</v>
      </c>
      <c r="O18694">
        <f>IF(N18694="","",'Master Barang'!B88)</f>
        <v>0</v>
      </c>
      <c r="P18694">
        <f>IF(OR(M18694="",N18694=""),"",SUMIFS('Barang Keluar'!$E:$E,'Barang Keluar'!$A:$A,M18694,'Barang Keluar'!$C:$C,N18694))</f>
        <v>0</v>
      </c>
    </row>
    <row r="18695" spans="13:16">
      <c r="M18695" s="49">
        <f>IF($A$4+186&gt;$B$4,"",$A$4+186)</f>
        <v>46209</v>
      </c>
      <c r="N18695">
        <f>IF(M18695="","",'Master Barang'!A89)</f>
        <v>0</v>
      </c>
      <c r="O18695">
        <f>IF(N18695="","",'Master Barang'!B89)</f>
        <v>0</v>
      </c>
      <c r="P18695">
        <f>IF(OR(M18695="",N18695=""),"",SUMIFS('Barang Keluar'!$E:$E,'Barang Keluar'!$A:$A,M18695,'Barang Keluar'!$C:$C,N18695))</f>
        <v>0</v>
      </c>
    </row>
    <row r="18696" spans="13:16">
      <c r="M18696" s="49">
        <f>IF($A$4+186&gt;$B$4,"",$A$4+186)</f>
        <v>46209</v>
      </c>
      <c r="N18696">
        <f>IF(M18696="","",'Master Barang'!A90)</f>
        <v>0</v>
      </c>
      <c r="O18696">
        <f>IF(N18696="","",'Master Barang'!B90)</f>
        <v>0</v>
      </c>
      <c r="P18696">
        <f>IF(OR(M18696="",N18696=""),"",SUMIFS('Barang Keluar'!$E:$E,'Barang Keluar'!$A:$A,M18696,'Barang Keluar'!$C:$C,N18696))</f>
        <v>0</v>
      </c>
    </row>
    <row r="18697" spans="13:16">
      <c r="M18697" s="49">
        <f>IF($A$4+186&gt;$B$4,"",$A$4+186)</f>
        <v>46209</v>
      </c>
      <c r="N18697">
        <f>IF(M18697="","",'Master Barang'!A91)</f>
        <v>0</v>
      </c>
      <c r="O18697">
        <f>IF(N18697="","",'Master Barang'!B91)</f>
        <v>0</v>
      </c>
      <c r="P18697">
        <f>IF(OR(M18697="",N18697=""),"",SUMIFS('Barang Keluar'!$E:$E,'Barang Keluar'!$A:$A,M18697,'Barang Keluar'!$C:$C,N18697))</f>
        <v>0</v>
      </c>
    </row>
    <row r="18698" spans="13:16">
      <c r="M18698" s="49">
        <f>IF($A$4+186&gt;$B$4,"",$A$4+186)</f>
        <v>46209</v>
      </c>
      <c r="N18698">
        <f>IF(M18698="","",'Master Barang'!A92)</f>
        <v>0</v>
      </c>
      <c r="O18698">
        <f>IF(N18698="","",'Master Barang'!B92)</f>
        <v>0</v>
      </c>
      <c r="P18698">
        <f>IF(OR(M18698="",N18698=""),"",SUMIFS('Barang Keluar'!$E:$E,'Barang Keluar'!$A:$A,M18698,'Barang Keluar'!$C:$C,N18698))</f>
        <v>0</v>
      </c>
    </row>
    <row r="18699" spans="13:16">
      <c r="M18699" s="49">
        <f>IF($A$4+186&gt;$B$4,"",$A$4+186)</f>
        <v>46209</v>
      </c>
      <c r="N18699">
        <f>IF(M18699="","",'Master Barang'!A93)</f>
        <v>0</v>
      </c>
      <c r="O18699">
        <f>IF(N18699="","",'Master Barang'!B93)</f>
        <v>0</v>
      </c>
      <c r="P18699">
        <f>IF(OR(M18699="",N18699=""),"",SUMIFS('Barang Keluar'!$E:$E,'Barang Keluar'!$A:$A,M18699,'Barang Keluar'!$C:$C,N18699))</f>
        <v>0</v>
      </c>
    </row>
    <row r="18700" spans="13:16">
      <c r="M18700" s="49">
        <f>IF($A$4+186&gt;$B$4,"",$A$4+186)</f>
        <v>46209</v>
      </c>
      <c r="N18700">
        <f>IF(M18700="","",'Master Barang'!A94)</f>
        <v>0</v>
      </c>
      <c r="O18700">
        <f>IF(N18700="","",'Master Barang'!B94)</f>
        <v>0</v>
      </c>
      <c r="P18700">
        <f>IF(OR(M18700="",N18700=""),"",SUMIFS('Barang Keluar'!$E:$E,'Barang Keluar'!$A:$A,M18700,'Barang Keluar'!$C:$C,N18700))</f>
        <v>0</v>
      </c>
    </row>
    <row r="18701" spans="13:16">
      <c r="M18701" s="49">
        <f>IF($A$4+186&gt;$B$4,"",$A$4+186)</f>
        <v>46209</v>
      </c>
      <c r="N18701">
        <f>IF(M18701="","",'Master Barang'!A95)</f>
        <v>0</v>
      </c>
      <c r="O18701">
        <f>IF(N18701="","",'Master Barang'!B95)</f>
        <v>0</v>
      </c>
      <c r="P18701">
        <f>IF(OR(M18701="",N18701=""),"",SUMIFS('Barang Keluar'!$E:$E,'Barang Keluar'!$A:$A,M18701,'Barang Keluar'!$C:$C,N18701))</f>
        <v>0</v>
      </c>
    </row>
    <row r="18702" spans="13:16">
      <c r="M18702" s="49">
        <f>IF($A$4+186&gt;$B$4,"",$A$4+186)</f>
        <v>46209</v>
      </c>
      <c r="N18702">
        <f>IF(M18702="","",'Master Barang'!A96)</f>
        <v>0</v>
      </c>
      <c r="O18702">
        <f>IF(N18702="","",'Master Barang'!B96)</f>
        <v>0</v>
      </c>
      <c r="P18702">
        <f>IF(OR(M18702="",N18702=""),"",SUMIFS('Barang Keluar'!$E:$E,'Barang Keluar'!$A:$A,M18702,'Barang Keluar'!$C:$C,N18702))</f>
        <v>0</v>
      </c>
    </row>
    <row r="18703" spans="13:16">
      <c r="M18703" s="49">
        <f>IF($A$4+186&gt;$B$4,"",$A$4+186)</f>
        <v>46209</v>
      </c>
      <c r="N18703">
        <f>IF(M18703="","",'Master Barang'!A97)</f>
        <v>0</v>
      </c>
      <c r="O18703">
        <f>IF(N18703="","",'Master Barang'!B97)</f>
        <v>0</v>
      </c>
      <c r="P18703">
        <f>IF(OR(M18703="",N18703=""),"",SUMIFS('Barang Keluar'!$E:$E,'Barang Keluar'!$A:$A,M18703,'Barang Keluar'!$C:$C,N18703))</f>
        <v>0</v>
      </c>
    </row>
    <row r="18704" spans="13:16">
      <c r="M18704" s="49">
        <f>IF($A$4+186&gt;$B$4,"",$A$4+186)</f>
        <v>46209</v>
      </c>
      <c r="N18704">
        <f>IF(M18704="","",'Master Barang'!A98)</f>
        <v>0</v>
      </c>
      <c r="O18704">
        <f>IF(N18704="","",'Master Barang'!B98)</f>
        <v>0</v>
      </c>
      <c r="P18704">
        <f>IF(OR(M18704="",N18704=""),"",SUMIFS('Barang Keluar'!$E:$E,'Barang Keluar'!$A:$A,M18704,'Barang Keluar'!$C:$C,N18704))</f>
        <v>0</v>
      </c>
    </row>
    <row r="18705" spans="13:16">
      <c r="M18705" s="49">
        <f>IF($A$4+186&gt;$B$4,"",$A$4+186)</f>
        <v>46209</v>
      </c>
      <c r="N18705">
        <f>IF(M18705="","",'Master Barang'!A99)</f>
        <v>0</v>
      </c>
      <c r="O18705">
        <f>IF(N18705="","",'Master Barang'!B99)</f>
        <v>0</v>
      </c>
      <c r="P18705">
        <f>IF(OR(M18705="",N18705=""),"",SUMIFS('Barang Keluar'!$E:$E,'Barang Keluar'!$A:$A,M18705,'Barang Keluar'!$C:$C,N18705))</f>
        <v>0</v>
      </c>
    </row>
    <row r="18706" spans="13:16">
      <c r="M18706" s="49">
        <f>IF($A$4+186&gt;$B$4,"",$A$4+186)</f>
        <v>46209</v>
      </c>
      <c r="N18706">
        <f>IF(M18706="","",'Master Barang'!A100)</f>
        <v>0</v>
      </c>
      <c r="O18706">
        <f>IF(N18706="","",'Master Barang'!B100)</f>
        <v>0</v>
      </c>
      <c r="P18706">
        <f>IF(OR(M18706="",N18706=""),"",SUMIFS('Barang Keluar'!$E:$E,'Barang Keluar'!$A:$A,M18706,'Barang Keluar'!$C:$C,N18706))</f>
        <v>0</v>
      </c>
    </row>
    <row r="18707" spans="13:16">
      <c r="M18707" s="49">
        <f>IF($A$4+186&gt;$B$4,"",$A$4+186)</f>
        <v>46209</v>
      </c>
      <c r="N18707">
        <f>IF(M18707="","",'Master Barang'!A101)</f>
        <v>0</v>
      </c>
      <c r="O18707">
        <f>IF(N18707="","",'Master Barang'!B101)</f>
        <v>0</v>
      </c>
      <c r="P18707">
        <f>IF(OR(M18707="",N18707=""),"",SUMIFS('Barang Keluar'!$E:$E,'Barang Keluar'!$A:$A,M18707,'Barang Keluar'!$C:$C,N18707))</f>
        <v>0</v>
      </c>
    </row>
    <row r="18708" spans="13:16">
      <c r="M18708" s="49">
        <f>IF($A$4+187&gt;$B$4,"",$A$4+187)</f>
        <v>46210</v>
      </c>
      <c r="N18708" t="str">
        <f>IF(M18708="","",'Master Barang'!A2)</f>
        <v>PRL-001</v>
      </c>
      <c r="O18708" t="str">
        <f>IF(N18708="","",'Master Barang'!B2)</f>
        <v>natura desinfectant food grade 5l</v>
      </c>
      <c r="P18708">
        <f>IF(OR(M18708="",N18708=""),"",SUMIFS('Barang Keluar'!$E:$E,'Barang Keluar'!$A:$A,M18708,'Barang Keluar'!$C:$C,N18708))</f>
        <v>0</v>
      </c>
    </row>
    <row r="18709" spans="13:16">
      <c r="M18709" s="49">
        <f>IF($A$4+187&gt;$B$4,"",$A$4+187)</f>
        <v>46210</v>
      </c>
      <c r="N18709" t="str">
        <f>IF(M18709="","",'Master Barang'!A3)</f>
        <v>PRL-002</v>
      </c>
      <c r="O18709" t="str">
        <f>IF(N18709="","",'Master Barang'!B3)</f>
        <v>sunlight cairan pencuci piring 5l</v>
      </c>
      <c r="P18709">
        <f>IF(OR(M18709="",N18709=""),"",SUMIFS('Barang Keluar'!$E:$E,'Barang Keluar'!$A:$A,M18709,'Barang Keluar'!$C:$C,N18709))</f>
        <v>0</v>
      </c>
    </row>
    <row r="18710" spans="13:16">
      <c r="M18710" s="49">
        <f>IF($A$4+187&gt;$B$4,"",$A$4+187)</f>
        <v>46210</v>
      </c>
      <c r="N18710" t="str">
        <f>IF(M18710="","",'Master Barang'!A4)</f>
        <v>PRL-003</v>
      </c>
      <c r="O18710" t="str">
        <f>IF(N18710="","",'Master Barang'!B4)</f>
        <v>oixs cleaner 1l</v>
      </c>
      <c r="P18710">
        <f>IF(OR(M18710="",N18710=""),"",SUMIFS('Barang Keluar'!$E:$E,'Barang Keluar'!$A:$A,M18710,'Barang Keluar'!$C:$C,N18710))</f>
        <v>0</v>
      </c>
    </row>
    <row r="18711" spans="13:16">
      <c r="M18711" s="49">
        <f>IF($A$4+187&gt;$B$4,"",$A$4+187)</f>
        <v>46210</v>
      </c>
      <c r="N18711" t="str">
        <f>IF(M18711="","",'Master Barang'!A5)</f>
        <v>PRL-004</v>
      </c>
      <c r="O18711" t="str">
        <f>IF(N18711="","",'Master Barang'!B5)</f>
        <v>be clean tissue serbaguna</v>
      </c>
      <c r="P18711">
        <f>IF(OR(M18711="",N18711=""),"",SUMIFS('Barang Keluar'!$E:$E,'Barang Keluar'!$A:$A,M18711,'Barang Keluar'!$C:$C,N18711))</f>
        <v>0</v>
      </c>
    </row>
    <row r="18712" spans="13:16">
      <c r="M18712" s="49">
        <f>IF($A$4+187&gt;$B$4,"",$A$4+187)</f>
        <v>46210</v>
      </c>
      <c r="N18712" t="str">
        <f>IF(M18712="","",'Master Barang'!A6)</f>
        <v>PRL-005</v>
      </c>
      <c r="O18712" t="str">
        <f>IF(N18712="","",'Master Barang'!B6)</f>
        <v>spons cuci hijau</v>
      </c>
      <c r="P18712">
        <f>IF(OR(M18712="",N18712=""),"",SUMIFS('Barang Keluar'!$E:$E,'Barang Keluar'!$A:$A,M18712,'Barang Keluar'!$C:$C,N18712))</f>
        <v>0</v>
      </c>
    </row>
    <row r="18713" spans="13:16">
      <c r="M18713" s="49">
        <f>IF($A$4+187&gt;$B$4,"",$A$4+187)</f>
        <v>46210</v>
      </c>
      <c r="N18713" t="str">
        <f>IF(M18713="","",'Master Barang'!A7)</f>
        <v>PRL-006</v>
      </c>
      <c r="O18713" t="str">
        <f>IF(N18713="","",'Master Barang'!B7)</f>
        <v>sabut cuci stainless</v>
      </c>
      <c r="P18713">
        <f>IF(OR(M18713="",N18713=""),"",SUMIFS('Barang Keluar'!$E:$E,'Barang Keluar'!$A:$A,M18713,'Barang Keluar'!$C:$C,N18713))</f>
        <v>0</v>
      </c>
    </row>
    <row r="18714" spans="13:16">
      <c r="M18714" s="49">
        <f>IF($A$4+187&gt;$B$4,"",$A$4+187)</f>
        <v>46210</v>
      </c>
      <c r="N18714" t="str">
        <f>IF(M18714="","",'Master Barang'!A8)</f>
        <v>PRL-007</v>
      </c>
      <c r="O18714" t="str">
        <f>IF(N18714="","",'Master Barang'!B8)</f>
        <v>plastik kresek besar merah 50pc</v>
      </c>
      <c r="P18714">
        <f>IF(OR(M18714="",N18714=""),"",SUMIFS('Barang Keluar'!$E:$E,'Barang Keluar'!$A:$A,M18714,'Barang Keluar'!$C:$C,N18714))</f>
        <v>0</v>
      </c>
    </row>
    <row r="18715" spans="13:16">
      <c r="M18715" s="49">
        <f>IF($A$4+187&gt;$B$4,"",$A$4+187)</f>
        <v>46210</v>
      </c>
      <c r="N18715" t="str">
        <f>IF(M18715="","",'Master Barang'!A9)</f>
        <v>PRL-008</v>
      </c>
      <c r="O18715" t="str">
        <f>IF(N18715="","",'Master Barang'!B9)</f>
        <v>lap besar</v>
      </c>
      <c r="P18715">
        <f>IF(OR(M18715="",N18715=""),"",SUMIFS('Barang Keluar'!$E:$E,'Barang Keluar'!$A:$A,M18715,'Barang Keluar'!$C:$C,N18715))</f>
        <v>0</v>
      </c>
    </row>
    <row r="18716" spans="13:16">
      <c r="M18716" s="49">
        <f>IF($A$4+187&gt;$B$4,"",$A$4+187)</f>
        <v>46210</v>
      </c>
      <c r="N18716" t="str">
        <f>IF(M18716="","",'Master Barang'!A10)</f>
        <v>PRL-009</v>
      </c>
      <c r="O18716" t="str">
        <f>IF(N18716="","",'Master Barang'!B10)</f>
        <v>lap microfiber</v>
      </c>
      <c r="P18716">
        <f>IF(OR(M18716="",N18716=""),"",SUMIFS('Barang Keluar'!$E:$E,'Barang Keluar'!$A:$A,M18716,'Barang Keluar'!$C:$C,N18716))</f>
        <v>0</v>
      </c>
    </row>
    <row r="18717" spans="13:16">
      <c r="M18717" s="49">
        <f>IF($A$4+187&gt;$B$4,"",$A$4+187)</f>
        <v>46210</v>
      </c>
      <c r="N18717" t="str">
        <f>IF(M18717="","",'Master Barang'!A11)</f>
        <v>PRL-010</v>
      </c>
      <c r="O18717" t="str">
        <f>IF(N18717="","",'Master Barang'!B11)</f>
        <v>lap kecil</v>
      </c>
      <c r="P18717">
        <f>IF(OR(M18717="",N18717=""),"",SUMIFS('Barang Keluar'!$E:$E,'Barang Keluar'!$A:$A,M18717,'Barang Keluar'!$C:$C,N18717))</f>
        <v>0</v>
      </c>
    </row>
    <row r="18718" spans="13:16">
      <c r="M18718" s="49">
        <f>IF($A$4+187&gt;$B$4,"",$A$4+187)</f>
        <v>46210</v>
      </c>
      <c r="N18718" t="str">
        <f>IF(M18718="","",'Master Barang'!A12)</f>
        <v>PRL-011</v>
      </c>
      <c r="O18718" t="str">
        <f>IF(N18718="","",'Master Barang'!B12)</f>
        <v>kanebo kecil</v>
      </c>
      <c r="P18718">
        <f>IF(OR(M18718="",N18718=""),"",SUMIFS('Barang Keluar'!$E:$E,'Barang Keluar'!$A:$A,M18718,'Barang Keluar'!$C:$C,N18718))</f>
        <v>0</v>
      </c>
    </row>
    <row r="18719" spans="13:16">
      <c r="M18719" s="49">
        <f>IF($A$4+187&gt;$B$4,"",$A$4+187)</f>
        <v>46210</v>
      </c>
      <c r="N18719" t="str">
        <f>IF(M18719="","",'Master Barang'!A13)</f>
        <v>PRL-012</v>
      </c>
      <c r="O18719" t="str">
        <f>IF(N18719="","",'Master Barang'!B13)</f>
        <v>plastik 1/4kg joyoboyo 100 lembar</v>
      </c>
      <c r="P18719">
        <f>IF(OR(M18719="",N18719=""),"",SUMIFS('Barang Keluar'!$E:$E,'Barang Keluar'!$A:$A,M18719,'Barang Keluar'!$C:$C,N18719))</f>
        <v>0</v>
      </c>
    </row>
    <row r="18720" spans="13:16">
      <c r="M18720" s="49">
        <f>IF($A$4+187&gt;$B$4,"",$A$4+187)</f>
        <v>46210</v>
      </c>
      <c r="N18720" t="str">
        <f>IF(M18720="","",'Master Barang'!A14)</f>
        <v>PRL-013</v>
      </c>
      <c r="O18720" t="str">
        <f>IF(N18720="","",'Master Barang'!B14)</f>
        <v>sarung tangan plastik kaka 100 pcs</v>
      </c>
      <c r="P18720">
        <f>IF(OR(M18720="",N18720=""),"",SUMIFS('Barang Keluar'!$E:$E,'Barang Keluar'!$A:$A,M18720,'Barang Keluar'!$C:$C,N18720))</f>
        <v>0</v>
      </c>
    </row>
    <row r="18721" spans="13:16">
      <c r="M18721" s="49">
        <f>IF($A$4+187&gt;$B$4,"",$A$4+187)</f>
        <v>46210</v>
      </c>
      <c r="N18721" t="str">
        <f>IF(M18721="","",'Master Barang'!A15)</f>
        <v>PRL-014</v>
      </c>
      <c r="O18721" t="str">
        <f>IF(N18721="","",'Master Barang'!B15)</f>
        <v>optima trashbag 80x100</v>
      </c>
      <c r="P18721">
        <f>IF(OR(M18721="",N18721=""),"",SUMIFS('Barang Keluar'!$E:$E,'Barang Keluar'!$A:$A,M18721,'Barang Keluar'!$C:$C,N18721))</f>
        <v>0</v>
      </c>
    </row>
    <row r="18722" spans="13:16">
      <c r="M18722" s="49">
        <f>IF($A$4+187&gt;$B$4,"",$A$4+187)</f>
        <v>46210</v>
      </c>
      <c r="N18722" t="str">
        <f>IF(M18722="","",'Master Barang'!A16)</f>
        <v>PRL-015</v>
      </c>
      <c r="O18722" t="str">
        <f>IF(N18722="","",'Master Barang'!B16)</f>
        <v>optima trashbag 60x100</v>
      </c>
      <c r="P18722">
        <f>IF(OR(M18722="",N18722=""),"",SUMIFS('Barang Keluar'!$E:$E,'Barang Keluar'!$A:$A,M18722,'Barang Keluar'!$C:$C,N18722))</f>
        <v>0</v>
      </c>
    </row>
    <row r="18723" spans="13:16">
      <c r="M18723" s="49">
        <f>IF($A$4+187&gt;$B$4,"",$A$4+187)</f>
        <v>46210</v>
      </c>
      <c r="N18723" t="str">
        <f>IF(M18723="","",'Master Barang'!A17)</f>
        <v>PRL-016</v>
      </c>
      <c r="O18723" t="str">
        <f>IF(N18723="","",'Master Barang'!B17)</f>
        <v>rajawali trashbag 30x40</v>
      </c>
      <c r="P18723">
        <f>IF(OR(M18723="",N18723=""),"",SUMIFS('Barang Keluar'!$E:$E,'Barang Keluar'!$A:$A,M18723,'Barang Keluar'!$C:$C,N18723))</f>
        <v>0</v>
      </c>
    </row>
    <row r="18724" spans="13:16">
      <c r="M18724" s="49">
        <f>IF($A$4+187&gt;$B$4,"",$A$4+187)</f>
        <v>46210</v>
      </c>
      <c r="N18724" t="str">
        <f>IF(M18724="","",'Master Barang'!A18)</f>
        <v>PRL-017</v>
      </c>
      <c r="O18724" t="str">
        <f>IF(N18724="","",'Master Barang'!B18)</f>
        <v>onemed masker biru 3 play 50 pcs</v>
      </c>
      <c r="P18724">
        <f>IF(OR(M18724="",N18724=""),"",SUMIFS('Barang Keluar'!$E:$E,'Barang Keluar'!$A:$A,M18724,'Barang Keluar'!$C:$C,N18724))</f>
        <v>0</v>
      </c>
    </row>
    <row r="18725" spans="13:16">
      <c r="M18725" s="49">
        <f>IF($A$4+187&gt;$B$4,"",$A$4+187)</f>
        <v>46210</v>
      </c>
      <c r="N18725" t="str">
        <f>IF(M18725="","",'Master Barang'!A19)</f>
        <v>PRL-018</v>
      </c>
      <c r="O18725" t="str">
        <f>IF(N18725="","",'Master Barang'!B19)</f>
        <v>onemed masker biru 3 play hijab 50 pcs</v>
      </c>
      <c r="P18725">
        <f>IF(OR(M18725="",N18725=""),"",SUMIFS('Barang Keluar'!$E:$E,'Barang Keluar'!$A:$A,M18725,'Barang Keluar'!$C:$C,N18725))</f>
        <v>0</v>
      </c>
    </row>
    <row r="18726" spans="13:16">
      <c r="M18726" s="49">
        <f>IF($A$4+187&gt;$B$4,"",$A$4+187)</f>
        <v>46210</v>
      </c>
      <c r="N18726" t="str">
        <f>IF(M18726="","",'Master Barang'!A20)</f>
        <v>PRL-019</v>
      </c>
      <c r="O18726" t="str">
        <f>IF(N18726="","",'Master Barang'!B20)</f>
        <v>neo health masker biru 3 play 50 pcs</v>
      </c>
      <c r="P18726">
        <f>IF(OR(M18726="",N18726=""),"",SUMIFS('Barang Keluar'!$E:$E,'Barang Keluar'!$A:$A,M18726,'Barang Keluar'!$C:$C,N18726))</f>
        <v>0</v>
      </c>
    </row>
    <row r="18727" spans="13:16">
      <c r="M18727" s="49">
        <f>IF($A$4+187&gt;$B$4,"",$A$4+187)</f>
        <v>46210</v>
      </c>
      <c r="N18727" t="str">
        <f>IF(M18727="","",'Master Barang'!A21)</f>
        <v>PRL-020</v>
      </c>
      <c r="O18727" t="str">
        <f>IF(N18727="","",'Master Barang'!B21)</f>
        <v>baymed masker hijau 3 play hijau 50 pcs</v>
      </c>
      <c r="P18727">
        <f>IF(OR(M18727="",N18727=""),"",SUMIFS('Barang Keluar'!$E:$E,'Barang Keluar'!$A:$A,M18727,'Barang Keluar'!$C:$C,N18727))</f>
        <v>0</v>
      </c>
    </row>
    <row r="18728" spans="13:16">
      <c r="M18728" s="49">
        <f>IF($A$4+187&gt;$B$4,"",$A$4+187)</f>
        <v>46210</v>
      </c>
      <c r="N18728" t="str">
        <f>IF(M18728="","",'Master Barang'!A22)</f>
        <v>PRL-021</v>
      </c>
      <c r="O18728" t="str">
        <f>IF(N18728="","",'Master Barang'!B22)</f>
        <v>altamed nurse cap penutup kepala 100 pcs</v>
      </c>
      <c r="P18728">
        <f>IF(OR(M18728="",N18728=""),"",SUMIFS('Barang Keluar'!$E:$E,'Barang Keluar'!$A:$A,M18728,'Barang Keluar'!$C:$C,N18728))</f>
        <v>0</v>
      </c>
    </row>
    <row r="18729" spans="13:16">
      <c r="M18729" s="49">
        <f>IF($A$4+187&gt;$B$4,"",$A$4+187)</f>
        <v>46210</v>
      </c>
      <c r="N18729" t="str">
        <f>IF(M18729="","",'Master Barang'!A23)</f>
        <v>PRL-022</v>
      </c>
      <c r="O18729" t="str">
        <f>IF(N18729="","",'Master Barang'!B23)</f>
        <v>sabun cuci tangan</v>
      </c>
      <c r="P18729">
        <f>IF(OR(M18729="",N18729=""),"",SUMIFS('Barang Keluar'!$E:$E,'Barang Keluar'!$A:$A,M18729,'Barang Keluar'!$C:$C,N18729))</f>
        <v>0</v>
      </c>
    </row>
    <row r="18730" spans="13:16">
      <c r="M18730" s="49">
        <f>IF($A$4+187&gt;$B$4,"",$A$4+187)</f>
        <v>46210</v>
      </c>
      <c r="N18730" t="str">
        <f>IF(M18730="","",'Master Barang'!A24)</f>
        <v>PRL-023</v>
      </c>
      <c r="O18730" t="str">
        <f>IF(N18730="","",'Master Barang'!B24)</f>
        <v>gayung kecil</v>
      </c>
      <c r="P18730">
        <f>IF(OR(M18730="",N18730=""),"",SUMIFS('Barang Keluar'!$E:$E,'Barang Keluar'!$A:$A,M18730,'Barang Keluar'!$C:$C,N18730))</f>
        <v>0</v>
      </c>
    </row>
    <row r="18731" spans="13:16">
      <c r="M18731" s="49">
        <f>IF($A$4+187&gt;$B$4,"",$A$4+187)</f>
        <v>46210</v>
      </c>
      <c r="N18731" t="str">
        <f>IF(M18731="","",'Master Barang'!A25)</f>
        <v>PRL-024</v>
      </c>
      <c r="O18731" t="str">
        <f>IF(N18731="","",'Master Barang'!B25)</f>
        <v>cikrak kecil</v>
      </c>
      <c r="P18731">
        <f>IF(OR(M18731="",N18731=""),"",SUMIFS('Barang Keluar'!$E:$E,'Barang Keluar'!$A:$A,M18731,'Barang Keluar'!$C:$C,N18731))</f>
        <v>0</v>
      </c>
    </row>
    <row r="18732" spans="13:16">
      <c r="M18732" s="49">
        <f>IF($A$4+187&gt;$B$4,"",$A$4+187)</f>
        <v>46210</v>
      </c>
      <c r="N18732" t="str">
        <f>IF(M18732="","",'Master Barang'!A26)</f>
        <v>PRL-025</v>
      </c>
      <c r="O18732" t="str">
        <f>IF(N18732="","",'Master Barang'!B26)</f>
        <v>petromax plastik kecil 12x24 100 lembar</v>
      </c>
      <c r="P18732">
        <f>IF(OR(M18732="",N18732=""),"",SUMIFS('Barang Keluar'!$E:$E,'Barang Keluar'!$A:$A,M18732,'Barang Keluar'!$C:$C,N18732))</f>
        <v>0</v>
      </c>
    </row>
    <row r="18733" spans="13:16">
      <c r="M18733" s="49">
        <f>IF($A$4+187&gt;$B$4,"",$A$4+187)</f>
        <v>46210</v>
      </c>
      <c r="N18733" t="str">
        <f>IF(M18733="","",'Master Barang'!A27)</f>
        <v>PRL-026</v>
      </c>
      <c r="O18733" t="str">
        <f>IF(N18733="","",'Master Barang'!B27)</f>
        <v>lancar kresek kecil bening </v>
      </c>
      <c r="P18733">
        <f>IF(OR(M18733="",N18733=""),"",SUMIFS('Barang Keluar'!$E:$E,'Barang Keluar'!$A:$A,M18733,'Barang Keluar'!$C:$C,N18733))</f>
        <v>0</v>
      </c>
    </row>
    <row r="18734" spans="13:16">
      <c r="M18734" s="49">
        <f>IF($A$4+187&gt;$B$4,"",$A$4+187)</f>
        <v>46210</v>
      </c>
      <c r="N18734" t="str">
        <f>IF(M18734="","",'Master Barang'!A28)</f>
        <v>PRL-027</v>
      </c>
      <c r="O18734" t="str">
        <f>IF(N18734="","",'Master Barang'!B28)</f>
        <v>kresek klin warna warni kecil</v>
      </c>
      <c r="P18734">
        <f>IF(OR(M18734="",N18734=""),"",SUMIFS('Barang Keluar'!$E:$E,'Barang Keluar'!$A:$A,M18734,'Barang Keluar'!$C:$C,N18734))</f>
        <v>0</v>
      </c>
    </row>
    <row r="18735" spans="13:16">
      <c r="M18735" s="49">
        <f>IF($A$4+187&gt;$B$4,"",$A$4+187)</f>
        <v>46210</v>
      </c>
      <c r="N18735" t="str">
        <f>IF(M18735="","",'Master Barang'!A29)</f>
        <v>PRL-028</v>
      </c>
      <c r="O18735" t="str">
        <f>IF(N18735="","",'Master Barang'!B29)</f>
        <v>ctik plastik 7x10 100 pcs</v>
      </c>
      <c r="P18735">
        <f>IF(OR(M18735="",N18735=""),"",SUMIFS('Barang Keluar'!$E:$E,'Barang Keluar'!$A:$A,M18735,'Barang Keluar'!$C:$C,N18735))</f>
        <v>0</v>
      </c>
    </row>
    <row r="18736" spans="13:16">
      <c r="M18736" s="49">
        <f>IF($A$4+187&gt;$B$4,"",$A$4+187)</f>
        <v>46210</v>
      </c>
      <c r="N18736" t="str">
        <f>IF(M18736="","",'Master Barang'!A30)</f>
        <v>PRL-029</v>
      </c>
      <c r="O18736" t="str">
        <f>IF(N18736="","",'Master Barang'!B30)</f>
        <v>ctik plastik 6x10 100 pcs</v>
      </c>
      <c r="P18736">
        <f>IF(OR(M18736="",N18736=""),"",SUMIFS('Barang Keluar'!$E:$E,'Barang Keluar'!$A:$A,M18736,'Barang Keluar'!$C:$C,N18736))</f>
        <v>0</v>
      </c>
    </row>
    <row r="18737" spans="13:16">
      <c r="M18737" s="49">
        <f>IF($A$4+187&gt;$B$4,"",$A$4+187)</f>
        <v>46210</v>
      </c>
      <c r="N18737" t="str">
        <f>IF(M18737="","",'Master Barang'!A31)</f>
        <v>PRL-030</v>
      </c>
      <c r="O18737" t="str">
        <f>IF(N18737="","",'Master Barang'!B31)</f>
        <v>klip plastik 25x16 100 pcs</v>
      </c>
      <c r="P18737">
        <f>IF(OR(M18737="",N18737=""),"",SUMIFS('Barang Keluar'!$E:$E,'Barang Keluar'!$A:$A,M18737,'Barang Keluar'!$C:$C,N18737))</f>
        <v>0</v>
      </c>
    </row>
    <row r="18738" spans="13:16">
      <c r="M18738" s="49">
        <f>IF($A$4+187&gt;$B$4,"",$A$4+187)</f>
        <v>46210</v>
      </c>
      <c r="N18738" t="str">
        <f>IF(M18738="","",'Master Barang'!A32)</f>
        <v>PRL-031</v>
      </c>
      <c r="O18738" t="str">
        <f>IF(N18738="","",'Master Barang'!B32)</f>
        <v>tempat saus 20 ml</v>
      </c>
      <c r="P18738">
        <f>IF(OR(M18738="",N18738=""),"",SUMIFS('Barang Keluar'!$E:$E,'Barang Keluar'!$A:$A,M18738,'Barang Keluar'!$C:$C,N18738))</f>
        <v>0</v>
      </c>
    </row>
    <row r="18739" spans="13:16">
      <c r="M18739" s="49">
        <f>IF($A$4+187&gt;$B$4,"",$A$4+187)</f>
        <v>46210</v>
      </c>
      <c r="N18739" t="str">
        <f>IF(M18739="","",'Master Barang'!A33)</f>
        <v>PRL-032</v>
      </c>
      <c r="O18739" t="str">
        <f>IF(N18739="","",'Master Barang'!B33)</f>
        <v>plastik packaging ag box uk sedang</v>
      </c>
      <c r="P18739">
        <f>IF(OR(M18739="",N18739=""),"",SUMIFS('Barang Keluar'!$E:$E,'Barang Keluar'!$A:$A,M18739,'Barang Keluar'!$C:$C,N18739))</f>
        <v>0</v>
      </c>
    </row>
    <row r="18740" spans="13:16">
      <c r="M18740" s="49">
        <f>IF($A$4+187&gt;$B$4,"",$A$4+187)</f>
        <v>46210</v>
      </c>
      <c r="N18740" t="str">
        <f>IF(M18740="","",'Master Barang'!A34)</f>
        <v>PRL-033</v>
      </c>
      <c r="O18740">
        <f>IF(N18740="","",'Master Barang'!B34)</f>
        <v>0</v>
      </c>
      <c r="P18740">
        <f>IF(OR(M18740="",N18740=""),"",SUMIFS('Barang Keluar'!$E:$E,'Barang Keluar'!$A:$A,M18740,'Barang Keluar'!$C:$C,N18740))</f>
        <v>0</v>
      </c>
    </row>
    <row r="18741" spans="13:16">
      <c r="M18741" s="49">
        <f>IF($A$4+187&gt;$B$4,"",$A$4+187)</f>
        <v>46210</v>
      </c>
      <c r="N18741">
        <f>IF(M18741="","",'Master Barang'!A35)</f>
        <v>0</v>
      </c>
      <c r="O18741">
        <f>IF(N18741="","",'Master Barang'!B35)</f>
        <v>0</v>
      </c>
      <c r="P18741">
        <f>IF(OR(M18741="",N18741=""),"",SUMIFS('Barang Keluar'!$E:$E,'Barang Keluar'!$A:$A,M18741,'Barang Keluar'!$C:$C,N18741))</f>
        <v>0</v>
      </c>
    </row>
    <row r="18742" spans="13:16">
      <c r="M18742" s="49">
        <f>IF($A$4+187&gt;$B$4,"",$A$4+187)</f>
        <v>46210</v>
      </c>
      <c r="N18742">
        <f>IF(M18742="","",'Master Barang'!A36)</f>
        <v>0</v>
      </c>
      <c r="O18742">
        <f>IF(N18742="","",'Master Barang'!B36)</f>
        <v>0</v>
      </c>
      <c r="P18742">
        <f>IF(OR(M18742="",N18742=""),"",SUMIFS('Barang Keluar'!$E:$E,'Barang Keluar'!$A:$A,M18742,'Barang Keluar'!$C:$C,N18742))</f>
        <v>0</v>
      </c>
    </row>
    <row r="18743" spans="13:16">
      <c r="M18743" s="49">
        <f>IF($A$4+187&gt;$B$4,"",$A$4+187)</f>
        <v>46210</v>
      </c>
      <c r="N18743">
        <f>IF(M18743="","",'Master Barang'!A37)</f>
        <v>0</v>
      </c>
      <c r="O18743">
        <f>IF(N18743="","",'Master Barang'!B37)</f>
        <v>0</v>
      </c>
      <c r="P18743">
        <f>IF(OR(M18743="",N18743=""),"",SUMIFS('Barang Keluar'!$E:$E,'Barang Keluar'!$A:$A,M18743,'Barang Keluar'!$C:$C,N18743))</f>
        <v>0</v>
      </c>
    </row>
    <row r="18744" spans="13:16">
      <c r="M18744" s="49">
        <f>IF($A$4+187&gt;$B$4,"",$A$4+187)</f>
        <v>46210</v>
      </c>
      <c r="N18744">
        <f>IF(M18744="","",'Master Barang'!A38)</f>
        <v>0</v>
      </c>
      <c r="O18744">
        <f>IF(N18744="","",'Master Barang'!B38)</f>
        <v>0</v>
      </c>
      <c r="P18744">
        <f>IF(OR(M18744="",N18744=""),"",SUMIFS('Barang Keluar'!$E:$E,'Barang Keluar'!$A:$A,M18744,'Barang Keluar'!$C:$C,N18744))</f>
        <v>0</v>
      </c>
    </row>
    <row r="18745" spans="13:16">
      <c r="M18745" s="49">
        <f>IF($A$4+187&gt;$B$4,"",$A$4+187)</f>
        <v>46210</v>
      </c>
      <c r="N18745">
        <f>IF(M18745="","",'Master Barang'!A39)</f>
        <v>0</v>
      </c>
      <c r="O18745">
        <f>IF(N18745="","",'Master Barang'!B39)</f>
        <v>0</v>
      </c>
      <c r="P18745">
        <f>IF(OR(M18745="",N18745=""),"",SUMIFS('Barang Keluar'!$E:$E,'Barang Keluar'!$A:$A,M18745,'Barang Keluar'!$C:$C,N18745))</f>
        <v>0</v>
      </c>
    </row>
    <row r="18746" spans="13:16">
      <c r="M18746" s="49">
        <f>IF($A$4+187&gt;$B$4,"",$A$4+187)</f>
        <v>46210</v>
      </c>
      <c r="N18746">
        <f>IF(M18746="","",'Master Barang'!A40)</f>
        <v>0</v>
      </c>
      <c r="O18746">
        <f>IF(N18746="","",'Master Barang'!B40)</f>
        <v>0</v>
      </c>
      <c r="P18746">
        <f>IF(OR(M18746="",N18746=""),"",SUMIFS('Barang Keluar'!$E:$E,'Barang Keluar'!$A:$A,M18746,'Barang Keluar'!$C:$C,N18746))</f>
        <v>0</v>
      </c>
    </row>
    <row r="18747" spans="13:16">
      <c r="M18747" s="49">
        <f>IF($A$4+187&gt;$B$4,"",$A$4+187)</f>
        <v>46210</v>
      </c>
      <c r="N18747">
        <f>IF(M18747="","",'Master Barang'!A41)</f>
        <v>0</v>
      </c>
      <c r="O18747">
        <f>IF(N18747="","",'Master Barang'!B41)</f>
        <v>0</v>
      </c>
      <c r="P18747">
        <f>IF(OR(M18747="",N18747=""),"",SUMIFS('Barang Keluar'!$E:$E,'Barang Keluar'!$A:$A,M18747,'Barang Keluar'!$C:$C,N18747))</f>
        <v>0</v>
      </c>
    </row>
    <row r="18748" spans="13:16">
      <c r="M18748" s="49">
        <f>IF($A$4+187&gt;$B$4,"",$A$4+187)</f>
        <v>46210</v>
      </c>
      <c r="N18748">
        <f>IF(M18748="","",'Master Barang'!A42)</f>
        <v>0</v>
      </c>
      <c r="O18748">
        <f>IF(N18748="","",'Master Barang'!B42)</f>
        <v>0</v>
      </c>
      <c r="P18748">
        <f>IF(OR(M18748="",N18748=""),"",SUMIFS('Barang Keluar'!$E:$E,'Barang Keluar'!$A:$A,M18748,'Barang Keluar'!$C:$C,N18748))</f>
        <v>0</v>
      </c>
    </row>
    <row r="18749" spans="13:16">
      <c r="M18749" s="49">
        <f>IF($A$4+187&gt;$B$4,"",$A$4+187)</f>
        <v>46210</v>
      </c>
      <c r="N18749">
        <f>IF(M18749="","",'Master Barang'!A43)</f>
        <v>0</v>
      </c>
      <c r="O18749">
        <f>IF(N18749="","",'Master Barang'!B43)</f>
        <v>0</v>
      </c>
      <c r="P18749">
        <f>IF(OR(M18749="",N18749=""),"",SUMIFS('Barang Keluar'!$E:$E,'Barang Keluar'!$A:$A,M18749,'Barang Keluar'!$C:$C,N18749))</f>
        <v>0</v>
      </c>
    </row>
    <row r="18750" spans="13:16">
      <c r="M18750" s="49">
        <f>IF($A$4+187&gt;$B$4,"",$A$4+187)</f>
        <v>46210</v>
      </c>
      <c r="N18750">
        <f>IF(M18750="","",'Master Barang'!A44)</f>
        <v>0</v>
      </c>
      <c r="O18750">
        <f>IF(N18750="","",'Master Barang'!B44)</f>
        <v>0</v>
      </c>
      <c r="P18750">
        <f>IF(OR(M18750="",N18750=""),"",SUMIFS('Barang Keluar'!$E:$E,'Barang Keluar'!$A:$A,M18750,'Barang Keluar'!$C:$C,N18750))</f>
        <v>0</v>
      </c>
    </row>
    <row r="18751" spans="13:16">
      <c r="M18751" s="49">
        <f>IF($A$4+187&gt;$B$4,"",$A$4+187)</f>
        <v>46210</v>
      </c>
      <c r="N18751">
        <f>IF(M18751="","",'Master Barang'!A45)</f>
        <v>0</v>
      </c>
      <c r="O18751">
        <f>IF(N18751="","",'Master Barang'!B45)</f>
        <v>0</v>
      </c>
      <c r="P18751">
        <f>IF(OR(M18751="",N18751=""),"",SUMIFS('Barang Keluar'!$E:$E,'Barang Keluar'!$A:$A,M18751,'Barang Keluar'!$C:$C,N18751))</f>
        <v>0</v>
      </c>
    </row>
    <row r="18752" spans="13:16">
      <c r="M18752" s="49">
        <f>IF($A$4+187&gt;$B$4,"",$A$4+187)</f>
        <v>46210</v>
      </c>
      <c r="N18752">
        <f>IF(M18752="","",'Master Barang'!A46)</f>
        <v>0</v>
      </c>
      <c r="O18752">
        <f>IF(N18752="","",'Master Barang'!B46)</f>
        <v>0</v>
      </c>
      <c r="P18752">
        <f>IF(OR(M18752="",N18752=""),"",SUMIFS('Barang Keluar'!$E:$E,'Barang Keluar'!$A:$A,M18752,'Barang Keluar'!$C:$C,N18752))</f>
        <v>0</v>
      </c>
    </row>
    <row r="18753" spans="13:16">
      <c r="M18753" s="49">
        <f>IF($A$4+187&gt;$B$4,"",$A$4+187)</f>
        <v>46210</v>
      </c>
      <c r="N18753">
        <f>IF(M18753="","",'Master Barang'!A47)</f>
        <v>0</v>
      </c>
      <c r="O18753">
        <f>IF(N18753="","",'Master Barang'!B47)</f>
        <v>0</v>
      </c>
      <c r="P18753">
        <f>IF(OR(M18753="",N18753=""),"",SUMIFS('Barang Keluar'!$E:$E,'Barang Keluar'!$A:$A,M18753,'Barang Keluar'!$C:$C,N18753))</f>
        <v>0</v>
      </c>
    </row>
    <row r="18754" spans="13:16">
      <c r="M18754" s="49">
        <f>IF($A$4+187&gt;$B$4,"",$A$4+187)</f>
        <v>46210</v>
      </c>
      <c r="N18754">
        <f>IF(M18754="","",'Master Barang'!A48)</f>
        <v>0</v>
      </c>
      <c r="O18754">
        <f>IF(N18754="","",'Master Barang'!B48)</f>
        <v>0</v>
      </c>
      <c r="P18754">
        <f>IF(OR(M18754="",N18754=""),"",SUMIFS('Barang Keluar'!$E:$E,'Barang Keluar'!$A:$A,M18754,'Barang Keluar'!$C:$C,N18754))</f>
        <v>0</v>
      </c>
    </row>
    <row r="18755" spans="13:16">
      <c r="M18755" s="49">
        <f>IF($A$4+187&gt;$B$4,"",$A$4+187)</f>
        <v>46210</v>
      </c>
      <c r="N18755">
        <f>IF(M18755="","",'Master Barang'!A49)</f>
        <v>0</v>
      </c>
      <c r="O18755">
        <f>IF(N18755="","",'Master Barang'!B49)</f>
        <v>0</v>
      </c>
      <c r="P18755">
        <f>IF(OR(M18755="",N18755=""),"",SUMIFS('Barang Keluar'!$E:$E,'Barang Keluar'!$A:$A,M18755,'Barang Keluar'!$C:$C,N18755))</f>
        <v>0</v>
      </c>
    </row>
    <row r="18756" spans="13:16">
      <c r="M18756" s="49">
        <f>IF($A$4+187&gt;$B$4,"",$A$4+187)</f>
        <v>46210</v>
      </c>
      <c r="N18756">
        <f>IF(M18756="","",'Master Barang'!A50)</f>
        <v>0</v>
      </c>
      <c r="O18756">
        <f>IF(N18756="","",'Master Barang'!B50)</f>
        <v>0</v>
      </c>
      <c r="P18756">
        <f>IF(OR(M18756="",N18756=""),"",SUMIFS('Barang Keluar'!$E:$E,'Barang Keluar'!$A:$A,M18756,'Barang Keluar'!$C:$C,N18756))</f>
        <v>0</v>
      </c>
    </row>
    <row r="18757" spans="13:16">
      <c r="M18757" s="49">
        <f>IF($A$4+187&gt;$B$4,"",$A$4+187)</f>
        <v>46210</v>
      </c>
      <c r="N18757">
        <f>IF(M18757="","",'Master Barang'!A51)</f>
        <v>0</v>
      </c>
      <c r="O18757">
        <f>IF(N18757="","",'Master Barang'!B51)</f>
        <v>0</v>
      </c>
      <c r="P18757">
        <f>IF(OR(M18757="",N18757=""),"",SUMIFS('Barang Keluar'!$E:$E,'Barang Keluar'!$A:$A,M18757,'Barang Keluar'!$C:$C,N18757))</f>
        <v>0</v>
      </c>
    </row>
    <row r="18758" spans="13:16">
      <c r="M18758" s="49">
        <f>IF($A$4+187&gt;$B$4,"",$A$4+187)</f>
        <v>46210</v>
      </c>
      <c r="N18758">
        <f>IF(M18758="","",'Master Barang'!A52)</f>
        <v>0</v>
      </c>
      <c r="O18758">
        <f>IF(N18758="","",'Master Barang'!B52)</f>
        <v>0</v>
      </c>
      <c r="P18758">
        <f>IF(OR(M18758="",N18758=""),"",SUMIFS('Barang Keluar'!$E:$E,'Barang Keluar'!$A:$A,M18758,'Barang Keluar'!$C:$C,N18758))</f>
        <v>0</v>
      </c>
    </row>
    <row r="18759" spans="13:16">
      <c r="M18759" s="49">
        <f>IF($A$4+187&gt;$B$4,"",$A$4+187)</f>
        <v>46210</v>
      </c>
      <c r="N18759">
        <f>IF(M18759="","",'Master Barang'!A53)</f>
        <v>0</v>
      </c>
      <c r="O18759">
        <f>IF(N18759="","",'Master Barang'!B53)</f>
        <v>0</v>
      </c>
      <c r="P18759">
        <f>IF(OR(M18759="",N18759=""),"",SUMIFS('Barang Keluar'!$E:$E,'Barang Keluar'!$A:$A,M18759,'Barang Keluar'!$C:$C,N18759))</f>
        <v>0</v>
      </c>
    </row>
    <row r="18760" spans="13:16">
      <c r="M18760" s="49">
        <f>IF($A$4+187&gt;$B$4,"",$A$4+187)</f>
        <v>46210</v>
      </c>
      <c r="N18760">
        <f>IF(M18760="","",'Master Barang'!A54)</f>
        <v>0</v>
      </c>
      <c r="O18760">
        <f>IF(N18760="","",'Master Barang'!B54)</f>
        <v>0</v>
      </c>
      <c r="P18760">
        <f>IF(OR(M18760="",N18760=""),"",SUMIFS('Barang Keluar'!$E:$E,'Barang Keluar'!$A:$A,M18760,'Barang Keluar'!$C:$C,N18760))</f>
        <v>0</v>
      </c>
    </row>
    <row r="18761" spans="13:16">
      <c r="M18761" s="49">
        <f>IF($A$4+187&gt;$B$4,"",$A$4+187)</f>
        <v>46210</v>
      </c>
      <c r="N18761">
        <f>IF(M18761="","",'Master Barang'!A55)</f>
        <v>0</v>
      </c>
      <c r="O18761">
        <f>IF(N18761="","",'Master Barang'!B55)</f>
        <v>0</v>
      </c>
      <c r="P18761">
        <f>IF(OR(M18761="",N18761=""),"",SUMIFS('Barang Keluar'!$E:$E,'Barang Keluar'!$A:$A,M18761,'Barang Keluar'!$C:$C,N18761))</f>
        <v>0</v>
      </c>
    </row>
    <row r="18762" spans="13:16">
      <c r="M18762" s="49">
        <f>IF($A$4+187&gt;$B$4,"",$A$4+187)</f>
        <v>46210</v>
      </c>
      <c r="N18762">
        <f>IF(M18762="","",'Master Barang'!A56)</f>
        <v>0</v>
      </c>
      <c r="O18762">
        <f>IF(N18762="","",'Master Barang'!B56)</f>
        <v>0</v>
      </c>
      <c r="P18762">
        <f>IF(OR(M18762="",N18762=""),"",SUMIFS('Barang Keluar'!$E:$E,'Barang Keluar'!$A:$A,M18762,'Barang Keluar'!$C:$C,N18762))</f>
        <v>0</v>
      </c>
    </row>
    <row r="18763" spans="13:16">
      <c r="M18763" s="49">
        <f>IF($A$4+187&gt;$B$4,"",$A$4+187)</f>
        <v>46210</v>
      </c>
      <c r="N18763">
        <f>IF(M18763="","",'Master Barang'!A57)</f>
        <v>0</v>
      </c>
      <c r="O18763">
        <f>IF(N18763="","",'Master Barang'!B57)</f>
        <v>0</v>
      </c>
      <c r="P18763">
        <f>IF(OR(M18763="",N18763=""),"",SUMIFS('Barang Keluar'!$E:$E,'Barang Keluar'!$A:$A,M18763,'Barang Keluar'!$C:$C,N18763))</f>
        <v>0</v>
      </c>
    </row>
    <row r="18764" spans="13:16">
      <c r="M18764" s="49">
        <f>IF($A$4+187&gt;$B$4,"",$A$4+187)</f>
        <v>46210</v>
      </c>
      <c r="N18764">
        <f>IF(M18764="","",'Master Barang'!A58)</f>
        <v>0</v>
      </c>
      <c r="O18764">
        <f>IF(N18764="","",'Master Barang'!B58)</f>
        <v>0</v>
      </c>
      <c r="P18764">
        <f>IF(OR(M18764="",N18764=""),"",SUMIFS('Barang Keluar'!$E:$E,'Barang Keluar'!$A:$A,M18764,'Barang Keluar'!$C:$C,N18764))</f>
        <v>0</v>
      </c>
    </row>
    <row r="18765" spans="13:16">
      <c r="M18765" s="49">
        <f>IF($A$4+187&gt;$B$4,"",$A$4+187)</f>
        <v>46210</v>
      </c>
      <c r="N18765">
        <f>IF(M18765="","",'Master Barang'!A59)</f>
        <v>0</v>
      </c>
      <c r="O18765">
        <f>IF(N18765="","",'Master Barang'!B59)</f>
        <v>0</v>
      </c>
      <c r="P18765">
        <f>IF(OR(M18765="",N18765=""),"",SUMIFS('Barang Keluar'!$E:$E,'Barang Keluar'!$A:$A,M18765,'Barang Keluar'!$C:$C,N18765))</f>
        <v>0</v>
      </c>
    </row>
    <row r="18766" spans="13:16">
      <c r="M18766" s="49">
        <f>IF($A$4+187&gt;$B$4,"",$A$4+187)</f>
        <v>46210</v>
      </c>
      <c r="N18766">
        <f>IF(M18766="","",'Master Barang'!A60)</f>
        <v>0</v>
      </c>
      <c r="O18766">
        <f>IF(N18766="","",'Master Barang'!B60)</f>
        <v>0</v>
      </c>
      <c r="P18766">
        <f>IF(OR(M18766="",N18766=""),"",SUMIFS('Barang Keluar'!$E:$E,'Barang Keluar'!$A:$A,M18766,'Barang Keluar'!$C:$C,N18766))</f>
        <v>0</v>
      </c>
    </row>
    <row r="18767" spans="13:16">
      <c r="M18767" s="49">
        <f>IF($A$4+187&gt;$B$4,"",$A$4+187)</f>
        <v>46210</v>
      </c>
      <c r="N18767">
        <f>IF(M18767="","",'Master Barang'!A61)</f>
        <v>0</v>
      </c>
      <c r="O18767">
        <f>IF(N18767="","",'Master Barang'!B61)</f>
        <v>0</v>
      </c>
      <c r="P18767">
        <f>IF(OR(M18767="",N18767=""),"",SUMIFS('Barang Keluar'!$E:$E,'Barang Keluar'!$A:$A,M18767,'Barang Keluar'!$C:$C,N18767))</f>
        <v>0</v>
      </c>
    </row>
    <row r="18768" spans="13:16">
      <c r="M18768" s="49">
        <f>IF($A$4+187&gt;$B$4,"",$A$4+187)</f>
        <v>46210</v>
      </c>
      <c r="N18768">
        <f>IF(M18768="","",'Master Barang'!A62)</f>
        <v>0</v>
      </c>
      <c r="O18768">
        <f>IF(N18768="","",'Master Barang'!B62)</f>
        <v>0</v>
      </c>
      <c r="P18768">
        <f>IF(OR(M18768="",N18768=""),"",SUMIFS('Barang Keluar'!$E:$E,'Barang Keluar'!$A:$A,M18768,'Barang Keluar'!$C:$C,N18768))</f>
        <v>0</v>
      </c>
    </row>
    <row r="18769" spans="13:16">
      <c r="M18769" s="49">
        <f>IF($A$4+187&gt;$B$4,"",$A$4+187)</f>
        <v>46210</v>
      </c>
      <c r="N18769">
        <f>IF(M18769="","",'Master Barang'!A63)</f>
        <v>0</v>
      </c>
      <c r="O18769">
        <f>IF(N18769="","",'Master Barang'!B63)</f>
        <v>0</v>
      </c>
      <c r="P18769">
        <f>IF(OR(M18769="",N18769=""),"",SUMIFS('Barang Keluar'!$E:$E,'Barang Keluar'!$A:$A,M18769,'Barang Keluar'!$C:$C,N18769))</f>
        <v>0</v>
      </c>
    </row>
    <row r="18770" spans="13:16">
      <c r="M18770" s="49">
        <f>IF($A$4+187&gt;$B$4,"",$A$4+187)</f>
        <v>46210</v>
      </c>
      <c r="N18770">
        <f>IF(M18770="","",'Master Barang'!A64)</f>
        <v>0</v>
      </c>
      <c r="O18770">
        <f>IF(N18770="","",'Master Barang'!B64)</f>
        <v>0</v>
      </c>
      <c r="P18770">
        <f>IF(OR(M18770="",N18770=""),"",SUMIFS('Barang Keluar'!$E:$E,'Barang Keluar'!$A:$A,M18770,'Barang Keluar'!$C:$C,N18770))</f>
        <v>0</v>
      </c>
    </row>
    <row r="18771" spans="13:16">
      <c r="M18771" s="49">
        <f>IF($A$4+187&gt;$B$4,"",$A$4+187)</f>
        <v>46210</v>
      </c>
      <c r="N18771">
        <f>IF(M18771="","",'Master Barang'!A65)</f>
        <v>0</v>
      </c>
      <c r="O18771">
        <f>IF(N18771="","",'Master Barang'!B65)</f>
        <v>0</v>
      </c>
      <c r="P18771">
        <f>IF(OR(M18771="",N18771=""),"",SUMIFS('Barang Keluar'!$E:$E,'Barang Keluar'!$A:$A,M18771,'Barang Keluar'!$C:$C,N18771))</f>
        <v>0</v>
      </c>
    </row>
    <row r="18772" spans="13:16">
      <c r="M18772" s="49">
        <f>IF($A$4+187&gt;$B$4,"",$A$4+187)</f>
        <v>46210</v>
      </c>
      <c r="N18772">
        <f>IF(M18772="","",'Master Barang'!A66)</f>
        <v>0</v>
      </c>
      <c r="O18772">
        <f>IF(N18772="","",'Master Barang'!B66)</f>
        <v>0</v>
      </c>
      <c r="P18772">
        <f>IF(OR(M18772="",N18772=""),"",SUMIFS('Barang Keluar'!$E:$E,'Barang Keluar'!$A:$A,M18772,'Barang Keluar'!$C:$C,N18772))</f>
        <v>0</v>
      </c>
    </row>
    <row r="18773" spans="13:16">
      <c r="M18773" s="49">
        <f>IF($A$4+187&gt;$B$4,"",$A$4+187)</f>
        <v>46210</v>
      </c>
      <c r="N18773">
        <f>IF(M18773="","",'Master Barang'!A67)</f>
        <v>0</v>
      </c>
      <c r="O18773">
        <f>IF(N18773="","",'Master Barang'!B67)</f>
        <v>0</v>
      </c>
      <c r="P18773">
        <f>IF(OR(M18773="",N18773=""),"",SUMIFS('Barang Keluar'!$E:$E,'Barang Keluar'!$A:$A,M18773,'Barang Keluar'!$C:$C,N18773))</f>
        <v>0</v>
      </c>
    </row>
    <row r="18774" spans="13:16">
      <c r="M18774" s="49">
        <f>IF($A$4+187&gt;$B$4,"",$A$4+187)</f>
        <v>46210</v>
      </c>
      <c r="N18774">
        <f>IF(M18774="","",'Master Barang'!A68)</f>
        <v>0</v>
      </c>
      <c r="O18774">
        <f>IF(N18774="","",'Master Barang'!B68)</f>
        <v>0</v>
      </c>
      <c r="P18774">
        <f>IF(OR(M18774="",N18774=""),"",SUMIFS('Barang Keluar'!$E:$E,'Barang Keluar'!$A:$A,M18774,'Barang Keluar'!$C:$C,N18774))</f>
        <v>0</v>
      </c>
    </row>
    <row r="18775" spans="13:16">
      <c r="M18775" s="49">
        <f>IF($A$4+187&gt;$B$4,"",$A$4+187)</f>
        <v>46210</v>
      </c>
      <c r="N18775">
        <f>IF(M18775="","",'Master Barang'!A69)</f>
        <v>0</v>
      </c>
      <c r="O18775">
        <f>IF(N18775="","",'Master Barang'!B69)</f>
        <v>0</v>
      </c>
      <c r="P18775">
        <f>IF(OR(M18775="",N18775=""),"",SUMIFS('Barang Keluar'!$E:$E,'Barang Keluar'!$A:$A,M18775,'Barang Keluar'!$C:$C,N18775))</f>
        <v>0</v>
      </c>
    </row>
    <row r="18776" spans="13:16">
      <c r="M18776" s="49">
        <f>IF($A$4+187&gt;$B$4,"",$A$4+187)</f>
        <v>46210</v>
      </c>
      <c r="N18776">
        <f>IF(M18776="","",'Master Barang'!A70)</f>
        <v>0</v>
      </c>
      <c r="O18776">
        <f>IF(N18776="","",'Master Barang'!B70)</f>
        <v>0</v>
      </c>
      <c r="P18776">
        <f>IF(OR(M18776="",N18776=""),"",SUMIFS('Barang Keluar'!$E:$E,'Barang Keluar'!$A:$A,M18776,'Barang Keluar'!$C:$C,N18776))</f>
        <v>0</v>
      </c>
    </row>
    <row r="18777" spans="13:16">
      <c r="M18777" s="49">
        <f>IF($A$4+187&gt;$B$4,"",$A$4+187)</f>
        <v>46210</v>
      </c>
      <c r="N18777">
        <f>IF(M18777="","",'Master Barang'!A71)</f>
        <v>0</v>
      </c>
      <c r="O18777">
        <f>IF(N18777="","",'Master Barang'!B71)</f>
        <v>0</v>
      </c>
      <c r="P18777">
        <f>IF(OR(M18777="",N18777=""),"",SUMIFS('Barang Keluar'!$E:$E,'Barang Keluar'!$A:$A,M18777,'Barang Keluar'!$C:$C,N18777))</f>
        <v>0</v>
      </c>
    </row>
    <row r="18778" spans="13:16">
      <c r="M18778" s="49">
        <f>IF($A$4+187&gt;$B$4,"",$A$4+187)</f>
        <v>46210</v>
      </c>
      <c r="N18778">
        <f>IF(M18778="","",'Master Barang'!A72)</f>
        <v>0</v>
      </c>
      <c r="O18778">
        <f>IF(N18778="","",'Master Barang'!B72)</f>
        <v>0</v>
      </c>
      <c r="P18778">
        <f>IF(OR(M18778="",N18778=""),"",SUMIFS('Barang Keluar'!$E:$E,'Barang Keluar'!$A:$A,M18778,'Barang Keluar'!$C:$C,N18778))</f>
        <v>0</v>
      </c>
    </row>
    <row r="18779" spans="13:16">
      <c r="M18779" s="49">
        <f>IF($A$4+187&gt;$B$4,"",$A$4+187)</f>
        <v>46210</v>
      </c>
      <c r="N18779">
        <f>IF(M18779="","",'Master Barang'!A73)</f>
        <v>0</v>
      </c>
      <c r="O18779">
        <f>IF(N18779="","",'Master Barang'!B73)</f>
        <v>0</v>
      </c>
      <c r="P18779">
        <f>IF(OR(M18779="",N18779=""),"",SUMIFS('Barang Keluar'!$E:$E,'Barang Keluar'!$A:$A,M18779,'Barang Keluar'!$C:$C,N18779))</f>
        <v>0</v>
      </c>
    </row>
    <row r="18780" spans="13:16">
      <c r="M18780" s="49">
        <f>IF($A$4+187&gt;$B$4,"",$A$4+187)</f>
        <v>46210</v>
      </c>
      <c r="N18780">
        <f>IF(M18780="","",'Master Barang'!A74)</f>
        <v>0</v>
      </c>
      <c r="O18780">
        <f>IF(N18780="","",'Master Barang'!B74)</f>
        <v>0</v>
      </c>
      <c r="P18780">
        <f>IF(OR(M18780="",N18780=""),"",SUMIFS('Barang Keluar'!$E:$E,'Barang Keluar'!$A:$A,M18780,'Barang Keluar'!$C:$C,N18780))</f>
        <v>0</v>
      </c>
    </row>
    <row r="18781" spans="13:16">
      <c r="M18781" s="49">
        <f>IF($A$4+187&gt;$B$4,"",$A$4+187)</f>
        <v>46210</v>
      </c>
      <c r="N18781">
        <f>IF(M18781="","",'Master Barang'!A75)</f>
        <v>0</v>
      </c>
      <c r="O18781">
        <f>IF(N18781="","",'Master Barang'!B75)</f>
        <v>0</v>
      </c>
      <c r="P18781">
        <f>IF(OR(M18781="",N18781=""),"",SUMIFS('Barang Keluar'!$E:$E,'Barang Keluar'!$A:$A,M18781,'Barang Keluar'!$C:$C,N18781))</f>
        <v>0</v>
      </c>
    </row>
    <row r="18782" spans="13:16">
      <c r="M18782" s="49">
        <f>IF($A$4+187&gt;$B$4,"",$A$4+187)</f>
        <v>46210</v>
      </c>
      <c r="N18782">
        <f>IF(M18782="","",'Master Barang'!A76)</f>
        <v>0</v>
      </c>
      <c r="O18782">
        <f>IF(N18782="","",'Master Barang'!B76)</f>
        <v>0</v>
      </c>
      <c r="P18782">
        <f>IF(OR(M18782="",N18782=""),"",SUMIFS('Barang Keluar'!$E:$E,'Barang Keluar'!$A:$A,M18782,'Barang Keluar'!$C:$C,N18782))</f>
        <v>0</v>
      </c>
    </row>
    <row r="18783" spans="13:16">
      <c r="M18783" s="49">
        <f>IF($A$4+187&gt;$B$4,"",$A$4+187)</f>
        <v>46210</v>
      </c>
      <c r="N18783">
        <f>IF(M18783="","",'Master Barang'!A77)</f>
        <v>0</v>
      </c>
      <c r="O18783">
        <f>IF(N18783="","",'Master Barang'!B77)</f>
        <v>0</v>
      </c>
      <c r="P18783">
        <f>IF(OR(M18783="",N18783=""),"",SUMIFS('Barang Keluar'!$E:$E,'Barang Keluar'!$A:$A,M18783,'Barang Keluar'!$C:$C,N18783))</f>
        <v>0</v>
      </c>
    </row>
    <row r="18784" spans="13:16">
      <c r="M18784" s="49">
        <f>IF($A$4+187&gt;$B$4,"",$A$4+187)</f>
        <v>46210</v>
      </c>
      <c r="N18784">
        <f>IF(M18784="","",'Master Barang'!A78)</f>
        <v>0</v>
      </c>
      <c r="O18784">
        <f>IF(N18784="","",'Master Barang'!B78)</f>
        <v>0</v>
      </c>
      <c r="P18784">
        <f>IF(OR(M18784="",N18784=""),"",SUMIFS('Barang Keluar'!$E:$E,'Barang Keluar'!$A:$A,M18784,'Barang Keluar'!$C:$C,N18784))</f>
        <v>0</v>
      </c>
    </row>
    <row r="18785" spans="13:16">
      <c r="M18785" s="49">
        <f>IF($A$4+187&gt;$B$4,"",$A$4+187)</f>
        <v>46210</v>
      </c>
      <c r="N18785">
        <f>IF(M18785="","",'Master Barang'!A79)</f>
        <v>0</v>
      </c>
      <c r="O18785">
        <f>IF(N18785="","",'Master Barang'!B79)</f>
        <v>0</v>
      </c>
      <c r="P18785">
        <f>IF(OR(M18785="",N18785=""),"",SUMIFS('Barang Keluar'!$E:$E,'Barang Keluar'!$A:$A,M18785,'Barang Keluar'!$C:$C,N18785))</f>
        <v>0</v>
      </c>
    </row>
    <row r="18786" spans="13:16">
      <c r="M18786" s="49">
        <f>IF($A$4+187&gt;$B$4,"",$A$4+187)</f>
        <v>46210</v>
      </c>
      <c r="N18786">
        <f>IF(M18786="","",'Master Barang'!A80)</f>
        <v>0</v>
      </c>
      <c r="O18786">
        <f>IF(N18786="","",'Master Barang'!B80)</f>
        <v>0</v>
      </c>
      <c r="P18786">
        <f>IF(OR(M18786="",N18786=""),"",SUMIFS('Barang Keluar'!$E:$E,'Barang Keluar'!$A:$A,M18786,'Barang Keluar'!$C:$C,N18786))</f>
        <v>0</v>
      </c>
    </row>
    <row r="18787" spans="13:16">
      <c r="M18787" s="49">
        <f>IF($A$4+187&gt;$B$4,"",$A$4+187)</f>
        <v>46210</v>
      </c>
      <c r="N18787">
        <f>IF(M18787="","",'Master Barang'!A81)</f>
        <v>0</v>
      </c>
      <c r="O18787">
        <f>IF(N18787="","",'Master Barang'!B81)</f>
        <v>0</v>
      </c>
      <c r="P18787">
        <f>IF(OR(M18787="",N18787=""),"",SUMIFS('Barang Keluar'!$E:$E,'Barang Keluar'!$A:$A,M18787,'Barang Keluar'!$C:$C,N18787))</f>
        <v>0</v>
      </c>
    </row>
    <row r="18788" spans="13:16">
      <c r="M18788" s="49">
        <f>IF($A$4+187&gt;$B$4,"",$A$4+187)</f>
        <v>46210</v>
      </c>
      <c r="N18788">
        <f>IF(M18788="","",'Master Barang'!A82)</f>
        <v>0</v>
      </c>
      <c r="O18788">
        <f>IF(N18788="","",'Master Barang'!B82)</f>
        <v>0</v>
      </c>
      <c r="P18788">
        <f>IF(OR(M18788="",N18788=""),"",SUMIFS('Barang Keluar'!$E:$E,'Barang Keluar'!$A:$A,M18788,'Barang Keluar'!$C:$C,N18788))</f>
        <v>0</v>
      </c>
    </row>
    <row r="18789" spans="13:16">
      <c r="M18789" s="49">
        <f>IF($A$4+187&gt;$B$4,"",$A$4+187)</f>
        <v>46210</v>
      </c>
      <c r="N18789">
        <f>IF(M18789="","",'Master Barang'!A83)</f>
        <v>0</v>
      </c>
      <c r="O18789">
        <f>IF(N18789="","",'Master Barang'!B83)</f>
        <v>0</v>
      </c>
      <c r="P18789">
        <f>IF(OR(M18789="",N18789=""),"",SUMIFS('Barang Keluar'!$E:$E,'Barang Keluar'!$A:$A,M18789,'Barang Keluar'!$C:$C,N18789))</f>
        <v>0</v>
      </c>
    </row>
    <row r="18790" spans="13:16">
      <c r="M18790" s="49">
        <f>IF($A$4+187&gt;$B$4,"",$A$4+187)</f>
        <v>46210</v>
      </c>
      <c r="N18790">
        <f>IF(M18790="","",'Master Barang'!A84)</f>
        <v>0</v>
      </c>
      <c r="O18790">
        <f>IF(N18790="","",'Master Barang'!B84)</f>
        <v>0</v>
      </c>
      <c r="P18790">
        <f>IF(OR(M18790="",N18790=""),"",SUMIFS('Barang Keluar'!$E:$E,'Barang Keluar'!$A:$A,M18790,'Barang Keluar'!$C:$C,N18790))</f>
        <v>0</v>
      </c>
    </row>
    <row r="18791" spans="13:16">
      <c r="M18791" s="49">
        <f>IF($A$4+187&gt;$B$4,"",$A$4+187)</f>
        <v>46210</v>
      </c>
      <c r="N18791">
        <f>IF(M18791="","",'Master Barang'!A85)</f>
        <v>0</v>
      </c>
      <c r="O18791">
        <f>IF(N18791="","",'Master Barang'!B85)</f>
        <v>0</v>
      </c>
      <c r="P18791">
        <f>IF(OR(M18791="",N18791=""),"",SUMIFS('Barang Keluar'!$E:$E,'Barang Keluar'!$A:$A,M18791,'Barang Keluar'!$C:$C,N18791))</f>
        <v>0</v>
      </c>
    </row>
    <row r="18792" spans="13:16">
      <c r="M18792" s="49">
        <f>IF($A$4+187&gt;$B$4,"",$A$4+187)</f>
        <v>46210</v>
      </c>
      <c r="N18792">
        <f>IF(M18792="","",'Master Barang'!A86)</f>
        <v>0</v>
      </c>
      <c r="O18792">
        <f>IF(N18792="","",'Master Barang'!B86)</f>
        <v>0</v>
      </c>
      <c r="P18792">
        <f>IF(OR(M18792="",N18792=""),"",SUMIFS('Barang Keluar'!$E:$E,'Barang Keluar'!$A:$A,M18792,'Barang Keluar'!$C:$C,N18792))</f>
        <v>0</v>
      </c>
    </row>
    <row r="18793" spans="13:16">
      <c r="M18793" s="49">
        <f>IF($A$4+187&gt;$B$4,"",$A$4+187)</f>
        <v>46210</v>
      </c>
      <c r="N18793">
        <f>IF(M18793="","",'Master Barang'!A87)</f>
        <v>0</v>
      </c>
      <c r="O18793">
        <f>IF(N18793="","",'Master Barang'!B87)</f>
        <v>0</v>
      </c>
      <c r="P18793">
        <f>IF(OR(M18793="",N18793=""),"",SUMIFS('Barang Keluar'!$E:$E,'Barang Keluar'!$A:$A,M18793,'Barang Keluar'!$C:$C,N18793))</f>
        <v>0</v>
      </c>
    </row>
    <row r="18794" spans="13:16">
      <c r="M18794" s="49">
        <f>IF($A$4+187&gt;$B$4,"",$A$4+187)</f>
        <v>46210</v>
      </c>
      <c r="N18794">
        <f>IF(M18794="","",'Master Barang'!A88)</f>
        <v>0</v>
      </c>
      <c r="O18794">
        <f>IF(N18794="","",'Master Barang'!B88)</f>
        <v>0</v>
      </c>
      <c r="P18794">
        <f>IF(OR(M18794="",N18794=""),"",SUMIFS('Barang Keluar'!$E:$E,'Barang Keluar'!$A:$A,M18794,'Barang Keluar'!$C:$C,N18794))</f>
        <v>0</v>
      </c>
    </row>
    <row r="18795" spans="13:16">
      <c r="M18795" s="49">
        <f>IF($A$4+187&gt;$B$4,"",$A$4+187)</f>
        <v>46210</v>
      </c>
      <c r="N18795">
        <f>IF(M18795="","",'Master Barang'!A89)</f>
        <v>0</v>
      </c>
      <c r="O18795">
        <f>IF(N18795="","",'Master Barang'!B89)</f>
        <v>0</v>
      </c>
      <c r="P18795">
        <f>IF(OR(M18795="",N18795=""),"",SUMIFS('Barang Keluar'!$E:$E,'Barang Keluar'!$A:$A,M18795,'Barang Keluar'!$C:$C,N18795))</f>
        <v>0</v>
      </c>
    </row>
    <row r="18796" spans="13:16">
      <c r="M18796" s="49">
        <f>IF($A$4+187&gt;$B$4,"",$A$4+187)</f>
        <v>46210</v>
      </c>
      <c r="N18796">
        <f>IF(M18796="","",'Master Barang'!A90)</f>
        <v>0</v>
      </c>
      <c r="O18796">
        <f>IF(N18796="","",'Master Barang'!B90)</f>
        <v>0</v>
      </c>
      <c r="P18796">
        <f>IF(OR(M18796="",N18796=""),"",SUMIFS('Barang Keluar'!$E:$E,'Barang Keluar'!$A:$A,M18796,'Barang Keluar'!$C:$C,N18796))</f>
        <v>0</v>
      </c>
    </row>
    <row r="18797" spans="13:16">
      <c r="M18797" s="49">
        <f>IF($A$4+187&gt;$B$4,"",$A$4+187)</f>
        <v>46210</v>
      </c>
      <c r="N18797">
        <f>IF(M18797="","",'Master Barang'!A91)</f>
        <v>0</v>
      </c>
      <c r="O18797">
        <f>IF(N18797="","",'Master Barang'!B91)</f>
        <v>0</v>
      </c>
      <c r="P18797">
        <f>IF(OR(M18797="",N18797=""),"",SUMIFS('Barang Keluar'!$E:$E,'Barang Keluar'!$A:$A,M18797,'Barang Keluar'!$C:$C,N18797))</f>
        <v>0</v>
      </c>
    </row>
    <row r="18798" spans="13:16">
      <c r="M18798" s="49">
        <f>IF($A$4+187&gt;$B$4,"",$A$4+187)</f>
        <v>46210</v>
      </c>
      <c r="N18798">
        <f>IF(M18798="","",'Master Barang'!A92)</f>
        <v>0</v>
      </c>
      <c r="O18798">
        <f>IF(N18798="","",'Master Barang'!B92)</f>
        <v>0</v>
      </c>
      <c r="P18798">
        <f>IF(OR(M18798="",N18798=""),"",SUMIFS('Barang Keluar'!$E:$E,'Barang Keluar'!$A:$A,M18798,'Barang Keluar'!$C:$C,N18798))</f>
        <v>0</v>
      </c>
    </row>
    <row r="18799" spans="13:16">
      <c r="M18799" s="49">
        <f>IF($A$4+187&gt;$B$4,"",$A$4+187)</f>
        <v>46210</v>
      </c>
      <c r="N18799">
        <f>IF(M18799="","",'Master Barang'!A93)</f>
        <v>0</v>
      </c>
      <c r="O18799">
        <f>IF(N18799="","",'Master Barang'!B93)</f>
        <v>0</v>
      </c>
      <c r="P18799">
        <f>IF(OR(M18799="",N18799=""),"",SUMIFS('Barang Keluar'!$E:$E,'Barang Keluar'!$A:$A,M18799,'Barang Keluar'!$C:$C,N18799))</f>
        <v>0</v>
      </c>
    </row>
    <row r="18800" spans="13:16">
      <c r="M18800" s="49">
        <f>IF($A$4+187&gt;$B$4,"",$A$4+187)</f>
        <v>46210</v>
      </c>
      <c r="N18800">
        <f>IF(M18800="","",'Master Barang'!A94)</f>
        <v>0</v>
      </c>
      <c r="O18800">
        <f>IF(N18800="","",'Master Barang'!B94)</f>
        <v>0</v>
      </c>
      <c r="P18800">
        <f>IF(OR(M18800="",N18800=""),"",SUMIFS('Barang Keluar'!$E:$E,'Barang Keluar'!$A:$A,M18800,'Barang Keluar'!$C:$C,N18800))</f>
        <v>0</v>
      </c>
    </row>
    <row r="18801" spans="13:16">
      <c r="M18801" s="49">
        <f>IF($A$4+187&gt;$B$4,"",$A$4+187)</f>
        <v>46210</v>
      </c>
      <c r="N18801">
        <f>IF(M18801="","",'Master Barang'!A95)</f>
        <v>0</v>
      </c>
      <c r="O18801">
        <f>IF(N18801="","",'Master Barang'!B95)</f>
        <v>0</v>
      </c>
      <c r="P18801">
        <f>IF(OR(M18801="",N18801=""),"",SUMIFS('Barang Keluar'!$E:$E,'Barang Keluar'!$A:$A,M18801,'Barang Keluar'!$C:$C,N18801))</f>
        <v>0</v>
      </c>
    </row>
    <row r="18802" spans="13:16">
      <c r="M18802" s="49">
        <f>IF($A$4+187&gt;$B$4,"",$A$4+187)</f>
        <v>46210</v>
      </c>
      <c r="N18802">
        <f>IF(M18802="","",'Master Barang'!A96)</f>
        <v>0</v>
      </c>
      <c r="O18802">
        <f>IF(N18802="","",'Master Barang'!B96)</f>
        <v>0</v>
      </c>
      <c r="P18802">
        <f>IF(OR(M18802="",N18802=""),"",SUMIFS('Barang Keluar'!$E:$E,'Barang Keluar'!$A:$A,M18802,'Barang Keluar'!$C:$C,N18802))</f>
        <v>0</v>
      </c>
    </row>
    <row r="18803" spans="13:16">
      <c r="M18803" s="49">
        <f>IF($A$4+187&gt;$B$4,"",$A$4+187)</f>
        <v>46210</v>
      </c>
      <c r="N18803">
        <f>IF(M18803="","",'Master Barang'!A97)</f>
        <v>0</v>
      </c>
      <c r="O18803">
        <f>IF(N18803="","",'Master Barang'!B97)</f>
        <v>0</v>
      </c>
      <c r="P18803">
        <f>IF(OR(M18803="",N18803=""),"",SUMIFS('Barang Keluar'!$E:$E,'Barang Keluar'!$A:$A,M18803,'Barang Keluar'!$C:$C,N18803))</f>
        <v>0</v>
      </c>
    </row>
    <row r="18804" spans="13:16">
      <c r="M18804" s="49">
        <f>IF($A$4+187&gt;$B$4,"",$A$4+187)</f>
        <v>46210</v>
      </c>
      <c r="N18804">
        <f>IF(M18804="","",'Master Barang'!A98)</f>
        <v>0</v>
      </c>
      <c r="O18804">
        <f>IF(N18804="","",'Master Barang'!B98)</f>
        <v>0</v>
      </c>
      <c r="P18804">
        <f>IF(OR(M18804="",N18804=""),"",SUMIFS('Barang Keluar'!$E:$E,'Barang Keluar'!$A:$A,M18804,'Barang Keluar'!$C:$C,N18804))</f>
        <v>0</v>
      </c>
    </row>
    <row r="18805" spans="13:16">
      <c r="M18805" s="49">
        <f>IF($A$4+187&gt;$B$4,"",$A$4+187)</f>
        <v>46210</v>
      </c>
      <c r="N18805">
        <f>IF(M18805="","",'Master Barang'!A99)</f>
        <v>0</v>
      </c>
      <c r="O18805">
        <f>IF(N18805="","",'Master Barang'!B99)</f>
        <v>0</v>
      </c>
      <c r="P18805">
        <f>IF(OR(M18805="",N18805=""),"",SUMIFS('Barang Keluar'!$E:$E,'Barang Keluar'!$A:$A,M18805,'Barang Keluar'!$C:$C,N18805))</f>
        <v>0</v>
      </c>
    </row>
    <row r="18806" spans="13:16">
      <c r="M18806" s="49">
        <f>IF($A$4+187&gt;$B$4,"",$A$4+187)</f>
        <v>46210</v>
      </c>
      <c r="N18806">
        <f>IF(M18806="","",'Master Barang'!A100)</f>
        <v>0</v>
      </c>
      <c r="O18806">
        <f>IF(N18806="","",'Master Barang'!B100)</f>
        <v>0</v>
      </c>
      <c r="P18806">
        <f>IF(OR(M18806="",N18806=""),"",SUMIFS('Barang Keluar'!$E:$E,'Barang Keluar'!$A:$A,M18806,'Barang Keluar'!$C:$C,N18806))</f>
        <v>0</v>
      </c>
    </row>
    <row r="18807" spans="13:16">
      <c r="M18807" s="49">
        <f>IF($A$4+187&gt;$B$4,"",$A$4+187)</f>
        <v>46210</v>
      </c>
      <c r="N18807">
        <f>IF(M18807="","",'Master Barang'!A101)</f>
        <v>0</v>
      </c>
      <c r="O18807">
        <f>IF(N18807="","",'Master Barang'!B101)</f>
        <v>0</v>
      </c>
      <c r="P18807">
        <f>IF(OR(M18807="",N18807=""),"",SUMIFS('Barang Keluar'!$E:$E,'Barang Keluar'!$A:$A,M18807,'Barang Keluar'!$C:$C,N18807))</f>
        <v>0</v>
      </c>
    </row>
    <row r="18808" spans="13:16">
      <c r="M18808" s="49">
        <f>IF($A$4+188&gt;$B$4,"",$A$4+188)</f>
        <v>46211</v>
      </c>
      <c r="N18808" t="str">
        <f>IF(M18808="","",'Master Barang'!A2)</f>
        <v>PRL-001</v>
      </c>
      <c r="O18808" t="str">
        <f>IF(N18808="","",'Master Barang'!B2)</f>
        <v>natura desinfectant food grade 5l</v>
      </c>
      <c r="P18808">
        <f>IF(OR(M18808="",N18808=""),"",SUMIFS('Barang Keluar'!$E:$E,'Barang Keluar'!$A:$A,M18808,'Barang Keluar'!$C:$C,N18808))</f>
        <v>0</v>
      </c>
    </row>
    <row r="18809" spans="13:16">
      <c r="M18809" s="49">
        <f>IF($A$4+188&gt;$B$4,"",$A$4+188)</f>
        <v>46211</v>
      </c>
      <c r="N18809" t="str">
        <f>IF(M18809="","",'Master Barang'!A3)</f>
        <v>PRL-002</v>
      </c>
      <c r="O18809" t="str">
        <f>IF(N18809="","",'Master Barang'!B3)</f>
        <v>sunlight cairan pencuci piring 5l</v>
      </c>
      <c r="P18809">
        <f>IF(OR(M18809="",N18809=""),"",SUMIFS('Barang Keluar'!$E:$E,'Barang Keluar'!$A:$A,M18809,'Barang Keluar'!$C:$C,N18809))</f>
        <v>0</v>
      </c>
    </row>
    <row r="18810" spans="13:16">
      <c r="M18810" s="49">
        <f>IF($A$4+188&gt;$B$4,"",$A$4+188)</f>
        <v>46211</v>
      </c>
      <c r="N18810" t="str">
        <f>IF(M18810="","",'Master Barang'!A4)</f>
        <v>PRL-003</v>
      </c>
      <c r="O18810" t="str">
        <f>IF(N18810="","",'Master Barang'!B4)</f>
        <v>oixs cleaner 1l</v>
      </c>
      <c r="P18810">
        <f>IF(OR(M18810="",N18810=""),"",SUMIFS('Barang Keluar'!$E:$E,'Barang Keluar'!$A:$A,M18810,'Barang Keluar'!$C:$C,N18810))</f>
        <v>0</v>
      </c>
    </row>
    <row r="18811" spans="13:16">
      <c r="M18811" s="49">
        <f>IF($A$4+188&gt;$B$4,"",$A$4+188)</f>
        <v>46211</v>
      </c>
      <c r="N18811" t="str">
        <f>IF(M18811="","",'Master Barang'!A5)</f>
        <v>PRL-004</v>
      </c>
      <c r="O18811" t="str">
        <f>IF(N18811="","",'Master Barang'!B5)</f>
        <v>be clean tissue serbaguna</v>
      </c>
      <c r="P18811">
        <f>IF(OR(M18811="",N18811=""),"",SUMIFS('Barang Keluar'!$E:$E,'Barang Keluar'!$A:$A,M18811,'Barang Keluar'!$C:$C,N18811))</f>
        <v>0</v>
      </c>
    </row>
    <row r="18812" spans="13:16">
      <c r="M18812" s="49">
        <f>IF($A$4+188&gt;$B$4,"",$A$4+188)</f>
        <v>46211</v>
      </c>
      <c r="N18812" t="str">
        <f>IF(M18812="","",'Master Barang'!A6)</f>
        <v>PRL-005</v>
      </c>
      <c r="O18812" t="str">
        <f>IF(N18812="","",'Master Barang'!B6)</f>
        <v>spons cuci hijau</v>
      </c>
      <c r="P18812">
        <f>IF(OR(M18812="",N18812=""),"",SUMIFS('Barang Keluar'!$E:$E,'Barang Keluar'!$A:$A,M18812,'Barang Keluar'!$C:$C,N18812))</f>
        <v>0</v>
      </c>
    </row>
    <row r="18813" spans="13:16">
      <c r="M18813" s="49">
        <f>IF($A$4+188&gt;$B$4,"",$A$4+188)</f>
        <v>46211</v>
      </c>
      <c r="N18813" t="str">
        <f>IF(M18813="","",'Master Barang'!A7)</f>
        <v>PRL-006</v>
      </c>
      <c r="O18813" t="str">
        <f>IF(N18813="","",'Master Barang'!B7)</f>
        <v>sabut cuci stainless</v>
      </c>
      <c r="P18813">
        <f>IF(OR(M18813="",N18813=""),"",SUMIFS('Barang Keluar'!$E:$E,'Barang Keluar'!$A:$A,M18813,'Barang Keluar'!$C:$C,N18813))</f>
        <v>0</v>
      </c>
    </row>
    <row r="18814" spans="13:16">
      <c r="M18814" s="49">
        <f>IF($A$4+188&gt;$B$4,"",$A$4+188)</f>
        <v>46211</v>
      </c>
      <c r="N18814" t="str">
        <f>IF(M18814="","",'Master Barang'!A8)</f>
        <v>PRL-007</v>
      </c>
      <c r="O18814" t="str">
        <f>IF(N18814="","",'Master Barang'!B8)</f>
        <v>plastik kresek besar merah 50pc</v>
      </c>
      <c r="P18814">
        <f>IF(OR(M18814="",N18814=""),"",SUMIFS('Barang Keluar'!$E:$E,'Barang Keluar'!$A:$A,M18814,'Barang Keluar'!$C:$C,N18814))</f>
        <v>0</v>
      </c>
    </row>
    <row r="18815" spans="13:16">
      <c r="M18815" s="49">
        <f>IF($A$4+188&gt;$B$4,"",$A$4+188)</f>
        <v>46211</v>
      </c>
      <c r="N18815" t="str">
        <f>IF(M18815="","",'Master Barang'!A9)</f>
        <v>PRL-008</v>
      </c>
      <c r="O18815" t="str">
        <f>IF(N18815="","",'Master Barang'!B9)</f>
        <v>lap besar</v>
      </c>
      <c r="P18815">
        <f>IF(OR(M18815="",N18815=""),"",SUMIFS('Barang Keluar'!$E:$E,'Barang Keluar'!$A:$A,M18815,'Barang Keluar'!$C:$C,N18815))</f>
        <v>0</v>
      </c>
    </row>
    <row r="18816" spans="13:16">
      <c r="M18816" s="49">
        <f>IF($A$4+188&gt;$B$4,"",$A$4+188)</f>
        <v>46211</v>
      </c>
      <c r="N18816" t="str">
        <f>IF(M18816="","",'Master Barang'!A10)</f>
        <v>PRL-009</v>
      </c>
      <c r="O18816" t="str">
        <f>IF(N18816="","",'Master Barang'!B10)</f>
        <v>lap microfiber</v>
      </c>
      <c r="P18816">
        <f>IF(OR(M18816="",N18816=""),"",SUMIFS('Barang Keluar'!$E:$E,'Barang Keluar'!$A:$A,M18816,'Barang Keluar'!$C:$C,N18816))</f>
        <v>0</v>
      </c>
    </row>
    <row r="18817" spans="13:16">
      <c r="M18817" s="49">
        <f>IF($A$4+188&gt;$B$4,"",$A$4+188)</f>
        <v>46211</v>
      </c>
      <c r="N18817" t="str">
        <f>IF(M18817="","",'Master Barang'!A11)</f>
        <v>PRL-010</v>
      </c>
      <c r="O18817" t="str">
        <f>IF(N18817="","",'Master Barang'!B11)</f>
        <v>lap kecil</v>
      </c>
      <c r="P18817">
        <f>IF(OR(M18817="",N18817=""),"",SUMIFS('Barang Keluar'!$E:$E,'Barang Keluar'!$A:$A,M18817,'Barang Keluar'!$C:$C,N18817))</f>
        <v>0</v>
      </c>
    </row>
    <row r="18818" spans="13:16">
      <c r="M18818" s="49">
        <f>IF($A$4+188&gt;$B$4,"",$A$4+188)</f>
        <v>46211</v>
      </c>
      <c r="N18818" t="str">
        <f>IF(M18818="","",'Master Barang'!A12)</f>
        <v>PRL-011</v>
      </c>
      <c r="O18818" t="str">
        <f>IF(N18818="","",'Master Barang'!B12)</f>
        <v>kanebo kecil</v>
      </c>
      <c r="P18818">
        <f>IF(OR(M18818="",N18818=""),"",SUMIFS('Barang Keluar'!$E:$E,'Barang Keluar'!$A:$A,M18818,'Barang Keluar'!$C:$C,N18818))</f>
        <v>0</v>
      </c>
    </row>
    <row r="18819" spans="13:16">
      <c r="M18819" s="49">
        <f>IF($A$4+188&gt;$B$4,"",$A$4+188)</f>
        <v>46211</v>
      </c>
      <c r="N18819" t="str">
        <f>IF(M18819="","",'Master Barang'!A13)</f>
        <v>PRL-012</v>
      </c>
      <c r="O18819" t="str">
        <f>IF(N18819="","",'Master Barang'!B13)</f>
        <v>plastik 1/4kg joyoboyo 100 lembar</v>
      </c>
      <c r="P18819">
        <f>IF(OR(M18819="",N18819=""),"",SUMIFS('Barang Keluar'!$E:$E,'Barang Keluar'!$A:$A,M18819,'Barang Keluar'!$C:$C,N18819))</f>
        <v>0</v>
      </c>
    </row>
    <row r="18820" spans="13:16">
      <c r="M18820" s="49">
        <f>IF($A$4+188&gt;$B$4,"",$A$4+188)</f>
        <v>46211</v>
      </c>
      <c r="N18820" t="str">
        <f>IF(M18820="","",'Master Barang'!A14)</f>
        <v>PRL-013</v>
      </c>
      <c r="O18820" t="str">
        <f>IF(N18820="","",'Master Barang'!B14)</f>
        <v>sarung tangan plastik kaka 100 pcs</v>
      </c>
      <c r="P18820">
        <f>IF(OR(M18820="",N18820=""),"",SUMIFS('Barang Keluar'!$E:$E,'Barang Keluar'!$A:$A,M18820,'Barang Keluar'!$C:$C,N18820))</f>
        <v>0</v>
      </c>
    </row>
    <row r="18821" spans="13:16">
      <c r="M18821" s="49">
        <f>IF($A$4+188&gt;$B$4,"",$A$4+188)</f>
        <v>46211</v>
      </c>
      <c r="N18821" t="str">
        <f>IF(M18821="","",'Master Barang'!A15)</f>
        <v>PRL-014</v>
      </c>
      <c r="O18821" t="str">
        <f>IF(N18821="","",'Master Barang'!B15)</f>
        <v>optima trashbag 80x100</v>
      </c>
      <c r="P18821">
        <f>IF(OR(M18821="",N18821=""),"",SUMIFS('Barang Keluar'!$E:$E,'Barang Keluar'!$A:$A,M18821,'Barang Keluar'!$C:$C,N18821))</f>
        <v>0</v>
      </c>
    </row>
    <row r="18822" spans="13:16">
      <c r="M18822" s="49">
        <f>IF($A$4+188&gt;$B$4,"",$A$4+188)</f>
        <v>46211</v>
      </c>
      <c r="N18822" t="str">
        <f>IF(M18822="","",'Master Barang'!A16)</f>
        <v>PRL-015</v>
      </c>
      <c r="O18822" t="str">
        <f>IF(N18822="","",'Master Barang'!B16)</f>
        <v>optima trashbag 60x100</v>
      </c>
      <c r="P18822">
        <f>IF(OR(M18822="",N18822=""),"",SUMIFS('Barang Keluar'!$E:$E,'Barang Keluar'!$A:$A,M18822,'Barang Keluar'!$C:$C,N18822))</f>
        <v>0</v>
      </c>
    </row>
    <row r="18823" spans="13:16">
      <c r="M18823" s="49">
        <f>IF($A$4+188&gt;$B$4,"",$A$4+188)</f>
        <v>46211</v>
      </c>
      <c r="N18823" t="str">
        <f>IF(M18823="","",'Master Barang'!A17)</f>
        <v>PRL-016</v>
      </c>
      <c r="O18823" t="str">
        <f>IF(N18823="","",'Master Barang'!B17)</f>
        <v>rajawali trashbag 30x40</v>
      </c>
      <c r="P18823">
        <f>IF(OR(M18823="",N18823=""),"",SUMIFS('Barang Keluar'!$E:$E,'Barang Keluar'!$A:$A,M18823,'Barang Keluar'!$C:$C,N18823))</f>
        <v>0</v>
      </c>
    </row>
    <row r="18824" spans="13:16">
      <c r="M18824" s="49">
        <f>IF($A$4+188&gt;$B$4,"",$A$4+188)</f>
        <v>46211</v>
      </c>
      <c r="N18824" t="str">
        <f>IF(M18824="","",'Master Barang'!A18)</f>
        <v>PRL-017</v>
      </c>
      <c r="O18824" t="str">
        <f>IF(N18824="","",'Master Barang'!B18)</f>
        <v>onemed masker biru 3 play 50 pcs</v>
      </c>
      <c r="P18824">
        <f>IF(OR(M18824="",N18824=""),"",SUMIFS('Barang Keluar'!$E:$E,'Barang Keluar'!$A:$A,M18824,'Barang Keluar'!$C:$C,N18824))</f>
        <v>0</v>
      </c>
    </row>
    <row r="18825" spans="13:16">
      <c r="M18825" s="49">
        <f>IF($A$4+188&gt;$B$4,"",$A$4+188)</f>
        <v>46211</v>
      </c>
      <c r="N18825" t="str">
        <f>IF(M18825="","",'Master Barang'!A19)</f>
        <v>PRL-018</v>
      </c>
      <c r="O18825" t="str">
        <f>IF(N18825="","",'Master Barang'!B19)</f>
        <v>onemed masker biru 3 play hijab 50 pcs</v>
      </c>
      <c r="P18825">
        <f>IF(OR(M18825="",N18825=""),"",SUMIFS('Barang Keluar'!$E:$E,'Barang Keluar'!$A:$A,M18825,'Barang Keluar'!$C:$C,N18825))</f>
        <v>0</v>
      </c>
    </row>
    <row r="18826" spans="13:16">
      <c r="M18826" s="49">
        <f>IF($A$4+188&gt;$B$4,"",$A$4+188)</f>
        <v>46211</v>
      </c>
      <c r="N18826" t="str">
        <f>IF(M18826="","",'Master Barang'!A20)</f>
        <v>PRL-019</v>
      </c>
      <c r="O18826" t="str">
        <f>IF(N18826="","",'Master Barang'!B20)</f>
        <v>neo health masker biru 3 play 50 pcs</v>
      </c>
      <c r="P18826">
        <f>IF(OR(M18826="",N18826=""),"",SUMIFS('Barang Keluar'!$E:$E,'Barang Keluar'!$A:$A,M18826,'Barang Keluar'!$C:$C,N18826))</f>
        <v>0</v>
      </c>
    </row>
    <row r="18827" spans="13:16">
      <c r="M18827" s="49">
        <f>IF($A$4+188&gt;$B$4,"",$A$4+188)</f>
        <v>46211</v>
      </c>
      <c r="N18827" t="str">
        <f>IF(M18827="","",'Master Barang'!A21)</f>
        <v>PRL-020</v>
      </c>
      <c r="O18827" t="str">
        <f>IF(N18827="","",'Master Barang'!B21)</f>
        <v>baymed masker hijau 3 play hijau 50 pcs</v>
      </c>
      <c r="P18827">
        <f>IF(OR(M18827="",N18827=""),"",SUMIFS('Barang Keluar'!$E:$E,'Barang Keluar'!$A:$A,M18827,'Barang Keluar'!$C:$C,N18827))</f>
        <v>0</v>
      </c>
    </row>
    <row r="18828" spans="13:16">
      <c r="M18828" s="49">
        <f>IF($A$4+188&gt;$B$4,"",$A$4+188)</f>
        <v>46211</v>
      </c>
      <c r="N18828" t="str">
        <f>IF(M18828="","",'Master Barang'!A22)</f>
        <v>PRL-021</v>
      </c>
      <c r="O18828" t="str">
        <f>IF(N18828="","",'Master Barang'!B22)</f>
        <v>altamed nurse cap penutup kepala 100 pcs</v>
      </c>
      <c r="P18828">
        <f>IF(OR(M18828="",N18828=""),"",SUMIFS('Barang Keluar'!$E:$E,'Barang Keluar'!$A:$A,M18828,'Barang Keluar'!$C:$C,N18828))</f>
        <v>0</v>
      </c>
    </row>
    <row r="18829" spans="13:16">
      <c r="M18829" s="49">
        <f>IF($A$4+188&gt;$B$4,"",$A$4+188)</f>
        <v>46211</v>
      </c>
      <c r="N18829" t="str">
        <f>IF(M18829="","",'Master Barang'!A23)</f>
        <v>PRL-022</v>
      </c>
      <c r="O18829" t="str">
        <f>IF(N18829="","",'Master Barang'!B23)</f>
        <v>sabun cuci tangan</v>
      </c>
      <c r="P18829">
        <f>IF(OR(M18829="",N18829=""),"",SUMIFS('Barang Keluar'!$E:$E,'Barang Keluar'!$A:$A,M18829,'Barang Keluar'!$C:$C,N18829))</f>
        <v>0</v>
      </c>
    </row>
    <row r="18830" spans="13:16">
      <c r="M18830" s="49">
        <f>IF($A$4+188&gt;$B$4,"",$A$4+188)</f>
        <v>46211</v>
      </c>
      <c r="N18830" t="str">
        <f>IF(M18830="","",'Master Barang'!A24)</f>
        <v>PRL-023</v>
      </c>
      <c r="O18830" t="str">
        <f>IF(N18830="","",'Master Barang'!B24)</f>
        <v>gayung kecil</v>
      </c>
      <c r="P18830">
        <f>IF(OR(M18830="",N18830=""),"",SUMIFS('Barang Keluar'!$E:$E,'Barang Keluar'!$A:$A,M18830,'Barang Keluar'!$C:$C,N18830))</f>
        <v>0</v>
      </c>
    </row>
    <row r="18831" spans="13:16">
      <c r="M18831" s="49">
        <f>IF($A$4+188&gt;$B$4,"",$A$4+188)</f>
        <v>46211</v>
      </c>
      <c r="N18831" t="str">
        <f>IF(M18831="","",'Master Barang'!A25)</f>
        <v>PRL-024</v>
      </c>
      <c r="O18831" t="str">
        <f>IF(N18831="","",'Master Barang'!B25)</f>
        <v>cikrak kecil</v>
      </c>
      <c r="P18831">
        <f>IF(OR(M18831="",N18831=""),"",SUMIFS('Barang Keluar'!$E:$E,'Barang Keluar'!$A:$A,M18831,'Barang Keluar'!$C:$C,N18831))</f>
        <v>0</v>
      </c>
    </row>
    <row r="18832" spans="13:16">
      <c r="M18832" s="49">
        <f>IF($A$4+188&gt;$B$4,"",$A$4+188)</f>
        <v>46211</v>
      </c>
      <c r="N18832" t="str">
        <f>IF(M18832="","",'Master Barang'!A26)</f>
        <v>PRL-025</v>
      </c>
      <c r="O18832" t="str">
        <f>IF(N18832="","",'Master Barang'!B26)</f>
        <v>petromax plastik kecil 12x24 100 lembar</v>
      </c>
      <c r="P18832">
        <f>IF(OR(M18832="",N18832=""),"",SUMIFS('Barang Keluar'!$E:$E,'Barang Keluar'!$A:$A,M18832,'Barang Keluar'!$C:$C,N18832))</f>
        <v>0</v>
      </c>
    </row>
    <row r="18833" spans="13:16">
      <c r="M18833" s="49">
        <f>IF($A$4+188&gt;$B$4,"",$A$4+188)</f>
        <v>46211</v>
      </c>
      <c r="N18833" t="str">
        <f>IF(M18833="","",'Master Barang'!A27)</f>
        <v>PRL-026</v>
      </c>
      <c r="O18833" t="str">
        <f>IF(N18833="","",'Master Barang'!B27)</f>
        <v>lancar kresek kecil bening </v>
      </c>
      <c r="P18833">
        <f>IF(OR(M18833="",N18833=""),"",SUMIFS('Barang Keluar'!$E:$E,'Barang Keluar'!$A:$A,M18833,'Barang Keluar'!$C:$C,N18833))</f>
        <v>0</v>
      </c>
    </row>
    <row r="18834" spans="13:16">
      <c r="M18834" s="49">
        <f>IF($A$4+188&gt;$B$4,"",$A$4+188)</f>
        <v>46211</v>
      </c>
      <c r="N18834" t="str">
        <f>IF(M18834="","",'Master Barang'!A28)</f>
        <v>PRL-027</v>
      </c>
      <c r="O18834" t="str">
        <f>IF(N18834="","",'Master Barang'!B28)</f>
        <v>kresek klin warna warni kecil</v>
      </c>
      <c r="P18834">
        <f>IF(OR(M18834="",N18834=""),"",SUMIFS('Barang Keluar'!$E:$E,'Barang Keluar'!$A:$A,M18834,'Barang Keluar'!$C:$C,N18834))</f>
        <v>0</v>
      </c>
    </row>
    <row r="18835" spans="13:16">
      <c r="M18835" s="49">
        <f>IF($A$4+188&gt;$B$4,"",$A$4+188)</f>
        <v>46211</v>
      </c>
      <c r="N18835" t="str">
        <f>IF(M18835="","",'Master Barang'!A29)</f>
        <v>PRL-028</v>
      </c>
      <c r="O18835" t="str">
        <f>IF(N18835="","",'Master Barang'!B29)</f>
        <v>ctik plastik 7x10 100 pcs</v>
      </c>
      <c r="P18835">
        <f>IF(OR(M18835="",N18835=""),"",SUMIFS('Barang Keluar'!$E:$E,'Barang Keluar'!$A:$A,M18835,'Barang Keluar'!$C:$C,N18835))</f>
        <v>0</v>
      </c>
    </row>
    <row r="18836" spans="13:16">
      <c r="M18836" s="49">
        <f>IF($A$4+188&gt;$B$4,"",$A$4+188)</f>
        <v>46211</v>
      </c>
      <c r="N18836" t="str">
        <f>IF(M18836="","",'Master Barang'!A30)</f>
        <v>PRL-029</v>
      </c>
      <c r="O18836" t="str">
        <f>IF(N18836="","",'Master Barang'!B30)</f>
        <v>ctik plastik 6x10 100 pcs</v>
      </c>
      <c r="P18836">
        <f>IF(OR(M18836="",N18836=""),"",SUMIFS('Barang Keluar'!$E:$E,'Barang Keluar'!$A:$A,M18836,'Barang Keluar'!$C:$C,N18836))</f>
        <v>0</v>
      </c>
    </row>
    <row r="18837" spans="13:16">
      <c r="M18837" s="49">
        <f>IF($A$4+188&gt;$B$4,"",$A$4+188)</f>
        <v>46211</v>
      </c>
      <c r="N18837" t="str">
        <f>IF(M18837="","",'Master Barang'!A31)</f>
        <v>PRL-030</v>
      </c>
      <c r="O18837" t="str">
        <f>IF(N18837="","",'Master Barang'!B31)</f>
        <v>klip plastik 25x16 100 pcs</v>
      </c>
      <c r="P18837">
        <f>IF(OR(M18837="",N18837=""),"",SUMIFS('Barang Keluar'!$E:$E,'Barang Keluar'!$A:$A,M18837,'Barang Keluar'!$C:$C,N18837))</f>
        <v>0</v>
      </c>
    </row>
    <row r="18838" spans="13:16">
      <c r="M18838" s="49">
        <f>IF($A$4+188&gt;$B$4,"",$A$4+188)</f>
        <v>46211</v>
      </c>
      <c r="N18838" t="str">
        <f>IF(M18838="","",'Master Barang'!A32)</f>
        <v>PRL-031</v>
      </c>
      <c r="O18838" t="str">
        <f>IF(N18838="","",'Master Barang'!B32)</f>
        <v>tempat saus 20 ml</v>
      </c>
      <c r="P18838">
        <f>IF(OR(M18838="",N18838=""),"",SUMIFS('Barang Keluar'!$E:$E,'Barang Keluar'!$A:$A,M18838,'Barang Keluar'!$C:$C,N18838))</f>
        <v>0</v>
      </c>
    </row>
    <row r="18839" spans="13:16">
      <c r="M18839" s="49">
        <f>IF($A$4+188&gt;$B$4,"",$A$4+188)</f>
        <v>46211</v>
      </c>
      <c r="N18839" t="str">
        <f>IF(M18839="","",'Master Barang'!A33)</f>
        <v>PRL-032</v>
      </c>
      <c r="O18839" t="str">
        <f>IF(N18839="","",'Master Barang'!B33)</f>
        <v>plastik packaging ag box uk sedang</v>
      </c>
      <c r="P18839">
        <f>IF(OR(M18839="",N18839=""),"",SUMIFS('Barang Keluar'!$E:$E,'Barang Keluar'!$A:$A,M18839,'Barang Keluar'!$C:$C,N18839))</f>
        <v>0</v>
      </c>
    </row>
    <row r="18840" spans="13:16">
      <c r="M18840" s="49">
        <f>IF($A$4+188&gt;$B$4,"",$A$4+188)</f>
        <v>46211</v>
      </c>
      <c r="N18840" t="str">
        <f>IF(M18840="","",'Master Barang'!A34)</f>
        <v>PRL-033</v>
      </c>
      <c r="O18840">
        <f>IF(N18840="","",'Master Barang'!B34)</f>
        <v>0</v>
      </c>
      <c r="P18840">
        <f>IF(OR(M18840="",N18840=""),"",SUMIFS('Barang Keluar'!$E:$E,'Barang Keluar'!$A:$A,M18840,'Barang Keluar'!$C:$C,N18840))</f>
        <v>0</v>
      </c>
    </row>
    <row r="18841" spans="13:16">
      <c r="M18841" s="49">
        <f>IF($A$4+188&gt;$B$4,"",$A$4+188)</f>
        <v>46211</v>
      </c>
      <c r="N18841">
        <f>IF(M18841="","",'Master Barang'!A35)</f>
        <v>0</v>
      </c>
      <c r="O18841">
        <f>IF(N18841="","",'Master Barang'!B35)</f>
        <v>0</v>
      </c>
      <c r="P18841">
        <f>IF(OR(M18841="",N18841=""),"",SUMIFS('Barang Keluar'!$E:$E,'Barang Keluar'!$A:$A,M18841,'Barang Keluar'!$C:$C,N18841))</f>
        <v>0</v>
      </c>
    </row>
    <row r="18842" spans="13:16">
      <c r="M18842" s="49">
        <f>IF($A$4+188&gt;$B$4,"",$A$4+188)</f>
        <v>46211</v>
      </c>
      <c r="N18842">
        <f>IF(M18842="","",'Master Barang'!A36)</f>
        <v>0</v>
      </c>
      <c r="O18842">
        <f>IF(N18842="","",'Master Barang'!B36)</f>
        <v>0</v>
      </c>
      <c r="P18842">
        <f>IF(OR(M18842="",N18842=""),"",SUMIFS('Barang Keluar'!$E:$E,'Barang Keluar'!$A:$A,M18842,'Barang Keluar'!$C:$C,N18842))</f>
        <v>0</v>
      </c>
    </row>
    <row r="18843" spans="13:16">
      <c r="M18843" s="49">
        <f>IF($A$4+188&gt;$B$4,"",$A$4+188)</f>
        <v>46211</v>
      </c>
      <c r="N18843">
        <f>IF(M18843="","",'Master Barang'!A37)</f>
        <v>0</v>
      </c>
      <c r="O18843">
        <f>IF(N18843="","",'Master Barang'!B37)</f>
        <v>0</v>
      </c>
      <c r="P18843">
        <f>IF(OR(M18843="",N18843=""),"",SUMIFS('Barang Keluar'!$E:$E,'Barang Keluar'!$A:$A,M18843,'Barang Keluar'!$C:$C,N18843))</f>
        <v>0</v>
      </c>
    </row>
    <row r="18844" spans="13:16">
      <c r="M18844" s="49">
        <f>IF($A$4+188&gt;$B$4,"",$A$4+188)</f>
        <v>46211</v>
      </c>
      <c r="N18844">
        <f>IF(M18844="","",'Master Barang'!A38)</f>
        <v>0</v>
      </c>
      <c r="O18844">
        <f>IF(N18844="","",'Master Barang'!B38)</f>
        <v>0</v>
      </c>
      <c r="P18844">
        <f>IF(OR(M18844="",N18844=""),"",SUMIFS('Barang Keluar'!$E:$E,'Barang Keluar'!$A:$A,M18844,'Barang Keluar'!$C:$C,N18844))</f>
        <v>0</v>
      </c>
    </row>
    <row r="18845" spans="13:16">
      <c r="M18845" s="49">
        <f>IF($A$4+188&gt;$B$4,"",$A$4+188)</f>
        <v>46211</v>
      </c>
      <c r="N18845">
        <f>IF(M18845="","",'Master Barang'!A39)</f>
        <v>0</v>
      </c>
      <c r="O18845">
        <f>IF(N18845="","",'Master Barang'!B39)</f>
        <v>0</v>
      </c>
      <c r="P18845">
        <f>IF(OR(M18845="",N18845=""),"",SUMIFS('Barang Keluar'!$E:$E,'Barang Keluar'!$A:$A,M18845,'Barang Keluar'!$C:$C,N18845))</f>
        <v>0</v>
      </c>
    </row>
    <row r="18846" spans="13:16">
      <c r="M18846" s="49">
        <f>IF($A$4+188&gt;$B$4,"",$A$4+188)</f>
        <v>46211</v>
      </c>
      <c r="N18846">
        <f>IF(M18846="","",'Master Barang'!A40)</f>
        <v>0</v>
      </c>
      <c r="O18846">
        <f>IF(N18846="","",'Master Barang'!B40)</f>
        <v>0</v>
      </c>
      <c r="P18846">
        <f>IF(OR(M18846="",N18846=""),"",SUMIFS('Barang Keluar'!$E:$E,'Barang Keluar'!$A:$A,M18846,'Barang Keluar'!$C:$C,N18846))</f>
        <v>0</v>
      </c>
    </row>
    <row r="18847" spans="13:16">
      <c r="M18847" s="49">
        <f>IF($A$4+188&gt;$B$4,"",$A$4+188)</f>
        <v>46211</v>
      </c>
      <c r="N18847">
        <f>IF(M18847="","",'Master Barang'!A41)</f>
        <v>0</v>
      </c>
      <c r="O18847">
        <f>IF(N18847="","",'Master Barang'!B41)</f>
        <v>0</v>
      </c>
      <c r="P18847">
        <f>IF(OR(M18847="",N18847=""),"",SUMIFS('Barang Keluar'!$E:$E,'Barang Keluar'!$A:$A,M18847,'Barang Keluar'!$C:$C,N18847))</f>
        <v>0</v>
      </c>
    </row>
    <row r="18848" spans="13:16">
      <c r="M18848" s="49">
        <f>IF($A$4+188&gt;$B$4,"",$A$4+188)</f>
        <v>46211</v>
      </c>
      <c r="N18848">
        <f>IF(M18848="","",'Master Barang'!A42)</f>
        <v>0</v>
      </c>
      <c r="O18848">
        <f>IF(N18848="","",'Master Barang'!B42)</f>
        <v>0</v>
      </c>
      <c r="P18848">
        <f>IF(OR(M18848="",N18848=""),"",SUMIFS('Barang Keluar'!$E:$E,'Barang Keluar'!$A:$A,M18848,'Barang Keluar'!$C:$C,N18848))</f>
        <v>0</v>
      </c>
    </row>
    <row r="18849" spans="13:16">
      <c r="M18849" s="49">
        <f>IF($A$4+188&gt;$B$4,"",$A$4+188)</f>
        <v>46211</v>
      </c>
      <c r="N18849">
        <f>IF(M18849="","",'Master Barang'!A43)</f>
        <v>0</v>
      </c>
      <c r="O18849">
        <f>IF(N18849="","",'Master Barang'!B43)</f>
        <v>0</v>
      </c>
      <c r="P18849">
        <f>IF(OR(M18849="",N18849=""),"",SUMIFS('Barang Keluar'!$E:$E,'Barang Keluar'!$A:$A,M18849,'Barang Keluar'!$C:$C,N18849))</f>
        <v>0</v>
      </c>
    </row>
    <row r="18850" spans="13:16">
      <c r="M18850" s="49">
        <f>IF($A$4+188&gt;$B$4,"",$A$4+188)</f>
        <v>46211</v>
      </c>
      <c r="N18850">
        <f>IF(M18850="","",'Master Barang'!A44)</f>
        <v>0</v>
      </c>
      <c r="O18850">
        <f>IF(N18850="","",'Master Barang'!B44)</f>
        <v>0</v>
      </c>
      <c r="P18850">
        <f>IF(OR(M18850="",N18850=""),"",SUMIFS('Barang Keluar'!$E:$E,'Barang Keluar'!$A:$A,M18850,'Barang Keluar'!$C:$C,N18850))</f>
        <v>0</v>
      </c>
    </row>
    <row r="18851" spans="13:16">
      <c r="M18851" s="49">
        <f>IF($A$4+188&gt;$B$4,"",$A$4+188)</f>
        <v>46211</v>
      </c>
      <c r="N18851">
        <f>IF(M18851="","",'Master Barang'!A45)</f>
        <v>0</v>
      </c>
      <c r="O18851">
        <f>IF(N18851="","",'Master Barang'!B45)</f>
        <v>0</v>
      </c>
      <c r="P18851">
        <f>IF(OR(M18851="",N18851=""),"",SUMIFS('Barang Keluar'!$E:$E,'Barang Keluar'!$A:$A,M18851,'Barang Keluar'!$C:$C,N18851))</f>
        <v>0</v>
      </c>
    </row>
    <row r="18852" spans="13:16">
      <c r="M18852" s="49">
        <f>IF($A$4+188&gt;$B$4,"",$A$4+188)</f>
        <v>46211</v>
      </c>
      <c r="N18852">
        <f>IF(M18852="","",'Master Barang'!A46)</f>
        <v>0</v>
      </c>
      <c r="O18852">
        <f>IF(N18852="","",'Master Barang'!B46)</f>
        <v>0</v>
      </c>
      <c r="P18852">
        <f>IF(OR(M18852="",N18852=""),"",SUMIFS('Barang Keluar'!$E:$E,'Barang Keluar'!$A:$A,M18852,'Barang Keluar'!$C:$C,N18852))</f>
        <v>0</v>
      </c>
    </row>
    <row r="18853" spans="13:16">
      <c r="M18853" s="49">
        <f>IF($A$4+188&gt;$B$4,"",$A$4+188)</f>
        <v>46211</v>
      </c>
      <c r="N18853">
        <f>IF(M18853="","",'Master Barang'!A47)</f>
        <v>0</v>
      </c>
      <c r="O18853">
        <f>IF(N18853="","",'Master Barang'!B47)</f>
        <v>0</v>
      </c>
      <c r="P18853">
        <f>IF(OR(M18853="",N18853=""),"",SUMIFS('Barang Keluar'!$E:$E,'Barang Keluar'!$A:$A,M18853,'Barang Keluar'!$C:$C,N18853))</f>
        <v>0</v>
      </c>
    </row>
    <row r="18854" spans="13:16">
      <c r="M18854" s="49">
        <f>IF($A$4+188&gt;$B$4,"",$A$4+188)</f>
        <v>46211</v>
      </c>
      <c r="N18854">
        <f>IF(M18854="","",'Master Barang'!A48)</f>
        <v>0</v>
      </c>
      <c r="O18854">
        <f>IF(N18854="","",'Master Barang'!B48)</f>
        <v>0</v>
      </c>
      <c r="P18854">
        <f>IF(OR(M18854="",N18854=""),"",SUMIFS('Barang Keluar'!$E:$E,'Barang Keluar'!$A:$A,M18854,'Barang Keluar'!$C:$C,N18854))</f>
        <v>0</v>
      </c>
    </row>
    <row r="18855" spans="13:16">
      <c r="M18855" s="49">
        <f>IF($A$4+188&gt;$B$4,"",$A$4+188)</f>
        <v>46211</v>
      </c>
      <c r="N18855">
        <f>IF(M18855="","",'Master Barang'!A49)</f>
        <v>0</v>
      </c>
      <c r="O18855">
        <f>IF(N18855="","",'Master Barang'!B49)</f>
        <v>0</v>
      </c>
      <c r="P18855">
        <f>IF(OR(M18855="",N18855=""),"",SUMIFS('Barang Keluar'!$E:$E,'Barang Keluar'!$A:$A,M18855,'Barang Keluar'!$C:$C,N18855))</f>
        <v>0</v>
      </c>
    </row>
    <row r="18856" spans="13:16">
      <c r="M18856" s="49">
        <f>IF($A$4+188&gt;$B$4,"",$A$4+188)</f>
        <v>46211</v>
      </c>
      <c r="N18856">
        <f>IF(M18856="","",'Master Barang'!A50)</f>
        <v>0</v>
      </c>
      <c r="O18856">
        <f>IF(N18856="","",'Master Barang'!B50)</f>
        <v>0</v>
      </c>
      <c r="P18856">
        <f>IF(OR(M18856="",N18856=""),"",SUMIFS('Barang Keluar'!$E:$E,'Barang Keluar'!$A:$A,M18856,'Barang Keluar'!$C:$C,N18856))</f>
        <v>0</v>
      </c>
    </row>
    <row r="18857" spans="13:16">
      <c r="M18857" s="49">
        <f>IF($A$4+188&gt;$B$4,"",$A$4+188)</f>
        <v>46211</v>
      </c>
      <c r="N18857">
        <f>IF(M18857="","",'Master Barang'!A51)</f>
        <v>0</v>
      </c>
      <c r="O18857">
        <f>IF(N18857="","",'Master Barang'!B51)</f>
        <v>0</v>
      </c>
      <c r="P18857">
        <f>IF(OR(M18857="",N18857=""),"",SUMIFS('Barang Keluar'!$E:$E,'Barang Keluar'!$A:$A,M18857,'Barang Keluar'!$C:$C,N18857))</f>
        <v>0</v>
      </c>
    </row>
    <row r="18858" spans="13:16">
      <c r="M18858" s="49">
        <f>IF($A$4+188&gt;$B$4,"",$A$4+188)</f>
        <v>46211</v>
      </c>
      <c r="N18858">
        <f>IF(M18858="","",'Master Barang'!A52)</f>
        <v>0</v>
      </c>
      <c r="O18858">
        <f>IF(N18858="","",'Master Barang'!B52)</f>
        <v>0</v>
      </c>
      <c r="P18858">
        <f>IF(OR(M18858="",N18858=""),"",SUMIFS('Barang Keluar'!$E:$E,'Barang Keluar'!$A:$A,M18858,'Barang Keluar'!$C:$C,N18858))</f>
        <v>0</v>
      </c>
    </row>
    <row r="18859" spans="13:16">
      <c r="M18859" s="49">
        <f>IF($A$4+188&gt;$B$4,"",$A$4+188)</f>
        <v>46211</v>
      </c>
      <c r="N18859">
        <f>IF(M18859="","",'Master Barang'!A53)</f>
        <v>0</v>
      </c>
      <c r="O18859">
        <f>IF(N18859="","",'Master Barang'!B53)</f>
        <v>0</v>
      </c>
      <c r="P18859">
        <f>IF(OR(M18859="",N18859=""),"",SUMIFS('Barang Keluar'!$E:$E,'Barang Keluar'!$A:$A,M18859,'Barang Keluar'!$C:$C,N18859))</f>
        <v>0</v>
      </c>
    </row>
    <row r="18860" spans="13:16">
      <c r="M18860" s="49">
        <f>IF($A$4+188&gt;$B$4,"",$A$4+188)</f>
        <v>46211</v>
      </c>
      <c r="N18860">
        <f>IF(M18860="","",'Master Barang'!A54)</f>
        <v>0</v>
      </c>
      <c r="O18860">
        <f>IF(N18860="","",'Master Barang'!B54)</f>
        <v>0</v>
      </c>
      <c r="P18860">
        <f>IF(OR(M18860="",N18860=""),"",SUMIFS('Barang Keluar'!$E:$E,'Barang Keluar'!$A:$A,M18860,'Barang Keluar'!$C:$C,N18860))</f>
        <v>0</v>
      </c>
    </row>
    <row r="18861" spans="13:16">
      <c r="M18861" s="49">
        <f>IF($A$4+188&gt;$B$4,"",$A$4+188)</f>
        <v>46211</v>
      </c>
      <c r="N18861">
        <f>IF(M18861="","",'Master Barang'!A55)</f>
        <v>0</v>
      </c>
      <c r="O18861">
        <f>IF(N18861="","",'Master Barang'!B55)</f>
        <v>0</v>
      </c>
      <c r="P18861">
        <f>IF(OR(M18861="",N18861=""),"",SUMIFS('Barang Keluar'!$E:$E,'Barang Keluar'!$A:$A,M18861,'Barang Keluar'!$C:$C,N18861))</f>
        <v>0</v>
      </c>
    </row>
    <row r="18862" spans="13:16">
      <c r="M18862" s="49">
        <f>IF($A$4+188&gt;$B$4,"",$A$4+188)</f>
        <v>46211</v>
      </c>
      <c r="N18862">
        <f>IF(M18862="","",'Master Barang'!A56)</f>
        <v>0</v>
      </c>
      <c r="O18862">
        <f>IF(N18862="","",'Master Barang'!B56)</f>
        <v>0</v>
      </c>
      <c r="P18862">
        <f>IF(OR(M18862="",N18862=""),"",SUMIFS('Barang Keluar'!$E:$E,'Barang Keluar'!$A:$A,M18862,'Barang Keluar'!$C:$C,N18862))</f>
        <v>0</v>
      </c>
    </row>
    <row r="18863" spans="13:16">
      <c r="M18863" s="49">
        <f>IF($A$4+188&gt;$B$4,"",$A$4+188)</f>
        <v>46211</v>
      </c>
      <c r="N18863">
        <f>IF(M18863="","",'Master Barang'!A57)</f>
        <v>0</v>
      </c>
      <c r="O18863">
        <f>IF(N18863="","",'Master Barang'!B57)</f>
        <v>0</v>
      </c>
      <c r="P18863">
        <f>IF(OR(M18863="",N18863=""),"",SUMIFS('Barang Keluar'!$E:$E,'Barang Keluar'!$A:$A,M18863,'Barang Keluar'!$C:$C,N18863))</f>
        <v>0</v>
      </c>
    </row>
    <row r="18864" spans="13:16">
      <c r="M18864" s="49">
        <f>IF($A$4+188&gt;$B$4,"",$A$4+188)</f>
        <v>46211</v>
      </c>
      <c r="N18864">
        <f>IF(M18864="","",'Master Barang'!A58)</f>
        <v>0</v>
      </c>
      <c r="O18864">
        <f>IF(N18864="","",'Master Barang'!B58)</f>
        <v>0</v>
      </c>
      <c r="P18864">
        <f>IF(OR(M18864="",N18864=""),"",SUMIFS('Barang Keluar'!$E:$E,'Barang Keluar'!$A:$A,M18864,'Barang Keluar'!$C:$C,N18864))</f>
        <v>0</v>
      </c>
    </row>
    <row r="18865" spans="13:16">
      <c r="M18865" s="49">
        <f>IF($A$4+188&gt;$B$4,"",$A$4+188)</f>
        <v>46211</v>
      </c>
      <c r="N18865">
        <f>IF(M18865="","",'Master Barang'!A59)</f>
        <v>0</v>
      </c>
      <c r="O18865">
        <f>IF(N18865="","",'Master Barang'!B59)</f>
        <v>0</v>
      </c>
      <c r="P18865">
        <f>IF(OR(M18865="",N18865=""),"",SUMIFS('Barang Keluar'!$E:$E,'Barang Keluar'!$A:$A,M18865,'Barang Keluar'!$C:$C,N18865))</f>
        <v>0</v>
      </c>
    </row>
    <row r="18866" spans="13:16">
      <c r="M18866" s="49">
        <f>IF($A$4+188&gt;$B$4,"",$A$4+188)</f>
        <v>46211</v>
      </c>
      <c r="N18866">
        <f>IF(M18866="","",'Master Barang'!A60)</f>
        <v>0</v>
      </c>
      <c r="O18866">
        <f>IF(N18866="","",'Master Barang'!B60)</f>
        <v>0</v>
      </c>
      <c r="P18866">
        <f>IF(OR(M18866="",N18866=""),"",SUMIFS('Barang Keluar'!$E:$E,'Barang Keluar'!$A:$A,M18866,'Barang Keluar'!$C:$C,N18866))</f>
        <v>0</v>
      </c>
    </row>
    <row r="18867" spans="13:16">
      <c r="M18867" s="49">
        <f>IF($A$4+188&gt;$B$4,"",$A$4+188)</f>
        <v>46211</v>
      </c>
      <c r="N18867">
        <f>IF(M18867="","",'Master Barang'!A61)</f>
        <v>0</v>
      </c>
      <c r="O18867">
        <f>IF(N18867="","",'Master Barang'!B61)</f>
        <v>0</v>
      </c>
      <c r="P18867">
        <f>IF(OR(M18867="",N18867=""),"",SUMIFS('Barang Keluar'!$E:$E,'Barang Keluar'!$A:$A,M18867,'Barang Keluar'!$C:$C,N18867))</f>
        <v>0</v>
      </c>
    </row>
    <row r="18868" spans="13:16">
      <c r="M18868" s="49">
        <f>IF($A$4+188&gt;$B$4,"",$A$4+188)</f>
        <v>46211</v>
      </c>
      <c r="N18868">
        <f>IF(M18868="","",'Master Barang'!A62)</f>
        <v>0</v>
      </c>
      <c r="O18868">
        <f>IF(N18868="","",'Master Barang'!B62)</f>
        <v>0</v>
      </c>
      <c r="P18868">
        <f>IF(OR(M18868="",N18868=""),"",SUMIFS('Barang Keluar'!$E:$E,'Barang Keluar'!$A:$A,M18868,'Barang Keluar'!$C:$C,N18868))</f>
        <v>0</v>
      </c>
    </row>
    <row r="18869" spans="13:16">
      <c r="M18869" s="49">
        <f>IF($A$4+188&gt;$B$4,"",$A$4+188)</f>
        <v>46211</v>
      </c>
      <c r="N18869">
        <f>IF(M18869="","",'Master Barang'!A63)</f>
        <v>0</v>
      </c>
      <c r="O18869">
        <f>IF(N18869="","",'Master Barang'!B63)</f>
        <v>0</v>
      </c>
      <c r="P18869">
        <f>IF(OR(M18869="",N18869=""),"",SUMIFS('Barang Keluar'!$E:$E,'Barang Keluar'!$A:$A,M18869,'Barang Keluar'!$C:$C,N18869))</f>
        <v>0</v>
      </c>
    </row>
    <row r="18870" spans="13:16">
      <c r="M18870" s="49">
        <f>IF($A$4+188&gt;$B$4,"",$A$4+188)</f>
        <v>46211</v>
      </c>
      <c r="N18870">
        <f>IF(M18870="","",'Master Barang'!A64)</f>
        <v>0</v>
      </c>
      <c r="O18870">
        <f>IF(N18870="","",'Master Barang'!B64)</f>
        <v>0</v>
      </c>
      <c r="P18870">
        <f>IF(OR(M18870="",N18870=""),"",SUMIFS('Barang Keluar'!$E:$E,'Barang Keluar'!$A:$A,M18870,'Barang Keluar'!$C:$C,N18870))</f>
        <v>0</v>
      </c>
    </row>
    <row r="18871" spans="13:16">
      <c r="M18871" s="49">
        <f>IF($A$4+188&gt;$B$4,"",$A$4+188)</f>
        <v>46211</v>
      </c>
      <c r="N18871">
        <f>IF(M18871="","",'Master Barang'!A65)</f>
        <v>0</v>
      </c>
      <c r="O18871">
        <f>IF(N18871="","",'Master Barang'!B65)</f>
        <v>0</v>
      </c>
      <c r="P18871">
        <f>IF(OR(M18871="",N18871=""),"",SUMIFS('Barang Keluar'!$E:$E,'Barang Keluar'!$A:$A,M18871,'Barang Keluar'!$C:$C,N18871))</f>
        <v>0</v>
      </c>
    </row>
    <row r="18872" spans="13:16">
      <c r="M18872" s="49">
        <f>IF($A$4+188&gt;$B$4,"",$A$4+188)</f>
        <v>46211</v>
      </c>
      <c r="N18872">
        <f>IF(M18872="","",'Master Barang'!A66)</f>
        <v>0</v>
      </c>
      <c r="O18872">
        <f>IF(N18872="","",'Master Barang'!B66)</f>
        <v>0</v>
      </c>
      <c r="P18872">
        <f>IF(OR(M18872="",N18872=""),"",SUMIFS('Barang Keluar'!$E:$E,'Barang Keluar'!$A:$A,M18872,'Barang Keluar'!$C:$C,N18872))</f>
        <v>0</v>
      </c>
    </row>
    <row r="18873" spans="13:16">
      <c r="M18873" s="49">
        <f>IF($A$4+188&gt;$B$4,"",$A$4+188)</f>
        <v>46211</v>
      </c>
      <c r="N18873">
        <f>IF(M18873="","",'Master Barang'!A67)</f>
        <v>0</v>
      </c>
      <c r="O18873">
        <f>IF(N18873="","",'Master Barang'!B67)</f>
        <v>0</v>
      </c>
      <c r="P18873">
        <f>IF(OR(M18873="",N18873=""),"",SUMIFS('Barang Keluar'!$E:$E,'Barang Keluar'!$A:$A,M18873,'Barang Keluar'!$C:$C,N18873))</f>
        <v>0</v>
      </c>
    </row>
    <row r="18874" spans="13:16">
      <c r="M18874" s="49">
        <f>IF($A$4+188&gt;$B$4,"",$A$4+188)</f>
        <v>46211</v>
      </c>
      <c r="N18874">
        <f>IF(M18874="","",'Master Barang'!A68)</f>
        <v>0</v>
      </c>
      <c r="O18874">
        <f>IF(N18874="","",'Master Barang'!B68)</f>
        <v>0</v>
      </c>
      <c r="P18874">
        <f>IF(OR(M18874="",N18874=""),"",SUMIFS('Barang Keluar'!$E:$E,'Barang Keluar'!$A:$A,M18874,'Barang Keluar'!$C:$C,N18874))</f>
        <v>0</v>
      </c>
    </row>
    <row r="18875" spans="13:16">
      <c r="M18875" s="49">
        <f>IF($A$4+188&gt;$B$4,"",$A$4+188)</f>
        <v>46211</v>
      </c>
      <c r="N18875">
        <f>IF(M18875="","",'Master Barang'!A69)</f>
        <v>0</v>
      </c>
      <c r="O18875">
        <f>IF(N18875="","",'Master Barang'!B69)</f>
        <v>0</v>
      </c>
      <c r="P18875">
        <f>IF(OR(M18875="",N18875=""),"",SUMIFS('Barang Keluar'!$E:$E,'Barang Keluar'!$A:$A,M18875,'Barang Keluar'!$C:$C,N18875))</f>
        <v>0</v>
      </c>
    </row>
    <row r="18876" spans="13:16">
      <c r="M18876" s="49">
        <f>IF($A$4+188&gt;$B$4,"",$A$4+188)</f>
        <v>46211</v>
      </c>
      <c r="N18876">
        <f>IF(M18876="","",'Master Barang'!A70)</f>
        <v>0</v>
      </c>
      <c r="O18876">
        <f>IF(N18876="","",'Master Barang'!B70)</f>
        <v>0</v>
      </c>
      <c r="P18876">
        <f>IF(OR(M18876="",N18876=""),"",SUMIFS('Barang Keluar'!$E:$E,'Barang Keluar'!$A:$A,M18876,'Barang Keluar'!$C:$C,N18876))</f>
        <v>0</v>
      </c>
    </row>
    <row r="18877" spans="13:16">
      <c r="M18877" s="49">
        <f>IF($A$4+188&gt;$B$4,"",$A$4+188)</f>
        <v>46211</v>
      </c>
      <c r="N18877">
        <f>IF(M18877="","",'Master Barang'!A71)</f>
        <v>0</v>
      </c>
      <c r="O18877">
        <f>IF(N18877="","",'Master Barang'!B71)</f>
        <v>0</v>
      </c>
      <c r="P18877">
        <f>IF(OR(M18877="",N18877=""),"",SUMIFS('Barang Keluar'!$E:$E,'Barang Keluar'!$A:$A,M18877,'Barang Keluar'!$C:$C,N18877))</f>
        <v>0</v>
      </c>
    </row>
    <row r="18878" spans="13:16">
      <c r="M18878" s="49">
        <f>IF($A$4+188&gt;$B$4,"",$A$4+188)</f>
        <v>46211</v>
      </c>
      <c r="N18878">
        <f>IF(M18878="","",'Master Barang'!A72)</f>
        <v>0</v>
      </c>
      <c r="O18878">
        <f>IF(N18878="","",'Master Barang'!B72)</f>
        <v>0</v>
      </c>
      <c r="P18878">
        <f>IF(OR(M18878="",N18878=""),"",SUMIFS('Barang Keluar'!$E:$E,'Barang Keluar'!$A:$A,M18878,'Barang Keluar'!$C:$C,N18878))</f>
        <v>0</v>
      </c>
    </row>
    <row r="18879" spans="13:16">
      <c r="M18879" s="49">
        <f>IF($A$4+188&gt;$B$4,"",$A$4+188)</f>
        <v>46211</v>
      </c>
      <c r="N18879">
        <f>IF(M18879="","",'Master Barang'!A73)</f>
        <v>0</v>
      </c>
      <c r="O18879">
        <f>IF(N18879="","",'Master Barang'!B73)</f>
        <v>0</v>
      </c>
      <c r="P18879">
        <f>IF(OR(M18879="",N18879=""),"",SUMIFS('Barang Keluar'!$E:$E,'Barang Keluar'!$A:$A,M18879,'Barang Keluar'!$C:$C,N18879))</f>
        <v>0</v>
      </c>
    </row>
    <row r="18880" spans="13:16">
      <c r="M18880" s="49">
        <f>IF($A$4+188&gt;$B$4,"",$A$4+188)</f>
        <v>46211</v>
      </c>
      <c r="N18880">
        <f>IF(M18880="","",'Master Barang'!A74)</f>
        <v>0</v>
      </c>
      <c r="O18880">
        <f>IF(N18880="","",'Master Barang'!B74)</f>
        <v>0</v>
      </c>
      <c r="P18880">
        <f>IF(OR(M18880="",N18880=""),"",SUMIFS('Barang Keluar'!$E:$E,'Barang Keluar'!$A:$A,M18880,'Barang Keluar'!$C:$C,N18880))</f>
        <v>0</v>
      </c>
    </row>
    <row r="18881" spans="13:16">
      <c r="M18881" s="49">
        <f>IF($A$4+188&gt;$B$4,"",$A$4+188)</f>
        <v>46211</v>
      </c>
      <c r="N18881">
        <f>IF(M18881="","",'Master Barang'!A75)</f>
        <v>0</v>
      </c>
      <c r="O18881">
        <f>IF(N18881="","",'Master Barang'!B75)</f>
        <v>0</v>
      </c>
      <c r="P18881">
        <f>IF(OR(M18881="",N18881=""),"",SUMIFS('Barang Keluar'!$E:$E,'Barang Keluar'!$A:$A,M18881,'Barang Keluar'!$C:$C,N18881))</f>
        <v>0</v>
      </c>
    </row>
    <row r="18882" spans="13:16">
      <c r="M18882" s="49">
        <f>IF($A$4+188&gt;$B$4,"",$A$4+188)</f>
        <v>46211</v>
      </c>
      <c r="N18882">
        <f>IF(M18882="","",'Master Barang'!A76)</f>
        <v>0</v>
      </c>
      <c r="O18882">
        <f>IF(N18882="","",'Master Barang'!B76)</f>
        <v>0</v>
      </c>
      <c r="P18882">
        <f>IF(OR(M18882="",N18882=""),"",SUMIFS('Barang Keluar'!$E:$E,'Barang Keluar'!$A:$A,M18882,'Barang Keluar'!$C:$C,N18882))</f>
        <v>0</v>
      </c>
    </row>
    <row r="18883" spans="13:16">
      <c r="M18883" s="49">
        <f>IF($A$4+188&gt;$B$4,"",$A$4+188)</f>
        <v>46211</v>
      </c>
      <c r="N18883">
        <f>IF(M18883="","",'Master Barang'!A77)</f>
        <v>0</v>
      </c>
      <c r="O18883">
        <f>IF(N18883="","",'Master Barang'!B77)</f>
        <v>0</v>
      </c>
      <c r="P18883">
        <f>IF(OR(M18883="",N18883=""),"",SUMIFS('Barang Keluar'!$E:$E,'Barang Keluar'!$A:$A,M18883,'Barang Keluar'!$C:$C,N18883))</f>
        <v>0</v>
      </c>
    </row>
    <row r="18884" spans="13:16">
      <c r="M18884" s="49">
        <f>IF($A$4+188&gt;$B$4,"",$A$4+188)</f>
        <v>46211</v>
      </c>
      <c r="N18884">
        <f>IF(M18884="","",'Master Barang'!A78)</f>
        <v>0</v>
      </c>
      <c r="O18884">
        <f>IF(N18884="","",'Master Barang'!B78)</f>
        <v>0</v>
      </c>
      <c r="P18884">
        <f>IF(OR(M18884="",N18884=""),"",SUMIFS('Barang Keluar'!$E:$E,'Barang Keluar'!$A:$A,M18884,'Barang Keluar'!$C:$C,N18884))</f>
        <v>0</v>
      </c>
    </row>
    <row r="18885" spans="13:16">
      <c r="M18885" s="49">
        <f>IF($A$4+188&gt;$B$4,"",$A$4+188)</f>
        <v>46211</v>
      </c>
      <c r="N18885">
        <f>IF(M18885="","",'Master Barang'!A79)</f>
        <v>0</v>
      </c>
      <c r="O18885">
        <f>IF(N18885="","",'Master Barang'!B79)</f>
        <v>0</v>
      </c>
      <c r="P18885">
        <f>IF(OR(M18885="",N18885=""),"",SUMIFS('Barang Keluar'!$E:$E,'Barang Keluar'!$A:$A,M18885,'Barang Keluar'!$C:$C,N18885))</f>
        <v>0</v>
      </c>
    </row>
    <row r="18886" spans="13:16">
      <c r="M18886" s="49">
        <f>IF($A$4+188&gt;$B$4,"",$A$4+188)</f>
        <v>46211</v>
      </c>
      <c r="N18886">
        <f>IF(M18886="","",'Master Barang'!A80)</f>
        <v>0</v>
      </c>
      <c r="O18886">
        <f>IF(N18886="","",'Master Barang'!B80)</f>
        <v>0</v>
      </c>
      <c r="P18886">
        <f>IF(OR(M18886="",N18886=""),"",SUMIFS('Barang Keluar'!$E:$E,'Barang Keluar'!$A:$A,M18886,'Barang Keluar'!$C:$C,N18886))</f>
        <v>0</v>
      </c>
    </row>
    <row r="18887" spans="13:16">
      <c r="M18887" s="49">
        <f>IF($A$4+188&gt;$B$4,"",$A$4+188)</f>
        <v>46211</v>
      </c>
      <c r="N18887">
        <f>IF(M18887="","",'Master Barang'!A81)</f>
        <v>0</v>
      </c>
      <c r="O18887">
        <f>IF(N18887="","",'Master Barang'!B81)</f>
        <v>0</v>
      </c>
      <c r="P18887">
        <f>IF(OR(M18887="",N18887=""),"",SUMIFS('Barang Keluar'!$E:$E,'Barang Keluar'!$A:$A,M18887,'Barang Keluar'!$C:$C,N18887))</f>
        <v>0</v>
      </c>
    </row>
    <row r="18888" spans="13:16">
      <c r="M18888" s="49">
        <f>IF($A$4+188&gt;$B$4,"",$A$4+188)</f>
        <v>46211</v>
      </c>
      <c r="N18888">
        <f>IF(M18888="","",'Master Barang'!A82)</f>
        <v>0</v>
      </c>
      <c r="O18888">
        <f>IF(N18888="","",'Master Barang'!B82)</f>
        <v>0</v>
      </c>
      <c r="P18888">
        <f>IF(OR(M18888="",N18888=""),"",SUMIFS('Barang Keluar'!$E:$E,'Barang Keluar'!$A:$A,M18888,'Barang Keluar'!$C:$C,N18888))</f>
        <v>0</v>
      </c>
    </row>
    <row r="18889" spans="13:16">
      <c r="M18889" s="49">
        <f>IF($A$4+188&gt;$B$4,"",$A$4+188)</f>
        <v>46211</v>
      </c>
      <c r="N18889">
        <f>IF(M18889="","",'Master Barang'!A83)</f>
        <v>0</v>
      </c>
      <c r="O18889">
        <f>IF(N18889="","",'Master Barang'!B83)</f>
        <v>0</v>
      </c>
      <c r="P18889">
        <f>IF(OR(M18889="",N18889=""),"",SUMIFS('Barang Keluar'!$E:$E,'Barang Keluar'!$A:$A,M18889,'Barang Keluar'!$C:$C,N18889))</f>
        <v>0</v>
      </c>
    </row>
    <row r="18890" spans="13:16">
      <c r="M18890" s="49">
        <f>IF($A$4+188&gt;$B$4,"",$A$4+188)</f>
        <v>46211</v>
      </c>
      <c r="N18890">
        <f>IF(M18890="","",'Master Barang'!A84)</f>
        <v>0</v>
      </c>
      <c r="O18890">
        <f>IF(N18890="","",'Master Barang'!B84)</f>
        <v>0</v>
      </c>
      <c r="P18890">
        <f>IF(OR(M18890="",N18890=""),"",SUMIFS('Barang Keluar'!$E:$E,'Barang Keluar'!$A:$A,M18890,'Barang Keluar'!$C:$C,N18890))</f>
        <v>0</v>
      </c>
    </row>
    <row r="18891" spans="13:16">
      <c r="M18891" s="49">
        <f>IF($A$4+188&gt;$B$4,"",$A$4+188)</f>
        <v>46211</v>
      </c>
      <c r="N18891">
        <f>IF(M18891="","",'Master Barang'!A85)</f>
        <v>0</v>
      </c>
      <c r="O18891">
        <f>IF(N18891="","",'Master Barang'!B85)</f>
        <v>0</v>
      </c>
      <c r="P18891">
        <f>IF(OR(M18891="",N18891=""),"",SUMIFS('Barang Keluar'!$E:$E,'Barang Keluar'!$A:$A,M18891,'Barang Keluar'!$C:$C,N18891))</f>
        <v>0</v>
      </c>
    </row>
    <row r="18892" spans="13:16">
      <c r="M18892" s="49">
        <f>IF($A$4+188&gt;$B$4,"",$A$4+188)</f>
        <v>46211</v>
      </c>
      <c r="N18892">
        <f>IF(M18892="","",'Master Barang'!A86)</f>
        <v>0</v>
      </c>
      <c r="O18892">
        <f>IF(N18892="","",'Master Barang'!B86)</f>
        <v>0</v>
      </c>
      <c r="P18892">
        <f>IF(OR(M18892="",N18892=""),"",SUMIFS('Barang Keluar'!$E:$E,'Barang Keluar'!$A:$A,M18892,'Barang Keluar'!$C:$C,N18892))</f>
        <v>0</v>
      </c>
    </row>
    <row r="18893" spans="13:16">
      <c r="M18893" s="49">
        <f>IF($A$4+188&gt;$B$4,"",$A$4+188)</f>
        <v>46211</v>
      </c>
      <c r="N18893">
        <f>IF(M18893="","",'Master Barang'!A87)</f>
        <v>0</v>
      </c>
      <c r="O18893">
        <f>IF(N18893="","",'Master Barang'!B87)</f>
        <v>0</v>
      </c>
      <c r="P18893">
        <f>IF(OR(M18893="",N18893=""),"",SUMIFS('Barang Keluar'!$E:$E,'Barang Keluar'!$A:$A,M18893,'Barang Keluar'!$C:$C,N18893))</f>
        <v>0</v>
      </c>
    </row>
    <row r="18894" spans="13:16">
      <c r="M18894" s="49">
        <f>IF($A$4+188&gt;$B$4,"",$A$4+188)</f>
        <v>46211</v>
      </c>
      <c r="N18894">
        <f>IF(M18894="","",'Master Barang'!A88)</f>
        <v>0</v>
      </c>
      <c r="O18894">
        <f>IF(N18894="","",'Master Barang'!B88)</f>
        <v>0</v>
      </c>
      <c r="P18894">
        <f>IF(OR(M18894="",N18894=""),"",SUMIFS('Barang Keluar'!$E:$E,'Barang Keluar'!$A:$A,M18894,'Barang Keluar'!$C:$C,N18894))</f>
        <v>0</v>
      </c>
    </row>
    <row r="18895" spans="13:16">
      <c r="M18895" s="49">
        <f>IF($A$4+188&gt;$B$4,"",$A$4+188)</f>
        <v>46211</v>
      </c>
      <c r="N18895">
        <f>IF(M18895="","",'Master Barang'!A89)</f>
        <v>0</v>
      </c>
      <c r="O18895">
        <f>IF(N18895="","",'Master Barang'!B89)</f>
        <v>0</v>
      </c>
      <c r="P18895">
        <f>IF(OR(M18895="",N18895=""),"",SUMIFS('Barang Keluar'!$E:$E,'Barang Keluar'!$A:$A,M18895,'Barang Keluar'!$C:$C,N18895))</f>
        <v>0</v>
      </c>
    </row>
    <row r="18896" spans="13:16">
      <c r="M18896" s="49">
        <f>IF($A$4+188&gt;$B$4,"",$A$4+188)</f>
        <v>46211</v>
      </c>
      <c r="N18896">
        <f>IF(M18896="","",'Master Barang'!A90)</f>
        <v>0</v>
      </c>
      <c r="O18896">
        <f>IF(N18896="","",'Master Barang'!B90)</f>
        <v>0</v>
      </c>
      <c r="P18896">
        <f>IF(OR(M18896="",N18896=""),"",SUMIFS('Barang Keluar'!$E:$E,'Barang Keluar'!$A:$A,M18896,'Barang Keluar'!$C:$C,N18896))</f>
        <v>0</v>
      </c>
    </row>
    <row r="18897" spans="13:16">
      <c r="M18897" s="49">
        <f>IF($A$4+188&gt;$B$4,"",$A$4+188)</f>
        <v>46211</v>
      </c>
      <c r="N18897">
        <f>IF(M18897="","",'Master Barang'!A91)</f>
        <v>0</v>
      </c>
      <c r="O18897">
        <f>IF(N18897="","",'Master Barang'!B91)</f>
        <v>0</v>
      </c>
      <c r="P18897">
        <f>IF(OR(M18897="",N18897=""),"",SUMIFS('Barang Keluar'!$E:$E,'Barang Keluar'!$A:$A,M18897,'Barang Keluar'!$C:$C,N18897))</f>
        <v>0</v>
      </c>
    </row>
    <row r="18898" spans="13:16">
      <c r="M18898" s="49">
        <f>IF($A$4+188&gt;$B$4,"",$A$4+188)</f>
        <v>46211</v>
      </c>
      <c r="N18898">
        <f>IF(M18898="","",'Master Barang'!A92)</f>
        <v>0</v>
      </c>
      <c r="O18898">
        <f>IF(N18898="","",'Master Barang'!B92)</f>
        <v>0</v>
      </c>
      <c r="P18898">
        <f>IF(OR(M18898="",N18898=""),"",SUMIFS('Barang Keluar'!$E:$E,'Barang Keluar'!$A:$A,M18898,'Barang Keluar'!$C:$C,N18898))</f>
        <v>0</v>
      </c>
    </row>
    <row r="18899" spans="13:16">
      <c r="M18899" s="49">
        <f>IF($A$4+188&gt;$B$4,"",$A$4+188)</f>
        <v>46211</v>
      </c>
      <c r="N18899">
        <f>IF(M18899="","",'Master Barang'!A93)</f>
        <v>0</v>
      </c>
      <c r="O18899">
        <f>IF(N18899="","",'Master Barang'!B93)</f>
        <v>0</v>
      </c>
      <c r="P18899">
        <f>IF(OR(M18899="",N18899=""),"",SUMIFS('Barang Keluar'!$E:$E,'Barang Keluar'!$A:$A,M18899,'Barang Keluar'!$C:$C,N18899))</f>
        <v>0</v>
      </c>
    </row>
    <row r="18900" spans="13:16">
      <c r="M18900" s="49">
        <f>IF($A$4+188&gt;$B$4,"",$A$4+188)</f>
        <v>46211</v>
      </c>
      <c r="N18900">
        <f>IF(M18900="","",'Master Barang'!A94)</f>
        <v>0</v>
      </c>
      <c r="O18900">
        <f>IF(N18900="","",'Master Barang'!B94)</f>
        <v>0</v>
      </c>
      <c r="P18900">
        <f>IF(OR(M18900="",N18900=""),"",SUMIFS('Barang Keluar'!$E:$E,'Barang Keluar'!$A:$A,M18900,'Barang Keluar'!$C:$C,N18900))</f>
        <v>0</v>
      </c>
    </row>
    <row r="18901" spans="13:16">
      <c r="M18901" s="49">
        <f>IF($A$4+188&gt;$B$4,"",$A$4+188)</f>
        <v>46211</v>
      </c>
      <c r="N18901">
        <f>IF(M18901="","",'Master Barang'!A95)</f>
        <v>0</v>
      </c>
      <c r="O18901">
        <f>IF(N18901="","",'Master Barang'!B95)</f>
        <v>0</v>
      </c>
      <c r="P18901">
        <f>IF(OR(M18901="",N18901=""),"",SUMIFS('Barang Keluar'!$E:$E,'Barang Keluar'!$A:$A,M18901,'Barang Keluar'!$C:$C,N18901))</f>
        <v>0</v>
      </c>
    </row>
    <row r="18902" spans="13:16">
      <c r="M18902" s="49">
        <f>IF($A$4+188&gt;$B$4,"",$A$4+188)</f>
        <v>46211</v>
      </c>
      <c r="N18902">
        <f>IF(M18902="","",'Master Barang'!A96)</f>
        <v>0</v>
      </c>
      <c r="O18902">
        <f>IF(N18902="","",'Master Barang'!B96)</f>
        <v>0</v>
      </c>
      <c r="P18902">
        <f>IF(OR(M18902="",N18902=""),"",SUMIFS('Barang Keluar'!$E:$E,'Barang Keluar'!$A:$A,M18902,'Barang Keluar'!$C:$C,N18902))</f>
        <v>0</v>
      </c>
    </row>
    <row r="18903" spans="13:16">
      <c r="M18903" s="49">
        <f>IF($A$4+188&gt;$B$4,"",$A$4+188)</f>
        <v>46211</v>
      </c>
      <c r="N18903">
        <f>IF(M18903="","",'Master Barang'!A97)</f>
        <v>0</v>
      </c>
      <c r="O18903">
        <f>IF(N18903="","",'Master Barang'!B97)</f>
        <v>0</v>
      </c>
      <c r="P18903">
        <f>IF(OR(M18903="",N18903=""),"",SUMIFS('Barang Keluar'!$E:$E,'Barang Keluar'!$A:$A,M18903,'Barang Keluar'!$C:$C,N18903))</f>
        <v>0</v>
      </c>
    </row>
    <row r="18904" spans="13:16">
      <c r="M18904" s="49">
        <f>IF($A$4+188&gt;$B$4,"",$A$4+188)</f>
        <v>46211</v>
      </c>
      <c r="N18904">
        <f>IF(M18904="","",'Master Barang'!A98)</f>
        <v>0</v>
      </c>
      <c r="O18904">
        <f>IF(N18904="","",'Master Barang'!B98)</f>
        <v>0</v>
      </c>
      <c r="P18904">
        <f>IF(OR(M18904="",N18904=""),"",SUMIFS('Barang Keluar'!$E:$E,'Barang Keluar'!$A:$A,M18904,'Barang Keluar'!$C:$C,N18904))</f>
        <v>0</v>
      </c>
    </row>
    <row r="18905" spans="13:16">
      <c r="M18905" s="49">
        <f>IF($A$4+188&gt;$B$4,"",$A$4+188)</f>
        <v>46211</v>
      </c>
      <c r="N18905">
        <f>IF(M18905="","",'Master Barang'!A99)</f>
        <v>0</v>
      </c>
      <c r="O18905">
        <f>IF(N18905="","",'Master Barang'!B99)</f>
        <v>0</v>
      </c>
      <c r="P18905">
        <f>IF(OR(M18905="",N18905=""),"",SUMIFS('Barang Keluar'!$E:$E,'Barang Keluar'!$A:$A,M18905,'Barang Keluar'!$C:$C,N18905))</f>
        <v>0</v>
      </c>
    </row>
    <row r="18906" spans="13:16">
      <c r="M18906" s="49">
        <f>IF($A$4+188&gt;$B$4,"",$A$4+188)</f>
        <v>46211</v>
      </c>
      <c r="N18906">
        <f>IF(M18906="","",'Master Barang'!A100)</f>
        <v>0</v>
      </c>
      <c r="O18906">
        <f>IF(N18906="","",'Master Barang'!B100)</f>
        <v>0</v>
      </c>
      <c r="P18906">
        <f>IF(OR(M18906="",N18906=""),"",SUMIFS('Barang Keluar'!$E:$E,'Barang Keluar'!$A:$A,M18906,'Barang Keluar'!$C:$C,N18906))</f>
        <v>0</v>
      </c>
    </row>
    <row r="18907" spans="13:16">
      <c r="M18907" s="49">
        <f>IF($A$4+188&gt;$B$4,"",$A$4+188)</f>
        <v>46211</v>
      </c>
      <c r="N18907">
        <f>IF(M18907="","",'Master Barang'!A101)</f>
        <v>0</v>
      </c>
      <c r="O18907">
        <f>IF(N18907="","",'Master Barang'!B101)</f>
        <v>0</v>
      </c>
      <c r="P18907">
        <f>IF(OR(M18907="",N18907=""),"",SUMIFS('Barang Keluar'!$E:$E,'Barang Keluar'!$A:$A,M18907,'Barang Keluar'!$C:$C,N18907))</f>
        <v>0</v>
      </c>
    </row>
    <row r="18908" spans="13:16">
      <c r="M18908" s="49">
        <f>IF($A$4+189&gt;$B$4,"",$A$4+189)</f>
        <v>46212</v>
      </c>
      <c r="N18908" t="str">
        <f>IF(M18908="","",'Master Barang'!A2)</f>
        <v>PRL-001</v>
      </c>
      <c r="O18908" t="str">
        <f>IF(N18908="","",'Master Barang'!B2)</f>
        <v>natura desinfectant food grade 5l</v>
      </c>
      <c r="P18908">
        <f>IF(OR(M18908="",N18908=""),"",SUMIFS('Barang Keluar'!$E:$E,'Barang Keluar'!$A:$A,M18908,'Barang Keluar'!$C:$C,N18908))</f>
        <v>0</v>
      </c>
    </row>
    <row r="18909" spans="13:16">
      <c r="M18909" s="49">
        <f>IF($A$4+189&gt;$B$4,"",$A$4+189)</f>
        <v>46212</v>
      </c>
      <c r="N18909" t="str">
        <f>IF(M18909="","",'Master Barang'!A3)</f>
        <v>PRL-002</v>
      </c>
      <c r="O18909" t="str">
        <f>IF(N18909="","",'Master Barang'!B3)</f>
        <v>sunlight cairan pencuci piring 5l</v>
      </c>
      <c r="P18909">
        <f>IF(OR(M18909="",N18909=""),"",SUMIFS('Barang Keluar'!$E:$E,'Barang Keluar'!$A:$A,M18909,'Barang Keluar'!$C:$C,N18909))</f>
        <v>0</v>
      </c>
    </row>
    <row r="18910" spans="13:16">
      <c r="M18910" s="49">
        <f>IF($A$4+189&gt;$B$4,"",$A$4+189)</f>
        <v>46212</v>
      </c>
      <c r="N18910" t="str">
        <f>IF(M18910="","",'Master Barang'!A4)</f>
        <v>PRL-003</v>
      </c>
      <c r="O18910" t="str">
        <f>IF(N18910="","",'Master Barang'!B4)</f>
        <v>oixs cleaner 1l</v>
      </c>
      <c r="P18910">
        <f>IF(OR(M18910="",N18910=""),"",SUMIFS('Barang Keluar'!$E:$E,'Barang Keluar'!$A:$A,M18910,'Barang Keluar'!$C:$C,N18910))</f>
        <v>0</v>
      </c>
    </row>
    <row r="18911" spans="13:16">
      <c r="M18911" s="49">
        <f>IF($A$4+189&gt;$B$4,"",$A$4+189)</f>
        <v>46212</v>
      </c>
      <c r="N18911" t="str">
        <f>IF(M18911="","",'Master Barang'!A5)</f>
        <v>PRL-004</v>
      </c>
      <c r="O18911" t="str">
        <f>IF(N18911="","",'Master Barang'!B5)</f>
        <v>be clean tissue serbaguna</v>
      </c>
      <c r="P18911">
        <f>IF(OR(M18911="",N18911=""),"",SUMIFS('Barang Keluar'!$E:$E,'Barang Keluar'!$A:$A,M18911,'Barang Keluar'!$C:$C,N18911))</f>
        <v>0</v>
      </c>
    </row>
    <row r="18912" spans="13:16">
      <c r="M18912" s="49">
        <f>IF($A$4+189&gt;$B$4,"",$A$4+189)</f>
        <v>46212</v>
      </c>
      <c r="N18912" t="str">
        <f>IF(M18912="","",'Master Barang'!A6)</f>
        <v>PRL-005</v>
      </c>
      <c r="O18912" t="str">
        <f>IF(N18912="","",'Master Barang'!B6)</f>
        <v>spons cuci hijau</v>
      </c>
      <c r="P18912">
        <f>IF(OR(M18912="",N18912=""),"",SUMIFS('Barang Keluar'!$E:$E,'Barang Keluar'!$A:$A,M18912,'Barang Keluar'!$C:$C,N18912))</f>
        <v>0</v>
      </c>
    </row>
    <row r="18913" spans="13:16">
      <c r="M18913" s="49">
        <f>IF($A$4+189&gt;$B$4,"",$A$4+189)</f>
        <v>46212</v>
      </c>
      <c r="N18913" t="str">
        <f>IF(M18913="","",'Master Barang'!A7)</f>
        <v>PRL-006</v>
      </c>
      <c r="O18913" t="str">
        <f>IF(N18913="","",'Master Barang'!B7)</f>
        <v>sabut cuci stainless</v>
      </c>
      <c r="P18913">
        <f>IF(OR(M18913="",N18913=""),"",SUMIFS('Barang Keluar'!$E:$E,'Barang Keluar'!$A:$A,M18913,'Barang Keluar'!$C:$C,N18913))</f>
        <v>0</v>
      </c>
    </row>
    <row r="18914" spans="13:16">
      <c r="M18914" s="49">
        <f>IF($A$4+189&gt;$B$4,"",$A$4+189)</f>
        <v>46212</v>
      </c>
      <c r="N18914" t="str">
        <f>IF(M18914="","",'Master Barang'!A8)</f>
        <v>PRL-007</v>
      </c>
      <c r="O18914" t="str">
        <f>IF(N18914="","",'Master Barang'!B8)</f>
        <v>plastik kresek besar merah 50pc</v>
      </c>
      <c r="P18914">
        <f>IF(OR(M18914="",N18914=""),"",SUMIFS('Barang Keluar'!$E:$E,'Barang Keluar'!$A:$A,M18914,'Barang Keluar'!$C:$C,N18914))</f>
        <v>0</v>
      </c>
    </row>
    <row r="18915" spans="13:16">
      <c r="M18915" s="49">
        <f>IF($A$4+189&gt;$B$4,"",$A$4+189)</f>
        <v>46212</v>
      </c>
      <c r="N18915" t="str">
        <f>IF(M18915="","",'Master Barang'!A9)</f>
        <v>PRL-008</v>
      </c>
      <c r="O18915" t="str">
        <f>IF(N18915="","",'Master Barang'!B9)</f>
        <v>lap besar</v>
      </c>
      <c r="P18915">
        <f>IF(OR(M18915="",N18915=""),"",SUMIFS('Barang Keluar'!$E:$E,'Barang Keluar'!$A:$A,M18915,'Barang Keluar'!$C:$C,N18915))</f>
        <v>0</v>
      </c>
    </row>
    <row r="18916" spans="13:16">
      <c r="M18916" s="49">
        <f>IF($A$4+189&gt;$B$4,"",$A$4+189)</f>
        <v>46212</v>
      </c>
      <c r="N18916" t="str">
        <f>IF(M18916="","",'Master Barang'!A10)</f>
        <v>PRL-009</v>
      </c>
      <c r="O18916" t="str">
        <f>IF(N18916="","",'Master Barang'!B10)</f>
        <v>lap microfiber</v>
      </c>
      <c r="P18916">
        <f>IF(OR(M18916="",N18916=""),"",SUMIFS('Barang Keluar'!$E:$E,'Barang Keluar'!$A:$A,M18916,'Barang Keluar'!$C:$C,N18916))</f>
        <v>0</v>
      </c>
    </row>
    <row r="18917" spans="13:16">
      <c r="M18917" s="49">
        <f>IF($A$4+189&gt;$B$4,"",$A$4+189)</f>
        <v>46212</v>
      </c>
      <c r="N18917" t="str">
        <f>IF(M18917="","",'Master Barang'!A11)</f>
        <v>PRL-010</v>
      </c>
      <c r="O18917" t="str">
        <f>IF(N18917="","",'Master Barang'!B11)</f>
        <v>lap kecil</v>
      </c>
      <c r="P18917">
        <f>IF(OR(M18917="",N18917=""),"",SUMIFS('Barang Keluar'!$E:$E,'Barang Keluar'!$A:$A,M18917,'Barang Keluar'!$C:$C,N18917))</f>
        <v>0</v>
      </c>
    </row>
    <row r="18918" spans="13:16">
      <c r="M18918" s="49">
        <f>IF($A$4+189&gt;$B$4,"",$A$4+189)</f>
        <v>46212</v>
      </c>
      <c r="N18918" t="str">
        <f>IF(M18918="","",'Master Barang'!A12)</f>
        <v>PRL-011</v>
      </c>
      <c r="O18918" t="str">
        <f>IF(N18918="","",'Master Barang'!B12)</f>
        <v>kanebo kecil</v>
      </c>
      <c r="P18918">
        <f>IF(OR(M18918="",N18918=""),"",SUMIFS('Barang Keluar'!$E:$E,'Barang Keluar'!$A:$A,M18918,'Barang Keluar'!$C:$C,N18918))</f>
        <v>0</v>
      </c>
    </row>
    <row r="18919" spans="13:16">
      <c r="M18919" s="49">
        <f>IF($A$4+189&gt;$B$4,"",$A$4+189)</f>
        <v>46212</v>
      </c>
      <c r="N18919" t="str">
        <f>IF(M18919="","",'Master Barang'!A13)</f>
        <v>PRL-012</v>
      </c>
      <c r="O18919" t="str">
        <f>IF(N18919="","",'Master Barang'!B13)</f>
        <v>plastik 1/4kg joyoboyo 100 lembar</v>
      </c>
      <c r="P18919">
        <f>IF(OR(M18919="",N18919=""),"",SUMIFS('Barang Keluar'!$E:$E,'Barang Keluar'!$A:$A,M18919,'Barang Keluar'!$C:$C,N18919))</f>
        <v>0</v>
      </c>
    </row>
    <row r="18920" spans="13:16">
      <c r="M18920" s="49">
        <f>IF($A$4+189&gt;$B$4,"",$A$4+189)</f>
        <v>46212</v>
      </c>
      <c r="N18920" t="str">
        <f>IF(M18920="","",'Master Barang'!A14)</f>
        <v>PRL-013</v>
      </c>
      <c r="O18920" t="str">
        <f>IF(N18920="","",'Master Barang'!B14)</f>
        <v>sarung tangan plastik kaka 100 pcs</v>
      </c>
      <c r="P18920">
        <f>IF(OR(M18920="",N18920=""),"",SUMIFS('Barang Keluar'!$E:$E,'Barang Keluar'!$A:$A,M18920,'Barang Keluar'!$C:$C,N18920))</f>
        <v>0</v>
      </c>
    </row>
    <row r="18921" spans="13:16">
      <c r="M18921" s="49">
        <f>IF($A$4+189&gt;$B$4,"",$A$4+189)</f>
        <v>46212</v>
      </c>
      <c r="N18921" t="str">
        <f>IF(M18921="","",'Master Barang'!A15)</f>
        <v>PRL-014</v>
      </c>
      <c r="O18921" t="str">
        <f>IF(N18921="","",'Master Barang'!B15)</f>
        <v>optima trashbag 80x100</v>
      </c>
      <c r="P18921">
        <f>IF(OR(M18921="",N18921=""),"",SUMIFS('Barang Keluar'!$E:$E,'Barang Keluar'!$A:$A,M18921,'Barang Keluar'!$C:$C,N18921))</f>
        <v>0</v>
      </c>
    </row>
    <row r="18922" spans="13:16">
      <c r="M18922" s="49">
        <f>IF($A$4+189&gt;$B$4,"",$A$4+189)</f>
        <v>46212</v>
      </c>
      <c r="N18922" t="str">
        <f>IF(M18922="","",'Master Barang'!A16)</f>
        <v>PRL-015</v>
      </c>
      <c r="O18922" t="str">
        <f>IF(N18922="","",'Master Barang'!B16)</f>
        <v>optima trashbag 60x100</v>
      </c>
      <c r="P18922">
        <f>IF(OR(M18922="",N18922=""),"",SUMIFS('Barang Keluar'!$E:$E,'Barang Keluar'!$A:$A,M18922,'Barang Keluar'!$C:$C,N18922))</f>
        <v>0</v>
      </c>
    </row>
    <row r="18923" spans="13:16">
      <c r="M18923" s="49">
        <f>IF($A$4+189&gt;$B$4,"",$A$4+189)</f>
        <v>46212</v>
      </c>
      <c r="N18923" t="str">
        <f>IF(M18923="","",'Master Barang'!A17)</f>
        <v>PRL-016</v>
      </c>
      <c r="O18923" t="str">
        <f>IF(N18923="","",'Master Barang'!B17)</f>
        <v>rajawali trashbag 30x40</v>
      </c>
      <c r="P18923">
        <f>IF(OR(M18923="",N18923=""),"",SUMIFS('Barang Keluar'!$E:$E,'Barang Keluar'!$A:$A,M18923,'Barang Keluar'!$C:$C,N18923))</f>
        <v>0</v>
      </c>
    </row>
    <row r="18924" spans="13:16">
      <c r="M18924" s="49">
        <f>IF($A$4+189&gt;$B$4,"",$A$4+189)</f>
        <v>46212</v>
      </c>
      <c r="N18924" t="str">
        <f>IF(M18924="","",'Master Barang'!A18)</f>
        <v>PRL-017</v>
      </c>
      <c r="O18924" t="str">
        <f>IF(N18924="","",'Master Barang'!B18)</f>
        <v>onemed masker biru 3 play 50 pcs</v>
      </c>
      <c r="P18924">
        <f>IF(OR(M18924="",N18924=""),"",SUMIFS('Barang Keluar'!$E:$E,'Barang Keluar'!$A:$A,M18924,'Barang Keluar'!$C:$C,N18924))</f>
        <v>0</v>
      </c>
    </row>
    <row r="18925" spans="13:16">
      <c r="M18925" s="49">
        <f>IF($A$4+189&gt;$B$4,"",$A$4+189)</f>
        <v>46212</v>
      </c>
      <c r="N18925" t="str">
        <f>IF(M18925="","",'Master Barang'!A19)</f>
        <v>PRL-018</v>
      </c>
      <c r="O18925" t="str">
        <f>IF(N18925="","",'Master Barang'!B19)</f>
        <v>onemed masker biru 3 play hijab 50 pcs</v>
      </c>
      <c r="P18925">
        <f>IF(OR(M18925="",N18925=""),"",SUMIFS('Barang Keluar'!$E:$E,'Barang Keluar'!$A:$A,M18925,'Barang Keluar'!$C:$C,N18925))</f>
        <v>0</v>
      </c>
    </row>
    <row r="18926" spans="13:16">
      <c r="M18926" s="49">
        <f>IF($A$4+189&gt;$B$4,"",$A$4+189)</f>
        <v>46212</v>
      </c>
      <c r="N18926" t="str">
        <f>IF(M18926="","",'Master Barang'!A20)</f>
        <v>PRL-019</v>
      </c>
      <c r="O18926" t="str">
        <f>IF(N18926="","",'Master Barang'!B20)</f>
        <v>neo health masker biru 3 play 50 pcs</v>
      </c>
      <c r="P18926">
        <f>IF(OR(M18926="",N18926=""),"",SUMIFS('Barang Keluar'!$E:$E,'Barang Keluar'!$A:$A,M18926,'Barang Keluar'!$C:$C,N18926))</f>
        <v>0</v>
      </c>
    </row>
    <row r="18927" spans="13:16">
      <c r="M18927" s="49">
        <f>IF($A$4+189&gt;$B$4,"",$A$4+189)</f>
        <v>46212</v>
      </c>
      <c r="N18927" t="str">
        <f>IF(M18927="","",'Master Barang'!A21)</f>
        <v>PRL-020</v>
      </c>
      <c r="O18927" t="str">
        <f>IF(N18927="","",'Master Barang'!B21)</f>
        <v>baymed masker hijau 3 play hijau 50 pcs</v>
      </c>
      <c r="P18927">
        <f>IF(OR(M18927="",N18927=""),"",SUMIFS('Barang Keluar'!$E:$E,'Barang Keluar'!$A:$A,M18927,'Barang Keluar'!$C:$C,N18927))</f>
        <v>0</v>
      </c>
    </row>
    <row r="18928" spans="13:16">
      <c r="M18928" s="49">
        <f>IF($A$4+189&gt;$B$4,"",$A$4+189)</f>
        <v>46212</v>
      </c>
      <c r="N18928" t="str">
        <f>IF(M18928="","",'Master Barang'!A22)</f>
        <v>PRL-021</v>
      </c>
      <c r="O18928" t="str">
        <f>IF(N18928="","",'Master Barang'!B22)</f>
        <v>altamed nurse cap penutup kepala 100 pcs</v>
      </c>
      <c r="P18928">
        <f>IF(OR(M18928="",N18928=""),"",SUMIFS('Barang Keluar'!$E:$E,'Barang Keluar'!$A:$A,M18928,'Barang Keluar'!$C:$C,N18928))</f>
        <v>0</v>
      </c>
    </row>
    <row r="18929" spans="13:16">
      <c r="M18929" s="49">
        <f>IF($A$4+189&gt;$B$4,"",$A$4+189)</f>
        <v>46212</v>
      </c>
      <c r="N18929" t="str">
        <f>IF(M18929="","",'Master Barang'!A23)</f>
        <v>PRL-022</v>
      </c>
      <c r="O18929" t="str">
        <f>IF(N18929="","",'Master Barang'!B23)</f>
        <v>sabun cuci tangan</v>
      </c>
      <c r="P18929">
        <f>IF(OR(M18929="",N18929=""),"",SUMIFS('Barang Keluar'!$E:$E,'Barang Keluar'!$A:$A,M18929,'Barang Keluar'!$C:$C,N18929))</f>
        <v>0</v>
      </c>
    </row>
    <row r="18930" spans="13:16">
      <c r="M18930" s="49">
        <f>IF($A$4+189&gt;$B$4,"",$A$4+189)</f>
        <v>46212</v>
      </c>
      <c r="N18930" t="str">
        <f>IF(M18930="","",'Master Barang'!A24)</f>
        <v>PRL-023</v>
      </c>
      <c r="O18930" t="str">
        <f>IF(N18930="","",'Master Barang'!B24)</f>
        <v>gayung kecil</v>
      </c>
      <c r="P18930">
        <f>IF(OR(M18930="",N18930=""),"",SUMIFS('Barang Keluar'!$E:$E,'Barang Keluar'!$A:$A,M18930,'Barang Keluar'!$C:$C,N18930))</f>
        <v>0</v>
      </c>
    </row>
    <row r="18931" spans="13:16">
      <c r="M18931" s="49">
        <f>IF($A$4+189&gt;$B$4,"",$A$4+189)</f>
        <v>46212</v>
      </c>
      <c r="N18931" t="str">
        <f>IF(M18931="","",'Master Barang'!A25)</f>
        <v>PRL-024</v>
      </c>
      <c r="O18931" t="str">
        <f>IF(N18931="","",'Master Barang'!B25)</f>
        <v>cikrak kecil</v>
      </c>
      <c r="P18931">
        <f>IF(OR(M18931="",N18931=""),"",SUMIFS('Barang Keluar'!$E:$E,'Barang Keluar'!$A:$A,M18931,'Barang Keluar'!$C:$C,N18931))</f>
        <v>0</v>
      </c>
    </row>
    <row r="18932" spans="13:16">
      <c r="M18932" s="49">
        <f>IF($A$4+189&gt;$B$4,"",$A$4+189)</f>
        <v>46212</v>
      </c>
      <c r="N18932" t="str">
        <f>IF(M18932="","",'Master Barang'!A26)</f>
        <v>PRL-025</v>
      </c>
      <c r="O18932" t="str">
        <f>IF(N18932="","",'Master Barang'!B26)</f>
        <v>petromax plastik kecil 12x24 100 lembar</v>
      </c>
      <c r="P18932">
        <f>IF(OR(M18932="",N18932=""),"",SUMIFS('Barang Keluar'!$E:$E,'Barang Keluar'!$A:$A,M18932,'Barang Keluar'!$C:$C,N18932))</f>
        <v>0</v>
      </c>
    </row>
    <row r="18933" spans="13:16">
      <c r="M18933" s="49">
        <f>IF($A$4+189&gt;$B$4,"",$A$4+189)</f>
        <v>46212</v>
      </c>
      <c r="N18933" t="str">
        <f>IF(M18933="","",'Master Barang'!A27)</f>
        <v>PRL-026</v>
      </c>
      <c r="O18933" t="str">
        <f>IF(N18933="","",'Master Barang'!B27)</f>
        <v>lancar kresek kecil bening </v>
      </c>
      <c r="P18933">
        <f>IF(OR(M18933="",N18933=""),"",SUMIFS('Barang Keluar'!$E:$E,'Barang Keluar'!$A:$A,M18933,'Barang Keluar'!$C:$C,N18933))</f>
        <v>0</v>
      </c>
    </row>
    <row r="18934" spans="13:16">
      <c r="M18934" s="49">
        <f>IF($A$4+189&gt;$B$4,"",$A$4+189)</f>
        <v>46212</v>
      </c>
      <c r="N18934" t="str">
        <f>IF(M18934="","",'Master Barang'!A28)</f>
        <v>PRL-027</v>
      </c>
      <c r="O18934" t="str">
        <f>IF(N18934="","",'Master Barang'!B28)</f>
        <v>kresek klin warna warni kecil</v>
      </c>
      <c r="P18934">
        <f>IF(OR(M18934="",N18934=""),"",SUMIFS('Barang Keluar'!$E:$E,'Barang Keluar'!$A:$A,M18934,'Barang Keluar'!$C:$C,N18934))</f>
        <v>0</v>
      </c>
    </row>
    <row r="18935" spans="13:16">
      <c r="M18935" s="49">
        <f>IF($A$4+189&gt;$B$4,"",$A$4+189)</f>
        <v>46212</v>
      </c>
      <c r="N18935" t="str">
        <f>IF(M18935="","",'Master Barang'!A29)</f>
        <v>PRL-028</v>
      </c>
      <c r="O18935" t="str">
        <f>IF(N18935="","",'Master Barang'!B29)</f>
        <v>ctik plastik 7x10 100 pcs</v>
      </c>
      <c r="P18935">
        <f>IF(OR(M18935="",N18935=""),"",SUMIFS('Barang Keluar'!$E:$E,'Barang Keluar'!$A:$A,M18935,'Barang Keluar'!$C:$C,N18935))</f>
        <v>0</v>
      </c>
    </row>
    <row r="18936" spans="13:16">
      <c r="M18936" s="49">
        <f>IF($A$4+189&gt;$B$4,"",$A$4+189)</f>
        <v>46212</v>
      </c>
      <c r="N18936" t="str">
        <f>IF(M18936="","",'Master Barang'!A30)</f>
        <v>PRL-029</v>
      </c>
      <c r="O18936" t="str">
        <f>IF(N18936="","",'Master Barang'!B30)</f>
        <v>ctik plastik 6x10 100 pcs</v>
      </c>
      <c r="P18936">
        <f>IF(OR(M18936="",N18936=""),"",SUMIFS('Barang Keluar'!$E:$E,'Barang Keluar'!$A:$A,M18936,'Barang Keluar'!$C:$C,N18936))</f>
        <v>0</v>
      </c>
    </row>
    <row r="18937" spans="13:16">
      <c r="M18937" s="49">
        <f>IF($A$4+189&gt;$B$4,"",$A$4+189)</f>
        <v>46212</v>
      </c>
      <c r="N18937" t="str">
        <f>IF(M18937="","",'Master Barang'!A31)</f>
        <v>PRL-030</v>
      </c>
      <c r="O18937" t="str">
        <f>IF(N18937="","",'Master Barang'!B31)</f>
        <v>klip plastik 25x16 100 pcs</v>
      </c>
      <c r="P18937">
        <f>IF(OR(M18937="",N18937=""),"",SUMIFS('Barang Keluar'!$E:$E,'Barang Keluar'!$A:$A,M18937,'Barang Keluar'!$C:$C,N18937))</f>
        <v>0</v>
      </c>
    </row>
    <row r="18938" spans="13:16">
      <c r="M18938" s="49">
        <f>IF($A$4+189&gt;$B$4,"",$A$4+189)</f>
        <v>46212</v>
      </c>
      <c r="N18938" t="str">
        <f>IF(M18938="","",'Master Barang'!A32)</f>
        <v>PRL-031</v>
      </c>
      <c r="O18938" t="str">
        <f>IF(N18938="","",'Master Barang'!B32)</f>
        <v>tempat saus 20 ml</v>
      </c>
      <c r="P18938">
        <f>IF(OR(M18938="",N18938=""),"",SUMIFS('Barang Keluar'!$E:$E,'Barang Keluar'!$A:$A,M18938,'Barang Keluar'!$C:$C,N18938))</f>
        <v>0</v>
      </c>
    </row>
    <row r="18939" spans="13:16">
      <c r="M18939" s="49">
        <f>IF($A$4+189&gt;$B$4,"",$A$4+189)</f>
        <v>46212</v>
      </c>
      <c r="N18939" t="str">
        <f>IF(M18939="","",'Master Barang'!A33)</f>
        <v>PRL-032</v>
      </c>
      <c r="O18939" t="str">
        <f>IF(N18939="","",'Master Barang'!B33)</f>
        <v>plastik packaging ag box uk sedang</v>
      </c>
      <c r="P18939">
        <f>IF(OR(M18939="",N18939=""),"",SUMIFS('Barang Keluar'!$E:$E,'Barang Keluar'!$A:$A,M18939,'Barang Keluar'!$C:$C,N18939))</f>
        <v>0</v>
      </c>
    </row>
    <row r="18940" spans="13:16">
      <c r="M18940" s="49">
        <f>IF($A$4+189&gt;$B$4,"",$A$4+189)</f>
        <v>46212</v>
      </c>
      <c r="N18940" t="str">
        <f>IF(M18940="","",'Master Barang'!A34)</f>
        <v>PRL-033</v>
      </c>
      <c r="O18940">
        <f>IF(N18940="","",'Master Barang'!B34)</f>
        <v>0</v>
      </c>
      <c r="P18940">
        <f>IF(OR(M18940="",N18940=""),"",SUMIFS('Barang Keluar'!$E:$E,'Barang Keluar'!$A:$A,M18940,'Barang Keluar'!$C:$C,N18940))</f>
        <v>0</v>
      </c>
    </row>
    <row r="18941" spans="13:16">
      <c r="M18941" s="49">
        <f>IF($A$4+189&gt;$B$4,"",$A$4+189)</f>
        <v>46212</v>
      </c>
      <c r="N18941">
        <f>IF(M18941="","",'Master Barang'!A35)</f>
        <v>0</v>
      </c>
      <c r="O18941">
        <f>IF(N18941="","",'Master Barang'!B35)</f>
        <v>0</v>
      </c>
      <c r="P18941">
        <f>IF(OR(M18941="",N18941=""),"",SUMIFS('Barang Keluar'!$E:$E,'Barang Keluar'!$A:$A,M18941,'Barang Keluar'!$C:$C,N18941))</f>
        <v>0</v>
      </c>
    </row>
    <row r="18942" spans="13:16">
      <c r="M18942" s="49">
        <f>IF($A$4+189&gt;$B$4,"",$A$4+189)</f>
        <v>46212</v>
      </c>
      <c r="N18942">
        <f>IF(M18942="","",'Master Barang'!A36)</f>
        <v>0</v>
      </c>
      <c r="O18942">
        <f>IF(N18942="","",'Master Barang'!B36)</f>
        <v>0</v>
      </c>
      <c r="P18942">
        <f>IF(OR(M18942="",N18942=""),"",SUMIFS('Barang Keluar'!$E:$E,'Barang Keluar'!$A:$A,M18942,'Barang Keluar'!$C:$C,N18942))</f>
        <v>0</v>
      </c>
    </row>
    <row r="18943" spans="13:16">
      <c r="M18943" s="49">
        <f>IF($A$4+189&gt;$B$4,"",$A$4+189)</f>
        <v>46212</v>
      </c>
      <c r="N18943">
        <f>IF(M18943="","",'Master Barang'!A37)</f>
        <v>0</v>
      </c>
      <c r="O18943">
        <f>IF(N18943="","",'Master Barang'!B37)</f>
        <v>0</v>
      </c>
      <c r="P18943">
        <f>IF(OR(M18943="",N18943=""),"",SUMIFS('Barang Keluar'!$E:$E,'Barang Keluar'!$A:$A,M18943,'Barang Keluar'!$C:$C,N18943))</f>
        <v>0</v>
      </c>
    </row>
    <row r="18944" spans="13:16">
      <c r="M18944" s="49">
        <f>IF($A$4+189&gt;$B$4,"",$A$4+189)</f>
        <v>46212</v>
      </c>
      <c r="N18944">
        <f>IF(M18944="","",'Master Barang'!A38)</f>
        <v>0</v>
      </c>
      <c r="O18944">
        <f>IF(N18944="","",'Master Barang'!B38)</f>
        <v>0</v>
      </c>
      <c r="P18944">
        <f>IF(OR(M18944="",N18944=""),"",SUMIFS('Barang Keluar'!$E:$E,'Barang Keluar'!$A:$A,M18944,'Barang Keluar'!$C:$C,N18944))</f>
        <v>0</v>
      </c>
    </row>
    <row r="18945" spans="13:16">
      <c r="M18945" s="49">
        <f>IF($A$4+189&gt;$B$4,"",$A$4+189)</f>
        <v>46212</v>
      </c>
      <c r="N18945">
        <f>IF(M18945="","",'Master Barang'!A39)</f>
        <v>0</v>
      </c>
      <c r="O18945">
        <f>IF(N18945="","",'Master Barang'!B39)</f>
        <v>0</v>
      </c>
      <c r="P18945">
        <f>IF(OR(M18945="",N18945=""),"",SUMIFS('Barang Keluar'!$E:$E,'Barang Keluar'!$A:$A,M18945,'Barang Keluar'!$C:$C,N18945))</f>
        <v>0</v>
      </c>
    </row>
    <row r="18946" spans="13:16">
      <c r="M18946" s="49">
        <f>IF($A$4+189&gt;$B$4,"",$A$4+189)</f>
        <v>46212</v>
      </c>
      <c r="N18946">
        <f>IF(M18946="","",'Master Barang'!A40)</f>
        <v>0</v>
      </c>
      <c r="O18946">
        <f>IF(N18946="","",'Master Barang'!B40)</f>
        <v>0</v>
      </c>
      <c r="P18946">
        <f>IF(OR(M18946="",N18946=""),"",SUMIFS('Barang Keluar'!$E:$E,'Barang Keluar'!$A:$A,M18946,'Barang Keluar'!$C:$C,N18946))</f>
        <v>0</v>
      </c>
    </row>
    <row r="18947" spans="13:16">
      <c r="M18947" s="49">
        <f>IF($A$4+189&gt;$B$4,"",$A$4+189)</f>
        <v>46212</v>
      </c>
      <c r="N18947">
        <f>IF(M18947="","",'Master Barang'!A41)</f>
        <v>0</v>
      </c>
      <c r="O18947">
        <f>IF(N18947="","",'Master Barang'!B41)</f>
        <v>0</v>
      </c>
      <c r="P18947">
        <f>IF(OR(M18947="",N18947=""),"",SUMIFS('Barang Keluar'!$E:$E,'Barang Keluar'!$A:$A,M18947,'Barang Keluar'!$C:$C,N18947))</f>
        <v>0</v>
      </c>
    </row>
    <row r="18948" spans="13:16">
      <c r="M18948" s="49">
        <f>IF($A$4+189&gt;$B$4,"",$A$4+189)</f>
        <v>46212</v>
      </c>
      <c r="N18948">
        <f>IF(M18948="","",'Master Barang'!A42)</f>
        <v>0</v>
      </c>
      <c r="O18948">
        <f>IF(N18948="","",'Master Barang'!B42)</f>
        <v>0</v>
      </c>
      <c r="P18948">
        <f>IF(OR(M18948="",N18948=""),"",SUMIFS('Barang Keluar'!$E:$E,'Barang Keluar'!$A:$A,M18948,'Barang Keluar'!$C:$C,N18948))</f>
        <v>0</v>
      </c>
    </row>
    <row r="18949" spans="13:16">
      <c r="M18949" s="49">
        <f>IF($A$4+189&gt;$B$4,"",$A$4+189)</f>
        <v>46212</v>
      </c>
      <c r="N18949">
        <f>IF(M18949="","",'Master Barang'!A43)</f>
        <v>0</v>
      </c>
      <c r="O18949">
        <f>IF(N18949="","",'Master Barang'!B43)</f>
        <v>0</v>
      </c>
      <c r="P18949">
        <f>IF(OR(M18949="",N18949=""),"",SUMIFS('Barang Keluar'!$E:$E,'Barang Keluar'!$A:$A,M18949,'Barang Keluar'!$C:$C,N18949))</f>
        <v>0</v>
      </c>
    </row>
    <row r="18950" spans="13:16">
      <c r="M18950" s="49">
        <f>IF($A$4+189&gt;$B$4,"",$A$4+189)</f>
        <v>46212</v>
      </c>
      <c r="N18950">
        <f>IF(M18950="","",'Master Barang'!A44)</f>
        <v>0</v>
      </c>
      <c r="O18950">
        <f>IF(N18950="","",'Master Barang'!B44)</f>
        <v>0</v>
      </c>
      <c r="P18950">
        <f>IF(OR(M18950="",N18950=""),"",SUMIFS('Barang Keluar'!$E:$E,'Barang Keluar'!$A:$A,M18950,'Barang Keluar'!$C:$C,N18950))</f>
        <v>0</v>
      </c>
    </row>
    <row r="18951" spans="13:16">
      <c r="M18951" s="49">
        <f>IF($A$4+189&gt;$B$4,"",$A$4+189)</f>
        <v>46212</v>
      </c>
      <c r="N18951">
        <f>IF(M18951="","",'Master Barang'!A45)</f>
        <v>0</v>
      </c>
      <c r="O18951">
        <f>IF(N18951="","",'Master Barang'!B45)</f>
        <v>0</v>
      </c>
      <c r="P18951">
        <f>IF(OR(M18951="",N18951=""),"",SUMIFS('Barang Keluar'!$E:$E,'Barang Keluar'!$A:$A,M18951,'Barang Keluar'!$C:$C,N18951))</f>
        <v>0</v>
      </c>
    </row>
    <row r="18952" spans="13:16">
      <c r="M18952" s="49">
        <f>IF($A$4+189&gt;$B$4,"",$A$4+189)</f>
        <v>46212</v>
      </c>
      <c r="N18952">
        <f>IF(M18952="","",'Master Barang'!A46)</f>
        <v>0</v>
      </c>
      <c r="O18952">
        <f>IF(N18952="","",'Master Barang'!B46)</f>
        <v>0</v>
      </c>
      <c r="P18952">
        <f>IF(OR(M18952="",N18952=""),"",SUMIFS('Barang Keluar'!$E:$E,'Barang Keluar'!$A:$A,M18952,'Barang Keluar'!$C:$C,N18952))</f>
        <v>0</v>
      </c>
    </row>
    <row r="18953" spans="13:16">
      <c r="M18953" s="49">
        <f>IF($A$4+189&gt;$B$4,"",$A$4+189)</f>
        <v>46212</v>
      </c>
      <c r="N18953">
        <f>IF(M18953="","",'Master Barang'!A47)</f>
        <v>0</v>
      </c>
      <c r="O18953">
        <f>IF(N18953="","",'Master Barang'!B47)</f>
        <v>0</v>
      </c>
      <c r="P18953">
        <f>IF(OR(M18953="",N18953=""),"",SUMIFS('Barang Keluar'!$E:$E,'Barang Keluar'!$A:$A,M18953,'Barang Keluar'!$C:$C,N18953))</f>
        <v>0</v>
      </c>
    </row>
    <row r="18954" spans="13:16">
      <c r="M18954" s="49">
        <f>IF($A$4+189&gt;$B$4,"",$A$4+189)</f>
        <v>46212</v>
      </c>
      <c r="N18954">
        <f>IF(M18954="","",'Master Barang'!A48)</f>
        <v>0</v>
      </c>
      <c r="O18954">
        <f>IF(N18954="","",'Master Barang'!B48)</f>
        <v>0</v>
      </c>
      <c r="P18954">
        <f>IF(OR(M18954="",N18954=""),"",SUMIFS('Barang Keluar'!$E:$E,'Barang Keluar'!$A:$A,M18954,'Barang Keluar'!$C:$C,N18954))</f>
        <v>0</v>
      </c>
    </row>
    <row r="18955" spans="13:16">
      <c r="M18955" s="49">
        <f>IF($A$4+189&gt;$B$4,"",$A$4+189)</f>
        <v>46212</v>
      </c>
      <c r="N18955">
        <f>IF(M18955="","",'Master Barang'!A49)</f>
        <v>0</v>
      </c>
      <c r="O18955">
        <f>IF(N18955="","",'Master Barang'!B49)</f>
        <v>0</v>
      </c>
      <c r="P18955">
        <f>IF(OR(M18955="",N18955=""),"",SUMIFS('Barang Keluar'!$E:$E,'Barang Keluar'!$A:$A,M18955,'Barang Keluar'!$C:$C,N18955))</f>
        <v>0</v>
      </c>
    </row>
    <row r="18956" spans="13:16">
      <c r="M18956" s="49">
        <f>IF($A$4+189&gt;$B$4,"",$A$4+189)</f>
        <v>46212</v>
      </c>
      <c r="N18956">
        <f>IF(M18956="","",'Master Barang'!A50)</f>
        <v>0</v>
      </c>
      <c r="O18956">
        <f>IF(N18956="","",'Master Barang'!B50)</f>
        <v>0</v>
      </c>
      <c r="P18956">
        <f>IF(OR(M18956="",N18956=""),"",SUMIFS('Barang Keluar'!$E:$E,'Barang Keluar'!$A:$A,M18956,'Barang Keluar'!$C:$C,N18956))</f>
        <v>0</v>
      </c>
    </row>
    <row r="18957" spans="13:16">
      <c r="M18957" s="49">
        <f>IF($A$4+189&gt;$B$4,"",$A$4+189)</f>
        <v>46212</v>
      </c>
      <c r="N18957">
        <f>IF(M18957="","",'Master Barang'!A51)</f>
        <v>0</v>
      </c>
      <c r="O18957">
        <f>IF(N18957="","",'Master Barang'!B51)</f>
        <v>0</v>
      </c>
      <c r="P18957">
        <f>IF(OR(M18957="",N18957=""),"",SUMIFS('Barang Keluar'!$E:$E,'Barang Keluar'!$A:$A,M18957,'Barang Keluar'!$C:$C,N18957))</f>
        <v>0</v>
      </c>
    </row>
    <row r="18958" spans="13:16">
      <c r="M18958" s="49">
        <f>IF($A$4+189&gt;$B$4,"",$A$4+189)</f>
        <v>46212</v>
      </c>
      <c r="N18958">
        <f>IF(M18958="","",'Master Barang'!A52)</f>
        <v>0</v>
      </c>
      <c r="O18958">
        <f>IF(N18958="","",'Master Barang'!B52)</f>
        <v>0</v>
      </c>
      <c r="P18958">
        <f>IF(OR(M18958="",N18958=""),"",SUMIFS('Barang Keluar'!$E:$E,'Barang Keluar'!$A:$A,M18958,'Barang Keluar'!$C:$C,N18958))</f>
        <v>0</v>
      </c>
    </row>
    <row r="18959" spans="13:16">
      <c r="M18959" s="49">
        <f>IF($A$4+189&gt;$B$4,"",$A$4+189)</f>
        <v>46212</v>
      </c>
      <c r="N18959">
        <f>IF(M18959="","",'Master Barang'!A53)</f>
        <v>0</v>
      </c>
      <c r="O18959">
        <f>IF(N18959="","",'Master Barang'!B53)</f>
        <v>0</v>
      </c>
      <c r="P18959">
        <f>IF(OR(M18959="",N18959=""),"",SUMIFS('Barang Keluar'!$E:$E,'Barang Keluar'!$A:$A,M18959,'Barang Keluar'!$C:$C,N18959))</f>
        <v>0</v>
      </c>
    </row>
    <row r="18960" spans="13:16">
      <c r="M18960" s="49">
        <f>IF($A$4+189&gt;$B$4,"",$A$4+189)</f>
        <v>46212</v>
      </c>
      <c r="N18960">
        <f>IF(M18960="","",'Master Barang'!A54)</f>
        <v>0</v>
      </c>
      <c r="O18960">
        <f>IF(N18960="","",'Master Barang'!B54)</f>
        <v>0</v>
      </c>
      <c r="P18960">
        <f>IF(OR(M18960="",N18960=""),"",SUMIFS('Barang Keluar'!$E:$E,'Barang Keluar'!$A:$A,M18960,'Barang Keluar'!$C:$C,N18960))</f>
        <v>0</v>
      </c>
    </row>
    <row r="18961" spans="13:16">
      <c r="M18961" s="49">
        <f>IF($A$4+189&gt;$B$4,"",$A$4+189)</f>
        <v>46212</v>
      </c>
      <c r="N18961">
        <f>IF(M18961="","",'Master Barang'!A55)</f>
        <v>0</v>
      </c>
      <c r="O18961">
        <f>IF(N18961="","",'Master Barang'!B55)</f>
        <v>0</v>
      </c>
      <c r="P18961">
        <f>IF(OR(M18961="",N18961=""),"",SUMIFS('Barang Keluar'!$E:$E,'Barang Keluar'!$A:$A,M18961,'Barang Keluar'!$C:$C,N18961))</f>
        <v>0</v>
      </c>
    </row>
    <row r="18962" spans="13:16">
      <c r="M18962" s="49">
        <f>IF($A$4+189&gt;$B$4,"",$A$4+189)</f>
        <v>46212</v>
      </c>
      <c r="N18962">
        <f>IF(M18962="","",'Master Barang'!A56)</f>
        <v>0</v>
      </c>
      <c r="O18962">
        <f>IF(N18962="","",'Master Barang'!B56)</f>
        <v>0</v>
      </c>
      <c r="P18962">
        <f>IF(OR(M18962="",N18962=""),"",SUMIFS('Barang Keluar'!$E:$E,'Barang Keluar'!$A:$A,M18962,'Barang Keluar'!$C:$C,N18962))</f>
        <v>0</v>
      </c>
    </row>
    <row r="18963" spans="13:16">
      <c r="M18963" s="49">
        <f>IF($A$4+189&gt;$B$4,"",$A$4+189)</f>
        <v>46212</v>
      </c>
      <c r="N18963">
        <f>IF(M18963="","",'Master Barang'!A57)</f>
        <v>0</v>
      </c>
      <c r="O18963">
        <f>IF(N18963="","",'Master Barang'!B57)</f>
        <v>0</v>
      </c>
      <c r="P18963">
        <f>IF(OR(M18963="",N18963=""),"",SUMIFS('Barang Keluar'!$E:$E,'Barang Keluar'!$A:$A,M18963,'Barang Keluar'!$C:$C,N18963))</f>
        <v>0</v>
      </c>
    </row>
    <row r="18964" spans="13:16">
      <c r="M18964" s="49">
        <f>IF($A$4+189&gt;$B$4,"",$A$4+189)</f>
        <v>46212</v>
      </c>
      <c r="N18964">
        <f>IF(M18964="","",'Master Barang'!A58)</f>
        <v>0</v>
      </c>
      <c r="O18964">
        <f>IF(N18964="","",'Master Barang'!B58)</f>
        <v>0</v>
      </c>
      <c r="P18964">
        <f>IF(OR(M18964="",N18964=""),"",SUMIFS('Barang Keluar'!$E:$E,'Barang Keluar'!$A:$A,M18964,'Barang Keluar'!$C:$C,N18964))</f>
        <v>0</v>
      </c>
    </row>
    <row r="18965" spans="13:16">
      <c r="M18965" s="49">
        <f>IF($A$4+189&gt;$B$4,"",$A$4+189)</f>
        <v>46212</v>
      </c>
      <c r="N18965">
        <f>IF(M18965="","",'Master Barang'!A59)</f>
        <v>0</v>
      </c>
      <c r="O18965">
        <f>IF(N18965="","",'Master Barang'!B59)</f>
        <v>0</v>
      </c>
      <c r="P18965">
        <f>IF(OR(M18965="",N18965=""),"",SUMIFS('Barang Keluar'!$E:$E,'Barang Keluar'!$A:$A,M18965,'Barang Keluar'!$C:$C,N18965))</f>
        <v>0</v>
      </c>
    </row>
    <row r="18966" spans="13:16">
      <c r="M18966" s="49">
        <f>IF($A$4+189&gt;$B$4,"",$A$4+189)</f>
        <v>46212</v>
      </c>
      <c r="N18966">
        <f>IF(M18966="","",'Master Barang'!A60)</f>
        <v>0</v>
      </c>
      <c r="O18966">
        <f>IF(N18966="","",'Master Barang'!B60)</f>
        <v>0</v>
      </c>
      <c r="P18966">
        <f>IF(OR(M18966="",N18966=""),"",SUMIFS('Barang Keluar'!$E:$E,'Barang Keluar'!$A:$A,M18966,'Barang Keluar'!$C:$C,N18966))</f>
        <v>0</v>
      </c>
    </row>
    <row r="18967" spans="13:16">
      <c r="M18967" s="49">
        <f>IF($A$4+189&gt;$B$4,"",$A$4+189)</f>
        <v>46212</v>
      </c>
      <c r="N18967">
        <f>IF(M18967="","",'Master Barang'!A61)</f>
        <v>0</v>
      </c>
      <c r="O18967">
        <f>IF(N18967="","",'Master Barang'!B61)</f>
        <v>0</v>
      </c>
      <c r="P18967">
        <f>IF(OR(M18967="",N18967=""),"",SUMIFS('Barang Keluar'!$E:$E,'Barang Keluar'!$A:$A,M18967,'Barang Keluar'!$C:$C,N18967))</f>
        <v>0</v>
      </c>
    </row>
    <row r="18968" spans="13:16">
      <c r="M18968" s="49">
        <f>IF($A$4+189&gt;$B$4,"",$A$4+189)</f>
        <v>46212</v>
      </c>
      <c r="N18968">
        <f>IF(M18968="","",'Master Barang'!A62)</f>
        <v>0</v>
      </c>
      <c r="O18968">
        <f>IF(N18968="","",'Master Barang'!B62)</f>
        <v>0</v>
      </c>
      <c r="P18968">
        <f>IF(OR(M18968="",N18968=""),"",SUMIFS('Barang Keluar'!$E:$E,'Barang Keluar'!$A:$A,M18968,'Barang Keluar'!$C:$C,N18968))</f>
        <v>0</v>
      </c>
    </row>
    <row r="18969" spans="13:16">
      <c r="M18969" s="49">
        <f>IF($A$4+189&gt;$B$4,"",$A$4+189)</f>
        <v>46212</v>
      </c>
      <c r="N18969">
        <f>IF(M18969="","",'Master Barang'!A63)</f>
        <v>0</v>
      </c>
      <c r="O18969">
        <f>IF(N18969="","",'Master Barang'!B63)</f>
        <v>0</v>
      </c>
      <c r="P18969">
        <f>IF(OR(M18969="",N18969=""),"",SUMIFS('Barang Keluar'!$E:$E,'Barang Keluar'!$A:$A,M18969,'Barang Keluar'!$C:$C,N18969))</f>
        <v>0</v>
      </c>
    </row>
    <row r="18970" spans="13:16">
      <c r="M18970" s="49">
        <f>IF($A$4+189&gt;$B$4,"",$A$4+189)</f>
        <v>46212</v>
      </c>
      <c r="N18970">
        <f>IF(M18970="","",'Master Barang'!A64)</f>
        <v>0</v>
      </c>
      <c r="O18970">
        <f>IF(N18970="","",'Master Barang'!B64)</f>
        <v>0</v>
      </c>
      <c r="P18970">
        <f>IF(OR(M18970="",N18970=""),"",SUMIFS('Barang Keluar'!$E:$E,'Barang Keluar'!$A:$A,M18970,'Barang Keluar'!$C:$C,N18970))</f>
        <v>0</v>
      </c>
    </row>
    <row r="18971" spans="13:16">
      <c r="M18971" s="49">
        <f>IF($A$4+189&gt;$B$4,"",$A$4+189)</f>
        <v>46212</v>
      </c>
      <c r="N18971">
        <f>IF(M18971="","",'Master Barang'!A65)</f>
        <v>0</v>
      </c>
      <c r="O18971">
        <f>IF(N18971="","",'Master Barang'!B65)</f>
        <v>0</v>
      </c>
      <c r="P18971">
        <f>IF(OR(M18971="",N18971=""),"",SUMIFS('Barang Keluar'!$E:$E,'Barang Keluar'!$A:$A,M18971,'Barang Keluar'!$C:$C,N18971))</f>
        <v>0</v>
      </c>
    </row>
    <row r="18972" spans="13:16">
      <c r="M18972" s="49">
        <f>IF($A$4+189&gt;$B$4,"",$A$4+189)</f>
        <v>46212</v>
      </c>
      <c r="N18972">
        <f>IF(M18972="","",'Master Barang'!A66)</f>
        <v>0</v>
      </c>
      <c r="O18972">
        <f>IF(N18972="","",'Master Barang'!B66)</f>
        <v>0</v>
      </c>
      <c r="P18972">
        <f>IF(OR(M18972="",N18972=""),"",SUMIFS('Barang Keluar'!$E:$E,'Barang Keluar'!$A:$A,M18972,'Barang Keluar'!$C:$C,N18972))</f>
        <v>0</v>
      </c>
    </row>
    <row r="18973" spans="13:16">
      <c r="M18973" s="49">
        <f>IF($A$4+189&gt;$B$4,"",$A$4+189)</f>
        <v>46212</v>
      </c>
      <c r="N18973">
        <f>IF(M18973="","",'Master Barang'!A67)</f>
        <v>0</v>
      </c>
      <c r="O18973">
        <f>IF(N18973="","",'Master Barang'!B67)</f>
        <v>0</v>
      </c>
      <c r="P18973">
        <f>IF(OR(M18973="",N18973=""),"",SUMIFS('Barang Keluar'!$E:$E,'Barang Keluar'!$A:$A,M18973,'Barang Keluar'!$C:$C,N18973))</f>
        <v>0</v>
      </c>
    </row>
    <row r="18974" spans="13:16">
      <c r="M18974" s="49">
        <f>IF($A$4+189&gt;$B$4,"",$A$4+189)</f>
        <v>46212</v>
      </c>
      <c r="N18974">
        <f>IF(M18974="","",'Master Barang'!A68)</f>
        <v>0</v>
      </c>
      <c r="O18974">
        <f>IF(N18974="","",'Master Barang'!B68)</f>
        <v>0</v>
      </c>
      <c r="P18974">
        <f>IF(OR(M18974="",N18974=""),"",SUMIFS('Barang Keluar'!$E:$E,'Barang Keluar'!$A:$A,M18974,'Barang Keluar'!$C:$C,N18974))</f>
        <v>0</v>
      </c>
    </row>
    <row r="18975" spans="13:16">
      <c r="M18975" s="49">
        <f>IF($A$4+189&gt;$B$4,"",$A$4+189)</f>
        <v>46212</v>
      </c>
      <c r="N18975">
        <f>IF(M18975="","",'Master Barang'!A69)</f>
        <v>0</v>
      </c>
      <c r="O18975">
        <f>IF(N18975="","",'Master Barang'!B69)</f>
        <v>0</v>
      </c>
      <c r="P18975">
        <f>IF(OR(M18975="",N18975=""),"",SUMIFS('Barang Keluar'!$E:$E,'Barang Keluar'!$A:$A,M18975,'Barang Keluar'!$C:$C,N18975))</f>
        <v>0</v>
      </c>
    </row>
    <row r="18976" spans="13:16">
      <c r="M18976" s="49">
        <f>IF($A$4+189&gt;$B$4,"",$A$4+189)</f>
        <v>46212</v>
      </c>
      <c r="N18976">
        <f>IF(M18976="","",'Master Barang'!A70)</f>
        <v>0</v>
      </c>
      <c r="O18976">
        <f>IF(N18976="","",'Master Barang'!B70)</f>
        <v>0</v>
      </c>
      <c r="P18976">
        <f>IF(OR(M18976="",N18976=""),"",SUMIFS('Barang Keluar'!$E:$E,'Barang Keluar'!$A:$A,M18976,'Barang Keluar'!$C:$C,N18976))</f>
        <v>0</v>
      </c>
    </row>
    <row r="18977" spans="13:16">
      <c r="M18977" s="49">
        <f>IF($A$4+189&gt;$B$4,"",$A$4+189)</f>
        <v>46212</v>
      </c>
      <c r="N18977">
        <f>IF(M18977="","",'Master Barang'!A71)</f>
        <v>0</v>
      </c>
      <c r="O18977">
        <f>IF(N18977="","",'Master Barang'!B71)</f>
        <v>0</v>
      </c>
      <c r="P18977">
        <f>IF(OR(M18977="",N18977=""),"",SUMIFS('Barang Keluar'!$E:$E,'Barang Keluar'!$A:$A,M18977,'Barang Keluar'!$C:$C,N18977))</f>
        <v>0</v>
      </c>
    </row>
    <row r="18978" spans="13:16">
      <c r="M18978" s="49">
        <f>IF($A$4+189&gt;$B$4,"",$A$4+189)</f>
        <v>46212</v>
      </c>
      <c r="N18978">
        <f>IF(M18978="","",'Master Barang'!A72)</f>
        <v>0</v>
      </c>
      <c r="O18978">
        <f>IF(N18978="","",'Master Barang'!B72)</f>
        <v>0</v>
      </c>
      <c r="P18978">
        <f>IF(OR(M18978="",N18978=""),"",SUMIFS('Barang Keluar'!$E:$E,'Barang Keluar'!$A:$A,M18978,'Barang Keluar'!$C:$C,N18978))</f>
        <v>0</v>
      </c>
    </row>
    <row r="18979" spans="13:16">
      <c r="M18979" s="49">
        <f>IF($A$4+189&gt;$B$4,"",$A$4+189)</f>
        <v>46212</v>
      </c>
      <c r="N18979">
        <f>IF(M18979="","",'Master Barang'!A73)</f>
        <v>0</v>
      </c>
      <c r="O18979">
        <f>IF(N18979="","",'Master Barang'!B73)</f>
        <v>0</v>
      </c>
      <c r="P18979">
        <f>IF(OR(M18979="",N18979=""),"",SUMIFS('Barang Keluar'!$E:$E,'Barang Keluar'!$A:$A,M18979,'Barang Keluar'!$C:$C,N18979))</f>
        <v>0</v>
      </c>
    </row>
    <row r="18980" spans="13:16">
      <c r="M18980" s="49">
        <f>IF($A$4+189&gt;$B$4,"",$A$4+189)</f>
        <v>46212</v>
      </c>
      <c r="N18980">
        <f>IF(M18980="","",'Master Barang'!A74)</f>
        <v>0</v>
      </c>
      <c r="O18980">
        <f>IF(N18980="","",'Master Barang'!B74)</f>
        <v>0</v>
      </c>
      <c r="P18980">
        <f>IF(OR(M18980="",N18980=""),"",SUMIFS('Barang Keluar'!$E:$E,'Barang Keluar'!$A:$A,M18980,'Barang Keluar'!$C:$C,N18980))</f>
        <v>0</v>
      </c>
    </row>
    <row r="18981" spans="13:16">
      <c r="M18981" s="49">
        <f>IF($A$4+189&gt;$B$4,"",$A$4+189)</f>
        <v>46212</v>
      </c>
      <c r="N18981">
        <f>IF(M18981="","",'Master Barang'!A75)</f>
        <v>0</v>
      </c>
      <c r="O18981">
        <f>IF(N18981="","",'Master Barang'!B75)</f>
        <v>0</v>
      </c>
      <c r="P18981">
        <f>IF(OR(M18981="",N18981=""),"",SUMIFS('Barang Keluar'!$E:$E,'Barang Keluar'!$A:$A,M18981,'Barang Keluar'!$C:$C,N18981))</f>
        <v>0</v>
      </c>
    </row>
    <row r="18982" spans="13:16">
      <c r="M18982" s="49">
        <f>IF($A$4+189&gt;$B$4,"",$A$4+189)</f>
        <v>46212</v>
      </c>
      <c r="N18982">
        <f>IF(M18982="","",'Master Barang'!A76)</f>
        <v>0</v>
      </c>
      <c r="O18982">
        <f>IF(N18982="","",'Master Barang'!B76)</f>
        <v>0</v>
      </c>
      <c r="P18982">
        <f>IF(OR(M18982="",N18982=""),"",SUMIFS('Barang Keluar'!$E:$E,'Barang Keluar'!$A:$A,M18982,'Barang Keluar'!$C:$C,N18982))</f>
        <v>0</v>
      </c>
    </row>
    <row r="18983" spans="13:16">
      <c r="M18983" s="49">
        <f>IF($A$4+189&gt;$B$4,"",$A$4+189)</f>
        <v>46212</v>
      </c>
      <c r="N18983">
        <f>IF(M18983="","",'Master Barang'!A77)</f>
        <v>0</v>
      </c>
      <c r="O18983">
        <f>IF(N18983="","",'Master Barang'!B77)</f>
        <v>0</v>
      </c>
      <c r="P18983">
        <f>IF(OR(M18983="",N18983=""),"",SUMIFS('Barang Keluar'!$E:$E,'Barang Keluar'!$A:$A,M18983,'Barang Keluar'!$C:$C,N18983))</f>
        <v>0</v>
      </c>
    </row>
    <row r="18984" spans="13:16">
      <c r="M18984" s="49">
        <f>IF($A$4+189&gt;$B$4,"",$A$4+189)</f>
        <v>46212</v>
      </c>
      <c r="N18984">
        <f>IF(M18984="","",'Master Barang'!A78)</f>
        <v>0</v>
      </c>
      <c r="O18984">
        <f>IF(N18984="","",'Master Barang'!B78)</f>
        <v>0</v>
      </c>
      <c r="P18984">
        <f>IF(OR(M18984="",N18984=""),"",SUMIFS('Barang Keluar'!$E:$E,'Barang Keluar'!$A:$A,M18984,'Barang Keluar'!$C:$C,N18984))</f>
        <v>0</v>
      </c>
    </row>
    <row r="18985" spans="13:16">
      <c r="M18985" s="49">
        <f>IF($A$4+189&gt;$B$4,"",$A$4+189)</f>
        <v>46212</v>
      </c>
      <c r="N18985">
        <f>IF(M18985="","",'Master Barang'!A79)</f>
        <v>0</v>
      </c>
      <c r="O18985">
        <f>IF(N18985="","",'Master Barang'!B79)</f>
        <v>0</v>
      </c>
      <c r="P18985">
        <f>IF(OR(M18985="",N18985=""),"",SUMIFS('Barang Keluar'!$E:$E,'Barang Keluar'!$A:$A,M18985,'Barang Keluar'!$C:$C,N18985))</f>
        <v>0</v>
      </c>
    </row>
    <row r="18986" spans="13:16">
      <c r="M18986" s="49">
        <f>IF($A$4+189&gt;$B$4,"",$A$4+189)</f>
        <v>46212</v>
      </c>
      <c r="N18986">
        <f>IF(M18986="","",'Master Barang'!A80)</f>
        <v>0</v>
      </c>
      <c r="O18986">
        <f>IF(N18986="","",'Master Barang'!B80)</f>
        <v>0</v>
      </c>
      <c r="P18986">
        <f>IF(OR(M18986="",N18986=""),"",SUMIFS('Barang Keluar'!$E:$E,'Barang Keluar'!$A:$A,M18986,'Barang Keluar'!$C:$C,N18986))</f>
        <v>0</v>
      </c>
    </row>
    <row r="18987" spans="13:16">
      <c r="M18987" s="49">
        <f>IF($A$4+189&gt;$B$4,"",$A$4+189)</f>
        <v>46212</v>
      </c>
      <c r="N18987">
        <f>IF(M18987="","",'Master Barang'!A81)</f>
        <v>0</v>
      </c>
      <c r="O18987">
        <f>IF(N18987="","",'Master Barang'!B81)</f>
        <v>0</v>
      </c>
      <c r="P18987">
        <f>IF(OR(M18987="",N18987=""),"",SUMIFS('Barang Keluar'!$E:$E,'Barang Keluar'!$A:$A,M18987,'Barang Keluar'!$C:$C,N18987))</f>
        <v>0</v>
      </c>
    </row>
    <row r="18988" spans="13:16">
      <c r="M18988" s="49">
        <f>IF($A$4+189&gt;$B$4,"",$A$4+189)</f>
        <v>46212</v>
      </c>
      <c r="N18988">
        <f>IF(M18988="","",'Master Barang'!A82)</f>
        <v>0</v>
      </c>
      <c r="O18988">
        <f>IF(N18988="","",'Master Barang'!B82)</f>
        <v>0</v>
      </c>
      <c r="P18988">
        <f>IF(OR(M18988="",N18988=""),"",SUMIFS('Barang Keluar'!$E:$E,'Barang Keluar'!$A:$A,M18988,'Barang Keluar'!$C:$C,N18988))</f>
        <v>0</v>
      </c>
    </row>
    <row r="18989" spans="13:16">
      <c r="M18989" s="49">
        <f>IF($A$4+189&gt;$B$4,"",$A$4+189)</f>
        <v>46212</v>
      </c>
      <c r="N18989">
        <f>IF(M18989="","",'Master Barang'!A83)</f>
        <v>0</v>
      </c>
      <c r="O18989">
        <f>IF(N18989="","",'Master Barang'!B83)</f>
        <v>0</v>
      </c>
      <c r="P18989">
        <f>IF(OR(M18989="",N18989=""),"",SUMIFS('Barang Keluar'!$E:$E,'Barang Keluar'!$A:$A,M18989,'Barang Keluar'!$C:$C,N18989))</f>
        <v>0</v>
      </c>
    </row>
    <row r="18990" spans="13:16">
      <c r="M18990" s="49">
        <f>IF($A$4+189&gt;$B$4,"",$A$4+189)</f>
        <v>46212</v>
      </c>
      <c r="N18990">
        <f>IF(M18990="","",'Master Barang'!A84)</f>
        <v>0</v>
      </c>
      <c r="O18990">
        <f>IF(N18990="","",'Master Barang'!B84)</f>
        <v>0</v>
      </c>
      <c r="P18990">
        <f>IF(OR(M18990="",N18990=""),"",SUMIFS('Barang Keluar'!$E:$E,'Barang Keluar'!$A:$A,M18990,'Barang Keluar'!$C:$C,N18990))</f>
        <v>0</v>
      </c>
    </row>
    <row r="18991" spans="13:16">
      <c r="M18991" s="49">
        <f>IF($A$4+189&gt;$B$4,"",$A$4+189)</f>
        <v>46212</v>
      </c>
      <c r="N18991">
        <f>IF(M18991="","",'Master Barang'!A85)</f>
        <v>0</v>
      </c>
      <c r="O18991">
        <f>IF(N18991="","",'Master Barang'!B85)</f>
        <v>0</v>
      </c>
      <c r="P18991">
        <f>IF(OR(M18991="",N18991=""),"",SUMIFS('Barang Keluar'!$E:$E,'Barang Keluar'!$A:$A,M18991,'Barang Keluar'!$C:$C,N18991))</f>
        <v>0</v>
      </c>
    </row>
    <row r="18992" spans="13:16">
      <c r="M18992" s="49">
        <f>IF($A$4+189&gt;$B$4,"",$A$4+189)</f>
        <v>46212</v>
      </c>
      <c r="N18992">
        <f>IF(M18992="","",'Master Barang'!A86)</f>
        <v>0</v>
      </c>
      <c r="O18992">
        <f>IF(N18992="","",'Master Barang'!B86)</f>
        <v>0</v>
      </c>
      <c r="P18992">
        <f>IF(OR(M18992="",N18992=""),"",SUMIFS('Barang Keluar'!$E:$E,'Barang Keluar'!$A:$A,M18992,'Barang Keluar'!$C:$C,N18992))</f>
        <v>0</v>
      </c>
    </row>
    <row r="18993" spans="13:16">
      <c r="M18993" s="49">
        <f>IF($A$4+189&gt;$B$4,"",$A$4+189)</f>
        <v>46212</v>
      </c>
      <c r="N18993">
        <f>IF(M18993="","",'Master Barang'!A87)</f>
        <v>0</v>
      </c>
      <c r="O18993">
        <f>IF(N18993="","",'Master Barang'!B87)</f>
        <v>0</v>
      </c>
      <c r="P18993">
        <f>IF(OR(M18993="",N18993=""),"",SUMIFS('Barang Keluar'!$E:$E,'Barang Keluar'!$A:$A,M18993,'Barang Keluar'!$C:$C,N18993))</f>
        <v>0</v>
      </c>
    </row>
    <row r="18994" spans="13:16">
      <c r="M18994" s="49">
        <f>IF($A$4+189&gt;$B$4,"",$A$4+189)</f>
        <v>46212</v>
      </c>
      <c r="N18994">
        <f>IF(M18994="","",'Master Barang'!A88)</f>
        <v>0</v>
      </c>
      <c r="O18994">
        <f>IF(N18994="","",'Master Barang'!B88)</f>
        <v>0</v>
      </c>
      <c r="P18994">
        <f>IF(OR(M18994="",N18994=""),"",SUMIFS('Barang Keluar'!$E:$E,'Barang Keluar'!$A:$A,M18994,'Barang Keluar'!$C:$C,N18994))</f>
        <v>0</v>
      </c>
    </row>
    <row r="18995" spans="13:16">
      <c r="M18995" s="49">
        <f>IF($A$4+189&gt;$B$4,"",$A$4+189)</f>
        <v>46212</v>
      </c>
      <c r="N18995">
        <f>IF(M18995="","",'Master Barang'!A89)</f>
        <v>0</v>
      </c>
      <c r="O18995">
        <f>IF(N18995="","",'Master Barang'!B89)</f>
        <v>0</v>
      </c>
      <c r="P18995">
        <f>IF(OR(M18995="",N18995=""),"",SUMIFS('Barang Keluar'!$E:$E,'Barang Keluar'!$A:$A,M18995,'Barang Keluar'!$C:$C,N18995))</f>
        <v>0</v>
      </c>
    </row>
    <row r="18996" spans="13:16">
      <c r="M18996" s="49">
        <f>IF($A$4+189&gt;$B$4,"",$A$4+189)</f>
        <v>46212</v>
      </c>
      <c r="N18996">
        <f>IF(M18996="","",'Master Barang'!A90)</f>
        <v>0</v>
      </c>
      <c r="O18996">
        <f>IF(N18996="","",'Master Barang'!B90)</f>
        <v>0</v>
      </c>
      <c r="P18996">
        <f>IF(OR(M18996="",N18996=""),"",SUMIFS('Barang Keluar'!$E:$E,'Barang Keluar'!$A:$A,M18996,'Barang Keluar'!$C:$C,N18996))</f>
        <v>0</v>
      </c>
    </row>
    <row r="18997" spans="13:16">
      <c r="M18997" s="49">
        <f>IF($A$4+189&gt;$B$4,"",$A$4+189)</f>
        <v>46212</v>
      </c>
      <c r="N18997">
        <f>IF(M18997="","",'Master Barang'!A91)</f>
        <v>0</v>
      </c>
      <c r="O18997">
        <f>IF(N18997="","",'Master Barang'!B91)</f>
        <v>0</v>
      </c>
      <c r="P18997">
        <f>IF(OR(M18997="",N18997=""),"",SUMIFS('Barang Keluar'!$E:$E,'Barang Keluar'!$A:$A,M18997,'Barang Keluar'!$C:$C,N18997))</f>
        <v>0</v>
      </c>
    </row>
    <row r="18998" spans="13:16">
      <c r="M18998" s="49">
        <f>IF($A$4+189&gt;$B$4,"",$A$4+189)</f>
        <v>46212</v>
      </c>
      <c r="N18998">
        <f>IF(M18998="","",'Master Barang'!A92)</f>
        <v>0</v>
      </c>
      <c r="O18998">
        <f>IF(N18998="","",'Master Barang'!B92)</f>
        <v>0</v>
      </c>
      <c r="P18998">
        <f>IF(OR(M18998="",N18998=""),"",SUMIFS('Barang Keluar'!$E:$E,'Barang Keluar'!$A:$A,M18998,'Barang Keluar'!$C:$C,N18998))</f>
        <v>0</v>
      </c>
    </row>
    <row r="18999" spans="13:16">
      <c r="M18999" s="49">
        <f>IF($A$4+189&gt;$B$4,"",$A$4+189)</f>
        <v>46212</v>
      </c>
      <c r="N18999">
        <f>IF(M18999="","",'Master Barang'!A93)</f>
        <v>0</v>
      </c>
      <c r="O18999">
        <f>IF(N18999="","",'Master Barang'!B93)</f>
        <v>0</v>
      </c>
      <c r="P18999">
        <f>IF(OR(M18999="",N18999=""),"",SUMIFS('Barang Keluar'!$E:$E,'Barang Keluar'!$A:$A,M18999,'Barang Keluar'!$C:$C,N18999))</f>
        <v>0</v>
      </c>
    </row>
    <row r="19000" spans="13:16">
      <c r="M19000" s="49">
        <f>IF($A$4+189&gt;$B$4,"",$A$4+189)</f>
        <v>46212</v>
      </c>
      <c r="N19000">
        <f>IF(M19000="","",'Master Barang'!A94)</f>
        <v>0</v>
      </c>
      <c r="O19000">
        <f>IF(N19000="","",'Master Barang'!B94)</f>
        <v>0</v>
      </c>
      <c r="P19000">
        <f>IF(OR(M19000="",N19000=""),"",SUMIFS('Barang Keluar'!$E:$E,'Barang Keluar'!$A:$A,M19000,'Barang Keluar'!$C:$C,N19000))</f>
        <v>0</v>
      </c>
    </row>
    <row r="19001" spans="13:16">
      <c r="M19001" s="49">
        <f>IF($A$4+189&gt;$B$4,"",$A$4+189)</f>
        <v>46212</v>
      </c>
      <c r="N19001">
        <f>IF(M19001="","",'Master Barang'!A95)</f>
        <v>0</v>
      </c>
      <c r="O19001">
        <f>IF(N19001="","",'Master Barang'!B95)</f>
        <v>0</v>
      </c>
      <c r="P19001">
        <f>IF(OR(M19001="",N19001=""),"",SUMIFS('Barang Keluar'!$E:$E,'Barang Keluar'!$A:$A,M19001,'Barang Keluar'!$C:$C,N19001))</f>
        <v>0</v>
      </c>
    </row>
    <row r="19002" spans="13:16">
      <c r="M19002" s="49">
        <f>IF($A$4+189&gt;$B$4,"",$A$4+189)</f>
        <v>46212</v>
      </c>
      <c r="N19002">
        <f>IF(M19002="","",'Master Barang'!A96)</f>
        <v>0</v>
      </c>
      <c r="O19002">
        <f>IF(N19002="","",'Master Barang'!B96)</f>
        <v>0</v>
      </c>
      <c r="P19002">
        <f>IF(OR(M19002="",N19002=""),"",SUMIFS('Barang Keluar'!$E:$E,'Barang Keluar'!$A:$A,M19002,'Barang Keluar'!$C:$C,N19002))</f>
        <v>0</v>
      </c>
    </row>
    <row r="19003" spans="13:16">
      <c r="M19003" s="49">
        <f>IF($A$4+189&gt;$B$4,"",$A$4+189)</f>
        <v>46212</v>
      </c>
      <c r="N19003">
        <f>IF(M19003="","",'Master Barang'!A97)</f>
        <v>0</v>
      </c>
      <c r="O19003">
        <f>IF(N19003="","",'Master Barang'!B97)</f>
        <v>0</v>
      </c>
      <c r="P19003">
        <f>IF(OR(M19003="",N19003=""),"",SUMIFS('Barang Keluar'!$E:$E,'Barang Keluar'!$A:$A,M19003,'Barang Keluar'!$C:$C,N19003))</f>
        <v>0</v>
      </c>
    </row>
    <row r="19004" spans="13:16">
      <c r="M19004" s="49">
        <f>IF($A$4+189&gt;$B$4,"",$A$4+189)</f>
        <v>46212</v>
      </c>
      <c r="N19004">
        <f>IF(M19004="","",'Master Barang'!A98)</f>
        <v>0</v>
      </c>
      <c r="O19004">
        <f>IF(N19004="","",'Master Barang'!B98)</f>
        <v>0</v>
      </c>
      <c r="P19004">
        <f>IF(OR(M19004="",N19004=""),"",SUMIFS('Barang Keluar'!$E:$E,'Barang Keluar'!$A:$A,M19004,'Barang Keluar'!$C:$C,N19004))</f>
        <v>0</v>
      </c>
    </row>
    <row r="19005" spans="13:16">
      <c r="M19005" s="49">
        <f>IF($A$4+189&gt;$B$4,"",$A$4+189)</f>
        <v>46212</v>
      </c>
      <c r="N19005">
        <f>IF(M19005="","",'Master Barang'!A99)</f>
        <v>0</v>
      </c>
      <c r="O19005">
        <f>IF(N19005="","",'Master Barang'!B99)</f>
        <v>0</v>
      </c>
      <c r="P19005">
        <f>IF(OR(M19005="",N19005=""),"",SUMIFS('Barang Keluar'!$E:$E,'Barang Keluar'!$A:$A,M19005,'Barang Keluar'!$C:$C,N19005))</f>
        <v>0</v>
      </c>
    </row>
    <row r="19006" spans="13:16">
      <c r="M19006" s="49">
        <f>IF($A$4+189&gt;$B$4,"",$A$4+189)</f>
        <v>46212</v>
      </c>
      <c r="N19006">
        <f>IF(M19006="","",'Master Barang'!A100)</f>
        <v>0</v>
      </c>
      <c r="O19006">
        <f>IF(N19006="","",'Master Barang'!B100)</f>
        <v>0</v>
      </c>
      <c r="P19006">
        <f>IF(OR(M19006="",N19006=""),"",SUMIFS('Barang Keluar'!$E:$E,'Barang Keluar'!$A:$A,M19006,'Barang Keluar'!$C:$C,N19006))</f>
        <v>0</v>
      </c>
    </row>
    <row r="19007" spans="13:16">
      <c r="M19007" s="49">
        <f>IF($A$4+189&gt;$B$4,"",$A$4+189)</f>
        <v>46212</v>
      </c>
      <c r="N19007">
        <f>IF(M19007="","",'Master Barang'!A101)</f>
        <v>0</v>
      </c>
      <c r="O19007">
        <f>IF(N19007="","",'Master Barang'!B101)</f>
        <v>0</v>
      </c>
      <c r="P19007">
        <f>IF(OR(M19007="",N19007=""),"",SUMIFS('Barang Keluar'!$E:$E,'Barang Keluar'!$A:$A,M19007,'Barang Keluar'!$C:$C,N19007))</f>
        <v>0</v>
      </c>
    </row>
    <row r="19008" spans="13:16">
      <c r="M19008" s="49">
        <f>IF($A$4+190&gt;$B$4,"",$A$4+190)</f>
        <v>46213</v>
      </c>
      <c r="N19008" t="str">
        <f>IF(M19008="","",'Master Barang'!A2)</f>
        <v>PRL-001</v>
      </c>
      <c r="O19008" t="str">
        <f>IF(N19008="","",'Master Barang'!B2)</f>
        <v>natura desinfectant food grade 5l</v>
      </c>
      <c r="P19008">
        <f>IF(OR(M19008="",N19008=""),"",SUMIFS('Barang Keluar'!$E:$E,'Barang Keluar'!$A:$A,M19008,'Barang Keluar'!$C:$C,N19008))</f>
        <v>0</v>
      </c>
    </row>
    <row r="19009" spans="13:16">
      <c r="M19009" s="49">
        <f>IF($A$4+190&gt;$B$4,"",$A$4+190)</f>
        <v>46213</v>
      </c>
      <c r="N19009" t="str">
        <f>IF(M19009="","",'Master Barang'!A3)</f>
        <v>PRL-002</v>
      </c>
      <c r="O19009" t="str">
        <f>IF(N19009="","",'Master Barang'!B3)</f>
        <v>sunlight cairan pencuci piring 5l</v>
      </c>
      <c r="P19009">
        <f>IF(OR(M19009="",N19009=""),"",SUMIFS('Barang Keluar'!$E:$E,'Barang Keluar'!$A:$A,M19009,'Barang Keluar'!$C:$C,N19009))</f>
        <v>0</v>
      </c>
    </row>
    <row r="19010" spans="13:16">
      <c r="M19010" s="49">
        <f>IF($A$4+190&gt;$B$4,"",$A$4+190)</f>
        <v>46213</v>
      </c>
      <c r="N19010" t="str">
        <f>IF(M19010="","",'Master Barang'!A4)</f>
        <v>PRL-003</v>
      </c>
      <c r="O19010" t="str">
        <f>IF(N19010="","",'Master Barang'!B4)</f>
        <v>oixs cleaner 1l</v>
      </c>
      <c r="P19010">
        <f>IF(OR(M19010="",N19010=""),"",SUMIFS('Barang Keluar'!$E:$E,'Barang Keluar'!$A:$A,M19010,'Barang Keluar'!$C:$C,N19010))</f>
        <v>0</v>
      </c>
    </row>
    <row r="19011" spans="13:16">
      <c r="M19011" s="49">
        <f>IF($A$4+190&gt;$B$4,"",$A$4+190)</f>
        <v>46213</v>
      </c>
      <c r="N19011" t="str">
        <f>IF(M19011="","",'Master Barang'!A5)</f>
        <v>PRL-004</v>
      </c>
      <c r="O19011" t="str">
        <f>IF(N19011="","",'Master Barang'!B5)</f>
        <v>be clean tissue serbaguna</v>
      </c>
      <c r="P19011">
        <f>IF(OR(M19011="",N19011=""),"",SUMIFS('Barang Keluar'!$E:$E,'Barang Keluar'!$A:$A,M19011,'Barang Keluar'!$C:$C,N19011))</f>
        <v>0</v>
      </c>
    </row>
    <row r="19012" spans="13:16">
      <c r="M19012" s="49">
        <f>IF($A$4+190&gt;$B$4,"",$A$4+190)</f>
        <v>46213</v>
      </c>
      <c r="N19012" t="str">
        <f>IF(M19012="","",'Master Barang'!A6)</f>
        <v>PRL-005</v>
      </c>
      <c r="O19012" t="str">
        <f>IF(N19012="","",'Master Barang'!B6)</f>
        <v>spons cuci hijau</v>
      </c>
      <c r="P19012">
        <f>IF(OR(M19012="",N19012=""),"",SUMIFS('Barang Keluar'!$E:$E,'Barang Keluar'!$A:$A,M19012,'Barang Keluar'!$C:$C,N19012))</f>
        <v>0</v>
      </c>
    </row>
    <row r="19013" spans="13:16">
      <c r="M19013" s="49">
        <f>IF($A$4+190&gt;$B$4,"",$A$4+190)</f>
        <v>46213</v>
      </c>
      <c r="N19013" t="str">
        <f>IF(M19013="","",'Master Barang'!A7)</f>
        <v>PRL-006</v>
      </c>
      <c r="O19013" t="str">
        <f>IF(N19013="","",'Master Barang'!B7)</f>
        <v>sabut cuci stainless</v>
      </c>
      <c r="P19013">
        <f>IF(OR(M19013="",N19013=""),"",SUMIFS('Barang Keluar'!$E:$E,'Barang Keluar'!$A:$A,M19013,'Barang Keluar'!$C:$C,N19013))</f>
        <v>0</v>
      </c>
    </row>
    <row r="19014" spans="13:16">
      <c r="M19014" s="49">
        <f>IF($A$4+190&gt;$B$4,"",$A$4+190)</f>
        <v>46213</v>
      </c>
      <c r="N19014" t="str">
        <f>IF(M19014="","",'Master Barang'!A8)</f>
        <v>PRL-007</v>
      </c>
      <c r="O19014" t="str">
        <f>IF(N19014="","",'Master Barang'!B8)</f>
        <v>plastik kresek besar merah 50pc</v>
      </c>
      <c r="P19014">
        <f>IF(OR(M19014="",N19014=""),"",SUMIFS('Barang Keluar'!$E:$E,'Barang Keluar'!$A:$A,M19014,'Barang Keluar'!$C:$C,N19014))</f>
        <v>0</v>
      </c>
    </row>
    <row r="19015" spans="13:16">
      <c r="M19015" s="49">
        <f>IF($A$4+190&gt;$B$4,"",$A$4+190)</f>
        <v>46213</v>
      </c>
      <c r="N19015" t="str">
        <f>IF(M19015="","",'Master Barang'!A9)</f>
        <v>PRL-008</v>
      </c>
      <c r="O19015" t="str">
        <f>IF(N19015="","",'Master Barang'!B9)</f>
        <v>lap besar</v>
      </c>
      <c r="P19015">
        <f>IF(OR(M19015="",N19015=""),"",SUMIFS('Barang Keluar'!$E:$E,'Barang Keluar'!$A:$A,M19015,'Barang Keluar'!$C:$C,N19015))</f>
        <v>0</v>
      </c>
    </row>
    <row r="19016" spans="13:16">
      <c r="M19016" s="49">
        <f>IF($A$4+190&gt;$B$4,"",$A$4+190)</f>
        <v>46213</v>
      </c>
      <c r="N19016" t="str">
        <f>IF(M19016="","",'Master Barang'!A10)</f>
        <v>PRL-009</v>
      </c>
      <c r="O19016" t="str">
        <f>IF(N19016="","",'Master Barang'!B10)</f>
        <v>lap microfiber</v>
      </c>
      <c r="P19016">
        <f>IF(OR(M19016="",N19016=""),"",SUMIFS('Barang Keluar'!$E:$E,'Barang Keluar'!$A:$A,M19016,'Barang Keluar'!$C:$C,N19016))</f>
        <v>0</v>
      </c>
    </row>
    <row r="19017" spans="13:16">
      <c r="M19017" s="49">
        <f>IF($A$4+190&gt;$B$4,"",$A$4+190)</f>
        <v>46213</v>
      </c>
      <c r="N19017" t="str">
        <f>IF(M19017="","",'Master Barang'!A11)</f>
        <v>PRL-010</v>
      </c>
      <c r="O19017" t="str">
        <f>IF(N19017="","",'Master Barang'!B11)</f>
        <v>lap kecil</v>
      </c>
      <c r="P19017">
        <f>IF(OR(M19017="",N19017=""),"",SUMIFS('Barang Keluar'!$E:$E,'Barang Keluar'!$A:$A,M19017,'Barang Keluar'!$C:$C,N19017))</f>
        <v>0</v>
      </c>
    </row>
    <row r="19018" spans="13:16">
      <c r="M19018" s="49">
        <f>IF($A$4+190&gt;$B$4,"",$A$4+190)</f>
        <v>46213</v>
      </c>
      <c r="N19018" t="str">
        <f>IF(M19018="","",'Master Barang'!A12)</f>
        <v>PRL-011</v>
      </c>
      <c r="O19018" t="str">
        <f>IF(N19018="","",'Master Barang'!B12)</f>
        <v>kanebo kecil</v>
      </c>
      <c r="P19018">
        <f>IF(OR(M19018="",N19018=""),"",SUMIFS('Barang Keluar'!$E:$E,'Barang Keluar'!$A:$A,M19018,'Barang Keluar'!$C:$C,N19018))</f>
        <v>0</v>
      </c>
    </row>
    <row r="19019" spans="13:16">
      <c r="M19019" s="49">
        <f>IF($A$4+190&gt;$B$4,"",$A$4+190)</f>
        <v>46213</v>
      </c>
      <c r="N19019" t="str">
        <f>IF(M19019="","",'Master Barang'!A13)</f>
        <v>PRL-012</v>
      </c>
      <c r="O19019" t="str">
        <f>IF(N19019="","",'Master Barang'!B13)</f>
        <v>plastik 1/4kg joyoboyo 100 lembar</v>
      </c>
      <c r="P19019">
        <f>IF(OR(M19019="",N19019=""),"",SUMIFS('Barang Keluar'!$E:$E,'Barang Keluar'!$A:$A,M19019,'Barang Keluar'!$C:$C,N19019))</f>
        <v>0</v>
      </c>
    </row>
    <row r="19020" spans="13:16">
      <c r="M19020" s="49">
        <f>IF($A$4+190&gt;$B$4,"",$A$4+190)</f>
        <v>46213</v>
      </c>
      <c r="N19020" t="str">
        <f>IF(M19020="","",'Master Barang'!A14)</f>
        <v>PRL-013</v>
      </c>
      <c r="O19020" t="str">
        <f>IF(N19020="","",'Master Barang'!B14)</f>
        <v>sarung tangan plastik kaka 100 pcs</v>
      </c>
      <c r="P19020">
        <f>IF(OR(M19020="",N19020=""),"",SUMIFS('Barang Keluar'!$E:$E,'Barang Keluar'!$A:$A,M19020,'Barang Keluar'!$C:$C,N19020))</f>
        <v>0</v>
      </c>
    </row>
    <row r="19021" spans="13:16">
      <c r="M19021" s="49">
        <f>IF($A$4+190&gt;$B$4,"",$A$4+190)</f>
        <v>46213</v>
      </c>
      <c r="N19021" t="str">
        <f>IF(M19021="","",'Master Barang'!A15)</f>
        <v>PRL-014</v>
      </c>
      <c r="O19021" t="str">
        <f>IF(N19021="","",'Master Barang'!B15)</f>
        <v>optima trashbag 80x100</v>
      </c>
      <c r="P19021">
        <f>IF(OR(M19021="",N19021=""),"",SUMIFS('Barang Keluar'!$E:$E,'Barang Keluar'!$A:$A,M19021,'Barang Keluar'!$C:$C,N19021))</f>
        <v>0</v>
      </c>
    </row>
    <row r="19022" spans="13:16">
      <c r="M19022" s="49">
        <f>IF($A$4+190&gt;$B$4,"",$A$4+190)</f>
        <v>46213</v>
      </c>
      <c r="N19022" t="str">
        <f>IF(M19022="","",'Master Barang'!A16)</f>
        <v>PRL-015</v>
      </c>
      <c r="O19022" t="str">
        <f>IF(N19022="","",'Master Barang'!B16)</f>
        <v>optima trashbag 60x100</v>
      </c>
      <c r="P19022">
        <f>IF(OR(M19022="",N19022=""),"",SUMIFS('Barang Keluar'!$E:$E,'Barang Keluar'!$A:$A,M19022,'Barang Keluar'!$C:$C,N19022))</f>
        <v>0</v>
      </c>
    </row>
    <row r="19023" spans="13:16">
      <c r="M19023" s="49">
        <f>IF($A$4+190&gt;$B$4,"",$A$4+190)</f>
        <v>46213</v>
      </c>
      <c r="N19023" t="str">
        <f>IF(M19023="","",'Master Barang'!A17)</f>
        <v>PRL-016</v>
      </c>
      <c r="O19023" t="str">
        <f>IF(N19023="","",'Master Barang'!B17)</f>
        <v>rajawali trashbag 30x40</v>
      </c>
      <c r="P19023">
        <f>IF(OR(M19023="",N19023=""),"",SUMIFS('Barang Keluar'!$E:$E,'Barang Keluar'!$A:$A,M19023,'Barang Keluar'!$C:$C,N19023))</f>
        <v>0</v>
      </c>
    </row>
    <row r="19024" spans="13:16">
      <c r="M19024" s="49">
        <f>IF($A$4+190&gt;$B$4,"",$A$4+190)</f>
        <v>46213</v>
      </c>
      <c r="N19024" t="str">
        <f>IF(M19024="","",'Master Barang'!A18)</f>
        <v>PRL-017</v>
      </c>
      <c r="O19024" t="str">
        <f>IF(N19024="","",'Master Barang'!B18)</f>
        <v>onemed masker biru 3 play 50 pcs</v>
      </c>
      <c r="P19024">
        <f>IF(OR(M19024="",N19024=""),"",SUMIFS('Barang Keluar'!$E:$E,'Barang Keluar'!$A:$A,M19024,'Barang Keluar'!$C:$C,N19024))</f>
        <v>0</v>
      </c>
    </row>
    <row r="19025" spans="13:16">
      <c r="M19025" s="49">
        <f>IF($A$4+190&gt;$B$4,"",$A$4+190)</f>
        <v>46213</v>
      </c>
      <c r="N19025" t="str">
        <f>IF(M19025="","",'Master Barang'!A19)</f>
        <v>PRL-018</v>
      </c>
      <c r="O19025" t="str">
        <f>IF(N19025="","",'Master Barang'!B19)</f>
        <v>onemed masker biru 3 play hijab 50 pcs</v>
      </c>
      <c r="P19025">
        <f>IF(OR(M19025="",N19025=""),"",SUMIFS('Barang Keluar'!$E:$E,'Barang Keluar'!$A:$A,M19025,'Barang Keluar'!$C:$C,N19025))</f>
        <v>0</v>
      </c>
    </row>
    <row r="19026" spans="13:16">
      <c r="M19026" s="49">
        <f>IF($A$4+190&gt;$B$4,"",$A$4+190)</f>
        <v>46213</v>
      </c>
      <c r="N19026" t="str">
        <f>IF(M19026="","",'Master Barang'!A20)</f>
        <v>PRL-019</v>
      </c>
      <c r="O19026" t="str">
        <f>IF(N19026="","",'Master Barang'!B20)</f>
        <v>neo health masker biru 3 play 50 pcs</v>
      </c>
      <c r="P19026">
        <f>IF(OR(M19026="",N19026=""),"",SUMIFS('Barang Keluar'!$E:$E,'Barang Keluar'!$A:$A,M19026,'Barang Keluar'!$C:$C,N19026))</f>
        <v>0</v>
      </c>
    </row>
    <row r="19027" spans="13:16">
      <c r="M19027" s="49">
        <f>IF($A$4+190&gt;$B$4,"",$A$4+190)</f>
        <v>46213</v>
      </c>
      <c r="N19027" t="str">
        <f>IF(M19027="","",'Master Barang'!A21)</f>
        <v>PRL-020</v>
      </c>
      <c r="O19027" t="str">
        <f>IF(N19027="","",'Master Barang'!B21)</f>
        <v>baymed masker hijau 3 play hijau 50 pcs</v>
      </c>
      <c r="P19027">
        <f>IF(OR(M19027="",N19027=""),"",SUMIFS('Barang Keluar'!$E:$E,'Barang Keluar'!$A:$A,M19027,'Barang Keluar'!$C:$C,N19027))</f>
        <v>0</v>
      </c>
    </row>
    <row r="19028" spans="13:16">
      <c r="M19028" s="49">
        <f>IF($A$4+190&gt;$B$4,"",$A$4+190)</f>
        <v>46213</v>
      </c>
      <c r="N19028" t="str">
        <f>IF(M19028="","",'Master Barang'!A22)</f>
        <v>PRL-021</v>
      </c>
      <c r="O19028" t="str">
        <f>IF(N19028="","",'Master Barang'!B22)</f>
        <v>altamed nurse cap penutup kepala 100 pcs</v>
      </c>
      <c r="P19028">
        <f>IF(OR(M19028="",N19028=""),"",SUMIFS('Barang Keluar'!$E:$E,'Barang Keluar'!$A:$A,M19028,'Barang Keluar'!$C:$C,N19028))</f>
        <v>0</v>
      </c>
    </row>
    <row r="19029" spans="13:16">
      <c r="M19029" s="49">
        <f>IF($A$4+190&gt;$B$4,"",$A$4+190)</f>
        <v>46213</v>
      </c>
      <c r="N19029" t="str">
        <f>IF(M19029="","",'Master Barang'!A23)</f>
        <v>PRL-022</v>
      </c>
      <c r="O19029" t="str">
        <f>IF(N19029="","",'Master Barang'!B23)</f>
        <v>sabun cuci tangan</v>
      </c>
      <c r="P19029">
        <f>IF(OR(M19029="",N19029=""),"",SUMIFS('Barang Keluar'!$E:$E,'Barang Keluar'!$A:$A,M19029,'Barang Keluar'!$C:$C,N19029))</f>
        <v>0</v>
      </c>
    </row>
    <row r="19030" spans="13:16">
      <c r="M19030" s="49">
        <f>IF($A$4+190&gt;$B$4,"",$A$4+190)</f>
        <v>46213</v>
      </c>
      <c r="N19030" t="str">
        <f>IF(M19030="","",'Master Barang'!A24)</f>
        <v>PRL-023</v>
      </c>
      <c r="O19030" t="str">
        <f>IF(N19030="","",'Master Barang'!B24)</f>
        <v>gayung kecil</v>
      </c>
      <c r="P19030">
        <f>IF(OR(M19030="",N19030=""),"",SUMIFS('Barang Keluar'!$E:$E,'Barang Keluar'!$A:$A,M19030,'Barang Keluar'!$C:$C,N19030))</f>
        <v>0</v>
      </c>
    </row>
    <row r="19031" spans="13:16">
      <c r="M19031" s="49">
        <f>IF($A$4+190&gt;$B$4,"",$A$4+190)</f>
        <v>46213</v>
      </c>
      <c r="N19031" t="str">
        <f>IF(M19031="","",'Master Barang'!A25)</f>
        <v>PRL-024</v>
      </c>
      <c r="O19031" t="str">
        <f>IF(N19031="","",'Master Barang'!B25)</f>
        <v>cikrak kecil</v>
      </c>
      <c r="P19031">
        <f>IF(OR(M19031="",N19031=""),"",SUMIFS('Barang Keluar'!$E:$E,'Barang Keluar'!$A:$A,M19031,'Barang Keluar'!$C:$C,N19031))</f>
        <v>0</v>
      </c>
    </row>
    <row r="19032" spans="13:16">
      <c r="M19032" s="49">
        <f>IF($A$4+190&gt;$B$4,"",$A$4+190)</f>
        <v>46213</v>
      </c>
      <c r="N19032" t="str">
        <f>IF(M19032="","",'Master Barang'!A26)</f>
        <v>PRL-025</v>
      </c>
      <c r="O19032" t="str">
        <f>IF(N19032="","",'Master Barang'!B26)</f>
        <v>petromax plastik kecil 12x24 100 lembar</v>
      </c>
      <c r="P19032">
        <f>IF(OR(M19032="",N19032=""),"",SUMIFS('Barang Keluar'!$E:$E,'Barang Keluar'!$A:$A,M19032,'Barang Keluar'!$C:$C,N19032))</f>
        <v>0</v>
      </c>
    </row>
    <row r="19033" spans="13:16">
      <c r="M19033" s="49">
        <f>IF($A$4+190&gt;$B$4,"",$A$4+190)</f>
        <v>46213</v>
      </c>
      <c r="N19033" t="str">
        <f>IF(M19033="","",'Master Barang'!A27)</f>
        <v>PRL-026</v>
      </c>
      <c r="O19033" t="str">
        <f>IF(N19033="","",'Master Barang'!B27)</f>
        <v>lancar kresek kecil bening </v>
      </c>
      <c r="P19033">
        <f>IF(OR(M19033="",N19033=""),"",SUMIFS('Barang Keluar'!$E:$E,'Barang Keluar'!$A:$A,M19033,'Barang Keluar'!$C:$C,N19033))</f>
        <v>0</v>
      </c>
    </row>
    <row r="19034" spans="13:16">
      <c r="M19034" s="49">
        <f>IF($A$4+190&gt;$B$4,"",$A$4+190)</f>
        <v>46213</v>
      </c>
      <c r="N19034" t="str">
        <f>IF(M19034="","",'Master Barang'!A28)</f>
        <v>PRL-027</v>
      </c>
      <c r="O19034" t="str">
        <f>IF(N19034="","",'Master Barang'!B28)</f>
        <v>kresek klin warna warni kecil</v>
      </c>
      <c r="P19034">
        <f>IF(OR(M19034="",N19034=""),"",SUMIFS('Barang Keluar'!$E:$E,'Barang Keluar'!$A:$A,M19034,'Barang Keluar'!$C:$C,N19034))</f>
        <v>0</v>
      </c>
    </row>
    <row r="19035" spans="13:16">
      <c r="M19035" s="49">
        <f>IF($A$4+190&gt;$B$4,"",$A$4+190)</f>
        <v>46213</v>
      </c>
      <c r="N19035" t="str">
        <f>IF(M19035="","",'Master Barang'!A29)</f>
        <v>PRL-028</v>
      </c>
      <c r="O19035" t="str">
        <f>IF(N19035="","",'Master Barang'!B29)</f>
        <v>ctik plastik 7x10 100 pcs</v>
      </c>
      <c r="P19035">
        <f>IF(OR(M19035="",N19035=""),"",SUMIFS('Barang Keluar'!$E:$E,'Barang Keluar'!$A:$A,M19035,'Barang Keluar'!$C:$C,N19035))</f>
        <v>0</v>
      </c>
    </row>
    <row r="19036" spans="13:16">
      <c r="M19036" s="49">
        <f>IF($A$4+190&gt;$B$4,"",$A$4+190)</f>
        <v>46213</v>
      </c>
      <c r="N19036" t="str">
        <f>IF(M19036="","",'Master Barang'!A30)</f>
        <v>PRL-029</v>
      </c>
      <c r="O19036" t="str">
        <f>IF(N19036="","",'Master Barang'!B30)</f>
        <v>ctik plastik 6x10 100 pcs</v>
      </c>
      <c r="P19036">
        <f>IF(OR(M19036="",N19036=""),"",SUMIFS('Barang Keluar'!$E:$E,'Barang Keluar'!$A:$A,M19036,'Barang Keluar'!$C:$C,N19036))</f>
        <v>0</v>
      </c>
    </row>
    <row r="19037" spans="13:16">
      <c r="M19037" s="49">
        <f>IF($A$4+190&gt;$B$4,"",$A$4+190)</f>
        <v>46213</v>
      </c>
      <c r="N19037" t="str">
        <f>IF(M19037="","",'Master Barang'!A31)</f>
        <v>PRL-030</v>
      </c>
      <c r="O19037" t="str">
        <f>IF(N19037="","",'Master Barang'!B31)</f>
        <v>klip plastik 25x16 100 pcs</v>
      </c>
      <c r="P19037">
        <f>IF(OR(M19037="",N19037=""),"",SUMIFS('Barang Keluar'!$E:$E,'Barang Keluar'!$A:$A,M19037,'Barang Keluar'!$C:$C,N19037))</f>
        <v>0</v>
      </c>
    </row>
    <row r="19038" spans="13:16">
      <c r="M19038" s="49">
        <f>IF($A$4+190&gt;$B$4,"",$A$4+190)</f>
        <v>46213</v>
      </c>
      <c r="N19038" t="str">
        <f>IF(M19038="","",'Master Barang'!A32)</f>
        <v>PRL-031</v>
      </c>
      <c r="O19038" t="str">
        <f>IF(N19038="","",'Master Barang'!B32)</f>
        <v>tempat saus 20 ml</v>
      </c>
      <c r="P19038">
        <f>IF(OR(M19038="",N19038=""),"",SUMIFS('Barang Keluar'!$E:$E,'Barang Keluar'!$A:$A,M19038,'Barang Keluar'!$C:$C,N19038))</f>
        <v>0</v>
      </c>
    </row>
    <row r="19039" spans="13:16">
      <c r="M19039" s="49">
        <f>IF($A$4+190&gt;$B$4,"",$A$4+190)</f>
        <v>46213</v>
      </c>
      <c r="N19039" t="str">
        <f>IF(M19039="","",'Master Barang'!A33)</f>
        <v>PRL-032</v>
      </c>
      <c r="O19039" t="str">
        <f>IF(N19039="","",'Master Barang'!B33)</f>
        <v>plastik packaging ag box uk sedang</v>
      </c>
      <c r="P19039">
        <f>IF(OR(M19039="",N19039=""),"",SUMIFS('Barang Keluar'!$E:$E,'Barang Keluar'!$A:$A,M19039,'Barang Keluar'!$C:$C,N19039))</f>
        <v>0</v>
      </c>
    </row>
    <row r="19040" spans="13:16">
      <c r="M19040" s="49">
        <f>IF($A$4+190&gt;$B$4,"",$A$4+190)</f>
        <v>46213</v>
      </c>
      <c r="N19040" t="str">
        <f>IF(M19040="","",'Master Barang'!A34)</f>
        <v>PRL-033</v>
      </c>
      <c r="O19040">
        <f>IF(N19040="","",'Master Barang'!B34)</f>
        <v>0</v>
      </c>
      <c r="P19040">
        <f>IF(OR(M19040="",N19040=""),"",SUMIFS('Barang Keluar'!$E:$E,'Barang Keluar'!$A:$A,M19040,'Barang Keluar'!$C:$C,N19040))</f>
        <v>0</v>
      </c>
    </row>
    <row r="19041" spans="13:16">
      <c r="M19041" s="49">
        <f>IF($A$4+190&gt;$B$4,"",$A$4+190)</f>
        <v>46213</v>
      </c>
      <c r="N19041">
        <f>IF(M19041="","",'Master Barang'!A35)</f>
        <v>0</v>
      </c>
      <c r="O19041">
        <f>IF(N19041="","",'Master Barang'!B35)</f>
        <v>0</v>
      </c>
      <c r="P19041">
        <f>IF(OR(M19041="",N19041=""),"",SUMIFS('Barang Keluar'!$E:$E,'Barang Keluar'!$A:$A,M19041,'Barang Keluar'!$C:$C,N19041))</f>
        <v>0</v>
      </c>
    </row>
    <row r="19042" spans="13:16">
      <c r="M19042" s="49">
        <f>IF($A$4+190&gt;$B$4,"",$A$4+190)</f>
        <v>46213</v>
      </c>
      <c r="N19042">
        <f>IF(M19042="","",'Master Barang'!A36)</f>
        <v>0</v>
      </c>
      <c r="O19042">
        <f>IF(N19042="","",'Master Barang'!B36)</f>
        <v>0</v>
      </c>
      <c r="P19042">
        <f>IF(OR(M19042="",N19042=""),"",SUMIFS('Barang Keluar'!$E:$E,'Barang Keluar'!$A:$A,M19042,'Barang Keluar'!$C:$C,N19042))</f>
        <v>0</v>
      </c>
    </row>
    <row r="19043" spans="13:16">
      <c r="M19043" s="49">
        <f>IF($A$4+190&gt;$B$4,"",$A$4+190)</f>
        <v>46213</v>
      </c>
      <c r="N19043">
        <f>IF(M19043="","",'Master Barang'!A37)</f>
        <v>0</v>
      </c>
      <c r="O19043">
        <f>IF(N19043="","",'Master Barang'!B37)</f>
        <v>0</v>
      </c>
      <c r="P19043">
        <f>IF(OR(M19043="",N19043=""),"",SUMIFS('Barang Keluar'!$E:$E,'Barang Keluar'!$A:$A,M19043,'Barang Keluar'!$C:$C,N19043))</f>
        <v>0</v>
      </c>
    </row>
    <row r="19044" spans="13:16">
      <c r="M19044" s="49">
        <f>IF($A$4+190&gt;$B$4,"",$A$4+190)</f>
        <v>46213</v>
      </c>
      <c r="N19044">
        <f>IF(M19044="","",'Master Barang'!A38)</f>
        <v>0</v>
      </c>
      <c r="O19044">
        <f>IF(N19044="","",'Master Barang'!B38)</f>
        <v>0</v>
      </c>
      <c r="P19044">
        <f>IF(OR(M19044="",N19044=""),"",SUMIFS('Barang Keluar'!$E:$E,'Barang Keluar'!$A:$A,M19044,'Barang Keluar'!$C:$C,N19044))</f>
        <v>0</v>
      </c>
    </row>
    <row r="19045" spans="13:16">
      <c r="M19045" s="49">
        <f>IF($A$4+190&gt;$B$4,"",$A$4+190)</f>
        <v>46213</v>
      </c>
      <c r="N19045">
        <f>IF(M19045="","",'Master Barang'!A39)</f>
        <v>0</v>
      </c>
      <c r="O19045">
        <f>IF(N19045="","",'Master Barang'!B39)</f>
        <v>0</v>
      </c>
      <c r="P19045">
        <f>IF(OR(M19045="",N19045=""),"",SUMIFS('Barang Keluar'!$E:$E,'Barang Keluar'!$A:$A,M19045,'Barang Keluar'!$C:$C,N19045))</f>
        <v>0</v>
      </c>
    </row>
    <row r="19046" spans="13:16">
      <c r="M19046" s="49">
        <f>IF($A$4+190&gt;$B$4,"",$A$4+190)</f>
        <v>46213</v>
      </c>
      <c r="N19046">
        <f>IF(M19046="","",'Master Barang'!A40)</f>
        <v>0</v>
      </c>
      <c r="O19046">
        <f>IF(N19046="","",'Master Barang'!B40)</f>
        <v>0</v>
      </c>
      <c r="P19046">
        <f>IF(OR(M19046="",N19046=""),"",SUMIFS('Barang Keluar'!$E:$E,'Barang Keluar'!$A:$A,M19046,'Barang Keluar'!$C:$C,N19046))</f>
        <v>0</v>
      </c>
    </row>
    <row r="19047" spans="13:16">
      <c r="M19047" s="49">
        <f>IF($A$4+190&gt;$B$4,"",$A$4+190)</f>
        <v>46213</v>
      </c>
      <c r="N19047">
        <f>IF(M19047="","",'Master Barang'!A41)</f>
        <v>0</v>
      </c>
      <c r="O19047">
        <f>IF(N19047="","",'Master Barang'!B41)</f>
        <v>0</v>
      </c>
      <c r="P19047">
        <f>IF(OR(M19047="",N19047=""),"",SUMIFS('Barang Keluar'!$E:$E,'Barang Keluar'!$A:$A,M19047,'Barang Keluar'!$C:$C,N19047))</f>
        <v>0</v>
      </c>
    </row>
    <row r="19048" spans="13:16">
      <c r="M19048" s="49">
        <f>IF($A$4+190&gt;$B$4,"",$A$4+190)</f>
        <v>46213</v>
      </c>
      <c r="N19048">
        <f>IF(M19048="","",'Master Barang'!A42)</f>
        <v>0</v>
      </c>
      <c r="O19048">
        <f>IF(N19048="","",'Master Barang'!B42)</f>
        <v>0</v>
      </c>
      <c r="P19048">
        <f>IF(OR(M19048="",N19048=""),"",SUMIFS('Barang Keluar'!$E:$E,'Barang Keluar'!$A:$A,M19048,'Barang Keluar'!$C:$C,N19048))</f>
        <v>0</v>
      </c>
    </row>
    <row r="19049" spans="13:16">
      <c r="M19049" s="49">
        <f>IF($A$4+190&gt;$B$4,"",$A$4+190)</f>
        <v>46213</v>
      </c>
      <c r="N19049">
        <f>IF(M19049="","",'Master Barang'!A43)</f>
        <v>0</v>
      </c>
      <c r="O19049">
        <f>IF(N19049="","",'Master Barang'!B43)</f>
        <v>0</v>
      </c>
      <c r="P19049">
        <f>IF(OR(M19049="",N19049=""),"",SUMIFS('Barang Keluar'!$E:$E,'Barang Keluar'!$A:$A,M19049,'Barang Keluar'!$C:$C,N19049))</f>
        <v>0</v>
      </c>
    </row>
    <row r="19050" spans="13:16">
      <c r="M19050" s="49">
        <f>IF($A$4+190&gt;$B$4,"",$A$4+190)</f>
        <v>46213</v>
      </c>
      <c r="N19050">
        <f>IF(M19050="","",'Master Barang'!A44)</f>
        <v>0</v>
      </c>
      <c r="O19050">
        <f>IF(N19050="","",'Master Barang'!B44)</f>
        <v>0</v>
      </c>
      <c r="P19050">
        <f>IF(OR(M19050="",N19050=""),"",SUMIFS('Barang Keluar'!$E:$E,'Barang Keluar'!$A:$A,M19050,'Barang Keluar'!$C:$C,N19050))</f>
        <v>0</v>
      </c>
    </row>
    <row r="19051" spans="13:16">
      <c r="M19051" s="49">
        <f>IF($A$4+190&gt;$B$4,"",$A$4+190)</f>
        <v>46213</v>
      </c>
      <c r="N19051">
        <f>IF(M19051="","",'Master Barang'!A45)</f>
        <v>0</v>
      </c>
      <c r="O19051">
        <f>IF(N19051="","",'Master Barang'!B45)</f>
        <v>0</v>
      </c>
      <c r="P19051">
        <f>IF(OR(M19051="",N19051=""),"",SUMIFS('Barang Keluar'!$E:$E,'Barang Keluar'!$A:$A,M19051,'Barang Keluar'!$C:$C,N19051))</f>
        <v>0</v>
      </c>
    </row>
    <row r="19052" spans="13:16">
      <c r="M19052" s="49">
        <f>IF($A$4+190&gt;$B$4,"",$A$4+190)</f>
        <v>46213</v>
      </c>
      <c r="N19052">
        <f>IF(M19052="","",'Master Barang'!A46)</f>
        <v>0</v>
      </c>
      <c r="O19052">
        <f>IF(N19052="","",'Master Barang'!B46)</f>
        <v>0</v>
      </c>
      <c r="P19052">
        <f>IF(OR(M19052="",N19052=""),"",SUMIFS('Barang Keluar'!$E:$E,'Barang Keluar'!$A:$A,M19052,'Barang Keluar'!$C:$C,N19052))</f>
        <v>0</v>
      </c>
    </row>
    <row r="19053" spans="13:16">
      <c r="M19053" s="49">
        <f>IF($A$4+190&gt;$B$4,"",$A$4+190)</f>
        <v>46213</v>
      </c>
      <c r="N19053">
        <f>IF(M19053="","",'Master Barang'!A47)</f>
        <v>0</v>
      </c>
      <c r="O19053">
        <f>IF(N19053="","",'Master Barang'!B47)</f>
        <v>0</v>
      </c>
      <c r="P19053">
        <f>IF(OR(M19053="",N19053=""),"",SUMIFS('Barang Keluar'!$E:$E,'Barang Keluar'!$A:$A,M19053,'Barang Keluar'!$C:$C,N19053))</f>
        <v>0</v>
      </c>
    </row>
    <row r="19054" spans="13:16">
      <c r="M19054" s="49">
        <f>IF($A$4+190&gt;$B$4,"",$A$4+190)</f>
        <v>46213</v>
      </c>
      <c r="N19054">
        <f>IF(M19054="","",'Master Barang'!A48)</f>
        <v>0</v>
      </c>
      <c r="O19054">
        <f>IF(N19054="","",'Master Barang'!B48)</f>
        <v>0</v>
      </c>
      <c r="P19054">
        <f>IF(OR(M19054="",N19054=""),"",SUMIFS('Barang Keluar'!$E:$E,'Barang Keluar'!$A:$A,M19054,'Barang Keluar'!$C:$C,N19054))</f>
        <v>0</v>
      </c>
    </row>
    <row r="19055" spans="13:16">
      <c r="M19055" s="49">
        <f>IF($A$4+190&gt;$B$4,"",$A$4+190)</f>
        <v>46213</v>
      </c>
      <c r="N19055">
        <f>IF(M19055="","",'Master Barang'!A49)</f>
        <v>0</v>
      </c>
      <c r="O19055">
        <f>IF(N19055="","",'Master Barang'!B49)</f>
        <v>0</v>
      </c>
      <c r="P19055">
        <f>IF(OR(M19055="",N19055=""),"",SUMIFS('Barang Keluar'!$E:$E,'Barang Keluar'!$A:$A,M19055,'Barang Keluar'!$C:$C,N19055))</f>
        <v>0</v>
      </c>
    </row>
    <row r="19056" spans="13:16">
      <c r="M19056" s="49">
        <f>IF($A$4+190&gt;$B$4,"",$A$4+190)</f>
        <v>46213</v>
      </c>
      <c r="N19056">
        <f>IF(M19056="","",'Master Barang'!A50)</f>
        <v>0</v>
      </c>
      <c r="O19056">
        <f>IF(N19056="","",'Master Barang'!B50)</f>
        <v>0</v>
      </c>
      <c r="P19056">
        <f>IF(OR(M19056="",N19056=""),"",SUMIFS('Barang Keluar'!$E:$E,'Barang Keluar'!$A:$A,M19056,'Barang Keluar'!$C:$C,N19056))</f>
        <v>0</v>
      </c>
    </row>
    <row r="19057" spans="13:16">
      <c r="M19057" s="49">
        <f>IF($A$4+190&gt;$B$4,"",$A$4+190)</f>
        <v>46213</v>
      </c>
      <c r="N19057">
        <f>IF(M19057="","",'Master Barang'!A51)</f>
        <v>0</v>
      </c>
      <c r="O19057">
        <f>IF(N19057="","",'Master Barang'!B51)</f>
        <v>0</v>
      </c>
      <c r="P19057">
        <f>IF(OR(M19057="",N19057=""),"",SUMIFS('Barang Keluar'!$E:$E,'Barang Keluar'!$A:$A,M19057,'Barang Keluar'!$C:$C,N19057))</f>
        <v>0</v>
      </c>
    </row>
    <row r="19058" spans="13:16">
      <c r="M19058" s="49">
        <f>IF($A$4+190&gt;$B$4,"",$A$4+190)</f>
        <v>46213</v>
      </c>
      <c r="N19058">
        <f>IF(M19058="","",'Master Barang'!A52)</f>
        <v>0</v>
      </c>
      <c r="O19058">
        <f>IF(N19058="","",'Master Barang'!B52)</f>
        <v>0</v>
      </c>
      <c r="P19058">
        <f>IF(OR(M19058="",N19058=""),"",SUMIFS('Barang Keluar'!$E:$E,'Barang Keluar'!$A:$A,M19058,'Barang Keluar'!$C:$C,N19058))</f>
        <v>0</v>
      </c>
    </row>
    <row r="19059" spans="13:16">
      <c r="M19059" s="49">
        <f>IF($A$4+190&gt;$B$4,"",$A$4+190)</f>
        <v>46213</v>
      </c>
      <c r="N19059">
        <f>IF(M19059="","",'Master Barang'!A53)</f>
        <v>0</v>
      </c>
      <c r="O19059">
        <f>IF(N19059="","",'Master Barang'!B53)</f>
        <v>0</v>
      </c>
      <c r="P19059">
        <f>IF(OR(M19059="",N19059=""),"",SUMIFS('Barang Keluar'!$E:$E,'Barang Keluar'!$A:$A,M19059,'Barang Keluar'!$C:$C,N19059))</f>
        <v>0</v>
      </c>
    </row>
    <row r="19060" spans="13:16">
      <c r="M19060" s="49">
        <f>IF($A$4+190&gt;$B$4,"",$A$4+190)</f>
        <v>46213</v>
      </c>
      <c r="N19060">
        <f>IF(M19060="","",'Master Barang'!A54)</f>
        <v>0</v>
      </c>
      <c r="O19060">
        <f>IF(N19060="","",'Master Barang'!B54)</f>
        <v>0</v>
      </c>
      <c r="P19060">
        <f>IF(OR(M19060="",N19060=""),"",SUMIFS('Barang Keluar'!$E:$E,'Barang Keluar'!$A:$A,M19060,'Barang Keluar'!$C:$C,N19060))</f>
        <v>0</v>
      </c>
    </row>
    <row r="19061" spans="13:16">
      <c r="M19061" s="49">
        <f>IF($A$4+190&gt;$B$4,"",$A$4+190)</f>
        <v>46213</v>
      </c>
      <c r="N19061">
        <f>IF(M19061="","",'Master Barang'!A55)</f>
        <v>0</v>
      </c>
      <c r="O19061">
        <f>IF(N19061="","",'Master Barang'!B55)</f>
        <v>0</v>
      </c>
      <c r="P19061">
        <f>IF(OR(M19061="",N19061=""),"",SUMIFS('Barang Keluar'!$E:$E,'Barang Keluar'!$A:$A,M19061,'Barang Keluar'!$C:$C,N19061))</f>
        <v>0</v>
      </c>
    </row>
    <row r="19062" spans="13:16">
      <c r="M19062" s="49">
        <f>IF($A$4+190&gt;$B$4,"",$A$4+190)</f>
        <v>46213</v>
      </c>
      <c r="N19062">
        <f>IF(M19062="","",'Master Barang'!A56)</f>
        <v>0</v>
      </c>
      <c r="O19062">
        <f>IF(N19062="","",'Master Barang'!B56)</f>
        <v>0</v>
      </c>
      <c r="P19062">
        <f>IF(OR(M19062="",N19062=""),"",SUMIFS('Barang Keluar'!$E:$E,'Barang Keluar'!$A:$A,M19062,'Barang Keluar'!$C:$C,N19062))</f>
        <v>0</v>
      </c>
    </row>
    <row r="19063" spans="13:16">
      <c r="M19063" s="49">
        <f>IF($A$4+190&gt;$B$4,"",$A$4+190)</f>
        <v>46213</v>
      </c>
      <c r="N19063">
        <f>IF(M19063="","",'Master Barang'!A57)</f>
        <v>0</v>
      </c>
      <c r="O19063">
        <f>IF(N19063="","",'Master Barang'!B57)</f>
        <v>0</v>
      </c>
      <c r="P19063">
        <f>IF(OR(M19063="",N19063=""),"",SUMIFS('Barang Keluar'!$E:$E,'Barang Keluar'!$A:$A,M19063,'Barang Keluar'!$C:$C,N19063))</f>
        <v>0</v>
      </c>
    </row>
    <row r="19064" spans="13:16">
      <c r="M19064" s="49">
        <f>IF($A$4+190&gt;$B$4,"",$A$4+190)</f>
        <v>46213</v>
      </c>
      <c r="N19064">
        <f>IF(M19064="","",'Master Barang'!A58)</f>
        <v>0</v>
      </c>
      <c r="O19064">
        <f>IF(N19064="","",'Master Barang'!B58)</f>
        <v>0</v>
      </c>
      <c r="P19064">
        <f>IF(OR(M19064="",N19064=""),"",SUMIFS('Barang Keluar'!$E:$E,'Barang Keluar'!$A:$A,M19064,'Barang Keluar'!$C:$C,N19064))</f>
        <v>0</v>
      </c>
    </row>
    <row r="19065" spans="13:16">
      <c r="M19065" s="49">
        <f>IF($A$4+190&gt;$B$4,"",$A$4+190)</f>
        <v>46213</v>
      </c>
      <c r="N19065">
        <f>IF(M19065="","",'Master Barang'!A59)</f>
        <v>0</v>
      </c>
      <c r="O19065">
        <f>IF(N19065="","",'Master Barang'!B59)</f>
        <v>0</v>
      </c>
      <c r="P19065">
        <f>IF(OR(M19065="",N19065=""),"",SUMIFS('Barang Keluar'!$E:$E,'Barang Keluar'!$A:$A,M19065,'Barang Keluar'!$C:$C,N19065))</f>
        <v>0</v>
      </c>
    </row>
    <row r="19066" spans="13:16">
      <c r="M19066" s="49">
        <f>IF($A$4+190&gt;$B$4,"",$A$4+190)</f>
        <v>46213</v>
      </c>
      <c r="N19066">
        <f>IF(M19066="","",'Master Barang'!A60)</f>
        <v>0</v>
      </c>
      <c r="O19066">
        <f>IF(N19066="","",'Master Barang'!B60)</f>
        <v>0</v>
      </c>
      <c r="P19066">
        <f>IF(OR(M19066="",N19066=""),"",SUMIFS('Barang Keluar'!$E:$E,'Barang Keluar'!$A:$A,M19066,'Barang Keluar'!$C:$C,N19066))</f>
        <v>0</v>
      </c>
    </row>
    <row r="19067" spans="13:16">
      <c r="M19067" s="49">
        <f>IF($A$4+190&gt;$B$4,"",$A$4+190)</f>
        <v>46213</v>
      </c>
      <c r="N19067">
        <f>IF(M19067="","",'Master Barang'!A61)</f>
        <v>0</v>
      </c>
      <c r="O19067">
        <f>IF(N19067="","",'Master Barang'!B61)</f>
        <v>0</v>
      </c>
      <c r="P19067">
        <f>IF(OR(M19067="",N19067=""),"",SUMIFS('Barang Keluar'!$E:$E,'Barang Keluar'!$A:$A,M19067,'Barang Keluar'!$C:$C,N19067))</f>
        <v>0</v>
      </c>
    </row>
    <row r="19068" spans="13:16">
      <c r="M19068" s="49">
        <f>IF($A$4+190&gt;$B$4,"",$A$4+190)</f>
        <v>46213</v>
      </c>
      <c r="N19068">
        <f>IF(M19068="","",'Master Barang'!A62)</f>
        <v>0</v>
      </c>
      <c r="O19068">
        <f>IF(N19068="","",'Master Barang'!B62)</f>
        <v>0</v>
      </c>
      <c r="P19068">
        <f>IF(OR(M19068="",N19068=""),"",SUMIFS('Barang Keluar'!$E:$E,'Barang Keluar'!$A:$A,M19068,'Barang Keluar'!$C:$C,N19068))</f>
        <v>0</v>
      </c>
    </row>
    <row r="19069" spans="13:16">
      <c r="M19069" s="49">
        <f>IF($A$4+190&gt;$B$4,"",$A$4+190)</f>
        <v>46213</v>
      </c>
      <c r="N19069">
        <f>IF(M19069="","",'Master Barang'!A63)</f>
        <v>0</v>
      </c>
      <c r="O19069">
        <f>IF(N19069="","",'Master Barang'!B63)</f>
        <v>0</v>
      </c>
      <c r="P19069">
        <f>IF(OR(M19069="",N19069=""),"",SUMIFS('Barang Keluar'!$E:$E,'Barang Keluar'!$A:$A,M19069,'Barang Keluar'!$C:$C,N19069))</f>
        <v>0</v>
      </c>
    </row>
    <row r="19070" spans="13:16">
      <c r="M19070" s="49">
        <f>IF($A$4+190&gt;$B$4,"",$A$4+190)</f>
        <v>46213</v>
      </c>
      <c r="N19070">
        <f>IF(M19070="","",'Master Barang'!A64)</f>
        <v>0</v>
      </c>
      <c r="O19070">
        <f>IF(N19070="","",'Master Barang'!B64)</f>
        <v>0</v>
      </c>
      <c r="P19070">
        <f>IF(OR(M19070="",N19070=""),"",SUMIFS('Barang Keluar'!$E:$E,'Barang Keluar'!$A:$A,M19070,'Barang Keluar'!$C:$C,N19070))</f>
        <v>0</v>
      </c>
    </row>
    <row r="19071" spans="13:16">
      <c r="M19071" s="49">
        <f>IF($A$4+190&gt;$B$4,"",$A$4+190)</f>
        <v>46213</v>
      </c>
      <c r="N19071">
        <f>IF(M19071="","",'Master Barang'!A65)</f>
        <v>0</v>
      </c>
      <c r="O19071">
        <f>IF(N19071="","",'Master Barang'!B65)</f>
        <v>0</v>
      </c>
      <c r="P19071">
        <f>IF(OR(M19071="",N19071=""),"",SUMIFS('Barang Keluar'!$E:$E,'Barang Keluar'!$A:$A,M19071,'Barang Keluar'!$C:$C,N19071))</f>
        <v>0</v>
      </c>
    </row>
    <row r="19072" spans="13:16">
      <c r="M19072" s="49">
        <f>IF($A$4+190&gt;$B$4,"",$A$4+190)</f>
        <v>46213</v>
      </c>
      <c r="N19072">
        <f>IF(M19072="","",'Master Barang'!A66)</f>
        <v>0</v>
      </c>
      <c r="O19072">
        <f>IF(N19072="","",'Master Barang'!B66)</f>
        <v>0</v>
      </c>
      <c r="P19072">
        <f>IF(OR(M19072="",N19072=""),"",SUMIFS('Barang Keluar'!$E:$E,'Barang Keluar'!$A:$A,M19072,'Barang Keluar'!$C:$C,N19072))</f>
        <v>0</v>
      </c>
    </row>
    <row r="19073" spans="13:16">
      <c r="M19073" s="49">
        <f>IF($A$4+190&gt;$B$4,"",$A$4+190)</f>
        <v>46213</v>
      </c>
      <c r="N19073">
        <f>IF(M19073="","",'Master Barang'!A67)</f>
        <v>0</v>
      </c>
      <c r="O19073">
        <f>IF(N19073="","",'Master Barang'!B67)</f>
        <v>0</v>
      </c>
      <c r="P19073">
        <f>IF(OR(M19073="",N19073=""),"",SUMIFS('Barang Keluar'!$E:$E,'Barang Keluar'!$A:$A,M19073,'Barang Keluar'!$C:$C,N19073))</f>
        <v>0</v>
      </c>
    </row>
    <row r="19074" spans="13:16">
      <c r="M19074" s="49">
        <f>IF($A$4+190&gt;$B$4,"",$A$4+190)</f>
        <v>46213</v>
      </c>
      <c r="N19074">
        <f>IF(M19074="","",'Master Barang'!A68)</f>
        <v>0</v>
      </c>
      <c r="O19074">
        <f>IF(N19074="","",'Master Barang'!B68)</f>
        <v>0</v>
      </c>
      <c r="P19074">
        <f>IF(OR(M19074="",N19074=""),"",SUMIFS('Barang Keluar'!$E:$E,'Barang Keluar'!$A:$A,M19074,'Barang Keluar'!$C:$C,N19074))</f>
        <v>0</v>
      </c>
    </row>
    <row r="19075" spans="13:16">
      <c r="M19075" s="49">
        <f>IF($A$4+190&gt;$B$4,"",$A$4+190)</f>
        <v>46213</v>
      </c>
      <c r="N19075">
        <f>IF(M19075="","",'Master Barang'!A69)</f>
        <v>0</v>
      </c>
      <c r="O19075">
        <f>IF(N19075="","",'Master Barang'!B69)</f>
        <v>0</v>
      </c>
      <c r="P19075">
        <f>IF(OR(M19075="",N19075=""),"",SUMIFS('Barang Keluar'!$E:$E,'Barang Keluar'!$A:$A,M19075,'Barang Keluar'!$C:$C,N19075))</f>
        <v>0</v>
      </c>
    </row>
    <row r="19076" spans="13:16">
      <c r="M19076" s="49">
        <f>IF($A$4+190&gt;$B$4,"",$A$4+190)</f>
        <v>46213</v>
      </c>
      <c r="N19076">
        <f>IF(M19076="","",'Master Barang'!A70)</f>
        <v>0</v>
      </c>
      <c r="O19076">
        <f>IF(N19076="","",'Master Barang'!B70)</f>
        <v>0</v>
      </c>
      <c r="P19076">
        <f>IF(OR(M19076="",N19076=""),"",SUMIFS('Barang Keluar'!$E:$E,'Barang Keluar'!$A:$A,M19076,'Barang Keluar'!$C:$C,N19076))</f>
        <v>0</v>
      </c>
    </row>
    <row r="19077" spans="13:16">
      <c r="M19077" s="49">
        <f>IF($A$4+190&gt;$B$4,"",$A$4+190)</f>
        <v>46213</v>
      </c>
      <c r="N19077">
        <f>IF(M19077="","",'Master Barang'!A71)</f>
        <v>0</v>
      </c>
      <c r="O19077">
        <f>IF(N19077="","",'Master Barang'!B71)</f>
        <v>0</v>
      </c>
      <c r="P19077">
        <f>IF(OR(M19077="",N19077=""),"",SUMIFS('Barang Keluar'!$E:$E,'Barang Keluar'!$A:$A,M19077,'Barang Keluar'!$C:$C,N19077))</f>
        <v>0</v>
      </c>
    </row>
    <row r="19078" spans="13:16">
      <c r="M19078" s="49">
        <f>IF($A$4+190&gt;$B$4,"",$A$4+190)</f>
        <v>46213</v>
      </c>
      <c r="N19078">
        <f>IF(M19078="","",'Master Barang'!A72)</f>
        <v>0</v>
      </c>
      <c r="O19078">
        <f>IF(N19078="","",'Master Barang'!B72)</f>
        <v>0</v>
      </c>
      <c r="P19078">
        <f>IF(OR(M19078="",N19078=""),"",SUMIFS('Barang Keluar'!$E:$E,'Barang Keluar'!$A:$A,M19078,'Barang Keluar'!$C:$C,N19078))</f>
        <v>0</v>
      </c>
    </row>
    <row r="19079" spans="13:16">
      <c r="M19079" s="49">
        <f>IF($A$4+190&gt;$B$4,"",$A$4+190)</f>
        <v>46213</v>
      </c>
      <c r="N19079">
        <f>IF(M19079="","",'Master Barang'!A73)</f>
        <v>0</v>
      </c>
      <c r="O19079">
        <f>IF(N19079="","",'Master Barang'!B73)</f>
        <v>0</v>
      </c>
      <c r="P19079">
        <f>IF(OR(M19079="",N19079=""),"",SUMIFS('Barang Keluar'!$E:$E,'Barang Keluar'!$A:$A,M19079,'Barang Keluar'!$C:$C,N19079))</f>
        <v>0</v>
      </c>
    </row>
    <row r="19080" spans="13:16">
      <c r="M19080" s="49">
        <f>IF($A$4+190&gt;$B$4,"",$A$4+190)</f>
        <v>46213</v>
      </c>
      <c r="N19080">
        <f>IF(M19080="","",'Master Barang'!A74)</f>
        <v>0</v>
      </c>
      <c r="O19080">
        <f>IF(N19080="","",'Master Barang'!B74)</f>
        <v>0</v>
      </c>
      <c r="P19080">
        <f>IF(OR(M19080="",N19080=""),"",SUMIFS('Barang Keluar'!$E:$E,'Barang Keluar'!$A:$A,M19080,'Barang Keluar'!$C:$C,N19080))</f>
        <v>0</v>
      </c>
    </row>
    <row r="19081" spans="13:16">
      <c r="M19081" s="49">
        <f>IF($A$4+190&gt;$B$4,"",$A$4+190)</f>
        <v>46213</v>
      </c>
      <c r="N19081">
        <f>IF(M19081="","",'Master Barang'!A75)</f>
        <v>0</v>
      </c>
      <c r="O19081">
        <f>IF(N19081="","",'Master Barang'!B75)</f>
        <v>0</v>
      </c>
      <c r="P19081">
        <f>IF(OR(M19081="",N19081=""),"",SUMIFS('Barang Keluar'!$E:$E,'Barang Keluar'!$A:$A,M19081,'Barang Keluar'!$C:$C,N19081))</f>
        <v>0</v>
      </c>
    </row>
    <row r="19082" spans="13:16">
      <c r="M19082" s="49">
        <f>IF($A$4+190&gt;$B$4,"",$A$4+190)</f>
        <v>46213</v>
      </c>
      <c r="N19082">
        <f>IF(M19082="","",'Master Barang'!A76)</f>
        <v>0</v>
      </c>
      <c r="O19082">
        <f>IF(N19082="","",'Master Barang'!B76)</f>
        <v>0</v>
      </c>
      <c r="P19082">
        <f>IF(OR(M19082="",N19082=""),"",SUMIFS('Barang Keluar'!$E:$E,'Barang Keluar'!$A:$A,M19082,'Barang Keluar'!$C:$C,N19082))</f>
        <v>0</v>
      </c>
    </row>
    <row r="19083" spans="13:16">
      <c r="M19083" s="49">
        <f>IF($A$4+190&gt;$B$4,"",$A$4+190)</f>
        <v>46213</v>
      </c>
      <c r="N19083">
        <f>IF(M19083="","",'Master Barang'!A77)</f>
        <v>0</v>
      </c>
      <c r="O19083">
        <f>IF(N19083="","",'Master Barang'!B77)</f>
        <v>0</v>
      </c>
      <c r="P19083">
        <f>IF(OR(M19083="",N19083=""),"",SUMIFS('Barang Keluar'!$E:$E,'Barang Keluar'!$A:$A,M19083,'Barang Keluar'!$C:$C,N19083))</f>
        <v>0</v>
      </c>
    </row>
    <row r="19084" spans="13:16">
      <c r="M19084" s="49">
        <f>IF($A$4+190&gt;$B$4,"",$A$4+190)</f>
        <v>46213</v>
      </c>
      <c r="N19084">
        <f>IF(M19084="","",'Master Barang'!A78)</f>
        <v>0</v>
      </c>
      <c r="O19084">
        <f>IF(N19084="","",'Master Barang'!B78)</f>
        <v>0</v>
      </c>
      <c r="P19084">
        <f>IF(OR(M19084="",N19084=""),"",SUMIFS('Barang Keluar'!$E:$E,'Barang Keluar'!$A:$A,M19084,'Barang Keluar'!$C:$C,N19084))</f>
        <v>0</v>
      </c>
    </row>
    <row r="19085" spans="13:16">
      <c r="M19085" s="49">
        <f>IF($A$4+190&gt;$B$4,"",$A$4+190)</f>
        <v>46213</v>
      </c>
      <c r="N19085">
        <f>IF(M19085="","",'Master Barang'!A79)</f>
        <v>0</v>
      </c>
      <c r="O19085">
        <f>IF(N19085="","",'Master Barang'!B79)</f>
        <v>0</v>
      </c>
      <c r="P19085">
        <f>IF(OR(M19085="",N19085=""),"",SUMIFS('Barang Keluar'!$E:$E,'Barang Keluar'!$A:$A,M19085,'Barang Keluar'!$C:$C,N19085))</f>
        <v>0</v>
      </c>
    </row>
    <row r="19086" spans="13:16">
      <c r="M19086" s="49">
        <f>IF($A$4+190&gt;$B$4,"",$A$4+190)</f>
        <v>46213</v>
      </c>
      <c r="N19086">
        <f>IF(M19086="","",'Master Barang'!A80)</f>
        <v>0</v>
      </c>
      <c r="O19086">
        <f>IF(N19086="","",'Master Barang'!B80)</f>
        <v>0</v>
      </c>
      <c r="P19086">
        <f>IF(OR(M19086="",N19086=""),"",SUMIFS('Barang Keluar'!$E:$E,'Barang Keluar'!$A:$A,M19086,'Barang Keluar'!$C:$C,N19086))</f>
        <v>0</v>
      </c>
    </row>
    <row r="19087" spans="13:16">
      <c r="M19087" s="49">
        <f>IF($A$4+190&gt;$B$4,"",$A$4+190)</f>
        <v>46213</v>
      </c>
      <c r="N19087">
        <f>IF(M19087="","",'Master Barang'!A81)</f>
        <v>0</v>
      </c>
      <c r="O19087">
        <f>IF(N19087="","",'Master Barang'!B81)</f>
        <v>0</v>
      </c>
      <c r="P19087">
        <f>IF(OR(M19087="",N19087=""),"",SUMIFS('Barang Keluar'!$E:$E,'Barang Keluar'!$A:$A,M19087,'Barang Keluar'!$C:$C,N19087))</f>
        <v>0</v>
      </c>
    </row>
    <row r="19088" spans="13:16">
      <c r="M19088" s="49">
        <f>IF($A$4+190&gt;$B$4,"",$A$4+190)</f>
        <v>46213</v>
      </c>
      <c r="N19088">
        <f>IF(M19088="","",'Master Barang'!A82)</f>
        <v>0</v>
      </c>
      <c r="O19088">
        <f>IF(N19088="","",'Master Barang'!B82)</f>
        <v>0</v>
      </c>
      <c r="P19088">
        <f>IF(OR(M19088="",N19088=""),"",SUMIFS('Barang Keluar'!$E:$E,'Barang Keluar'!$A:$A,M19088,'Barang Keluar'!$C:$C,N19088))</f>
        <v>0</v>
      </c>
    </row>
    <row r="19089" spans="13:16">
      <c r="M19089" s="49">
        <f>IF($A$4+190&gt;$B$4,"",$A$4+190)</f>
        <v>46213</v>
      </c>
      <c r="N19089">
        <f>IF(M19089="","",'Master Barang'!A83)</f>
        <v>0</v>
      </c>
      <c r="O19089">
        <f>IF(N19089="","",'Master Barang'!B83)</f>
        <v>0</v>
      </c>
      <c r="P19089">
        <f>IF(OR(M19089="",N19089=""),"",SUMIFS('Barang Keluar'!$E:$E,'Barang Keluar'!$A:$A,M19089,'Barang Keluar'!$C:$C,N19089))</f>
        <v>0</v>
      </c>
    </row>
    <row r="19090" spans="13:16">
      <c r="M19090" s="49">
        <f>IF($A$4+190&gt;$B$4,"",$A$4+190)</f>
        <v>46213</v>
      </c>
      <c r="N19090">
        <f>IF(M19090="","",'Master Barang'!A84)</f>
        <v>0</v>
      </c>
      <c r="O19090">
        <f>IF(N19090="","",'Master Barang'!B84)</f>
        <v>0</v>
      </c>
      <c r="P19090">
        <f>IF(OR(M19090="",N19090=""),"",SUMIFS('Barang Keluar'!$E:$E,'Barang Keluar'!$A:$A,M19090,'Barang Keluar'!$C:$C,N19090))</f>
        <v>0</v>
      </c>
    </row>
    <row r="19091" spans="13:16">
      <c r="M19091" s="49">
        <f>IF($A$4+190&gt;$B$4,"",$A$4+190)</f>
        <v>46213</v>
      </c>
      <c r="N19091">
        <f>IF(M19091="","",'Master Barang'!A85)</f>
        <v>0</v>
      </c>
      <c r="O19091">
        <f>IF(N19091="","",'Master Barang'!B85)</f>
        <v>0</v>
      </c>
      <c r="P19091">
        <f>IF(OR(M19091="",N19091=""),"",SUMIFS('Barang Keluar'!$E:$E,'Barang Keluar'!$A:$A,M19091,'Barang Keluar'!$C:$C,N19091))</f>
        <v>0</v>
      </c>
    </row>
    <row r="19092" spans="13:16">
      <c r="M19092" s="49">
        <f>IF($A$4+190&gt;$B$4,"",$A$4+190)</f>
        <v>46213</v>
      </c>
      <c r="N19092">
        <f>IF(M19092="","",'Master Barang'!A86)</f>
        <v>0</v>
      </c>
      <c r="O19092">
        <f>IF(N19092="","",'Master Barang'!B86)</f>
        <v>0</v>
      </c>
      <c r="P19092">
        <f>IF(OR(M19092="",N19092=""),"",SUMIFS('Barang Keluar'!$E:$E,'Barang Keluar'!$A:$A,M19092,'Barang Keluar'!$C:$C,N19092))</f>
        <v>0</v>
      </c>
    </row>
    <row r="19093" spans="13:16">
      <c r="M19093" s="49">
        <f>IF($A$4+190&gt;$B$4,"",$A$4+190)</f>
        <v>46213</v>
      </c>
      <c r="N19093">
        <f>IF(M19093="","",'Master Barang'!A87)</f>
        <v>0</v>
      </c>
      <c r="O19093">
        <f>IF(N19093="","",'Master Barang'!B87)</f>
        <v>0</v>
      </c>
      <c r="P19093">
        <f>IF(OR(M19093="",N19093=""),"",SUMIFS('Barang Keluar'!$E:$E,'Barang Keluar'!$A:$A,M19093,'Barang Keluar'!$C:$C,N19093))</f>
        <v>0</v>
      </c>
    </row>
    <row r="19094" spans="13:16">
      <c r="M19094" s="49">
        <f>IF($A$4+190&gt;$B$4,"",$A$4+190)</f>
        <v>46213</v>
      </c>
      <c r="N19094">
        <f>IF(M19094="","",'Master Barang'!A88)</f>
        <v>0</v>
      </c>
      <c r="O19094">
        <f>IF(N19094="","",'Master Barang'!B88)</f>
        <v>0</v>
      </c>
      <c r="P19094">
        <f>IF(OR(M19094="",N19094=""),"",SUMIFS('Barang Keluar'!$E:$E,'Barang Keluar'!$A:$A,M19094,'Barang Keluar'!$C:$C,N19094))</f>
        <v>0</v>
      </c>
    </row>
    <row r="19095" spans="13:16">
      <c r="M19095" s="49">
        <f>IF($A$4+190&gt;$B$4,"",$A$4+190)</f>
        <v>46213</v>
      </c>
      <c r="N19095">
        <f>IF(M19095="","",'Master Barang'!A89)</f>
        <v>0</v>
      </c>
      <c r="O19095">
        <f>IF(N19095="","",'Master Barang'!B89)</f>
        <v>0</v>
      </c>
      <c r="P19095">
        <f>IF(OR(M19095="",N19095=""),"",SUMIFS('Barang Keluar'!$E:$E,'Barang Keluar'!$A:$A,M19095,'Barang Keluar'!$C:$C,N19095))</f>
        <v>0</v>
      </c>
    </row>
    <row r="19096" spans="13:16">
      <c r="M19096" s="49">
        <f>IF($A$4+190&gt;$B$4,"",$A$4+190)</f>
        <v>46213</v>
      </c>
      <c r="N19096">
        <f>IF(M19096="","",'Master Barang'!A90)</f>
        <v>0</v>
      </c>
      <c r="O19096">
        <f>IF(N19096="","",'Master Barang'!B90)</f>
        <v>0</v>
      </c>
      <c r="P19096">
        <f>IF(OR(M19096="",N19096=""),"",SUMIFS('Barang Keluar'!$E:$E,'Barang Keluar'!$A:$A,M19096,'Barang Keluar'!$C:$C,N19096))</f>
        <v>0</v>
      </c>
    </row>
    <row r="19097" spans="13:16">
      <c r="M19097" s="49">
        <f>IF($A$4+190&gt;$B$4,"",$A$4+190)</f>
        <v>46213</v>
      </c>
      <c r="N19097">
        <f>IF(M19097="","",'Master Barang'!A91)</f>
        <v>0</v>
      </c>
      <c r="O19097">
        <f>IF(N19097="","",'Master Barang'!B91)</f>
        <v>0</v>
      </c>
      <c r="P19097">
        <f>IF(OR(M19097="",N19097=""),"",SUMIFS('Barang Keluar'!$E:$E,'Barang Keluar'!$A:$A,M19097,'Barang Keluar'!$C:$C,N19097))</f>
        <v>0</v>
      </c>
    </row>
    <row r="19098" spans="13:16">
      <c r="M19098" s="49">
        <f>IF($A$4+190&gt;$B$4,"",$A$4+190)</f>
        <v>46213</v>
      </c>
      <c r="N19098">
        <f>IF(M19098="","",'Master Barang'!A92)</f>
        <v>0</v>
      </c>
      <c r="O19098">
        <f>IF(N19098="","",'Master Barang'!B92)</f>
        <v>0</v>
      </c>
      <c r="P19098">
        <f>IF(OR(M19098="",N19098=""),"",SUMIFS('Barang Keluar'!$E:$E,'Barang Keluar'!$A:$A,M19098,'Barang Keluar'!$C:$C,N19098))</f>
        <v>0</v>
      </c>
    </row>
    <row r="19099" spans="13:16">
      <c r="M19099" s="49">
        <f>IF($A$4+190&gt;$B$4,"",$A$4+190)</f>
        <v>46213</v>
      </c>
      <c r="N19099">
        <f>IF(M19099="","",'Master Barang'!A93)</f>
        <v>0</v>
      </c>
      <c r="O19099">
        <f>IF(N19099="","",'Master Barang'!B93)</f>
        <v>0</v>
      </c>
      <c r="P19099">
        <f>IF(OR(M19099="",N19099=""),"",SUMIFS('Barang Keluar'!$E:$E,'Barang Keluar'!$A:$A,M19099,'Barang Keluar'!$C:$C,N19099))</f>
        <v>0</v>
      </c>
    </row>
    <row r="19100" spans="13:16">
      <c r="M19100" s="49">
        <f>IF($A$4+190&gt;$B$4,"",$A$4+190)</f>
        <v>46213</v>
      </c>
      <c r="N19100">
        <f>IF(M19100="","",'Master Barang'!A94)</f>
        <v>0</v>
      </c>
      <c r="O19100">
        <f>IF(N19100="","",'Master Barang'!B94)</f>
        <v>0</v>
      </c>
      <c r="P19100">
        <f>IF(OR(M19100="",N19100=""),"",SUMIFS('Barang Keluar'!$E:$E,'Barang Keluar'!$A:$A,M19100,'Barang Keluar'!$C:$C,N19100))</f>
        <v>0</v>
      </c>
    </row>
    <row r="19101" spans="13:16">
      <c r="M19101" s="49">
        <f>IF($A$4+190&gt;$B$4,"",$A$4+190)</f>
        <v>46213</v>
      </c>
      <c r="N19101">
        <f>IF(M19101="","",'Master Barang'!A95)</f>
        <v>0</v>
      </c>
      <c r="O19101">
        <f>IF(N19101="","",'Master Barang'!B95)</f>
        <v>0</v>
      </c>
      <c r="P19101">
        <f>IF(OR(M19101="",N19101=""),"",SUMIFS('Barang Keluar'!$E:$E,'Barang Keluar'!$A:$A,M19101,'Barang Keluar'!$C:$C,N19101))</f>
        <v>0</v>
      </c>
    </row>
    <row r="19102" spans="13:16">
      <c r="M19102" s="49">
        <f>IF($A$4+190&gt;$B$4,"",$A$4+190)</f>
        <v>46213</v>
      </c>
      <c r="N19102">
        <f>IF(M19102="","",'Master Barang'!A96)</f>
        <v>0</v>
      </c>
      <c r="O19102">
        <f>IF(N19102="","",'Master Barang'!B96)</f>
        <v>0</v>
      </c>
      <c r="P19102">
        <f>IF(OR(M19102="",N19102=""),"",SUMIFS('Barang Keluar'!$E:$E,'Barang Keluar'!$A:$A,M19102,'Barang Keluar'!$C:$C,N19102))</f>
        <v>0</v>
      </c>
    </row>
    <row r="19103" spans="13:16">
      <c r="M19103" s="49">
        <f>IF($A$4+190&gt;$B$4,"",$A$4+190)</f>
        <v>46213</v>
      </c>
      <c r="N19103">
        <f>IF(M19103="","",'Master Barang'!A97)</f>
        <v>0</v>
      </c>
      <c r="O19103">
        <f>IF(N19103="","",'Master Barang'!B97)</f>
        <v>0</v>
      </c>
      <c r="P19103">
        <f>IF(OR(M19103="",N19103=""),"",SUMIFS('Barang Keluar'!$E:$E,'Barang Keluar'!$A:$A,M19103,'Barang Keluar'!$C:$C,N19103))</f>
        <v>0</v>
      </c>
    </row>
    <row r="19104" spans="13:16">
      <c r="M19104" s="49">
        <f>IF($A$4+190&gt;$B$4,"",$A$4+190)</f>
        <v>46213</v>
      </c>
      <c r="N19104">
        <f>IF(M19104="","",'Master Barang'!A98)</f>
        <v>0</v>
      </c>
      <c r="O19104">
        <f>IF(N19104="","",'Master Barang'!B98)</f>
        <v>0</v>
      </c>
      <c r="P19104">
        <f>IF(OR(M19104="",N19104=""),"",SUMIFS('Barang Keluar'!$E:$E,'Barang Keluar'!$A:$A,M19104,'Barang Keluar'!$C:$C,N19104))</f>
        <v>0</v>
      </c>
    </row>
    <row r="19105" spans="13:16">
      <c r="M19105" s="49">
        <f>IF($A$4+190&gt;$B$4,"",$A$4+190)</f>
        <v>46213</v>
      </c>
      <c r="N19105">
        <f>IF(M19105="","",'Master Barang'!A99)</f>
        <v>0</v>
      </c>
      <c r="O19105">
        <f>IF(N19105="","",'Master Barang'!B99)</f>
        <v>0</v>
      </c>
      <c r="P19105">
        <f>IF(OR(M19105="",N19105=""),"",SUMIFS('Barang Keluar'!$E:$E,'Barang Keluar'!$A:$A,M19105,'Barang Keluar'!$C:$C,N19105))</f>
        <v>0</v>
      </c>
    </row>
    <row r="19106" spans="13:16">
      <c r="M19106" s="49">
        <f>IF($A$4+190&gt;$B$4,"",$A$4+190)</f>
        <v>46213</v>
      </c>
      <c r="N19106">
        <f>IF(M19106="","",'Master Barang'!A100)</f>
        <v>0</v>
      </c>
      <c r="O19106">
        <f>IF(N19106="","",'Master Barang'!B100)</f>
        <v>0</v>
      </c>
      <c r="P19106">
        <f>IF(OR(M19106="",N19106=""),"",SUMIFS('Barang Keluar'!$E:$E,'Barang Keluar'!$A:$A,M19106,'Barang Keluar'!$C:$C,N19106))</f>
        <v>0</v>
      </c>
    </row>
    <row r="19107" spans="13:16">
      <c r="M19107" s="49">
        <f>IF($A$4+190&gt;$B$4,"",$A$4+190)</f>
        <v>46213</v>
      </c>
      <c r="N19107">
        <f>IF(M19107="","",'Master Barang'!A101)</f>
        <v>0</v>
      </c>
      <c r="O19107">
        <f>IF(N19107="","",'Master Barang'!B101)</f>
        <v>0</v>
      </c>
      <c r="P19107">
        <f>IF(OR(M19107="",N19107=""),"",SUMIFS('Barang Keluar'!$E:$E,'Barang Keluar'!$A:$A,M19107,'Barang Keluar'!$C:$C,N19107))</f>
        <v>0</v>
      </c>
    </row>
    <row r="19108" spans="13:16">
      <c r="M19108" s="49">
        <f>IF($A$4+191&gt;$B$4,"",$A$4+191)</f>
        <v>46214</v>
      </c>
      <c r="N19108" t="str">
        <f>IF(M19108="","",'Master Barang'!A2)</f>
        <v>PRL-001</v>
      </c>
      <c r="O19108" t="str">
        <f>IF(N19108="","",'Master Barang'!B2)</f>
        <v>natura desinfectant food grade 5l</v>
      </c>
      <c r="P19108">
        <f>IF(OR(M19108="",N19108=""),"",SUMIFS('Barang Keluar'!$E:$E,'Barang Keluar'!$A:$A,M19108,'Barang Keluar'!$C:$C,N19108))</f>
        <v>0</v>
      </c>
    </row>
    <row r="19109" spans="13:16">
      <c r="M19109" s="49">
        <f>IF($A$4+191&gt;$B$4,"",$A$4+191)</f>
        <v>46214</v>
      </c>
      <c r="N19109" t="str">
        <f>IF(M19109="","",'Master Barang'!A3)</f>
        <v>PRL-002</v>
      </c>
      <c r="O19109" t="str">
        <f>IF(N19109="","",'Master Barang'!B3)</f>
        <v>sunlight cairan pencuci piring 5l</v>
      </c>
      <c r="P19109">
        <f>IF(OR(M19109="",N19109=""),"",SUMIFS('Barang Keluar'!$E:$E,'Barang Keluar'!$A:$A,M19109,'Barang Keluar'!$C:$C,N19109))</f>
        <v>0</v>
      </c>
    </row>
    <row r="19110" spans="13:16">
      <c r="M19110" s="49">
        <f>IF($A$4+191&gt;$B$4,"",$A$4+191)</f>
        <v>46214</v>
      </c>
      <c r="N19110" t="str">
        <f>IF(M19110="","",'Master Barang'!A4)</f>
        <v>PRL-003</v>
      </c>
      <c r="O19110" t="str">
        <f>IF(N19110="","",'Master Barang'!B4)</f>
        <v>oixs cleaner 1l</v>
      </c>
      <c r="P19110">
        <f>IF(OR(M19110="",N19110=""),"",SUMIFS('Barang Keluar'!$E:$E,'Barang Keluar'!$A:$A,M19110,'Barang Keluar'!$C:$C,N19110))</f>
        <v>0</v>
      </c>
    </row>
    <row r="19111" spans="13:16">
      <c r="M19111" s="49">
        <f>IF($A$4+191&gt;$B$4,"",$A$4+191)</f>
        <v>46214</v>
      </c>
      <c r="N19111" t="str">
        <f>IF(M19111="","",'Master Barang'!A5)</f>
        <v>PRL-004</v>
      </c>
      <c r="O19111" t="str">
        <f>IF(N19111="","",'Master Barang'!B5)</f>
        <v>be clean tissue serbaguna</v>
      </c>
      <c r="P19111">
        <f>IF(OR(M19111="",N19111=""),"",SUMIFS('Barang Keluar'!$E:$E,'Barang Keluar'!$A:$A,M19111,'Barang Keluar'!$C:$C,N19111))</f>
        <v>0</v>
      </c>
    </row>
    <row r="19112" spans="13:16">
      <c r="M19112" s="49">
        <f>IF($A$4+191&gt;$B$4,"",$A$4+191)</f>
        <v>46214</v>
      </c>
      <c r="N19112" t="str">
        <f>IF(M19112="","",'Master Barang'!A6)</f>
        <v>PRL-005</v>
      </c>
      <c r="O19112" t="str">
        <f>IF(N19112="","",'Master Barang'!B6)</f>
        <v>spons cuci hijau</v>
      </c>
      <c r="P19112">
        <f>IF(OR(M19112="",N19112=""),"",SUMIFS('Barang Keluar'!$E:$E,'Barang Keluar'!$A:$A,M19112,'Barang Keluar'!$C:$C,N19112))</f>
        <v>0</v>
      </c>
    </row>
    <row r="19113" spans="13:16">
      <c r="M19113" s="49">
        <f>IF($A$4+191&gt;$B$4,"",$A$4+191)</f>
        <v>46214</v>
      </c>
      <c r="N19113" t="str">
        <f>IF(M19113="","",'Master Barang'!A7)</f>
        <v>PRL-006</v>
      </c>
      <c r="O19113" t="str">
        <f>IF(N19113="","",'Master Barang'!B7)</f>
        <v>sabut cuci stainless</v>
      </c>
      <c r="P19113">
        <f>IF(OR(M19113="",N19113=""),"",SUMIFS('Barang Keluar'!$E:$E,'Barang Keluar'!$A:$A,M19113,'Barang Keluar'!$C:$C,N19113))</f>
        <v>0</v>
      </c>
    </row>
    <row r="19114" spans="13:16">
      <c r="M19114" s="49">
        <f>IF($A$4+191&gt;$B$4,"",$A$4+191)</f>
        <v>46214</v>
      </c>
      <c r="N19114" t="str">
        <f>IF(M19114="","",'Master Barang'!A8)</f>
        <v>PRL-007</v>
      </c>
      <c r="O19114" t="str">
        <f>IF(N19114="","",'Master Barang'!B8)</f>
        <v>plastik kresek besar merah 50pc</v>
      </c>
      <c r="P19114">
        <f>IF(OR(M19114="",N19114=""),"",SUMIFS('Barang Keluar'!$E:$E,'Barang Keluar'!$A:$A,M19114,'Barang Keluar'!$C:$C,N19114))</f>
        <v>0</v>
      </c>
    </row>
    <row r="19115" spans="13:16">
      <c r="M19115" s="49">
        <f>IF($A$4+191&gt;$B$4,"",$A$4+191)</f>
        <v>46214</v>
      </c>
      <c r="N19115" t="str">
        <f>IF(M19115="","",'Master Barang'!A9)</f>
        <v>PRL-008</v>
      </c>
      <c r="O19115" t="str">
        <f>IF(N19115="","",'Master Barang'!B9)</f>
        <v>lap besar</v>
      </c>
      <c r="P19115">
        <f>IF(OR(M19115="",N19115=""),"",SUMIFS('Barang Keluar'!$E:$E,'Barang Keluar'!$A:$A,M19115,'Barang Keluar'!$C:$C,N19115))</f>
        <v>0</v>
      </c>
    </row>
    <row r="19116" spans="13:16">
      <c r="M19116" s="49">
        <f>IF($A$4+191&gt;$B$4,"",$A$4+191)</f>
        <v>46214</v>
      </c>
      <c r="N19116" t="str">
        <f>IF(M19116="","",'Master Barang'!A10)</f>
        <v>PRL-009</v>
      </c>
      <c r="O19116" t="str">
        <f>IF(N19116="","",'Master Barang'!B10)</f>
        <v>lap microfiber</v>
      </c>
      <c r="P19116">
        <f>IF(OR(M19116="",N19116=""),"",SUMIFS('Barang Keluar'!$E:$E,'Barang Keluar'!$A:$A,M19116,'Barang Keluar'!$C:$C,N19116))</f>
        <v>0</v>
      </c>
    </row>
    <row r="19117" spans="13:16">
      <c r="M19117" s="49">
        <f>IF($A$4+191&gt;$B$4,"",$A$4+191)</f>
        <v>46214</v>
      </c>
      <c r="N19117" t="str">
        <f>IF(M19117="","",'Master Barang'!A11)</f>
        <v>PRL-010</v>
      </c>
      <c r="O19117" t="str">
        <f>IF(N19117="","",'Master Barang'!B11)</f>
        <v>lap kecil</v>
      </c>
      <c r="P19117">
        <f>IF(OR(M19117="",N19117=""),"",SUMIFS('Barang Keluar'!$E:$E,'Barang Keluar'!$A:$A,M19117,'Barang Keluar'!$C:$C,N19117))</f>
        <v>0</v>
      </c>
    </row>
    <row r="19118" spans="13:16">
      <c r="M19118" s="49">
        <f>IF($A$4+191&gt;$B$4,"",$A$4+191)</f>
        <v>46214</v>
      </c>
      <c r="N19118" t="str">
        <f>IF(M19118="","",'Master Barang'!A12)</f>
        <v>PRL-011</v>
      </c>
      <c r="O19118" t="str">
        <f>IF(N19118="","",'Master Barang'!B12)</f>
        <v>kanebo kecil</v>
      </c>
      <c r="P19118">
        <f>IF(OR(M19118="",N19118=""),"",SUMIFS('Barang Keluar'!$E:$E,'Barang Keluar'!$A:$A,M19118,'Barang Keluar'!$C:$C,N19118))</f>
        <v>0</v>
      </c>
    </row>
    <row r="19119" spans="13:16">
      <c r="M19119" s="49">
        <f>IF($A$4+191&gt;$B$4,"",$A$4+191)</f>
        <v>46214</v>
      </c>
      <c r="N19119" t="str">
        <f>IF(M19119="","",'Master Barang'!A13)</f>
        <v>PRL-012</v>
      </c>
      <c r="O19119" t="str">
        <f>IF(N19119="","",'Master Barang'!B13)</f>
        <v>plastik 1/4kg joyoboyo 100 lembar</v>
      </c>
      <c r="P19119">
        <f>IF(OR(M19119="",N19119=""),"",SUMIFS('Barang Keluar'!$E:$E,'Barang Keluar'!$A:$A,M19119,'Barang Keluar'!$C:$C,N19119))</f>
        <v>0</v>
      </c>
    </row>
    <row r="19120" spans="13:16">
      <c r="M19120" s="49">
        <f>IF($A$4+191&gt;$B$4,"",$A$4+191)</f>
        <v>46214</v>
      </c>
      <c r="N19120" t="str">
        <f>IF(M19120="","",'Master Barang'!A14)</f>
        <v>PRL-013</v>
      </c>
      <c r="O19120" t="str">
        <f>IF(N19120="","",'Master Barang'!B14)</f>
        <v>sarung tangan plastik kaka 100 pcs</v>
      </c>
      <c r="P19120">
        <f>IF(OR(M19120="",N19120=""),"",SUMIFS('Barang Keluar'!$E:$E,'Barang Keluar'!$A:$A,M19120,'Barang Keluar'!$C:$C,N19120))</f>
        <v>0</v>
      </c>
    </row>
    <row r="19121" spans="13:16">
      <c r="M19121" s="49">
        <f>IF($A$4+191&gt;$B$4,"",$A$4+191)</f>
        <v>46214</v>
      </c>
      <c r="N19121" t="str">
        <f>IF(M19121="","",'Master Barang'!A15)</f>
        <v>PRL-014</v>
      </c>
      <c r="O19121" t="str">
        <f>IF(N19121="","",'Master Barang'!B15)</f>
        <v>optima trashbag 80x100</v>
      </c>
      <c r="P19121">
        <f>IF(OR(M19121="",N19121=""),"",SUMIFS('Barang Keluar'!$E:$E,'Barang Keluar'!$A:$A,M19121,'Barang Keluar'!$C:$C,N19121))</f>
        <v>0</v>
      </c>
    </row>
    <row r="19122" spans="13:16">
      <c r="M19122" s="49">
        <f>IF($A$4+191&gt;$B$4,"",$A$4+191)</f>
        <v>46214</v>
      </c>
      <c r="N19122" t="str">
        <f>IF(M19122="","",'Master Barang'!A16)</f>
        <v>PRL-015</v>
      </c>
      <c r="O19122" t="str">
        <f>IF(N19122="","",'Master Barang'!B16)</f>
        <v>optima trashbag 60x100</v>
      </c>
      <c r="P19122">
        <f>IF(OR(M19122="",N19122=""),"",SUMIFS('Barang Keluar'!$E:$E,'Barang Keluar'!$A:$A,M19122,'Barang Keluar'!$C:$C,N19122))</f>
        <v>0</v>
      </c>
    </row>
    <row r="19123" spans="13:16">
      <c r="M19123" s="49">
        <f>IF($A$4+191&gt;$B$4,"",$A$4+191)</f>
        <v>46214</v>
      </c>
      <c r="N19123" t="str">
        <f>IF(M19123="","",'Master Barang'!A17)</f>
        <v>PRL-016</v>
      </c>
      <c r="O19123" t="str">
        <f>IF(N19123="","",'Master Barang'!B17)</f>
        <v>rajawali trashbag 30x40</v>
      </c>
      <c r="P19123">
        <f>IF(OR(M19123="",N19123=""),"",SUMIFS('Barang Keluar'!$E:$E,'Barang Keluar'!$A:$A,M19123,'Barang Keluar'!$C:$C,N19123))</f>
        <v>0</v>
      </c>
    </row>
    <row r="19124" spans="13:16">
      <c r="M19124" s="49">
        <f>IF($A$4+191&gt;$B$4,"",$A$4+191)</f>
        <v>46214</v>
      </c>
      <c r="N19124" t="str">
        <f>IF(M19124="","",'Master Barang'!A18)</f>
        <v>PRL-017</v>
      </c>
      <c r="O19124" t="str">
        <f>IF(N19124="","",'Master Barang'!B18)</f>
        <v>onemed masker biru 3 play 50 pcs</v>
      </c>
      <c r="P19124">
        <f>IF(OR(M19124="",N19124=""),"",SUMIFS('Barang Keluar'!$E:$E,'Barang Keluar'!$A:$A,M19124,'Barang Keluar'!$C:$C,N19124))</f>
        <v>0</v>
      </c>
    </row>
    <row r="19125" spans="13:16">
      <c r="M19125" s="49">
        <f>IF($A$4+191&gt;$B$4,"",$A$4+191)</f>
        <v>46214</v>
      </c>
      <c r="N19125" t="str">
        <f>IF(M19125="","",'Master Barang'!A19)</f>
        <v>PRL-018</v>
      </c>
      <c r="O19125" t="str">
        <f>IF(N19125="","",'Master Barang'!B19)</f>
        <v>onemed masker biru 3 play hijab 50 pcs</v>
      </c>
      <c r="P19125">
        <f>IF(OR(M19125="",N19125=""),"",SUMIFS('Barang Keluar'!$E:$E,'Barang Keluar'!$A:$A,M19125,'Barang Keluar'!$C:$C,N19125))</f>
        <v>0</v>
      </c>
    </row>
    <row r="19126" spans="13:16">
      <c r="M19126" s="49">
        <f>IF($A$4+191&gt;$B$4,"",$A$4+191)</f>
        <v>46214</v>
      </c>
      <c r="N19126" t="str">
        <f>IF(M19126="","",'Master Barang'!A20)</f>
        <v>PRL-019</v>
      </c>
      <c r="O19126" t="str">
        <f>IF(N19126="","",'Master Barang'!B20)</f>
        <v>neo health masker biru 3 play 50 pcs</v>
      </c>
      <c r="P19126">
        <f>IF(OR(M19126="",N19126=""),"",SUMIFS('Barang Keluar'!$E:$E,'Barang Keluar'!$A:$A,M19126,'Barang Keluar'!$C:$C,N19126))</f>
        <v>0</v>
      </c>
    </row>
    <row r="19127" spans="13:16">
      <c r="M19127" s="49">
        <f>IF($A$4+191&gt;$B$4,"",$A$4+191)</f>
        <v>46214</v>
      </c>
      <c r="N19127" t="str">
        <f>IF(M19127="","",'Master Barang'!A21)</f>
        <v>PRL-020</v>
      </c>
      <c r="O19127" t="str">
        <f>IF(N19127="","",'Master Barang'!B21)</f>
        <v>baymed masker hijau 3 play hijau 50 pcs</v>
      </c>
      <c r="P19127">
        <f>IF(OR(M19127="",N19127=""),"",SUMIFS('Barang Keluar'!$E:$E,'Barang Keluar'!$A:$A,M19127,'Barang Keluar'!$C:$C,N19127))</f>
        <v>0</v>
      </c>
    </row>
    <row r="19128" spans="13:16">
      <c r="M19128" s="49">
        <f>IF($A$4+191&gt;$B$4,"",$A$4+191)</f>
        <v>46214</v>
      </c>
      <c r="N19128" t="str">
        <f>IF(M19128="","",'Master Barang'!A22)</f>
        <v>PRL-021</v>
      </c>
      <c r="O19128" t="str">
        <f>IF(N19128="","",'Master Barang'!B22)</f>
        <v>altamed nurse cap penutup kepala 100 pcs</v>
      </c>
      <c r="P19128">
        <f>IF(OR(M19128="",N19128=""),"",SUMIFS('Barang Keluar'!$E:$E,'Barang Keluar'!$A:$A,M19128,'Barang Keluar'!$C:$C,N19128))</f>
        <v>0</v>
      </c>
    </row>
    <row r="19129" spans="13:16">
      <c r="M19129" s="49">
        <f>IF($A$4+191&gt;$B$4,"",$A$4+191)</f>
        <v>46214</v>
      </c>
      <c r="N19129" t="str">
        <f>IF(M19129="","",'Master Barang'!A23)</f>
        <v>PRL-022</v>
      </c>
      <c r="O19129" t="str">
        <f>IF(N19129="","",'Master Barang'!B23)</f>
        <v>sabun cuci tangan</v>
      </c>
      <c r="P19129">
        <f>IF(OR(M19129="",N19129=""),"",SUMIFS('Barang Keluar'!$E:$E,'Barang Keluar'!$A:$A,M19129,'Barang Keluar'!$C:$C,N19129))</f>
        <v>0</v>
      </c>
    </row>
    <row r="19130" spans="13:16">
      <c r="M19130" s="49">
        <f>IF($A$4+191&gt;$B$4,"",$A$4+191)</f>
        <v>46214</v>
      </c>
      <c r="N19130" t="str">
        <f>IF(M19130="","",'Master Barang'!A24)</f>
        <v>PRL-023</v>
      </c>
      <c r="O19130" t="str">
        <f>IF(N19130="","",'Master Barang'!B24)</f>
        <v>gayung kecil</v>
      </c>
      <c r="P19130">
        <f>IF(OR(M19130="",N19130=""),"",SUMIFS('Barang Keluar'!$E:$E,'Barang Keluar'!$A:$A,M19130,'Barang Keluar'!$C:$C,N19130))</f>
        <v>0</v>
      </c>
    </row>
    <row r="19131" spans="13:16">
      <c r="M19131" s="49">
        <f>IF($A$4+191&gt;$B$4,"",$A$4+191)</f>
        <v>46214</v>
      </c>
      <c r="N19131" t="str">
        <f>IF(M19131="","",'Master Barang'!A25)</f>
        <v>PRL-024</v>
      </c>
      <c r="O19131" t="str">
        <f>IF(N19131="","",'Master Barang'!B25)</f>
        <v>cikrak kecil</v>
      </c>
      <c r="P19131">
        <f>IF(OR(M19131="",N19131=""),"",SUMIFS('Barang Keluar'!$E:$E,'Barang Keluar'!$A:$A,M19131,'Barang Keluar'!$C:$C,N19131))</f>
        <v>0</v>
      </c>
    </row>
    <row r="19132" spans="13:16">
      <c r="M19132" s="49">
        <f>IF($A$4+191&gt;$B$4,"",$A$4+191)</f>
        <v>46214</v>
      </c>
      <c r="N19132" t="str">
        <f>IF(M19132="","",'Master Barang'!A26)</f>
        <v>PRL-025</v>
      </c>
      <c r="O19132" t="str">
        <f>IF(N19132="","",'Master Barang'!B26)</f>
        <v>petromax plastik kecil 12x24 100 lembar</v>
      </c>
      <c r="P19132">
        <f>IF(OR(M19132="",N19132=""),"",SUMIFS('Barang Keluar'!$E:$E,'Barang Keluar'!$A:$A,M19132,'Barang Keluar'!$C:$C,N19132))</f>
        <v>0</v>
      </c>
    </row>
    <row r="19133" spans="13:16">
      <c r="M19133" s="49">
        <f>IF($A$4+191&gt;$B$4,"",$A$4+191)</f>
        <v>46214</v>
      </c>
      <c r="N19133" t="str">
        <f>IF(M19133="","",'Master Barang'!A27)</f>
        <v>PRL-026</v>
      </c>
      <c r="O19133" t="str">
        <f>IF(N19133="","",'Master Barang'!B27)</f>
        <v>lancar kresek kecil bening </v>
      </c>
      <c r="P19133">
        <f>IF(OR(M19133="",N19133=""),"",SUMIFS('Barang Keluar'!$E:$E,'Barang Keluar'!$A:$A,M19133,'Barang Keluar'!$C:$C,N19133))</f>
        <v>0</v>
      </c>
    </row>
    <row r="19134" spans="13:16">
      <c r="M19134" s="49">
        <f>IF($A$4+191&gt;$B$4,"",$A$4+191)</f>
        <v>46214</v>
      </c>
      <c r="N19134" t="str">
        <f>IF(M19134="","",'Master Barang'!A28)</f>
        <v>PRL-027</v>
      </c>
      <c r="O19134" t="str">
        <f>IF(N19134="","",'Master Barang'!B28)</f>
        <v>kresek klin warna warni kecil</v>
      </c>
      <c r="P19134">
        <f>IF(OR(M19134="",N19134=""),"",SUMIFS('Barang Keluar'!$E:$E,'Barang Keluar'!$A:$A,M19134,'Barang Keluar'!$C:$C,N19134))</f>
        <v>0</v>
      </c>
    </row>
    <row r="19135" spans="13:16">
      <c r="M19135" s="49">
        <f>IF($A$4+191&gt;$B$4,"",$A$4+191)</f>
        <v>46214</v>
      </c>
      <c r="N19135" t="str">
        <f>IF(M19135="","",'Master Barang'!A29)</f>
        <v>PRL-028</v>
      </c>
      <c r="O19135" t="str">
        <f>IF(N19135="","",'Master Barang'!B29)</f>
        <v>ctik plastik 7x10 100 pcs</v>
      </c>
      <c r="P19135">
        <f>IF(OR(M19135="",N19135=""),"",SUMIFS('Barang Keluar'!$E:$E,'Barang Keluar'!$A:$A,M19135,'Barang Keluar'!$C:$C,N19135))</f>
        <v>0</v>
      </c>
    </row>
    <row r="19136" spans="13:16">
      <c r="M19136" s="49">
        <f>IF($A$4+191&gt;$B$4,"",$A$4+191)</f>
        <v>46214</v>
      </c>
      <c r="N19136" t="str">
        <f>IF(M19136="","",'Master Barang'!A30)</f>
        <v>PRL-029</v>
      </c>
      <c r="O19136" t="str">
        <f>IF(N19136="","",'Master Barang'!B30)</f>
        <v>ctik plastik 6x10 100 pcs</v>
      </c>
      <c r="P19136">
        <f>IF(OR(M19136="",N19136=""),"",SUMIFS('Barang Keluar'!$E:$E,'Barang Keluar'!$A:$A,M19136,'Barang Keluar'!$C:$C,N19136))</f>
        <v>0</v>
      </c>
    </row>
    <row r="19137" spans="13:16">
      <c r="M19137" s="49">
        <f>IF($A$4+191&gt;$B$4,"",$A$4+191)</f>
        <v>46214</v>
      </c>
      <c r="N19137" t="str">
        <f>IF(M19137="","",'Master Barang'!A31)</f>
        <v>PRL-030</v>
      </c>
      <c r="O19137" t="str">
        <f>IF(N19137="","",'Master Barang'!B31)</f>
        <v>klip plastik 25x16 100 pcs</v>
      </c>
      <c r="P19137">
        <f>IF(OR(M19137="",N19137=""),"",SUMIFS('Barang Keluar'!$E:$E,'Barang Keluar'!$A:$A,M19137,'Barang Keluar'!$C:$C,N19137))</f>
        <v>0</v>
      </c>
    </row>
    <row r="19138" spans="13:16">
      <c r="M19138" s="49">
        <f>IF($A$4+191&gt;$B$4,"",$A$4+191)</f>
        <v>46214</v>
      </c>
      <c r="N19138" t="str">
        <f>IF(M19138="","",'Master Barang'!A32)</f>
        <v>PRL-031</v>
      </c>
      <c r="O19138" t="str">
        <f>IF(N19138="","",'Master Barang'!B32)</f>
        <v>tempat saus 20 ml</v>
      </c>
      <c r="P19138">
        <f>IF(OR(M19138="",N19138=""),"",SUMIFS('Barang Keluar'!$E:$E,'Barang Keluar'!$A:$A,M19138,'Barang Keluar'!$C:$C,N19138))</f>
        <v>0</v>
      </c>
    </row>
    <row r="19139" spans="13:16">
      <c r="M19139" s="49">
        <f>IF($A$4+191&gt;$B$4,"",$A$4+191)</f>
        <v>46214</v>
      </c>
      <c r="N19139" t="str">
        <f>IF(M19139="","",'Master Barang'!A33)</f>
        <v>PRL-032</v>
      </c>
      <c r="O19139" t="str">
        <f>IF(N19139="","",'Master Barang'!B33)</f>
        <v>plastik packaging ag box uk sedang</v>
      </c>
      <c r="P19139">
        <f>IF(OR(M19139="",N19139=""),"",SUMIFS('Barang Keluar'!$E:$E,'Barang Keluar'!$A:$A,M19139,'Barang Keluar'!$C:$C,N19139))</f>
        <v>0</v>
      </c>
    </row>
    <row r="19140" spans="13:16">
      <c r="M19140" s="49">
        <f>IF($A$4+191&gt;$B$4,"",$A$4+191)</f>
        <v>46214</v>
      </c>
      <c r="N19140" t="str">
        <f>IF(M19140="","",'Master Barang'!A34)</f>
        <v>PRL-033</v>
      </c>
      <c r="O19140">
        <f>IF(N19140="","",'Master Barang'!B34)</f>
        <v>0</v>
      </c>
      <c r="P19140">
        <f>IF(OR(M19140="",N19140=""),"",SUMIFS('Barang Keluar'!$E:$E,'Barang Keluar'!$A:$A,M19140,'Barang Keluar'!$C:$C,N19140))</f>
        <v>0</v>
      </c>
    </row>
    <row r="19141" spans="13:16">
      <c r="M19141" s="49">
        <f>IF($A$4+191&gt;$B$4,"",$A$4+191)</f>
        <v>46214</v>
      </c>
      <c r="N19141">
        <f>IF(M19141="","",'Master Barang'!A35)</f>
        <v>0</v>
      </c>
      <c r="O19141">
        <f>IF(N19141="","",'Master Barang'!B35)</f>
        <v>0</v>
      </c>
      <c r="P19141">
        <f>IF(OR(M19141="",N19141=""),"",SUMIFS('Barang Keluar'!$E:$E,'Barang Keluar'!$A:$A,M19141,'Barang Keluar'!$C:$C,N19141))</f>
        <v>0</v>
      </c>
    </row>
    <row r="19142" spans="13:16">
      <c r="M19142" s="49">
        <f>IF($A$4+191&gt;$B$4,"",$A$4+191)</f>
        <v>46214</v>
      </c>
      <c r="N19142">
        <f>IF(M19142="","",'Master Barang'!A36)</f>
        <v>0</v>
      </c>
      <c r="O19142">
        <f>IF(N19142="","",'Master Barang'!B36)</f>
        <v>0</v>
      </c>
      <c r="P19142">
        <f>IF(OR(M19142="",N19142=""),"",SUMIFS('Barang Keluar'!$E:$E,'Barang Keluar'!$A:$A,M19142,'Barang Keluar'!$C:$C,N19142))</f>
        <v>0</v>
      </c>
    </row>
    <row r="19143" spans="13:16">
      <c r="M19143" s="49">
        <f>IF($A$4+191&gt;$B$4,"",$A$4+191)</f>
        <v>46214</v>
      </c>
      <c r="N19143">
        <f>IF(M19143="","",'Master Barang'!A37)</f>
        <v>0</v>
      </c>
      <c r="O19143">
        <f>IF(N19143="","",'Master Barang'!B37)</f>
        <v>0</v>
      </c>
      <c r="P19143">
        <f>IF(OR(M19143="",N19143=""),"",SUMIFS('Barang Keluar'!$E:$E,'Barang Keluar'!$A:$A,M19143,'Barang Keluar'!$C:$C,N19143))</f>
        <v>0</v>
      </c>
    </row>
    <row r="19144" spans="13:16">
      <c r="M19144" s="49">
        <f>IF($A$4+191&gt;$B$4,"",$A$4+191)</f>
        <v>46214</v>
      </c>
      <c r="N19144">
        <f>IF(M19144="","",'Master Barang'!A38)</f>
        <v>0</v>
      </c>
      <c r="O19144">
        <f>IF(N19144="","",'Master Barang'!B38)</f>
        <v>0</v>
      </c>
      <c r="P19144">
        <f>IF(OR(M19144="",N19144=""),"",SUMIFS('Barang Keluar'!$E:$E,'Barang Keluar'!$A:$A,M19144,'Barang Keluar'!$C:$C,N19144))</f>
        <v>0</v>
      </c>
    </row>
    <row r="19145" spans="13:16">
      <c r="M19145" s="49">
        <f>IF($A$4+191&gt;$B$4,"",$A$4+191)</f>
        <v>46214</v>
      </c>
      <c r="N19145">
        <f>IF(M19145="","",'Master Barang'!A39)</f>
        <v>0</v>
      </c>
      <c r="O19145">
        <f>IF(N19145="","",'Master Barang'!B39)</f>
        <v>0</v>
      </c>
      <c r="P19145">
        <f>IF(OR(M19145="",N19145=""),"",SUMIFS('Barang Keluar'!$E:$E,'Barang Keluar'!$A:$A,M19145,'Barang Keluar'!$C:$C,N19145))</f>
        <v>0</v>
      </c>
    </row>
    <row r="19146" spans="13:16">
      <c r="M19146" s="49">
        <f>IF($A$4+191&gt;$B$4,"",$A$4+191)</f>
        <v>46214</v>
      </c>
      <c r="N19146">
        <f>IF(M19146="","",'Master Barang'!A40)</f>
        <v>0</v>
      </c>
      <c r="O19146">
        <f>IF(N19146="","",'Master Barang'!B40)</f>
        <v>0</v>
      </c>
      <c r="P19146">
        <f>IF(OR(M19146="",N19146=""),"",SUMIFS('Barang Keluar'!$E:$E,'Barang Keluar'!$A:$A,M19146,'Barang Keluar'!$C:$C,N19146))</f>
        <v>0</v>
      </c>
    </row>
    <row r="19147" spans="13:16">
      <c r="M19147" s="49">
        <f>IF($A$4+191&gt;$B$4,"",$A$4+191)</f>
        <v>46214</v>
      </c>
      <c r="N19147">
        <f>IF(M19147="","",'Master Barang'!A41)</f>
        <v>0</v>
      </c>
      <c r="O19147">
        <f>IF(N19147="","",'Master Barang'!B41)</f>
        <v>0</v>
      </c>
      <c r="P19147">
        <f>IF(OR(M19147="",N19147=""),"",SUMIFS('Barang Keluar'!$E:$E,'Barang Keluar'!$A:$A,M19147,'Barang Keluar'!$C:$C,N19147))</f>
        <v>0</v>
      </c>
    </row>
    <row r="19148" spans="13:16">
      <c r="M19148" s="49">
        <f>IF($A$4+191&gt;$B$4,"",$A$4+191)</f>
        <v>46214</v>
      </c>
      <c r="N19148">
        <f>IF(M19148="","",'Master Barang'!A42)</f>
        <v>0</v>
      </c>
      <c r="O19148">
        <f>IF(N19148="","",'Master Barang'!B42)</f>
        <v>0</v>
      </c>
      <c r="P19148">
        <f>IF(OR(M19148="",N19148=""),"",SUMIFS('Barang Keluar'!$E:$E,'Barang Keluar'!$A:$A,M19148,'Barang Keluar'!$C:$C,N19148))</f>
        <v>0</v>
      </c>
    </row>
    <row r="19149" spans="13:16">
      <c r="M19149" s="49">
        <f>IF($A$4+191&gt;$B$4,"",$A$4+191)</f>
        <v>46214</v>
      </c>
      <c r="N19149">
        <f>IF(M19149="","",'Master Barang'!A43)</f>
        <v>0</v>
      </c>
      <c r="O19149">
        <f>IF(N19149="","",'Master Barang'!B43)</f>
        <v>0</v>
      </c>
      <c r="P19149">
        <f>IF(OR(M19149="",N19149=""),"",SUMIFS('Barang Keluar'!$E:$E,'Barang Keluar'!$A:$A,M19149,'Barang Keluar'!$C:$C,N19149))</f>
        <v>0</v>
      </c>
    </row>
    <row r="19150" spans="13:16">
      <c r="M19150" s="49">
        <f>IF($A$4+191&gt;$B$4,"",$A$4+191)</f>
        <v>46214</v>
      </c>
      <c r="N19150">
        <f>IF(M19150="","",'Master Barang'!A44)</f>
        <v>0</v>
      </c>
      <c r="O19150">
        <f>IF(N19150="","",'Master Barang'!B44)</f>
        <v>0</v>
      </c>
      <c r="P19150">
        <f>IF(OR(M19150="",N19150=""),"",SUMIFS('Barang Keluar'!$E:$E,'Barang Keluar'!$A:$A,M19150,'Barang Keluar'!$C:$C,N19150))</f>
        <v>0</v>
      </c>
    </row>
    <row r="19151" spans="13:16">
      <c r="M19151" s="49">
        <f>IF($A$4+191&gt;$B$4,"",$A$4+191)</f>
        <v>46214</v>
      </c>
      <c r="N19151">
        <f>IF(M19151="","",'Master Barang'!A45)</f>
        <v>0</v>
      </c>
      <c r="O19151">
        <f>IF(N19151="","",'Master Barang'!B45)</f>
        <v>0</v>
      </c>
      <c r="P19151">
        <f>IF(OR(M19151="",N19151=""),"",SUMIFS('Barang Keluar'!$E:$E,'Barang Keluar'!$A:$A,M19151,'Barang Keluar'!$C:$C,N19151))</f>
        <v>0</v>
      </c>
    </row>
    <row r="19152" spans="13:16">
      <c r="M19152" s="49">
        <f>IF($A$4+191&gt;$B$4,"",$A$4+191)</f>
        <v>46214</v>
      </c>
      <c r="N19152">
        <f>IF(M19152="","",'Master Barang'!A46)</f>
        <v>0</v>
      </c>
      <c r="O19152">
        <f>IF(N19152="","",'Master Barang'!B46)</f>
        <v>0</v>
      </c>
      <c r="P19152">
        <f>IF(OR(M19152="",N19152=""),"",SUMIFS('Barang Keluar'!$E:$E,'Barang Keluar'!$A:$A,M19152,'Barang Keluar'!$C:$C,N19152))</f>
        <v>0</v>
      </c>
    </row>
    <row r="19153" spans="13:16">
      <c r="M19153" s="49">
        <f>IF($A$4+191&gt;$B$4,"",$A$4+191)</f>
        <v>46214</v>
      </c>
      <c r="N19153">
        <f>IF(M19153="","",'Master Barang'!A47)</f>
        <v>0</v>
      </c>
      <c r="O19153">
        <f>IF(N19153="","",'Master Barang'!B47)</f>
        <v>0</v>
      </c>
      <c r="P19153">
        <f>IF(OR(M19153="",N19153=""),"",SUMIFS('Barang Keluar'!$E:$E,'Barang Keluar'!$A:$A,M19153,'Barang Keluar'!$C:$C,N19153))</f>
        <v>0</v>
      </c>
    </row>
    <row r="19154" spans="13:16">
      <c r="M19154" s="49">
        <f>IF($A$4+191&gt;$B$4,"",$A$4+191)</f>
        <v>46214</v>
      </c>
      <c r="N19154">
        <f>IF(M19154="","",'Master Barang'!A48)</f>
        <v>0</v>
      </c>
      <c r="O19154">
        <f>IF(N19154="","",'Master Barang'!B48)</f>
        <v>0</v>
      </c>
      <c r="P19154">
        <f>IF(OR(M19154="",N19154=""),"",SUMIFS('Barang Keluar'!$E:$E,'Barang Keluar'!$A:$A,M19154,'Barang Keluar'!$C:$C,N19154))</f>
        <v>0</v>
      </c>
    </row>
    <row r="19155" spans="13:16">
      <c r="M19155" s="49">
        <f>IF($A$4+191&gt;$B$4,"",$A$4+191)</f>
        <v>46214</v>
      </c>
      <c r="N19155">
        <f>IF(M19155="","",'Master Barang'!A49)</f>
        <v>0</v>
      </c>
      <c r="O19155">
        <f>IF(N19155="","",'Master Barang'!B49)</f>
        <v>0</v>
      </c>
      <c r="P19155">
        <f>IF(OR(M19155="",N19155=""),"",SUMIFS('Barang Keluar'!$E:$E,'Barang Keluar'!$A:$A,M19155,'Barang Keluar'!$C:$C,N19155))</f>
        <v>0</v>
      </c>
    </row>
    <row r="19156" spans="13:16">
      <c r="M19156" s="49">
        <f>IF($A$4+191&gt;$B$4,"",$A$4+191)</f>
        <v>46214</v>
      </c>
      <c r="N19156">
        <f>IF(M19156="","",'Master Barang'!A50)</f>
        <v>0</v>
      </c>
      <c r="O19156">
        <f>IF(N19156="","",'Master Barang'!B50)</f>
        <v>0</v>
      </c>
      <c r="P19156">
        <f>IF(OR(M19156="",N19156=""),"",SUMIFS('Barang Keluar'!$E:$E,'Barang Keluar'!$A:$A,M19156,'Barang Keluar'!$C:$C,N19156))</f>
        <v>0</v>
      </c>
    </row>
    <row r="19157" spans="13:16">
      <c r="M19157" s="49">
        <f>IF($A$4+191&gt;$B$4,"",$A$4+191)</f>
        <v>46214</v>
      </c>
      <c r="N19157">
        <f>IF(M19157="","",'Master Barang'!A51)</f>
        <v>0</v>
      </c>
      <c r="O19157">
        <f>IF(N19157="","",'Master Barang'!B51)</f>
        <v>0</v>
      </c>
      <c r="P19157">
        <f>IF(OR(M19157="",N19157=""),"",SUMIFS('Barang Keluar'!$E:$E,'Barang Keluar'!$A:$A,M19157,'Barang Keluar'!$C:$C,N19157))</f>
        <v>0</v>
      </c>
    </row>
    <row r="19158" spans="13:16">
      <c r="M19158" s="49">
        <f>IF($A$4+191&gt;$B$4,"",$A$4+191)</f>
        <v>46214</v>
      </c>
      <c r="N19158">
        <f>IF(M19158="","",'Master Barang'!A52)</f>
        <v>0</v>
      </c>
      <c r="O19158">
        <f>IF(N19158="","",'Master Barang'!B52)</f>
        <v>0</v>
      </c>
      <c r="P19158">
        <f>IF(OR(M19158="",N19158=""),"",SUMIFS('Barang Keluar'!$E:$E,'Barang Keluar'!$A:$A,M19158,'Barang Keluar'!$C:$C,N19158))</f>
        <v>0</v>
      </c>
    </row>
    <row r="19159" spans="13:16">
      <c r="M19159" s="49">
        <f>IF($A$4+191&gt;$B$4,"",$A$4+191)</f>
        <v>46214</v>
      </c>
      <c r="N19159">
        <f>IF(M19159="","",'Master Barang'!A53)</f>
        <v>0</v>
      </c>
      <c r="O19159">
        <f>IF(N19159="","",'Master Barang'!B53)</f>
        <v>0</v>
      </c>
      <c r="P19159">
        <f>IF(OR(M19159="",N19159=""),"",SUMIFS('Barang Keluar'!$E:$E,'Barang Keluar'!$A:$A,M19159,'Barang Keluar'!$C:$C,N19159))</f>
        <v>0</v>
      </c>
    </row>
    <row r="19160" spans="13:16">
      <c r="M19160" s="49">
        <f>IF($A$4+191&gt;$B$4,"",$A$4+191)</f>
        <v>46214</v>
      </c>
      <c r="N19160">
        <f>IF(M19160="","",'Master Barang'!A54)</f>
        <v>0</v>
      </c>
      <c r="O19160">
        <f>IF(N19160="","",'Master Barang'!B54)</f>
        <v>0</v>
      </c>
      <c r="P19160">
        <f>IF(OR(M19160="",N19160=""),"",SUMIFS('Barang Keluar'!$E:$E,'Barang Keluar'!$A:$A,M19160,'Barang Keluar'!$C:$C,N19160))</f>
        <v>0</v>
      </c>
    </row>
    <row r="19161" spans="13:16">
      <c r="M19161" s="49">
        <f>IF($A$4+191&gt;$B$4,"",$A$4+191)</f>
        <v>46214</v>
      </c>
      <c r="N19161">
        <f>IF(M19161="","",'Master Barang'!A55)</f>
        <v>0</v>
      </c>
      <c r="O19161">
        <f>IF(N19161="","",'Master Barang'!B55)</f>
        <v>0</v>
      </c>
      <c r="P19161">
        <f>IF(OR(M19161="",N19161=""),"",SUMIFS('Barang Keluar'!$E:$E,'Barang Keluar'!$A:$A,M19161,'Barang Keluar'!$C:$C,N19161))</f>
        <v>0</v>
      </c>
    </row>
    <row r="19162" spans="13:16">
      <c r="M19162" s="49">
        <f>IF($A$4+191&gt;$B$4,"",$A$4+191)</f>
        <v>46214</v>
      </c>
      <c r="N19162">
        <f>IF(M19162="","",'Master Barang'!A56)</f>
        <v>0</v>
      </c>
      <c r="O19162">
        <f>IF(N19162="","",'Master Barang'!B56)</f>
        <v>0</v>
      </c>
      <c r="P19162">
        <f>IF(OR(M19162="",N19162=""),"",SUMIFS('Barang Keluar'!$E:$E,'Barang Keluar'!$A:$A,M19162,'Barang Keluar'!$C:$C,N19162))</f>
        <v>0</v>
      </c>
    </row>
    <row r="19163" spans="13:16">
      <c r="M19163" s="49">
        <f>IF($A$4+191&gt;$B$4,"",$A$4+191)</f>
        <v>46214</v>
      </c>
      <c r="N19163">
        <f>IF(M19163="","",'Master Barang'!A57)</f>
        <v>0</v>
      </c>
      <c r="O19163">
        <f>IF(N19163="","",'Master Barang'!B57)</f>
        <v>0</v>
      </c>
      <c r="P19163">
        <f>IF(OR(M19163="",N19163=""),"",SUMIFS('Barang Keluar'!$E:$E,'Barang Keluar'!$A:$A,M19163,'Barang Keluar'!$C:$C,N19163))</f>
        <v>0</v>
      </c>
    </row>
    <row r="19164" spans="13:16">
      <c r="M19164" s="49">
        <f>IF($A$4+191&gt;$B$4,"",$A$4+191)</f>
        <v>46214</v>
      </c>
      <c r="N19164">
        <f>IF(M19164="","",'Master Barang'!A58)</f>
        <v>0</v>
      </c>
      <c r="O19164">
        <f>IF(N19164="","",'Master Barang'!B58)</f>
        <v>0</v>
      </c>
      <c r="P19164">
        <f>IF(OR(M19164="",N19164=""),"",SUMIFS('Barang Keluar'!$E:$E,'Barang Keluar'!$A:$A,M19164,'Barang Keluar'!$C:$C,N19164))</f>
        <v>0</v>
      </c>
    </row>
    <row r="19165" spans="13:16">
      <c r="M19165" s="49">
        <f>IF($A$4+191&gt;$B$4,"",$A$4+191)</f>
        <v>46214</v>
      </c>
      <c r="N19165">
        <f>IF(M19165="","",'Master Barang'!A59)</f>
        <v>0</v>
      </c>
      <c r="O19165">
        <f>IF(N19165="","",'Master Barang'!B59)</f>
        <v>0</v>
      </c>
      <c r="P19165">
        <f>IF(OR(M19165="",N19165=""),"",SUMIFS('Barang Keluar'!$E:$E,'Barang Keluar'!$A:$A,M19165,'Barang Keluar'!$C:$C,N19165))</f>
        <v>0</v>
      </c>
    </row>
    <row r="19166" spans="13:16">
      <c r="M19166" s="49">
        <f>IF($A$4+191&gt;$B$4,"",$A$4+191)</f>
        <v>46214</v>
      </c>
      <c r="N19166">
        <f>IF(M19166="","",'Master Barang'!A60)</f>
        <v>0</v>
      </c>
      <c r="O19166">
        <f>IF(N19166="","",'Master Barang'!B60)</f>
        <v>0</v>
      </c>
      <c r="P19166">
        <f>IF(OR(M19166="",N19166=""),"",SUMIFS('Barang Keluar'!$E:$E,'Barang Keluar'!$A:$A,M19166,'Barang Keluar'!$C:$C,N19166))</f>
        <v>0</v>
      </c>
    </row>
    <row r="19167" spans="13:16">
      <c r="M19167" s="49">
        <f>IF($A$4+191&gt;$B$4,"",$A$4+191)</f>
        <v>46214</v>
      </c>
      <c r="N19167">
        <f>IF(M19167="","",'Master Barang'!A61)</f>
        <v>0</v>
      </c>
      <c r="O19167">
        <f>IF(N19167="","",'Master Barang'!B61)</f>
        <v>0</v>
      </c>
      <c r="P19167">
        <f>IF(OR(M19167="",N19167=""),"",SUMIFS('Barang Keluar'!$E:$E,'Barang Keluar'!$A:$A,M19167,'Barang Keluar'!$C:$C,N19167))</f>
        <v>0</v>
      </c>
    </row>
    <row r="19168" spans="13:16">
      <c r="M19168" s="49">
        <f>IF($A$4+191&gt;$B$4,"",$A$4+191)</f>
        <v>46214</v>
      </c>
      <c r="N19168">
        <f>IF(M19168="","",'Master Barang'!A62)</f>
        <v>0</v>
      </c>
      <c r="O19168">
        <f>IF(N19168="","",'Master Barang'!B62)</f>
        <v>0</v>
      </c>
      <c r="P19168">
        <f>IF(OR(M19168="",N19168=""),"",SUMIFS('Barang Keluar'!$E:$E,'Barang Keluar'!$A:$A,M19168,'Barang Keluar'!$C:$C,N19168))</f>
        <v>0</v>
      </c>
    </row>
    <row r="19169" spans="13:16">
      <c r="M19169" s="49">
        <f>IF($A$4+191&gt;$B$4,"",$A$4+191)</f>
        <v>46214</v>
      </c>
      <c r="N19169">
        <f>IF(M19169="","",'Master Barang'!A63)</f>
        <v>0</v>
      </c>
      <c r="O19169">
        <f>IF(N19169="","",'Master Barang'!B63)</f>
        <v>0</v>
      </c>
      <c r="P19169">
        <f>IF(OR(M19169="",N19169=""),"",SUMIFS('Barang Keluar'!$E:$E,'Barang Keluar'!$A:$A,M19169,'Barang Keluar'!$C:$C,N19169))</f>
        <v>0</v>
      </c>
    </row>
    <row r="19170" spans="13:16">
      <c r="M19170" s="49">
        <f>IF($A$4+191&gt;$B$4,"",$A$4+191)</f>
        <v>46214</v>
      </c>
      <c r="N19170">
        <f>IF(M19170="","",'Master Barang'!A64)</f>
        <v>0</v>
      </c>
      <c r="O19170">
        <f>IF(N19170="","",'Master Barang'!B64)</f>
        <v>0</v>
      </c>
      <c r="P19170">
        <f>IF(OR(M19170="",N19170=""),"",SUMIFS('Barang Keluar'!$E:$E,'Barang Keluar'!$A:$A,M19170,'Barang Keluar'!$C:$C,N19170))</f>
        <v>0</v>
      </c>
    </row>
    <row r="19171" spans="13:16">
      <c r="M19171" s="49">
        <f>IF($A$4+191&gt;$B$4,"",$A$4+191)</f>
        <v>46214</v>
      </c>
      <c r="N19171">
        <f>IF(M19171="","",'Master Barang'!A65)</f>
        <v>0</v>
      </c>
      <c r="O19171">
        <f>IF(N19171="","",'Master Barang'!B65)</f>
        <v>0</v>
      </c>
      <c r="P19171">
        <f>IF(OR(M19171="",N19171=""),"",SUMIFS('Barang Keluar'!$E:$E,'Barang Keluar'!$A:$A,M19171,'Barang Keluar'!$C:$C,N19171))</f>
        <v>0</v>
      </c>
    </row>
    <row r="19172" spans="13:16">
      <c r="M19172" s="49">
        <f>IF($A$4+191&gt;$B$4,"",$A$4+191)</f>
        <v>46214</v>
      </c>
      <c r="N19172">
        <f>IF(M19172="","",'Master Barang'!A66)</f>
        <v>0</v>
      </c>
      <c r="O19172">
        <f>IF(N19172="","",'Master Barang'!B66)</f>
        <v>0</v>
      </c>
      <c r="P19172">
        <f>IF(OR(M19172="",N19172=""),"",SUMIFS('Barang Keluar'!$E:$E,'Barang Keluar'!$A:$A,M19172,'Barang Keluar'!$C:$C,N19172))</f>
        <v>0</v>
      </c>
    </row>
    <row r="19173" spans="13:16">
      <c r="M19173" s="49">
        <f>IF($A$4+191&gt;$B$4,"",$A$4+191)</f>
        <v>46214</v>
      </c>
      <c r="N19173">
        <f>IF(M19173="","",'Master Barang'!A67)</f>
        <v>0</v>
      </c>
      <c r="O19173">
        <f>IF(N19173="","",'Master Barang'!B67)</f>
        <v>0</v>
      </c>
      <c r="P19173">
        <f>IF(OR(M19173="",N19173=""),"",SUMIFS('Barang Keluar'!$E:$E,'Barang Keluar'!$A:$A,M19173,'Barang Keluar'!$C:$C,N19173))</f>
        <v>0</v>
      </c>
    </row>
    <row r="19174" spans="13:16">
      <c r="M19174" s="49">
        <f>IF($A$4+191&gt;$B$4,"",$A$4+191)</f>
        <v>46214</v>
      </c>
      <c r="N19174">
        <f>IF(M19174="","",'Master Barang'!A68)</f>
        <v>0</v>
      </c>
      <c r="O19174">
        <f>IF(N19174="","",'Master Barang'!B68)</f>
        <v>0</v>
      </c>
      <c r="P19174">
        <f>IF(OR(M19174="",N19174=""),"",SUMIFS('Barang Keluar'!$E:$E,'Barang Keluar'!$A:$A,M19174,'Barang Keluar'!$C:$C,N19174))</f>
        <v>0</v>
      </c>
    </row>
    <row r="19175" spans="13:16">
      <c r="M19175" s="49">
        <f>IF($A$4+191&gt;$B$4,"",$A$4+191)</f>
        <v>46214</v>
      </c>
      <c r="N19175">
        <f>IF(M19175="","",'Master Barang'!A69)</f>
        <v>0</v>
      </c>
      <c r="O19175">
        <f>IF(N19175="","",'Master Barang'!B69)</f>
        <v>0</v>
      </c>
      <c r="P19175">
        <f>IF(OR(M19175="",N19175=""),"",SUMIFS('Barang Keluar'!$E:$E,'Barang Keluar'!$A:$A,M19175,'Barang Keluar'!$C:$C,N19175))</f>
        <v>0</v>
      </c>
    </row>
    <row r="19176" spans="13:16">
      <c r="M19176" s="49">
        <f>IF($A$4+191&gt;$B$4,"",$A$4+191)</f>
        <v>46214</v>
      </c>
      <c r="N19176">
        <f>IF(M19176="","",'Master Barang'!A70)</f>
        <v>0</v>
      </c>
      <c r="O19176">
        <f>IF(N19176="","",'Master Barang'!B70)</f>
        <v>0</v>
      </c>
      <c r="P19176">
        <f>IF(OR(M19176="",N19176=""),"",SUMIFS('Barang Keluar'!$E:$E,'Barang Keluar'!$A:$A,M19176,'Barang Keluar'!$C:$C,N19176))</f>
        <v>0</v>
      </c>
    </row>
    <row r="19177" spans="13:16">
      <c r="M19177" s="49">
        <f>IF($A$4+191&gt;$B$4,"",$A$4+191)</f>
        <v>46214</v>
      </c>
      <c r="N19177">
        <f>IF(M19177="","",'Master Barang'!A71)</f>
        <v>0</v>
      </c>
      <c r="O19177">
        <f>IF(N19177="","",'Master Barang'!B71)</f>
        <v>0</v>
      </c>
      <c r="P19177">
        <f>IF(OR(M19177="",N19177=""),"",SUMIFS('Barang Keluar'!$E:$E,'Barang Keluar'!$A:$A,M19177,'Barang Keluar'!$C:$C,N19177))</f>
        <v>0</v>
      </c>
    </row>
    <row r="19178" spans="13:16">
      <c r="M19178" s="49">
        <f>IF($A$4+191&gt;$B$4,"",$A$4+191)</f>
        <v>46214</v>
      </c>
      <c r="N19178">
        <f>IF(M19178="","",'Master Barang'!A72)</f>
        <v>0</v>
      </c>
      <c r="O19178">
        <f>IF(N19178="","",'Master Barang'!B72)</f>
        <v>0</v>
      </c>
      <c r="P19178">
        <f>IF(OR(M19178="",N19178=""),"",SUMIFS('Barang Keluar'!$E:$E,'Barang Keluar'!$A:$A,M19178,'Barang Keluar'!$C:$C,N19178))</f>
        <v>0</v>
      </c>
    </row>
    <row r="19179" spans="13:16">
      <c r="M19179" s="49">
        <f>IF($A$4+191&gt;$B$4,"",$A$4+191)</f>
        <v>46214</v>
      </c>
      <c r="N19179">
        <f>IF(M19179="","",'Master Barang'!A73)</f>
        <v>0</v>
      </c>
      <c r="O19179">
        <f>IF(N19179="","",'Master Barang'!B73)</f>
        <v>0</v>
      </c>
      <c r="P19179">
        <f>IF(OR(M19179="",N19179=""),"",SUMIFS('Barang Keluar'!$E:$E,'Barang Keluar'!$A:$A,M19179,'Barang Keluar'!$C:$C,N19179))</f>
        <v>0</v>
      </c>
    </row>
    <row r="19180" spans="13:16">
      <c r="M19180" s="49">
        <f>IF($A$4+191&gt;$B$4,"",$A$4+191)</f>
        <v>46214</v>
      </c>
      <c r="N19180">
        <f>IF(M19180="","",'Master Barang'!A74)</f>
        <v>0</v>
      </c>
      <c r="O19180">
        <f>IF(N19180="","",'Master Barang'!B74)</f>
        <v>0</v>
      </c>
      <c r="P19180">
        <f>IF(OR(M19180="",N19180=""),"",SUMIFS('Barang Keluar'!$E:$E,'Barang Keluar'!$A:$A,M19180,'Barang Keluar'!$C:$C,N19180))</f>
        <v>0</v>
      </c>
    </row>
    <row r="19181" spans="13:16">
      <c r="M19181" s="49">
        <f>IF($A$4+191&gt;$B$4,"",$A$4+191)</f>
        <v>46214</v>
      </c>
      <c r="N19181">
        <f>IF(M19181="","",'Master Barang'!A75)</f>
        <v>0</v>
      </c>
      <c r="O19181">
        <f>IF(N19181="","",'Master Barang'!B75)</f>
        <v>0</v>
      </c>
      <c r="P19181">
        <f>IF(OR(M19181="",N19181=""),"",SUMIFS('Barang Keluar'!$E:$E,'Barang Keluar'!$A:$A,M19181,'Barang Keluar'!$C:$C,N19181))</f>
        <v>0</v>
      </c>
    </row>
    <row r="19182" spans="13:16">
      <c r="M19182" s="49">
        <f>IF($A$4+191&gt;$B$4,"",$A$4+191)</f>
        <v>46214</v>
      </c>
      <c r="N19182">
        <f>IF(M19182="","",'Master Barang'!A76)</f>
        <v>0</v>
      </c>
      <c r="O19182">
        <f>IF(N19182="","",'Master Barang'!B76)</f>
        <v>0</v>
      </c>
      <c r="P19182">
        <f>IF(OR(M19182="",N19182=""),"",SUMIFS('Barang Keluar'!$E:$E,'Barang Keluar'!$A:$A,M19182,'Barang Keluar'!$C:$C,N19182))</f>
        <v>0</v>
      </c>
    </row>
    <row r="19183" spans="13:16">
      <c r="M19183" s="49">
        <f>IF($A$4+191&gt;$B$4,"",$A$4+191)</f>
        <v>46214</v>
      </c>
      <c r="N19183">
        <f>IF(M19183="","",'Master Barang'!A77)</f>
        <v>0</v>
      </c>
      <c r="O19183">
        <f>IF(N19183="","",'Master Barang'!B77)</f>
        <v>0</v>
      </c>
      <c r="P19183">
        <f>IF(OR(M19183="",N19183=""),"",SUMIFS('Barang Keluar'!$E:$E,'Barang Keluar'!$A:$A,M19183,'Barang Keluar'!$C:$C,N19183))</f>
        <v>0</v>
      </c>
    </row>
    <row r="19184" spans="13:16">
      <c r="M19184" s="49">
        <f>IF($A$4+191&gt;$B$4,"",$A$4+191)</f>
        <v>46214</v>
      </c>
      <c r="N19184">
        <f>IF(M19184="","",'Master Barang'!A78)</f>
        <v>0</v>
      </c>
      <c r="O19184">
        <f>IF(N19184="","",'Master Barang'!B78)</f>
        <v>0</v>
      </c>
      <c r="P19184">
        <f>IF(OR(M19184="",N19184=""),"",SUMIFS('Barang Keluar'!$E:$E,'Barang Keluar'!$A:$A,M19184,'Barang Keluar'!$C:$C,N19184))</f>
        <v>0</v>
      </c>
    </row>
    <row r="19185" spans="13:16">
      <c r="M19185" s="49">
        <f>IF($A$4+191&gt;$B$4,"",$A$4+191)</f>
        <v>46214</v>
      </c>
      <c r="N19185">
        <f>IF(M19185="","",'Master Barang'!A79)</f>
        <v>0</v>
      </c>
      <c r="O19185">
        <f>IF(N19185="","",'Master Barang'!B79)</f>
        <v>0</v>
      </c>
      <c r="P19185">
        <f>IF(OR(M19185="",N19185=""),"",SUMIFS('Barang Keluar'!$E:$E,'Barang Keluar'!$A:$A,M19185,'Barang Keluar'!$C:$C,N19185))</f>
        <v>0</v>
      </c>
    </row>
    <row r="19186" spans="13:16">
      <c r="M19186" s="49">
        <f>IF($A$4+191&gt;$B$4,"",$A$4+191)</f>
        <v>46214</v>
      </c>
      <c r="N19186">
        <f>IF(M19186="","",'Master Barang'!A80)</f>
        <v>0</v>
      </c>
      <c r="O19186">
        <f>IF(N19186="","",'Master Barang'!B80)</f>
        <v>0</v>
      </c>
      <c r="P19186">
        <f>IF(OR(M19186="",N19186=""),"",SUMIFS('Barang Keluar'!$E:$E,'Barang Keluar'!$A:$A,M19186,'Barang Keluar'!$C:$C,N19186))</f>
        <v>0</v>
      </c>
    </row>
    <row r="19187" spans="13:16">
      <c r="M19187" s="49">
        <f>IF($A$4+191&gt;$B$4,"",$A$4+191)</f>
        <v>46214</v>
      </c>
      <c r="N19187">
        <f>IF(M19187="","",'Master Barang'!A81)</f>
        <v>0</v>
      </c>
      <c r="O19187">
        <f>IF(N19187="","",'Master Barang'!B81)</f>
        <v>0</v>
      </c>
      <c r="P19187">
        <f>IF(OR(M19187="",N19187=""),"",SUMIFS('Barang Keluar'!$E:$E,'Barang Keluar'!$A:$A,M19187,'Barang Keluar'!$C:$C,N19187))</f>
        <v>0</v>
      </c>
    </row>
    <row r="19188" spans="13:16">
      <c r="M19188" s="49">
        <f>IF($A$4+191&gt;$B$4,"",$A$4+191)</f>
        <v>46214</v>
      </c>
      <c r="N19188">
        <f>IF(M19188="","",'Master Barang'!A82)</f>
        <v>0</v>
      </c>
      <c r="O19188">
        <f>IF(N19188="","",'Master Barang'!B82)</f>
        <v>0</v>
      </c>
      <c r="P19188">
        <f>IF(OR(M19188="",N19188=""),"",SUMIFS('Barang Keluar'!$E:$E,'Barang Keluar'!$A:$A,M19188,'Barang Keluar'!$C:$C,N19188))</f>
        <v>0</v>
      </c>
    </row>
    <row r="19189" spans="13:16">
      <c r="M19189" s="49">
        <f>IF($A$4+191&gt;$B$4,"",$A$4+191)</f>
        <v>46214</v>
      </c>
      <c r="N19189">
        <f>IF(M19189="","",'Master Barang'!A83)</f>
        <v>0</v>
      </c>
      <c r="O19189">
        <f>IF(N19189="","",'Master Barang'!B83)</f>
        <v>0</v>
      </c>
      <c r="P19189">
        <f>IF(OR(M19189="",N19189=""),"",SUMIFS('Barang Keluar'!$E:$E,'Barang Keluar'!$A:$A,M19189,'Barang Keluar'!$C:$C,N19189))</f>
        <v>0</v>
      </c>
    </row>
    <row r="19190" spans="13:16">
      <c r="M19190" s="49">
        <f>IF($A$4+191&gt;$B$4,"",$A$4+191)</f>
        <v>46214</v>
      </c>
      <c r="N19190">
        <f>IF(M19190="","",'Master Barang'!A84)</f>
        <v>0</v>
      </c>
      <c r="O19190">
        <f>IF(N19190="","",'Master Barang'!B84)</f>
        <v>0</v>
      </c>
      <c r="P19190">
        <f>IF(OR(M19190="",N19190=""),"",SUMIFS('Barang Keluar'!$E:$E,'Barang Keluar'!$A:$A,M19190,'Barang Keluar'!$C:$C,N19190))</f>
        <v>0</v>
      </c>
    </row>
    <row r="19191" spans="13:16">
      <c r="M19191" s="49">
        <f>IF($A$4+191&gt;$B$4,"",$A$4+191)</f>
        <v>46214</v>
      </c>
      <c r="N19191">
        <f>IF(M19191="","",'Master Barang'!A85)</f>
        <v>0</v>
      </c>
      <c r="O19191">
        <f>IF(N19191="","",'Master Barang'!B85)</f>
        <v>0</v>
      </c>
      <c r="P19191">
        <f>IF(OR(M19191="",N19191=""),"",SUMIFS('Barang Keluar'!$E:$E,'Barang Keluar'!$A:$A,M19191,'Barang Keluar'!$C:$C,N19191))</f>
        <v>0</v>
      </c>
    </row>
    <row r="19192" spans="13:16">
      <c r="M19192" s="49">
        <f>IF($A$4+191&gt;$B$4,"",$A$4+191)</f>
        <v>46214</v>
      </c>
      <c r="N19192">
        <f>IF(M19192="","",'Master Barang'!A86)</f>
        <v>0</v>
      </c>
      <c r="O19192">
        <f>IF(N19192="","",'Master Barang'!B86)</f>
        <v>0</v>
      </c>
      <c r="P19192">
        <f>IF(OR(M19192="",N19192=""),"",SUMIFS('Barang Keluar'!$E:$E,'Barang Keluar'!$A:$A,M19192,'Barang Keluar'!$C:$C,N19192))</f>
        <v>0</v>
      </c>
    </row>
    <row r="19193" spans="13:16">
      <c r="M19193" s="49">
        <f>IF($A$4+191&gt;$B$4,"",$A$4+191)</f>
        <v>46214</v>
      </c>
      <c r="N19193">
        <f>IF(M19193="","",'Master Barang'!A87)</f>
        <v>0</v>
      </c>
      <c r="O19193">
        <f>IF(N19193="","",'Master Barang'!B87)</f>
        <v>0</v>
      </c>
      <c r="P19193">
        <f>IF(OR(M19193="",N19193=""),"",SUMIFS('Barang Keluar'!$E:$E,'Barang Keluar'!$A:$A,M19193,'Barang Keluar'!$C:$C,N19193))</f>
        <v>0</v>
      </c>
    </row>
    <row r="19194" spans="13:16">
      <c r="M19194" s="49">
        <f>IF($A$4+191&gt;$B$4,"",$A$4+191)</f>
        <v>46214</v>
      </c>
      <c r="N19194">
        <f>IF(M19194="","",'Master Barang'!A88)</f>
        <v>0</v>
      </c>
      <c r="O19194">
        <f>IF(N19194="","",'Master Barang'!B88)</f>
        <v>0</v>
      </c>
      <c r="P19194">
        <f>IF(OR(M19194="",N19194=""),"",SUMIFS('Barang Keluar'!$E:$E,'Barang Keluar'!$A:$A,M19194,'Barang Keluar'!$C:$C,N19194))</f>
        <v>0</v>
      </c>
    </row>
    <row r="19195" spans="13:16">
      <c r="M19195" s="49">
        <f>IF($A$4+191&gt;$B$4,"",$A$4+191)</f>
        <v>46214</v>
      </c>
      <c r="N19195">
        <f>IF(M19195="","",'Master Barang'!A89)</f>
        <v>0</v>
      </c>
      <c r="O19195">
        <f>IF(N19195="","",'Master Barang'!B89)</f>
        <v>0</v>
      </c>
      <c r="P19195">
        <f>IF(OR(M19195="",N19195=""),"",SUMIFS('Barang Keluar'!$E:$E,'Barang Keluar'!$A:$A,M19195,'Barang Keluar'!$C:$C,N19195))</f>
        <v>0</v>
      </c>
    </row>
    <row r="19196" spans="13:16">
      <c r="M19196" s="49">
        <f>IF($A$4+191&gt;$B$4,"",$A$4+191)</f>
        <v>46214</v>
      </c>
      <c r="N19196">
        <f>IF(M19196="","",'Master Barang'!A90)</f>
        <v>0</v>
      </c>
      <c r="O19196">
        <f>IF(N19196="","",'Master Barang'!B90)</f>
        <v>0</v>
      </c>
      <c r="P19196">
        <f>IF(OR(M19196="",N19196=""),"",SUMIFS('Barang Keluar'!$E:$E,'Barang Keluar'!$A:$A,M19196,'Barang Keluar'!$C:$C,N19196))</f>
        <v>0</v>
      </c>
    </row>
    <row r="19197" spans="13:16">
      <c r="M19197" s="49">
        <f>IF($A$4+191&gt;$B$4,"",$A$4+191)</f>
        <v>46214</v>
      </c>
      <c r="N19197">
        <f>IF(M19197="","",'Master Barang'!A91)</f>
        <v>0</v>
      </c>
      <c r="O19197">
        <f>IF(N19197="","",'Master Barang'!B91)</f>
        <v>0</v>
      </c>
      <c r="P19197">
        <f>IF(OR(M19197="",N19197=""),"",SUMIFS('Barang Keluar'!$E:$E,'Barang Keluar'!$A:$A,M19197,'Barang Keluar'!$C:$C,N19197))</f>
        <v>0</v>
      </c>
    </row>
    <row r="19198" spans="13:16">
      <c r="M19198" s="49">
        <f>IF($A$4+191&gt;$B$4,"",$A$4+191)</f>
        <v>46214</v>
      </c>
      <c r="N19198">
        <f>IF(M19198="","",'Master Barang'!A92)</f>
        <v>0</v>
      </c>
      <c r="O19198">
        <f>IF(N19198="","",'Master Barang'!B92)</f>
        <v>0</v>
      </c>
      <c r="P19198">
        <f>IF(OR(M19198="",N19198=""),"",SUMIFS('Barang Keluar'!$E:$E,'Barang Keluar'!$A:$A,M19198,'Barang Keluar'!$C:$C,N19198))</f>
        <v>0</v>
      </c>
    </row>
    <row r="19199" spans="13:16">
      <c r="M19199" s="49">
        <f>IF($A$4+191&gt;$B$4,"",$A$4+191)</f>
        <v>46214</v>
      </c>
      <c r="N19199">
        <f>IF(M19199="","",'Master Barang'!A93)</f>
        <v>0</v>
      </c>
      <c r="O19199">
        <f>IF(N19199="","",'Master Barang'!B93)</f>
        <v>0</v>
      </c>
      <c r="P19199">
        <f>IF(OR(M19199="",N19199=""),"",SUMIFS('Barang Keluar'!$E:$E,'Barang Keluar'!$A:$A,M19199,'Barang Keluar'!$C:$C,N19199))</f>
        <v>0</v>
      </c>
    </row>
    <row r="19200" spans="13:16">
      <c r="M19200" s="49">
        <f>IF($A$4+191&gt;$B$4,"",$A$4+191)</f>
        <v>46214</v>
      </c>
      <c r="N19200">
        <f>IF(M19200="","",'Master Barang'!A94)</f>
        <v>0</v>
      </c>
      <c r="O19200">
        <f>IF(N19200="","",'Master Barang'!B94)</f>
        <v>0</v>
      </c>
      <c r="P19200">
        <f>IF(OR(M19200="",N19200=""),"",SUMIFS('Barang Keluar'!$E:$E,'Barang Keluar'!$A:$A,M19200,'Barang Keluar'!$C:$C,N19200))</f>
        <v>0</v>
      </c>
    </row>
    <row r="19201" spans="13:16">
      <c r="M19201" s="49">
        <f>IF($A$4+191&gt;$B$4,"",$A$4+191)</f>
        <v>46214</v>
      </c>
      <c r="N19201">
        <f>IF(M19201="","",'Master Barang'!A95)</f>
        <v>0</v>
      </c>
      <c r="O19201">
        <f>IF(N19201="","",'Master Barang'!B95)</f>
        <v>0</v>
      </c>
      <c r="P19201">
        <f>IF(OR(M19201="",N19201=""),"",SUMIFS('Barang Keluar'!$E:$E,'Barang Keluar'!$A:$A,M19201,'Barang Keluar'!$C:$C,N19201))</f>
        <v>0</v>
      </c>
    </row>
    <row r="19202" spans="13:16">
      <c r="M19202" s="49">
        <f>IF($A$4+191&gt;$B$4,"",$A$4+191)</f>
        <v>46214</v>
      </c>
      <c r="N19202">
        <f>IF(M19202="","",'Master Barang'!A96)</f>
        <v>0</v>
      </c>
      <c r="O19202">
        <f>IF(N19202="","",'Master Barang'!B96)</f>
        <v>0</v>
      </c>
      <c r="P19202">
        <f>IF(OR(M19202="",N19202=""),"",SUMIFS('Barang Keluar'!$E:$E,'Barang Keluar'!$A:$A,M19202,'Barang Keluar'!$C:$C,N19202))</f>
        <v>0</v>
      </c>
    </row>
    <row r="19203" spans="13:16">
      <c r="M19203" s="49">
        <f>IF($A$4+191&gt;$B$4,"",$A$4+191)</f>
        <v>46214</v>
      </c>
      <c r="N19203">
        <f>IF(M19203="","",'Master Barang'!A97)</f>
        <v>0</v>
      </c>
      <c r="O19203">
        <f>IF(N19203="","",'Master Barang'!B97)</f>
        <v>0</v>
      </c>
      <c r="P19203">
        <f>IF(OR(M19203="",N19203=""),"",SUMIFS('Barang Keluar'!$E:$E,'Barang Keluar'!$A:$A,M19203,'Barang Keluar'!$C:$C,N19203))</f>
        <v>0</v>
      </c>
    </row>
    <row r="19204" spans="13:16">
      <c r="M19204" s="49">
        <f>IF($A$4+191&gt;$B$4,"",$A$4+191)</f>
        <v>46214</v>
      </c>
      <c r="N19204">
        <f>IF(M19204="","",'Master Barang'!A98)</f>
        <v>0</v>
      </c>
      <c r="O19204">
        <f>IF(N19204="","",'Master Barang'!B98)</f>
        <v>0</v>
      </c>
      <c r="P19204">
        <f>IF(OR(M19204="",N19204=""),"",SUMIFS('Barang Keluar'!$E:$E,'Barang Keluar'!$A:$A,M19204,'Barang Keluar'!$C:$C,N19204))</f>
        <v>0</v>
      </c>
    </row>
    <row r="19205" spans="13:16">
      <c r="M19205" s="49">
        <f>IF($A$4+191&gt;$B$4,"",$A$4+191)</f>
        <v>46214</v>
      </c>
      <c r="N19205">
        <f>IF(M19205="","",'Master Barang'!A99)</f>
        <v>0</v>
      </c>
      <c r="O19205">
        <f>IF(N19205="","",'Master Barang'!B99)</f>
        <v>0</v>
      </c>
      <c r="P19205">
        <f>IF(OR(M19205="",N19205=""),"",SUMIFS('Barang Keluar'!$E:$E,'Barang Keluar'!$A:$A,M19205,'Barang Keluar'!$C:$C,N19205))</f>
        <v>0</v>
      </c>
    </row>
    <row r="19206" spans="13:16">
      <c r="M19206" s="49">
        <f>IF($A$4+191&gt;$B$4,"",$A$4+191)</f>
        <v>46214</v>
      </c>
      <c r="N19206">
        <f>IF(M19206="","",'Master Barang'!A100)</f>
        <v>0</v>
      </c>
      <c r="O19206">
        <f>IF(N19206="","",'Master Barang'!B100)</f>
        <v>0</v>
      </c>
      <c r="P19206">
        <f>IF(OR(M19206="",N19206=""),"",SUMIFS('Barang Keluar'!$E:$E,'Barang Keluar'!$A:$A,M19206,'Barang Keluar'!$C:$C,N19206))</f>
        <v>0</v>
      </c>
    </row>
    <row r="19207" spans="13:16">
      <c r="M19207" s="49">
        <f>IF($A$4+191&gt;$B$4,"",$A$4+191)</f>
        <v>46214</v>
      </c>
      <c r="N19207">
        <f>IF(M19207="","",'Master Barang'!A101)</f>
        <v>0</v>
      </c>
      <c r="O19207">
        <f>IF(N19207="","",'Master Barang'!B101)</f>
        <v>0</v>
      </c>
      <c r="P19207">
        <f>IF(OR(M19207="",N19207=""),"",SUMIFS('Barang Keluar'!$E:$E,'Barang Keluar'!$A:$A,M19207,'Barang Keluar'!$C:$C,N19207))</f>
        <v>0</v>
      </c>
    </row>
    <row r="19208" spans="13:16">
      <c r="M19208" s="49">
        <f>IF($A$4+192&gt;$B$4,"",$A$4+192)</f>
        <v>46215</v>
      </c>
      <c r="N19208" t="str">
        <f>IF(M19208="","",'Master Barang'!A2)</f>
        <v>PRL-001</v>
      </c>
      <c r="O19208" t="str">
        <f>IF(N19208="","",'Master Barang'!B2)</f>
        <v>natura desinfectant food grade 5l</v>
      </c>
      <c r="P19208">
        <f>IF(OR(M19208="",N19208=""),"",SUMIFS('Barang Keluar'!$E:$E,'Barang Keluar'!$A:$A,M19208,'Barang Keluar'!$C:$C,N19208))</f>
        <v>0</v>
      </c>
    </row>
    <row r="19209" spans="13:16">
      <c r="M19209" s="49">
        <f>IF($A$4+192&gt;$B$4,"",$A$4+192)</f>
        <v>46215</v>
      </c>
      <c r="N19209" t="str">
        <f>IF(M19209="","",'Master Barang'!A3)</f>
        <v>PRL-002</v>
      </c>
      <c r="O19209" t="str">
        <f>IF(N19209="","",'Master Barang'!B3)</f>
        <v>sunlight cairan pencuci piring 5l</v>
      </c>
      <c r="P19209">
        <f>IF(OR(M19209="",N19209=""),"",SUMIFS('Barang Keluar'!$E:$E,'Barang Keluar'!$A:$A,M19209,'Barang Keluar'!$C:$C,N19209))</f>
        <v>0</v>
      </c>
    </row>
    <row r="19210" spans="13:16">
      <c r="M19210" s="49">
        <f>IF($A$4+192&gt;$B$4,"",$A$4+192)</f>
        <v>46215</v>
      </c>
      <c r="N19210" t="str">
        <f>IF(M19210="","",'Master Barang'!A4)</f>
        <v>PRL-003</v>
      </c>
      <c r="O19210" t="str">
        <f>IF(N19210="","",'Master Barang'!B4)</f>
        <v>oixs cleaner 1l</v>
      </c>
      <c r="P19210">
        <f>IF(OR(M19210="",N19210=""),"",SUMIFS('Barang Keluar'!$E:$E,'Barang Keluar'!$A:$A,M19210,'Barang Keluar'!$C:$C,N19210))</f>
        <v>0</v>
      </c>
    </row>
    <row r="19211" spans="13:16">
      <c r="M19211" s="49">
        <f>IF($A$4+192&gt;$B$4,"",$A$4+192)</f>
        <v>46215</v>
      </c>
      <c r="N19211" t="str">
        <f>IF(M19211="","",'Master Barang'!A5)</f>
        <v>PRL-004</v>
      </c>
      <c r="O19211" t="str">
        <f>IF(N19211="","",'Master Barang'!B5)</f>
        <v>be clean tissue serbaguna</v>
      </c>
      <c r="P19211">
        <f>IF(OR(M19211="",N19211=""),"",SUMIFS('Barang Keluar'!$E:$E,'Barang Keluar'!$A:$A,M19211,'Barang Keluar'!$C:$C,N19211))</f>
        <v>0</v>
      </c>
    </row>
    <row r="19212" spans="13:16">
      <c r="M19212" s="49">
        <f>IF($A$4+192&gt;$B$4,"",$A$4+192)</f>
        <v>46215</v>
      </c>
      <c r="N19212" t="str">
        <f>IF(M19212="","",'Master Barang'!A6)</f>
        <v>PRL-005</v>
      </c>
      <c r="O19212" t="str">
        <f>IF(N19212="","",'Master Barang'!B6)</f>
        <v>spons cuci hijau</v>
      </c>
      <c r="P19212">
        <f>IF(OR(M19212="",N19212=""),"",SUMIFS('Barang Keluar'!$E:$E,'Barang Keluar'!$A:$A,M19212,'Barang Keluar'!$C:$C,N19212))</f>
        <v>0</v>
      </c>
    </row>
    <row r="19213" spans="13:16">
      <c r="M19213" s="49">
        <f>IF($A$4+192&gt;$B$4,"",$A$4+192)</f>
        <v>46215</v>
      </c>
      <c r="N19213" t="str">
        <f>IF(M19213="","",'Master Barang'!A7)</f>
        <v>PRL-006</v>
      </c>
      <c r="O19213" t="str">
        <f>IF(N19213="","",'Master Barang'!B7)</f>
        <v>sabut cuci stainless</v>
      </c>
      <c r="P19213">
        <f>IF(OR(M19213="",N19213=""),"",SUMIFS('Barang Keluar'!$E:$E,'Barang Keluar'!$A:$A,M19213,'Barang Keluar'!$C:$C,N19213))</f>
        <v>0</v>
      </c>
    </row>
    <row r="19214" spans="13:16">
      <c r="M19214" s="49">
        <f>IF($A$4+192&gt;$B$4,"",$A$4+192)</f>
        <v>46215</v>
      </c>
      <c r="N19214" t="str">
        <f>IF(M19214="","",'Master Barang'!A8)</f>
        <v>PRL-007</v>
      </c>
      <c r="O19214" t="str">
        <f>IF(N19214="","",'Master Barang'!B8)</f>
        <v>plastik kresek besar merah 50pc</v>
      </c>
      <c r="P19214">
        <f>IF(OR(M19214="",N19214=""),"",SUMIFS('Barang Keluar'!$E:$E,'Barang Keluar'!$A:$A,M19214,'Barang Keluar'!$C:$C,N19214))</f>
        <v>0</v>
      </c>
    </row>
    <row r="19215" spans="13:16">
      <c r="M19215" s="49">
        <f>IF($A$4+192&gt;$B$4,"",$A$4+192)</f>
        <v>46215</v>
      </c>
      <c r="N19215" t="str">
        <f>IF(M19215="","",'Master Barang'!A9)</f>
        <v>PRL-008</v>
      </c>
      <c r="O19215" t="str">
        <f>IF(N19215="","",'Master Barang'!B9)</f>
        <v>lap besar</v>
      </c>
      <c r="P19215">
        <f>IF(OR(M19215="",N19215=""),"",SUMIFS('Barang Keluar'!$E:$E,'Barang Keluar'!$A:$A,M19215,'Barang Keluar'!$C:$C,N19215))</f>
        <v>0</v>
      </c>
    </row>
    <row r="19216" spans="13:16">
      <c r="M19216" s="49">
        <f>IF($A$4+192&gt;$B$4,"",$A$4+192)</f>
        <v>46215</v>
      </c>
      <c r="N19216" t="str">
        <f>IF(M19216="","",'Master Barang'!A10)</f>
        <v>PRL-009</v>
      </c>
      <c r="O19216" t="str">
        <f>IF(N19216="","",'Master Barang'!B10)</f>
        <v>lap microfiber</v>
      </c>
      <c r="P19216">
        <f>IF(OR(M19216="",N19216=""),"",SUMIFS('Barang Keluar'!$E:$E,'Barang Keluar'!$A:$A,M19216,'Barang Keluar'!$C:$C,N19216))</f>
        <v>0</v>
      </c>
    </row>
    <row r="19217" spans="13:16">
      <c r="M19217" s="49">
        <f>IF($A$4+192&gt;$B$4,"",$A$4+192)</f>
        <v>46215</v>
      </c>
      <c r="N19217" t="str">
        <f>IF(M19217="","",'Master Barang'!A11)</f>
        <v>PRL-010</v>
      </c>
      <c r="O19217" t="str">
        <f>IF(N19217="","",'Master Barang'!B11)</f>
        <v>lap kecil</v>
      </c>
      <c r="P19217">
        <f>IF(OR(M19217="",N19217=""),"",SUMIFS('Barang Keluar'!$E:$E,'Barang Keluar'!$A:$A,M19217,'Barang Keluar'!$C:$C,N19217))</f>
        <v>0</v>
      </c>
    </row>
    <row r="19218" spans="13:16">
      <c r="M19218" s="49">
        <f>IF($A$4+192&gt;$B$4,"",$A$4+192)</f>
        <v>46215</v>
      </c>
      <c r="N19218" t="str">
        <f>IF(M19218="","",'Master Barang'!A12)</f>
        <v>PRL-011</v>
      </c>
      <c r="O19218" t="str">
        <f>IF(N19218="","",'Master Barang'!B12)</f>
        <v>kanebo kecil</v>
      </c>
      <c r="P19218">
        <f>IF(OR(M19218="",N19218=""),"",SUMIFS('Barang Keluar'!$E:$E,'Barang Keluar'!$A:$A,M19218,'Barang Keluar'!$C:$C,N19218))</f>
        <v>0</v>
      </c>
    </row>
    <row r="19219" spans="13:16">
      <c r="M19219" s="49">
        <f>IF($A$4+192&gt;$B$4,"",$A$4+192)</f>
        <v>46215</v>
      </c>
      <c r="N19219" t="str">
        <f>IF(M19219="","",'Master Barang'!A13)</f>
        <v>PRL-012</v>
      </c>
      <c r="O19219" t="str">
        <f>IF(N19219="","",'Master Barang'!B13)</f>
        <v>plastik 1/4kg joyoboyo 100 lembar</v>
      </c>
      <c r="P19219">
        <f>IF(OR(M19219="",N19219=""),"",SUMIFS('Barang Keluar'!$E:$E,'Barang Keluar'!$A:$A,M19219,'Barang Keluar'!$C:$C,N19219))</f>
        <v>0</v>
      </c>
    </row>
    <row r="19220" spans="13:16">
      <c r="M19220" s="49">
        <f>IF($A$4+192&gt;$B$4,"",$A$4+192)</f>
        <v>46215</v>
      </c>
      <c r="N19220" t="str">
        <f>IF(M19220="","",'Master Barang'!A14)</f>
        <v>PRL-013</v>
      </c>
      <c r="O19220" t="str">
        <f>IF(N19220="","",'Master Barang'!B14)</f>
        <v>sarung tangan plastik kaka 100 pcs</v>
      </c>
      <c r="P19220">
        <f>IF(OR(M19220="",N19220=""),"",SUMIFS('Barang Keluar'!$E:$E,'Barang Keluar'!$A:$A,M19220,'Barang Keluar'!$C:$C,N19220))</f>
        <v>0</v>
      </c>
    </row>
    <row r="19221" spans="13:16">
      <c r="M19221" s="49">
        <f>IF($A$4+192&gt;$B$4,"",$A$4+192)</f>
        <v>46215</v>
      </c>
      <c r="N19221" t="str">
        <f>IF(M19221="","",'Master Barang'!A15)</f>
        <v>PRL-014</v>
      </c>
      <c r="O19221" t="str">
        <f>IF(N19221="","",'Master Barang'!B15)</f>
        <v>optima trashbag 80x100</v>
      </c>
      <c r="P19221">
        <f>IF(OR(M19221="",N19221=""),"",SUMIFS('Barang Keluar'!$E:$E,'Barang Keluar'!$A:$A,M19221,'Barang Keluar'!$C:$C,N19221))</f>
        <v>0</v>
      </c>
    </row>
    <row r="19222" spans="13:16">
      <c r="M19222" s="49">
        <f>IF($A$4+192&gt;$B$4,"",$A$4+192)</f>
        <v>46215</v>
      </c>
      <c r="N19222" t="str">
        <f>IF(M19222="","",'Master Barang'!A16)</f>
        <v>PRL-015</v>
      </c>
      <c r="O19222" t="str">
        <f>IF(N19222="","",'Master Barang'!B16)</f>
        <v>optima trashbag 60x100</v>
      </c>
      <c r="P19222">
        <f>IF(OR(M19222="",N19222=""),"",SUMIFS('Barang Keluar'!$E:$E,'Barang Keluar'!$A:$A,M19222,'Barang Keluar'!$C:$C,N19222))</f>
        <v>0</v>
      </c>
    </row>
    <row r="19223" spans="13:16">
      <c r="M19223" s="49">
        <f>IF($A$4+192&gt;$B$4,"",$A$4+192)</f>
        <v>46215</v>
      </c>
      <c r="N19223" t="str">
        <f>IF(M19223="","",'Master Barang'!A17)</f>
        <v>PRL-016</v>
      </c>
      <c r="O19223" t="str">
        <f>IF(N19223="","",'Master Barang'!B17)</f>
        <v>rajawali trashbag 30x40</v>
      </c>
      <c r="P19223">
        <f>IF(OR(M19223="",N19223=""),"",SUMIFS('Barang Keluar'!$E:$E,'Barang Keluar'!$A:$A,M19223,'Barang Keluar'!$C:$C,N19223))</f>
        <v>0</v>
      </c>
    </row>
    <row r="19224" spans="13:16">
      <c r="M19224" s="49">
        <f>IF($A$4+192&gt;$B$4,"",$A$4+192)</f>
        <v>46215</v>
      </c>
      <c r="N19224" t="str">
        <f>IF(M19224="","",'Master Barang'!A18)</f>
        <v>PRL-017</v>
      </c>
      <c r="O19224" t="str">
        <f>IF(N19224="","",'Master Barang'!B18)</f>
        <v>onemed masker biru 3 play 50 pcs</v>
      </c>
      <c r="P19224">
        <f>IF(OR(M19224="",N19224=""),"",SUMIFS('Barang Keluar'!$E:$E,'Barang Keluar'!$A:$A,M19224,'Barang Keluar'!$C:$C,N19224))</f>
        <v>0</v>
      </c>
    </row>
    <row r="19225" spans="13:16">
      <c r="M19225" s="49">
        <f>IF($A$4+192&gt;$B$4,"",$A$4+192)</f>
        <v>46215</v>
      </c>
      <c r="N19225" t="str">
        <f>IF(M19225="","",'Master Barang'!A19)</f>
        <v>PRL-018</v>
      </c>
      <c r="O19225" t="str">
        <f>IF(N19225="","",'Master Barang'!B19)</f>
        <v>onemed masker biru 3 play hijab 50 pcs</v>
      </c>
      <c r="P19225">
        <f>IF(OR(M19225="",N19225=""),"",SUMIFS('Barang Keluar'!$E:$E,'Barang Keluar'!$A:$A,M19225,'Barang Keluar'!$C:$C,N19225))</f>
        <v>0</v>
      </c>
    </row>
    <row r="19226" spans="13:16">
      <c r="M19226" s="49">
        <f>IF($A$4+192&gt;$B$4,"",$A$4+192)</f>
        <v>46215</v>
      </c>
      <c r="N19226" t="str">
        <f>IF(M19226="","",'Master Barang'!A20)</f>
        <v>PRL-019</v>
      </c>
      <c r="O19226" t="str">
        <f>IF(N19226="","",'Master Barang'!B20)</f>
        <v>neo health masker biru 3 play 50 pcs</v>
      </c>
      <c r="P19226">
        <f>IF(OR(M19226="",N19226=""),"",SUMIFS('Barang Keluar'!$E:$E,'Barang Keluar'!$A:$A,M19226,'Barang Keluar'!$C:$C,N19226))</f>
        <v>0</v>
      </c>
    </row>
    <row r="19227" spans="13:16">
      <c r="M19227" s="49">
        <f>IF($A$4+192&gt;$B$4,"",$A$4+192)</f>
        <v>46215</v>
      </c>
      <c r="N19227" t="str">
        <f>IF(M19227="","",'Master Barang'!A21)</f>
        <v>PRL-020</v>
      </c>
      <c r="O19227" t="str">
        <f>IF(N19227="","",'Master Barang'!B21)</f>
        <v>baymed masker hijau 3 play hijau 50 pcs</v>
      </c>
      <c r="P19227">
        <f>IF(OR(M19227="",N19227=""),"",SUMIFS('Barang Keluar'!$E:$E,'Barang Keluar'!$A:$A,M19227,'Barang Keluar'!$C:$C,N19227))</f>
        <v>0</v>
      </c>
    </row>
    <row r="19228" spans="13:16">
      <c r="M19228" s="49">
        <f>IF($A$4+192&gt;$B$4,"",$A$4+192)</f>
        <v>46215</v>
      </c>
      <c r="N19228" t="str">
        <f>IF(M19228="","",'Master Barang'!A22)</f>
        <v>PRL-021</v>
      </c>
      <c r="O19228" t="str">
        <f>IF(N19228="","",'Master Barang'!B22)</f>
        <v>altamed nurse cap penutup kepala 100 pcs</v>
      </c>
      <c r="P19228">
        <f>IF(OR(M19228="",N19228=""),"",SUMIFS('Barang Keluar'!$E:$E,'Barang Keluar'!$A:$A,M19228,'Barang Keluar'!$C:$C,N19228))</f>
        <v>0</v>
      </c>
    </row>
    <row r="19229" spans="13:16">
      <c r="M19229" s="49">
        <f>IF($A$4+192&gt;$B$4,"",$A$4+192)</f>
        <v>46215</v>
      </c>
      <c r="N19229" t="str">
        <f>IF(M19229="","",'Master Barang'!A23)</f>
        <v>PRL-022</v>
      </c>
      <c r="O19229" t="str">
        <f>IF(N19229="","",'Master Barang'!B23)</f>
        <v>sabun cuci tangan</v>
      </c>
      <c r="P19229">
        <f>IF(OR(M19229="",N19229=""),"",SUMIFS('Barang Keluar'!$E:$E,'Barang Keluar'!$A:$A,M19229,'Barang Keluar'!$C:$C,N19229))</f>
        <v>0</v>
      </c>
    </row>
    <row r="19230" spans="13:16">
      <c r="M19230" s="49">
        <f>IF($A$4+192&gt;$B$4,"",$A$4+192)</f>
        <v>46215</v>
      </c>
      <c r="N19230" t="str">
        <f>IF(M19230="","",'Master Barang'!A24)</f>
        <v>PRL-023</v>
      </c>
      <c r="O19230" t="str">
        <f>IF(N19230="","",'Master Barang'!B24)</f>
        <v>gayung kecil</v>
      </c>
      <c r="P19230">
        <f>IF(OR(M19230="",N19230=""),"",SUMIFS('Barang Keluar'!$E:$E,'Barang Keluar'!$A:$A,M19230,'Barang Keluar'!$C:$C,N19230))</f>
        <v>0</v>
      </c>
    </row>
    <row r="19231" spans="13:16">
      <c r="M19231" s="49">
        <f>IF($A$4+192&gt;$B$4,"",$A$4+192)</f>
        <v>46215</v>
      </c>
      <c r="N19231" t="str">
        <f>IF(M19231="","",'Master Barang'!A25)</f>
        <v>PRL-024</v>
      </c>
      <c r="O19231" t="str">
        <f>IF(N19231="","",'Master Barang'!B25)</f>
        <v>cikrak kecil</v>
      </c>
      <c r="P19231">
        <f>IF(OR(M19231="",N19231=""),"",SUMIFS('Barang Keluar'!$E:$E,'Barang Keluar'!$A:$A,M19231,'Barang Keluar'!$C:$C,N19231))</f>
        <v>0</v>
      </c>
    </row>
    <row r="19232" spans="13:16">
      <c r="M19232" s="49">
        <f>IF($A$4+192&gt;$B$4,"",$A$4+192)</f>
        <v>46215</v>
      </c>
      <c r="N19232" t="str">
        <f>IF(M19232="","",'Master Barang'!A26)</f>
        <v>PRL-025</v>
      </c>
      <c r="O19232" t="str">
        <f>IF(N19232="","",'Master Barang'!B26)</f>
        <v>petromax plastik kecil 12x24 100 lembar</v>
      </c>
      <c r="P19232">
        <f>IF(OR(M19232="",N19232=""),"",SUMIFS('Barang Keluar'!$E:$E,'Barang Keluar'!$A:$A,M19232,'Barang Keluar'!$C:$C,N19232))</f>
        <v>0</v>
      </c>
    </row>
    <row r="19233" spans="13:16">
      <c r="M19233" s="49">
        <f>IF($A$4+192&gt;$B$4,"",$A$4+192)</f>
        <v>46215</v>
      </c>
      <c r="N19233" t="str">
        <f>IF(M19233="","",'Master Barang'!A27)</f>
        <v>PRL-026</v>
      </c>
      <c r="O19233" t="str">
        <f>IF(N19233="","",'Master Barang'!B27)</f>
        <v>lancar kresek kecil bening </v>
      </c>
      <c r="P19233">
        <f>IF(OR(M19233="",N19233=""),"",SUMIFS('Barang Keluar'!$E:$E,'Barang Keluar'!$A:$A,M19233,'Barang Keluar'!$C:$C,N19233))</f>
        <v>0</v>
      </c>
    </row>
    <row r="19234" spans="13:16">
      <c r="M19234" s="49">
        <f>IF($A$4+192&gt;$B$4,"",$A$4+192)</f>
        <v>46215</v>
      </c>
      <c r="N19234" t="str">
        <f>IF(M19234="","",'Master Barang'!A28)</f>
        <v>PRL-027</v>
      </c>
      <c r="O19234" t="str">
        <f>IF(N19234="","",'Master Barang'!B28)</f>
        <v>kresek klin warna warni kecil</v>
      </c>
      <c r="P19234">
        <f>IF(OR(M19234="",N19234=""),"",SUMIFS('Barang Keluar'!$E:$E,'Barang Keluar'!$A:$A,M19234,'Barang Keluar'!$C:$C,N19234))</f>
        <v>0</v>
      </c>
    </row>
    <row r="19235" spans="13:16">
      <c r="M19235" s="49">
        <f>IF($A$4+192&gt;$B$4,"",$A$4+192)</f>
        <v>46215</v>
      </c>
      <c r="N19235" t="str">
        <f>IF(M19235="","",'Master Barang'!A29)</f>
        <v>PRL-028</v>
      </c>
      <c r="O19235" t="str">
        <f>IF(N19235="","",'Master Barang'!B29)</f>
        <v>ctik plastik 7x10 100 pcs</v>
      </c>
      <c r="P19235">
        <f>IF(OR(M19235="",N19235=""),"",SUMIFS('Barang Keluar'!$E:$E,'Barang Keluar'!$A:$A,M19235,'Barang Keluar'!$C:$C,N19235))</f>
        <v>0</v>
      </c>
    </row>
    <row r="19236" spans="13:16">
      <c r="M19236" s="49">
        <f>IF($A$4+192&gt;$B$4,"",$A$4+192)</f>
        <v>46215</v>
      </c>
      <c r="N19236" t="str">
        <f>IF(M19236="","",'Master Barang'!A30)</f>
        <v>PRL-029</v>
      </c>
      <c r="O19236" t="str">
        <f>IF(N19236="","",'Master Barang'!B30)</f>
        <v>ctik plastik 6x10 100 pcs</v>
      </c>
      <c r="P19236">
        <f>IF(OR(M19236="",N19236=""),"",SUMIFS('Barang Keluar'!$E:$E,'Barang Keluar'!$A:$A,M19236,'Barang Keluar'!$C:$C,N19236))</f>
        <v>0</v>
      </c>
    </row>
    <row r="19237" spans="13:16">
      <c r="M19237" s="49">
        <f>IF($A$4+192&gt;$B$4,"",$A$4+192)</f>
        <v>46215</v>
      </c>
      <c r="N19237" t="str">
        <f>IF(M19237="","",'Master Barang'!A31)</f>
        <v>PRL-030</v>
      </c>
      <c r="O19237" t="str">
        <f>IF(N19237="","",'Master Barang'!B31)</f>
        <v>klip plastik 25x16 100 pcs</v>
      </c>
      <c r="P19237">
        <f>IF(OR(M19237="",N19237=""),"",SUMIFS('Barang Keluar'!$E:$E,'Barang Keluar'!$A:$A,M19237,'Barang Keluar'!$C:$C,N19237))</f>
        <v>0</v>
      </c>
    </row>
    <row r="19238" spans="13:16">
      <c r="M19238" s="49">
        <f>IF($A$4+192&gt;$B$4,"",$A$4+192)</f>
        <v>46215</v>
      </c>
      <c r="N19238" t="str">
        <f>IF(M19238="","",'Master Barang'!A32)</f>
        <v>PRL-031</v>
      </c>
      <c r="O19238" t="str">
        <f>IF(N19238="","",'Master Barang'!B32)</f>
        <v>tempat saus 20 ml</v>
      </c>
      <c r="P19238">
        <f>IF(OR(M19238="",N19238=""),"",SUMIFS('Barang Keluar'!$E:$E,'Barang Keluar'!$A:$A,M19238,'Barang Keluar'!$C:$C,N19238))</f>
        <v>0</v>
      </c>
    </row>
    <row r="19239" spans="13:16">
      <c r="M19239" s="49">
        <f>IF($A$4+192&gt;$B$4,"",$A$4+192)</f>
        <v>46215</v>
      </c>
      <c r="N19239" t="str">
        <f>IF(M19239="","",'Master Barang'!A33)</f>
        <v>PRL-032</v>
      </c>
      <c r="O19239" t="str">
        <f>IF(N19239="","",'Master Barang'!B33)</f>
        <v>plastik packaging ag box uk sedang</v>
      </c>
      <c r="P19239">
        <f>IF(OR(M19239="",N19239=""),"",SUMIFS('Barang Keluar'!$E:$E,'Barang Keluar'!$A:$A,M19239,'Barang Keluar'!$C:$C,N19239))</f>
        <v>0</v>
      </c>
    </row>
    <row r="19240" spans="13:16">
      <c r="M19240" s="49">
        <f>IF($A$4+192&gt;$B$4,"",$A$4+192)</f>
        <v>46215</v>
      </c>
      <c r="N19240" t="str">
        <f>IF(M19240="","",'Master Barang'!A34)</f>
        <v>PRL-033</v>
      </c>
      <c r="O19240">
        <f>IF(N19240="","",'Master Barang'!B34)</f>
        <v>0</v>
      </c>
      <c r="P19240">
        <f>IF(OR(M19240="",N19240=""),"",SUMIFS('Barang Keluar'!$E:$E,'Barang Keluar'!$A:$A,M19240,'Barang Keluar'!$C:$C,N19240))</f>
        <v>0</v>
      </c>
    </row>
    <row r="19241" spans="13:16">
      <c r="M19241" s="49">
        <f>IF($A$4+192&gt;$B$4,"",$A$4+192)</f>
        <v>46215</v>
      </c>
      <c r="N19241">
        <f>IF(M19241="","",'Master Barang'!A35)</f>
        <v>0</v>
      </c>
      <c r="O19241">
        <f>IF(N19241="","",'Master Barang'!B35)</f>
        <v>0</v>
      </c>
      <c r="P19241">
        <f>IF(OR(M19241="",N19241=""),"",SUMIFS('Barang Keluar'!$E:$E,'Barang Keluar'!$A:$A,M19241,'Barang Keluar'!$C:$C,N19241))</f>
        <v>0</v>
      </c>
    </row>
    <row r="19242" spans="13:16">
      <c r="M19242" s="49">
        <f>IF($A$4+192&gt;$B$4,"",$A$4+192)</f>
        <v>46215</v>
      </c>
      <c r="N19242">
        <f>IF(M19242="","",'Master Barang'!A36)</f>
        <v>0</v>
      </c>
      <c r="O19242">
        <f>IF(N19242="","",'Master Barang'!B36)</f>
        <v>0</v>
      </c>
      <c r="P19242">
        <f>IF(OR(M19242="",N19242=""),"",SUMIFS('Barang Keluar'!$E:$E,'Barang Keluar'!$A:$A,M19242,'Barang Keluar'!$C:$C,N19242))</f>
        <v>0</v>
      </c>
    </row>
    <row r="19243" spans="13:16">
      <c r="M19243" s="49">
        <f>IF($A$4+192&gt;$B$4,"",$A$4+192)</f>
        <v>46215</v>
      </c>
      <c r="N19243">
        <f>IF(M19243="","",'Master Barang'!A37)</f>
        <v>0</v>
      </c>
      <c r="O19243">
        <f>IF(N19243="","",'Master Barang'!B37)</f>
        <v>0</v>
      </c>
      <c r="P19243">
        <f>IF(OR(M19243="",N19243=""),"",SUMIFS('Barang Keluar'!$E:$E,'Barang Keluar'!$A:$A,M19243,'Barang Keluar'!$C:$C,N19243))</f>
        <v>0</v>
      </c>
    </row>
    <row r="19244" spans="13:16">
      <c r="M19244" s="49">
        <f>IF($A$4+192&gt;$B$4,"",$A$4+192)</f>
        <v>46215</v>
      </c>
      <c r="N19244">
        <f>IF(M19244="","",'Master Barang'!A38)</f>
        <v>0</v>
      </c>
      <c r="O19244">
        <f>IF(N19244="","",'Master Barang'!B38)</f>
        <v>0</v>
      </c>
      <c r="P19244">
        <f>IF(OR(M19244="",N19244=""),"",SUMIFS('Barang Keluar'!$E:$E,'Barang Keluar'!$A:$A,M19244,'Barang Keluar'!$C:$C,N19244))</f>
        <v>0</v>
      </c>
    </row>
    <row r="19245" spans="13:16">
      <c r="M19245" s="49">
        <f>IF($A$4+192&gt;$B$4,"",$A$4+192)</f>
        <v>46215</v>
      </c>
      <c r="N19245">
        <f>IF(M19245="","",'Master Barang'!A39)</f>
        <v>0</v>
      </c>
      <c r="O19245">
        <f>IF(N19245="","",'Master Barang'!B39)</f>
        <v>0</v>
      </c>
      <c r="P19245">
        <f>IF(OR(M19245="",N19245=""),"",SUMIFS('Barang Keluar'!$E:$E,'Barang Keluar'!$A:$A,M19245,'Barang Keluar'!$C:$C,N19245))</f>
        <v>0</v>
      </c>
    </row>
    <row r="19246" spans="13:16">
      <c r="M19246" s="49">
        <f>IF($A$4+192&gt;$B$4,"",$A$4+192)</f>
        <v>46215</v>
      </c>
      <c r="N19246">
        <f>IF(M19246="","",'Master Barang'!A40)</f>
        <v>0</v>
      </c>
      <c r="O19246">
        <f>IF(N19246="","",'Master Barang'!B40)</f>
        <v>0</v>
      </c>
      <c r="P19246">
        <f>IF(OR(M19246="",N19246=""),"",SUMIFS('Barang Keluar'!$E:$E,'Barang Keluar'!$A:$A,M19246,'Barang Keluar'!$C:$C,N19246))</f>
        <v>0</v>
      </c>
    </row>
    <row r="19247" spans="13:16">
      <c r="M19247" s="49">
        <f>IF($A$4+192&gt;$B$4,"",$A$4+192)</f>
        <v>46215</v>
      </c>
      <c r="N19247">
        <f>IF(M19247="","",'Master Barang'!A41)</f>
        <v>0</v>
      </c>
      <c r="O19247">
        <f>IF(N19247="","",'Master Barang'!B41)</f>
        <v>0</v>
      </c>
      <c r="P19247">
        <f>IF(OR(M19247="",N19247=""),"",SUMIFS('Barang Keluar'!$E:$E,'Barang Keluar'!$A:$A,M19247,'Barang Keluar'!$C:$C,N19247))</f>
        <v>0</v>
      </c>
    </row>
    <row r="19248" spans="13:16">
      <c r="M19248" s="49">
        <f>IF($A$4+192&gt;$B$4,"",$A$4+192)</f>
        <v>46215</v>
      </c>
      <c r="N19248">
        <f>IF(M19248="","",'Master Barang'!A42)</f>
        <v>0</v>
      </c>
      <c r="O19248">
        <f>IF(N19248="","",'Master Barang'!B42)</f>
        <v>0</v>
      </c>
      <c r="P19248">
        <f>IF(OR(M19248="",N19248=""),"",SUMIFS('Barang Keluar'!$E:$E,'Barang Keluar'!$A:$A,M19248,'Barang Keluar'!$C:$C,N19248))</f>
        <v>0</v>
      </c>
    </row>
    <row r="19249" spans="13:16">
      <c r="M19249" s="49">
        <f>IF($A$4+192&gt;$B$4,"",$A$4+192)</f>
        <v>46215</v>
      </c>
      <c r="N19249">
        <f>IF(M19249="","",'Master Barang'!A43)</f>
        <v>0</v>
      </c>
      <c r="O19249">
        <f>IF(N19249="","",'Master Barang'!B43)</f>
        <v>0</v>
      </c>
      <c r="P19249">
        <f>IF(OR(M19249="",N19249=""),"",SUMIFS('Barang Keluar'!$E:$E,'Barang Keluar'!$A:$A,M19249,'Barang Keluar'!$C:$C,N19249))</f>
        <v>0</v>
      </c>
    </row>
    <row r="19250" spans="13:16">
      <c r="M19250" s="49">
        <f>IF($A$4+192&gt;$B$4,"",$A$4+192)</f>
        <v>46215</v>
      </c>
      <c r="N19250">
        <f>IF(M19250="","",'Master Barang'!A44)</f>
        <v>0</v>
      </c>
      <c r="O19250">
        <f>IF(N19250="","",'Master Barang'!B44)</f>
        <v>0</v>
      </c>
      <c r="P19250">
        <f>IF(OR(M19250="",N19250=""),"",SUMIFS('Barang Keluar'!$E:$E,'Barang Keluar'!$A:$A,M19250,'Barang Keluar'!$C:$C,N19250))</f>
        <v>0</v>
      </c>
    </row>
    <row r="19251" spans="13:16">
      <c r="M19251" s="49">
        <f>IF($A$4+192&gt;$B$4,"",$A$4+192)</f>
        <v>46215</v>
      </c>
      <c r="N19251">
        <f>IF(M19251="","",'Master Barang'!A45)</f>
        <v>0</v>
      </c>
      <c r="O19251">
        <f>IF(N19251="","",'Master Barang'!B45)</f>
        <v>0</v>
      </c>
      <c r="P19251">
        <f>IF(OR(M19251="",N19251=""),"",SUMIFS('Barang Keluar'!$E:$E,'Barang Keluar'!$A:$A,M19251,'Barang Keluar'!$C:$C,N19251))</f>
        <v>0</v>
      </c>
    </row>
    <row r="19252" spans="13:16">
      <c r="M19252" s="49">
        <f>IF($A$4+192&gt;$B$4,"",$A$4+192)</f>
        <v>46215</v>
      </c>
      <c r="N19252">
        <f>IF(M19252="","",'Master Barang'!A46)</f>
        <v>0</v>
      </c>
      <c r="O19252">
        <f>IF(N19252="","",'Master Barang'!B46)</f>
        <v>0</v>
      </c>
      <c r="P19252">
        <f>IF(OR(M19252="",N19252=""),"",SUMIFS('Barang Keluar'!$E:$E,'Barang Keluar'!$A:$A,M19252,'Barang Keluar'!$C:$C,N19252))</f>
        <v>0</v>
      </c>
    </row>
    <row r="19253" spans="13:16">
      <c r="M19253" s="49">
        <f>IF($A$4+192&gt;$B$4,"",$A$4+192)</f>
        <v>46215</v>
      </c>
      <c r="N19253">
        <f>IF(M19253="","",'Master Barang'!A47)</f>
        <v>0</v>
      </c>
      <c r="O19253">
        <f>IF(N19253="","",'Master Barang'!B47)</f>
        <v>0</v>
      </c>
      <c r="P19253">
        <f>IF(OR(M19253="",N19253=""),"",SUMIFS('Barang Keluar'!$E:$E,'Barang Keluar'!$A:$A,M19253,'Barang Keluar'!$C:$C,N19253))</f>
        <v>0</v>
      </c>
    </row>
    <row r="19254" spans="13:16">
      <c r="M19254" s="49">
        <f>IF($A$4+192&gt;$B$4,"",$A$4+192)</f>
        <v>46215</v>
      </c>
      <c r="N19254">
        <f>IF(M19254="","",'Master Barang'!A48)</f>
        <v>0</v>
      </c>
      <c r="O19254">
        <f>IF(N19254="","",'Master Barang'!B48)</f>
        <v>0</v>
      </c>
      <c r="P19254">
        <f>IF(OR(M19254="",N19254=""),"",SUMIFS('Barang Keluar'!$E:$E,'Barang Keluar'!$A:$A,M19254,'Barang Keluar'!$C:$C,N19254))</f>
        <v>0</v>
      </c>
    </row>
    <row r="19255" spans="13:16">
      <c r="M19255" s="49">
        <f>IF($A$4+192&gt;$B$4,"",$A$4+192)</f>
        <v>46215</v>
      </c>
      <c r="N19255">
        <f>IF(M19255="","",'Master Barang'!A49)</f>
        <v>0</v>
      </c>
      <c r="O19255">
        <f>IF(N19255="","",'Master Barang'!B49)</f>
        <v>0</v>
      </c>
      <c r="P19255">
        <f>IF(OR(M19255="",N19255=""),"",SUMIFS('Barang Keluar'!$E:$E,'Barang Keluar'!$A:$A,M19255,'Barang Keluar'!$C:$C,N19255))</f>
        <v>0</v>
      </c>
    </row>
    <row r="19256" spans="13:16">
      <c r="M19256" s="49">
        <f>IF($A$4+192&gt;$B$4,"",$A$4+192)</f>
        <v>46215</v>
      </c>
      <c r="N19256">
        <f>IF(M19256="","",'Master Barang'!A50)</f>
        <v>0</v>
      </c>
      <c r="O19256">
        <f>IF(N19256="","",'Master Barang'!B50)</f>
        <v>0</v>
      </c>
      <c r="P19256">
        <f>IF(OR(M19256="",N19256=""),"",SUMIFS('Barang Keluar'!$E:$E,'Barang Keluar'!$A:$A,M19256,'Barang Keluar'!$C:$C,N19256))</f>
        <v>0</v>
      </c>
    </row>
    <row r="19257" spans="13:16">
      <c r="M19257" s="49">
        <f>IF($A$4+192&gt;$B$4,"",$A$4+192)</f>
        <v>46215</v>
      </c>
      <c r="N19257">
        <f>IF(M19257="","",'Master Barang'!A51)</f>
        <v>0</v>
      </c>
      <c r="O19257">
        <f>IF(N19257="","",'Master Barang'!B51)</f>
        <v>0</v>
      </c>
      <c r="P19257">
        <f>IF(OR(M19257="",N19257=""),"",SUMIFS('Barang Keluar'!$E:$E,'Barang Keluar'!$A:$A,M19257,'Barang Keluar'!$C:$C,N19257))</f>
        <v>0</v>
      </c>
    </row>
    <row r="19258" spans="13:16">
      <c r="M19258" s="49">
        <f>IF($A$4+192&gt;$B$4,"",$A$4+192)</f>
        <v>46215</v>
      </c>
      <c r="N19258">
        <f>IF(M19258="","",'Master Barang'!A52)</f>
        <v>0</v>
      </c>
      <c r="O19258">
        <f>IF(N19258="","",'Master Barang'!B52)</f>
        <v>0</v>
      </c>
      <c r="P19258">
        <f>IF(OR(M19258="",N19258=""),"",SUMIFS('Barang Keluar'!$E:$E,'Barang Keluar'!$A:$A,M19258,'Barang Keluar'!$C:$C,N19258))</f>
        <v>0</v>
      </c>
    </row>
    <row r="19259" spans="13:16">
      <c r="M19259" s="49">
        <f>IF($A$4+192&gt;$B$4,"",$A$4+192)</f>
        <v>46215</v>
      </c>
      <c r="N19259">
        <f>IF(M19259="","",'Master Barang'!A53)</f>
        <v>0</v>
      </c>
      <c r="O19259">
        <f>IF(N19259="","",'Master Barang'!B53)</f>
        <v>0</v>
      </c>
      <c r="P19259">
        <f>IF(OR(M19259="",N19259=""),"",SUMIFS('Barang Keluar'!$E:$E,'Barang Keluar'!$A:$A,M19259,'Barang Keluar'!$C:$C,N19259))</f>
        <v>0</v>
      </c>
    </row>
    <row r="19260" spans="13:16">
      <c r="M19260" s="49">
        <f>IF($A$4+192&gt;$B$4,"",$A$4+192)</f>
        <v>46215</v>
      </c>
      <c r="N19260">
        <f>IF(M19260="","",'Master Barang'!A54)</f>
        <v>0</v>
      </c>
      <c r="O19260">
        <f>IF(N19260="","",'Master Barang'!B54)</f>
        <v>0</v>
      </c>
      <c r="P19260">
        <f>IF(OR(M19260="",N19260=""),"",SUMIFS('Barang Keluar'!$E:$E,'Barang Keluar'!$A:$A,M19260,'Barang Keluar'!$C:$C,N19260))</f>
        <v>0</v>
      </c>
    </row>
    <row r="19261" spans="13:16">
      <c r="M19261" s="49">
        <f>IF($A$4+192&gt;$B$4,"",$A$4+192)</f>
        <v>46215</v>
      </c>
      <c r="N19261">
        <f>IF(M19261="","",'Master Barang'!A55)</f>
        <v>0</v>
      </c>
      <c r="O19261">
        <f>IF(N19261="","",'Master Barang'!B55)</f>
        <v>0</v>
      </c>
      <c r="P19261">
        <f>IF(OR(M19261="",N19261=""),"",SUMIFS('Barang Keluar'!$E:$E,'Barang Keluar'!$A:$A,M19261,'Barang Keluar'!$C:$C,N19261))</f>
        <v>0</v>
      </c>
    </row>
    <row r="19262" spans="13:16">
      <c r="M19262" s="49">
        <f>IF($A$4+192&gt;$B$4,"",$A$4+192)</f>
        <v>46215</v>
      </c>
      <c r="N19262">
        <f>IF(M19262="","",'Master Barang'!A56)</f>
        <v>0</v>
      </c>
      <c r="O19262">
        <f>IF(N19262="","",'Master Barang'!B56)</f>
        <v>0</v>
      </c>
      <c r="P19262">
        <f>IF(OR(M19262="",N19262=""),"",SUMIFS('Barang Keluar'!$E:$E,'Barang Keluar'!$A:$A,M19262,'Barang Keluar'!$C:$C,N19262))</f>
        <v>0</v>
      </c>
    </row>
    <row r="19263" spans="13:16">
      <c r="M19263" s="49">
        <f>IF($A$4+192&gt;$B$4,"",$A$4+192)</f>
        <v>46215</v>
      </c>
      <c r="N19263">
        <f>IF(M19263="","",'Master Barang'!A57)</f>
        <v>0</v>
      </c>
      <c r="O19263">
        <f>IF(N19263="","",'Master Barang'!B57)</f>
        <v>0</v>
      </c>
      <c r="P19263">
        <f>IF(OR(M19263="",N19263=""),"",SUMIFS('Barang Keluar'!$E:$E,'Barang Keluar'!$A:$A,M19263,'Barang Keluar'!$C:$C,N19263))</f>
        <v>0</v>
      </c>
    </row>
    <row r="19264" spans="13:16">
      <c r="M19264" s="49">
        <f>IF($A$4+192&gt;$B$4,"",$A$4+192)</f>
        <v>46215</v>
      </c>
      <c r="N19264">
        <f>IF(M19264="","",'Master Barang'!A58)</f>
        <v>0</v>
      </c>
      <c r="O19264">
        <f>IF(N19264="","",'Master Barang'!B58)</f>
        <v>0</v>
      </c>
      <c r="P19264">
        <f>IF(OR(M19264="",N19264=""),"",SUMIFS('Barang Keluar'!$E:$E,'Barang Keluar'!$A:$A,M19264,'Barang Keluar'!$C:$C,N19264))</f>
        <v>0</v>
      </c>
    </row>
    <row r="19265" spans="13:16">
      <c r="M19265" s="49">
        <f>IF($A$4+192&gt;$B$4,"",$A$4+192)</f>
        <v>46215</v>
      </c>
      <c r="N19265">
        <f>IF(M19265="","",'Master Barang'!A59)</f>
        <v>0</v>
      </c>
      <c r="O19265">
        <f>IF(N19265="","",'Master Barang'!B59)</f>
        <v>0</v>
      </c>
      <c r="P19265">
        <f>IF(OR(M19265="",N19265=""),"",SUMIFS('Barang Keluar'!$E:$E,'Barang Keluar'!$A:$A,M19265,'Barang Keluar'!$C:$C,N19265))</f>
        <v>0</v>
      </c>
    </row>
    <row r="19266" spans="13:16">
      <c r="M19266" s="49">
        <f>IF($A$4+192&gt;$B$4,"",$A$4+192)</f>
        <v>46215</v>
      </c>
      <c r="N19266">
        <f>IF(M19266="","",'Master Barang'!A60)</f>
        <v>0</v>
      </c>
      <c r="O19266">
        <f>IF(N19266="","",'Master Barang'!B60)</f>
        <v>0</v>
      </c>
      <c r="P19266">
        <f>IF(OR(M19266="",N19266=""),"",SUMIFS('Barang Keluar'!$E:$E,'Barang Keluar'!$A:$A,M19266,'Barang Keluar'!$C:$C,N19266))</f>
        <v>0</v>
      </c>
    </row>
    <row r="19267" spans="13:16">
      <c r="M19267" s="49">
        <f>IF($A$4+192&gt;$B$4,"",$A$4+192)</f>
        <v>46215</v>
      </c>
      <c r="N19267">
        <f>IF(M19267="","",'Master Barang'!A61)</f>
        <v>0</v>
      </c>
      <c r="O19267">
        <f>IF(N19267="","",'Master Barang'!B61)</f>
        <v>0</v>
      </c>
      <c r="P19267">
        <f>IF(OR(M19267="",N19267=""),"",SUMIFS('Barang Keluar'!$E:$E,'Barang Keluar'!$A:$A,M19267,'Barang Keluar'!$C:$C,N19267))</f>
        <v>0</v>
      </c>
    </row>
    <row r="19268" spans="13:16">
      <c r="M19268" s="49">
        <f>IF($A$4+192&gt;$B$4,"",$A$4+192)</f>
        <v>46215</v>
      </c>
      <c r="N19268">
        <f>IF(M19268="","",'Master Barang'!A62)</f>
        <v>0</v>
      </c>
      <c r="O19268">
        <f>IF(N19268="","",'Master Barang'!B62)</f>
        <v>0</v>
      </c>
      <c r="P19268">
        <f>IF(OR(M19268="",N19268=""),"",SUMIFS('Barang Keluar'!$E:$E,'Barang Keluar'!$A:$A,M19268,'Barang Keluar'!$C:$C,N19268))</f>
        <v>0</v>
      </c>
    </row>
    <row r="19269" spans="13:16">
      <c r="M19269" s="49">
        <f>IF($A$4+192&gt;$B$4,"",$A$4+192)</f>
        <v>46215</v>
      </c>
      <c r="N19269">
        <f>IF(M19269="","",'Master Barang'!A63)</f>
        <v>0</v>
      </c>
      <c r="O19269">
        <f>IF(N19269="","",'Master Barang'!B63)</f>
        <v>0</v>
      </c>
      <c r="P19269">
        <f>IF(OR(M19269="",N19269=""),"",SUMIFS('Barang Keluar'!$E:$E,'Barang Keluar'!$A:$A,M19269,'Barang Keluar'!$C:$C,N19269))</f>
        <v>0</v>
      </c>
    </row>
    <row r="19270" spans="13:16">
      <c r="M19270" s="49">
        <f>IF($A$4+192&gt;$B$4,"",$A$4+192)</f>
        <v>46215</v>
      </c>
      <c r="N19270">
        <f>IF(M19270="","",'Master Barang'!A64)</f>
        <v>0</v>
      </c>
      <c r="O19270">
        <f>IF(N19270="","",'Master Barang'!B64)</f>
        <v>0</v>
      </c>
      <c r="P19270">
        <f>IF(OR(M19270="",N19270=""),"",SUMIFS('Barang Keluar'!$E:$E,'Barang Keluar'!$A:$A,M19270,'Barang Keluar'!$C:$C,N19270))</f>
        <v>0</v>
      </c>
    </row>
    <row r="19271" spans="13:16">
      <c r="M19271" s="49">
        <f>IF($A$4+192&gt;$B$4,"",$A$4+192)</f>
        <v>46215</v>
      </c>
      <c r="N19271">
        <f>IF(M19271="","",'Master Barang'!A65)</f>
        <v>0</v>
      </c>
      <c r="O19271">
        <f>IF(N19271="","",'Master Barang'!B65)</f>
        <v>0</v>
      </c>
      <c r="P19271">
        <f>IF(OR(M19271="",N19271=""),"",SUMIFS('Barang Keluar'!$E:$E,'Barang Keluar'!$A:$A,M19271,'Barang Keluar'!$C:$C,N19271))</f>
        <v>0</v>
      </c>
    </row>
    <row r="19272" spans="13:16">
      <c r="M19272" s="49">
        <f>IF($A$4+192&gt;$B$4,"",$A$4+192)</f>
        <v>46215</v>
      </c>
      <c r="N19272">
        <f>IF(M19272="","",'Master Barang'!A66)</f>
        <v>0</v>
      </c>
      <c r="O19272">
        <f>IF(N19272="","",'Master Barang'!B66)</f>
        <v>0</v>
      </c>
      <c r="P19272">
        <f>IF(OR(M19272="",N19272=""),"",SUMIFS('Barang Keluar'!$E:$E,'Barang Keluar'!$A:$A,M19272,'Barang Keluar'!$C:$C,N19272))</f>
        <v>0</v>
      </c>
    </row>
    <row r="19273" spans="13:16">
      <c r="M19273" s="49">
        <f>IF($A$4+192&gt;$B$4,"",$A$4+192)</f>
        <v>46215</v>
      </c>
      <c r="N19273">
        <f>IF(M19273="","",'Master Barang'!A67)</f>
        <v>0</v>
      </c>
      <c r="O19273">
        <f>IF(N19273="","",'Master Barang'!B67)</f>
        <v>0</v>
      </c>
      <c r="P19273">
        <f>IF(OR(M19273="",N19273=""),"",SUMIFS('Barang Keluar'!$E:$E,'Barang Keluar'!$A:$A,M19273,'Barang Keluar'!$C:$C,N19273))</f>
        <v>0</v>
      </c>
    </row>
    <row r="19274" spans="13:16">
      <c r="M19274" s="49">
        <f>IF($A$4+192&gt;$B$4,"",$A$4+192)</f>
        <v>46215</v>
      </c>
      <c r="N19274">
        <f>IF(M19274="","",'Master Barang'!A68)</f>
        <v>0</v>
      </c>
      <c r="O19274">
        <f>IF(N19274="","",'Master Barang'!B68)</f>
        <v>0</v>
      </c>
      <c r="P19274">
        <f>IF(OR(M19274="",N19274=""),"",SUMIFS('Barang Keluar'!$E:$E,'Barang Keluar'!$A:$A,M19274,'Barang Keluar'!$C:$C,N19274))</f>
        <v>0</v>
      </c>
    </row>
    <row r="19275" spans="13:16">
      <c r="M19275" s="49">
        <f>IF($A$4+192&gt;$B$4,"",$A$4+192)</f>
        <v>46215</v>
      </c>
      <c r="N19275">
        <f>IF(M19275="","",'Master Barang'!A69)</f>
        <v>0</v>
      </c>
      <c r="O19275">
        <f>IF(N19275="","",'Master Barang'!B69)</f>
        <v>0</v>
      </c>
      <c r="P19275">
        <f>IF(OR(M19275="",N19275=""),"",SUMIFS('Barang Keluar'!$E:$E,'Barang Keluar'!$A:$A,M19275,'Barang Keluar'!$C:$C,N19275))</f>
        <v>0</v>
      </c>
    </row>
    <row r="19276" spans="13:16">
      <c r="M19276" s="49">
        <f>IF($A$4+192&gt;$B$4,"",$A$4+192)</f>
        <v>46215</v>
      </c>
      <c r="N19276">
        <f>IF(M19276="","",'Master Barang'!A70)</f>
        <v>0</v>
      </c>
      <c r="O19276">
        <f>IF(N19276="","",'Master Barang'!B70)</f>
        <v>0</v>
      </c>
      <c r="P19276">
        <f>IF(OR(M19276="",N19276=""),"",SUMIFS('Barang Keluar'!$E:$E,'Barang Keluar'!$A:$A,M19276,'Barang Keluar'!$C:$C,N19276))</f>
        <v>0</v>
      </c>
    </row>
    <row r="19277" spans="13:16">
      <c r="M19277" s="49">
        <f>IF($A$4+192&gt;$B$4,"",$A$4+192)</f>
        <v>46215</v>
      </c>
      <c r="N19277">
        <f>IF(M19277="","",'Master Barang'!A71)</f>
        <v>0</v>
      </c>
      <c r="O19277">
        <f>IF(N19277="","",'Master Barang'!B71)</f>
        <v>0</v>
      </c>
      <c r="P19277">
        <f>IF(OR(M19277="",N19277=""),"",SUMIFS('Barang Keluar'!$E:$E,'Barang Keluar'!$A:$A,M19277,'Barang Keluar'!$C:$C,N19277))</f>
        <v>0</v>
      </c>
    </row>
    <row r="19278" spans="13:16">
      <c r="M19278" s="49">
        <f>IF($A$4+192&gt;$B$4,"",$A$4+192)</f>
        <v>46215</v>
      </c>
      <c r="N19278">
        <f>IF(M19278="","",'Master Barang'!A72)</f>
        <v>0</v>
      </c>
      <c r="O19278">
        <f>IF(N19278="","",'Master Barang'!B72)</f>
        <v>0</v>
      </c>
      <c r="P19278">
        <f>IF(OR(M19278="",N19278=""),"",SUMIFS('Barang Keluar'!$E:$E,'Barang Keluar'!$A:$A,M19278,'Barang Keluar'!$C:$C,N19278))</f>
        <v>0</v>
      </c>
    </row>
    <row r="19279" spans="13:16">
      <c r="M19279" s="49">
        <f>IF($A$4+192&gt;$B$4,"",$A$4+192)</f>
        <v>46215</v>
      </c>
      <c r="N19279">
        <f>IF(M19279="","",'Master Barang'!A73)</f>
        <v>0</v>
      </c>
      <c r="O19279">
        <f>IF(N19279="","",'Master Barang'!B73)</f>
        <v>0</v>
      </c>
      <c r="P19279">
        <f>IF(OR(M19279="",N19279=""),"",SUMIFS('Barang Keluar'!$E:$E,'Barang Keluar'!$A:$A,M19279,'Barang Keluar'!$C:$C,N19279))</f>
        <v>0</v>
      </c>
    </row>
    <row r="19280" spans="13:16">
      <c r="M19280" s="49">
        <f>IF($A$4+192&gt;$B$4,"",$A$4+192)</f>
        <v>46215</v>
      </c>
      <c r="N19280">
        <f>IF(M19280="","",'Master Barang'!A74)</f>
        <v>0</v>
      </c>
      <c r="O19280">
        <f>IF(N19280="","",'Master Barang'!B74)</f>
        <v>0</v>
      </c>
      <c r="P19280">
        <f>IF(OR(M19280="",N19280=""),"",SUMIFS('Barang Keluar'!$E:$E,'Barang Keluar'!$A:$A,M19280,'Barang Keluar'!$C:$C,N19280))</f>
        <v>0</v>
      </c>
    </row>
    <row r="19281" spans="13:16">
      <c r="M19281" s="49">
        <f>IF($A$4+192&gt;$B$4,"",$A$4+192)</f>
        <v>46215</v>
      </c>
      <c r="N19281">
        <f>IF(M19281="","",'Master Barang'!A75)</f>
        <v>0</v>
      </c>
      <c r="O19281">
        <f>IF(N19281="","",'Master Barang'!B75)</f>
        <v>0</v>
      </c>
      <c r="P19281">
        <f>IF(OR(M19281="",N19281=""),"",SUMIFS('Barang Keluar'!$E:$E,'Barang Keluar'!$A:$A,M19281,'Barang Keluar'!$C:$C,N19281))</f>
        <v>0</v>
      </c>
    </row>
    <row r="19282" spans="13:16">
      <c r="M19282" s="49">
        <f>IF($A$4+192&gt;$B$4,"",$A$4+192)</f>
        <v>46215</v>
      </c>
      <c r="N19282">
        <f>IF(M19282="","",'Master Barang'!A76)</f>
        <v>0</v>
      </c>
      <c r="O19282">
        <f>IF(N19282="","",'Master Barang'!B76)</f>
        <v>0</v>
      </c>
      <c r="P19282">
        <f>IF(OR(M19282="",N19282=""),"",SUMIFS('Barang Keluar'!$E:$E,'Barang Keluar'!$A:$A,M19282,'Barang Keluar'!$C:$C,N19282))</f>
        <v>0</v>
      </c>
    </row>
    <row r="19283" spans="13:16">
      <c r="M19283" s="49">
        <f>IF($A$4+192&gt;$B$4,"",$A$4+192)</f>
        <v>46215</v>
      </c>
      <c r="N19283">
        <f>IF(M19283="","",'Master Barang'!A77)</f>
        <v>0</v>
      </c>
      <c r="O19283">
        <f>IF(N19283="","",'Master Barang'!B77)</f>
        <v>0</v>
      </c>
      <c r="P19283">
        <f>IF(OR(M19283="",N19283=""),"",SUMIFS('Barang Keluar'!$E:$E,'Barang Keluar'!$A:$A,M19283,'Barang Keluar'!$C:$C,N19283))</f>
        <v>0</v>
      </c>
    </row>
    <row r="19284" spans="13:16">
      <c r="M19284" s="49">
        <f>IF($A$4+192&gt;$B$4,"",$A$4+192)</f>
        <v>46215</v>
      </c>
      <c r="N19284">
        <f>IF(M19284="","",'Master Barang'!A78)</f>
        <v>0</v>
      </c>
      <c r="O19284">
        <f>IF(N19284="","",'Master Barang'!B78)</f>
        <v>0</v>
      </c>
      <c r="P19284">
        <f>IF(OR(M19284="",N19284=""),"",SUMIFS('Barang Keluar'!$E:$E,'Barang Keluar'!$A:$A,M19284,'Barang Keluar'!$C:$C,N19284))</f>
        <v>0</v>
      </c>
    </row>
    <row r="19285" spans="13:16">
      <c r="M19285" s="49">
        <f>IF($A$4+192&gt;$B$4,"",$A$4+192)</f>
        <v>46215</v>
      </c>
      <c r="N19285">
        <f>IF(M19285="","",'Master Barang'!A79)</f>
        <v>0</v>
      </c>
      <c r="O19285">
        <f>IF(N19285="","",'Master Barang'!B79)</f>
        <v>0</v>
      </c>
      <c r="P19285">
        <f>IF(OR(M19285="",N19285=""),"",SUMIFS('Barang Keluar'!$E:$E,'Barang Keluar'!$A:$A,M19285,'Barang Keluar'!$C:$C,N19285))</f>
        <v>0</v>
      </c>
    </row>
    <row r="19286" spans="13:16">
      <c r="M19286" s="49">
        <f>IF($A$4+192&gt;$B$4,"",$A$4+192)</f>
        <v>46215</v>
      </c>
      <c r="N19286">
        <f>IF(M19286="","",'Master Barang'!A80)</f>
        <v>0</v>
      </c>
      <c r="O19286">
        <f>IF(N19286="","",'Master Barang'!B80)</f>
        <v>0</v>
      </c>
      <c r="P19286">
        <f>IF(OR(M19286="",N19286=""),"",SUMIFS('Barang Keluar'!$E:$E,'Barang Keluar'!$A:$A,M19286,'Barang Keluar'!$C:$C,N19286))</f>
        <v>0</v>
      </c>
    </row>
    <row r="19287" spans="13:16">
      <c r="M19287" s="49">
        <f>IF($A$4+192&gt;$B$4,"",$A$4+192)</f>
        <v>46215</v>
      </c>
      <c r="N19287">
        <f>IF(M19287="","",'Master Barang'!A81)</f>
        <v>0</v>
      </c>
      <c r="O19287">
        <f>IF(N19287="","",'Master Barang'!B81)</f>
        <v>0</v>
      </c>
      <c r="P19287">
        <f>IF(OR(M19287="",N19287=""),"",SUMIFS('Barang Keluar'!$E:$E,'Barang Keluar'!$A:$A,M19287,'Barang Keluar'!$C:$C,N19287))</f>
        <v>0</v>
      </c>
    </row>
    <row r="19288" spans="13:16">
      <c r="M19288" s="49">
        <f>IF($A$4+192&gt;$B$4,"",$A$4+192)</f>
        <v>46215</v>
      </c>
      <c r="N19288">
        <f>IF(M19288="","",'Master Barang'!A82)</f>
        <v>0</v>
      </c>
      <c r="O19288">
        <f>IF(N19288="","",'Master Barang'!B82)</f>
        <v>0</v>
      </c>
      <c r="P19288">
        <f>IF(OR(M19288="",N19288=""),"",SUMIFS('Barang Keluar'!$E:$E,'Barang Keluar'!$A:$A,M19288,'Barang Keluar'!$C:$C,N19288))</f>
        <v>0</v>
      </c>
    </row>
    <row r="19289" spans="13:16">
      <c r="M19289" s="49">
        <f>IF($A$4+192&gt;$B$4,"",$A$4+192)</f>
        <v>46215</v>
      </c>
      <c r="N19289">
        <f>IF(M19289="","",'Master Barang'!A83)</f>
        <v>0</v>
      </c>
      <c r="O19289">
        <f>IF(N19289="","",'Master Barang'!B83)</f>
        <v>0</v>
      </c>
      <c r="P19289">
        <f>IF(OR(M19289="",N19289=""),"",SUMIFS('Barang Keluar'!$E:$E,'Barang Keluar'!$A:$A,M19289,'Barang Keluar'!$C:$C,N19289))</f>
        <v>0</v>
      </c>
    </row>
    <row r="19290" spans="13:16">
      <c r="M19290" s="49">
        <f>IF($A$4+192&gt;$B$4,"",$A$4+192)</f>
        <v>46215</v>
      </c>
      <c r="N19290">
        <f>IF(M19290="","",'Master Barang'!A84)</f>
        <v>0</v>
      </c>
      <c r="O19290">
        <f>IF(N19290="","",'Master Barang'!B84)</f>
        <v>0</v>
      </c>
      <c r="P19290">
        <f>IF(OR(M19290="",N19290=""),"",SUMIFS('Barang Keluar'!$E:$E,'Barang Keluar'!$A:$A,M19290,'Barang Keluar'!$C:$C,N19290))</f>
        <v>0</v>
      </c>
    </row>
    <row r="19291" spans="13:16">
      <c r="M19291" s="49">
        <f>IF($A$4+192&gt;$B$4,"",$A$4+192)</f>
        <v>46215</v>
      </c>
      <c r="N19291">
        <f>IF(M19291="","",'Master Barang'!A85)</f>
        <v>0</v>
      </c>
      <c r="O19291">
        <f>IF(N19291="","",'Master Barang'!B85)</f>
        <v>0</v>
      </c>
      <c r="P19291">
        <f>IF(OR(M19291="",N19291=""),"",SUMIFS('Barang Keluar'!$E:$E,'Barang Keluar'!$A:$A,M19291,'Barang Keluar'!$C:$C,N19291))</f>
        <v>0</v>
      </c>
    </row>
    <row r="19292" spans="13:16">
      <c r="M19292" s="49">
        <f>IF($A$4+192&gt;$B$4,"",$A$4+192)</f>
        <v>46215</v>
      </c>
      <c r="N19292">
        <f>IF(M19292="","",'Master Barang'!A86)</f>
        <v>0</v>
      </c>
      <c r="O19292">
        <f>IF(N19292="","",'Master Barang'!B86)</f>
        <v>0</v>
      </c>
      <c r="P19292">
        <f>IF(OR(M19292="",N19292=""),"",SUMIFS('Barang Keluar'!$E:$E,'Barang Keluar'!$A:$A,M19292,'Barang Keluar'!$C:$C,N19292))</f>
        <v>0</v>
      </c>
    </row>
    <row r="19293" spans="13:16">
      <c r="M19293" s="49">
        <f>IF($A$4+192&gt;$B$4,"",$A$4+192)</f>
        <v>46215</v>
      </c>
      <c r="N19293">
        <f>IF(M19293="","",'Master Barang'!A87)</f>
        <v>0</v>
      </c>
      <c r="O19293">
        <f>IF(N19293="","",'Master Barang'!B87)</f>
        <v>0</v>
      </c>
      <c r="P19293">
        <f>IF(OR(M19293="",N19293=""),"",SUMIFS('Barang Keluar'!$E:$E,'Barang Keluar'!$A:$A,M19293,'Barang Keluar'!$C:$C,N19293))</f>
        <v>0</v>
      </c>
    </row>
    <row r="19294" spans="13:16">
      <c r="M19294" s="49">
        <f>IF($A$4+192&gt;$B$4,"",$A$4+192)</f>
        <v>46215</v>
      </c>
      <c r="N19294">
        <f>IF(M19294="","",'Master Barang'!A88)</f>
        <v>0</v>
      </c>
      <c r="O19294">
        <f>IF(N19294="","",'Master Barang'!B88)</f>
        <v>0</v>
      </c>
      <c r="P19294">
        <f>IF(OR(M19294="",N19294=""),"",SUMIFS('Barang Keluar'!$E:$E,'Barang Keluar'!$A:$A,M19294,'Barang Keluar'!$C:$C,N19294))</f>
        <v>0</v>
      </c>
    </row>
    <row r="19295" spans="13:16">
      <c r="M19295" s="49">
        <f>IF($A$4+192&gt;$B$4,"",$A$4+192)</f>
        <v>46215</v>
      </c>
      <c r="N19295">
        <f>IF(M19295="","",'Master Barang'!A89)</f>
        <v>0</v>
      </c>
      <c r="O19295">
        <f>IF(N19295="","",'Master Barang'!B89)</f>
        <v>0</v>
      </c>
      <c r="P19295">
        <f>IF(OR(M19295="",N19295=""),"",SUMIFS('Barang Keluar'!$E:$E,'Barang Keluar'!$A:$A,M19295,'Barang Keluar'!$C:$C,N19295))</f>
        <v>0</v>
      </c>
    </row>
    <row r="19296" spans="13:16">
      <c r="M19296" s="49">
        <f>IF($A$4+192&gt;$B$4,"",$A$4+192)</f>
        <v>46215</v>
      </c>
      <c r="N19296">
        <f>IF(M19296="","",'Master Barang'!A90)</f>
        <v>0</v>
      </c>
      <c r="O19296">
        <f>IF(N19296="","",'Master Barang'!B90)</f>
        <v>0</v>
      </c>
      <c r="P19296">
        <f>IF(OR(M19296="",N19296=""),"",SUMIFS('Barang Keluar'!$E:$E,'Barang Keluar'!$A:$A,M19296,'Barang Keluar'!$C:$C,N19296))</f>
        <v>0</v>
      </c>
    </row>
    <row r="19297" spans="13:16">
      <c r="M19297" s="49">
        <f>IF($A$4+192&gt;$B$4,"",$A$4+192)</f>
        <v>46215</v>
      </c>
      <c r="N19297">
        <f>IF(M19297="","",'Master Barang'!A91)</f>
        <v>0</v>
      </c>
      <c r="O19297">
        <f>IF(N19297="","",'Master Barang'!B91)</f>
        <v>0</v>
      </c>
      <c r="P19297">
        <f>IF(OR(M19297="",N19297=""),"",SUMIFS('Barang Keluar'!$E:$E,'Barang Keluar'!$A:$A,M19297,'Barang Keluar'!$C:$C,N19297))</f>
        <v>0</v>
      </c>
    </row>
    <row r="19298" spans="13:16">
      <c r="M19298" s="49">
        <f>IF($A$4+192&gt;$B$4,"",$A$4+192)</f>
        <v>46215</v>
      </c>
      <c r="N19298">
        <f>IF(M19298="","",'Master Barang'!A92)</f>
        <v>0</v>
      </c>
      <c r="O19298">
        <f>IF(N19298="","",'Master Barang'!B92)</f>
        <v>0</v>
      </c>
      <c r="P19298">
        <f>IF(OR(M19298="",N19298=""),"",SUMIFS('Barang Keluar'!$E:$E,'Barang Keluar'!$A:$A,M19298,'Barang Keluar'!$C:$C,N19298))</f>
        <v>0</v>
      </c>
    </row>
    <row r="19299" spans="13:16">
      <c r="M19299" s="49">
        <f>IF($A$4+192&gt;$B$4,"",$A$4+192)</f>
        <v>46215</v>
      </c>
      <c r="N19299">
        <f>IF(M19299="","",'Master Barang'!A93)</f>
        <v>0</v>
      </c>
      <c r="O19299">
        <f>IF(N19299="","",'Master Barang'!B93)</f>
        <v>0</v>
      </c>
      <c r="P19299">
        <f>IF(OR(M19299="",N19299=""),"",SUMIFS('Barang Keluar'!$E:$E,'Barang Keluar'!$A:$A,M19299,'Barang Keluar'!$C:$C,N19299))</f>
        <v>0</v>
      </c>
    </row>
    <row r="19300" spans="13:16">
      <c r="M19300" s="49">
        <f>IF($A$4+192&gt;$B$4,"",$A$4+192)</f>
        <v>46215</v>
      </c>
      <c r="N19300">
        <f>IF(M19300="","",'Master Barang'!A94)</f>
        <v>0</v>
      </c>
      <c r="O19300">
        <f>IF(N19300="","",'Master Barang'!B94)</f>
        <v>0</v>
      </c>
      <c r="P19300">
        <f>IF(OR(M19300="",N19300=""),"",SUMIFS('Barang Keluar'!$E:$E,'Barang Keluar'!$A:$A,M19300,'Barang Keluar'!$C:$C,N19300))</f>
        <v>0</v>
      </c>
    </row>
    <row r="19301" spans="13:16">
      <c r="M19301" s="49">
        <f>IF($A$4+192&gt;$B$4,"",$A$4+192)</f>
        <v>46215</v>
      </c>
      <c r="N19301">
        <f>IF(M19301="","",'Master Barang'!A95)</f>
        <v>0</v>
      </c>
      <c r="O19301">
        <f>IF(N19301="","",'Master Barang'!B95)</f>
        <v>0</v>
      </c>
      <c r="P19301">
        <f>IF(OR(M19301="",N19301=""),"",SUMIFS('Barang Keluar'!$E:$E,'Barang Keluar'!$A:$A,M19301,'Barang Keluar'!$C:$C,N19301))</f>
        <v>0</v>
      </c>
    </row>
    <row r="19302" spans="13:16">
      <c r="M19302" s="49">
        <f>IF($A$4+192&gt;$B$4,"",$A$4+192)</f>
        <v>46215</v>
      </c>
      <c r="N19302">
        <f>IF(M19302="","",'Master Barang'!A96)</f>
        <v>0</v>
      </c>
      <c r="O19302">
        <f>IF(N19302="","",'Master Barang'!B96)</f>
        <v>0</v>
      </c>
      <c r="P19302">
        <f>IF(OR(M19302="",N19302=""),"",SUMIFS('Barang Keluar'!$E:$E,'Barang Keluar'!$A:$A,M19302,'Barang Keluar'!$C:$C,N19302))</f>
        <v>0</v>
      </c>
    </row>
    <row r="19303" spans="13:16">
      <c r="M19303" s="49">
        <f>IF($A$4+192&gt;$B$4,"",$A$4+192)</f>
        <v>46215</v>
      </c>
      <c r="N19303">
        <f>IF(M19303="","",'Master Barang'!A97)</f>
        <v>0</v>
      </c>
      <c r="O19303">
        <f>IF(N19303="","",'Master Barang'!B97)</f>
        <v>0</v>
      </c>
      <c r="P19303">
        <f>IF(OR(M19303="",N19303=""),"",SUMIFS('Barang Keluar'!$E:$E,'Barang Keluar'!$A:$A,M19303,'Barang Keluar'!$C:$C,N19303))</f>
        <v>0</v>
      </c>
    </row>
    <row r="19304" spans="13:16">
      <c r="M19304" s="49">
        <f>IF($A$4+192&gt;$B$4,"",$A$4+192)</f>
        <v>46215</v>
      </c>
      <c r="N19304">
        <f>IF(M19304="","",'Master Barang'!A98)</f>
        <v>0</v>
      </c>
      <c r="O19304">
        <f>IF(N19304="","",'Master Barang'!B98)</f>
        <v>0</v>
      </c>
      <c r="P19304">
        <f>IF(OR(M19304="",N19304=""),"",SUMIFS('Barang Keluar'!$E:$E,'Barang Keluar'!$A:$A,M19304,'Barang Keluar'!$C:$C,N19304))</f>
        <v>0</v>
      </c>
    </row>
    <row r="19305" spans="13:16">
      <c r="M19305" s="49">
        <f>IF($A$4+192&gt;$B$4,"",$A$4+192)</f>
        <v>46215</v>
      </c>
      <c r="N19305">
        <f>IF(M19305="","",'Master Barang'!A99)</f>
        <v>0</v>
      </c>
      <c r="O19305">
        <f>IF(N19305="","",'Master Barang'!B99)</f>
        <v>0</v>
      </c>
      <c r="P19305">
        <f>IF(OR(M19305="",N19305=""),"",SUMIFS('Barang Keluar'!$E:$E,'Barang Keluar'!$A:$A,M19305,'Barang Keluar'!$C:$C,N19305))</f>
        <v>0</v>
      </c>
    </row>
    <row r="19306" spans="13:16">
      <c r="M19306" s="49">
        <f>IF($A$4+192&gt;$B$4,"",$A$4+192)</f>
        <v>46215</v>
      </c>
      <c r="N19306">
        <f>IF(M19306="","",'Master Barang'!A100)</f>
        <v>0</v>
      </c>
      <c r="O19306">
        <f>IF(N19306="","",'Master Barang'!B100)</f>
        <v>0</v>
      </c>
      <c r="P19306">
        <f>IF(OR(M19306="",N19306=""),"",SUMIFS('Barang Keluar'!$E:$E,'Barang Keluar'!$A:$A,M19306,'Barang Keluar'!$C:$C,N19306))</f>
        <v>0</v>
      </c>
    </row>
    <row r="19307" spans="13:16">
      <c r="M19307" s="49">
        <f>IF($A$4+192&gt;$B$4,"",$A$4+192)</f>
        <v>46215</v>
      </c>
      <c r="N19307">
        <f>IF(M19307="","",'Master Barang'!A101)</f>
        <v>0</v>
      </c>
      <c r="O19307">
        <f>IF(N19307="","",'Master Barang'!B101)</f>
        <v>0</v>
      </c>
      <c r="P19307">
        <f>IF(OR(M19307="",N19307=""),"",SUMIFS('Barang Keluar'!$E:$E,'Barang Keluar'!$A:$A,M19307,'Barang Keluar'!$C:$C,N19307))</f>
        <v>0</v>
      </c>
    </row>
    <row r="19308" spans="13:16">
      <c r="M19308" s="49">
        <f>IF($A$4+193&gt;$B$4,"",$A$4+193)</f>
        <v>46216</v>
      </c>
      <c r="N19308" t="str">
        <f>IF(M19308="","",'Master Barang'!A2)</f>
        <v>PRL-001</v>
      </c>
      <c r="O19308" t="str">
        <f>IF(N19308="","",'Master Barang'!B2)</f>
        <v>natura desinfectant food grade 5l</v>
      </c>
      <c r="P19308">
        <f>IF(OR(M19308="",N19308=""),"",SUMIFS('Barang Keluar'!$E:$E,'Barang Keluar'!$A:$A,M19308,'Barang Keluar'!$C:$C,N19308))</f>
        <v>0</v>
      </c>
    </row>
    <row r="19309" spans="13:16">
      <c r="M19309" s="49">
        <f>IF($A$4+193&gt;$B$4,"",$A$4+193)</f>
        <v>46216</v>
      </c>
      <c r="N19309" t="str">
        <f>IF(M19309="","",'Master Barang'!A3)</f>
        <v>PRL-002</v>
      </c>
      <c r="O19309" t="str">
        <f>IF(N19309="","",'Master Barang'!B3)</f>
        <v>sunlight cairan pencuci piring 5l</v>
      </c>
      <c r="P19309">
        <f>IF(OR(M19309="",N19309=""),"",SUMIFS('Barang Keluar'!$E:$E,'Barang Keluar'!$A:$A,M19309,'Barang Keluar'!$C:$C,N19309))</f>
        <v>0</v>
      </c>
    </row>
    <row r="19310" spans="13:16">
      <c r="M19310" s="49">
        <f>IF($A$4+193&gt;$B$4,"",$A$4+193)</f>
        <v>46216</v>
      </c>
      <c r="N19310" t="str">
        <f>IF(M19310="","",'Master Barang'!A4)</f>
        <v>PRL-003</v>
      </c>
      <c r="O19310" t="str">
        <f>IF(N19310="","",'Master Barang'!B4)</f>
        <v>oixs cleaner 1l</v>
      </c>
      <c r="P19310">
        <f>IF(OR(M19310="",N19310=""),"",SUMIFS('Barang Keluar'!$E:$E,'Barang Keluar'!$A:$A,M19310,'Barang Keluar'!$C:$C,N19310))</f>
        <v>0</v>
      </c>
    </row>
    <row r="19311" spans="13:16">
      <c r="M19311" s="49">
        <f>IF($A$4+193&gt;$B$4,"",$A$4+193)</f>
        <v>46216</v>
      </c>
      <c r="N19311" t="str">
        <f>IF(M19311="","",'Master Barang'!A5)</f>
        <v>PRL-004</v>
      </c>
      <c r="O19311" t="str">
        <f>IF(N19311="","",'Master Barang'!B5)</f>
        <v>be clean tissue serbaguna</v>
      </c>
      <c r="P19311">
        <f>IF(OR(M19311="",N19311=""),"",SUMIFS('Barang Keluar'!$E:$E,'Barang Keluar'!$A:$A,M19311,'Barang Keluar'!$C:$C,N19311))</f>
        <v>0</v>
      </c>
    </row>
    <row r="19312" spans="13:16">
      <c r="M19312" s="49">
        <f>IF($A$4+193&gt;$B$4,"",$A$4+193)</f>
        <v>46216</v>
      </c>
      <c r="N19312" t="str">
        <f>IF(M19312="","",'Master Barang'!A6)</f>
        <v>PRL-005</v>
      </c>
      <c r="O19312" t="str">
        <f>IF(N19312="","",'Master Barang'!B6)</f>
        <v>spons cuci hijau</v>
      </c>
      <c r="P19312">
        <f>IF(OR(M19312="",N19312=""),"",SUMIFS('Barang Keluar'!$E:$E,'Barang Keluar'!$A:$A,M19312,'Barang Keluar'!$C:$C,N19312))</f>
        <v>0</v>
      </c>
    </row>
    <row r="19313" spans="13:16">
      <c r="M19313" s="49">
        <f>IF($A$4+193&gt;$B$4,"",$A$4+193)</f>
        <v>46216</v>
      </c>
      <c r="N19313" t="str">
        <f>IF(M19313="","",'Master Barang'!A7)</f>
        <v>PRL-006</v>
      </c>
      <c r="O19313" t="str">
        <f>IF(N19313="","",'Master Barang'!B7)</f>
        <v>sabut cuci stainless</v>
      </c>
      <c r="P19313">
        <f>IF(OR(M19313="",N19313=""),"",SUMIFS('Barang Keluar'!$E:$E,'Barang Keluar'!$A:$A,M19313,'Barang Keluar'!$C:$C,N19313))</f>
        <v>0</v>
      </c>
    </row>
    <row r="19314" spans="13:16">
      <c r="M19314" s="49">
        <f>IF($A$4+193&gt;$B$4,"",$A$4+193)</f>
        <v>46216</v>
      </c>
      <c r="N19314" t="str">
        <f>IF(M19314="","",'Master Barang'!A8)</f>
        <v>PRL-007</v>
      </c>
      <c r="O19314" t="str">
        <f>IF(N19314="","",'Master Barang'!B8)</f>
        <v>plastik kresek besar merah 50pc</v>
      </c>
      <c r="P19314">
        <f>IF(OR(M19314="",N19314=""),"",SUMIFS('Barang Keluar'!$E:$E,'Barang Keluar'!$A:$A,M19314,'Barang Keluar'!$C:$C,N19314))</f>
        <v>0</v>
      </c>
    </row>
    <row r="19315" spans="13:16">
      <c r="M19315" s="49">
        <f>IF($A$4+193&gt;$B$4,"",$A$4+193)</f>
        <v>46216</v>
      </c>
      <c r="N19315" t="str">
        <f>IF(M19315="","",'Master Barang'!A9)</f>
        <v>PRL-008</v>
      </c>
      <c r="O19315" t="str">
        <f>IF(N19315="","",'Master Barang'!B9)</f>
        <v>lap besar</v>
      </c>
      <c r="P19315">
        <f>IF(OR(M19315="",N19315=""),"",SUMIFS('Barang Keluar'!$E:$E,'Barang Keluar'!$A:$A,M19315,'Barang Keluar'!$C:$C,N19315))</f>
        <v>0</v>
      </c>
    </row>
    <row r="19316" spans="13:16">
      <c r="M19316" s="49">
        <f>IF($A$4+193&gt;$B$4,"",$A$4+193)</f>
        <v>46216</v>
      </c>
      <c r="N19316" t="str">
        <f>IF(M19316="","",'Master Barang'!A10)</f>
        <v>PRL-009</v>
      </c>
      <c r="O19316" t="str">
        <f>IF(N19316="","",'Master Barang'!B10)</f>
        <v>lap microfiber</v>
      </c>
      <c r="P19316">
        <f>IF(OR(M19316="",N19316=""),"",SUMIFS('Barang Keluar'!$E:$E,'Barang Keluar'!$A:$A,M19316,'Barang Keluar'!$C:$C,N19316))</f>
        <v>0</v>
      </c>
    </row>
    <row r="19317" spans="13:16">
      <c r="M19317" s="49">
        <f>IF($A$4+193&gt;$B$4,"",$A$4+193)</f>
        <v>46216</v>
      </c>
      <c r="N19317" t="str">
        <f>IF(M19317="","",'Master Barang'!A11)</f>
        <v>PRL-010</v>
      </c>
      <c r="O19317" t="str">
        <f>IF(N19317="","",'Master Barang'!B11)</f>
        <v>lap kecil</v>
      </c>
      <c r="P19317">
        <f>IF(OR(M19317="",N19317=""),"",SUMIFS('Barang Keluar'!$E:$E,'Barang Keluar'!$A:$A,M19317,'Barang Keluar'!$C:$C,N19317))</f>
        <v>0</v>
      </c>
    </row>
    <row r="19318" spans="13:16">
      <c r="M19318" s="49">
        <f>IF($A$4+193&gt;$B$4,"",$A$4+193)</f>
        <v>46216</v>
      </c>
      <c r="N19318" t="str">
        <f>IF(M19318="","",'Master Barang'!A12)</f>
        <v>PRL-011</v>
      </c>
      <c r="O19318" t="str">
        <f>IF(N19318="","",'Master Barang'!B12)</f>
        <v>kanebo kecil</v>
      </c>
      <c r="P19318">
        <f>IF(OR(M19318="",N19318=""),"",SUMIFS('Barang Keluar'!$E:$E,'Barang Keluar'!$A:$A,M19318,'Barang Keluar'!$C:$C,N19318))</f>
        <v>0</v>
      </c>
    </row>
    <row r="19319" spans="13:16">
      <c r="M19319" s="49">
        <f>IF($A$4+193&gt;$B$4,"",$A$4+193)</f>
        <v>46216</v>
      </c>
      <c r="N19319" t="str">
        <f>IF(M19319="","",'Master Barang'!A13)</f>
        <v>PRL-012</v>
      </c>
      <c r="O19319" t="str">
        <f>IF(N19319="","",'Master Barang'!B13)</f>
        <v>plastik 1/4kg joyoboyo 100 lembar</v>
      </c>
      <c r="P19319">
        <f>IF(OR(M19319="",N19319=""),"",SUMIFS('Barang Keluar'!$E:$E,'Barang Keluar'!$A:$A,M19319,'Barang Keluar'!$C:$C,N19319))</f>
        <v>0</v>
      </c>
    </row>
    <row r="19320" spans="13:16">
      <c r="M19320" s="49">
        <f>IF($A$4+193&gt;$B$4,"",$A$4+193)</f>
        <v>46216</v>
      </c>
      <c r="N19320" t="str">
        <f>IF(M19320="","",'Master Barang'!A14)</f>
        <v>PRL-013</v>
      </c>
      <c r="O19320" t="str">
        <f>IF(N19320="","",'Master Barang'!B14)</f>
        <v>sarung tangan plastik kaka 100 pcs</v>
      </c>
      <c r="P19320">
        <f>IF(OR(M19320="",N19320=""),"",SUMIFS('Barang Keluar'!$E:$E,'Barang Keluar'!$A:$A,M19320,'Barang Keluar'!$C:$C,N19320))</f>
        <v>0</v>
      </c>
    </row>
    <row r="19321" spans="13:16">
      <c r="M19321" s="49">
        <f>IF($A$4+193&gt;$B$4,"",$A$4+193)</f>
        <v>46216</v>
      </c>
      <c r="N19321" t="str">
        <f>IF(M19321="","",'Master Barang'!A15)</f>
        <v>PRL-014</v>
      </c>
      <c r="O19321" t="str">
        <f>IF(N19321="","",'Master Barang'!B15)</f>
        <v>optima trashbag 80x100</v>
      </c>
      <c r="P19321">
        <f>IF(OR(M19321="",N19321=""),"",SUMIFS('Barang Keluar'!$E:$E,'Barang Keluar'!$A:$A,M19321,'Barang Keluar'!$C:$C,N19321))</f>
        <v>0</v>
      </c>
    </row>
    <row r="19322" spans="13:16">
      <c r="M19322" s="49">
        <f>IF($A$4+193&gt;$B$4,"",$A$4+193)</f>
        <v>46216</v>
      </c>
      <c r="N19322" t="str">
        <f>IF(M19322="","",'Master Barang'!A16)</f>
        <v>PRL-015</v>
      </c>
      <c r="O19322" t="str">
        <f>IF(N19322="","",'Master Barang'!B16)</f>
        <v>optima trashbag 60x100</v>
      </c>
      <c r="P19322">
        <f>IF(OR(M19322="",N19322=""),"",SUMIFS('Barang Keluar'!$E:$E,'Barang Keluar'!$A:$A,M19322,'Barang Keluar'!$C:$C,N19322))</f>
        <v>0</v>
      </c>
    </row>
    <row r="19323" spans="13:16">
      <c r="M19323" s="49">
        <f>IF($A$4+193&gt;$B$4,"",$A$4+193)</f>
        <v>46216</v>
      </c>
      <c r="N19323" t="str">
        <f>IF(M19323="","",'Master Barang'!A17)</f>
        <v>PRL-016</v>
      </c>
      <c r="O19323" t="str">
        <f>IF(N19323="","",'Master Barang'!B17)</f>
        <v>rajawali trashbag 30x40</v>
      </c>
      <c r="P19323">
        <f>IF(OR(M19323="",N19323=""),"",SUMIFS('Barang Keluar'!$E:$E,'Barang Keluar'!$A:$A,M19323,'Barang Keluar'!$C:$C,N19323))</f>
        <v>0</v>
      </c>
    </row>
    <row r="19324" spans="13:16">
      <c r="M19324" s="49">
        <f>IF($A$4+193&gt;$B$4,"",$A$4+193)</f>
        <v>46216</v>
      </c>
      <c r="N19324" t="str">
        <f>IF(M19324="","",'Master Barang'!A18)</f>
        <v>PRL-017</v>
      </c>
      <c r="O19324" t="str">
        <f>IF(N19324="","",'Master Barang'!B18)</f>
        <v>onemed masker biru 3 play 50 pcs</v>
      </c>
      <c r="P19324">
        <f>IF(OR(M19324="",N19324=""),"",SUMIFS('Barang Keluar'!$E:$E,'Barang Keluar'!$A:$A,M19324,'Barang Keluar'!$C:$C,N19324))</f>
        <v>0</v>
      </c>
    </row>
    <row r="19325" spans="13:16">
      <c r="M19325" s="49">
        <f>IF($A$4+193&gt;$B$4,"",$A$4+193)</f>
        <v>46216</v>
      </c>
      <c r="N19325" t="str">
        <f>IF(M19325="","",'Master Barang'!A19)</f>
        <v>PRL-018</v>
      </c>
      <c r="O19325" t="str">
        <f>IF(N19325="","",'Master Barang'!B19)</f>
        <v>onemed masker biru 3 play hijab 50 pcs</v>
      </c>
      <c r="P19325">
        <f>IF(OR(M19325="",N19325=""),"",SUMIFS('Barang Keluar'!$E:$E,'Barang Keluar'!$A:$A,M19325,'Barang Keluar'!$C:$C,N19325))</f>
        <v>0</v>
      </c>
    </row>
    <row r="19326" spans="13:16">
      <c r="M19326" s="49">
        <f>IF($A$4+193&gt;$B$4,"",$A$4+193)</f>
        <v>46216</v>
      </c>
      <c r="N19326" t="str">
        <f>IF(M19326="","",'Master Barang'!A20)</f>
        <v>PRL-019</v>
      </c>
      <c r="O19326" t="str">
        <f>IF(N19326="","",'Master Barang'!B20)</f>
        <v>neo health masker biru 3 play 50 pcs</v>
      </c>
      <c r="P19326">
        <f>IF(OR(M19326="",N19326=""),"",SUMIFS('Barang Keluar'!$E:$E,'Barang Keluar'!$A:$A,M19326,'Barang Keluar'!$C:$C,N19326))</f>
        <v>0</v>
      </c>
    </row>
    <row r="19327" spans="13:16">
      <c r="M19327" s="49">
        <f>IF($A$4+193&gt;$B$4,"",$A$4+193)</f>
        <v>46216</v>
      </c>
      <c r="N19327" t="str">
        <f>IF(M19327="","",'Master Barang'!A21)</f>
        <v>PRL-020</v>
      </c>
      <c r="O19327" t="str">
        <f>IF(N19327="","",'Master Barang'!B21)</f>
        <v>baymed masker hijau 3 play hijau 50 pcs</v>
      </c>
      <c r="P19327">
        <f>IF(OR(M19327="",N19327=""),"",SUMIFS('Barang Keluar'!$E:$E,'Barang Keluar'!$A:$A,M19327,'Barang Keluar'!$C:$C,N19327))</f>
        <v>0</v>
      </c>
    </row>
    <row r="19328" spans="13:16">
      <c r="M19328" s="49">
        <f>IF($A$4+193&gt;$B$4,"",$A$4+193)</f>
        <v>46216</v>
      </c>
      <c r="N19328" t="str">
        <f>IF(M19328="","",'Master Barang'!A22)</f>
        <v>PRL-021</v>
      </c>
      <c r="O19328" t="str">
        <f>IF(N19328="","",'Master Barang'!B22)</f>
        <v>altamed nurse cap penutup kepala 100 pcs</v>
      </c>
      <c r="P19328">
        <f>IF(OR(M19328="",N19328=""),"",SUMIFS('Barang Keluar'!$E:$E,'Barang Keluar'!$A:$A,M19328,'Barang Keluar'!$C:$C,N19328))</f>
        <v>0</v>
      </c>
    </row>
    <row r="19329" spans="13:16">
      <c r="M19329" s="49">
        <f>IF($A$4+193&gt;$B$4,"",$A$4+193)</f>
        <v>46216</v>
      </c>
      <c r="N19329" t="str">
        <f>IF(M19329="","",'Master Barang'!A23)</f>
        <v>PRL-022</v>
      </c>
      <c r="O19329" t="str">
        <f>IF(N19329="","",'Master Barang'!B23)</f>
        <v>sabun cuci tangan</v>
      </c>
      <c r="P19329">
        <f>IF(OR(M19329="",N19329=""),"",SUMIFS('Barang Keluar'!$E:$E,'Barang Keluar'!$A:$A,M19329,'Barang Keluar'!$C:$C,N19329))</f>
        <v>0</v>
      </c>
    </row>
    <row r="19330" spans="13:16">
      <c r="M19330" s="49">
        <f>IF($A$4+193&gt;$B$4,"",$A$4+193)</f>
        <v>46216</v>
      </c>
      <c r="N19330" t="str">
        <f>IF(M19330="","",'Master Barang'!A24)</f>
        <v>PRL-023</v>
      </c>
      <c r="O19330" t="str">
        <f>IF(N19330="","",'Master Barang'!B24)</f>
        <v>gayung kecil</v>
      </c>
      <c r="P19330">
        <f>IF(OR(M19330="",N19330=""),"",SUMIFS('Barang Keluar'!$E:$E,'Barang Keluar'!$A:$A,M19330,'Barang Keluar'!$C:$C,N19330))</f>
        <v>0</v>
      </c>
    </row>
    <row r="19331" spans="13:16">
      <c r="M19331" s="49">
        <f>IF($A$4+193&gt;$B$4,"",$A$4+193)</f>
        <v>46216</v>
      </c>
      <c r="N19331" t="str">
        <f>IF(M19331="","",'Master Barang'!A25)</f>
        <v>PRL-024</v>
      </c>
      <c r="O19331" t="str">
        <f>IF(N19331="","",'Master Barang'!B25)</f>
        <v>cikrak kecil</v>
      </c>
      <c r="P19331">
        <f>IF(OR(M19331="",N19331=""),"",SUMIFS('Barang Keluar'!$E:$E,'Barang Keluar'!$A:$A,M19331,'Barang Keluar'!$C:$C,N19331))</f>
        <v>0</v>
      </c>
    </row>
    <row r="19332" spans="13:16">
      <c r="M19332" s="49">
        <f>IF($A$4+193&gt;$B$4,"",$A$4+193)</f>
        <v>46216</v>
      </c>
      <c r="N19332" t="str">
        <f>IF(M19332="","",'Master Barang'!A26)</f>
        <v>PRL-025</v>
      </c>
      <c r="O19332" t="str">
        <f>IF(N19332="","",'Master Barang'!B26)</f>
        <v>petromax plastik kecil 12x24 100 lembar</v>
      </c>
      <c r="P19332">
        <f>IF(OR(M19332="",N19332=""),"",SUMIFS('Barang Keluar'!$E:$E,'Barang Keluar'!$A:$A,M19332,'Barang Keluar'!$C:$C,N19332))</f>
        <v>0</v>
      </c>
    </row>
    <row r="19333" spans="13:16">
      <c r="M19333" s="49">
        <f>IF($A$4+193&gt;$B$4,"",$A$4+193)</f>
        <v>46216</v>
      </c>
      <c r="N19333" t="str">
        <f>IF(M19333="","",'Master Barang'!A27)</f>
        <v>PRL-026</v>
      </c>
      <c r="O19333" t="str">
        <f>IF(N19333="","",'Master Barang'!B27)</f>
        <v>lancar kresek kecil bening </v>
      </c>
      <c r="P19333">
        <f>IF(OR(M19333="",N19333=""),"",SUMIFS('Barang Keluar'!$E:$E,'Barang Keluar'!$A:$A,M19333,'Barang Keluar'!$C:$C,N19333))</f>
        <v>0</v>
      </c>
    </row>
    <row r="19334" spans="13:16">
      <c r="M19334" s="49">
        <f>IF($A$4+193&gt;$B$4,"",$A$4+193)</f>
        <v>46216</v>
      </c>
      <c r="N19334" t="str">
        <f>IF(M19334="","",'Master Barang'!A28)</f>
        <v>PRL-027</v>
      </c>
      <c r="O19334" t="str">
        <f>IF(N19334="","",'Master Barang'!B28)</f>
        <v>kresek klin warna warni kecil</v>
      </c>
      <c r="P19334">
        <f>IF(OR(M19334="",N19334=""),"",SUMIFS('Barang Keluar'!$E:$E,'Barang Keluar'!$A:$A,M19334,'Barang Keluar'!$C:$C,N19334))</f>
        <v>0</v>
      </c>
    </row>
    <row r="19335" spans="13:16">
      <c r="M19335" s="49">
        <f>IF($A$4+193&gt;$B$4,"",$A$4+193)</f>
        <v>46216</v>
      </c>
      <c r="N19335" t="str">
        <f>IF(M19335="","",'Master Barang'!A29)</f>
        <v>PRL-028</v>
      </c>
      <c r="O19335" t="str">
        <f>IF(N19335="","",'Master Barang'!B29)</f>
        <v>ctik plastik 7x10 100 pcs</v>
      </c>
      <c r="P19335">
        <f>IF(OR(M19335="",N19335=""),"",SUMIFS('Barang Keluar'!$E:$E,'Barang Keluar'!$A:$A,M19335,'Barang Keluar'!$C:$C,N19335))</f>
        <v>0</v>
      </c>
    </row>
    <row r="19336" spans="13:16">
      <c r="M19336" s="49">
        <f>IF($A$4+193&gt;$B$4,"",$A$4+193)</f>
        <v>46216</v>
      </c>
      <c r="N19336" t="str">
        <f>IF(M19336="","",'Master Barang'!A30)</f>
        <v>PRL-029</v>
      </c>
      <c r="O19336" t="str">
        <f>IF(N19336="","",'Master Barang'!B30)</f>
        <v>ctik plastik 6x10 100 pcs</v>
      </c>
      <c r="P19336">
        <f>IF(OR(M19336="",N19336=""),"",SUMIFS('Barang Keluar'!$E:$E,'Barang Keluar'!$A:$A,M19336,'Barang Keluar'!$C:$C,N19336))</f>
        <v>0</v>
      </c>
    </row>
    <row r="19337" spans="13:16">
      <c r="M19337" s="49">
        <f>IF($A$4+193&gt;$B$4,"",$A$4+193)</f>
        <v>46216</v>
      </c>
      <c r="N19337" t="str">
        <f>IF(M19337="","",'Master Barang'!A31)</f>
        <v>PRL-030</v>
      </c>
      <c r="O19337" t="str">
        <f>IF(N19337="","",'Master Barang'!B31)</f>
        <v>klip plastik 25x16 100 pcs</v>
      </c>
      <c r="P19337">
        <f>IF(OR(M19337="",N19337=""),"",SUMIFS('Barang Keluar'!$E:$E,'Barang Keluar'!$A:$A,M19337,'Barang Keluar'!$C:$C,N19337))</f>
        <v>0</v>
      </c>
    </row>
    <row r="19338" spans="13:16">
      <c r="M19338" s="49">
        <f>IF($A$4+193&gt;$B$4,"",$A$4+193)</f>
        <v>46216</v>
      </c>
      <c r="N19338" t="str">
        <f>IF(M19338="","",'Master Barang'!A32)</f>
        <v>PRL-031</v>
      </c>
      <c r="O19338" t="str">
        <f>IF(N19338="","",'Master Barang'!B32)</f>
        <v>tempat saus 20 ml</v>
      </c>
      <c r="P19338">
        <f>IF(OR(M19338="",N19338=""),"",SUMIFS('Barang Keluar'!$E:$E,'Barang Keluar'!$A:$A,M19338,'Barang Keluar'!$C:$C,N19338))</f>
        <v>0</v>
      </c>
    </row>
    <row r="19339" spans="13:16">
      <c r="M19339" s="49">
        <f>IF($A$4+193&gt;$B$4,"",$A$4+193)</f>
        <v>46216</v>
      </c>
      <c r="N19339" t="str">
        <f>IF(M19339="","",'Master Barang'!A33)</f>
        <v>PRL-032</v>
      </c>
      <c r="O19339" t="str">
        <f>IF(N19339="","",'Master Barang'!B33)</f>
        <v>plastik packaging ag box uk sedang</v>
      </c>
      <c r="P19339">
        <f>IF(OR(M19339="",N19339=""),"",SUMIFS('Barang Keluar'!$E:$E,'Barang Keluar'!$A:$A,M19339,'Barang Keluar'!$C:$C,N19339))</f>
        <v>0</v>
      </c>
    </row>
    <row r="19340" spans="13:16">
      <c r="M19340" s="49">
        <f>IF($A$4+193&gt;$B$4,"",$A$4+193)</f>
        <v>46216</v>
      </c>
      <c r="N19340" t="str">
        <f>IF(M19340="","",'Master Barang'!A34)</f>
        <v>PRL-033</v>
      </c>
      <c r="O19340">
        <f>IF(N19340="","",'Master Barang'!B34)</f>
        <v>0</v>
      </c>
      <c r="P19340">
        <f>IF(OR(M19340="",N19340=""),"",SUMIFS('Barang Keluar'!$E:$E,'Barang Keluar'!$A:$A,M19340,'Barang Keluar'!$C:$C,N19340))</f>
        <v>0</v>
      </c>
    </row>
    <row r="19341" spans="13:16">
      <c r="M19341" s="49">
        <f>IF($A$4+193&gt;$B$4,"",$A$4+193)</f>
        <v>46216</v>
      </c>
      <c r="N19341">
        <f>IF(M19341="","",'Master Barang'!A35)</f>
        <v>0</v>
      </c>
      <c r="O19341">
        <f>IF(N19341="","",'Master Barang'!B35)</f>
        <v>0</v>
      </c>
      <c r="P19341">
        <f>IF(OR(M19341="",N19341=""),"",SUMIFS('Barang Keluar'!$E:$E,'Barang Keluar'!$A:$A,M19341,'Barang Keluar'!$C:$C,N19341))</f>
        <v>0</v>
      </c>
    </row>
    <row r="19342" spans="13:16">
      <c r="M19342" s="49">
        <f>IF($A$4+193&gt;$B$4,"",$A$4+193)</f>
        <v>46216</v>
      </c>
      <c r="N19342">
        <f>IF(M19342="","",'Master Barang'!A36)</f>
        <v>0</v>
      </c>
      <c r="O19342">
        <f>IF(N19342="","",'Master Barang'!B36)</f>
        <v>0</v>
      </c>
      <c r="P19342">
        <f>IF(OR(M19342="",N19342=""),"",SUMIFS('Barang Keluar'!$E:$E,'Barang Keluar'!$A:$A,M19342,'Barang Keluar'!$C:$C,N19342))</f>
        <v>0</v>
      </c>
    </row>
    <row r="19343" spans="13:16">
      <c r="M19343" s="49">
        <f>IF($A$4+193&gt;$B$4,"",$A$4+193)</f>
        <v>46216</v>
      </c>
      <c r="N19343">
        <f>IF(M19343="","",'Master Barang'!A37)</f>
        <v>0</v>
      </c>
      <c r="O19343">
        <f>IF(N19343="","",'Master Barang'!B37)</f>
        <v>0</v>
      </c>
      <c r="P19343">
        <f>IF(OR(M19343="",N19343=""),"",SUMIFS('Barang Keluar'!$E:$E,'Barang Keluar'!$A:$A,M19343,'Barang Keluar'!$C:$C,N19343))</f>
        <v>0</v>
      </c>
    </row>
    <row r="19344" spans="13:16">
      <c r="M19344" s="49">
        <f>IF($A$4+193&gt;$B$4,"",$A$4+193)</f>
        <v>46216</v>
      </c>
      <c r="N19344">
        <f>IF(M19344="","",'Master Barang'!A38)</f>
        <v>0</v>
      </c>
      <c r="O19344">
        <f>IF(N19344="","",'Master Barang'!B38)</f>
        <v>0</v>
      </c>
      <c r="P19344">
        <f>IF(OR(M19344="",N19344=""),"",SUMIFS('Barang Keluar'!$E:$E,'Barang Keluar'!$A:$A,M19344,'Barang Keluar'!$C:$C,N19344))</f>
        <v>0</v>
      </c>
    </row>
    <row r="19345" spans="13:16">
      <c r="M19345" s="49">
        <f>IF($A$4+193&gt;$B$4,"",$A$4+193)</f>
        <v>46216</v>
      </c>
      <c r="N19345">
        <f>IF(M19345="","",'Master Barang'!A39)</f>
        <v>0</v>
      </c>
      <c r="O19345">
        <f>IF(N19345="","",'Master Barang'!B39)</f>
        <v>0</v>
      </c>
      <c r="P19345">
        <f>IF(OR(M19345="",N19345=""),"",SUMIFS('Barang Keluar'!$E:$E,'Barang Keluar'!$A:$A,M19345,'Barang Keluar'!$C:$C,N19345))</f>
        <v>0</v>
      </c>
    </row>
    <row r="19346" spans="13:16">
      <c r="M19346" s="49">
        <f>IF($A$4+193&gt;$B$4,"",$A$4+193)</f>
        <v>46216</v>
      </c>
      <c r="N19346">
        <f>IF(M19346="","",'Master Barang'!A40)</f>
        <v>0</v>
      </c>
      <c r="O19346">
        <f>IF(N19346="","",'Master Barang'!B40)</f>
        <v>0</v>
      </c>
      <c r="P19346">
        <f>IF(OR(M19346="",N19346=""),"",SUMIFS('Barang Keluar'!$E:$E,'Barang Keluar'!$A:$A,M19346,'Barang Keluar'!$C:$C,N19346))</f>
        <v>0</v>
      </c>
    </row>
    <row r="19347" spans="13:16">
      <c r="M19347" s="49">
        <f>IF($A$4+193&gt;$B$4,"",$A$4+193)</f>
        <v>46216</v>
      </c>
      <c r="N19347">
        <f>IF(M19347="","",'Master Barang'!A41)</f>
        <v>0</v>
      </c>
      <c r="O19347">
        <f>IF(N19347="","",'Master Barang'!B41)</f>
        <v>0</v>
      </c>
      <c r="P19347">
        <f>IF(OR(M19347="",N19347=""),"",SUMIFS('Barang Keluar'!$E:$E,'Barang Keluar'!$A:$A,M19347,'Barang Keluar'!$C:$C,N19347))</f>
        <v>0</v>
      </c>
    </row>
    <row r="19348" spans="13:16">
      <c r="M19348" s="49">
        <f>IF($A$4+193&gt;$B$4,"",$A$4+193)</f>
        <v>46216</v>
      </c>
      <c r="N19348">
        <f>IF(M19348="","",'Master Barang'!A42)</f>
        <v>0</v>
      </c>
      <c r="O19348">
        <f>IF(N19348="","",'Master Barang'!B42)</f>
        <v>0</v>
      </c>
      <c r="P19348">
        <f>IF(OR(M19348="",N19348=""),"",SUMIFS('Barang Keluar'!$E:$E,'Barang Keluar'!$A:$A,M19348,'Barang Keluar'!$C:$C,N19348))</f>
        <v>0</v>
      </c>
    </row>
    <row r="19349" spans="13:16">
      <c r="M19349" s="49">
        <f>IF($A$4+193&gt;$B$4,"",$A$4+193)</f>
        <v>46216</v>
      </c>
      <c r="N19349">
        <f>IF(M19349="","",'Master Barang'!A43)</f>
        <v>0</v>
      </c>
      <c r="O19349">
        <f>IF(N19349="","",'Master Barang'!B43)</f>
        <v>0</v>
      </c>
      <c r="P19349">
        <f>IF(OR(M19349="",N19349=""),"",SUMIFS('Barang Keluar'!$E:$E,'Barang Keluar'!$A:$A,M19349,'Barang Keluar'!$C:$C,N19349))</f>
        <v>0</v>
      </c>
    </row>
    <row r="19350" spans="13:16">
      <c r="M19350" s="49">
        <f>IF($A$4+193&gt;$B$4,"",$A$4+193)</f>
        <v>46216</v>
      </c>
      <c r="N19350">
        <f>IF(M19350="","",'Master Barang'!A44)</f>
        <v>0</v>
      </c>
      <c r="O19350">
        <f>IF(N19350="","",'Master Barang'!B44)</f>
        <v>0</v>
      </c>
      <c r="P19350">
        <f>IF(OR(M19350="",N19350=""),"",SUMIFS('Barang Keluar'!$E:$E,'Barang Keluar'!$A:$A,M19350,'Barang Keluar'!$C:$C,N19350))</f>
        <v>0</v>
      </c>
    </row>
    <row r="19351" spans="13:16">
      <c r="M19351" s="49">
        <f>IF($A$4+193&gt;$B$4,"",$A$4+193)</f>
        <v>46216</v>
      </c>
      <c r="N19351">
        <f>IF(M19351="","",'Master Barang'!A45)</f>
        <v>0</v>
      </c>
      <c r="O19351">
        <f>IF(N19351="","",'Master Barang'!B45)</f>
        <v>0</v>
      </c>
      <c r="P19351">
        <f>IF(OR(M19351="",N19351=""),"",SUMIFS('Barang Keluar'!$E:$E,'Barang Keluar'!$A:$A,M19351,'Barang Keluar'!$C:$C,N19351))</f>
        <v>0</v>
      </c>
    </row>
    <row r="19352" spans="13:16">
      <c r="M19352" s="49">
        <f>IF($A$4+193&gt;$B$4,"",$A$4+193)</f>
        <v>46216</v>
      </c>
      <c r="N19352">
        <f>IF(M19352="","",'Master Barang'!A46)</f>
        <v>0</v>
      </c>
      <c r="O19352">
        <f>IF(N19352="","",'Master Barang'!B46)</f>
        <v>0</v>
      </c>
      <c r="P19352">
        <f>IF(OR(M19352="",N19352=""),"",SUMIFS('Barang Keluar'!$E:$E,'Barang Keluar'!$A:$A,M19352,'Barang Keluar'!$C:$C,N19352))</f>
        <v>0</v>
      </c>
    </row>
    <row r="19353" spans="13:16">
      <c r="M19353" s="49">
        <f>IF($A$4+193&gt;$B$4,"",$A$4+193)</f>
        <v>46216</v>
      </c>
      <c r="N19353">
        <f>IF(M19353="","",'Master Barang'!A47)</f>
        <v>0</v>
      </c>
      <c r="O19353">
        <f>IF(N19353="","",'Master Barang'!B47)</f>
        <v>0</v>
      </c>
      <c r="P19353">
        <f>IF(OR(M19353="",N19353=""),"",SUMIFS('Barang Keluar'!$E:$E,'Barang Keluar'!$A:$A,M19353,'Barang Keluar'!$C:$C,N19353))</f>
        <v>0</v>
      </c>
    </row>
    <row r="19354" spans="13:16">
      <c r="M19354" s="49">
        <f>IF($A$4+193&gt;$B$4,"",$A$4+193)</f>
        <v>46216</v>
      </c>
      <c r="N19354">
        <f>IF(M19354="","",'Master Barang'!A48)</f>
        <v>0</v>
      </c>
      <c r="O19354">
        <f>IF(N19354="","",'Master Barang'!B48)</f>
        <v>0</v>
      </c>
      <c r="P19354">
        <f>IF(OR(M19354="",N19354=""),"",SUMIFS('Barang Keluar'!$E:$E,'Barang Keluar'!$A:$A,M19354,'Barang Keluar'!$C:$C,N19354))</f>
        <v>0</v>
      </c>
    </row>
    <row r="19355" spans="13:16">
      <c r="M19355" s="49">
        <f>IF($A$4+193&gt;$B$4,"",$A$4+193)</f>
        <v>46216</v>
      </c>
      <c r="N19355">
        <f>IF(M19355="","",'Master Barang'!A49)</f>
        <v>0</v>
      </c>
      <c r="O19355">
        <f>IF(N19355="","",'Master Barang'!B49)</f>
        <v>0</v>
      </c>
      <c r="P19355">
        <f>IF(OR(M19355="",N19355=""),"",SUMIFS('Barang Keluar'!$E:$E,'Barang Keluar'!$A:$A,M19355,'Barang Keluar'!$C:$C,N19355))</f>
        <v>0</v>
      </c>
    </row>
    <row r="19356" spans="13:16">
      <c r="M19356" s="49">
        <f>IF($A$4+193&gt;$B$4,"",$A$4+193)</f>
        <v>46216</v>
      </c>
      <c r="N19356">
        <f>IF(M19356="","",'Master Barang'!A50)</f>
        <v>0</v>
      </c>
      <c r="O19356">
        <f>IF(N19356="","",'Master Barang'!B50)</f>
        <v>0</v>
      </c>
      <c r="P19356">
        <f>IF(OR(M19356="",N19356=""),"",SUMIFS('Barang Keluar'!$E:$E,'Barang Keluar'!$A:$A,M19356,'Barang Keluar'!$C:$C,N19356))</f>
        <v>0</v>
      </c>
    </row>
    <row r="19357" spans="13:16">
      <c r="M19357" s="49">
        <f>IF($A$4+193&gt;$B$4,"",$A$4+193)</f>
        <v>46216</v>
      </c>
      <c r="N19357">
        <f>IF(M19357="","",'Master Barang'!A51)</f>
        <v>0</v>
      </c>
      <c r="O19357">
        <f>IF(N19357="","",'Master Barang'!B51)</f>
        <v>0</v>
      </c>
      <c r="P19357">
        <f>IF(OR(M19357="",N19357=""),"",SUMIFS('Barang Keluar'!$E:$E,'Barang Keluar'!$A:$A,M19357,'Barang Keluar'!$C:$C,N19357))</f>
        <v>0</v>
      </c>
    </row>
    <row r="19358" spans="13:16">
      <c r="M19358" s="49">
        <f>IF($A$4+193&gt;$B$4,"",$A$4+193)</f>
        <v>46216</v>
      </c>
      <c r="N19358">
        <f>IF(M19358="","",'Master Barang'!A52)</f>
        <v>0</v>
      </c>
      <c r="O19358">
        <f>IF(N19358="","",'Master Barang'!B52)</f>
        <v>0</v>
      </c>
      <c r="P19358">
        <f>IF(OR(M19358="",N19358=""),"",SUMIFS('Barang Keluar'!$E:$E,'Barang Keluar'!$A:$A,M19358,'Barang Keluar'!$C:$C,N19358))</f>
        <v>0</v>
      </c>
    </row>
    <row r="19359" spans="13:16">
      <c r="M19359" s="49">
        <f>IF($A$4+193&gt;$B$4,"",$A$4+193)</f>
        <v>46216</v>
      </c>
      <c r="N19359">
        <f>IF(M19359="","",'Master Barang'!A53)</f>
        <v>0</v>
      </c>
      <c r="O19359">
        <f>IF(N19359="","",'Master Barang'!B53)</f>
        <v>0</v>
      </c>
      <c r="P19359">
        <f>IF(OR(M19359="",N19359=""),"",SUMIFS('Barang Keluar'!$E:$E,'Barang Keluar'!$A:$A,M19359,'Barang Keluar'!$C:$C,N19359))</f>
        <v>0</v>
      </c>
    </row>
    <row r="19360" spans="13:16">
      <c r="M19360" s="49">
        <f>IF($A$4+193&gt;$B$4,"",$A$4+193)</f>
        <v>46216</v>
      </c>
      <c r="N19360">
        <f>IF(M19360="","",'Master Barang'!A54)</f>
        <v>0</v>
      </c>
      <c r="O19360">
        <f>IF(N19360="","",'Master Barang'!B54)</f>
        <v>0</v>
      </c>
      <c r="P19360">
        <f>IF(OR(M19360="",N19360=""),"",SUMIFS('Barang Keluar'!$E:$E,'Barang Keluar'!$A:$A,M19360,'Barang Keluar'!$C:$C,N19360))</f>
        <v>0</v>
      </c>
    </row>
    <row r="19361" spans="13:16">
      <c r="M19361" s="49">
        <f>IF($A$4+193&gt;$B$4,"",$A$4+193)</f>
        <v>46216</v>
      </c>
      <c r="N19361">
        <f>IF(M19361="","",'Master Barang'!A55)</f>
        <v>0</v>
      </c>
      <c r="O19361">
        <f>IF(N19361="","",'Master Barang'!B55)</f>
        <v>0</v>
      </c>
      <c r="P19361">
        <f>IF(OR(M19361="",N19361=""),"",SUMIFS('Barang Keluar'!$E:$E,'Barang Keluar'!$A:$A,M19361,'Barang Keluar'!$C:$C,N19361))</f>
        <v>0</v>
      </c>
    </row>
    <row r="19362" spans="13:16">
      <c r="M19362" s="49">
        <f>IF($A$4+193&gt;$B$4,"",$A$4+193)</f>
        <v>46216</v>
      </c>
      <c r="N19362">
        <f>IF(M19362="","",'Master Barang'!A56)</f>
        <v>0</v>
      </c>
      <c r="O19362">
        <f>IF(N19362="","",'Master Barang'!B56)</f>
        <v>0</v>
      </c>
      <c r="P19362">
        <f>IF(OR(M19362="",N19362=""),"",SUMIFS('Barang Keluar'!$E:$E,'Barang Keluar'!$A:$A,M19362,'Barang Keluar'!$C:$C,N19362))</f>
        <v>0</v>
      </c>
    </row>
    <row r="19363" spans="13:16">
      <c r="M19363" s="49">
        <f>IF($A$4+193&gt;$B$4,"",$A$4+193)</f>
        <v>46216</v>
      </c>
      <c r="N19363">
        <f>IF(M19363="","",'Master Barang'!A57)</f>
        <v>0</v>
      </c>
      <c r="O19363">
        <f>IF(N19363="","",'Master Barang'!B57)</f>
        <v>0</v>
      </c>
      <c r="P19363">
        <f>IF(OR(M19363="",N19363=""),"",SUMIFS('Barang Keluar'!$E:$E,'Barang Keluar'!$A:$A,M19363,'Barang Keluar'!$C:$C,N19363))</f>
        <v>0</v>
      </c>
    </row>
    <row r="19364" spans="13:16">
      <c r="M19364" s="49">
        <f>IF($A$4+193&gt;$B$4,"",$A$4+193)</f>
        <v>46216</v>
      </c>
      <c r="N19364">
        <f>IF(M19364="","",'Master Barang'!A58)</f>
        <v>0</v>
      </c>
      <c r="O19364">
        <f>IF(N19364="","",'Master Barang'!B58)</f>
        <v>0</v>
      </c>
      <c r="P19364">
        <f>IF(OR(M19364="",N19364=""),"",SUMIFS('Barang Keluar'!$E:$E,'Barang Keluar'!$A:$A,M19364,'Barang Keluar'!$C:$C,N19364))</f>
        <v>0</v>
      </c>
    </row>
    <row r="19365" spans="13:16">
      <c r="M19365" s="49">
        <f>IF($A$4+193&gt;$B$4,"",$A$4+193)</f>
        <v>46216</v>
      </c>
      <c r="N19365">
        <f>IF(M19365="","",'Master Barang'!A59)</f>
        <v>0</v>
      </c>
      <c r="O19365">
        <f>IF(N19365="","",'Master Barang'!B59)</f>
        <v>0</v>
      </c>
      <c r="P19365">
        <f>IF(OR(M19365="",N19365=""),"",SUMIFS('Barang Keluar'!$E:$E,'Barang Keluar'!$A:$A,M19365,'Barang Keluar'!$C:$C,N19365))</f>
        <v>0</v>
      </c>
    </row>
    <row r="19366" spans="13:16">
      <c r="M19366" s="49">
        <f>IF($A$4+193&gt;$B$4,"",$A$4+193)</f>
        <v>46216</v>
      </c>
      <c r="N19366">
        <f>IF(M19366="","",'Master Barang'!A60)</f>
        <v>0</v>
      </c>
      <c r="O19366">
        <f>IF(N19366="","",'Master Barang'!B60)</f>
        <v>0</v>
      </c>
      <c r="P19366">
        <f>IF(OR(M19366="",N19366=""),"",SUMIFS('Barang Keluar'!$E:$E,'Barang Keluar'!$A:$A,M19366,'Barang Keluar'!$C:$C,N19366))</f>
        <v>0</v>
      </c>
    </row>
    <row r="19367" spans="13:16">
      <c r="M19367" s="49">
        <f>IF($A$4+193&gt;$B$4,"",$A$4+193)</f>
        <v>46216</v>
      </c>
      <c r="N19367">
        <f>IF(M19367="","",'Master Barang'!A61)</f>
        <v>0</v>
      </c>
      <c r="O19367">
        <f>IF(N19367="","",'Master Barang'!B61)</f>
        <v>0</v>
      </c>
      <c r="P19367">
        <f>IF(OR(M19367="",N19367=""),"",SUMIFS('Barang Keluar'!$E:$E,'Barang Keluar'!$A:$A,M19367,'Barang Keluar'!$C:$C,N19367))</f>
        <v>0</v>
      </c>
    </row>
    <row r="19368" spans="13:16">
      <c r="M19368" s="49">
        <f>IF($A$4+193&gt;$B$4,"",$A$4+193)</f>
        <v>46216</v>
      </c>
      <c r="N19368">
        <f>IF(M19368="","",'Master Barang'!A62)</f>
        <v>0</v>
      </c>
      <c r="O19368">
        <f>IF(N19368="","",'Master Barang'!B62)</f>
        <v>0</v>
      </c>
      <c r="P19368">
        <f>IF(OR(M19368="",N19368=""),"",SUMIFS('Barang Keluar'!$E:$E,'Barang Keluar'!$A:$A,M19368,'Barang Keluar'!$C:$C,N19368))</f>
        <v>0</v>
      </c>
    </row>
    <row r="19369" spans="13:16">
      <c r="M19369" s="49">
        <f>IF($A$4+193&gt;$B$4,"",$A$4+193)</f>
        <v>46216</v>
      </c>
      <c r="N19369">
        <f>IF(M19369="","",'Master Barang'!A63)</f>
        <v>0</v>
      </c>
      <c r="O19369">
        <f>IF(N19369="","",'Master Barang'!B63)</f>
        <v>0</v>
      </c>
      <c r="P19369">
        <f>IF(OR(M19369="",N19369=""),"",SUMIFS('Barang Keluar'!$E:$E,'Barang Keluar'!$A:$A,M19369,'Barang Keluar'!$C:$C,N19369))</f>
        <v>0</v>
      </c>
    </row>
    <row r="19370" spans="13:16">
      <c r="M19370" s="49">
        <f>IF($A$4+193&gt;$B$4,"",$A$4+193)</f>
        <v>46216</v>
      </c>
      <c r="N19370">
        <f>IF(M19370="","",'Master Barang'!A64)</f>
        <v>0</v>
      </c>
      <c r="O19370">
        <f>IF(N19370="","",'Master Barang'!B64)</f>
        <v>0</v>
      </c>
      <c r="P19370">
        <f>IF(OR(M19370="",N19370=""),"",SUMIFS('Barang Keluar'!$E:$E,'Barang Keluar'!$A:$A,M19370,'Barang Keluar'!$C:$C,N19370))</f>
        <v>0</v>
      </c>
    </row>
    <row r="19371" spans="13:16">
      <c r="M19371" s="49">
        <f>IF($A$4+193&gt;$B$4,"",$A$4+193)</f>
        <v>46216</v>
      </c>
      <c r="N19371">
        <f>IF(M19371="","",'Master Barang'!A65)</f>
        <v>0</v>
      </c>
      <c r="O19371">
        <f>IF(N19371="","",'Master Barang'!B65)</f>
        <v>0</v>
      </c>
      <c r="P19371">
        <f>IF(OR(M19371="",N19371=""),"",SUMIFS('Barang Keluar'!$E:$E,'Barang Keluar'!$A:$A,M19371,'Barang Keluar'!$C:$C,N19371))</f>
        <v>0</v>
      </c>
    </row>
    <row r="19372" spans="13:16">
      <c r="M19372" s="49">
        <f>IF($A$4+193&gt;$B$4,"",$A$4+193)</f>
        <v>46216</v>
      </c>
      <c r="N19372">
        <f>IF(M19372="","",'Master Barang'!A66)</f>
        <v>0</v>
      </c>
      <c r="O19372">
        <f>IF(N19372="","",'Master Barang'!B66)</f>
        <v>0</v>
      </c>
      <c r="P19372">
        <f>IF(OR(M19372="",N19372=""),"",SUMIFS('Barang Keluar'!$E:$E,'Barang Keluar'!$A:$A,M19372,'Barang Keluar'!$C:$C,N19372))</f>
        <v>0</v>
      </c>
    </row>
    <row r="19373" spans="13:16">
      <c r="M19373" s="49">
        <f>IF($A$4+193&gt;$B$4,"",$A$4+193)</f>
        <v>46216</v>
      </c>
      <c r="N19373">
        <f>IF(M19373="","",'Master Barang'!A67)</f>
        <v>0</v>
      </c>
      <c r="O19373">
        <f>IF(N19373="","",'Master Barang'!B67)</f>
        <v>0</v>
      </c>
      <c r="P19373">
        <f>IF(OR(M19373="",N19373=""),"",SUMIFS('Barang Keluar'!$E:$E,'Barang Keluar'!$A:$A,M19373,'Barang Keluar'!$C:$C,N19373))</f>
        <v>0</v>
      </c>
    </row>
    <row r="19374" spans="13:16">
      <c r="M19374" s="49">
        <f>IF($A$4+193&gt;$B$4,"",$A$4+193)</f>
        <v>46216</v>
      </c>
      <c r="N19374">
        <f>IF(M19374="","",'Master Barang'!A68)</f>
        <v>0</v>
      </c>
      <c r="O19374">
        <f>IF(N19374="","",'Master Barang'!B68)</f>
        <v>0</v>
      </c>
      <c r="P19374">
        <f>IF(OR(M19374="",N19374=""),"",SUMIFS('Barang Keluar'!$E:$E,'Barang Keluar'!$A:$A,M19374,'Barang Keluar'!$C:$C,N19374))</f>
        <v>0</v>
      </c>
    </row>
    <row r="19375" spans="13:16">
      <c r="M19375" s="49">
        <f>IF($A$4+193&gt;$B$4,"",$A$4+193)</f>
        <v>46216</v>
      </c>
      <c r="N19375">
        <f>IF(M19375="","",'Master Barang'!A69)</f>
        <v>0</v>
      </c>
      <c r="O19375">
        <f>IF(N19375="","",'Master Barang'!B69)</f>
        <v>0</v>
      </c>
      <c r="P19375">
        <f>IF(OR(M19375="",N19375=""),"",SUMIFS('Barang Keluar'!$E:$E,'Barang Keluar'!$A:$A,M19375,'Barang Keluar'!$C:$C,N19375))</f>
        <v>0</v>
      </c>
    </row>
    <row r="19376" spans="13:16">
      <c r="M19376" s="49">
        <f>IF($A$4+193&gt;$B$4,"",$A$4+193)</f>
        <v>46216</v>
      </c>
      <c r="N19376">
        <f>IF(M19376="","",'Master Barang'!A70)</f>
        <v>0</v>
      </c>
      <c r="O19376">
        <f>IF(N19376="","",'Master Barang'!B70)</f>
        <v>0</v>
      </c>
      <c r="P19376">
        <f>IF(OR(M19376="",N19376=""),"",SUMIFS('Barang Keluar'!$E:$E,'Barang Keluar'!$A:$A,M19376,'Barang Keluar'!$C:$C,N19376))</f>
        <v>0</v>
      </c>
    </row>
    <row r="19377" spans="13:16">
      <c r="M19377" s="49">
        <f>IF($A$4+193&gt;$B$4,"",$A$4+193)</f>
        <v>46216</v>
      </c>
      <c r="N19377">
        <f>IF(M19377="","",'Master Barang'!A71)</f>
        <v>0</v>
      </c>
      <c r="O19377">
        <f>IF(N19377="","",'Master Barang'!B71)</f>
        <v>0</v>
      </c>
      <c r="P19377">
        <f>IF(OR(M19377="",N19377=""),"",SUMIFS('Barang Keluar'!$E:$E,'Barang Keluar'!$A:$A,M19377,'Barang Keluar'!$C:$C,N19377))</f>
        <v>0</v>
      </c>
    </row>
    <row r="19378" spans="13:16">
      <c r="M19378" s="49">
        <f>IF($A$4+193&gt;$B$4,"",$A$4+193)</f>
        <v>46216</v>
      </c>
      <c r="N19378">
        <f>IF(M19378="","",'Master Barang'!A72)</f>
        <v>0</v>
      </c>
      <c r="O19378">
        <f>IF(N19378="","",'Master Barang'!B72)</f>
        <v>0</v>
      </c>
      <c r="P19378">
        <f>IF(OR(M19378="",N19378=""),"",SUMIFS('Barang Keluar'!$E:$E,'Barang Keluar'!$A:$A,M19378,'Barang Keluar'!$C:$C,N19378))</f>
        <v>0</v>
      </c>
    </row>
    <row r="19379" spans="13:16">
      <c r="M19379" s="49">
        <f>IF($A$4+193&gt;$B$4,"",$A$4+193)</f>
        <v>46216</v>
      </c>
      <c r="N19379">
        <f>IF(M19379="","",'Master Barang'!A73)</f>
        <v>0</v>
      </c>
      <c r="O19379">
        <f>IF(N19379="","",'Master Barang'!B73)</f>
        <v>0</v>
      </c>
      <c r="P19379">
        <f>IF(OR(M19379="",N19379=""),"",SUMIFS('Barang Keluar'!$E:$E,'Barang Keluar'!$A:$A,M19379,'Barang Keluar'!$C:$C,N19379))</f>
        <v>0</v>
      </c>
    </row>
    <row r="19380" spans="13:16">
      <c r="M19380" s="49">
        <f>IF($A$4+193&gt;$B$4,"",$A$4+193)</f>
        <v>46216</v>
      </c>
      <c r="N19380">
        <f>IF(M19380="","",'Master Barang'!A74)</f>
        <v>0</v>
      </c>
      <c r="O19380">
        <f>IF(N19380="","",'Master Barang'!B74)</f>
        <v>0</v>
      </c>
      <c r="P19380">
        <f>IF(OR(M19380="",N19380=""),"",SUMIFS('Barang Keluar'!$E:$E,'Barang Keluar'!$A:$A,M19380,'Barang Keluar'!$C:$C,N19380))</f>
        <v>0</v>
      </c>
    </row>
    <row r="19381" spans="13:16">
      <c r="M19381" s="49">
        <f>IF($A$4+193&gt;$B$4,"",$A$4+193)</f>
        <v>46216</v>
      </c>
      <c r="N19381">
        <f>IF(M19381="","",'Master Barang'!A75)</f>
        <v>0</v>
      </c>
      <c r="O19381">
        <f>IF(N19381="","",'Master Barang'!B75)</f>
        <v>0</v>
      </c>
      <c r="P19381">
        <f>IF(OR(M19381="",N19381=""),"",SUMIFS('Barang Keluar'!$E:$E,'Barang Keluar'!$A:$A,M19381,'Barang Keluar'!$C:$C,N19381))</f>
        <v>0</v>
      </c>
    </row>
    <row r="19382" spans="13:16">
      <c r="M19382" s="49">
        <f>IF($A$4+193&gt;$B$4,"",$A$4+193)</f>
        <v>46216</v>
      </c>
      <c r="N19382">
        <f>IF(M19382="","",'Master Barang'!A76)</f>
        <v>0</v>
      </c>
      <c r="O19382">
        <f>IF(N19382="","",'Master Barang'!B76)</f>
        <v>0</v>
      </c>
      <c r="P19382">
        <f>IF(OR(M19382="",N19382=""),"",SUMIFS('Barang Keluar'!$E:$E,'Barang Keluar'!$A:$A,M19382,'Barang Keluar'!$C:$C,N19382))</f>
        <v>0</v>
      </c>
    </row>
    <row r="19383" spans="13:16">
      <c r="M19383" s="49">
        <f>IF($A$4+193&gt;$B$4,"",$A$4+193)</f>
        <v>46216</v>
      </c>
      <c r="N19383">
        <f>IF(M19383="","",'Master Barang'!A77)</f>
        <v>0</v>
      </c>
      <c r="O19383">
        <f>IF(N19383="","",'Master Barang'!B77)</f>
        <v>0</v>
      </c>
      <c r="P19383">
        <f>IF(OR(M19383="",N19383=""),"",SUMIFS('Barang Keluar'!$E:$E,'Barang Keluar'!$A:$A,M19383,'Barang Keluar'!$C:$C,N19383))</f>
        <v>0</v>
      </c>
    </row>
    <row r="19384" spans="13:16">
      <c r="M19384" s="49">
        <f>IF($A$4+193&gt;$B$4,"",$A$4+193)</f>
        <v>46216</v>
      </c>
      <c r="N19384">
        <f>IF(M19384="","",'Master Barang'!A78)</f>
        <v>0</v>
      </c>
      <c r="O19384">
        <f>IF(N19384="","",'Master Barang'!B78)</f>
        <v>0</v>
      </c>
      <c r="P19384">
        <f>IF(OR(M19384="",N19384=""),"",SUMIFS('Barang Keluar'!$E:$E,'Barang Keluar'!$A:$A,M19384,'Barang Keluar'!$C:$C,N19384))</f>
        <v>0</v>
      </c>
    </row>
    <row r="19385" spans="13:16">
      <c r="M19385" s="49">
        <f>IF($A$4+193&gt;$B$4,"",$A$4+193)</f>
        <v>46216</v>
      </c>
      <c r="N19385">
        <f>IF(M19385="","",'Master Barang'!A79)</f>
        <v>0</v>
      </c>
      <c r="O19385">
        <f>IF(N19385="","",'Master Barang'!B79)</f>
        <v>0</v>
      </c>
      <c r="P19385">
        <f>IF(OR(M19385="",N19385=""),"",SUMIFS('Barang Keluar'!$E:$E,'Barang Keluar'!$A:$A,M19385,'Barang Keluar'!$C:$C,N19385))</f>
        <v>0</v>
      </c>
    </row>
    <row r="19386" spans="13:16">
      <c r="M19386" s="49">
        <f>IF($A$4+193&gt;$B$4,"",$A$4+193)</f>
        <v>46216</v>
      </c>
      <c r="N19386">
        <f>IF(M19386="","",'Master Barang'!A80)</f>
        <v>0</v>
      </c>
      <c r="O19386">
        <f>IF(N19386="","",'Master Barang'!B80)</f>
        <v>0</v>
      </c>
      <c r="P19386">
        <f>IF(OR(M19386="",N19386=""),"",SUMIFS('Barang Keluar'!$E:$E,'Barang Keluar'!$A:$A,M19386,'Barang Keluar'!$C:$C,N19386))</f>
        <v>0</v>
      </c>
    </row>
    <row r="19387" spans="13:16">
      <c r="M19387" s="49">
        <f>IF($A$4+193&gt;$B$4,"",$A$4+193)</f>
        <v>46216</v>
      </c>
      <c r="N19387">
        <f>IF(M19387="","",'Master Barang'!A81)</f>
        <v>0</v>
      </c>
      <c r="O19387">
        <f>IF(N19387="","",'Master Barang'!B81)</f>
        <v>0</v>
      </c>
      <c r="P19387">
        <f>IF(OR(M19387="",N19387=""),"",SUMIFS('Barang Keluar'!$E:$E,'Barang Keluar'!$A:$A,M19387,'Barang Keluar'!$C:$C,N19387))</f>
        <v>0</v>
      </c>
    </row>
    <row r="19388" spans="13:16">
      <c r="M19388" s="49">
        <f>IF($A$4+193&gt;$B$4,"",$A$4+193)</f>
        <v>46216</v>
      </c>
      <c r="N19388">
        <f>IF(M19388="","",'Master Barang'!A82)</f>
        <v>0</v>
      </c>
      <c r="O19388">
        <f>IF(N19388="","",'Master Barang'!B82)</f>
        <v>0</v>
      </c>
      <c r="P19388">
        <f>IF(OR(M19388="",N19388=""),"",SUMIFS('Barang Keluar'!$E:$E,'Barang Keluar'!$A:$A,M19388,'Barang Keluar'!$C:$C,N19388))</f>
        <v>0</v>
      </c>
    </row>
    <row r="19389" spans="13:16">
      <c r="M19389" s="49">
        <f>IF($A$4+193&gt;$B$4,"",$A$4+193)</f>
        <v>46216</v>
      </c>
      <c r="N19389">
        <f>IF(M19389="","",'Master Barang'!A83)</f>
        <v>0</v>
      </c>
      <c r="O19389">
        <f>IF(N19389="","",'Master Barang'!B83)</f>
        <v>0</v>
      </c>
      <c r="P19389">
        <f>IF(OR(M19389="",N19389=""),"",SUMIFS('Barang Keluar'!$E:$E,'Barang Keluar'!$A:$A,M19389,'Barang Keluar'!$C:$C,N19389))</f>
        <v>0</v>
      </c>
    </row>
    <row r="19390" spans="13:16">
      <c r="M19390" s="49">
        <f>IF($A$4+193&gt;$B$4,"",$A$4+193)</f>
        <v>46216</v>
      </c>
      <c r="N19390">
        <f>IF(M19390="","",'Master Barang'!A84)</f>
        <v>0</v>
      </c>
      <c r="O19390">
        <f>IF(N19390="","",'Master Barang'!B84)</f>
        <v>0</v>
      </c>
      <c r="P19390">
        <f>IF(OR(M19390="",N19390=""),"",SUMIFS('Barang Keluar'!$E:$E,'Barang Keluar'!$A:$A,M19390,'Barang Keluar'!$C:$C,N19390))</f>
        <v>0</v>
      </c>
    </row>
    <row r="19391" spans="13:16">
      <c r="M19391" s="49">
        <f>IF($A$4+193&gt;$B$4,"",$A$4+193)</f>
        <v>46216</v>
      </c>
      <c r="N19391">
        <f>IF(M19391="","",'Master Barang'!A85)</f>
        <v>0</v>
      </c>
      <c r="O19391">
        <f>IF(N19391="","",'Master Barang'!B85)</f>
        <v>0</v>
      </c>
      <c r="P19391">
        <f>IF(OR(M19391="",N19391=""),"",SUMIFS('Barang Keluar'!$E:$E,'Barang Keluar'!$A:$A,M19391,'Barang Keluar'!$C:$C,N19391))</f>
        <v>0</v>
      </c>
    </row>
    <row r="19392" spans="13:16">
      <c r="M19392" s="49">
        <f>IF($A$4+193&gt;$B$4,"",$A$4+193)</f>
        <v>46216</v>
      </c>
      <c r="N19392">
        <f>IF(M19392="","",'Master Barang'!A86)</f>
        <v>0</v>
      </c>
      <c r="O19392">
        <f>IF(N19392="","",'Master Barang'!B86)</f>
        <v>0</v>
      </c>
      <c r="P19392">
        <f>IF(OR(M19392="",N19392=""),"",SUMIFS('Barang Keluar'!$E:$E,'Barang Keluar'!$A:$A,M19392,'Barang Keluar'!$C:$C,N19392))</f>
        <v>0</v>
      </c>
    </row>
    <row r="19393" spans="13:16">
      <c r="M19393" s="49">
        <f>IF($A$4+193&gt;$B$4,"",$A$4+193)</f>
        <v>46216</v>
      </c>
      <c r="N19393">
        <f>IF(M19393="","",'Master Barang'!A87)</f>
        <v>0</v>
      </c>
      <c r="O19393">
        <f>IF(N19393="","",'Master Barang'!B87)</f>
        <v>0</v>
      </c>
      <c r="P19393">
        <f>IF(OR(M19393="",N19393=""),"",SUMIFS('Barang Keluar'!$E:$E,'Barang Keluar'!$A:$A,M19393,'Barang Keluar'!$C:$C,N19393))</f>
        <v>0</v>
      </c>
    </row>
    <row r="19394" spans="13:16">
      <c r="M19394" s="49">
        <f>IF($A$4+193&gt;$B$4,"",$A$4+193)</f>
        <v>46216</v>
      </c>
      <c r="N19394">
        <f>IF(M19394="","",'Master Barang'!A88)</f>
        <v>0</v>
      </c>
      <c r="O19394">
        <f>IF(N19394="","",'Master Barang'!B88)</f>
        <v>0</v>
      </c>
      <c r="P19394">
        <f>IF(OR(M19394="",N19394=""),"",SUMIFS('Barang Keluar'!$E:$E,'Barang Keluar'!$A:$A,M19394,'Barang Keluar'!$C:$C,N19394))</f>
        <v>0</v>
      </c>
    </row>
    <row r="19395" spans="13:16">
      <c r="M19395" s="49">
        <f>IF($A$4+193&gt;$B$4,"",$A$4+193)</f>
        <v>46216</v>
      </c>
      <c r="N19395">
        <f>IF(M19395="","",'Master Barang'!A89)</f>
        <v>0</v>
      </c>
      <c r="O19395">
        <f>IF(N19395="","",'Master Barang'!B89)</f>
        <v>0</v>
      </c>
      <c r="P19395">
        <f>IF(OR(M19395="",N19395=""),"",SUMIFS('Barang Keluar'!$E:$E,'Barang Keluar'!$A:$A,M19395,'Barang Keluar'!$C:$C,N19395))</f>
        <v>0</v>
      </c>
    </row>
    <row r="19396" spans="13:16">
      <c r="M19396" s="49">
        <f>IF($A$4+193&gt;$B$4,"",$A$4+193)</f>
        <v>46216</v>
      </c>
      <c r="N19396">
        <f>IF(M19396="","",'Master Barang'!A90)</f>
        <v>0</v>
      </c>
      <c r="O19396">
        <f>IF(N19396="","",'Master Barang'!B90)</f>
        <v>0</v>
      </c>
      <c r="P19396">
        <f>IF(OR(M19396="",N19396=""),"",SUMIFS('Barang Keluar'!$E:$E,'Barang Keluar'!$A:$A,M19396,'Barang Keluar'!$C:$C,N19396))</f>
        <v>0</v>
      </c>
    </row>
    <row r="19397" spans="13:16">
      <c r="M19397" s="49">
        <f>IF($A$4+193&gt;$B$4,"",$A$4+193)</f>
        <v>46216</v>
      </c>
      <c r="N19397">
        <f>IF(M19397="","",'Master Barang'!A91)</f>
        <v>0</v>
      </c>
      <c r="O19397">
        <f>IF(N19397="","",'Master Barang'!B91)</f>
        <v>0</v>
      </c>
      <c r="P19397">
        <f>IF(OR(M19397="",N19397=""),"",SUMIFS('Barang Keluar'!$E:$E,'Barang Keluar'!$A:$A,M19397,'Barang Keluar'!$C:$C,N19397))</f>
        <v>0</v>
      </c>
    </row>
    <row r="19398" spans="13:16">
      <c r="M19398" s="49">
        <f>IF($A$4+193&gt;$B$4,"",$A$4+193)</f>
        <v>46216</v>
      </c>
      <c r="N19398">
        <f>IF(M19398="","",'Master Barang'!A92)</f>
        <v>0</v>
      </c>
      <c r="O19398">
        <f>IF(N19398="","",'Master Barang'!B92)</f>
        <v>0</v>
      </c>
      <c r="P19398">
        <f>IF(OR(M19398="",N19398=""),"",SUMIFS('Barang Keluar'!$E:$E,'Barang Keluar'!$A:$A,M19398,'Barang Keluar'!$C:$C,N19398))</f>
        <v>0</v>
      </c>
    </row>
    <row r="19399" spans="13:16">
      <c r="M19399" s="49">
        <f>IF($A$4+193&gt;$B$4,"",$A$4+193)</f>
        <v>46216</v>
      </c>
      <c r="N19399">
        <f>IF(M19399="","",'Master Barang'!A93)</f>
        <v>0</v>
      </c>
      <c r="O19399">
        <f>IF(N19399="","",'Master Barang'!B93)</f>
        <v>0</v>
      </c>
      <c r="P19399">
        <f>IF(OR(M19399="",N19399=""),"",SUMIFS('Barang Keluar'!$E:$E,'Barang Keluar'!$A:$A,M19399,'Barang Keluar'!$C:$C,N19399))</f>
        <v>0</v>
      </c>
    </row>
    <row r="19400" spans="13:16">
      <c r="M19400" s="49">
        <f>IF($A$4+193&gt;$B$4,"",$A$4+193)</f>
        <v>46216</v>
      </c>
      <c r="N19400">
        <f>IF(M19400="","",'Master Barang'!A94)</f>
        <v>0</v>
      </c>
      <c r="O19400">
        <f>IF(N19400="","",'Master Barang'!B94)</f>
        <v>0</v>
      </c>
      <c r="P19400">
        <f>IF(OR(M19400="",N19400=""),"",SUMIFS('Barang Keluar'!$E:$E,'Barang Keluar'!$A:$A,M19400,'Barang Keluar'!$C:$C,N19400))</f>
        <v>0</v>
      </c>
    </row>
    <row r="19401" spans="13:16">
      <c r="M19401" s="49">
        <f>IF($A$4+193&gt;$B$4,"",$A$4+193)</f>
        <v>46216</v>
      </c>
      <c r="N19401">
        <f>IF(M19401="","",'Master Barang'!A95)</f>
        <v>0</v>
      </c>
      <c r="O19401">
        <f>IF(N19401="","",'Master Barang'!B95)</f>
        <v>0</v>
      </c>
      <c r="P19401">
        <f>IF(OR(M19401="",N19401=""),"",SUMIFS('Barang Keluar'!$E:$E,'Barang Keluar'!$A:$A,M19401,'Barang Keluar'!$C:$C,N19401))</f>
        <v>0</v>
      </c>
    </row>
    <row r="19402" spans="13:16">
      <c r="M19402" s="49">
        <f>IF($A$4+193&gt;$B$4,"",$A$4+193)</f>
        <v>46216</v>
      </c>
      <c r="N19402">
        <f>IF(M19402="","",'Master Barang'!A96)</f>
        <v>0</v>
      </c>
      <c r="O19402">
        <f>IF(N19402="","",'Master Barang'!B96)</f>
        <v>0</v>
      </c>
      <c r="P19402">
        <f>IF(OR(M19402="",N19402=""),"",SUMIFS('Barang Keluar'!$E:$E,'Barang Keluar'!$A:$A,M19402,'Barang Keluar'!$C:$C,N19402))</f>
        <v>0</v>
      </c>
    </row>
    <row r="19403" spans="13:16">
      <c r="M19403" s="49">
        <f>IF($A$4+193&gt;$B$4,"",$A$4+193)</f>
        <v>46216</v>
      </c>
      <c r="N19403">
        <f>IF(M19403="","",'Master Barang'!A97)</f>
        <v>0</v>
      </c>
      <c r="O19403">
        <f>IF(N19403="","",'Master Barang'!B97)</f>
        <v>0</v>
      </c>
      <c r="P19403">
        <f>IF(OR(M19403="",N19403=""),"",SUMIFS('Barang Keluar'!$E:$E,'Barang Keluar'!$A:$A,M19403,'Barang Keluar'!$C:$C,N19403))</f>
        <v>0</v>
      </c>
    </row>
    <row r="19404" spans="13:16">
      <c r="M19404" s="49">
        <f>IF($A$4+193&gt;$B$4,"",$A$4+193)</f>
        <v>46216</v>
      </c>
      <c r="N19404">
        <f>IF(M19404="","",'Master Barang'!A98)</f>
        <v>0</v>
      </c>
      <c r="O19404">
        <f>IF(N19404="","",'Master Barang'!B98)</f>
        <v>0</v>
      </c>
      <c r="P19404">
        <f>IF(OR(M19404="",N19404=""),"",SUMIFS('Barang Keluar'!$E:$E,'Barang Keluar'!$A:$A,M19404,'Barang Keluar'!$C:$C,N19404))</f>
        <v>0</v>
      </c>
    </row>
    <row r="19405" spans="13:16">
      <c r="M19405" s="49">
        <f>IF($A$4+193&gt;$B$4,"",$A$4+193)</f>
        <v>46216</v>
      </c>
      <c r="N19405">
        <f>IF(M19405="","",'Master Barang'!A99)</f>
        <v>0</v>
      </c>
      <c r="O19405">
        <f>IF(N19405="","",'Master Barang'!B99)</f>
        <v>0</v>
      </c>
      <c r="P19405">
        <f>IF(OR(M19405="",N19405=""),"",SUMIFS('Barang Keluar'!$E:$E,'Barang Keluar'!$A:$A,M19405,'Barang Keluar'!$C:$C,N19405))</f>
        <v>0</v>
      </c>
    </row>
    <row r="19406" spans="13:16">
      <c r="M19406" s="49">
        <f>IF($A$4+193&gt;$B$4,"",$A$4+193)</f>
        <v>46216</v>
      </c>
      <c r="N19406">
        <f>IF(M19406="","",'Master Barang'!A100)</f>
        <v>0</v>
      </c>
      <c r="O19406">
        <f>IF(N19406="","",'Master Barang'!B100)</f>
        <v>0</v>
      </c>
      <c r="P19406">
        <f>IF(OR(M19406="",N19406=""),"",SUMIFS('Barang Keluar'!$E:$E,'Barang Keluar'!$A:$A,M19406,'Barang Keluar'!$C:$C,N19406))</f>
        <v>0</v>
      </c>
    </row>
    <row r="19407" spans="13:16">
      <c r="M19407" s="49">
        <f>IF($A$4+193&gt;$B$4,"",$A$4+193)</f>
        <v>46216</v>
      </c>
      <c r="N19407">
        <f>IF(M19407="","",'Master Barang'!A101)</f>
        <v>0</v>
      </c>
      <c r="O19407">
        <f>IF(N19407="","",'Master Barang'!B101)</f>
        <v>0</v>
      </c>
      <c r="P19407">
        <f>IF(OR(M19407="",N19407=""),"",SUMIFS('Barang Keluar'!$E:$E,'Barang Keluar'!$A:$A,M19407,'Barang Keluar'!$C:$C,N19407))</f>
        <v>0</v>
      </c>
    </row>
    <row r="19408" spans="13:16">
      <c r="M19408" s="49">
        <f>IF($A$4+194&gt;$B$4,"",$A$4+194)</f>
        <v>46217</v>
      </c>
      <c r="N19408" t="str">
        <f>IF(M19408="","",'Master Barang'!A2)</f>
        <v>PRL-001</v>
      </c>
      <c r="O19408" t="str">
        <f>IF(N19408="","",'Master Barang'!B2)</f>
        <v>natura desinfectant food grade 5l</v>
      </c>
      <c r="P19408">
        <f>IF(OR(M19408="",N19408=""),"",SUMIFS('Barang Keluar'!$E:$E,'Barang Keluar'!$A:$A,M19408,'Barang Keluar'!$C:$C,N19408))</f>
        <v>0</v>
      </c>
    </row>
    <row r="19409" spans="13:16">
      <c r="M19409" s="49">
        <f>IF($A$4+194&gt;$B$4,"",$A$4+194)</f>
        <v>46217</v>
      </c>
      <c r="N19409" t="str">
        <f>IF(M19409="","",'Master Barang'!A3)</f>
        <v>PRL-002</v>
      </c>
      <c r="O19409" t="str">
        <f>IF(N19409="","",'Master Barang'!B3)</f>
        <v>sunlight cairan pencuci piring 5l</v>
      </c>
      <c r="P19409">
        <f>IF(OR(M19409="",N19409=""),"",SUMIFS('Barang Keluar'!$E:$E,'Barang Keluar'!$A:$A,M19409,'Barang Keluar'!$C:$C,N19409))</f>
        <v>0</v>
      </c>
    </row>
    <row r="19410" spans="13:16">
      <c r="M19410" s="49">
        <f>IF($A$4+194&gt;$B$4,"",$A$4+194)</f>
        <v>46217</v>
      </c>
      <c r="N19410" t="str">
        <f>IF(M19410="","",'Master Barang'!A4)</f>
        <v>PRL-003</v>
      </c>
      <c r="O19410" t="str">
        <f>IF(N19410="","",'Master Barang'!B4)</f>
        <v>oixs cleaner 1l</v>
      </c>
      <c r="P19410">
        <f>IF(OR(M19410="",N19410=""),"",SUMIFS('Barang Keluar'!$E:$E,'Barang Keluar'!$A:$A,M19410,'Barang Keluar'!$C:$C,N19410))</f>
        <v>0</v>
      </c>
    </row>
    <row r="19411" spans="13:16">
      <c r="M19411" s="49">
        <f>IF($A$4+194&gt;$B$4,"",$A$4+194)</f>
        <v>46217</v>
      </c>
      <c r="N19411" t="str">
        <f>IF(M19411="","",'Master Barang'!A5)</f>
        <v>PRL-004</v>
      </c>
      <c r="O19411" t="str">
        <f>IF(N19411="","",'Master Barang'!B5)</f>
        <v>be clean tissue serbaguna</v>
      </c>
      <c r="P19411">
        <f>IF(OR(M19411="",N19411=""),"",SUMIFS('Barang Keluar'!$E:$E,'Barang Keluar'!$A:$A,M19411,'Barang Keluar'!$C:$C,N19411))</f>
        <v>0</v>
      </c>
    </row>
    <row r="19412" spans="13:16">
      <c r="M19412" s="49">
        <f>IF($A$4+194&gt;$B$4,"",$A$4+194)</f>
        <v>46217</v>
      </c>
      <c r="N19412" t="str">
        <f>IF(M19412="","",'Master Barang'!A6)</f>
        <v>PRL-005</v>
      </c>
      <c r="O19412" t="str">
        <f>IF(N19412="","",'Master Barang'!B6)</f>
        <v>spons cuci hijau</v>
      </c>
      <c r="P19412">
        <f>IF(OR(M19412="",N19412=""),"",SUMIFS('Barang Keluar'!$E:$E,'Barang Keluar'!$A:$A,M19412,'Barang Keluar'!$C:$C,N19412))</f>
        <v>0</v>
      </c>
    </row>
    <row r="19413" spans="13:16">
      <c r="M19413" s="49">
        <f>IF($A$4+194&gt;$B$4,"",$A$4+194)</f>
        <v>46217</v>
      </c>
      <c r="N19413" t="str">
        <f>IF(M19413="","",'Master Barang'!A7)</f>
        <v>PRL-006</v>
      </c>
      <c r="O19413" t="str">
        <f>IF(N19413="","",'Master Barang'!B7)</f>
        <v>sabut cuci stainless</v>
      </c>
      <c r="P19413">
        <f>IF(OR(M19413="",N19413=""),"",SUMIFS('Barang Keluar'!$E:$E,'Barang Keluar'!$A:$A,M19413,'Barang Keluar'!$C:$C,N19413))</f>
        <v>0</v>
      </c>
    </row>
    <row r="19414" spans="13:16">
      <c r="M19414" s="49">
        <f>IF($A$4+194&gt;$B$4,"",$A$4+194)</f>
        <v>46217</v>
      </c>
      <c r="N19414" t="str">
        <f>IF(M19414="","",'Master Barang'!A8)</f>
        <v>PRL-007</v>
      </c>
      <c r="O19414" t="str">
        <f>IF(N19414="","",'Master Barang'!B8)</f>
        <v>plastik kresek besar merah 50pc</v>
      </c>
      <c r="P19414">
        <f>IF(OR(M19414="",N19414=""),"",SUMIFS('Barang Keluar'!$E:$E,'Barang Keluar'!$A:$A,M19414,'Barang Keluar'!$C:$C,N19414))</f>
        <v>0</v>
      </c>
    </row>
    <row r="19415" spans="13:16">
      <c r="M19415" s="49">
        <f>IF($A$4+194&gt;$B$4,"",$A$4+194)</f>
        <v>46217</v>
      </c>
      <c r="N19415" t="str">
        <f>IF(M19415="","",'Master Barang'!A9)</f>
        <v>PRL-008</v>
      </c>
      <c r="O19415" t="str">
        <f>IF(N19415="","",'Master Barang'!B9)</f>
        <v>lap besar</v>
      </c>
      <c r="P19415">
        <f>IF(OR(M19415="",N19415=""),"",SUMIFS('Barang Keluar'!$E:$E,'Barang Keluar'!$A:$A,M19415,'Barang Keluar'!$C:$C,N19415))</f>
        <v>0</v>
      </c>
    </row>
    <row r="19416" spans="13:16">
      <c r="M19416" s="49">
        <f>IF($A$4+194&gt;$B$4,"",$A$4+194)</f>
        <v>46217</v>
      </c>
      <c r="N19416" t="str">
        <f>IF(M19416="","",'Master Barang'!A10)</f>
        <v>PRL-009</v>
      </c>
      <c r="O19416" t="str">
        <f>IF(N19416="","",'Master Barang'!B10)</f>
        <v>lap microfiber</v>
      </c>
      <c r="P19416">
        <f>IF(OR(M19416="",N19416=""),"",SUMIFS('Barang Keluar'!$E:$E,'Barang Keluar'!$A:$A,M19416,'Barang Keluar'!$C:$C,N19416))</f>
        <v>0</v>
      </c>
    </row>
    <row r="19417" spans="13:16">
      <c r="M19417" s="49">
        <f>IF($A$4+194&gt;$B$4,"",$A$4+194)</f>
        <v>46217</v>
      </c>
      <c r="N19417" t="str">
        <f>IF(M19417="","",'Master Barang'!A11)</f>
        <v>PRL-010</v>
      </c>
      <c r="O19417" t="str">
        <f>IF(N19417="","",'Master Barang'!B11)</f>
        <v>lap kecil</v>
      </c>
      <c r="P19417">
        <f>IF(OR(M19417="",N19417=""),"",SUMIFS('Barang Keluar'!$E:$E,'Barang Keluar'!$A:$A,M19417,'Barang Keluar'!$C:$C,N19417))</f>
        <v>0</v>
      </c>
    </row>
    <row r="19418" spans="13:16">
      <c r="M19418" s="49">
        <f>IF($A$4+194&gt;$B$4,"",$A$4+194)</f>
        <v>46217</v>
      </c>
      <c r="N19418" t="str">
        <f>IF(M19418="","",'Master Barang'!A12)</f>
        <v>PRL-011</v>
      </c>
      <c r="O19418" t="str">
        <f>IF(N19418="","",'Master Barang'!B12)</f>
        <v>kanebo kecil</v>
      </c>
      <c r="P19418">
        <f>IF(OR(M19418="",N19418=""),"",SUMIFS('Barang Keluar'!$E:$E,'Barang Keluar'!$A:$A,M19418,'Barang Keluar'!$C:$C,N19418))</f>
        <v>0</v>
      </c>
    </row>
    <row r="19419" spans="13:16">
      <c r="M19419" s="49">
        <f>IF($A$4+194&gt;$B$4,"",$A$4+194)</f>
        <v>46217</v>
      </c>
      <c r="N19419" t="str">
        <f>IF(M19419="","",'Master Barang'!A13)</f>
        <v>PRL-012</v>
      </c>
      <c r="O19419" t="str">
        <f>IF(N19419="","",'Master Barang'!B13)</f>
        <v>plastik 1/4kg joyoboyo 100 lembar</v>
      </c>
      <c r="P19419">
        <f>IF(OR(M19419="",N19419=""),"",SUMIFS('Barang Keluar'!$E:$E,'Barang Keluar'!$A:$A,M19419,'Barang Keluar'!$C:$C,N19419))</f>
        <v>0</v>
      </c>
    </row>
    <row r="19420" spans="13:16">
      <c r="M19420" s="49">
        <f>IF($A$4+194&gt;$B$4,"",$A$4+194)</f>
        <v>46217</v>
      </c>
      <c r="N19420" t="str">
        <f>IF(M19420="","",'Master Barang'!A14)</f>
        <v>PRL-013</v>
      </c>
      <c r="O19420" t="str">
        <f>IF(N19420="","",'Master Barang'!B14)</f>
        <v>sarung tangan plastik kaka 100 pcs</v>
      </c>
      <c r="P19420">
        <f>IF(OR(M19420="",N19420=""),"",SUMIFS('Barang Keluar'!$E:$E,'Barang Keluar'!$A:$A,M19420,'Barang Keluar'!$C:$C,N19420))</f>
        <v>0</v>
      </c>
    </row>
    <row r="19421" spans="13:16">
      <c r="M19421" s="49">
        <f>IF($A$4+194&gt;$B$4,"",$A$4+194)</f>
        <v>46217</v>
      </c>
      <c r="N19421" t="str">
        <f>IF(M19421="","",'Master Barang'!A15)</f>
        <v>PRL-014</v>
      </c>
      <c r="O19421" t="str">
        <f>IF(N19421="","",'Master Barang'!B15)</f>
        <v>optima trashbag 80x100</v>
      </c>
      <c r="P19421">
        <f>IF(OR(M19421="",N19421=""),"",SUMIFS('Barang Keluar'!$E:$E,'Barang Keluar'!$A:$A,M19421,'Barang Keluar'!$C:$C,N19421))</f>
        <v>0</v>
      </c>
    </row>
    <row r="19422" spans="13:16">
      <c r="M19422" s="49">
        <f>IF($A$4+194&gt;$B$4,"",$A$4+194)</f>
        <v>46217</v>
      </c>
      <c r="N19422" t="str">
        <f>IF(M19422="","",'Master Barang'!A16)</f>
        <v>PRL-015</v>
      </c>
      <c r="O19422" t="str">
        <f>IF(N19422="","",'Master Barang'!B16)</f>
        <v>optima trashbag 60x100</v>
      </c>
      <c r="P19422">
        <f>IF(OR(M19422="",N19422=""),"",SUMIFS('Barang Keluar'!$E:$E,'Barang Keluar'!$A:$A,M19422,'Barang Keluar'!$C:$C,N19422))</f>
        <v>0</v>
      </c>
    </row>
    <row r="19423" spans="13:16">
      <c r="M19423" s="49">
        <f>IF($A$4+194&gt;$B$4,"",$A$4+194)</f>
        <v>46217</v>
      </c>
      <c r="N19423" t="str">
        <f>IF(M19423="","",'Master Barang'!A17)</f>
        <v>PRL-016</v>
      </c>
      <c r="O19423" t="str">
        <f>IF(N19423="","",'Master Barang'!B17)</f>
        <v>rajawali trashbag 30x40</v>
      </c>
      <c r="P19423">
        <f>IF(OR(M19423="",N19423=""),"",SUMIFS('Barang Keluar'!$E:$E,'Barang Keluar'!$A:$A,M19423,'Barang Keluar'!$C:$C,N19423))</f>
        <v>0</v>
      </c>
    </row>
    <row r="19424" spans="13:16">
      <c r="M19424" s="49">
        <f>IF($A$4+194&gt;$B$4,"",$A$4+194)</f>
        <v>46217</v>
      </c>
      <c r="N19424" t="str">
        <f>IF(M19424="","",'Master Barang'!A18)</f>
        <v>PRL-017</v>
      </c>
      <c r="O19424" t="str">
        <f>IF(N19424="","",'Master Barang'!B18)</f>
        <v>onemed masker biru 3 play 50 pcs</v>
      </c>
      <c r="P19424">
        <f>IF(OR(M19424="",N19424=""),"",SUMIFS('Barang Keluar'!$E:$E,'Barang Keluar'!$A:$A,M19424,'Barang Keluar'!$C:$C,N19424))</f>
        <v>0</v>
      </c>
    </row>
    <row r="19425" spans="13:16">
      <c r="M19425" s="49">
        <f>IF($A$4+194&gt;$B$4,"",$A$4+194)</f>
        <v>46217</v>
      </c>
      <c r="N19425" t="str">
        <f>IF(M19425="","",'Master Barang'!A19)</f>
        <v>PRL-018</v>
      </c>
      <c r="O19425" t="str">
        <f>IF(N19425="","",'Master Barang'!B19)</f>
        <v>onemed masker biru 3 play hijab 50 pcs</v>
      </c>
      <c r="P19425">
        <f>IF(OR(M19425="",N19425=""),"",SUMIFS('Barang Keluar'!$E:$E,'Barang Keluar'!$A:$A,M19425,'Barang Keluar'!$C:$C,N19425))</f>
        <v>0</v>
      </c>
    </row>
    <row r="19426" spans="13:16">
      <c r="M19426" s="49">
        <f>IF($A$4+194&gt;$B$4,"",$A$4+194)</f>
        <v>46217</v>
      </c>
      <c r="N19426" t="str">
        <f>IF(M19426="","",'Master Barang'!A20)</f>
        <v>PRL-019</v>
      </c>
      <c r="O19426" t="str">
        <f>IF(N19426="","",'Master Barang'!B20)</f>
        <v>neo health masker biru 3 play 50 pcs</v>
      </c>
      <c r="P19426">
        <f>IF(OR(M19426="",N19426=""),"",SUMIFS('Barang Keluar'!$E:$E,'Barang Keluar'!$A:$A,M19426,'Barang Keluar'!$C:$C,N19426))</f>
        <v>0</v>
      </c>
    </row>
    <row r="19427" spans="13:16">
      <c r="M19427" s="49">
        <f>IF($A$4+194&gt;$B$4,"",$A$4+194)</f>
        <v>46217</v>
      </c>
      <c r="N19427" t="str">
        <f>IF(M19427="","",'Master Barang'!A21)</f>
        <v>PRL-020</v>
      </c>
      <c r="O19427" t="str">
        <f>IF(N19427="","",'Master Barang'!B21)</f>
        <v>baymed masker hijau 3 play hijau 50 pcs</v>
      </c>
      <c r="P19427">
        <f>IF(OR(M19427="",N19427=""),"",SUMIFS('Barang Keluar'!$E:$E,'Barang Keluar'!$A:$A,M19427,'Barang Keluar'!$C:$C,N19427))</f>
        <v>0</v>
      </c>
    </row>
    <row r="19428" spans="13:16">
      <c r="M19428" s="49">
        <f>IF($A$4+194&gt;$B$4,"",$A$4+194)</f>
        <v>46217</v>
      </c>
      <c r="N19428" t="str">
        <f>IF(M19428="","",'Master Barang'!A22)</f>
        <v>PRL-021</v>
      </c>
      <c r="O19428" t="str">
        <f>IF(N19428="","",'Master Barang'!B22)</f>
        <v>altamed nurse cap penutup kepala 100 pcs</v>
      </c>
      <c r="P19428">
        <f>IF(OR(M19428="",N19428=""),"",SUMIFS('Barang Keluar'!$E:$E,'Barang Keluar'!$A:$A,M19428,'Barang Keluar'!$C:$C,N19428))</f>
        <v>0</v>
      </c>
    </row>
    <row r="19429" spans="13:16">
      <c r="M19429" s="49">
        <f>IF($A$4+194&gt;$B$4,"",$A$4+194)</f>
        <v>46217</v>
      </c>
      <c r="N19429" t="str">
        <f>IF(M19429="","",'Master Barang'!A23)</f>
        <v>PRL-022</v>
      </c>
      <c r="O19429" t="str">
        <f>IF(N19429="","",'Master Barang'!B23)</f>
        <v>sabun cuci tangan</v>
      </c>
      <c r="P19429">
        <f>IF(OR(M19429="",N19429=""),"",SUMIFS('Barang Keluar'!$E:$E,'Barang Keluar'!$A:$A,M19429,'Barang Keluar'!$C:$C,N19429))</f>
        <v>0</v>
      </c>
    </row>
    <row r="19430" spans="13:16">
      <c r="M19430" s="49">
        <f>IF($A$4+194&gt;$B$4,"",$A$4+194)</f>
        <v>46217</v>
      </c>
      <c r="N19430" t="str">
        <f>IF(M19430="","",'Master Barang'!A24)</f>
        <v>PRL-023</v>
      </c>
      <c r="O19430" t="str">
        <f>IF(N19430="","",'Master Barang'!B24)</f>
        <v>gayung kecil</v>
      </c>
      <c r="P19430">
        <f>IF(OR(M19430="",N19430=""),"",SUMIFS('Barang Keluar'!$E:$E,'Barang Keluar'!$A:$A,M19430,'Barang Keluar'!$C:$C,N19430))</f>
        <v>0</v>
      </c>
    </row>
    <row r="19431" spans="13:16">
      <c r="M19431" s="49">
        <f>IF($A$4+194&gt;$B$4,"",$A$4+194)</f>
        <v>46217</v>
      </c>
      <c r="N19431" t="str">
        <f>IF(M19431="","",'Master Barang'!A25)</f>
        <v>PRL-024</v>
      </c>
      <c r="O19431" t="str">
        <f>IF(N19431="","",'Master Barang'!B25)</f>
        <v>cikrak kecil</v>
      </c>
      <c r="P19431">
        <f>IF(OR(M19431="",N19431=""),"",SUMIFS('Barang Keluar'!$E:$E,'Barang Keluar'!$A:$A,M19431,'Barang Keluar'!$C:$C,N19431))</f>
        <v>0</v>
      </c>
    </row>
    <row r="19432" spans="13:16">
      <c r="M19432" s="49">
        <f>IF($A$4+194&gt;$B$4,"",$A$4+194)</f>
        <v>46217</v>
      </c>
      <c r="N19432" t="str">
        <f>IF(M19432="","",'Master Barang'!A26)</f>
        <v>PRL-025</v>
      </c>
      <c r="O19432" t="str">
        <f>IF(N19432="","",'Master Barang'!B26)</f>
        <v>petromax plastik kecil 12x24 100 lembar</v>
      </c>
      <c r="P19432">
        <f>IF(OR(M19432="",N19432=""),"",SUMIFS('Barang Keluar'!$E:$E,'Barang Keluar'!$A:$A,M19432,'Barang Keluar'!$C:$C,N19432))</f>
        <v>0</v>
      </c>
    </row>
    <row r="19433" spans="13:16">
      <c r="M19433" s="49">
        <f>IF($A$4+194&gt;$B$4,"",$A$4+194)</f>
        <v>46217</v>
      </c>
      <c r="N19433" t="str">
        <f>IF(M19433="","",'Master Barang'!A27)</f>
        <v>PRL-026</v>
      </c>
      <c r="O19433" t="str">
        <f>IF(N19433="","",'Master Barang'!B27)</f>
        <v>lancar kresek kecil bening </v>
      </c>
      <c r="P19433">
        <f>IF(OR(M19433="",N19433=""),"",SUMIFS('Barang Keluar'!$E:$E,'Barang Keluar'!$A:$A,M19433,'Barang Keluar'!$C:$C,N19433))</f>
        <v>0</v>
      </c>
    </row>
    <row r="19434" spans="13:16">
      <c r="M19434" s="49">
        <f>IF($A$4+194&gt;$B$4,"",$A$4+194)</f>
        <v>46217</v>
      </c>
      <c r="N19434" t="str">
        <f>IF(M19434="","",'Master Barang'!A28)</f>
        <v>PRL-027</v>
      </c>
      <c r="O19434" t="str">
        <f>IF(N19434="","",'Master Barang'!B28)</f>
        <v>kresek klin warna warni kecil</v>
      </c>
      <c r="P19434">
        <f>IF(OR(M19434="",N19434=""),"",SUMIFS('Barang Keluar'!$E:$E,'Barang Keluar'!$A:$A,M19434,'Barang Keluar'!$C:$C,N19434))</f>
        <v>0</v>
      </c>
    </row>
    <row r="19435" spans="13:16">
      <c r="M19435" s="49">
        <f>IF($A$4+194&gt;$B$4,"",$A$4+194)</f>
        <v>46217</v>
      </c>
      <c r="N19435" t="str">
        <f>IF(M19435="","",'Master Barang'!A29)</f>
        <v>PRL-028</v>
      </c>
      <c r="O19435" t="str">
        <f>IF(N19435="","",'Master Barang'!B29)</f>
        <v>ctik plastik 7x10 100 pcs</v>
      </c>
      <c r="P19435">
        <f>IF(OR(M19435="",N19435=""),"",SUMIFS('Barang Keluar'!$E:$E,'Barang Keluar'!$A:$A,M19435,'Barang Keluar'!$C:$C,N19435))</f>
        <v>0</v>
      </c>
    </row>
    <row r="19436" spans="13:16">
      <c r="M19436" s="49">
        <f>IF($A$4+194&gt;$B$4,"",$A$4+194)</f>
        <v>46217</v>
      </c>
      <c r="N19436" t="str">
        <f>IF(M19436="","",'Master Barang'!A30)</f>
        <v>PRL-029</v>
      </c>
      <c r="O19436" t="str">
        <f>IF(N19436="","",'Master Barang'!B30)</f>
        <v>ctik plastik 6x10 100 pcs</v>
      </c>
      <c r="P19436">
        <f>IF(OR(M19436="",N19436=""),"",SUMIFS('Barang Keluar'!$E:$E,'Barang Keluar'!$A:$A,M19436,'Barang Keluar'!$C:$C,N19436))</f>
        <v>0</v>
      </c>
    </row>
    <row r="19437" spans="13:16">
      <c r="M19437" s="49">
        <f>IF($A$4+194&gt;$B$4,"",$A$4+194)</f>
        <v>46217</v>
      </c>
      <c r="N19437" t="str">
        <f>IF(M19437="","",'Master Barang'!A31)</f>
        <v>PRL-030</v>
      </c>
      <c r="O19437" t="str">
        <f>IF(N19437="","",'Master Barang'!B31)</f>
        <v>klip plastik 25x16 100 pcs</v>
      </c>
      <c r="P19437">
        <f>IF(OR(M19437="",N19437=""),"",SUMIFS('Barang Keluar'!$E:$E,'Barang Keluar'!$A:$A,M19437,'Barang Keluar'!$C:$C,N19437))</f>
        <v>0</v>
      </c>
    </row>
    <row r="19438" spans="13:16">
      <c r="M19438" s="49">
        <f>IF($A$4+194&gt;$B$4,"",$A$4+194)</f>
        <v>46217</v>
      </c>
      <c r="N19438" t="str">
        <f>IF(M19438="","",'Master Barang'!A32)</f>
        <v>PRL-031</v>
      </c>
      <c r="O19438" t="str">
        <f>IF(N19438="","",'Master Barang'!B32)</f>
        <v>tempat saus 20 ml</v>
      </c>
      <c r="P19438">
        <f>IF(OR(M19438="",N19438=""),"",SUMIFS('Barang Keluar'!$E:$E,'Barang Keluar'!$A:$A,M19438,'Barang Keluar'!$C:$C,N19438))</f>
        <v>0</v>
      </c>
    </row>
    <row r="19439" spans="13:16">
      <c r="M19439" s="49">
        <f>IF($A$4+194&gt;$B$4,"",$A$4+194)</f>
        <v>46217</v>
      </c>
      <c r="N19439" t="str">
        <f>IF(M19439="","",'Master Barang'!A33)</f>
        <v>PRL-032</v>
      </c>
      <c r="O19439" t="str">
        <f>IF(N19439="","",'Master Barang'!B33)</f>
        <v>plastik packaging ag box uk sedang</v>
      </c>
      <c r="P19439">
        <f>IF(OR(M19439="",N19439=""),"",SUMIFS('Barang Keluar'!$E:$E,'Barang Keluar'!$A:$A,M19439,'Barang Keluar'!$C:$C,N19439))</f>
        <v>0</v>
      </c>
    </row>
    <row r="19440" spans="13:16">
      <c r="M19440" s="49">
        <f>IF($A$4+194&gt;$B$4,"",$A$4+194)</f>
        <v>46217</v>
      </c>
      <c r="N19440" t="str">
        <f>IF(M19440="","",'Master Barang'!A34)</f>
        <v>PRL-033</v>
      </c>
      <c r="O19440">
        <f>IF(N19440="","",'Master Barang'!B34)</f>
        <v>0</v>
      </c>
      <c r="P19440">
        <f>IF(OR(M19440="",N19440=""),"",SUMIFS('Barang Keluar'!$E:$E,'Barang Keluar'!$A:$A,M19440,'Barang Keluar'!$C:$C,N19440))</f>
        <v>0</v>
      </c>
    </row>
    <row r="19441" spans="13:16">
      <c r="M19441" s="49">
        <f>IF($A$4+194&gt;$B$4,"",$A$4+194)</f>
        <v>46217</v>
      </c>
      <c r="N19441">
        <f>IF(M19441="","",'Master Barang'!A35)</f>
        <v>0</v>
      </c>
      <c r="O19441">
        <f>IF(N19441="","",'Master Barang'!B35)</f>
        <v>0</v>
      </c>
      <c r="P19441">
        <f>IF(OR(M19441="",N19441=""),"",SUMIFS('Barang Keluar'!$E:$E,'Barang Keluar'!$A:$A,M19441,'Barang Keluar'!$C:$C,N19441))</f>
        <v>0</v>
      </c>
    </row>
    <row r="19442" spans="13:16">
      <c r="M19442" s="49">
        <f>IF($A$4+194&gt;$B$4,"",$A$4+194)</f>
        <v>46217</v>
      </c>
      <c r="N19442">
        <f>IF(M19442="","",'Master Barang'!A36)</f>
        <v>0</v>
      </c>
      <c r="O19442">
        <f>IF(N19442="","",'Master Barang'!B36)</f>
        <v>0</v>
      </c>
      <c r="P19442">
        <f>IF(OR(M19442="",N19442=""),"",SUMIFS('Barang Keluar'!$E:$E,'Barang Keluar'!$A:$A,M19442,'Barang Keluar'!$C:$C,N19442))</f>
        <v>0</v>
      </c>
    </row>
    <row r="19443" spans="13:16">
      <c r="M19443" s="49">
        <f>IF($A$4+194&gt;$B$4,"",$A$4+194)</f>
        <v>46217</v>
      </c>
      <c r="N19443">
        <f>IF(M19443="","",'Master Barang'!A37)</f>
        <v>0</v>
      </c>
      <c r="O19443">
        <f>IF(N19443="","",'Master Barang'!B37)</f>
        <v>0</v>
      </c>
      <c r="P19443">
        <f>IF(OR(M19443="",N19443=""),"",SUMIFS('Barang Keluar'!$E:$E,'Barang Keluar'!$A:$A,M19443,'Barang Keluar'!$C:$C,N19443))</f>
        <v>0</v>
      </c>
    </row>
    <row r="19444" spans="13:16">
      <c r="M19444" s="49">
        <f>IF($A$4+194&gt;$B$4,"",$A$4+194)</f>
        <v>46217</v>
      </c>
      <c r="N19444">
        <f>IF(M19444="","",'Master Barang'!A38)</f>
        <v>0</v>
      </c>
      <c r="O19444">
        <f>IF(N19444="","",'Master Barang'!B38)</f>
        <v>0</v>
      </c>
      <c r="P19444">
        <f>IF(OR(M19444="",N19444=""),"",SUMIFS('Barang Keluar'!$E:$E,'Barang Keluar'!$A:$A,M19444,'Barang Keluar'!$C:$C,N19444))</f>
        <v>0</v>
      </c>
    </row>
    <row r="19445" spans="13:16">
      <c r="M19445" s="49">
        <f>IF($A$4+194&gt;$B$4,"",$A$4+194)</f>
        <v>46217</v>
      </c>
      <c r="N19445">
        <f>IF(M19445="","",'Master Barang'!A39)</f>
        <v>0</v>
      </c>
      <c r="O19445">
        <f>IF(N19445="","",'Master Barang'!B39)</f>
        <v>0</v>
      </c>
      <c r="P19445">
        <f>IF(OR(M19445="",N19445=""),"",SUMIFS('Barang Keluar'!$E:$E,'Barang Keluar'!$A:$A,M19445,'Barang Keluar'!$C:$C,N19445))</f>
        <v>0</v>
      </c>
    </row>
    <row r="19446" spans="13:16">
      <c r="M19446" s="49">
        <f>IF($A$4+194&gt;$B$4,"",$A$4+194)</f>
        <v>46217</v>
      </c>
      <c r="N19446">
        <f>IF(M19446="","",'Master Barang'!A40)</f>
        <v>0</v>
      </c>
      <c r="O19446">
        <f>IF(N19446="","",'Master Barang'!B40)</f>
        <v>0</v>
      </c>
      <c r="P19446">
        <f>IF(OR(M19446="",N19446=""),"",SUMIFS('Barang Keluar'!$E:$E,'Barang Keluar'!$A:$A,M19446,'Barang Keluar'!$C:$C,N19446))</f>
        <v>0</v>
      </c>
    </row>
    <row r="19447" spans="13:16">
      <c r="M19447" s="49">
        <f>IF($A$4+194&gt;$B$4,"",$A$4+194)</f>
        <v>46217</v>
      </c>
      <c r="N19447">
        <f>IF(M19447="","",'Master Barang'!A41)</f>
        <v>0</v>
      </c>
      <c r="O19447">
        <f>IF(N19447="","",'Master Barang'!B41)</f>
        <v>0</v>
      </c>
      <c r="P19447">
        <f>IF(OR(M19447="",N19447=""),"",SUMIFS('Barang Keluar'!$E:$E,'Barang Keluar'!$A:$A,M19447,'Barang Keluar'!$C:$C,N19447))</f>
        <v>0</v>
      </c>
    </row>
    <row r="19448" spans="13:16">
      <c r="M19448" s="49">
        <f>IF($A$4+194&gt;$B$4,"",$A$4+194)</f>
        <v>46217</v>
      </c>
      <c r="N19448">
        <f>IF(M19448="","",'Master Barang'!A42)</f>
        <v>0</v>
      </c>
      <c r="O19448">
        <f>IF(N19448="","",'Master Barang'!B42)</f>
        <v>0</v>
      </c>
      <c r="P19448">
        <f>IF(OR(M19448="",N19448=""),"",SUMIFS('Barang Keluar'!$E:$E,'Barang Keluar'!$A:$A,M19448,'Barang Keluar'!$C:$C,N19448))</f>
        <v>0</v>
      </c>
    </row>
    <row r="19449" spans="13:16">
      <c r="M19449" s="49">
        <f>IF($A$4+194&gt;$B$4,"",$A$4+194)</f>
        <v>46217</v>
      </c>
      <c r="N19449">
        <f>IF(M19449="","",'Master Barang'!A43)</f>
        <v>0</v>
      </c>
      <c r="O19449">
        <f>IF(N19449="","",'Master Barang'!B43)</f>
        <v>0</v>
      </c>
      <c r="P19449">
        <f>IF(OR(M19449="",N19449=""),"",SUMIFS('Barang Keluar'!$E:$E,'Barang Keluar'!$A:$A,M19449,'Barang Keluar'!$C:$C,N19449))</f>
        <v>0</v>
      </c>
    </row>
    <row r="19450" spans="13:16">
      <c r="M19450" s="49">
        <f>IF($A$4+194&gt;$B$4,"",$A$4+194)</f>
        <v>46217</v>
      </c>
      <c r="N19450">
        <f>IF(M19450="","",'Master Barang'!A44)</f>
        <v>0</v>
      </c>
      <c r="O19450">
        <f>IF(N19450="","",'Master Barang'!B44)</f>
        <v>0</v>
      </c>
      <c r="P19450">
        <f>IF(OR(M19450="",N19450=""),"",SUMIFS('Barang Keluar'!$E:$E,'Barang Keluar'!$A:$A,M19450,'Barang Keluar'!$C:$C,N19450))</f>
        <v>0</v>
      </c>
    </row>
    <row r="19451" spans="13:16">
      <c r="M19451" s="49">
        <f>IF($A$4+194&gt;$B$4,"",$A$4+194)</f>
        <v>46217</v>
      </c>
      <c r="N19451">
        <f>IF(M19451="","",'Master Barang'!A45)</f>
        <v>0</v>
      </c>
      <c r="O19451">
        <f>IF(N19451="","",'Master Barang'!B45)</f>
        <v>0</v>
      </c>
      <c r="P19451">
        <f>IF(OR(M19451="",N19451=""),"",SUMIFS('Barang Keluar'!$E:$E,'Barang Keluar'!$A:$A,M19451,'Barang Keluar'!$C:$C,N19451))</f>
        <v>0</v>
      </c>
    </row>
    <row r="19452" spans="13:16">
      <c r="M19452" s="49">
        <f>IF($A$4+194&gt;$B$4,"",$A$4+194)</f>
        <v>46217</v>
      </c>
      <c r="N19452">
        <f>IF(M19452="","",'Master Barang'!A46)</f>
        <v>0</v>
      </c>
      <c r="O19452">
        <f>IF(N19452="","",'Master Barang'!B46)</f>
        <v>0</v>
      </c>
      <c r="P19452">
        <f>IF(OR(M19452="",N19452=""),"",SUMIFS('Barang Keluar'!$E:$E,'Barang Keluar'!$A:$A,M19452,'Barang Keluar'!$C:$C,N19452))</f>
        <v>0</v>
      </c>
    </row>
    <row r="19453" spans="13:16">
      <c r="M19453" s="49">
        <f>IF($A$4+194&gt;$B$4,"",$A$4+194)</f>
        <v>46217</v>
      </c>
      <c r="N19453">
        <f>IF(M19453="","",'Master Barang'!A47)</f>
        <v>0</v>
      </c>
      <c r="O19453">
        <f>IF(N19453="","",'Master Barang'!B47)</f>
        <v>0</v>
      </c>
      <c r="P19453">
        <f>IF(OR(M19453="",N19453=""),"",SUMIFS('Barang Keluar'!$E:$E,'Barang Keluar'!$A:$A,M19453,'Barang Keluar'!$C:$C,N19453))</f>
        <v>0</v>
      </c>
    </row>
    <row r="19454" spans="13:16">
      <c r="M19454" s="49">
        <f>IF($A$4+194&gt;$B$4,"",$A$4+194)</f>
        <v>46217</v>
      </c>
      <c r="N19454">
        <f>IF(M19454="","",'Master Barang'!A48)</f>
        <v>0</v>
      </c>
      <c r="O19454">
        <f>IF(N19454="","",'Master Barang'!B48)</f>
        <v>0</v>
      </c>
      <c r="P19454">
        <f>IF(OR(M19454="",N19454=""),"",SUMIFS('Barang Keluar'!$E:$E,'Barang Keluar'!$A:$A,M19454,'Barang Keluar'!$C:$C,N19454))</f>
        <v>0</v>
      </c>
    </row>
    <row r="19455" spans="13:16">
      <c r="M19455" s="49">
        <f>IF($A$4+194&gt;$B$4,"",$A$4+194)</f>
        <v>46217</v>
      </c>
      <c r="N19455">
        <f>IF(M19455="","",'Master Barang'!A49)</f>
        <v>0</v>
      </c>
      <c r="O19455">
        <f>IF(N19455="","",'Master Barang'!B49)</f>
        <v>0</v>
      </c>
      <c r="P19455">
        <f>IF(OR(M19455="",N19455=""),"",SUMIFS('Barang Keluar'!$E:$E,'Barang Keluar'!$A:$A,M19455,'Barang Keluar'!$C:$C,N19455))</f>
        <v>0</v>
      </c>
    </row>
    <row r="19456" spans="13:16">
      <c r="M19456" s="49">
        <f>IF($A$4+194&gt;$B$4,"",$A$4+194)</f>
        <v>46217</v>
      </c>
      <c r="N19456">
        <f>IF(M19456="","",'Master Barang'!A50)</f>
        <v>0</v>
      </c>
      <c r="O19456">
        <f>IF(N19456="","",'Master Barang'!B50)</f>
        <v>0</v>
      </c>
      <c r="P19456">
        <f>IF(OR(M19456="",N19456=""),"",SUMIFS('Barang Keluar'!$E:$E,'Barang Keluar'!$A:$A,M19456,'Barang Keluar'!$C:$C,N19456))</f>
        <v>0</v>
      </c>
    </row>
    <row r="19457" spans="13:16">
      <c r="M19457" s="49">
        <f>IF($A$4+194&gt;$B$4,"",$A$4+194)</f>
        <v>46217</v>
      </c>
      <c r="N19457">
        <f>IF(M19457="","",'Master Barang'!A51)</f>
        <v>0</v>
      </c>
      <c r="O19457">
        <f>IF(N19457="","",'Master Barang'!B51)</f>
        <v>0</v>
      </c>
      <c r="P19457">
        <f>IF(OR(M19457="",N19457=""),"",SUMIFS('Barang Keluar'!$E:$E,'Barang Keluar'!$A:$A,M19457,'Barang Keluar'!$C:$C,N19457))</f>
        <v>0</v>
      </c>
    </row>
    <row r="19458" spans="13:16">
      <c r="M19458" s="49">
        <f>IF($A$4+194&gt;$B$4,"",$A$4+194)</f>
        <v>46217</v>
      </c>
      <c r="N19458">
        <f>IF(M19458="","",'Master Barang'!A52)</f>
        <v>0</v>
      </c>
      <c r="O19458">
        <f>IF(N19458="","",'Master Barang'!B52)</f>
        <v>0</v>
      </c>
      <c r="P19458">
        <f>IF(OR(M19458="",N19458=""),"",SUMIFS('Barang Keluar'!$E:$E,'Barang Keluar'!$A:$A,M19458,'Barang Keluar'!$C:$C,N19458))</f>
        <v>0</v>
      </c>
    </row>
    <row r="19459" spans="13:16">
      <c r="M19459" s="49">
        <f>IF($A$4+194&gt;$B$4,"",$A$4+194)</f>
        <v>46217</v>
      </c>
      <c r="N19459">
        <f>IF(M19459="","",'Master Barang'!A53)</f>
        <v>0</v>
      </c>
      <c r="O19459">
        <f>IF(N19459="","",'Master Barang'!B53)</f>
        <v>0</v>
      </c>
      <c r="P19459">
        <f>IF(OR(M19459="",N19459=""),"",SUMIFS('Barang Keluar'!$E:$E,'Barang Keluar'!$A:$A,M19459,'Barang Keluar'!$C:$C,N19459))</f>
        <v>0</v>
      </c>
    </row>
    <row r="19460" spans="13:16">
      <c r="M19460" s="49">
        <f>IF($A$4+194&gt;$B$4,"",$A$4+194)</f>
        <v>46217</v>
      </c>
      <c r="N19460">
        <f>IF(M19460="","",'Master Barang'!A54)</f>
        <v>0</v>
      </c>
      <c r="O19460">
        <f>IF(N19460="","",'Master Barang'!B54)</f>
        <v>0</v>
      </c>
      <c r="P19460">
        <f>IF(OR(M19460="",N19460=""),"",SUMIFS('Barang Keluar'!$E:$E,'Barang Keluar'!$A:$A,M19460,'Barang Keluar'!$C:$C,N19460))</f>
        <v>0</v>
      </c>
    </row>
    <row r="19461" spans="13:16">
      <c r="M19461" s="49">
        <f>IF($A$4+194&gt;$B$4,"",$A$4+194)</f>
        <v>46217</v>
      </c>
      <c r="N19461">
        <f>IF(M19461="","",'Master Barang'!A55)</f>
        <v>0</v>
      </c>
      <c r="O19461">
        <f>IF(N19461="","",'Master Barang'!B55)</f>
        <v>0</v>
      </c>
      <c r="P19461">
        <f>IF(OR(M19461="",N19461=""),"",SUMIFS('Barang Keluar'!$E:$E,'Barang Keluar'!$A:$A,M19461,'Barang Keluar'!$C:$C,N19461))</f>
        <v>0</v>
      </c>
    </row>
    <row r="19462" spans="13:16">
      <c r="M19462" s="49">
        <f>IF($A$4+194&gt;$B$4,"",$A$4+194)</f>
        <v>46217</v>
      </c>
      <c r="N19462">
        <f>IF(M19462="","",'Master Barang'!A56)</f>
        <v>0</v>
      </c>
      <c r="O19462">
        <f>IF(N19462="","",'Master Barang'!B56)</f>
        <v>0</v>
      </c>
      <c r="P19462">
        <f>IF(OR(M19462="",N19462=""),"",SUMIFS('Barang Keluar'!$E:$E,'Barang Keluar'!$A:$A,M19462,'Barang Keluar'!$C:$C,N19462))</f>
        <v>0</v>
      </c>
    </row>
    <row r="19463" spans="13:16">
      <c r="M19463" s="49">
        <f>IF($A$4+194&gt;$B$4,"",$A$4+194)</f>
        <v>46217</v>
      </c>
      <c r="N19463">
        <f>IF(M19463="","",'Master Barang'!A57)</f>
        <v>0</v>
      </c>
      <c r="O19463">
        <f>IF(N19463="","",'Master Barang'!B57)</f>
        <v>0</v>
      </c>
      <c r="P19463">
        <f>IF(OR(M19463="",N19463=""),"",SUMIFS('Barang Keluar'!$E:$E,'Barang Keluar'!$A:$A,M19463,'Barang Keluar'!$C:$C,N19463))</f>
        <v>0</v>
      </c>
    </row>
    <row r="19464" spans="13:16">
      <c r="M19464" s="49">
        <f>IF($A$4+194&gt;$B$4,"",$A$4+194)</f>
        <v>46217</v>
      </c>
      <c r="N19464">
        <f>IF(M19464="","",'Master Barang'!A58)</f>
        <v>0</v>
      </c>
      <c r="O19464">
        <f>IF(N19464="","",'Master Barang'!B58)</f>
        <v>0</v>
      </c>
      <c r="P19464">
        <f>IF(OR(M19464="",N19464=""),"",SUMIFS('Barang Keluar'!$E:$E,'Barang Keluar'!$A:$A,M19464,'Barang Keluar'!$C:$C,N19464))</f>
        <v>0</v>
      </c>
    </row>
    <row r="19465" spans="13:16">
      <c r="M19465" s="49">
        <f>IF($A$4+194&gt;$B$4,"",$A$4+194)</f>
        <v>46217</v>
      </c>
      <c r="N19465">
        <f>IF(M19465="","",'Master Barang'!A59)</f>
        <v>0</v>
      </c>
      <c r="O19465">
        <f>IF(N19465="","",'Master Barang'!B59)</f>
        <v>0</v>
      </c>
      <c r="P19465">
        <f>IF(OR(M19465="",N19465=""),"",SUMIFS('Barang Keluar'!$E:$E,'Barang Keluar'!$A:$A,M19465,'Barang Keluar'!$C:$C,N19465))</f>
        <v>0</v>
      </c>
    </row>
    <row r="19466" spans="13:16">
      <c r="M19466" s="49">
        <f>IF($A$4+194&gt;$B$4,"",$A$4+194)</f>
        <v>46217</v>
      </c>
      <c r="N19466">
        <f>IF(M19466="","",'Master Barang'!A60)</f>
        <v>0</v>
      </c>
      <c r="O19466">
        <f>IF(N19466="","",'Master Barang'!B60)</f>
        <v>0</v>
      </c>
      <c r="P19466">
        <f>IF(OR(M19466="",N19466=""),"",SUMIFS('Barang Keluar'!$E:$E,'Barang Keluar'!$A:$A,M19466,'Barang Keluar'!$C:$C,N19466))</f>
        <v>0</v>
      </c>
    </row>
    <row r="19467" spans="13:16">
      <c r="M19467" s="49">
        <f>IF($A$4+194&gt;$B$4,"",$A$4+194)</f>
        <v>46217</v>
      </c>
      <c r="N19467">
        <f>IF(M19467="","",'Master Barang'!A61)</f>
        <v>0</v>
      </c>
      <c r="O19467">
        <f>IF(N19467="","",'Master Barang'!B61)</f>
        <v>0</v>
      </c>
      <c r="P19467">
        <f>IF(OR(M19467="",N19467=""),"",SUMIFS('Barang Keluar'!$E:$E,'Barang Keluar'!$A:$A,M19467,'Barang Keluar'!$C:$C,N19467))</f>
        <v>0</v>
      </c>
    </row>
    <row r="19468" spans="13:16">
      <c r="M19468" s="49">
        <f>IF($A$4+194&gt;$B$4,"",$A$4+194)</f>
        <v>46217</v>
      </c>
      <c r="N19468">
        <f>IF(M19468="","",'Master Barang'!A62)</f>
        <v>0</v>
      </c>
      <c r="O19468">
        <f>IF(N19468="","",'Master Barang'!B62)</f>
        <v>0</v>
      </c>
      <c r="P19468">
        <f>IF(OR(M19468="",N19468=""),"",SUMIFS('Barang Keluar'!$E:$E,'Barang Keluar'!$A:$A,M19468,'Barang Keluar'!$C:$C,N19468))</f>
        <v>0</v>
      </c>
    </row>
    <row r="19469" spans="13:16">
      <c r="M19469" s="49">
        <f>IF($A$4+194&gt;$B$4,"",$A$4+194)</f>
        <v>46217</v>
      </c>
      <c r="N19469">
        <f>IF(M19469="","",'Master Barang'!A63)</f>
        <v>0</v>
      </c>
      <c r="O19469">
        <f>IF(N19469="","",'Master Barang'!B63)</f>
        <v>0</v>
      </c>
      <c r="P19469">
        <f>IF(OR(M19469="",N19469=""),"",SUMIFS('Barang Keluar'!$E:$E,'Barang Keluar'!$A:$A,M19469,'Barang Keluar'!$C:$C,N19469))</f>
        <v>0</v>
      </c>
    </row>
    <row r="19470" spans="13:16">
      <c r="M19470" s="49">
        <f>IF($A$4+194&gt;$B$4,"",$A$4+194)</f>
        <v>46217</v>
      </c>
      <c r="N19470">
        <f>IF(M19470="","",'Master Barang'!A64)</f>
        <v>0</v>
      </c>
      <c r="O19470">
        <f>IF(N19470="","",'Master Barang'!B64)</f>
        <v>0</v>
      </c>
      <c r="P19470">
        <f>IF(OR(M19470="",N19470=""),"",SUMIFS('Barang Keluar'!$E:$E,'Barang Keluar'!$A:$A,M19470,'Barang Keluar'!$C:$C,N19470))</f>
        <v>0</v>
      </c>
    </row>
    <row r="19471" spans="13:16">
      <c r="M19471" s="49">
        <f>IF($A$4+194&gt;$B$4,"",$A$4+194)</f>
        <v>46217</v>
      </c>
      <c r="N19471">
        <f>IF(M19471="","",'Master Barang'!A65)</f>
        <v>0</v>
      </c>
      <c r="O19471">
        <f>IF(N19471="","",'Master Barang'!B65)</f>
        <v>0</v>
      </c>
      <c r="P19471">
        <f>IF(OR(M19471="",N19471=""),"",SUMIFS('Barang Keluar'!$E:$E,'Barang Keluar'!$A:$A,M19471,'Barang Keluar'!$C:$C,N19471))</f>
        <v>0</v>
      </c>
    </row>
    <row r="19472" spans="13:16">
      <c r="M19472" s="49">
        <f>IF($A$4+194&gt;$B$4,"",$A$4+194)</f>
        <v>46217</v>
      </c>
      <c r="N19472">
        <f>IF(M19472="","",'Master Barang'!A66)</f>
        <v>0</v>
      </c>
      <c r="O19472">
        <f>IF(N19472="","",'Master Barang'!B66)</f>
        <v>0</v>
      </c>
      <c r="P19472">
        <f>IF(OR(M19472="",N19472=""),"",SUMIFS('Barang Keluar'!$E:$E,'Barang Keluar'!$A:$A,M19472,'Barang Keluar'!$C:$C,N19472))</f>
        <v>0</v>
      </c>
    </row>
    <row r="19473" spans="13:16">
      <c r="M19473" s="49">
        <f>IF($A$4+194&gt;$B$4,"",$A$4+194)</f>
        <v>46217</v>
      </c>
      <c r="N19473">
        <f>IF(M19473="","",'Master Barang'!A67)</f>
        <v>0</v>
      </c>
      <c r="O19473">
        <f>IF(N19473="","",'Master Barang'!B67)</f>
        <v>0</v>
      </c>
      <c r="P19473">
        <f>IF(OR(M19473="",N19473=""),"",SUMIFS('Barang Keluar'!$E:$E,'Barang Keluar'!$A:$A,M19473,'Barang Keluar'!$C:$C,N19473))</f>
        <v>0</v>
      </c>
    </row>
    <row r="19474" spans="13:16">
      <c r="M19474" s="49">
        <f>IF($A$4+194&gt;$B$4,"",$A$4+194)</f>
        <v>46217</v>
      </c>
      <c r="N19474">
        <f>IF(M19474="","",'Master Barang'!A68)</f>
        <v>0</v>
      </c>
      <c r="O19474">
        <f>IF(N19474="","",'Master Barang'!B68)</f>
        <v>0</v>
      </c>
      <c r="P19474">
        <f>IF(OR(M19474="",N19474=""),"",SUMIFS('Barang Keluar'!$E:$E,'Barang Keluar'!$A:$A,M19474,'Barang Keluar'!$C:$C,N19474))</f>
        <v>0</v>
      </c>
    </row>
    <row r="19475" spans="13:16">
      <c r="M19475" s="49">
        <f>IF($A$4+194&gt;$B$4,"",$A$4+194)</f>
        <v>46217</v>
      </c>
      <c r="N19475">
        <f>IF(M19475="","",'Master Barang'!A69)</f>
        <v>0</v>
      </c>
      <c r="O19475">
        <f>IF(N19475="","",'Master Barang'!B69)</f>
        <v>0</v>
      </c>
      <c r="P19475">
        <f>IF(OR(M19475="",N19475=""),"",SUMIFS('Barang Keluar'!$E:$E,'Barang Keluar'!$A:$A,M19475,'Barang Keluar'!$C:$C,N19475))</f>
        <v>0</v>
      </c>
    </row>
    <row r="19476" spans="13:16">
      <c r="M19476" s="49">
        <f>IF($A$4+194&gt;$B$4,"",$A$4+194)</f>
        <v>46217</v>
      </c>
      <c r="N19476">
        <f>IF(M19476="","",'Master Barang'!A70)</f>
        <v>0</v>
      </c>
      <c r="O19476">
        <f>IF(N19476="","",'Master Barang'!B70)</f>
        <v>0</v>
      </c>
      <c r="P19476">
        <f>IF(OR(M19476="",N19476=""),"",SUMIFS('Barang Keluar'!$E:$E,'Barang Keluar'!$A:$A,M19476,'Barang Keluar'!$C:$C,N19476))</f>
        <v>0</v>
      </c>
    </row>
    <row r="19477" spans="13:16">
      <c r="M19477" s="49">
        <f>IF($A$4+194&gt;$B$4,"",$A$4+194)</f>
        <v>46217</v>
      </c>
      <c r="N19477">
        <f>IF(M19477="","",'Master Barang'!A71)</f>
        <v>0</v>
      </c>
      <c r="O19477">
        <f>IF(N19477="","",'Master Barang'!B71)</f>
        <v>0</v>
      </c>
      <c r="P19477">
        <f>IF(OR(M19477="",N19477=""),"",SUMIFS('Barang Keluar'!$E:$E,'Barang Keluar'!$A:$A,M19477,'Barang Keluar'!$C:$C,N19477))</f>
        <v>0</v>
      </c>
    </row>
    <row r="19478" spans="13:16">
      <c r="M19478" s="49">
        <f>IF($A$4+194&gt;$B$4,"",$A$4+194)</f>
        <v>46217</v>
      </c>
      <c r="N19478">
        <f>IF(M19478="","",'Master Barang'!A72)</f>
        <v>0</v>
      </c>
      <c r="O19478">
        <f>IF(N19478="","",'Master Barang'!B72)</f>
        <v>0</v>
      </c>
      <c r="P19478">
        <f>IF(OR(M19478="",N19478=""),"",SUMIFS('Barang Keluar'!$E:$E,'Barang Keluar'!$A:$A,M19478,'Barang Keluar'!$C:$C,N19478))</f>
        <v>0</v>
      </c>
    </row>
    <row r="19479" spans="13:16">
      <c r="M19479" s="49">
        <f>IF($A$4+194&gt;$B$4,"",$A$4+194)</f>
        <v>46217</v>
      </c>
      <c r="N19479">
        <f>IF(M19479="","",'Master Barang'!A73)</f>
        <v>0</v>
      </c>
      <c r="O19479">
        <f>IF(N19479="","",'Master Barang'!B73)</f>
        <v>0</v>
      </c>
      <c r="P19479">
        <f>IF(OR(M19479="",N19479=""),"",SUMIFS('Barang Keluar'!$E:$E,'Barang Keluar'!$A:$A,M19479,'Barang Keluar'!$C:$C,N19479))</f>
        <v>0</v>
      </c>
    </row>
    <row r="19480" spans="13:16">
      <c r="M19480" s="49">
        <f>IF($A$4+194&gt;$B$4,"",$A$4+194)</f>
        <v>46217</v>
      </c>
      <c r="N19480">
        <f>IF(M19480="","",'Master Barang'!A74)</f>
        <v>0</v>
      </c>
      <c r="O19480">
        <f>IF(N19480="","",'Master Barang'!B74)</f>
        <v>0</v>
      </c>
      <c r="P19480">
        <f>IF(OR(M19480="",N19480=""),"",SUMIFS('Barang Keluar'!$E:$E,'Barang Keluar'!$A:$A,M19480,'Barang Keluar'!$C:$C,N19480))</f>
        <v>0</v>
      </c>
    </row>
    <row r="19481" spans="13:16">
      <c r="M19481" s="49">
        <f>IF($A$4+194&gt;$B$4,"",$A$4+194)</f>
        <v>46217</v>
      </c>
      <c r="N19481">
        <f>IF(M19481="","",'Master Barang'!A75)</f>
        <v>0</v>
      </c>
      <c r="O19481">
        <f>IF(N19481="","",'Master Barang'!B75)</f>
        <v>0</v>
      </c>
      <c r="P19481">
        <f>IF(OR(M19481="",N19481=""),"",SUMIFS('Barang Keluar'!$E:$E,'Barang Keluar'!$A:$A,M19481,'Barang Keluar'!$C:$C,N19481))</f>
        <v>0</v>
      </c>
    </row>
    <row r="19482" spans="13:16">
      <c r="M19482" s="49">
        <f>IF($A$4+194&gt;$B$4,"",$A$4+194)</f>
        <v>46217</v>
      </c>
      <c r="N19482">
        <f>IF(M19482="","",'Master Barang'!A76)</f>
        <v>0</v>
      </c>
      <c r="O19482">
        <f>IF(N19482="","",'Master Barang'!B76)</f>
        <v>0</v>
      </c>
      <c r="P19482">
        <f>IF(OR(M19482="",N19482=""),"",SUMIFS('Barang Keluar'!$E:$E,'Barang Keluar'!$A:$A,M19482,'Barang Keluar'!$C:$C,N19482))</f>
        <v>0</v>
      </c>
    </row>
    <row r="19483" spans="13:16">
      <c r="M19483" s="49">
        <f>IF($A$4+194&gt;$B$4,"",$A$4+194)</f>
        <v>46217</v>
      </c>
      <c r="N19483">
        <f>IF(M19483="","",'Master Barang'!A77)</f>
        <v>0</v>
      </c>
      <c r="O19483">
        <f>IF(N19483="","",'Master Barang'!B77)</f>
        <v>0</v>
      </c>
      <c r="P19483">
        <f>IF(OR(M19483="",N19483=""),"",SUMIFS('Barang Keluar'!$E:$E,'Barang Keluar'!$A:$A,M19483,'Barang Keluar'!$C:$C,N19483))</f>
        <v>0</v>
      </c>
    </row>
    <row r="19484" spans="13:16">
      <c r="M19484" s="49">
        <f>IF($A$4+194&gt;$B$4,"",$A$4+194)</f>
        <v>46217</v>
      </c>
      <c r="N19484">
        <f>IF(M19484="","",'Master Barang'!A78)</f>
        <v>0</v>
      </c>
      <c r="O19484">
        <f>IF(N19484="","",'Master Barang'!B78)</f>
        <v>0</v>
      </c>
      <c r="P19484">
        <f>IF(OR(M19484="",N19484=""),"",SUMIFS('Barang Keluar'!$E:$E,'Barang Keluar'!$A:$A,M19484,'Barang Keluar'!$C:$C,N19484))</f>
        <v>0</v>
      </c>
    </row>
    <row r="19485" spans="13:16">
      <c r="M19485" s="49">
        <f>IF($A$4+194&gt;$B$4,"",$A$4+194)</f>
        <v>46217</v>
      </c>
      <c r="N19485">
        <f>IF(M19485="","",'Master Barang'!A79)</f>
        <v>0</v>
      </c>
      <c r="O19485">
        <f>IF(N19485="","",'Master Barang'!B79)</f>
        <v>0</v>
      </c>
      <c r="P19485">
        <f>IF(OR(M19485="",N19485=""),"",SUMIFS('Barang Keluar'!$E:$E,'Barang Keluar'!$A:$A,M19485,'Barang Keluar'!$C:$C,N19485))</f>
        <v>0</v>
      </c>
    </row>
    <row r="19486" spans="13:16">
      <c r="M19486" s="49">
        <f>IF($A$4+194&gt;$B$4,"",$A$4+194)</f>
        <v>46217</v>
      </c>
      <c r="N19486">
        <f>IF(M19486="","",'Master Barang'!A80)</f>
        <v>0</v>
      </c>
      <c r="O19486">
        <f>IF(N19486="","",'Master Barang'!B80)</f>
        <v>0</v>
      </c>
      <c r="P19486">
        <f>IF(OR(M19486="",N19486=""),"",SUMIFS('Barang Keluar'!$E:$E,'Barang Keluar'!$A:$A,M19486,'Barang Keluar'!$C:$C,N19486))</f>
        <v>0</v>
      </c>
    </row>
    <row r="19487" spans="13:16">
      <c r="M19487" s="49">
        <f>IF($A$4+194&gt;$B$4,"",$A$4+194)</f>
        <v>46217</v>
      </c>
      <c r="N19487">
        <f>IF(M19487="","",'Master Barang'!A81)</f>
        <v>0</v>
      </c>
      <c r="O19487">
        <f>IF(N19487="","",'Master Barang'!B81)</f>
        <v>0</v>
      </c>
      <c r="P19487">
        <f>IF(OR(M19487="",N19487=""),"",SUMIFS('Barang Keluar'!$E:$E,'Barang Keluar'!$A:$A,M19487,'Barang Keluar'!$C:$C,N19487))</f>
        <v>0</v>
      </c>
    </row>
    <row r="19488" spans="13:16">
      <c r="M19488" s="49">
        <f>IF($A$4+194&gt;$B$4,"",$A$4+194)</f>
        <v>46217</v>
      </c>
      <c r="N19488">
        <f>IF(M19488="","",'Master Barang'!A82)</f>
        <v>0</v>
      </c>
      <c r="O19488">
        <f>IF(N19488="","",'Master Barang'!B82)</f>
        <v>0</v>
      </c>
      <c r="P19488">
        <f>IF(OR(M19488="",N19488=""),"",SUMIFS('Barang Keluar'!$E:$E,'Barang Keluar'!$A:$A,M19488,'Barang Keluar'!$C:$C,N19488))</f>
        <v>0</v>
      </c>
    </row>
    <row r="19489" spans="13:16">
      <c r="M19489" s="49">
        <f>IF($A$4+194&gt;$B$4,"",$A$4+194)</f>
        <v>46217</v>
      </c>
      <c r="N19489">
        <f>IF(M19489="","",'Master Barang'!A83)</f>
        <v>0</v>
      </c>
      <c r="O19489">
        <f>IF(N19489="","",'Master Barang'!B83)</f>
        <v>0</v>
      </c>
      <c r="P19489">
        <f>IF(OR(M19489="",N19489=""),"",SUMIFS('Barang Keluar'!$E:$E,'Barang Keluar'!$A:$A,M19489,'Barang Keluar'!$C:$C,N19489))</f>
        <v>0</v>
      </c>
    </row>
    <row r="19490" spans="13:16">
      <c r="M19490" s="49">
        <f>IF($A$4+194&gt;$B$4,"",$A$4+194)</f>
        <v>46217</v>
      </c>
      <c r="N19490">
        <f>IF(M19490="","",'Master Barang'!A84)</f>
        <v>0</v>
      </c>
      <c r="O19490">
        <f>IF(N19490="","",'Master Barang'!B84)</f>
        <v>0</v>
      </c>
      <c r="P19490">
        <f>IF(OR(M19490="",N19490=""),"",SUMIFS('Barang Keluar'!$E:$E,'Barang Keluar'!$A:$A,M19490,'Barang Keluar'!$C:$C,N19490))</f>
        <v>0</v>
      </c>
    </row>
    <row r="19491" spans="13:16">
      <c r="M19491" s="49">
        <f>IF($A$4+194&gt;$B$4,"",$A$4+194)</f>
        <v>46217</v>
      </c>
      <c r="N19491">
        <f>IF(M19491="","",'Master Barang'!A85)</f>
        <v>0</v>
      </c>
      <c r="O19491">
        <f>IF(N19491="","",'Master Barang'!B85)</f>
        <v>0</v>
      </c>
      <c r="P19491">
        <f>IF(OR(M19491="",N19491=""),"",SUMIFS('Barang Keluar'!$E:$E,'Barang Keluar'!$A:$A,M19491,'Barang Keluar'!$C:$C,N19491))</f>
        <v>0</v>
      </c>
    </row>
    <row r="19492" spans="13:16">
      <c r="M19492" s="49">
        <f>IF($A$4+194&gt;$B$4,"",$A$4+194)</f>
        <v>46217</v>
      </c>
      <c r="N19492">
        <f>IF(M19492="","",'Master Barang'!A86)</f>
        <v>0</v>
      </c>
      <c r="O19492">
        <f>IF(N19492="","",'Master Barang'!B86)</f>
        <v>0</v>
      </c>
      <c r="P19492">
        <f>IF(OR(M19492="",N19492=""),"",SUMIFS('Barang Keluar'!$E:$E,'Barang Keluar'!$A:$A,M19492,'Barang Keluar'!$C:$C,N19492))</f>
        <v>0</v>
      </c>
    </row>
    <row r="19493" spans="13:16">
      <c r="M19493" s="49">
        <f>IF($A$4+194&gt;$B$4,"",$A$4+194)</f>
        <v>46217</v>
      </c>
      <c r="N19493">
        <f>IF(M19493="","",'Master Barang'!A87)</f>
        <v>0</v>
      </c>
      <c r="O19493">
        <f>IF(N19493="","",'Master Barang'!B87)</f>
        <v>0</v>
      </c>
      <c r="P19493">
        <f>IF(OR(M19493="",N19493=""),"",SUMIFS('Barang Keluar'!$E:$E,'Barang Keluar'!$A:$A,M19493,'Barang Keluar'!$C:$C,N19493))</f>
        <v>0</v>
      </c>
    </row>
    <row r="19494" spans="13:16">
      <c r="M19494" s="49">
        <f>IF($A$4+194&gt;$B$4,"",$A$4+194)</f>
        <v>46217</v>
      </c>
      <c r="N19494">
        <f>IF(M19494="","",'Master Barang'!A88)</f>
        <v>0</v>
      </c>
      <c r="O19494">
        <f>IF(N19494="","",'Master Barang'!B88)</f>
        <v>0</v>
      </c>
      <c r="P19494">
        <f>IF(OR(M19494="",N19494=""),"",SUMIFS('Barang Keluar'!$E:$E,'Barang Keluar'!$A:$A,M19494,'Barang Keluar'!$C:$C,N19494))</f>
        <v>0</v>
      </c>
    </row>
    <row r="19495" spans="13:16">
      <c r="M19495" s="49">
        <f>IF($A$4+194&gt;$B$4,"",$A$4+194)</f>
        <v>46217</v>
      </c>
      <c r="N19495">
        <f>IF(M19495="","",'Master Barang'!A89)</f>
        <v>0</v>
      </c>
      <c r="O19495">
        <f>IF(N19495="","",'Master Barang'!B89)</f>
        <v>0</v>
      </c>
      <c r="P19495">
        <f>IF(OR(M19495="",N19495=""),"",SUMIFS('Barang Keluar'!$E:$E,'Barang Keluar'!$A:$A,M19495,'Barang Keluar'!$C:$C,N19495))</f>
        <v>0</v>
      </c>
    </row>
    <row r="19496" spans="13:16">
      <c r="M19496" s="49">
        <f>IF($A$4+194&gt;$B$4,"",$A$4+194)</f>
        <v>46217</v>
      </c>
      <c r="N19496">
        <f>IF(M19496="","",'Master Barang'!A90)</f>
        <v>0</v>
      </c>
      <c r="O19496">
        <f>IF(N19496="","",'Master Barang'!B90)</f>
        <v>0</v>
      </c>
      <c r="P19496">
        <f>IF(OR(M19496="",N19496=""),"",SUMIFS('Barang Keluar'!$E:$E,'Barang Keluar'!$A:$A,M19496,'Barang Keluar'!$C:$C,N19496))</f>
        <v>0</v>
      </c>
    </row>
    <row r="19497" spans="13:16">
      <c r="M19497" s="49">
        <f>IF($A$4+194&gt;$B$4,"",$A$4+194)</f>
        <v>46217</v>
      </c>
      <c r="N19497">
        <f>IF(M19497="","",'Master Barang'!A91)</f>
        <v>0</v>
      </c>
      <c r="O19497">
        <f>IF(N19497="","",'Master Barang'!B91)</f>
        <v>0</v>
      </c>
      <c r="P19497">
        <f>IF(OR(M19497="",N19497=""),"",SUMIFS('Barang Keluar'!$E:$E,'Barang Keluar'!$A:$A,M19497,'Barang Keluar'!$C:$C,N19497))</f>
        <v>0</v>
      </c>
    </row>
    <row r="19498" spans="13:16">
      <c r="M19498" s="49">
        <f>IF($A$4+194&gt;$B$4,"",$A$4+194)</f>
        <v>46217</v>
      </c>
      <c r="N19498">
        <f>IF(M19498="","",'Master Barang'!A92)</f>
        <v>0</v>
      </c>
      <c r="O19498">
        <f>IF(N19498="","",'Master Barang'!B92)</f>
        <v>0</v>
      </c>
      <c r="P19498">
        <f>IF(OR(M19498="",N19498=""),"",SUMIFS('Barang Keluar'!$E:$E,'Barang Keluar'!$A:$A,M19498,'Barang Keluar'!$C:$C,N19498))</f>
        <v>0</v>
      </c>
    </row>
    <row r="19499" spans="13:16">
      <c r="M19499" s="49">
        <f>IF($A$4+194&gt;$B$4,"",$A$4+194)</f>
        <v>46217</v>
      </c>
      <c r="N19499">
        <f>IF(M19499="","",'Master Barang'!A93)</f>
        <v>0</v>
      </c>
      <c r="O19499">
        <f>IF(N19499="","",'Master Barang'!B93)</f>
        <v>0</v>
      </c>
      <c r="P19499">
        <f>IF(OR(M19499="",N19499=""),"",SUMIFS('Barang Keluar'!$E:$E,'Barang Keluar'!$A:$A,M19499,'Barang Keluar'!$C:$C,N19499))</f>
        <v>0</v>
      </c>
    </row>
    <row r="19500" spans="13:16">
      <c r="M19500" s="49">
        <f>IF($A$4+194&gt;$B$4,"",$A$4+194)</f>
        <v>46217</v>
      </c>
      <c r="N19500">
        <f>IF(M19500="","",'Master Barang'!A94)</f>
        <v>0</v>
      </c>
      <c r="O19500">
        <f>IF(N19500="","",'Master Barang'!B94)</f>
        <v>0</v>
      </c>
      <c r="P19500">
        <f>IF(OR(M19500="",N19500=""),"",SUMIFS('Barang Keluar'!$E:$E,'Barang Keluar'!$A:$A,M19500,'Barang Keluar'!$C:$C,N19500))</f>
        <v>0</v>
      </c>
    </row>
    <row r="19501" spans="13:16">
      <c r="M19501" s="49">
        <f>IF($A$4+194&gt;$B$4,"",$A$4+194)</f>
        <v>46217</v>
      </c>
      <c r="N19501">
        <f>IF(M19501="","",'Master Barang'!A95)</f>
        <v>0</v>
      </c>
      <c r="O19501">
        <f>IF(N19501="","",'Master Barang'!B95)</f>
        <v>0</v>
      </c>
      <c r="P19501">
        <f>IF(OR(M19501="",N19501=""),"",SUMIFS('Barang Keluar'!$E:$E,'Barang Keluar'!$A:$A,M19501,'Barang Keluar'!$C:$C,N19501))</f>
        <v>0</v>
      </c>
    </row>
    <row r="19502" spans="13:16">
      <c r="M19502" s="49">
        <f>IF($A$4+194&gt;$B$4,"",$A$4+194)</f>
        <v>46217</v>
      </c>
      <c r="N19502">
        <f>IF(M19502="","",'Master Barang'!A96)</f>
        <v>0</v>
      </c>
      <c r="O19502">
        <f>IF(N19502="","",'Master Barang'!B96)</f>
        <v>0</v>
      </c>
      <c r="P19502">
        <f>IF(OR(M19502="",N19502=""),"",SUMIFS('Barang Keluar'!$E:$E,'Barang Keluar'!$A:$A,M19502,'Barang Keluar'!$C:$C,N19502))</f>
        <v>0</v>
      </c>
    </row>
    <row r="19503" spans="13:16">
      <c r="M19503" s="49">
        <f>IF($A$4+194&gt;$B$4,"",$A$4+194)</f>
        <v>46217</v>
      </c>
      <c r="N19503">
        <f>IF(M19503="","",'Master Barang'!A97)</f>
        <v>0</v>
      </c>
      <c r="O19503">
        <f>IF(N19503="","",'Master Barang'!B97)</f>
        <v>0</v>
      </c>
      <c r="P19503">
        <f>IF(OR(M19503="",N19503=""),"",SUMIFS('Barang Keluar'!$E:$E,'Barang Keluar'!$A:$A,M19503,'Barang Keluar'!$C:$C,N19503))</f>
        <v>0</v>
      </c>
    </row>
    <row r="19504" spans="13:16">
      <c r="M19504" s="49">
        <f>IF($A$4+194&gt;$B$4,"",$A$4+194)</f>
        <v>46217</v>
      </c>
      <c r="N19504">
        <f>IF(M19504="","",'Master Barang'!A98)</f>
        <v>0</v>
      </c>
      <c r="O19504">
        <f>IF(N19504="","",'Master Barang'!B98)</f>
        <v>0</v>
      </c>
      <c r="P19504">
        <f>IF(OR(M19504="",N19504=""),"",SUMIFS('Barang Keluar'!$E:$E,'Barang Keluar'!$A:$A,M19504,'Barang Keluar'!$C:$C,N19504))</f>
        <v>0</v>
      </c>
    </row>
    <row r="19505" spans="13:16">
      <c r="M19505" s="49">
        <f>IF($A$4+194&gt;$B$4,"",$A$4+194)</f>
        <v>46217</v>
      </c>
      <c r="N19505">
        <f>IF(M19505="","",'Master Barang'!A99)</f>
        <v>0</v>
      </c>
      <c r="O19505">
        <f>IF(N19505="","",'Master Barang'!B99)</f>
        <v>0</v>
      </c>
      <c r="P19505">
        <f>IF(OR(M19505="",N19505=""),"",SUMIFS('Barang Keluar'!$E:$E,'Barang Keluar'!$A:$A,M19505,'Barang Keluar'!$C:$C,N19505))</f>
        <v>0</v>
      </c>
    </row>
    <row r="19506" spans="13:16">
      <c r="M19506" s="49">
        <f>IF($A$4+194&gt;$B$4,"",$A$4+194)</f>
        <v>46217</v>
      </c>
      <c r="N19506">
        <f>IF(M19506="","",'Master Barang'!A100)</f>
        <v>0</v>
      </c>
      <c r="O19506">
        <f>IF(N19506="","",'Master Barang'!B100)</f>
        <v>0</v>
      </c>
      <c r="P19506">
        <f>IF(OR(M19506="",N19506=""),"",SUMIFS('Barang Keluar'!$E:$E,'Barang Keluar'!$A:$A,M19506,'Barang Keluar'!$C:$C,N19506))</f>
        <v>0</v>
      </c>
    </row>
    <row r="19507" spans="13:16">
      <c r="M19507" s="49">
        <f>IF($A$4+194&gt;$B$4,"",$A$4+194)</f>
        <v>46217</v>
      </c>
      <c r="N19507">
        <f>IF(M19507="","",'Master Barang'!A101)</f>
        <v>0</v>
      </c>
      <c r="O19507">
        <f>IF(N19507="","",'Master Barang'!B101)</f>
        <v>0</v>
      </c>
      <c r="P19507">
        <f>IF(OR(M19507="",N19507=""),"",SUMIFS('Barang Keluar'!$E:$E,'Barang Keluar'!$A:$A,M19507,'Barang Keluar'!$C:$C,N19507))</f>
        <v>0</v>
      </c>
    </row>
    <row r="19508" spans="13:16">
      <c r="M19508" s="49">
        <f>IF($A$4+195&gt;$B$4,"",$A$4+195)</f>
        <v>46218</v>
      </c>
      <c r="N19508" t="str">
        <f>IF(M19508="","",'Master Barang'!A2)</f>
        <v>PRL-001</v>
      </c>
      <c r="O19508" t="str">
        <f>IF(N19508="","",'Master Barang'!B2)</f>
        <v>natura desinfectant food grade 5l</v>
      </c>
      <c r="P19508">
        <f>IF(OR(M19508="",N19508=""),"",SUMIFS('Barang Keluar'!$E:$E,'Barang Keluar'!$A:$A,M19508,'Barang Keluar'!$C:$C,N19508))</f>
        <v>0</v>
      </c>
    </row>
    <row r="19509" spans="13:16">
      <c r="M19509" s="49">
        <f>IF($A$4+195&gt;$B$4,"",$A$4+195)</f>
        <v>46218</v>
      </c>
      <c r="N19509" t="str">
        <f>IF(M19509="","",'Master Barang'!A3)</f>
        <v>PRL-002</v>
      </c>
      <c r="O19509" t="str">
        <f>IF(N19509="","",'Master Barang'!B3)</f>
        <v>sunlight cairan pencuci piring 5l</v>
      </c>
      <c r="P19509">
        <f>IF(OR(M19509="",N19509=""),"",SUMIFS('Barang Keluar'!$E:$E,'Barang Keluar'!$A:$A,M19509,'Barang Keluar'!$C:$C,N19509))</f>
        <v>0</v>
      </c>
    </row>
    <row r="19510" spans="13:16">
      <c r="M19510" s="49">
        <f>IF($A$4+195&gt;$B$4,"",$A$4+195)</f>
        <v>46218</v>
      </c>
      <c r="N19510" t="str">
        <f>IF(M19510="","",'Master Barang'!A4)</f>
        <v>PRL-003</v>
      </c>
      <c r="O19510" t="str">
        <f>IF(N19510="","",'Master Barang'!B4)</f>
        <v>oixs cleaner 1l</v>
      </c>
      <c r="P19510">
        <f>IF(OR(M19510="",N19510=""),"",SUMIFS('Barang Keluar'!$E:$E,'Barang Keluar'!$A:$A,M19510,'Barang Keluar'!$C:$C,N19510))</f>
        <v>0</v>
      </c>
    </row>
    <row r="19511" spans="13:16">
      <c r="M19511" s="49">
        <f>IF($A$4+195&gt;$B$4,"",$A$4+195)</f>
        <v>46218</v>
      </c>
      <c r="N19511" t="str">
        <f>IF(M19511="","",'Master Barang'!A5)</f>
        <v>PRL-004</v>
      </c>
      <c r="O19511" t="str">
        <f>IF(N19511="","",'Master Barang'!B5)</f>
        <v>be clean tissue serbaguna</v>
      </c>
      <c r="P19511">
        <f>IF(OR(M19511="",N19511=""),"",SUMIFS('Barang Keluar'!$E:$E,'Barang Keluar'!$A:$A,M19511,'Barang Keluar'!$C:$C,N19511))</f>
        <v>0</v>
      </c>
    </row>
    <row r="19512" spans="13:16">
      <c r="M19512" s="49">
        <f>IF($A$4+195&gt;$B$4,"",$A$4+195)</f>
        <v>46218</v>
      </c>
      <c r="N19512" t="str">
        <f>IF(M19512="","",'Master Barang'!A6)</f>
        <v>PRL-005</v>
      </c>
      <c r="O19512" t="str">
        <f>IF(N19512="","",'Master Barang'!B6)</f>
        <v>spons cuci hijau</v>
      </c>
      <c r="P19512">
        <f>IF(OR(M19512="",N19512=""),"",SUMIFS('Barang Keluar'!$E:$E,'Barang Keluar'!$A:$A,M19512,'Barang Keluar'!$C:$C,N19512))</f>
        <v>0</v>
      </c>
    </row>
    <row r="19513" spans="13:16">
      <c r="M19513" s="49">
        <f>IF($A$4+195&gt;$B$4,"",$A$4+195)</f>
        <v>46218</v>
      </c>
      <c r="N19513" t="str">
        <f>IF(M19513="","",'Master Barang'!A7)</f>
        <v>PRL-006</v>
      </c>
      <c r="O19513" t="str">
        <f>IF(N19513="","",'Master Barang'!B7)</f>
        <v>sabut cuci stainless</v>
      </c>
      <c r="P19513">
        <f>IF(OR(M19513="",N19513=""),"",SUMIFS('Barang Keluar'!$E:$E,'Barang Keluar'!$A:$A,M19513,'Barang Keluar'!$C:$C,N19513))</f>
        <v>0</v>
      </c>
    </row>
    <row r="19514" spans="13:16">
      <c r="M19514" s="49">
        <f>IF($A$4+195&gt;$B$4,"",$A$4+195)</f>
        <v>46218</v>
      </c>
      <c r="N19514" t="str">
        <f>IF(M19514="","",'Master Barang'!A8)</f>
        <v>PRL-007</v>
      </c>
      <c r="O19514" t="str">
        <f>IF(N19514="","",'Master Barang'!B8)</f>
        <v>plastik kresek besar merah 50pc</v>
      </c>
      <c r="P19514">
        <f>IF(OR(M19514="",N19514=""),"",SUMIFS('Barang Keluar'!$E:$E,'Barang Keluar'!$A:$A,M19514,'Barang Keluar'!$C:$C,N19514))</f>
        <v>0</v>
      </c>
    </row>
    <row r="19515" spans="13:16">
      <c r="M19515" s="49">
        <f>IF($A$4+195&gt;$B$4,"",$A$4+195)</f>
        <v>46218</v>
      </c>
      <c r="N19515" t="str">
        <f>IF(M19515="","",'Master Barang'!A9)</f>
        <v>PRL-008</v>
      </c>
      <c r="O19515" t="str">
        <f>IF(N19515="","",'Master Barang'!B9)</f>
        <v>lap besar</v>
      </c>
      <c r="P19515">
        <f>IF(OR(M19515="",N19515=""),"",SUMIFS('Barang Keluar'!$E:$E,'Barang Keluar'!$A:$A,M19515,'Barang Keluar'!$C:$C,N19515))</f>
        <v>0</v>
      </c>
    </row>
    <row r="19516" spans="13:16">
      <c r="M19516" s="49">
        <f>IF($A$4+195&gt;$B$4,"",$A$4+195)</f>
        <v>46218</v>
      </c>
      <c r="N19516" t="str">
        <f>IF(M19516="","",'Master Barang'!A10)</f>
        <v>PRL-009</v>
      </c>
      <c r="O19516" t="str">
        <f>IF(N19516="","",'Master Barang'!B10)</f>
        <v>lap microfiber</v>
      </c>
      <c r="P19516">
        <f>IF(OR(M19516="",N19516=""),"",SUMIFS('Barang Keluar'!$E:$E,'Barang Keluar'!$A:$A,M19516,'Barang Keluar'!$C:$C,N19516))</f>
        <v>0</v>
      </c>
    </row>
    <row r="19517" spans="13:16">
      <c r="M19517" s="49">
        <f>IF($A$4+195&gt;$B$4,"",$A$4+195)</f>
        <v>46218</v>
      </c>
      <c r="N19517" t="str">
        <f>IF(M19517="","",'Master Barang'!A11)</f>
        <v>PRL-010</v>
      </c>
      <c r="O19517" t="str">
        <f>IF(N19517="","",'Master Barang'!B11)</f>
        <v>lap kecil</v>
      </c>
      <c r="P19517">
        <f>IF(OR(M19517="",N19517=""),"",SUMIFS('Barang Keluar'!$E:$E,'Barang Keluar'!$A:$A,M19517,'Barang Keluar'!$C:$C,N19517))</f>
        <v>0</v>
      </c>
    </row>
    <row r="19518" spans="13:16">
      <c r="M19518" s="49">
        <f>IF($A$4+195&gt;$B$4,"",$A$4+195)</f>
        <v>46218</v>
      </c>
      <c r="N19518" t="str">
        <f>IF(M19518="","",'Master Barang'!A12)</f>
        <v>PRL-011</v>
      </c>
      <c r="O19518" t="str">
        <f>IF(N19518="","",'Master Barang'!B12)</f>
        <v>kanebo kecil</v>
      </c>
      <c r="P19518">
        <f>IF(OR(M19518="",N19518=""),"",SUMIFS('Barang Keluar'!$E:$E,'Barang Keluar'!$A:$A,M19518,'Barang Keluar'!$C:$C,N19518))</f>
        <v>0</v>
      </c>
    </row>
    <row r="19519" spans="13:16">
      <c r="M19519" s="49">
        <f>IF($A$4+195&gt;$B$4,"",$A$4+195)</f>
        <v>46218</v>
      </c>
      <c r="N19519" t="str">
        <f>IF(M19519="","",'Master Barang'!A13)</f>
        <v>PRL-012</v>
      </c>
      <c r="O19519" t="str">
        <f>IF(N19519="","",'Master Barang'!B13)</f>
        <v>plastik 1/4kg joyoboyo 100 lembar</v>
      </c>
      <c r="P19519">
        <f>IF(OR(M19519="",N19519=""),"",SUMIFS('Barang Keluar'!$E:$E,'Barang Keluar'!$A:$A,M19519,'Barang Keluar'!$C:$C,N19519))</f>
        <v>0</v>
      </c>
    </row>
    <row r="19520" spans="13:16">
      <c r="M19520" s="49">
        <f>IF($A$4+195&gt;$B$4,"",$A$4+195)</f>
        <v>46218</v>
      </c>
      <c r="N19520" t="str">
        <f>IF(M19520="","",'Master Barang'!A14)</f>
        <v>PRL-013</v>
      </c>
      <c r="O19520" t="str">
        <f>IF(N19520="","",'Master Barang'!B14)</f>
        <v>sarung tangan plastik kaka 100 pcs</v>
      </c>
      <c r="P19520">
        <f>IF(OR(M19520="",N19520=""),"",SUMIFS('Barang Keluar'!$E:$E,'Barang Keluar'!$A:$A,M19520,'Barang Keluar'!$C:$C,N19520))</f>
        <v>0</v>
      </c>
    </row>
    <row r="19521" spans="13:16">
      <c r="M19521" s="49">
        <f>IF($A$4+195&gt;$B$4,"",$A$4+195)</f>
        <v>46218</v>
      </c>
      <c r="N19521" t="str">
        <f>IF(M19521="","",'Master Barang'!A15)</f>
        <v>PRL-014</v>
      </c>
      <c r="O19521" t="str">
        <f>IF(N19521="","",'Master Barang'!B15)</f>
        <v>optima trashbag 80x100</v>
      </c>
      <c r="P19521">
        <f>IF(OR(M19521="",N19521=""),"",SUMIFS('Barang Keluar'!$E:$E,'Barang Keluar'!$A:$A,M19521,'Barang Keluar'!$C:$C,N19521))</f>
        <v>0</v>
      </c>
    </row>
    <row r="19522" spans="13:16">
      <c r="M19522" s="49">
        <f>IF($A$4+195&gt;$B$4,"",$A$4+195)</f>
        <v>46218</v>
      </c>
      <c r="N19522" t="str">
        <f>IF(M19522="","",'Master Barang'!A16)</f>
        <v>PRL-015</v>
      </c>
      <c r="O19522" t="str">
        <f>IF(N19522="","",'Master Barang'!B16)</f>
        <v>optima trashbag 60x100</v>
      </c>
      <c r="P19522">
        <f>IF(OR(M19522="",N19522=""),"",SUMIFS('Barang Keluar'!$E:$E,'Barang Keluar'!$A:$A,M19522,'Barang Keluar'!$C:$C,N19522))</f>
        <v>0</v>
      </c>
    </row>
    <row r="19523" spans="13:16">
      <c r="M19523" s="49">
        <f>IF($A$4+195&gt;$B$4,"",$A$4+195)</f>
        <v>46218</v>
      </c>
      <c r="N19523" t="str">
        <f>IF(M19523="","",'Master Barang'!A17)</f>
        <v>PRL-016</v>
      </c>
      <c r="O19523" t="str">
        <f>IF(N19523="","",'Master Barang'!B17)</f>
        <v>rajawali trashbag 30x40</v>
      </c>
      <c r="P19523">
        <f>IF(OR(M19523="",N19523=""),"",SUMIFS('Barang Keluar'!$E:$E,'Barang Keluar'!$A:$A,M19523,'Barang Keluar'!$C:$C,N19523))</f>
        <v>0</v>
      </c>
    </row>
    <row r="19524" spans="13:16">
      <c r="M19524" s="49">
        <f>IF($A$4+195&gt;$B$4,"",$A$4+195)</f>
        <v>46218</v>
      </c>
      <c r="N19524" t="str">
        <f>IF(M19524="","",'Master Barang'!A18)</f>
        <v>PRL-017</v>
      </c>
      <c r="O19524" t="str">
        <f>IF(N19524="","",'Master Barang'!B18)</f>
        <v>onemed masker biru 3 play 50 pcs</v>
      </c>
      <c r="P19524">
        <f>IF(OR(M19524="",N19524=""),"",SUMIFS('Barang Keluar'!$E:$E,'Barang Keluar'!$A:$A,M19524,'Barang Keluar'!$C:$C,N19524))</f>
        <v>0</v>
      </c>
    </row>
    <row r="19525" spans="13:16">
      <c r="M19525" s="49">
        <f>IF($A$4+195&gt;$B$4,"",$A$4+195)</f>
        <v>46218</v>
      </c>
      <c r="N19525" t="str">
        <f>IF(M19525="","",'Master Barang'!A19)</f>
        <v>PRL-018</v>
      </c>
      <c r="O19525" t="str">
        <f>IF(N19525="","",'Master Barang'!B19)</f>
        <v>onemed masker biru 3 play hijab 50 pcs</v>
      </c>
      <c r="P19525">
        <f>IF(OR(M19525="",N19525=""),"",SUMIFS('Barang Keluar'!$E:$E,'Barang Keluar'!$A:$A,M19525,'Barang Keluar'!$C:$C,N19525))</f>
        <v>0</v>
      </c>
    </row>
    <row r="19526" spans="13:16">
      <c r="M19526" s="49">
        <f>IF($A$4+195&gt;$B$4,"",$A$4+195)</f>
        <v>46218</v>
      </c>
      <c r="N19526" t="str">
        <f>IF(M19526="","",'Master Barang'!A20)</f>
        <v>PRL-019</v>
      </c>
      <c r="O19526" t="str">
        <f>IF(N19526="","",'Master Barang'!B20)</f>
        <v>neo health masker biru 3 play 50 pcs</v>
      </c>
      <c r="P19526">
        <f>IF(OR(M19526="",N19526=""),"",SUMIFS('Barang Keluar'!$E:$E,'Barang Keluar'!$A:$A,M19526,'Barang Keluar'!$C:$C,N19526))</f>
        <v>0</v>
      </c>
    </row>
    <row r="19527" spans="13:16">
      <c r="M19527" s="49">
        <f>IF($A$4+195&gt;$B$4,"",$A$4+195)</f>
        <v>46218</v>
      </c>
      <c r="N19527" t="str">
        <f>IF(M19527="","",'Master Barang'!A21)</f>
        <v>PRL-020</v>
      </c>
      <c r="O19527" t="str">
        <f>IF(N19527="","",'Master Barang'!B21)</f>
        <v>baymed masker hijau 3 play hijau 50 pcs</v>
      </c>
      <c r="P19527">
        <f>IF(OR(M19527="",N19527=""),"",SUMIFS('Barang Keluar'!$E:$E,'Barang Keluar'!$A:$A,M19527,'Barang Keluar'!$C:$C,N19527))</f>
        <v>0</v>
      </c>
    </row>
    <row r="19528" spans="13:16">
      <c r="M19528" s="49">
        <f>IF($A$4+195&gt;$B$4,"",$A$4+195)</f>
        <v>46218</v>
      </c>
      <c r="N19528" t="str">
        <f>IF(M19528="","",'Master Barang'!A22)</f>
        <v>PRL-021</v>
      </c>
      <c r="O19528" t="str">
        <f>IF(N19528="","",'Master Barang'!B22)</f>
        <v>altamed nurse cap penutup kepala 100 pcs</v>
      </c>
      <c r="P19528">
        <f>IF(OR(M19528="",N19528=""),"",SUMIFS('Barang Keluar'!$E:$E,'Barang Keluar'!$A:$A,M19528,'Barang Keluar'!$C:$C,N19528))</f>
        <v>0</v>
      </c>
    </row>
    <row r="19529" spans="13:16">
      <c r="M19529" s="49">
        <f>IF($A$4+195&gt;$B$4,"",$A$4+195)</f>
        <v>46218</v>
      </c>
      <c r="N19529" t="str">
        <f>IF(M19529="","",'Master Barang'!A23)</f>
        <v>PRL-022</v>
      </c>
      <c r="O19529" t="str">
        <f>IF(N19529="","",'Master Barang'!B23)</f>
        <v>sabun cuci tangan</v>
      </c>
      <c r="P19529">
        <f>IF(OR(M19529="",N19529=""),"",SUMIFS('Barang Keluar'!$E:$E,'Barang Keluar'!$A:$A,M19529,'Barang Keluar'!$C:$C,N19529))</f>
        <v>0</v>
      </c>
    </row>
    <row r="19530" spans="13:16">
      <c r="M19530" s="49">
        <f>IF($A$4+195&gt;$B$4,"",$A$4+195)</f>
        <v>46218</v>
      </c>
      <c r="N19530" t="str">
        <f>IF(M19530="","",'Master Barang'!A24)</f>
        <v>PRL-023</v>
      </c>
      <c r="O19530" t="str">
        <f>IF(N19530="","",'Master Barang'!B24)</f>
        <v>gayung kecil</v>
      </c>
      <c r="P19530">
        <f>IF(OR(M19530="",N19530=""),"",SUMIFS('Barang Keluar'!$E:$E,'Barang Keluar'!$A:$A,M19530,'Barang Keluar'!$C:$C,N19530))</f>
        <v>0</v>
      </c>
    </row>
    <row r="19531" spans="13:16">
      <c r="M19531" s="49">
        <f>IF($A$4+195&gt;$B$4,"",$A$4+195)</f>
        <v>46218</v>
      </c>
      <c r="N19531" t="str">
        <f>IF(M19531="","",'Master Barang'!A25)</f>
        <v>PRL-024</v>
      </c>
      <c r="O19531" t="str">
        <f>IF(N19531="","",'Master Barang'!B25)</f>
        <v>cikrak kecil</v>
      </c>
      <c r="P19531">
        <f>IF(OR(M19531="",N19531=""),"",SUMIFS('Barang Keluar'!$E:$E,'Barang Keluar'!$A:$A,M19531,'Barang Keluar'!$C:$C,N19531))</f>
        <v>0</v>
      </c>
    </row>
    <row r="19532" spans="13:16">
      <c r="M19532" s="49">
        <f>IF($A$4+195&gt;$B$4,"",$A$4+195)</f>
        <v>46218</v>
      </c>
      <c r="N19532" t="str">
        <f>IF(M19532="","",'Master Barang'!A26)</f>
        <v>PRL-025</v>
      </c>
      <c r="O19532" t="str">
        <f>IF(N19532="","",'Master Barang'!B26)</f>
        <v>petromax plastik kecil 12x24 100 lembar</v>
      </c>
      <c r="P19532">
        <f>IF(OR(M19532="",N19532=""),"",SUMIFS('Barang Keluar'!$E:$E,'Barang Keluar'!$A:$A,M19532,'Barang Keluar'!$C:$C,N19532))</f>
        <v>0</v>
      </c>
    </row>
    <row r="19533" spans="13:16">
      <c r="M19533" s="49">
        <f>IF($A$4+195&gt;$B$4,"",$A$4+195)</f>
        <v>46218</v>
      </c>
      <c r="N19533" t="str">
        <f>IF(M19533="","",'Master Barang'!A27)</f>
        <v>PRL-026</v>
      </c>
      <c r="O19533" t="str">
        <f>IF(N19533="","",'Master Barang'!B27)</f>
        <v>lancar kresek kecil bening </v>
      </c>
      <c r="P19533">
        <f>IF(OR(M19533="",N19533=""),"",SUMIFS('Barang Keluar'!$E:$E,'Barang Keluar'!$A:$A,M19533,'Barang Keluar'!$C:$C,N19533))</f>
        <v>0</v>
      </c>
    </row>
    <row r="19534" spans="13:16">
      <c r="M19534" s="49">
        <f>IF($A$4+195&gt;$B$4,"",$A$4+195)</f>
        <v>46218</v>
      </c>
      <c r="N19534" t="str">
        <f>IF(M19534="","",'Master Barang'!A28)</f>
        <v>PRL-027</v>
      </c>
      <c r="O19534" t="str">
        <f>IF(N19534="","",'Master Barang'!B28)</f>
        <v>kresek klin warna warni kecil</v>
      </c>
      <c r="P19534">
        <f>IF(OR(M19534="",N19534=""),"",SUMIFS('Barang Keluar'!$E:$E,'Barang Keluar'!$A:$A,M19534,'Barang Keluar'!$C:$C,N19534))</f>
        <v>0</v>
      </c>
    </row>
    <row r="19535" spans="13:16">
      <c r="M19535" s="49">
        <f>IF($A$4+195&gt;$B$4,"",$A$4+195)</f>
        <v>46218</v>
      </c>
      <c r="N19535" t="str">
        <f>IF(M19535="","",'Master Barang'!A29)</f>
        <v>PRL-028</v>
      </c>
      <c r="O19535" t="str">
        <f>IF(N19535="","",'Master Barang'!B29)</f>
        <v>ctik plastik 7x10 100 pcs</v>
      </c>
      <c r="P19535">
        <f>IF(OR(M19535="",N19535=""),"",SUMIFS('Barang Keluar'!$E:$E,'Barang Keluar'!$A:$A,M19535,'Barang Keluar'!$C:$C,N19535))</f>
        <v>0</v>
      </c>
    </row>
    <row r="19536" spans="13:16">
      <c r="M19536" s="49">
        <f>IF($A$4+195&gt;$B$4,"",$A$4+195)</f>
        <v>46218</v>
      </c>
      <c r="N19536" t="str">
        <f>IF(M19536="","",'Master Barang'!A30)</f>
        <v>PRL-029</v>
      </c>
      <c r="O19536" t="str">
        <f>IF(N19536="","",'Master Barang'!B30)</f>
        <v>ctik plastik 6x10 100 pcs</v>
      </c>
      <c r="P19536">
        <f>IF(OR(M19536="",N19536=""),"",SUMIFS('Barang Keluar'!$E:$E,'Barang Keluar'!$A:$A,M19536,'Barang Keluar'!$C:$C,N19536))</f>
        <v>0</v>
      </c>
    </row>
    <row r="19537" spans="13:16">
      <c r="M19537" s="49">
        <f>IF($A$4+195&gt;$B$4,"",$A$4+195)</f>
        <v>46218</v>
      </c>
      <c r="N19537" t="str">
        <f>IF(M19537="","",'Master Barang'!A31)</f>
        <v>PRL-030</v>
      </c>
      <c r="O19537" t="str">
        <f>IF(N19537="","",'Master Barang'!B31)</f>
        <v>klip plastik 25x16 100 pcs</v>
      </c>
      <c r="P19537">
        <f>IF(OR(M19537="",N19537=""),"",SUMIFS('Barang Keluar'!$E:$E,'Barang Keluar'!$A:$A,M19537,'Barang Keluar'!$C:$C,N19537))</f>
        <v>0</v>
      </c>
    </row>
    <row r="19538" spans="13:16">
      <c r="M19538" s="49">
        <f>IF($A$4+195&gt;$B$4,"",$A$4+195)</f>
        <v>46218</v>
      </c>
      <c r="N19538" t="str">
        <f>IF(M19538="","",'Master Barang'!A32)</f>
        <v>PRL-031</v>
      </c>
      <c r="O19538" t="str">
        <f>IF(N19538="","",'Master Barang'!B32)</f>
        <v>tempat saus 20 ml</v>
      </c>
      <c r="P19538">
        <f>IF(OR(M19538="",N19538=""),"",SUMIFS('Barang Keluar'!$E:$E,'Barang Keluar'!$A:$A,M19538,'Barang Keluar'!$C:$C,N19538))</f>
        <v>0</v>
      </c>
    </row>
    <row r="19539" spans="13:16">
      <c r="M19539" s="49">
        <f>IF($A$4+195&gt;$B$4,"",$A$4+195)</f>
        <v>46218</v>
      </c>
      <c r="N19539" t="str">
        <f>IF(M19539="","",'Master Barang'!A33)</f>
        <v>PRL-032</v>
      </c>
      <c r="O19539" t="str">
        <f>IF(N19539="","",'Master Barang'!B33)</f>
        <v>plastik packaging ag box uk sedang</v>
      </c>
      <c r="P19539">
        <f>IF(OR(M19539="",N19539=""),"",SUMIFS('Barang Keluar'!$E:$E,'Barang Keluar'!$A:$A,M19539,'Barang Keluar'!$C:$C,N19539))</f>
        <v>0</v>
      </c>
    </row>
    <row r="19540" spans="13:16">
      <c r="M19540" s="49">
        <f>IF($A$4+195&gt;$B$4,"",$A$4+195)</f>
        <v>46218</v>
      </c>
      <c r="N19540" t="str">
        <f>IF(M19540="","",'Master Barang'!A34)</f>
        <v>PRL-033</v>
      </c>
      <c r="O19540">
        <f>IF(N19540="","",'Master Barang'!B34)</f>
        <v>0</v>
      </c>
      <c r="P19540">
        <f>IF(OR(M19540="",N19540=""),"",SUMIFS('Barang Keluar'!$E:$E,'Barang Keluar'!$A:$A,M19540,'Barang Keluar'!$C:$C,N19540))</f>
        <v>0</v>
      </c>
    </row>
    <row r="19541" spans="13:16">
      <c r="M19541" s="49">
        <f>IF($A$4+195&gt;$B$4,"",$A$4+195)</f>
        <v>46218</v>
      </c>
      <c r="N19541">
        <f>IF(M19541="","",'Master Barang'!A35)</f>
        <v>0</v>
      </c>
      <c r="O19541">
        <f>IF(N19541="","",'Master Barang'!B35)</f>
        <v>0</v>
      </c>
      <c r="P19541">
        <f>IF(OR(M19541="",N19541=""),"",SUMIFS('Barang Keluar'!$E:$E,'Barang Keluar'!$A:$A,M19541,'Barang Keluar'!$C:$C,N19541))</f>
        <v>0</v>
      </c>
    </row>
    <row r="19542" spans="13:16">
      <c r="M19542" s="49">
        <f>IF($A$4+195&gt;$B$4,"",$A$4+195)</f>
        <v>46218</v>
      </c>
      <c r="N19542">
        <f>IF(M19542="","",'Master Barang'!A36)</f>
        <v>0</v>
      </c>
      <c r="O19542">
        <f>IF(N19542="","",'Master Barang'!B36)</f>
        <v>0</v>
      </c>
      <c r="P19542">
        <f>IF(OR(M19542="",N19542=""),"",SUMIFS('Barang Keluar'!$E:$E,'Barang Keluar'!$A:$A,M19542,'Barang Keluar'!$C:$C,N19542))</f>
        <v>0</v>
      </c>
    </row>
    <row r="19543" spans="13:16">
      <c r="M19543" s="49">
        <f>IF($A$4+195&gt;$B$4,"",$A$4+195)</f>
        <v>46218</v>
      </c>
      <c r="N19543">
        <f>IF(M19543="","",'Master Barang'!A37)</f>
        <v>0</v>
      </c>
      <c r="O19543">
        <f>IF(N19543="","",'Master Barang'!B37)</f>
        <v>0</v>
      </c>
      <c r="P19543">
        <f>IF(OR(M19543="",N19543=""),"",SUMIFS('Barang Keluar'!$E:$E,'Barang Keluar'!$A:$A,M19543,'Barang Keluar'!$C:$C,N19543))</f>
        <v>0</v>
      </c>
    </row>
    <row r="19544" spans="13:16">
      <c r="M19544" s="49">
        <f>IF($A$4+195&gt;$B$4,"",$A$4+195)</f>
        <v>46218</v>
      </c>
      <c r="N19544">
        <f>IF(M19544="","",'Master Barang'!A38)</f>
        <v>0</v>
      </c>
      <c r="O19544">
        <f>IF(N19544="","",'Master Barang'!B38)</f>
        <v>0</v>
      </c>
      <c r="P19544">
        <f>IF(OR(M19544="",N19544=""),"",SUMIFS('Barang Keluar'!$E:$E,'Barang Keluar'!$A:$A,M19544,'Barang Keluar'!$C:$C,N19544))</f>
        <v>0</v>
      </c>
    </row>
    <row r="19545" spans="13:16">
      <c r="M19545" s="49">
        <f>IF($A$4+195&gt;$B$4,"",$A$4+195)</f>
        <v>46218</v>
      </c>
      <c r="N19545">
        <f>IF(M19545="","",'Master Barang'!A39)</f>
        <v>0</v>
      </c>
      <c r="O19545">
        <f>IF(N19545="","",'Master Barang'!B39)</f>
        <v>0</v>
      </c>
      <c r="P19545">
        <f>IF(OR(M19545="",N19545=""),"",SUMIFS('Barang Keluar'!$E:$E,'Barang Keluar'!$A:$A,M19545,'Barang Keluar'!$C:$C,N19545))</f>
        <v>0</v>
      </c>
    </row>
    <row r="19546" spans="13:16">
      <c r="M19546" s="49">
        <f>IF($A$4+195&gt;$B$4,"",$A$4+195)</f>
        <v>46218</v>
      </c>
      <c r="N19546">
        <f>IF(M19546="","",'Master Barang'!A40)</f>
        <v>0</v>
      </c>
      <c r="O19546">
        <f>IF(N19546="","",'Master Barang'!B40)</f>
        <v>0</v>
      </c>
      <c r="P19546">
        <f>IF(OR(M19546="",N19546=""),"",SUMIFS('Barang Keluar'!$E:$E,'Barang Keluar'!$A:$A,M19546,'Barang Keluar'!$C:$C,N19546))</f>
        <v>0</v>
      </c>
    </row>
    <row r="19547" spans="13:16">
      <c r="M19547" s="49">
        <f>IF($A$4+195&gt;$B$4,"",$A$4+195)</f>
        <v>46218</v>
      </c>
      <c r="N19547">
        <f>IF(M19547="","",'Master Barang'!A41)</f>
        <v>0</v>
      </c>
      <c r="O19547">
        <f>IF(N19547="","",'Master Barang'!B41)</f>
        <v>0</v>
      </c>
      <c r="P19547">
        <f>IF(OR(M19547="",N19547=""),"",SUMIFS('Barang Keluar'!$E:$E,'Barang Keluar'!$A:$A,M19547,'Barang Keluar'!$C:$C,N19547))</f>
        <v>0</v>
      </c>
    </row>
    <row r="19548" spans="13:16">
      <c r="M19548" s="49">
        <f>IF($A$4+195&gt;$B$4,"",$A$4+195)</f>
        <v>46218</v>
      </c>
      <c r="N19548">
        <f>IF(M19548="","",'Master Barang'!A42)</f>
        <v>0</v>
      </c>
      <c r="O19548">
        <f>IF(N19548="","",'Master Barang'!B42)</f>
        <v>0</v>
      </c>
      <c r="P19548">
        <f>IF(OR(M19548="",N19548=""),"",SUMIFS('Barang Keluar'!$E:$E,'Barang Keluar'!$A:$A,M19548,'Barang Keluar'!$C:$C,N19548))</f>
        <v>0</v>
      </c>
    </row>
    <row r="19549" spans="13:16">
      <c r="M19549" s="49">
        <f>IF($A$4+195&gt;$B$4,"",$A$4+195)</f>
        <v>46218</v>
      </c>
      <c r="N19549">
        <f>IF(M19549="","",'Master Barang'!A43)</f>
        <v>0</v>
      </c>
      <c r="O19549">
        <f>IF(N19549="","",'Master Barang'!B43)</f>
        <v>0</v>
      </c>
      <c r="P19549">
        <f>IF(OR(M19549="",N19549=""),"",SUMIFS('Barang Keluar'!$E:$E,'Barang Keluar'!$A:$A,M19549,'Barang Keluar'!$C:$C,N19549))</f>
        <v>0</v>
      </c>
    </row>
    <row r="19550" spans="13:16">
      <c r="M19550" s="49">
        <f>IF($A$4+195&gt;$B$4,"",$A$4+195)</f>
        <v>46218</v>
      </c>
      <c r="N19550">
        <f>IF(M19550="","",'Master Barang'!A44)</f>
        <v>0</v>
      </c>
      <c r="O19550">
        <f>IF(N19550="","",'Master Barang'!B44)</f>
        <v>0</v>
      </c>
      <c r="P19550">
        <f>IF(OR(M19550="",N19550=""),"",SUMIFS('Barang Keluar'!$E:$E,'Barang Keluar'!$A:$A,M19550,'Barang Keluar'!$C:$C,N19550))</f>
        <v>0</v>
      </c>
    </row>
    <row r="19551" spans="13:16">
      <c r="M19551" s="49">
        <f>IF($A$4+195&gt;$B$4,"",$A$4+195)</f>
        <v>46218</v>
      </c>
      <c r="N19551">
        <f>IF(M19551="","",'Master Barang'!A45)</f>
        <v>0</v>
      </c>
      <c r="O19551">
        <f>IF(N19551="","",'Master Barang'!B45)</f>
        <v>0</v>
      </c>
      <c r="P19551">
        <f>IF(OR(M19551="",N19551=""),"",SUMIFS('Barang Keluar'!$E:$E,'Barang Keluar'!$A:$A,M19551,'Barang Keluar'!$C:$C,N19551))</f>
        <v>0</v>
      </c>
    </row>
    <row r="19552" spans="13:16">
      <c r="M19552" s="49">
        <f>IF($A$4+195&gt;$B$4,"",$A$4+195)</f>
        <v>46218</v>
      </c>
      <c r="N19552">
        <f>IF(M19552="","",'Master Barang'!A46)</f>
        <v>0</v>
      </c>
      <c r="O19552">
        <f>IF(N19552="","",'Master Barang'!B46)</f>
        <v>0</v>
      </c>
      <c r="P19552">
        <f>IF(OR(M19552="",N19552=""),"",SUMIFS('Barang Keluar'!$E:$E,'Barang Keluar'!$A:$A,M19552,'Barang Keluar'!$C:$C,N19552))</f>
        <v>0</v>
      </c>
    </row>
    <row r="19553" spans="13:16">
      <c r="M19553" s="49">
        <f>IF($A$4+195&gt;$B$4,"",$A$4+195)</f>
        <v>46218</v>
      </c>
      <c r="N19553">
        <f>IF(M19553="","",'Master Barang'!A47)</f>
        <v>0</v>
      </c>
      <c r="O19553">
        <f>IF(N19553="","",'Master Barang'!B47)</f>
        <v>0</v>
      </c>
      <c r="P19553">
        <f>IF(OR(M19553="",N19553=""),"",SUMIFS('Barang Keluar'!$E:$E,'Barang Keluar'!$A:$A,M19553,'Barang Keluar'!$C:$C,N19553))</f>
        <v>0</v>
      </c>
    </row>
    <row r="19554" spans="13:16">
      <c r="M19554" s="49">
        <f>IF($A$4+195&gt;$B$4,"",$A$4+195)</f>
        <v>46218</v>
      </c>
      <c r="N19554">
        <f>IF(M19554="","",'Master Barang'!A48)</f>
        <v>0</v>
      </c>
      <c r="O19554">
        <f>IF(N19554="","",'Master Barang'!B48)</f>
        <v>0</v>
      </c>
      <c r="P19554">
        <f>IF(OR(M19554="",N19554=""),"",SUMIFS('Barang Keluar'!$E:$E,'Barang Keluar'!$A:$A,M19554,'Barang Keluar'!$C:$C,N19554))</f>
        <v>0</v>
      </c>
    </row>
    <row r="19555" spans="13:16">
      <c r="M19555" s="49">
        <f>IF($A$4+195&gt;$B$4,"",$A$4+195)</f>
        <v>46218</v>
      </c>
      <c r="N19555">
        <f>IF(M19555="","",'Master Barang'!A49)</f>
        <v>0</v>
      </c>
      <c r="O19555">
        <f>IF(N19555="","",'Master Barang'!B49)</f>
        <v>0</v>
      </c>
      <c r="P19555">
        <f>IF(OR(M19555="",N19555=""),"",SUMIFS('Barang Keluar'!$E:$E,'Barang Keluar'!$A:$A,M19555,'Barang Keluar'!$C:$C,N19555))</f>
        <v>0</v>
      </c>
    </row>
    <row r="19556" spans="13:16">
      <c r="M19556" s="49">
        <f>IF($A$4+195&gt;$B$4,"",$A$4+195)</f>
        <v>46218</v>
      </c>
      <c r="N19556">
        <f>IF(M19556="","",'Master Barang'!A50)</f>
        <v>0</v>
      </c>
      <c r="O19556">
        <f>IF(N19556="","",'Master Barang'!B50)</f>
        <v>0</v>
      </c>
      <c r="P19556">
        <f>IF(OR(M19556="",N19556=""),"",SUMIFS('Barang Keluar'!$E:$E,'Barang Keluar'!$A:$A,M19556,'Barang Keluar'!$C:$C,N19556))</f>
        <v>0</v>
      </c>
    </row>
    <row r="19557" spans="13:16">
      <c r="M19557" s="49">
        <f>IF($A$4+195&gt;$B$4,"",$A$4+195)</f>
        <v>46218</v>
      </c>
      <c r="N19557">
        <f>IF(M19557="","",'Master Barang'!A51)</f>
        <v>0</v>
      </c>
      <c r="O19557">
        <f>IF(N19557="","",'Master Barang'!B51)</f>
        <v>0</v>
      </c>
      <c r="P19557">
        <f>IF(OR(M19557="",N19557=""),"",SUMIFS('Barang Keluar'!$E:$E,'Barang Keluar'!$A:$A,M19557,'Barang Keluar'!$C:$C,N19557))</f>
        <v>0</v>
      </c>
    </row>
    <row r="19558" spans="13:16">
      <c r="M19558" s="49">
        <f>IF($A$4+195&gt;$B$4,"",$A$4+195)</f>
        <v>46218</v>
      </c>
      <c r="N19558">
        <f>IF(M19558="","",'Master Barang'!A52)</f>
        <v>0</v>
      </c>
      <c r="O19558">
        <f>IF(N19558="","",'Master Barang'!B52)</f>
        <v>0</v>
      </c>
      <c r="P19558">
        <f>IF(OR(M19558="",N19558=""),"",SUMIFS('Barang Keluar'!$E:$E,'Barang Keluar'!$A:$A,M19558,'Barang Keluar'!$C:$C,N19558))</f>
        <v>0</v>
      </c>
    </row>
    <row r="19559" spans="13:16">
      <c r="M19559" s="49">
        <f>IF($A$4+195&gt;$B$4,"",$A$4+195)</f>
        <v>46218</v>
      </c>
      <c r="N19559">
        <f>IF(M19559="","",'Master Barang'!A53)</f>
        <v>0</v>
      </c>
      <c r="O19559">
        <f>IF(N19559="","",'Master Barang'!B53)</f>
        <v>0</v>
      </c>
      <c r="P19559">
        <f>IF(OR(M19559="",N19559=""),"",SUMIFS('Barang Keluar'!$E:$E,'Barang Keluar'!$A:$A,M19559,'Barang Keluar'!$C:$C,N19559))</f>
        <v>0</v>
      </c>
    </row>
    <row r="19560" spans="13:16">
      <c r="M19560" s="49">
        <f>IF($A$4+195&gt;$B$4,"",$A$4+195)</f>
        <v>46218</v>
      </c>
      <c r="N19560">
        <f>IF(M19560="","",'Master Barang'!A54)</f>
        <v>0</v>
      </c>
      <c r="O19560">
        <f>IF(N19560="","",'Master Barang'!B54)</f>
        <v>0</v>
      </c>
      <c r="P19560">
        <f>IF(OR(M19560="",N19560=""),"",SUMIFS('Barang Keluar'!$E:$E,'Barang Keluar'!$A:$A,M19560,'Barang Keluar'!$C:$C,N19560))</f>
        <v>0</v>
      </c>
    </row>
    <row r="19561" spans="13:16">
      <c r="M19561" s="49">
        <f>IF($A$4+195&gt;$B$4,"",$A$4+195)</f>
        <v>46218</v>
      </c>
      <c r="N19561">
        <f>IF(M19561="","",'Master Barang'!A55)</f>
        <v>0</v>
      </c>
      <c r="O19561">
        <f>IF(N19561="","",'Master Barang'!B55)</f>
        <v>0</v>
      </c>
      <c r="P19561">
        <f>IF(OR(M19561="",N19561=""),"",SUMIFS('Barang Keluar'!$E:$E,'Barang Keluar'!$A:$A,M19561,'Barang Keluar'!$C:$C,N19561))</f>
        <v>0</v>
      </c>
    </row>
    <row r="19562" spans="13:16">
      <c r="M19562" s="49">
        <f>IF($A$4+195&gt;$B$4,"",$A$4+195)</f>
        <v>46218</v>
      </c>
      <c r="N19562">
        <f>IF(M19562="","",'Master Barang'!A56)</f>
        <v>0</v>
      </c>
      <c r="O19562">
        <f>IF(N19562="","",'Master Barang'!B56)</f>
        <v>0</v>
      </c>
      <c r="P19562">
        <f>IF(OR(M19562="",N19562=""),"",SUMIFS('Barang Keluar'!$E:$E,'Barang Keluar'!$A:$A,M19562,'Barang Keluar'!$C:$C,N19562))</f>
        <v>0</v>
      </c>
    </row>
    <row r="19563" spans="13:16">
      <c r="M19563" s="49">
        <f>IF($A$4+195&gt;$B$4,"",$A$4+195)</f>
        <v>46218</v>
      </c>
      <c r="N19563">
        <f>IF(M19563="","",'Master Barang'!A57)</f>
        <v>0</v>
      </c>
      <c r="O19563">
        <f>IF(N19563="","",'Master Barang'!B57)</f>
        <v>0</v>
      </c>
      <c r="P19563">
        <f>IF(OR(M19563="",N19563=""),"",SUMIFS('Barang Keluar'!$E:$E,'Barang Keluar'!$A:$A,M19563,'Barang Keluar'!$C:$C,N19563))</f>
        <v>0</v>
      </c>
    </row>
    <row r="19564" spans="13:16">
      <c r="M19564" s="49">
        <f>IF($A$4+195&gt;$B$4,"",$A$4+195)</f>
        <v>46218</v>
      </c>
      <c r="N19564">
        <f>IF(M19564="","",'Master Barang'!A58)</f>
        <v>0</v>
      </c>
      <c r="O19564">
        <f>IF(N19564="","",'Master Barang'!B58)</f>
        <v>0</v>
      </c>
      <c r="P19564">
        <f>IF(OR(M19564="",N19564=""),"",SUMIFS('Barang Keluar'!$E:$E,'Barang Keluar'!$A:$A,M19564,'Barang Keluar'!$C:$C,N19564))</f>
        <v>0</v>
      </c>
    </row>
    <row r="19565" spans="13:16">
      <c r="M19565" s="49">
        <f>IF($A$4+195&gt;$B$4,"",$A$4+195)</f>
        <v>46218</v>
      </c>
      <c r="N19565">
        <f>IF(M19565="","",'Master Barang'!A59)</f>
        <v>0</v>
      </c>
      <c r="O19565">
        <f>IF(N19565="","",'Master Barang'!B59)</f>
        <v>0</v>
      </c>
      <c r="P19565">
        <f>IF(OR(M19565="",N19565=""),"",SUMIFS('Barang Keluar'!$E:$E,'Barang Keluar'!$A:$A,M19565,'Barang Keluar'!$C:$C,N19565))</f>
        <v>0</v>
      </c>
    </row>
    <row r="19566" spans="13:16">
      <c r="M19566" s="49">
        <f>IF($A$4+195&gt;$B$4,"",$A$4+195)</f>
        <v>46218</v>
      </c>
      <c r="N19566">
        <f>IF(M19566="","",'Master Barang'!A60)</f>
        <v>0</v>
      </c>
      <c r="O19566">
        <f>IF(N19566="","",'Master Barang'!B60)</f>
        <v>0</v>
      </c>
      <c r="P19566">
        <f>IF(OR(M19566="",N19566=""),"",SUMIFS('Barang Keluar'!$E:$E,'Barang Keluar'!$A:$A,M19566,'Barang Keluar'!$C:$C,N19566))</f>
        <v>0</v>
      </c>
    </row>
    <row r="19567" spans="13:16">
      <c r="M19567" s="49">
        <f>IF($A$4+195&gt;$B$4,"",$A$4+195)</f>
        <v>46218</v>
      </c>
      <c r="N19567">
        <f>IF(M19567="","",'Master Barang'!A61)</f>
        <v>0</v>
      </c>
      <c r="O19567">
        <f>IF(N19567="","",'Master Barang'!B61)</f>
        <v>0</v>
      </c>
      <c r="P19567">
        <f>IF(OR(M19567="",N19567=""),"",SUMIFS('Barang Keluar'!$E:$E,'Barang Keluar'!$A:$A,M19567,'Barang Keluar'!$C:$C,N19567))</f>
        <v>0</v>
      </c>
    </row>
    <row r="19568" spans="13:16">
      <c r="M19568" s="49">
        <f>IF($A$4+195&gt;$B$4,"",$A$4+195)</f>
        <v>46218</v>
      </c>
      <c r="N19568">
        <f>IF(M19568="","",'Master Barang'!A62)</f>
        <v>0</v>
      </c>
      <c r="O19568">
        <f>IF(N19568="","",'Master Barang'!B62)</f>
        <v>0</v>
      </c>
      <c r="P19568">
        <f>IF(OR(M19568="",N19568=""),"",SUMIFS('Barang Keluar'!$E:$E,'Barang Keluar'!$A:$A,M19568,'Barang Keluar'!$C:$C,N19568))</f>
        <v>0</v>
      </c>
    </row>
    <row r="19569" spans="13:16">
      <c r="M19569" s="49">
        <f>IF($A$4+195&gt;$B$4,"",$A$4+195)</f>
        <v>46218</v>
      </c>
      <c r="N19569">
        <f>IF(M19569="","",'Master Barang'!A63)</f>
        <v>0</v>
      </c>
      <c r="O19569">
        <f>IF(N19569="","",'Master Barang'!B63)</f>
        <v>0</v>
      </c>
      <c r="P19569">
        <f>IF(OR(M19569="",N19569=""),"",SUMIFS('Barang Keluar'!$E:$E,'Barang Keluar'!$A:$A,M19569,'Barang Keluar'!$C:$C,N19569))</f>
        <v>0</v>
      </c>
    </row>
    <row r="19570" spans="13:16">
      <c r="M19570" s="49">
        <f>IF($A$4+195&gt;$B$4,"",$A$4+195)</f>
        <v>46218</v>
      </c>
      <c r="N19570">
        <f>IF(M19570="","",'Master Barang'!A64)</f>
        <v>0</v>
      </c>
      <c r="O19570">
        <f>IF(N19570="","",'Master Barang'!B64)</f>
        <v>0</v>
      </c>
      <c r="P19570">
        <f>IF(OR(M19570="",N19570=""),"",SUMIFS('Barang Keluar'!$E:$E,'Barang Keluar'!$A:$A,M19570,'Barang Keluar'!$C:$C,N19570))</f>
        <v>0</v>
      </c>
    </row>
    <row r="19571" spans="13:16">
      <c r="M19571" s="49">
        <f>IF($A$4+195&gt;$B$4,"",$A$4+195)</f>
        <v>46218</v>
      </c>
      <c r="N19571">
        <f>IF(M19571="","",'Master Barang'!A65)</f>
        <v>0</v>
      </c>
      <c r="O19571">
        <f>IF(N19571="","",'Master Barang'!B65)</f>
        <v>0</v>
      </c>
      <c r="P19571">
        <f>IF(OR(M19571="",N19571=""),"",SUMIFS('Barang Keluar'!$E:$E,'Barang Keluar'!$A:$A,M19571,'Barang Keluar'!$C:$C,N19571))</f>
        <v>0</v>
      </c>
    </row>
    <row r="19572" spans="13:16">
      <c r="M19572" s="49">
        <f>IF($A$4+195&gt;$B$4,"",$A$4+195)</f>
        <v>46218</v>
      </c>
      <c r="N19572">
        <f>IF(M19572="","",'Master Barang'!A66)</f>
        <v>0</v>
      </c>
      <c r="O19572">
        <f>IF(N19572="","",'Master Barang'!B66)</f>
        <v>0</v>
      </c>
      <c r="P19572">
        <f>IF(OR(M19572="",N19572=""),"",SUMIFS('Barang Keluar'!$E:$E,'Barang Keluar'!$A:$A,M19572,'Barang Keluar'!$C:$C,N19572))</f>
        <v>0</v>
      </c>
    </row>
    <row r="19573" spans="13:16">
      <c r="M19573" s="49">
        <f>IF($A$4+195&gt;$B$4,"",$A$4+195)</f>
        <v>46218</v>
      </c>
      <c r="N19573">
        <f>IF(M19573="","",'Master Barang'!A67)</f>
        <v>0</v>
      </c>
      <c r="O19573">
        <f>IF(N19573="","",'Master Barang'!B67)</f>
        <v>0</v>
      </c>
      <c r="P19573">
        <f>IF(OR(M19573="",N19573=""),"",SUMIFS('Barang Keluar'!$E:$E,'Barang Keluar'!$A:$A,M19573,'Barang Keluar'!$C:$C,N19573))</f>
        <v>0</v>
      </c>
    </row>
    <row r="19574" spans="13:16">
      <c r="M19574" s="49">
        <f>IF($A$4+195&gt;$B$4,"",$A$4+195)</f>
        <v>46218</v>
      </c>
      <c r="N19574">
        <f>IF(M19574="","",'Master Barang'!A68)</f>
        <v>0</v>
      </c>
      <c r="O19574">
        <f>IF(N19574="","",'Master Barang'!B68)</f>
        <v>0</v>
      </c>
      <c r="P19574">
        <f>IF(OR(M19574="",N19574=""),"",SUMIFS('Barang Keluar'!$E:$E,'Barang Keluar'!$A:$A,M19574,'Barang Keluar'!$C:$C,N19574))</f>
        <v>0</v>
      </c>
    </row>
    <row r="19575" spans="13:16">
      <c r="M19575" s="49">
        <f>IF($A$4+195&gt;$B$4,"",$A$4+195)</f>
        <v>46218</v>
      </c>
      <c r="N19575">
        <f>IF(M19575="","",'Master Barang'!A69)</f>
        <v>0</v>
      </c>
      <c r="O19575">
        <f>IF(N19575="","",'Master Barang'!B69)</f>
        <v>0</v>
      </c>
      <c r="P19575">
        <f>IF(OR(M19575="",N19575=""),"",SUMIFS('Barang Keluar'!$E:$E,'Barang Keluar'!$A:$A,M19575,'Barang Keluar'!$C:$C,N19575))</f>
        <v>0</v>
      </c>
    </row>
    <row r="19576" spans="13:16">
      <c r="M19576" s="49">
        <f>IF($A$4+195&gt;$B$4,"",$A$4+195)</f>
        <v>46218</v>
      </c>
      <c r="N19576">
        <f>IF(M19576="","",'Master Barang'!A70)</f>
        <v>0</v>
      </c>
      <c r="O19576">
        <f>IF(N19576="","",'Master Barang'!B70)</f>
        <v>0</v>
      </c>
      <c r="P19576">
        <f>IF(OR(M19576="",N19576=""),"",SUMIFS('Barang Keluar'!$E:$E,'Barang Keluar'!$A:$A,M19576,'Barang Keluar'!$C:$C,N19576))</f>
        <v>0</v>
      </c>
    </row>
    <row r="19577" spans="13:16">
      <c r="M19577" s="49">
        <f>IF($A$4+195&gt;$B$4,"",$A$4+195)</f>
        <v>46218</v>
      </c>
      <c r="N19577">
        <f>IF(M19577="","",'Master Barang'!A71)</f>
        <v>0</v>
      </c>
      <c r="O19577">
        <f>IF(N19577="","",'Master Barang'!B71)</f>
        <v>0</v>
      </c>
      <c r="P19577">
        <f>IF(OR(M19577="",N19577=""),"",SUMIFS('Barang Keluar'!$E:$E,'Barang Keluar'!$A:$A,M19577,'Barang Keluar'!$C:$C,N19577))</f>
        <v>0</v>
      </c>
    </row>
    <row r="19578" spans="13:16">
      <c r="M19578" s="49">
        <f>IF($A$4+195&gt;$B$4,"",$A$4+195)</f>
        <v>46218</v>
      </c>
      <c r="N19578">
        <f>IF(M19578="","",'Master Barang'!A72)</f>
        <v>0</v>
      </c>
      <c r="O19578">
        <f>IF(N19578="","",'Master Barang'!B72)</f>
        <v>0</v>
      </c>
      <c r="P19578">
        <f>IF(OR(M19578="",N19578=""),"",SUMIFS('Barang Keluar'!$E:$E,'Barang Keluar'!$A:$A,M19578,'Barang Keluar'!$C:$C,N19578))</f>
        <v>0</v>
      </c>
    </row>
    <row r="19579" spans="13:16">
      <c r="M19579" s="49">
        <f>IF($A$4+195&gt;$B$4,"",$A$4+195)</f>
        <v>46218</v>
      </c>
      <c r="N19579">
        <f>IF(M19579="","",'Master Barang'!A73)</f>
        <v>0</v>
      </c>
      <c r="O19579">
        <f>IF(N19579="","",'Master Barang'!B73)</f>
        <v>0</v>
      </c>
      <c r="P19579">
        <f>IF(OR(M19579="",N19579=""),"",SUMIFS('Barang Keluar'!$E:$E,'Barang Keluar'!$A:$A,M19579,'Barang Keluar'!$C:$C,N19579))</f>
        <v>0</v>
      </c>
    </row>
    <row r="19580" spans="13:16">
      <c r="M19580" s="49">
        <f>IF($A$4+195&gt;$B$4,"",$A$4+195)</f>
        <v>46218</v>
      </c>
      <c r="N19580">
        <f>IF(M19580="","",'Master Barang'!A74)</f>
        <v>0</v>
      </c>
      <c r="O19580">
        <f>IF(N19580="","",'Master Barang'!B74)</f>
        <v>0</v>
      </c>
      <c r="P19580">
        <f>IF(OR(M19580="",N19580=""),"",SUMIFS('Barang Keluar'!$E:$E,'Barang Keluar'!$A:$A,M19580,'Barang Keluar'!$C:$C,N19580))</f>
        <v>0</v>
      </c>
    </row>
    <row r="19581" spans="13:16">
      <c r="M19581" s="49">
        <f>IF($A$4+195&gt;$B$4,"",$A$4+195)</f>
        <v>46218</v>
      </c>
      <c r="N19581">
        <f>IF(M19581="","",'Master Barang'!A75)</f>
        <v>0</v>
      </c>
      <c r="O19581">
        <f>IF(N19581="","",'Master Barang'!B75)</f>
        <v>0</v>
      </c>
      <c r="P19581">
        <f>IF(OR(M19581="",N19581=""),"",SUMIFS('Barang Keluar'!$E:$E,'Barang Keluar'!$A:$A,M19581,'Barang Keluar'!$C:$C,N19581))</f>
        <v>0</v>
      </c>
    </row>
    <row r="19582" spans="13:16">
      <c r="M19582" s="49">
        <f>IF($A$4+195&gt;$B$4,"",$A$4+195)</f>
        <v>46218</v>
      </c>
      <c r="N19582">
        <f>IF(M19582="","",'Master Barang'!A76)</f>
        <v>0</v>
      </c>
      <c r="O19582">
        <f>IF(N19582="","",'Master Barang'!B76)</f>
        <v>0</v>
      </c>
      <c r="P19582">
        <f>IF(OR(M19582="",N19582=""),"",SUMIFS('Barang Keluar'!$E:$E,'Barang Keluar'!$A:$A,M19582,'Barang Keluar'!$C:$C,N19582))</f>
        <v>0</v>
      </c>
    </row>
    <row r="19583" spans="13:16">
      <c r="M19583" s="49">
        <f>IF($A$4+195&gt;$B$4,"",$A$4+195)</f>
        <v>46218</v>
      </c>
      <c r="N19583">
        <f>IF(M19583="","",'Master Barang'!A77)</f>
        <v>0</v>
      </c>
      <c r="O19583">
        <f>IF(N19583="","",'Master Barang'!B77)</f>
        <v>0</v>
      </c>
      <c r="P19583">
        <f>IF(OR(M19583="",N19583=""),"",SUMIFS('Barang Keluar'!$E:$E,'Barang Keluar'!$A:$A,M19583,'Barang Keluar'!$C:$C,N19583))</f>
        <v>0</v>
      </c>
    </row>
    <row r="19584" spans="13:16">
      <c r="M19584" s="49">
        <f>IF($A$4+195&gt;$B$4,"",$A$4+195)</f>
        <v>46218</v>
      </c>
      <c r="N19584">
        <f>IF(M19584="","",'Master Barang'!A78)</f>
        <v>0</v>
      </c>
      <c r="O19584">
        <f>IF(N19584="","",'Master Barang'!B78)</f>
        <v>0</v>
      </c>
      <c r="P19584">
        <f>IF(OR(M19584="",N19584=""),"",SUMIFS('Barang Keluar'!$E:$E,'Barang Keluar'!$A:$A,M19584,'Barang Keluar'!$C:$C,N19584))</f>
        <v>0</v>
      </c>
    </row>
    <row r="19585" spans="13:16">
      <c r="M19585" s="49">
        <f>IF($A$4+195&gt;$B$4,"",$A$4+195)</f>
        <v>46218</v>
      </c>
      <c r="N19585">
        <f>IF(M19585="","",'Master Barang'!A79)</f>
        <v>0</v>
      </c>
      <c r="O19585">
        <f>IF(N19585="","",'Master Barang'!B79)</f>
        <v>0</v>
      </c>
      <c r="P19585">
        <f>IF(OR(M19585="",N19585=""),"",SUMIFS('Barang Keluar'!$E:$E,'Barang Keluar'!$A:$A,M19585,'Barang Keluar'!$C:$C,N19585))</f>
        <v>0</v>
      </c>
    </row>
    <row r="19586" spans="13:16">
      <c r="M19586" s="49">
        <f>IF($A$4+195&gt;$B$4,"",$A$4+195)</f>
        <v>46218</v>
      </c>
      <c r="N19586">
        <f>IF(M19586="","",'Master Barang'!A80)</f>
        <v>0</v>
      </c>
      <c r="O19586">
        <f>IF(N19586="","",'Master Barang'!B80)</f>
        <v>0</v>
      </c>
      <c r="P19586">
        <f>IF(OR(M19586="",N19586=""),"",SUMIFS('Barang Keluar'!$E:$E,'Barang Keluar'!$A:$A,M19586,'Barang Keluar'!$C:$C,N19586))</f>
        <v>0</v>
      </c>
    </row>
    <row r="19587" spans="13:16">
      <c r="M19587" s="49">
        <f>IF($A$4+195&gt;$B$4,"",$A$4+195)</f>
        <v>46218</v>
      </c>
      <c r="N19587">
        <f>IF(M19587="","",'Master Barang'!A81)</f>
        <v>0</v>
      </c>
      <c r="O19587">
        <f>IF(N19587="","",'Master Barang'!B81)</f>
        <v>0</v>
      </c>
      <c r="P19587">
        <f>IF(OR(M19587="",N19587=""),"",SUMIFS('Barang Keluar'!$E:$E,'Barang Keluar'!$A:$A,M19587,'Barang Keluar'!$C:$C,N19587))</f>
        <v>0</v>
      </c>
    </row>
    <row r="19588" spans="13:16">
      <c r="M19588" s="49">
        <f>IF($A$4+195&gt;$B$4,"",$A$4+195)</f>
        <v>46218</v>
      </c>
      <c r="N19588">
        <f>IF(M19588="","",'Master Barang'!A82)</f>
        <v>0</v>
      </c>
      <c r="O19588">
        <f>IF(N19588="","",'Master Barang'!B82)</f>
        <v>0</v>
      </c>
      <c r="P19588">
        <f>IF(OR(M19588="",N19588=""),"",SUMIFS('Barang Keluar'!$E:$E,'Barang Keluar'!$A:$A,M19588,'Barang Keluar'!$C:$C,N19588))</f>
        <v>0</v>
      </c>
    </row>
    <row r="19589" spans="13:16">
      <c r="M19589" s="49">
        <f>IF($A$4+195&gt;$B$4,"",$A$4+195)</f>
        <v>46218</v>
      </c>
      <c r="N19589">
        <f>IF(M19589="","",'Master Barang'!A83)</f>
        <v>0</v>
      </c>
      <c r="O19589">
        <f>IF(N19589="","",'Master Barang'!B83)</f>
        <v>0</v>
      </c>
      <c r="P19589">
        <f>IF(OR(M19589="",N19589=""),"",SUMIFS('Barang Keluar'!$E:$E,'Barang Keluar'!$A:$A,M19589,'Barang Keluar'!$C:$C,N19589))</f>
        <v>0</v>
      </c>
    </row>
    <row r="19590" spans="13:16">
      <c r="M19590" s="49">
        <f>IF($A$4+195&gt;$B$4,"",$A$4+195)</f>
        <v>46218</v>
      </c>
      <c r="N19590">
        <f>IF(M19590="","",'Master Barang'!A84)</f>
        <v>0</v>
      </c>
      <c r="O19590">
        <f>IF(N19590="","",'Master Barang'!B84)</f>
        <v>0</v>
      </c>
      <c r="P19590">
        <f>IF(OR(M19590="",N19590=""),"",SUMIFS('Barang Keluar'!$E:$E,'Barang Keluar'!$A:$A,M19590,'Barang Keluar'!$C:$C,N19590))</f>
        <v>0</v>
      </c>
    </row>
    <row r="19591" spans="13:16">
      <c r="M19591" s="49">
        <f>IF($A$4+195&gt;$B$4,"",$A$4+195)</f>
        <v>46218</v>
      </c>
      <c r="N19591">
        <f>IF(M19591="","",'Master Barang'!A85)</f>
        <v>0</v>
      </c>
      <c r="O19591">
        <f>IF(N19591="","",'Master Barang'!B85)</f>
        <v>0</v>
      </c>
      <c r="P19591">
        <f>IF(OR(M19591="",N19591=""),"",SUMIFS('Barang Keluar'!$E:$E,'Barang Keluar'!$A:$A,M19591,'Barang Keluar'!$C:$C,N19591))</f>
        <v>0</v>
      </c>
    </row>
    <row r="19592" spans="13:16">
      <c r="M19592" s="49">
        <f>IF($A$4+195&gt;$B$4,"",$A$4+195)</f>
        <v>46218</v>
      </c>
      <c r="N19592">
        <f>IF(M19592="","",'Master Barang'!A86)</f>
        <v>0</v>
      </c>
      <c r="O19592">
        <f>IF(N19592="","",'Master Barang'!B86)</f>
        <v>0</v>
      </c>
      <c r="P19592">
        <f>IF(OR(M19592="",N19592=""),"",SUMIFS('Barang Keluar'!$E:$E,'Barang Keluar'!$A:$A,M19592,'Barang Keluar'!$C:$C,N19592))</f>
        <v>0</v>
      </c>
    </row>
    <row r="19593" spans="13:16">
      <c r="M19593" s="49">
        <f>IF($A$4+195&gt;$B$4,"",$A$4+195)</f>
        <v>46218</v>
      </c>
      <c r="N19593">
        <f>IF(M19593="","",'Master Barang'!A87)</f>
        <v>0</v>
      </c>
      <c r="O19593">
        <f>IF(N19593="","",'Master Barang'!B87)</f>
        <v>0</v>
      </c>
      <c r="P19593">
        <f>IF(OR(M19593="",N19593=""),"",SUMIFS('Barang Keluar'!$E:$E,'Barang Keluar'!$A:$A,M19593,'Barang Keluar'!$C:$C,N19593))</f>
        <v>0</v>
      </c>
    </row>
    <row r="19594" spans="13:16">
      <c r="M19594" s="49">
        <f>IF($A$4+195&gt;$B$4,"",$A$4+195)</f>
        <v>46218</v>
      </c>
      <c r="N19594">
        <f>IF(M19594="","",'Master Barang'!A88)</f>
        <v>0</v>
      </c>
      <c r="O19594">
        <f>IF(N19594="","",'Master Barang'!B88)</f>
        <v>0</v>
      </c>
      <c r="P19594">
        <f>IF(OR(M19594="",N19594=""),"",SUMIFS('Barang Keluar'!$E:$E,'Barang Keluar'!$A:$A,M19594,'Barang Keluar'!$C:$C,N19594))</f>
        <v>0</v>
      </c>
    </row>
    <row r="19595" spans="13:16">
      <c r="M19595" s="49">
        <f>IF($A$4+195&gt;$B$4,"",$A$4+195)</f>
        <v>46218</v>
      </c>
      <c r="N19595">
        <f>IF(M19595="","",'Master Barang'!A89)</f>
        <v>0</v>
      </c>
      <c r="O19595">
        <f>IF(N19595="","",'Master Barang'!B89)</f>
        <v>0</v>
      </c>
      <c r="P19595">
        <f>IF(OR(M19595="",N19595=""),"",SUMIFS('Barang Keluar'!$E:$E,'Barang Keluar'!$A:$A,M19595,'Barang Keluar'!$C:$C,N19595))</f>
        <v>0</v>
      </c>
    </row>
    <row r="19596" spans="13:16">
      <c r="M19596" s="49">
        <f>IF($A$4+195&gt;$B$4,"",$A$4+195)</f>
        <v>46218</v>
      </c>
      <c r="N19596">
        <f>IF(M19596="","",'Master Barang'!A90)</f>
        <v>0</v>
      </c>
      <c r="O19596">
        <f>IF(N19596="","",'Master Barang'!B90)</f>
        <v>0</v>
      </c>
      <c r="P19596">
        <f>IF(OR(M19596="",N19596=""),"",SUMIFS('Barang Keluar'!$E:$E,'Barang Keluar'!$A:$A,M19596,'Barang Keluar'!$C:$C,N19596))</f>
        <v>0</v>
      </c>
    </row>
    <row r="19597" spans="13:16">
      <c r="M19597" s="49">
        <f>IF($A$4+195&gt;$B$4,"",$A$4+195)</f>
        <v>46218</v>
      </c>
      <c r="N19597">
        <f>IF(M19597="","",'Master Barang'!A91)</f>
        <v>0</v>
      </c>
      <c r="O19597">
        <f>IF(N19597="","",'Master Barang'!B91)</f>
        <v>0</v>
      </c>
      <c r="P19597">
        <f>IF(OR(M19597="",N19597=""),"",SUMIFS('Barang Keluar'!$E:$E,'Barang Keluar'!$A:$A,M19597,'Barang Keluar'!$C:$C,N19597))</f>
        <v>0</v>
      </c>
    </row>
    <row r="19598" spans="13:16">
      <c r="M19598" s="49">
        <f>IF($A$4+195&gt;$B$4,"",$A$4+195)</f>
        <v>46218</v>
      </c>
      <c r="N19598">
        <f>IF(M19598="","",'Master Barang'!A92)</f>
        <v>0</v>
      </c>
      <c r="O19598">
        <f>IF(N19598="","",'Master Barang'!B92)</f>
        <v>0</v>
      </c>
      <c r="P19598">
        <f>IF(OR(M19598="",N19598=""),"",SUMIFS('Barang Keluar'!$E:$E,'Barang Keluar'!$A:$A,M19598,'Barang Keluar'!$C:$C,N19598))</f>
        <v>0</v>
      </c>
    </row>
    <row r="19599" spans="13:16">
      <c r="M19599" s="49">
        <f>IF($A$4+195&gt;$B$4,"",$A$4+195)</f>
        <v>46218</v>
      </c>
      <c r="N19599">
        <f>IF(M19599="","",'Master Barang'!A93)</f>
        <v>0</v>
      </c>
      <c r="O19599">
        <f>IF(N19599="","",'Master Barang'!B93)</f>
        <v>0</v>
      </c>
      <c r="P19599">
        <f>IF(OR(M19599="",N19599=""),"",SUMIFS('Barang Keluar'!$E:$E,'Barang Keluar'!$A:$A,M19599,'Barang Keluar'!$C:$C,N19599))</f>
        <v>0</v>
      </c>
    </row>
    <row r="19600" spans="13:16">
      <c r="M19600" s="49">
        <f>IF($A$4+195&gt;$B$4,"",$A$4+195)</f>
        <v>46218</v>
      </c>
      <c r="N19600">
        <f>IF(M19600="","",'Master Barang'!A94)</f>
        <v>0</v>
      </c>
      <c r="O19600">
        <f>IF(N19600="","",'Master Barang'!B94)</f>
        <v>0</v>
      </c>
      <c r="P19600">
        <f>IF(OR(M19600="",N19600=""),"",SUMIFS('Barang Keluar'!$E:$E,'Barang Keluar'!$A:$A,M19600,'Barang Keluar'!$C:$C,N19600))</f>
        <v>0</v>
      </c>
    </row>
    <row r="19601" spans="13:16">
      <c r="M19601" s="49">
        <f>IF($A$4+195&gt;$B$4,"",$A$4+195)</f>
        <v>46218</v>
      </c>
      <c r="N19601">
        <f>IF(M19601="","",'Master Barang'!A95)</f>
        <v>0</v>
      </c>
      <c r="O19601">
        <f>IF(N19601="","",'Master Barang'!B95)</f>
        <v>0</v>
      </c>
      <c r="P19601">
        <f>IF(OR(M19601="",N19601=""),"",SUMIFS('Barang Keluar'!$E:$E,'Barang Keluar'!$A:$A,M19601,'Barang Keluar'!$C:$C,N19601))</f>
        <v>0</v>
      </c>
    </row>
    <row r="19602" spans="13:16">
      <c r="M19602" s="49">
        <f>IF($A$4+195&gt;$B$4,"",$A$4+195)</f>
        <v>46218</v>
      </c>
      <c r="N19602">
        <f>IF(M19602="","",'Master Barang'!A96)</f>
        <v>0</v>
      </c>
      <c r="O19602">
        <f>IF(N19602="","",'Master Barang'!B96)</f>
        <v>0</v>
      </c>
      <c r="P19602">
        <f>IF(OR(M19602="",N19602=""),"",SUMIFS('Barang Keluar'!$E:$E,'Barang Keluar'!$A:$A,M19602,'Barang Keluar'!$C:$C,N19602))</f>
        <v>0</v>
      </c>
    </row>
    <row r="19603" spans="13:16">
      <c r="M19603" s="49">
        <f>IF($A$4+195&gt;$B$4,"",$A$4+195)</f>
        <v>46218</v>
      </c>
      <c r="N19603">
        <f>IF(M19603="","",'Master Barang'!A97)</f>
        <v>0</v>
      </c>
      <c r="O19603">
        <f>IF(N19603="","",'Master Barang'!B97)</f>
        <v>0</v>
      </c>
      <c r="P19603">
        <f>IF(OR(M19603="",N19603=""),"",SUMIFS('Barang Keluar'!$E:$E,'Barang Keluar'!$A:$A,M19603,'Barang Keluar'!$C:$C,N19603))</f>
        <v>0</v>
      </c>
    </row>
    <row r="19604" spans="13:16">
      <c r="M19604" s="49">
        <f>IF($A$4+195&gt;$B$4,"",$A$4+195)</f>
        <v>46218</v>
      </c>
      <c r="N19604">
        <f>IF(M19604="","",'Master Barang'!A98)</f>
        <v>0</v>
      </c>
      <c r="O19604">
        <f>IF(N19604="","",'Master Barang'!B98)</f>
        <v>0</v>
      </c>
      <c r="P19604">
        <f>IF(OR(M19604="",N19604=""),"",SUMIFS('Barang Keluar'!$E:$E,'Barang Keluar'!$A:$A,M19604,'Barang Keluar'!$C:$C,N19604))</f>
        <v>0</v>
      </c>
    </row>
    <row r="19605" spans="13:16">
      <c r="M19605" s="49">
        <f>IF($A$4+195&gt;$B$4,"",$A$4+195)</f>
        <v>46218</v>
      </c>
      <c r="N19605">
        <f>IF(M19605="","",'Master Barang'!A99)</f>
        <v>0</v>
      </c>
      <c r="O19605">
        <f>IF(N19605="","",'Master Barang'!B99)</f>
        <v>0</v>
      </c>
      <c r="P19605">
        <f>IF(OR(M19605="",N19605=""),"",SUMIFS('Barang Keluar'!$E:$E,'Barang Keluar'!$A:$A,M19605,'Barang Keluar'!$C:$C,N19605))</f>
        <v>0</v>
      </c>
    </row>
    <row r="19606" spans="13:16">
      <c r="M19606" s="49">
        <f>IF($A$4+195&gt;$B$4,"",$A$4+195)</f>
        <v>46218</v>
      </c>
      <c r="N19606">
        <f>IF(M19606="","",'Master Barang'!A100)</f>
        <v>0</v>
      </c>
      <c r="O19606">
        <f>IF(N19606="","",'Master Barang'!B100)</f>
        <v>0</v>
      </c>
      <c r="P19606">
        <f>IF(OR(M19606="",N19606=""),"",SUMIFS('Barang Keluar'!$E:$E,'Barang Keluar'!$A:$A,M19606,'Barang Keluar'!$C:$C,N19606))</f>
        <v>0</v>
      </c>
    </row>
    <row r="19607" spans="13:16">
      <c r="M19607" s="49">
        <f>IF($A$4+195&gt;$B$4,"",$A$4+195)</f>
        <v>46218</v>
      </c>
      <c r="N19607">
        <f>IF(M19607="","",'Master Barang'!A101)</f>
        <v>0</v>
      </c>
      <c r="O19607">
        <f>IF(N19607="","",'Master Barang'!B101)</f>
        <v>0</v>
      </c>
      <c r="P19607">
        <f>IF(OR(M19607="",N19607=""),"",SUMIFS('Barang Keluar'!$E:$E,'Barang Keluar'!$A:$A,M19607,'Barang Keluar'!$C:$C,N19607))</f>
        <v>0</v>
      </c>
    </row>
    <row r="19608" spans="13:16">
      <c r="M19608" s="49">
        <f>IF($A$4+196&gt;$B$4,"",$A$4+196)</f>
        <v>46219</v>
      </c>
      <c r="N19608" t="str">
        <f>IF(M19608="","",'Master Barang'!A2)</f>
        <v>PRL-001</v>
      </c>
      <c r="O19608" t="str">
        <f>IF(N19608="","",'Master Barang'!B2)</f>
        <v>natura desinfectant food grade 5l</v>
      </c>
      <c r="P19608">
        <f>IF(OR(M19608="",N19608=""),"",SUMIFS('Barang Keluar'!$E:$E,'Barang Keluar'!$A:$A,M19608,'Barang Keluar'!$C:$C,N19608))</f>
        <v>0</v>
      </c>
    </row>
    <row r="19609" spans="13:16">
      <c r="M19609" s="49">
        <f>IF($A$4+196&gt;$B$4,"",$A$4+196)</f>
        <v>46219</v>
      </c>
      <c r="N19609" t="str">
        <f>IF(M19609="","",'Master Barang'!A3)</f>
        <v>PRL-002</v>
      </c>
      <c r="O19609" t="str">
        <f>IF(N19609="","",'Master Barang'!B3)</f>
        <v>sunlight cairan pencuci piring 5l</v>
      </c>
      <c r="P19609">
        <f>IF(OR(M19609="",N19609=""),"",SUMIFS('Barang Keluar'!$E:$E,'Barang Keluar'!$A:$A,M19609,'Barang Keluar'!$C:$C,N19609))</f>
        <v>0</v>
      </c>
    </row>
    <row r="19610" spans="13:16">
      <c r="M19610" s="49">
        <f>IF($A$4+196&gt;$B$4,"",$A$4+196)</f>
        <v>46219</v>
      </c>
      <c r="N19610" t="str">
        <f>IF(M19610="","",'Master Barang'!A4)</f>
        <v>PRL-003</v>
      </c>
      <c r="O19610" t="str">
        <f>IF(N19610="","",'Master Barang'!B4)</f>
        <v>oixs cleaner 1l</v>
      </c>
      <c r="P19610">
        <f>IF(OR(M19610="",N19610=""),"",SUMIFS('Barang Keluar'!$E:$E,'Barang Keluar'!$A:$A,M19610,'Barang Keluar'!$C:$C,N19610))</f>
        <v>0</v>
      </c>
    </row>
    <row r="19611" spans="13:16">
      <c r="M19611" s="49">
        <f>IF($A$4+196&gt;$B$4,"",$A$4+196)</f>
        <v>46219</v>
      </c>
      <c r="N19611" t="str">
        <f>IF(M19611="","",'Master Barang'!A5)</f>
        <v>PRL-004</v>
      </c>
      <c r="O19611" t="str">
        <f>IF(N19611="","",'Master Barang'!B5)</f>
        <v>be clean tissue serbaguna</v>
      </c>
      <c r="P19611">
        <f>IF(OR(M19611="",N19611=""),"",SUMIFS('Barang Keluar'!$E:$E,'Barang Keluar'!$A:$A,M19611,'Barang Keluar'!$C:$C,N19611))</f>
        <v>0</v>
      </c>
    </row>
    <row r="19612" spans="13:16">
      <c r="M19612" s="49">
        <f>IF($A$4+196&gt;$B$4,"",$A$4+196)</f>
        <v>46219</v>
      </c>
      <c r="N19612" t="str">
        <f>IF(M19612="","",'Master Barang'!A6)</f>
        <v>PRL-005</v>
      </c>
      <c r="O19612" t="str">
        <f>IF(N19612="","",'Master Barang'!B6)</f>
        <v>spons cuci hijau</v>
      </c>
      <c r="P19612">
        <f>IF(OR(M19612="",N19612=""),"",SUMIFS('Barang Keluar'!$E:$E,'Barang Keluar'!$A:$A,M19612,'Barang Keluar'!$C:$C,N19612))</f>
        <v>0</v>
      </c>
    </row>
    <row r="19613" spans="13:16">
      <c r="M19613" s="49">
        <f>IF($A$4+196&gt;$B$4,"",$A$4+196)</f>
        <v>46219</v>
      </c>
      <c r="N19613" t="str">
        <f>IF(M19613="","",'Master Barang'!A7)</f>
        <v>PRL-006</v>
      </c>
      <c r="O19613" t="str">
        <f>IF(N19613="","",'Master Barang'!B7)</f>
        <v>sabut cuci stainless</v>
      </c>
      <c r="P19613">
        <f>IF(OR(M19613="",N19613=""),"",SUMIFS('Barang Keluar'!$E:$E,'Barang Keluar'!$A:$A,M19613,'Barang Keluar'!$C:$C,N19613))</f>
        <v>0</v>
      </c>
    </row>
    <row r="19614" spans="13:16">
      <c r="M19614" s="49">
        <f>IF($A$4+196&gt;$B$4,"",$A$4+196)</f>
        <v>46219</v>
      </c>
      <c r="N19614" t="str">
        <f>IF(M19614="","",'Master Barang'!A8)</f>
        <v>PRL-007</v>
      </c>
      <c r="O19614" t="str">
        <f>IF(N19614="","",'Master Barang'!B8)</f>
        <v>plastik kresek besar merah 50pc</v>
      </c>
      <c r="P19614">
        <f>IF(OR(M19614="",N19614=""),"",SUMIFS('Barang Keluar'!$E:$E,'Barang Keluar'!$A:$A,M19614,'Barang Keluar'!$C:$C,N19614))</f>
        <v>0</v>
      </c>
    </row>
    <row r="19615" spans="13:16">
      <c r="M19615" s="49">
        <f>IF($A$4+196&gt;$B$4,"",$A$4+196)</f>
        <v>46219</v>
      </c>
      <c r="N19615" t="str">
        <f>IF(M19615="","",'Master Barang'!A9)</f>
        <v>PRL-008</v>
      </c>
      <c r="O19615" t="str">
        <f>IF(N19615="","",'Master Barang'!B9)</f>
        <v>lap besar</v>
      </c>
      <c r="P19615">
        <f>IF(OR(M19615="",N19615=""),"",SUMIFS('Barang Keluar'!$E:$E,'Barang Keluar'!$A:$A,M19615,'Barang Keluar'!$C:$C,N19615))</f>
        <v>0</v>
      </c>
    </row>
    <row r="19616" spans="13:16">
      <c r="M19616" s="49">
        <f>IF($A$4+196&gt;$B$4,"",$A$4+196)</f>
        <v>46219</v>
      </c>
      <c r="N19616" t="str">
        <f>IF(M19616="","",'Master Barang'!A10)</f>
        <v>PRL-009</v>
      </c>
      <c r="O19616" t="str">
        <f>IF(N19616="","",'Master Barang'!B10)</f>
        <v>lap microfiber</v>
      </c>
      <c r="P19616">
        <f>IF(OR(M19616="",N19616=""),"",SUMIFS('Barang Keluar'!$E:$E,'Barang Keluar'!$A:$A,M19616,'Barang Keluar'!$C:$C,N19616))</f>
        <v>0</v>
      </c>
    </row>
    <row r="19617" spans="13:16">
      <c r="M19617" s="49">
        <f>IF($A$4+196&gt;$B$4,"",$A$4+196)</f>
        <v>46219</v>
      </c>
      <c r="N19617" t="str">
        <f>IF(M19617="","",'Master Barang'!A11)</f>
        <v>PRL-010</v>
      </c>
      <c r="O19617" t="str">
        <f>IF(N19617="","",'Master Barang'!B11)</f>
        <v>lap kecil</v>
      </c>
      <c r="P19617">
        <f>IF(OR(M19617="",N19617=""),"",SUMIFS('Barang Keluar'!$E:$E,'Barang Keluar'!$A:$A,M19617,'Barang Keluar'!$C:$C,N19617))</f>
        <v>0</v>
      </c>
    </row>
    <row r="19618" spans="13:16">
      <c r="M19618" s="49">
        <f>IF($A$4+196&gt;$B$4,"",$A$4+196)</f>
        <v>46219</v>
      </c>
      <c r="N19618" t="str">
        <f>IF(M19618="","",'Master Barang'!A12)</f>
        <v>PRL-011</v>
      </c>
      <c r="O19618" t="str">
        <f>IF(N19618="","",'Master Barang'!B12)</f>
        <v>kanebo kecil</v>
      </c>
      <c r="P19618">
        <f>IF(OR(M19618="",N19618=""),"",SUMIFS('Barang Keluar'!$E:$E,'Barang Keluar'!$A:$A,M19618,'Barang Keluar'!$C:$C,N19618))</f>
        <v>0</v>
      </c>
    </row>
    <row r="19619" spans="13:16">
      <c r="M19619" s="49">
        <f>IF($A$4+196&gt;$B$4,"",$A$4+196)</f>
        <v>46219</v>
      </c>
      <c r="N19619" t="str">
        <f>IF(M19619="","",'Master Barang'!A13)</f>
        <v>PRL-012</v>
      </c>
      <c r="O19619" t="str">
        <f>IF(N19619="","",'Master Barang'!B13)</f>
        <v>plastik 1/4kg joyoboyo 100 lembar</v>
      </c>
      <c r="P19619">
        <f>IF(OR(M19619="",N19619=""),"",SUMIFS('Barang Keluar'!$E:$E,'Barang Keluar'!$A:$A,M19619,'Barang Keluar'!$C:$C,N19619))</f>
        <v>0</v>
      </c>
    </row>
    <row r="19620" spans="13:16">
      <c r="M19620" s="49">
        <f>IF($A$4+196&gt;$B$4,"",$A$4+196)</f>
        <v>46219</v>
      </c>
      <c r="N19620" t="str">
        <f>IF(M19620="","",'Master Barang'!A14)</f>
        <v>PRL-013</v>
      </c>
      <c r="O19620" t="str">
        <f>IF(N19620="","",'Master Barang'!B14)</f>
        <v>sarung tangan plastik kaka 100 pcs</v>
      </c>
      <c r="P19620">
        <f>IF(OR(M19620="",N19620=""),"",SUMIFS('Barang Keluar'!$E:$E,'Barang Keluar'!$A:$A,M19620,'Barang Keluar'!$C:$C,N19620))</f>
        <v>0</v>
      </c>
    </row>
    <row r="19621" spans="13:16">
      <c r="M19621" s="49">
        <f>IF($A$4+196&gt;$B$4,"",$A$4+196)</f>
        <v>46219</v>
      </c>
      <c r="N19621" t="str">
        <f>IF(M19621="","",'Master Barang'!A15)</f>
        <v>PRL-014</v>
      </c>
      <c r="O19621" t="str">
        <f>IF(N19621="","",'Master Barang'!B15)</f>
        <v>optima trashbag 80x100</v>
      </c>
      <c r="P19621">
        <f>IF(OR(M19621="",N19621=""),"",SUMIFS('Barang Keluar'!$E:$E,'Barang Keluar'!$A:$A,M19621,'Barang Keluar'!$C:$C,N19621))</f>
        <v>0</v>
      </c>
    </row>
    <row r="19622" spans="13:16">
      <c r="M19622" s="49">
        <f>IF($A$4+196&gt;$B$4,"",$A$4+196)</f>
        <v>46219</v>
      </c>
      <c r="N19622" t="str">
        <f>IF(M19622="","",'Master Barang'!A16)</f>
        <v>PRL-015</v>
      </c>
      <c r="O19622" t="str">
        <f>IF(N19622="","",'Master Barang'!B16)</f>
        <v>optima trashbag 60x100</v>
      </c>
      <c r="P19622">
        <f>IF(OR(M19622="",N19622=""),"",SUMIFS('Barang Keluar'!$E:$E,'Barang Keluar'!$A:$A,M19622,'Barang Keluar'!$C:$C,N19622))</f>
        <v>0</v>
      </c>
    </row>
    <row r="19623" spans="13:16">
      <c r="M19623" s="49">
        <f>IF($A$4+196&gt;$B$4,"",$A$4+196)</f>
        <v>46219</v>
      </c>
      <c r="N19623" t="str">
        <f>IF(M19623="","",'Master Barang'!A17)</f>
        <v>PRL-016</v>
      </c>
      <c r="O19623" t="str">
        <f>IF(N19623="","",'Master Barang'!B17)</f>
        <v>rajawali trashbag 30x40</v>
      </c>
      <c r="P19623">
        <f>IF(OR(M19623="",N19623=""),"",SUMIFS('Barang Keluar'!$E:$E,'Barang Keluar'!$A:$A,M19623,'Barang Keluar'!$C:$C,N19623))</f>
        <v>0</v>
      </c>
    </row>
    <row r="19624" spans="13:16">
      <c r="M19624" s="49">
        <f>IF($A$4+196&gt;$B$4,"",$A$4+196)</f>
        <v>46219</v>
      </c>
      <c r="N19624" t="str">
        <f>IF(M19624="","",'Master Barang'!A18)</f>
        <v>PRL-017</v>
      </c>
      <c r="O19624" t="str">
        <f>IF(N19624="","",'Master Barang'!B18)</f>
        <v>onemed masker biru 3 play 50 pcs</v>
      </c>
      <c r="P19624">
        <f>IF(OR(M19624="",N19624=""),"",SUMIFS('Barang Keluar'!$E:$E,'Barang Keluar'!$A:$A,M19624,'Barang Keluar'!$C:$C,N19624))</f>
        <v>0</v>
      </c>
    </row>
    <row r="19625" spans="13:16">
      <c r="M19625" s="49">
        <f>IF($A$4+196&gt;$B$4,"",$A$4+196)</f>
        <v>46219</v>
      </c>
      <c r="N19625" t="str">
        <f>IF(M19625="","",'Master Barang'!A19)</f>
        <v>PRL-018</v>
      </c>
      <c r="O19625" t="str">
        <f>IF(N19625="","",'Master Barang'!B19)</f>
        <v>onemed masker biru 3 play hijab 50 pcs</v>
      </c>
      <c r="P19625">
        <f>IF(OR(M19625="",N19625=""),"",SUMIFS('Barang Keluar'!$E:$E,'Barang Keluar'!$A:$A,M19625,'Barang Keluar'!$C:$C,N19625))</f>
        <v>0</v>
      </c>
    </row>
    <row r="19626" spans="13:16">
      <c r="M19626" s="49">
        <f>IF($A$4+196&gt;$B$4,"",$A$4+196)</f>
        <v>46219</v>
      </c>
      <c r="N19626" t="str">
        <f>IF(M19626="","",'Master Barang'!A20)</f>
        <v>PRL-019</v>
      </c>
      <c r="O19626" t="str">
        <f>IF(N19626="","",'Master Barang'!B20)</f>
        <v>neo health masker biru 3 play 50 pcs</v>
      </c>
      <c r="P19626">
        <f>IF(OR(M19626="",N19626=""),"",SUMIFS('Barang Keluar'!$E:$E,'Barang Keluar'!$A:$A,M19626,'Barang Keluar'!$C:$C,N19626))</f>
        <v>0</v>
      </c>
    </row>
    <row r="19627" spans="13:16">
      <c r="M19627" s="49">
        <f>IF($A$4+196&gt;$B$4,"",$A$4+196)</f>
        <v>46219</v>
      </c>
      <c r="N19627" t="str">
        <f>IF(M19627="","",'Master Barang'!A21)</f>
        <v>PRL-020</v>
      </c>
      <c r="O19627" t="str">
        <f>IF(N19627="","",'Master Barang'!B21)</f>
        <v>baymed masker hijau 3 play hijau 50 pcs</v>
      </c>
      <c r="P19627">
        <f>IF(OR(M19627="",N19627=""),"",SUMIFS('Barang Keluar'!$E:$E,'Barang Keluar'!$A:$A,M19627,'Barang Keluar'!$C:$C,N19627))</f>
        <v>0</v>
      </c>
    </row>
    <row r="19628" spans="13:16">
      <c r="M19628" s="49">
        <f>IF($A$4+196&gt;$B$4,"",$A$4+196)</f>
        <v>46219</v>
      </c>
      <c r="N19628" t="str">
        <f>IF(M19628="","",'Master Barang'!A22)</f>
        <v>PRL-021</v>
      </c>
      <c r="O19628" t="str">
        <f>IF(N19628="","",'Master Barang'!B22)</f>
        <v>altamed nurse cap penutup kepala 100 pcs</v>
      </c>
      <c r="P19628">
        <f>IF(OR(M19628="",N19628=""),"",SUMIFS('Barang Keluar'!$E:$E,'Barang Keluar'!$A:$A,M19628,'Barang Keluar'!$C:$C,N19628))</f>
        <v>0</v>
      </c>
    </row>
    <row r="19629" spans="13:16">
      <c r="M19629" s="49">
        <f>IF($A$4+196&gt;$B$4,"",$A$4+196)</f>
        <v>46219</v>
      </c>
      <c r="N19629" t="str">
        <f>IF(M19629="","",'Master Barang'!A23)</f>
        <v>PRL-022</v>
      </c>
      <c r="O19629" t="str">
        <f>IF(N19629="","",'Master Barang'!B23)</f>
        <v>sabun cuci tangan</v>
      </c>
      <c r="P19629">
        <f>IF(OR(M19629="",N19629=""),"",SUMIFS('Barang Keluar'!$E:$E,'Barang Keluar'!$A:$A,M19629,'Barang Keluar'!$C:$C,N19629))</f>
        <v>0</v>
      </c>
    </row>
    <row r="19630" spans="13:16">
      <c r="M19630" s="49">
        <f>IF($A$4+196&gt;$B$4,"",$A$4+196)</f>
        <v>46219</v>
      </c>
      <c r="N19630" t="str">
        <f>IF(M19630="","",'Master Barang'!A24)</f>
        <v>PRL-023</v>
      </c>
      <c r="O19630" t="str">
        <f>IF(N19630="","",'Master Barang'!B24)</f>
        <v>gayung kecil</v>
      </c>
      <c r="P19630">
        <f>IF(OR(M19630="",N19630=""),"",SUMIFS('Barang Keluar'!$E:$E,'Barang Keluar'!$A:$A,M19630,'Barang Keluar'!$C:$C,N19630))</f>
        <v>0</v>
      </c>
    </row>
    <row r="19631" spans="13:16">
      <c r="M19631" s="49">
        <f>IF($A$4+196&gt;$B$4,"",$A$4+196)</f>
        <v>46219</v>
      </c>
      <c r="N19631" t="str">
        <f>IF(M19631="","",'Master Barang'!A25)</f>
        <v>PRL-024</v>
      </c>
      <c r="O19631" t="str">
        <f>IF(N19631="","",'Master Barang'!B25)</f>
        <v>cikrak kecil</v>
      </c>
      <c r="P19631">
        <f>IF(OR(M19631="",N19631=""),"",SUMIFS('Barang Keluar'!$E:$E,'Barang Keluar'!$A:$A,M19631,'Barang Keluar'!$C:$C,N19631))</f>
        <v>0</v>
      </c>
    </row>
    <row r="19632" spans="13:16">
      <c r="M19632" s="49">
        <f>IF($A$4+196&gt;$B$4,"",$A$4+196)</f>
        <v>46219</v>
      </c>
      <c r="N19632" t="str">
        <f>IF(M19632="","",'Master Barang'!A26)</f>
        <v>PRL-025</v>
      </c>
      <c r="O19632" t="str">
        <f>IF(N19632="","",'Master Barang'!B26)</f>
        <v>petromax plastik kecil 12x24 100 lembar</v>
      </c>
      <c r="P19632">
        <f>IF(OR(M19632="",N19632=""),"",SUMIFS('Barang Keluar'!$E:$E,'Barang Keluar'!$A:$A,M19632,'Barang Keluar'!$C:$C,N19632))</f>
        <v>0</v>
      </c>
    </row>
    <row r="19633" spans="13:16">
      <c r="M19633" s="49">
        <f>IF($A$4+196&gt;$B$4,"",$A$4+196)</f>
        <v>46219</v>
      </c>
      <c r="N19633" t="str">
        <f>IF(M19633="","",'Master Barang'!A27)</f>
        <v>PRL-026</v>
      </c>
      <c r="O19633" t="str">
        <f>IF(N19633="","",'Master Barang'!B27)</f>
        <v>lancar kresek kecil bening </v>
      </c>
      <c r="P19633">
        <f>IF(OR(M19633="",N19633=""),"",SUMIFS('Barang Keluar'!$E:$E,'Barang Keluar'!$A:$A,M19633,'Barang Keluar'!$C:$C,N19633))</f>
        <v>0</v>
      </c>
    </row>
    <row r="19634" spans="13:16">
      <c r="M19634" s="49">
        <f>IF($A$4+196&gt;$B$4,"",$A$4+196)</f>
        <v>46219</v>
      </c>
      <c r="N19634" t="str">
        <f>IF(M19634="","",'Master Barang'!A28)</f>
        <v>PRL-027</v>
      </c>
      <c r="O19634" t="str">
        <f>IF(N19634="","",'Master Barang'!B28)</f>
        <v>kresek klin warna warni kecil</v>
      </c>
      <c r="P19634">
        <f>IF(OR(M19634="",N19634=""),"",SUMIFS('Barang Keluar'!$E:$E,'Barang Keluar'!$A:$A,M19634,'Barang Keluar'!$C:$C,N19634))</f>
        <v>0</v>
      </c>
    </row>
    <row r="19635" spans="13:16">
      <c r="M19635" s="49">
        <f>IF($A$4+196&gt;$B$4,"",$A$4+196)</f>
        <v>46219</v>
      </c>
      <c r="N19635" t="str">
        <f>IF(M19635="","",'Master Barang'!A29)</f>
        <v>PRL-028</v>
      </c>
      <c r="O19635" t="str">
        <f>IF(N19635="","",'Master Barang'!B29)</f>
        <v>ctik plastik 7x10 100 pcs</v>
      </c>
      <c r="P19635">
        <f>IF(OR(M19635="",N19635=""),"",SUMIFS('Barang Keluar'!$E:$E,'Barang Keluar'!$A:$A,M19635,'Barang Keluar'!$C:$C,N19635))</f>
        <v>0</v>
      </c>
    </row>
    <row r="19636" spans="13:16">
      <c r="M19636" s="49">
        <f>IF($A$4+196&gt;$B$4,"",$A$4+196)</f>
        <v>46219</v>
      </c>
      <c r="N19636" t="str">
        <f>IF(M19636="","",'Master Barang'!A30)</f>
        <v>PRL-029</v>
      </c>
      <c r="O19636" t="str">
        <f>IF(N19636="","",'Master Barang'!B30)</f>
        <v>ctik plastik 6x10 100 pcs</v>
      </c>
      <c r="P19636">
        <f>IF(OR(M19636="",N19636=""),"",SUMIFS('Barang Keluar'!$E:$E,'Barang Keluar'!$A:$A,M19636,'Barang Keluar'!$C:$C,N19636))</f>
        <v>0</v>
      </c>
    </row>
    <row r="19637" spans="13:16">
      <c r="M19637" s="49">
        <f>IF($A$4+196&gt;$B$4,"",$A$4+196)</f>
        <v>46219</v>
      </c>
      <c r="N19637" t="str">
        <f>IF(M19637="","",'Master Barang'!A31)</f>
        <v>PRL-030</v>
      </c>
      <c r="O19637" t="str">
        <f>IF(N19637="","",'Master Barang'!B31)</f>
        <v>klip plastik 25x16 100 pcs</v>
      </c>
      <c r="P19637">
        <f>IF(OR(M19637="",N19637=""),"",SUMIFS('Barang Keluar'!$E:$E,'Barang Keluar'!$A:$A,M19637,'Barang Keluar'!$C:$C,N19637))</f>
        <v>0</v>
      </c>
    </row>
    <row r="19638" spans="13:16">
      <c r="M19638" s="49">
        <f>IF($A$4+196&gt;$B$4,"",$A$4+196)</f>
        <v>46219</v>
      </c>
      <c r="N19638" t="str">
        <f>IF(M19638="","",'Master Barang'!A32)</f>
        <v>PRL-031</v>
      </c>
      <c r="O19638" t="str">
        <f>IF(N19638="","",'Master Barang'!B32)</f>
        <v>tempat saus 20 ml</v>
      </c>
      <c r="P19638">
        <f>IF(OR(M19638="",N19638=""),"",SUMIFS('Barang Keluar'!$E:$E,'Barang Keluar'!$A:$A,M19638,'Barang Keluar'!$C:$C,N19638))</f>
        <v>0</v>
      </c>
    </row>
    <row r="19639" spans="13:16">
      <c r="M19639" s="49">
        <f>IF($A$4+196&gt;$B$4,"",$A$4+196)</f>
        <v>46219</v>
      </c>
      <c r="N19639" t="str">
        <f>IF(M19639="","",'Master Barang'!A33)</f>
        <v>PRL-032</v>
      </c>
      <c r="O19639" t="str">
        <f>IF(N19639="","",'Master Barang'!B33)</f>
        <v>plastik packaging ag box uk sedang</v>
      </c>
      <c r="P19639">
        <f>IF(OR(M19639="",N19639=""),"",SUMIFS('Barang Keluar'!$E:$E,'Barang Keluar'!$A:$A,M19639,'Barang Keluar'!$C:$C,N19639))</f>
        <v>0</v>
      </c>
    </row>
    <row r="19640" spans="13:16">
      <c r="M19640" s="49">
        <f>IF($A$4+196&gt;$B$4,"",$A$4+196)</f>
        <v>46219</v>
      </c>
      <c r="N19640" t="str">
        <f>IF(M19640="","",'Master Barang'!A34)</f>
        <v>PRL-033</v>
      </c>
      <c r="O19640">
        <f>IF(N19640="","",'Master Barang'!B34)</f>
        <v>0</v>
      </c>
      <c r="P19640">
        <f>IF(OR(M19640="",N19640=""),"",SUMIFS('Barang Keluar'!$E:$E,'Barang Keluar'!$A:$A,M19640,'Barang Keluar'!$C:$C,N19640))</f>
        <v>0</v>
      </c>
    </row>
    <row r="19641" spans="13:16">
      <c r="M19641" s="49">
        <f>IF($A$4+196&gt;$B$4,"",$A$4+196)</f>
        <v>46219</v>
      </c>
      <c r="N19641">
        <f>IF(M19641="","",'Master Barang'!A35)</f>
        <v>0</v>
      </c>
      <c r="O19641">
        <f>IF(N19641="","",'Master Barang'!B35)</f>
        <v>0</v>
      </c>
      <c r="P19641">
        <f>IF(OR(M19641="",N19641=""),"",SUMIFS('Barang Keluar'!$E:$E,'Barang Keluar'!$A:$A,M19641,'Barang Keluar'!$C:$C,N19641))</f>
        <v>0</v>
      </c>
    </row>
    <row r="19642" spans="13:16">
      <c r="M19642" s="49">
        <f>IF($A$4+196&gt;$B$4,"",$A$4+196)</f>
        <v>46219</v>
      </c>
      <c r="N19642">
        <f>IF(M19642="","",'Master Barang'!A36)</f>
        <v>0</v>
      </c>
      <c r="O19642">
        <f>IF(N19642="","",'Master Barang'!B36)</f>
        <v>0</v>
      </c>
      <c r="P19642">
        <f>IF(OR(M19642="",N19642=""),"",SUMIFS('Barang Keluar'!$E:$E,'Barang Keluar'!$A:$A,M19642,'Barang Keluar'!$C:$C,N19642))</f>
        <v>0</v>
      </c>
    </row>
    <row r="19643" spans="13:16">
      <c r="M19643" s="49">
        <f>IF($A$4+196&gt;$B$4,"",$A$4+196)</f>
        <v>46219</v>
      </c>
      <c r="N19643">
        <f>IF(M19643="","",'Master Barang'!A37)</f>
        <v>0</v>
      </c>
      <c r="O19643">
        <f>IF(N19643="","",'Master Barang'!B37)</f>
        <v>0</v>
      </c>
      <c r="P19643">
        <f>IF(OR(M19643="",N19643=""),"",SUMIFS('Barang Keluar'!$E:$E,'Barang Keluar'!$A:$A,M19643,'Barang Keluar'!$C:$C,N19643))</f>
        <v>0</v>
      </c>
    </row>
    <row r="19644" spans="13:16">
      <c r="M19644" s="49">
        <f>IF($A$4+196&gt;$B$4,"",$A$4+196)</f>
        <v>46219</v>
      </c>
      <c r="N19644">
        <f>IF(M19644="","",'Master Barang'!A38)</f>
        <v>0</v>
      </c>
      <c r="O19644">
        <f>IF(N19644="","",'Master Barang'!B38)</f>
        <v>0</v>
      </c>
      <c r="P19644">
        <f>IF(OR(M19644="",N19644=""),"",SUMIFS('Barang Keluar'!$E:$E,'Barang Keluar'!$A:$A,M19644,'Barang Keluar'!$C:$C,N19644))</f>
        <v>0</v>
      </c>
    </row>
    <row r="19645" spans="13:16">
      <c r="M19645" s="49">
        <f>IF($A$4+196&gt;$B$4,"",$A$4+196)</f>
        <v>46219</v>
      </c>
      <c r="N19645">
        <f>IF(M19645="","",'Master Barang'!A39)</f>
        <v>0</v>
      </c>
      <c r="O19645">
        <f>IF(N19645="","",'Master Barang'!B39)</f>
        <v>0</v>
      </c>
      <c r="P19645">
        <f>IF(OR(M19645="",N19645=""),"",SUMIFS('Barang Keluar'!$E:$E,'Barang Keluar'!$A:$A,M19645,'Barang Keluar'!$C:$C,N19645))</f>
        <v>0</v>
      </c>
    </row>
    <row r="19646" spans="13:16">
      <c r="M19646" s="49">
        <f>IF($A$4+196&gt;$B$4,"",$A$4+196)</f>
        <v>46219</v>
      </c>
      <c r="N19646">
        <f>IF(M19646="","",'Master Barang'!A40)</f>
        <v>0</v>
      </c>
      <c r="O19646">
        <f>IF(N19646="","",'Master Barang'!B40)</f>
        <v>0</v>
      </c>
      <c r="P19646">
        <f>IF(OR(M19646="",N19646=""),"",SUMIFS('Barang Keluar'!$E:$E,'Barang Keluar'!$A:$A,M19646,'Barang Keluar'!$C:$C,N19646))</f>
        <v>0</v>
      </c>
    </row>
    <row r="19647" spans="13:16">
      <c r="M19647" s="49">
        <f>IF($A$4+196&gt;$B$4,"",$A$4+196)</f>
        <v>46219</v>
      </c>
      <c r="N19647">
        <f>IF(M19647="","",'Master Barang'!A41)</f>
        <v>0</v>
      </c>
      <c r="O19647">
        <f>IF(N19647="","",'Master Barang'!B41)</f>
        <v>0</v>
      </c>
      <c r="P19647">
        <f>IF(OR(M19647="",N19647=""),"",SUMIFS('Barang Keluar'!$E:$E,'Barang Keluar'!$A:$A,M19647,'Barang Keluar'!$C:$C,N19647))</f>
        <v>0</v>
      </c>
    </row>
    <row r="19648" spans="13:16">
      <c r="M19648" s="49">
        <f>IF($A$4+196&gt;$B$4,"",$A$4+196)</f>
        <v>46219</v>
      </c>
      <c r="N19648">
        <f>IF(M19648="","",'Master Barang'!A42)</f>
        <v>0</v>
      </c>
      <c r="O19648">
        <f>IF(N19648="","",'Master Barang'!B42)</f>
        <v>0</v>
      </c>
      <c r="P19648">
        <f>IF(OR(M19648="",N19648=""),"",SUMIFS('Barang Keluar'!$E:$E,'Barang Keluar'!$A:$A,M19648,'Barang Keluar'!$C:$C,N19648))</f>
        <v>0</v>
      </c>
    </row>
    <row r="19649" spans="13:16">
      <c r="M19649" s="49">
        <f>IF($A$4+196&gt;$B$4,"",$A$4+196)</f>
        <v>46219</v>
      </c>
      <c r="N19649">
        <f>IF(M19649="","",'Master Barang'!A43)</f>
        <v>0</v>
      </c>
      <c r="O19649">
        <f>IF(N19649="","",'Master Barang'!B43)</f>
        <v>0</v>
      </c>
      <c r="P19649">
        <f>IF(OR(M19649="",N19649=""),"",SUMIFS('Barang Keluar'!$E:$E,'Barang Keluar'!$A:$A,M19649,'Barang Keluar'!$C:$C,N19649))</f>
        <v>0</v>
      </c>
    </row>
    <row r="19650" spans="13:16">
      <c r="M19650" s="49">
        <f>IF($A$4+196&gt;$B$4,"",$A$4+196)</f>
        <v>46219</v>
      </c>
      <c r="N19650">
        <f>IF(M19650="","",'Master Barang'!A44)</f>
        <v>0</v>
      </c>
      <c r="O19650">
        <f>IF(N19650="","",'Master Barang'!B44)</f>
        <v>0</v>
      </c>
      <c r="P19650">
        <f>IF(OR(M19650="",N19650=""),"",SUMIFS('Barang Keluar'!$E:$E,'Barang Keluar'!$A:$A,M19650,'Barang Keluar'!$C:$C,N19650))</f>
        <v>0</v>
      </c>
    </row>
    <row r="19651" spans="13:16">
      <c r="M19651" s="49">
        <f>IF($A$4+196&gt;$B$4,"",$A$4+196)</f>
        <v>46219</v>
      </c>
      <c r="N19651">
        <f>IF(M19651="","",'Master Barang'!A45)</f>
        <v>0</v>
      </c>
      <c r="O19651">
        <f>IF(N19651="","",'Master Barang'!B45)</f>
        <v>0</v>
      </c>
      <c r="P19651">
        <f>IF(OR(M19651="",N19651=""),"",SUMIFS('Barang Keluar'!$E:$E,'Barang Keluar'!$A:$A,M19651,'Barang Keluar'!$C:$C,N19651))</f>
        <v>0</v>
      </c>
    </row>
    <row r="19652" spans="13:16">
      <c r="M19652" s="49">
        <f>IF($A$4+196&gt;$B$4,"",$A$4+196)</f>
        <v>46219</v>
      </c>
      <c r="N19652">
        <f>IF(M19652="","",'Master Barang'!A46)</f>
        <v>0</v>
      </c>
      <c r="O19652">
        <f>IF(N19652="","",'Master Barang'!B46)</f>
        <v>0</v>
      </c>
      <c r="P19652">
        <f>IF(OR(M19652="",N19652=""),"",SUMIFS('Barang Keluar'!$E:$E,'Barang Keluar'!$A:$A,M19652,'Barang Keluar'!$C:$C,N19652))</f>
        <v>0</v>
      </c>
    </row>
    <row r="19653" spans="13:16">
      <c r="M19653" s="49">
        <f>IF($A$4+196&gt;$B$4,"",$A$4+196)</f>
        <v>46219</v>
      </c>
      <c r="N19653">
        <f>IF(M19653="","",'Master Barang'!A47)</f>
        <v>0</v>
      </c>
      <c r="O19653">
        <f>IF(N19653="","",'Master Barang'!B47)</f>
        <v>0</v>
      </c>
      <c r="P19653">
        <f>IF(OR(M19653="",N19653=""),"",SUMIFS('Barang Keluar'!$E:$E,'Barang Keluar'!$A:$A,M19653,'Barang Keluar'!$C:$C,N19653))</f>
        <v>0</v>
      </c>
    </row>
    <row r="19654" spans="13:16">
      <c r="M19654" s="49">
        <f>IF($A$4+196&gt;$B$4,"",$A$4+196)</f>
        <v>46219</v>
      </c>
      <c r="N19654">
        <f>IF(M19654="","",'Master Barang'!A48)</f>
        <v>0</v>
      </c>
      <c r="O19654">
        <f>IF(N19654="","",'Master Barang'!B48)</f>
        <v>0</v>
      </c>
      <c r="P19654">
        <f>IF(OR(M19654="",N19654=""),"",SUMIFS('Barang Keluar'!$E:$E,'Barang Keluar'!$A:$A,M19654,'Barang Keluar'!$C:$C,N19654))</f>
        <v>0</v>
      </c>
    </row>
    <row r="19655" spans="13:16">
      <c r="M19655" s="49">
        <f>IF($A$4+196&gt;$B$4,"",$A$4+196)</f>
        <v>46219</v>
      </c>
      <c r="N19655">
        <f>IF(M19655="","",'Master Barang'!A49)</f>
        <v>0</v>
      </c>
      <c r="O19655">
        <f>IF(N19655="","",'Master Barang'!B49)</f>
        <v>0</v>
      </c>
      <c r="P19655">
        <f>IF(OR(M19655="",N19655=""),"",SUMIFS('Barang Keluar'!$E:$E,'Barang Keluar'!$A:$A,M19655,'Barang Keluar'!$C:$C,N19655))</f>
        <v>0</v>
      </c>
    </row>
    <row r="19656" spans="13:16">
      <c r="M19656" s="49">
        <f>IF($A$4+196&gt;$B$4,"",$A$4+196)</f>
        <v>46219</v>
      </c>
      <c r="N19656">
        <f>IF(M19656="","",'Master Barang'!A50)</f>
        <v>0</v>
      </c>
      <c r="O19656">
        <f>IF(N19656="","",'Master Barang'!B50)</f>
        <v>0</v>
      </c>
      <c r="P19656">
        <f>IF(OR(M19656="",N19656=""),"",SUMIFS('Barang Keluar'!$E:$E,'Barang Keluar'!$A:$A,M19656,'Barang Keluar'!$C:$C,N19656))</f>
        <v>0</v>
      </c>
    </row>
    <row r="19657" spans="13:16">
      <c r="M19657" s="49">
        <f>IF($A$4+196&gt;$B$4,"",$A$4+196)</f>
        <v>46219</v>
      </c>
      <c r="N19657">
        <f>IF(M19657="","",'Master Barang'!A51)</f>
        <v>0</v>
      </c>
      <c r="O19657">
        <f>IF(N19657="","",'Master Barang'!B51)</f>
        <v>0</v>
      </c>
      <c r="P19657">
        <f>IF(OR(M19657="",N19657=""),"",SUMIFS('Barang Keluar'!$E:$E,'Barang Keluar'!$A:$A,M19657,'Barang Keluar'!$C:$C,N19657))</f>
        <v>0</v>
      </c>
    </row>
    <row r="19658" spans="13:16">
      <c r="M19658" s="49">
        <f>IF($A$4+196&gt;$B$4,"",$A$4+196)</f>
        <v>46219</v>
      </c>
      <c r="N19658">
        <f>IF(M19658="","",'Master Barang'!A52)</f>
        <v>0</v>
      </c>
      <c r="O19658">
        <f>IF(N19658="","",'Master Barang'!B52)</f>
        <v>0</v>
      </c>
      <c r="P19658">
        <f>IF(OR(M19658="",N19658=""),"",SUMIFS('Barang Keluar'!$E:$E,'Barang Keluar'!$A:$A,M19658,'Barang Keluar'!$C:$C,N19658))</f>
        <v>0</v>
      </c>
    </row>
    <row r="19659" spans="13:16">
      <c r="M19659" s="49">
        <f>IF($A$4+196&gt;$B$4,"",$A$4+196)</f>
        <v>46219</v>
      </c>
      <c r="N19659">
        <f>IF(M19659="","",'Master Barang'!A53)</f>
        <v>0</v>
      </c>
      <c r="O19659">
        <f>IF(N19659="","",'Master Barang'!B53)</f>
        <v>0</v>
      </c>
      <c r="P19659">
        <f>IF(OR(M19659="",N19659=""),"",SUMIFS('Barang Keluar'!$E:$E,'Barang Keluar'!$A:$A,M19659,'Barang Keluar'!$C:$C,N19659))</f>
        <v>0</v>
      </c>
    </row>
    <row r="19660" spans="13:16">
      <c r="M19660" s="49">
        <f>IF($A$4+196&gt;$B$4,"",$A$4+196)</f>
        <v>46219</v>
      </c>
      <c r="N19660">
        <f>IF(M19660="","",'Master Barang'!A54)</f>
        <v>0</v>
      </c>
      <c r="O19660">
        <f>IF(N19660="","",'Master Barang'!B54)</f>
        <v>0</v>
      </c>
      <c r="P19660">
        <f>IF(OR(M19660="",N19660=""),"",SUMIFS('Barang Keluar'!$E:$E,'Barang Keluar'!$A:$A,M19660,'Barang Keluar'!$C:$C,N19660))</f>
        <v>0</v>
      </c>
    </row>
    <row r="19661" spans="13:16">
      <c r="M19661" s="49">
        <f>IF($A$4+196&gt;$B$4,"",$A$4+196)</f>
        <v>46219</v>
      </c>
      <c r="N19661">
        <f>IF(M19661="","",'Master Barang'!A55)</f>
        <v>0</v>
      </c>
      <c r="O19661">
        <f>IF(N19661="","",'Master Barang'!B55)</f>
        <v>0</v>
      </c>
      <c r="P19661">
        <f>IF(OR(M19661="",N19661=""),"",SUMIFS('Barang Keluar'!$E:$E,'Barang Keluar'!$A:$A,M19661,'Barang Keluar'!$C:$C,N19661))</f>
        <v>0</v>
      </c>
    </row>
    <row r="19662" spans="13:16">
      <c r="M19662" s="49">
        <f>IF($A$4+196&gt;$B$4,"",$A$4+196)</f>
        <v>46219</v>
      </c>
      <c r="N19662">
        <f>IF(M19662="","",'Master Barang'!A56)</f>
        <v>0</v>
      </c>
      <c r="O19662">
        <f>IF(N19662="","",'Master Barang'!B56)</f>
        <v>0</v>
      </c>
      <c r="P19662">
        <f>IF(OR(M19662="",N19662=""),"",SUMIFS('Barang Keluar'!$E:$E,'Barang Keluar'!$A:$A,M19662,'Barang Keluar'!$C:$C,N19662))</f>
        <v>0</v>
      </c>
    </row>
    <row r="19663" spans="13:16">
      <c r="M19663" s="49">
        <f>IF($A$4+196&gt;$B$4,"",$A$4+196)</f>
        <v>46219</v>
      </c>
      <c r="N19663">
        <f>IF(M19663="","",'Master Barang'!A57)</f>
        <v>0</v>
      </c>
      <c r="O19663">
        <f>IF(N19663="","",'Master Barang'!B57)</f>
        <v>0</v>
      </c>
      <c r="P19663">
        <f>IF(OR(M19663="",N19663=""),"",SUMIFS('Barang Keluar'!$E:$E,'Barang Keluar'!$A:$A,M19663,'Barang Keluar'!$C:$C,N19663))</f>
        <v>0</v>
      </c>
    </row>
    <row r="19664" spans="13:16">
      <c r="M19664" s="49">
        <f>IF($A$4+196&gt;$B$4,"",$A$4+196)</f>
        <v>46219</v>
      </c>
      <c r="N19664">
        <f>IF(M19664="","",'Master Barang'!A58)</f>
        <v>0</v>
      </c>
      <c r="O19664">
        <f>IF(N19664="","",'Master Barang'!B58)</f>
        <v>0</v>
      </c>
      <c r="P19664">
        <f>IF(OR(M19664="",N19664=""),"",SUMIFS('Barang Keluar'!$E:$E,'Barang Keluar'!$A:$A,M19664,'Barang Keluar'!$C:$C,N19664))</f>
        <v>0</v>
      </c>
    </row>
    <row r="19665" spans="13:16">
      <c r="M19665" s="49">
        <f>IF($A$4+196&gt;$B$4,"",$A$4+196)</f>
        <v>46219</v>
      </c>
      <c r="N19665">
        <f>IF(M19665="","",'Master Barang'!A59)</f>
        <v>0</v>
      </c>
      <c r="O19665">
        <f>IF(N19665="","",'Master Barang'!B59)</f>
        <v>0</v>
      </c>
      <c r="P19665">
        <f>IF(OR(M19665="",N19665=""),"",SUMIFS('Barang Keluar'!$E:$E,'Barang Keluar'!$A:$A,M19665,'Barang Keluar'!$C:$C,N19665))</f>
        <v>0</v>
      </c>
    </row>
    <row r="19666" spans="13:16">
      <c r="M19666" s="49">
        <f>IF($A$4+196&gt;$B$4,"",$A$4+196)</f>
        <v>46219</v>
      </c>
      <c r="N19666">
        <f>IF(M19666="","",'Master Barang'!A60)</f>
        <v>0</v>
      </c>
      <c r="O19666">
        <f>IF(N19666="","",'Master Barang'!B60)</f>
        <v>0</v>
      </c>
      <c r="P19666">
        <f>IF(OR(M19666="",N19666=""),"",SUMIFS('Barang Keluar'!$E:$E,'Barang Keluar'!$A:$A,M19666,'Barang Keluar'!$C:$C,N19666))</f>
        <v>0</v>
      </c>
    </row>
    <row r="19667" spans="13:16">
      <c r="M19667" s="49">
        <f>IF($A$4+196&gt;$B$4,"",$A$4+196)</f>
        <v>46219</v>
      </c>
      <c r="N19667">
        <f>IF(M19667="","",'Master Barang'!A61)</f>
        <v>0</v>
      </c>
      <c r="O19667">
        <f>IF(N19667="","",'Master Barang'!B61)</f>
        <v>0</v>
      </c>
      <c r="P19667">
        <f>IF(OR(M19667="",N19667=""),"",SUMIFS('Barang Keluar'!$E:$E,'Barang Keluar'!$A:$A,M19667,'Barang Keluar'!$C:$C,N19667))</f>
        <v>0</v>
      </c>
    </row>
    <row r="19668" spans="13:16">
      <c r="M19668" s="49">
        <f>IF($A$4+196&gt;$B$4,"",$A$4+196)</f>
        <v>46219</v>
      </c>
      <c r="N19668">
        <f>IF(M19668="","",'Master Barang'!A62)</f>
        <v>0</v>
      </c>
      <c r="O19668">
        <f>IF(N19668="","",'Master Barang'!B62)</f>
        <v>0</v>
      </c>
      <c r="P19668">
        <f>IF(OR(M19668="",N19668=""),"",SUMIFS('Barang Keluar'!$E:$E,'Barang Keluar'!$A:$A,M19668,'Barang Keluar'!$C:$C,N19668))</f>
        <v>0</v>
      </c>
    </row>
    <row r="19669" spans="13:16">
      <c r="M19669" s="49">
        <f>IF($A$4+196&gt;$B$4,"",$A$4+196)</f>
        <v>46219</v>
      </c>
      <c r="N19669">
        <f>IF(M19669="","",'Master Barang'!A63)</f>
        <v>0</v>
      </c>
      <c r="O19669">
        <f>IF(N19669="","",'Master Barang'!B63)</f>
        <v>0</v>
      </c>
      <c r="P19669">
        <f>IF(OR(M19669="",N19669=""),"",SUMIFS('Barang Keluar'!$E:$E,'Barang Keluar'!$A:$A,M19669,'Barang Keluar'!$C:$C,N19669))</f>
        <v>0</v>
      </c>
    </row>
    <row r="19670" spans="13:16">
      <c r="M19670" s="49">
        <f>IF($A$4+196&gt;$B$4,"",$A$4+196)</f>
        <v>46219</v>
      </c>
      <c r="N19670">
        <f>IF(M19670="","",'Master Barang'!A64)</f>
        <v>0</v>
      </c>
      <c r="O19670">
        <f>IF(N19670="","",'Master Barang'!B64)</f>
        <v>0</v>
      </c>
      <c r="P19670">
        <f>IF(OR(M19670="",N19670=""),"",SUMIFS('Barang Keluar'!$E:$E,'Barang Keluar'!$A:$A,M19670,'Barang Keluar'!$C:$C,N19670))</f>
        <v>0</v>
      </c>
    </row>
    <row r="19671" spans="13:16">
      <c r="M19671" s="49">
        <f>IF($A$4+196&gt;$B$4,"",$A$4+196)</f>
        <v>46219</v>
      </c>
      <c r="N19671">
        <f>IF(M19671="","",'Master Barang'!A65)</f>
        <v>0</v>
      </c>
      <c r="O19671">
        <f>IF(N19671="","",'Master Barang'!B65)</f>
        <v>0</v>
      </c>
      <c r="P19671">
        <f>IF(OR(M19671="",N19671=""),"",SUMIFS('Barang Keluar'!$E:$E,'Barang Keluar'!$A:$A,M19671,'Barang Keluar'!$C:$C,N19671))</f>
        <v>0</v>
      </c>
    </row>
    <row r="19672" spans="13:16">
      <c r="M19672" s="49">
        <f>IF($A$4+196&gt;$B$4,"",$A$4+196)</f>
        <v>46219</v>
      </c>
      <c r="N19672">
        <f>IF(M19672="","",'Master Barang'!A66)</f>
        <v>0</v>
      </c>
      <c r="O19672">
        <f>IF(N19672="","",'Master Barang'!B66)</f>
        <v>0</v>
      </c>
      <c r="P19672">
        <f>IF(OR(M19672="",N19672=""),"",SUMIFS('Barang Keluar'!$E:$E,'Barang Keluar'!$A:$A,M19672,'Barang Keluar'!$C:$C,N19672))</f>
        <v>0</v>
      </c>
    </row>
    <row r="19673" spans="13:16">
      <c r="M19673" s="49">
        <f>IF($A$4+196&gt;$B$4,"",$A$4+196)</f>
        <v>46219</v>
      </c>
      <c r="N19673">
        <f>IF(M19673="","",'Master Barang'!A67)</f>
        <v>0</v>
      </c>
      <c r="O19673">
        <f>IF(N19673="","",'Master Barang'!B67)</f>
        <v>0</v>
      </c>
      <c r="P19673">
        <f>IF(OR(M19673="",N19673=""),"",SUMIFS('Barang Keluar'!$E:$E,'Barang Keluar'!$A:$A,M19673,'Barang Keluar'!$C:$C,N19673))</f>
        <v>0</v>
      </c>
    </row>
    <row r="19674" spans="13:16">
      <c r="M19674" s="49">
        <f>IF($A$4+196&gt;$B$4,"",$A$4+196)</f>
        <v>46219</v>
      </c>
      <c r="N19674">
        <f>IF(M19674="","",'Master Barang'!A68)</f>
        <v>0</v>
      </c>
      <c r="O19674">
        <f>IF(N19674="","",'Master Barang'!B68)</f>
        <v>0</v>
      </c>
      <c r="P19674">
        <f>IF(OR(M19674="",N19674=""),"",SUMIFS('Barang Keluar'!$E:$E,'Barang Keluar'!$A:$A,M19674,'Barang Keluar'!$C:$C,N19674))</f>
        <v>0</v>
      </c>
    </row>
    <row r="19675" spans="13:16">
      <c r="M19675" s="49">
        <f>IF($A$4+196&gt;$B$4,"",$A$4+196)</f>
        <v>46219</v>
      </c>
      <c r="N19675">
        <f>IF(M19675="","",'Master Barang'!A69)</f>
        <v>0</v>
      </c>
      <c r="O19675">
        <f>IF(N19675="","",'Master Barang'!B69)</f>
        <v>0</v>
      </c>
      <c r="P19675">
        <f>IF(OR(M19675="",N19675=""),"",SUMIFS('Barang Keluar'!$E:$E,'Barang Keluar'!$A:$A,M19675,'Barang Keluar'!$C:$C,N19675))</f>
        <v>0</v>
      </c>
    </row>
    <row r="19676" spans="13:16">
      <c r="M19676" s="49">
        <f>IF($A$4+196&gt;$B$4,"",$A$4+196)</f>
        <v>46219</v>
      </c>
      <c r="N19676">
        <f>IF(M19676="","",'Master Barang'!A70)</f>
        <v>0</v>
      </c>
      <c r="O19676">
        <f>IF(N19676="","",'Master Barang'!B70)</f>
        <v>0</v>
      </c>
      <c r="P19676">
        <f>IF(OR(M19676="",N19676=""),"",SUMIFS('Barang Keluar'!$E:$E,'Barang Keluar'!$A:$A,M19676,'Barang Keluar'!$C:$C,N19676))</f>
        <v>0</v>
      </c>
    </row>
    <row r="19677" spans="13:16">
      <c r="M19677" s="49">
        <f>IF($A$4+196&gt;$B$4,"",$A$4+196)</f>
        <v>46219</v>
      </c>
      <c r="N19677">
        <f>IF(M19677="","",'Master Barang'!A71)</f>
        <v>0</v>
      </c>
      <c r="O19677">
        <f>IF(N19677="","",'Master Barang'!B71)</f>
        <v>0</v>
      </c>
      <c r="P19677">
        <f>IF(OR(M19677="",N19677=""),"",SUMIFS('Barang Keluar'!$E:$E,'Barang Keluar'!$A:$A,M19677,'Barang Keluar'!$C:$C,N19677))</f>
        <v>0</v>
      </c>
    </row>
    <row r="19678" spans="13:16">
      <c r="M19678" s="49">
        <f>IF($A$4+196&gt;$B$4,"",$A$4+196)</f>
        <v>46219</v>
      </c>
      <c r="N19678">
        <f>IF(M19678="","",'Master Barang'!A72)</f>
        <v>0</v>
      </c>
      <c r="O19678">
        <f>IF(N19678="","",'Master Barang'!B72)</f>
        <v>0</v>
      </c>
      <c r="P19678">
        <f>IF(OR(M19678="",N19678=""),"",SUMIFS('Barang Keluar'!$E:$E,'Barang Keluar'!$A:$A,M19678,'Barang Keluar'!$C:$C,N19678))</f>
        <v>0</v>
      </c>
    </row>
    <row r="19679" spans="13:16">
      <c r="M19679" s="49">
        <f>IF($A$4+196&gt;$B$4,"",$A$4+196)</f>
        <v>46219</v>
      </c>
      <c r="N19679">
        <f>IF(M19679="","",'Master Barang'!A73)</f>
        <v>0</v>
      </c>
      <c r="O19679">
        <f>IF(N19679="","",'Master Barang'!B73)</f>
        <v>0</v>
      </c>
      <c r="P19679">
        <f>IF(OR(M19679="",N19679=""),"",SUMIFS('Barang Keluar'!$E:$E,'Barang Keluar'!$A:$A,M19679,'Barang Keluar'!$C:$C,N19679))</f>
        <v>0</v>
      </c>
    </row>
    <row r="19680" spans="13:16">
      <c r="M19680" s="49">
        <f>IF($A$4+196&gt;$B$4,"",$A$4+196)</f>
        <v>46219</v>
      </c>
      <c r="N19680">
        <f>IF(M19680="","",'Master Barang'!A74)</f>
        <v>0</v>
      </c>
      <c r="O19680">
        <f>IF(N19680="","",'Master Barang'!B74)</f>
        <v>0</v>
      </c>
      <c r="P19680">
        <f>IF(OR(M19680="",N19680=""),"",SUMIFS('Barang Keluar'!$E:$E,'Barang Keluar'!$A:$A,M19680,'Barang Keluar'!$C:$C,N19680))</f>
        <v>0</v>
      </c>
    </row>
    <row r="19681" spans="13:16">
      <c r="M19681" s="49">
        <f>IF($A$4+196&gt;$B$4,"",$A$4+196)</f>
        <v>46219</v>
      </c>
      <c r="N19681">
        <f>IF(M19681="","",'Master Barang'!A75)</f>
        <v>0</v>
      </c>
      <c r="O19681">
        <f>IF(N19681="","",'Master Barang'!B75)</f>
        <v>0</v>
      </c>
      <c r="P19681">
        <f>IF(OR(M19681="",N19681=""),"",SUMIFS('Barang Keluar'!$E:$E,'Barang Keluar'!$A:$A,M19681,'Barang Keluar'!$C:$C,N19681))</f>
        <v>0</v>
      </c>
    </row>
    <row r="19682" spans="13:16">
      <c r="M19682" s="49">
        <f>IF($A$4+196&gt;$B$4,"",$A$4+196)</f>
        <v>46219</v>
      </c>
      <c r="N19682">
        <f>IF(M19682="","",'Master Barang'!A76)</f>
        <v>0</v>
      </c>
      <c r="O19682">
        <f>IF(N19682="","",'Master Barang'!B76)</f>
        <v>0</v>
      </c>
      <c r="P19682">
        <f>IF(OR(M19682="",N19682=""),"",SUMIFS('Barang Keluar'!$E:$E,'Barang Keluar'!$A:$A,M19682,'Barang Keluar'!$C:$C,N19682))</f>
        <v>0</v>
      </c>
    </row>
    <row r="19683" spans="13:16">
      <c r="M19683" s="49">
        <f>IF($A$4+196&gt;$B$4,"",$A$4+196)</f>
        <v>46219</v>
      </c>
      <c r="N19683">
        <f>IF(M19683="","",'Master Barang'!A77)</f>
        <v>0</v>
      </c>
      <c r="O19683">
        <f>IF(N19683="","",'Master Barang'!B77)</f>
        <v>0</v>
      </c>
      <c r="P19683">
        <f>IF(OR(M19683="",N19683=""),"",SUMIFS('Barang Keluar'!$E:$E,'Barang Keluar'!$A:$A,M19683,'Barang Keluar'!$C:$C,N19683))</f>
        <v>0</v>
      </c>
    </row>
    <row r="19684" spans="13:16">
      <c r="M19684" s="49">
        <f>IF($A$4+196&gt;$B$4,"",$A$4+196)</f>
        <v>46219</v>
      </c>
      <c r="N19684">
        <f>IF(M19684="","",'Master Barang'!A78)</f>
        <v>0</v>
      </c>
      <c r="O19684">
        <f>IF(N19684="","",'Master Barang'!B78)</f>
        <v>0</v>
      </c>
      <c r="P19684">
        <f>IF(OR(M19684="",N19684=""),"",SUMIFS('Barang Keluar'!$E:$E,'Barang Keluar'!$A:$A,M19684,'Barang Keluar'!$C:$C,N19684))</f>
        <v>0</v>
      </c>
    </row>
    <row r="19685" spans="13:16">
      <c r="M19685" s="49">
        <f>IF($A$4+196&gt;$B$4,"",$A$4+196)</f>
        <v>46219</v>
      </c>
      <c r="N19685">
        <f>IF(M19685="","",'Master Barang'!A79)</f>
        <v>0</v>
      </c>
      <c r="O19685">
        <f>IF(N19685="","",'Master Barang'!B79)</f>
        <v>0</v>
      </c>
      <c r="P19685">
        <f>IF(OR(M19685="",N19685=""),"",SUMIFS('Barang Keluar'!$E:$E,'Barang Keluar'!$A:$A,M19685,'Barang Keluar'!$C:$C,N19685))</f>
        <v>0</v>
      </c>
    </row>
    <row r="19686" spans="13:16">
      <c r="M19686" s="49">
        <f>IF($A$4+196&gt;$B$4,"",$A$4+196)</f>
        <v>46219</v>
      </c>
      <c r="N19686">
        <f>IF(M19686="","",'Master Barang'!A80)</f>
        <v>0</v>
      </c>
      <c r="O19686">
        <f>IF(N19686="","",'Master Barang'!B80)</f>
        <v>0</v>
      </c>
      <c r="P19686">
        <f>IF(OR(M19686="",N19686=""),"",SUMIFS('Barang Keluar'!$E:$E,'Barang Keluar'!$A:$A,M19686,'Barang Keluar'!$C:$C,N19686))</f>
        <v>0</v>
      </c>
    </row>
    <row r="19687" spans="13:16">
      <c r="M19687" s="49">
        <f>IF($A$4+196&gt;$B$4,"",$A$4+196)</f>
        <v>46219</v>
      </c>
      <c r="N19687">
        <f>IF(M19687="","",'Master Barang'!A81)</f>
        <v>0</v>
      </c>
      <c r="O19687">
        <f>IF(N19687="","",'Master Barang'!B81)</f>
        <v>0</v>
      </c>
      <c r="P19687">
        <f>IF(OR(M19687="",N19687=""),"",SUMIFS('Barang Keluar'!$E:$E,'Barang Keluar'!$A:$A,M19687,'Barang Keluar'!$C:$C,N19687))</f>
        <v>0</v>
      </c>
    </row>
    <row r="19688" spans="13:16">
      <c r="M19688" s="49">
        <f>IF($A$4+196&gt;$B$4,"",$A$4+196)</f>
        <v>46219</v>
      </c>
      <c r="N19688">
        <f>IF(M19688="","",'Master Barang'!A82)</f>
        <v>0</v>
      </c>
      <c r="O19688">
        <f>IF(N19688="","",'Master Barang'!B82)</f>
        <v>0</v>
      </c>
      <c r="P19688">
        <f>IF(OR(M19688="",N19688=""),"",SUMIFS('Barang Keluar'!$E:$E,'Barang Keluar'!$A:$A,M19688,'Barang Keluar'!$C:$C,N19688))</f>
        <v>0</v>
      </c>
    </row>
    <row r="19689" spans="13:16">
      <c r="M19689" s="49">
        <f>IF($A$4+196&gt;$B$4,"",$A$4+196)</f>
        <v>46219</v>
      </c>
      <c r="N19689">
        <f>IF(M19689="","",'Master Barang'!A83)</f>
        <v>0</v>
      </c>
      <c r="O19689">
        <f>IF(N19689="","",'Master Barang'!B83)</f>
        <v>0</v>
      </c>
      <c r="P19689">
        <f>IF(OR(M19689="",N19689=""),"",SUMIFS('Barang Keluar'!$E:$E,'Barang Keluar'!$A:$A,M19689,'Barang Keluar'!$C:$C,N19689))</f>
        <v>0</v>
      </c>
    </row>
    <row r="19690" spans="13:16">
      <c r="M19690" s="49">
        <f>IF($A$4+196&gt;$B$4,"",$A$4+196)</f>
        <v>46219</v>
      </c>
      <c r="N19690">
        <f>IF(M19690="","",'Master Barang'!A84)</f>
        <v>0</v>
      </c>
      <c r="O19690">
        <f>IF(N19690="","",'Master Barang'!B84)</f>
        <v>0</v>
      </c>
      <c r="P19690">
        <f>IF(OR(M19690="",N19690=""),"",SUMIFS('Barang Keluar'!$E:$E,'Barang Keluar'!$A:$A,M19690,'Barang Keluar'!$C:$C,N19690))</f>
        <v>0</v>
      </c>
    </row>
    <row r="19691" spans="13:16">
      <c r="M19691" s="49">
        <f>IF($A$4+196&gt;$B$4,"",$A$4+196)</f>
        <v>46219</v>
      </c>
      <c r="N19691">
        <f>IF(M19691="","",'Master Barang'!A85)</f>
        <v>0</v>
      </c>
      <c r="O19691">
        <f>IF(N19691="","",'Master Barang'!B85)</f>
        <v>0</v>
      </c>
      <c r="P19691">
        <f>IF(OR(M19691="",N19691=""),"",SUMIFS('Barang Keluar'!$E:$E,'Barang Keluar'!$A:$A,M19691,'Barang Keluar'!$C:$C,N19691))</f>
        <v>0</v>
      </c>
    </row>
    <row r="19692" spans="13:16">
      <c r="M19692" s="49">
        <f>IF($A$4+196&gt;$B$4,"",$A$4+196)</f>
        <v>46219</v>
      </c>
      <c r="N19692">
        <f>IF(M19692="","",'Master Barang'!A86)</f>
        <v>0</v>
      </c>
      <c r="O19692">
        <f>IF(N19692="","",'Master Barang'!B86)</f>
        <v>0</v>
      </c>
      <c r="P19692">
        <f>IF(OR(M19692="",N19692=""),"",SUMIFS('Barang Keluar'!$E:$E,'Barang Keluar'!$A:$A,M19692,'Barang Keluar'!$C:$C,N19692))</f>
        <v>0</v>
      </c>
    </row>
    <row r="19693" spans="13:16">
      <c r="M19693" s="49">
        <f>IF($A$4+196&gt;$B$4,"",$A$4+196)</f>
        <v>46219</v>
      </c>
      <c r="N19693">
        <f>IF(M19693="","",'Master Barang'!A87)</f>
        <v>0</v>
      </c>
      <c r="O19693">
        <f>IF(N19693="","",'Master Barang'!B87)</f>
        <v>0</v>
      </c>
      <c r="P19693">
        <f>IF(OR(M19693="",N19693=""),"",SUMIFS('Barang Keluar'!$E:$E,'Barang Keluar'!$A:$A,M19693,'Barang Keluar'!$C:$C,N19693))</f>
        <v>0</v>
      </c>
    </row>
    <row r="19694" spans="13:16">
      <c r="M19694" s="49">
        <f>IF($A$4+196&gt;$B$4,"",$A$4+196)</f>
        <v>46219</v>
      </c>
      <c r="N19694">
        <f>IF(M19694="","",'Master Barang'!A88)</f>
        <v>0</v>
      </c>
      <c r="O19694">
        <f>IF(N19694="","",'Master Barang'!B88)</f>
        <v>0</v>
      </c>
      <c r="P19694">
        <f>IF(OR(M19694="",N19694=""),"",SUMIFS('Barang Keluar'!$E:$E,'Barang Keluar'!$A:$A,M19694,'Barang Keluar'!$C:$C,N19694))</f>
        <v>0</v>
      </c>
    </row>
    <row r="19695" spans="13:16">
      <c r="M19695" s="49">
        <f>IF($A$4+196&gt;$B$4,"",$A$4+196)</f>
        <v>46219</v>
      </c>
      <c r="N19695">
        <f>IF(M19695="","",'Master Barang'!A89)</f>
        <v>0</v>
      </c>
      <c r="O19695">
        <f>IF(N19695="","",'Master Barang'!B89)</f>
        <v>0</v>
      </c>
      <c r="P19695">
        <f>IF(OR(M19695="",N19695=""),"",SUMIFS('Barang Keluar'!$E:$E,'Barang Keluar'!$A:$A,M19695,'Barang Keluar'!$C:$C,N19695))</f>
        <v>0</v>
      </c>
    </row>
    <row r="19696" spans="13:16">
      <c r="M19696" s="49">
        <f>IF($A$4+196&gt;$B$4,"",$A$4+196)</f>
        <v>46219</v>
      </c>
      <c r="N19696">
        <f>IF(M19696="","",'Master Barang'!A90)</f>
        <v>0</v>
      </c>
      <c r="O19696">
        <f>IF(N19696="","",'Master Barang'!B90)</f>
        <v>0</v>
      </c>
      <c r="P19696">
        <f>IF(OR(M19696="",N19696=""),"",SUMIFS('Barang Keluar'!$E:$E,'Barang Keluar'!$A:$A,M19696,'Barang Keluar'!$C:$C,N19696))</f>
        <v>0</v>
      </c>
    </row>
    <row r="19697" spans="13:16">
      <c r="M19697" s="49">
        <f>IF($A$4+196&gt;$B$4,"",$A$4+196)</f>
        <v>46219</v>
      </c>
      <c r="N19697">
        <f>IF(M19697="","",'Master Barang'!A91)</f>
        <v>0</v>
      </c>
      <c r="O19697">
        <f>IF(N19697="","",'Master Barang'!B91)</f>
        <v>0</v>
      </c>
      <c r="P19697">
        <f>IF(OR(M19697="",N19697=""),"",SUMIFS('Barang Keluar'!$E:$E,'Barang Keluar'!$A:$A,M19697,'Barang Keluar'!$C:$C,N19697))</f>
        <v>0</v>
      </c>
    </row>
    <row r="19698" spans="13:16">
      <c r="M19698" s="49">
        <f>IF($A$4+196&gt;$B$4,"",$A$4+196)</f>
        <v>46219</v>
      </c>
      <c r="N19698">
        <f>IF(M19698="","",'Master Barang'!A92)</f>
        <v>0</v>
      </c>
      <c r="O19698">
        <f>IF(N19698="","",'Master Barang'!B92)</f>
        <v>0</v>
      </c>
      <c r="P19698">
        <f>IF(OR(M19698="",N19698=""),"",SUMIFS('Barang Keluar'!$E:$E,'Barang Keluar'!$A:$A,M19698,'Barang Keluar'!$C:$C,N19698))</f>
        <v>0</v>
      </c>
    </row>
    <row r="19699" spans="13:16">
      <c r="M19699" s="49">
        <f>IF($A$4+196&gt;$B$4,"",$A$4+196)</f>
        <v>46219</v>
      </c>
      <c r="N19699">
        <f>IF(M19699="","",'Master Barang'!A93)</f>
        <v>0</v>
      </c>
      <c r="O19699">
        <f>IF(N19699="","",'Master Barang'!B93)</f>
        <v>0</v>
      </c>
      <c r="P19699">
        <f>IF(OR(M19699="",N19699=""),"",SUMIFS('Barang Keluar'!$E:$E,'Barang Keluar'!$A:$A,M19699,'Barang Keluar'!$C:$C,N19699))</f>
        <v>0</v>
      </c>
    </row>
    <row r="19700" spans="13:16">
      <c r="M19700" s="49">
        <f>IF($A$4+196&gt;$B$4,"",$A$4+196)</f>
        <v>46219</v>
      </c>
      <c r="N19700">
        <f>IF(M19700="","",'Master Barang'!A94)</f>
        <v>0</v>
      </c>
      <c r="O19700">
        <f>IF(N19700="","",'Master Barang'!B94)</f>
        <v>0</v>
      </c>
      <c r="P19700">
        <f>IF(OR(M19700="",N19700=""),"",SUMIFS('Barang Keluar'!$E:$E,'Barang Keluar'!$A:$A,M19700,'Barang Keluar'!$C:$C,N19700))</f>
        <v>0</v>
      </c>
    </row>
    <row r="19701" spans="13:16">
      <c r="M19701" s="49">
        <f>IF($A$4+196&gt;$B$4,"",$A$4+196)</f>
        <v>46219</v>
      </c>
      <c r="N19701">
        <f>IF(M19701="","",'Master Barang'!A95)</f>
        <v>0</v>
      </c>
      <c r="O19701">
        <f>IF(N19701="","",'Master Barang'!B95)</f>
        <v>0</v>
      </c>
      <c r="P19701">
        <f>IF(OR(M19701="",N19701=""),"",SUMIFS('Barang Keluar'!$E:$E,'Barang Keluar'!$A:$A,M19701,'Barang Keluar'!$C:$C,N19701))</f>
        <v>0</v>
      </c>
    </row>
    <row r="19702" spans="13:16">
      <c r="M19702" s="49">
        <f>IF($A$4+196&gt;$B$4,"",$A$4+196)</f>
        <v>46219</v>
      </c>
      <c r="N19702">
        <f>IF(M19702="","",'Master Barang'!A96)</f>
        <v>0</v>
      </c>
      <c r="O19702">
        <f>IF(N19702="","",'Master Barang'!B96)</f>
        <v>0</v>
      </c>
      <c r="P19702">
        <f>IF(OR(M19702="",N19702=""),"",SUMIFS('Barang Keluar'!$E:$E,'Barang Keluar'!$A:$A,M19702,'Barang Keluar'!$C:$C,N19702))</f>
        <v>0</v>
      </c>
    </row>
    <row r="19703" spans="13:16">
      <c r="M19703" s="49">
        <f>IF($A$4+196&gt;$B$4,"",$A$4+196)</f>
        <v>46219</v>
      </c>
      <c r="N19703">
        <f>IF(M19703="","",'Master Barang'!A97)</f>
        <v>0</v>
      </c>
      <c r="O19703">
        <f>IF(N19703="","",'Master Barang'!B97)</f>
        <v>0</v>
      </c>
      <c r="P19703">
        <f>IF(OR(M19703="",N19703=""),"",SUMIFS('Barang Keluar'!$E:$E,'Barang Keluar'!$A:$A,M19703,'Barang Keluar'!$C:$C,N19703))</f>
        <v>0</v>
      </c>
    </row>
    <row r="19704" spans="13:16">
      <c r="M19704" s="49">
        <f>IF($A$4+196&gt;$B$4,"",$A$4+196)</f>
        <v>46219</v>
      </c>
      <c r="N19704">
        <f>IF(M19704="","",'Master Barang'!A98)</f>
        <v>0</v>
      </c>
      <c r="O19704">
        <f>IF(N19704="","",'Master Barang'!B98)</f>
        <v>0</v>
      </c>
      <c r="P19704">
        <f>IF(OR(M19704="",N19704=""),"",SUMIFS('Barang Keluar'!$E:$E,'Barang Keluar'!$A:$A,M19704,'Barang Keluar'!$C:$C,N19704))</f>
        <v>0</v>
      </c>
    </row>
    <row r="19705" spans="13:16">
      <c r="M19705" s="49">
        <f>IF($A$4+196&gt;$B$4,"",$A$4+196)</f>
        <v>46219</v>
      </c>
      <c r="N19705">
        <f>IF(M19705="","",'Master Barang'!A99)</f>
        <v>0</v>
      </c>
      <c r="O19705">
        <f>IF(N19705="","",'Master Barang'!B99)</f>
        <v>0</v>
      </c>
      <c r="P19705">
        <f>IF(OR(M19705="",N19705=""),"",SUMIFS('Barang Keluar'!$E:$E,'Barang Keluar'!$A:$A,M19705,'Barang Keluar'!$C:$C,N19705))</f>
        <v>0</v>
      </c>
    </row>
    <row r="19706" spans="13:16">
      <c r="M19706" s="49">
        <f>IF($A$4+196&gt;$B$4,"",$A$4+196)</f>
        <v>46219</v>
      </c>
      <c r="N19706">
        <f>IF(M19706="","",'Master Barang'!A100)</f>
        <v>0</v>
      </c>
      <c r="O19706">
        <f>IF(N19706="","",'Master Barang'!B100)</f>
        <v>0</v>
      </c>
      <c r="P19706">
        <f>IF(OR(M19706="",N19706=""),"",SUMIFS('Barang Keluar'!$E:$E,'Barang Keluar'!$A:$A,M19706,'Barang Keluar'!$C:$C,N19706))</f>
        <v>0</v>
      </c>
    </row>
    <row r="19707" spans="13:16">
      <c r="M19707" s="49">
        <f>IF($A$4+196&gt;$B$4,"",$A$4+196)</f>
        <v>46219</v>
      </c>
      <c r="N19707">
        <f>IF(M19707="","",'Master Barang'!A101)</f>
        <v>0</v>
      </c>
      <c r="O19707">
        <f>IF(N19707="","",'Master Barang'!B101)</f>
        <v>0</v>
      </c>
      <c r="P19707">
        <f>IF(OR(M19707="",N19707=""),"",SUMIFS('Barang Keluar'!$E:$E,'Barang Keluar'!$A:$A,M19707,'Barang Keluar'!$C:$C,N19707))</f>
        <v>0</v>
      </c>
    </row>
    <row r="19708" spans="13:16">
      <c r="M19708" s="49">
        <f>IF($A$4+197&gt;$B$4,"",$A$4+197)</f>
        <v>46220</v>
      </c>
      <c r="N19708" t="str">
        <f>IF(M19708="","",'Master Barang'!A2)</f>
        <v>PRL-001</v>
      </c>
      <c r="O19708" t="str">
        <f>IF(N19708="","",'Master Barang'!B2)</f>
        <v>natura desinfectant food grade 5l</v>
      </c>
      <c r="P19708">
        <f>IF(OR(M19708="",N19708=""),"",SUMIFS('Barang Keluar'!$E:$E,'Barang Keluar'!$A:$A,M19708,'Barang Keluar'!$C:$C,N19708))</f>
        <v>0</v>
      </c>
    </row>
    <row r="19709" spans="13:16">
      <c r="M19709" s="49">
        <f>IF($A$4+197&gt;$B$4,"",$A$4+197)</f>
        <v>46220</v>
      </c>
      <c r="N19709" t="str">
        <f>IF(M19709="","",'Master Barang'!A3)</f>
        <v>PRL-002</v>
      </c>
      <c r="O19709" t="str">
        <f>IF(N19709="","",'Master Barang'!B3)</f>
        <v>sunlight cairan pencuci piring 5l</v>
      </c>
      <c r="P19709">
        <f>IF(OR(M19709="",N19709=""),"",SUMIFS('Barang Keluar'!$E:$E,'Barang Keluar'!$A:$A,M19709,'Barang Keluar'!$C:$C,N19709))</f>
        <v>0</v>
      </c>
    </row>
    <row r="19710" spans="13:16">
      <c r="M19710" s="49">
        <f>IF($A$4+197&gt;$B$4,"",$A$4+197)</f>
        <v>46220</v>
      </c>
      <c r="N19710" t="str">
        <f>IF(M19710="","",'Master Barang'!A4)</f>
        <v>PRL-003</v>
      </c>
      <c r="O19710" t="str">
        <f>IF(N19710="","",'Master Barang'!B4)</f>
        <v>oixs cleaner 1l</v>
      </c>
      <c r="P19710">
        <f>IF(OR(M19710="",N19710=""),"",SUMIFS('Barang Keluar'!$E:$E,'Barang Keluar'!$A:$A,M19710,'Barang Keluar'!$C:$C,N19710))</f>
        <v>0</v>
      </c>
    </row>
    <row r="19711" spans="13:16">
      <c r="M19711" s="49">
        <f>IF($A$4+197&gt;$B$4,"",$A$4+197)</f>
        <v>46220</v>
      </c>
      <c r="N19711" t="str">
        <f>IF(M19711="","",'Master Barang'!A5)</f>
        <v>PRL-004</v>
      </c>
      <c r="O19711" t="str">
        <f>IF(N19711="","",'Master Barang'!B5)</f>
        <v>be clean tissue serbaguna</v>
      </c>
      <c r="P19711">
        <f>IF(OR(M19711="",N19711=""),"",SUMIFS('Barang Keluar'!$E:$E,'Barang Keluar'!$A:$A,M19711,'Barang Keluar'!$C:$C,N19711))</f>
        <v>0</v>
      </c>
    </row>
    <row r="19712" spans="13:16">
      <c r="M19712" s="49">
        <f>IF($A$4+197&gt;$B$4,"",$A$4+197)</f>
        <v>46220</v>
      </c>
      <c r="N19712" t="str">
        <f>IF(M19712="","",'Master Barang'!A6)</f>
        <v>PRL-005</v>
      </c>
      <c r="O19712" t="str">
        <f>IF(N19712="","",'Master Barang'!B6)</f>
        <v>spons cuci hijau</v>
      </c>
      <c r="P19712">
        <f>IF(OR(M19712="",N19712=""),"",SUMIFS('Barang Keluar'!$E:$E,'Barang Keluar'!$A:$A,M19712,'Barang Keluar'!$C:$C,N19712))</f>
        <v>0</v>
      </c>
    </row>
    <row r="19713" spans="13:16">
      <c r="M19713" s="49">
        <f>IF($A$4+197&gt;$B$4,"",$A$4+197)</f>
        <v>46220</v>
      </c>
      <c r="N19713" t="str">
        <f>IF(M19713="","",'Master Barang'!A7)</f>
        <v>PRL-006</v>
      </c>
      <c r="O19713" t="str">
        <f>IF(N19713="","",'Master Barang'!B7)</f>
        <v>sabut cuci stainless</v>
      </c>
      <c r="P19713">
        <f>IF(OR(M19713="",N19713=""),"",SUMIFS('Barang Keluar'!$E:$E,'Barang Keluar'!$A:$A,M19713,'Barang Keluar'!$C:$C,N19713))</f>
        <v>0</v>
      </c>
    </row>
    <row r="19714" spans="13:16">
      <c r="M19714" s="49">
        <f>IF($A$4+197&gt;$B$4,"",$A$4+197)</f>
        <v>46220</v>
      </c>
      <c r="N19714" t="str">
        <f>IF(M19714="","",'Master Barang'!A8)</f>
        <v>PRL-007</v>
      </c>
      <c r="O19714" t="str">
        <f>IF(N19714="","",'Master Barang'!B8)</f>
        <v>plastik kresek besar merah 50pc</v>
      </c>
      <c r="P19714">
        <f>IF(OR(M19714="",N19714=""),"",SUMIFS('Barang Keluar'!$E:$E,'Barang Keluar'!$A:$A,M19714,'Barang Keluar'!$C:$C,N19714))</f>
        <v>0</v>
      </c>
    </row>
    <row r="19715" spans="13:16">
      <c r="M19715" s="49">
        <f>IF($A$4+197&gt;$B$4,"",$A$4+197)</f>
        <v>46220</v>
      </c>
      <c r="N19715" t="str">
        <f>IF(M19715="","",'Master Barang'!A9)</f>
        <v>PRL-008</v>
      </c>
      <c r="O19715" t="str">
        <f>IF(N19715="","",'Master Barang'!B9)</f>
        <v>lap besar</v>
      </c>
      <c r="P19715">
        <f>IF(OR(M19715="",N19715=""),"",SUMIFS('Barang Keluar'!$E:$E,'Barang Keluar'!$A:$A,M19715,'Barang Keluar'!$C:$C,N19715))</f>
        <v>0</v>
      </c>
    </row>
    <row r="19716" spans="13:16">
      <c r="M19716" s="49">
        <f>IF($A$4+197&gt;$B$4,"",$A$4+197)</f>
        <v>46220</v>
      </c>
      <c r="N19716" t="str">
        <f>IF(M19716="","",'Master Barang'!A10)</f>
        <v>PRL-009</v>
      </c>
      <c r="O19716" t="str">
        <f>IF(N19716="","",'Master Barang'!B10)</f>
        <v>lap microfiber</v>
      </c>
      <c r="P19716">
        <f>IF(OR(M19716="",N19716=""),"",SUMIFS('Barang Keluar'!$E:$E,'Barang Keluar'!$A:$A,M19716,'Barang Keluar'!$C:$C,N19716))</f>
        <v>0</v>
      </c>
    </row>
    <row r="19717" spans="13:16">
      <c r="M19717" s="49">
        <f>IF($A$4+197&gt;$B$4,"",$A$4+197)</f>
        <v>46220</v>
      </c>
      <c r="N19717" t="str">
        <f>IF(M19717="","",'Master Barang'!A11)</f>
        <v>PRL-010</v>
      </c>
      <c r="O19717" t="str">
        <f>IF(N19717="","",'Master Barang'!B11)</f>
        <v>lap kecil</v>
      </c>
      <c r="P19717">
        <f>IF(OR(M19717="",N19717=""),"",SUMIFS('Barang Keluar'!$E:$E,'Barang Keluar'!$A:$A,M19717,'Barang Keluar'!$C:$C,N19717))</f>
        <v>0</v>
      </c>
    </row>
    <row r="19718" spans="13:16">
      <c r="M19718" s="49">
        <f>IF($A$4+197&gt;$B$4,"",$A$4+197)</f>
        <v>46220</v>
      </c>
      <c r="N19718" t="str">
        <f>IF(M19718="","",'Master Barang'!A12)</f>
        <v>PRL-011</v>
      </c>
      <c r="O19718" t="str">
        <f>IF(N19718="","",'Master Barang'!B12)</f>
        <v>kanebo kecil</v>
      </c>
      <c r="P19718">
        <f>IF(OR(M19718="",N19718=""),"",SUMIFS('Barang Keluar'!$E:$E,'Barang Keluar'!$A:$A,M19718,'Barang Keluar'!$C:$C,N19718))</f>
        <v>0</v>
      </c>
    </row>
    <row r="19719" spans="13:16">
      <c r="M19719" s="49">
        <f>IF($A$4+197&gt;$B$4,"",$A$4+197)</f>
        <v>46220</v>
      </c>
      <c r="N19719" t="str">
        <f>IF(M19719="","",'Master Barang'!A13)</f>
        <v>PRL-012</v>
      </c>
      <c r="O19719" t="str">
        <f>IF(N19719="","",'Master Barang'!B13)</f>
        <v>plastik 1/4kg joyoboyo 100 lembar</v>
      </c>
      <c r="P19719">
        <f>IF(OR(M19719="",N19719=""),"",SUMIFS('Barang Keluar'!$E:$E,'Barang Keluar'!$A:$A,M19719,'Barang Keluar'!$C:$C,N19719))</f>
        <v>0</v>
      </c>
    </row>
    <row r="19720" spans="13:16">
      <c r="M19720" s="49">
        <f>IF($A$4+197&gt;$B$4,"",$A$4+197)</f>
        <v>46220</v>
      </c>
      <c r="N19720" t="str">
        <f>IF(M19720="","",'Master Barang'!A14)</f>
        <v>PRL-013</v>
      </c>
      <c r="O19720" t="str">
        <f>IF(N19720="","",'Master Barang'!B14)</f>
        <v>sarung tangan plastik kaka 100 pcs</v>
      </c>
      <c r="P19720">
        <f>IF(OR(M19720="",N19720=""),"",SUMIFS('Barang Keluar'!$E:$E,'Barang Keluar'!$A:$A,M19720,'Barang Keluar'!$C:$C,N19720))</f>
        <v>0</v>
      </c>
    </row>
    <row r="19721" spans="13:16">
      <c r="M19721" s="49">
        <f>IF($A$4+197&gt;$B$4,"",$A$4+197)</f>
        <v>46220</v>
      </c>
      <c r="N19721" t="str">
        <f>IF(M19721="","",'Master Barang'!A15)</f>
        <v>PRL-014</v>
      </c>
      <c r="O19721" t="str">
        <f>IF(N19721="","",'Master Barang'!B15)</f>
        <v>optima trashbag 80x100</v>
      </c>
      <c r="P19721">
        <f>IF(OR(M19721="",N19721=""),"",SUMIFS('Barang Keluar'!$E:$E,'Barang Keluar'!$A:$A,M19721,'Barang Keluar'!$C:$C,N19721))</f>
        <v>0</v>
      </c>
    </row>
    <row r="19722" spans="13:16">
      <c r="M19722" s="49">
        <f>IF($A$4+197&gt;$B$4,"",$A$4+197)</f>
        <v>46220</v>
      </c>
      <c r="N19722" t="str">
        <f>IF(M19722="","",'Master Barang'!A16)</f>
        <v>PRL-015</v>
      </c>
      <c r="O19722" t="str">
        <f>IF(N19722="","",'Master Barang'!B16)</f>
        <v>optima trashbag 60x100</v>
      </c>
      <c r="P19722">
        <f>IF(OR(M19722="",N19722=""),"",SUMIFS('Barang Keluar'!$E:$E,'Barang Keluar'!$A:$A,M19722,'Barang Keluar'!$C:$C,N19722))</f>
        <v>0</v>
      </c>
    </row>
    <row r="19723" spans="13:16">
      <c r="M19723" s="49">
        <f>IF($A$4+197&gt;$B$4,"",$A$4+197)</f>
        <v>46220</v>
      </c>
      <c r="N19723" t="str">
        <f>IF(M19723="","",'Master Barang'!A17)</f>
        <v>PRL-016</v>
      </c>
      <c r="O19723" t="str">
        <f>IF(N19723="","",'Master Barang'!B17)</f>
        <v>rajawali trashbag 30x40</v>
      </c>
      <c r="P19723">
        <f>IF(OR(M19723="",N19723=""),"",SUMIFS('Barang Keluar'!$E:$E,'Barang Keluar'!$A:$A,M19723,'Barang Keluar'!$C:$C,N19723))</f>
        <v>0</v>
      </c>
    </row>
    <row r="19724" spans="13:16">
      <c r="M19724" s="49">
        <f>IF($A$4+197&gt;$B$4,"",$A$4+197)</f>
        <v>46220</v>
      </c>
      <c r="N19724" t="str">
        <f>IF(M19724="","",'Master Barang'!A18)</f>
        <v>PRL-017</v>
      </c>
      <c r="O19724" t="str">
        <f>IF(N19724="","",'Master Barang'!B18)</f>
        <v>onemed masker biru 3 play 50 pcs</v>
      </c>
      <c r="P19724">
        <f>IF(OR(M19724="",N19724=""),"",SUMIFS('Barang Keluar'!$E:$E,'Barang Keluar'!$A:$A,M19724,'Barang Keluar'!$C:$C,N19724))</f>
        <v>0</v>
      </c>
    </row>
    <row r="19725" spans="13:16">
      <c r="M19725" s="49">
        <f>IF($A$4+197&gt;$B$4,"",$A$4+197)</f>
        <v>46220</v>
      </c>
      <c r="N19725" t="str">
        <f>IF(M19725="","",'Master Barang'!A19)</f>
        <v>PRL-018</v>
      </c>
      <c r="O19725" t="str">
        <f>IF(N19725="","",'Master Barang'!B19)</f>
        <v>onemed masker biru 3 play hijab 50 pcs</v>
      </c>
      <c r="P19725">
        <f>IF(OR(M19725="",N19725=""),"",SUMIFS('Barang Keluar'!$E:$E,'Barang Keluar'!$A:$A,M19725,'Barang Keluar'!$C:$C,N19725))</f>
        <v>0</v>
      </c>
    </row>
    <row r="19726" spans="13:16">
      <c r="M19726" s="49">
        <f>IF($A$4+197&gt;$B$4,"",$A$4+197)</f>
        <v>46220</v>
      </c>
      <c r="N19726" t="str">
        <f>IF(M19726="","",'Master Barang'!A20)</f>
        <v>PRL-019</v>
      </c>
      <c r="O19726" t="str">
        <f>IF(N19726="","",'Master Barang'!B20)</f>
        <v>neo health masker biru 3 play 50 pcs</v>
      </c>
      <c r="P19726">
        <f>IF(OR(M19726="",N19726=""),"",SUMIFS('Barang Keluar'!$E:$E,'Barang Keluar'!$A:$A,M19726,'Barang Keluar'!$C:$C,N19726))</f>
        <v>0</v>
      </c>
    </row>
    <row r="19727" spans="13:16">
      <c r="M19727" s="49">
        <f>IF($A$4+197&gt;$B$4,"",$A$4+197)</f>
        <v>46220</v>
      </c>
      <c r="N19727" t="str">
        <f>IF(M19727="","",'Master Barang'!A21)</f>
        <v>PRL-020</v>
      </c>
      <c r="O19727" t="str">
        <f>IF(N19727="","",'Master Barang'!B21)</f>
        <v>baymed masker hijau 3 play hijau 50 pcs</v>
      </c>
      <c r="P19727">
        <f>IF(OR(M19727="",N19727=""),"",SUMIFS('Barang Keluar'!$E:$E,'Barang Keluar'!$A:$A,M19727,'Barang Keluar'!$C:$C,N19727))</f>
        <v>0</v>
      </c>
    </row>
    <row r="19728" spans="13:16">
      <c r="M19728" s="49">
        <f>IF($A$4+197&gt;$B$4,"",$A$4+197)</f>
        <v>46220</v>
      </c>
      <c r="N19728" t="str">
        <f>IF(M19728="","",'Master Barang'!A22)</f>
        <v>PRL-021</v>
      </c>
      <c r="O19728" t="str">
        <f>IF(N19728="","",'Master Barang'!B22)</f>
        <v>altamed nurse cap penutup kepala 100 pcs</v>
      </c>
      <c r="P19728">
        <f>IF(OR(M19728="",N19728=""),"",SUMIFS('Barang Keluar'!$E:$E,'Barang Keluar'!$A:$A,M19728,'Barang Keluar'!$C:$C,N19728))</f>
        <v>0</v>
      </c>
    </row>
    <row r="19729" spans="13:16">
      <c r="M19729" s="49">
        <f>IF($A$4+197&gt;$B$4,"",$A$4+197)</f>
        <v>46220</v>
      </c>
      <c r="N19729" t="str">
        <f>IF(M19729="","",'Master Barang'!A23)</f>
        <v>PRL-022</v>
      </c>
      <c r="O19729" t="str">
        <f>IF(N19729="","",'Master Barang'!B23)</f>
        <v>sabun cuci tangan</v>
      </c>
      <c r="P19729">
        <f>IF(OR(M19729="",N19729=""),"",SUMIFS('Barang Keluar'!$E:$E,'Barang Keluar'!$A:$A,M19729,'Barang Keluar'!$C:$C,N19729))</f>
        <v>0</v>
      </c>
    </row>
    <row r="19730" spans="13:16">
      <c r="M19730" s="49">
        <f>IF($A$4+197&gt;$B$4,"",$A$4+197)</f>
        <v>46220</v>
      </c>
      <c r="N19730" t="str">
        <f>IF(M19730="","",'Master Barang'!A24)</f>
        <v>PRL-023</v>
      </c>
      <c r="O19730" t="str">
        <f>IF(N19730="","",'Master Barang'!B24)</f>
        <v>gayung kecil</v>
      </c>
      <c r="P19730">
        <f>IF(OR(M19730="",N19730=""),"",SUMIFS('Barang Keluar'!$E:$E,'Barang Keluar'!$A:$A,M19730,'Barang Keluar'!$C:$C,N19730))</f>
        <v>0</v>
      </c>
    </row>
    <row r="19731" spans="13:16">
      <c r="M19731" s="49">
        <f>IF($A$4+197&gt;$B$4,"",$A$4+197)</f>
        <v>46220</v>
      </c>
      <c r="N19731" t="str">
        <f>IF(M19731="","",'Master Barang'!A25)</f>
        <v>PRL-024</v>
      </c>
      <c r="O19731" t="str">
        <f>IF(N19731="","",'Master Barang'!B25)</f>
        <v>cikrak kecil</v>
      </c>
      <c r="P19731">
        <f>IF(OR(M19731="",N19731=""),"",SUMIFS('Barang Keluar'!$E:$E,'Barang Keluar'!$A:$A,M19731,'Barang Keluar'!$C:$C,N19731))</f>
        <v>0</v>
      </c>
    </row>
    <row r="19732" spans="13:16">
      <c r="M19732" s="49">
        <f>IF($A$4+197&gt;$B$4,"",$A$4+197)</f>
        <v>46220</v>
      </c>
      <c r="N19732" t="str">
        <f>IF(M19732="","",'Master Barang'!A26)</f>
        <v>PRL-025</v>
      </c>
      <c r="O19732" t="str">
        <f>IF(N19732="","",'Master Barang'!B26)</f>
        <v>petromax plastik kecil 12x24 100 lembar</v>
      </c>
      <c r="P19732">
        <f>IF(OR(M19732="",N19732=""),"",SUMIFS('Barang Keluar'!$E:$E,'Barang Keluar'!$A:$A,M19732,'Barang Keluar'!$C:$C,N19732))</f>
        <v>0</v>
      </c>
    </row>
    <row r="19733" spans="13:16">
      <c r="M19733" s="49">
        <f>IF($A$4+197&gt;$B$4,"",$A$4+197)</f>
        <v>46220</v>
      </c>
      <c r="N19733" t="str">
        <f>IF(M19733="","",'Master Barang'!A27)</f>
        <v>PRL-026</v>
      </c>
      <c r="O19733" t="str">
        <f>IF(N19733="","",'Master Barang'!B27)</f>
        <v>lancar kresek kecil bening </v>
      </c>
      <c r="P19733">
        <f>IF(OR(M19733="",N19733=""),"",SUMIFS('Barang Keluar'!$E:$E,'Barang Keluar'!$A:$A,M19733,'Barang Keluar'!$C:$C,N19733))</f>
        <v>0</v>
      </c>
    </row>
    <row r="19734" spans="13:16">
      <c r="M19734" s="49">
        <f>IF($A$4+197&gt;$B$4,"",$A$4+197)</f>
        <v>46220</v>
      </c>
      <c r="N19734" t="str">
        <f>IF(M19734="","",'Master Barang'!A28)</f>
        <v>PRL-027</v>
      </c>
      <c r="O19734" t="str">
        <f>IF(N19734="","",'Master Barang'!B28)</f>
        <v>kresek klin warna warni kecil</v>
      </c>
      <c r="P19734">
        <f>IF(OR(M19734="",N19734=""),"",SUMIFS('Barang Keluar'!$E:$E,'Barang Keluar'!$A:$A,M19734,'Barang Keluar'!$C:$C,N19734))</f>
        <v>0</v>
      </c>
    </row>
    <row r="19735" spans="13:16">
      <c r="M19735" s="49">
        <f>IF($A$4+197&gt;$B$4,"",$A$4+197)</f>
        <v>46220</v>
      </c>
      <c r="N19735" t="str">
        <f>IF(M19735="","",'Master Barang'!A29)</f>
        <v>PRL-028</v>
      </c>
      <c r="O19735" t="str">
        <f>IF(N19735="","",'Master Barang'!B29)</f>
        <v>ctik plastik 7x10 100 pcs</v>
      </c>
      <c r="P19735">
        <f>IF(OR(M19735="",N19735=""),"",SUMIFS('Barang Keluar'!$E:$E,'Barang Keluar'!$A:$A,M19735,'Barang Keluar'!$C:$C,N19735))</f>
        <v>0</v>
      </c>
    </row>
    <row r="19736" spans="13:16">
      <c r="M19736" s="49">
        <f>IF($A$4+197&gt;$B$4,"",$A$4+197)</f>
        <v>46220</v>
      </c>
      <c r="N19736" t="str">
        <f>IF(M19736="","",'Master Barang'!A30)</f>
        <v>PRL-029</v>
      </c>
      <c r="O19736" t="str">
        <f>IF(N19736="","",'Master Barang'!B30)</f>
        <v>ctik plastik 6x10 100 pcs</v>
      </c>
      <c r="P19736">
        <f>IF(OR(M19736="",N19736=""),"",SUMIFS('Barang Keluar'!$E:$E,'Barang Keluar'!$A:$A,M19736,'Barang Keluar'!$C:$C,N19736))</f>
        <v>0</v>
      </c>
    </row>
    <row r="19737" spans="13:16">
      <c r="M19737" s="49">
        <f>IF($A$4+197&gt;$B$4,"",$A$4+197)</f>
        <v>46220</v>
      </c>
      <c r="N19737" t="str">
        <f>IF(M19737="","",'Master Barang'!A31)</f>
        <v>PRL-030</v>
      </c>
      <c r="O19737" t="str">
        <f>IF(N19737="","",'Master Barang'!B31)</f>
        <v>klip plastik 25x16 100 pcs</v>
      </c>
      <c r="P19737">
        <f>IF(OR(M19737="",N19737=""),"",SUMIFS('Barang Keluar'!$E:$E,'Barang Keluar'!$A:$A,M19737,'Barang Keluar'!$C:$C,N19737))</f>
        <v>0</v>
      </c>
    </row>
    <row r="19738" spans="13:16">
      <c r="M19738" s="49">
        <f>IF($A$4+197&gt;$B$4,"",$A$4+197)</f>
        <v>46220</v>
      </c>
      <c r="N19738" t="str">
        <f>IF(M19738="","",'Master Barang'!A32)</f>
        <v>PRL-031</v>
      </c>
      <c r="O19738" t="str">
        <f>IF(N19738="","",'Master Barang'!B32)</f>
        <v>tempat saus 20 ml</v>
      </c>
      <c r="P19738">
        <f>IF(OR(M19738="",N19738=""),"",SUMIFS('Barang Keluar'!$E:$E,'Barang Keluar'!$A:$A,M19738,'Barang Keluar'!$C:$C,N19738))</f>
        <v>0</v>
      </c>
    </row>
    <row r="19739" spans="13:16">
      <c r="M19739" s="49">
        <f>IF($A$4+197&gt;$B$4,"",$A$4+197)</f>
        <v>46220</v>
      </c>
      <c r="N19739" t="str">
        <f>IF(M19739="","",'Master Barang'!A33)</f>
        <v>PRL-032</v>
      </c>
      <c r="O19739" t="str">
        <f>IF(N19739="","",'Master Barang'!B33)</f>
        <v>plastik packaging ag box uk sedang</v>
      </c>
      <c r="P19739">
        <f>IF(OR(M19739="",N19739=""),"",SUMIFS('Barang Keluar'!$E:$E,'Barang Keluar'!$A:$A,M19739,'Barang Keluar'!$C:$C,N19739))</f>
        <v>0</v>
      </c>
    </row>
    <row r="19740" spans="13:16">
      <c r="M19740" s="49">
        <f>IF($A$4+197&gt;$B$4,"",$A$4+197)</f>
        <v>46220</v>
      </c>
      <c r="N19740" t="str">
        <f>IF(M19740="","",'Master Barang'!A34)</f>
        <v>PRL-033</v>
      </c>
      <c r="O19740">
        <f>IF(N19740="","",'Master Barang'!B34)</f>
        <v>0</v>
      </c>
      <c r="P19740">
        <f>IF(OR(M19740="",N19740=""),"",SUMIFS('Barang Keluar'!$E:$E,'Barang Keluar'!$A:$A,M19740,'Barang Keluar'!$C:$C,N19740))</f>
        <v>0</v>
      </c>
    </row>
    <row r="19741" spans="13:16">
      <c r="M19741" s="49">
        <f>IF($A$4+197&gt;$B$4,"",$A$4+197)</f>
        <v>46220</v>
      </c>
      <c r="N19741">
        <f>IF(M19741="","",'Master Barang'!A35)</f>
        <v>0</v>
      </c>
      <c r="O19741">
        <f>IF(N19741="","",'Master Barang'!B35)</f>
        <v>0</v>
      </c>
      <c r="P19741">
        <f>IF(OR(M19741="",N19741=""),"",SUMIFS('Barang Keluar'!$E:$E,'Barang Keluar'!$A:$A,M19741,'Barang Keluar'!$C:$C,N19741))</f>
        <v>0</v>
      </c>
    </row>
    <row r="19742" spans="13:16">
      <c r="M19742" s="49">
        <f>IF($A$4+197&gt;$B$4,"",$A$4+197)</f>
        <v>46220</v>
      </c>
      <c r="N19742">
        <f>IF(M19742="","",'Master Barang'!A36)</f>
        <v>0</v>
      </c>
      <c r="O19742">
        <f>IF(N19742="","",'Master Barang'!B36)</f>
        <v>0</v>
      </c>
      <c r="P19742">
        <f>IF(OR(M19742="",N19742=""),"",SUMIFS('Barang Keluar'!$E:$E,'Barang Keluar'!$A:$A,M19742,'Barang Keluar'!$C:$C,N19742))</f>
        <v>0</v>
      </c>
    </row>
    <row r="19743" spans="13:16">
      <c r="M19743" s="49">
        <f>IF($A$4+197&gt;$B$4,"",$A$4+197)</f>
        <v>46220</v>
      </c>
      <c r="N19743">
        <f>IF(M19743="","",'Master Barang'!A37)</f>
        <v>0</v>
      </c>
      <c r="O19743">
        <f>IF(N19743="","",'Master Barang'!B37)</f>
        <v>0</v>
      </c>
      <c r="P19743">
        <f>IF(OR(M19743="",N19743=""),"",SUMIFS('Barang Keluar'!$E:$E,'Barang Keluar'!$A:$A,M19743,'Barang Keluar'!$C:$C,N19743))</f>
        <v>0</v>
      </c>
    </row>
    <row r="19744" spans="13:16">
      <c r="M19744" s="49">
        <f>IF($A$4+197&gt;$B$4,"",$A$4+197)</f>
        <v>46220</v>
      </c>
      <c r="N19744">
        <f>IF(M19744="","",'Master Barang'!A38)</f>
        <v>0</v>
      </c>
      <c r="O19744">
        <f>IF(N19744="","",'Master Barang'!B38)</f>
        <v>0</v>
      </c>
      <c r="P19744">
        <f>IF(OR(M19744="",N19744=""),"",SUMIFS('Barang Keluar'!$E:$E,'Barang Keluar'!$A:$A,M19744,'Barang Keluar'!$C:$C,N19744))</f>
        <v>0</v>
      </c>
    </row>
    <row r="19745" spans="13:16">
      <c r="M19745" s="49">
        <f>IF($A$4+197&gt;$B$4,"",$A$4+197)</f>
        <v>46220</v>
      </c>
      <c r="N19745">
        <f>IF(M19745="","",'Master Barang'!A39)</f>
        <v>0</v>
      </c>
      <c r="O19745">
        <f>IF(N19745="","",'Master Barang'!B39)</f>
        <v>0</v>
      </c>
      <c r="P19745">
        <f>IF(OR(M19745="",N19745=""),"",SUMIFS('Barang Keluar'!$E:$E,'Barang Keluar'!$A:$A,M19745,'Barang Keluar'!$C:$C,N19745))</f>
        <v>0</v>
      </c>
    </row>
    <row r="19746" spans="13:16">
      <c r="M19746" s="49">
        <f>IF($A$4+197&gt;$B$4,"",$A$4+197)</f>
        <v>46220</v>
      </c>
      <c r="N19746">
        <f>IF(M19746="","",'Master Barang'!A40)</f>
        <v>0</v>
      </c>
      <c r="O19746">
        <f>IF(N19746="","",'Master Barang'!B40)</f>
        <v>0</v>
      </c>
      <c r="P19746">
        <f>IF(OR(M19746="",N19746=""),"",SUMIFS('Barang Keluar'!$E:$E,'Barang Keluar'!$A:$A,M19746,'Barang Keluar'!$C:$C,N19746))</f>
        <v>0</v>
      </c>
    </row>
    <row r="19747" spans="13:16">
      <c r="M19747" s="49">
        <f>IF($A$4+197&gt;$B$4,"",$A$4+197)</f>
        <v>46220</v>
      </c>
      <c r="N19747">
        <f>IF(M19747="","",'Master Barang'!A41)</f>
        <v>0</v>
      </c>
      <c r="O19747">
        <f>IF(N19747="","",'Master Barang'!B41)</f>
        <v>0</v>
      </c>
      <c r="P19747">
        <f>IF(OR(M19747="",N19747=""),"",SUMIFS('Barang Keluar'!$E:$E,'Barang Keluar'!$A:$A,M19747,'Barang Keluar'!$C:$C,N19747))</f>
        <v>0</v>
      </c>
    </row>
    <row r="19748" spans="13:16">
      <c r="M19748" s="49">
        <f>IF($A$4+197&gt;$B$4,"",$A$4+197)</f>
        <v>46220</v>
      </c>
      <c r="N19748">
        <f>IF(M19748="","",'Master Barang'!A42)</f>
        <v>0</v>
      </c>
      <c r="O19748">
        <f>IF(N19748="","",'Master Barang'!B42)</f>
        <v>0</v>
      </c>
      <c r="P19748">
        <f>IF(OR(M19748="",N19748=""),"",SUMIFS('Barang Keluar'!$E:$E,'Barang Keluar'!$A:$A,M19748,'Barang Keluar'!$C:$C,N19748))</f>
        <v>0</v>
      </c>
    </row>
    <row r="19749" spans="13:16">
      <c r="M19749" s="49">
        <f>IF($A$4+197&gt;$B$4,"",$A$4+197)</f>
        <v>46220</v>
      </c>
      <c r="N19749">
        <f>IF(M19749="","",'Master Barang'!A43)</f>
        <v>0</v>
      </c>
      <c r="O19749">
        <f>IF(N19749="","",'Master Barang'!B43)</f>
        <v>0</v>
      </c>
      <c r="P19749">
        <f>IF(OR(M19749="",N19749=""),"",SUMIFS('Barang Keluar'!$E:$E,'Barang Keluar'!$A:$A,M19749,'Barang Keluar'!$C:$C,N19749))</f>
        <v>0</v>
      </c>
    </row>
    <row r="19750" spans="13:16">
      <c r="M19750" s="49">
        <f>IF($A$4+197&gt;$B$4,"",$A$4+197)</f>
        <v>46220</v>
      </c>
      <c r="N19750">
        <f>IF(M19750="","",'Master Barang'!A44)</f>
        <v>0</v>
      </c>
      <c r="O19750">
        <f>IF(N19750="","",'Master Barang'!B44)</f>
        <v>0</v>
      </c>
      <c r="P19750">
        <f>IF(OR(M19750="",N19750=""),"",SUMIFS('Barang Keluar'!$E:$E,'Barang Keluar'!$A:$A,M19750,'Barang Keluar'!$C:$C,N19750))</f>
        <v>0</v>
      </c>
    </row>
    <row r="19751" spans="13:16">
      <c r="M19751" s="49">
        <f>IF($A$4+197&gt;$B$4,"",$A$4+197)</f>
        <v>46220</v>
      </c>
      <c r="N19751">
        <f>IF(M19751="","",'Master Barang'!A45)</f>
        <v>0</v>
      </c>
      <c r="O19751">
        <f>IF(N19751="","",'Master Barang'!B45)</f>
        <v>0</v>
      </c>
      <c r="P19751">
        <f>IF(OR(M19751="",N19751=""),"",SUMIFS('Barang Keluar'!$E:$E,'Barang Keluar'!$A:$A,M19751,'Barang Keluar'!$C:$C,N19751))</f>
        <v>0</v>
      </c>
    </row>
    <row r="19752" spans="13:16">
      <c r="M19752" s="49">
        <f>IF($A$4+197&gt;$B$4,"",$A$4+197)</f>
        <v>46220</v>
      </c>
      <c r="N19752">
        <f>IF(M19752="","",'Master Barang'!A46)</f>
        <v>0</v>
      </c>
      <c r="O19752">
        <f>IF(N19752="","",'Master Barang'!B46)</f>
        <v>0</v>
      </c>
      <c r="P19752">
        <f>IF(OR(M19752="",N19752=""),"",SUMIFS('Barang Keluar'!$E:$E,'Barang Keluar'!$A:$A,M19752,'Barang Keluar'!$C:$C,N19752))</f>
        <v>0</v>
      </c>
    </row>
    <row r="19753" spans="13:16">
      <c r="M19753" s="49">
        <f>IF($A$4+197&gt;$B$4,"",$A$4+197)</f>
        <v>46220</v>
      </c>
      <c r="N19753">
        <f>IF(M19753="","",'Master Barang'!A47)</f>
        <v>0</v>
      </c>
      <c r="O19753">
        <f>IF(N19753="","",'Master Barang'!B47)</f>
        <v>0</v>
      </c>
      <c r="P19753">
        <f>IF(OR(M19753="",N19753=""),"",SUMIFS('Barang Keluar'!$E:$E,'Barang Keluar'!$A:$A,M19753,'Barang Keluar'!$C:$C,N19753))</f>
        <v>0</v>
      </c>
    </row>
    <row r="19754" spans="13:16">
      <c r="M19754" s="49">
        <f>IF($A$4+197&gt;$B$4,"",$A$4+197)</f>
        <v>46220</v>
      </c>
      <c r="N19754">
        <f>IF(M19754="","",'Master Barang'!A48)</f>
        <v>0</v>
      </c>
      <c r="O19754">
        <f>IF(N19754="","",'Master Barang'!B48)</f>
        <v>0</v>
      </c>
      <c r="P19754">
        <f>IF(OR(M19754="",N19754=""),"",SUMIFS('Barang Keluar'!$E:$E,'Barang Keluar'!$A:$A,M19754,'Barang Keluar'!$C:$C,N19754))</f>
        <v>0</v>
      </c>
    </row>
    <row r="19755" spans="13:16">
      <c r="M19755" s="49">
        <f>IF($A$4+197&gt;$B$4,"",$A$4+197)</f>
        <v>46220</v>
      </c>
      <c r="N19755">
        <f>IF(M19755="","",'Master Barang'!A49)</f>
        <v>0</v>
      </c>
      <c r="O19755">
        <f>IF(N19755="","",'Master Barang'!B49)</f>
        <v>0</v>
      </c>
      <c r="P19755">
        <f>IF(OR(M19755="",N19755=""),"",SUMIFS('Barang Keluar'!$E:$E,'Barang Keluar'!$A:$A,M19755,'Barang Keluar'!$C:$C,N19755))</f>
        <v>0</v>
      </c>
    </row>
    <row r="19756" spans="13:16">
      <c r="M19756" s="49">
        <f>IF($A$4+197&gt;$B$4,"",$A$4+197)</f>
        <v>46220</v>
      </c>
      <c r="N19756">
        <f>IF(M19756="","",'Master Barang'!A50)</f>
        <v>0</v>
      </c>
      <c r="O19756">
        <f>IF(N19756="","",'Master Barang'!B50)</f>
        <v>0</v>
      </c>
      <c r="P19756">
        <f>IF(OR(M19756="",N19756=""),"",SUMIFS('Barang Keluar'!$E:$E,'Barang Keluar'!$A:$A,M19756,'Barang Keluar'!$C:$C,N19756))</f>
        <v>0</v>
      </c>
    </row>
    <row r="19757" spans="13:16">
      <c r="M19757" s="49">
        <f>IF($A$4+197&gt;$B$4,"",$A$4+197)</f>
        <v>46220</v>
      </c>
      <c r="N19757">
        <f>IF(M19757="","",'Master Barang'!A51)</f>
        <v>0</v>
      </c>
      <c r="O19757">
        <f>IF(N19757="","",'Master Barang'!B51)</f>
        <v>0</v>
      </c>
      <c r="P19757">
        <f>IF(OR(M19757="",N19757=""),"",SUMIFS('Barang Keluar'!$E:$E,'Barang Keluar'!$A:$A,M19757,'Barang Keluar'!$C:$C,N19757))</f>
        <v>0</v>
      </c>
    </row>
    <row r="19758" spans="13:16">
      <c r="M19758" s="49">
        <f>IF($A$4+197&gt;$B$4,"",$A$4+197)</f>
        <v>46220</v>
      </c>
      <c r="N19758">
        <f>IF(M19758="","",'Master Barang'!A52)</f>
        <v>0</v>
      </c>
      <c r="O19758">
        <f>IF(N19758="","",'Master Barang'!B52)</f>
        <v>0</v>
      </c>
      <c r="P19758">
        <f>IF(OR(M19758="",N19758=""),"",SUMIFS('Barang Keluar'!$E:$E,'Barang Keluar'!$A:$A,M19758,'Barang Keluar'!$C:$C,N19758))</f>
        <v>0</v>
      </c>
    </row>
    <row r="19759" spans="13:16">
      <c r="M19759" s="49">
        <f>IF($A$4+197&gt;$B$4,"",$A$4+197)</f>
        <v>46220</v>
      </c>
      <c r="N19759">
        <f>IF(M19759="","",'Master Barang'!A53)</f>
        <v>0</v>
      </c>
      <c r="O19759">
        <f>IF(N19759="","",'Master Barang'!B53)</f>
        <v>0</v>
      </c>
      <c r="P19759">
        <f>IF(OR(M19759="",N19759=""),"",SUMIFS('Barang Keluar'!$E:$E,'Barang Keluar'!$A:$A,M19759,'Barang Keluar'!$C:$C,N19759))</f>
        <v>0</v>
      </c>
    </row>
    <row r="19760" spans="13:16">
      <c r="M19760" s="49">
        <f>IF($A$4+197&gt;$B$4,"",$A$4+197)</f>
        <v>46220</v>
      </c>
      <c r="N19760">
        <f>IF(M19760="","",'Master Barang'!A54)</f>
        <v>0</v>
      </c>
      <c r="O19760">
        <f>IF(N19760="","",'Master Barang'!B54)</f>
        <v>0</v>
      </c>
      <c r="P19760">
        <f>IF(OR(M19760="",N19760=""),"",SUMIFS('Barang Keluar'!$E:$E,'Barang Keluar'!$A:$A,M19760,'Barang Keluar'!$C:$C,N19760))</f>
        <v>0</v>
      </c>
    </row>
    <row r="19761" spans="13:16">
      <c r="M19761" s="49">
        <f>IF($A$4+197&gt;$B$4,"",$A$4+197)</f>
        <v>46220</v>
      </c>
      <c r="N19761">
        <f>IF(M19761="","",'Master Barang'!A55)</f>
        <v>0</v>
      </c>
      <c r="O19761">
        <f>IF(N19761="","",'Master Barang'!B55)</f>
        <v>0</v>
      </c>
      <c r="P19761">
        <f>IF(OR(M19761="",N19761=""),"",SUMIFS('Barang Keluar'!$E:$E,'Barang Keluar'!$A:$A,M19761,'Barang Keluar'!$C:$C,N19761))</f>
        <v>0</v>
      </c>
    </row>
    <row r="19762" spans="13:16">
      <c r="M19762" s="49">
        <f>IF($A$4+197&gt;$B$4,"",$A$4+197)</f>
        <v>46220</v>
      </c>
      <c r="N19762">
        <f>IF(M19762="","",'Master Barang'!A56)</f>
        <v>0</v>
      </c>
      <c r="O19762">
        <f>IF(N19762="","",'Master Barang'!B56)</f>
        <v>0</v>
      </c>
      <c r="P19762">
        <f>IF(OR(M19762="",N19762=""),"",SUMIFS('Barang Keluar'!$E:$E,'Barang Keluar'!$A:$A,M19762,'Barang Keluar'!$C:$C,N19762))</f>
        <v>0</v>
      </c>
    </row>
    <row r="19763" spans="13:16">
      <c r="M19763" s="49">
        <f>IF($A$4+197&gt;$B$4,"",$A$4+197)</f>
        <v>46220</v>
      </c>
      <c r="N19763">
        <f>IF(M19763="","",'Master Barang'!A57)</f>
        <v>0</v>
      </c>
      <c r="O19763">
        <f>IF(N19763="","",'Master Barang'!B57)</f>
        <v>0</v>
      </c>
      <c r="P19763">
        <f>IF(OR(M19763="",N19763=""),"",SUMIFS('Barang Keluar'!$E:$E,'Barang Keluar'!$A:$A,M19763,'Barang Keluar'!$C:$C,N19763))</f>
        <v>0</v>
      </c>
    </row>
    <row r="19764" spans="13:16">
      <c r="M19764" s="49">
        <f>IF($A$4+197&gt;$B$4,"",$A$4+197)</f>
        <v>46220</v>
      </c>
      <c r="N19764">
        <f>IF(M19764="","",'Master Barang'!A58)</f>
        <v>0</v>
      </c>
      <c r="O19764">
        <f>IF(N19764="","",'Master Barang'!B58)</f>
        <v>0</v>
      </c>
      <c r="P19764">
        <f>IF(OR(M19764="",N19764=""),"",SUMIFS('Barang Keluar'!$E:$E,'Barang Keluar'!$A:$A,M19764,'Barang Keluar'!$C:$C,N19764))</f>
        <v>0</v>
      </c>
    </row>
    <row r="19765" spans="13:16">
      <c r="M19765" s="49">
        <f>IF($A$4+197&gt;$B$4,"",$A$4+197)</f>
        <v>46220</v>
      </c>
      <c r="N19765">
        <f>IF(M19765="","",'Master Barang'!A59)</f>
        <v>0</v>
      </c>
      <c r="O19765">
        <f>IF(N19765="","",'Master Barang'!B59)</f>
        <v>0</v>
      </c>
      <c r="P19765">
        <f>IF(OR(M19765="",N19765=""),"",SUMIFS('Barang Keluar'!$E:$E,'Barang Keluar'!$A:$A,M19765,'Barang Keluar'!$C:$C,N19765))</f>
        <v>0</v>
      </c>
    </row>
    <row r="19766" spans="13:16">
      <c r="M19766" s="49">
        <f>IF($A$4+197&gt;$B$4,"",$A$4+197)</f>
        <v>46220</v>
      </c>
      <c r="N19766">
        <f>IF(M19766="","",'Master Barang'!A60)</f>
        <v>0</v>
      </c>
      <c r="O19766">
        <f>IF(N19766="","",'Master Barang'!B60)</f>
        <v>0</v>
      </c>
      <c r="P19766">
        <f>IF(OR(M19766="",N19766=""),"",SUMIFS('Barang Keluar'!$E:$E,'Barang Keluar'!$A:$A,M19766,'Barang Keluar'!$C:$C,N19766))</f>
        <v>0</v>
      </c>
    </row>
    <row r="19767" spans="13:16">
      <c r="M19767" s="49">
        <f>IF($A$4+197&gt;$B$4,"",$A$4+197)</f>
        <v>46220</v>
      </c>
      <c r="N19767">
        <f>IF(M19767="","",'Master Barang'!A61)</f>
        <v>0</v>
      </c>
      <c r="O19767">
        <f>IF(N19767="","",'Master Barang'!B61)</f>
        <v>0</v>
      </c>
      <c r="P19767">
        <f>IF(OR(M19767="",N19767=""),"",SUMIFS('Barang Keluar'!$E:$E,'Barang Keluar'!$A:$A,M19767,'Barang Keluar'!$C:$C,N19767))</f>
        <v>0</v>
      </c>
    </row>
    <row r="19768" spans="13:16">
      <c r="M19768" s="49">
        <f>IF($A$4+197&gt;$B$4,"",$A$4+197)</f>
        <v>46220</v>
      </c>
      <c r="N19768">
        <f>IF(M19768="","",'Master Barang'!A62)</f>
        <v>0</v>
      </c>
      <c r="O19768">
        <f>IF(N19768="","",'Master Barang'!B62)</f>
        <v>0</v>
      </c>
      <c r="P19768">
        <f>IF(OR(M19768="",N19768=""),"",SUMIFS('Barang Keluar'!$E:$E,'Barang Keluar'!$A:$A,M19768,'Barang Keluar'!$C:$C,N19768))</f>
        <v>0</v>
      </c>
    </row>
    <row r="19769" spans="13:16">
      <c r="M19769" s="49">
        <f>IF($A$4+197&gt;$B$4,"",$A$4+197)</f>
        <v>46220</v>
      </c>
      <c r="N19769">
        <f>IF(M19769="","",'Master Barang'!A63)</f>
        <v>0</v>
      </c>
      <c r="O19769">
        <f>IF(N19769="","",'Master Barang'!B63)</f>
        <v>0</v>
      </c>
      <c r="P19769">
        <f>IF(OR(M19769="",N19769=""),"",SUMIFS('Barang Keluar'!$E:$E,'Barang Keluar'!$A:$A,M19769,'Barang Keluar'!$C:$C,N19769))</f>
        <v>0</v>
      </c>
    </row>
    <row r="19770" spans="13:16">
      <c r="M19770" s="49">
        <f>IF($A$4+197&gt;$B$4,"",$A$4+197)</f>
        <v>46220</v>
      </c>
      <c r="N19770">
        <f>IF(M19770="","",'Master Barang'!A64)</f>
        <v>0</v>
      </c>
      <c r="O19770">
        <f>IF(N19770="","",'Master Barang'!B64)</f>
        <v>0</v>
      </c>
      <c r="P19770">
        <f>IF(OR(M19770="",N19770=""),"",SUMIFS('Barang Keluar'!$E:$E,'Barang Keluar'!$A:$A,M19770,'Barang Keluar'!$C:$C,N19770))</f>
        <v>0</v>
      </c>
    </row>
    <row r="19771" spans="13:16">
      <c r="M19771" s="49">
        <f>IF($A$4+197&gt;$B$4,"",$A$4+197)</f>
        <v>46220</v>
      </c>
      <c r="N19771">
        <f>IF(M19771="","",'Master Barang'!A65)</f>
        <v>0</v>
      </c>
      <c r="O19771">
        <f>IF(N19771="","",'Master Barang'!B65)</f>
        <v>0</v>
      </c>
      <c r="P19771">
        <f>IF(OR(M19771="",N19771=""),"",SUMIFS('Barang Keluar'!$E:$E,'Barang Keluar'!$A:$A,M19771,'Barang Keluar'!$C:$C,N19771))</f>
        <v>0</v>
      </c>
    </row>
    <row r="19772" spans="13:16">
      <c r="M19772" s="49">
        <f>IF($A$4+197&gt;$B$4,"",$A$4+197)</f>
        <v>46220</v>
      </c>
      <c r="N19772">
        <f>IF(M19772="","",'Master Barang'!A66)</f>
        <v>0</v>
      </c>
      <c r="O19772">
        <f>IF(N19772="","",'Master Barang'!B66)</f>
        <v>0</v>
      </c>
      <c r="P19772">
        <f>IF(OR(M19772="",N19772=""),"",SUMIFS('Barang Keluar'!$E:$E,'Barang Keluar'!$A:$A,M19772,'Barang Keluar'!$C:$C,N19772))</f>
        <v>0</v>
      </c>
    </row>
    <row r="19773" spans="13:16">
      <c r="M19773" s="49">
        <f>IF($A$4+197&gt;$B$4,"",$A$4+197)</f>
        <v>46220</v>
      </c>
      <c r="N19773">
        <f>IF(M19773="","",'Master Barang'!A67)</f>
        <v>0</v>
      </c>
      <c r="O19773">
        <f>IF(N19773="","",'Master Barang'!B67)</f>
        <v>0</v>
      </c>
      <c r="P19773">
        <f>IF(OR(M19773="",N19773=""),"",SUMIFS('Barang Keluar'!$E:$E,'Barang Keluar'!$A:$A,M19773,'Barang Keluar'!$C:$C,N19773))</f>
        <v>0</v>
      </c>
    </row>
    <row r="19774" spans="13:16">
      <c r="M19774" s="49">
        <f>IF($A$4+197&gt;$B$4,"",$A$4+197)</f>
        <v>46220</v>
      </c>
      <c r="N19774">
        <f>IF(M19774="","",'Master Barang'!A68)</f>
        <v>0</v>
      </c>
      <c r="O19774">
        <f>IF(N19774="","",'Master Barang'!B68)</f>
        <v>0</v>
      </c>
      <c r="P19774">
        <f>IF(OR(M19774="",N19774=""),"",SUMIFS('Barang Keluar'!$E:$E,'Barang Keluar'!$A:$A,M19774,'Barang Keluar'!$C:$C,N19774))</f>
        <v>0</v>
      </c>
    </row>
    <row r="19775" spans="13:16">
      <c r="M19775" s="49">
        <f>IF($A$4+197&gt;$B$4,"",$A$4+197)</f>
        <v>46220</v>
      </c>
      <c r="N19775">
        <f>IF(M19775="","",'Master Barang'!A69)</f>
        <v>0</v>
      </c>
      <c r="O19775">
        <f>IF(N19775="","",'Master Barang'!B69)</f>
        <v>0</v>
      </c>
      <c r="P19775">
        <f>IF(OR(M19775="",N19775=""),"",SUMIFS('Barang Keluar'!$E:$E,'Barang Keluar'!$A:$A,M19775,'Barang Keluar'!$C:$C,N19775))</f>
        <v>0</v>
      </c>
    </row>
    <row r="19776" spans="13:16">
      <c r="M19776" s="49">
        <f>IF($A$4+197&gt;$B$4,"",$A$4+197)</f>
        <v>46220</v>
      </c>
      <c r="N19776">
        <f>IF(M19776="","",'Master Barang'!A70)</f>
        <v>0</v>
      </c>
      <c r="O19776">
        <f>IF(N19776="","",'Master Barang'!B70)</f>
        <v>0</v>
      </c>
      <c r="P19776">
        <f>IF(OR(M19776="",N19776=""),"",SUMIFS('Barang Keluar'!$E:$E,'Barang Keluar'!$A:$A,M19776,'Barang Keluar'!$C:$C,N19776))</f>
        <v>0</v>
      </c>
    </row>
    <row r="19777" spans="13:16">
      <c r="M19777" s="49">
        <f>IF($A$4+197&gt;$B$4,"",$A$4+197)</f>
        <v>46220</v>
      </c>
      <c r="N19777">
        <f>IF(M19777="","",'Master Barang'!A71)</f>
        <v>0</v>
      </c>
      <c r="O19777">
        <f>IF(N19777="","",'Master Barang'!B71)</f>
        <v>0</v>
      </c>
      <c r="P19777">
        <f>IF(OR(M19777="",N19777=""),"",SUMIFS('Barang Keluar'!$E:$E,'Barang Keluar'!$A:$A,M19777,'Barang Keluar'!$C:$C,N19777))</f>
        <v>0</v>
      </c>
    </row>
    <row r="19778" spans="13:16">
      <c r="M19778" s="49">
        <f>IF($A$4+197&gt;$B$4,"",$A$4+197)</f>
        <v>46220</v>
      </c>
      <c r="N19778">
        <f>IF(M19778="","",'Master Barang'!A72)</f>
        <v>0</v>
      </c>
      <c r="O19778">
        <f>IF(N19778="","",'Master Barang'!B72)</f>
        <v>0</v>
      </c>
      <c r="P19778">
        <f>IF(OR(M19778="",N19778=""),"",SUMIFS('Barang Keluar'!$E:$E,'Barang Keluar'!$A:$A,M19778,'Barang Keluar'!$C:$C,N19778))</f>
        <v>0</v>
      </c>
    </row>
    <row r="19779" spans="13:16">
      <c r="M19779" s="49">
        <f>IF($A$4+197&gt;$B$4,"",$A$4+197)</f>
        <v>46220</v>
      </c>
      <c r="N19779">
        <f>IF(M19779="","",'Master Barang'!A73)</f>
        <v>0</v>
      </c>
      <c r="O19779">
        <f>IF(N19779="","",'Master Barang'!B73)</f>
        <v>0</v>
      </c>
      <c r="P19779">
        <f>IF(OR(M19779="",N19779=""),"",SUMIFS('Barang Keluar'!$E:$E,'Barang Keluar'!$A:$A,M19779,'Barang Keluar'!$C:$C,N19779))</f>
        <v>0</v>
      </c>
    </row>
    <row r="19780" spans="13:16">
      <c r="M19780" s="49">
        <f>IF($A$4+197&gt;$B$4,"",$A$4+197)</f>
        <v>46220</v>
      </c>
      <c r="N19780">
        <f>IF(M19780="","",'Master Barang'!A74)</f>
        <v>0</v>
      </c>
      <c r="O19780">
        <f>IF(N19780="","",'Master Barang'!B74)</f>
        <v>0</v>
      </c>
      <c r="P19780">
        <f>IF(OR(M19780="",N19780=""),"",SUMIFS('Barang Keluar'!$E:$E,'Barang Keluar'!$A:$A,M19780,'Barang Keluar'!$C:$C,N19780))</f>
        <v>0</v>
      </c>
    </row>
    <row r="19781" spans="13:16">
      <c r="M19781" s="49">
        <f>IF($A$4+197&gt;$B$4,"",$A$4+197)</f>
        <v>46220</v>
      </c>
      <c r="N19781">
        <f>IF(M19781="","",'Master Barang'!A75)</f>
        <v>0</v>
      </c>
      <c r="O19781">
        <f>IF(N19781="","",'Master Barang'!B75)</f>
        <v>0</v>
      </c>
      <c r="P19781">
        <f>IF(OR(M19781="",N19781=""),"",SUMIFS('Barang Keluar'!$E:$E,'Barang Keluar'!$A:$A,M19781,'Barang Keluar'!$C:$C,N19781))</f>
        <v>0</v>
      </c>
    </row>
    <row r="19782" spans="13:16">
      <c r="M19782" s="49">
        <f>IF($A$4+197&gt;$B$4,"",$A$4+197)</f>
        <v>46220</v>
      </c>
      <c r="N19782">
        <f>IF(M19782="","",'Master Barang'!A76)</f>
        <v>0</v>
      </c>
      <c r="O19782">
        <f>IF(N19782="","",'Master Barang'!B76)</f>
        <v>0</v>
      </c>
      <c r="P19782">
        <f>IF(OR(M19782="",N19782=""),"",SUMIFS('Barang Keluar'!$E:$E,'Barang Keluar'!$A:$A,M19782,'Barang Keluar'!$C:$C,N19782))</f>
        <v>0</v>
      </c>
    </row>
    <row r="19783" spans="13:16">
      <c r="M19783" s="49">
        <f>IF($A$4+197&gt;$B$4,"",$A$4+197)</f>
        <v>46220</v>
      </c>
      <c r="N19783">
        <f>IF(M19783="","",'Master Barang'!A77)</f>
        <v>0</v>
      </c>
      <c r="O19783">
        <f>IF(N19783="","",'Master Barang'!B77)</f>
        <v>0</v>
      </c>
      <c r="P19783">
        <f>IF(OR(M19783="",N19783=""),"",SUMIFS('Barang Keluar'!$E:$E,'Barang Keluar'!$A:$A,M19783,'Barang Keluar'!$C:$C,N19783))</f>
        <v>0</v>
      </c>
    </row>
    <row r="19784" spans="13:16">
      <c r="M19784" s="49">
        <f>IF($A$4+197&gt;$B$4,"",$A$4+197)</f>
        <v>46220</v>
      </c>
      <c r="N19784">
        <f>IF(M19784="","",'Master Barang'!A78)</f>
        <v>0</v>
      </c>
      <c r="O19784">
        <f>IF(N19784="","",'Master Barang'!B78)</f>
        <v>0</v>
      </c>
      <c r="P19784">
        <f>IF(OR(M19784="",N19784=""),"",SUMIFS('Barang Keluar'!$E:$E,'Barang Keluar'!$A:$A,M19784,'Barang Keluar'!$C:$C,N19784))</f>
        <v>0</v>
      </c>
    </row>
    <row r="19785" spans="13:16">
      <c r="M19785" s="49">
        <f>IF($A$4+197&gt;$B$4,"",$A$4+197)</f>
        <v>46220</v>
      </c>
      <c r="N19785">
        <f>IF(M19785="","",'Master Barang'!A79)</f>
        <v>0</v>
      </c>
      <c r="O19785">
        <f>IF(N19785="","",'Master Barang'!B79)</f>
        <v>0</v>
      </c>
      <c r="P19785">
        <f>IF(OR(M19785="",N19785=""),"",SUMIFS('Barang Keluar'!$E:$E,'Barang Keluar'!$A:$A,M19785,'Barang Keluar'!$C:$C,N19785))</f>
        <v>0</v>
      </c>
    </row>
    <row r="19786" spans="13:16">
      <c r="M19786" s="49">
        <f>IF($A$4+197&gt;$B$4,"",$A$4+197)</f>
        <v>46220</v>
      </c>
      <c r="N19786">
        <f>IF(M19786="","",'Master Barang'!A80)</f>
        <v>0</v>
      </c>
      <c r="O19786">
        <f>IF(N19786="","",'Master Barang'!B80)</f>
        <v>0</v>
      </c>
      <c r="P19786">
        <f>IF(OR(M19786="",N19786=""),"",SUMIFS('Barang Keluar'!$E:$E,'Barang Keluar'!$A:$A,M19786,'Barang Keluar'!$C:$C,N19786))</f>
        <v>0</v>
      </c>
    </row>
    <row r="19787" spans="13:16">
      <c r="M19787" s="49">
        <f>IF($A$4+197&gt;$B$4,"",$A$4+197)</f>
        <v>46220</v>
      </c>
      <c r="N19787">
        <f>IF(M19787="","",'Master Barang'!A81)</f>
        <v>0</v>
      </c>
      <c r="O19787">
        <f>IF(N19787="","",'Master Barang'!B81)</f>
        <v>0</v>
      </c>
      <c r="P19787">
        <f>IF(OR(M19787="",N19787=""),"",SUMIFS('Barang Keluar'!$E:$E,'Barang Keluar'!$A:$A,M19787,'Barang Keluar'!$C:$C,N19787))</f>
        <v>0</v>
      </c>
    </row>
    <row r="19788" spans="13:16">
      <c r="M19788" s="49">
        <f>IF($A$4+197&gt;$B$4,"",$A$4+197)</f>
        <v>46220</v>
      </c>
      <c r="N19788">
        <f>IF(M19788="","",'Master Barang'!A82)</f>
        <v>0</v>
      </c>
      <c r="O19788">
        <f>IF(N19788="","",'Master Barang'!B82)</f>
        <v>0</v>
      </c>
      <c r="P19788">
        <f>IF(OR(M19788="",N19788=""),"",SUMIFS('Barang Keluar'!$E:$E,'Barang Keluar'!$A:$A,M19788,'Barang Keluar'!$C:$C,N19788))</f>
        <v>0</v>
      </c>
    </row>
    <row r="19789" spans="13:16">
      <c r="M19789" s="49">
        <f>IF($A$4+197&gt;$B$4,"",$A$4+197)</f>
        <v>46220</v>
      </c>
      <c r="N19789">
        <f>IF(M19789="","",'Master Barang'!A83)</f>
        <v>0</v>
      </c>
      <c r="O19789">
        <f>IF(N19789="","",'Master Barang'!B83)</f>
        <v>0</v>
      </c>
      <c r="P19789">
        <f>IF(OR(M19789="",N19789=""),"",SUMIFS('Barang Keluar'!$E:$E,'Barang Keluar'!$A:$A,M19789,'Barang Keluar'!$C:$C,N19789))</f>
        <v>0</v>
      </c>
    </row>
    <row r="19790" spans="13:16">
      <c r="M19790" s="49">
        <f>IF($A$4+197&gt;$B$4,"",$A$4+197)</f>
        <v>46220</v>
      </c>
      <c r="N19790">
        <f>IF(M19790="","",'Master Barang'!A84)</f>
        <v>0</v>
      </c>
      <c r="O19790">
        <f>IF(N19790="","",'Master Barang'!B84)</f>
        <v>0</v>
      </c>
      <c r="P19790">
        <f>IF(OR(M19790="",N19790=""),"",SUMIFS('Barang Keluar'!$E:$E,'Barang Keluar'!$A:$A,M19790,'Barang Keluar'!$C:$C,N19790))</f>
        <v>0</v>
      </c>
    </row>
    <row r="19791" spans="13:16">
      <c r="M19791" s="49">
        <f>IF($A$4+197&gt;$B$4,"",$A$4+197)</f>
        <v>46220</v>
      </c>
      <c r="N19791">
        <f>IF(M19791="","",'Master Barang'!A85)</f>
        <v>0</v>
      </c>
      <c r="O19791">
        <f>IF(N19791="","",'Master Barang'!B85)</f>
        <v>0</v>
      </c>
      <c r="P19791">
        <f>IF(OR(M19791="",N19791=""),"",SUMIFS('Barang Keluar'!$E:$E,'Barang Keluar'!$A:$A,M19791,'Barang Keluar'!$C:$C,N19791))</f>
        <v>0</v>
      </c>
    </row>
    <row r="19792" spans="13:16">
      <c r="M19792" s="49">
        <f>IF($A$4+197&gt;$B$4,"",$A$4+197)</f>
        <v>46220</v>
      </c>
      <c r="N19792">
        <f>IF(M19792="","",'Master Barang'!A86)</f>
        <v>0</v>
      </c>
      <c r="O19792">
        <f>IF(N19792="","",'Master Barang'!B86)</f>
        <v>0</v>
      </c>
      <c r="P19792">
        <f>IF(OR(M19792="",N19792=""),"",SUMIFS('Barang Keluar'!$E:$E,'Barang Keluar'!$A:$A,M19792,'Barang Keluar'!$C:$C,N19792))</f>
        <v>0</v>
      </c>
    </row>
    <row r="19793" spans="13:16">
      <c r="M19793" s="49">
        <f>IF($A$4+197&gt;$B$4,"",$A$4+197)</f>
        <v>46220</v>
      </c>
      <c r="N19793">
        <f>IF(M19793="","",'Master Barang'!A87)</f>
        <v>0</v>
      </c>
      <c r="O19793">
        <f>IF(N19793="","",'Master Barang'!B87)</f>
        <v>0</v>
      </c>
      <c r="P19793">
        <f>IF(OR(M19793="",N19793=""),"",SUMIFS('Barang Keluar'!$E:$E,'Barang Keluar'!$A:$A,M19793,'Barang Keluar'!$C:$C,N19793))</f>
        <v>0</v>
      </c>
    </row>
    <row r="19794" spans="13:16">
      <c r="M19794" s="49">
        <f>IF($A$4+197&gt;$B$4,"",$A$4+197)</f>
        <v>46220</v>
      </c>
      <c r="N19794">
        <f>IF(M19794="","",'Master Barang'!A88)</f>
        <v>0</v>
      </c>
      <c r="O19794">
        <f>IF(N19794="","",'Master Barang'!B88)</f>
        <v>0</v>
      </c>
      <c r="P19794">
        <f>IF(OR(M19794="",N19794=""),"",SUMIFS('Barang Keluar'!$E:$E,'Barang Keluar'!$A:$A,M19794,'Barang Keluar'!$C:$C,N19794))</f>
        <v>0</v>
      </c>
    </row>
    <row r="19795" spans="13:16">
      <c r="M19795" s="49">
        <f>IF($A$4+197&gt;$B$4,"",$A$4+197)</f>
        <v>46220</v>
      </c>
      <c r="N19795">
        <f>IF(M19795="","",'Master Barang'!A89)</f>
        <v>0</v>
      </c>
      <c r="O19795">
        <f>IF(N19795="","",'Master Barang'!B89)</f>
        <v>0</v>
      </c>
      <c r="P19795">
        <f>IF(OR(M19795="",N19795=""),"",SUMIFS('Barang Keluar'!$E:$E,'Barang Keluar'!$A:$A,M19795,'Barang Keluar'!$C:$C,N19795))</f>
        <v>0</v>
      </c>
    </row>
    <row r="19796" spans="13:16">
      <c r="M19796" s="49">
        <f>IF($A$4+197&gt;$B$4,"",$A$4+197)</f>
        <v>46220</v>
      </c>
      <c r="N19796">
        <f>IF(M19796="","",'Master Barang'!A90)</f>
        <v>0</v>
      </c>
      <c r="O19796">
        <f>IF(N19796="","",'Master Barang'!B90)</f>
        <v>0</v>
      </c>
      <c r="P19796">
        <f>IF(OR(M19796="",N19796=""),"",SUMIFS('Barang Keluar'!$E:$E,'Barang Keluar'!$A:$A,M19796,'Barang Keluar'!$C:$C,N19796))</f>
        <v>0</v>
      </c>
    </row>
    <row r="19797" spans="13:16">
      <c r="M19797" s="49">
        <f>IF($A$4+197&gt;$B$4,"",$A$4+197)</f>
        <v>46220</v>
      </c>
      <c r="N19797">
        <f>IF(M19797="","",'Master Barang'!A91)</f>
        <v>0</v>
      </c>
      <c r="O19797">
        <f>IF(N19797="","",'Master Barang'!B91)</f>
        <v>0</v>
      </c>
      <c r="P19797">
        <f>IF(OR(M19797="",N19797=""),"",SUMIFS('Barang Keluar'!$E:$E,'Barang Keluar'!$A:$A,M19797,'Barang Keluar'!$C:$C,N19797))</f>
        <v>0</v>
      </c>
    </row>
    <row r="19798" spans="13:16">
      <c r="M19798" s="49">
        <f>IF($A$4+197&gt;$B$4,"",$A$4+197)</f>
        <v>46220</v>
      </c>
      <c r="N19798">
        <f>IF(M19798="","",'Master Barang'!A92)</f>
        <v>0</v>
      </c>
      <c r="O19798">
        <f>IF(N19798="","",'Master Barang'!B92)</f>
        <v>0</v>
      </c>
      <c r="P19798">
        <f>IF(OR(M19798="",N19798=""),"",SUMIFS('Barang Keluar'!$E:$E,'Barang Keluar'!$A:$A,M19798,'Barang Keluar'!$C:$C,N19798))</f>
        <v>0</v>
      </c>
    </row>
    <row r="19799" spans="13:16">
      <c r="M19799" s="49">
        <f>IF($A$4+197&gt;$B$4,"",$A$4+197)</f>
        <v>46220</v>
      </c>
      <c r="N19799">
        <f>IF(M19799="","",'Master Barang'!A93)</f>
        <v>0</v>
      </c>
      <c r="O19799">
        <f>IF(N19799="","",'Master Barang'!B93)</f>
        <v>0</v>
      </c>
      <c r="P19799">
        <f>IF(OR(M19799="",N19799=""),"",SUMIFS('Barang Keluar'!$E:$E,'Barang Keluar'!$A:$A,M19799,'Barang Keluar'!$C:$C,N19799))</f>
        <v>0</v>
      </c>
    </row>
    <row r="19800" spans="13:16">
      <c r="M19800" s="49">
        <f>IF($A$4+197&gt;$B$4,"",$A$4+197)</f>
        <v>46220</v>
      </c>
      <c r="N19800">
        <f>IF(M19800="","",'Master Barang'!A94)</f>
        <v>0</v>
      </c>
      <c r="O19800">
        <f>IF(N19800="","",'Master Barang'!B94)</f>
        <v>0</v>
      </c>
      <c r="P19800">
        <f>IF(OR(M19800="",N19800=""),"",SUMIFS('Barang Keluar'!$E:$E,'Barang Keluar'!$A:$A,M19800,'Barang Keluar'!$C:$C,N19800))</f>
        <v>0</v>
      </c>
    </row>
    <row r="19801" spans="13:16">
      <c r="M19801" s="49">
        <f>IF($A$4+197&gt;$B$4,"",$A$4+197)</f>
        <v>46220</v>
      </c>
      <c r="N19801">
        <f>IF(M19801="","",'Master Barang'!A95)</f>
        <v>0</v>
      </c>
      <c r="O19801">
        <f>IF(N19801="","",'Master Barang'!B95)</f>
        <v>0</v>
      </c>
      <c r="P19801">
        <f>IF(OR(M19801="",N19801=""),"",SUMIFS('Barang Keluar'!$E:$E,'Barang Keluar'!$A:$A,M19801,'Barang Keluar'!$C:$C,N19801))</f>
        <v>0</v>
      </c>
    </row>
    <row r="19802" spans="13:16">
      <c r="M19802" s="49">
        <f>IF($A$4+197&gt;$B$4,"",$A$4+197)</f>
        <v>46220</v>
      </c>
      <c r="N19802">
        <f>IF(M19802="","",'Master Barang'!A96)</f>
        <v>0</v>
      </c>
      <c r="O19802">
        <f>IF(N19802="","",'Master Barang'!B96)</f>
        <v>0</v>
      </c>
      <c r="P19802">
        <f>IF(OR(M19802="",N19802=""),"",SUMIFS('Barang Keluar'!$E:$E,'Barang Keluar'!$A:$A,M19802,'Barang Keluar'!$C:$C,N19802))</f>
        <v>0</v>
      </c>
    </row>
    <row r="19803" spans="13:16">
      <c r="M19803" s="49">
        <f>IF($A$4+197&gt;$B$4,"",$A$4+197)</f>
        <v>46220</v>
      </c>
      <c r="N19803">
        <f>IF(M19803="","",'Master Barang'!A97)</f>
        <v>0</v>
      </c>
      <c r="O19803">
        <f>IF(N19803="","",'Master Barang'!B97)</f>
        <v>0</v>
      </c>
      <c r="P19803">
        <f>IF(OR(M19803="",N19803=""),"",SUMIFS('Barang Keluar'!$E:$E,'Barang Keluar'!$A:$A,M19803,'Barang Keluar'!$C:$C,N19803))</f>
        <v>0</v>
      </c>
    </row>
    <row r="19804" spans="13:16">
      <c r="M19804" s="49">
        <f>IF($A$4+197&gt;$B$4,"",$A$4+197)</f>
        <v>46220</v>
      </c>
      <c r="N19804">
        <f>IF(M19804="","",'Master Barang'!A98)</f>
        <v>0</v>
      </c>
      <c r="O19804">
        <f>IF(N19804="","",'Master Barang'!B98)</f>
        <v>0</v>
      </c>
      <c r="P19804">
        <f>IF(OR(M19804="",N19804=""),"",SUMIFS('Barang Keluar'!$E:$E,'Barang Keluar'!$A:$A,M19804,'Barang Keluar'!$C:$C,N19804))</f>
        <v>0</v>
      </c>
    </row>
    <row r="19805" spans="13:16">
      <c r="M19805" s="49">
        <f>IF($A$4+197&gt;$B$4,"",$A$4+197)</f>
        <v>46220</v>
      </c>
      <c r="N19805">
        <f>IF(M19805="","",'Master Barang'!A99)</f>
        <v>0</v>
      </c>
      <c r="O19805">
        <f>IF(N19805="","",'Master Barang'!B99)</f>
        <v>0</v>
      </c>
      <c r="P19805">
        <f>IF(OR(M19805="",N19805=""),"",SUMIFS('Barang Keluar'!$E:$E,'Barang Keluar'!$A:$A,M19805,'Barang Keluar'!$C:$C,N19805))</f>
        <v>0</v>
      </c>
    </row>
    <row r="19806" spans="13:16">
      <c r="M19806" s="49">
        <f>IF($A$4+197&gt;$B$4,"",$A$4+197)</f>
        <v>46220</v>
      </c>
      <c r="N19806">
        <f>IF(M19806="","",'Master Barang'!A100)</f>
        <v>0</v>
      </c>
      <c r="O19806">
        <f>IF(N19806="","",'Master Barang'!B100)</f>
        <v>0</v>
      </c>
      <c r="P19806">
        <f>IF(OR(M19806="",N19806=""),"",SUMIFS('Barang Keluar'!$E:$E,'Barang Keluar'!$A:$A,M19806,'Barang Keluar'!$C:$C,N19806))</f>
        <v>0</v>
      </c>
    </row>
    <row r="19807" spans="13:16">
      <c r="M19807" s="49">
        <f>IF($A$4+197&gt;$B$4,"",$A$4+197)</f>
        <v>46220</v>
      </c>
      <c r="N19807">
        <f>IF(M19807="","",'Master Barang'!A101)</f>
        <v>0</v>
      </c>
      <c r="O19807">
        <f>IF(N19807="","",'Master Barang'!B101)</f>
        <v>0</v>
      </c>
      <c r="P19807">
        <f>IF(OR(M19807="",N19807=""),"",SUMIFS('Barang Keluar'!$E:$E,'Barang Keluar'!$A:$A,M19807,'Barang Keluar'!$C:$C,N19807))</f>
        <v>0</v>
      </c>
    </row>
    <row r="19808" spans="13:16">
      <c r="M19808" s="49">
        <f>IF($A$4+198&gt;$B$4,"",$A$4+198)</f>
        <v>46221</v>
      </c>
      <c r="N19808" t="str">
        <f>IF(M19808="","",'Master Barang'!A2)</f>
        <v>PRL-001</v>
      </c>
      <c r="O19808" t="str">
        <f>IF(N19808="","",'Master Barang'!B2)</f>
        <v>natura desinfectant food grade 5l</v>
      </c>
      <c r="P19808">
        <f>IF(OR(M19808="",N19808=""),"",SUMIFS('Barang Keluar'!$E:$E,'Barang Keluar'!$A:$A,M19808,'Barang Keluar'!$C:$C,N19808))</f>
        <v>0</v>
      </c>
    </row>
    <row r="19809" spans="13:16">
      <c r="M19809" s="49">
        <f>IF($A$4+198&gt;$B$4,"",$A$4+198)</f>
        <v>46221</v>
      </c>
      <c r="N19809" t="str">
        <f>IF(M19809="","",'Master Barang'!A3)</f>
        <v>PRL-002</v>
      </c>
      <c r="O19809" t="str">
        <f>IF(N19809="","",'Master Barang'!B3)</f>
        <v>sunlight cairan pencuci piring 5l</v>
      </c>
      <c r="P19809">
        <f>IF(OR(M19809="",N19809=""),"",SUMIFS('Barang Keluar'!$E:$E,'Barang Keluar'!$A:$A,M19809,'Barang Keluar'!$C:$C,N19809))</f>
        <v>0</v>
      </c>
    </row>
    <row r="19810" spans="13:16">
      <c r="M19810" s="49">
        <f>IF($A$4+198&gt;$B$4,"",$A$4+198)</f>
        <v>46221</v>
      </c>
      <c r="N19810" t="str">
        <f>IF(M19810="","",'Master Barang'!A4)</f>
        <v>PRL-003</v>
      </c>
      <c r="O19810" t="str">
        <f>IF(N19810="","",'Master Barang'!B4)</f>
        <v>oixs cleaner 1l</v>
      </c>
      <c r="P19810">
        <f>IF(OR(M19810="",N19810=""),"",SUMIFS('Barang Keluar'!$E:$E,'Barang Keluar'!$A:$A,M19810,'Barang Keluar'!$C:$C,N19810))</f>
        <v>0</v>
      </c>
    </row>
    <row r="19811" spans="13:16">
      <c r="M19811" s="49">
        <f>IF($A$4+198&gt;$B$4,"",$A$4+198)</f>
        <v>46221</v>
      </c>
      <c r="N19811" t="str">
        <f>IF(M19811="","",'Master Barang'!A5)</f>
        <v>PRL-004</v>
      </c>
      <c r="O19811" t="str">
        <f>IF(N19811="","",'Master Barang'!B5)</f>
        <v>be clean tissue serbaguna</v>
      </c>
      <c r="P19811">
        <f>IF(OR(M19811="",N19811=""),"",SUMIFS('Barang Keluar'!$E:$E,'Barang Keluar'!$A:$A,M19811,'Barang Keluar'!$C:$C,N19811))</f>
        <v>0</v>
      </c>
    </row>
    <row r="19812" spans="13:16">
      <c r="M19812" s="49">
        <f>IF($A$4+198&gt;$B$4,"",$A$4+198)</f>
        <v>46221</v>
      </c>
      <c r="N19812" t="str">
        <f>IF(M19812="","",'Master Barang'!A6)</f>
        <v>PRL-005</v>
      </c>
      <c r="O19812" t="str">
        <f>IF(N19812="","",'Master Barang'!B6)</f>
        <v>spons cuci hijau</v>
      </c>
      <c r="P19812">
        <f>IF(OR(M19812="",N19812=""),"",SUMIFS('Barang Keluar'!$E:$E,'Barang Keluar'!$A:$A,M19812,'Barang Keluar'!$C:$C,N19812))</f>
        <v>0</v>
      </c>
    </row>
    <row r="19813" spans="13:16">
      <c r="M19813" s="49">
        <f>IF($A$4+198&gt;$B$4,"",$A$4+198)</f>
        <v>46221</v>
      </c>
      <c r="N19813" t="str">
        <f>IF(M19813="","",'Master Barang'!A7)</f>
        <v>PRL-006</v>
      </c>
      <c r="O19813" t="str">
        <f>IF(N19813="","",'Master Barang'!B7)</f>
        <v>sabut cuci stainless</v>
      </c>
      <c r="P19813">
        <f>IF(OR(M19813="",N19813=""),"",SUMIFS('Barang Keluar'!$E:$E,'Barang Keluar'!$A:$A,M19813,'Barang Keluar'!$C:$C,N19813))</f>
        <v>0</v>
      </c>
    </row>
    <row r="19814" spans="13:16">
      <c r="M19814" s="49">
        <f>IF($A$4+198&gt;$B$4,"",$A$4+198)</f>
        <v>46221</v>
      </c>
      <c r="N19814" t="str">
        <f>IF(M19814="","",'Master Barang'!A8)</f>
        <v>PRL-007</v>
      </c>
      <c r="O19814" t="str">
        <f>IF(N19814="","",'Master Barang'!B8)</f>
        <v>plastik kresek besar merah 50pc</v>
      </c>
      <c r="P19814">
        <f>IF(OR(M19814="",N19814=""),"",SUMIFS('Barang Keluar'!$E:$E,'Barang Keluar'!$A:$A,M19814,'Barang Keluar'!$C:$C,N19814))</f>
        <v>0</v>
      </c>
    </row>
    <row r="19815" spans="13:16">
      <c r="M19815" s="49">
        <f>IF($A$4+198&gt;$B$4,"",$A$4+198)</f>
        <v>46221</v>
      </c>
      <c r="N19815" t="str">
        <f>IF(M19815="","",'Master Barang'!A9)</f>
        <v>PRL-008</v>
      </c>
      <c r="O19815" t="str">
        <f>IF(N19815="","",'Master Barang'!B9)</f>
        <v>lap besar</v>
      </c>
      <c r="P19815">
        <f>IF(OR(M19815="",N19815=""),"",SUMIFS('Barang Keluar'!$E:$E,'Barang Keluar'!$A:$A,M19815,'Barang Keluar'!$C:$C,N19815))</f>
        <v>0</v>
      </c>
    </row>
    <row r="19816" spans="13:16">
      <c r="M19816" s="49">
        <f>IF($A$4+198&gt;$B$4,"",$A$4+198)</f>
        <v>46221</v>
      </c>
      <c r="N19816" t="str">
        <f>IF(M19816="","",'Master Barang'!A10)</f>
        <v>PRL-009</v>
      </c>
      <c r="O19816" t="str">
        <f>IF(N19816="","",'Master Barang'!B10)</f>
        <v>lap microfiber</v>
      </c>
      <c r="P19816">
        <f>IF(OR(M19816="",N19816=""),"",SUMIFS('Barang Keluar'!$E:$E,'Barang Keluar'!$A:$A,M19816,'Barang Keluar'!$C:$C,N19816))</f>
        <v>0</v>
      </c>
    </row>
    <row r="19817" spans="13:16">
      <c r="M19817" s="49">
        <f>IF($A$4+198&gt;$B$4,"",$A$4+198)</f>
        <v>46221</v>
      </c>
      <c r="N19817" t="str">
        <f>IF(M19817="","",'Master Barang'!A11)</f>
        <v>PRL-010</v>
      </c>
      <c r="O19817" t="str">
        <f>IF(N19817="","",'Master Barang'!B11)</f>
        <v>lap kecil</v>
      </c>
      <c r="P19817">
        <f>IF(OR(M19817="",N19817=""),"",SUMIFS('Barang Keluar'!$E:$E,'Barang Keluar'!$A:$A,M19817,'Barang Keluar'!$C:$C,N19817))</f>
        <v>0</v>
      </c>
    </row>
    <row r="19818" spans="13:16">
      <c r="M19818" s="49">
        <f>IF($A$4+198&gt;$B$4,"",$A$4+198)</f>
        <v>46221</v>
      </c>
      <c r="N19818" t="str">
        <f>IF(M19818="","",'Master Barang'!A12)</f>
        <v>PRL-011</v>
      </c>
      <c r="O19818" t="str">
        <f>IF(N19818="","",'Master Barang'!B12)</f>
        <v>kanebo kecil</v>
      </c>
      <c r="P19818">
        <f>IF(OR(M19818="",N19818=""),"",SUMIFS('Barang Keluar'!$E:$E,'Barang Keluar'!$A:$A,M19818,'Barang Keluar'!$C:$C,N19818))</f>
        <v>0</v>
      </c>
    </row>
    <row r="19819" spans="13:16">
      <c r="M19819" s="49">
        <f>IF($A$4+198&gt;$B$4,"",$A$4+198)</f>
        <v>46221</v>
      </c>
      <c r="N19819" t="str">
        <f>IF(M19819="","",'Master Barang'!A13)</f>
        <v>PRL-012</v>
      </c>
      <c r="O19819" t="str">
        <f>IF(N19819="","",'Master Barang'!B13)</f>
        <v>plastik 1/4kg joyoboyo 100 lembar</v>
      </c>
      <c r="P19819">
        <f>IF(OR(M19819="",N19819=""),"",SUMIFS('Barang Keluar'!$E:$E,'Barang Keluar'!$A:$A,M19819,'Barang Keluar'!$C:$C,N19819))</f>
        <v>0</v>
      </c>
    </row>
    <row r="19820" spans="13:16">
      <c r="M19820" s="49">
        <f>IF($A$4+198&gt;$B$4,"",$A$4+198)</f>
        <v>46221</v>
      </c>
      <c r="N19820" t="str">
        <f>IF(M19820="","",'Master Barang'!A14)</f>
        <v>PRL-013</v>
      </c>
      <c r="O19820" t="str">
        <f>IF(N19820="","",'Master Barang'!B14)</f>
        <v>sarung tangan plastik kaka 100 pcs</v>
      </c>
      <c r="P19820">
        <f>IF(OR(M19820="",N19820=""),"",SUMIFS('Barang Keluar'!$E:$E,'Barang Keluar'!$A:$A,M19820,'Barang Keluar'!$C:$C,N19820))</f>
        <v>0</v>
      </c>
    </row>
    <row r="19821" spans="13:16">
      <c r="M19821" s="49">
        <f>IF($A$4+198&gt;$B$4,"",$A$4+198)</f>
        <v>46221</v>
      </c>
      <c r="N19821" t="str">
        <f>IF(M19821="","",'Master Barang'!A15)</f>
        <v>PRL-014</v>
      </c>
      <c r="O19821" t="str">
        <f>IF(N19821="","",'Master Barang'!B15)</f>
        <v>optima trashbag 80x100</v>
      </c>
      <c r="P19821">
        <f>IF(OR(M19821="",N19821=""),"",SUMIFS('Barang Keluar'!$E:$E,'Barang Keluar'!$A:$A,M19821,'Barang Keluar'!$C:$C,N19821))</f>
        <v>0</v>
      </c>
    </row>
    <row r="19822" spans="13:16">
      <c r="M19822" s="49">
        <f>IF($A$4+198&gt;$B$4,"",$A$4+198)</f>
        <v>46221</v>
      </c>
      <c r="N19822" t="str">
        <f>IF(M19822="","",'Master Barang'!A16)</f>
        <v>PRL-015</v>
      </c>
      <c r="O19822" t="str">
        <f>IF(N19822="","",'Master Barang'!B16)</f>
        <v>optima trashbag 60x100</v>
      </c>
      <c r="P19822">
        <f>IF(OR(M19822="",N19822=""),"",SUMIFS('Barang Keluar'!$E:$E,'Barang Keluar'!$A:$A,M19822,'Barang Keluar'!$C:$C,N19822))</f>
        <v>0</v>
      </c>
    </row>
    <row r="19823" spans="13:16">
      <c r="M19823" s="49">
        <f>IF($A$4+198&gt;$B$4,"",$A$4+198)</f>
        <v>46221</v>
      </c>
      <c r="N19823" t="str">
        <f>IF(M19823="","",'Master Barang'!A17)</f>
        <v>PRL-016</v>
      </c>
      <c r="O19823" t="str">
        <f>IF(N19823="","",'Master Barang'!B17)</f>
        <v>rajawali trashbag 30x40</v>
      </c>
      <c r="P19823">
        <f>IF(OR(M19823="",N19823=""),"",SUMIFS('Barang Keluar'!$E:$E,'Barang Keluar'!$A:$A,M19823,'Barang Keluar'!$C:$C,N19823))</f>
        <v>0</v>
      </c>
    </row>
    <row r="19824" spans="13:16">
      <c r="M19824" s="49">
        <f>IF($A$4+198&gt;$B$4,"",$A$4+198)</f>
        <v>46221</v>
      </c>
      <c r="N19824" t="str">
        <f>IF(M19824="","",'Master Barang'!A18)</f>
        <v>PRL-017</v>
      </c>
      <c r="O19824" t="str">
        <f>IF(N19824="","",'Master Barang'!B18)</f>
        <v>onemed masker biru 3 play 50 pcs</v>
      </c>
      <c r="P19824">
        <f>IF(OR(M19824="",N19824=""),"",SUMIFS('Barang Keluar'!$E:$E,'Barang Keluar'!$A:$A,M19824,'Barang Keluar'!$C:$C,N19824))</f>
        <v>0</v>
      </c>
    </row>
    <row r="19825" spans="13:16">
      <c r="M19825" s="49">
        <f>IF($A$4+198&gt;$B$4,"",$A$4+198)</f>
        <v>46221</v>
      </c>
      <c r="N19825" t="str">
        <f>IF(M19825="","",'Master Barang'!A19)</f>
        <v>PRL-018</v>
      </c>
      <c r="O19825" t="str">
        <f>IF(N19825="","",'Master Barang'!B19)</f>
        <v>onemed masker biru 3 play hijab 50 pcs</v>
      </c>
      <c r="P19825">
        <f>IF(OR(M19825="",N19825=""),"",SUMIFS('Barang Keluar'!$E:$E,'Barang Keluar'!$A:$A,M19825,'Barang Keluar'!$C:$C,N19825))</f>
        <v>0</v>
      </c>
    </row>
    <row r="19826" spans="13:16">
      <c r="M19826" s="49">
        <f>IF($A$4+198&gt;$B$4,"",$A$4+198)</f>
        <v>46221</v>
      </c>
      <c r="N19826" t="str">
        <f>IF(M19826="","",'Master Barang'!A20)</f>
        <v>PRL-019</v>
      </c>
      <c r="O19826" t="str">
        <f>IF(N19826="","",'Master Barang'!B20)</f>
        <v>neo health masker biru 3 play 50 pcs</v>
      </c>
      <c r="P19826">
        <f>IF(OR(M19826="",N19826=""),"",SUMIFS('Barang Keluar'!$E:$E,'Barang Keluar'!$A:$A,M19826,'Barang Keluar'!$C:$C,N19826))</f>
        <v>0</v>
      </c>
    </row>
    <row r="19827" spans="13:16">
      <c r="M19827" s="49">
        <f>IF($A$4+198&gt;$B$4,"",$A$4+198)</f>
        <v>46221</v>
      </c>
      <c r="N19827" t="str">
        <f>IF(M19827="","",'Master Barang'!A21)</f>
        <v>PRL-020</v>
      </c>
      <c r="O19827" t="str">
        <f>IF(N19827="","",'Master Barang'!B21)</f>
        <v>baymed masker hijau 3 play hijau 50 pcs</v>
      </c>
      <c r="P19827">
        <f>IF(OR(M19827="",N19827=""),"",SUMIFS('Barang Keluar'!$E:$E,'Barang Keluar'!$A:$A,M19827,'Barang Keluar'!$C:$C,N19827))</f>
        <v>0</v>
      </c>
    </row>
    <row r="19828" spans="13:16">
      <c r="M19828" s="49">
        <f>IF($A$4+198&gt;$B$4,"",$A$4+198)</f>
        <v>46221</v>
      </c>
      <c r="N19828" t="str">
        <f>IF(M19828="","",'Master Barang'!A22)</f>
        <v>PRL-021</v>
      </c>
      <c r="O19828" t="str">
        <f>IF(N19828="","",'Master Barang'!B22)</f>
        <v>altamed nurse cap penutup kepala 100 pcs</v>
      </c>
      <c r="P19828">
        <f>IF(OR(M19828="",N19828=""),"",SUMIFS('Barang Keluar'!$E:$E,'Barang Keluar'!$A:$A,M19828,'Barang Keluar'!$C:$C,N19828))</f>
        <v>0</v>
      </c>
    </row>
    <row r="19829" spans="13:16">
      <c r="M19829" s="49">
        <f>IF($A$4+198&gt;$B$4,"",$A$4+198)</f>
        <v>46221</v>
      </c>
      <c r="N19829" t="str">
        <f>IF(M19829="","",'Master Barang'!A23)</f>
        <v>PRL-022</v>
      </c>
      <c r="O19829" t="str">
        <f>IF(N19829="","",'Master Barang'!B23)</f>
        <v>sabun cuci tangan</v>
      </c>
      <c r="P19829">
        <f>IF(OR(M19829="",N19829=""),"",SUMIFS('Barang Keluar'!$E:$E,'Barang Keluar'!$A:$A,M19829,'Barang Keluar'!$C:$C,N19829))</f>
        <v>0</v>
      </c>
    </row>
    <row r="19830" spans="13:16">
      <c r="M19830" s="49">
        <f>IF($A$4+198&gt;$B$4,"",$A$4+198)</f>
        <v>46221</v>
      </c>
      <c r="N19830" t="str">
        <f>IF(M19830="","",'Master Barang'!A24)</f>
        <v>PRL-023</v>
      </c>
      <c r="O19830" t="str">
        <f>IF(N19830="","",'Master Barang'!B24)</f>
        <v>gayung kecil</v>
      </c>
      <c r="P19830">
        <f>IF(OR(M19830="",N19830=""),"",SUMIFS('Barang Keluar'!$E:$E,'Barang Keluar'!$A:$A,M19830,'Barang Keluar'!$C:$C,N19830))</f>
        <v>0</v>
      </c>
    </row>
    <row r="19831" spans="13:16">
      <c r="M19831" s="49">
        <f>IF($A$4+198&gt;$B$4,"",$A$4+198)</f>
        <v>46221</v>
      </c>
      <c r="N19831" t="str">
        <f>IF(M19831="","",'Master Barang'!A25)</f>
        <v>PRL-024</v>
      </c>
      <c r="O19831" t="str">
        <f>IF(N19831="","",'Master Barang'!B25)</f>
        <v>cikrak kecil</v>
      </c>
      <c r="P19831">
        <f>IF(OR(M19831="",N19831=""),"",SUMIFS('Barang Keluar'!$E:$E,'Barang Keluar'!$A:$A,M19831,'Barang Keluar'!$C:$C,N19831))</f>
        <v>0</v>
      </c>
    </row>
    <row r="19832" spans="13:16">
      <c r="M19832" s="49">
        <f>IF($A$4+198&gt;$B$4,"",$A$4+198)</f>
        <v>46221</v>
      </c>
      <c r="N19832" t="str">
        <f>IF(M19832="","",'Master Barang'!A26)</f>
        <v>PRL-025</v>
      </c>
      <c r="O19832" t="str">
        <f>IF(N19832="","",'Master Barang'!B26)</f>
        <v>petromax plastik kecil 12x24 100 lembar</v>
      </c>
      <c r="P19832">
        <f>IF(OR(M19832="",N19832=""),"",SUMIFS('Barang Keluar'!$E:$E,'Barang Keluar'!$A:$A,M19832,'Barang Keluar'!$C:$C,N19832))</f>
        <v>0</v>
      </c>
    </row>
    <row r="19833" spans="13:16">
      <c r="M19833" s="49">
        <f>IF($A$4+198&gt;$B$4,"",$A$4+198)</f>
        <v>46221</v>
      </c>
      <c r="N19833" t="str">
        <f>IF(M19833="","",'Master Barang'!A27)</f>
        <v>PRL-026</v>
      </c>
      <c r="O19833" t="str">
        <f>IF(N19833="","",'Master Barang'!B27)</f>
        <v>lancar kresek kecil bening </v>
      </c>
      <c r="P19833">
        <f>IF(OR(M19833="",N19833=""),"",SUMIFS('Barang Keluar'!$E:$E,'Barang Keluar'!$A:$A,M19833,'Barang Keluar'!$C:$C,N19833))</f>
        <v>0</v>
      </c>
    </row>
    <row r="19834" spans="13:16">
      <c r="M19834" s="49">
        <f>IF($A$4+198&gt;$B$4,"",$A$4+198)</f>
        <v>46221</v>
      </c>
      <c r="N19834" t="str">
        <f>IF(M19834="","",'Master Barang'!A28)</f>
        <v>PRL-027</v>
      </c>
      <c r="O19834" t="str">
        <f>IF(N19834="","",'Master Barang'!B28)</f>
        <v>kresek klin warna warni kecil</v>
      </c>
      <c r="P19834">
        <f>IF(OR(M19834="",N19834=""),"",SUMIFS('Barang Keluar'!$E:$E,'Barang Keluar'!$A:$A,M19834,'Barang Keluar'!$C:$C,N19834))</f>
        <v>0</v>
      </c>
    </row>
    <row r="19835" spans="13:16">
      <c r="M19835" s="49">
        <f>IF($A$4+198&gt;$B$4,"",$A$4+198)</f>
        <v>46221</v>
      </c>
      <c r="N19835" t="str">
        <f>IF(M19835="","",'Master Barang'!A29)</f>
        <v>PRL-028</v>
      </c>
      <c r="O19835" t="str">
        <f>IF(N19835="","",'Master Barang'!B29)</f>
        <v>ctik plastik 7x10 100 pcs</v>
      </c>
      <c r="P19835">
        <f>IF(OR(M19835="",N19835=""),"",SUMIFS('Barang Keluar'!$E:$E,'Barang Keluar'!$A:$A,M19835,'Barang Keluar'!$C:$C,N19835))</f>
        <v>0</v>
      </c>
    </row>
    <row r="19836" spans="13:16">
      <c r="M19836" s="49">
        <f>IF($A$4+198&gt;$B$4,"",$A$4+198)</f>
        <v>46221</v>
      </c>
      <c r="N19836" t="str">
        <f>IF(M19836="","",'Master Barang'!A30)</f>
        <v>PRL-029</v>
      </c>
      <c r="O19836" t="str">
        <f>IF(N19836="","",'Master Barang'!B30)</f>
        <v>ctik plastik 6x10 100 pcs</v>
      </c>
      <c r="P19836">
        <f>IF(OR(M19836="",N19836=""),"",SUMIFS('Barang Keluar'!$E:$E,'Barang Keluar'!$A:$A,M19836,'Barang Keluar'!$C:$C,N19836))</f>
        <v>0</v>
      </c>
    </row>
    <row r="19837" spans="13:16">
      <c r="M19837" s="49">
        <f>IF($A$4+198&gt;$B$4,"",$A$4+198)</f>
        <v>46221</v>
      </c>
      <c r="N19837" t="str">
        <f>IF(M19837="","",'Master Barang'!A31)</f>
        <v>PRL-030</v>
      </c>
      <c r="O19837" t="str">
        <f>IF(N19837="","",'Master Barang'!B31)</f>
        <v>klip plastik 25x16 100 pcs</v>
      </c>
      <c r="P19837">
        <f>IF(OR(M19837="",N19837=""),"",SUMIFS('Barang Keluar'!$E:$E,'Barang Keluar'!$A:$A,M19837,'Barang Keluar'!$C:$C,N19837))</f>
        <v>0</v>
      </c>
    </row>
    <row r="19838" spans="13:16">
      <c r="M19838" s="49">
        <f>IF($A$4+198&gt;$B$4,"",$A$4+198)</f>
        <v>46221</v>
      </c>
      <c r="N19838" t="str">
        <f>IF(M19838="","",'Master Barang'!A32)</f>
        <v>PRL-031</v>
      </c>
      <c r="O19838" t="str">
        <f>IF(N19838="","",'Master Barang'!B32)</f>
        <v>tempat saus 20 ml</v>
      </c>
      <c r="P19838">
        <f>IF(OR(M19838="",N19838=""),"",SUMIFS('Barang Keluar'!$E:$E,'Barang Keluar'!$A:$A,M19838,'Barang Keluar'!$C:$C,N19838))</f>
        <v>0</v>
      </c>
    </row>
    <row r="19839" spans="13:16">
      <c r="M19839" s="49">
        <f>IF($A$4+198&gt;$B$4,"",$A$4+198)</f>
        <v>46221</v>
      </c>
      <c r="N19839" t="str">
        <f>IF(M19839="","",'Master Barang'!A33)</f>
        <v>PRL-032</v>
      </c>
      <c r="O19839" t="str">
        <f>IF(N19839="","",'Master Barang'!B33)</f>
        <v>plastik packaging ag box uk sedang</v>
      </c>
      <c r="P19839">
        <f>IF(OR(M19839="",N19839=""),"",SUMIFS('Barang Keluar'!$E:$E,'Barang Keluar'!$A:$A,M19839,'Barang Keluar'!$C:$C,N19839))</f>
        <v>0</v>
      </c>
    </row>
    <row r="19840" spans="13:16">
      <c r="M19840" s="49">
        <f>IF($A$4+198&gt;$B$4,"",$A$4+198)</f>
        <v>46221</v>
      </c>
      <c r="N19840" t="str">
        <f>IF(M19840="","",'Master Barang'!A34)</f>
        <v>PRL-033</v>
      </c>
      <c r="O19840">
        <f>IF(N19840="","",'Master Barang'!B34)</f>
        <v>0</v>
      </c>
      <c r="P19840">
        <f>IF(OR(M19840="",N19840=""),"",SUMIFS('Barang Keluar'!$E:$E,'Barang Keluar'!$A:$A,M19840,'Barang Keluar'!$C:$C,N19840))</f>
        <v>0</v>
      </c>
    </row>
    <row r="19841" spans="13:16">
      <c r="M19841" s="49">
        <f>IF($A$4+198&gt;$B$4,"",$A$4+198)</f>
        <v>46221</v>
      </c>
      <c r="N19841">
        <f>IF(M19841="","",'Master Barang'!A35)</f>
        <v>0</v>
      </c>
      <c r="O19841">
        <f>IF(N19841="","",'Master Barang'!B35)</f>
        <v>0</v>
      </c>
      <c r="P19841">
        <f>IF(OR(M19841="",N19841=""),"",SUMIFS('Barang Keluar'!$E:$E,'Barang Keluar'!$A:$A,M19841,'Barang Keluar'!$C:$C,N19841))</f>
        <v>0</v>
      </c>
    </row>
    <row r="19842" spans="13:16">
      <c r="M19842" s="49">
        <f>IF($A$4+198&gt;$B$4,"",$A$4+198)</f>
        <v>46221</v>
      </c>
      <c r="N19842">
        <f>IF(M19842="","",'Master Barang'!A36)</f>
        <v>0</v>
      </c>
      <c r="O19842">
        <f>IF(N19842="","",'Master Barang'!B36)</f>
        <v>0</v>
      </c>
      <c r="P19842">
        <f>IF(OR(M19842="",N19842=""),"",SUMIFS('Barang Keluar'!$E:$E,'Barang Keluar'!$A:$A,M19842,'Barang Keluar'!$C:$C,N19842))</f>
        <v>0</v>
      </c>
    </row>
    <row r="19843" spans="13:16">
      <c r="M19843" s="49">
        <f>IF($A$4+198&gt;$B$4,"",$A$4+198)</f>
        <v>46221</v>
      </c>
      <c r="N19843">
        <f>IF(M19843="","",'Master Barang'!A37)</f>
        <v>0</v>
      </c>
      <c r="O19843">
        <f>IF(N19843="","",'Master Barang'!B37)</f>
        <v>0</v>
      </c>
      <c r="P19843">
        <f>IF(OR(M19843="",N19843=""),"",SUMIFS('Barang Keluar'!$E:$E,'Barang Keluar'!$A:$A,M19843,'Barang Keluar'!$C:$C,N19843))</f>
        <v>0</v>
      </c>
    </row>
    <row r="19844" spans="13:16">
      <c r="M19844" s="49">
        <f>IF($A$4+198&gt;$B$4,"",$A$4+198)</f>
        <v>46221</v>
      </c>
      <c r="N19844">
        <f>IF(M19844="","",'Master Barang'!A38)</f>
        <v>0</v>
      </c>
      <c r="O19844">
        <f>IF(N19844="","",'Master Barang'!B38)</f>
        <v>0</v>
      </c>
      <c r="P19844">
        <f>IF(OR(M19844="",N19844=""),"",SUMIFS('Barang Keluar'!$E:$E,'Barang Keluar'!$A:$A,M19844,'Barang Keluar'!$C:$C,N19844))</f>
        <v>0</v>
      </c>
    </row>
    <row r="19845" spans="13:16">
      <c r="M19845" s="49">
        <f>IF($A$4+198&gt;$B$4,"",$A$4+198)</f>
        <v>46221</v>
      </c>
      <c r="N19845">
        <f>IF(M19845="","",'Master Barang'!A39)</f>
        <v>0</v>
      </c>
      <c r="O19845">
        <f>IF(N19845="","",'Master Barang'!B39)</f>
        <v>0</v>
      </c>
      <c r="P19845">
        <f>IF(OR(M19845="",N19845=""),"",SUMIFS('Barang Keluar'!$E:$E,'Barang Keluar'!$A:$A,M19845,'Barang Keluar'!$C:$C,N19845))</f>
        <v>0</v>
      </c>
    </row>
    <row r="19846" spans="13:16">
      <c r="M19846" s="49">
        <f>IF($A$4+198&gt;$B$4,"",$A$4+198)</f>
        <v>46221</v>
      </c>
      <c r="N19846">
        <f>IF(M19846="","",'Master Barang'!A40)</f>
        <v>0</v>
      </c>
      <c r="O19846">
        <f>IF(N19846="","",'Master Barang'!B40)</f>
        <v>0</v>
      </c>
      <c r="P19846">
        <f>IF(OR(M19846="",N19846=""),"",SUMIFS('Barang Keluar'!$E:$E,'Barang Keluar'!$A:$A,M19846,'Barang Keluar'!$C:$C,N19846))</f>
        <v>0</v>
      </c>
    </row>
    <row r="19847" spans="13:16">
      <c r="M19847" s="49">
        <f>IF($A$4+198&gt;$B$4,"",$A$4+198)</f>
        <v>46221</v>
      </c>
      <c r="N19847">
        <f>IF(M19847="","",'Master Barang'!A41)</f>
        <v>0</v>
      </c>
      <c r="O19847">
        <f>IF(N19847="","",'Master Barang'!B41)</f>
        <v>0</v>
      </c>
      <c r="P19847">
        <f>IF(OR(M19847="",N19847=""),"",SUMIFS('Barang Keluar'!$E:$E,'Barang Keluar'!$A:$A,M19847,'Barang Keluar'!$C:$C,N19847))</f>
        <v>0</v>
      </c>
    </row>
    <row r="19848" spans="13:16">
      <c r="M19848" s="49">
        <f>IF($A$4+198&gt;$B$4,"",$A$4+198)</f>
        <v>46221</v>
      </c>
      <c r="N19848">
        <f>IF(M19848="","",'Master Barang'!A42)</f>
        <v>0</v>
      </c>
      <c r="O19848">
        <f>IF(N19848="","",'Master Barang'!B42)</f>
        <v>0</v>
      </c>
      <c r="P19848">
        <f>IF(OR(M19848="",N19848=""),"",SUMIFS('Barang Keluar'!$E:$E,'Barang Keluar'!$A:$A,M19848,'Barang Keluar'!$C:$C,N19848))</f>
        <v>0</v>
      </c>
    </row>
    <row r="19849" spans="13:16">
      <c r="M19849" s="49">
        <f>IF($A$4+198&gt;$B$4,"",$A$4+198)</f>
        <v>46221</v>
      </c>
      <c r="N19849">
        <f>IF(M19849="","",'Master Barang'!A43)</f>
        <v>0</v>
      </c>
      <c r="O19849">
        <f>IF(N19849="","",'Master Barang'!B43)</f>
        <v>0</v>
      </c>
      <c r="P19849">
        <f>IF(OR(M19849="",N19849=""),"",SUMIFS('Barang Keluar'!$E:$E,'Barang Keluar'!$A:$A,M19849,'Barang Keluar'!$C:$C,N19849))</f>
        <v>0</v>
      </c>
    </row>
    <row r="19850" spans="13:16">
      <c r="M19850" s="49">
        <f>IF($A$4+198&gt;$B$4,"",$A$4+198)</f>
        <v>46221</v>
      </c>
      <c r="N19850">
        <f>IF(M19850="","",'Master Barang'!A44)</f>
        <v>0</v>
      </c>
      <c r="O19850">
        <f>IF(N19850="","",'Master Barang'!B44)</f>
        <v>0</v>
      </c>
      <c r="P19850">
        <f>IF(OR(M19850="",N19850=""),"",SUMIFS('Barang Keluar'!$E:$E,'Barang Keluar'!$A:$A,M19850,'Barang Keluar'!$C:$C,N19850))</f>
        <v>0</v>
      </c>
    </row>
    <row r="19851" spans="13:16">
      <c r="M19851" s="49">
        <f>IF($A$4+198&gt;$B$4,"",$A$4+198)</f>
        <v>46221</v>
      </c>
      <c r="N19851">
        <f>IF(M19851="","",'Master Barang'!A45)</f>
        <v>0</v>
      </c>
      <c r="O19851">
        <f>IF(N19851="","",'Master Barang'!B45)</f>
        <v>0</v>
      </c>
      <c r="P19851">
        <f>IF(OR(M19851="",N19851=""),"",SUMIFS('Barang Keluar'!$E:$E,'Barang Keluar'!$A:$A,M19851,'Barang Keluar'!$C:$C,N19851))</f>
        <v>0</v>
      </c>
    </row>
    <row r="19852" spans="13:16">
      <c r="M19852" s="49">
        <f>IF($A$4+198&gt;$B$4,"",$A$4+198)</f>
        <v>46221</v>
      </c>
      <c r="N19852">
        <f>IF(M19852="","",'Master Barang'!A46)</f>
        <v>0</v>
      </c>
      <c r="O19852">
        <f>IF(N19852="","",'Master Barang'!B46)</f>
        <v>0</v>
      </c>
      <c r="P19852">
        <f>IF(OR(M19852="",N19852=""),"",SUMIFS('Barang Keluar'!$E:$E,'Barang Keluar'!$A:$A,M19852,'Barang Keluar'!$C:$C,N19852))</f>
        <v>0</v>
      </c>
    </row>
    <row r="19853" spans="13:16">
      <c r="M19853" s="49">
        <f>IF($A$4+198&gt;$B$4,"",$A$4+198)</f>
        <v>46221</v>
      </c>
      <c r="N19853">
        <f>IF(M19853="","",'Master Barang'!A47)</f>
        <v>0</v>
      </c>
      <c r="O19853">
        <f>IF(N19853="","",'Master Barang'!B47)</f>
        <v>0</v>
      </c>
      <c r="P19853">
        <f>IF(OR(M19853="",N19853=""),"",SUMIFS('Barang Keluar'!$E:$E,'Barang Keluar'!$A:$A,M19853,'Barang Keluar'!$C:$C,N19853))</f>
        <v>0</v>
      </c>
    </row>
    <row r="19854" spans="13:16">
      <c r="M19854" s="49">
        <f>IF($A$4+198&gt;$B$4,"",$A$4+198)</f>
        <v>46221</v>
      </c>
      <c r="N19854">
        <f>IF(M19854="","",'Master Barang'!A48)</f>
        <v>0</v>
      </c>
      <c r="O19854">
        <f>IF(N19854="","",'Master Barang'!B48)</f>
        <v>0</v>
      </c>
      <c r="P19854">
        <f>IF(OR(M19854="",N19854=""),"",SUMIFS('Barang Keluar'!$E:$E,'Barang Keluar'!$A:$A,M19854,'Barang Keluar'!$C:$C,N19854))</f>
        <v>0</v>
      </c>
    </row>
    <row r="19855" spans="13:16">
      <c r="M19855" s="49">
        <f>IF($A$4+198&gt;$B$4,"",$A$4+198)</f>
        <v>46221</v>
      </c>
      <c r="N19855">
        <f>IF(M19855="","",'Master Barang'!A49)</f>
        <v>0</v>
      </c>
      <c r="O19855">
        <f>IF(N19855="","",'Master Barang'!B49)</f>
        <v>0</v>
      </c>
      <c r="P19855">
        <f>IF(OR(M19855="",N19855=""),"",SUMIFS('Barang Keluar'!$E:$E,'Barang Keluar'!$A:$A,M19855,'Barang Keluar'!$C:$C,N19855))</f>
        <v>0</v>
      </c>
    </row>
    <row r="19856" spans="13:16">
      <c r="M19856" s="49">
        <f>IF($A$4+198&gt;$B$4,"",$A$4+198)</f>
        <v>46221</v>
      </c>
      <c r="N19856">
        <f>IF(M19856="","",'Master Barang'!A50)</f>
        <v>0</v>
      </c>
      <c r="O19856">
        <f>IF(N19856="","",'Master Barang'!B50)</f>
        <v>0</v>
      </c>
      <c r="P19856">
        <f>IF(OR(M19856="",N19856=""),"",SUMIFS('Barang Keluar'!$E:$E,'Barang Keluar'!$A:$A,M19856,'Barang Keluar'!$C:$C,N19856))</f>
        <v>0</v>
      </c>
    </row>
    <row r="19857" spans="13:16">
      <c r="M19857" s="49">
        <f>IF($A$4+198&gt;$B$4,"",$A$4+198)</f>
        <v>46221</v>
      </c>
      <c r="N19857">
        <f>IF(M19857="","",'Master Barang'!A51)</f>
        <v>0</v>
      </c>
      <c r="O19857">
        <f>IF(N19857="","",'Master Barang'!B51)</f>
        <v>0</v>
      </c>
      <c r="P19857">
        <f>IF(OR(M19857="",N19857=""),"",SUMIFS('Barang Keluar'!$E:$E,'Barang Keluar'!$A:$A,M19857,'Barang Keluar'!$C:$C,N19857))</f>
        <v>0</v>
      </c>
    </row>
    <row r="19858" spans="13:16">
      <c r="M19858" s="49">
        <f>IF($A$4+198&gt;$B$4,"",$A$4+198)</f>
        <v>46221</v>
      </c>
      <c r="N19858">
        <f>IF(M19858="","",'Master Barang'!A52)</f>
        <v>0</v>
      </c>
      <c r="O19858">
        <f>IF(N19858="","",'Master Barang'!B52)</f>
        <v>0</v>
      </c>
      <c r="P19858">
        <f>IF(OR(M19858="",N19858=""),"",SUMIFS('Barang Keluar'!$E:$E,'Barang Keluar'!$A:$A,M19858,'Barang Keluar'!$C:$C,N19858))</f>
        <v>0</v>
      </c>
    </row>
    <row r="19859" spans="13:16">
      <c r="M19859" s="49">
        <f>IF($A$4+198&gt;$B$4,"",$A$4+198)</f>
        <v>46221</v>
      </c>
      <c r="N19859">
        <f>IF(M19859="","",'Master Barang'!A53)</f>
        <v>0</v>
      </c>
      <c r="O19859">
        <f>IF(N19859="","",'Master Barang'!B53)</f>
        <v>0</v>
      </c>
      <c r="P19859">
        <f>IF(OR(M19859="",N19859=""),"",SUMIFS('Barang Keluar'!$E:$E,'Barang Keluar'!$A:$A,M19859,'Barang Keluar'!$C:$C,N19859))</f>
        <v>0</v>
      </c>
    </row>
    <row r="19860" spans="13:16">
      <c r="M19860" s="49">
        <f>IF($A$4+198&gt;$B$4,"",$A$4+198)</f>
        <v>46221</v>
      </c>
      <c r="N19860">
        <f>IF(M19860="","",'Master Barang'!A54)</f>
        <v>0</v>
      </c>
      <c r="O19860">
        <f>IF(N19860="","",'Master Barang'!B54)</f>
        <v>0</v>
      </c>
      <c r="P19860">
        <f>IF(OR(M19860="",N19860=""),"",SUMIFS('Barang Keluar'!$E:$E,'Barang Keluar'!$A:$A,M19860,'Barang Keluar'!$C:$C,N19860))</f>
        <v>0</v>
      </c>
    </row>
    <row r="19861" spans="13:16">
      <c r="M19861" s="49">
        <f>IF($A$4+198&gt;$B$4,"",$A$4+198)</f>
        <v>46221</v>
      </c>
      <c r="N19861">
        <f>IF(M19861="","",'Master Barang'!A55)</f>
        <v>0</v>
      </c>
      <c r="O19861">
        <f>IF(N19861="","",'Master Barang'!B55)</f>
        <v>0</v>
      </c>
      <c r="P19861">
        <f>IF(OR(M19861="",N19861=""),"",SUMIFS('Barang Keluar'!$E:$E,'Barang Keluar'!$A:$A,M19861,'Barang Keluar'!$C:$C,N19861))</f>
        <v>0</v>
      </c>
    </row>
    <row r="19862" spans="13:16">
      <c r="M19862" s="49">
        <f>IF($A$4+198&gt;$B$4,"",$A$4+198)</f>
        <v>46221</v>
      </c>
      <c r="N19862">
        <f>IF(M19862="","",'Master Barang'!A56)</f>
        <v>0</v>
      </c>
      <c r="O19862">
        <f>IF(N19862="","",'Master Barang'!B56)</f>
        <v>0</v>
      </c>
      <c r="P19862">
        <f>IF(OR(M19862="",N19862=""),"",SUMIFS('Barang Keluar'!$E:$E,'Barang Keluar'!$A:$A,M19862,'Barang Keluar'!$C:$C,N19862))</f>
        <v>0</v>
      </c>
    </row>
    <row r="19863" spans="13:16">
      <c r="M19863" s="49">
        <f>IF($A$4+198&gt;$B$4,"",$A$4+198)</f>
        <v>46221</v>
      </c>
      <c r="N19863">
        <f>IF(M19863="","",'Master Barang'!A57)</f>
        <v>0</v>
      </c>
      <c r="O19863">
        <f>IF(N19863="","",'Master Barang'!B57)</f>
        <v>0</v>
      </c>
      <c r="P19863">
        <f>IF(OR(M19863="",N19863=""),"",SUMIFS('Barang Keluar'!$E:$E,'Barang Keluar'!$A:$A,M19863,'Barang Keluar'!$C:$C,N19863))</f>
        <v>0</v>
      </c>
    </row>
    <row r="19864" spans="13:16">
      <c r="M19864" s="49">
        <f>IF($A$4+198&gt;$B$4,"",$A$4+198)</f>
        <v>46221</v>
      </c>
      <c r="N19864">
        <f>IF(M19864="","",'Master Barang'!A58)</f>
        <v>0</v>
      </c>
      <c r="O19864">
        <f>IF(N19864="","",'Master Barang'!B58)</f>
        <v>0</v>
      </c>
      <c r="P19864">
        <f>IF(OR(M19864="",N19864=""),"",SUMIFS('Barang Keluar'!$E:$E,'Barang Keluar'!$A:$A,M19864,'Barang Keluar'!$C:$C,N19864))</f>
        <v>0</v>
      </c>
    </row>
    <row r="19865" spans="13:16">
      <c r="M19865" s="49">
        <f>IF($A$4+198&gt;$B$4,"",$A$4+198)</f>
        <v>46221</v>
      </c>
      <c r="N19865">
        <f>IF(M19865="","",'Master Barang'!A59)</f>
        <v>0</v>
      </c>
      <c r="O19865">
        <f>IF(N19865="","",'Master Barang'!B59)</f>
        <v>0</v>
      </c>
      <c r="P19865">
        <f>IF(OR(M19865="",N19865=""),"",SUMIFS('Barang Keluar'!$E:$E,'Barang Keluar'!$A:$A,M19865,'Barang Keluar'!$C:$C,N19865))</f>
        <v>0</v>
      </c>
    </row>
    <row r="19866" spans="13:16">
      <c r="M19866" s="49">
        <f>IF($A$4+198&gt;$B$4,"",$A$4+198)</f>
        <v>46221</v>
      </c>
      <c r="N19866">
        <f>IF(M19866="","",'Master Barang'!A60)</f>
        <v>0</v>
      </c>
      <c r="O19866">
        <f>IF(N19866="","",'Master Barang'!B60)</f>
        <v>0</v>
      </c>
      <c r="P19866">
        <f>IF(OR(M19866="",N19866=""),"",SUMIFS('Barang Keluar'!$E:$E,'Barang Keluar'!$A:$A,M19866,'Barang Keluar'!$C:$C,N19866))</f>
        <v>0</v>
      </c>
    </row>
    <row r="19867" spans="13:16">
      <c r="M19867" s="49">
        <f>IF($A$4+198&gt;$B$4,"",$A$4+198)</f>
        <v>46221</v>
      </c>
      <c r="N19867">
        <f>IF(M19867="","",'Master Barang'!A61)</f>
        <v>0</v>
      </c>
      <c r="O19867">
        <f>IF(N19867="","",'Master Barang'!B61)</f>
        <v>0</v>
      </c>
      <c r="P19867">
        <f>IF(OR(M19867="",N19867=""),"",SUMIFS('Barang Keluar'!$E:$E,'Barang Keluar'!$A:$A,M19867,'Barang Keluar'!$C:$C,N19867))</f>
        <v>0</v>
      </c>
    </row>
    <row r="19868" spans="13:16">
      <c r="M19868" s="49">
        <f>IF($A$4+198&gt;$B$4,"",$A$4+198)</f>
        <v>46221</v>
      </c>
      <c r="N19868">
        <f>IF(M19868="","",'Master Barang'!A62)</f>
        <v>0</v>
      </c>
      <c r="O19868">
        <f>IF(N19868="","",'Master Barang'!B62)</f>
        <v>0</v>
      </c>
      <c r="P19868">
        <f>IF(OR(M19868="",N19868=""),"",SUMIFS('Barang Keluar'!$E:$E,'Barang Keluar'!$A:$A,M19868,'Barang Keluar'!$C:$C,N19868))</f>
        <v>0</v>
      </c>
    </row>
    <row r="19869" spans="13:16">
      <c r="M19869" s="49">
        <f>IF($A$4+198&gt;$B$4,"",$A$4+198)</f>
        <v>46221</v>
      </c>
      <c r="N19869">
        <f>IF(M19869="","",'Master Barang'!A63)</f>
        <v>0</v>
      </c>
      <c r="O19869">
        <f>IF(N19869="","",'Master Barang'!B63)</f>
        <v>0</v>
      </c>
      <c r="P19869">
        <f>IF(OR(M19869="",N19869=""),"",SUMIFS('Barang Keluar'!$E:$E,'Barang Keluar'!$A:$A,M19869,'Barang Keluar'!$C:$C,N19869))</f>
        <v>0</v>
      </c>
    </row>
    <row r="19870" spans="13:16">
      <c r="M19870" s="49">
        <f>IF($A$4+198&gt;$B$4,"",$A$4+198)</f>
        <v>46221</v>
      </c>
      <c r="N19870">
        <f>IF(M19870="","",'Master Barang'!A64)</f>
        <v>0</v>
      </c>
      <c r="O19870">
        <f>IF(N19870="","",'Master Barang'!B64)</f>
        <v>0</v>
      </c>
      <c r="P19870">
        <f>IF(OR(M19870="",N19870=""),"",SUMIFS('Barang Keluar'!$E:$E,'Barang Keluar'!$A:$A,M19870,'Barang Keluar'!$C:$C,N19870))</f>
        <v>0</v>
      </c>
    </row>
    <row r="19871" spans="13:16">
      <c r="M19871" s="49">
        <f>IF($A$4+198&gt;$B$4,"",$A$4+198)</f>
        <v>46221</v>
      </c>
      <c r="N19871">
        <f>IF(M19871="","",'Master Barang'!A65)</f>
        <v>0</v>
      </c>
      <c r="O19871">
        <f>IF(N19871="","",'Master Barang'!B65)</f>
        <v>0</v>
      </c>
      <c r="P19871">
        <f>IF(OR(M19871="",N19871=""),"",SUMIFS('Barang Keluar'!$E:$E,'Barang Keluar'!$A:$A,M19871,'Barang Keluar'!$C:$C,N19871))</f>
        <v>0</v>
      </c>
    </row>
    <row r="19872" spans="13:16">
      <c r="M19872" s="49">
        <f>IF($A$4+198&gt;$B$4,"",$A$4+198)</f>
        <v>46221</v>
      </c>
      <c r="N19872">
        <f>IF(M19872="","",'Master Barang'!A66)</f>
        <v>0</v>
      </c>
      <c r="O19872">
        <f>IF(N19872="","",'Master Barang'!B66)</f>
        <v>0</v>
      </c>
      <c r="P19872">
        <f>IF(OR(M19872="",N19872=""),"",SUMIFS('Barang Keluar'!$E:$E,'Barang Keluar'!$A:$A,M19872,'Barang Keluar'!$C:$C,N19872))</f>
        <v>0</v>
      </c>
    </row>
    <row r="19873" spans="13:16">
      <c r="M19873" s="49">
        <f>IF($A$4+198&gt;$B$4,"",$A$4+198)</f>
        <v>46221</v>
      </c>
      <c r="N19873">
        <f>IF(M19873="","",'Master Barang'!A67)</f>
        <v>0</v>
      </c>
      <c r="O19873">
        <f>IF(N19873="","",'Master Barang'!B67)</f>
        <v>0</v>
      </c>
      <c r="P19873">
        <f>IF(OR(M19873="",N19873=""),"",SUMIFS('Barang Keluar'!$E:$E,'Barang Keluar'!$A:$A,M19873,'Barang Keluar'!$C:$C,N19873))</f>
        <v>0</v>
      </c>
    </row>
    <row r="19874" spans="13:16">
      <c r="M19874" s="49">
        <f>IF($A$4+198&gt;$B$4,"",$A$4+198)</f>
        <v>46221</v>
      </c>
      <c r="N19874">
        <f>IF(M19874="","",'Master Barang'!A68)</f>
        <v>0</v>
      </c>
      <c r="O19874">
        <f>IF(N19874="","",'Master Barang'!B68)</f>
        <v>0</v>
      </c>
      <c r="P19874">
        <f>IF(OR(M19874="",N19874=""),"",SUMIFS('Barang Keluar'!$E:$E,'Barang Keluar'!$A:$A,M19874,'Barang Keluar'!$C:$C,N19874))</f>
        <v>0</v>
      </c>
    </row>
    <row r="19875" spans="13:16">
      <c r="M19875" s="49">
        <f>IF($A$4+198&gt;$B$4,"",$A$4+198)</f>
        <v>46221</v>
      </c>
      <c r="N19875">
        <f>IF(M19875="","",'Master Barang'!A69)</f>
        <v>0</v>
      </c>
      <c r="O19875">
        <f>IF(N19875="","",'Master Barang'!B69)</f>
        <v>0</v>
      </c>
      <c r="P19875">
        <f>IF(OR(M19875="",N19875=""),"",SUMIFS('Barang Keluar'!$E:$E,'Barang Keluar'!$A:$A,M19875,'Barang Keluar'!$C:$C,N19875))</f>
        <v>0</v>
      </c>
    </row>
    <row r="19876" spans="13:16">
      <c r="M19876" s="49">
        <f>IF($A$4+198&gt;$B$4,"",$A$4+198)</f>
        <v>46221</v>
      </c>
      <c r="N19876">
        <f>IF(M19876="","",'Master Barang'!A70)</f>
        <v>0</v>
      </c>
      <c r="O19876">
        <f>IF(N19876="","",'Master Barang'!B70)</f>
        <v>0</v>
      </c>
      <c r="P19876">
        <f>IF(OR(M19876="",N19876=""),"",SUMIFS('Barang Keluar'!$E:$E,'Barang Keluar'!$A:$A,M19876,'Barang Keluar'!$C:$C,N19876))</f>
        <v>0</v>
      </c>
    </row>
    <row r="19877" spans="13:16">
      <c r="M19877" s="49">
        <f>IF($A$4+198&gt;$B$4,"",$A$4+198)</f>
        <v>46221</v>
      </c>
      <c r="N19877">
        <f>IF(M19877="","",'Master Barang'!A71)</f>
        <v>0</v>
      </c>
      <c r="O19877">
        <f>IF(N19877="","",'Master Barang'!B71)</f>
        <v>0</v>
      </c>
      <c r="P19877">
        <f>IF(OR(M19877="",N19877=""),"",SUMIFS('Barang Keluar'!$E:$E,'Barang Keluar'!$A:$A,M19877,'Barang Keluar'!$C:$C,N19877))</f>
        <v>0</v>
      </c>
    </row>
    <row r="19878" spans="13:16">
      <c r="M19878" s="49">
        <f>IF($A$4+198&gt;$B$4,"",$A$4+198)</f>
        <v>46221</v>
      </c>
      <c r="N19878">
        <f>IF(M19878="","",'Master Barang'!A72)</f>
        <v>0</v>
      </c>
      <c r="O19878">
        <f>IF(N19878="","",'Master Barang'!B72)</f>
        <v>0</v>
      </c>
      <c r="P19878">
        <f>IF(OR(M19878="",N19878=""),"",SUMIFS('Barang Keluar'!$E:$E,'Barang Keluar'!$A:$A,M19878,'Barang Keluar'!$C:$C,N19878))</f>
        <v>0</v>
      </c>
    </row>
    <row r="19879" spans="13:16">
      <c r="M19879" s="49">
        <f>IF($A$4+198&gt;$B$4,"",$A$4+198)</f>
        <v>46221</v>
      </c>
      <c r="N19879">
        <f>IF(M19879="","",'Master Barang'!A73)</f>
        <v>0</v>
      </c>
      <c r="O19879">
        <f>IF(N19879="","",'Master Barang'!B73)</f>
        <v>0</v>
      </c>
      <c r="P19879">
        <f>IF(OR(M19879="",N19879=""),"",SUMIFS('Barang Keluar'!$E:$E,'Barang Keluar'!$A:$A,M19879,'Barang Keluar'!$C:$C,N19879))</f>
        <v>0</v>
      </c>
    </row>
    <row r="19880" spans="13:16">
      <c r="M19880" s="49">
        <f>IF($A$4+198&gt;$B$4,"",$A$4+198)</f>
        <v>46221</v>
      </c>
      <c r="N19880">
        <f>IF(M19880="","",'Master Barang'!A74)</f>
        <v>0</v>
      </c>
      <c r="O19880">
        <f>IF(N19880="","",'Master Barang'!B74)</f>
        <v>0</v>
      </c>
      <c r="P19880">
        <f>IF(OR(M19880="",N19880=""),"",SUMIFS('Barang Keluar'!$E:$E,'Barang Keluar'!$A:$A,M19880,'Barang Keluar'!$C:$C,N19880))</f>
        <v>0</v>
      </c>
    </row>
    <row r="19881" spans="13:16">
      <c r="M19881" s="49">
        <f>IF($A$4+198&gt;$B$4,"",$A$4+198)</f>
        <v>46221</v>
      </c>
      <c r="N19881">
        <f>IF(M19881="","",'Master Barang'!A75)</f>
        <v>0</v>
      </c>
      <c r="O19881">
        <f>IF(N19881="","",'Master Barang'!B75)</f>
        <v>0</v>
      </c>
      <c r="P19881">
        <f>IF(OR(M19881="",N19881=""),"",SUMIFS('Barang Keluar'!$E:$E,'Barang Keluar'!$A:$A,M19881,'Barang Keluar'!$C:$C,N19881))</f>
        <v>0</v>
      </c>
    </row>
    <row r="19882" spans="13:16">
      <c r="M19882" s="49">
        <f>IF($A$4+198&gt;$B$4,"",$A$4+198)</f>
        <v>46221</v>
      </c>
      <c r="N19882">
        <f>IF(M19882="","",'Master Barang'!A76)</f>
        <v>0</v>
      </c>
      <c r="O19882">
        <f>IF(N19882="","",'Master Barang'!B76)</f>
        <v>0</v>
      </c>
      <c r="P19882">
        <f>IF(OR(M19882="",N19882=""),"",SUMIFS('Barang Keluar'!$E:$E,'Barang Keluar'!$A:$A,M19882,'Barang Keluar'!$C:$C,N19882))</f>
        <v>0</v>
      </c>
    </row>
    <row r="19883" spans="13:16">
      <c r="M19883" s="49">
        <f>IF($A$4+198&gt;$B$4,"",$A$4+198)</f>
        <v>46221</v>
      </c>
      <c r="N19883">
        <f>IF(M19883="","",'Master Barang'!A77)</f>
        <v>0</v>
      </c>
      <c r="O19883">
        <f>IF(N19883="","",'Master Barang'!B77)</f>
        <v>0</v>
      </c>
      <c r="P19883">
        <f>IF(OR(M19883="",N19883=""),"",SUMIFS('Barang Keluar'!$E:$E,'Barang Keluar'!$A:$A,M19883,'Barang Keluar'!$C:$C,N19883))</f>
        <v>0</v>
      </c>
    </row>
    <row r="19884" spans="13:16">
      <c r="M19884" s="49">
        <f>IF($A$4+198&gt;$B$4,"",$A$4+198)</f>
        <v>46221</v>
      </c>
      <c r="N19884">
        <f>IF(M19884="","",'Master Barang'!A78)</f>
        <v>0</v>
      </c>
      <c r="O19884">
        <f>IF(N19884="","",'Master Barang'!B78)</f>
        <v>0</v>
      </c>
      <c r="P19884">
        <f>IF(OR(M19884="",N19884=""),"",SUMIFS('Barang Keluar'!$E:$E,'Barang Keluar'!$A:$A,M19884,'Barang Keluar'!$C:$C,N19884))</f>
        <v>0</v>
      </c>
    </row>
    <row r="19885" spans="13:16">
      <c r="M19885" s="49">
        <f>IF($A$4+198&gt;$B$4,"",$A$4+198)</f>
        <v>46221</v>
      </c>
      <c r="N19885">
        <f>IF(M19885="","",'Master Barang'!A79)</f>
        <v>0</v>
      </c>
      <c r="O19885">
        <f>IF(N19885="","",'Master Barang'!B79)</f>
        <v>0</v>
      </c>
      <c r="P19885">
        <f>IF(OR(M19885="",N19885=""),"",SUMIFS('Barang Keluar'!$E:$E,'Barang Keluar'!$A:$A,M19885,'Barang Keluar'!$C:$C,N19885))</f>
        <v>0</v>
      </c>
    </row>
    <row r="19886" spans="13:16">
      <c r="M19886" s="49">
        <f>IF($A$4+198&gt;$B$4,"",$A$4+198)</f>
        <v>46221</v>
      </c>
      <c r="N19886">
        <f>IF(M19886="","",'Master Barang'!A80)</f>
        <v>0</v>
      </c>
      <c r="O19886">
        <f>IF(N19886="","",'Master Barang'!B80)</f>
        <v>0</v>
      </c>
      <c r="P19886">
        <f>IF(OR(M19886="",N19886=""),"",SUMIFS('Barang Keluar'!$E:$E,'Barang Keluar'!$A:$A,M19886,'Barang Keluar'!$C:$C,N19886))</f>
        <v>0</v>
      </c>
    </row>
    <row r="19887" spans="13:16">
      <c r="M19887" s="49">
        <f>IF($A$4+198&gt;$B$4,"",$A$4+198)</f>
        <v>46221</v>
      </c>
      <c r="N19887">
        <f>IF(M19887="","",'Master Barang'!A81)</f>
        <v>0</v>
      </c>
      <c r="O19887">
        <f>IF(N19887="","",'Master Barang'!B81)</f>
        <v>0</v>
      </c>
      <c r="P19887">
        <f>IF(OR(M19887="",N19887=""),"",SUMIFS('Barang Keluar'!$E:$E,'Barang Keluar'!$A:$A,M19887,'Barang Keluar'!$C:$C,N19887))</f>
        <v>0</v>
      </c>
    </row>
    <row r="19888" spans="13:16">
      <c r="M19888" s="49">
        <f>IF($A$4+198&gt;$B$4,"",$A$4+198)</f>
        <v>46221</v>
      </c>
      <c r="N19888">
        <f>IF(M19888="","",'Master Barang'!A82)</f>
        <v>0</v>
      </c>
      <c r="O19888">
        <f>IF(N19888="","",'Master Barang'!B82)</f>
        <v>0</v>
      </c>
      <c r="P19888">
        <f>IF(OR(M19888="",N19888=""),"",SUMIFS('Barang Keluar'!$E:$E,'Barang Keluar'!$A:$A,M19888,'Barang Keluar'!$C:$C,N19888))</f>
        <v>0</v>
      </c>
    </row>
    <row r="19889" spans="13:16">
      <c r="M19889" s="49">
        <f>IF($A$4+198&gt;$B$4,"",$A$4+198)</f>
        <v>46221</v>
      </c>
      <c r="N19889">
        <f>IF(M19889="","",'Master Barang'!A83)</f>
        <v>0</v>
      </c>
      <c r="O19889">
        <f>IF(N19889="","",'Master Barang'!B83)</f>
        <v>0</v>
      </c>
      <c r="P19889">
        <f>IF(OR(M19889="",N19889=""),"",SUMIFS('Barang Keluar'!$E:$E,'Barang Keluar'!$A:$A,M19889,'Barang Keluar'!$C:$C,N19889))</f>
        <v>0</v>
      </c>
    </row>
    <row r="19890" spans="13:16">
      <c r="M19890" s="49">
        <f>IF($A$4+198&gt;$B$4,"",$A$4+198)</f>
        <v>46221</v>
      </c>
      <c r="N19890">
        <f>IF(M19890="","",'Master Barang'!A84)</f>
        <v>0</v>
      </c>
      <c r="O19890">
        <f>IF(N19890="","",'Master Barang'!B84)</f>
        <v>0</v>
      </c>
      <c r="P19890">
        <f>IF(OR(M19890="",N19890=""),"",SUMIFS('Barang Keluar'!$E:$E,'Barang Keluar'!$A:$A,M19890,'Barang Keluar'!$C:$C,N19890))</f>
        <v>0</v>
      </c>
    </row>
    <row r="19891" spans="13:16">
      <c r="M19891" s="49">
        <f>IF($A$4+198&gt;$B$4,"",$A$4+198)</f>
        <v>46221</v>
      </c>
      <c r="N19891">
        <f>IF(M19891="","",'Master Barang'!A85)</f>
        <v>0</v>
      </c>
      <c r="O19891">
        <f>IF(N19891="","",'Master Barang'!B85)</f>
        <v>0</v>
      </c>
      <c r="P19891">
        <f>IF(OR(M19891="",N19891=""),"",SUMIFS('Barang Keluar'!$E:$E,'Barang Keluar'!$A:$A,M19891,'Barang Keluar'!$C:$C,N19891))</f>
        <v>0</v>
      </c>
    </row>
    <row r="19892" spans="13:16">
      <c r="M19892" s="49">
        <f>IF($A$4+198&gt;$B$4,"",$A$4+198)</f>
        <v>46221</v>
      </c>
      <c r="N19892">
        <f>IF(M19892="","",'Master Barang'!A86)</f>
        <v>0</v>
      </c>
      <c r="O19892">
        <f>IF(N19892="","",'Master Barang'!B86)</f>
        <v>0</v>
      </c>
      <c r="P19892">
        <f>IF(OR(M19892="",N19892=""),"",SUMIFS('Barang Keluar'!$E:$E,'Barang Keluar'!$A:$A,M19892,'Barang Keluar'!$C:$C,N19892))</f>
        <v>0</v>
      </c>
    </row>
    <row r="19893" spans="13:16">
      <c r="M19893" s="49">
        <f>IF($A$4+198&gt;$B$4,"",$A$4+198)</f>
        <v>46221</v>
      </c>
      <c r="N19893">
        <f>IF(M19893="","",'Master Barang'!A87)</f>
        <v>0</v>
      </c>
      <c r="O19893">
        <f>IF(N19893="","",'Master Barang'!B87)</f>
        <v>0</v>
      </c>
      <c r="P19893">
        <f>IF(OR(M19893="",N19893=""),"",SUMIFS('Barang Keluar'!$E:$E,'Barang Keluar'!$A:$A,M19893,'Barang Keluar'!$C:$C,N19893))</f>
        <v>0</v>
      </c>
    </row>
    <row r="19894" spans="13:16">
      <c r="M19894" s="49">
        <f>IF($A$4+198&gt;$B$4,"",$A$4+198)</f>
        <v>46221</v>
      </c>
      <c r="N19894">
        <f>IF(M19894="","",'Master Barang'!A88)</f>
        <v>0</v>
      </c>
      <c r="O19894">
        <f>IF(N19894="","",'Master Barang'!B88)</f>
        <v>0</v>
      </c>
      <c r="P19894">
        <f>IF(OR(M19894="",N19894=""),"",SUMIFS('Barang Keluar'!$E:$E,'Barang Keluar'!$A:$A,M19894,'Barang Keluar'!$C:$C,N19894))</f>
        <v>0</v>
      </c>
    </row>
    <row r="19895" spans="13:16">
      <c r="M19895" s="49">
        <f>IF($A$4+198&gt;$B$4,"",$A$4+198)</f>
        <v>46221</v>
      </c>
      <c r="N19895">
        <f>IF(M19895="","",'Master Barang'!A89)</f>
        <v>0</v>
      </c>
      <c r="O19895">
        <f>IF(N19895="","",'Master Barang'!B89)</f>
        <v>0</v>
      </c>
      <c r="P19895">
        <f>IF(OR(M19895="",N19895=""),"",SUMIFS('Barang Keluar'!$E:$E,'Barang Keluar'!$A:$A,M19895,'Barang Keluar'!$C:$C,N19895))</f>
        <v>0</v>
      </c>
    </row>
    <row r="19896" spans="13:16">
      <c r="M19896" s="49">
        <f>IF($A$4+198&gt;$B$4,"",$A$4+198)</f>
        <v>46221</v>
      </c>
      <c r="N19896">
        <f>IF(M19896="","",'Master Barang'!A90)</f>
        <v>0</v>
      </c>
      <c r="O19896">
        <f>IF(N19896="","",'Master Barang'!B90)</f>
        <v>0</v>
      </c>
      <c r="P19896">
        <f>IF(OR(M19896="",N19896=""),"",SUMIFS('Barang Keluar'!$E:$E,'Barang Keluar'!$A:$A,M19896,'Barang Keluar'!$C:$C,N19896))</f>
        <v>0</v>
      </c>
    </row>
    <row r="19897" spans="13:16">
      <c r="M19897" s="49">
        <f>IF($A$4+198&gt;$B$4,"",$A$4+198)</f>
        <v>46221</v>
      </c>
      <c r="N19897">
        <f>IF(M19897="","",'Master Barang'!A91)</f>
        <v>0</v>
      </c>
      <c r="O19897">
        <f>IF(N19897="","",'Master Barang'!B91)</f>
        <v>0</v>
      </c>
      <c r="P19897">
        <f>IF(OR(M19897="",N19897=""),"",SUMIFS('Barang Keluar'!$E:$E,'Barang Keluar'!$A:$A,M19897,'Barang Keluar'!$C:$C,N19897))</f>
        <v>0</v>
      </c>
    </row>
    <row r="19898" spans="13:16">
      <c r="M19898" s="49">
        <f>IF($A$4+198&gt;$B$4,"",$A$4+198)</f>
        <v>46221</v>
      </c>
      <c r="N19898">
        <f>IF(M19898="","",'Master Barang'!A92)</f>
        <v>0</v>
      </c>
      <c r="O19898">
        <f>IF(N19898="","",'Master Barang'!B92)</f>
        <v>0</v>
      </c>
      <c r="P19898">
        <f>IF(OR(M19898="",N19898=""),"",SUMIFS('Barang Keluar'!$E:$E,'Barang Keluar'!$A:$A,M19898,'Barang Keluar'!$C:$C,N19898))</f>
        <v>0</v>
      </c>
    </row>
    <row r="19899" spans="13:16">
      <c r="M19899" s="49">
        <f>IF($A$4+198&gt;$B$4,"",$A$4+198)</f>
        <v>46221</v>
      </c>
      <c r="N19899">
        <f>IF(M19899="","",'Master Barang'!A93)</f>
        <v>0</v>
      </c>
      <c r="O19899">
        <f>IF(N19899="","",'Master Barang'!B93)</f>
        <v>0</v>
      </c>
      <c r="P19899">
        <f>IF(OR(M19899="",N19899=""),"",SUMIFS('Barang Keluar'!$E:$E,'Barang Keluar'!$A:$A,M19899,'Barang Keluar'!$C:$C,N19899))</f>
        <v>0</v>
      </c>
    </row>
    <row r="19900" spans="13:16">
      <c r="M19900" s="49">
        <f>IF($A$4+198&gt;$B$4,"",$A$4+198)</f>
        <v>46221</v>
      </c>
      <c r="N19900">
        <f>IF(M19900="","",'Master Barang'!A94)</f>
        <v>0</v>
      </c>
      <c r="O19900">
        <f>IF(N19900="","",'Master Barang'!B94)</f>
        <v>0</v>
      </c>
      <c r="P19900">
        <f>IF(OR(M19900="",N19900=""),"",SUMIFS('Barang Keluar'!$E:$E,'Barang Keluar'!$A:$A,M19900,'Barang Keluar'!$C:$C,N19900))</f>
        <v>0</v>
      </c>
    </row>
    <row r="19901" spans="13:16">
      <c r="M19901" s="49">
        <f>IF($A$4+198&gt;$B$4,"",$A$4+198)</f>
        <v>46221</v>
      </c>
      <c r="N19901">
        <f>IF(M19901="","",'Master Barang'!A95)</f>
        <v>0</v>
      </c>
      <c r="O19901">
        <f>IF(N19901="","",'Master Barang'!B95)</f>
        <v>0</v>
      </c>
      <c r="P19901">
        <f>IF(OR(M19901="",N19901=""),"",SUMIFS('Barang Keluar'!$E:$E,'Barang Keluar'!$A:$A,M19901,'Barang Keluar'!$C:$C,N19901))</f>
        <v>0</v>
      </c>
    </row>
    <row r="19902" spans="13:16">
      <c r="M19902" s="49">
        <f>IF($A$4+198&gt;$B$4,"",$A$4+198)</f>
        <v>46221</v>
      </c>
      <c r="N19902">
        <f>IF(M19902="","",'Master Barang'!A96)</f>
        <v>0</v>
      </c>
      <c r="O19902">
        <f>IF(N19902="","",'Master Barang'!B96)</f>
        <v>0</v>
      </c>
      <c r="P19902">
        <f>IF(OR(M19902="",N19902=""),"",SUMIFS('Barang Keluar'!$E:$E,'Barang Keluar'!$A:$A,M19902,'Barang Keluar'!$C:$C,N19902))</f>
        <v>0</v>
      </c>
    </row>
    <row r="19903" spans="13:16">
      <c r="M19903" s="49">
        <f>IF($A$4+198&gt;$B$4,"",$A$4+198)</f>
        <v>46221</v>
      </c>
      <c r="N19903">
        <f>IF(M19903="","",'Master Barang'!A97)</f>
        <v>0</v>
      </c>
      <c r="O19903">
        <f>IF(N19903="","",'Master Barang'!B97)</f>
        <v>0</v>
      </c>
      <c r="P19903">
        <f>IF(OR(M19903="",N19903=""),"",SUMIFS('Barang Keluar'!$E:$E,'Barang Keluar'!$A:$A,M19903,'Barang Keluar'!$C:$C,N19903))</f>
        <v>0</v>
      </c>
    </row>
    <row r="19904" spans="13:16">
      <c r="M19904" s="49">
        <f>IF($A$4+198&gt;$B$4,"",$A$4+198)</f>
        <v>46221</v>
      </c>
      <c r="N19904">
        <f>IF(M19904="","",'Master Barang'!A98)</f>
        <v>0</v>
      </c>
      <c r="O19904">
        <f>IF(N19904="","",'Master Barang'!B98)</f>
        <v>0</v>
      </c>
      <c r="P19904">
        <f>IF(OR(M19904="",N19904=""),"",SUMIFS('Barang Keluar'!$E:$E,'Barang Keluar'!$A:$A,M19904,'Barang Keluar'!$C:$C,N19904))</f>
        <v>0</v>
      </c>
    </row>
    <row r="19905" spans="13:16">
      <c r="M19905" s="49">
        <f>IF($A$4+198&gt;$B$4,"",$A$4+198)</f>
        <v>46221</v>
      </c>
      <c r="N19905">
        <f>IF(M19905="","",'Master Barang'!A99)</f>
        <v>0</v>
      </c>
      <c r="O19905">
        <f>IF(N19905="","",'Master Barang'!B99)</f>
        <v>0</v>
      </c>
      <c r="P19905">
        <f>IF(OR(M19905="",N19905=""),"",SUMIFS('Barang Keluar'!$E:$E,'Barang Keluar'!$A:$A,M19905,'Barang Keluar'!$C:$C,N19905))</f>
        <v>0</v>
      </c>
    </row>
    <row r="19906" spans="13:16">
      <c r="M19906" s="49">
        <f>IF($A$4+198&gt;$B$4,"",$A$4+198)</f>
        <v>46221</v>
      </c>
      <c r="N19906">
        <f>IF(M19906="","",'Master Barang'!A100)</f>
        <v>0</v>
      </c>
      <c r="O19906">
        <f>IF(N19906="","",'Master Barang'!B100)</f>
        <v>0</v>
      </c>
      <c r="P19906">
        <f>IF(OR(M19906="",N19906=""),"",SUMIFS('Barang Keluar'!$E:$E,'Barang Keluar'!$A:$A,M19906,'Barang Keluar'!$C:$C,N19906))</f>
        <v>0</v>
      </c>
    </row>
    <row r="19907" spans="13:16">
      <c r="M19907" s="49">
        <f>IF($A$4+198&gt;$B$4,"",$A$4+198)</f>
        <v>46221</v>
      </c>
      <c r="N19907">
        <f>IF(M19907="","",'Master Barang'!A101)</f>
        <v>0</v>
      </c>
      <c r="O19907">
        <f>IF(N19907="","",'Master Barang'!B101)</f>
        <v>0</v>
      </c>
      <c r="P19907">
        <f>IF(OR(M19907="",N19907=""),"",SUMIFS('Barang Keluar'!$E:$E,'Barang Keluar'!$A:$A,M19907,'Barang Keluar'!$C:$C,N19907))</f>
        <v>0</v>
      </c>
    </row>
    <row r="19908" spans="13:16">
      <c r="M19908" s="49">
        <f>IF($A$4+199&gt;$B$4,"",$A$4+199)</f>
        <v>46222</v>
      </c>
      <c r="N19908" t="str">
        <f>IF(M19908="","",'Master Barang'!A2)</f>
        <v>PRL-001</v>
      </c>
      <c r="O19908" t="str">
        <f>IF(N19908="","",'Master Barang'!B2)</f>
        <v>natura desinfectant food grade 5l</v>
      </c>
      <c r="P19908">
        <f>IF(OR(M19908="",N19908=""),"",SUMIFS('Barang Keluar'!$E:$E,'Barang Keluar'!$A:$A,M19908,'Barang Keluar'!$C:$C,N19908))</f>
        <v>0</v>
      </c>
    </row>
    <row r="19909" spans="13:16">
      <c r="M19909" s="49">
        <f>IF($A$4+199&gt;$B$4,"",$A$4+199)</f>
        <v>46222</v>
      </c>
      <c r="N19909" t="str">
        <f>IF(M19909="","",'Master Barang'!A3)</f>
        <v>PRL-002</v>
      </c>
      <c r="O19909" t="str">
        <f>IF(N19909="","",'Master Barang'!B3)</f>
        <v>sunlight cairan pencuci piring 5l</v>
      </c>
      <c r="P19909">
        <f>IF(OR(M19909="",N19909=""),"",SUMIFS('Barang Keluar'!$E:$E,'Barang Keluar'!$A:$A,M19909,'Barang Keluar'!$C:$C,N19909))</f>
        <v>0</v>
      </c>
    </row>
    <row r="19910" spans="13:16">
      <c r="M19910" s="49">
        <f>IF($A$4+199&gt;$B$4,"",$A$4+199)</f>
        <v>46222</v>
      </c>
      <c r="N19910" t="str">
        <f>IF(M19910="","",'Master Barang'!A4)</f>
        <v>PRL-003</v>
      </c>
      <c r="O19910" t="str">
        <f>IF(N19910="","",'Master Barang'!B4)</f>
        <v>oixs cleaner 1l</v>
      </c>
      <c r="P19910">
        <f>IF(OR(M19910="",N19910=""),"",SUMIFS('Barang Keluar'!$E:$E,'Barang Keluar'!$A:$A,M19910,'Barang Keluar'!$C:$C,N19910))</f>
        <v>0</v>
      </c>
    </row>
    <row r="19911" spans="13:16">
      <c r="M19911" s="49">
        <f>IF($A$4+199&gt;$B$4,"",$A$4+199)</f>
        <v>46222</v>
      </c>
      <c r="N19911" t="str">
        <f>IF(M19911="","",'Master Barang'!A5)</f>
        <v>PRL-004</v>
      </c>
      <c r="O19911" t="str">
        <f>IF(N19911="","",'Master Barang'!B5)</f>
        <v>be clean tissue serbaguna</v>
      </c>
      <c r="P19911">
        <f>IF(OR(M19911="",N19911=""),"",SUMIFS('Barang Keluar'!$E:$E,'Barang Keluar'!$A:$A,M19911,'Barang Keluar'!$C:$C,N19911))</f>
        <v>0</v>
      </c>
    </row>
    <row r="19912" spans="13:16">
      <c r="M19912" s="49">
        <f>IF($A$4+199&gt;$B$4,"",$A$4+199)</f>
        <v>46222</v>
      </c>
      <c r="N19912" t="str">
        <f>IF(M19912="","",'Master Barang'!A6)</f>
        <v>PRL-005</v>
      </c>
      <c r="O19912" t="str">
        <f>IF(N19912="","",'Master Barang'!B6)</f>
        <v>spons cuci hijau</v>
      </c>
      <c r="P19912">
        <f>IF(OR(M19912="",N19912=""),"",SUMIFS('Barang Keluar'!$E:$E,'Barang Keluar'!$A:$A,M19912,'Barang Keluar'!$C:$C,N19912))</f>
        <v>0</v>
      </c>
    </row>
    <row r="19913" spans="13:16">
      <c r="M19913" s="49">
        <f>IF($A$4+199&gt;$B$4,"",$A$4+199)</f>
        <v>46222</v>
      </c>
      <c r="N19913" t="str">
        <f>IF(M19913="","",'Master Barang'!A7)</f>
        <v>PRL-006</v>
      </c>
      <c r="O19913" t="str">
        <f>IF(N19913="","",'Master Barang'!B7)</f>
        <v>sabut cuci stainless</v>
      </c>
      <c r="P19913">
        <f>IF(OR(M19913="",N19913=""),"",SUMIFS('Barang Keluar'!$E:$E,'Barang Keluar'!$A:$A,M19913,'Barang Keluar'!$C:$C,N19913))</f>
        <v>0</v>
      </c>
    </row>
    <row r="19914" spans="13:16">
      <c r="M19914" s="49">
        <f>IF($A$4+199&gt;$B$4,"",$A$4+199)</f>
        <v>46222</v>
      </c>
      <c r="N19914" t="str">
        <f>IF(M19914="","",'Master Barang'!A8)</f>
        <v>PRL-007</v>
      </c>
      <c r="O19914" t="str">
        <f>IF(N19914="","",'Master Barang'!B8)</f>
        <v>plastik kresek besar merah 50pc</v>
      </c>
      <c r="P19914">
        <f>IF(OR(M19914="",N19914=""),"",SUMIFS('Barang Keluar'!$E:$E,'Barang Keluar'!$A:$A,M19914,'Barang Keluar'!$C:$C,N19914))</f>
        <v>0</v>
      </c>
    </row>
    <row r="19915" spans="13:16">
      <c r="M19915" s="49">
        <f>IF($A$4+199&gt;$B$4,"",$A$4+199)</f>
        <v>46222</v>
      </c>
      <c r="N19915" t="str">
        <f>IF(M19915="","",'Master Barang'!A9)</f>
        <v>PRL-008</v>
      </c>
      <c r="O19915" t="str">
        <f>IF(N19915="","",'Master Barang'!B9)</f>
        <v>lap besar</v>
      </c>
      <c r="P19915">
        <f>IF(OR(M19915="",N19915=""),"",SUMIFS('Barang Keluar'!$E:$E,'Barang Keluar'!$A:$A,M19915,'Barang Keluar'!$C:$C,N19915))</f>
        <v>0</v>
      </c>
    </row>
    <row r="19916" spans="13:16">
      <c r="M19916" s="49">
        <f>IF($A$4+199&gt;$B$4,"",$A$4+199)</f>
        <v>46222</v>
      </c>
      <c r="N19916" t="str">
        <f>IF(M19916="","",'Master Barang'!A10)</f>
        <v>PRL-009</v>
      </c>
      <c r="O19916" t="str">
        <f>IF(N19916="","",'Master Barang'!B10)</f>
        <v>lap microfiber</v>
      </c>
      <c r="P19916">
        <f>IF(OR(M19916="",N19916=""),"",SUMIFS('Barang Keluar'!$E:$E,'Barang Keluar'!$A:$A,M19916,'Barang Keluar'!$C:$C,N19916))</f>
        <v>0</v>
      </c>
    </row>
    <row r="19917" spans="13:16">
      <c r="M19917" s="49">
        <f>IF($A$4+199&gt;$B$4,"",$A$4+199)</f>
        <v>46222</v>
      </c>
      <c r="N19917" t="str">
        <f>IF(M19917="","",'Master Barang'!A11)</f>
        <v>PRL-010</v>
      </c>
      <c r="O19917" t="str">
        <f>IF(N19917="","",'Master Barang'!B11)</f>
        <v>lap kecil</v>
      </c>
      <c r="P19917">
        <f>IF(OR(M19917="",N19917=""),"",SUMIFS('Barang Keluar'!$E:$E,'Barang Keluar'!$A:$A,M19917,'Barang Keluar'!$C:$C,N19917))</f>
        <v>0</v>
      </c>
    </row>
    <row r="19918" spans="13:16">
      <c r="M19918" s="49">
        <f>IF($A$4+199&gt;$B$4,"",$A$4+199)</f>
        <v>46222</v>
      </c>
      <c r="N19918" t="str">
        <f>IF(M19918="","",'Master Barang'!A12)</f>
        <v>PRL-011</v>
      </c>
      <c r="O19918" t="str">
        <f>IF(N19918="","",'Master Barang'!B12)</f>
        <v>kanebo kecil</v>
      </c>
      <c r="P19918">
        <f>IF(OR(M19918="",N19918=""),"",SUMIFS('Barang Keluar'!$E:$E,'Barang Keluar'!$A:$A,M19918,'Barang Keluar'!$C:$C,N19918))</f>
        <v>0</v>
      </c>
    </row>
    <row r="19919" spans="13:16">
      <c r="M19919" s="49">
        <f>IF($A$4+199&gt;$B$4,"",$A$4+199)</f>
        <v>46222</v>
      </c>
      <c r="N19919" t="str">
        <f>IF(M19919="","",'Master Barang'!A13)</f>
        <v>PRL-012</v>
      </c>
      <c r="O19919" t="str">
        <f>IF(N19919="","",'Master Barang'!B13)</f>
        <v>plastik 1/4kg joyoboyo 100 lembar</v>
      </c>
      <c r="P19919">
        <f>IF(OR(M19919="",N19919=""),"",SUMIFS('Barang Keluar'!$E:$E,'Barang Keluar'!$A:$A,M19919,'Barang Keluar'!$C:$C,N19919))</f>
        <v>0</v>
      </c>
    </row>
    <row r="19920" spans="13:16">
      <c r="M19920" s="49">
        <f>IF($A$4+199&gt;$B$4,"",$A$4+199)</f>
        <v>46222</v>
      </c>
      <c r="N19920" t="str">
        <f>IF(M19920="","",'Master Barang'!A14)</f>
        <v>PRL-013</v>
      </c>
      <c r="O19920" t="str">
        <f>IF(N19920="","",'Master Barang'!B14)</f>
        <v>sarung tangan plastik kaka 100 pcs</v>
      </c>
      <c r="P19920">
        <f>IF(OR(M19920="",N19920=""),"",SUMIFS('Barang Keluar'!$E:$E,'Barang Keluar'!$A:$A,M19920,'Barang Keluar'!$C:$C,N19920))</f>
        <v>0</v>
      </c>
    </row>
    <row r="19921" spans="13:16">
      <c r="M19921" s="49">
        <f>IF($A$4+199&gt;$B$4,"",$A$4+199)</f>
        <v>46222</v>
      </c>
      <c r="N19921" t="str">
        <f>IF(M19921="","",'Master Barang'!A15)</f>
        <v>PRL-014</v>
      </c>
      <c r="O19921" t="str">
        <f>IF(N19921="","",'Master Barang'!B15)</f>
        <v>optima trashbag 80x100</v>
      </c>
      <c r="P19921">
        <f>IF(OR(M19921="",N19921=""),"",SUMIFS('Barang Keluar'!$E:$E,'Barang Keluar'!$A:$A,M19921,'Barang Keluar'!$C:$C,N19921))</f>
        <v>0</v>
      </c>
    </row>
    <row r="19922" spans="13:16">
      <c r="M19922" s="49">
        <f>IF($A$4+199&gt;$B$4,"",$A$4+199)</f>
        <v>46222</v>
      </c>
      <c r="N19922" t="str">
        <f>IF(M19922="","",'Master Barang'!A16)</f>
        <v>PRL-015</v>
      </c>
      <c r="O19922" t="str">
        <f>IF(N19922="","",'Master Barang'!B16)</f>
        <v>optima trashbag 60x100</v>
      </c>
      <c r="P19922">
        <f>IF(OR(M19922="",N19922=""),"",SUMIFS('Barang Keluar'!$E:$E,'Barang Keluar'!$A:$A,M19922,'Barang Keluar'!$C:$C,N19922))</f>
        <v>0</v>
      </c>
    </row>
    <row r="19923" spans="13:16">
      <c r="M19923" s="49">
        <f>IF($A$4+199&gt;$B$4,"",$A$4+199)</f>
        <v>46222</v>
      </c>
      <c r="N19923" t="str">
        <f>IF(M19923="","",'Master Barang'!A17)</f>
        <v>PRL-016</v>
      </c>
      <c r="O19923" t="str">
        <f>IF(N19923="","",'Master Barang'!B17)</f>
        <v>rajawali trashbag 30x40</v>
      </c>
      <c r="P19923">
        <f>IF(OR(M19923="",N19923=""),"",SUMIFS('Barang Keluar'!$E:$E,'Barang Keluar'!$A:$A,M19923,'Barang Keluar'!$C:$C,N19923))</f>
        <v>0</v>
      </c>
    </row>
    <row r="19924" spans="13:16">
      <c r="M19924" s="49">
        <f>IF($A$4+199&gt;$B$4,"",$A$4+199)</f>
        <v>46222</v>
      </c>
      <c r="N19924" t="str">
        <f>IF(M19924="","",'Master Barang'!A18)</f>
        <v>PRL-017</v>
      </c>
      <c r="O19924" t="str">
        <f>IF(N19924="","",'Master Barang'!B18)</f>
        <v>onemed masker biru 3 play 50 pcs</v>
      </c>
      <c r="P19924">
        <f>IF(OR(M19924="",N19924=""),"",SUMIFS('Barang Keluar'!$E:$E,'Barang Keluar'!$A:$A,M19924,'Barang Keluar'!$C:$C,N19924))</f>
        <v>0</v>
      </c>
    </row>
    <row r="19925" spans="13:16">
      <c r="M19925" s="49">
        <f>IF($A$4+199&gt;$B$4,"",$A$4+199)</f>
        <v>46222</v>
      </c>
      <c r="N19925" t="str">
        <f>IF(M19925="","",'Master Barang'!A19)</f>
        <v>PRL-018</v>
      </c>
      <c r="O19925" t="str">
        <f>IF(N19925="","",'Master Barang'!B19)</f>
        <v>onemed masker biru 3 play hijab 50 pcs</v>
      </c>
      <c r="P19925">
        <f>IF(OR(M19925="",N19925=""),"",SUMIFS('Barang Keluar'!$E:$E,'Barang Keluar'!$A:$A,M19925,'Barang Keluar'!$C:$C,N19925))</f>
        <v>0</v>
      </c>
    </row>
    <row r="19926" spans="13:16">
      <c r="M19926" s="49">
        <f>IF($A$4+199&gt;$B$4,"",$A$4+199)</f>
        <v>46222</v>
      </c>
      <c r="N19926" t="str">
        <f>IF(M19926="","",'Master Barang'!A20)</f>
        <v>PRL-019</v>
      </c>
      <c r="O19926" t="str">
        <f>IF(N19926="","",'Master Barang'!B20)</f>
        <v>neo health masker biru 3 play 50 pcs</v>
      </c>
      <c r="P19926">
        <f>IF(OR(M19926="",N19926=""),"",SUMIFS('Barang Keluar'!$E:$E,'Barang Keluar'!$A:$A,M19926,'Barang Keluar'!$C:$C,N19926))</f>
        <v>0</v>
      </c>
    </row>
    <row r="19927" spans="13:16">
      <c r="M19927" s="49">
        <f>IF($A$4+199&gt;$B$4,"",$A$4+199)</f>
        <v>46222</v>
      </c>
      <c r="N19927" t="str">
        <f>IF(M19927="","",'Master Barang'!A21)</f>
        <v>PRL-020</v>
      </c>
      <c r="O19927" t="str">
        <f>IF(N19927="","",'Master Barang'!B21)</f>
        <v>baymed masker hijau 3 play hijau 50 pcs</v>
      </c>
      <c r="P19927">
        <f>IF(OR(M19927="",N19927=""),"",SUMIFS('Barang Keluar'!$E:$E,'Barang Keluar'!$A:$A,M19927,'Barang Keluar'!$C:$C,N19927))</f>
        <v>0</v>
      </c>
    </row>
    <row r="19928" spans="13:16">
      <c r="M19928" s="49">
        <f>IF($A$4+199&gt;$B$4,"",$A$4+199)</f>
        <v>46222</v>
      </c>
      <c r="N19928" t="str">
        <f>IF(M19928="","",'Master Barang'!A22)</f>
        <v>PRL-021</v>
      </c>
      <c r="O19928" t="str">
        <f>IF(N19928="","",'Master Barang'!B22)</f>
        <v>altamed nurse cap penutup kepala 100 pcs</v>
      </c>
      <c r="P19928">
        <f>IF(OR(M19928="",N19928=""),"",SUMIFS('Barang Keluar'!$E:$E,'Barang Keluar'!$A:$A,M19928,'Barang Keluar'!$C:$C,N19928))</f>
        <v>0</v>
      </c>
    </row>
    <row r="19929" spans="13:16">
      <c r="M19929" s="49">
        <f>IF($A$4+199&gt;$B$4,"",$A$4+199)</f>
        <v>46222</v>
      </c>
      <c r="N19929" t="str">
        <f>IF(M19929="","",'Master Barang'!A23)</f>
        <v>PRL-022</v>
      </c>
      <c r="O19929" t="str">
        <f>IF(N19929="","",'Master Barang'!B23)</f>
        <v>sabun cuci tangan</v>
      </c>
      <c r="P19929">
        <f>IF(OR(M19929="",N19929=""),"",SUMIFS('Barang Keluar'!$E:$E,'Barang Keluar'!$A:$A,M19929,'Barang Keluar'!$C:$C,N19929))</f>
        <v>0</v>
      </c>
    </row>
    <row r="19930" spans="13:16">
      <c r="M19930" s="49">
        <f>IF($A$4+199&gt;$B$4,"",$A$4+199)</f>
        <v>46222</v>
      </c>
      <c r="N19930" t="str">
        <f>IF(M19930="","",'Master Barang'!A24)</f>
        <v>PRL-023</v>
      </c>
      <c r="O19930" t="str">
        <f>IF(N19930="","",'Master Barang'!B24)</f>
        <v>gayung kecil</v>
      </c>
      <c r="P19930">
        <f>IF(OR(M19930="",N19930=""),"",SUMIFS('Barang Keluar'!$E:$E,'Barang Keluar'!$A:$A,M19930,'Barang Keluar'!$C:$C,N19930))</f>
        <v>0</v>
      </c>
    </row>
    <row r="19931" spans="13:16">
      <c r="M19931" s="49">
        <f>IF($A$4+199&gt;$B$4,"",$A$4+199)</f>
        <v>46222</v>
      </c>
      <c r="N19931" t="str">
        <f>IF(M19931="","",'Master Barang'!A25)</f>
        <v>PRL-024</v>
      </c>
      <c r="O19931" t="str">
        <f>IF(N19931="","",'Master Barang'!B25)</f>
        <v>cikrak kecil</v>
      </c>
      <c r="P19931">
        <f>IF(OR(M19931="",N19931=""),"",SUMIFS('Barang Keluar'!$E:$E,'Barang Keluar'!$A:$A,M19931,'Barang Keluar'!$C:$C,N19931))</f>
        <v>0</v>
      </c>
    </row>
    <row r="19932" spans="13:16">
      <c r="M19932" s="49">
        <f>IF($A$4+199&gt;$B$4,"",$A$4+199)</f>
        <v>46222</v>
      </c>
      <c r="N19932" t="str">
        <f>IF(M19932="","",'Master Barang'!A26)</f>
        <v>PRL-025</v>
      </c>
      <c r="O19932" t="str">
        <f>IF(N19932="","",'Master Barang'!B26)</f>
        <v>petromax plastik kecil 12x24 100 lembar</v>
      </c>
      <c r="P19932">
        <f>IF(OR(M19932="",N19932=""),"",SUMIFS('Barang Keluar'!$E:$E,'Barang Keluar'!$A:$A,M19932,'Barang Keluar'!$C:$C,N19932))</f>
        <v>0</v>
      </c>
    </row>
    <row r="19933" spans="13:16">
      <c r="M19933" s="49">
        <f>IF($A$4+199&gt;$B$4,"",$A$4+199)</f>
        <v>46222</v>
      </c>
      <c r="N19933" t="str">
        <f>IF(M19933="","",'Master Barang'!A27)</f>
        <v>PRL-026</v>
      </c>
      <c r="O19933" t="str">
        <f>IF(N19933="","",'Master Barang'!B27)</f>
        <v>lancar kresek kecil bening </v>
      </c>
      <c r="P19933">
        <f>IF(OR(M19933="",N19933=""),"",SUMIFS('Barang Keluar'!$E:$E,'Barang Keluar'!$A:$A,M19933,'Barang Keluar'!$C:$C,N19933))</f>
        <v>0</v>
      </c>
    </row>
    <row r="19934" spans="13:16">
      <c r="M19934" s="49">
        <f>IF($A$4+199&gt;$B$4,"",$A$4+199)</f>
        <v>46222</v>
      </c>
      <c r="N19934" t="str">
        <f>IF(M19934="","",'Master Barang'!A28)</f>
        <v>PRL-027</v>
      </c>
      <c r="O19934" t="str">
        <f>IF(N19934="","",'Master Barang'!B28)</f>
        <v>kresek klin warna warni kecil</v>
      </c>
      <c r="P19934">
        <f>IF(OR(M19934="",N19934=""),"",SUMIFS('Barang Keluar'!$E:$E,'Barang Keluar'!$A:$A,M19934,'Barang Keluar'!$C:$C,N19934))</f>
        <v>0</v>
      </c>
    </row>
    <row r="19935" spans="13:16">
      <c r="M19935" s="49">
        <f>IF($A$4+199&gt;$B$4,"",$A$4+199)</f>
        <v>46222</v>
      </c>
      <c r="N19935" t="str">
        <f>IF(M19935="","",'Master Barang'!A29)</f>
        <v>PRL-028</v>
      </c>
      <c r="O19935" t="str">
        <f>IF(N19935="","",'Master Barang'!B29)</f>
        <v>ctik plastik 7x10 100 pcs</v>
      </c>
      <c r="P19935">
        <f>IF(OR(M19935="",N19935=""),"",SUMIFS('Barang Keluar'!$E:$E,'Barang Keluar'!$A:$A,M19935,'Barang Keluar'!$C:$C,N19935))</f>
        <v>0</v>
      </c>
    </row>
    <row r="19936" spans="13:16">
      <c r="M19936" s="49">
        <f>IF($A$4+199&gt;$B$4,"",$A$4+199)</f>
        <v>46222</v>
      </c>
      <c r="N19936" t="str">
        <f>IF(M19936="","",'Master Barang'!A30)</f>
        <v>PRL-029</v>
      </c>
      <c r="O19936" t="str">
        <f>IF(N19936="","",'Master Barang'!B30)</f>
        <v>ctik plastik 6x10 100 pcs</v>
      </c>
      <c r="P19936">
        <f>IF(OR(M19936="",N19936=""),"",SUMIFS('Barang Keluar'!$E:$E,'Barang Keluar'!$A:$A,M19936,'Barang Keluar'!$C:$C,N19936))</f>
        <v>0</v>
      </c>
    </row>
    <row r="19937" spans="13:16">
      <c r="M19937" s="49">
        <f>IF($A$4+199&gt;$B$4,"",$A$4+199)</f>
        <v>46222</v>
      </c>
      <c r="N19937" t="str">
        <f>IF(M19937="","",'Master Barang'!A31)</f>
        <v>PRL-030</v>
      </c>
      <c r="O19937" t="str">
        <f>IF(N19937="","",'Master Barang'!B31)</f>
        <v>klip plastik 25x16 100 pcs</v>
      </c>
      <c r="P19937">
        <f>IF(OR(M19937="",N19937=""),"",SUMIFS('Barang Keluar'!$E:$E,'Barang Keluar'!$A:$A,M19937,'Barang Keluar'!$C:$C,N19937))</f>
        <v>0</v>
      </c>
    </row>
    <row r="19938" spans="13:16">
      <c r="M19938" s="49">
        <f>IF($A$4+199&gt;$B$4,"",$A$4+199)</f>
        <v>46222</v>
      </c>
      <c r="N19938" t="str">
        <f>IF(M19938="","",'Master Barang'!A32)</f>
        <v>PRL-031</v>
      </c>
      <c r="O19938" t="str">
        <f>IF(N19938="","",'Master Barang'!B32)</f>
        <v>tempat saus 20 ml</v>
      </c>
      <c r="P19938">
        <f>IF(OR(M19938="",N19938=""),"",SUMIFS('Barang Keluar'!$E:$E,'Barang Keluar'!$A:$A,M19938,'Barang Keluar'!$C:$C,N19938))</f>
        <v>0</v>
      </c>
    </row>
    <row r="19939" spans="13:16">
      <c r="M19939" s="49">
        <f>IF($A$4+199&gt;$B$4,"",$A$4+199)</f>
        <v>46222</v>
      </c>
      <c r="N19939" t="str">
        <f>IF(M19939="","",'Master Barang'!A33)</f>
        <v>PRL-032</v>
      </c>
      <c r="O19939" t="str">
        <f>IF(N19939="","",'Master Barang'!B33)</f>
        <v>plastik packaging ag box uk sedang</v>
      </c>
      <c r="P19939">
        <f>IF(OR(M19939="",N19939=""),"",SUMIFS('Barang Keluar'!$E:$E,'Barang Keluar'!$A:$A,M19939,'Barang Keluar'!$C:$C,N19939))</f>
        <v>0</v>
      </c>
    </row>
    <row r="19940" spans="13:16">
      <c r="M19940" s="49">
        <f>IF($A$4+199&gt;$B$4,"",$A$4+199)</f>
        <v>46222</v>
      </c>
      <c r="N19940" t="str">
        <f>IF(M19940="","",'Master Barang'!A34)</f>
        <v>PRL-033</v>
      </c>
      <c r="O19940">
        <f>IF(N19940="","",'Master Barang'!B34)</f>
        <v>0</v>
      </c>
      <c r="P19940">
        <f>IF(OR(M19940="",N19940=""),"",SUMIFS('Barang Keluar'!$E:$E,'Barang Keluar'!$A:$A,M19940,'Barang Keluar'!$C:$C,N19940))</f>
        <v>0</v>
      </c>
    </row>
    <row r="19941" spans="13:16">
      <c r="M19941" s="49">
        <f>IF($A$4+199&gt;$B$4,"",$A$4+199)</f>
        <v>46222</v>
      </c>
      <c r="N19941">
        <f>IF(M19941="","",'Master Barang'!A35)</f>
        <v>0</v>
      </c>
      <c r="O19941">
        <f>IF(N19941="","",'Master Barang'!B35)</f>
        <v>0</v>
      </c>
      <c r="P19941">
        <f>IF(OR(M19941="",N19941=""),"",SUMIFS('Barang Keluar'!$E:$E,'Barang Keluar'!$A:$A,M19941,'Barang Keluar'!$C:$C,N19941))</f>
        <v>0</v>
      </c>
    </row>
    <row r="19942" spans="13:16">
      <c r="M19942" s="49">
        <f>IF($A$4+199&gt;$B$4,"",$A$4+199)</f>
        <v>46222</v>
      </c>
      <c r="N19942">
        <f>IF(M19942="","",'Master Barang'!A36)</f>
        <v>0</v>
      </c>
      <c r="O19942">
        <f>IF(N19942="","",'Master Barang'!B36)</f>
        <v>0</v>
      </c>
      <c r="P19942">
        <f>IF(OR(M19942="",N19942=""),"",SUMIFS('Barang Keluar'!$E:$E,'Barang Keluar'!$A:$A,M19942,'Barang Keluar'!$C:$C,N19942))</f>
        <v>0</v>
      </c>
    </row>
    <row r="19943" spans="13:16">
      <c r="M19943" s="49">
        <f>IF($A$4+199&gt;$B$4,"",$A$4+199)</f>
        <v>46222</v>
      </c>
      <c r="N19943">
        <f>IF(M19943="","",'Master Barang'!A37)</f>
        <v>0</v>
      </c>
      <c r="O19943">
        <f>IF(N19943="","",'Master Barang'!B37)</f>
        <v>0</v>
      </c>
      <c r="P19943">
        <f>IF(OR(M19943="",N19943=""),"",SUMIFS('Barang Keluar'!$E:$E,'Barang Keluar'!$A:$A,M19943,'Barang Keluar'!$C:$C,N19943))</f>
        <v>0</v>
      </c>
    </row>
    <row r="19944" spans="13:16">
      <c r="M19944" s="49">
        <f>IF($A$4+199&gt;$B$4,"",$A$4+199)</f>
        <v>46222</v>
      </c>
      <c r="N19944">
        <f>IF(M19944="","",'Master Barang'!A38)</f>
        <v>0</v>
      </c>
      <c r="O19944">
        <f>IF(N19944="","",'Master Barang'!B38)</f>
        <v>0</v>
      </c>
      <c r="P19944">
        <f>IF(OR(M19944="",N19944=""),"",SUMIFS('Barang Keluar'!$E:$E,'Barang Keluar'!$A:$A,M19944,'Barang Keluar'!$C:$C,N19944))</f>
        <v>0</v>
      </c>
    </row>
    <row r="19945" spans="13:16">
      <c r="M19945" s="49">
        <f>IF($A$4+199&gt;$B$4,"",$A$4+199)</f>
        <v>46222</v>
      </c>
      <c r="N19945">
        <f>IF(M19945="","",'Master Barang'!A39)</f>
        <v>0</v>
      </c>
      <c r="O19945">
        <f>IF(N19945="","",'Master Barang'!B39)</f>
        <v>0</v>
      </c>
      <c r="P19945">
        <f>IF(OR(M19945="",N19945=""),"",SUMIFS('Barang Keluar'!$E:$E,'Barang Keluar'!$A:$A,M19945,'Barang Keluar'!$C:$C,N19945))</f>
        <v>0</v>
      </c>
    </row>
    <row r="19946" spans="13:16">
      <c r="M19946" s="49">
        <f>IF($A$4+199&gt;$B$4,"",$A$4+199)</f>
        <v>46222</v>
      </c>
      <c r="N19946">
        <f>IF(M19946="","",'Master Barang'!A40)</f>
        <v>0</v>
      </c>
      <c r="O19946">
        <f>IF(N19946="","",'Master Barang'!B40)</f>
        <v>0</v>
      </c>
      <c r="P19946">
        <f>IF(OR(M19946="",N19946=""),"",SUMIFS('Barang Keluar'!$E:$E,'Barang Keluar'!$A:$A,M19946,'Barang Keluar'!$C:$C,N19946))</f>
        <v>0</v>
      </c>
    </row>
    <row r="19947" spans="13:16">
      <c r="M19947" s="49">
        <f>IF($A$4+199&gt;$B$4,"",$A$4+199)</f>
        <v>46222</v>
      </c>
      <c r="N19947">
        <f>IF(M19947="","",'Master Barang'!A41)</f>
        <v>0</v>
      </c>
      <c r="O19947">
        <f>IF(N19947="","",'Master Barang'!B41)</f>
        <v>0</v>
      </c>
      <c r="P19947">
        <f>IF(OR(M19947="",N19947=""),"",SUMIFS('Barang Keluar'!$E:$E,'Barang Keluar'!$A:$A,M19947,'Barang Keluar'!$C:$C,N19947))</f>
        <v>0</v>
      </c>
    </row>
    <row r="19948" spans="13:16">
      <c r="M19948" s="49">
        <f>IF($A$4+199&gt;$B$4,"",$A$4+199)</f>
        <v>46222</v>
      </c>
      <c r="N19948">
        <f>IF(M19948="","",'Master Barang'!A42)</f>
        <v>0</v>
      </c>
      <c r="O19948">
        <f>IF(N19948="","",'Master Barang'!B42)</f>
        <v>0</v>
      </c>
      <c r="P19948">
        <f>IF(OR(M19948="",N19948=""),"",SUMIFS('Barang Keluar'!$E:$E,'Barang Keluar'!$A:$A,M19948,'Barang Keluar'!$C:$C,N19948))</f>
        <v>0</v>
      </c>
    </row>
    <row r="19949" spans="13:16">
      <c r="M19949" s="49">
        <f>IF($A$4+199&gt;$B$4,"",$A$4+199)</f>
        <v>46222</v>
      </c>
      <c r="N19949">
        <f>IF(M19949="","",'Master Barang'!A43)</f>
        <v>0</v>
      </c>
      <c r="O19949">
        <f>IF(N19949="","",'Master Barang'!B43)</f>
        <v>0</v>
      </c>
      <c r="P19949">
        <f>IF(OR(M19949="",N19949=""),"",SUMIFS('Barang Keluar'!$E:$E,'Barang Keluar'!$A:$A,M19949,'Barang Keluar'!$C:$C,N19949))</f>
        <v>0</v>
      </c>
    </row>
    <row r="19950" spans="13:16">
      <c r="M19950" s="49">
        <f>IF($A$4+199&gt;$B$4,"",$A$4+199)</f>
        <v>46222</v>
      </c>
      <c r="N19950">
        <f>IF(M19950="","",'Master Barang'!A44)</f>
        <v>0</v>
      </c>
      <c r="O19950">
        <f>IF(N19950="","",'Master Barang'!B44)</f>
        <v>0</v>
      </c>
      <c r="P19950">
        <f>IF(OR(M19950="",N19950=""),"",SUMIFS('Barang Keluar'!$E:$E,'Barang Keluar'!$A:$A,M19950,'Barang Keluar'!$C:$C,N19950))</f>
        <v>0</v>
      </c>
    </row>
    <row r="19951" spans="13:16">
      <c r="M19951" s="49">
        <f>IF($A$4+199&gt;$B$4,"",$A$4+199)</f>
        <v>46222</v>
      </c>
      <c r="N19951">
        <f>IF(M19951="","",'Master Barang'!A45)</f>
        <v>0</v>
      </c>
      <c r="O19951">
        <f>IF(N19951="","",'Master Barang'!B45)</f>
        <v>0</v>
      </c>
      <c r="P19951">
        <f>IF(OR(M19951="",N19951=""),"",SUMIFS('Barang Keluar'!$E:$E,'Barang Keluar'!$A:$A,M19951,'Barang Keluar'!$C:$C,N19951))</f>
        <v>0</v>
      </c>
    </row>
    <row r="19952" spans="13:16">
      <c r="M19952" s="49">
        <f>IF($A$4+199&gt;$B$4,"",$A$4+199)</f>
        <v>46222</v>
      </c>
      <c r="N19952">
        <f>IF(M19952="","",'Master Barang'!A46)</f>
        <v>0</v>
      </c>
      <c r="O19952">
        <f>IF(N19952="","",'Master Barang'!B46)</f>
        <v>0</v>
      </c>
      <c r="P19952">
        <f>IF(OR(M19952="",N19952=""),"",SUMIFS('Barang Keluar'!$E:$E,'Barang Keluar'!$A:$A,M19952,'Barang Keluar'!$C:$C,N19952))</f>
        <v>0</v>
      </c>
    </row>
    <row r="19953" spans="13:16">
      <c r="M19953" s="49">
        <f>IF($A$4+199&gt;$B$4,"",$A$4+199)</f>
        <v>46222</v>
      </c>
      <c r="N19953">
        <f>IF(M19953="","",'Master Barang'!A47)</f>
        <v>0</v>
      </c>
      <c r="O19953">
        <f>IF(N19953="","",'Master Barang'!B47)</f>
        <v>0</v>
      </c>
      <c r="P19953">
        <f>IF(OR(M19953="",N19953=""),"",SUMIFS('Barang Keluar'!$E:$E,'Barang Keluar'!$A:$A,M19953,'Barang Keluar'!$C:$C,N19953))</f>
        <v>0</v>
      </c>
    </row>
    <row r="19954" spans="13:16">
      <c r="M19954" s="49">
        <f>IF($A$4+199&gt;$B$4,"",$A$4+199)</f>
        <v>46222</v>
      </c>
      <c r="N19954">
        <f>IF(M19954="","",'Master Barang'!A48)</f>
        <v>0</v>
      </c>
      <c r="O19954">
        <f>IF(N19954="","",'Master Barang'!B48)</f>
        <v>0</v>
      </c>
      <c r="P19954">
        <f>IF(OR(M19954="",N19954=""),"",SUMIFS('Barang Keluar'!$E:$E,'Barang Keluar'!$A:$A,M19954,'Barang Keluar'!$C:$C,N19954))</f>
        <v>0</v>
      </c>
    </row>
    <row r="19955" spans="13:16">
      <c r="M19955" s="49">
        <f>IF($A$4+199&gt;$B$4,"",$A$4+199)</f>
        <v>46222</v>
      </c>
      <c r="N19955">
        <f>IF(M19955="","",'Master Barang'!A49)</f>
        <v>0</v>
      </c>
      <c r="O19955">
        <f>IF(N19955="","",'Master Barang'!B49)</f>
        <v>0</v>
      </c>
      <c r="P19955">
        <f>IF(OR(M19955="",N19955=""),"",SUMIFS('Barang Keluar'!$E:$E,'Barang Keluar'!$A:$A,M19955,'Barang Keluar'!$C:$C,N19955))</f>
        <v>0</v>
      </c>
    </row>
    <row r="19956" spans="13:16">
      <c r="M19956" s="49">
        <f>IF($A$4+199&gt;$B$4,"",$A$4+199)</f>
        <v>46222</v>
      </c>
      <c r="N19956">
        <f>IF(M19956="","",'Master Barang'!A50)</f>
        <v>0</v>
      </c>
      <c r="O19956">
        <f>IF(N19956="","",'Master Barang'!B50)</f>
        <v>0</v>
      </c>
      <c r="P19956">
        <f>IF(OR(M19956="",N19956=""),"",SUMIFS('Barang Keluar'!$E:$E,'Barang Keluar'!$A:$A,M19956,'Barang Keluar'!$C:$C,N19956))</f>
        <v>0</v>
      </c>
    </row>
    <row r="19957" spans="13:16">
      <c r="M19957" s="49">
        <f>IF($A$4+199&gt;$B$4,"",$A$4+199)</f>
        <v>46222</v>
      </c>
      <c r="N19957">
        <f>IF(M19957="","",'Master Barang'!A51)</f>
        <v>0</v>
      </c>
      <c r="O19957">
        <f>IF(N19957="","",'Master Barang'!B51)</f>
        <v>0</v>
      </c>
      <c r="P19957">
        <f>IF(OR(M19957="",N19957=""),"",SUMIFS('Barang Keluar'!$E:$E,'Barang Keluar'!$A:$A,M19957,'Barang Keluar'!$C:$C,N19957))</f>
        <v>0</v>
      </c>
    </row>
    <row r="19958" spans="13:16">
      <c r="M19958" s="49">
        <f>IF($A$4+199&gt;$B$4,"",$A$4+199)</f>
        <v>46222</v>
      </c>
      <c r="N19958">
        <f>IF(M19958="","",'Master Barang'!A52)</f>
        <v>0</v>
      </c>
      <c r="O19958">
        <f>IF(N19958="","",'Master Barang'!B52)</f>
        <v>0</v>
      </c>
      <c r="P19958">
        <f>IF(OR(M19958="",N19958=""),"",SUMIFS('Barang Keluar'!$E:$E,'Barang Keluar'!$A:$A,M19958,'Barang Keluar'!$C:$C,N19958))</f>
        <v>0</v>
      </c>
    </row>
    <row r="19959" spans="13:16">
      <c r="M19959" s="49">
        <f>IF($A$4+199&gt;$B$4,"",$A$4+199)</f>
        <v>46222</v>
      </c>
      <c r="N19959">
        <f>IF(M19959="","",'Master Barang'!A53)</f>
        <v>0</v>
      </c>
      <c r="O19959">
        <f>IF(N19959="","",'Master Barang'!B53)</f>
        <v>0</v>
      </c>
      <c r="P19959">
        <f>IF(OR(M19959="",N19959=""),"",SUMIFS('Barang Keluar'!$E:$E,'Barang Keluar'!$A:$A,M19959,'Barang Keluar'!$C:$C,N19959))</f>
        <v>0</v>
      </c>
    </row>
    <row r="19960" spans="13:16">
      <c r="M19960" s="49">
        <f>IF($A$4+199&gt;$B$4,"",$A$4+199)</f>
        <v>46222</v>
      </c>
      <c r="N19960">
        <f>IF(M19960="","",'Master Barang'!A54)</f>
        <v>0</v>
      </c>
      <c r="O19960">
        <f>IF(N19960="","",'Master Barang'!B54)</f>
        <v>0</v>
      </c>
      <c r="P19960">
        <f>IF(OR(M19960="",N19960=""),"",SUMIFS('Barang Keluar'!$E:$E,'Barang Keluar'!$A:$A,M19960,'Barang Keluar'!$C:$C,N19960))</f>
        <v>0</v>
      </c>
    </row>
    <row r="19961" spans="13:16">
      <c r="M19961" s="49">
        <f>IF($A$4+199&gt;$B$4,"",$A$4+199)</f>
        <v>46222</v>
      </c>
      <c r="N19961">
        <f>IF(M19961="","",'Master Barang'!A55)</f>
        <v>0</v>
      </c>
      <c r="O19961">
        <f>IF(N19961="","",'Master Barang'!B55)</f>
        <v>0</v>
      </c>
      <c r="P19961">
        <f>IF(OR(M19961="",N19961=""),"",SUMIFS('Barang Keluar'!$E:$E,'Barang Keluar'!$A:$A,M19961,'Barang Keluar'!$C:$C,N19961))</f>
        <v>0</v>
      </c>
    </row>
    <row r="19962" spans="13:16">
      <c r="M19962" s="49">
        <f>IF($A$4+199&gt;$B$4,"",$A$4+199)</f>
        <v>46222</v>
      </c>
      <c r="N19962">
        <f>IF(M19962="","",'Master Barang'!A56)</f>
        <v>0</v>
      </c>
      <c r="O19962">
        <f>IF(N19962="","",'Master Barang'!B56)</f>
        <v>0</v>
      </c>
      <c r="P19962">
        <f>IF(OR(M19962="",N19962=""),"",SUMIFS('Barang Keluar'!$E:$E,'Barang Keluar'!$A:$A,M19962,'Barang Keluar'!$C:$C,N19962))</f>
        <v>0</v>
      </c>
    </row>
    <row r="19963" spans="13:16">
      <c r="M19963" s="49">
        <f>IF($A$4+199&gt;$B$4,"",$A$4+199)</f>
        <v>46222</v>
      </c>
      <c r="N19963">
        <f>IF(M19963="","",'Master Barang'!A57)</f>
        <v>0</v>
      </c>
      <c r="O19963">
        <f>IF(N19963="","",'Master Barang'!B57)</f>
        <v>0</v>
      </c>
      <c r="P19963">
        <f>IF(OR(M19963="",N19963=""),"",SUMIFS('Barang Keluar'!$E:$E,'Barang Keluar'!$A:$A,M19963,'Barang Keluar'!$C:$C,N19963))</f>
        <v>0</v>
      </c>
    </row>
    <row r="19964" spans="13:16">
      <c r="M19964" s="49">
        <f>IF($A$4+199&gt;$B$4,"",$A$4+199)</f>
        <v>46222</v>
      </c>
      <c r="N19964">
        <f>IF(M19964="","",'Master Barang'!A58)</f>
        <v>0</v>
      </c>
      <c r="O19964">
        <f>IF(N19964="","",'Master Barang'!B58)</f>
        <v>0</v>
      </c>
      <c r="P19964">
        <f>IF(OR(M19964="",N19964=""),"",SUMIFS('Barang Keluar'!$E:$E,'Barang Keluar'!$A:$A,M19964,'Barang Keluar'!$C:$C,N19964))</f>
        <v>0</v>
      </c>
    </row>
    <row r="19965" spans="13:16">
      <c r="M19965" s="49">
        <f>IF($A$4+199&gt;$B$4,"",$A$4+199)</f>
        <v>46222</v>
      </c>
      <c r="N19965">
        <f>IF(M19965="","",'Master Barang'!A59)</f>
        <v>0</v>
      </c>
      <c r="O19965">
        <f>IF(N19965="","",'Master Barang'!B59)</f>
        <v>0</v>
      </c>
      <c r="P19965">
        <f>IF(OR(M19965="",N19965=""),"",SUMIFS('Barang Keluar'!$E:$E,'Barang Keluar'!$A:$A,M19965,'Barang Keluar'!$C:$C,N19965))</f>
        <v>0</v>
      </c>
    </row>
    <row r="19966" spans="13:16">
      <c r="M19966" s="49">
        <f>IF($A$4+199&gt;$B$4,"",$A$4+199)</f>
        <v>46222</v>
      </c>
      <c r="N19966">
        <f>IF(M19966="","",'Master Barang'!A60)</f>
        <v>0</v>
      </c>
      <c r="O19966">
        <f>IF(N19966="","",'Master Barang'!B60)</f>
        <v>0</v>
      </c>
      <c r="P19966">
        <f>IF(OR(M19966="",N19966=""),"",SUMIFS('Barang Keluar'!$E:$E,'Barang Keluar'!$A:$A,M19966,'Barang Keluar'!$C:$C,N19966))</f>
        <v>0</v>
      </c>
    </row>
    <row r="19967" spans="13:16">
      <c r="M19967" s="49">
        <f>IF($A$4+199&gt;$B$4,"",$A$4+199)</f>
        <v>46222</v>
      </c>
      <c r="N19967">
        <f>IF(M19967="","",'Master Barang'!A61)</f>
        <v>0</v>
      </c>
      <c r="O19967">
        <f>IF(N19967="","",'Master Barang'!B61)</f>
        <v>0</v>
      </c>
      <c r="P19967">
        <f>IF(OR(M19967="",N19967=""),"",SUMIFS('Barang Keluar'!$E:$E,'Barang Keluar'!$A:$A,M19967,'Barang Keluar'!$C:$C,N19967))</f>
        <v>0</v>
      </c>
    </row>
    <row r="19968" spans="13:16">
      <c r="M19968" s="49">
        <f>IF($A$4+199&gt;$B$4,"",$A$4+199)</f>
        <v>46222</v>
      </c>
      <c r="N19968">
        <f>IF(M19968="","",'Master Barang'!A62)</f>
        <v>0</v>
      </c>
      <c r="O19968">
        <f>IF(N19968="","",'Master Barang'!B62)</f>
        <v>0</v>
      </c>
      <c r="P19968">
        <f>IF(OR(M19968="",N19968=""),"",SUMIFS('Barang Keluar'!$E:$E,'Barang Keluar'!$A:$A,M19968,'Barang Keluar'!$C:$C,N19968))</f>
        <v>0</v>
      </c>
    </row>
    <row r="19969" spans="13:16">
      <c r="M19969" s="49">
        <f>IF($A$4+199&gt;$B$4,"",$A$4+199)</f>
        <v>46222</v>
      </c>
      <c r="N19969">
        <f>IF(M19969="","",'Master Barang'!A63)</f>
        <v>0</v>
      </c>
      <c r="O19969">
        <f>IF(N19969="","",'Master Barang'!B63)</f>
        <v>0</v>
      </c>
      <c r="P19969">
        <f>IF(OR(M19969="",N19969=""),"",SUMIFS('Barang Keluar'!$E:$E,'Barang Keluar'!$A:$A,M19969,'Barang Keluar'!$C:$C,N19969))</f>
        <v>0</v>
      </c>
    </row>
    <row r="19970" spans="13:16">
      <c r="M19970" s="49">
        <f>IF($A$4+199&gt;$B$4,"",$A$4+199)</f>
        <v>46222</v>
      </c>
      <c r="N19970">
        <f>IF(M19970="","",'Master Barang'!A64)</f>
        <v>0</v>
      </c>
      <c r="O19970">
        <f>IF(N19970="","",'Master Barang'!B64)</f>
        <v>0</v>
      </c>
      <c r="P19970">
        <f>IF(OR(M19970="",N19970=""),"",SUMIFS('Barang Keluar'!$E:$E,'Barang Keluar'!$A:$A,M19970,'Barang Keluar'!$C:$C,N19970))</f>
        <v>0</v>
      </c>
    </row>
    <row r="19971" spans="13:16">
      <c r="M19971" s="49">
        <f>IF($A$4+199&gt;$B$4,"",$A$4+199)</f>
        <v>46222</v>
      </c>
      <c r="N19971">
        <f>IF(M19971="","",'Master Barang'!A65)</f>
        <v>0</v>
      </c>
      <c r="O19971">
        <f>IF(N19971="","",'Master Barang'!B65)</f>
        <v>0</v>
      </c>
      <c r="P19971">
        <f>IF(OR(M19971="",N19971=""),"",SUMIFS('Barang Keluar'!$E:$E,'Barang Keluar'!$A:$A,M19971,'Barang Keluar'!$C:$C,N19971))</f>
        <v>0</v>
      </c>
    </row>
    <row r="19972" spans="13:16">
      <c r="M19972" s="49">
        <f>IF($A$4+199&gt;$B$4,"",$A$4+199)</f>
        <v>46222</v>
      </c>
      <c r="N19972">
        <f>IF(M19972="","",'Master Barang'!A66)</f>
        <v>0</v>
      </c>
      <c r="O19972">
        <f>IF(N19972="","",'Master Barang'!B66)</f>
        <v>0</v>
      </c>
      <c r="P19972">
        <f>IF(OR(M19972="",N19972=""),"",SUMIFS('Barang Keluar'!$E:$E,'Barang Keluar'!$A:$A,M19972,'Barang Keluar'!$C:$C,N19972))</f>
        <v>0</v>
      </c>
    </row>
    <row r="19973" spans="13:16">
      <c r="M19973" s="49">
        <f>IF($A$4+199&gt;$B$4,"",$A$4+199)</f>
        <v>46222</v>
      </c>
      <c r="N19973">
        <f>IF(M19973="","",'Master Barang'!A67)</f>
        <v>0</v>
      </c>
      <c r="O19973">
        <f>IF(N19973="","",'Master Barang'!B67)</f>
        <v>0</v>
      </c>
      <c r="P19973">
        <f>IF(OR(M19973="",N19973=""),"",SUMIFS('Barang Keluar'!$E:$E,'Barang Keluar'!$A:$A,M19973,'Barang Keluar'!$C:$C,N19973))</f>
        <v>0</v>
      </c>
    </row>
    <row r="19974" spans="13:16">
      <c r="M19974" s="49">
        <f>IF($A$4+199&gt;$B$4,"",$A$4+199)</f>
        <v>46222</v>
      </c>
      <c r="N19974">
        <f>IF(M19974="","",'Master Barang'!A68)</f>
        <v>0</v>
      </c>
      <c r="O19974">
        <f>IF(N19974="","",'Master Barang'!B68)</f>
        <v>0</v>
      </c>
      <c r="P19974">
        <f>IF(OR(M19974="",N19974=""),"",SUMIFS('Barang Keluar'!$E:$E,'Barang Keluar'!$A:$A,M19974,'Barang Keluar'!$C:$C,N19974))</f>
        <v>0</v>
      </c>
    </row>
    <row r="19975" spans="13:16">
      <c r="M19975" s="49">
        <f>IF($A$4+199&gt;$B$4,"",$A$4+199)</f>
        <v>46222</v>
      </c>
      <c r="N19975">
        <f>IF(M19975="","",'Master Barang'!A69)</f>
        <v>0</v>
      </c>
      <c r="O19975">
        <f>IF(N19975="","",'Master Barang'!B69)</f>
        <v>0</v>
      </c>
      <c r="P19975">
        <f>IF(OR(M19975="",N19975=""),"",SUMIFS('Barang Keluar'!$E:$E,'Barang Keluar'!$A:$A,M19975,'Barang Keluar'!$C:$C,N19975))</f>
        <v>0</v>
      </c>
    </row>
    <row r="19976" spans="13:16">
      <c r="M19976" s="49">
        <f>IF($A$4+199&gt;$B$4,"",$A$4+199)</f>
        <v>46222</v>
      </c>
      <c r="N19976">
        <f>IF(M19976="","",'Master Barang'!A70)</f>
        <v>0</v>
      </c>
      <c r="O19976">
        <f>IF(N19976="","",'Master Barang'!B70)</f>
        <v>0</v>
      </c>
      <c r="P19976">
        <f>IF(OR(M19976="",N19976=""),"",SUMIFS('Barang Keluar'!$E:$E,'Barang Keluar'!$A:$A,M19976,'Barang Keluar'!$C:$C,N19976))</f>
        <v>0</v>
      </c>
    </row>
    <row r="19977" spans="13:16">
      <c r="M19977" s="49">
        <f>IF($A$4+199&gt;$B$4,"",$A$4+199)</f>
        <v>46222</v>
      </c>
      <c r="N19977">
        <f>IF(M19977="","",'Master Barang'!A71)</f>
        <v>0</v>
      </c>
      <c r="O19977">
        <f>IF(N19977="","",'Master Barang'!B71)</f>
        <v>0</v>
      </c>
      <c r="P19977">
        <f>IF(OR(M19977="",N19977=""),"",SUMIFS('Barang Keluar'!$E:$E,'Barang Keluar'!$A:$A,M19977,'Barang Keluar'!$C:$C,N19977))</f>
        <v>0</v>
      </c>
    </row>
    <row r="19978" spans="13:16">
      <c r="M19978" s="49">
        <f>IF($A$4+199&gt;$B$4,"",$A$4+199)</f>
        <v>46222</v>
      </c>
      <c r="N19978">
        <f>IF(M19978="","",'Master Barang'!A72)</f>
        <v>0</v>
      </c>
      <c r="O19978">
        <f>IF(N19978="","",'Master Barang'!B72)</f>
        <v>0</v>
      </c>
      <c r="P19978">
        <f>IF(OR(M19978="",N19978=""),"",SUMIFS('Barang Keluar'!$E:$E,'Barang Keluar'!$A:$A,M19978,'Barang Keluar'!$C:$C,N19978))</f>
        <v>0</v>
      </c>
    </row>
    <row r="19979" spans="13:16">
      <c r="M19979" s="49">
        <f>IF($A$4+199&gt;$B$4,"",$A$4+199)</f>
        <v>46222</v>
      </c>
      <c r="N19979">
        <f>IF(M19979="","",'Master Barang'!A73)</f>
        <v>0</v>
      </c>
      <c r="O19979">
        <f>IF(N19979="","",'Master Barang'!B73)</f>
        <v>0</v>
      </c>
      <c r="P19979">
        <f>IF(OR(M19979="",N19979=""),"",SUMIFS('Barang Keluar'!$E:$E,'Barang Keluar'!$A:$A,M19979,'Barang Keluar'!$C:$C,N19979))</f>
        <v>0</v>
      </c>
    </row>
    <row r="19980" spans="13:16">
      <c r="M19980" s="49">
        <f>IF($A$4+199&gt;$B$4,"",$A$4+199)</f>
        <v>46222</v>
      </c>
      <c r="N19980">
        <f>IF(M19980="","",'Master Barang'!A74)</f>
        <v>0</v>
      </c>
      <c r="O19980">
        <f>IF(N19980="","",'Master Barang'!B74)</f>
        <v>0</v>
      </c>
      <c r="P19980">
        <f>IF(OR(M19980="",N19980=""),"",SUMIFS('Barang Keluar'!$E:$E,'Barang Keluar'!$A:$A,M19980,'Barang Keluar'!$C:$C,N19980))</f>
        <v>0</v>
      </c>
    </row>
    <row r="19981" spans="13:16">
      <c r="M19981" s="49">
        <f>IF($A$4+199&gt;$B$4,"",$A$4+199)</f>
        <v>46222</v>
      </c>
      <c r="N19981">
        <f>IF(M19981="","",'Master Barang'!A75)</f>
        <v>0</v>
      </c>
      <c r="O19981">
        <f>IF(N19981="","",'Master Barang'!B75)</f>
        <v>0</v>
      </c>
      <c r="P19981">
        <f>IF(OR(M19981="",N19981=""),"",SUMIFS('Barang Keluar'!$E:$E,'Barang Keluar'!$A:$A,M19981,'Barang Keluar'!$C:$C,N19981))</f>
        <v>0</v>
      </c>
    </row>
    <row r="19982" spans="13:16">
      <c r="M19982" s="49">
        <f>IF($A$4+199&gt;$B$4,"",$A$4+199)</f>
        <v>46222</v>
      </c>
      <c r="N19982">
        <f>IF(M19982="","",'Master Barang'!A76)</f>
        <v>0</v>
      </c>
      <c r="O19982">
        <f>IF(N19982="","",'Master Barang'!B76)</f>
        <v>0</v>
      </c>
      <c r="P19982">
        <f>IF(OR(M19982="",N19982=""),"",SUMIFS('Barang Keluar'!$E:$E,'Barang Keluar'!$A:$A,M19982,'Barang Keluar'!$C:$C,N19982))</f>
        <v>0</v>
      </c>
    </row>
    <row r="19983" spans="13:16">
      <c r="M19983" s="49">
        <f>IF($A$4+199&gt;$B$4,"",$A$4+199)</f>
        <v>46222</v>
      </c>
      <c r="N19983">
        <f>IF(M19983="","",'Master Barang'!A77)</f>
        <v>0</v>
      </c>
      <c r="O19983">
        <f>IF(N19983="","",'Master Barang'!B77)</f>
        <v>0</v>
      </c>
      <c r="P19983">
        <f>IF(OR(M19983="",N19983=""),"",SUMIFS('Barang Keluar'!$E:$E,'Barang Keluar'!$A:$A,M19983,'Barang Keluar'!$C:$C,N19983))</f>
        <v>0</v>
      </c>
    </row>
    <row r="19984" spans="13:16">
      <c r="M19984" s="49">
        <f>IF($A$4+199&gt;$B$4,"",$A$4+199)</f>
        <v>46222</v>
      </c>
      <c r="N19984">
        <f>IF(M19984="","",'Master Barang'!A78)</f>
        <v>0</v>
      </c>
      <c r="O19984">
        <f>IF(N19984="","",'Master Barang'!B78)</f>
        <v>0</v>
      </c>
      <c r="P19984">
        <f>IF(OR(M19984="",N19984=""),"",SUMIFS('Barang Keluar'!$E:$E,'Barang Keluar'!$A:$A,M19984,'Barang Keluar'!$C:$C,N19984))</f>
        <v>0</v>
      </c>
    </row>
    <row r="19985" spans="13:16">
      <c r="M19985" s="49">
        <f>IF($A$4+199&gt;$B$4,"",$A$4+199)</f>
        <v>46222</v>
      </c>
      <c r="N19985">
        <f>IF(M19985="","",'Master Barang'!A79)</f>
        <v>0</v>
      </c>
      <c r="O19985">
        <f>IF(N19985="","",'Master Barang'!B79)</f>
        <v>0</v>
      </c>
      <c r="P19985">
        <f>IF(OR(M19985="",N19985=""),"",SUMIFS('Barang Keluar'!$E:$E,'Barang Keluar'!$A:$A,M19985,'Barang Keluar'!$C:$C,N19985))</f>
        <v>0</v>
      </c>
    </row>
    <row r="19986" spans="13:16">
      <c r="M19986" s="49">
        <f>IF($A$4+199&gt;$B$4,"",$A$4+199)</f>
        <v>46222</v>
      </c>
      <c r="N19986">
        <f>IF(M19986="","",'Master Barang'!A80)</f>
        <v>0</v>
      </c>
      <c r="O19986">
        <f>IF(N19986="","",'Master Barang'!B80)</f>
        <v>0</v>
      </c>
      <c r="P19986">
        <f>IF(OR(M19986="",N19986=""),"",SUMIFS('Barang Keluar'!$E:$E,'Barang Keluar'!$A:$A,M19986,'Barang Keluar'!$C:$C,N19986))</f>
        <v>0</v>
      </c>
    </row>
    <row r="19987" spans="13:16">
      <c r="M19987" s="49">
        <f>IF($A$4+199&gt;$B$4,"",$A$4+199)</f>
        <v>46222</v>
      </c>
      <c r="N19987">
        <f>IF(M19987="","",'Master Barang'!A81)</f>
        <v>0</v>
      </c>
      <c r="O19987">
        <f>IF(N19987="","",'Master Barang'!B81)</f>
        <v>0</v>
      </c>
      <c r="P19987">
        <f>IF(OR(M19987="",N19987=""),"",SUMIFS('Barang Keluar'!$E:$E,'Barang Keluar'!$A:$A,M19987,'Barang Keluar'!$C:$C,N19987))</f>
        <v>0</v>
      </c>
    </row>
    <row r="19988" spans="13:16">
      <c r="M19988" s="49">
        <f>IF($A$4+199&gt;$B$4,"",$A$4+199)</f>
        <v>46222</v>
      </c>
      <c r="N19988">
        <f>IF(M19988="","",'Master Barang'!A82)</f>
        <v>0</v>
      </c>
      <c r="O19988">
        <f>IF(N19988="","",'Master Barang'!B82)</f>
        <v>0</v>
      </c>
      <c r="P19988">
        <f>IF(OR(M19988="",N19988=""),"",SUMIFS('Barang Keluar'!$E:$E,'Barang Keluar'!$A:$A,M19988,'Barang Keluar'!$C:$C,N19988))</f>
        <v>0</v>
      </c>
    </row>
    <row r="19989" spans="13:16">
      <c r="M19989" s="49">
        <f>IF($A$4+199&gt;$B$4,"",$A$4+199)</f>
        <v>46222</v>
      </c>
      <c r="N19989">
        <f>IF(M19989="","",'Master Barang'!A83)</f>
        <v>0</v>
      </c>
      <c r="O19989">
        <f>IF(N19989="","",'Master Barang'!B83)</f>
        <v>0</v>
      </c>
      <c r="P19989">
        <f>IF(OR(M19989="",N19989=""),"",SUMIFS('Barang Keluar'!$E:$E,'Barang Keluar'!$A:$A,M19989,'Barang Keluar'!$C:$C,N19989))</f>
        <v>0</v>
      </c>
    </row>
    <row r="19990" spans="13:16">
      <c r="M19990" s="49">
        <f>IF($A$4+199&gt;$B$4,"",$A$4+199)</f>
        <v>46222</v>
      </c>
      <c r="N19990">
        <f>IF(M19990="","",'Master Barang'!A84)</f>
        <v>0</v>
      </c>
      <c r="O19990">
        <f>IF(N19990="","",'Master Barang'!B84)</f>
        <v>0</v>
      </c>
      <c r="P19990">
        <f>IF(OR(M19990="",N19990=""),"",SUMIFS('Barang Keluar'!$E:$E,'Barang Keluar'!$A:$A,M19990,'Barang Keluar'!$C:$C,N19990))</f>
        <v>0</v>
      </c>
    </row>
    <row r="19991" spans="13:16">
      <c r="M19991" s="49">
        <f>IF($A$4+199&gt;$B$4,"",$A$4+199)</f>
        <v>46222</v>
      </c>
      <c r="N19991">
        <f>IF(M19991="","",'Master Barang'!A85)</f>
        <v>0</v>
      </c>
      <c r="O19991">
        <f>IF(N19991="","",'Master Barang'!B85)</f>
        <v>0</v>
      </c>
      <c r="P19991">
        <f>IF(OR(M19991="",N19991=""),"",SUMIFS('Barang Keluar'!$E:$E,'Barang Keluar'!$A:$A,M19991,'Barang Keluar'!$C:$C,N19991))</f>
        <v>0</v>
      </c>
    </row>
    <row r="19992" spans="13:16">
      <c r="M19992" s="49">
        <f>IF($A$4+199&gt;$B$4,"",$A$4+199)</f>
        <v>46222</v>
      </c>
      <c r="N19992">
        <f>IF(M19992="","",'Master Barang'!A86)</f>
        <v>0</v>
      </c>
      <c r="O19992">
        <f>IF(N19992="","",'Master Barang'!B86)</f>
        <v>0</v>
      </c>
      <c r="P19992">
        <f>IF(OR(M19992="",N19992=""),"",SUMIFS('Barang Keluar'!$E:$E,'Barang Keluar'!$A:$A,M19992,'Barang Keluar'!$C:$C,N19992))</f>
        <v>0</v>
      </c>
    </row>
    <row r="19993" spans="13:16">
      <c r="M19993" s="49">
        <f>IF($A$4+199&gt;$B$4,"",$A$4+199)</f>
        <v>46222</v>
      </c>
      <c r="N19993">
        <f>IF(M19993="","",'Master Barang'!A87)</f>
        <v>0</v>
      </c>
      <c r="O19993">
        <f>IF(N19993="","",'Master Barang'!B87)</f>
        <v>0</v>
      </c>
      <c r="P19993">
        <f>IF(OR(M19993="",N19993=""),"",SUMIFS('Barang Keluar'!$E:$E,'Barang Keluar'!$A:$A,M19993,'Barang Keluar'!$C:$C,N19993))</f>
        <v>0</v>
      </c>
    </row>
    <row r="19994" spans="13:16">
      <c r="M19994" s="49">
        <f>IF($A$4+199&gt;$B$4,"",$A$4+199)</f>
        <v>46222</v>
      </c>
      <c r="N19994">
        <f>IF(M19994="","",'Master Barang'!A88)</f>
        <v>0</v>
      </c>
      <c r="O19994">
        <f>IF(N19994="","",'Master Barang'!B88)</f>
        <v>0</v>
      </c>
      <c r="P19994">
        <f>IF(OR(M19994="",N19994=""),"",SUMIFS('Barang Keluar'!$E:$E,'Barang Keluar'!$A:$A,M19994,'Barang Keluar'!$C:$C,N19994))</f>
        <v>0</v>
      </c>
    </row>
    <row r="19995" spans="13:16">
      <c r="M19995" s="49">
        <f>IF($A$4+199&gt;$B$4,"",$A$4+199)</f>
        <v>46222</v>
      </c>
      <c r="N19995">
        <f>IF(M19995="","",'Master Barang'!A89)</f>
        <v>0</v>
      </c>
      <c r="O19995">
        <f>IF(N19995="","",'Master Barang'!B89)</f>
        <v>0</v>
      </c>
      <c r="P19995">
        <f>IF(OR(M19995="",N19995=""),"",SUMIFS('Barang Keluar'!$E:$E,'Barang Keluar'!$A:$A,M19995,'Barang Keluar'!$C:$C,N19995))</f>
        <v>0</v>
      </c>
    </row>
    <row r="19996" spans="13:16">
      <c r="M19996" s="49">
        <f>IF($A$4+199&gt;$B$4,"",$A$4+199)</f>
        <v>46222</v>
      </c>
      <c r="N19996">
        <f>IF(M19996="","",'Master Barang'!A90)</f>
        <v>0</v>
      </c>
      <c r="O19996">
        <f>IF(N19996="","",'Master Barang'!B90)</f>
        <v>0</v>
      </c>
      <c r="P19996">
        <f>IF(OR(M19996="",N19996=""),"",SUMIFS('Barang Keluar'!$E:$E,'Barang Keluar'!$A:$A,M19996,'Barang Keluar'!$C:$C,N19996))</f>
        <v>0</v>
      </c>
    </row>
    <row r="19997" spans="13:16">
      <c r="M19997" s="49">
        <f>IF($A$4+199&gt;$B$4,"",$A$4+199)</f>
        <v>46222</v>
      </c>
      <c r="N19997">
        <f>IF(M19997="","",'Master Barang'!A91)</f>
        <v>0</v>
      </c>
      <c r="O19997">
        <f>IF(N19997="","",'Master Barang'!B91)</f>
        <v>0</v>
      </c>
      <c r="P19997">
        <f>IF(OR(M19997="",N19997=""),"",SUMIFS('Barang Keluar'!$E:$E,'Barang Keluar'!$A:$A,M19997,'Barang Keluar'!$C:$C,N19997))</f>
        <v>0</v>
      </c>
    </row>
    <row r="19998" spans="13:16">
      <c r="M19998" s="49">
        <f>IF($A$4+199&gt;$B$4,"",$A$4+199)</f>
        <v>46222</v>
      </c>
      <c r="N19998">
        <f>IF(M19998="","",'Master Barang'!A92)</f>
        <v>0</v>
      </c>
      <c r="O19998">
        <f>IF(N19998="","",'Master Barang'!B92)</f>
        <v>0</v>
      </c>
      <c r="P19998">
        <f>IF(OR(M19998="",N19998=""),"",SUMIFS('Barang Keluar'!$E:$E,'Barang Keluar'!$A:$A,M19998,'Barang Keluar'!$C:$C,N19998))</f>
        <v>0</v>
      </c>
    </row>
    <row r="19999" spans="13:16">
      <c r="M19999" s="49">
        <f>IF($A$4+199&gt;$B$4,"",$A$4+199)</f>
        <v>46222</v>
      </c>
      <c r="N19999">
        <f>IF(M19999="","",'Master Barang'!A93)</f>
        <v>0</v>
      </c>
      <c r="O19999">
        <f>IF(N19999="","",'Master Barang'!B93)</f>
        <v>0</v>
      </c>
      <c r="P19999">
        <f>IF(OR(M19999="",N19999=""),"",SUMIFS('Barang Keluar'!$E:$E,'Barang Keluar'!$A:$A,M19999,'Barang Keluar'!$C:$C,N19999))</f>
        <v>0</v>
      </c>
    </row>
    <row r="20000" spans="13:16">
      <c r="M20000" s="49">
        <f>IF($A$4+199&gt;$B$4,"",$A$4+199)</f>
        <v>46222</v>
      </c>
      <c r="N20000">
        <f>IF(M20000="","",'Master Barang'!A94)</f>
        <v>0</v>
      </c>
      <c r="O20000">
        <f>IF(N20000="","",'Master Barang'!B94)</f>
        <v>0</v>
      </c>
      <c r="P20000">
        <f>IF(OR(M20000="",N20000=""),"",SUMIFS('Barang Keluar'!$E:$E,'Barang Keluar'!$A:$A,M20000,'Barang Keluar'!$C:$C,N20000))</f>
        <v>0</v>
      </c>
    </row>
    <row r="20001" spans="13:16">
      <c r="M20001" s="49">
        <f>IF($A$4+199&gt;$B$4,"",$A$4+199)</f>
        <v>46222</v>
      </c>
      <c r="N20001">
        <f>IF(M20001="","",'Master Barang'!A95)</f>
        <v>0</v>
      </c>
      <c r="O20001">
        <f>IF(N20001="","",'Master Barang'!B95)</f>
        <v>0</v>
      </c>
      <c r="P20001">
        <f>IF(OR(M20001="",N20001=""),"",SUMIFS('Barang Keluar'!$E:$E,'Barang Keluar'!$A:$A,M20001,'Barang Keluar'!$C:$C,N20001))</f>
        <v>0</v>
      </c>
    </row>
    <row r="20002" spans="13:16">
      <c r="M20002" s="49">
        <f>IF($A$4+199&gt;$B$4,"",$A$4+199)</f>
        <v>46222</v>
      </c>
      <c r="N20002">
        <f>IF(M20002="","",'Master Barang'!A96)</f>
        <v>0</v>
      </c>
      <c r="O20002">
        <f>IF(N20002="","",'Master Barang'!B96)</f>
        <v>0</v>
      </c>
      <c r="P20002">
        <f>IF(OR(M20002="",N20002=""),"",SUMIFS('Barang Keluar'!$E:$E,'Barang Keluar'!$A:$A,M20002,'Barang Keluar'!$C:$C,N20002))</f>
        <v>0</v>
      </c>
    </row>
    <row r="20003" spans="13:16">
      <c r="M20003" s="49">
        <f>IF($A$4+199&gt;$B$4,"",$A$4+199)</f>
        <v>46222</v>
      </c>
      <c r="N20003">
        <f>IF(M20003="","",'Master Barang'!A97)</f>
        <v>0</v>
      </c>
      <c r="O20003">
        <f>IF(N20003="","",'Master Barang'!B97)</f>
        <v>0</v>
      </c>
      <c r="P20003">
        <f>IF(OR(M20003="",N20003=""),"",SUMIFS('Barang Keluar'!$E:$E,'Barang Keluar'!$A:$A,M20003,'Barang Keluar'!$C:$C,N20003))</f>
        <v>0</v>
      </c>
    </row>
    <row r="20004" spans="13:16">
      <c r="M20004" s="49">
        <f>IF($A$4+199&gt;$B$4,"",$A$4+199)</f>
        <v>46222</v>
      </c>
      <c r="N20004">
        <f>IF(M20004="","",'Master Barang'!A98)</f>
        <v>0</v>
      </c>
      <c r="O20004">
        <f>IF(N20004="","",'Master Barang'!B98)</f>
        <v>0</v>
      </c>
      <c r="P20004">
        <f>IF(OR(M20004="",N20004=""),"",SUMIFS('Barang Keluar'!$E:$E,'Barang Keluar'!$A:$A,M20004,'Barang Keluar'!$C:$C,N20004))</f>
        <v>0</v>
      </c>
    </row>
    <row r="20005" spans="13:16">
      <c r="M20005" s="49">
        <f>IF($A$4+199&gt;$B$4,"",$A$4+199)</f>
        <v>46222</v>
      </c>
      <c r="N20005">
        <f>IF(M20005="","",'Master Barang'!A99)</f>
        <v>0</v>
      </c>
      <c r="O20005">
        <f>IF(N20005="","",'Master Barang'!B99)</f>
        <v>0</v>
      </c>
      <c r="P20005">
        <f>IF(OR(M20005="",N20005=""),"",SUMIFS('Barang Keluar'!$E:$E,'Barang Keluar'!$A:$A,M20005,'Barang Keluar'!$C:$C,N20005))</f>
        <v>0</v>
      </c>
    </row>
    <row r="20006" spans="13:16">
      <c r="M20006" s="49">
        <f>IF($A$4+199&gt;$B$4,"",$A$4+199)</f>
        <v>46222</v>
      </c>
      <c r="N20006">
        <f>IF(M20006="","",'Master Barang'!A100)</f>
        <v>0</v>
      </c>
      <c r="O20006">
        <f>IF(N20006="","",'Master Barang'!B100)</f>
        <v>0</v>
      </c>
      <c r="P20006">
        <f>IF(OR(M20006="",N20006=""),"",SUMIFS('Barang Keluar'!$E:$E,'Barang Keluar'!$A:$A,M20006,'Barang Keluar'!$C:$C,N20006))</f>
        <v>0</v>
      </c>
    </row>
    <row r="20007" spans="13:16">
      <c r="M20007" s="49">
        <f>IF($A$4+199&gt;$B$4,"",$A$4+199)</f>
        <v>46222</v>
      </c>
      <c r="N20007">
        <f>IF(M20007="","",'Master Barang'!A101)</f>
        <v>0</v>
      </c>
      <c r="O20007">
        <f>IF(N20007="","",'Master Barang'!B101)</f>
        <v>0</v>
      </c>
      <c r="P20007">
        <f>IF(OR(M20007="",N20007=""),"",SUMIFS('Barang Keluar'!$E:$E,'Barang Keluar'!$A:$A,M20007,'Barang Keluar'!$C:$C,N20007))</f>
        <v>0</v>
      </c>
    </row>
    <row r="20008" spans="13:16">
      <c r="M20008" s="49">
        <f>IF($A$4+200&gt;$B$4,"",$A$4+200)</f>
        <v>46223</v>
      </c>
      <c r="N20008" t="str">
        <f>IF(M20008="","",'Master Barang'!A2)</f>
        <v>PRL-001</v>
      </c>
      <c r="O20008" t="str">
        <f>IF(N20008="","",'Master Barang'!B2)</f>
        <v>natura desinfectant food grade 5l</v>
      </c>
      <c r="P20008">
        <f>IF(OR(M20008="",N20008=""),"",SUMIFS('Barang Keluar'!$E:$E,'Barang Keluar'!$A:$A,M20008,'Barang Keluar'!$C:$C,N20008))</f>
        <v>0</v>
      </c>
    </row>
    <row r="20009" spans="13:16">
      <c r="M20009" s="49">
        <f>IF($A$4+200&gt;$B$4,"",$A$4+200)</f>
        <v>46223</v>
      </c>
      <c r="N20009" t="str">
        <f>IF(M20009="","",'Master Barang'!A3)</f>
        <v>PRL-002</v>
      </c>
      <c r="O20009" t="str">
        <f>IF(N20009="","",'Master Barang'!B3)</f>
        <v>sunlight cairan pencuci piring 5l</v>
      </c>
      <c r="P20009">
        <f>IF(OR(M20009="",N20009=""),"",SUMIFS('Barang Keluar'!$E:$E,'Barang Keluar'!$A:$A,M20009,'Barang Keluar'!$C:$C,N20009))</f>
        <v>0</v>
      </c>
    </row>
    <row r="20010" spans="13:16">
      <c r="M20010" s="49">
        <f>IF($A$4+200&gt;$B$4,"",$A$4+200)</f>
        <v>46223</v>
      </c>
      <c r="N20010" t="str">
        <f>IF(M20010="","",'Master Barang'!A4)</f>
        <v>PRL-003</v>
      </c>
      <c r="O20010" t="str">
        <f>IF(N20010="","",'Master Barang'!B4)</f>
        <v>oixs cleaner 1l</v>
      </c>
      <c r="P20010">
        <f>IF(OR(M20010="",N20010=""),"",SUMIFS('Barang Keluar'!$E:$E,'Barang Keluar'!$A:$A,M20010,'Barang Keluar'!$C:$C,N20010))</f>
        <v>0</v>
      </c>
    </row>
    <row r="20011" spans="13:16">
      <c r="M20011" s="49">
        <f>IF($A$4+200&gt;$B$4,"",$A$4+200)</f>
        <v>46223</v>
      </c>
      <c r="N20011" t="str">
        <f>IF(M20011="","",'Master Barang'!A5)</f>
        <v>PRL-004</v>
      </c>
      <c r="O20011" t="str">
        <f>IF(N20011="","",'Master Barang'!B5)</f>
        <v>be clean tissue serbaguna</v>
      </c>
      <c r="P20011">
        <f>IF(OR(M20011="",N20011=""),"",SUMIFS('Barang Keluar'!$E:$E,'Barang Keluar'!$A:$A,M20011,'Barang Keluar'!$C:$C,N20011))</f>
        <v>0</v>
      </c>
    </row>
    <row r="20012" spans="13:16">
      <c r="M20012" s="49">
        <f>IF($A$4+200&gt;$B$4,"",$A$4+200)</f>
        <v>46223</v>
      </c>
      <c r="N20012" t="str">
        <f>IF(M20012="","",'Master Barang'!A6)</f>
        <v>PRL-005</v>
      </c>
      <c r="O20012" t="str">
        <f>IF(N20012="","",'Master Barang'!B6)</f>
        <v>spons cuci hijau</v>
      </c>
      <c r="P20012">
        <f>IF(OR(M20012="",N20012=""),"",SUMIFS('Barang Keluar'!$E:$E,'Barang Keluar'!$A:$A,M20012,'Barang Keluar'!$C:$C,N20012))</f>
        <v>0</v>
      </c>
    </row>
    <row r="20013" spans="13:16">
      <c r="M20013" s="49">
        <f>IF($A$4+200&gt;$B$4,"",$A$4+200)</f>
        <v>46223</v>
      </c>
      <c r="N20013" t="str">
        <f>IF(M20013="","",'Master Barang'!A7)</f>
        <v>PRL-006</v>
      </c>
      <c r="O20013" t="str">
        <f>IF(N20013="","",'Master Barang'!B7)</f>
        <v>sabut cuci stainless</v>
      </c>
      <c r="P20013">
        <f>IF(OR(M20013="",N20013=""),"",SUMIFS('Barang Keluar'!$E:$E,'Barang Keluar'!$A:$A,M20013,'Barang Keluar'!$C:$C,N20013))</f>
        <v>0</v>
      </c>
    </row>
    <row r="20014" spans="13:16">
      <c r="M20014" s="49">
        <f>IF($A$4+200&gt;$B$4,"",$A$4+200)</f>
        <v>46223</v>
      </c>
      <c r="N20014" t="str">
        <f>IF(M20014="","",'Master Barang'!A8)</f>
        <v>PRL-007</v>
      </c>
      <c r="O20014" t="str">
        <f>IF(N20014="","",'Master Barang'!B8)</f>
        <v>plastik kresek besar merah 50pc</v>
      </c>
      <c r="P20014">
        <f>IF(OR(M20014="",N20014=""),"",SUMIFS('Barang Keluar'!$E:$E,'Barang Keluar'!$A:$A,M20014,'Barang Keluar'!$C:$C,N20014))</f>
        <v>0</v>
      </c>
    </row>
    <row r="20015" spans="13:16">
      <c r="M20015" s="49">
        <f>IF($A$4+200&gt;$B$4,"",$A$4+200)</f>
        <v>46223</v>
      </c>
      <c r="N20015" t="str">
        <f>IF(M20015="","",'Master Barang'!A9)</f>
        <v>PRL-008</v>
      </c>
      <c r="O20015" t="str">
        <f>IF(N20015="","",'Master Barang'!B9)</f>
        <v>lap besar</v>
      </c>
      <c r="P20015">
        <f>IF(OR(M20015="",N20015=""),"",SUMIFS('Barang Keluar'!$E:$E,'Barang Keluar'!$A:$A,M20015,'Barang Keluar'!$C:$C,N20015))</f>
        <v>0</v>
      </c>
    </row>
    <row r="20016" spans="13:16">
      <c r="M20016" s="49">
        <f>IF($A$4+200&gt;$B$4,"",$A$4+200)</f>
        <v>46223</v>
      </c>
      <c r="N20016" t="str">
        <f>IF(M20016="","",'Master Barang'!A10)</f>
        <v>PRL-009</v>
      </c>
      <c r="O20016" t="str">
        <f>IF(N20016="","",'Master Barang'!B10)</f>
        <v>lap microfiber</v>
      </c>
      <c r="P20016">
        <f>IF(OR(M20016="",N20016=""),"",SUMIFS('Barang Keluar'!$E:$E,'Barang Keluar'!$A:$A,M20016,'Barang Keluar'!$C:$C,N20016))</f>
        <v>0</v>
      </c>
    </row>
    <row r="20017" spans="13:16">
      <c r="M20017" s="49">
        <f>IF($A$4+200&gt;$B$4,"",$A$4+200)</f>
        <v>46223</v>
      </c>
      <c r="N20017" t="str">
        <f>IF(M20017="","",'Master Barang'!A11)</f>
        <v>PRL-010</v>
      </c>
      <c r="O20017" t="str">
        <f>IF(N20017="","",'Master Barang'!B11)</f>
        <v>lap kecil</v>
      </c>
      <c r="P20017">
        <f>IF(OR(M20017="",N20017=""),"",SUMIFS('Barang Keluar'!$E:$E,'Barang Keluar'!$A:$A,M20017,'Barang Keluar'!$C:$C,N20017))</f>
        <v>0</v>
      </c>
    </row>
    <row r="20018" spans="13:16">
      <c r="M20018" s="49">
        <f>IF($A$4+200&gt;$B$4,"",$A$4+200)</f>
        <v>46223</v>
      </c>
      <c r="N20018" t="str">
        <f>IF(M20018="","",'Master Barang'!A12)</f>
        <v>PRL-011</v>
      </c>
      <c r="O20018" t="str">
        <f>IF(N20018="","",'Master Barang'!B12)</f>
        <v>kanebo kecil</v>
      </c>
      <c r="P20018">
        <f>IF(OR(M20018="",N20018=""),"",SUMIFS('Barang Keluar'!$E:$E,'Barang Keluar'!$A:$A,M20018,'Barang Keluar'!$C:$C,N20018))</f>
        <v>0</v>
      </c>
    </row>
    <row r="20019" spans="13:16">
      <c r="M20019" s="49">
        <f>IF($A$4+200&gt;$B$4,"",$A$4+200)</f>
        <v>46223</v>
      </c>
      <c r="N20019" t="str">
        <f>IF(M20019="","",'Master Barang'!A13)</f>
        <v>PRL-012</v>
      </c>
      <c r="O20019" t="str">
        <f>IF(N20019="","",'Master Barang'!B13)</f>
        <v>plastik 1/4kg joyoboyo 100 lembar</v>
      </c>
      <c r="P20019">
        <f>IF(OR(M20019="",N20019=""),"",SUMIFS('Barang Keluar'!$E:$E,'Barang Keluar'!$A:$A,M20019,'Barang Keluar'!$C:$C,N20019))</f>
        <v>0</v>
      </c>
    </row>
    <row r="20020" spans="13:16">
      <c r="M20020" s="49">
        <f>IF($A$4+200&gt;$B$4,"",$A$4+200)</f>
        <v>46223</v>
      </c>
      <c r="N20020" t="str">
        <f>IF(M20020="","",'Master Barang'!A14)</f>
        <v>PRL-013</v>
      </c>
      <c r="O20020" t="str">
        <f>IF(N20020="","",'Master Barang'!B14)</f>
        <v>sarung tangan plastik kaka 100 pcs</v>
      </c>
      <c r="P20020">
        <f>IF(OR(M20020="",N20020=""),"",SUMIFS('Barang Keluar'!$E:$E,'Barang Keluar'!$A:$A,M20020,'Barang Keluar'!$C:$C,N20020))</f>
        <v>0</v>
      </c>
    </row>
    <row r="20021" spans="13:16">
      <c r="M20021" s="49">
        <f>IF($A$4+200&gt;$B$4,"",$A$4+200)</f>
        <v>46223</v>
      </c>
      <c r="N20021" t="str">
        <f>IF(M20021="","",'Master Barang'!A15)</f>
        <v>PRL-014</v>
      </c>
      <c r="O20021" t="str">
        <f>IF(N20021="","",'Master Barang'!B15)</f>
        <v>optima trashbag 80x100</v>
      </c>
      <c r="P20021">
        <f>IF(OR(M20021="",N20021=""),"",SUMIFS('Barang Keluar'!$E:$E,'Barang Keluar'!$A:$A,M20021,'Barang Keluar'!$C:$C,N20021))</f>
        <v>0</v>
      </c>
    </row>
    <row r="20022" spans="13:16">
      <c r="M20022" s="49">
        <f>IF($A$4+200&gt;$B$4,"",$A$4+200)</f>
        <v>46223</v>
      </c>
      <c r="N20022" t="str">
        <f>IF(M20022="","",'Master Barang'!A16)</f>
        <v>PRL-015</v>
      </c>
      <c r="O20022" t="str">
        <f>IF(N20022="","",'Master Barang'!B16)</f>
        <v>optima trashbag 60x100</v>
      </c>
      <c r="P20022">
        <f>IF(OR(M20022="",N20022=""),"",SUMIFS('Barang Keluar'!$E:$E,'Barang Keluar'!$A:$A,M20022,'Barang Keluar'!$C:$C,N20022))</f>
        <v>0</v>
      </c>
    </row>
    <row r="20023" spans="13:16">
      <c r="M20023" s="49">
        <f>IF($A$4+200&gt;$B$4,"",$A$4+200)</f>
        <v>46223</v>
      </c>
      <c r="N20023" t="str">
        <f>IF(M20023="","",'Master Barang'!A17)</f>
        <v>PRL-016</v>
      </c>
      <c r="O20023" t="str">
        <f>IF(N20023="","",'Master Barang'!B17)</f>
        <v>rajawali trashbag 30x40</v>
      </c>
      <c r="P20023">
        <f>IF(OR(M20023="",N20023=""),"",SUMIFS('Barang Keluar'!$E:$E,'Barang Keluar'!$A:$A,M20023,'Barang Keluar'!$C:$C,N20023))</f>
        <v>0</v>
      </c>
    </row>
    <row r="20024" spans="13:16">
      <c r="M20024" s="49">
        <f>IF($A$4+200&gt;$B$4,"",$A$4+200)</f>
        <v>46223</v>
      </c>
      <c r="N20024" t="str">
        <f>IF(M20024="","",'Master Barang'!A18)</f>
        <v>PRL-017</v>
      </c>
      <c r="O20024" t="str">
        <f>IF(N20024="","",'Master Barang'!B18)</f>
        <v>onemed masker biru 3 play 50 pcs</v>
      </c>
      <c r="P20024">
        <f>IF(OR(M20024="",N20024=""),"",SUMIFS('Barang Keluar'!$E:$E,'Barang Keluar'!$A:$A,M20024,'Barang Keluar'!$C:$C,N20024))</f>
        <v>0</v>
      </c>
    </row>
    <row r="20025" spans="13:16">
      <c r="M20025" s="49">
        <f>IF($A$4+200&gt;$B$4,"",$A$4+200)</f>
        <v>46223</v>
      </c>
      <c r="N20025" t="str">
        <f>IF(M20025="","",'Master Barang'!A19)</f>
        <v>PRL-018</v>
      </c>
      <c r="O20025" t="str">
        <f>IF(N20025="","",'Master Barang'!B19)</f>
        <v>onemed masker biru 3 play hijab 50 pcs</v>
      </c>
      <c r="P20025">
        <f>IF(OR(M20025="",N20025=""),"",SUMIFS('Barang Keluar'!$E:$E,'Barang Keluar'!$A:$A,M20025,'Barang Keluar'!$C:$C,N20025))</f>
        <v>0</v>
      </c>
    </row>
    <row r="20026" spans="13:16">
      <c r="M20026" s="49">
        <f>IF($A$4+200&gt;$B$4,"",$A$4+200)</f>
        <v>46223</v>
      </c>
      <c r="N20026" t="str">
        <f>IF(M20026="","",'Master Barang'!A20)</f>
        <v>PRL-019</v>
      </c>
      <c r="O20026" t="str">
        <f>IF(N20026="","",'Master Barang'!B20)</f>
        <v>neo health masker biru 3 play 50 pcs</v>
      </c>
      <c r="P20026">
        <f>IF(OR(M20026="",N20026=""),"",SUMIFS('Barang Keluar'!$E:$E,'Barang Keluar'!$A:$A,M20026,'Barang Keluar'!$C:$C,N20026))</f>
        <v>0</v>
      </c>
    </row>
    <row r="20027" spans="13:16">
      <c r="M20027" s="49">
        <f>IF($A$4+200&gt;$B$4,"",$A$4+200)</f>
        <v>46223</v>
      </c>
      <c r="N20027" t="str">
        <f>IF(M20027="","",'Master Barang'!A21)</f>
        <v>PRL-020</v>
      </c>
      <c r="O20027" t="str">
        <f>IF(N20027="","",'Master Barang'!B21)</f>
        <v>baymed masker hijau 3 play hijau 50 pcs</v>
      </c>
      <c r="P20027">
        <f>IF(OR(M20027="",N20027=""),"",SUMIFS('Barang Keluar'!$E:$E,'Barang Keluar'!$A:$A,M20027,'Barang Keluar'!$C:$C,N20027))</f>
        <v>0</v>
      </c>
    </row>
    <row r="20028" spans="13:16">
      <c r="M20028" s="49">
        <f>IF($A$4+200&gt;$B$4,"",$A$4+200)</f>
        <v>46223</v>
      </c>
      <c r="N20028" t="str">
        <f>IF(M20028="","",'Master Barang'!A22)</f>
        <v>PRL-021</v>
      </c>
      <c r="O20028" t="str">
        <f>IF(N20028="","",'Master Barang'!B22)</f>
        <v>altamed nurse cap penutup kepala 100 pcs</v>
      </c>
      <c r="P20028">
        <f>IF(OR(M20028="",N20028=""),"",SUMIFS('Barang Keluar'!$E:$E,'Barang Keluar'!$A:$A,M20028,'Barang Keluar'!$C:$C,N20028))</f>
        <v>0</v>
      </c>
    </row>
    <row r="20029" spans="13:16">
      <c r="M20029" s="49">
        <f>IF($A$4+200&gt;$B$4,"",$A$4+200)</f>
        <v>46223</v>
      </c>
      <c r="N20029" t="str">
        <f>IF(M20029="","",'Master Barang'!A23)</f>
        <v>PRL-022</v>
      </c>
      <c r="O20029" t="str">
        <f>IF(N20029="","",'Master Barang'!B23)</f>
        <v>sabun cuci tangan</v>
      </c>
      <c r="P20029">
        <f>IF(OR(M20029="",N20029=""),"",SUMIFS('Barang Keluar'!$E:$E,'Barang Keluar'!$A:$A,M20029,'Barang Keluar'!$C:$C,N20029))</f>
        <v>0</v>
      </c>
    </row>
    <row r="20030" spans="13:16">
      <c r="M20030" s="49">
        <f>IF($A$4+200&gt;$B$4,"",$A$4+200)</f>
        <v>46223</v>
      </c>
      <c r="N20030" t="str">
        <f>IF(M20030="","",'Master Barang'!A24)</f>
        <v>PRL-023</v>
      </c>
      <c r="O20030" t="str">
        <f>IF(N20030="","",'Master Barang'!B24)</f>
        <v>gayung kecil</v>
      </c>
      <c r="P20030">
        <f>IF(OR(M20030="",N20030=""),"",SUMIFS('Barang Keluar'!$E:$E,'Barang Keluar'!$A:$A,M20030,'Barang Keluar'!$C:$C,N20030))</f>
        <v>0</v>
      </c>
    </row>
    <row r="20031" spans="13:16">
      <c r="M20031" s="49">
        <f>IF($A$4+200&gt;$B$4,"",$A$4+200)</f>
        <v>46223</v>
      </c>
      <c r="N20031" t="str">
        <f>IF(M20031="","",'Master Barang'!A25)</f>
        <v>PRL-024</v>
      </c>
      <c r="O20031" t="str">
        <f>IF(N20031="","",'Master Barang'!B25)</f>
        <v>cikrak kecil</v>
      </c>
      <c r="P20031">
        <f>IF(OR(M20031="",N20031=""),"",SUMIFS('Barang Keluar'!$E:$E,'Barang Keluar'!$A:$A,M20031,'Barang Keluar'!$C:$C,N20031))</f>
        <v>0</v>
      </c>
    </row>
    <row r="20032" spans="13:16">
      <c r="M20032" s="49">
        <f>IF($A$4+200&gt;$B$4,"",$A$4+200)</f>
        <v>46223</v>
      </c>
      <c r="N20032" t="str">
        <f>IF(M20032="","",'Master Barang'!A26)</f>
        <v>PRL-025</v>
      </c>
      <c r="O20032" t="str">
        <f>IF(N20032="","",'Master Barang'!B26)</f>
        <v>petromax plastik kecil 12x24 100 lembar</v>
      </c>
      <c r="P20032">
        <f>IF(OR(M20032="",N20032=""),"",SUMIFS('Barang Keluar'!$E:$E,'Barang Keluar'!$A:$A,M20032,'Barang Keluar'!$C:$C,N20032))</f>
        <v>0</v>
      </c>
    </row>
    <row r="20033" spans="13:16">
      <c r="M20033" s="49">
        <f>IF($A$4+200&gt;$B$4,"",$A$4+200)</f>
        <v>46223</v>
      </c>
      <c r="N20033" t="str">
        <f>IF(M20033="","",'Master Barang'!A27)</f>
        <v>PRL-026</v>
      </c>
      <c r="O20033" t="str">
        <f>IF(N20033="","",'Master Barang'!B27)</f>
        <v>lancar kresek kecil bening </v>
      </c>
      <c r="P20033">
        <f>IF(OR(M20033="",N20033=""),"",SUMIFS('Barang Keluar'!$E:$E,'Barang Keluar'!$A:$A,M20033,'Barang Keluar'!$C:$C,N20033))</f>
        <v>0</v>
      </c>
    </row>
    <row r="20034" spans="13:16">
      <c r="M20034" s="49">
        <f>IF($A$4+200&gt;$B$4,"",$A$4+200)</f>
        <v>46223</v>
      </c>
      <c r="N20034" t="str">
        <f>IF(M20034="","",'Master Barang'!A28)</f>
        <v>PRL-027</v>
      </c>
      <c r="O20034" t="str">
        <f>IF(N20034="","",'Master Barang'!B28)</f>
        <v>kresek klin warna warni kecil</v>
      </c>
      <c r="P20034">
        <f>IF(OR(M20034="",N20034=""),"",SUMIFS('Barang Keluar'!$E:$E,'Barang Keluar'!$A:$A,M20034,'Barang Keluar'!$C:$C,N20034))</f>
        <v>0</v>
      </c>
    </row>
    <row r="20035" spans="13:16">
      <c r="M20035" s="49">
        <f>IF($A$4+200&gt;$B$4,"",$A$4+200)</f>
        <v>46223</v>
      </c>
      <c r="N20035" t="str">
        <f>IF(M20035="","",'Master Barang'!A29)</f>
        <v>PRL-028</v>
      </c>
      <c r="O20035" t="str">
        <f>IF(N20035="","",'Master Barang'!B29)</f>
        <v>ctik plastik 7x10 100 pcs</v>
      </c>
      <c r="P20035">
        <f>IF(OR(M20035="",N20035=""),"",SUMIFS('Barang Keluar'!$E:$E,'Barang Keluar'!$A:$A,M20035,'Barang Keluar'!$C:$C,N20035))</f>
        <v>0</v>
      </c>
    </row>
    <row r="20036" spans="13:16">
      <c r="M20036" s="49">
        <f>IF($A$4+200&gt;$B$4,"",$A$4+200)</f>
        <v>46223</v>
      </c>
      <c r="N20036" t="str">
        <f>IF(M20036="","",'Master Barang'!A30)</f>
        <v>PRL-029</v>
      </c>
      <c r="O20036" t="str">
        <f>IF(N20036="","",'Master Barang'!B30)</f>
        <v>ctik plastik 6x10 100 pcs</v>
      </c>
      <c r="P20036">
        <f>IF(OR(M20036="",N20036=""),"",SUMIFS('Barang Keluar'!$E:$E,'Barang Keluar'!$A:$A,M20036,'Barang Keluar'!$C:$C,N20036))</f>
        <v>0</v>
      </c>
    </row>
    <row r="20037" spans="13:16">
      <c r="M20037" s="49">
        <f>IF($A$4+200&gt;$B$4,"",$A$4+200)</f>
        <v>46223</v>
      </c>
      <c r="N20037" t="str">
        <f>IF(M20037="","",'Master Barang'!A31)</f>
        <v>PRL-030</v>
      </c>
      <c r="O20037" t="str">
        <f>IF(N20037="","",'Master Barang'!B31)</f>
        <v>klip plastik 25x16 100 pcs</v>
      </c>
      <c r="P20037">
        <f>IF(OR(M20037="",N20037=""),"",SUMIFS('Barang Keluar'!$E:$E,'Barang Keluar'!$A:$A,M20037,'Barang Keluar'!$C:$C,N20037))</f>
        <v>0</v>
      </c>
    </row>
    <row r="20038" spans="13:16">
      <c r="M20038" s="49">
        <f>IF($A$4+200&gt;$B$4,"",$A$4+200)</f>
        <v>46223</v>
      </c>
      <c r="N20038" t="str">
        <f>IF(M20038="","",'Master Barang'!A32)</f>
        <v>PRL-031</v>
      </c>
      <c r="O20038" t="str">
        <f>IF(N20038="","",'Master Barang'!B32)</f>
        <v>tempat saus 20 ml</v>
      </c>
      <c r="P20038">
        <f>IF(OR(M20038="",N20038=""),"",SUMIFS('Barang Keluar'!$E:$E,'Barang Keluar'!$A:$A,M20038,'Barang Keluar'!$C:$C,N20038))</f>
        <v>0</v>
      </c>
    </row>
    <row r="20039" spans="13:16">
      <c r="M20039" s="49">
        <f>IF($A$4+200&gt;$B$4,"",$A$4+200)</f>
        <v>46223</v>
      </c>
      <c r="N20039" t="str">
        <f>IF(M20039="","",'Master Barang'!A33)</f>
        <v>PRL-032</v>
      </c>
      <c r="O20039" t="str">
        <f>IF(N20039="","",'Master Barang'!B33)</f>
        <v>plastik packaging ag box uk sedang</v>
      </c>
      <c r="P20039">
        <f>IF(OR(M20039="",N20039=""),"",SUMIFS('Barang Keluar'!$E:$E,'Barang Keluar'!$A:$A,M20039,'Barang Keluar'!$C:$C,N20039))</f>
        <v>0</v>
      </c>
    </row>
    <row r="20040" spans="13:16">
      <c r="M20040" s="49">
        <f>IF($A$4+200&gt;$B$4,"",$A$4+200)</f>
        <v>46223</v>
      </c>
      <c r="N20040" t="str">
        <f>IF(M20040="","",'Master Barang'!A34)</f>
        <v>PRL-033</v>
      </c>
      <c r="O20040">
        <f>IF(N20040="","",'Master Barang'!B34)</f>
        <v>0</v>
      </c>
      <c r="P20040">
        <f>IF(OR(M20040="",N20040=""),"",SUMIFS('Barang Keluar'!$E:$E,'Barang Keluar'!$A:$A,M20040,'Barang Keluar'!$C:$C,N20040))</f>
        <v>0</v>
      </c>
    </row>
    <row r="20041" spans="13:16">
      <c r="M20041" s="49">
        <f>IF($A$4+200&gt;$B$4,"",$A$4+200)</f>
        <v>46223</v>
      </c>
      <c r="N20041">
        <f>IF(M20041="","",'Master Barang'!A35)</f>
        <v>0</v>
      </c>
      <c r="O20041">
        <f>IF(N20041="","",'Master Barang'!B35)</f>
        <v>0</v>
      </c>
      <c r="P20041">
        <f>IF(OR(M20041="",N20041=""),"",SUMIFS('Barang Keluar'!$E:$E,'Barang Keluar'!$A:$A,M20041,'Barang Keluar'!$C:$C,N20041))</f>
        <v>0</v>
      </c>
    </row>
    <row r="20042" spans="13:16">
      <c r="M20042" s="49">
        <f>IF($A$4+200&gt;$B$4,"",$A$4+200)</f>
        <v>46223</v>
      </c>
      <c r="N20042">
        <f>IF(M20042="","",'Master Barang'!A36)</f>
        <v>0</v>
      </c>
      <c r="O20042">
        <f>IF(N20042="","",'Master Barang'!B36)</f>
        <v>0</v>
      </c>
      <c r="P20042">
        <f>IF(OR(M20042="",N20042=""),"",SUMIFS('Barang Keluar'!$E:$E,'Barang Keluar'!$A:$A,M20042,'Barang Keluar'!$C:$C,N20042))</f>
        <v>0</v>
      </c>
    </row>
    <row r="20043" spans="13:16">
      <c r="M20043" s="49">
        <f>IF($A$4+200&gt;$B$4,"",$A$4+200)</f>
        <v>46223</v>
      </c>
      <c r="N20043">
        <f>IF(M20043="","",'Master Barang'!A37)</f>
        <v>0</v>
      </c>
      <c r="O20043">
        <f>IF(N20043="","",'Master Barang'!B37)</f>
        <v>0</v>
      </c>
      <c r="P20043">
        <f>IF(OR(M20043="",N20043=""),"",SUMIFS('Barang Keluar'!$E:$E,'Barang Keluar'!$A:$A,M20043,'Barang Keluar'!$C:$C,N20043))</f>
        <v>0</v>
      </c>
    </row>
    <row r="20044" spans="13:16">
      <c r="M20044" s="49">
        <f>IF($A$4+200&gt;$B$4,"",$A$4+200)</f>
        <v>46223</v>
      </c>
      <c r="N20044">
        <f>IF(M20044="","",'Master Barang'!A38)</f>
        <v>0</v>
      </c>
      <c r="O20044">
        <f>IF(N20044="","",'Master Barang'!B38)</f>
        <v>0</v>
      </c>
      <c r="P20044">
        <f>IF(OR(M20044="",N20044=""),"",SUMIFS('Barang Keluar'!$E:$E,'Barang Keluar'!$A:$A,M20044,'Barang Keluar'!$C:$C,N20044))</f>
        <v>0</v>
      </c>
    </row>
    <row r="20045" spans="13:16">
      <c r="M20045" s="49">
        <f>IF($A$4+200&gt;$B$4,"",$A$4+200)</f>
        <v>46223</v>
      </c>
      <c r="N20045">
        <f>IF(M20045="","",'Master Barang'!A39)</f>
        <v>0</v>
      </c>
      <c r="O20045">
        <f>IF(N20045="","",'Master Barang'!B39)</f>
        <v>0</v>
      </c>
      <c r="P20045">
        <f>IF(OR(M20045="",N20045=""),"",SUMIFS('Barang Keluar'!$E:$E,'Barang Keluar'!$A:$A,M20045,'Barang Keluar'!$C:$C,N20045))</f>
        <v>0</v>
      </c>
    </row>
    <row r="20046" spans="13:16">
      <c r="M20046" s="49">
        <f>IF($A$4+200&gt;$B$4,"",$A$4+200)</f>
        <v>46223</v>
      </c>
      <c r="N20046">
        <f>IF(M20046="","",'Master Barang'!A40)</f>
        <v>0</v>
      </c>
      <c r="O20046">
        <f>IF(N20046="","",'Master Barang'!B40)</f>
        <v>0</v>
      </c>
      <c r="P20046">
        <f>IF(OR(M20046="",N20046=""),"",SUMIFS('Barang Keluar'!$E:$E,'Barang Keluar'!$A:$A,M20046,'Barang Keluar'!$C:$C,N20046))</f>
        <v>0</v>
      </c>
    </row>
    <row r="20047" spans="13:16">
      <c r="M20047" s="49">
        <f>IF($A$4+200&gt;$B$4,"",$A$4+200)</f>
        <v>46223</v>
      </c>
      <c r="N20047">
        <f>IF(M20047="","",'Master Barang'!A41)</f>
        <v>0</v>
      </c>
      <c r="O20047">
        <f>IF(N20047="","",'Master Barang'!B41)</f>
        <v>0</v>
      </c>
      <c r="P20047">
        <f>IF(OR(M20047="",N20047=""),"",SUMIFS('Barang Keluar'!$E:$E,'Barang Keluar'!$A:$A,M20047,'Barang Keluar'!$C:$C,N20047))</f>
        <v>0</v>
      </c>
    </row>
    <row r="20048" spans="13:16">
      <c r="M20048" s="49">
        <f>IF($A$4+200&gt;$B$4,"",$A$4+200)</f>
        <v>46223</v>
      </c>
      <c r="N20048">
        <f>IF(M20048="","",'Master Barang'!A42)</f>
        <v>0</v>
      </c>
      <c r="O20048">
        <f>IF(N20048="","",'Master Barang'!B42)</f>
        <v>0</v>
      </c>
      <c r="P20048">
        <f>IF(OR(M20048="",N20048=""),"",SUMIFS('Barang Keluar'!$E:$E,'Barang Keluar'!$A:$A,M20048,'Barang Keluar'!$C:$C,N20048))</f>
        <v>0</v>
      </c>
    </row>
    <row r="20049" spans="13:16">
      <c r="M20049" s="49">
        <f>IF($A$4+200&gt;$B$4,"",$A$4+200)</f>
        <v>46223</v>
      </c>
      <c r="N20049">
        <f>IF(M20049="","",'Master Barang'!A43)</f>
        <v>0</v>
      </c>
      <c r="O20049">
        <f>IF(N20049="","",'Master Barang'!B43)</f>
        <v>0</v>
      </c>
      <c r="P20049">
        <f>IF(OR(M20049="",N20049=""),"",SUMIFS('Barang Keluar'!$E:$E,'Barang Keluar'!$A:$A,M20049,'Barang Keluar'!$C:$C,N20049))</f>
        <v>0</v>
      </c>
    </row>
    <row r="20050" spans="13:16">
      <c r="M20050" s="49">
        <f>IF($A$4+200&gt;$B$4,"",$A$4+200)</f>
        <v>46223</v>
      </c>
      <c r="N20050">
        <f>IF(M20050="","",'Master Barang'!A44)</f>
        <v>0</v>
      </c>
      <c r="O20050">
        <f>IF(N20050="","",'Master Barang'!B44)</f>
        <v>0</v>
      </c>
      <c r="P20050">
        <f>IF(OR(M20050="",N20050=""),"",SUMIFS('Barang Keluar'!$E:$E,'Barang Keluar'!$A:$A,M20050,'Barang Keluar'!$C:$C,N20050))</f>
        <v>0</v>
      </c>
    </row>
    <row r="20051" spans="13:16">
      <c r="M20051" s="49">
        <f>IF($A$4+200&gt;$B$4,"",$A$4+200)</f>
        <v>46223</v>
      </c>
      <c r="N20051">
        <f>IF(M20051="","",'Master Barang'!A45)</f>
        <v>0</v>
      </c>
      <c r="O20051">
        <f>IF(N20051="","",'Master Barang'!B45)</f>
        <v>0</v>
      </c>
      <c r="P20051">
        <f>IF(OR(M20051="",N20051=""),"",SUMIFS('Barang Keluar'!$E:$E,'Barang Keluar'!$A:$A,M20051,'Barang Keluar'!$C:$C,N20051))</f>
        <v>0</v>
      </c>
    </row>
    <row r="20052" spans="13:16">
      <c r="M20052" s="49">
        <f>IF($A$4+200&gt;$B$4,"",$A$4+200)</f>
        <v>46223</v>
      </c>
      <c r="N20052">
        <f>IF(M20052="","",'Master Barang'!A46)</f>
        <v>0</v>
      </c>
      <c r="O20052">
        <f>IF(N20052="","",'Master Barang'!B46)</f>
        <v>0</v>
      </c>
      <c r="P20052">
        <f>IF(OR(M20052="",N20052=""),"",SUMIFS('Barang Keluar'!$E:$E,'Barang Keluar'!$A:$A,M20052,'Barang Keluar'!$C:$C,N20052))</f>
        <v>0</v>
      </c>
    </row>
    <row r="20053" spans="13:16">
      <c r="M20053" s="49">
        <f>IF($A$4+200&gt;$B$4,"",$A$4+200)</f>
        <v>46223</v>
      </c>
      <c r="N20053">
        <f>IF(M20053="","",'Master Barang'!A47)</f>
        <v>0</v>
      </c>
      <c r="O20053">
        <f>IF(N20053="","",'Master Barang'!B47)</f>
        <v>0</v>
      </c>
      <c r="P20053">
        <f>IF(OR(M20053="",N20053=""),"",SUMIFS('Barang Keluar'!$E:$E,'Barang Keluar'!$A:$A,M20053,'Barang Keluar'!$C:$C,N20053))</f>
        <v>0</v>
      </c>
    </row>
    <row r="20054" spans="13:16">
      <c r="M20054" s="49">
        <f>IF($A$4+200&gt;$B$4,"",$A$4+200)</f>
        <v>46223</v>
      </c>
      <c r="N20054">
        <f>IF(M20054="","",'Master Barang'!A48)</f>
        <v>0</v>
      </c>
      <c r="O20054">
        <f>IF(N20054="","",'Master Barang'!B48)</f>
        <v>0</v>
      </c>
      <c r="P20054">
        <f>IF(OR(M20054="",N20054=""),"",SUMIFS('Barang Keluar'!$E:$E,'Barang Keluar'!$A:$A,M20054,'Barang Keluar'!$C:$C,N20054))</f>
        <v>0</v>
      </c>
    </row>
    <row r="20055" spans="13:16">
      <c r="M20055" s="49">
        <f>IF($A$4+200&gt;$B$4,"",$A$4+200)</f>
        <v>46223</v>
      </c>
      <c r="N20055">
        <f>IF(M20055="","",'Master Barang'!A49)</f>
        <v>0</v>
      </c>
      <c r="O20055">
        <f>IF(N20055="","",'Master Barang'!B49)</f>
        <v>0</v>
      </c>
      <c r="P20055">
        <f>IF(OR(M20055="",N20055=""),"",SUMIFS('Barang Keluar'!$E:$E,'Barang Keluar'!$A:$A,M20055,'Barang Keluar'!$C:$C,N20055))</f>
        <v>0</v>
      </c>
    </row>
    <row r="20056" spans="13:16">
      <c r="M20056" s="49">
        <f>IF($A$4+200&gt;$B$4,"",$A$4+200)</f>
        <v>46223</v>
      </c>
      <c r="N20056">
        <f>IF(M20056="","",'Master Barang'!A50)</f>
        <v>0</v>
      </c>
      <c r="O20056">
        <f>IF(N20056="","",'Master Barang'!B50)</f>
        <v>0</v>
      </c>
      <c r="P20056">
        <f>IF(OR(M20056="",N20056=""),"",SUMIFS('Barang Keluar'!$E:$E,'Barang Keluar'!$A:$A,M20056,'Barang Keluar'!$C:$C,N20056))</f>
        <v>0</v>
      </c>
    </row>
    <row r="20057" spans="13:16">
      <c r="M20057" s="49">
        <f>IF($A$4+200&gt;$B$4,"",$A$4+200)</f>
        <v>46223</v>
      </c>
      <c r="N20057">
        <f>IF(M20057="","",'Master Barang'!A51)</f>
        <v>0</v>
      </c>
      <c r="O20057">
        <f>IF(N20057="","",'Master Barang'!B51)</f>
        <v>0</v>
      </c>
      <c r="P20057">
        <f>IF(OR(M20057="",N20057=""),"",SUMIFS('Barang Keluar'!$E:$E,'Barang Keluar'!$A:$A,M20057,'Barang Keluar'!$C:$C,N20057))</f>
        <v>0</v>
      </c>
    </row>
    <row r="20058" spans="13:16">
      <c r="M20058" s="49">
        <f>IF($A$4+200&gt;$B$4,"",$A$4+200)</f>
        <v>46223</v>
      </c>
      <c r="N20058">
        <f>IF(M20058="","",'Master Barang'!A52)</f>
        <v>0</v>
      </c>
      <c r="O20058">
        <f>IF(N20058="","",'Master Barang'!B52)</f>
        <v>0</v>
      </c>
      <c r="P20058">
        <f>IF(OR(M20058="",N20058=""),"",SUMIFS('Barang Keluar'!$E:$E,'Barang Keluar'!$A:$A,M20058,'Barang Keluar'!$C:$C,N20058))</f>
        <v>0</v>
      </c>
    </row>
    <row r="20059" spans="13:16">
      <c r="M20059" s="49">
        <f>IF($A$4+200&gt;$B$4,"",$A$4+200)</f>
        <v>46223</v>
      </c>
      <c r="N20059">
        <f>IF(M20059="","",'Master Barang'!A53)</f>
        <v>0</v>
      </c>
      <c r="O20059">
        <f>IF(N20059="","",'Master Barang'!B53)</f>
        <v>0</v>
      </c>
      <c r="P20059">
        <f>IF(OR(M20059="",N20059=""),"",SUMIFS('Barang Keluar'!$E:$E,'Barang Keluar'!$A:$A,M20059,'Barang Keluar'!$C:$C,N20059))</f>
        <v>0</v>
      </c>
    </row>
    <row r="20060" spans="13:16">
      <c r="M20060" s="49">
        <f>IF($A$4+200&gt;$B$4,"",$A$4+200)</f>
        <v>46223</v>
      </c>
      <c r="N20060">
        <f>IF(M20060="","",'Master Barang'!A54)</f>
        <v>0</v>
      </c>
      <c r="O20060">
        <f>IF(N20060="","",'Master Barang'!B54)</f>
        <v>0</v>
      </c>
      <c r="P20060">
        <f>IF(OR(M20060="",N20060=""),"",SUMIFS('Barang Keluar'!$E:$E,'Barang Keluar'!$A:$A,M20060,'Barang Keluar'!$C:$C,N20060))</f>
        <v>0</v>
      </c>
    </row>
    <row r="20061" spans="13:16">
      <c r="M20061" s="49">
        <f>IF($A$4+200&gt;$B$4,"",$A$4+200)</f>
        <v>46223</v>
      </c>
      <c r="N20061">
        <f>IF(M20061="","",'Master Barang'!A55)</f>
        <v>0</v>
      </c>
      <c r="O20061">
        <f>IF(N20061="","",'Master Barang'!B55)</f>
        <v>0</v>
      </c>
      <c r="P20061">
        <f>IF(OR(M20061="",N20061=""),"",SUMIFS('Barang Keluar'!$E:$E,'Barang Keluar'!$A:$A,M20061,'Barang Keluar'!$C:$C,N20061))</f>
        <v>0</v>
      </c>
    </row>
    <row r="20062" spans="13:16">
      <c r="M20062" s="49">
        <f>IF($A$4+200&gt;$B$4,"",$A$4+200)</f>
        <v>46223</v>
      </c>
      <c r="N20062">
        <f>IF(M20062="","",'Master Barang'!A56)</f>
        <v>0</v>
      </c>
      <c r="O20062">
        <f>IF(N20062="","",'Master Barang'!B56)</f>
        <v>0</v>
      </c>
      <c r="P20062">
        <f>IF(OR(M20062="",N20062=""),"",SUMIFS('Barang Keluar'!$E:$E,'Barang Keluar'!$A:$A,M20062,'Barang Keluar'!$C:$C,N20062))</f>
        <v>0</v>
      </c>
    </row>
    <row r="20063" spans="13:16">
      <c r="M20063" s="49">
        <f>IF($A$4+200&gt;$B$4,"",$A$4+200)</f>
        <v>46223</v>
      </c>
      <c r="N20063">
        <f>IF(M20063="","",'Master Barang'!A57)</f>
        <v>0</v>
      </c>
      <c r="O20063">
        <f>IF(N20063="","",'Master Barang'!B57)</f>
        <v>0</v>
      </c>
      <c r="P20063">
        <f>IF(OR(M20063="",N20063=""),"",SUMIFS('Barang Keluar'!$E:$E,'Barang Keluar'!$A:$A,M20063,'Barang Keluar'!$C:$C,N20063))</f>
        <v>0</v>
      </c>
    </row>
    <row r="20064" spans="13:16">
      <c r="M20064" s="49">
        <f>IF($A$4+200&gt;$B$4,"",$A$4+200)</f>
        <v>46223</v>
      </c>
      <c r="N20064">
        <f>IF(M20064="","",'Master Barang'!A58)</f>
        <v>0</v>
      </c>
      <c r="O20064">
        <f>IF(N20064="","",'Master Barang'!B58)</f>
        <v>0</v>
      </c>
      <c r="P20064">
        <f>IF(OR(M20064="",N20064=""),"",SUMIFS('Barang Keluar'!$E:$E,'Barang Keluar'!$A:$A,M20064,'Barang Keluar'!$C:$C,N20064))</f>
        <v>0</v>
      </c>
    </row>
    <row r="20065" spans="13:16">
      <c r="M20065" s="49">
        <f>IF($A$4+200&gt;$B$4,"",$A$4+200)</f>
        <v>46223</v>
      </c>
      <c r="N20065">
        <f>IF(M20065="","",'Master Barang'!A59)</f>
        <v>0</v>
      </c>
      <c r="O20065">
        <f>IF(N20065="","",'Master Barang'!B59)</f>
        <v>0</v>
      </c>
      <c r="P20065">
        <f>IF(OR(M20065="",N20065=""),"",SUMIFS('Barang Keluar'!$E:$E,'Barang Keluar'!$A:$A,M20065,'Barang Keluar'!$C:$C,N20065))</f>
        <v>0</v>
      </c>
    </row>
    <row r="20066" spans="13:16">
      <c r="M20066" s="49">
        <f>IF($A$4+200&gt;$B$4,"",$A$4+200)</f>
        <v>46223</v>
      </c>
      <c r="N20066">
        <f>IF(M20066="","",'Master Barang'!A60)</f>
        <v>0</v>
      </c>
      <c r="O20066">
        <f>IF(N20066="","",'Master Barang'!B60)</f>
        <v>0</v>
      </c>
      <c r="P20066">
        <f>IF(OR(M20066="",N20066=""),"",SUMIFS('Barang Keluar'!$E:$E,'Barang Keluar'!$A:$A,M20066,'Barang Keluar'!$C:$C,N20066))</f>
        <v>0</v>
      </c>
    </row>
    <row r="20067" spans="13:16">
      <c r="M20067" s="49">
        <f>IF($A$4+200&gt;$B$4,"",$A$4+200)</f>
        <v>46223</v>
      </c>
      <c r="N20067">
        <f>IF(M20067="","",'Master Barang'!A61)</f>
        <v>0</v>
      </c>
      <c r="O20067">
        <f>IF(N20067="","",'Master Barang'!B61)</f>
        <v>0</v>
      </c>
      <c r="P20067">
        <f>IF(OR(M20067="",N20067=""),"",SUMIFS('Barang Keluar'!$E:$E,'Barang Keluar'!$A:$A,M20067,'Barang Keluar'!$C:$C,N20067))</f>
        <v>0</v>
      </c>
    </row>
    <row r="20068" spans="13:16">
      <c r="M20068" s="49">
        <f>IF($A$4+200&gt;$B$4,"",$A$4+200)</f>
        <v>46223</v>
      </c>
      <c r="N20068">
        <f>IF(M20068="","",'Master Barang'!A62)</f>
        <v>0</v>
      </c>
      <c r="O20068">
        <f>IF(N20068="","",'Master Barang'!B62)</f>
        <v>0</v>
      </c>
      <c r="P20068">
        <f>IF(OR(M20068="",N20068=""),"",SUMIFS('Barang Keluar'!$E:$E,'Barang Keluar'!$A:$A,M20068,'Barang Keluar'!$C:$C,N20068))</f>
        <v>0</v>
      </c>
    </row>
    <row r="20069" spans="13:16">
      <c r="M20069" s="49">
        <f>IF($A$4+200&gt;$B$4,"",$A$4+200)</f>
        <v>46223</v>
      </c>
      <c r="N20069">
        <f>IF(M20069="","",'Master Barang'!A63)</f>
        <v>0</v>
      </c>
      <c r="O20069">
        <f>IF(N20069="","",'Master Barang'!B63)</f>
        <v>0</v>
      </c>
      <c r="P20069">
        <f>IF(OR(M20069="",N20069=""),"",SUMIFS('Barang Keluar'!$E:$E,'Barang Keluar'!$A:$A,M20069,'Barang Keluar'!$C:$C,N20069))</f>
        <v>0</v>
      </c>
    </row>
    <row r="20070" spans="13:16">
      <c r="M20070" s="49">
        <f>IF($A$4+200&gt;$B$4,"",$A$4+200)</f>
        <v>46223</v>
      </c>
      <c r="N20070">
        <f>IF(M20070="","",'Master Barang'!A64)</f>
        <v>0</v>
      </c>
      <c r="O20070">
        <f>IF(N20070="","",'Master Barang'!B64)</f>
        <v>0</v>
      </c>
      <c r="P20070">
        <f>IF(OR(M20070="",N20070=""),"",SUMIFS('Barang Keluar'!$E:$E,'Barang Keluar'!$A:$A,M20070,'Barang Keluar'!$C:$C,N20070))</f>
        <v>0</v>
      </c>
    </row>
    <row r="20071" spans="13:16">
      <c r="M20071" s="49">
        <f>IF($A$4+200&gt;$B$4,"",$A$4+200)</f>
        <v>46223</v>
      </c>
      <c r="N20071">
        <f>IF(M20071="","",'Master Barang'!A65)</f>
        <v>0</v>
      </c>
      <c r="O20071">
        <f>IF(N20071="","",'Master Barang'!B65)</f>
        <v>0</v>
      </c>
      <c r="P20071">
        <f>IF(OR(M20071="",N20071=""),"",SUMIFS('Barang Keluar'!$E:$E,'Barang Keluar'!$A:$A,M20071,'Barang Keluar'!$C:$C,N20071))</f>
        <v>0</v>
      </c>
    </row>
    <row r="20072" spans="13:16">
      <c r="M20072" s="49">
        <f>IF($A$4+200&gt;$B$4,"",$A$4+200)</f>
        <v>46223</v>
      </c>
      <c r="N20072">
        <f>IF(M20072="","",'Master Barang'!A66)</f>
        <v>0</v>
      </c>
      <c r="O20072">
        <f>IF(N20072="","",'Master Barang'!B66)</f>
        <v>0</v>
      </c>
      <c r="P20072">
        <f>IF(OR(M20072="",N20072=""),"",SUMIFS('Barang Keluar'!$E:$E,'Barang Keluar'!$A:$A,M20072,'Barang Keluar'!$C:$C,N20072))</f>
        <v>0</v>
      </c>
    </row>
    <row r="20073" spans="13:16">
      <c r="M20073" s="49">
        <f>IF($A$4+200&gt;$B$4,"",$A$4+200)</f>
        <v>46223</v>
      </c>
      <c r="N20073">
        <f>IF(M20073="","",'Master Barang'!A67)</f>
        <v>0</v>
      </c>
      <c r="O20073">
        <f>IF(N20073="","",'Master Barang'!B67)</f>
        <v>0</v>
      </c>
      <c r="P20073">
        <f>IF(OR(M20073="",N20073=""),"",SUMIFS('Barang Keluar'!$E:$E,'Barang Keluar'!$A:$A,M20073,'Barang Keluar'!$C:$C,N20073))</f>
        <v>0</v>
      </c>
    </row>
    <row r="20074" spans="13:16">
      <c r="M20074" s="49">
        <f>IF($A$4+200&gt;$B$4,"",$A$4+200)</f>
        <v>46223</v>
      </c>
      <c r="N20074">
        <f>IF(M20074="","",'Master Barang'!A68)</f>
        <v>0</v>
      </c>
      <c r="O20074">
        <f>IF(N20074="","",'Master Barang'!B68)</f>
        <v>0</v>
      </c>
      <c r="P20074">
        <f>IF(OR(M20074="",N20074=""),"",SUMIFS('Barang Keluar'!$E:$E,'Barang Keluar'!$A:$A,M20074,'Barang Keluar'!$C:$C,N20074))</f>
        <v>0</v>
      </c>
    </row>
    <row r="20075" spans="13:16">
      <c r="M20075" s="49">
        <f>IF($A$4+200&gt;$B$4,"",$A$4+200)</f>
        <v>46223</v>
      </c>
      <c r="N20075">
        <f>IF(M20075="","",'Master Barang'!A69)</f>
        <v>0</v>
      </c>
      <c r="O20075">
        <f>IF(N20075="","",'Master Barang'!B69)</f>
        <v>0</v>
      </c>
      <c r="P20075">
        <f>IF(OR(M20075="",N20075=""),"",SUMIFS('Barang Keluar'!$E:$E,'Barang Keluar'!$A:$A,M20075,'Barang Keluar'!$C:$C,N20075))</f>
        <v>0</v>
      </c>
    </row>
    <row r="20076" spans="13:16">
      <c r="M20076" s="49">
        <f>IF($A$4+200&gt;$B$4,"",$A$4+200)</f>
        <v>46223</v>
      </c>
      <c r="N20076">
        <f>IF(M20076="","",'Master Barang'!A70)</f>
        <v>0</v>
      </c>
      <c r="O20076">
        <f>IF(N20076="","",'Master Barang'!B70)</f>
        <v>0</v>
      </c>
      <c r="P20076">
        <f>IF(OR(M20076="",N20076=""),"",SUMIFS('Barang Keluar'!$E:$E,'Barang Keluar'!$A:$A,M20076,'Barang Keluar'!$C:$C,N20076))</f>
        <v>0</v>
      </c>
    </row>
    <row r="20077" spans="13:16">
      <c r="M20077" s="49">
        <f>IF($A$4+200&gt;$B$4,"",$A$4+200)</f>
        <v>46223</v>
      </c>
      <c r="N20077">
        <f>IF(M20077="","",'Master Barang'!A71)</f>
        <v>0</v>
      </c>
      <c r="O20077">
        <f>IF(N20077="","",'Master Barang'!B71)</f>
        <v>0</v>
      </c>
      <c r="P20077">
        <f>IF(OR(M20077="",N20077=""),"",SUMIFS('Barang Keluar'!$E:$E,'Barang Keluar'!$A:$A,M20077,'Barang Keluar'!$C:$C,N20077))</f>
        <v>0</v>
      </c>
    </row>
    <row r="20078" spans="13:16">
      <c r="M20078" s="49">
        <f>IF($A$4+200&gt;$B$4,"",$A$4+200)</f>
        <v>46223</v>
      </c>
      <c r="N20078">
        <f>IF(M20078="","",'Master Barang'!A72)</f>
        <v>0</v>
      </c>
      <c r="O20078">
        <f>IF(N20078="","",'Master Barang'!B72)</f>
        <v>0</v>
      </c>
      <c r="P20078">
        <f>IF(OR(M20078="",N20078=""),"",SUMIFS('Barang Keluar'!$E:$E,'Barang Keluar'!$A:$A,M20078,'Barang Keluar'!$C:$C,N20078))</f>
        <v>0</v>
      </c>
    </row>
    <row r="20079" spans="13:16">
      <c r="M20079" s="49">
        <f>IF($A$4+200&gt;$B$4,"",$A$4+200)</f>
        <v>46223</v>
      </c>
      <c r="N20079">
        <f>IF(M20079="","",'Master Barang'!A73)</f>
        <v>0</v>
      </c>
      <c r="O20079">
        <f>IF(N20079="","",'Master Barang'!B73)</f>
        <v>0</v>
      </c>
      <c r="P20079">
        <f>IF(OR(M20079="",N20079=""),"",SUMIFS('Barang Keluar'!$E:$E,'Barang Keluar'!$A:$A,M20079,'Barang Keluar'!$C:$C,N20079))</f>
        <v>0</v>
      </c>
    </row>
    <row r="20080" spans="13:16">
      <c r="M20080" s="49">
        <f>IF($A$4+200&gt;$B$4,"",$A$4+200)</f>
        <v>46223</v>
      </c>
      <c r="N20080">
        <f>IF(M20080="","",'Master Barang'!A74)</f>
        <v>0</v>
      </c>
      <c r="O20080">
        <f>IF(N20080="","",'Master Barang'!B74)</f>
        <v>0</v>
      </c>
      <c r="P20080">
        <f>IF(OR(M20080="",N20080=""),"",SUMIFS('Barang Keluar'!$E:$E,'Barang Keluar'!$A:$A,M20080,'Barang Keluar'!$C:$C,N20080))</f>
        <v>0</v>
      </c>
    </row>
    <row r="20081" spans="13:16">
      <c r="M20081" s="49">
        <f>IF($A$4+200&gt;$B$4,"",$A$4+200)</f>
        <v>46223</v>
      </c>
      <c r="N20081">
        <f>IF(M20081="","",'Master Barang'!A75)</f>
        <v>0</v>
      </c>
      <c r="O20081">
        <f>IF(N20081="","",'Master Barang'!B75)</f>
        <v>0</v>
      </c>
      <c r="P20081">
        <f>IF(OR(M20081="",N20081=""),"",SUMIFS('Barang Keluar'!$E:$E,'Barang Keluar'!$A:$A,M20081,'Barang Keluar'!$C:$C,N20081))</f>
        <v>0</v>
      </c>
    </row>
    <row r="20082" spans="13:16">
      <c r="M20082" s="49">
        <f>IF($A$4+200&gt;$B$4,"",$A$4+200)</f>
        <v>46223</v>
      </c>
      <c r="N20082">
        <f>IF(M20082="","",'Master Barang'!A76)</f>
        <v>0</v>
      </c>
      <c r="O20082">
        <f>IF(N20082="","",'Master Barang'!B76)</f>
        <v>0</v>
      </c>
      <c r="P20082">
        <f>IF(OR(M20082="",N20082=""),"",SUMIFS('Barang Keluar'!$E:$E,'Barang Keluar'!$A:$A,M20082,'Barang Keluar'!$C:$C,N20082))</f>
        <v>0</v>
      </c>
    </row>
    <row r="20083" spans="13:16">
      <c r="M20083" s="49">
        <f>IF($A$4+200&gt;$B$4,"",$A$4+200)</f>
        <v>46223</v>
      </c>
      <c r="N20083">
        <f>IF(M20083="","",'Master Barang'!A77)</f>
        <v>0</v>
      </c>
      <c r="O20083">
        <f>IF(N20083="","",'Master Barang'!B77)</f>
        <v>0</v>
      </c>
      <c r="P20083">
        <f>IF(OR(M20083="",N20083=""),"",SUMIFS('Barang Keluar'!$E:$E,'Barang Keluar'!$A:$A,M20083,'Barang Keluar'!$C:$C,N20083))</f>
        <v>0</v>
      </c>
    </row>
    <row r="20084" spans="13:16">
      <c r="M20084" s="49">
        <f>IF($A$4+200&gt;$B$4,"",$A$4+200)</f>
        <v>46223</v>
      </c>
      <c r="N20084">
        <f>IF(M20084="","",'Master Barang'!A78)</f>
        <v>0</v>
      </c>
      <c r="O20084">
        <f>IF(N20084="","",'Master Barang'!B78)</f>
        <v>0</v>
      </c>
      <c r="P20084">
        <f>IF(OR(M20084="",N20084=""),"",SUMIFS('Barang Keluar'!$E:$E,'Barang Keluar'!$A:$A,M20084,'Barang Keluar'!$C:$C,N20084))</f>
        <v>0</v>
      </c>
    </row>
    <row r="20085" spans="13:16">
      <c r="M20085" s="49">
        <f>IF($A$4+200&gt;$B$4,"",$A$4+200)</f>
        <v>46223</v>
      </c>
      <c r="N20085">
        <f>IF(M20085="","",'Master Barang'!A79)</f>
        <v>0</v>
      </c>
      <c r="O20085">
        <f>IF(N20085="","",'Master Barang'!B79)</f>
        <v>0</v>
      </c>
      <c r="P20085">
        <f>IF(OR(M20085="",N20085=""),"",SUMIFS('Barang Keluar'!$E:$E,'Barang Keluar'!$A:$A,M20085,'Barang Keluar'!$C:$C,N20085))</f>
        <v>0</v>
      </c>
    </row>
    <row r="20086" spans="13:16">
      <c r="M20086" s="49">
        <f>IF($A$4+200&gt;$B$4,"",$A$4+200)</f>
        <v>46223</v>
      </c>
      <c r="N20086">
        <f>IF(M20086="","",'Master Barang'!A80)</f>
        <v>0</v>
      </c>
      <c r="O20086">
        <f>IF(N20086="","",'Master Barang'!B80)</f>
        <v>0</v>
      </c>
      <c r="P20086">
        <f>IF(OR(M20086="",N20086=""),"",SUMIFS('Barang Keluar'!$E:$E,'Barang Keluar'!$A:$A,M20086,'Barang Keluar'!$C:$C,N20086))</f>
        <v>0</v>
      </c>
    </row>
    <row r="20087" spans="13:16">
      <c r="M20087" s="49">
        <f>IF($A$4+200&gt;$B$4,"",$A$4+200)</f>
        <v>46223</v>
      </c>
      <c r="N20087">
        <f>IF(M20087="","",'Master Barang'!A81)</f>
        <v>0</v>
      </c>
      <c r="O20087">
        <f>IF(N20087="","",'Master Barang'!B81)</f>
        <v>0</v>
      </c>
      <c r="P20087">
        <f>IF(OR(M20087="",N20087=""),"",SUMIFS('Barang Keluar'!$E:$E,'Barang Keluar'!$A:$A,M20087,'Barang Keluar'!$C:$C,N20087))</f>
        <v>0</v>
      </c>
    </row>
    <row r="20088" spans="13:16">
      <c r="M20088" s="49">
        <f>IF($A$4+200&gt;$B$4,"",$A$4+200)</f>
        <v>46223</v>
      </c>
      <c r="N20088">
        <f>IF(M20088="","",'Master Barang'!A82)</f>
        <v>0</v>
      </c>
      <c r="O20088">
        <f>IF(N20088="","",'Master Barang'!B82)</f>
        <v>0</v>
      </c>
      <c r="P20088">
        <f>IF(OR(M20088="",N20088=""),"",SUMIFS('Barang Keluar'!$E:$E,'Barang Keluar'!$A:$A,M20088,'Barang Keluar'!$C:$C,N20088))</f>
        <v>0</v>
      </c>
    </row>
    <row r="20089" spans="13:16">
      <c r="M20089" s="49">
        <f>IF($A$4+200&gt;$B$4,"",$A$4+200)</f>
        <v>46223</v>
      </c>
      <c r="N20089">
        <f>IF(M20089="","",'Master Barang'!A83)</f>
        <v>0</v>
      </c>
      <c r="O20089">
        <f>IF(N20089="","",'Master Barang'!B83)</f>
        <v>0</v>
      </c>
      <c r="P20089">
        <f>IF(OR(M20089="",N20089=""),"",SUMIFS('Barang Keluar'!$E:$E,'Barang Keluar'!$A:$A,M20089,'Barang Keluar'!$C:$C,N20089))</f>
        <v>0</v>
      </c>
    </row>
    <row r="20090" spans="13:16">
      <c r="M20090" s="49">
        <f>IF($A$4+200&gt;$B$4,"",$A$4+200)</f>
        <v>46223</v>
      </c>
      <c r="N20090">
        <f>IF(M20090="","",'Master Barang'!A84)</f>
        <v>0</v>
      </c>
      <c r="O20090">
        <f>IF(N20090="","",'Master Barang'!B84)</f>
        <v>0</v>
      </c>
      <c r="P20090">
        <f>IF(OR(M20090="",N20090=""),"",SUMIFS('Barang Keluar'!$E:$E,'Barang Keluar'!$A:$A,M20090,'Barang Keluar'!$C:$C,N20090))</f>
        <v>0</v>
      </c>
    </row>
    <row r="20091" spans="13:16">
      <c r="M20091" s="49">
        <f>IF($A$4+200&gt;$B$4,"",$A$4+200)</f>
        <v>46223</v>
      </c>
      <c r="N20091">
        <f>IF(M20091="","",'Master Barang'!A85)</f>
        <v>0</v>
      </c>
      <c r="O20091">
        <f>IF(N20091="","",'Master Barang'!B85)</f>
        <v>0</v>
      </c>
      <c r="P20091">
        <f>IF(OR(M20091="",N20091=""),"",SUMIFS('Barang Keluar'!$E:$E,'Barang Keluar'!$A:$A,M20091,'Barang Keluar'!$C:$C,N20091))</f>
        <v>0</v>
      </c>
    </row>
    <row r="20092" spans="13:16">
      <c r="M20092" s="49">
        <f>IF($A$4+200&gt;$B$4,"",$A$4+200)</f>
        <v>46223</v>
      </c>
      <c r="N20092">
        <f>IF(M20092="","",'Master Barang'!A86)</f>
        <v>0</v>
      </c>
      <c r="O20092">
        <f>IF(N20092="","",'Master Barang'!B86)</f>
        <v>0</v>
      </c>
      <c r="P20092">
        <f>IF(OR(M20092="",N20092=""),"",SUMIFS('Barang Keluar'!$E:$E,'Barang Keluar'!$A:$A,M20092,'Barang Keluar'!$C:$C,N20092))</f>
        <v>0</v>
      </c>
    </row>
    <row r="20093" spans="13:16">
      <c r="M20093" s="49">
        <f>IF($A$4+200&gt;$B$4,"",$A$4+200)</f>
        <v>46223</v>
      </c>
      <c r="N20093">
        <f>IF(M20093="","",'Master Barang'!A87)</f>
        <v>0</v>
      </c>
      <c r="O20093">
        <f>IF(N20093="","",'Master Barang'!B87)</f>
        <v>0</v>
      </c>
      <c r="P20093">
        <f>IF(OR(M20093="",N20093=""),"",SUMIFS('Barang Keluar'!$E:$E,'Barang Keluar'!$A:$A,M20093,'Barang Keluar'!$C:$C,N20093))</f>
        <v>0</v>
      </c>
    </row>
    <row r="20094" spans="13:16">
      <c r="M20094" s="49">
        <f>IF($A$4+200&gt;$B$4,"",$A$4+200)</f>
        <v>46223</v>
      </c>
      <c r="N20094">
        <f>IF(M20094="","",'Master Barang'!A88)</f>
        <v>0</v>
      </c>
      <c r="O20094">
        <f>IF(N20094="","",'Master Barang'!B88)</f>
        <v>0</v>
      </c>
      <c r="P20094">
        <f>IF(OR(M20094="",N20094=""),"",SUMIFS('Barang Keluar'!$E:$E,'Barang Keluar'!$A:$A,M20094,'Barang Keluar'!$C:$C,N20094))</f>
        <v>0</v>
      </c>
    </row>
    <row r="20095" spans="13:16">
      <c r="M20095" s="49">
        <f>IF($A$4+200&gt;$B$4,"",$A$4+200)</f>
        <v>46223</v>
      </c>
      <c r="N20095">
        <f>IF(M20095="","",'Master Barang'!A89)</f>
        <v>0</v>
      </c>
      <c r="O20095">
        <f>IF(N20095="","",'Master Barang'!B89)</f>
        <v>0</v>
      </c>
      <c r="P20095">
        <f>IF(OR(M20095="",N20095=""),"",SUMIFS('Barang Keluar'!$E:$E,'Barang Keluar'!$A:$A,M20095,'Barang Keluar'!$C:$C,N20095))</f>
        <v>0</v>
      </c>
    </row>
    <row r="20096" spans="13:16">
      <c r="M20096" s="49">
        <f>IF($A$4+200&gt;$B$4,"",$A$4+200)</f>
        <v>46223</v>
      </c>
      <c r="N20096">
        <f>IF(M20096="","",'Master Barang'!A90)</f>
        <v>0</v>
      </c>
      <c r="O20096">
        <f>IF(N20096="","",'Master Barang'!B90)</f>
        <v>0</v>
      </c>
      <c r="P20096">
        <f>IF(OR(M20096="",N20096=""),"",SUMIFS('Barang Keluar'!$E:$E,'Barang Keluar'!$A:$A,M20096,'Barang Keluar'!$C:$C,N20096))</f>
        <v>0</v>
      </c>
    </row>
    <row r="20097" spans="13:16">
      <c r="M20097" s="49">
        <f>IF($A$4+200&gt;$B$4,"",$A$4+200)</f>
        <v>46223</v>
      </c>
      <c r="N20097">
        <f>IF(M20097="","",'Master Barang'!A91)</f>
        <v>0</v>
      </c>
      <c r="O20097">
        <f>IF(N20097="","",'Master Barang'!B91)</f>
        <v>0</v>
      </c>
      <c r="P20097">
        <f>IF(OR(M20097="",N20097=""),"",SUMIFS('Barang Keluar'!$E:$E,'Barang Keluar'!$A:$A,M20097,'Barang Keluar'!$C:$C,N20097))</f>
        <v>0</v>
      </c>
    </row>
    <row r="20098" spans="13:16">
      <c r="M20098" s="49">
        <f>IF($A$4+200&gt;$B$4,"",$A$4+200)</f>
        <v>46223</v>
      </c>
      <c r="N20098">
        <f>IF(M20098="","",'Master Barang'!A92)</f>
        <v>0</v>
      </c>
      <c r="O20098">
        <f>IF(N20098="","",'Master Barang'!B92)</f>
        <v>0</v>
      </c>
      <c r="P20098">
        <f>IF(OR(M20098="",N20098=""),"",SUMIFS('Barang Keluar'!$E:$E,'Barang Keluar'!$A:$A,M20098,'Barang Keluar'!$C:$C,N20098))</f>
        <v>0</v>
      </c>
    </row>
    <row r="20099" spans="13:16">
      <c r="M20099" s="49">
        <f>IF($A$4+200&gt;$B$4,"",$A$4+200)</f>
        <v>46223</v>
      </c>
      <c r="N20099">
        <f>IF(M20099="","",'Master Barang'!A93)</f>
        <v>0</v>
      </c>
      <c r="O20099">
        <f>IF(N20099="","",'Master Barang'!B93)</f>
        <v>0</v>
      </c>
      <c r="P20099">
        <f>IF(OR(M20099="",N20099=""),"",SUMIFS('Barang Keluar'!$E:$E,'Barang Keluar'!$A:$A,M20099,'Barang Keluar'!$C:$C,N20099))</f>
        <v>0</v>
      </c>
    </row>
    <row r="20100" spans="13:16">
      <c r="M20100" s="49">
        <f>IF($A$4+200&gt;$B$4,"",$A$4+200)</f>
        <v>46223</v>
      </c>
      <c r="N20100">
        <f>IF(M20100="","",'Master Barang'!A94)</f>
        <v>0</v>
      </c>
      <c r="O20100">
        <f>IF(N20100="","",'Master Barang'!B94)</f>
        <v>0</v>
      </c>
      <c r="P20100">
        <f>IF(OR(M20100="",N20100=""),"",SUMIFS('Barang Keluar'!$E:$E,'Barang Keluar'!$A:$A,M20100,'Barang Keluar'!$C:$C,N20100))</f>
        <v>0</v>
      </c>
    </row>
    <row r="20101" spans="13:16">
      <c r="M20101" s="49">
        <f>IF($A$4+200&gt;$B$4,"",$A$4+200)</f>
        <v>46223</v>
      </c>
      <c r="N20101">
        <f>IF(M20101="","",'Master Barang'!A95)</f>
        <v>0</v>
      </c>
      <c r="O20101">
        <f>IF(N20101="","",'Master Barang'!B95)</f>
        <v>0</v>
      </c>
      <c r="P20101">
        <f>IF(OR(M20101="",N20101=""),"",SUMIFS('Barang Keluar'!$E:$E,'Barang Keluar'!$A:$A,M20101,'Barang Keluar'!$C:$C,N20101))</f>
        <v>0</v>
      </c>
    </row>
    <row r="20102" spans="13:16">
      <c r="M20102" s="49">
        <f>IF($A$4+200&gt;$B$4,"",$A$4+200)</f>
        <v>46223</v>
      </c>
      <c r="N20102">
        <f>IF(M20102="","",'Master Barang'!A96)</f>
        <v>0</v>
      </c>
      <c r="O20102">
        <f>IF(N20102="","",'Master Barang'!B96)</f>
        <v>0</v>
      </c>
      <c r="P20102">
        <f>IF(OR(M20102="",N20102=""),"",SUMIFS('Barang Keluar'!$E:$E,'Barang Keluar'!$A:$A,M20102,'Barang Keluar'!$C:$C,N20102))</f>
        <v>0</v>
      </c>
    </row>
    <row r="20103" spans="13:16">
      <c r="M20103" s="49">
        <f>IF($A$4+200&gt;$B$4,"",$A$4+200)</f>
        <v>46223</v>
      </c>
      <c r="N20103">
        <f>IF(M20103="","",'Master Barang'!A97)</f>
        <v>0</v>
      </c>
      <c r="O20103">
        <f>IF(N20103="","",'Master Barang'!B97)</f>
        <v>0</v>
      </c>
      <c r="P20103">
        <f>IF(OR(M20103="",N20103=""),"",SUMIFS('Barang Keluar'!$E:$E,'Barang Keluar'!$A:$A,M20103,'Barang Keluar'!$C:$C,N20103))</f>
        <v>0</v>
      </c>
    </row>
    <row r="20104" spans="13:16">
      <c r="M20104" s="49">
        <f>IF($A$4+200&gt;$B$4,"",$A$4+200)</f>
        <v>46223</v>
      </c>
      <c r="N20104">
        <f>IF(M20104="","",'Master Barang'!A98)</f>
        <v>0</v>
      </c>
      <c r="O20104">
        <f>IF(N20104="","",'Master Barang'!B98)</f>
        <v>0</v>
      </c>
      <c r="P20104">
        <f>IF(OR(M20104="",N20104=""),"",SUMIFS('Barang Keluar'!$E:$E,'Barang Keluar'!$A:$A,M20104,'Barang Keluar'!$C:$C,N20104))</f>
        <v>0</v>
      </c>
    </row>
    <row r="20105" spans="13:16">
      <c r="M20105" s="49">
        <f>IF($A$4+200&gt;$B$4,"",$A$4+200)</f>
        <v>46223</v>
      </c>
      <c r="N20105">
        <f>IF(M20105="","",'Master Barang'!A99)</f>
        <v>0</v>
      </c>
      <c r="O20105">
        <f>IF(N20105="","",'Master Barang'!B99)</f>
        <v>0</v>
      </c>
      <c r="P20105">
        <f>IF(OR(M20105="",N20105=""),"",SUMIFS('Barang Keluar'!$E:$E,'Barang Keluar'!$A:$A,M20105,'Barang Keluar'!$C:$C,N20105))</f>
        <v>0</v>
      </c>
    </row>
    <row r="20106" spans="13:16">
      <c r="M20106" s="49">
        <f>IF($A$4+200&gt;$B$4,"",$A$4+200)</f>
        <v>46223</v>
      </c>
      <c r="N20106">
        <f>IF(M20106="","",'Master Barang'!A100)</f>
        <v>0</v>
      </c>
      <c r="O20106">
        <f>IF(N20106="","",'Master Barang'!B100)</f>
        <v>0</v>
      </c>
      <c r="P20106">
        <f>IF(OR(M20106="",N20106=""),"",SUMIFS('Barang Keluar'!$E:$E,'Barang Keluar'!$A:$A,M20106,'Barang Keluar'!$C:$C,N20106))</f>
        <v>0</v>
      </c>
    </row>
    <row r="20107" spans="13:16">
      <c r="M20107" s="49">
        <f>IF($A$4+200&gt;$B$4,"",$A$4+200)</f>
        <v>46223</v>
      </c>
      <c r="N20107">
        <f>IF(M20107="","",'Master Barang'!A101)</f>
        <v>0</v>
      </c>
      <c r="O20107">
        <f>IF(N20107="","",'Master Barang'!B101)</f>
        <v>0</v>
      </c>
      <c r="P20107">
        <f>IF(OR(M20107="",N20107=""),"",SUMIFS('Barang Keluar'!$E:$E,'Barang Keluar'!$A:$A,M20107,'Barang Keluar'!$C:$C,N20107))</f>
        <v>0</v>
      </c>
    </row>
    <row r="20108" spans="13:16">
      <c r="M20108" s="49">
        <f>IF($A$4+201&gt;$B$4,"",$A$4+201)</f>
        <v>46224</v>
      </c>
      <c r="N20108" t="str">
        <f>IF(M20108="","",'Master Barang'!A2)</f>
        <v>PRL-001</v>
      </c>
      <c r="O20108" t="str">
        <f>IF(N20108="","",'Master Barang'!B2)</f>
        <v>natura desinfectant food grade 5l</v>
      </c>
      <c r="P20108">
        <f>IF(OR(M20108="",N20108=""),"",SUMIFS('Barang Keluar'!$E:$E,'Barang Keluar'!$A:$A,M20108,'Barang Keluar'!$C:$C,N20108))</f>
        <v>0</v>
      </c>
    </row>
    <row r="20109" spans="13:16">
      <c r="M20109" s="49">
        <f>IF($A$4+201&gt;$B$4,"",$A$4+201)</f>
        <v>46224</v>
      </c>
      <c r="N20109" t="str">
        <f>IF(M20109="","",'Master Barang'!A3)</f>
        <v>PRL-002</v>
      </c>
      <c r="O20109" t="str">
        <f>IF(N20109="","",'Master Barang'!B3)</f>
        <v>sunlight cairan pencuci piring 5l</v>
      </c>
      <c r="P20109">
        <f>IF(OR(M20109="",N20109=""),"",SUMIFS('Barang Keluar'!$E:$E,'Barang Keluar'!$A:$A,M20109,'Barang Keluar'!$C:$C,N20109))</f>
        <v>0</v>
      </c>
    </row>
    <row r="20110" spans="13:16">
      <c r="M20110" s="49">
        <f>IF($A$4+201&gt;$B$4,"",$A$4+201)</f>
        <v>46224</v>
      </c>
      <c r="N20110" t="str">
        <f>IF(M20110="","",'Master Barang'!A4)</f>
        <v>PRL-003</v>
      </c>
      <c r="O20110" t="str">
        <f>IF(N20110="","",'Master Barang'!B4)</f>
        <v>oixs cleaner 1l</v>
      </c>
      <c r="P20110">
        <f>IF(OR(M20110="",N20110=""),"",SUMIFS('Barang Keluar'!$E:$E,'Barang Keluar'!$A:$A,M20110,'Barang Keluar'!$C:$C,N20110))</f>
        <v>0</v>
      </c>
    </row>
    <row r="20111" spans="13:16">
      <c r="M20111" s="49">
        <f>IF($A$4+201&gt;$B$4,"",$A$4+201)</f>
        <v>46224</v>
      </c>
      <c r="N20111" t="str">
        <f>IF(M20111="","",'Master Barang'!A5)</f>
        <v>PRL-004</v>
      </c>
      <c r="O20111" t="str">
        <f>IF(N20111="","",'Master Barang'!B5)</f>
        <v>be clean tissue serbaguna</v>
      </c>
      <c r="P20111">
        <f>IF(OR(M20111="",N20111=""),"",SUMIFS('Barang Keluar'!$E:$E,'Barang Keluar'!$A:$A,M20111,'Barang Keluar'!$C:$C,N20111))</f>
        <v>0</v>
      </c>
    </row>
    <row r="20112" spans="13:16">
      <c r="M20112" s="49">
        <f>IF($A$4+201&gt;$B$4,"",$A$4+201)</f>
        <v>46224</v>
      </c>
      <c r="N20112" t="str">
        <f>IF(M20112="","",'Master Barang'!A6)</f>
        <v>PRL-005</v>
      </c>
      <c r="O20112" t="str">
        <f>IF(N20112="","",'Master Barang'!B6)</f>
        <v>spons cuci hijau</v>
      </c>
      <c r="P20112">
        <f>IF(OR(M20112="",N20112=""),"",SUMIFS('Barang Keluar'!$E:$E,'Barang Keluar'!$A:$A,M20112,'Barang Keluar'!$C:$C,N20112))</f>
        <v>0</v>
      </c>
    </row>
    <row r="20113" spans="13:16">
      <c r="M20113" s="49">
        <f>IF($A$4+201&gt;$B$4,"",$A$4+201)</f>
        <v>46224</v>
      </c>
      <c r="N20113" t="str">
        <f>IF(M20113="","",'Master Barang'!A7)</f>
        <v>PRL-006</v>
      </c>
      <c r="O20113" t="str">
        <f>IF(N20113="","",'Master Barang'!B7)</f>
        <v>sabut cuci stainless</v>
      </c>
      <c r="P20113">
        <f>IF(OR(M20113="",N20113=""),"",SUMIFS('Barang Keluar'!$E:$E,'Barang Keluar'!$A:$A,M20113,'Barang Keluar'!$C:$C,N20113))</f>
        <v>0</v>
      </c>
    </row>
    <row r="20114" spans="13:16">
      <c r="M20114" s="49">
        <f>IF($A$4+201&gt;$B$4,"",$A$4+201)</f>
        <v>46224</v>
      </c>
      <c r="N20114" t="str">
        <f>IF(M20114="","",'Master Barang'!A8)</f>
        <v>PRL-007</v>
      </c>
      <c r="O20114" t="str">
        <f>IF(N20114="","",'Master Barang'!B8)</f>
        <v>plastik kresek besar merah 50pc</v>
      </c>
      <c r="P20114">
        <f>IF(OR(M20114="",N20114=""),"",SUMIFS('Barang Keluar'!$E:$E,'Barang Keluar'!$A:$A,M20114,'Barang Keluar'!$C:$C,N20114))</f>
        <v>0</v>
      </c>
    </row>
    <row r="20115" spans="13:16">
      <c r="M20115" s="49">
        <f>IF($A$4+201&gt;$B$4,"",$A$4+201)</f>
        <v>46224</v>
      </c>
      <c r="N20115" t="str">
        <f>IF(M20115="","",'Master Barang'!A9)</f>
        <v>PRL-008</v>
      </c>
      <c r="O20115" t="str">
        <f>IF(N20115="","",'Master Barang'!B9)</f>
        <v>lap besar</v>
      </c>
      <c r="P20115">
        <f>IF(OR(M20115="",N20115=""),"",SUMIFS('Barang Keluar'!$E:$E,'Barang Keluar'!$A:$A,M20115,'Barang Keluar'!$C:$C,N20115))</f>
        <v>0</v>
      </c>
    </row>
    <row r="20116" spans="13:16">
      <c r="M20116" s="49">
        <f>IF($A$4+201&gt;$B$4,"",$A$4+201)</f>
        <v>46224</v>
      </c>
      <c r="N20116" t="str">
        <f>IF(M20116="","",'Master Barang'!A10)</f>
        <v>PRL-009</v>
      </c>
      <c r="O20116" t="str">
        <f>IF(N20116="","",'Master Barang'!B10)</f>
        <v>lap microfiber</v>
      </c>
      <c r="P20116">
        <f>IF(OR(M20116="",N20116=""),"",SUMIFS('Barang Keluar'!$E:$E,'Barang Keluar'!$A:$A,M20116,'Barang Keluar'!$C:$C,N20116))</f>
        <v>0</v>
      </c>
    </row>
    <row r="20117" spans="13:16">
      <c r="M20117" s="49">
        <f>IF($A$4+201&gt;$B$4,"",$A$4+201)</f>
        <v>46224</v>
      </c>
      <c r="N20117" t="str">
        <f>IF(M20117="","",'Master Barang'!A11)</f>
        <v>PRL-010</v>
      </c>
      <c r="O20117" t="str">
        <f>IF(N20117="","",'Master Barang'!B11)</f>
        <v>lap kecil</v>
      </c>
      <c r="P20117">
        <f>IF(OR(M20117="",N20117=""),"",SUMIFS('Barang Keluar'!$E:$E,'Barang Keluar'!$A:$A,M20117,'Barang Keluar'!$C:$C,N20117))</f>
        <v>0</v>
      </c>
    </row>
    <row r="20118" spans="13:16">
      <c r="M20118" s="49">
        <f>IF($A$4+201&gt;$B$4,"",$A$4+201)</f>
        <v>46224</v>
      </c>
      <c r="N20118" t="str">
        <f>IF(M20118="","",'Master Barang'!A12)</f>
        <v>PRL-011</v>
      </c>
      <c r="O20118" t="str">
        <f>IF(N20118="","",'Master Barang'!B12)</f>
        <v>kanebo kecil</v>
      </c>
      <c r="P20118">
        <f>IF(OR(M20118="",N20118=""),"",SUMIFS('Barang Keluar'!$E:$E,'Barang Keluar'!$A:$A,M20118,'Barang Keluar'!$C:$C,N20118))</f>
        <v>0</v>
      </c>
    </row>
    <row r="20119" spans="13:16">
      <c r="M20119" s="49">
        <f>IF($A$4+201&gt;$B$4,"",$A$4+201)</f>
        <v>46224</v>
      </c>
      <c r="N20119" t="str">
        <f>IF(M20119="","",'Master Barang'!A13)</f>
        <v>PRL-012</v>
      </c>
      <c r="O20119" t="str">
        <f>IF(N20119="","",'Master Barang'!B13)</f>
        <v>plastik 1/4kg joyoboyo 100 lembar</v>
      </c>
      <c r="P20119">
        <f>IF(OR(M20119="",N20119=""),"",SUMIFS('Barang Keluar'!$E:$E,'Barang Keluar'!$A:$A,M20119,'Barang Keluar'!$C:$C,N20119))</f>
        <v>0</v>
      </c>
    </row>
    <row r="20120" spans="13:16">
      <c r="M20120" s="49">
        <f>IF($A$4+201&gt;$B$4,"",$A$4+201)</f>
        <v>46224</v>
      </c>
      <c r="N20120" t="str">
        <f>IF(M20120="","",'Master Barang'!A14)</f>
        <v>PRL-013</v>
      </c>
      <c r="O20120" t="str">
        <f>IF(N20120="","",'Master Barang'!B14)</f>
        <v>sarung tangan plastik kaka 100 pcs</v>
      </c>
      <c r="P20120">
        <f>IF(OR(M20120="",N20120=""),"",SUMIFS('Barang Keluar'!$E:$E,'Barang Keluar'!$A:$A,M20120,'Barang Keluar'!$C:$C,N20120))</f>
        <v>0</v>
      </c>
    </row>
    <row r="20121" spans="13:16">
      <c r="M20121" s="49">
        <f>IF($A$4+201&gt;$B$4,"",$A$4+201)</f>
        <v>46224</v>
      </c>
      <c r="N20121" t="str">
        <f>IF(M20121="","",'Master Barang'!A15)</f>
        <v>PRL-014</v>
      </c>
      <c r="O20121" t="str">
        <f>IF(N20121="","",'Master Barang'!B15)</f>
        <v>optima trashbag 80x100</v>
      </c>
      <c r="P20121">
        <f>IF(OR(M20121="",N20121=""),"",SUMIFS('Barang Keluar'!$E:$E,'Barang Keluar'!$A:$A,M20121,'Barang Keluar'!$C:$C,N20121))</f>
        <v>0</v>
      </c>
    </row>
    <row r="20122" spans="13:16">
      <c r="M20122" s="49">
        <f>IF($A$4+201&gt;$B$4,"",$A$4+201)</f>
        <v>46224</v>
      </c>
      <c r="N20122" t="str">
        <f>IF(M20122="","",'Master Barang'!A16)</f>
        <v>PRL-015</v>
      </c>
      <c r="O20122" t="str">
        <f>IF(N20122="","",'Master Barang'!B16)</f>
        <v>optima trashbag 60x100</v>
      </c>
      <c r="P20122">
        <f>IF(OR(M20122="",N20122=""),"",SUMIFS('Barang Keluar'!$E:$E,'Barang Keluar'!$A:$A,M20122,'Barang Keluar'!$C:$C,N20122))</f>
        <v>0</v>
      </c>
    </row>
    <row r="20123" spans="13:16">
      <c r="M20123" s="49">
        <f>IF($A$4+201&gt;$B$4,"",$A$4+201)</f>
        <v>46224</v>
      </c>
      <c r="N20123" t="str">
        <f>IF(M20123="","",'Master Barang'!A17)</f>
        <v>PRL-016</v>
      </c>
      <c r="O20123" t="str">
        <f>IF(N20123="","",'Master Barang'!B17)</f>
        <v>rajawali trashbag 30x40</v>
      </c>
      <c r="P20123">
        <f>IF(OR(M20123="",N20123=""),"",SUMIFS('Barang Keluar'!$E:$E,'Barang Keluar'!$A:$A,M20123,'Barang Keluar'!$C:$C,N20123))</f>
        <v>0</v>
      </c>
    </row>
    <row r="20124" spans="13:16">
      <c r="M20124" s="49">
        <f>IF($A$4+201&gt;$B$4,"",$A$4+201)</f>
        <v>46224</v>
      </c>
      <c r="N20124" t="str">
        <f>IF(M20124="","",'Master Barang'!A18)</f>
        <v>PRL-017</v>
      </c>
      <c r="O20124" t="str">
        <f>IF(N20124="","",'Master Barang'!B18)</f>
        <v>onemed masker biru 3 play 50 pcs</v>
      </c>
      <c r="P20124">
        <f>IF(OR(M20124="",N20124=""),"",SUMIFS('Barang Keluar'!$E:$E,'Barang Keluar'!$A:$A,M20124,'Barang Keluar'!$C:$C,N20124))</f>
        <v>0</v>
      </c>
    </row>
    <row r="20125" spans="13:16">
      <c r="M20125" s="49">
        <f>IF($A$4+201&gt;$B$4,"",$A$4+201)</f>
        <v>46224</v>
      </c>
      <c r="N20125" t="str">
        <f>IF(M20125="","",'Master Barang'!A19)</f>
        <v>PRL-018</v>
      </c>
      <c r="O20125" t="str">
        <f>IF(N20125="","",'Master Barang'!B19)</f>
        <v>onemed masker biru 3 play hijab 50 pcs</v>
      </c>
      <c r="P20125">
        <f>IF(OR(M20125="",N20125=""),"",SUMIFS('Barang Keluar'!$E:$E,'Barang Keluar'!$A:$A,M20125,'Barang Keluar'!$C:$C,N20125))</f>
        <v>0</v>
      </c>
    </row>
    <row r="20126" spans="13:16">
      <c r="M20126" s="49">
        <f>IF($A$4+201&gt;$B$4,"",$A$4+201)</f>
        <v>46224</v>
      </c>
      <c r="N20126" t="str">
        <f>IF(M20126="","",'Master Barang'!A20)</f>
        <v>PRL-019</v>
      </c>
      <c r="O20126" t="str">
        <f>IF(N20126="","",'Master Barang'!B20)</f>
        <v>neo health masker biru 3 play 50 pcs</v>
      </c>
      <c r="P20126">
        <f>IF(OR(M20126="",N20126=""),"",SUMIFS('Barang Keluar'!$E:$E,'Barang Keluar'!$A:$A,M20126,'Barang Keluar'!$C:$C,N20126))</f>
        <v>0</v>
      </c>
    </row>
    <row r="20127" spans="13:16">
      <c r="M20127" s="49">
        <f>IF($A$4+201&gt;$B$4,"",$A$4+201)</f>
        <v>46224</v>
      </c>
      <c r="N20127" t="str">
        <f>IF(M20127="","",'Master Barang'!A21)</f>
        <v>PRL-020</v>
      </c>
      <c r="O20127" t="str">
        <f>IF(N20127="","",'Master Barang'!B21)</f>
        <v>baymed masker hijau 3 play hijau 50 pcs</v>
      </c>
      <c r="P20127">
        <f>IF(OR(M20127="",N20127=""),"",SUMIFS('Barang Keluar'!$E:$E,'Barang Keluar'!$A:$A,M20127,'Barang Keluar'!$C:$C,N20127))</f>
        <v>0</v>
      </c>
    </row>
    <row r="20128" spans="13:16">
      <c r="M20128" s="49">
        <f>IF($A$4+201&gt;$B$4,"",$A$4+201)</f>
        <v>46224</v>
      </c>
      <c r="N20128" t="str">
        <f>IF(M20128="","",'Master Barang'!A22)</f>
        <v>PRL-021</v>
      </c>
      <c r="O20128" t="str">
        <f>IF(N20128="","",'Master Barang'!B22)</f>
        <v>altamed nurse cap penutup kepala 100 pcs</v>
      </c>
      <c r="P20128">
        <f>IF(OR(M20128="",N20128=""),"",SUMIFS('Barang Keluar'!$E:$E,'Barang Keluar'!$A:$A,M20128,'Barang Keluar'!$C:$C,N20128))</f>
        <v>0</v>
      </c>
    </row>
    <row r="20129" spans="13:16">
      <c r="M20129" s="49">
        <f>IF($A$4+201&gt;$B$4,"",$A$4+201)</f>
        <v>46224</v>
      </c>
      <c r="N20129" t="str">
        <f>IF(M20129="","",'Master Barang'!A23)</f>
        <v>PRL-022</v>
      </c>
      <c r="O20129" t="str">
        <f>IF(N20129="","",'Master Barang'!B23)</f>
        <v>sabun cuci tangan</v>
      </c>
      <c r="P20129">
        <f>IF(OR(M20129="",N20129=""),"",SUMIFS('Barang Keluar'!$E:$E,'Barang Keluar'!$A:$A,M20129,'Barang Keluar'!$C:$C,N20129))</f>
        <v>0</v>
      </c>
    </row>
    <row r="20130" spans="13:16">
      <c r="M20130" s="49">
        <f>IF($A$4+201&gt;$B$4,"",$A$4+201)</f>
        <v>46224</v>
      </c>
      <c r="N20130" t="str">
        <f>IF(M20130="","",'Master Barang'!A24)</f>
        <v>PRL-023</v>
      </c>
      <c r="O20130" t="str">
        <f>IF(N20130="","",'Master Barang'!B24)</f>
        <v>gayung kecil</v>
      </c>
      <c r="P20130">
        <f>IF(OR(M20130="",N20130=""),"",SUMIFS('Barang Keluar'!$E:$E,'Barang Keluar'!$A:$A,M20130,'Barang Keluar'!$C:$C,N20130))</f>
        <v>0</v>
      </c>
    </row>
    <row r="20131" spans="13:16">
      <c r="M20131" s="49">
        <f>IF($A$4+201&gt;$B$4,"",$A$4+201)</f>
        <v>46224</v>
      </c>
      <c r="N20131" t="str">
        <f>IF(M20131="","",'Master Barang'!A25)</f>
        <v>PRL-024</v>
      </c>
      <c r="O20131" t="str">
        <f>IF(N20131="","",'Master Barang'!B25)</f>
        <v>cikrak kecil</v>
      </c>
      <c r="P20131">
        <f>IF(OR(M20131="",N20131=""),"",SUMIFS('Barang Keluar'!$E:$E,'Barang Keluar'!$A:$A,M20131,'Barang Keluar'!$C:$C,N20131))</f>
        <v>0</v>
      </c>
    </row>
    <row r="20132" spans="13:16">
      <c r="M20132" s="49">
        <f>IF($A$4+201&gt;$B$4,"",$A$4+201)</f>
        <v>46224</v>
      </c>
      <c r="N20132" t="str">
        <f>IF(M20132="","",'Master Barang'!A26)</f>
        <v>PRL-025</v>
      </c>
      <c r="O20132" t="str">
        <f>IF(N20132="","",'Master Barang'!B26)</f>
        <v>petromax plastik kecil 12x24 100 lembar</v>
      </c>
      <c r="P20132">
        <f>IF(OR(M20132="",N20132=""),"",SUMIFS('Barang Keluar'!$E:$E,'Barang Keluar'!$A:$A,M20132,'Barang Keluar'!$C:$C,N20132))</f>
        <v>0</v>
      </c>
    </row>
    <row r="20133" spans="13:16">
      <c r="M20133" s="49">
        <f>IF($A$4+201&gt;$B$4,"",$A$4+201)</f>
        <v>46224</v>
      </c>
      <c r="N20133" t="str">
        <f>IF(M20133="","",'Master Barang'!A27)</f>
        <v>PRL-026</v>
      </c>
      <c r="O20133" t="str">
        <f>IF(N20133="","",'Master Barang'!B27)</f>
        <v>lancar kresek kecil bening </v>
      </c>
      <c r="P20133">
        <f>IF(OR(M20133="",N20133=""),"",SUMIFS('Barang Keluar'!$E:$E,'Barang Keluar'!$A:$A,M20133,'Barang Keluar'!$C:$C,N20133))</f>
        <v>0</v>
      </c>
    </row>
    <row r="20134" spans="13:16">
      <c r="M20134" s="49">
        <f>IF($A$4+201&gt;$B$4,"",$A$4+201)</f>
        <v>46224</v>
      </c>
      <c r="N20134" t="str">
        <f>IF(M20134="","",'Master Barang'!A28)</f>
        <v>PRL-027</v>
      </c>
      <c r="O20134" t="str">
        <f>IF(N20134="","",'Master Barang'!B28)</f>
        <v>kresek klin warna warni kecil</v>
      </c>
      <c r="P20134">
        <f>IF(OR(M20134="",N20134=""),"",SUMIFS('Barang Keluar'!$E:$E,'Barang Keluar'!$A:$A,M20134,'Barang Keluar'!$C:$C,N20134))</f>
        <v>0</v>
      </c>
    </row>
    <row r="20135" spans="13:16">
      <c r="M20135" s="49">
        <f>IF($A$4+201&gt;$B$4,"",$A$4+201)</f>
        <v>46224</v>
      </c>
      <c r="N20135" t="str">
        <f>IF(M20135="","",'Master Barang'!A29)</f>
        <v>PRL-028</v>
      </c>
      <c r="O20135" t="str">
        <f>IF(N20135="","",'Master Barang'!B29)</f>
        <v>ctik plastik 7x10 100 pcs</v>
      </c>
      <c r="P20135">
        <f>IF(OR(M20135="",N20135=""),"",SUMIFS('Barang Keluar'!$E:$E,'Barang Keluar'!$A:$A,M20135,'Barang Keluar'!$C:$C,N20135))</f>
        <v>0</v>
      </c>
    </row>
    <row r="20136" spans="13:16">
      <c r="M20136" s="49">
        <f>IF($A$4+201&gt;$B$4,"",$A$4+201)</f>
        <v>46224</v>
      </c>
      <c r="N20136" t="str">
        <f>IF(M20136="","",'Master Barang'!A30)</f>
        <v>PRL-029</v>
      </c>
      <c r="O20136" t="str">
        <f>IF(N20136="","",'Master Barang'!B30)</f>
        <v>ctik plastik 6x10 100 pcs</v>
      </c>
      <c r="P20136">
        <f>IF(OR(M20136="",N20136=""),"",SUMIFS('Barang Keluar'!$E:$E,'Barang Keluar'!$A:$A,M20136,'Barang Keluar'!$C:$C,N20136))</f>
        <v>0</v>
      </c>
    </row>
    <row r="20137" spans="13:16">
      <c r="M20137" s="49">
        <f>IF($A$4+201&gt;$B$4,"",$A$4+201)</f>
        <v>46224</v>
      </c>
      <c r="N20137" t="str">
        <f>IF(M20137="","",'Master Barang'!A31)</f>
        <v>PRL-030</v>
      </c>
      <c r="O20137" t="str">
        <f>IF(N20137="","",'Master Barang'!B31)</f>
        <v>klip plastik 25x16 100 pcs</v>
      </c>
      <c r="P20137">
        <f>IF(OR(M20137="",N20137=""),"",SUMIFS('Barang Keluar'!$E:$E,'Barang Keluar'!$A:$A,M20137,'Barang Keluar'!$C:$C,N20137))</f>
        <v>0</v>
      </c>
    </row>
    <row r="20138" spans="13:16">
      <c r="M20138" s="49">
        <f>IF($A$4+201&gt;$B$4,"",$A$4+201)</f>
        <v>46224</v>
      </c>
      <c r="N20138" t="str">
        <f>IF(M20138="","",'Master Barang'!A32)</f>
        <v>PRL-031</v>
      </c>
      <c r="O20138" t="str">
        <f>IF(N20138="","",'Master Barang'!B32)</f>
        <v>tempat saus 20 ml</v>
      </c>
      <c r="P20138">
        <f>IF(OR(M20138="",N20138=""),"",SUMIFS('Barang Keluar'!$E:$E,'Barang Keluar'!$A:$A,M20138,'Barang Keluar'!$C:$C,N20138))</f>
        <v>0</v>
      </c>
    </row>
    <row r="20139" spans="13:16">
      <c r="M20139" s="49">
        <f>IF($A$4+201&gt;$B$4,"",$A$4+201)</f>
        <v>46224</v>
      </c>
      <c r="N20139" t="str">
        <f>IF(M20139="","",'Master Barang'!A33)</f>
        <v>PRL-032</v>
      </c>
      <c r="O20139" t="str">
        <f>IF(N20139="","",'Master Barang'!B33)</f>
        <v>plastik packaging ag box uk sedang</v>
      </c>
      <c r="P20139">
        <f>IF(OR(M20139="",N20139=""),"",SUMIFS('Barang Keluar'!$E:$E,'Barang Keluar'!$A:$A,M20139,'Barang Keluar'!$C:$C,N20139))</f>
        <v>0</v>
      </c>
    </row>
    <row r="20140" spans="13:16">
      <c r="M20140" s="49">
        <f>IF($A$4+201&gt;$B$4,"",$A$4+201)</f>
        <v>46224</v>
      </c>
      <c r="N20140" t="str">
        <f>IF(M20140="","",'Master Barang'!A34)</f>
        <v>PRL-033</v>
      </c>
      <c r="O20140">
        <f>IF(N20140="","",'Master Barang'!B34)</f>
        <v>0</v>
      </c>
      <c r="P20140">
        <f>IF(OR(M20140="",N20140=""),"",SUMIFS('Barang Keluar'!$E:$E,'Barang Keluar'!$A:$A,M20140,'Barang Keluar'!$C:$C,N20140))</f>
        <v>0</v>
      </c>
    </row>
    <row r="20141" spans="13:16">
      <c r="M20141" s="49">
        <f>IF($A$4+201&gt;$B$4,"",$A$4+201)</f>
        <v>46224</v>
      </c>
      <c r="N20141">
        <f>IF(M20141="","",'Master Barang'!A35)</f>
        <v>0</v>
      </c>
      <c r="O20141">
        <f>IF(N20141="","",'Master Barang'!B35)</f>
        <v>0</v>
      </c>
      <c r="P20141">
        <f>IF(OR(M20141="",N20141=""),"",SUMIFS('Barang Keluar'!$E:$E,'Barang Keluar'!$A:$A,M20141,'Barang Keluar'!$C:$C,N20141))</f>
        <v>0</v>
      </c>
    </row>
    <row r="20142" spans="13:16">
      <c r="M20142" s="49">
        <f>IF($A$4+201&gt;$B$4,"",$A$4+201)</f>
        <v>46224</v>
      </c>
      <c r="N20142">
        <f>IF(M20142="","",'Master Barang'!A36)</f>
        <v>0</v>
      </c>
      <c r="O20142">
        <f>IF(N20142="","",'Master Barang'!B36)</f>
        <v>0</v>
      </c>
      <c r="P20142">
        <f>IF(OR(M20142="",N20142=""),"",SUMIFS('Barang Keluar'!$E:$E,'Barang Keluar'!$A:$A,M20142,'Barang Keluar'!$C:$C,N20142))</f>
        <v>0</v>
      </c>
    </row>
    <row r="20143" spans="13:16">
      <c r="M20143" s="49">
        <f>IF($A$4+201&gt;$B$4,"",$A$4+201)</f>
        <v>46224</v>
      </c>
      <c r="N20143">
        <f>IF(M20143="","",'Master Barang'!A37)</f>
        <v>0</v>
      </c>
      <c r="O20143">
        <f>IF(N20143="","",'Master Barang'!B37)</f>
        <v>0</v>
      </c>
      <c r="P20143">
        <f>IF(OR(M20143="",N20143=""),"",SUMIFS('Barang Keluar'!$E:$E,'Barang Keluar'!$A:$A,M20143,'Barang Keluar'!$C:$C,N20143))</f>
        <v>0</v>
      </c>
    </row>
    <row r="20144" spans="13:16">
      <c r="M20144" s="49">
        <f>IF($A$4+201&gt;$B$4,"",$A$4+201)</f>
        <v>46224</v>
      </c>
      <c r="N20144">
        <f>IF(M20144="","",'Master Barang'!A38)</f>
        <v>0</v>
      </c>
      <c r="O20144">
        <f>IF(N20144="","",'Master Barang'!B38)</f>
        <v>0</v>
      </c>
      <c r="P20144">
        <f>IF(OR(M20144="",N20144=""),"",SUMIFS('Barang Keluar'!$E:$E,'Barang Keluar'!$A:$A,M20144,'Barang Keluar'!$C:$C,N20144))</f>
        <v>0</v>
      </c>
    </row>
    <row r="20145" spans="13:16">
      <c r="M20145" s="49">
        <f>IF($A$4+201&gt;$B$4,"",$A$4+201)</f>
        <v>46224</v>
      </c>
      <c r="N20145">
        <f>IF(M20145="","",'Master Barang'!A39)</f>
        <v>0</v>
      </c>
      <c r="O20145">
        <f>IF(N20145="","",'Master Barang'!B39)</f>
        <v>0</v>
      </c>
      <c r="P20145">
        <f>IF(OR(M20145="",N20145=""),"",SUMIFS('Barang Keluar'!$E:$E,'Barang Keluar'!$A:$A,M20145,'Barang Keluar'!$C:$C,N20145))</f>
        <v>0</v>
      </c>
    </row>
    <row r="20146" spans="13:16">
      <c r="M20146" s="49">
        <f>IF($A$4+201&gt;$B$4,"",$A$4+201)</f>
        <v>46224</v>
      </c>
      <c r="N20146">
        <f>IF(M20146="","",'Master Barang'!A40)</f>
        <v>0</v>
      </c>
      <c r="O20146">
        <f>IF(N20146="","",'Master Barang'!B40)</f>
        <v>0</v>
      </c>
      <c r="P20146">
        <f>IF(OR(M20146="",N20146=""),"",SUMIFS('Barang Keluar'!$E:$E,'Barang Keluar'!$A:$A,M20146,'Barang Keluar'!$C:$C,N20146))</f>
        <v>0</v>
      </c>
    </row>
    <row r="20147" spans="13:16">
      <c r="M20147" s="49">
        <f>IF($A$4+201&gt;$B$4,"",$A$4+201)</f>
        <v>46224</v>
      </c>
      <c r="N20147">
        <f>IF(M20147="","",'Master Barang'!A41)</f>
        <v>0</v>
      </c>
      <c r="O20147">
        <f>IF(N20147="","",'Master Barang'!B41)</f>
        <v>0</v>
      </c>
      <c r="P20147">
        <f>IF(OR(M20147="",N20147=""),"",SUMIFS('Barang Keluar'!$E:$E,'Barang Keluar'!$A:$A,M20147,'Barang Keluar'!$C:$C,N20147))</f>
        <v>0</v>
      </c>
    </row>
    <row r="20148" spans="13:16">
      <c r="M20148" s="49">
        <f>IF($A$4+201&gt;$B$4,"",$A$4+201)</f>
        <v>46224</v>
      </c>
      <c r="N20148">
        <f>IF(M20148="","",'Master Barang'!A42)</f>
        <v>0</v>
      </c>
      <c r="O20148">
        <f>IF(N20148="","",'Master Barang'!B42)</f>
        <v>0</v>
      </c>
      <c r="P20148">
        <f>IF(OR(M20148="",N20148=""),"",SUMIFS('Barang Keluar'!$E:$E,'Barang Keluar'!$A:$A,M20148,'Barang Keluar'!$C:$C,N20148))</f>
        <v>0</v>
      </c>
    </row>
    <row r="20149" spans="13:16">
      <c r="M20149" s="49">
        <f>IF($A$4+201&gt;$B$4,"",$A$4+201)</f>
        <v>46224</v>
      </c>
      <c r="N20149">
        <f>IF(M20149="","",'Master Barang'!A43)</f>
        <v>0</v>
      </c>
      <c r="O20149">
        <f>IF(N20149="","",'Master Barang'!B43)</f>
        <v>0</v>
      </c>
      <c r="P20149">
        <f>IF(OR(M20149="",N20149=""),"",SUMIFS('Barang Keluar'!$E:$E,'Barang Keluar'!$A:$A,M20149,'Barang Keluar'!$C:$C,N20149))</f>
        <v>0</v>
      </c>
    </row>
    <row r="20150" spans="13:16">
      <c r="M20150" s="49">
        <f>IF($A$4+201&gt;$B$4,"",$A$4+201)</f>
        <v>46224</v>
      </c>
      <c r="N20150">
        <f>IF(M20150="","",'Master Barang'!A44)</f>
        <v>0</v>
      </c>
      <c r="O20150">
        <f>IF(N20150="","",'Master Barang'!B44)</f>
        <v>0</v>
      </c>
      <c r="P20150">
        <f>IF(OR(M20150="",N20150=""),"",SUMIFS('Barang Keluar'!$E:$E,'Barang Keluar'!$A:$A,M20150,'Barang Keluar'!$C:$C,N20150))</f>
        <v>0</v>
      </c>
    </row>
    <row r="20151" spans="13:16">
      <c r="M20151" s="49">
        <f>IF($A$4+201&gt;$B$4,"",$A$4+201)</f>
        <v>46224</v>
      </c>
      <c r="N20151">
        <f>IF(M20151="","",'Master Barang'!A45)</f>
        <v>0</v>
      </c>
      <c r="O20151">
        <f>IF(N20151="","",'Master Barang'!B45)</f>
        <v>0</v>
      </c>
      <c r="P20151">
        <f>IF(OR(M20151="",N20151=""),"",SUMIFS('Barang Keluar'!$E:$E,'Barang Keluar'!$A:$A,M20151,'Barang Keluar'!$C:$C,N20151))</f>
        <v>0</v>
      </c>
    </row>
    <row r="20152" spans="13:16">
      <c r="M20152" s="49">
        <f>IF($A$4+201&gt;$B$4,"",$A$4+201)</f>
        <v>46224</v>
      </c>
      <c r="N20152">
        <f>IF(M20152="","",'Master Barang'!A46)</f>
        <v>0</v>
      </c>
      <c r="O20152">
        <f>IF(N20152="","",'Master Barang'!B46)</f>
        <v>0</v>
      </c>
      <c r="P20152">
        <f>IF(OR(M20152="",N20152=""),"",SUMIFS('Barang Keluar'!$E:$E,'Barang Keluar'!$A:$A,M20152,'Barang Keluar'!$C:$C,N20152))</f>
        <v>0</v>
      </c>
    </row>
    <row r="20153" spans="13:16">
      <c r="M20153" s="49">
        <f>IF($A$4+201&gt;$B$4,"",$A$4+201)</f>
        <v>46224</v>
      </c>
      <c r="N20153">
        <f>IF(M20153="","",'Master Barang'!A47)</f>
        <v>0</v>
      </c>
      <c r="O20153">
        <f>IF(N20153="","",'Master Barang'!B47)</f>
        <v>0</v>
      </c>
      <c r="P20153">
        <f>IF(OR(M20153="",N20153=""),"",SUMIFS('Barang Keluar'!$E:$E,'Barang Keluar'!$A:$A,M20153,'Barang Keluar'!$C:$C,N20153))</f>
        <v>0</v>
      </c>
    </row>
    <row r="20154" spans="13:16">
      <c r="M20154" s="49">
        <f>IF($A$4+201&gt;$B$4,"",$A$4+201)</f>
        <v>46224</v>
      </c>
      <c r="N20154">
        <f>IF(M20154="","",'Master Barang'!A48)</f>
        <v>0</v>
      </c>
      <c r="O20154">
        <f>IF(N20154="","",'Master Barang'!B48)</f>
        <v>0</v>
      </c>
      <c r="P20154">
        <f>IF(OR(M20154="",N20154=""),"",SUMIFS('Barang Keluar'!$E:$E,'Barang Keluar'!$A:$A,M20154,'Barang Keluar'!$C:$C,N20154))</f>
        <v>0</v>
      </c>
    </row>
    <row r="20155" spans="13:16">
      <c r="M20155" s="49">
        <f>IF($A$4+201&gt;$B$4,"",$A$4+201)</f>
        <v>46224</v>
      </c>
      <c r="N20155">
        <f>IF(M20155="","",'Master Barang'!A49)</f>
        <v>0</v>
      </c>
      <c r="O20155">
        <f>IF(N20155="","",'Master Barang'!B49)</f>
        <v>0</v>
      </c>
      <c r="P20155">
        <f>IF(OR(M20155="",N20155=""),"",SUMIFS('Barang Keluar'!$E:$E,'Barang Keluar'!$A:$A,M20155,'Barang Keluar'!$C:$C,N20155))</f>
        <v>0</v>
      </c>
    </row>
    <row r="20156" spans="13:16">
      <c r="M20156" s="49">
        <f>IF($A$4+201&gt;$B$4,"",$A$4+201)</f>
        <v>46224</v>
      </c>
      <c r="N20156">
        <f>IF(M20156="","",'Master Barang'!A50)</f>
        <v>0</v>
      </c>
      <c r="O20156">
        <f>IF(N20156="","",'Master Barang'!B50)</f>
        <v>0</v>
      </c>
      <c r="P20156">
        <f>IF(OR(M20156="",N20156=""),"",SUMIFS('Barang Keluar'!$E:$E,'Barang Keluar'!$A:$A,M20156,'Barang Keluar'!$C:$C,N20156))</f>
        <v>0</v>
      </c>
    </row>
    <row r="20157" spans="13:16">
      <c r="M20157" s="49">
        <f>IF($A$4+201&gt;$B$4,"",$A$4+201)</f>
        <v>46224</v>
      </c>
      <c r="N20157">
        <f>IF(M20157="","",'Master Barang'!A51)</f>
        <v>0</v>
      </c>
      <c r="O20157">
        <f>IF(N20157="","",'Master Barang'!B51)</f>
        <v>0</v>
      </c>
      <c r="P20157">
        <f>IF(OR(M20157="",N20157=""),"",SUMIFS('Barang Keluar'!$E:$E,'Barang Keluar'!$A:$A,M20157,'Barang Keluar'!$C:$C,N20157))</f>
        <v>0</v>
      </c>
    </row>
    <row r="20158" spans="13:16">
      <c r="M20158" s="49">
        <f>IF($A$4+201&gt;$B$4,"",$A$4+201)</f>
        <v>46224</v>
      </c>
      <c r="N20158">
        <f>IF(M20158="","",'Master Barang'!A52)</f>
        <v>0</v>
      </c>
      <c r="O20158">
        <f>IF(N20158="","",'Master Barang'!B52)</f>
        <v>0</v>
      </c>
      <c r="P20158">
        <f>IF(OR(M20158="",N20158=""),"",SUMIFS('Barang Keluar'!$E:$E,'Barang Keluar'!$A:$A,M20158,'Barang Keluar'!$C:$C,N20158))</f>
        <v>0</v>
      </c>
    </row>
    <row r="20159" spans="13:16">
      <c r="M20159" s="49">
        <f>IF($A$4+201&gt;$B$4,"",$A$4+201)</f>
        <v>46224</v>
      </c>
      <c r="N20159">
        <f>IF(M20159="","",'Master Barang'!A53)</f>
        <v>0</v>
      </c>
      <c r="O20159">
        <f>IF(N20159="","",'Master Barang'!B53)</f>
        <v>0</v>
      </c>
      <c r="P20159">
        <f>IF(OR(M20159="",N20159=""),"",SUMIFS('Barang Keluar'!$E:$E,'Barang Keluar'!$A:$A,M20159,'Barang Keluar'!$C:$C,N20159))</f>
        <v>0</v>
      </c>
    </row>
    <row r="20160" spans="13:16">
      <c r="M20160" s="49">
        <f>IF($A$4+201&gt;$B$4,"",$A$4+201)</f>
        <v>46224</v>
      </c>
      <c r="N20160">
        <f>IF(M20160="","",'Master Barang'!A54)</f>
        <v>0</v>
      </c>
      <c r="O20160">
        <f>IF(N20160="","",'Master Barang'!B54)</f>
        <v>0</v>
      </c>
      <c r="P20160">
        <f>IF(OR(M20160="",N20160=""),"",SUMIFS('Barang Keluar'!$E:$E,'Barang Keluar'!$A:$A,M20160,'Barang Keluar'!$C:$C,N20160))</f>
        <v>0</v>
      </c>
    </row>
    <row r="20161" spans="13:16">
      <c r="M20161" s="49">
        <f>IF($A$4+201&gt;$B$4,"",$A$4+201)</f>
        <v>46224</v>
      </c>
      <c r="N20161">
        <f>IF(M20161="","",'Master Barang'!A55)</f>
        <v>0</v>
      </c>
      <c r="O20161">
        <f>IF(N20161="","",'Master Barang'!B55)</f>
        <v>0</v>
      </c>
      <c r="P20161">
        <f>IF(OR(M20161="",N20161=""),"",SUMIFS('Barang Keluar'!$E:$E,'Barang Keluar'!$A:$A,M20161,'Barang Keluar'!$C:$C,N20161))</f>
        <v>0</v>
      </c>
    </row>
    <row r="20162" spans="13:16">
      <c r="M20162" s="49">
        <f>IF($A$4+201&gt;$B$4,"",$A$4+201)</f>
        <v>46224</v>
      </c>
      <c r="N20162">
        <f>IF(M20162="","",'Master Barang'!A56)</f>
        <v>0</v>
      </c>
      <c r="O20162">
        <f>IF(N20162="","",'Master Barang'!B56)</f>
        <v>0</v>
      </c>
      <c r="P20162">
        <f>IF(OR(M20162="",N20162=""),"",SUMIFS('Barang Keluar'!$E:$E,'Barang Keluar'!$A:$A,M20162,'Barang Keluar'!$C:$C,N20162))</f>
        <v>0</v>
      </c>
    </row>
    <row r="20163" spans="13:16">
      <c r="M20163" s="49">
        <f>IF($A$4+201&gt;$B$4,"",$A$4+201)</f>
        <v>46224</v>
      </c>
      <c r="N20163">
        <f>IF(M20163="","",'Master Barang'!A57)</f>
        <v>0</v>
      </c>
      <c r="O20163">
        <f>IF(N20163="","",'Master Barang'!B57)</f>
        <v>0</v>
      </c>
      <c r="P20163">
        <f>IF(OR(M20163="",N20163=""),"",SUMIFS('Barang Keluar'!$E:$E,'Barang Keluar'!$A:$A,M20163,'Barang Keluar'!$C:$C,N20163))</f>
        <v>0</v>
      </c>
    </row>
    <row r="20164" spans="13:16">
      <c r="M20164" s="49">
        <f>IF($A$4+201&gt;$B$4,"",$A$4+201)</f>
        <v>46224</v>
      </c>
      <c r="N20164">
        <f>IF(M20164="","",'Master Barang'!A58)</f>
        <v>0</v>
      </c>
      <c r="O20164">
        <f>IF(N20164="","",'Master Barang'!B58)</f>
        <v>0</v>
      </c>
      <c r="P20164">
        <f>IF(OR(M20164="",N20164=""),"",SUMIFS('Barang Keluar'!$E:$E,'Barang Keluar'!$A:$A,M20164,'Barang Keluar'!$C:$C,N20164))</f>
        <v>0</v>
      </c>
    </row>
    <row r="20165" spans="13:16">
      <c r="M20165" s="49">
        <f>IF($A$4+201&gt;$B$4,"",$A$4+201)</f>
        <v>46224</v>
      </c>
      <c r="N20165">
        <f>IF(M20165="","",'Master Barang'!A59)</f>
        <v>0</v>
      </c>
      <c r="O20165">
        <f>IF(N20165="","",'Master Barang'!B59)</f>
        <v>0</v>
      </c>
      <c r="P20165">
        <f>IF(OR(M20165="",N20165=""),"",SUMIFS('Barang Keluar'!$E:$E,'Barang Keluar'!$A:$A,M20165,'Barang Keluar'!$C:$C,N20165))</f>
        <v>0</v>
      </c>
    </row>
    <row r="20166" spans="13:16">
      <c r="M20166" s="49">
        <f>IF($A$4+201&gt;$B$4,"",$A$4+201)</f>
        <v>46224</v>
      </c>
      <c r="N20166">
        <f>IF(M20166="","",'Master Barang'!A60)</f>
        <v>0</v>
      </c>
      <c r="O20166">
        <f>IF(N20166="","",'Master Barang'!B60)</f>
        <v>0</v>
      </c>
      <c r="P20166">
        <f>IF(OR(M20166="",N20166=""),"",SUMIFS('Barang Keluar'!$E:$E,'Barang Keluar'!$A:$A,M20166,'Barang Keluar'!$C:$C,N20166))</f>
        <v>0</v>
      </c>
    </row>
    <row r="20167" spans="13:16">
      <c r="M20167" s="49">
        <f>IF($A$4+201&gt;$B$4,"",$A$4+201)</f>
        <v>46224</v>
      </c>
      <c r="N20167">
        <f>IF(M20167="","",'Master Barang'!A61)</f>
        <v>0</v>
      </c>
      <c r="O20167">
        <f>IF(N20167="","",'Master Barang'!B61)</f>
        <v>0</v>
      </c>
      <c r="P20167">
        <f>IF(OR(M20167="",N20167=""),"",SUMIFS('Barang Keluar'!$E:$E,'Barang Keluar'!$A:$A,M20167,'Barang Keluar'!$C:$C,N20167))</f>
        <v>0</v>
      </c>
    </row>
    <row r="20168" spans="13:16">
      <c r="M20168" s="49">
        <f>IF($A$4+201&gt;$B$4,"",$A$4+201)</f>
        <v>46224</v>
      </c>
      <c r="N20168">
        <f>IF(M20168="","",'Master Barang'!A62)</f>
        <v>0</v>
      </c>
      <c r="O20168">
        <f>IF(N20168="","",'Master Barang'!B62)</f>
        <v>0</v>
      </c>
      <c r="P20168">
        <f>IF(OR(M20168="",N20168=""),"",SUMIFS('Barang Keluar'!$E:$E,'Barang Keluar'!$A:$A,M20168,'Barang Keluar'!$C:$C,N20168))</f>
        <v>0</v>
      </c>
    </row>
    <row r="20169" spans="13:16">
      <c r="M20169" s="49">
        <f>IF($A$4+201&gt;$B$4,"",$A$4+201)</f>
        <v>46224</v>
      </c>
      <c r="N20169">
        <f>IF(M20169="","",'Master Barang'!A63)</f>
        <v>0</v>
      </c>
      <c r="O20169">
        <f>IF(N20169="","",'Master Barang'!B63)</f>
        <v>0</v>
      </c>
      <c r="P20169">
        <f>IF(OR(M20169="",N20169=""),"",SUMIFS('Barang Keluar'!$E:$E,'Barang Keluar'!$A:$A,M20169,'Barang Keluar'!$C:$C,N20169))</f>
        <v>0</v>
      </c>
    </row>
    <row r="20170" spans="13:16">
      <c r="M20170" s="49">
        <f>IF($A$4+201&gt;$B$4,"",$A$4+201)</f>
        <v>46224</v>
      </c>
      <c r="N20170">
        <f>IF(M20170="","",'Master Barang'!A64)</f>
        <v>0</v>
      </c>
      <c r="O20170">
        <f>IF(N20170="","",'Master Barang'!B64)</f>
        <v>0</v>
      </c>
      <c r="P20170">
        <f>IF(OR(M20170="",N20170=""),"",SUMIFS('Barang Keluar'!$E:$E,'Barang Keluar'!$A:$A,M20170,'Barang Keluar'!$C:$C,N20170))</f>
        <v>0</v>
      </c>
    </row>
    <row r="20171" spans="13:16">
      <c r="M20171" s="49">
        <f>IF($A$4+201&gt;$B$4,"",$A$4+201)</f>
        <v>46224</v>
      </c>
      <c r="N20171">
        <f>IF(M20171="","",'Master Barang'!A65)</f>
        <v>0</v>
      </c>
      <c r="O20171">
        <f>IF(N20171="","",'Master Barang'!B65)</f>
        <v>0</v>
      </c>
      <c r="P20171">
        <f>IF(OR(M20171="",N20171=""),"",SUMIFS('Barang Keluar'!$E:$E,'Barang Keluar'!$A:$A,M20171,'Barang Keluar'!$C:$C,N20171))</f>
        <v>0</v>
      </c>
    </row>
    <row r="20172" spans="13:16">
      <c r="M20172" s="49">
        <f>IF($A$4+201&gt;$B$4,"",$A$4+201)</f>
        <v>46224</v>
      </c>
      <c r="N20172">
        <f>IF(M20172="","",'Master Barang'!A66)</f>
        <v>0</v>
      </c>
      <c r="O20172">
        <f>IF(N20172="","",'Master Barang'!B66)</f>
        <v>0</v>
      </c>
      <c r="P20172">
        <f>IF(OR(M20172="",N20172=""),"",SUMIFS('Barang Keluar'!$E:$E,'Barang Keluar'!$A:$A,M20172,'Barang Keluar'!$C:$C,N20172))</f>
        <v>0</v>
      </c>
    </row>
    <row r="20173" spans="13:16">
      <c r="M20173" s="49">
        <f>IF($A$4+201&gt;$B$4,"",$A$4+201)</f>
        <v>46224</v>
      </c>
      <c r="N20173">
        <f>IF(M20173="","",'Master Barang'!A67)</f>
        <v>0</v>
      </c>
      <c r="O20173">
        <f>IF(N20173="","",'Master Barang'!B67)</f>
        <v>0</v>
      </c>
      <c r="P20173">
        <f>IF(OR(M20173="",N20173=""),"",SUMIFS('Barang Keluar'!$E:$E,'Barang Keluar'!$A:$A,M20173,'Barang Keluar'!$C:$C,N20173))</f>
        <v>0</v>
      </c>
    </row>
    <row r="20174" spans="13:16">
      <c r="M20174" s="49">
        <f>IF($A$4+201&gt;$B$4,"",$A$4+201)</f>
        <v>46224</v>
      </c>
      <c r="N20174">
        <f>IF(M20174="","",'Master Barang'!A68)</f>
        <v>0</v>
      </c>
      <c r="O20174">
        <f>IF(N20174="","",'Master Barang'!B68)</f>
        <v>0</v>
      </c>
      <c r="P20174">
        <f>IF(OR(M20174="",N20174=""),"",SUMIFS('Barang Keluar'!$E:$E,'Barang Keluar'!$A:$A,M20174,'Barang Keluar'!$C:$C,N20174))</f>
        <v>0</v>
      </c>
    </row>
    <row r="20175" spans="13:16">
      <c r="M20175" s="49">
        <f>IF($A$4+201&gt;$B$4,"",$A$4+201)</f>
        <v>46224</v>
      </c>
      <c r="N20175">
        <f>IF(M20175="","",'Master Barang'!A69)</f>
        <v>0</v>
      </c>
      <c r="O20175">
        <f>IF(N20175="","",'Master Barang'!B69)</f>
        <v>0</v>
      </c>
      <c r="P20175">
        <f>IF(OR(M20175="",N20175=""),"",SUMIFS('Barang Keluar'!$E:$E,'Barang Keluar'!$A:$A,M20175,'Barang Keluar'!$C:$C,N20175))</f>
        <v>0</v>
      </c>
    </row>
    <row r="20176" spans="13:16">
      <c r="M20176" s="49">
        <f>IF($A$4+201&gt;$B$4,"",$A$4+201)</f>
        <v>46224</v>
      </c>
      <c r="N20176">
        <f>IF(M20176="","",'Master Barang'!A70)</f>
        <v>0</v>
      </c>
      <c r="O20176">
        <f>IF(N20176="","",'Master Barang'!B70)</f>
        <v>0</v>
      </c>
      <c r="P20176">
        <f>IF(OR(M20176="",N20176=""),"",SUMIFS('Barang Keluar'!$E:$E,'Barang Keluar'!$A:$A,M20176,'Barang Keluar'!$C:$C,N20176))</f>
        <v>0</v>
      </c>
    </row>
    <row r="20177" spans="13:16">
      <c r="M20177" s="49">
        <f>IF($A$4+201&gt;$B$4,"",$A$4+201)</f>
        <v>46224</v>
      </c>
      <c r="N20177">
        <f>IF(M20177="","",'Master Barang'!A71)</f>
        <v>0</v>
      </c>
      <c r="O20177">
        <f>IF(N20177="","",'Master Barang'!B71)</f>
        <v>0</v>
      </c>
      <c r="P20177">
        <f>IF(OR(M20177="",N20177=""),"",SUMIFS('Barang Keluar'!$E:$E,'Barang Keluar'!$A:$A,M20177,'Barang Keluar'!$C:$C,N20177))</f>
        <v>0</v>
      </c>
    </row>
    <row r="20178" spans="13:16">
      <c r="M20178" s="49">
        <f>IF($A$4+201&gt;$B$4,"",$A$4+201)</f>
        <v>46224</v>
      </c>
      <c r="N20178">
        <f>IF(M20178="","",'Master Barang'!A72)</f>
        <v>0</v>
      </c>
      <c r="O20178">
        <f>IF(N20178="","",'Master Barang'!B72)</f>
        <v>0</v>
      </c>
      <c r="P20178">
        <f>IF(OR(M20178="",N20178=""),"",SUMIFS('Barang Keluar'!$E:$E,'Barang Keluar'!$A:$A,M20178,'Barang Keluar'!$C:$C,N20178))</f>
        <v>0</v>
      </c>
    </row>
    <row r="20179" spans="13:16">
      <c r="M20179" s="49">
        <f>IF($A$4+201&gt;$B$4,"",$A$4+201)</f>
        <v>46224</v>
      </c>
      <c r="N20179">
        <f>IF(M20179="","",'Master Barang'!A73)</f>
        <v>0</v>
      </c>
      <c r="O20179">
        <f>IF(N20179="","",'Master Barang'!B73)</f>
        <v>0</v>
      </c>
      <c r="P20179">
        <f>IF(OR(M20179="",N20179=""),"",SUMIFS('Barang Keluar'!$E:$E,'Barang Keluar'!$A:$A,M20179,'Barang Keluar'!$C:$C,N20179))</f>
        <v>0</v>
      </c>
    </row>
    <row r="20180" spans="13:16">
      <c r="M20180" s="49">
        <f>IF($A$4+201&gt;$B$4,"",$A$4+201)</f>
        <v>46224</v>
      </c>
      <c r="N20180">
        <f>IF(M20180="","",'Master Barang'!A74)</f>
        <v>0</v>
      </c>
      <c r="O20180">
        <f>IF(N20180="","",'Master Barang'!B74)</f>
        <v>0</v>
      </c>
      <c r="P20180">
        <f>IF(OR(M20180="",N20180=""),"",SUMIFS('Barang Keluar'!$E:$E,'Barang Keluar'!$A:$A,M20180,'Barang Keluar'!$C:$C,N20180))</f>
        <v>0</v>
      </c>
    </row>
    <row r="20181" spans="13:16">
      <c r="M20181" s="49">
        <f>IF($A$4+201&gt;$B$4,"",$A$4+201)</f>
        <v>46224</v>
      </c>
      <c r="N20181">
        <f>IF(M20181="","",'Master Barang'!A75)</f>
        <v>0</v>
      </c>
      <c r="O20181">
        <f>IF(N20181="","",'Master Barang'!B75)</f>
        <v>0</v>
      </c>
      <c r="P20181">
        <f>IF(OR(M20181="",N20181=""),"",SUMIFS('Barang Keluar'!$E:$E,'Barang Keluar'!$A:$A,M20181,'Barang Keluar'!$C:$C,N20181))</f>
        <v>0</v>
      </c>
    </row>
    <row r="20182" spans="13:16">
      <c r="M20182" s="49">
        <f>IF($A$4+201&gt;$B$4,"",$A$4+201)</f>
        <v>46224</v>
      </c>
      <c r="N20182">
        <f>IF(M20182="","",'Master Barang'!A76)</f>
        <v>0</v>
      </c>
      <c r="O20182">
        <f>IF(N20182="","",'Master Barang'!B76)</f>
        <v>0</v>
      </c>
      <c r="P20182">
        <f>IF(OR(M20182="",N20182=""),"",SUMIFS('Barang Keluar'!$E:$E,'Barang Keluar'!$A:$A,M20182,'Barang Keluar'!$C:$C,N20182))</f>
        <v>0</v>
      </c>
    </row>
    <row r="20183" spans="13:16">
      <c r="M20183" s="49">
        <f>IF($A$4+201&gt;$B$4,"",$A$4+201)</f>
        <v>46224</v>
      </c>
      <c r="N20183">
        <f>IF(M20183="","",'Master Barang'!A77)</f>
        <v>0</v>
      </c>
      <c r="O20183">
        <f>IF(N20183="","",'Master Barang'!B77)</f>
        <v>0</v>
      </c>
      <c r="P20183">
        <f>IF(OR(M20183="",N20183=""),"",SUMIFS('Barang Keluar'!$E:$E,'Barang Keluar'!$A:$A,M20183,'Barang Keluar'!$C:$C,N20183))</f>
        <v>0</v>
      </c>
    </row>
    <row r="20184" spans="13:16">
      <c r="M20184" s="49">
        <f>IF($A$4+201&gt;$B$4,"",$A$4+201)</f>
        <v>46224</v>
      </c>
      <c r="N20184">
        <f>IF(M20184="","",'Master Barang'!A78)</f>
        <v>0</v>
      </c>
      <c r="O20184">
        <f>IF(N20184="","",'Master Barang'!B78)</f>
        <v>0</v>
      </c>
      <c r="P20184">
        <f>IF(OR(M20184="",N20184=""),"",SUMIFS('Barang Keluar'!$E:$E,'Barang Keluar'!$A:$A,M20184,'Barang Keluar'!$C:$C,N20184))</f>
        <v>0</v>
      </c>
    </row>
    <row r="20185" spans="13:16">
      <c r="M20185" s="49">
        <f>IF($A$4+201&gt;$B$4,"",$A$4+201)</f>
        <v>46224</v>
      </c>
      <c r="N20185">
        <f>IF(M20185="","",'Master Barang'!A79)</f>
        <v>0</v>
      </c>
      <c r="O20185">
        <f>IF(N20185="","",'Master Barang'!B79)</f>
        <v>0</v>
      </c>
      <c r="P20185">
        <f>IF(OR(M20185="",N20185=""),"",SUMIFS('Barang Keluar'!$E:$E,'Barang Keluar'!$A:$A,M20185,'Barang Keluar'!$C:$C,N20185))</f>
        <v>0</v>
      </c>
    </row>
    <row r="20186" spans="13:16">
      <c r="M20186" s="49">
        <f>IF($A$4+201&gt;$B$4,"",$A$4+201)</f>
        <v>46224</v>
      </c>
      <c r="N20186">
        <f>IF(M20186="","",'Master Barang'!A80)</f>
        <v>0</v>
      </c>
      <c r="O20186">
        <f>IF(N20186="","",'Master Barang'!B80)</f>
        <v>0</v>
      </c>
      <c r="P20186">
        <f>IF(OR(M20186="",N20186=""),"",SUMIFS('Barang Keluar'!$E:$E,'Barang Keluar'!$A:$A,M20186,'Barang Keluar'!$C:$C,N20186))</f>
        <v>0</v>
      </c>
    </row>
    <row r="20187" spans="13:16">
      <c r="M20187" s="49">
        <f>IF($A$4+201&gt;$B$4,"",$A$4+201)</f>
        <v>46224</v>
      </c>
      <c r="N20187">
        <f>IF(M20187="","",'Master Barang'!A81)</f>
        <v>0</v>
      </c>
      <c r="O20187">
        <f>IF(N20187="","",'Master Barang'!B81)</f>
        <v>0</v>
      </c>
      <c r="P20187">
        <f>IF(OR(M20187="",N20187=""),"",SUMIFS('Barang Keluar'!$E:$E,'Barang Keluar'!$A:$A,M20187,'Barang Keluar'!$C:$C,N20187))</f>
        <v>0</v>
      </c>
    </row>
    <row r="20188" spans="13:16">
      <c r="M20188" s="49">
        <f>IF($A$4+201&gt;$B$4,"",$A$4+201)</f>
        <v>46224</v>
      </c>
      <c r="N20188">
        <f>IF(M20188="","",'Master Barang'!A82)</f>
        <v>0</v>
      </c>
      <c r="O20188">
        <f>IF(N20188="","",'Master Barang'!B82)</f>
        <v>0</v>
      </c>
      <c r="P20188">
        <f>IF(OR(M20188="",N20188=""),"",SUMIFS('Barang Keluar'!$E:$E,'Barang Keluar'!$A:$A,M20188,'Barang Keluar'!$C:$C,N20188))</f>
        <v>0</v>
      </c>
    </row>
    <row r="20189" spans="13:16">
      <c r="M20189" s="49">
        <f>IF($A$4+201&gt;$B$4,"",$A$4+201)</f>
        <v>46224</v>
      </c>
      <c r="N20189">
        <f>IF(M20189="","",'Master Barang'!A83)</f>
        <v>0</v>
      </c>
      <c r="O20189">
        <f>IF(N20189="","",'Master Barang'!B83)</f>
        <v>0</v>
      </c>
      <c r="P20189">
        <f>IF(OR(M20189="",N20189=""),"",SUMIFS('Barang Keluar'!$E:$E,'Barang Keluar'!$A:$A,M20189,'Barang Keluar'!$C:$C,N20189))</f>
        <v>0</v>
      </c>
    </row>
    <row r="20190" spans="13:16">
      <c r="M20190" s="49">
        <f>IF($A$4+201&gt;$B$4,"",$A$4+201)</f>
        <v>46224</v>
      </c>
      <c r="N20190">
        <f>IF(M20190="","",'Master Barang'!A84)</f>
        <v>0</v>
      </c>
      <c r="O20190">
        <f>IF(N20190="","",'Master Barang'!B84)</f>
        <v>0</v>
      </c>
      <c r="P20190">
        <f>IF(OR(M20190="",N20190=""),"",SUMIFS('Barang Keluar'!$E:$E,'Barang Keluar'!$A:$A,M20190,'Barang Keluar'!$C:$C,N20190))</f>
        <v>0</v>
      </c>
    </row>
    <row r="20191" spans="13:16">
      <c r="M20191" s="49">
        <f>IF($A$4+201&gt;$B$4,"",$A$4+201)</f>
        <v>46224</v>
      </c>
      <c r="N20191">
        <f>IF(M20191="","",'Master Barang'!A85)</f>
        <v>0</v>
      </c>
      <c r="O20191">
        <f>IF(N20191="","",'Master Barang'!B85)</f>
        <v>0</v>
      </c>
      <c r="P20191">
        <f>IF(OR(M20191="",N20191=""),"",SUMIFS('Barang Keluar'!$E:$E,'Barang Keluar'!$A:$A,M20191,'Barang Keluar'!$C:$C,N20191))</f>
        <v>0</v>
      </c>
    </row>
    <row r="20192" spans="13:16">
      <c r="M20192" s="49">
        <f>IF($A$4+201&gt;$B$4,"",$A$4+201)</f>
        <v>46224</v>
      </c>
      <c r="N20192">
        <f>IF(M20192="","",'Master Barang'!A86)</f>
        <v>0</v>
      </c>
      <c r="O20192">
        <f>IF(N20192="","",'Master Barang'!B86)</f>
        <v>0</v>
      </c>
      <c r="P20192">
        <f>IF(OR(M20192="",N20192=""),"",SUMIFS('Barang Keluar'!$E:$E,'Barang Keluar'!$A:$A,M20192,'Barang Keluar'!$C:$C,N20192))</f>
        <v>0</v>
      </c>
    </row>
    <row r="20193" spans="13:16">
      <c r="M20193" s="49">
        <f>IF($A$4+201&gt;$B$4,"",$A$4+201)</f>
        <v>46224</v>
      </c>
      <c r="N20193">
        <f>IF(M20193="","",'Master Barang'!A87)</f>
        <v>0</v>
      </c>
      <c r="O20193">
        <f>IF(N20193="","",'Master Barang'!B87)</f>
        <v>0</v>
      </c>
      <c r="P20193">
        <f>IF(OR(M20193="",N20193=""),"",SUMIFS('Barang Keluar'!$E:$E,'Barang Keluar'!$A:$A,M20193,'Barang Keluar'!$C:$C,N20193))</f>
        <v>0</v>
      </c>
    </row>
    <row r="20194" spans="13:16">
      <c r="M20194" s="49">
        <f>IF($A$4+201&gt;$B$4,"",$A$4+201)</f>
        <v>46224</v>
      </c>
      <c r="N20194">
        <f>IF(M20194="","",'Master Barang'!A88)</f>
        <v>0</v>
      </c>
      <c r="O20194">
        <f>IF(N20194="","",'Master Barang'!B88)</f>
        <v>0</v>
      </c>
      <c r="P20194">
        <f>IF(OR(M20194="",N20194=""),"",SUMIFS('Barang Keluar'!$E:$E,'Barang Keluar'!$A:$A,M20194,'Barang Keluar'!$C:$C,N20194))</f>
        <v>0</v>
      </c>
    </row>
    <row r="20195" spans="13:16">
      <c r="M20195" s="49">
        <f>IF($A$4+201&gt;$B$4,"",$A$4+201)</f>
        <v>46224</v>
      </c>
      <c r="N20195">
        <f>IF(M20195="","",'Master Barang'!A89)</f>
        <v>0</v>
      </c>
      <c r="O20195">
        <f>IF(N20195="","",'Master Barang'!B89)</f>
        <v>0</v>
      </c>
      <c r="P20195">
        <f>IF(OR(M20195="",N20195=""),"",SUMIFS('Barang Keluar'!$E:$E,'Barang Keluar'!$A:$A,M20195,'Barang Keluar'!$C:$C,N20195))</f>
        <v>0</v>
      </c>
    </row>
    <row r="20196" spans="13:16">
      <c r="M20196" s="49">
        <f>IF($A$4+201&gt;$B$4,"",$A$4+201)</f>
        <v>46224</v>
      </c>
      <c r="N20196">
        <f>IF(M20196="","",'Master Barang'!A90)</f>
        <v>0</v>
      </c>
      <c r="O20196">
        <f>IF(N20196="","",'Master Barang'!B90)</f>
        <v>0</v>
      </c>
      <c r="P20196">
        <f>IF(OR(M20196="",N20196=""),"",SUMIFS('Barang Keluar'!$E:$E,'Barang Keluar'!$A:$A,M20196,'Barang Keluar'!$C:$C,N20196))</f>
        <v>0</v>
      </c>
    </row>
    <row r="20197" spans="13:16">
      <c r="M20197" s="49">
        <f>IF($A$4+201&gt;$B$4,"",$A$4+201)</f>
        <v>46224</v>
      </c>
      <c r="N20197">
        <f>IF(M20197="","",'Master Barang'!A91)</f>
        <v>0</v>
      </c>
      <c r="O20197">
        <f>IF(N20197="","",'Master Barang'!B91)</f>
        <v>0</v>
      </c>
      <c r="P20197">
        <f>IF(OR(M20197="",N20197=""),"",SUMIFS('Barang Keluar'!$E:$E,'Barang Keluar'!$A:$A,M20197,'Barang Keluar'!$C:$C,N20197))</f>
        <v>0</v>
      </c>
    </row>
    <row r="20198" spans="13:16">
      <c r="M20198" s="49">
        <f>IF($A$4+201&gt;$B$4,"",$A$4+201)</f>
        <v>46224</v>
      </c>
      <c r="N20198">
        <f>IF(M20198="","",'Master Barang'!A92)</f>
        <v>0</v>
      </c>
      <c r="O20198">
        <f>IF(N20198="","",'Master Barang'!B92)</f>
        <v>0</v>
      </c>
      <c r="P20198">
        <f>IF(OR(M20198="",N20198=""),"",SUMIFS('Barang Keluar'!$E:$E,'Barang Keluar'!$A:$A,M20198,'Barang Keluar'!$C:$C,N20198))</f>
        <v>0</v>
      </c>
    </row>
    <row r="20199" spans="13:16">
      <c r="M20199" s="49">
        <f>IF($A$4+201&gt;$B$4,"",$A$4+201)</f>
        <v>46224</v>
      </c>
      <c r="N20199">
        <f>IF(M20199="","",'Master Barang'!A93)</f>
        <v>0</v>
      </c>
      <c r="O20199">
        <f>IF(N20199="","",'Master Barang'!B93)</f>
        <v>0</v>
      </c>
      <c r="P20199">
        <f>IF(OR(M20199="",N20199=""),"",SUMIFS('Barang Keluar'!$E:$E,'Barang Keluar'!$A:$A,M20199,'Barang Keluar'!$C:$C,N20199))</f>
        <v>0</v>
      </c>
    </row>
    <row r="20200" spans="13:16">
      <c r="M20200" s="49">
        <f>IF($A$4+201&gt;$B$4,"",$A$4+201)</f>
        <v>46224</v>
      </c>
      <c r="N20200">
        <f>IF(M20200="","",'Master Barang'!A94)</f>
        <v>0</v>
      </c>
      <c r="O20200">
        <f>IF(N20200="","",'Master Barang'!B94)</f>
        <v>0</v>
      </c>
      <c r="P20200">
        <f>IF(OR(M20200="",N20200=""),"",SUMIFS('Barang Keluar'!$E:$E,'Barang Keluar'!$A:$A,M20200,'Barang Keluar'!$C:$C,N20200))</f>
        <v>0</v>
      </c>
    </row>
    <row r="20201" spans="13:16">
      <c r="M20201" s="49">
        <f>IF($A$4+201&gt;$B$4,"",$A$4+201)</f>
        <v>46224</v>
      </c>
      <c r="N20201">
        <f>IF(M20201="","",'Master Barang'!A95)</f>
        <v>0</v>
      </c>
      <c r="O20201">
        <f>IF(N20201="","",'Master Barang'!B95)</f>
        <v>0</v>
      </c>
      <c r="P20201">
        <f>IF(OR(M20201="",N20201=""),"",SUMIFS('Barang Keluar'!$E:$E,'Barang Keluar'!$A:$A,M20201,'Barang Keluar'!$C:$C,N20201))</f>
        <v>0</v>
      </c>
    </row>
    <row r="20202" spans="13:16">
      <c r="M20202" s="49">
        <f>IF($A$4+201&gt;$B$4,"",$A$4+201)</f>
        <v>46224</v>
      </c>
      <c r="N20202">
        <f>IF(M20202="","",'Master Barang'!A96)</f>
        <v>0</v>
      </c>
      <c r="O20202">
        <f>IF(N20202="","",'Master Barang'!B96)</f>
        <v>0</v>
      </c>
      <c r="P20202">
        <f>IF(OR(M20202="",N20202=""),"",SUMIFS('Barang Keluar'!$E:$E,'Barang Keluar'!$A:$A,M20202,'Barang Keluar'!$C:$C,N20202))</f>
        <v>0</v>
      </c>
    </row>
    <row r="20203" spans="13:16">
      <c r="M20203" s="49">
        <f>IF($A$4+201&gt;$B$4,"",$A$4+201)</f>
        <v>46224</v>
      </c>
      <c r="N20203">
        <f>IF(M20203="","",'Master Barang'!A97)</f>
        <v>0</v>
      </c>
      <c r="O20203">
        <f>IF(N20203="","",'Master Barang'!B97)</f>
        <v>0</v>
      </c>
      <c r="P20203">
        <f>IF(OR(M20203="",N20203=""),"",SUMIFS('Barang Keluar'!$E:$E,'Barang Keluar'!$A:$A,M20203,'Barang Keluar'!$C:$C,N20203))</f>
        <v>0</v>
      </c>
    </row>
    <row r="20204" spans="13:16">
      <c r="M20204" s="49">
        <f>IF($A$4+201&gt;$B$4,"",$A$4+201)</f>
        <v>46224</v>
      </c>
      <c r="N20204">
        <f>IF(M20204="","",'Master Barang'!A98)</f>
        <v>0</v>
      </c>
      <c r="O20204">
        <f>IF(N20204="","",'Master Barang'!B98)</f>
        <v>0</v>
      </c>
      <c r="P20204">
        <f>IF(OR(M20204="",N20204=""),"",SUMIFS('Barang Keluar'!$E:$E,'Barang Keluar'!$A:$A,M20204,'Barang Keluar'!$C:$C,N20204))</f>
        <v>0</v>
      </c>
    </row>
    <row r="20205" spans="13:16">
      <c r="M20205" s="49">
        <f>IF($A$4+201&gt;$B$4,"",$A$4+201)</f>
        <v>46224</v>
      </c>
      <c r="N20205">
        <f>IF(M20205="","",'Master Barang'!A99)</f>
        <v>0</v>
      </c>
      <c r="O20205">
        <f>IF(N20205="","",'Master Barang'!B99)</f>
        <v>0</v>
      </c>
      <c r="P20205">
        <f>IF(OR(M20205="",N20205=""),"",SUMIFS('Barang Keluar'!$E:$E,'Barang Keluar'!$A:$A,M20205,'Barang Keluar'!$C:$C,N20205))</f>
        <v>0</v>
      </c>
    </row>
    <row r="20206" spans="13:16">
      <c r="M20206" s="49">
        <f>IF($A$4+201&gt;$B$4,"",$A$4+201)</f>
        <v>46224</v>
      </c>
      <c r="N20206">
        <f>IF(M20206="","",'Master Barang'!A100)</f>
        <v>0</v>
      </c>
      <c r="O20206">
        <f>IF(N20206="","",'Master Barang'!B100)</f>
        <v>0</v>
      </c>
      <c r="P20206">
        <f>IF(OR(M20206="",N20206=""),"",SUMIFS('Barang Keluar'!$E:$E,'Barang Keluar'!$A:$A,M20206,'Barang Keluar'!$C:$C,N20206))</f>
        <v>0</v>
      </c>
    </row>
    <row r="20207" spans="13:16">
      <c r="M20207" s="49">
        <f>IF($A$4+201&gt;$B$4,"",$A$4+201)</f>
        <v>46224</v>
      </c>
      <c r="N20207">
        <f>IF(M20207="","",'Master Barang'!A101)</f>
        <v>0</v>
      </c>
      <c r="O20207">
        <f>IF(N20207="","",'Master Barang'!B101)</f>
        <v>0</v>
      </c>
      <c r="P20207">
        <f>IF(OR(M20207="",N20207=""),"",SUMIFS('Barang Keluar'!$E:$E,'Barang Keluar'!$A:$A,M20207,'Barang Keluar'!$C:$C,N20207))</f>
        <v>0</v>
      </c>
    </row>
    <row r="20208" spans="13:16">
      <c r="M20208" s="49">
        <f>IF($A$4+202&gt;$B$4,"",$A$4+202)</f>
        <v>46225</v>
      </c>
      <c r="N20208" t="str">
        <f>IF(M20208="","",'Master Barang'!A2)</f>
        <v>PRL-001</v>
      </c>
      <c r="O20208" t="str">
        <f>IF(N20208="","",'Master Barang'!B2)</f>
        <v>natura desinfectant food grade 5l</v>
      </c>
      <c r="P20208">
        <f>IF(OR(M20208="",N20208=""),"",SUMIFS('Barang Keluar'!$E:$E,'Barang Keluar'!$A:$A,M20208,'Barang Keluar'!$C:$C,N20208))</f>
        <v>0</v>
      </c>
    </row>
    <row r="20209" spans="13:16">
      <c r="M20209" s="49">
        <f>IF($A$4+202&gt;$B$4,"",$A$4+202)</f>
        <v>46225</v>
      </c>
      <c r="N20209" t="str">
        <f>IF(M20209="","",'Master Barang'!A3)</f>
        <v>PRL-002</v>
      </c>
      <c r="O20209" t="str">
        <f>IF(N20209="","",'Master Barang'!B3)</f>
        <v>sunlight cairan pencuci piring 5l</v>
      </c>
      <c r="P20209">
        <f>IF(OR(M20209="",N20209=""),"",SUMIFS('Barang Keluar'!$E:$E,'Barang Keluar'!$A:$A,M20209,'Barang Keluar'!$C:$C,N20209))</f>
        <v>0</v>
      </c>
    </row>
    <row r="20210" spans="13:16">
      <c r="M20210" s="49">
        <f>IF($A$4+202&gt;$B$4,"",$A$4+202)</f>
        <v>46225</v>
      </c>
      <c r="N20210" t="str">
        <f>IF(M20210="","",'Master Barang'!A4)</f>
        <v>PRL-003</v>
      </c>
      <c r="O20210" t="str">
        <f>IF(N20210="","",'Master Barang'!B4)</f>
        <v>oixs cleaner 1l</v>
      </c>
      <c r="P20210">
        <f>IF(OR(M20210="",N20210=""),"",SUMIFS('Barang Keluar'!$E:$E,'Barang Keluar'!$A:$A,M20210,'Barang Keluar'!$C:$C,N20210))</f>
        <v>0</v>
      </c>
    </row>
    <row r="20211" spans="13:16">
      <c r="M20211" s="49">
        <f>IF($A$4+202&gt;$B$4,"",$A$4+202)</f>
        <v>46225</v>
      </c>
      <c r="N20211" t="str">
        <f>IF(M20211="","",'Master Barang'!A5)</f>
        <v>PRL-004</v>
      </c>
      <c r="O20211" t="str">
        <f>IF(N20211="","",'Master Barang'!B5)</f>
        <v>be clean tissue serbaguna</v>
      </c>
      <c r="P20211">
        <f>IF(OR(M20211="",N20211=""),"",SUMIFS('Barang Keluar'!$E:$E,'Barang Keluar'!$A:$A,M20211,'Barang Keluar'!$C:$C,N20211))</f>
        <v>0</v>
      </c>
    </row>
    <row r="20212" spans="13:16">
      <c r="M20212" s="49">
        <f>IF($A$4+202&gt;$B$4,"",$A$4+202)</f>
        <v>46225</v>
      </c>
      <c r="N20212" t="str">
        <f>IF(M20212="","",'Master Barang'!A6)</f>
        <v>PRL-005</v>
      </c>
      <c r="O20212" t="str">
        <f>IF(N20212="","",'Master Barang'!B6)</f>
        <v>spons cuci hijau</v>
      </c>
      <c r="P20212">
        <f>IF(OR(M20212="",N20212=""),"",SUMIFS('Barang Keluar'!$E:$E,'Barang Keluar'!$A:$A,M20212,'Barang Keluar'!$C:$C,N20212))</f>
        <v>0</v>
      </c>
    </row>
    <row r="20213" spans="13:16">
      <c r="M20213" s="49">
        <f>IF($A$4+202&gt;$B$4,"",$A$4+202)</f>
        <v>46225</v>
      </c>
      <c r="N20213" t="str">
        <f>IF(M20213="","",'Master Barang'!A7)</f>
        <v>PRL-006</v>
      </c>
      <c r="O20213" t="str">
        <f>IF(N20213="","",'Master Barang'!B7)</f>
        <v>sabut cuci stainless</v>
      </c>
      <c r="P20213">
        <f>IF(OR(M20213="",N20213=""),"",SUMIFS('Barang Keluar'!$E:$E,'Barang Keluar'!$A:$A,M20213,'Barang Keluar'!$C:$C,N20213))</f>
        <v>0</v>
      </c>
    </row>
    <row r="20214" spans="13:16">
      <c r="M20214" s="49">
        <f>IF($A$4+202&gt;$B$4,"",$A$4+202)</f>
        <v>46225</v>
      </c>
      <c r="N20214" t="str">
        <f>IF(M20214="","",'Master Barang'!A8)</f>
        <v>PRL-007</v>
      </c>
      <c r="O20214" t="str">
        <f>IF(N20214="","",'Master Barang'!B8)</f>
        <v>plastik kresek besar merah 50pc</v>
      </c>
      <c r="P20214">
        <f>IF(OR(M20214="",N20214=""),"",SUMIFS('Barang Keluar'!$E:$E,'Barang Keluar'!$A:$A,M20214,'Barang Keluar'!$C:$C,N20214))</f>
        <v>0</v>
      </c>
    </row>
    <row r="20215" spans="13:16">
      <c r="M20215" s="49">
        <f>IF($A$4+202&gt;$B$4,"",$A$4+202)</f>
        <v>46225</v>
      </c>
      <c r="N20215" t="str">
        <f>IF(M20215="","",'Master Barang'!A9)</f>
        <v>PRL-008</v>
      </c>
      <c r="O20215" t="str">
        <f>IF(N20215="","",'Master Barang'!B9)</f>
        <v>lap besar</v>
      </c>
      <c r="P20215">
        <f>IF(OR(M20215="",N20215=""),"",SUMIFS('Barang Keluar'!$E:$E,'Barang Keluar'!$A:$A,M20215,'Barang Keluar'!$C:$C,N20215))</f>
        <v>0</v>
      </c>
    </row>
    <row r="20216" spans="13:16">
      <c r="M20216" s="49">
        <f>IF($A$4+202&gt;$B$4,"",$A$4+202)</f>
        <v>46225</v>
      </c>
      <c r="N20216" t="str">
        <f>IF(M20216="","",'Master Barang'!A10)</f>
        <v>PRL-009</v>
      </c>
      <c r="O20216" t="str">
        <f>IF(N20216="","",'Master Barang'!B10)</f>
        <v>lap microfiber</v>
      </c>
      <c r="P20216">
        <f>IF(OR(M20216="",N20216=""),"",SUMIFS('Barang Keluar'!$E:$E,'Barang Keluar'!$A:$A,M20216,'Barang Keluar'!$C:$C,N20216))</f>
        <v>0</v>
      </c>
    </row>
    <row r="20217" spans="13:16">
      <c r="M20217" s="49">
        <f>IF($A$4+202&gt;$B$4,"",$A$4+202)</f>
        <v>46225</v>
      </c>
      <c r="N20217" t="str">
        <f>IF(M20217="","",'Master Barang'!A11)</f>
        <v>PRL-010</v>
      </c>
      <c r="O20217" t="str">
        <f>IF(N20217="","",'Master Barang'!B11)</f>
        <v>lap kecil</v>
      </c>
      <c r="P20217">
        <f>IF(OR(M20217="",N20217=""),"",SUMIFS('Barang Keluar'!$E:$E,'Barang Keluar'!$A:$A,M20217,'Barang Keluar'!$C:$C,N20217))</f>
        <v>0</v>
      </c>
    </row>
    <row r="20218" spans="13:16">
      <c r="M20218" s="49">
        <f>IF($A$4+202&gt;$B$4,"",$A$4+202)</f>
        <v>46225</v>
      </c>
      <c r="N20218" t="str">
        <f>IF(M20218="","",'Master Barang'!A12)</f>
        <v>PRL-011</v>
      </c>
      <c r="O20218" t="str">
        <f>IF(N20218="","",'Master Barang'!B12)</f>
        <v>kanebo kecil</v>
      </c>
      <c r="P20218">
        <f>IF(OR(M20218="",N20218=""),"",SUMIFS('Barang Keluar'!$E:$E,'Barang Keluar'!$A:$A,M20218,'Barang Keluar'!$C:$C,N20218))</f>
        <v>0</v>
      </c>
    </row>
    <row r="20219" spans="13:16">
      <c r="M20219" s="49">
        <f>IF($A$4+202&gt;$B$4,"",$A$4+202)</f>
        <v>46225</v>
      </c>
      <c r="N20219" t="str">
        <f>IF(M20219="","",'Master Barang'!A13)</f>
        <v>PRL-012</v>
      </c>
      <c r="O20219" t="str">
        <f>IF(N20219="","",'Master Barang'!B13)</f>
        <v>plastik 1/4kg joyoboyo 100 lembar</v>
      </c>
      <c r="P20219">
        <f>IF(OR(M20219="",N20219=""),"",SUMIFS('Barang Keluar'!$E:$E,'Barang Keluar'!$A:$A,M20219,'Barang Keluar'!$C:$C,N20219))</f>
        <v>0</v>
      </c>
    </row>
    <row r="20220" spans="13:16">
      <c r="M20220" s="49">
        <f>IF($A$4+202&gt;$B$4,"",$A$4+202)</f>
        <v>46225</v>
      </c>
      <c r="N20220" t="str">
        <f>IF(M20220="","",'Master Barang'!A14)</f>
        <v>PRL-013</v>
      </c>
      <c r="O20220" t="str">
        <f>IF(N20220="","",'Master Barang'!B14)</f>
        <v>sarung tangan plastik kaka 100 pcs</v>
      </c>
      <c r="P20220">
        <f>IF(OR(M20220="",N20220=""),"",SUMIFS('Barang Keluar'!$E:$E,'Barang Keluar'!$A:$A,M20220,'Barang Keluar'!$C:$C,N20220))</f>
        <v>0</v>
      </c>
    </row>
    <row r="20221" spans="13:16">
      <c r="M20221" s="49">
        <f>IF($A$4+202&gt;$B$4,"",$A$4+202)</f>
        <v>46225</v>
      </c>
      <c r="N20221" t="str">
        <f>IF(M20221="","",'Master Barang'!A15)</f>
        <v>PRL-014</v>
      </c>
      <c r="O20221" t="str">
        <f>IF(N20221="","",'Master Barang'!B15)</f>
        <v>optima trashbag 80x100</v>
      </c>
      <c r="P20221">
        <f>IF(OR(M20221="",N20221=""),"",SUMIFS('Barang Keluar'!$E:$E,'Barang Keluar'!$A:$A,M20221,'Barang Keluar'!$C:$C,N20221))</f>
        <v>0</v>
      </c>
    </row>
    <row r="20222" spans="13:16">
      <c r="M20222" s="49">
        <f>IF($A$4+202&gt;$B$4,"",$A$4+202)</f>
        <v>46225</v>
      </c>
      <c r="N20222" t="str">
        <f>IF(M20222="","",'Master Barang'!A16)</f>
        <v>PRL-015</v>
      </c>
      <c r="O20222" t="str">
        <f>IF(N20222="","",'Master Barang'!B16)</f>
        <v>optima trashbag 60x100</v>
      </c>
      <c r="P20222">
        <f>IF(OR(M20222="",N20222=""),"",SUMIFS('Barang Keluar'!$E:$E,'Barang Keluar'!$A:$A,M20222,'Barang Keluar'!$C:$C,N20222))</f>
        <v>0</v>
      </c>
    </row>
    <row r="20223" spans="13:16">
      <c r="M20223" s="49">
        <f>IF($A$4+202&gt;$B$4,"",$A$4+202)</f>
        <v>46225</v>
      </c>
      <c r="N20223" t="str">
        <f>IF(M20223="","",'Master Barang'!A17)</f>
        <v>PRL-016</v>
      </c>
      <c r="O20223" t="str">
        <f>IF(N20223="","",'Master Barang'!B17)</f>
        <v>rajawali trashbag 30x40</v>
      </c>
      <c r="P20223">
        <f>IF(OR(M20223="",N20223=""),"",SUMIFS('Barang Keluar'!$E:$E,'Barang Keluar'!$A:$A,M20223,'Barang Keluar'!$C:$C,N20223))</f>
        <v>0</v>
      </c>
    </row>
    <row r="20224" spans="13:16">
      <c r="M20224" s="49">
        <f>IF($A$4+202&gt;$B$4,"",$A$4+202)</f>
        <v>46225</v>
      </c>
      <c r="N20224" t="str">
        <f>IF(M20224="","",'Master Barang'!A18)</f>
        <v>PRL-017</v>
      </c>
      <c r="O20224" t="str">
        <f>IF(N20224="","",'Master Barang'!B18)</f>
        <v>onemed masker biru 3 play 50 pcs</v>
      </c>
      <c r="P20224">
        <f>IF(OR(M20224="",N20224=""),"",SUMIFS('Barang Keluar'!$E:$E,'Barang Keluar'!$A:$A,M20224,'Barang Keluar'!$C:$C,N20224))</f>
        <v>0</v>
      </c>
    </row>
    <row r="20225" spans="13:16">
      <c r="M20225" s="49">
        <f>IF($A$4+202&gt;$B$4,"",$A$4+202)</f>
        <v>46225</v>
      </c>
      <c r="N20225" t="str">
        <f>IF(M20225="","",'Master Barang'!A19)</f>
        <v>PRL-018</v>
      </c>
      <c r="O20225" t="str">
        <f>IF(N20225="","",'Master Barang'!B19)</f>
        <v>onemed masker biru 3 play hijab 50 pcs</v>
      </c>
      <c r="P20225">
        <f>IF(OR(M20225="",N20225=""),"",SUMIFS('Barang Keluar'!$E:$E,'Barang Keluar'!$A:$A,M20225,'Barang Keluar'!$C:$C,N20225))</f>
        <v>0</v>
      </c>
    </row>
    <row r="20226" spans="13:16">
      <c r="M20226" s="49">
        <f>IF($A$4+202&gt;$B$4,"",$A$4+202)</f>
        <v>46225</v>
      </c>
      <c r="N20226" t="str">
        <f>IF(M20226="","",'Master Barang'!A20)</f>
        <v>PRL-019</v>
      </c>
      <c r="O20226" t="str">
        <f>IF(N20226="","",'Master Barang'!B20)</f>
        <v>neo health masker biru 3 play 50 pcs</v>
      </c>
      <c r="P20226">
        <f>IF(OR(M20226="",N20226=""),"",SUMIFS('Barang Keluar'!$E:$E,'Barang Keluar'!$A:$A,M20226,'Barang Keluar'!$C:$C,N20226))</f>
        <v>0</v>
      </c>
    </row>
    <row r="20227" spans="13:16">
      <c r="M20227" s="49">
        <f>IF($A$4+202&gt;$B$4,"",$A$4+202)</f>
        <v>46225</v>
      </c>
      <c r="N20227" t="str">
        <f>IF(M20227="","",'Master Barang'!A21)</f>
        <v>PRL-020</v>
      </c>
      <c r="O20227" t="str">
        <f>IF(N20227="","",'Master Barang'!B21)</f>
        <v>baymed masker hijau 3 play hijau 50 pcs</v>
      </c>
      <c r="P20227">
        <f>IF(OR(M20227="",N20227=""),"",SUMIFS('Barang Keluar'!$E:$E,'Barang Keluar'!$A:$A,M20227,'Barang Keluar'!$C:$C,N20227))</f>
        <v>0</v>
      </c>
    </row>
    <row r="20228" spans="13:16">
      <c r="M20228" s="49">
        <f>IF($A$4+202&gt;$B$4,"",$A$4+202)</f>
        <v>46225</v>
      </c>
      <c r="N20228" t="str">
        <f>IF(M20228="","",'Master Barang'!A22)</f>
        <v>PRL-021</v>
      </c>
      <c r="O20228" t="str">
        <f>IF(N20228="","",'Master Barang'!B22)</f>
        <v>altamed nurse cap penutup kepala 100 pcs</v>
      </c>
      <c r="P20228">
        <f>IF(OR(M20228="",N20228=""),"",SUMIFS('Barang Keluar'!$E:$E,'Barang Keluar'!$A:$A,M20228,'Barang Keluar'!$C:$C,N20228))</f>
        <v>0</v>
      </c>
    </row>
    <row r="20229" spans="13:16">
      <c r="M20229" s="49">
        <f>IF($A$4+202&gt;$B$4,"",$A$4+202)</f>
        <v>46225</v>
      </c>
      <c r="N20229" t="str">
        <f>IF(M20229="","",'Master Barang'!A23)</f>
        <v>PRL-022</v>
      </c>
      <c r="O20229" t="str">
        <f>IF(N20229="","",'Master Barang'!B23)</f>
        <v>sabun cuci tangan</v>
      </c>
      <c r="P20229">
        <f>IF(OR(M20229="",N20229=""),"",SUMIFS('Barang Keluar'!$E:$E,'Barang Keluar'!$A:$A,M20229,'Barang Keluar'!$C:$C,N20229))</f>
        <v>0</v>
      </c>
    </row>
    <row r="20230" spans="13:16">
      <c r="M20230" s="49">
        <f>IF($A$4+202&gt;$B$4,"",$A$4+202)</f>
        <v>46225</v>
      </c>
      <c r="N20230" t="str">
        <f>IF(M20230="","",'Master Barang'!A24)</f>
        <v>PRL-023</v>
      </c>
      <c r="O20230" t="str">
        <f>IF(N20230="","",'Master Barang'!B24)</f>
        <v>gayung kecil</v>
      </c>
      <c r="P20230">
        <f>IF(OR(M20230="",N20230=""),"",SUMIFS('Barang Keluar'!$E:$E,'Barang Keluar'!$A:$A,M20230,'Barang Keluar'!$C:$C,N20230))</f>
        <v>0</v>
      </c>
    </row>
    <row r="20231" spans="13:16">
      <c r="M20231" s="49">
        <f>IF($A$4+202&gt;$B$4,"",$A$4+202)</f>
        <v>46225</v>
      </c>
      <c r="N20231" t="str">
        <f>IF(M20231="","",'Master Barang'!A25)</f>
        <v>PRL-024</v>
      </c>
      <c r="O20231" t="str">
        <f>IF(N20231="","",'Master Barang'!B25)</f>
        <v>cikrak kecil</v>
      </c>
      <c r="P20231">
        <f>IF(OR(M20231="",N20231=""),"",SUMIFS('Barang Keluar'!$E:$E,'Barang Keluar'!$A:$A,M20231,'Barang Keluar'!$C:$C,N20231))</f>
        <v>0</v>
      </c>
    </row>
    <row r="20232" spans="13:16">
      <c r="M20232" s="49">
        <f>IF($A$4+202&gt;$B$4,"",$A$4+202)</f>
        <v>46225</v>
      </c>
      <c r="N20232" t="str">
        <f>IF(M20232="","",'Master Barang'!A26)</f>
        <v>PRL-025</v>
      </c>
      <c r="O20232" t="str">
        <f>IF(N20232="","",'Master Barang'!B26)</f>
        <v>petromax plastik kecil 12x24 100 lembar</v>
      </c>
      <c r="P20232">
        <f>IF(OR(M20232="",N20232=""),"",SUMIFS('Barang Keluar'!$E:$E,'Barang Keluar'!$A:$A,M20232,'Barang Keluar'!$C:$C,N20232))</f>
        <v>0</v>
      </c>
    </row>
    <row r="20233" spans="13:16">
      <c r="M20233" s="49">
        <f>IF($A$4+202&gt;$B$4,"",$A$4+202)</f>
        <v>46225</v>
      </c>
      <c r="N20233" t="str">
        <f>IF(M20233="","",'Master Barang'!A27)</f>
        <v>PRL-026</v>
      </c>
      <c r="O20233" t="str">
        <f>IF(N20233="","",'Master Barang'!B27)</f>
        <v>lancar kresek kecil bening </v>
      </c>
      <c r="P20233">
        <f>IF(OR(M20233="",N20233=""),"",SUMIFS('Barang Keluar'!$E:$E,'Barang Keluar'!$A:$A,M20233,'Barang Keluar'!$C:$C,N20233))</f>
        <v>0</v>
      </c>
    </row>
    <row r="20234" spans="13:16">
      <c r="M20234" s="49">
        <f>IF($A$4+202&gt;$B$4,"",$A$4+202)</f>
        <v>46225</v>
      </c>
      <c r="N20234" t="str">
        <f>IF(M20234="","",'Master Barang'!A28)</f>
        <v>PRL-027</v>
      </c>
      <c r="O20234" t="str">
        <f>IF(N20234="","",'Master Barang'!B28)</f>
        <v>kresek klin warna warni kecil</v>
      </c>
      <c r="P20234">
        <f>IF(OR(M20234="",N20234=""),"",SUMIFS('Barang Keluar'!$E:$E,'Barang Keluar'!$A:$A,M20234,'Barang Keluar'!$C:$C,N20234))</f>
        <v>0</v>
      </c>
    </row>
    <row r="20235" spans="13:16">
      <c r="M20235" s="49">
        <f>IF($A$4+202&gt;$B$4,"",$A$4+202)</f>
        <v>46225</v>
      </c>
      <c r="N20235" t="str">
        <f>IF(M20235="","",'Master Barang'!A29)</f>
        <v>PRL-028</v>
      </c>
      <c r="O20235" t="str">
        <f>IF(N20235="","",'Master Barang'!B29)</f>
        <v>ctik plastik 7x10 100 pcs</v>
      </c>
      <c r="P20235">
        <f>IF(OR(M20235="",N20235=""),"",SUMIFS('Barang Keluar'!$E:$E,'Barang Keluar'!$A:$A,M20235,'Barang Keluar'!$C:$C,N20235))</f>
        <v>0</v>
      </c>
    </row>
    <row r="20236" spans="13:16">
      <c r="M20236" s="49">
        <f>IF($A$4+202&gt;$B$4,"",$A$4+202)</f>
        <v>46225</v>
      </c>
      <c r="N20236" t="str">
        <f>IF(M20236="","",'Master Barang'!A30)</f>
        <v>PRL-029</v>
      </c>
      <c r="O20236" t="str">
        <f>IF(N20236="","",'Master Barang'!B30)</f>
        <v>ctik plastik 6x10 100 pcs</v>
      </c>
      <c r="P20236">
        <f>IF(OR(M20236="",N20236=""),"",SUMIFS('Barang Keluar'!$E:$E,'Barang Keluar'!$A:$A,M20236,'Barang Keluar'!$C:$C,N20236))</f>
        <v>0</v>
      </c>
    </row>
    <row r="20237" spans="13:16">
      <c r="M20237" s="49">
        <f>IF($A$4+202&gt;$B$4,"",$A$4+202)</f>
        <v>46225</v>
      </c>
      <c r="N20237" t="str">
        <f>IF(M20237="","",'Master Barang'!A31)</f>
        <v>PRL-030</v>
      </c>
      <c r="O20237" t="str">
        <f>IF(N20237="","",'Master Barang'!B31)</f>
        <v>klip plastik 25x16 100 pcs</v>
      </c>
      <c r="P20237">
        <f>IF(OR(M20237="",N20237=""),"",SUMIFS('Barang Keluar'!$E:$E,'Barang Keluar'!$A:$A,M20237,'Barang Keluar'!$C:$C,N20237))</f>
        <v>0</v>
      </c>
    </row>
    <row r="20238" spans="13:16">
      <c r="M20238" s="49">
        <f>IF($A$4+202&gt;$B$4,"",$A$4+202)</f>
        <v>46225</v>
      </c>
      <c r="N20238" t="str">
        <f>IF(M20238="","",'Master Barang'!A32)</f>
        <v>PRL-031</v>
      </c>
      <c r="O20238" t="str">
        <f>IF(N20238="","",'Master Barang'!B32)</f>
        <v>tempat saus 20 ml</v>
      </c>
      <c r="P20238">
        <f>IF(OR(M20238="",N20238=""),"",SUMIFS('Barang Keluar'!$E:$E,'Barang Keluar'!$A:$A,M20238,'Barang Keluar'!$C:$C,N20238))</f>
        <v>0</v>
      </c>
    </row>
    <row r="20239" spans="13:16">
      <c r="M20239" s="49">
        <f>IF($A$4+202&gt;$B$4,"",$A$4+202)</f>
        <v>46225</v>
      </c>
      <c r="N20239" t="str">
        <f>IF(M20239="","",'Master Barang'!A33)</f>
        <v>PRL-032</v>
      </c>
      <c r="O20239" t="str">
        <f>IF(N20239="","",'Master Barang'!B33)</f>
        <v>plastik packaging ag box uk sedang</v>
      </c>
      <c r="P20239">
        <f>IF(OR(M20239="",N20239=""),"",SUMIFS('Barang Keluar'!$E:$E,'Barang Keluar'!$A:$A,M20239,'Barang Keluar'!$C:$C,N20239))</f>
        <v>0</v>
      </c>
    </row>
    <row r="20240" spans="13:16">
      <c r="M20240" s="49">
        <f>IF($A$4+202&gt;$B$4,"",$A$4+202)</f>
        <v>46225</v>
      </c>
      <c r="N20240" t="str">
        <f>IF(M20240="","",'Master Barang'!A34)</f>
        <v>PRL-033</v>
      </c>
      <c r="O20240">
        <f>IF(N20240="","",'Master Barang'!B34)</f>
        <v>0</v>
      </c>
      <c r="P20240">
        <f>IF(OR(M20240="",N20240=""),"",SUMIFS('Barang Keluar'!$E:$E,'Barang Keluar'!$A:$A,M20240,'Barang Keluar'!$C:$C,N20240))</f>
        <v>0</v>
      </c>
    </row>
    <row r="20241" spans="13:16">
      <c r="M20241" s="49">
        <f>IF($A$4+202&gt;$B$4,"",$A$4+202)</f>
        <v>46225</v>
      </c>
      <c r="N20241">
        <f>IF(M20241="","",'Master Barang'!A35)</f>
        <v>0</v>
      </c>
      <c r="O20241">
        <f>IF(N20241="","",'Master Barang'!B35)</f>
        <v>0</v>
      </c>
      <c r="P20241">
        <f>IF(OR(M20241="",N20241=""),"",SUMIFS('Barang Keluar'!$E:$E,'Barang Keluar'!$A:$A,M20241,'Barang Keluar'!$C:$C,N20241))</f>
        <v>0</v>
      </c>
    </row>
    <row r="20242" spans="13:16">
      <c r="M20242" s="49">
        <f>IF($A$4+202&gt;$B$4,"",$A$4+202)</f>
        <v>46225</v>
      </c>
      <c r="N20242">
        <f>IF(M20242="","",'Master Barang'!A36)</f>
        <v>0</v>
      </c>
      <c r="O20242">
        <f>IF(N20242="","",'Master Barang'!B36)</f>
        <v>0</v>
      </c>
      <c r="P20242">
        <f>IF(OR(M20242="",N20242=""),"",SUMIFS('Barang Keluar'!$E:$E,'Barang Keluar'!$A:$A,M20242,'Barang Keluar'!$C:$C,N20242))</f>
        <v>0</v>
      </c>
    </row>
    <row r="20243" spans="13:16">
      <c r="M20243" s="49">
        <f>IF($A$4+202&gt;$B$4,"",$A$4+202)</f>
        <v>46225</v>
      </c>
      <c r="N20243">
        <f>IF(M20243="","",'Master Barang'!A37)</f>
        <v>0</v>
      </c>
      <c r="O20243">
        <f>IF(N20243="","",'Master Barang'!B37)</f>
        <v>0</v>
      </c>
      <c r="P20243">
        <f>IF(OR(M20243="",N20243=""),"",SUMIFS('Barang Keluar'!$E:$E,'Barang Keluar'!$A:$A,M20243,'Barang Keluar'!$C:$C,N20243))</f>
        <v>0</v>
      </c>
    </row>
    <row r="20244" spans="13:16">
      <c r="M20244" s="49">
        <f>IF($A$4+202&gt;$B$4,"",$A$4+202)</f>
        <v>46225</v>
      </c>
      <c r="N20244">
        <f>IF(M20244="","",'Master Barang'!A38)</f>
        <v>0</v>
      </c>
      <c r="O20244">
        <f>IF(N20244="","",'Master Barang'!B38)</f>
        <v>0</v>
      </c>
      <c r="P20244">
        <f>IF(OR(M20244="",N20244=""),"",SUMIFS('Barang Keluar'!$E:$E,'Barang Keluar'!$A:$A,M20244,'Barang Keluar'!$C:$C,N20244))</f>
        <v>0</v>
      </c>
    </row>
    <row r="20245" spans="13:16">
      <c r="M20245" s="49">
        <f>IF($A$4+202&gt;$B$4,"",$A$4+202)</f>
        <v>46225</v>
      </c>
      <c r="N20245">
        <f>IF(M20245="","",'Master Barang'!A39)</f>
        <v>0</v>
      </c>
      <c r="O20245">
        <f>IF(N20245="","",'Master Barang'!B39)</f>
        <v>0</v>
      </c>
      <c r="P20245">
        <f>IF(OR(M20245="",N20245=""),"",SUMIFS('Barang Keluar'!$E:$E,'Barang Keluar'!$A:$A,M20245,'Barang Keluar'!$C:$C,N20245))</f>
        <v>0</v>
      </c>
    </row>
    <row r="20246" spans="13:16">
      <c r="M20246" s="49">
        <f>IF($A$4+202&gt;$B$4,"",$A$4+202)</f>
        <v>46225</v>
      </c>
      <c r="N20246">
        <f>IF(M20246="","",'Master Barang'!A40)</f>
        <v>0</v>
      </c>
      <c r="O20246">
        <f>IF(N20246="","",'Master Barang'!B40)</f>
        <v>0</v>
      </c>
      <c r="P20246">
        <f>IF(OR(M20246="",N20246=""),"",SUMIFS('Barang Keluar'!$E:$E,'Barang Keluar'!$A:$A,M20246,'Barang Keluar'!$C:$C,N20246))</f>
        <v>0</v>
      </c>
    </row>
    <row r="20247" spans="13:16">
      <c r="M20247" s="49">
        <f>IF($A$4+202&gt;$B$4,"",$A$4+202)</f>
        <v>46225</v>
      </c>
      <c r="N20247">
        <f>IF(M20247="","",'Master Barang'!A41)</f>
        <v>0</v>
      </c>
      <c r="O20247">
        <f>IF(N20247="","",'Master Barang'!B41)</f>
        <v>0</v>
      </c>
      <c r="P20247">
        <f>IF(OR(M20247="",N20247=""),"",SUMIFS('Barang Keluar'!$E:$E,'Barang Keluar'!$A:$A,M20247,'Barang Keluar'!$C:$C,N20247))</f>
        <v>0</v>
      </c>
    </row>
    <row r="20248" spans="13:16">
      <c r="M20248" s="49">
        <f>IF($A$4+202&gt;$B$4,"",$A$4+202)</f>
        <v>46225</v>
      </c>
      <c r="N20248">
        <f>IF(M20248="","",'Master Barang'!A42)</f>
        <v>0</v>
      </c>
      <c r="O20248">
        <f>IF(N20248="","",'Master Barang'!B42)</f>
        <v>0</v>
      </c>
      <c r="P20248">
        <f>IF(OR(M20248="",N20248=""),"",SUMIFS('Barang Keluar'!$E:$E,'Barang Keluar'!$A:$A,M20248,'Barang Keluar'!$C:$C,N20248))</f>
        <v>0</v>
      </c>
    </row>
    <row r="20249" spans="13:16">
      <c r="M20249" s="49">
        <f>IF($A$4+202&gt;$B$4,"",$A$4+202)</f>
        <v>46225</v>
      </c>
      <c r="N20249">
        <f>IF(M20249="","",'Master Barang'!A43)</f>
        <v>0</v>
      </c>
      <c r="O20249">
        <f>IF(N20249="","",'Master Barang'!B43)</f>
        <v>0</v>
      </c>
      <c r="P20249">
        <f>IF(OR(M20249="",N20249=""),"",SUMIFS('Barang Keluar'!$E:$E,'Barang Keluar'!$A:$A,M20249,'Barang Keluar'!$C:$C,N20249))</f>
        <v>0</v>
      </c>
    </row>
    <row r="20250" spans="13:16">
      <c r="M20250" s="49">
        <f>IF($A$4+202&gt;$B$4,"",$A$4+202)</f>
        <v>46225</v>
      </c>
      <c r="N20250">
        <f>IF(M20250="","",'Master Barang'!A44)</f>
        <v>0</v>
      </c>
      <c r="O20250">
        <f>IF(N20250="","",'Master Barang'!B44)</f>
        <v>0</v>
      </c>
      <c r="P20250">
        <f>IF(OR(M20250="",N20250=""),"",SUMIFS('Barang Keluar'!$E:$E,'Barang Keluar'!$A:$A,M20250,'Barang Keluar'!$C:$C,N20250))</f>
        <v>0</v>
      </c>
    </row>
    <row r="20251" spans="13:16">
      <c r="M20251" s="49">
        <f>IF($A$4+202&gt;$B$4,"",$A$4+202)</f>
        <v>46225</v>
      </c>
      <c r="N20251">
        <f>IF(M20251="","",'Master Barang'!A45)</f>
        <v>0</v>
      </c>
      <c r="O20251">
        <f>IF(N20251="","",'Master Barang'!B45)</f>
        <v>0</v>
      </c>
      <c r="P20251">
        <f>IF(OR(M20251="",N20251=""),"",SUMIFS('Barang Keluar'!$E:$E,'Barang Keluar'!$A:$A,M20251,'Barang Keluar'!$C:$C,N20251))</f>
        <v>0</v>
      </c>
    </row>
    <row r="20252" spans="13:16">
      <c r="M20252" s="49">
        <f>IF($A$4+202&gt;$B$4,"",$A$4+202)</f>
        <v>46225</v>
      </c>
      <c r="N20252">
        <f>IF(M20252="","",'Master Barang'!A46)</f>
        <v>0</v>
      </c>
      <c r="O20252">
        <f>IF(N20252="","",'Master Barang'!B46)</f>
        <v>0</v>
      </c>
      <c r="P20252">
        <f>IF(OR(M20252="",N20252=""),"",SUMIFS('Barang Keluar'!$E:$E,'Barang Keluar'!$A:$A,M20252,'Barang Keluar'!$C:$C,N20252))</f>
        <v>0</v>
      </c>
    </row>
    <row r="20253" spans="13:16">
      <c r="M20253" s="49">
        <f>IF($A$4+202&gt;$B$4,"",$A$4+202)</f>
        <v>46225</v>
      </c>
      <c r="N20253">
        <f>IF(M20253="","",'Master Barang'!A47)</f>
        <v>0</v>
      </c>
      <c r="O20253">
        <f>IF(N20253="","",'Master Barang'!B47)</f>
        <v>0</v>
      </c>
      <c r="P20253">
        <f>IF(OR(M20253="",N20253=""),"",SUMIFS('Barang Keluar'!$E:$E,'Barang Keluar'!$A:$A,M20253,'Barang Keluar'!$C:$C,N20253))</f>
        <v>0</v>
      </c>
    </row>
    <row r="20254" spans="13:16">
      <c r="M20254" s="49">
        <f>IF($A$4+202&gt;$B$4,"",$A$4+202)</f>
        <v>46225</v>
      </c>
      <c r="N20254">
        <f>IF(M20254="","",'Master Barang'!A48)</f>
        <v>0</v>
      </c>
      <c r="O20254">
        <f>IF(N20254="","",'Master Barang'!B48)</f>
        <v>0</v>
      </c>
      <c r="P20254">
        <f>IF(OR(M20254="",N20254=""),"",SUMIFS('Barang Keluar'!$E:$E,'Barang Keluar'!$A:$A,M20254,'Barang Keluar'!$C:$C,N20254))</f>
        <v>0</v>
      </c>
    </row>
    <row r="20255" spans="13:16">
      <c r="M20255" s="49">
        <f>IF($A$4+202&gt;$B$4,"",$A$4+202)</f>
        <v>46225</v>
      </c>
      <c r="N20255">
        <f>IF(M20255="","",'Master Barang'!A49)</f>
        <v>0</v>
      </c>
      <c r="O20255">
        <f>IF(N20255="","",'Master Barang'!B49)</f>
        <v>0</v>
      </c>
      <c r="P20255">
        <f>IF(OR(M20255="",N20255=""),"",SUMIFS('Barang Keluar'!$E:$E,'Barang Keluar'!$A:$A,M20255,'Barang Keluar'!$C:$C,N20255))</f>
        <v>0</v>
      </c>
    </row>
    <row r="20256" spans="13:16">
      <c r="M20256" s="49">
        <f>IF($A$4+202&gt;$B$4,"",$A$4+202)</f>
        <v>46225</v>
      </c>
      <c r="N20256">
        <f>IF(M20256="","",'Master Barang'!A50)</f>
        <v>0</v>
      </c>
      <c r="O20256">
        <f>IF(N20256="","",'Master Barang'!B50)</f>
        <v>0</v>
      </c>
      <c r="P20256">
        <f>IF(OR(M20256="",N20256=""),"",SUMIFS('Barang Keluar'!$E:$E,'Barang Keluar'!$A:$A,M20256,'Barang Keluar'!$C:$C,N20256))</f>
        <v>0</v>
      </c>
    </row>
    <row r="20257" spans="13:16">
      <c r="M20257" s="49">
        <f>IF($A$4+202&gt;$B$4,"",$A$4+202)</f>
        <v>46225</v>
      </c>
      <c r="N20257">
        <f>IF(M20257="","",'Master Barang'!A51)</f>
        <v>0</v>
      </c>
      <c r="O20257">
        <f>IF(N20257="","",'Master Barang'!B51)</f>
        <v>0</v>
      </c>
      <c r="P20257">
        <f>IF(OR(M20257="",N20257=""),"",SUMIFS('Barang Keluar'!$E:$E,'Barang Keluar'!$A:$A,M20257,'Barang Keluar'!$C:$C,N20257))</f>
        <v>0</v>
      </c>
    </row>
    <row r="20258" spans="13:16">
      <c r="M20258" s="49">
        <f>IF($A$4+202&gt;$B$4,"",$A$4+202)</f>
        <v>46225</v>
      </c>
      <c r="N20258">
        <f>IF(M20258="","",'Master Barang'!A52)</f>
        <v>0</v>
      </c>
      <c r="O20258">
        <f>IF(N20258="","",'Master Barang'!B52)</f>
        <v>0</v>
      </c>
      <c r="P20258">
        <f>IF(OR(M20258="",N20258=""),"",SUMIFS('Barang Keluar'!$E:$E,'Barang Keluar'!$A:$A,M20258,'Barang Keluar'!$C:$C,N20258))</f>
        <v>0</v>
      </c>
    </row>
    <row r="20259" spans="13:16">
      <c r="M20259" s="49">
        <f>IF($A$4+202&gt;$B$4,"",$A$4+202)</f>
        <v>46225</v>
      </c>
      <c r="N20259">
        <f>IF(M20259="","",'Master Barang'!A53)</f>
        <v>0</v>
      </c>
      <c r="O20259">
        <f>IF(N20259="","",'Master Barang'!B53)</f>
        <v>0</v>
      </c>
      <c r="P20259">
        <f>IF(OR(M20259="",N20259=""),"",SUMIFS('Barang Keluar'!$E:$E,'Barang Keluar'!$A:$A,M20259,'Barang Keluar'!$C:$C,N20259))</f>
        <v>0</v>
      </c>
    </row>
    <row r="20260" spans="13:16">
      <c r="M20260" s="49">
        <f>IF($A$4+202&gt;$B$4,"",$A$4+202)</f>
        <v>46225</v>
      </c>
      <c r="N20260">
        <f>IF(M20260="","",'Master Barang'!A54)</f>
        <v>0</v>
      </c>
      <c r="O20260">
        <f>IF(N20260="","",'Master Barang'!B54)</f>
        <v>0</v>
      </c>
      <c r="P20260">
        <f>IF(OR(M20260="",N20260=""),"",SUMIFS('Barang Keluar'!$E:$E,'Barang Keluar'!$A:$A,M20260,'Barang Keluar'!$C:$C,N20260))</f>
        <v>0</v>
      </c>
    </row>
    <row r="20261" spans="13:16">
      <c r="M20261" s="49">
        <f>IF($A$4+202&gt;$B$4,"",$A$4+202)</f>
        <v>46225</v>
      </c>
      <c r="N20261">
        <f>IF(M20261="","",'Master Barang'!A55)</f>
        <v>0</v>
      </c>
      <c r="O20261">
        <f>IF(N20261="","",'Master Barang'!B55)</f>
        <v>0</v>
      </c>
      <c r="P20261">
        <f>IF(OR(M20261="",N20261=""),"",SUMIFS('Barang Keluar'!$E:$E,'Barang Keluar'!$A:$A,M20261,'Barang Keluar'!$C:$C,N20261))</f>
        <v>0</v>
      </c>
    </row>
    <row r="20262" spans="13:16">
      <c r="M20262" s="49">
        <f>IF($A$4+202&gt;$B$4,"",$A$4+202)</f>
        <v>46225</v>
      </c>
      <c r="N20262">
        <f>IF(M20262="","",'Master Barang'!A56)</f>
        <v>0</v>
      </c>
      <c r="O20262">
        <f>IF(N20262="","",'Master Barang'!B56)</f>
        <v>0</v>
      </c>
      <c r="P20262">
        <f>IF(OR(M20262="",N20262=""),"",SUMIFS('Barang Keluar'!$E:$E,'Barang Keluar'!$A:$A,M20262,'Barang Keluar'!$C:$C,N20262))</f>
        <v>0</v>
      </c>
    </row>
    <row r="20263" spans="13:16">
      <c r="M20263" s="49">
        <f>IF($A$4+202&gt;$B$4,"",$A$4+202)</f>
        <v>46225</v>
      </c>
      <c r="N20263">
        <f>IF(M20263="","",'Master Barang'!A57)</f>
        <v>0</v>
      </c>
      <c r="O20263">
        <f>IF(N20263="","",'Master Barang'!B57)</f>
        <v>0</v>
      </c>
      <c r="P20263">
        <f>IF(OR(M20263="",N20263=""),"",SUMIFS('Barang Keluar'!$E:$E,'Barang Keluar'!$A:$A,M20263,'Barang Keluar'!$C:$C,N20263))</f>
        <v>0</v>
      </c>
    </row>
    <row r="20264" spans="13:16">
      <c r="M20264" s="49">
        <f>IF($A$4+202&gt;$B$4,"",$A$4+202)</f>
        <v>46225</v>
      </c>
      <c r="N20264">
        <f>IF(M20264="","",'Master Barang'!A58)</f>
        <v>0</v>
      </c>
      <c r="O20264">
        <f>IF(N20264="","",'Master Barang'!B58)</f>
        <v>0</v>
      </c>
      <c r="P20264">
        <f>IF(OR(M20264="",N20264=""),"",SUMIFS('Barang Keluar'!$E:$E,'Barang Keluar'!$A:$A,M20264,'Barang Keluar'!$C:$C,N20264))</f>
        <v>0</v>
      </c>
    </row>
    <row r="20265" spans="13:16">
      <c r="M20265" s="49">
        <f>IF($A$4+202&gt;$B$4,"",$A$4+202)</f>
        <v>46225</v>
      </c>
      <c r="N20265">
        <f>IF(M20265="","",'Master Barang'!A59)</f>
        <v>0</v>
      </c>
      <c r="O20265">
        <f>IF(N20265="","",'Master Barang'!B59)</f>
        <v>0</v>
      </c>
      <c r="P20265">
        <f>IF(OR(M20265="",N20265=""),"",SUMIFS('Barang Keluar'!$E:$E,'Barang Keluar'!$A:$A,M20265,'Barang Keluar'!$C:$C,N20265))</f>
        <v>0</v>
      </c>
    </row>
    <row r="20266" spans="13:16">
      <c r="M20266" s="49">
        <f>IF($A$4+202&gt;$B$4,"",$A$4+202)</f>
        <v>46225</v>
      </c>
      <c r="N20266">
        <f>IF(M20266="","",'Master Barang'!A60)</f>
        <v>0</v>
      </c>
      <c r="O20266">
        <f>IF(N20266="","",'Master Barang'!B60)</f>
        <v>0</v>
      </c>
      <c r="P20266">
        <f>IF(OR(M20266="",N20266=""),"",SUMIFS('Barang Keluar'!$E:$E,'Barang Keluar'!$A:$A,M20266,'Barang Keluar'!$C:$C,N20266))</f>
        <v>0</v>
      </c>
    </row>
    <row r="20267" spans="13:16">
      <c r="M20267" s="49">
        <f>IF($A$4+202&gt;$B$4,"",$A$4+202)</f>
        <v>46225</v>
      </c>
      <c r="N20267">
        <f>IF(M20267="","",'Master Barang'!A61)</f>
        <v>0</v>
      </c>
      <c r="O20267">
        <f>IF(N20267="","",'Master Barang'!B61)</f>
        <v>0</v>
      </c>
      <c r="P20267">
        <f>IF(OR(M20267="",N20267=""),"",SUMIFS('Barang Keluar'!$E:$E,'Barang Keluar'!$A:$A,M20267,'Barang Keluar'!$C:$C,N20267))</f>
        <v>0</v>
      </c>
    </row>
    <row r="20268" spans="13:16">
      <c r="M20268" s="49">
        <f>IF($A$4+202&gt;$B$4,"",$A$4+202)</f>
        <v>46225</v>
      </c>
      <c r="N20268">
        <f>IF(M20268="","",'Master Barang'!A62)</f>
        <v>0</v>
      </c>
      <c r="O20268">
        <f>IF(N20268="","",'Master Barang'!B62)</f>
        <v>0</v>
      </c>
      <c r="P20268">
        <f>IF(OR(M20268="",N20268=""),"",SUMIFS('Barang Keluar'!$E:$E,'Barang Keluar'!$A:$A,M20268,'Barang Keluar'!$C:$C,N20268))</f>
        <v>0</v>
      </c>
    </row>
    <row r="20269" spans="13:16">
      <c r="M20269" s="49">
        <f>IF($A$4+202&gt;$B$4,"",$A$4+202)</f>
        <v>46225</v>
      </c>
      <c r="N20269">
        <f>IF(M20269="","",'Master Barang'!A63)</f>
        <v>0</v>
      </c>
      <c r="O20269">
        <f>IF(N20269="","",'Master Barang'!B63)</f>
        <v>0</v>
      </c>
      <c r="P20269">
        <f>IF(OR(M20269="",N20269=""),"",SUMIFS('Barang Keluar'!$E:$E,'Barang Keluar'!$A:$A,M20269,'Barang Keluar'!$C:$C,N20269))</f>
        <v>0</v>
      </c>
    </row>
    <row r="20270" spans="13:16">
      <c r="M20270" s="49">
        <f>IF($A$4+202&gt;$B$4,"",$A$4+202)</f>
        <v>46225</v>
      </c>
      <c r="N20270">
        <f>IF(M20270="","",'Master Barang'!A64)</f>
        <v>0</v>
      </c>
      <c r="O20270">
        <f>IF(N20270="","",'Master Barang'!B64)</f>
        <v>0</v>
      </c>
      <c r="P20270">
        <f>IF(OR(M20270="",N20270=""),"",SUMIFS('Barang Keluar'!$E:$E,'Barang Keluar'!$A:$A,M20270,'Barang Keluar'!$C:$C,N20270))</f>
        <v>0</v>
      </c>
    </row>
    <row r="20271" spans="13:16">
      <c r="M20271" s="49">
        <f>IF($A$4+202&gt;$B$4,"",$A$4+202)</f>
        <v>46225</v>
      </c>
      <c r="N20271">
        <f>IF(M20271="","",'Master Barang'!A65)</f>
        <v>0</v>
      </c>
      <c r="O20271">
        <f>IF(N20271="","",'Master Barang'!B65)</f>
        <v>0</v>
      </c>
      <c r="P20271">
        <f>IF(OR(M20271="",N20271=""),"",SUMIFS('Barang Keluar'!$E:$E,'Barang Keluar'!$A:$A,M20271,'Barang Keluar'!$C:$C,N20271))</f>
        <v>0</v>
      </c>
    </row>
    <row r="20272" spans="13:16">
      <c r="M20272" s="49">
        <f>IF($A$4+202&gt;$B$4,"",$A$4+202)</f>
        <v>46225</v>
      </c>
      <c r="N20272">
        <f>IF(M20272="","",'Master Barang'!A66)</f>
        <v>0</v>
      </c>
      <c r="O20272">
        <f>IF(N20272="","",'Master Barang'!B66)</f>
        <v>0</v>
      </c>
      <c r="P20272">
        <f>IF(OR(M20272="",N20272=""),"",SUMIFS('Barang Keluar'!$E:$E,'Barang Keluar'!$A:$A,M20272,'Barang Keluar'!$C:$C,N20272))</f>
        <v>0</v>
      </c>
    </row>
    <row r="20273" spans="13:16">
      <c r="M20273" s="49">
        <f>IF($A$4+202&gt;$B$4,"",$A$4+202)</f>
        <v>46225</v>
      </c>
      <c r="N20273">
        <f>IF(M20273="","",'Master Barang'!A67)</f>
        <v>0</v>
      </c>
      <c r="O20273">
        <f>IF(N20273="","",'Master Barang'!B67)</f>
        <v>0</v>
      </c>
      <c r="P20273">
        <f>IF(OR(M20273="",N20273=""),"",SUMIFS('Barang Keluar'!$E:$E,'Barang Keluar'!$A:$A,M20273,'Barang Keluar'!$C:$C,N20273))</f>
        <v>0</v>
      </c>
    </row>
    <row r="20274" spans="13:16">
      <c r="M20274" s="49">
        <f>IF($A$4+202&gt;$B$4,"",$A$4+202)</f>
        <v>46225</v>
      </c>
      <c r="N20274">
        <f>IF(M20274="","",'Master Barang'!A68)</f>
        <v>0</v>
      </c>
      <c r="O20274">
        <f>IF(N20274="","",'Master Barang'!B68)</f>
        <v>0</v>
      </c>
      <c r="P20274">
        <f>IF(OR(M20274="",N20274=""),"",SUMIFS('Barang Keluar'!$E:$E,'Barang Keluar'!$A:$A,M20274,'Barang Keluar'!$C:$C,N20274))</f>
        <v>0</v>
      </c>
    </row>
    <row r="20275" spans="13:16">
      <c r="M20275" s="49">
        <f>IF($A$4+202&gt;$B$4,"",$A$4+202)</f>
        <v>46225</v>
      </c>
      <c r="N20275">
        <f>IF(M20275="","",'Master Barang'!A69)</f>
        <v>0</v>
      </c>
      <c r="O20275">
        <f>IF(N20275="","",'Master Barang'!B69)</f>
        <v>0</v>
      </c>
      <c r="P20275">
        <f>IF(OR(M20275="",N20275=""),"",SUMIFS('Barang Keluar'!$E:$E,'Barang Keluar'!$A:$A,M20275,'Barang Keluar'!$C:$C,N20275))</f>
        <v>0</v>
      </c>
    </row>
    <row r="20276" spans="13:16">
      <c r="M20276" s="49">
        <f>IF($A$4+202&gt;$B$4,"",$A$4+202)</f>
        <v>46225</v>
      </c>
      <c r="N20276">
        <f>IF(M20276="","",'Master Barang'!A70)</f>
        <v>0</v>
      </c>
      <c r="O20276">
        <f>IF(N20276="","",'Master Barang'!B70)</f>
        <v>0</v>
      </c>
      <c r="P20276">
        <f>IF(OR(M20276="",N20276=""),"",SUMIFS('Barang Keluar'!$E:$E,'Barang Keluar'!$A:$A,M20276,'Barang Keluar'!$C:$C,N20276))</f>
        <v>0</v>
      </c>
    </row>
    <row r="20277" spans="13:16">
      <c r="M20277" s="49">
        <f>IF($A$4+202&gt;$B$4,"",$A$4+202)</f>
        <v>46225</v>
      </c>
      <c r="N20277">
        <f>IF(M20277="","",'Master Barang'!A71)</f>
        <v>0</v>
      </c>
      <c r="O20277">
        <f>IF(N20277="","",'Master Barang'!B71)</f>
        <v>0</v>
      </c>
      <c r="P20277">
        <f>IF(OR(M20277="",N20277=""),"",SUMIFS('Barang Keluar'!$E:$E,'Barang Keluar'!$A:$A,M20277,'Barang Keluar'!$C:$C,N20277))</f>
        <v>0</v>
      </c>
    </row>
    <row r="20278" spans="13:16">
      <c r="M20278" s="49">
        <f>IF($A$4+202&gt;$B$4,"",$A$4+202)</f>
        <v>46225</v>
      </c>
      <c r="N20278">
        <f>IF(M20278="","",'Master Barang'!A72)</f>
        <v>0</v>
      </c>
      <c r="O20278">
        <f>IF(N20278="","",'Master Barang'!B72)</f>
        <v>0</v>
      </c>
      <c r="P20278">
        <f>IF(OR(M20278="",N20278=""),"",SUMIFS('Barang Keluar'!$E:$E,'Barang Keluar'!$A:$A,M20278,'Barang Keluar'!$C:$C,N20278))</f>
        <v>0</v>
      </c>
    </row>
    <row r="20279" spans="13:16">
      <c r="M20279" s="49">
        <f>IF($A$4+202&gt;$B$4,"",$A$4+202)</f>
        <v>46225</v>
      </c>
      <c r="N20279">
        <f>IF(M20279="","",'Master Barang'!A73)</f>
        <v>0</v>
      </c>
      <c r="O20279">
        <f>IF(N20279="","",'Master Barang'!B73)</f>
        <v>0</v>
      </c>
      <c r="P20279">
        <f>IF(OR(M20279="",N20279=""),"",SUMIFS('Barang Keluar'!$E:$E,'Barang Keluar'!$A:$A,M20279,'Barang Keluar'!$C:$C,N20279))</f>
        <v>0</v>
      </c>
    </row>
    <row r="20280" spans="13:16">
      <c r="M20280" s="49">
        <f>IF($A$4+202&gt;$B$4,"",$A$4+202)</f>
        <v>46225</v>
      </c>
      <c r="N20280">
        <f>IF(M20280="","",'Master Barang'!A74)</f>
        <v>0</v>
      </c>
      <c r="O20280">
        <f>IF(N20280="","",'Master Barang'!B74)</f>
        <v>0</v>
      </c>
      <c r="P20280">
        <f>IF(OR(M20280="",N20280=""),"",SUMIFS('Barang Keluar'!$E:$E,'Barang Keluar'!$A:$A,M20280,'Barang Keluar'!$C:$C,N20280))</f>
        <v>0</v>
      </c>
    </row>
    <row r="20281" spans="13:16">
      <c r="M20281" s="49">
        <f>IF($A$4+202&gt;$B$4,"",$A$4+202)</f>
        <v>46225</v>
      </c>
      <c r="N20281">
        <f>IF(M20281="","",'Master Barang'!A75)</f>
        <v>0</v>
      </c>
      <c r="O20281">
        <f>IF(N20281="","",'Master Barang'!B75)</f>
        <v>0</v>
      </c>
      <c r="P20281">
        <f>IF(OR(M20281="",N20281=""),"",SUMIFS('Barang Keluar'!$E:$E,'Barang Keluar'!$A:$A,M20281,'Barang Keluar'!$C:$C,N20281))</f>
        <v>0</v>
      </c>
    </row>
    <row r="20282" spans="13:16">
      <c r="M20282" s="49">
        <f>IF($A$4+202&gt;$B$4,"",$A$4+202)</f>
        <v>46225</v>
      </c>
      <c r="N20282">
        <f>IF(M20282="","",'Master Barang'!A76)</f>
        <v>0</v>
      </c>
      <c r="O20282">
        <f>IF(N20282="","",'Master Barang'!B76)</f>
        <v>0</v>
      </c>
      <c r="P20282">
        <f>IF(OR(M20282="",N20282=""),"",SUMIFS('Barang Keluar'!$E:$E,'Barang Keluar'!$A:$A,M20282,'Barang Keluar'!$C:$C,N20282))</f>
        <v>0</v>
      </c>
    </row>
    <row r="20283" spans="13:16">
      <c r="M20283" s="49">
        <f>IF($A$4+202&gt;$B$4,"",$A$4+202)</f>
        <v>46225</v>
      </c>
      <c r="N20283">
        <f>IF(M20283="","",'Master Barang'!A77)</f>
        <v>0</v>
      </c>
      <c r="O20283">
        <f>IF(N20283="","",'Master Barang'!B77)</f>
        <v>0</v>
      </c>
      <c r="P20283">
        <f>IF(OR(M20283="",N20283=""),"",SUMIFS('Barang Keluar'!$E:$E,'Barang Keluar'!$A:$A,M20283,'Barang Keluar'!$C:$C,N20283))</f>
        <v>0</v>
      </c>
    </row>
    <row r="20284" spans="13:16">
      <c r="M20284" s="49">
        <f>IF($A$4+202&gt;$B$4,"",$A$4+202)</f>
        <v>46225</v>
      </c>
      <c r="N20284">
        <f>IF(M20284="","",'Master Barang'!A78)</f>
        <v>0</v>
      </c>
      <c r="O20284">
        <f>IF(N20284="","",'Master Barang'!B78)</f>
        <v>0</v>
      </c>
      <c r="P20284">
        <f>IF(OR(M20284="",N20284=""),"",SUMIFS('Barang Keluar'!$E:$E,'Barang Keluar'!$A:$A,M20284,'Barang Keluar'!$C:$C,N20284))</f>
        <v>0</v>
      </c>
    </row>
    <row r="20285" spans="13:16">
      <c r="M20285" s="49">
        <f>IF($A$4+202&gt;$B$4,"",$A$4+202)</f>
        <v>46225</v>
      </c>
      <c r="N20285">
        <f>IF(M20285="","",'Master Barang'!A79)</f>
        <v>0</v>
      </c>
      <c r="O20285">
        <f>IF(N20285="","",'Master Barang'!B79)</f>
        <v>0</v>
      </c>
      <c r="P20285">
        <f>IF(OR(M20285="",N20285=""),"",SUMIFS('Barang Keluar'!$E:$E,'Barang Keluar'!$A:$A,M20285,'Barang Keluar'!$C:$C,N20285))</f>
        <v>0</v>
      </c>
    </row>
    <row r="20286" spans="13:16">
      <c r="M20286" s="49">
        <f>IF($A$4+202&gt;$B$4,"",$A$4+202)</f>
        <v>46225</v>
      </c>
      <c r="N20286">
        <f>IF(M20286="","",'Master Barang'!A80)</f>
        <v>0</v>
      </c>
      <c r="O20286">
        <f>IF(N20286="","",'Master Barang'!B80)</f>
        <v>0</v>
      </c>
      <c r="P20286">
        <f>IF(OR(M20286="",N20286=""),"",SUMIFS('Barang Keluar'!$E:$E,'Barang Keluar'!$A:$A,M20286,'Barang Keluar'!$C:$C,N20286))</f>
        <v>0</v>
      </c>
    </row>
    <row r="20287" spans="13:16">
      <c r="M20287" s="49">
        <f>IF($A$4+202&gt;$B$4,"",$A$4+202)</f>
        <v>46225</v>
      </c>
      <c r="N20287">
        <f>IF(M20287="","",'Master Barang'!A81)</f>
        <v>0</v>
      </c>
      <c r="O20287">
        <f>IF(N20287="","",'Master Barang'!B81)</f>
        <v>0</v>
      </c>
      <c r="P20287">
        <f>IF(OR(M20287="",N20287=""),"",SUMIFS('Barang Keluar'!$E:$E,'Barang Keluar'!$A:$A,M20287,'Barang Keluar'!$C:$C,N20287))</f>
        <v>0</v>
      </c>
    </row>
    <row r="20288" spans="13:16">
      <c r="M20288" s="49">
        <f>IF($A$4+202&gt;$B$4,"",$A$4+202)</f>
        <v>46225</v>
      </c>
      <c r="N20288">
        <f>IF(M20288="","",'Master Barang'!A82)</f>
        <v>0</v>
      </c>
      <c r="O20288">
        <f>IF(N20288="","",'Master Barang'!B82)</f>
        <v>0</v>
      </c>
      <c r="P20288">
        <f>IF(OR(M20288="",N20288=""),"",SUMIFS('Barang Keluar'!$E:$E,'Barang Keluar'!$A:$A,M20288,'Barang Keluar'!$C:$C,N20288))</f>
        <v>0</v>
      </c>
    </row>
    <row r="20289" spans="13:16">
      <c r="M20289" s="49">
        <f>IF($A$4+202&gt;$B$4,"",$A$4+202)</f>
        <v>46225</v>
      </c>
      <c r="N20289">
        <f>IF(M20289="","",'Master Barang'!A83)</f>
        <v>0</v>
      </c>
      <c r="O20289">
        <f>IF(N20289="","",'Master Barang'!B83)</f>
        <v>0</v>
      </c>
      <c r="P20289">
        <f>IF(OR(M20289="",N20289=""),"",SUMIFS('Barang Keluar'!$E:$E,'Barang Keluar'!$A:$A,M20289,'Barang Keluar'!$C:$C,N20289))</f>
        <v>0</v>
      </c>
    </row>
    <row r="20290" spans="13:16">
      <c r="M20290" s="49">
        <f>IF($A$4+202&gt;$B$4,"",$A$4+202)</f>
        <v>46225</v>
      </c>
      <c r="N20290">
        <f>IF(M20290="","",'Master Barang'!A84)</f>
        <v>0</v>
      </c>
      <c r="O20290">
        <f>IF(N20290="","",'Master Barang'!B84)</f>
        <v>0</v>
      </c>
      <c r="P20290">
        <f>IF(OR(M20290="",N20290=""),"",SUMIFS('Barang Keluar'!$E:$E,'Barang Keluar'!$A:$A,M20290,'Barang Keluar'!$C:$C,N20290))</f>
        <v>0</v>
      </c>
    </row>
    <row r="20291" spans="13:16">
      <c r="M20291" s="49">
        <f>IF($A$4+202&gt;$B$4,"",$A$4+202)</f>
        <v>46225</v>
      </c>
      <c r="N20291">
        <f>IF(M20291="","",'Master Barang'!A85)</f>
        <v>0</v>
      </c>
      <c r="O20291">
        <f>IF(N20291="","",'Master Barang'!B85)</f>
        <v>0</v>
      </c>
      <c r="P20291">
        <f>IF(OR(M20291="",N20291=""),"",SUMIFS('Barang Keluar'!$E:$E,'Barang Keluar'!$A:$A,M20291,'Barang Keluar'!$C:$C,N20291))</f>
        <v>0</v>
      </c>
    </row>
    <row r="20292" spans="13:16">
      <c r="M20292" s="49">
        <f>IF($A$4+202&gt;$B$4,"",$A$4+202)</f>
        <v>46225</v>
      </c>
      <c r="N20292">
        <f>IF(M20292="","",'Master Barang'!A86)</f>
        <v>0</v>
      </c>
      <c r="O20292">
        <f>IF(N20292="","",'Master Barang'!B86)</f>
        <v>0</v>
      </c>
      <c r="P20292">
        <f>IF(OR(M20292="",N20292=""),"",SUMIFS('Barang Keluar'!$E:$E,'Barang Keluar'!$A:$A,M20292,'Barang Keluar'!$C:$C,N20292))</f>
        <v>0</v>
      </c>
    </row>
    <row r="20293" spans="13:16">
      <c r="M20293" s="49">
        <f>IF($A$4+202&gt;$B$4,"",$A$4+202)</f>
        <v>46225</v>
      </c>
      <c r="N20293">
        <f>IF(M20293="","",'Master Barang'!A87)</f>
        <v>0</v>
      </c>
      <c r="O20293">
        <f>IF(N20293="","",'Master Barang'!B87)</f>
        <v>0</v>
      </c>
      <c r="P20293">
        <f>IF(OR(M20293="",N20293=""),"",SUMIFS('Barang Keluar'!$E:$E,'Barang Keluar'!$A:$A,M20293,'Barang Keluar'!$C:$C,N20293))</f>
        <v>0</v>
      </c>
    </row>
    <row r="20294" spans="13:16">
      <c r="M20294" s="49">
        <f>IF($A$4+202&gt;$B$4,"",$A$4+202)</f>
        <v>46225</v>
      </c>
      <c r="N20294">
        <f>IF(M20294="","",'Master Barang'!A88)</f>
        <v>0</v>
      </c>
      <c r="O20294">
        <f>IF(N20294="","",'Master Barang'!B88)</f>
        <v>0</v>
      </c>
      <c r="P20294">
        <f>IF(OR(M20294="",N20294=""),"",SUMIFS('Barang Keluar'!$E:$E,'Barang Keluar'!$A:$A,M20294,'Barang Keluar'!$C:$C,N20294))</f>
        <v>0</v>
      </c>
    </row>
    <row r="20295" spans="13:16">
      <c r="M20295" s="49">
        <f>IF($A$4+202&gt;$B$4,"",$A$4+202)</f>
        <v>46225</v>
      </c>
      <c r="N20295">
        <f>IF(M20295="","",'Master Barang'!A89)</f>
        <v>0</v>
      </c>
      <c r="O20295">
        <f>IF(N20295="","",'Master Barang'!B89)</f>
        <v>0</v>
      </c>
      <c r="P20295">
        <f>IF(OR(M20295="",N20295=""),"",SUMIFS('Barang Keluar'!$E:$E,'Barang Keluar'!$A:$A,M20295,'Barang Keluar'!$C:$C,N20295))</f>
        <v>0</v>
      </c>
    </row>
    <row r="20296" spans="13:16">
      <c r="M20296" s="49">
        <f>IF($A$4+202&gt;$B$4,"",$A$4+202)</f>
        <v>46225</v>
      </c>
      <c r="N20296">
        <f>IF(M20296="","",'Master Barang'!A90)</f>
        <v>0</v>
      </c>
      <c r="O20296">
        <f>IF(N20296="","",'Master Barang'!B90)</f>
        <v>0</v>
      </c>
      <c r="P20296">
        <f>IF(OR(M20296="",N20296=""),"",SUMIFS('Barang Keluar'!$E:$E,'Barang Keluar'!$A:$A,M20296,'Barang Keluar'!$C:$C,N20296))</f>
        <v>0</v>
      </c>
    </row>
    <row r="20297" spans="13:16">
      <c r="M20297" s="49">
        <f>IF($A$4+202&gt;$B$4,"",$A$4+202)</f>
        <v>46225</v>
      </c>
      <c r="N20297">
        <f>IF(M20297="","",'Master Barang'!A91)</f>
        <v>0</v>
      </c>
      <c r="O20297">
        <f>IF(N20297="","",'Master Barang'!B91)</f>
        <v>0</v>
      </c>
      <c r="P20297">
        <f>IF(OR(M20297="",N20297=""),"",SUMIFS('Barang Keluar'!$E:$E,'Barang Keluar'!$A:$A,M20297,'Barang Keluar'!$C:$C,N20297))</f>
        <v>0</v>
      </c>
    </row>
    <row r="20298" spans="13:16">
      <c r="M20298" s="49">
        <f>IF($A$4+202&gt;$B$4,"",$A$4+202)</f>
        <v>46225</v>
      </c>
      <c r="N20298">
        <f>IF(M20298="","",'Master Barang'!A92)</f>
        <v>0</v>
      </c>
      <c r="O20298">
        <f>IF(N20298="","",'Master Barang'!B92)</f>
        <v>0</v>
      </c>
      <c r="P20298">
        <f>IF(OR(M20298="",N20298=""),"",SUMIFS('Barang Keluar'!$E:$E,'Barang Keluar'!$A:$A,M20298,'Barang Keluar'!$C:$C,N20298))</f>
        <v>0</v>
      </c>
    </row>
    <row r="20299" spans="13:16">
      <c r="M20299" s="49">
        <f>IF($A$4+202&gt;$B$4,"",$A$4+202)</f>
        <v>46225</v>
      </c>
      <c r="N20299">
        <f>IF(M20299="","",'Master Barang'!A93)</f>
        <v>0</v>
      </c>
      <c r="O20299">
        <f>IF(N20299="","",'Master Barang'!B93)</f>
        <v>0</v>
      </c>
      <c r="P20299">
        <f>IF(OR(M20299="",N20299=""),"",SUMIFS('Barang Keluar'!$E:$E,'Barang Keluar'!$A:$A,M20299,'Barang Keluar'!$C:$C,N20299))</f>
        <v>0</v>
      </c>
    </row>
    <row r="20300" spans="13:16">
      <c r="M20300" s="49">
        <f>IF($A$4+202&gt;$B$4,"",$A$4+202)</f>
        <v>46225</v>
      </c>
      <c r="N20300">
        <f>IF(M20300="","",'Master Barang'!A94)</f>
        <v>0</v>
      </c>
      <c r="O20300">
        <f>IF(N20300="","",'Master Barang'!B94)</f>
        <v>0</v>
      </c>
      <c r="P20300">
        <f>IF(OR(M20300="",N20300=""),"",SUMIFS('Barang Keluar'!$E:$E,'Barang Keluar'!$A:$A,M20300,'Barang Keluar'!$C:$C,N20300))</f>
        <v>0</v>
      </c>
    </row>
    <row r="20301" spans="13:16">
      <c r="M20301" s="49">
        <f>IF($A$4+202&gt;$B$4,"",$A$4+202)</f>
        <v>46225</v>
      </c>
      <c r="N20301">
        <f>IF(M20301="","",'Master Barang'!A95)</f>
        <v>0</v>
      </c>
      <c r="O20301">
        <f>IF(N20301="","",'Master Barang'!B95)</f>
        <v>0</v>
      </c>
      <c r="P20301">
        <f>IF(OR(M20301="",N20301=""),"",SUMIFS('Barang Keluar'!$E:$E,'Barang Keluar'!$A:$A,M20301,'Barang Keluar'!$C:$C,N20301))</f>
        <v>0</v>
      </c>
    </row>
    <row r="20302" spans="13:16">
      <c r="M20302" s="49">
        <f>IF($A$4+202&gt;$B$4,"",$A$4+202)</f>
        <v>46225</v>
      </c>
      <c r="N20302">
        <f>IF(M20302="","",'Master Barang'!A96)</f>
        <v>0</v>
      </c>
      <c r="O20302">
        <f>IF(N20302="","",'Master Barang'!B96)</f>
        <v>0</v>
      </c>
      <c r="P20302">
        <f>IF(OR(M20302="",N20302=""),"",SUMIFS('Barang Keluar'!$E:$E,'Barang Keluar'!$A:$A,M20302,'Barang Keluar'!$C:$C,N20302))</f>
        <v>0</v>
      </c>
    </row>
    <row r="20303" spans="13:16">
      <c r="M20303" s="49">
        <f>IF($A$4+202&gt;$B$4,"",$A$4+202)</f>
        <v>46225</v>
      </c>
      <c r="N20303">
        <f>IF(M20303="","",'Master Barang'!A97)</f>
        <v>0</v>
      </c>
      <c r="O20303">
        <f>IF(N20303="","",'Master Barang'!B97)</f>
        <v>0</v>
      </c>
      <c r="P20303">
        <f>IF(OR(M20303="",N20303=""),"",SUMIFS('Barang Keluar'!$E:$E,'Barang Keluar'!$A:$A,M20303,'Barang Keluar'!$C:$C,N20303))</f>
        <v>0</v>
      </c>
    </row>
    <row r="20304" spans="13:16">
      <c r="M20304" s="49">
        <f>IF($A$4+202&gt;$B$4,"",$A$4+202)</f>
        <v>46225</v>
      </c>
      <c r="N20304">
        <f>IF(M20304="","",'Master Barang'!A98)</f>
        <v>0</v>
      </c>
      <c r="O20304">
        <f>IF(N20304="","",'Master Barang'!B98)</f>
        <v>0</v>
      </c>
      <c r="P20304">
        <f>IF(OR(M20304="",N20304=""),"",SUMIFS('Barang Keluar'!$E:$E,'Barang Keluar'!$A:$A,M20304,'Barang Keluar'!$C:$C,N20304))</f>
        <v>0</v>
      </c>
    </row>
    <row r="20305" spans="13:16">
      <c r="M20305" s="49">
        <f>IF($A$4+202&gt;$B$4,"",$A$4+202)</f>
        <v>46225</v>
      </c>
      <c r="N20305">
        <f>IF(M20305="","",'Master Barang'!A99)</f>
        <v>0</v>
      </c>
      <c r="O20305">
        <f>IF(N20305="","",'Master Barang'!B99)</f>
        <v>0</v>
      </c>
      <c r="P20305">
        <f>IF(OR(M20305="",N20305=""),"",SUMIFS('Barang Keluar'!$E:$E,'Barang Keluar'!$A:$A,M20305,'Barang Keluar'!$C:$C,N20305))</f>
        <v>0</v>
      </c>
    </row>
    <row r="20306" spans="13:16">
      <c r="M20306" s="49">
        <f>IF($A$4+202&gt;$B$4,"",$A$4+202)</f>
        <v>46225</v>
      </c>
      <c r="N20306">
        <f>IF(M20306="","",'Master Barang'!A100)</f>
        <v>0</v>
      </c>
      <c r="O20306">
        <f>IF(N20306="","",'Master Barang'!B100)</f>
        <v>0</v>
      </c>
      <c r="P20306">
        <f>IF(OR(M20306="",N20306=""),"",SUMIFS('Barang Keluar'!$E:$E,'Barang Keluar'!$A:$A,M20306,'Barang Keluar'!$C:$C,N20306))</f>
        <v>0</v>
      </c>
    </row>
    <row r="20307" spans="13:16">
      <c r="M20307" s="49">
        <f>IF($A$4+202&gt;$B$4,"",$A$4+202)</f>
        <v>46225</v>
      </c>
      <c r="N20307">
        <f>IF(M20307="","",'Master Barang'!A101)</f>
        <v>0</v>
      </c>
      <c r="O20307">
        <f>IF(N20307="","",'Master Barang'!B101)</f>
        <v>0</v>
      </c>
      <c r="P20307">
        <f>IF(OR(M20307="",N20307=""),"",SUMIFS('Barang Keluar'!$E:$E,'Barang Keluar'!$A:$A,M20307,'Barang Keluar'!$C:$C,N20307))</f>
        <v>0</v>
      </c>
    </row>
    <row r="20308" spans="13:16">
      <c r="M20308" s="49">
        <f>IF($A$4+203&gt;$B$4,"",$A$4+203)</f>
        <v>46226</v>
      </c>
      <c r="N20308" t="str">
        <f>IF(M20308="","",'Master Barang'!A2)</f>
        <v>PRL-001</v>
      </c>
      <c r="O20308" t="str">
        <f>IF(N20308="","",'Master Barang'!B2)</f>
        <v>natura desinfectant food grade 5l</v>
      </c>
      <c r="P20308">
        <f>IF(OR(M20308="",N20308=""),"",SUMIFS('Barang Keluar'!$E:$E,'Barang Keluar'!$A:$A,M20308,'Barang Keluar'!$C:$C,N20308))</f>
        <v>0</v>
      </c>
    </row>
    <row r="20309" spans="13:16">
      <c r="M20309" s="49">
        <f>IF($A$4+203&gt;$B$4,"",$A$4+203)</f>
        <v>46226</v>
      </c>
      <c r="N20309" t="str">
        <f>IF(M20309="","",'Master Barang'!A3)</f>
        <v>PRL-002</v>
      </c>
      <c r="O20309" t="str">
        <f>IF(N20309="","",'Master Barang'!B3)</f>
        <v>sunlight cairan pencuci piring 5l</v>
      </c>
      <c r="P20309">
        <f>IF(OR(M20309="",N20309=""),"",SUMIFS('Barang Keluar'!$E:$E,'Barang Keluar'!$A:$A,M20309,'Barang Keluar'!$C:$C,N20309))</f>
        <v>0</v>
      </c>
    </row>
    <row r="20310" spans="13:16">
      <c r="M20310" s="49">
        <f>IF($A$4+203&gt;$B$4,"",$A$4+203)</f>
        <v>46226</v>
      </c>
      <c r="N20310" t="str">
        <f>IF(M20310="","",'Master Barang'!A4)</f>
        <v>PRL-003</v>
      </c>
      <c r="O20310" t="str">
        <f>IF(N20310="","",'Master Barang'!B4)</f>
        <v>oixs cleaner 1l</v>
      </c>
      <c r="P20310">
        <f>IF(OR(M20310="",N20310=""),"",SUMIFS('Barang Keluar'!$E:$E,'Barang Keluar'!$A:$A,M20310,'Barang Keluar'!$C:$C,N20310))</f>
        <v>0</v>
      </c>
    </row>
    <row r="20311" spans="13:16">
      <c r="M20311" s="49">
        <f>IF($A$4+203&gt;$B$4,"",$A$4+203)</f>
        <v>46226</v>
      </c>
      <c r="N20311" t="str">
        <f>IF(M20311="","",'Master Barang'!A5)</f>
        <v>PRL-004</v>
      </c>
      <c r="O20311" t="str">
        <f>IF(N20311="","",'Master Barang'!B5)</f>
        <v>be clean tissue serbaguna</v>
      </c>
      <c r="P20311">
        <f>IF(OR(M20311="",N20311=""),"",SUMIFS('Barang Keluar'!$E:$E,'Barang Keluar'!$A:$A,M20311,'Barang Keluar'!$C:$C,N20311))</f>
        <v>0</v>
      </c>
    </row>
    <row r="20312" spans="13:16">
      <c r="M20312" s="49">
        <f>IF($A$4+203&gt;$B$4,"",$A$4+203)</f>
        <v>46226</v>
      </c>
      <c r="N20312" t="str">
        <f>IF(M20312="","",'Master Barang'!A6)</f>
        <v>PRL-005</v>
      </c>
      <c r="O20312" t="str">
        <f>IF(N20312="","",'Master Barang'!B6)</f>
        <v>spons cuci hijau</v>
      </c>
      <c r="P20312">
        <f>IF(OR(M20312="",N20312=""),"",SUMIFS('Barang Keluar'!$E:$E,'Barang Keluar'!$A:$A,M20312,'Barang Keluar'!$C:$C,N20312))</f>
        <v>0</v>
      </c>
    </row>
    <row r="20313" spans="13:16">
      <c r="M20313" s="49">
        <f>IF($A$4+203&gt;$B$4,"",$A$4+203)</f>
        <v>46226</v>
      </c>
      <c r="N20313" t="str">
        <f>IF(M20313="","",'Master Barang'!A7)</f>
        <v>PRL-006</v>
      </c>
      <c r="O20313" t="str">
        <f>IF(N20313="","",'Master Barang'!B7)</f>
        <v>sabut cuci stainless</v>
      </c>
      <c r="P20313">
        <f>IF(OR(M20313="",N20313=""),"",SUMIFS('Barang Keluar'!$E:$E,'Barang Keluar'!$A:$A,M20313,'Barang Keluar'!$C:$C,N20313))</f>
        <v>0</v>
      </c>
    </row>
    <row r="20314" spans="13:16">
      <c r="M20314" s="49">
        <f>IF($A$4+203&gt;$B$4,"",$A$4+203)</f>
        <v>46226</v>
      </c>
      <c r="N20314" t="str">
        <f>IF(M20314="","",'Master Barang'!A8)</f>
        <v>PRL-007</v>
      </c>
      <c r="O20314" t="str">
        <f>IF(N20314="","",'Master Barang'!B8)</f>
        <v>plastik kresek besar merah 50pc</v>
      </c>
      <c r="P20314">
        <f>IF(OR(M20314="",N20314=""),"",SUMIFS('Barang Keluar'!$E:$E,'Barang Keluar'!$A:$A,M20314,'Barang Keluar'!$C:$C,N20314))</f>
        <v>0</v>
      </c>
    </row>
    <row r="20315" spans="13:16">
      <c r="M20315" s="49">
        <f>IF($A$4+203&gt;$B$4,"",$A$4+203)</f>
        <v>46226</v>
      </c>
      <c r="N20315" t="str">
        <f>IF(M20315="","",'Master Barang'!A9)</f>
        <v>PRL-008</v>
      </c>
      <c r="O20315" t="str">
        <f>IF(N20315="","",'Master Barang'!B9)</f>
        <v>lap besar</v>
      </c>
      <c r="P20315">
        <f>IF(OR(M20315="",N20315=""),"",SUMIFS('Barang Keluar'!$E:$E,'Barang Keluar'!$A:$A,M20315,'Barang Keluar'!$C:$C,N20315))</f>
        <v>0</v>
      </c>
    </row>
    <row r="20316" spans="13:16">
      <c r="M20316" s="49">
        <f>IF($A$4+203&gt;$B$4,"",$A$4+203)</f>
        <v>46226</v>
      </c>
      <c r="N20316" t="str">
        <f>IF(M20316="","",'Master Barang'!A10)</f>
        <v>PRL-009</v>
      </c>
      <c r="O20316" t="str">
        <f>IF(N20316="","",'Master Barang'!B10)</f>
        <v>lap microfiber</v>
      </c>
      <c r="P20316">
        <f>IF(OR(M20316="",N20316=""),"",SUMIFS('Barang Keluar'!$E:$E,'Barang Keluar'!$A:$A,M20316,'Barang Keluar'!$C:$C,N20316))</f>
        <v>0</v>
      </c>
    </row>
    <row r="20317" spans="13:16">
      <c r="M20317" s="49">
        <f>IF($A$4+203&gt;$B$4,"",$A$4+203)</f>
        <v>46226</v>
      </c>
      <c r="N20317" t="str">
        <f>IF(M20317="","",'Master Barang'!A11)</f>
        <v>PRL-010</v>
      </c>
      <c r="O20317" t="str">
        <f>IF(N20317="","",'Master Barang'!B11)</f>
        <v>lap kecil</v>
      </c>
      <c r="P20317">
        <f>IF(OR(M20317="",N20317=""),"",SUMIFS('Barang Keluar'!$E:$E,'Barang Keluar'!$A:$A,M20317,'Barang Keluar'!$C:$C,N20317))</f>
        <v>0</v>
      </c>
    </row>
    <row r="20318" spans="13:16">
      <c r="M20318" s="49">
        <f>IF($A$4+203&gt;$B$4,"",$A$4+203)</f>
        <v>46226</v>
      </c>
      <c r="N20318" t="str">
        <f>IF(M20318="","",'Master Barang'!A12)</f>
        <v>PRL-011</v>
      </c>
      <c r="O20318" t="str">
        <f>IF(N20318="","",'Master Barang'!B12)</f>
        <v>kanebo kecil</v>
      </c>
      <c r="P20318">
        <f>IF(OR(M20318="",N20318=""),"",SUMIFS('Barang Keluar'!$E:$E,'Barang Keluar'!$A:$A,M20318,'Barang Keluar'!$C:$C,N20318))</f>
        <v>0</v>
      </c>
    </row>
    <row r="20319" spans="13:16">
      <c r="M20319" s="49">
        <f>IF($A$4+203&gt;$B$4,"",$A$4+203)</f>
        <v>46226</v>
      </c>
      <c r="N20319" t="str">
        <f>IF(M20319="","",'Master Barang'!A13)</f>
        <v>PRL-012</v>
      </c>
      <c r="O20319" t="str">
        <f>IF(N20319="","",'Master Barang'!B13)</f>
        <v>plastik 1/4kg joyoboyo 100 lembar</v>
      </c>
      <c r="P20319">
        <f>IF(OR(M20319="",N20319=""),"",SUMIFS('Barang Keluar'!$E:$E,'Barang Keluar'!$A:$A,M20319,'Barang Keluar'!$C:$C,N20319))</f>
        <v>0</v>
      </c>
    </row>
    <row r="20320" spans="13:16">
      <c r="M20320" s="49">
        <f>IF($A$4+203&gt;$B$4,"",$A$4+203)</f>
        <v>46226</v>
      </c>
      <c r="N20320" t="str">
        <f>IF(M20320="","",'Master Barang'!A14)</f>
        <v>PRL-013</v>
      </c>
      <c r="O20320" t="str">
        <f>IF(N20320="","",'Master Barang'!B14)</f>
        <v>sarung tangan plastik kaka 100 pcs</v>
      </c>
      <c r="P20320">
        <f>IF(OR(M20320="",N20320=""),"",SUMIFS('Barang Keluar'!$E:$E,'Barang Keluar'!$A:$A,M20320,'Barang Keluar'!$C:$C,N20320))</f>
        <v>0</v>
      </c>
    </row>
    <row r="20321" spans="13:16">
      <c r="M20321" s="49">
        <f>IF($A$4+203&gt;$B$4,"",$A$4+203)</f>
        <v>46226</v>
      </c>
      <c r="N20321" t="str">
        <f>IF(M20321="","",'Master Barang'!A15)</f>
        <v>PRL-014</v>
      </c>
      <c r="O20321" t="str">
        <f>IF(N20321="","",'Master Barang'!B15)</f>
        <v>optima trashbag 80x100</v>
      </c>
      <c r="P20321">
        <f>IF(OR(M20321="",N20321=""),"",SUMIFS('Barang Keluar'!$E:$E,'Barang Keluar'!$A:$A,M20321,'Barang Keluar'!$C:$C,N20321))</f>
        <v>0</v>
      </c>
    </row>
    <row r="20322" spans="13:16">
      <c r="M20322" s="49">
        <f>IF($A$4+203&gt;$B$4,"",$A$4+203)</f>
        <v>46226</v>
      </c>
      <c r="N20322" t="str">
        <f>IF(M20322="","",'Master Barang'!A16)</f>
        <v>PRL-015</v>
      </c>
      <c r="O20322" t="str">
        <f>IF(N20322="","",'Master Barang'!B16)</f>
        <v>optima trashbag 60x100</v>
      </c>
      <c r="P20322">
        <f>IF(OR(M20322="",N20322=""),"",SUMIFS('Barang Keluar'!$E:$E,'Barang Keluar'!$A:$A,M20322,'Barang Keluar'!$C:$C,N20322))</f>
        <v>0</v>
      </c>
    </row>
    <row r="20323" spans="13:16">
      <c r="M20323" s="49">
        <f>IF($A$4+203&gt;$B$4,"",$A$4+203)</f>
        <v>46226</v>
      </c>
      <c r="N20323" t="str">
        <f>IF(M20323="","",'Master Barang'!A17)</f>
        <v>PRL-016</v>
      </c>
      <c r="O20323" t="str">
        <f>IF(N20323="","",'Master Barang'!B17)</f>
        <v>rajawali trashbag 30x40</v>
      </c>
      <c r="P20323">
        <f>IF(OR(M20323="",N20323=""),"",SUMIFS('Barang Keluar'!$E:$E,'Barang Keluar'!$A:$A,M20323,'Barang Keluar'!$C:$C,N20323))</f>
        <v>0</v>
      </c>
    </row>
    <row r="20324" spans="13:16">
      <c r="M20324" s="49">
        <f>IF($A$4+203&gt;$B$4,"",$A$4+203)</f>
        <v>46226</v>
      </c>
      <c r="N20324" t="str">
        <f>IF(M20324="","",'Master Barang'!A18)</f>
        <v>PRL-017</v>
      </c>
      <c r="O20324" t="str">
        <f>IF(N20324="","",'Master Barang'!B18)</f>
        <v>onemed masker biru 3 play 50 pcs</v>
      </c>
      <c r="P20324">
        <f>IF(OR(M20324="",N20324=""),"",SUMIFS('Barang Keluar'!$E:$E,'Barang Keluar'!$A:$A,M20324,'Barang Keluar'!$C:$C,N20324))</f>
        <v>0</v>
      </c>
    </row>
    <row r="20325" spans="13:16">
      <c r="M20325" s="49">
        <f>IF($A$4+203&gt;$B$4,"",$A$4+203)</f>
        <v>46226</v>
      </c>
      <c r="N20325" t="str">
        <f>IF(M20325="","",'Master Barang'!A19)</f>
        <v>PRL-018</v>
      </c>
      <c r="O20325" t="str">
        <f>IF(N20325="","",'Master Barang'!B19)</f>
        <v>onemed masker biru 3 play hijab 50 pcs</v>
      </c>
      <c r="P20325">
        <f>IF(OR(M20325="",N20325=""),"",SUMIFS('Barang Keluar'!$E:$E,'Barang Keluar'!$A:$A,M20325,'Barang Keluar'!$C:$C,N20325))</f>
        <v>0</v>
      </c>
    </row>
    <row r="20326" spans="13:16">
      <c r="M20326" s="49">
        <f>IF($A$4+203&gt;$B$4,"",$A$4+203)</f>
        <v>46226</v>
      </c>
      <c r="N20326" t="str">
        <f>IF(M20326="","",'Master Barang'!A20)</f>
        <v>PRL-019</v>
      </c>
      <c r="O20326" t="str">
        <f>IF(N20326="","",'Master Barang'!B20)</f>
        <v>neo health masker biru 3 play 50 pcs</v>
      </c>
      <c r="P20326">
        <f>IF(OR(M20326="",N20326=""),"",SUMIFS('Barang Keluar'!$E:$E,'Barang Keluar'!$A:$A,M20326,'Barang Keluar'!$C:$C,N20326))</f>
        <v>0</v>
      </c>
    </row>
    <row r="20327" spans="13:16">
      <c r="M20327" s="49">
        <f>IF($A$4+203&gt;$B$4,"",$A$4+203)</f>
        <v>46226</v>
      </c>
      <c r="N20327" t="str">
        <f>IF(M20327="","",'Master Barang'!A21)</f>
        <v>PRL-020</v>
      </c>
      <c r="O20327" t="str">
        <f>IF(N20327="","",'Master Barang'!B21)</f>
        <v>baymed masker hijau 3 play hijau 50 pcs</v>
      </c>
      <c r="P20327">
        <f>IF(OR(M20327="",N20327=""),"",SUMIFS('Barang Keluar'!$E:$E,'Barang Keluar'!$A:$A,M20327,'Barang Keluar'!$C:$C,N20327))</f>
        <v>0</v>
      </c>
    </row>
    <row r="20328" spans="13:16">
      <c r="M20328" s="49">
        <f>IF($A$4+203&gt;$B$4,"",$A$4+203)</f>
        <v>46226</v>
      </c>
      <c r="N20328" t="str">
        <f>IF(M20328="","",'Master Barang'!A22)</f>
        <v>PRL-021</v>
      </c>
      <c r="O20328" t="str">
        <f>IF(N20328="","",'Master Barang'!B22)</f>
        <v>altamed nurse cap penutup kepala 100 pcs</v>
      </c>
      <c r="P20328">
        <f>IF(OR(M20328="",N20328=""),"",SUMIFS('Barang Keluar'!$E:$E,'Barang Keluar'!$A:$A,M20328,'Barang Keluar'!$C:$C,N20328))</f>
        <v>0</v>
      </c>
    </row>
    <row r="20329" spans="13:16">
      <c r="M20329" s="49">
        <f>IF($A$4+203&gt;$B$4,"",$A$4+203)</f>
        <v>46226</v>
      </c>
      <c r="N20329" t="str">
        <f>IF(M20329="","",'Master Barang'!A23)</f>
        <v>PRL-022</v>
      </c>
      <c r="O20329" t="str">
        <f>IF(N20329="","",'Master Barang'!B23)</f>
        <v>sabun cuci tangan</v>
      </c>
      <c r="P20329">
        <f>IF(OR(M20329="",N20329=""),"",SUMIFS('Barang Keluar'!$E:$E,'Barang Keluar'!$A:$A,M20329,'Barang Keluar'!$C:$C,N20329))</f>
        <v>0</v>
      </c>
    </row>
    <row r="20330" spans="13:16">
      <c r="M20330" s="49">
        <f>IF($A$4+203&gt;$B$4,"",$A$4+203)</f>
        <v>46226</v>
      </c>
      <c r="N20330" t="str">
        <f>IF(M20330="","",'Master Barang'!A24)</f>
        <v>PRL-023</v>
      </c>
      <c r="O20330" t="str">
        <f>IF(N20330="","",'Master Barang'!B24)</f>
        <v>gayung kecil</v>
      </c>
      <c r="P20330">
        <f>IF(OR(M20330="",N20330=""),"",SUMIFS('Barang Keluar'!$E:$E,'Barang Keluar'!$A:$A,M20330,'Barang Keluar'!$C:$C,N20330))</f>
        <v>0</v>
      </c>
    </row>
    <row r="20331" spans="13:16">
      <c r="M20331" s="49">
        <f>IF($A$4+203&gt;$B$4,"",$A$4+203)</f>
        <v>46226</v>
      </c>
      <c r="N20331" t="str">
        <f>IF(M20331="","",'Master Barang'!A25)</f>
        <v>PRL-024</v>
      </c>
      <c r="O20331" t="str">
        <f>IF(N20331="","",'Master Barang'!B25)</f>
        <v>cikrak kecil</v>
      </c>
      <c r="P20331">
        <f>IF(OR(M20331="",N20331=""),"",SUMIFS('Barang Keluar'!$E:$E,'Barang Keluar'!$A:$A,M20331,'Barang Keluar'!$C:$C,N20331))</f>
        <v>0</v>
      </c>
    </row>
    <row r="20332" spans="13:16">
      <c r="M20332" s="49">
        <f>IF($A$4+203&gt;$B$4,"",$A$4+203)</f>
        <v>46226</v>
      </c>
      <c r="N20332" t="str">
        <f>IF(M20332="","",'Master Barang'!A26)</f>
        <v>PRL-025</v>
      </c>
      <c r="O20332" t="str">
        <f>IF(N20332="","",'Master Barang'!B26)</f>
        <v>petromax plastik kecil 12x24 100 lembar</v>
      </c>
      <c r="P20332">
        <f>IF(OR(M20332="",N20332=""),"",SUMIFS('Barang Keluar'!$E:$E,'Barang Keluar'!$A:$A,M20332,'Barang Keluar'!$C:$C,N20332))</f>
        <v>0</v>
      </c>
    </row>
    <row r="20333" spans="13:16">
      <c r="M20333" s="49">
        <f>IF($A$4+203&gt;$B$4,"",$A$4+203)</f>
        <v>46226</v>
      </c>
      <c r="N20333" t="str">
        <f>IF(M20333="","",'Master Barang'!A27)</f>
        <v>PRL-026</v>
      </c>
      <c r="O20333" t="str">
        <f>IF(N20333="","",'Master Barang'!B27)</f>
        <v>lancar kresek kecil bening </v>
      </c>
      <c r="P20333">
        <f>IF(OR(M20333="",N20333=""),"",SUMIFS('Barang Keluar'!$E:$E,'Barang Keluar'!$A:$A,M20333,'Barang Keluar'!$C:$C,N20333))</f>
        <v>0</v>
      </c>
    </row>
    <row r="20334" spans="13:16">
      <c r="M20334" s="49">
        <f>IF($A$4+203&gt;$B$4,"",$A$4+203)</f>
        <v>46226</v>
      </c>
      <c r="N20334" t="str">
        <f>IF(M20334="","",'Master Barang'!A28)</f>
        <v>PRL-027</v>
      </c>
      <c r="O20334" t="str">
        <f>IF(N20334="","",'Master Barang'!B28)</f>
        <v>kresek klin warna warni kecil</v>
      </c>
      <c r="P20334">
        <f>IF(OR(M20334="",N20334=""),"",SUMIFS('Barang Keluar'!$E:$E,'Barang Keluar'!$A:$A,M20334,'Barang Keluar'!$C:$C,N20334))</f>
        <v>0</v>
      </c>
    </row>
    <row r="20335" spans="13:16">
      <c r="M20335" s="49">
        <f>IF($A$4+203&gt;$B$4,"",$A$4+203)</f>
        <v>46226</v>
      </c>
      <c r="N20335" t="str">
        <f>IF(M20335="","",'Master Barang'!A29)</f>
        <v>PRL-028</v>
      </c>
      <c r="O20335" t="str">
        <f>IF(N20335="","",'Master Barang'!B29)</f>
        <v>ctik plastik 7x10 100 pcs</v>
      </c>
      <c r="P20335">
        <f>IF(OR(M20335="",N20335=""),"",SUMIFS('Barang Keluar'!$E:$E,'Barang Keluar'!$A:$A,M20335,'Barang Keluar'!$C:$C,N20335))</f>
        <v>0</v>
      </c>
    </row>
    <row r="20336" spans="13:16">
      <c r="M20336" s="49">
        <f>IF($A$4+203&gt;$B$4,"",$A$4+203)</f>
        <v>46226</v>
      </c>
      <c r="N20336" t="str">
        <f>IF(M20336="","",'Master Barang'!A30)</f>
        <v>PRL-029</v>
      </c>
      <c r="O20336" t="str">
        <f>IF(N20336="","",'Master Barang'!B30)</f>
        <v>ctik plastik 6x10 100 pcs</v>
      </c>
      <c r="P20336">
        <f>IF(OR(M20336="",N20336=""),"",SUMIFS('Barang Keluar'!$E:$E,'Barang Keluar'!$A:$A,M20336,'Barang Keluar'!$C:$C,N20336))</f>
        <v>0</v>
      </c>
    </row>
    <row r="20337" spans="13:16">
      <c r="M20337" s="49">
        <f>IF($A$4+203&gt;$B$4,"",$A$4+203)</f>
        <v>46226</v>
      </c>
      <c r="N20337" t="str">
        <f>IF(M20337="","",'Master Barang'!A31)</f>
        <v>PRL-030</v>
      </c>
      <c r="O20337" t="str">
        <f>IF(N20337="","",'Master Barang'!B31)</f>
        <v>klip plastik 25x16 100 pcs</v>
      </c>
      <c r="P20337">
        <f>IF(OR(M20337="",N20337=""),"",SUMIFS('Barang Keluar'!$E:$E,'Barang Keluar'!$A:$A,M20337,'Barang Keluar'!$C:$C,N20337))</f>
        <v>0</v>
      </c>
    </row>
    <row r="20338" spans="13:16">
      <c r="M20338" s="49">
        <f>IF($A$4+203&gt;$B$4,"",$A$4+203)</f>
        <v>46226</v>
      </c>
      <c r="N20338" t="str">
        <f>IF(M20338="","",'Master Barang'!A32)</f>
        <v>PRL-031</v>
      </c>
      <c r="O20338" t="str">
        <f>IF(N20338="","",'Master Barang'!B32)</f>
        <v>tempat saus 20 ml</v>
      </c>
      <c r="P20338">
        <f>IF(OR(M20338="",N20338=""),"",SUMIFS('Barang Keluar'!$E:$E,'Barang Keluar'!$A:$A,M20338,'Barang Keluar'!$C:$C,N20338))</f>
        <v>0</v>
      </c>
    </row>
    <row r="20339" spans="13:16">
      <c r="M20339" s="49">
        <f>IF($A$4+203&gt;$B$4,"",$A$4+203)</f>
        <v>46226</v>
      </c>
      <c r="N20339" t="str">
        <f>IF(M20339="","",'Master Barang'!A33)</f>
        <v>PRL-032</v>
      </c>
      <c r="O20339" t="str">
        <f>IF(N20339="","",'Master Barang'!B33)</f>
        <v>plastik packaging ag box uk sedang</v>
      </c>
      <c r="P20339">
        <f>IF(OR(M20339="",N20339=""),"",SUMIFS('Barang Keluar'!$E:$E,'Barang Keluar'!$A:$A,M20339,'Barang Keluar'!$C:$C,N20339))</f>
        <v>0</v>
      </c>
    </row>
    <row r="20340" spans="13:16">
      <c r="M20340" s="49">
        <f>IF($A$4+203&gt;$B$4,"",$A$4+203)</f>
        <v>46226</v>
      </c>
      <c r="N20340" t="str">
        <f>IF(M20340="","",'Master Barang'!A34)</f>
        <v>PRL-033</v>
      </c>
      <c r="O20340">
        <f>IF(N20340="","",'Master Barang'!B34)</f>
        <v>0</v>
      </c>
      <c r="P20340">
        <f>IF(OR(M20340="",N20340=""),"",SUMIFS('Barang Keluar'!$E:$E,'Barang Keluar'!$A:$A,M20340,'Barang Keluar'!$C:$C,N20340))</f>
        <v>0</v>
      </c>
    </row>
    <row r="20341" spans="13:16">
      <c r="M20341" s="49">
        <f>IF($A$4+203&gt;$B$4,"",$A$4+203)</f>
        <v>46226</v>
      </c>
      <c r="N20341">
        <f>IF(M20341="","",'Master Barang'!A35)</f>
        <v>0</v>
      </c>
      <c r="O20341">
        <f>IF(N20341="","",'Master Barang'!B35)</f>
        <v>0</v>
      </c>
      <c r="P20341">
        <f>IF(OR(M20341="",N20341=""),"",SUMIFS('Barang Keluar'!$E:$E,'Barang Keluar'!$A:$A,M20341,'Barang Keluar'!$C:$C,N20341))</f>
        <v>0</v>
      </c>
    </row>
    <row r="20342" spans="13:16">
      <c r="M20342" s="49">
        <f>IF($A$4+203&gt;$B$4,"",$A$4+203)</f>
        <v>46226</v>
      </c>
      <c r="N20342">
        <f>IF(M20342="","",'Master Barang'!A36)</f>
        <v>0</v>
      </c>
      <c r="O20342">
        <f>IF(N20342="","",'Master Barang'!B36)</f>
        <v>0</v>
      </c>
      <c r="P20342">
        <f>IF(OR(M20342="",N20342=""),"",SUMIFS('Barang Keluar'!$E:$E,'Barang Keluar'!$A:$A,M20342,'Barang Keluar'!$C:$C,N20342))</f>
        <v>0</v>
      </c>
    </row>
    <row r="20343" spans="13:16">
      <c r="M20343" s="49">
        <f>IF($A$4+203&gt;$B$4,"",$A$4+203)</f>
        <v>46226</v>
      </c>
      <c r="N20343">
        <f>IF(M20343="","",'Master Barang'!A37)</f>
        <v>0</v>
      </c>
      <c r="O20343">
        <f>IF(N20343="","",'Master Barang'!B37)</f>
        <v>0</v>
      </c>
      <c r="P20343">
        <f>IF(OR(M20343="",N20343=""),"",SUMIFS('Barang Keluar'!$E:$E,'Barang Keluar'!$A:$A,M20343,'Barang Keluar'!$C:$C,N20343))</f>
        <v>0</v>
      </c>
    </row>
    <row r="20344" spans="13:16">
      <c r="M20344" s="49">
        <f>IF($A$4+203&gt;$B$4,"",$A$4+203)</f>
        <v>46226</v>
      </c>
      <c r="N20344">
        <f>IF(M20344="","",'Master Barang'!A38)</f>
        <v>0</v>
      </c>
      <c r="O20344">
        <f>IF(N20344="","",'Master Barang'!B38)</f>
        <v>0</v>
      </c>
      <c r="P20344">
        <f>IF(OR(M20344="",N20344=""),"",SUMIFS('Barang Keluar'!$E:$E,'Barang Keluar'!$A:$A,M20344,'Barang Keluar'!$C:$C,N20344))</f>
        <v>0</v>
      </c>
    </row>
    <row r="20345" spans="13:16">
      <c r="M20345" s="49">
        <f>IF($A$4+203&gt;$B$4,"",$A$4+203)</f>
        <v>46226</v>
      </c>
      <c r="N20345">
        <f>IF(M20345="","",'Master Barang'!A39)</f>
        <v>0</v>
      </c>
      <c r="O20345">
        <f>IF(N20345="","",'Master Barang'!B39)</f>
        <v>0</v>
      </c>
      <c r="P20345">
        <f>IF(OR(M20345="",N20345=""),"",SUMIFS('Barang Keluar'!$E:$E,'Barang Keluar'!$A:$A,M20345,'Barang Keluar'!$C:$C,N20345))</f>
        <v>0</v>
      </c>
    </row>
    <row r="20346" spans="13:16">
      <c r="M20346" s="49">
        <f>IF($A$4+203&gt;$B$4,"",$A$4+203)</f>
        <v>46226</v>
      </c>
      <c r="N20346">
        <f>IF(M20346="","",'Master Barang'!A40)</f>
        <v>0</v>
      </c>
      <c r="O20346">
        <f>IF(N20346="","",'Master Barang'!B40)</f>
        <v>0</v>
      </c>
      <c r="P20346">
        <f>IF(OR(M20346="",N20346=""),"",SUMIFS('Barang Keluar'!$E:$E,'Barang Keluar'!$A:$A,M20346,'Barang Keluar'!$C:$C,N20346))</f>
        <v>0</v>
      </c>
    </row>
    <row r="20347" spans="13:16">
      <c r="M20347" s="49">
        <f>IF($A$4+203&gt;$B$4,"",$A$4+203)</f>
        <v>46226</v>
      </c>
      <c r="N20347">
        <f>IF(M20347="","",'Master Barang'!A41)</f>
        <v>0</v>
      </c>
      <c r="O20347">
        <f>IF(N20347="","",'Master Barang'!B41)</f>
        <v>0</v>
      </c>
      <c r="P20347">
        <f>IF(OR(M20347="",N20347=""),"",SUMIFS('Barang Keluar'!$E:$E,'Barang Keluar'!$A:$A,M20347,'Barang Keluar'!$C:$C,N20347))</f>
        <v>0</v>
      </c>
    </row>
    <row r="20348" spans="13:16">
      <c r="M20348" s="49">
        <f>IF($A$4+203&gt;$B$4,"",$A$4+203)</f>
        <v>46226</v>
      </c>
      <c r="N20348">
        <f>IF(M20348="","",'Master Barang'!A42)</f>
        <v>0</v>
      </c>
      <c r="O20348">
        <f>IF(N20348="","",'Master Barang'!B42)</f>
        <v>0</v>
      </c>
      <c r="P20348">
        <f>IF(OR(M20348="",N20348=""),"",SUMIFS('Barang Keluar'!$E:$E,'Barang Keluar'!$A:$A,M20348,'Barang Keluar'!$C:$C,N20348))</f>
        <v>0</v>
      </c>
    </row>
    <row r="20349" spans="13:16">
      <c r="M20349" s="49">
        <f>IF($A$4+203&gt;$B$4,"",$A$4+203)</f>
        <v>46226</v>
      </c>
      <c r="N20349">
        <f>IF(M20349="","",'Master Barang'!A43)</f>
        <v>0</v>
      </c>
      <c r="O20349">
        <f>IF(N20349="","",'Master Barang'!B43)</f>
        <v>0</v>
      </c>
      <c r="P20349">
        <f>IF(OR(M20349="",N20349=""),"",SUMIFS('Barang Keluar'!$E:$E,'Barang Keluar'!$A:$A,M20349,'Barang Keluar'!$C:$C,N20349))</f>
        <v>0</v>
      </c>
    </row>
    <row r="20350" spans="13:16">
      <c r="M20350" s="49">
        <f>IF($A$4+203&gt;$B$4,"",$A$4+203)</f>
        <v>46226</v>
      </c>
      <c r="N20350">
        <f>IF(M20350="","",'Master Barang'!A44)</f>
        <v>0</v>
      </c>
      <c r="O20350">
        <f>IF(N20350="","",'Master Barang'!B44)</f>
        <v>0</v>
      </c>
      <c r="P20350">
        <f>IF(OR(M20350="",N20350=""),"",SUMIFS('Barang Keluar'!$E:$E,'Barang Keluar'!$A:$A,M20350,'Barang Keluar'!$C:$C,N20350))</f>
        <v>0</v>
      </c>
    </row>
    <row r="20351" spans="13:16">
      <c r="M20351" s="49">
        <f>IF($A$4+203&gt;$B$4,"",$A$4+203)</f>
        <v>46226</v>
      </c>
      <c r="N20351">
        <f>IF(M20351="","",'Master Barang'!A45)</f>
        <v>0</v>
      </c>
      <c r="O20351">
        <f>IF(N20351="","",'Master Barang'!B45)</f>
        <v>0</v>
      </c>
      <c r="P20351">
        <f>IF(OR(M20351="",N20351=""),"",SUMIFS('Barang Keluar'!$E:$E,'Barang Keluar'!$A:$A,M20351,'Barang Keluar'!$C:$C,N20351))</f>
        <v>0</v>
      </c>
    </row>
    <row r="20352" spans="13:16">
      <c r="M20352" s="49">
        <f>IF($A$4+203&gt;$B$4,"",$A$4+203)</f>
        <v>46226</v>
      </c>
      <c r="N20352">
        <f>IF(M20352="","",'Master Barang'!A46)</f>
        <v>0</v>
      </c>
      <c r="O20352">
        <f>IF(N20352="","",'Master Barang'!B46)</f>
        <v>0</v>
      </c>
      <c r="P20352">
        <f>IF(OR(M20352="",N20352=""),"",SUMIFS('Barang Keluar'!$E:$E,'Barang Keluar'!$A:$A,M20352,'Barang Keluar'!$C:$C,N20352))</f>
        <v>0</v>
      </c>
    </row>
    <row r="20353" spans="13:16">
      <c r="M20353" s="49">
        <f>IF($A$4+203&gt;$B$4,"",$A$4+203)</f>
        <v>46226</v>
      </c>
      <c r="N20353">
        <f>IF(M20353="","",'Master Barang'!A47)</f>
        <v>0</v>
      </c>
      <c r="O20353">
        <f>IF(N20353="","",'Master Barang'!B47)</f>
        <v>0</v>
      </c>
      <c r="P20353">
        <f>IF(OR(M20353="",N20353=""),"",SUMIFS('Barang Keluar'!$E:$E,'Barang Keluar'!$A:$A,M20353,'Barang Keluar'!$C:$C,N20353))</f>
        <v>0</v>
      </c>
    </row>
    <row r="20354" spans="13:16">
      <c r="M20354" s="49">
        <f>IF($A$4+203&gt;$B$4,"",$A$4+203)</f>
        <v>46226</v>
      </c>
      <c r="N20354">
        <f>IF(M20354="","",'Master Barang'!A48)</f>
        <v>0</v>
      </c>
      <c r="O20354">
        <f>IF(N20354="","",'Master Barang'!B48)</f>
        <v>0</v>
      </c>
      <c r="P20354">
        <f>IF(OR(M20354="",N20354=""),"",SUMIFS('Barang Keluar'!$E:$E,'Barang Keluar'!$A:$A,M20354,'Barang Keluar'!$C:$C,N20354))</f>
        <v>0</v>
      </c>
    </row>
    <row r="20355" spans="13:16">
      <c r="M20355" s="49">
        <f>IF($A$4+203&gt;$B$4,"",$A$4+203)</f>
        <v>46226</v>
      </c>
      <c r="N20355">
        <f>IF(M20355="","",'Master Barang'!A49)</f>
        <v>0</v>
      </c>
      <c r="O20355">
        <f>IF(N20355="","",'Master Barang'!B49)</f>
        <v>0</v>
      </c>
      <c r="P20355">
        <f>IF(OR(M20355="",N20355=""),"",SUMIFS('Barang Keluar'!$E:$E,'Barang Keluar'!$A:$A,M20355,'Barang Keluar'!$C:$C,N20355))</f>
        <v>0</v>
      </c>
    </row>
    <row r="20356" spans="13:16">
      <c r="M20356" s="49">
        <f>IF($A$4+203&gt;$B$4,"",$A$4+203)</f>
        <v>46226</v>
      </c>
      <c r="N20356">
        <f>IF(M20356="","",'Master Barang'!A50)</f>
        <v>0</v>
      </c>
      <c r="O20356">
        <f>IF(N20356="","",'Master Barang'!B50)</f>
        <v>0</v>
      </c>
      <c r="P20356">
        <f>IF(OR(M20356="",N20356=""),"",SUMIFS('Barang Keluar'!$E:$E,'Barang Keluar'!$A:$A,M20356,'Barang Keluar'!$C:$C,N20356))</f>
        <v>0</v>
      </c>
    </row>
    <row r="20357" spans="13:16">
      <c r="M20357" s="49">
        <f>IF($A$4+203&gt;$B$4,"",$A$4+203)</f>
        <v>46226</v>
      </c>
      <c r="N20357">
        <f>IF(M20357="","",'Master Barang'!A51)</f>
        <v>0</v>
      </c>
      <c r="O20357">
        <f>IF(N20357="","",'Master Barang'!B51)</f>
        <v>0</v>
      </c>
      <c r="P20357">
        <f>IF(OR(M20357="",N20357=""),"",SUMIFS('Barang Keluar'!$E:$E,'Barang Keluar'!$A:$A,M20357,'Barang Keluar'!$C:$C,N20357))</f>
        <v>0</v>
      </c>
    </row>
    <row r="20358" spans="13:16">
      <c r="M20358" s="49">
        <f>IF($A$4+203&gt;$B$4,"",$A$4+203)</f>
        <v>46226</v>
      </c>
      <c r="N20358">
        <f>IF(M20358="","",'Master Barang'!A52)</f>
        <v>0</v>
      </c>
      <c r="O20358">
        <f>IF(N20358="","",'Master Barang'!B52)</f>
        <v>0</v>
      </c>
      <c r="P20358">
        <f>IF(OR(M20358="",N20358=""),"",SUMIFS('Barang Keluar'!$E:$E,'Barang Keluar'!$A:$A,M20358,'Barang Keluar'!$C:$C,N20358))</f>
        <v>0</v>
      </c>
    </row>
    <row r="20359" spans="13:16">
      <c r="M20359" s="49">
        <f>IF($A$4+203&gt;$B$4,"",$A$4+203)</f>
        <v>46226</v>
      </c>
      <c r="N20359">
        <f>IF(M20359="","",'Master Barang'!A53)</f>
        <v>0</v>
      </c>
      <c r="O20359">
        <f>IF(N20359="","",'Master Barang'!B53)</f>
        <v>0</v>
      </c>
      <c r="P20359">
        <f>IF(OR(M20359="",N20359=""),"",SUMIFS('Barang Keluar'!$E:$E,'Barang Keluar'!$A:$A,M20359,'Barang Keluar'!$C:$C,N20359))</f>
        <v>0</v>
      </c>
    </row>
    <row r="20360" spans="13:16">
      <c r="M20360" s="49">
        <f>IF($A$4+203&gt;$B$4,"",$A$4+203)</f>
        <v>46226</v>
      </c>
      <c r="N20360">
        <f>IF(M20360="","",'Master Barang'!A54)</f>
        <v>0</v>
      </c>
      <c r="O20360">
        <f>IF(N20360="","",'Master Barang'!B54)</f>
        <v>0</v>
      </c>
      <c r="P20360">
        <f>IF(OR(M20360="",N20360=""),"",SUMIFS('Barang Keluar'!$E:$E,'Barang Keluar'!$A:$A,M20360,'Barang Keluar'!$C:$C,N20360))</f>
        <v>0</v>
      </c>
    </row>
    <row r="20361" spans="13:16">
      <c r="M20361" s="49">
        <f>IF($A$4+203&gt;$B$4,"",$A$4+203)</f>
        <v>46226</v>
      </c>
      <c r="N20361">
        <f>IF(M20361="","",'Master Barang'!A55)</f>
        <v>0</v>
      </c>
      <c r="O20361">
        <f>IF(N20361="","",'Master Barang'!B55)</f>
        <v>0</v>
      </c>
      <c r="P20361">
        <f>IF(OR(M20361="",N20361=""),"",SUMIFS('Barang Keluar'!$E:$E,'Barang Keluar'!$A:$A,M20361,'Barang Keluar'!$C:$C,N20361))</f>
        <v>0</v>
      </c>
    </row>
    <row r="20362" spans="13:16">
      <c r="M20362" s="49">
        <f>IF($A$4+203&gt;$B$4,"",$A$4+203)</f>
        <v>46226</v>
      </c>
      <c r="N20362">
        <f>IF(M20362="","",'Master Barang'!A56)</f>
        <v>0</v>
      </c>
      <c r="O20362">
        <f>IF(N20362="","",'Master Barang'!B56)</f>
        <v>0</v>
      </c>
      <c r="P20362">
        <f>IF(OR(M20362="",N20362=""),"",SUMIFS('Barang Keluar'!$E:$E,'Barang Keluar'!$A:$A,M20362,'Barang Keluar'!$C:$C,N20362))</f>
        <v>0</v>
      </c>
    </row>
    <row r="20363" spans="13:16">
      <c r="M20363" s="49">
        <f>IF($A$4+203&gt;$B$4,"",$A$4+203)</f>
        <v>46226</v>
      </c>
      <c r="N20363">
        <f>IF(M20363="","",'Master Barang'!A57)</f>
        <v>0</v>
      </c>
      <c r="O20363">
        <f>IF(N20363="","",'Master Barang'!B57)</f>
        <v>0</v>
      </c>
      <c r="P20363">
        <f>IF(OR(M20363="",N20363=""),"",SUMIFS('Barang Keluar'!$E:$E,'Barang Keluar'!$A:$A,M20363,'Barang Keluar'!$C:$C,N20363))</f>
        <v>0</v>
      </c>
    </row>
    <row r="20364" spans="13:16">
      <c r="M20364" s="49">
        <f>IF($A$4+203&gt;$B$4,"",$A$4+203)</f>
        <v>46226</v>
      </c>
      <c r="N20364">
        <f>IF(M20364="","",'Master Barang'!A58)</f>
        <v>0</v>
      </c>
      <c r="O20364">
        <f>IF(N20364="","",'Master Barang'!B58)</f>
        <v>0</v>
      </c>
      <c r="P20364">
        <f>IF(OR(M20364="",N20364=""),"",SUMIFS('Barang Keluar'!$E:$E,'Barang Keluar'!$A:$A,M20364,'Barang Keluar'!$C:$C,N20364))</f>
        <v>0</v>
      </c>
    </row>
    <row r="20365" spans="13:16">
      <c r="M20365" s="49">
        <f>IF($A$4+203&gt;$B$4,"",$A$4+203)</f>
        <v>46226</v>
      </c>
      <c r="N20365">
        <f>IF(M20365="","",'Master Barang'!A59)</f>
        <v>0</v>
      </c>
      <c r="O20365">
        <f>IF(N20365="","",'Master Barang'!B59)</f>
        <v>0</v>
      </c>
      <c r="P20365">
        <f>IF(OR(M20365="",N20365=""),"",SUMIFS('Barang Keluar'!$E:$E,'Barang Keluar'!$A:$A,M20365,'Barang Keluar'!$C:$C,N20365))</f>
        <v>0</v>
      </c>
    </row>
    <row r="20366" spans="13:16">
      <c r="M20366" s="49">
        <f>IF($A$4+203&gt;$B$4,"",$A$4+203)</f>
        <v>46226</v>
      </c>
      <c r="N20366">
        <f>IF(M20366="","",'Master Barang'!A60)</f>
        <v>0</v>
      </c>
      <c r="O20366">
        <f>IF(N20366="","",'Master Barang'!B60)</f>
        <v>0</v>
      </c>
      <c r="P20366">
        <f>IF(OR(M20366="",N20366=""),"",SUMIFS('Barang Keluar'!$E:$E,'Barang Keluar'!$A:$A,M20366,'Barang Keluar'!$C:$C,N20366))</f>
        <v>0</v>
      </c>
    </row>
    <row r="20367" spans="13:16">
      <c r="M20367" s="49">
        <f>IF($A$4+203&gt;$B$4,"",$A$4+203)</f>
        <v>46226</v>
      </c>
      <c r="N20367">
        <f>IF(M20367="","",'Master Barang'!A61)</f>
        <v>0</v>
      </c>
      <c r="O20367">
        <f>IF(N20367="","",'Master Barang'!B61)</f>
        <v>0</v>
      </c>
      <c r="P20367">
        <f>IF(OR(M20367="",N20367=""),"",SUMIFS('Barang Keluar'!$E:$E,'Barang Keluar'!$A:$A,M20367,'Barang Keluar'!$C:$C,N20367))</f>
        <v>0</v>
      </c>
    </row>
    <row r="20368" spans="13:16">
      <c r="M20368" s="49">
        <f>IF($A$4+203&gt;$B$4,"",$A$4+203)</f>
        <v>46226</v>
      </c>
      <c r="N20368">
        <f>IF(M20368="","",'Master Barang'!A62)</f>
        <v>0</v>
      </c>
      <c r="O20368">
        <f>IF(N20368="","",'Master Barang'!B62)</f>
        <v>0</v>
      </c>
      <c r="P20368">
        <f>IF(OR(M20368="",N20368=""),"",SUMIFS('Barang Keluar'!$E:$E,'Barang Keluar'!$A:$A,M20368,'Barang Keluar'!$C:$C,N20368))</f>
        <v>0</v>
      </c>
    </row>
    <row r="20369" spans="13:16">
      <c r="M20369" s="49">
        <f>IF($A$4+203&gt;$B$4,"",$A$4+203)</f>
        <v>46226</v>
      </c>
      <c r="N20369">
        <f>IF(M20369="","",'Master Barang'!A63)</f>
        <v>0</v>
      </c>
      <c r="O20369">
        <f>IF(N20369="","",'Master Barang'!B63)</f>
        <v>0</v>
      </c>
      <c r="P20369">
        <f>IF(OR(M20369="",N20369=""),"",SUMIFS('Barang Keluar'!$E:$E,'Barang Keluar'!$A:$A,M20369,'Barang Keluar'!$C:$C,N20369))</f>
        <v>0</v>
      </c>
    </row>
    <row r="20370" spans="13:16">
      <c r="M20370" s="49">
        <f>IF($A$4+203&gt;$B$4,"",$A$4+203)</f>
        <v>46226</v>
      </c>
      <c r="N20370">
        <f>IF(M20370="","",'Master Barang'!A64)</f>
        <v>0</v>
      </c>
      <c r="O20370">
        <f>IF(N20370="","",'Master Barang'!B64)</f>
        <v>0</v>
      </c>
      <c r="P20370">
        <f>IF(OR(M20370="",N20370=""),"",SUMIFS('Barang Keluar'!$E:$E,'Barang Keluar'!$A:$A,M20370,'Barang Keluar'!$C:$C,N20370))</f>
        <v>0</v>
      </c>
    </row>
    <row r="20371" spans="13:16">
      <c r="M20371" s="49">
        <f>IF($A$4+203&gt;$B$4,"",$A$4+203)</f>
        <v>46226</v>
      </c>
      <c r="N20371">
        <f>IF(M20371="","",'Master Barang'!A65)</f>
        <v>0</v>
      </c>
      <c r="O20371">
        <f>IF(N20371="","",'Master Barang'!B65)</f>
        <v>0</v>
      </c>
      <c r="P20371">
        <f>IF(OR(M20371="",N20371=""),"",SUMIFS('Barang Keluar'!$E:$E,'Barang Keluar'!$A:$A,M20371,'Barang Keluar'!$C:$C,N20371))</f>
        <v>0</v>
      </c>
    </row>
    <row r="20372" spans="13:16">
      <c r="M20372" s="49">
        <f>IF($A$4+203&gt;$B$4,"",$A$4+203)</f>
        <v>46226</v>
      </c>
      <c r="N20372">
        <f>IF(M20372="","",'Master Barang'!A66)</f>
        <v>0</v>
      </c>
      <c r="O20372">
        <f>IF(N20372="","",'Master Barang'!B66)</f>
        <v>0</v>
      </c>
      <c r="P20372">
        <f>IF(OR(M20372="",N20372=""),"",SUMIFS('Barang Keluar'!$E:$E,'Barang Keluar'!$A:$A,M20372,'Barang Keluar'!$C:$C,N20372))</f>
        <v>0</v>
      </c>
    </row>
    <row r="20373" spans="13:16">
      <c r="M20373" s="49">
        <f>IF($A$4+203&gt;$B$4,"",$A$4+203)</f>
        <v>46226</v>
      </c>
      <c r="N20373">
        <f>IF(M20373="","",'Master Barang'!A67)</f>
        <v>0</v>
      </c>
      <c r="O20373">
        <f>IF(N20373="","",'Master Barang'!B67)</f>
        <v>0</v>
      </c>
      <c r="P20373">
        <f>IF(OR(M20373="",N20373=""),"",SUMIFS('Barang Keluar'!$E:$E,'Barang Keluar'!$A:$A,M20373,'Barang Keluar'!$C:$C,N20373))</f>
        <v>0</v>
      </c>
    </row>
    <row r="20374" spans="13:16">
      <c r="M20374" s="49">
        <f>IF($A$4+203&gt;$B$4,"",$A$4+203)</f>
        <v>46226</v>
      </c>
      <c r="N20374">
        <f>IF(M20374="","",'Master Barang'!A68)</f>
        <v>0</v>
      </c>
      <c r="O20374">
        <f>IF(N20374="","",'Master Barang'!B68)</f>
        <v>0</v>
      </c>
      <c r="P20374">
        <f>IF(OR(M20374="",N20374=""),"",SUMIFS('Barang Keluar'!$E:$E,'Barang Keluar'!$A:$A,M20374,'Barang Keluar'!$C:$C,N20374))</f>
        <v>0</v>
      </c>
    </row>
    <row r="20375" spans="13:16">
      <c r="M20375" s="49">
        <f>IF($A$4+203&gt;$B$4,"",$A$4+203)</f>
        <v>46226</v>
      </c>
      <c r="N20375">
        <f>IF(M20375="","",'Master Barang'!A69)</f>
        <v>0</v>
      </c>
      <c r="O20375">
        <f>IF(N20375="","",'Master Barang'!B69)</f>
        <v>0</v>
      </c>
      <c r="P20375">
        <f>IF(OR(M20375="",N20375=""),"",SUMIFS('Barang Keluar'!$E:$E,'Barang Keluar'!$A:$A,M20375,'Barang Keluar'!$C:$C,N20375))</f>
        <v>0</v>
      </c>
    </row>
    <row r="20376" spans="13:16">
      <c r="M20376" s="49">
        <f>IF($A$4+203&gt;$B$4,"",$A$4+203)</f>
        <v>46226</v>
      </c>
      <c r="N20376">
        <f>IF(M20376="","",'Master Barang'!A70)</f>
        <v>0</v>
      </c>
      <c r="O20376">
        <f>IF(N20376="","",'Master Barang'!B70)</f>
        <v>0</v>
      </c>
      <c r="P20376">
        <f>IF(OR(M20376="",N20376=""),"",SUMIFS('Barang Keluar'!$E:$E,'Barang Keluar'!$A:$A,M20376,'Barang Keluar'!$C:$C,N20376))</f>
        <v>0</v>
      </c>
    </row>
    <row r="20377" spans="13:16">
      <c r="M20377" s="49">
        <f>IF($A$4+203&gt;$B$4,"",$A$4+203)</f>
        <v>46226</v>
      </c>
      <c r="N20377">
        <f>IF(M20377="","",'Master Barang'!A71)</f>
        <v>0</v>
      </c>
      <c r="O20377">
        <f>IF(N20377="","",'Master Barang'!B71)</f>
        <v>0</v>
      </c>
      <c r="P20377">
        <f>IF(OR(M20377="",N20377=""),"",SUMIFS('Barang Keluar'!$E:$E,'Barang Keluar'!$A:$A,M20377,'Barang Keluar'!$C:$C,N20377))</f>
        <v>0</v>
      </c>
    </row>
    <row r="20378" spans="13:16">
      <c r="M20378" s="49">
        <f>IF($A$4+203&gt;$B$4,"",$A$4+203)</f>
        <v>46226</v>
      </c>
      <c r="N20378">
        <f>IF(M20378="","",'Master Barang'!A72)</f>
        <v>0</v>
      </c>
      <c r="O20378">
        <f>IF(N20378="","",'Master Barang'!B72)</f>
        <v>0</v>
      </c>
      <c r="P20378">
        <f>IF(OR(M20378="",N20378=""),"",SUMIFS('Barang Keluar'!$E:$E,'Barang Keluar'!$A:$A,M20378,'Barang Keluar'!$C:$C,N20378))</f>
        <v>0</v>
      </c>
    </row>
    <row r="20379" spans="13:16">
      <c r="M20379" s="49">
        <f>IF($A$4+203&gt;$B$4,"",$A$4+203)</f>
        <v>46226</v>
      </c>
      <c r="N20379">
        <f>IF(M20379="","",'Master Barang'!A73)</f>
        <v>0</v>
      </c>
      <c r="O20379">
        <f>IF(N20379="","",'Master Barang'!B73)</f>
        <v>0</v>
      </c>
      <c r="P20379">
        <f>IF(OR(M20379="",N20379=""),"",SUMIFS('Barang Keluar'!$E:$E,'Barang Keluar'!$A:$A,M20379,'Barang Keluar'!$C:$C,N20379))</f>
        <v>0</v>
      </c>
    </row>
    <row r="20380" spans="13:16">
      <c r="M20380" s="49">
        <f>IF($A$4+203&gt;$B$4,"",$A$4+203)</f>
        <v>46226</v>
      </c>
      <c r="N20380">
        <f>IF(M20380="","",'Master Barang'!A74)</f>
        <v>0</v>
      </c>
      <c r="O20380">
        <f>IF(N20380="","",'Master Barang'!B74)</f>
        <v>0</v>
      </c>
      <c r="P20380">
        <f>IF(OR(M20380="",N20380=""),"",SUMIFS('Barang Keluar'!$E:$E,'Barang Keluar'!$A:$A,M20380,'Barang Keluar'!$C:$C,N20380))</f>
        <v>0</v>
      </c>
    </row>
    <row r="20381" spans="13:16">
      <c r="M20381" s="49">
        <f>IF($A$4+203&gt;$B$4,"",$A$4+203)</f>
        <v>46226</v>
      </c>
      <c r="N20381">
        <f>IF(M20381="","",'Master Barang'!A75)</f>
        <v>0</v>
      </c>
      <c r="O20381">
        <f>IF(N20381="","",'Master Barang'!B75)</f>
        <v>0</v>
      </c>
      <c r="P20381">
        <f>IF(OR(M20381="",N20381=""),"",SUMIFS('Barang Keluar'!$E:$E,'Barang Keluar'!$A:$A,M20381,'Barang Keluar'!$C:$C,N20381))</f>
        <v>0</v>
      </c>
    </row>
    <row r="20382" spans="13:16">
      <c r="M20382" s="49">
        <f>IF($A$4+203&gt;$B$4,"",$A$4+203)</f>
        <v>46226</v>
      </c>
      <c r="N20382">
        <f>IF(M20382="","",'Master Barang'!A76)</f>
        <v>0</v>
      </c>
      <c r="O20382">
        <f>IF(N20382="","",'Master Barang'!B76)</f>
        <v>0</v>
      </c>
      <c r="P20382">
        <f>IF(OR(M20382="",N20382=""),"",SUMIFS('Barang Keluar'!$E:$E,'Barang Keluar'!$A:$A,M20382,'Barang Keluar'!$C:$C,N20382))</f>
        <v>0</v>
      </c>
    </row>
    <row r="20383" spans="13:16">
      <c r="M20383" s="49">
        <f>IF($A$4+203&gt;$B$4,"",$A$4+203)</f>
        <v>46226</v>
      </c>
      <c r="N20383">
        <f>IF(M20383="","",'Master Barang'!A77)</f>
        <v>0</v>
      </c>
      <c r="O20383">
        <f>IF(N20383="","",'Master Barang'!B77)</f>
        <v>0</v>
      </c>
      <c r="P20383">
        <f>IF(OR(M20383="",N20383=""),"",SUMIFS('Barang Keluar'!$E:$E,'Barang Keluar'!$A:$A,M20383,'Barang Keluar'!$C:$C,N20383))</f>
        <v>0</v>
      </c>
    </row>
    <row r="20384" spans="13:16">
      <c r="M20384" s="49">
        <f>IF($A$4+203&gt;$B$4,"",$A$4+203)</f>
        <v>46226</v>
      </c>
      <c r="N20384">
        <f>IF(M20384="","",'Master Barang'!A78)</f>
        <v>0</v>
      </c>
      <c r="O20384">
        <f>IF(N20384="","",'Master Barang'!B78)</f>
        <v>0</v>
      </c>
      <c r="P20384">
        <f>IF(OR(M20384="",N20384=""),"",SUMIFS('Barang Keluar'!$E:$E,'Barang Keluar'!$A:$A,M20384,'Barang Keluar'!$C:$C,N20384))</f>
        <v>0</v>
      </c>
    </row>
    <row r="20385" spans="13:16">
      <c r="M20385" s="49">
        <f>IF($A$4+203&gt;$B$4,"",$A$4+203)</f>
        <v>46226</v>
      </c>
      <c r="N20385">
        <f>IF(M20385="","",'Master Barang'!A79)</f>
        <v>0</v>
      </c>
      <c r="O20385">
        <f>IF(N20385="","",'Master Barang'!B79)</f>
        <v>0</v>
      </c>
      <c r="P20385">
        <f>IF(OR(M20385="",N20385=""),"",SUMIFS('Barang Keluar'!$E:$E,'Barang Keluar'!$A:$A,M20385,'Barang Keluar'!$C:$C,N20385))</f>
        <v>0</v>
      </c>
    </row>
    <row r="20386" spans="13:16">
      <c r="M20386" s="49">
        <f>IF($A$4+203&gt;$B$4,"",$A$4+203)</f>
        <v>46226</v>
      </c>
      <c r="N20386">
        <f>IF(M20386="","",'Master Barang'!A80)</f>
        <v>0</v>
      </c>
      <c r="O20386">
        <f>IF(N20386="","",'Master Barang'!B80)</f>
        <v>0</v>
      </c>
      <c r="P20386">
        <f>IF(OR(M20386="",N20386=""),"",SUMIFS('Barang Keluar'!$E:$E,'Barang Keluar'!$A:$A,M20386,'Barang Keluar'!$C:$C,N20386))</f>
        <v>0</v>
      </c>
    </row>
    <row r="20387" spans="13:16">
      <c r="M20387" s="49">
        <f>IF($A$4+203&gt;$B$4,"",$A$4+203)</f>
        <v>46226</v>
      </c>
      <c r="N20387">
        <f>IF(M20387="","",'Master Barang'!A81)</f>
        <v>0</v>
      </c>
      <c r="O20387">
        <f>IF(N20387="","",'Master Barang'!B81)</f>
        <v>0</v>
      </c>
      <c r="P20387">
        <f>IF(OR(M20387="",N20387=""),"",SUMIFS('Barang Keluar'!$E:$E,'Barang Keluar'!$A:$A,M20387,'Barang Keluar'!$C:$C,N20387))</f>
        <v>0</v>
      </c>
    </row>
    <row r="20388" spans="13:16">
      <c r="M20388" s="49">
        <f>IF($A$4+203&gt;$B$4,"",$A$4+203)</f>
        <v>46226</v>
      </c>
      <c r="N20388">
        <f>IF(M20388="","",'Master Barang'!A82)</f>
        <v>0</v>
      </c>
      <c r="O20388">
        <f>IF(N20388="","",'Master Barang'!B82)</f>
        <v>0</v>
      </c>
      <c r="P20388">
        <f>IF(OR(M20388="",N20388=""),"",SUMIFS('Barang Keluar'!$E:$E,'Barang Keluar'!$A:$A,M20388,'Barang Keluar'!$C:$C,N20388))</f>
        <v>0</v>
      </c>
    </row>
    <row r="20389" spans="13:16">
      <c r="M20389" s="49">
        <f>IF($A$4+203&gt;$B$4,"",$A$4+203)</f>
        <v>46226</v>
      </c>
      <c r="N20389">
        <f>IF(M20389="","",'Master Barang'!A83)</f>
        <v>0</v>
      </c>
      <c r="O20389">
        <f>IF(N20389="","",'Master Barang'!B83)</f>
        <v>0</v>
      </c>
      <c r="P20389">
        <f>IF(OR(M20389="",N20389=""),"",SUMIFS('Barang Keluar'!$E:$E,'Barang Keluar'!$A:$A,M20389,'Barang Keluar'!$C:$C,N20389))</f>
        <v>0</v>
      </c>
    </row>
    <row r="20390" spans="13:16">
      <c r="M20390" s="49">
        <f>IF($A$4+203&gt;$B$4,"",$A$4+203)</f>
        <v>46226</v>
      </c>
      <c r="N20390">
        <f>IF(M20390="","",'Master Barang'!A84)</f>
        <v>0</v>
      </c>
      <c r="O20390">
        <f>IF(N20390="","",'Master Barang'!B84)</f>
        <v>0</v>
      </c>
      <c r="P20390">
        <f>IF(OR(M20390="",N20390=""),"",SUMIFS('Barang Keluar'!$E:$E,'Barang Keluar'!$A:$A,M20390,'Barang Keluar'!$C:$C,N20390))</f>
        <v>0</v>
      </c>
    </row>
    <row r="20391" spans="13:16">
      <c r="M20391" s="49">
        <f>IF($A$4+203&gt;$B$4,"",$A$4+203)</f>
        <v>46226</v>
      </c>
      <c r="N20391">
        <f>IF(M20391="","",'Master Barang'!A85)</f>
        <v>0</v>
      </c>
      <c r="O20391">
        <f>IF(N20391="","",'Master Barang'!B85)</f>
        <v>0</v>
      </c>
      <c r="P20391">
        <f>IF(OR(M20391="",N20391=""),"",SUMIFS('Barang Keluar'!$E:$E,'Barang Keluar'!$A:$A,M20391,'Barang Keluar'!$C:$C,N20391))</f>
        <v>0</v>
      </c>
    </row>
    <row r="20392" spans="13:16">
      <c r="M20392" s="49">
        <f>IF($A$4+203&gt;$B$4,"",$A$4+203)</f>
        <v>46226</v>
      </c>
      <c r="N20392">
        <f>IF(M20392="","",'Master Barang'!A86)</f>
        <v>0</v>
      </c>
      <c r="O20392">
        <f>IF(N20392="","",'Master Barang'!B86)</f>
        <v>0</v>
      </c>
      <c r="P20392">
        <f>IF(OR(M20392="",N20392=""),"",SUMIFS('Barang Keluar'!$E:$E,'Barang Keluar'!$A:$A,M20392,'Barang Keluar'!$C:$C,N20392))</f>
        <v>0</v>
      </c>
    </row>
    <row r="20393" spans="13:16">
      <c r="M20393" s="49">
        <f>IF($A$4+203&gt;$B$4,"",$A$4+203)</f>
        <v>46226</v>
      </c>
      <c r="N20393">
        <f>IF(M20393="","",'Master Barang'!A87)</f>
        <v>0</v>
      </c>
      <c r="O20393">
        <f>IF(N20393="","",'Master Barang'!B87)</f>
        <v>0</v>
      </c>
      <c r="P20393">
        <f>IF(OR(M20393="",N20393=""),"",SUMIFS('Barang Keluar'!$E:$E,'Barang Keluar'!$A:$A,M20393,'Barang Keluar'!$C:$C,N20393))</f>
        <v>0</v>
      </c>
    </row>
    <row r="20394" spans="13:16">
      <c r="M20394" s="49">
        <f>IF($A$4+203&gt;$B$4,"",$A$4+203)</f>
        <v>46226</v>
      </c>
      <c r="N20394">
        <f>IF(M20394="","",'Master Barang'!A88)</f>
        <v>0</v>
      </c>
      <c r="O20394">
        <f>IF(N20394="","",'Master Barang'!B88)</f>
        <v>0</v>
      </c>
      <c r="P20394">
        <f>IF(OR(M20394="",N20394=""),"",SUMIFS('Barang Keluar'!$E:$E,'Barang Keluar'!$A:$A,M20394,'Barang Keluar'!$C:$C,N20394))</f>
        <v>0</v>
      </c>
    </row>
    <row r="20395" spans="13:16">
      <c r="M20395" s="49">
        <f>IF($A$4+203&gt;$B$4,"",$A$4+203)</f>
        <v>46226</v>
      </c>
      <c r="N20395">
        <f>IF(M20395="","",'Master Barang'!A89)</f>
        <v>0</v>
      </c>
      <c r="O20395">
        <f>IF(N20395="","",'Master Barang'!B89)</f>
        <v>0</v>
      </c>
      <c r="P20395">
        <f>IF(OR(M20395="",N20395=""),"",SUMIFS('Barang Keluar'!$E:$E,'Barang Keluar'!$A:$A,M20395,'Barang Keluar'!$C:$C,N20395))</f>
        <v>0</v>
      </c>
    </row>
    <row r="20396" spans="13:16">
      <c r="M20396" s="49">
        <f>IF($A$4+203&gt;$B$4,"",$A$4+203)</f>
        <v>46226</v>
      </c>
      <c r="N20396">
        <f>IF(M20396="","",'Master Barang'!A90)</f>
        <v>0</v>
      </c>
      <c r="O20396">
        <f>IF(N20396="","",'Master Barang'!B90)</f>
        <v>0</v>
      </c>
      <c r="P20396">
        <f>IF(OR(M20396="",N20396=""),"",SUMIFS('Barang Keluar'!$E:$E,'Barang Keluar'!$A:$A,M20396,'Barang Keluar'!$C:$C,N20396))</f>
        <v>0</v>
      </c>
    </row>
    <row r="20397" spans="13:16">
      <c r="M20397" s="49">
        <f>IF($A$4+203&gt;$B$4,"",$A$4+203)</f>
        <v>46226</v>
      </c>
      <c r="N20397">
        <f>IF(M20397="","",'Master Barang'!A91)</f>
        <v>0</v>
      </c>
      <c r="O20397">
        <f>IF(N20397="","",'Master Barang'!B91)</f>
        <v>0</v>
      </c>
      <c r="P20397">
        <f>IF(OR(M20397="",N20397=""),"",SUMIFS('Barang Keluar'!$E:$E,'Barang Keluar'!$A:$A,M20397,'Barang Keluar'!$C:$C,N20397))</f>
        <v>0</v>
      </c>
    </row>
    <row r="20398" spans="13:16">
      <c r="M20398" s="49">
        <f>IF($A$4+203&gt;$B$4,"",$A$4+203)</f>
        <v>46226</v>
      </c>
      <c r="N20398">
        <f>IF(M20398="","",'Master Barang'!A92)</f>
        <v>0</v>
      </c>
      <c r="O20398">
        <f>IF(N20398="","",'Master Barang'!B92)</f>
        <v>0</v>
      </c>
      <c r="P20398">
        <f>IF(OR(M20398="",N20398=""),"",SUMIFS('Barang Keluar'!$E:$E,'Barang Keluar'!$A:$A,M20398,'Barang Keluar'!$C:$C,N20398))</f>
        <v>0</v>
      </c>
    </row>
    <row r="20399" spans="13:16">
      <c r="M20399" s="49">
        <f>IF($A$4+203&gt;$B$4,"",$A$4+203)</f>
        <v>46226</v>
      </c>
      <c r="N20399">
        <f>IF(M20399="","",'Master Barang'!A93)</f>
        <v>0</v>
      </c>
      <c r="O20399">
        <f>IF(N20399="","",'Master Barang'!B93)</f>
        <v>0</v>
      </c>
      <c r="P20399">
        <f>IF(OR(M20399="",N20399=""),"",SUMIFS('Barang Keluar'!$E:$E,'Barang Keluar'!$A:$A,M20399,'Barang Keluar'!$C:$C,N20399))</f>
        <v>0</v>
      </c>
    </row>
    <row r="20400" spans="13:16">
      <c r="M20400" s="49">
        <f>IF($A$4+203&gt;$B$4,"",$A$4+203)</f>
        <v>46226</v>
      </c>
      <c r="N20400">
        <f>IF(M20400="","",'Master Barang'!A94)</f>
        <v>0</v>
      </c>
      <c r="O20400">
        <f>IF(N20400="","",'Master Barang'!B94)</f>
        <v>0</v>
      </c>
      <c r="P20400">
        <f>IF(OR(M20400="",N20400=""),"",SUMIFS('Barang Keluar'!$E:$E,'Barang Keluar'!$A:$A,M20400,'Barang Keluar'!$C:$C,N20400))</f>
        <v>0</v>
      </c>
    </row>
    <row r="20401" spans="13:16">
      <c r="M20401" s="49">
        <f>IF($A$4+203&gt;$B$4,"",$A$4+203)</f>
        <v>46226</v>
      </c>
      <c r="N20401">
        <f>IF(M20401="","",'Master Barang'!A95)</f>
        <v>0</v>
      </c>
      <c r="O20401">
        <f>IF(N20401="","",'Master Barang'!B95)</f>
        <v>0</v>
      </c>
      <c r="P20401">
        <f>IF(OR(M20401="",N20401=""),"",SUMIFS('Barang Keluar'!$E:$E,'Barang Keluar'!$A:$A,M20401,'Barang Keluar'!$C:$C,N20401))</f>
        <v>0</v>
      </c>
    </row>
    <row r="20402" spans="13:16">
      <c r="M20402" s="49">
        <f>IF($A$4+203&gt;$B$4,"",$A$4+203)</f>
        <v>46226</v>
      </c>
      <c r="N20402">
        <f>IF(M20402="","",'Master Barang'!A96)</f>
        <v>0</v>
      </c>
      <c r="O20402">
        <f>IF(N20402="","",'Master Barang'!B96)</f>
        <v>0</v>
      </c>
      <c r="P20402">
        <f>IF(OR(M20402="",N20402=""),"",SUMIFS('Barang Keluar'!$E:$E,'Barang Keluar'!$A:$A,M20402,'Barang Keluar'!$C:$C,N20402))</f>
        <v>0</v>
      </c>
    </row>
    <row r="20403" spans="13:16">
      <c r="M20403" s="49">
        <f>IF($A$4+203&gt;$B$4,"",$A$4+203)</f>
        <v>46226</v>
      </c>
      <c r="N20403">
        <f>IF(M20403="","",'Master Barang'!A97)</f>
        <v>0</v>
      </c>
      <c r="O20403">
        <f>IF(N20403="","",'Master Barang'!B97)</f>
        <v>0</v>
      </c>
      <c r="P20403">
        <f>IF(OR(M20403="",N20403=""),"",SUMIFS('Barang Keluar'!$E:$E,'Barang Keluar'!$A:$A,M20403,'Barang Keluar'!$C:$C,N20403))</f>
        <v>0</v>
      </c>
    </row>
    <row r="20404" spans="13:16">
      <c r="M20404" s="49">
        <f>IF($A$4+203&gt;$B$4,"",$A$4+203)</f>
        <v>46226</v>
      </c>
      <c r="N20404">
        <f>IF(M20404="","",'Master Barang'!A98)</f>
        <v>0</v>
      </c>
      <c r="O20404">
        <f>IF(N20404="","",'Master Barang'!B98)</f>
        <v>0</v>
      </c>
      <c r="P20404">
        <f>IF(OR(M20404="",N20404=""),"",SUMIFS('Barang Keluar'!$E:$E,'Barang Keluar'!$A:$A,M20404,'Barang Keluar'!$C:$C,N20404))</f>
        <v>0</v>
      </c>
    </row>
    <row r="20405" spans="13:16">
      <c r="M20405" s="49">
        <f>IF($A$4+203&gt;$B$4,"",$A$4+203)</f>
        <v>46226</v>
      </c>
      <c r="N20405">
        <f>IF(M20405="","",'Master Barang'!A99)</f>
        <v>0</v>
      </c>
      <c r="O20405">
        <f>IF(N20405="","",'Master Barang'!B99)</f>
        <v>0</v>
      </c>
      <c r="P20405">
        <f>IF(OR(M20405="",N20405=""),"",SUMIFS('Barang Keluar'!$E:$E,'Barang Keluar'!$A:$A,M20405,'Barang Keluar'!$C:$C,N20405))</f>
        <v>0</v>
      </c>
    </row>
    <row r="20406" spans="13:16">
      <c r="M20406" s="49">
        <f>IF($A$4+203&gt;$B$4,"",$A$4+203)</f>
        <v>46226</v>
      </c>
      <c r="N20406">
        <f>IF(M20406="","",'Master Barang'!A100)</f>
        <v>0</v>
      </c>
      <c r="O20406">
        <f>IF(N20406="","",'Master Barang'!B100)</f>
        <v>0</v>
      </c>
      <c r="P20406">
        <f>IF(OR(M20406="",N20406=""),"",SUMIFS('Barang Keluar'!$E:$E,'Barang Keluar'!$A:$A,M20406,'Barang Keluar'!$C:$C,N20406))</f>
        <v>0</v>
      </c>
    </row>
    <row r="20407" spans="13:16">
      <c r="M20407" s="49">
        <f>IF($A$4+203&gt;$B$4,"",$A$4+203)</f>
        <v>46226</v>
      </c>
      <c r="N20407">
        <f>IF(M20407="","",'Master Barang'!A101)</f>
        <v>0</v>
      </c>
      <c r="O20407">
        <f>IF(N20407="","",'Master Barang'!B101)</f>
        <v>0</v>
      </c>
      <c r="P20407">
        <f>IF(OR(M20407="",N20407=""),"",SUMIFS('Barang Keluar'!$E:$E,'Barang Keluar'!$A:$A,M20407,'Barang Keluar'!$C:$C,N20407))</f>
        <v>0</v>
      </c>
    </row>
    <row r="20408" spans="13:16">
      <c r="M20408" s="49">
        <f>IF($A$4+204&gt;$B$4,"",$A$4+204)</f>
        <v>46227</v>
      </c>
      <c r="N20408" t="str">
        <f>IF(M20408="","",'Master Barang'!A2)</f>
        <v>PRL-001</v>
      </c>
      <c r="O20408" t="str">
        <f>IF(N20408="","",'Master Barang'!B2)</f>
        <v>natura desinfectant food grade 5l</v>
      </c>
      <c r="P20408">
        <f>IF(OR(M20408="",N20408=""),"",SUMIFS('Barang Keluar'!$E:$E,'Barang Keluar'!$A:$A,M20408,'Barang Keluar'!$C:$C,N20408))</f>
        <v>0</v>
      </c>
    </row>
    <row r="20409" spans="13:16">
      <c r="M20409" s="49">
        <f>IF($A$4+204&gt;$B$4,"",$A$4+204)</f>
        <v>46227</v>
      </c>
      <c r="N20409" t="str">
        <f>IF(M20409="","",'Master Barang'!A3)</f>
        <v>PRL-002</v>
      </c>
      <c r="O20409" t="str">
        <f>IF(N20409="","",'Master Barang'!B3)</f>
        <v>sunlight cairan pencuci piring 5l</v>
      </c>
      <c r="P20409">
        <f>IF(OR(M20409="",N20409=""),"",SUMIFS('Barang Keluar'!$E:$E,'Barang Keluar'!$A:$A,M20409,'Barang Keluar'!$C:$C,N20409))</f>
        <v>0</v>
      </c>
    </row>
    <row r="20410" spans="13:16">
      <c r="M20410" s="49">
        <f>IF($A$4+204&gt;$B$4,"",$A$4+204)</f>
        <v>46227</v>
      </c>
      <c r="N20410" t="str">
        <f>IF(M20410="","",'Master Barang'!A4)</f>
        <v>PRL-003</v>
      </c>
      <c r="O20410" t="str">
        <f>IF(N20410="","",'Master Barang'!B4)</f>
        <v>oixs cleaner 1l</v>
      </c>
      <c r="P20410">
        <f>IF(OR(M20410="",N20410=""),"",SUMIFS('Barang Keluar'!$E:$E,'Barang Keluar'!$A:$A,M20410,'Barang Keluar'!$C:$C,N20410))</f>
        <v>0</v>
      </c>
    </row>
    <row r="20411" spans="13:16">
      <c r="M20411" s="49">
        <f>IF($A$4+204&gt;$B$4,"",$A$4+204)</f>
        <v>46227</v>
      </c>
      <c r="N20411" t="str">
        <f>IF(M20411="","",'Master Barang'!A5)</f>
        <v>PRL-004</v>
      </c>
      <c r="O20411" t="str">
        <f>IF(N20411="","",'Master Barang'!B5)</f>
        <v>be clean tissue serbaguna</v>
      </c>
      <c r="P20411">
        <f>IF(OR(M20411="",N20411=""),"",SUMIFS('Barang Keluar'!$E:$E,'Barang Keluar'!$A:$A,M20411,'Barang Keluar'!$C:$C,N20411))</f>
        <v>0</v>
      </c>
    </row>
    <row r="20412" spans="13:16">
      <c r="M20412" s="49">
        <f>IF($A$4+204&gt;$B$4,"",$A$4+204)</f>
        <v>46227</v>
      </c>
      <c r="N20412" t="str">
        <f>IF(M20412="","",'Master Barang'!A6)</f>
        <v>PRL-005</v>
      </c>
      <c r="O20412" t="str">
        <f>IF(N20412="","",'Master Barang'!B6)</f>
        <v>spons cuci hijau</v>
      </c>
      <c r="P20412">
        <f>IF(OR(M20412="",N20412=""),"",SUMIFS('Barang Keluar'!$E:$E,'Barang Keluar'!$A:$A,M20412,'Barang Keluar'!$C:$C,N20412))</f>
        <v>0</v>
      </c>
    </row>
    <row r="20413" spans="13:16">
      <c r="M20413" s="49">
        <f>IF($A$4+204&gt;$B$4,"",$A$4+204)</f>
        <v>46227</v>
      </c>
      <c r="N20413" t="str">
        <f>IF(M20413="","",'Master Barang'!A7)</f>
        <v>PRL-006</v>
      </c>
      <c r="O20413" t="str">
        <f>IF(N20413="","",'Master Barang'!B7)</f>
        <v>sabut cuci stainless</v>
      </c>
      <c r="P20413">
        <f>IF(OR(M20413="",N20413=""),"",SUMIFS('Barang Keluar'!$E:$E,'Barang Keluar'!$A:$A,M20413,'Barang Keluar'!$C:$C,N20413))</f>
        <v>0</v>
      </c>
    </row>
    <row r="20414" spans="13:16">
      <c r="M20414" s="49">
        <f>IF($A$4+204&gt;$B$4,"",$A$4+204)</f>
        <v>46227</v>
      </c>
      <c r="N20414" t="str">
        <f>IF(M20414="","",'Master Barang'!A8)</f>
        <v>PRL-007</v>
      </c>
      <c r="O20414" t="str">
        <f>IF(N20414="","",'Master Barang'!B8)</f>
        <v>plastik kresek besar merah 50pc</v>
      </c>
      <c r="P20414">
        <f>IF(OR(M20414="",N20414=""),"",SUMIFS('Barang Keluar'!$E:$E,'Barang Keluar'!$A:$A,M20414,'Barang Keluar'!$C:$C,N20414))</f>
        <v>0</v>
      </c>
    </row>
    <row r="20415" spans="13:16">
      <c r="M20415" s="49">
        <f>IF($A$4+204&gt;$B$4,"",$A$4+204)</f>
        <v>46227</v>
      </c>
      <c r="N20415" t="str">
        <f>IF(M20415="","",'Master Barang'!A9)</f>
        <v>PRL-008</v>
      </c>
      <c r="O20415" t="str">
        <f>IF(N20415="","",'Master Barang'!B9)</f>
        <v>lap besar</v>
      </c>
      <c r="P20415">
        <f>IF(OR(M20415="",N20415=""),"",SUMIFS('Barang Keluar'!$E:$E,'Barang Keluar'!$A:$A,M20415,'Barang Keluar'!$C:$C,N20415))</f>
        <v>0</v>
      </c>
    </row>
    <row r="20416" spans="13:16">
      <c r="M20416" s="49">
        <f>IF($A$4+204&gt;$B$4,"",$A$4+204)</f>
        <v>46227</v>
      </c>
      <c r="N20416" t="str">
        <f>IF(M20416="","",'Master Barang'!A10)</f>
        <v>PRL-009</v>
      </c>
      <c r="O20416" t="str">
        <f>IF(N20416="","",'Master Barang'!B10)</f>
        <v>lap microfiber</v>
      </c>
      <c r="P20416">
        <f>IF(OR(M20416="",N20416=""),"",SUMIFS('Barang Keluar'!$E:$E,'Barang Keluar'!$A:$A,M20416,'Barang Keluar'!$C:$C,N20416))</f>
        <v>0</v>
      </c>
    </row>
    <row r="20417" spans="13:16">
      <c r="M20417" s="49">
        <f>IF($A$4+204&gt;$B$4,"",$A$4+204)</f>
        <v>46227</v>
      </c>
      <c r="N20417" t="str">
        <f>IF(M20417="","",'Master Barang'!A11)</f>
        <v>PRL-010</v>
      </c>
      <c r="O20417" t="str">
        <f>IF(N20417="","",'Master Barang'!B11)</f>
        <v>lap kecil</v>
      </c>
      <c r="P20417">
        <f>IF(OR(M20417="",N20417=""),"",SUMIFS('Barang Keluar'!$E:$E,'Barang Keluar'!$A:$A,M20417,'Barang Keluar'!$C:$C,N20417))</f>
        <v>0</v>
      </c>
    </row>
    <row r="20418" spans="13:16">
      <c r="M20418" s="49">
        <f>IF($A$4+204&gt;$B$4,"",$A$4+204)</f>
        <v>46227</v>
      </c>
      <c r="N20418" t="str">
        <f>IF(M20418="","",'Master Barang'!A12)</f>
        <v>PRL-011</v>
      </c>
      <c r="O20418" t="str">
        <f>IF(N20418="","",'Master Barang'!B12)</f>
        <v>kanebo kecil</v>
      </c>
      <c r="P20418">
        <f>IF(OR(M20418="",N20418=""),"",SUMIFS('Barang Keluar'!$E:$E,'Barang Keluar'!$A:$A,M20418,'Barang Keluar'!$C:$C,N20418))</f>
        <v>0</v>
      </c>
    </row>
    <row r="20419" spans="13:16">
      <c r="M20419" s="49">
        <f>IF($A$4+204&gt;$B$4,"",$A$4+204)</f>
        <v>46227</v>
      </c>
      <c r="N20419" t="str">
        <f>IF(M20419="","",'Master Barang'!A13)</f>
        <v>PRL-012</v>
      </c>
      <c r="O20419" t="str">
        <f>IF(N20419="","",'Master Barang'!B13)</f>
        <v>plastik 1/4kg joyoboyo 100 lembar</v>
      </c>
      <c r="P20419">
        <f>IF(OR(M20419="",N20419=""),"",SUMIFS('Barang Keluar'!$E:$E,'Barang Keluar'!$A:$A,M20419,'Barang Keluar'!$C:$C,N20419))</f>
        <v>0</v>
      </c>
    </row>
    <row r="20420" spans="13:16">
      <c r="M20420" s="49">
        <f>IF($A$4+204&gt;$B$4,"",$A$4+204)</f>
        <v>46227</v>
      </c>
      <c r="N20420" t="str">
        <f>IF(M20420="","",'Master Barang'!A14)</f>
        <v>PRL-013</v>
      </c>
      <c r="O20420" t="str">
        <f>IF(N20420="","",'Master Barang'!B14)</f>
        <v>sarung tangan plastik kaka 100 pcs</v>
      </c>
      <c r="P20420">
        <f>IF(OR(M20420="",N20420=""),"",SUMIFS('Barang Keluar'!$E:$E,'Barang Keluar'!$A:$A,M20420,'Barang Keluar'!$C:$C,N20420))</f>
        <v>0</v>
      </c>
    </row>
    <row r="20421" spans="13:16">
      <c r="M20421" s="49">
        <f>IF($A$4+204&gt;$B$4,"",$A$4+204)</f>
        <v>46227</v>
      </c>
      <c r="N20421" t="str">
        <f>IF(M20421="","",'Master Barang'!A15)</f>
        <v>PRL-014</v>
      </c>
      <c r="O20421" t="str">
        <f>IF(N20421="","",'Master Barang'!B15)</f>
        <v>optima trashbag 80x100</v>
      </c>
      <c r="P20421">
        <f>IF(OR(M20421="",N20421=""),"",SUMIFS('Barang Keluar'!$E:$E,'Barang Keluar'!$A:$A,M20421,'Barang Keluar'!$C:$C,N20421))</f>
        <v>0</v>
      </c>
    </row>
    <row r="20422" spans="13:16">
      <c r="M20422" s="49">
        <f>IF($A$4+204&gt;$B$4,"",$A$4+204)</f>
        <v>46227</v>
      </c>
      <c r="N20422" t="str">
        <f>IF(M20422="","",'Master Barang'!A16)</f>
        <v>PRL-015</v>
      </c>
      <c r="O20422" t="str">
        <f>IF(N20422="","",'Master Barang'!B16)</f>
        <v>optima trashbag 60x100</v>
      </c>
      <c r="P20422">
        <f>IF(OR(M20422="",N20422=""),"",SUMIFS('Barang Keluar'!$E:$E,'Barang Keluar'!$A:$A,M20422,'Barang Keluar'!$C:$C,N20422))</f>
        <v>0</v>
      </c>
    </row>
    <row r="20423" spans="13:16">
      <c r="M20423" s="49">
        <f>IF($A$4+204&gt;$B$4,"",$A$4+204)</f>
        <v>46227</v>
      </c>
      <c r="N20423" t="str">
        <f>IF(M20423="","",'Master Barang'!A17)</f>
        <v>PRL-016</v>
      </c>
      <c r="O20423" t="str">
        <f>IF(N20423="","",'Master Barang'!B17)</f>
        <v>rajawali trashbag 30x40</v>
      </c>
      <c r="P20423">
        <f>IF(OR(M20423="",N20423=""),"",SUMIFS('Barang Keluar'!$E:$E,'Barang Keluar'!$A:$A,M20423,'Barang Keluar'!$C:$C,N20423))</f>
        <v>0</v>
      </c>
    </row>
    <row r="20424" spans="13:16">
      <c r="M20424" s="49">
        <f>IF($A$4+204&gt;$B$4,"",$A$4+204)</f>
        <v>46227</v>
      </c>
      <c r="N20424" t="str">
        <f>IF(M20424="","",'Master Barang'!A18)</f>
        <v>PRL-017</v>
      </c>
      <c r="O20424" t="str">
        <f>IF(N20424="","",'Master Barang'!B18)</f>
        <v>onemed masker biru 3 play 50 pcs</v>
      </c>
      <c r="P20424">
        <f>IF(OR(M20424="",N20424=""),"",SUMIFS('Barang Keluar'!$E:$E,'Barang Keluar'!$A:$A,M20424,'Barang Keluar'!$C:$C,N20424))</f>
        <v>0</v>
      </c>
    </row>
    <row r="20425" spans="13:16">
      <c r="M20425" s="49">
        <f>IF($A$4+204&gt;$B$4,"",$A$4+204)</f>
        <v>46227</v>
      </c>
      <c r="N20425" t="str">
        <f>IF(M20425="","",'Master Barang'!A19)</f>
        <v>PRL-018</v>
      </c>
      <c r="O20425" t="str">
        <f>IF(N20425="","",'Master Barang'!B19)</f>
        <v>onemed masker biru 3 play hijab 50 pcs</v>
      </c>
      <c r="P20425">
        <f>IF(OR(M20425="",N20425=""),"",SUMIFS('Barang Keluar'!$E:$E,'Barang Keluar'!$A:$A,M20425,'Barang Keluar'!$C:$C,N20425))</f>
        <v>0</v>
      </c>
    </row>
    <row r="20426" spans="13:16">
      <c r="M20426" s="49">
        <f>IF($A$4+204&gt;$B$4,"",$A$4+204)</f>
        <v>46227</v>
      </c>
      <c r="N20426" t="str">
        <f>IF(M20426="","",'Master Barang'!A20)</f>
        <v>PRL-019</v>
      </c>
      <c r="O20426" t="str">
        <f>IF(N20426="","",'Master Barang'!B20)</f>
        <v>neo health masker biru 3 play 50 pcs</v>
      </c>
      <c r="P20426">
        <f>IF(OR(M20426="",N20426=""),"",SUMIFS('Barang Keluar'!$E:$E,'Barang Keluar'!$A:$A,M20426,'Barang Keluar'!$C:$C,N20426))</f>
        <v>0</v>
      </c>
    </row>
    <row r="20427" spans="13:16">
      <c r="M20427" s="49">
        <f>IF($A$4+204&gt;$B$4,"",$A$4+204)</f>
        <v>46227</v>
      </c>
      <c r="N20427" t="str">
        <f>IF(M20427="","",'Master Barang'!A21)</f>
        <v>PRL-020</v>
      </c>
      <c r="O20427" t="str">
        <f>IF(N20427="","",'Master Barang'!B21)</f>
        <v>baymed masker hijau 3 play hijau 50 pcs</v>
      </c>
      <c r="P20427">
        <f>IF(OR(M20427="",N20427=""),"",SUMIFS('Barang Keluar'!$E:$E,'Barang Keluar'!$A:$A,M20427,'Barang Keluar'!$C:$C,N20427))</f>
        <v>0</v>
      </c>
    </row>
    <row r="20428" spans="13:16">
      <c r="M20428" s="49">
        <f>IF($A$4+204&gt;$B$4,"",$A$4+204)</f>
        <v>46227</v>
      </c>
      <c r="N20428" t="str">
        <f>IF(M20428="","",'Master Barang'!A22)</f>
        <v>PRL-021</v>
      </c>
      <c r="O20428" t="str">
        <f>IF(N20428="","",'Master Barang'!B22)</f>
        <v>altamed nurse cap penutup kepala 100 pcs</v>
      </c>
      <c r="P20428">
        <f>IF(OR(M20428="",N20428=""),"",SUMIFS('Barang Keluar'!$E:$E,'Barang Keluar'!$A:$A,M20428,'Barang Keluar'!$C:$C,N20428))</f>
        <v>0</v>
      </c>
    </row>
    <row r="20429" spans="13:16">
      <c r="M20429" s="49">
        <f>IF($A$4+204&gt;$B$4,"",$A$4+204)</f>
        <v>46227</v>
      </c>
      <c r="N20429" t="str">
        <f>IF(M20429="","",'Master Barang'!A23)</f>
        <v>PRL-022</v>
      </c>
      <c r="O20429" t="str">
        <f>IF(N20429="","",'Master Barang'!B23)</f>
        <v>sabun cuci tangan</v>
      </c>
      <c r="P20429">
        <f>IF(OR(M20429="",N20429=""),"",SUMIFS('Barang Keluar'!$E:$E,'Barang Keluar'!$A:$A,M20429,'Barang Keluar'!$C:$C,N20429))</f>
        <v>0</v>
      </c>
    </row>
    <row r="20430" spans="13:16">
      <c r="M20430" s="49">
        <f>IF($A$4+204&gt;$B$4,"",$A$4+204)</f>
        <v>46227</v>
      </c>
      <c r="N20430" t="str">
        <f>IF(M20430="","",'Master Barang'!A24)</f>
        <v>PRL-023</v>
      </c>
      <c r="O20430" t="str">
        <f>IF(N20430="","",'Master Barang'!B24)</f>
        <v>gayung kecil</v>
      </c>
      <c r="P20430">
        <f>IF(OR(M20430="",N20430=""),"",SUMIFS('Barang Keluar'!$E:$E,'Barang Keluar'!$A:$A,M20430,'Barang Keluar'!$C:$C,N20430))</f>
        <v>0</v>
      </c>
    </row>
    <row r="20431" spans="13:16">
      <c r="M20431" s="49">
        <f>IF($A$4+204&gt;$B$4,"",$A$4+204)</f>
        <v>46227</v>
      </c>
      <c r="N20431" t="str">
        <f>IF(M20431="","",'Master Barang'!A25)</f>
        <v>PRL-024</v>
      </c>
      <c r="O20431" t="str">
        <f>IF(N20431="","",'Master Barang'!B25)</f>
        <v>cikrak kecil</v>
      </c>
      <c r="P20431">
        <f>IF(OR(M20431="",N20431=""),"",SUMIFS('Barang Keluar'!$E:$E,'Barang Keluar'!$A:$A,M20431,'Barang Keluar'!$C:$C,N20431))</f>
        <v>0</v>
      </c>
    </row>
    <row r="20432" spans="13:16">
      <c r="M20432" s="49">
        <f>IF($A$4+204&gt;$B$4,"",$A$4+204)</f>
        <v>46227</v>
      </c>
      <c r="N20432" t="str">
        <f>IF(M20432="","",'Master Barang'!A26)</f>
        <v>PRL-025</v>
      </c>
      <c r="O20432" t="str">
        <f>IF(N20432="","",'Master Barang'!B26)</f>
        <v>petromax plastik kecil 12x24 100 lembar</v>
      </c>
      <c r="P20432">
        <f>IF(OR(M20432="",N20432=""),"",SUMIFS('Barang Keluar'!$E:$E,'Barang Keluar'!$A:$A,M20432,'Barang Keluar'!$C:$C,N20432))</f>
        <v>0</v>
      </c>
    </row>
    <row r="20433" spans="13:16">
      <c r="M20433" s="49">
        <f>IF($A$4+204&gt;$B$4,"",$A$4+204)</f>
        <v>46227</v>
      </c>
      <c r="N20433" t="str">
        <f>IF(M20433="","",'Master Barang'!A27)</f>
        <v>PRL-026</v>
      </c>
      <c r="O20433" t="str">
        <f>IF(N20433="","",'Master Barang'!B27)</f>
        <v>lancar kresek kecil bening </v>
      </c>
      <c r="P20433">
        <f>IF(OR(M20433="",N20433=""),"",SUMIFS('Barang Keluar'!$E:$E,'Barang Keluar'!$A:$A,M20433,'Barang Keluar'!$C:$C,N20433))</f>
        <v>0</v>
      </c>
    </row>
    <row r="20434" spans="13:16">
      <c r="M20434" s="49">
        <f>IF($A$4+204&gt;$B$4,"",$A$4+204)</f>
        <v>46227</v>
      </c>
      <c r="N20434" t="str">
        <f>IF(M20434="","",'Master Barang'!A28)</f>
        <v>PRL-027</v>
      </c>
      <c r="O20434" t="str">
        <f>IF(N20434="","",'Master Barang'!B28)</f>
        <v>kresek klin warna warni kecil</v>
      </c>
      <c r="P20434">
        <f>IF(OR(M20434="",N20434=""),"",SUMIFS('Barang Keluar'!$E:$E,'Barang Keluar'!$A:$A,M20434,'Barang Keluar'!$C:$C,N20434))</f>
        <v>0</v>
      </c>
    </row>
    <row r="20435" spans="13:16">
      <c r="M20435" s="49">
        <f>IF($A$4+204&gt;$B$4,"",$A$4+204)</f>
        <v>46227</v>
      </c>
      <c r="N20435" t="str">
        <f>IF(M20435="","",'Master Barang'!A29)</f>
        <v>PRL-028</v>
      </c>
      <c r="O20435" t="str">
        <f>IF(N20435="","",'Master Barang'!B29)</f>
        <v>ctik plastik 7x10 100 pcs</v>
      </c>
      <c r="P20435">
        <f>IF(OR(M20435="",N20435=""),"",SUMIFS('Barang Keluar'!$E:$E,'Barang Keluar'!$A:$A,M20435,'Barang Keluar'!$C:$C,N20435))</f>
        <v>0</v>
      </c>
    </row>
    <row r="20436" spans="13:16">
      <c r="M20436" s="49">
        <f>IF($A$4+204&gt;$B$4,"",$A$4+204)</f>
        <v>46227</v>
      </c>
      <c r="N20436" t="str">
        <f>IF(M20436="","",'Master Barang'!A30)</f>
        <v>PRL-029</v>
      </c>
      <c r="O20436" t="str">
        <f>IF(N20436="","",'Master Barang'!B30)</f>
        <v>ctik plastik 6x10 100 pcs</v>
      </c>
      <c r="P20436">
        <f>IF(OR(M20436="",N20436=""),"",SUMIFS('Barang Keluar'!$E:$E,'Barang Keluar'!$A:$A,M20436,'Barang Keluar'!$C:$C,N20436))</f>
        <v>0</v>
      </c>
    </row>
    <row r="20437" spans="13:16">
      <c r="M20437" s="49">
        <f>IF($A$4+204&gt;$B$4,"",$A$4+204)</f>
        <v>46227</v>
      </c>
      <c r="N20437" t="str">
        <f>IF(M20437="","",'Master Barang'!A31)</f>
        <v>PRL-030</v>
      </c>
      <c r="O20437" t="str">
        <f>IF(N20437="","",'Master Barang'!B31)</f>
        <v>klip plastik 25x16 100 pcs</v>
      </c>
      <c r="P20437">
        <f>IF(OR(M20437="",N20437=""),"",SUMIFS('Barang Keluar'!$E:$E,'Barang Keluar'!$A:$A,M20437,'Barang Keluar'!$C:$C,N20437))</f>
        <v>0</v>
      </c>
    </row>
    <row r="20438" spans="13:16">
      <c r="M20438" s="49">
        <f>IF($A$4+204&gt;$B$4,"",$A$4+204)</f>
        <v>46227</v>
      </c>
      <c r="N20438" t="str">
        <f>IF(M20438="","",'Master Barang'!A32)</f>
        <v>PRL-031</v>
      </c>
      <c r="O20438" t="str">
        <f>IF(N20438="","",'Master Barang'!B32)</f>
        <v>tempat saus 20 ml</v>
      </c>
      <c r="P20438">
        <f>IF(OR(M20438="",N20438=""),"",SUMIFS('Barang Keluar'!$E:$E,'Barang Keluar'!$A:$A,M20438,'Barang Keluar'!$C:$C,N20438))</f>
        <v>0</v>
      </c>
    </row>
    <row r="20439" spans="13:16">
      <c r="M20439" s="49">
        <f>IF($A$4+204&gt;$B$4,"",$A$4+204)</f>
        <v>46227</v>
      </c>
      <c r="N20439" t="str">
        <f>IF(M20439="","",'Master Barang'!A33)</f>
        <v>PRL-032</v>
      </c>
      <c r="O20439" t="str">
        <f>IF(N20439="","",'Master Barang'!B33)</f>
        <v>plastik packaging ag box uk sedang</v>
      </c>
      <c r="P20439">
        <f>IF(OR(M20439="",N20439=""),"",SUMIFS('Barang Keluar'!$E:$E,'Barang Keluar'!$A:$A,M20439,'Barang Keluar'!$C:$C,N20439))</f>
        <v>0</v>
      </c>
    </row>
    <row r="20440" spans="13:16">
      <c r="M20440" s="49">
        <f>IF($A$4+204&gt;$B$4,"",$A$4+204)</f>
        <v>46227</v>
      </c>
      <c r="N20440" t="str">
        <f>IF(M20440="","",'Master Barang'!A34)</f>
        <v>PRL-033</v>
      </c>
      <c r="O20440">
        <f>IF(N20440="","",'Master Barang'!B34)</f>
        <v>0</v>
      </c>
      <c r="P20440">
        <f>IF(OR(M20440="",N20440=""),"",SUMIFS('Barang Keluar'!$E:$E,'Barang Keluar'!$A:$A,M20440,'Barang Keluar'!$C:$C,N20440))</f>
        <v>0</v>
      </c>
    </row>
    <row r="20441" spans="13:16">
      <c r="M20441" s="49">
        <f>IF($A$4+204&gt;$B$4,"",$A$4+204)</f>
        <v>46227</v>
      </c>
      <c r="N20441">
        <f>IF(M20441="","",'Master Barang'!A35)</f>
        <v>0</v>
      </c>
      <c r="O20441">
        <f>IF(N20441="","",'Master Barang'!B35)</f>
        <v>0</v>
      </c>
      <c r="P20441">
        <f>IF(OR(M20441="",N20441=""),"",SUMIFS('Barang Keluar'!$E:$E,'Barang Keluar'!$A:$A,M20441,'Barang Keluar'!$C:$C,N20441))</f>
        <v>0</v>
      </c>
    </row>
    <row r="20442" spans="13:16">
      <c r="M20442" s="49">
        <f>IF($A$4+204&gt;$B$4,"",$A$4+204)</f>
        <v>46227</v>
      </c>
      <c r="N20442">
        <f>IF(M20442="","",'Master Barang'!A36)</f>
        <v>0</v>
      </c>
      <c r="O20442">
        <f>IF(N20442="","",'Master Barang'!B36)</f>
        <v>0</v>
      </c>
      <c r="P20442">
        <f>IF(OR(M20442="",N20442=""),"",SUMIFS('Barang Keluar'!$E:$E,'Barang Keluar'!$A:$A,M20442,'Barang Keluar'!$C:$C,N20442))</f>
        <v>0</v>
      </c>
    </row>
    <row r="20443" spans="13:16">
      <c r="M20443" s="49">
        <f>IF($A$4+204&gt;$B$4,"",$A$4+204)</f>
        <v>46227</v>
      </c>
      <c r="N20443">
        <f>IF(M20443="","",'Master Barang'!A37)</f>
        <v>0</v>
      </c>
      <c r="O20443">
        <f>IF(N20443="","",'Master Barang'!B37)</f>
        <v>0</v>
      </c>
      <c r="P20443">
        <f>IF(OR(M20443="",N20443=""),"",SUMIFS('Barang Keluar'!$E:$E,'Barang Keluar'!$A:$A,M20443,'Barang Keluar'!$C:$C,N20443))</f>
        <v>0</v>
      </c>
    </row>
    <row r="20444" spans="13:16">
      <c r="M20444" s="49">
        <f>IF($A$4+204&gt;$B$4,"",$A$4+204)</f>
        <v>46227</v>
      </c>
      <c r="N20444">
        <f>IF(M20444="","",'Master Barang'!A38)</f>
        <v>0</v>
      </c>
      <c r="O20444">
        <f>IF(N20444="","",'Master Barang'!B38)</f>
        <v>0</v>
      </c>
      <c r="P20444">
        <f>IF(OR(M20444="",N20444=""),"",SUMIFS('Barang Keluar'!$E:$E,'Barang Keluar'!$A:$A,M20444,'Barang Keluar'!$C:$C,N20444))</f>
        <v>0</v>
      </c>
    </row>
    <row r="20445" spans="13:16">
      <c r="M20445" s="49">
        <f>IF($A$4+204&gt;$B$4,"",$A$4+204)</f>
        <v>46227</v>
      </c>
      <c r="N20445">
        <f>IF(M20445="","",'Master Barang'!A39)</f>
        <v>0</v>
      </c>
      <c r="O20445">
        <f>IF(N20445="","",'Master Barang'!B39)</f>
        <v>0</v>
      </c>
      <c r="P20445">
        <f>IF(OR(M20445="",N20445=""),"",SUMIFS('Barang Keluar'!$E:$E,'Barang Keluar'!$A:$A,M20445,'Barang Keluar'!$C:$C,N20445))</f>
        <v>0</v>
      </c>
    </row>
    <row r="20446" spans="13:16">
      <c r="M20446" s="49">
        <f>IF($A$4+204&gt;$B$4,"",$A$4+204)</f>
        <v>46227</v>
      </c>
      <c r="N20446">
        <f>IF(M20446="","",'Master Barang'!A40)</f>
        <v>0</v>
      </c>
      <c r="O20446">
        <f>IF(N20446="","",'Master Barang'!B40)</f>
        <v>0</v>
      </c>
      <c r="P20446">
        <f>IF(OR(M20446="",N20446=""),"",SUMIFS('Barang Keluar'!$E:$E,'Barang Keluar'!$A:$A,M20446,'Barang Keluar'!$C:$C,N20446))</f>
        <v>0</v>
      </c>
    </row>
    <row r="20447" spans="13:16">
      <c r="M20447" s="49">
        <f>IF($A$4+204&gt;$B$4,"",$A$4+204)</f>
        <v>46227</v>
      </c>
      <c r="N20447">
        <f>IF(M20447="","",'Master Barang'!A41)</f>
        <v>0</v>
      </c>
      <c r="O20447">
        <f>IF(N20447="","",'Master Barang'!B41)</f>
        <v>0</v>
      </c>
      <c r="P20447">
        <f>IF(OR(M20447="",N20447=""),"",SUMIFS('Barang Keluar'!$E:$E,'Barang Keluar'!$A:$A,M20447,'Barang Keluar'!$C:$C,N20447))</f>
        <v>0</v>
      </c>
    </row>
    <row r="20448" spans="13:16">
      <c r="M20448" s="49">
        <f>IF($A$4+204&gt;$B$4,"",$A$4+204)</f>
        <v>46227</v>
      </c>
      <c r="N20448">
        <f>IF(M20448="","",'Master Barang'!A42)</f>
        <v>0</v>
      </c>
      <c r="O20448">
        <f>IF(N20448="","",'Master Barang'!B42)</f>
        <v>0</v>
      </c>
      <c r="P20448">
        <f>IF(OR(M20448="",N20448=""),"",SUMIFS('Barang Keluar'!$E:$E,'Barang Keluar'!$A:$A,M20448,'Barang Keluar'!$C:$C,N20448))</f>
        <v>0</v>
      </c>
    </row>
    <row r="20449" spans="13:16">
      <c r="M20449" s="49">
        <f>IF($A$4+204&gt;$B$4,"",$A$4+204)</f>
        <v>46227</v>
      </c>
      <c r="N20449">
        <f>IF(M20449="","",'Master Barang'!A43)</f>
        <v>0</v>
      </c>
      <c r="O20449">
        <f>IF(N20449="","",'Master Barang'!B43)</f>
        <v>0</v>
      </c>
      <c r="P20449">
        <f>IF(OR(M20449="",N20449=""),"",SUMIFS('Barang Keluar'!$E:$E,'Barang Keluar'!$A:$A,M20449,'Barang Keluar'!$C:$C,N20449))</f>
        <v>0</v>
      </c>
    </row>
    <row r="20450" spans="13:16">
      <c r="M20450" s="49">
        <f>IF($A$4+204&gt;$B$4,"",$A$4+204)</f>
        <v>46227</v>
      </c>
      <c r="N20450">
        <f>IF(M20450="","",'Master Barang'!A44)</f>
        <v>0</v>
      </c>
      <c r="O20450">
        <f>IF(N20450="","",'Master Barang'!B44)</f>
        <v>0</v>
      </c>
      <c r="P20450">
        <f>IF(OR(M20450="",N20450=""),"",SUMIFS('Barang Keluar'!$E:$E,'Barang Keluar'!$A:$A,M20450,'Barang Keluar'!$C:$C,N20450))</f>
        <v>0</v>
      </c>
    </row>
    <row r="20451" spans="13:16">
      <c r="M20451" s="49">
        <f>IF($A$4+204&gt;$B$4,"",$A$4+204)</f>
        <v>46227</v>
      </c>
      <c r="N20451">
        <f>IF(M20451="","",'Master Barang'!A45)</f>
        <v>0</v>
      </c>
      <c r="O20451">
        <f>IF(N20451="","",'Master Barang'!B45)</f>
        <v>0</v>
      </c>
      <c r="P20451">
        <f>IF(OR(M20451="",N20451=""),"",SUMIFS('Barang Keluar'!$E:$E,'Barang Keluar'!$A:$A,M20451,'Barang Keluar'!$C:$C,N20451))</f>
        <v>0</v>
      </c>
    </row>
    <row r="20452" spans="13:16">
      <c r="M20452" s="49">
        <f>IF($A$4+204&gt;$B$4,"",$A$4+204)</f>
        <v>46227</v>
      </c>
      <c r="N20452">
        <f>IF(M20452="","",'Master Barang'!A46)</f>
        <v>0</v>
      </c>
      <c r="O20452">
        <f>IF(N20452="","",'Master Barang'!B46)</f>
        <v>0</v>
      </c>
      <c r="P20452">
        <f>IF(OR(M20452="",N20452=""),"",SUMIFS('Barang Keluar'!$E:$E,'Barang Keluar'!$A:$A,M20452,'Barang Keluar'!$C:$C,N20452))</f>
        <v>0</v>
      </c>
    </row>
    <row r="20453" spans="13:16">
      <c r="M20453" s="49">
        <f>IF($A$4+204&gt;$B$4,"",$A$4+204)</f>
        <v>46227</v>
      </c>
      <c r="N20453">
        <f>IF(M20453="","",'Master Barang'!A47)</f>
        <v>0</v>
      </c>
      <c r="O20453">
        <f>IF(N20453="","",'Master Barang'!B47)</f>
        <v>0</v>
      </c>
      <c r="P20453">
        <f>IF(OR(M20453="",N20453=""),"",SUMIFS('Barang Keluar'!$E:$E,'Barang Keluar'!$A:$A,M20453,'Barang Keluar'!$C:$C,N20453))</f>
        <v>0</v>
      </c>
    </row>
    <row r="20454" spans="13:16">
      <c r="M20454" s="49">
        <f>IF($A$4+204&gt;$B$4,"",$A$4+204)</f>
        <v>46227</v>
      </c>
      <c r="N20454">
        <f>IF(M20454="","",'Master Barang'!A48)</f>
        <v>0</v>
      </c>
      <c r="O20454">
        <f>IF(N20454="","",'Master Barang'!B48)</f>
        <v>0</v>
      </c>
      <c r="P20454">
        <f>IF(OR(M20454="",N20454=""),"",SUMIFS('Barang Keluar'!$E:$E,'Barang Keluar'!$A:$A,M20454,'Barang Keluar'!$C:$C,N20454))</f>
        <v>0</v>
      </c>
    </row>
    <row r="20455" spans="13:16">
      <c r="M20455" s="49">
        <f>IF($A$4+204&gt;$B$4,"",$A$4+204)</f>
        <v>46227</v>
      </c>
      <c r="N20455">
        <f>IF(M20455="","",'Master Barang'!A49)</f>
        <v>0</v>
      </c>
      <c r="O20455">
        <f>IF(N20455="","",'Master Barang'!B49)</f>
        <v>0</v>
      </c>
      <c r="P20455">
        <f>IF(OR(M20455="",N20455=""),"",SUMIFS('Barang Keluar'!$E:$E,'Barang Keluar'!$A:$A,M20455,'Barang Keluar'!$C:$C,N20455))</f>
        <v>0</v>
      </c>
    </row>
    <row r="20456" spans="13:16">
      <c r="M20456" s="49">
        <f>IF($A$4+204&gt;$B$4,"",$A$4+204)</f>
        <v>46227</v>
      </c>
      <c r="N20456">
        <f>IF(M20456="","",'Master Barang'!A50)</f>
        <v>0</v>
      </c>
      <c r="O20456">
        <f>IF(N20456="","",'Master Barang'!B50)</f>
        <v>0</v>
      </c>
      <c r="P20456">
        <f>IF(OR(M20456="",N20456=""),"",SUMIFS('Barang Keluar'!$E:$E,'Barang Keluar'!$A:$A,M20456,'Barang Keluar'!$C:$C,N20456))</f>
        <v>0</v>
      </c>
    </row>
    <row r="20457" spans="13:16">
      <c r="M20457" s="49">
        <f>IF($A$4+204&gt;$B$4,"",$A$4+204)</f>
        <v>46227</v>
      </c>
      <c r="N20457">
        <f>IF(M20457="","",'Master Barang'!A51)</f>
        <v>0</v>
      </c>
      <c r="O20457">
        <f>IF(N20457="","",'Master Barang'!B51)</f>
        <v>0</v>
      </c>
      <c r="P20457">
        <f>IF(OR(M20457="",N20457=""),"",SUMIFS('Barang Keluar'!$E:$E,'Barang Keluar'!$A:$A,M20457,'Barang Keluar'!$C:$C,N20457))</f>
        <v>0</v>
      </c>
    </row>
    <row r="20458" spans="13:16">
      <c r="M20458" s="49">
        <f>IF($A$4+204&gt;$B$4,"",$A$4+204)</f>
        <v>46227</v>
      </c>
      <c r="N20458">
        <f>IF(M20458="","",'Master Barang'!A52)</f>
        <v>0</v>
      </c>
      <c r="O20458">
        <f>IF(N20458="","",'Master Barang'!B52)</f>
        <v>0</v>
      </c>
      <c r="P20458">
        <f>IF(OR(M20458="",N20458=""),"",SUMIFS('Barang Keluar'!$E:$E,'Barang Keluar'!$A:$A,M20458,'Barang Keluar'!$C:$C,N20458))</f>
        <v>0</v>
      </c>
    </row>
    <row r="20459" spans="13:16">
      <c r="M20459" s="49">
        <f>IF($A$4+204&gt;$B$4,"",$A$4+204)</f>
        <v>46227</v>
      </c>
      <c r="N20459">
        <f>IF(M20459="","",'Master Barang'!A53)</f>
        <v>0</v>
      </c>
      <c r="O20459">
        <f>IF(N20459="","",'Master Barang'!B53)</f>
        <v>0</v>
      </c>
      <c r="P20459">
        <f>IF(OR(M20459="",N20459=""),"",SUMIFS('Barang Keluar'!$E:$E,'Barang Keluar'!$A:$A,M20459,'Barang Keluar'!$C:$C,N20459))</f>
        <v>0</v>
      </c>
    </row>
    <row r="20460" spans="13:16">
      <c r="M20460" s="49">
        <f>IF($A$4+204&gt;$B$4,"",$A$4+204)</f>
        <v>46227</v>
      </c>
      <c r="N20460">
        <f>IF(M20460="","",'Master Barang'!A54)</f>
        <v>0</v>
      </c>
      <c r="O20460">
        <f>IF(N20460="","",'Master Barang'!B54)</f>
        <v>0</v>
      </c>
      <c r="P20460">
        <f>IF(OR(M20460="",N20460=""),"",SUMIFS('Barang Keluar'!$E:$E,'Barang Keluar'!$A:$A,M20460,'Barang Keluar'!$C:$C,N20460))</f>
        <v>0</v>
      </c>
    </row>
    <row r="20461" spans="13:16">
      <c r="M20461" s="49">
        <f>IF($A$4+204&gt;$B$4,"",$A$4+204)</f>
        <v>46227</v>
      </c>
      <c r="N20461">
        <f>IF(M20461="","",'Master Barang'!A55)</f>
        <v>0</v>
      </c>
      <c r="O20461">
        <f>IF(N20461="","",'Master Barang'!B55)</f>
        <v>0</v>
      </c>
      <c r="P20461">
        <f>IF(OR(M20461="",N20461=""),"",SUMIFS('Barang Keluar'!$E:$E,'Barang Keluar'!$A:$A,M20461,'Barang Keluar'!$C:$C,N20461))</f>
        <v>0</v>
      </c>
    </row>
    <row r="20462" spans="13:16">
      <c r="M20462" s="49">
        <f>IF($A$4+204&gt;$B$4,"",$A$4+204)</f>
        <v>46227</v>
      </c>
      <c r="N20462">
        <f>IF(M20462="","",'Master Barang'!A56)</f>
        <v>0</v>
      </c>
      <c r="O20462">
        <f>IF(N20462="","",'Master Barang'!B56)</f>
        <v>0</v>
      </c>
      <c r="P20462">
        <f>IF(OR(M20462="",N20462=""),"",SUMIFS('Barang Keluar'!$E:$E,'Barang Keluar'!$A:$A,M20462,'Barang Keluar'!$C:$C,N20462))</f>
        <v>0</v>
      </c>
    </row>
    <row r="20463" spans="13:16">
      <c r="M20463" s="49">
        <f>IF($A$4+204&gt;$B$4,"",$A$4+204)</f>
        <v>46227</v>
      </c>
      <c r="N20463">
        <f>IF(M20463="","",'Master Barang'!A57)</f>
        <v>0</v>
      </c>
      <c r="O20463">
        <f>IF(N20463="","",'Master Barang'!B57)</f>
        <v>0</v>
      </c>
      <c r="P20463">
        <f>IF(OR(M20463="",N20463=""),"",SUMIFS('Barang Keluar'!$E:$E,'Barang Keluar'!$A:$A,M20463,'Barang Keluar'!$C:$C,N20463))</f>
        <v>0</v>
      </c>
    </row>
    <row r="20464" spans="13:16">
      <c r="M20464" s="49">
        <f>IF($A$4+204&gt;$B$4,"",$A$4+204)</f>
        <v>46227</v>
      </c>
      <c r="N20464">
        <f>IF(M20464="","",'Master Barang'!A58)</f>
        <v>0</v>
      </c>
      <c r="O20464">
        <f>IF(N20464="","",'Master Barang'!B58)</f>
        <v>0</v>
      </c>
      <c r="P20464">
        <f>IF(OR(M20464="",N20464=""),"",SUMIFS('Barang Keluar'!$E:$E,'Barang Keluar'!$A:$A,M20464,'Barang Keluar'!$C:$C,N20464))</f>
        <v>0</v>
      </c>
    </row>
    <row r="20465" spans="13:16">
      <c r="M20465" s="49">
        <f>IF($A$4+204&gt;$B$4,"",$A$4+204)</f>
        <v>46227</v>
      </c>
      <c r="N20465">
        <f>IF(M20465="","",'Master Barang'!A59)</f>
        <v>0</v>
      </c>
      <c r="O20465">
        <f>IF(N20465="","",'Master Barang'!B59)</f>
        <v>0</v>
      </c>
      <c r="P20465">
        <f>IF(OR(M20465="",N20465=""),"",SUMIFS('Barang Keluar'!$E:$E,'Barang Keluar'!$A:$A,M20465,'Barang Keluar'!$C:$C,N20465))</f>
        <v>0</v>
      </c>
    </row>
    <row r="20466" spans="13:16">
      <c r="M20466" s="49">
        <f>IF($A$4+204&gt;$B$4,"",$A$4+204)</f>
        <v>46227</v>
      </c>
      <c r="N20466">
        <f>IF(M20466="","",'Master Barang'!A60)</f>
        <v>0</v>
      </c>
      <c r="O20466">
        <f>IF(N20466="","",'Master Barang'!B60)</f>
        <v>0</v>
      </c>
      <c r="P20466">
        <f>IF(OR(M20466="",N20466=""),"",SUMIFS('Barang Keluar'!$E:$E,'Barang Keluar'!$A:$A,M20466,'Barang Keluar'!$C:$C,N20466))</f>
        <v>0</v>
      </c>
    </row>
    <row r="20467" spans="13:16">
      <c r="M20467" s="49">
        <f>IF($A$4+204&gt;$B$4,"",$A$4+204)</f>
        <v>46227</v>
      </c>
      <c r="N20467">
        <f>IF(M20467="","",'Master Barang'!A61)</f>
        <v>0</v>
      </c>
      <c r="O20467">
        <f>IF(N20467="","",'Master Barang'!B61)</f>
        <v>0</v>
      </c>
      <c r="P20467">
        <f>IF(OR(M20467="",N20467=""),"",SUMIFS('Barang Keluar'!$E:$E,'Barang Keluar'!$A:$A,M20467,'Barang Keluar'!$C:$C,N20467))</f>
        <v>0</v>
      </c>
    </row>
    <row r="20468" spans="13:16">
      <c r="M20468" s="49">
        <f>IF($A$4+204&gt;$B$4,"",$A$4+204)</f>
        <v>46227</v>
      </c>
      <c r="N20468">
        <f>IF(M20468="","",'Master Barang'!A62)</f>
        <v>0</v>
      </c>
      <c r="O20468">
        <f>IF(N20468="","",'Master Barang'!B62)</f>
        <v>0</v>
      </c>
      <c r="P20468">
        <f>IF(OR(M20468="",N20468=""),"",SUMIFS('Barang Keluar'!$E:$E,'Barang Keluar'!$A:$A,M20468,'Barang Keluar'!$C:$C,N20468))</f>
        <v>0</v>
      </c>
    </row>
    <row r="20469" spans="13:16">
      <c r="M20469" s="49">
        <f>IF($A$4+204&gt;$B$4,"",$A$4+204)</f>
        <v>46227</v>
      </c>
      <c r="N20469">
        <f>IF(M20469="","",'Master Barang'!A63)</f>
        <v>0</v>
      </c>
      <c r="O20469">
        <f>IF(N20469="","",'Master Barang'!B63)</f>
        <v>0</v>
      </c>
      <c r="P20469">
        <f>IF(OR(M20469="",N20469=""),"",SUMIFS('Barang Keluar'!$E:$E,'Barang Keluar'!$A:$A,M20469,'Barang Keluar'!$C:$C,N20469))</f>
        <v>0</v>
      </c>
    </row>
    <row r="20470" spans="13:16">
      <c r="M20470" s="49">
        <f>IF($A$4+204&gt;$B$4,"",$A$4+204)</f>
        <v>46227</v>
      </c>
      <c r="N20470">
        <f>IF(M20470="","",'Master Barang'!A64)</f>
        <v>0</v>
      </c>
      <c r="O20470">
        <f>IF(N20470="","",'Master Barang'!B64)</f>
        <v>0</v>
      </c>
      <c r="P20470">
        <f>IF(OR(M20470="",N20470=""),"",SUMIFS('Barang Keluar'!$E:$E,'Barang Keluar'!$A:$A,M20470,'Barang Keluar'!$C:$C,N20470))</f>
        <v>0</v>
      </c>
    </row>
    <row r="20471" spans="13:16">
      <c r="M20471" s="49">
        <f>IF($A$4+204&gt;$B$4,"",$A$4+204)</f>
        <v>46227</v>
      </c>
      <c r="N20471">
        <f>IF(M20471="","",'Master Barang'!A65)</f>
        <v>0</v>
      </c>
      <c r="O20471">
        <f>IF(N20471="","",'Master Barang'!B65)</f>
        <v>0</v>
      </c>
      <c r="P20471">
        <f>IF(OR(M20471="",N20471=""),"",SUMIFS('Barang Keluar'!$E:$E,'Barang Keluar'!$A:$A,M20471,'Barang Keluar'!$C:$C,N20471))</f>
        <v>0</v>
      </c>
    </row>
    <row r="20472" spans="13:16">
      <c r="M20472" s="49">
        <f>IF($A$4+204&gt;$B$4,"",$A$4+204)</f>
        <v>46227</v>
      </c>
      <c r="N20472">
        <f>IF(M20472="","",'Master Barang'!A66)</f>
        <v>0</v>
      </c>
      <c r="O20472">
        <f>IF(N20472="","",'Master Barang'!B66)</f>
        <v>0</v>
      </c>
      <c r="P20472">
        <f>IF(OR(M20472="",N20472=""),"",SUMIFS('Barang Keluar'!$E:$E,'Barang Keluar'!$A:$A,M20472,'Barang Keluar'!$C:$C,N20472))</f>
        <v>0</v>
      </c>
    </row>
    <row r="20473" spans="13:16">
      <c r="M20473" s="49">
        <f>IF($A$4+204&gt;$B$4,"",$A$4+204)</f>
        <v>46227</v>
      </c>
      <c r="N20473">
        <f>IF(M20473="","",'Master Barang'!A67)</f>
        <v>0</v>
      </c>
      <c r="O20473">
        <f>IF(N20473="","",'Master Barang'!B67)</f>
        <v>0</v>
      </c>
      <c r="P20473">
        <f>IF(OR(M20473="",N20473=""),"",SUMIFS('Barang Keluar'!$E:$E,'Barang Keluar'!$A:$A,M20473,'Barang Keluar'!$C:$C,N20473))</f>
        <v>0</v>
      </c>
    </row>
    <row r="20474" spans="13:16">
      <c r="M20474" s="49">
        <f>IF($A$4+204&gt;$B$4,"",$A$4+204)</f>
        <v>46227</v>
      </c>
      <c r="N20474">
        <f>IF(M20474="","",'Master Barang'!A68)</f>
        <v>0</v>
      </c>
      <c r="O20474">
        <f>IF(N20474="","",'Master Barang'!B68)</f>
        <v>0</v>
      </c>
      <c r="P20474">
        <f>IF(OR(M20474="",N20474=""),"",SUMIFS('Barang Keluar'!$E:$E,'Barang Keluar'!$A:$A,M20474,'Barang Keluar'!$C:$C,N20474))</f>
        <v>0</v>
      </c>
    </row>
    <row r="20475" spans="13:16">
      <c r="M20475" s="49">
        <f>IF($A$4+204&gt;$B$4,"",$A$4+204)</f>
        <v>46227</v>
      </c>
      <c r="N20475">
        <f>IF(M20475="","",'Master Barang'!A69)</f>
        <v>0</v>
      </c>
      <c r="O20475">
        <f>IF(N20475="","",'Master Barang'!B69)</f>
        <v>0</v>
      </c>
      <c r="P20475">
        <f>IF(OR(M20475="",N20475=""),"",SUMIFS('Barang Keluar'!$E:$E,'Barang Keluar'!$A:$A,M20475,'Barang Keluar'!$C:$C,N20475))</f>
        <v>0</v>
      </c>
    </row>
    <row r="20476" spans="13:16">
      <c r="M20476" s="49">
        <f>IF($A$4+204&gt;$B$4,"",$A$4+204)</f>
        <v>46227</v>
      </c>
      <c r="N20476">
        <f>IF(M20476="","",'Master Barang'!A70)</f>
        <v>0</v>
      </c>
      <c r="O20476">
        <f>IF(N20476="","",'Master Barang'!B70)</f>
        <v>0</v>
      </c>
      <c r="P20476">
        <f>IF(OR(M20476="",N20476=""),"",SUMIFS('Barang Keluar'!$E:$E,'Barang Keluar'!$A:$A,M20476,'Barang Keluar'!$C:$C,N20476))</f>
        <v>0</v>
      </c>
    </row>
    <row r="20477" spans="13:16">
      <c r="M20477" s="49">
        <f>IF($A$4+204&gt;$B$4,"",$A$4+204)</f>
        <v>46227</v>
      </c>
      <c r="N20477">
        <f>IF(M20477="","",'Master Barang'!A71)</f>
        <v>0</v>
      </c>
      <c r="O20477">
        <f>IF(N20477="","",'Master Barang'!B71)</f>
        <v>0</v>
      </c>
      <c r="P20477">
        <f>IF(OR(M20477="",N20477=""),"",SUMIFS('Barang Keluar'!$E:$E,'Barang Keluar'!$A:$A,M20477,'Barang Keluar'!$C:$C,N20477))</f>
        <v>0</v>
      </c>
    </row>
    <row r="20478" spans="13:16">
      <c r="M20478" s="49">
        <f>IF($A$4+204&gt;$B$4,"",$A$4+204)</f>
        <v>46227</v>
      </c>
      <c r="N20478">
        <f>IF(M20478="","",'Master Barang'!A72)</f>
        <v>0</v>
      </c>
      <c r="O20478">
        <f>IF(N20478="","",'Master Barang'!B72)</f>
        <v>0</v>
      </c>
      <c r="P20478">
        <f>IF(OR(M20478="",N20478=""),"",SUMIFS('Barang Keluar'!$E:$E,'Barang Keluar'!$A:$A,M20478,'Barang Keluar'!$C:$C,N20478))</f>
        <v>0</v>
      </c>
    </row>
    <row r="20479" spans="13:16">
      <c r="M20479" s="49">
        <f>IF($A$4+204&gt;$B$4,"",$A$4+204)</f>
        <v>46227</v>
      </c>
      <c r="N20479">
        <f>IF(M20479="","",'Master Barang'!A73)</f>
        <v>0</v>
      </c>
      <c r="O20479">
        <f>IF(N20479="","",'Master Barang'!B73)</f>
        <v>0</v>
      </c>
      <c r="P20479">
        <f>IF(OR(M20479="",N20479=""),"",SUMIFS('Barang Keluar'!$E:$E,'Barang Keluar'!$A:$A,M20479,'Barang Keluar'!$C:$C,N20479))</f>
        <v>0</v>
      </c>
    </row>
    <row r="20480" spans="13:16">
      <c r="M20480" s="49">
        <f>IF($A$4+204&gt;$B$4,"",$A$4+204)</f>
        <v>46227</v>
      </c>
      <c r="N20480">
        <f>IF(M20480="","",'Master Barang'!A74)</f>
        <v>0</v>
      </c>
      <c r="O20480">
        <f>IF(N20480="","",'Master Barang'!B74)</f>
        <v>0</v>
      </c>
      <c r="P20480">
        <f>IF(OR(M20480="",N20480=""),"",SUMIFS('Barang Keluar'!$E:$E,'Barang Keluar'!$A:$A,M20480,'Barang Keluar'!$C:$C,N20480))</f>
        <v>0</v>
      </c>
    </row>
    <row r="20481" spans="13:16">
      <c r="M20481" s="49">
        <f>IF($A$4+204&gt;$B$4,"",$A$4+204)</f>
        <v>46227</v>
      </c>
      <c r="N20481">
        <f>IF(M20481="","",'Master Barang'!A75)</f>
        <v>0</v>
      </c>
      <c r="O20481">
        <f>IF(N20481="","",'Master Barang'!B75)</f>
        <v>0</v>
      </c>
      <c r="P20481">
        <f>IF(OR(M20481="",N20481=""),"",SUMIFS('Barang Keluar'!$E:$E,'Barang Keluar'!$A:$A,M20481,'Barang Keluar'!$C:$C,N20481))</f>
        <v>0</v>
      </c>
    </row>
    <row r="20482" spans="13:16">
      <c r="M20482" s="49">
        <f>IF($A$4+204&gt;$B$4,"",$A$4+204)</f>
        <v>46227</v>
      </c>
      <c r="N20482">
        <f>IF(M20482="","",'Master Barang'!A76)</f>
        <v>0</v>
      </c>
      <c r="O20482">
        <f>IF(N20482="","",'Master Barang'!B76)</f>
        <v>0</v>
      </c>
      <c r="P20482">
        <f>IF(OR(M20482="",N20482=""),"",SUMIFS('Barang Keluar'!$E:$E,'Barang Keluar'!$A:$A,M20482,'Barang Keluar'!$C:$C,N20482))</f>
        <v>0</v>
      </c>
    </row>
    <row r="20483" spans="13:16">
      <c r="M20483" s="49">
        <f>IF($A$4+204&gt;$B$4,"",$A$4+204)</f>
        <v>46227</v>
      </c>
      <c r="N20483">
        <f>IF(M20483="","",'Master Barang'!A77)</f>
        <v>0</v>
      </c>
      <c r="O20483">
        <f>IF(N20483="","",'Master Barang'!B77)</f>
        <v>0</v>
      </c>
      <c r="P20483">
        <f>IF(OR(M20483="",N20483=""),"",SUMIFS('Barang Keluar'!$E:$E,'Barang Keluar'!$A:$A,M20483,'Barang Keluar'!$C:$C,N20483))</f>
        <v>0</v>
      </c>
    </row>
    <row r="20484" spans="13:16">
      <c r="M20484" s="49">
        <f>IF($A$4+204&gt;$B$4,"",$A$4+204)</f>
        <v>46227</v>
      </c>
      <c r="N20484">
        <f>IF(M20484="","",'Master Barang'!A78)</f>
        <v>0</v>
      </c>
      <c r="O20484">
        <f>IF(N20484="","",'Master Barang'!B78)</f>
        <v>0</v>
      </c>
      <c r="P20484">
        <f>IF(OR(M20484="",N20484=""),"",SUMIFS('Barang Keluar'!$E:$E,'Barang Keluar'!$A:$A,M20484,'Barang Keluar'!$C:$C,N20484))</f>
        <v>0</v>
      </c>
    </row>
    <row r="20485" spans="13:16">
      <c r="M20485" s="49">
        <f>IF($A$4+204&gt;$B$4,"",$A$4+204)</f>
        <v>46227</v>
      </c>
      <c r="N20485">
        <f>IF(M20485="","",'Master Barang'!A79)</f>
        <v>0</v>
      </c>
      <c r="O20485">
        <f>IF(N20485="","",'Master Barang'!B79)</f>
        <v>0</v>
      </c>
      <c r="P20485">
        <f>IF(OR(M20485="",N20485=""),"",SUMIFS('Barang Keluar'!$E:$E,'Barang Keluar'!$A:$A,M20485,'Barang Keluar'!$C:$C,N20485))</f>
        <v>0</v>
      </c>
    </row>
    <row r="20486" spans="13:16">
      <c r="M20486" s="49">
        <f>IF($A$4+204&gt;$B$4,"",$A$4+204)</f>
        <v>46227</v>
      </c>
      <c r="N20486">
        <f>IF(M20486="","",'Master Barang'!A80)</f>
        <v>0</v>
      </c>
      <c r="O20486">
        <f>IF(N20486="","",'Master Barang'!B80)</f>
        <v>0</v>
      </c>
      <c r="P20486">
        <f>IF(OR(M20486="",N20486=""),"",SUMIFS('Barang Keluar'!$E:$E,'Barang Keluar'!$A:$A,M20486,'Barang Keluar'!$C:$C,N20486))</f>
        <v>0</v>
      </c>
    </row>
    <row r="20487" spans="13:16">
      <c r="M20487" s="49">
        <f>IF($A$4+204&gt;$B$4,"",$A$4+204)</f>
        <v>46227</v>
      </c>
      <c r="N20487">
        <f>IF(M20487="","",'Master Barang'!A81)</f>
        <v>0</v>
      </c>
      <c r="O20487">
        <f>IF(N20487="","",'Master Barang'!B81)</f>
        <v>0</v>
      </c>
      <c r="P20487">
        <f>IF(OR(M20487="",N20487=""),"",SUMIFS('Barang Keluar'!$E:$E,'Barang Keluar'!$A:$A,M20487,'Barang Keluar'!$C:$C,N20487))</f>
        <v>0</v>
      </c>
    </row>
    <row r="20488" spans="13:16">
      <c r="M20488" s="49">
        <f>IF($A$4+204&gt;$B$4,"",$A$4+204)</f>
        <v>46227</v>
      </c>
      <c r="N20488">
        <f>IF(M20488="","",'Master Barang'!A82)</f>
        <v>0</v>
      </c>
      <c r="O20488">
        <f>IF(N20488="","",'Master Barang'!B82)</f>
        <v>0</v>
      </c>
      <c r="P20488">
        <f>IF(OR(M20488="",N20488=""),"",SUMIFS('Barang Keluar'!$E:$E,'Barang Keluar'!$A:$A,M20488,'Barang Keluar'!$C:$C,N20488))</f>
        <v>0</v>
      </c>
    </row>
    <row r="20489" spans="13:16">
      <c r="M20489" s="49">
        <f>IF($A$4+204&gt;$B$4,"",$A$4+204)</f>
        <v>46227</v>
      </c>
      <c r="N20489">
        <f>IF(M20489="","",'Master Barang'!A83)</f>
        <v>0</v>
      </c>
      <c r="O20489">
        <f>IF(N20489="","",'Master Barang'!B83)</f>
        <v>0</v>
      </c>
      <c r="P20489">
        <f>IF(OR(M20489="",N20489=""),"",SUMIFS('Barang Keluar'!$E:$E,'Barang Keluar'!$A:$A,M20489,'Barang Keluar'!$C:$C,N20489))</f>
        <v>0</v>
      </c>
    </row>
    <row r="20490" spans="13:16">
      <c r="M20490" s="49">
        <f>IF($A$4+204&gt;$B$4,"",$A$4+204)</f>
        <v>46227</v>
      </c>
      <c r="N20490">
        <f>IF(M20490="","",'Master Barang'!A84)</f>
        <v>0</v>
      </c>
      <c r="O20490">
        <f>IF(N20490="","",'Master Barang'!B84)</f>
        <v>0</v>
      </c>
      <c r="P20490">
        <f>IF(OR(M20490="",N20490=""),"",SUMIFS('Barang Keluar'!$E:$E,'Barang Keluar'!$A:$A,M20490,'Barang Keluar'!$C:$C,N20490))</f>
        <v>0</v>
      </c>
    </row>
    <row r="20491" spans="13:16">
      <c r="M20491" s="49">
        <f>IF($A$4+204&gt;$B$4,"",$A$4+204)</f>
        <v>46227</v>
      </c>
      <c r="N20491">
        <f>IF(M20491="","",'Master Barang'!A85)</f>
        <v>0</v>
      </c>
      <c r="O20491">
        <f>IF(N20491="","",'Master Barang'!B85)</f>
        <v>0</v>
      </c>
      <c r="P20491">
        <f>IF(OR(M20491="",N20491=""),"",SUMIFS('Barang Keluar'!$E:$E,'Barang Keluar'!$A:$A,M20491,'Barang Keluar'!$C:$C,N20491))</f>
        <v>0</v>
      </c>
    </row>
    <row r="20492" spans="13:16">
      <c r="M20492" s="49">
        <f>IF($A$4+204&gt;$B$4,"",$A$4+204)</f>
        <v>46227</v>
      </c>
      <c r="N20492">
        <f>IF(M20492="","",'Master Barang'!A86)</f>
        <v>0</v>
      </c>
      <c r="O20492">
        <f>IF(N20492="","",'Master Barang'!B86)</f>
        <v>0</v>
      </c>
      <c r="P20492">
        <f>IF(OR(M20492="",N20492=""),"",SUMIFS('Barang Keluar'!$E:$E,'Barang Keluar'!$A:$A,M20492,'Barang Keluar'!$C:$C,N20492))</f>
        <v>0</v>
      </c>
    </row>
    <row r="20493" spans="13:16">
      <c r="M20493" s="49">
        <f>IF($A$4+204&gt;$B$4,"",$A$4+204)</f>
        <v>46227</v>
      </c>
      <c r="N20493">
        <f>IF(M20493="","",'Master Barang'!A87)</f>
        <v>0</v>
      </c>
      <c r="O20493">
        <f>IF(N20493="","",'Master Barang'!B87)</f>
        <v>0</v>
      </c>
      <c r="P20493">
        <f>IF(OR(M20493="",N20493=""),"",SUMIFS('Barang Keluar'!$E:$E,'Barang Keluar'!$A:$A,M20493,'Barang Keluar'!$C:$C,N20493))</f>
        <v>0</v>
      </c>
    </row>
    <row r="20494" spans="13:16">
      <c r="M20494" s="49">
        <f>IF($A$4+204&gt;$B$4,"",$A$4+204)</f>
        <v>46227</v>
      </c>
      <c r="N20494">
        <f>IF(M20494="","",'Master Barang'!A88)</f>
        <v>0</v>
      </c>
      <c r="O20494">
        <f>IF(N20494="","",'Master Barang'!B88)</f>
        <v>0</v>
      </c>
      <c r="P20494">
        <f>IF(OR(M20494="",N20494=""),"",SUMIFS('Barang Keluar'!$E:$E,'Barang Keluar'!$A:$A,M20494,'Barang Keluar'!$C:$C,N20494))</f>
        <v>0</v>
      </c>
    </row>
    <row r="20495" spans="13:16">
      <c r="M20495" s="49">
        <f>IF($A$4+204&gt;$B$4,"",$A$4+204)</f>
        <v>46227</v>
      </c>
      <c r="N20495">
        <f>IF(M20495="","",'Master Barang'!A89)</f>
        <v>0</v>
      </c>
      <c r="O20495">
        <f>IF(N20495="","",'Master Barang'!B89)</f>
        <v>0</v>
      </c>
      <c r="P20495">
        <f>IF(OR(M20495="",N20495=""),"",SUMIFS('Barang Keluar'!$E:$E,'Barang Keluar'!$A:$A,M20495,'Barang Keluar'!$C:$C,N20495))</f>
        <v>0</v>
      </c>
    </row>
    <row r="20496" spans="13:16">
      <c r="M20496" s="49">
        <f>IF($A$4+204&gt;$B$4,"",$A$4+204)</f>
        <v>46227</v>
      </c>
      <c r="N20496">
        <f>IF(M20496="","",'Master Barang'!A90)</f>
        <v>0</v>
      </c>
      <c r="O20496">
        <f>IF(N20496="","",'Master Barang'!B90)</f>
        <v>0</v>
      </c>
      <c r="P20496">
        <f>IF(OR(M20496="",N20496=""),"",SUMIFS('Barang Keluar'!$E:$E,'Barang Keluar'!$A:$A,M20496,'Barang Keluar'!$C:$C,N20496))</f>
        <v>0</v>
      </c>
    </row>
    <row r="20497" spans="13:16">
      <c r="M20497" s="49">
        <f>IF($A$4+204&gt;$B$4,"",$A$4+204)</f>
        <v>46227</v>
      </c>
      <c r="N20497">
        <f>IF(M20497="","",'Master Barang'!A91)</f>
        <v>0</v>
      </c>
      <c r="O20497">
        <f>IF(N20497="","",'Master Barang'!B91)</f>
        <v>0</v>
      </c>
      <c r="P20497">
        <f>IF(OR(M20497="",N20497=""),"",SUMIFS('Barang Keluar'!$E:$E,'Barang Keluar'!$A:$A,M20497,'Barang Keluar'!$C:$C,N20497))</f>
        <v>0</v>
      </c>
    </row>
    <row r="20498" spans="13:16">
      <c r="M20498" s="49">
        <f>IF($A$4+204&gt;$B$4,"",$A$4+204)</f>
        <v>46227</v>
      </c>
      <c r="N20498">
        <f>IF(M20498="","",'Master Barang'!A92)</f>
        <v>0</v>
      </c>
      <c r="O20498">
        <f>IF(N20498="","",'Master Barang'!B92)</f>
        <v>0</v>
      </c>
      <c r="P20498">
        <f>IF(OR(M20498="",N20498=""),"",SUMIFS('Barang Keluar'!$E:$E,'Barang Keluar'!$A:$A,M20498,'Barang Keluar'!$C:$C,N20498))</f>
        <v>0</v>
      </c>
    </row>
    <row r="20499" spans="13:16">
      <c r="M20499" s="49">
        <f>IF($A$4+204&gt;$B$4,"",$A$4+204)</f>
        <v>46227</v>
      </c>
      <c r="N20499">
        <f>IF(M20499="","",'Master Barang'!A93)</f>
        <v>0</v>
      </c>
      <c r="O20499">
        <f>IF(N20499="","",'Master Barang'!B93)</f>
        <v>0</v>
      </c>
      <c r="P20499">
        <f>IF(OR(M20499="",N20499=""),"",SUMIFS('Barang Keluar'!$E:$E,'Barang Keluar'!$A:$A,M20499,'Barang Keluar'!$C:$C,N20499))</f>
        <v>0</v>
      </c>
    </row>
    <row r="20500" spans="13:16">
      <c r="M20500" s="49">
        <f>IF($A$4+204&gt;$B$4,"",$A$4+204)</f>
        <v>46227</v>
      </c>
      <c r="N20500">
        <f>IF(M20500="","",'Master Barang'!A94)</f>
        <v>0</v>
      </c>
      <c r="O20500">
        <f>IF(N20500="","",'Master Barang'!B94)</f>
        <v>0</v>
      </c>
      <c r="P20500">
        <f>IF(OR(M20500="",N20500=""),"",SUMIFS('Barang Keluar'!$E:$E,'Barang Keluar'!$A:$A,M20500,'Barang Keluar'!$C:$C,N20500))</f>
        <v>0</v>
      </c>
    </row>
    <row r="20501" spans="13:16">
      <c r="M20501" s="49">
        <f>IF($A$4+204&gt;$B$4,"",$A$4+204)</f>
        <v>46227</v>
      </c>
      <c r="N20501">
        <f>IF(M20501="","",'Master Barang'!A95)</f>
        <v>0</v>
      </c>
      <c r="O20501">
        <f>IF(N20501="","",'Master Barang'!B95)</f>
        <v>0</v>
      </c>
      <c r="P20501">
        <f>IF(OR(M20501="",N20501=""),"",SUMIFS('Barang Keluar'!$E:$E,'Barang Keluar'!$A:$A,M20501,'Barang Keluar'!$C:$C,N20501))</f>
        <v>0</v>
      </c>
    </row>
    <row r="20502" spans="13:16">
      <c r="M20502" s="49">
        <f>IF($A$4+204&gt;$B$4,"",$A$4+204)</f>
        <v>46227</v>
      </c>
      <c r="N20502">
        <f>IF(M20502="","",'Master Barang'!A96)</f>
        <v>0</v>
      </c>
      <c r="O20502">
        <f>IF(N20502="","",'Master Barang'!B96)</f>
        <v>0</v>
      </c>
      <c r="P20502">
        <f>IF(OR(M20502="",N20502=""),"",SUMIFS('Barang Keluar'!$E:$E,'Barang Keluar'!$A:$A,M20502,'Barang Keluar'!$C:$C,N20502))</f>
        <v>0</v>
      </c>
    </row>
    <row r="20503" spans="13:16">
      <c r="M20503" s="49">
        <f>IF($A$4+204&gt;$B$4,"",$A$4+204)</f>
        <v>46227</v>
      </c>
      <c r="N20503">
        <f>IF(M20503="","",'Master Barang'!A97)</f>
        <v>0</v>
      </c>
      <c r="O20503">
        <f>IF(N20503="","",'Master Barang'!B97)</f>
        <v>0</v>
      </c>
      <c r="P20503">
        <f>IF(OR(M20503="",N20503=""),"",SUMIFS('Barang Keluar'!$E:$E,'Barang Keluar'!$A:$A,M20503,'Barang Keluar'!$C:$C,N20503))</f>
        <v>0</v>
      </c>
    </row>
    <row r="20504" spans="13:16">
      <c r="M20504" s="49">
        <f>IF($A$4+204&gt;$B$4,"",$A$4+204)</f>
        <v>46227</v>
      </c>
      <c r="N20504">
        <f>IF(M20504="","",'Master Barang'!A98)</f>
        <v>0</v>
      </c>
      <c r="O20504">
        <f>IF(N20504="","",'Master Barang'!B98)</f>
        <v>0</v>
      </c>
      <c r="P20504">
        <f>IF(OR(M20504="",N20504=""),"",SUMIFS('Barang Keluar'!$E:$E,'Barang Keluar'!$A:$A,M20504,'Barang Keluar'!$C:$C,N20504))</f>
        <v>0</v>
      </c>
    </row>
    <row r="20505" spans="13:16">
      <c r="M20505" s="49">
        <f>IF($A$4+204&gt;$B$4,"",$A$4+204)</f>
        <v>46227</v>
      </c>
      <c r="N20505">
        <f>IF(M20505="","",'Master Barang'!A99)</f>
        <v>0</v>
      </c>
      <c r="O20505">
        <f>IF(N20505="","",'Master Barang'!B99)</f>
        <v>0</v>
      </c>
      <c r="P20505">
        <f>IF(OR(M20505="",N20505=""),"",SUMIFS('Barang Keluar'!$E:$E,'Barang Keluar'!$A:$A,M20505,'Barang Keluar'!$C:$C,N20505))</f>
        <v>0</v>
      </c>
    </row>
    <row r="20506" spans="13:16">
      <c r="M20506" s="49">
        <f>IF($A$4+204&gt;$B$4,"",$A$4+204)</f>
        <v>46227</v>
      </c>
      <c r="N20506">
        <f>IF(M20506="","",'Master Barang'!A100)</f>
        <v>0</v>
      </c>
      <c r="O20506">
        <f>IF(N20506="","",'Master Barang'!B100)</f>
        <v>0</v>
      </c>
      <c r="P20506">
        <f>IF(OR(M20506="",N20506=""),"",SUMIFS('Barang Keluar'!$E:$E,'Barang Keluar'!$A:$A,M20506,'Barang Keluar'!$C:$C,N20506))</f>
        <v>0</v>
      </c>
    </row>
    <row r="20507" spans="13:16">
      <c r="M20507" s="49">
        <f>IF($A$4+204&gt;$B$4,"",$A$4+204)</f>
        <v>46227</v>
      </c>
      <c r="N20507">
        <f>IF(M20507="","",'Master Barang'!A101)</f>
        <v>0</v>
      </c>
      <c r="O20507">
        <f>IF(N20507="","",'Master Barang'!B101)</f>
        <v>0</v>
      </c>
      <c r="P20507">
        <f>IF(OR(M20507="",N20507=""),"",SUMIFS('Barang Keluar'!$E:$E,'Barang Keluar'!$A:$A,M20507,'Barang Keluar'!$C:$C,N20507))</f>
        <v>0</v>
      </c>
    </row>
    <row r="20508" spans="13:16">
      <c r="M20508" s="49">
        <f>IF($A$4+205&gt;$B$4,"",$A$4+205)</f>
        <v>46228</v>
      </c>
      <c r="N20508" t="str">
        <f>IF(M20508="","",'Master Barang'!A2)</f>
        <v>PRL-001</v>
      </c>
      <c r="O20508" t="str">
        <f>IF(N20508="","",'Master Barang'!B2)</f>
        <v>natura desinfectant food grade 5l</v>
      </c>
      <c r="P20508">
        <f>IF(OR(M20508="",N20508=""),"",SUMIFS('Barang Keluar'!$E:$E,'Barang Keluar'!$A:$A,M20508,'Barang Keluar'!$C:$C,N20508))</f>
        <v>0</v>
      </c>
    </row>
    <row r="20509" spans="13:16">
      <c r="M20509" s="49">
        <f>IF($A$4+205&gt;$B$4,"",$A$4+205)</f>
        <v>46228</v>
      </c>
      <c r="N20509" t="str">
        <f>IF(M20509="","",'Master Barang'!A3)</f>
        <v>PRL-002</v>
      </c>
      <c r="O20509" t="str">
        <f>IF(N20509="","",'Master Barang'!B3)</f>
        <v>sunlight cairan pencuci piring 5l</v>
      </c>
      <c r="P20509">
        <f>IF(OR(M20509="",N20509=""),"",SUMIFS('Barang Keluar'!$E:$E,'Barang Keluar'!$A:$A,M20509,'Barang Keluar'!$C:$C,N20509))</f>
        <v>0</v>
      </c>
    </row>
    <row r="20510" spans="13:16">
      <c r="M20510" s="49">
        <f>IF($A$4+205&gt;$B$4,"",$A$4+205)</f>
        <v>46228</v>
      </c>
      <c r="N20510" t="str">
        <f>IF(M20510="","",'Master Barang'!A4)</f>
        <v>PRL-003</v>
      </c>
      <c r="O20510" t="str">
        <f>IF(N20510="","",'Master Barang'!B4)</f>
        <v>oixs cleaner 1l</v>
      </c>
      <c r="P20510">
        <f>IF(OR(M20510="",N20510=""),"",SUMIFS('Barang Keluar'!$E:$E,'Barang Keluar'!$A:$A,M20510,'Barang Keluar'!$C:$C,N20510))</f>
        <v>0</v>
      </c>
    </row>
    <row r="20511" spans="13:16">
      <c r="M20511" s="49">
        <f>IF($A$4+205&gt;$B$4,"",$A$4+205)</f>
        <v>46228</v>
      </c>
      <c r="N20511" t="str">
        <f>IF(M20511="","",'Master Barang'!A5)</f>
        <v>PRL-004</v>
      </c>
      <c r="O20511" t="str">
        <f>IF(N20511="","",'Master Barang'!B5)</f>
        <v>be clean tissue serbaguna</v>
      </c>
      <c r="P20511">
        <f>IF(OR(M20511="",N20511=""),"",SUMIFS('Barang Keluar'!$E:$E,'Barang Keluar'!$A:$A,M20511,'Barang Keluar'!$C:$C,N20511))</f>
        <v>0</v>
      </c>
    </row>
    <row r="20512" spans="13:16">
      <c r="M20512" s="49">
        <f>IF($A$4+205&gt;$B$4,"",$A$4+205)</f>
        <v>46228</v>
      </c>
      <c r="N20512" t="str">
        <f>IF(M20512="","",'Master Barang'!A6)</f>
        <v>PRL-005</v>
      </c>
      <c r="O20512" t="str">
        <f>IF(N20512="","",'Master Barang'!B6)</f>
        <v>spons cuci hijau</v>
      </c>
      <c r="P20512">
        <f>IF(OR(M20512="",N20512=""),"",SUMIFS('Barang Keluar'!$E:$E,'Barang Keluar'!$A:$A,M20512,'Barang Keluar'!$C:$C,N20512))</f>
        <v>0</v>
      </c>
    </row>
    <row r="20513" spans="13:16">
      <c r="M20513" s="49">
        <f>IF($A$4+205&gt;$B$4,"",$A$4+205)</f>
        <v>46228</v>
      </c>
      <c r="N20513" t="str">
        <f>IF(M20513="","",'Master Barang'!A7)</f>
        <v>PRL-006</v>
      </c>
      <c r="O20513" t="str">
        <f>IF(N20513="","",'Master Barang'!B7)</f>
        <v>sabut cuci stainless</v>
      </c>
      <c r="P20513">
        <f>IF(OR(M20513="",N20513=""),"",SUMIFS('Barang Keluar'!$E:$E,'Barang Keluar'!$A:$A,M20513,'Barang Keluar'!$C:$C,N20513))</f>
        <v>0</v>
      </c>
    </row>
    <row r="20514" spans="13:16">
      <c r="M20514" s="49">
        <f>IF($A$4+205&gt;$B$4,"",$A$4+205)</f>
        <v>46228</v>
      </c>
      <c r="N20514" t="str">
        <f>IF(M20514="","",'Master Barang'!A8)</f>
        <v>PRL-007</v>
      </c>
      <c r="O20514" t="str">
        <f>IF(N20514="","",'Master Barang'!B8)</f>
        <v>plastik kresek besar merah 50pc</v>
      </c>
      <c r="P20514">
        <f>IF(OR(M20514="",N20514=""),"",SUMIFS('Barang Keluar'!$E:$E,'Barang Keluar'!$A:$A,M20514,'Barang Keluar'!$C:$C,N20514))</f>
        <v>0</v>
      </c>
    </row>
    <row r="20515" spans="13:16">
      <c r="M20515" s="49">
        <f>IF($A$4+205&gt;$B$4,"",$A$4+205)</f>
        <v>46228</v>
      </c>
      <c r="N20515" t="str">
        <f>IF(M20515="","",'Master Barang'!A9)</f>
        <v>PRL-008</v>
      </c>
      <c r="O20515" t="str">
        <f>IF(N20515="","",'Master Barang'!B9)</f>
        <v>lap besar</v>
      </c>
      <c r="P20515">
        <f>IF(OR(M20515="",N20515=""),"",SUMIFS('Barang Keluar'!$E:$E,'Barang Keluar'!$A:$A,M20515,'Barang Keluar'!$C:$C,N20515))</f>
        <v>0</v>
      </c>
    </row>
    <row r="20516" spans="13:16">
      <c r="M20516" s="49">
        <f>IF($A$4+205&gt;$B$4,"",$A$4+205)</f>
        <v>46228</v>
      </c>
      <c r="N20516" t="str">
        <f>IF(M20516="","",'Master Barang'!A10)</f>
        <v>PRL-009</v>
      </c>
      <c r="O20516" t="str">
        <f>IF(N20516="","",'Master Barang'!B10)</f>
        <v>lap microfiber</v>
      </c>
      <c r="P20516">
        <f>IF(OR(M20516="",N20516=""),"",SUMIFS('Barang Keluar'!$E:$E,'Barang Keluar'!$A:$A,M20516,'Barang Keluar'!$C:$C,N20516))</f>
        <v>0</v>
      </c>
    </row>
    <row r="20517" spans="13:16">
      <c r="M20517" s="49">
        <f>IF($A$4+205&gt;$B$4,"",$A$4+205)</f>
        <v>46228</v>
      </c>
      <c r="N20517" t="str">
        <f>IF(M20517="","",'Master Barang'!A11)</f>
        <v>PRL-010</v>
      </c>
      <c r="O20517" t="str">
        <f>IF(N20517="","",'Master Barang'!B11)</f>
        <v>lap kecil</v>
      </c>
      <c r="P20517">
        <f>IF(OR(M20517="",N20517=""),"",SUMIFS('Barang Keluar'!$E:$E,'Barang Keluar'!$A:$A,M20517,'Barang Keluar'!$C:$C,N20517))</f>
        <v>0</v>
      </c>
    </row>
    <row r="20518" spans="13:16">
      <c r="M20518" s="49">
        <f>IF($A$4+205&gt;$B$4,"",$A$4+205)</f>
        <v>46228</v>
      </c>
      <c r="N20518" t="str">
        <f>IF(M20518="","",'Master Barang'!A12)</f>
        <v>PRL-011</v>
      </c>
      <c r="O20518" t="str">
        <f>IF(N20518="","",'Master Barang'!B12)</f>
        <v>kanebo kecil</v>
      </c>
      <c r="P20518">
        <f>IF(OR(M20518="",N20518=""),"",SUMIFS('Barang Keluar'!$E:$E,'Barang Keluar'!$A:$A,M20518,'Barang Keluar'!$C:$C,N20518))</f>
        <v>0</v>
      </c>
    </row>
    <row r="20519" spans="13:16">
      <c r="M20519" s="49">
        <f>IF($A$4+205&gt;$B$4,"",$A$4+205)</f>
        <v>46228</v>
      </c>
      <c r="N20519" t="str">
        <f>IF(M20519="","",'Master Barang'!A13)</f>
        <v>PRL-012</v>
      </c>
      <c r="O20519" t="str">
        <f>IF(N20519="","",'Master Barang'!B13)</f>
        <v>plastik 1/4kg joyoboyo 100 lembar</v>
      </c>
      <c r="P20519">
        <f>IF(OR(M20519="",N20519=""),"",SUMIFS('Barang Keluar'!$E:$E,'Barang Keluar'!$A:$A,M20519,'Barang Keluar'!$C:$C,N20519))</f>
        <v>0</v>
      </c>
    </row>
    <row r="20520" spans="13:16">
      <c r="M20520" s="49">
        <f>IF($A$4+205&gt;$B$4,"",$A$4+205)</f>
        <v>46228</v>
      </c>
      <c r="N20520" t="str">
        <f>IF(M20520="","",'Master Barang'!A14)</f>
        <v>PRL-013</v>
      </c>
      <c r="O20520" t="str">
        <f>IF(N20520="","",'Master Barang'!B14)</f>
        <v>sarung tangan plastik kaka 100 pcs</v>
      </c>
      <c r="P20520">
        <f>IF(OR(M20520="",N20520=""),"",SUMIFS('Barang Keluar'!$E:$E,'Barang Keluar'!$A:$A,M20520,'Barang Keluar'!$C:$C,N20520))</f>
        <v>0</v>
      </c>
    </row>
    <row r="20521" spans="13:16">
      <c r="M20521" s="49">
        <f>IF($A$4+205&gt;$B$4,"",$A$4+205)</f>
        <v>46228</v>
      </c>
      <c r="N20521" t="str">
        <f>IF(M20521="","",'Master Barang'!A15)</f>
        <v>PRL-014</v>
      </c>
      <c r="O20521" t="str">
        <f>IF(N20521="","",'Master Barang'!B15)</f>
        <v>optima trashbag 80x100</v>
      </c>
      <c r="P20521">
        <f>IF(OR(M20521="",N20521=""),"",SUMIFS('Barang Keluar'!$E:$E,'Barang Keluar'!$A:$A,M20521,'Barang Keluar'!$C:$C,N20521))</f>
        <v>0</v>
      </c>
    </row>
    <row r="20522" spans="13:16">
      <c r="M20522" s="49">
        <f>IF($A$4+205&gt;$B$4,"",$A$4+205)</f>
        <v>46228</v>
      </c>
      <c r="N20522" t="str">
        <f>IF(M20522="","",'Master Barang'!A16)</f>
        <v>PRL-015</v>
      </c>
      <c r="O20522" t="str">
        <f>IF(N20522="","",'Master Barang'!B16)</f>
        <v>optima trashbag 60x100</v>
      </c>
      <c r="P20522">
        <f>IF(OR(M20522="",N20522=""),"",SUMIFS('Barang Keluar'!$E:$E,'Barang Keluar'!$A:$A,M20522,'Barang Keluar'!$C:$C,N20522))</f>
        <v>0</v>
      </c>
    </row>
    <row r="20523" spans="13:16">
      <c r="M20523" s="49">
        <f>IF($A$4+205&gt;$B$4,"",$A$4+205)</f>
        <v>46228</v>
      </c>
      <c r="N20523" t="str">
        <f>IF(M20523="","",'Master Barang'!A17)</f>
        <v>PRL-016</v>
      </c>
      <c r="O20523" t="str">
        <f>IF(N20523="","",'Master Barang'!B17)</f>
        <v>rajawali trashbag 30x40</v>
      </c>
      <c r="P20523">
        <f>IF(OR(M20523="",N20523=""),"",SUMIFS('Barang Keluar'!$E:$E,'Barang Keluar'!$A:$A,M20523,'Barang Keluar'!$C:$C,N20523))</f>
        <v>0</v>
      </c>
    </row>
    <row r="20524" spans="13:16">
      <c r="M20524" s="49">
        <f>IF($A$4+205&gt;$B$4,"",$A$4+205)</f>
        <v>46228</v>
      </c>
      <c r="N20524" t="str">
        <f>IF(M20524="","",'Master Barang'!A18)</f>
        <v>PRL-017</v>
      </c>
      <c r="O20524" t="str">
        <f>IF(N20524="","",'Master Barang'!B18)</f>
        <v>onemed masker biru 3 play 50 pcs</v>
      </c>
      <c r="P20524">
        <f>IF(OR(M20524="",N20524=""),"",SUMIFS('Barang Keluar'!$E:$E,'Barang Keluar'!$A:$A,M20524,'Barang Keluar'!$C:$C,N20524))</f>
        <v>0</v>
      </c>
    </row>
    <row r="20525" spans="13:16">
      <c r="M20525" s="49">
        <f>IF($A$4+205&gt;$B$4,"",$A$4+205)</f>
        <v>46228</v>
      </c>
      <c r="N20525" t="str">
        <f>IF(M20525="","",'Master Barang'!A19)</f>
        <v>PRL-018</v>
      </c>
      <c r="O20525" t="str">
        <f>IF(N20525="","",'Master Barang'!B19)</f>
        <v>onemed masker biru 3 play hijab 50 pcs</v>
      </c>
      <c r="P20525">
        <f>IF(OR(M20525="",N20525=""),"",SUMIFS('Barang Keluar'!$E:$E,'Barang Keluar'!$A:$A,M20525,'Barang Keluar'!$C:$C,N20525))</f>
        <v>0</v>
      </c>
    </row>
    <row r="20526" spans="13:16">
      <c r="M20526" s="49">
        <f>IF($A$4+205&gt;$B$4,"",$A$4+205)</f>
        <v>46228</v>
      </c>
      <c r="N20526" t="str">
        <f>IF(M20526="","",'Master Barang'!A20)</f>
        <v>PRL-019</v>
      </c>
      <c r="O20526" t="str">
        <f>IF(N20526="","",'Master Barang'!B20)</f>
        <v>neo health masker biru 3 play 50 pcs</v>
      </c>
      <c r="P20526">
        <f>IF(OR(M20526="",N20526=""),"",SUMIFS('Barang Keluar'!$E:$E,'Barang Keluar'!$A:$A,M20526,'Barang Keluar'!$C:$C,N20526))</f>
        <v>0</v>
      </c>
    </row>
    <row r="20527" spans="13:16">
      <c r="M20527" s="49">
        <f>IF($A$4+205&gt;$B$4,"",$A$4+205)</f>
        <v>46228</v>
      </c>
      <c r="N20527" t="str">
        <f>IF(M20527="","",'Master Barang'!A21)</f>
        <v>PRL-020</v>
      </c>
      <c r="O20527" t="str">
        <f>IF(N20527="","",'Master Barang'!B21)</f>
        <v>baymed masker hijau 3 play hijau 50 pcs</v>
      </c>
      <c r="P20527">
        <f>IF(OR(M20527="",N20527=""),"",SUMIFS('Barang Keluar'!$E:$E,'Barang Keluar'!$A:$A,M20527,'Barang Keluar'!$C:$C,N20527))</f>
        <v>0</v>
      </c>
    </row>
    <row r="20528" spans="13:16">
      <c r="M20528" s="49">
        <f>IF($A$4+205&gt;$B$4,"",$A$4+205)</f>
        <v>46228</v>
      </c>
      <c r="N20528" t="str">
        <f>IF(M20528="","",'Master Barang'!A22)</f>
        <v>PRL-021</v>
      </c>
      <c r="O20528" t="str">
        <f>IF(N20528="","",'Master Barang'!B22)</f>
        <v>altamed nurse cap penutup kepala 100 pcs</v>
      </c>
      <c r="P20528">
        <f>IF(OR(M20528="",N20528=""),"",SUMIFS('Barang Keluar'!$E:$E,'Barang Keluar'!$A:$A,M20528,'Barang Keluar'!$C:$C,N20528))</f>
        <v>0</v>
      </c>
    </row>
    <row r="20529" spans="13:16">
      <c r="M20529" s="49">
        <f>IF($A$4+205&gt;$B$4,"",$A$4+205)</f>
        <v>46228</v>
      </c>
      <c r="N20529" t="str">
        <f>IF(M20529="","",'Master Barang'!A23)</f>
        <v>PRL-022</v>
      </c>
      <c r="O20529" t="str">
        <f>IF(N20529="","",'Master Barang'!B23)</f>
        <v>sabun cuci tangan</v>
      </c>
      <c r="P20529">
        <f>IF(OR(M20529="",N20529=""),"",SUMIFS('Barang Keluar'!$E:$E,'Barang Keluar'!$A:$A,M20529,'Barang Keluar'!$C:$C,N20529))</f>
        <v>0</v>
      </c>
    </row>
    <row r="20530" spans="13:16">
      <c r="M20530" s="49">
        <f>IF($A$4+205&gt;$B$4,"",$A$4+205)</f>
        <v>46228</v>
      </c>
      <c r="N20530" t="str">
        <f>IF(M20530="","",'Master Barang'!A24)</f>
        <v>PRL-023</v>
      </c>
      <c r="O20530" t="str">
        <f>IF(N20530="","",'Master Barang'!B24)</f>
        <v>gayung kecil</v>
      </c>
      <c r="P20530">
        <f>IF(OR(M20530="",N20530=""),"",SUMIFS('Barang Keluar'!$E:$E,'Barang Keluar'!$A:$A,M20530,'Barang Keluar'!$C:$C,N20530))</f>
        <v>0</v>
      </c>
    </row>
    <row r="20531" spans="13:16">
      <c r="M20531" s="49">
        <f>IF($A$4+205&gt;$B$4,"",$A$4+205)</f>
        <v>46228</v>
      </c>
      <c r="N20531" t="str">
        <f>IF(M20531="","",'Master Barang'!A25)</f>
        <v>PRL-024</v>
      </c>
      <c r="O20531" t="str">
        <f>IF(N20531="","",'Master Barang'!B25)</f>
        <v>cikrak kecil</v>
      </c>
      <c r="P20531">
        <f>IF(OR(M20531="",N20531=""),"",SUMIFS('Barang Keluar'!$E:$E,'Barang Keluar'!$A:$A,M20531,'Barang Keluar'!$C:$C,N20531))</f>
        <v>0</v>
      </c>
    </row>
    <row r="20532" spans="13:16">
      <c r="M20532" s="49">
        <f>IF($A$4+205&gt;$B$4,"",$A$4+205)</f>
        <v>46228</v>
      </c>
      <c r="N20532" t="str">
        <f>IF(M20532="","",'Master Barang'!A26)</f>
        <v>PRL-025</v>
      </c>
      <c r="O20532" t="str">
        <f>IF(N20532="","",'Master Barang'!B26)</f>
        <v>petromax plastik kecil 12x24 100 lembar</v>
      </c>
      <c r="P20532">
        <f>IF(OR(M20532="",N20532=""),"",SUMIFS('Barang Keluar'!$E:$E,'Barang Keluar'!$A:$A,M20532,'Barang Keluar'!$C:$C,N20532))</f>
        <v>0</v>
      </c>
    </row>
    <row r="20533" spans="13:16">
      <c r="M20533" s="49">
        <f>IF($A$4+205&gt;$B$4,"",$A$4+205)</f>
        <v>46228</v>
      </c>
      <c r="N20533" t="str">
        <f>IF(M20533="","",'Master Barang'!A27)</f>
        <v>PRL-026</v>
      </c>
      <c r="O20533" t="str">
        <f>IF(N20533="","",'Master Barang'!B27)</f>
        <v>lancar kresek kecil bening </v>
      </c>
      <c r="P20533">
        <f>IF(OR(M20533="",N20533=""),"",SUMIFS('Barang Keluar'!$E:$E,'Barang Keluar'!$A:$A,M20533,'Barang Keluar'!$C:$C,N20533))</f>
        <v>0</v>
      </c>
    </row>
    <row r="20534" spans="13:16">
      <c r="M20534" s="49">
        <f>IF($A$4+205&gt;$B$4,"",$A$4+205)</f>
        <v>46228</v>
      </c>
      <c r="N20534" t="str">
        <f>IF(M20534="","",'Master Barang'!A28)</f>
        <v>PRL-027</v>
      </c>
      <c r="O20534" t="str">
        <f>IF(N20534="","",'Master Barang'!B28)</f>
        <v>kresek klin warna warni kecil</v>
      </c>
      <c r="P20534">
        <f>IF(OR(M20534="",N20534=""),"",SUMIFS('Barang Keluar'!$E:$E,'Barang Keluar'!$A:$A,M20534,'Barang Keluar'!$C:$C,N20534))</f>
        <v>0</v>
      </c>
    </row>
    <row r="20535" spans="13:16">
      <c r="M20535" s="49">
        <f>IF($A$4+205&gt;$B$4,"",$A$4+205)</f>
        <v>46228</v>
      </c>
      <c r="N20535" t="str">
        <f>IF(M20535="","",'Master Barang'!A29)</f>
        <v>PRL-028</v>
      </c>
      <c r="O20535" t="str">
        <f>IF(N20535="","",'Master Barang'!B29)</f>
        <v>ctik plastik 7x10 100 pcs</v>
      </c>
      <c r="P20535">
        <f>IF(OR(M20535="",N20535=""),"",SUMIFS('Barang Keluar'!$E:$E,'Barang Keluar'!$A:$A,M20535,'Barang Keluar'!$C:$C,N20535))</f>
        <v>0</v>
      </c>
    </row>
    <row r="20536" spans="13:16">
      <c r="M20536" s="49">
        <f>IF($A$4+205&gt;$B$4,"",$A$4+205)</f>
        <v>46228</v>
      </c>
      <c r="N20536" t="str">
        <f>IF(M20536="","",'Master Barang'!A30)</f>
        <v>PRL-029</v>
      </c>
      <c r="O20536" t="str">
        <f>IF(N20536="","",'Master Barang'!B30)</f>
        <v>ctik plastik 6x10 100 pcs</v>
      </c>
      <c r="P20536">
        <f>IF(OR(M20536="",N20536=""),"",SUMIFS('Barang Keluar'!$E:$E,'Barang Keluar'!$A:$A,M20536,'Barang Keluar'!$C:$C,N20536))</f>
        <v>0</v>
      </c>
    </row>
    <row r="20537" spans="13:16">
      <c r="M20537" s="49">
        <f>IF($A$4+205&gt;$B$4,"",$A$4+205)</f>
        <v>46228</v>
      </c>
      <c r="N20537" t="str">
        <f>IF(M20537="","",'Master Barang'!A31)</f>
        <v>PRL-030</v>
      </c>
      <c r="O20537" t="str">
        <f>IF(N20537="","",'Master Barang'!B31)</f>
        <v>klip plastik 25x16 100 pcs</v>
      </c>
      <c r="P20537">
        <f>IF(OR(M20537="",N20537=""),"",SUMIFS('Barang Keluar'!$E:$E,'Barang Keluar'!$A:$A,M20537,'Barang Keluar'!$C:$C,N20537))</f>
        <v>0</v>
      </c>
    </row>
    <row r="20538" spans="13:16">
      <c r="M20538" s="49">
        <f>IF($A$4+205&gt;$B$4,"",$A$4+205)</f>
        <v>46228</v>
      </c>
      <c r="N20538" t="str">
        <f>IF(M20538="","",'Master Barang'!A32)</f>
        <v>PRL-031</v>
      </c>
      <c r="O20538" t="str">
        <f>IF(N20538="","",'Master Barang'!B32)</f>
        <v>tempat saus 20 ml</v>
      </c>
      <c r="P20538">
        <f>IF(OR(M20538="",N20538=""),"",SUMIFS('Barang Keluar'!$E:$E,'Barang Keluar'!$A:$A,M20538,'Barang Keluar'!$C:$C,N20538))</f>
        <v>0</v>
      </c>
    </row>
    <row r="20539" spans="13:16">
      <c r="M20539" s="49">
        <f>IF($A$4+205&gt;$B$4,"",$A$4+205)</f>
        <v>46228</v>
      </c>
      <c r="N20539" t="str">
        <f>IF(M20539="","",'Master Barang'!A33)</f>
        <v>PRL-032</v>
      </c>
      <c r="O20539" t="str">
        <f>IF(N20539="","",'Master Barang'!B33)</f>
        <v>plastik packaging ag box uk sedang</v>
      </c>
      <c r="P20539">
        <f>IF(OR(M20539="",N20539=""),"",SUMIFS('Barang Keluar'!$E:$E,'Barang Keluar'!$A:$A,M20539,'Barang Keluar'!$C:$C,N20539))</f>
        <v>0</v>
      </c>
    </row>
    <row r="20540" spans="13:16">
      <c r="M20540" s="49">
        <f>IF($A$4+205&gt;$B$4,"",$A$4+205)</f>
        <v>46228</v>
      </c>
      <c r="N20540" t="str">
        <f>IF(M20540="","",'Master Barang'!A34)</f>
        <v>PRL-033</v>
      </c>
      <c r="O20540">
        <f>IF(N20540="","",'Master Barang'!B34)</f>
        <v>0</v>
      </c>
      <c r="P20540">
        <f>IF(OR(M20540="",N20540=""),"",SUMIFS('Barang Keluar'!$E:$E,'Barang Keluar'!$A:$A,M20540,'Barang Keluar'!$C:$C,N20540))</f>
        <v>0</v>
      </c>
    </row>
    <row r="20541" spans="13:16">
      <c r="M20541" s="49">
        <f>IF($A$4+205&gt;$B$4,"",$A$4+205)</f>
        <v>46228</v>
      </c>
      <c r="N20541">
        <f>IF(M20541="","",'Master Barang'!A35)</f>
        <v>0</v>
      </c>
      <c r="O20541">
        <f>IF(N20541="","",'Master Barang'!B35)</f>
        <v>0</v>
      </c>
      <c r="P20541">
        <f>IF(OR(M20541="",N20541=""),"",SUMIFS('Barang Keluar'!$E:$E,'Barang Keluar'!$A:$A,M20541,'Barang Keluar'!$C:$C,N20541))</f>
        <v>0</v>
      </c>
    </row>
    <row r="20542" spans="13:16">
      <c r="M20542" s="49">
        <f>IF($A$4+205&gt;$B$4,"",$A$4+205)</f>
        <v>46228</v>
      </c>
      <c r="N20542">
        <f>IF(M20542="","",'Master Barang'!A36)</f>
        <v>0</v>
      </c>
      <c r="O20542">
        <f>IF(N20542="","",'Master Barang'!B36)</f>
        <v>0</v>
      </c>
      <c r="P20542">
        <f>IF(OR(M20542="",N20542=""),"",SUMIFS('Barang Keluar'!$E:$E,'Barang Keluar'!$A:$A,M20542,'Barang Keluar'!$C:$C,N20542))</f>
        <v>0</v>
      </c>
    </row>
    <row r="20543" spans="13:16">
      <c r="M20543" s="49">
        <f>IF($A$4+205&gt;$B$4,"",$A$4+205)</f>
        <v>46228</v>
      </c>
      <c r="N20543">
        <f>IF(M20543="","",'Master Barang'!A37)</f>
        <v>0</v>
      </c>
      <c r="O20543">
        <f>IF(N20543="","",'Master Barang'!B37)</f>
        <v>0</v>
      </c>
      <c r="P20543">
        <f>IF(OR(M20543="",N20543=""),"",SUMIFS('Barang Keluar'!$E:$E,'Barang Keluar'!$A:$A,M20543,'Barang Keluar'!$C:$C,N20543))</f>
        <v>0</v>
      </c>
    </row>
    <row r="20544" spans="13:16">
      <c r="M20544" s="49">
        <f>IF($A$4+205&gt;$B$4,"",$A$4+205)</f>
        <v>46228</v>
      </c>
      <c r="N20544">
        <f>IF(M20544="","",'Master Barang'!A38)</f>
        <v>0</v>
      </c>
      <c r="O20544">
        <f>IF(N20544="","",'Master Barang'!B38)</f>
        <v>0</v>
      </c>
      <c r="P20544">
        <f>IF(OR(M20544="",N20544=""),"",SUMIFS('Barang Keluar'!$E:$E,'Barang Keluar'!$A:$A,M20544,'Barang Keluar'!$C:$C,N20544))</f>
        <v>0</v>
      </c>
    </row>
    <row r="20545" spans="13:16">
      <c r="M20545" s="49">
        <f>IF($A$4+205&gt;$B$4,"",$A$4+205)</f>
        <v>46228</v>
      </c>
      <c r="N20545">
        <f>IF(M20545="","",'Master Barang'!A39)</f>
        <v>0</v>
      </c>
      <c r="O20545">
        <f>IF(N20545="","",'Master Barang'!B39)</f>
        <v>0</v>
      </c>
      <c r="P20545">
        <f>IF(OR(M20545="",N20545=""),"",SUMIFS('Barang Keluar'!$E:$E,'Barang Keluar'!$A:$A,M20545,'Barang Keluar'!$C:$C,N20545))</f>
        <v>0</v>
      </c>
    </row>
    <row r="20546" spans="13:16">
      <c r="M20546" s="49">
        <f>IF($A$4+205&gt;$B$4,"",$A$4+205)</f>
        <v>46228</v>
      </c>
      <c r="N20546">
        <f>IF(M20546="","",'Master Barang'!A40)</f>
        <v>0</v>
      </c>
      <c r="O20546">
        <f>IF(N20546="","",'Master Barang'!B40)</f>
        <v>0</v>
      </c>
      <c r="P20546">
        <f>IF(OR(M20546="",N20546=""),"",SUMIFS('Barang Keluar'!$E:$E,'Barang Keluar'!$A:$A,M20546,'Barang Keluar'!$C:$C,N20546))</f>
        <v>0</v>
      </c>
    </row>
    <row r="20547" spans="13:16">
      <c r="M20547" s="49">
        <f>IF($A$4+205&gt;$B$4,"",$A$4+205)</f>
        <v>46228</v>
      </c>
      <c r="N20547">
        <f>IF(M20547="","",'Master Barang'!A41)</f>
        <v>0</v>
      </c>
      <c r="O20547">
        <f>IF(N20547="","",'Master Barang'!B41)</f>
        <v>0</v>
      </c>
      <c r="P20547">
        <f>IF(OR(M20547="",N20547=""),"",SUMIFS('Barang Keluar'!$E:$E,'Barang Keluar'!$A:$A,M20547,'Barang Keluar'!$C:$C,N20547))</f>
        <v>0</v>
      </c>
    </row>
    <row r="20548" spans="13:16">
      <c r="M20548" s="49">
        <f>IF($A$4+205&gt;$B$4,"",$A$4+205)</f>
        <v>46228</v>
      </c>
      <c r="N20548">
        <f>IF(M20548="","",'Master Barang'!A42)</f>
        <v>0</v>
      </c>
      <c r="O20548">
        <f>IF(N20548="","",'Master Barang'!B42)</f>
        <v>0</v>
      </c>
      <c r="P20548">
        <f>IF(OR(M20548="",N20548=""),"",SUMIFS('Barang Keluar'!$E:$E,'Barang Keluar'!$A:$A,M20548,'Barang Keluar'!$C:$C,N20548))</f>
        <v>0</v>
      </c>
    </row>
    <row r="20549" spans="13:16">
      <c r="M20549" s="49">
        <f>IF($A$4+205&gt;$B$4,"",$A$4+205)</f>
        <v>46228</v>
      </c>
      <c r="N20549">
        <f>IF(M20549="","",'Master Barang'!A43)</f>
        <v>0</v>
      </c>
      <c r="O20549">
        <f>IF(N20549="","",'Master Barang'!B43)</f>
        <v>0</v>
      </c>
      <c r="P20549">
        <f>IF(OR(M20549="",N20549=""),"",SUMIFS('Barang Keluar'!$E:$E,'Barang Keluar'!$A:$A,M20549,'Barang Keluar'!$C:$C,N20549))</f>
        <v>0</v>
      </c>
    </row>
    <row r="20550" spans="13:16">
      <c r="M20550" s="49">
        <f>IF($A$4+205&gt;$B$4,"",$A$4+205)</f>
        <v>46228</v>
      </c>
      <c r="N20550">
        <f>IF(M20550="","",'Master Barang'!A44)</f>
        <v>0</v>
      </c>
      <c r="O20550">
        <f>IF(N20550="","",'Master Barang'!B44)</f>
        <v>0</v>
      </c>
      <c r="P20550">
        <f>IF(OR(M20550="",N20550=""),"",SUMIFS('Barang Keluar'!$E:$E,'Barang Keluar'!$A:$A,M20550,'Barang Keluar'!$C:$C,N20550))</f>
        <v>0</v>
      </c>
    </row>
    <row r="20551" spans="13:16">
      <c r="M20551" s="49">
        <f>IF($A$4+205&gt;$B$4,"",$A$4+205)</f>
        <v>46228</v>
      </c>
      <c r="N20551">
        <f>IF(M20551="","",'Master Barang'!A45)</f>
        <v>0</v>
      </c>
      <c r="O20551">
        <f>IF(N20551="","",'Master Barang'!B45)</f>
        <v>0</v>
      </c>
      <c r="P20551">
        <f>IF(OR(M20551="",N20551=""),"",SUMIFS('Barang Keluar'!$E:$E,'Barang Keluar'!$A:$A,M20551,'Barang Keluar'!$C:$C,N20551))</f>
        <v>0</v>
      </c>
    </row>
    <row r="20552" spans="13:16">
      <c r="M20552" s="49">
        <f>IF($A$4+205&gt;$B$4,"",$A$4+205)</f>
        <v>46228</v>
      </c>
      <c r="N20552">
        <f>IF(M20552="","",'Master Barang'!A46)</f>
        <v>0</v>
      </c>
      <c r="O20552">
        <f>IF(N20552="","",'Master Barang'!B46)</f>
        <v>0</v>
      </c>
      <c r="P20552">
        <f>IF(OR(M20552="",N20552=""),"",SUMIFS('Barang Keluar'!$E:$E,'Barang Keluar'!$A:$A,M20552,'Barang Keluar'!$C:$C,N20552))</f>
        <v>0</v>
      </c>
    </row>
    <row r="20553" spans="13:16">
      <c r="M20553" s="49">
        <f>IF($A$4+205&gt;$B$4,"",$A$4+205)</f>
        <v>46228</v>
      </c>
      <c r="N20553">
        <f>IF(M20553="","",'Master Barang'!A47)</f>
        <v>0</v>
      </c>
      <c r="O20553">
        <f>IF(N20553="","",'Master Barang'!B47)</f>
        <v>0</v>
      </c>
      <c r="P20553">
        <f>IF(OR(M20553="",N20553=""),"",SUMIFS('Barang Keluar'!$E:$E,'Barang Keluar'!$A:$A,M20553,'Barang Keluar'!$C:$C,N20553))</f>
        <v>0</v>
      </c>
    </row>
    <row r="20554" spans="13:16">
      <c r="M20554" s="49">
        <f>IF($A$4+205&gt;$B$4,"",$A$4+205)</f>
        <v>46228</v>
      </c>
      <c r="N20554">
        <f>IF(M20554="","",'Master Barang'!A48)</f>
        <v>0</v>
      </c>
      <c r="O20554">
        <f>IF(N20554="","",'Master Barang'!B48)</f>
        <v>0</v>
      </c>
      <c r="P20554">
        <f>IF(OR(M20554="",N20554=""),"",SUMIFS('Barang Keluar'!$E:$E,'Barang Keluar'!$A:$A,M20554,'Barang Keluar'!$C:$C,N20554))</f>
        <v>0</v>
      </c>
    </row>
    <row r="20555" spans="13:16">
      <c r="M20555" s="49">
        <f>IF($A$4+205&gt;$B$4,"",$A$4+205)</f>
        <v>46228</v>
      </c>
      <c r="N20555">
        <f>IF(M20555="","",'Master Barang'!A49)</f>
        <v>0</v>
      </c>
      <c r="O20555">
        <f>IF(N20555="","",'Master Barang'!B49)</f>
        <v>0</v>
      </c>
      <c r="P20555">
        <f>IF(OR(M20555="",N20555=""),"",SUMIFS('Barang Keluar'!$E:$E,'Barang Keluar'!$A:$A,M20555,'Barang Keluar'!$C:$C,N20555))</f>
        <v>0</v>
      </c>
    </row>
    <row r="20556" spans="13:16">
      <c r="M20556" s="49">
        <f>IF($A$4+205&gt;$B$4,"",$A$4+205)</f>
        <v>46228</v>
      </c>
      <c r="N20556">
        <f>IF(M20556="","",'Master Barang'!A50)</f>
        <v>0</v>
      </c>
      <c r="O20556">
        <f>IF(N20556="","",'Master Barang'!B50)</f>
        <v>0</v>
      </c>
      <c r="P20556">
        <f>IF(OR(M20556="",N20556=""),"",SUMIFS('Barang Keluar'!$E:$E,'Barang Keluar'!$A:$A,M20556,'Barang Keluar'!$C:$C,N20556))</f>
        <v>0</v>
      </c>
    </row>
    <row r="20557" spans="13:16">
      <c r="M20557" s="49">
        <f>IF($A$4+205&gt;$B$4,"",$A$4+205)</f>
        <v>46228</v>
      </c>
      <c r="N20557">
        <f>IF(M20557="","",'Master Barang'!A51)</f>
        <v>0</v>
      </c>
      <c r="O20557">
        <f>IF(N20557="","",'Master Barang'!B51)</f>
        <v>0</v>
      </c>
      <c r="P20557">
        <f>IF(OR(M20557="",N20557=""),"",SUMIFS('Barang Keluar'!$E:$E,'Barang Keluar'!$A:$A,M20557,'Barang Keluar'!$C:$C,N20557))</f>
        <v>0</v>
      </c>
    </row>
    <row r="20558" spans="13:16">
      <c r="M20558" s="49">
        <f>IF($A$4+205&gt;$B$4,"",$A$4+205)</f>
        <v>46228</v>
      </c>
      <c r="N20558">
        <f>IF(M20558="","",'Master Barang'!A52)</f>
        <v>0</v>
      </c>
      <c r="O20558">
        <f>IF(N20558="","",'Master Barang'!B52)</f>
        <v>0</v>
      </c>
      <c r="P20558">
        <f>IF(OR(M20558="",N20558=""),"",SUMIFS('Barang Keluar'!$E:$E,'Barang Keluar'!$A:$A,M20558,'Barang Keluar'!$C:$C,N20558))</f>
        <v>0</v>
      </c>
    </row>
    <row r="20559" spans="13:16">
      <c r="M20559" s="49">
        <f>IF($A$4+205&gt;$B$4,"",$A$4+205)</f>
        <v>46228</v>
      </c>
      <c r="N20559">
        <f>IF(M20559="","",'Master Barang'!A53)</f>
        <v>0</v>
      </c>
      <c r="O20559">
        <f>IF(N20559="","",'Master Barang'!B53)</f>
        <v>0</v>
      </c>
      <c r="P20559">
        <f>IF(OR(M20559="",N20559=""),"",SUMIFS('Barang Keluar'!$E:$E,'Barang Keluar'!$A:$A,M20559,'Barang Keluar'!$C:$C,N20559))</f>
        <v>0</v>
      </c>
    </row>
    <row r="20560" spans="13:16">
      <c r="M20560" s="49">
        <f>IF($A$4+205&gt;$B$4,"",$A$4+205)</f>
        <v>46228</v>
      </c>
      <c r="N20560">
        <f>IF(M20560="","",'Master Barang'!A54)</f>
        <v>0</v>
      </c>
      <c r="O20560">
        <f>IF(N20560="","",'Master Barang'!B54)</f>
        <v>0</v>
      </c>
      <c r="P20560">
        <f>IF(OR(M20560="",N20560=""),"",SUMIFS('Barang Keluar'!$E:$E,'Barang Keluar'!$A:$A,M20560,'Barang Keluar'!$C:$C,N20560))</f>
        <v>0</v>
      </c>
    </row>
    <row r="20561" spans="13:16">
      <c r="M20561" s="49">
        <f>IF($A$4+205&gt;$B$4,"",$A$4+205)</f>
        <v>46228</v>
      </c>
      <c r="N20561">
        <f>IF(M20561="","",'Master Barang'!A55)</f>
        <v>0</v>
      </c>
      <c r="O20561">
        <f>IF(N20561="","",'Master Barang'!B55)</f>
        <v>0</v>
      </c>
      <c r="P20561">
        <f>IF(OR(M20561="",N20561=""),"",SUMIFS('Barang Keluar'!$E:$E,'Barang Keluar'!$A:$A,M20561,'Barang Keluar'!$C:$C,N20561))</f>
        <v>0</v>
      </c>
    </row>
    <row r="20562" spans="13:16">
      <c r="M20562" s="49">
        <f>IF($A$4+205&gt;$B$4,"",$A$4+205)</f>
        <v>46228</v>
      </c>
      <c r="N20562">
        <f>IF(M20562="","",'Master Barang'!A56)</f>
        <v>0</v>
      </c>
      <c r="O20562">
        <f>IF(N20562="","",'Master Barang'!B56)</f>
        <v>0</v>
      </c>
      <c r="P20562">
        <f>IF(OR(M20562="",N20562=""),"",SUMIFS('Barang Keluar'!$E:$E,'Barang Keluar'!$A:$A,M20562,'Barang Keluar'!$C:$C,N20562))</f>
        <v>0</v>
      </c>
    </row>
    <row r="20563" spans="13:16">
      <c r="M20563" s="49">
        <f>IF($A$4+205&gt;$B$4,"",$A$4+205)</f>
        <v>46228</v>
      </c>
      <c r="N20563">
        <f>IF(M20563="","",'Master Barang'!A57)</f>
        <v>0</v>
      </c>
      <c r="O20563">
        <f>IF(N20563="","",'Master Barang'!B57)</f>
        <v>0</v>
      </c>
      <c r="P20563">
        <f>IF(OR(M20563="",N20563=""),"",SUMIFS('Barang Keluar'!$E:$E,'Barang Keluar'!$A:$A,M20563,'Barang Keluar'!$C:$C,N20563))</f>
        <v>0</v>
      </c>
    </row>
    <row r="20564" spans="13:16">
      <c r="M20564" s="49">
        <f>IF($A$4+205&gt;$B$4,"",$A$4+205)</f>
        <v>46228</v>
      </c>
      <c r="N20564">
        <f>IF(M20564="","",'Master Barang'!A58)</f>
        <v>0</v>
      </c>
      <c r="O20564">
        <f>IF(N20564="","",'Master Barang'!B58)</f>
        <v>0</v>
      </c>
      <c r="P20564">
        <f>IF(OR(M20564="",N20564=""),"",SUMIFS('Barang Keluar'!$E:$E,'Barang Keluar'!$A:$A,M20564,'Barang Keluar'!$C:$C,N20564))</f>
        <v>0</v>
      </c>
    </row>
    <row r="20565" spans="13:16">
      <c r="M20565" s="49">
        <f>IF($A$4+205&gt;$B$4,"",$A$4+205)</f>
        <v>46228</v>
      </c>
      <c r="N20565">
        <f>IF(M20565="","",'Master Barang'!A59)</f>
        <v>0</v>
      </c>
      <c r="O20565">
        <f>IF(N20565="","",'Master Barang'!B59)</f>
        <v>0</v>
      </c>
      <c r="P20565">
        <f>IF(OR(M20565="",N20565=""),"",SUMIFS('Barang Keluar'!$E:$E,'Barang Keluar'!$A:$A,M20565,'Barang Keluar'!$C:$C,N20565))</f>
        <v>0</v>
      </c>
    </row>
    <row r="20566" spans="13:16">
      <c r="M20566" s="49">
        <f>IF($A$4+205&gt;$B$4,"",$A$4+205)</f>
        <v>46228</v>
      </c>
      <c r="N20566">
        <f>IF(M20566="","",'Master Barang'!A60)</f>
        <v>0</v>
      </c>
      <c r="O20566">
        <f>IF(N20566="","",'Master Barang'!B60)</f>
        <v>0</v>
      </c>
      <c r="P20566">
        <f>IF(OR(M20566="",N20566=""),"",SUMIFS('Barang Keluar'!$E:$E,'Barang Keluar'!$A:$A,M20566,'Barang Keluar'!$C:$C,N20566))</f>
        <v>0</v>
      </c>
    </row>
    <row r="20567" spans="13:16">
      <c r="M20567" s="49">
        <f>IF($A$4+205&gt;$B$4,"",$A$4+205)</f>
        <v>46228</v>
      </c>
      <c r="N20567">
        <f>IF(M20567="","",'Master Barang'!A61)</f>
        <v>0</v>
      </c>
      <c r="O20567">
        <f>IF(N20567="","",'Master Barang'!B61)</f>
        <v>0</v>
      </c>
      <c r="P20567">
        <f>IF(OR(M20567="",N20567=""),"",SUMIFS('Barang Keluar'!$E:$E,'Barang Keluar'!$A:$A,M20567,'Barang Keluar'!$C:$C,N20567))</f>
        <v>0</v>
      </c>
    </row>
    <row r="20568" spans="13:16">
      <c r="M20568" s="49">
        <f>IF($A$4+205&gt;$B$4,"",$A$4+205)</f>
        <v>46228</v>
      </c>
      <c r="N20568">
        <f>IF(M20568="","",'Master Barang'!A62)</f>
        <v>0</v>
      </c>
      <c r="O20568">
        <f>IF(N20568="","",'Master Barang'!B62)</f>
        <v>0</v>
      </c>
      <c r="P20568">
        <f>IF(OR(M20568="",N20568=""),"",SUMIFS('Barang Keluar'!$E:$E,'Barang Keluar'!$A:$A,M20568,'Barang Keluar'!$C:$C,N20568))</f>
        <v>0</v>
      </c>
    </row>
    <row r="20569" spans="13:16">
      <c r="M20569" s="49">
        <f>IF($A$4+205&gt;$B$4,"",$A$4+205)</f>
        <v>46228</v>
      </c>
      <c r="N20569">
        <f>IF(M20569="","",'Master Barang'!A63)</f>
        <v>0</v>
      </c>
      <c r="O20569">
        <f>IF(N20569="","",'Master Barang'!B63)</f>
        <v>0</v>
      </c>
      <c r="P20569">
        <f>IF(OR(M20569="",N20569=""),"",SUMIFS('Barang Keluar'!$E:$E,'Barang Keluar'!$A:$A,M20569,'Barang Keluar'!$C:$C,N20569))</f>
        <v>0</v>
      </c>
    </row>
    <row r="20570" spans="13:16">
      <c r="M20570" s="49">
        <f>IF($A$4+205&gt;$B$4,"",$A$4+205)</f>
        <v>46228</v>
      </c>
      <c r="N20570">
        <f>IF(M20570="","",'Master Barang'!A64)</f>
        <v>0</v>
      </c>
      <c r="O20570">
        <f>IF(N20570="","",'Master Barang'!B64)</f>
        <v>0</v>
      </c>
      <c r="P20570">
        <f>IF(OR(M20570="",N20570=""),"",SUMIFS('Barang Keluar'!$E:$E,'Barang Keluar'!$A:$A,M20570,'Barang Keluar'!$C:$C,N20570))</f>
        <v>0</v>
      </c>
    </row>
    <row r="20571" spans="13:16">
      <c r="M20571" s="49">
        <f>IF($A$4+205&gt;$B$4,"",$A$4+205)</f>
        <v>46228</v>
      </c>
      <c r="N20571">
        <f>IF(M20571="","",'Master Barang'!A65)</f>
        <v>0</v>
      </c>
      <c r="O20571">
        <f>IF(N20571="","",'Master Barang'!B65)</f>
        <v>0</v>
      </c>
      <c r="P20571">
        <f>IF(OR(M20571="",N20571=""),"",SUMIFS('Barang Keluar'!$E:$E,'Barang Keluar'!$A:$A,M20571,'Barang Keluar'!$C:$C,N20571))</f>
        <v>0</v>
      </c>
    </row>
    <row r="20572" spans="13:16">
      <c r="M20572" s="49">
        <f>IF($A$4+205&gt;$B$4,"",$A$4+205)</f>
        <v>46228</v>
      </c>
      <c r="N20572">
        <f>IF(M20572="","",'Master Barang'!A66)</f>
        <v>0</v>
      </c>
      <c r="O20572">
        <f>IF(N20572="","",'Master Barang'!B66)</f>
        <v>0</v>
      </c>
      <c r="P20572">
        <f>IF(OR(M20572="",N20572=""),"",SUMIFS('Barang Keluar'!$E:$E,'Barang Keluar'!$A:$A,M20572,'Barang Keluar'!$C:$C,N20572))</f>
        <v>0</v>
      </c>
    </row>
    <row r="20573" spans="13:16">
      <c r="M20573" s="49">
        <f>IF($A$4+205&gt;$B$4,"",$A$4+205)</f>
        <v>46228</v>
      </c>
      <c r="N20573">
        <f>IF(M20573="","",'Master Barang'!A67)</f>
        <v>0</v>
      </c>
      <c r="O20573">
        <f>IF(N20573="","",'Master Barang'!B67)</f>
        <v>0</v>
      </c>
      <c r="P20573">
        <f>IF(OR(M20573="",N20573=""),"",SUMIFS('Barang Keluar'!$E:$E,'Barang Keluar'!$A:$A,M20573,'Barang Keluar'!$C:$C,N20573))</f>
        <v>0</v>
      </c>
    </row>
    <row r="20574" spans="13:16">
      <c r="M20574" s="49">
        <f>IF($A$4+205&gt;$B$4,"",$A$4+205)</f>
        <v>46228</v>
      </c>
      <c r="N20574">
        <f>IF(M20574="","",'Master Barang'!A68)</f>
        <v>0</v>
      </c>
      <c r="O20574">
        <f>IF(N20574="","",'Master Barang'!B68)</f>
        <v>0</v>
      </c>
      <c r="P20574">
        <f>IF(OR(M20574="",N20574=""),"",SUMIFS('Barang Keluar'!$E:$E,'Barang Keluar'!$A:$A,M20574,'Barang Keluar'!$C:$C,N20574))</f>
        <v>0</v>
      </c>
    </row>
    <row r="20575" spans="13:16">
      <c r="M20575" s="49">
        <f>IF($A$4+205&gt;$B$4,"",$A$4+205)</f>
        <v>46228</v>
      </c>
      <c r="N20575">
        <f>IF(M20575="","",'Master Barang'!A69)</f>
        <v>0</v>
      </c>
      <c r="O20575">
        <f>IF(N20575="","",'Master Barang'!B69)</f>
        <v>0</v>
      </c>
      <c r="P20575">
        <f>IF(OR(M20575="",N20575=""),"",SUMIFS('Barang Keluar'!$E:$E,'Barang Keluar'!$A:$A,M20575,'Barang Keluar'!$C:$C,N20575))</f>
        <v>0</v>
      </c>
    </row>
    <row r="20576" spans="13:16">
      <c r="M20576" s="49">
        <f>IF($A$4+205&gt;$B$4,"",$A$4+205)</f>
        <v>46228</v>
      </c>
      <c r="N20576">
        <f>IF(M20576="","",'Master Barang'!A70)</f>
        <v>0</v>
      </c>
      <c r="O20576">
        <f>IF(N20576="","",'Master Barang'!B70)</f>
        <v>0</v>
      </c>
      <c r="P20576">
        <f>IF(OR(M20576="",N20576=""),"",SUMIFS('Barang Keluar'!$E:$E,'Barang Keluar'!$A:$A,M20576,'Barang Keluar'!$C:$C,N20576))</f>
        <v>0</v>
      </c>
    </row>
    <row r="20577" spans="13:16">
      <c r="M20577" s="49">
        <f>IF($A$4+205&gt;$B$4,"",$A$4+205)</f>
        <v>46228</v>
      </c>
      <c r="N20577">
        <f>IF(M20577="","",'Master Barang'!A71)</f>
        <v>0</v>
      </c>
      <c r="O20577">
        <f>IF(N20577="","",'Master Barang'!B71)</f>
        <v>0</v>
      </c>
      <c r="P20577">
        <f>IF(OR(M20577="",N20577=""),"",SUMIFS('Barang Keluar'!$E:$E,'Barang Keluar'!$A:$A,M20577,'Barang Keluar'!$C:$C,N20577))</f>
        <v>0</v>
      </c>
    </row>
    <row r="20578" spans="13:16">
      <c r="M20578" s="49">
        <f>IF($A$4+205&gt;$B$4,"",$A$4+205)</f>
        <v>46228</v>
      </c>
      <c r="N20578">
        <f>IF(M20578="","",'Master Barang'!A72)</f>
        <v>0</v>
      </c>
      <c r="O20578">
        <f>IF(N20578="","",'Master Barang'!B72)</f>
        <v>0</v>
      </c>
      <c r="P20578">
        <f>IF(OR(M20578="",N20578=""),"",SUMIFS('Barang Keluar'!$E:$E,'Barang Keluar'!$A:$A,M20578,'Barang Keluar'!$C:$C,N20578))</f>
        <v>0</v>
      </c>
    </row>
    <row r="20579" spans="13:16">
      <c r="M20579" s="49">
        <f>IF($A$4+205&gt;$B$4,"",$A$4+205)</f>
        <v>46228</v>
      </c>
      <c r="N20579">
        <f>IF(M20579="","",'Master Barang'!A73)</f>
        <v>0</v>
      </c>
      <c r="O20579">
        <f>IF(N20579="","",'Master Barang'!B73)</f>
        <v>0</v>
      </c>
      <c r="P20579">
        <f>IF(OR(M20579="",N20579=""),"",SUMIFS('Barang Keluar'!$E:$E,'Barang Keluar'!$A:$A,M20579,'Barang Keluar'!$C:$C,N20579))</f>
        <v>0</v>
      </c>
    </row>
    <row r="20580" spans="13:16">
      <c r="M20580" s="49">
        <f>IF($A$4+205&gt;$B$4,"",$A$4+205)</f>
        <v>46228</v>
      </c>
      <c r="N20580">
        <f>IF(M20580="","",'Master Barang'!A74)</f>
        <v>0</v>
      </c>
      <c r="O20580">
        <f>IF(N20580="","",'Master Barang'!B74)</f>
        <v>0</v>
      </c>
      <c r="P20580">
        <f>IF(OR(M20580="",N20580=""),"",SUMIFS('Barang Keluar'!$E:$E,'Barang Keluar'!$A:$A,M20580,'Barang Keluar'!$C:$C,N20580))</f>
        <v>0</v>
      </c>
    </row>
    <row r="20581" spans="13:16">
      <c r="M20581" s="49">
        <f>IF($A$4+205&gt;$B$4,"",$A$4+205)</f>
        <v>46228</v>
      </c>
      <c r="N20581">
        <f>IF(M20581="","",'Master Barang'!A75)</f>
        <v>0</v>
      </c>
      <c r="O20581">
        <f>IF(N20581="","",'Master Barang'!B75)</f>
        <v>0</v>
      </c>
      <c r="P20581">
        <f>IF(OR(M20581="",N20581=""),"",SUMIFS('Barang Keluar'!$E:$E,'Barang Keluar'!$A:$A,M20581,'Barang Keluar'!$C:$C,N20581))</f>
        <v>0</v>
      </c>
    </row>
    <row r="20582" spans="13:16">
      <c r="M20582" s="49">
        <f>IF($A$4+205&gt;$B$4,"",$A$4+205)</f>
        <v>46228</v>
      </c>
      <c r="N20582">
        <f>IF(M20582="","",'Master Barang'!A76)</f>
        <v>0</v>
      </c>
      <c r="O20582">
        <f>IF(N20582="","",'Master Barang'!B76)</f>
        <v>0</v>
      </c>
      <c r="P20582">
        <f>IF(OR(M20582="",N20582=""),"",SUMIFS('Barang Keluar'!$E:$E,'Barang Keluar'!$A:$A,M20582,'Barang Keluar'!$C:$C,N20582))</f>
        <v>0</v>
      </c>
    </row>
    <row r="20583" spans="13:16">
      <c r="M20583" s="49">
        <f>IF($A$4+205&gt;$B$4,"",$A$4+205)</f>
        <v>46228</v>
      </c>
      <c r="N20583">
        <f>IF(M20583="","",'Master Barang'!A77)</f>
        <v>0</v>
      </c>
      <c r="O20583">
        <f>IF(N20583="","",'Master Barang'!B77)</f>
        <v>0</v>
      </c>
      <c r="P20583">
        <f>IF(OR(M20583="",N20583=""),"",SUMIFS('Barang Keluar'!$E:$E,'Barang Keluar'!$A:$A,M20583,'Barang Keluar'!$C:$C,N20583))</f>
        <v>0</v>
      </c>
    </row>
    <row r="20584" spans="13:16">
      <c r="M20584" s="49">
        <f>IF($A$4+205&gt;$B$4,"",$A$4+205)</f>
        <v>46228</v>
      </c>
      <c r="N20584">
        <f>IF(M20584="","",'Master Barang'!A78)</f>
        <v>0</v>
      </c>
      <c r="O20584">
        <f>IF(N20584="","",'Master Barang'!B78)</f>
        <v>0</v>
      </c>
      <c r="P20584">
        <f>IF(OR(M20584="",N20584=""),"",SUMIFS('Barang Keluar'!$E:$E,'Barang Keluar'!$A:$A,M20584,'Barang Keluar'!$C:$C,N20584))</f>
        <v>0</v>
      </c>
    </row>
    <row r="20585" spans="13:16">
      <c r="M20585" s="49">
        <f>IF($A$4+205&gt;$B$4,"",$A$4+205)</f>
        <v>46228</v>
      </c>
      <c r="N20585">
        <f>IF(M20585="","",'Master Barang'!A79)</f>
        <v>0</v>
      </c>
      <c r="O20585">
        <f>IF(N20585="","",'Master Barang'!B79)</f>
        <v>0</v>
      </c>
      <c r="P20585">
        <f>IF(OR(M20585="",N20585=""),"",SUMIFS('Barang Keluar'!$E:$E,'Barang Keluar'!$A:$A,M20585,'Barang Keluar'!$C:$C,N20585))</f>
        <v>0</v>
      </c>
    </row>
    <row r="20586" spans="13:16">
      <c r="M20586" s="49">
        <f>IF($A$4+205&gt;$B$4,"",$A$4+205)</f>
        <v>46228</v>
      </c>
      <c r="N20586">
        <f>IF(M20586="","",'Master Barang'!A80)</f>
        <v>0</v>
      </c>
      <c r="O20586">
        <f>IF(N20586="","",'Master Barang'!B80)</f>
        <v>0</v>
      </c>
      <c r="P20586">
        <f>IF(OR(M20586="",N20586=""),"",SUMIFS('Barang Keluar'!$E:$E,'Barang Keluar'!$A:$A,M20586,'Barang Keluar'!$C:$C,N20586))</f>
        <v>0</v>
      </c>
    </row>
    <row r="20587" spans="13:16">
      <c r="M20587" s="49">
        <f>IF($A$4+205&gt;$B$4,"",$A$4+205)</f>
        <v>46228</v>
      </c>
      <c r="N20587">
        <f>IF(M20587="","",'Master Barang'!A81)</f>
        <v>0</v>
      </c>
      <c r="O20587">
        <f>IF(N20587="","",'Master Barang'!B81)</f>
        <v>0</v>
      </c>
      <c r="P20587">
        <f>IF(OR(M20587="",N20587=""),"",SUMIFS('Barang Keluar'!$E:$E,'Barang Keluar'!$A:$A,M20587,'Barang Keluar'!$C:$C,N20587))</f>
        <v>0</v>
      </c>
    </row>
    <row r="20588" spans="13:16">
      <c r="M20588" s="49">
        <f>IF($A$4+205&gt;$B$4,"",$A$4+205)</f>
        <v>46228</v>
      </c>
      <c r="N20588">
        <f>IF(M20588="","",'Master Barang'!A82)</f>
        <v>0</v>
      </c>
      <c r="O20588">
        <f>IF(N20588="","",'Master Barang'!B82)</f>
        <v>0</v>
      </c>
      <c r="P20588">
        <f>IF(OR(M20588="",N20588=""),"",SUMIFS('Barang Keluar'!$E:$E,'Barang Keluar'!$A:$A,M20588,'Barang Keluar'!$C:$C,N20588))</f>
        <v>0</v>
      </c>
    </row>
    <row r="20589" spans="13:16">
      <c r="M20589" s="49">
        <f>IF($A$4+205&gt;$B$4,"",$A$4+205)</f>
        <v>46228</v>
      </c>
      <c r="N20589">
        <f>IF(M20589="","",'Master Barang'!A83)</f>
        <v>0</v>
      </c>
      <c r="O20589">
        <f>IF(N20589="","",'Master Barang'!B83)</f>
        <v>0</v>
      </c>
      <c r="P20589">
        <f>IF(OR(M20589="",N20589=""),"",SUMIFS('Barang Keluar'!$E:$E,'Barang Keluar'!$A:$A,M20589,'Barang Keluar'!$C:$C,N20589))</f>
        <v>0</v>
      </c>
    </row>
    <row r="20590" spans="13:16">
      <c r="M20590" s="49">
        <f>IF($A$4+205&gt;$B$4,"",$A$4+205)</f>
        <v>46228</v>
      </c>
      <c r="N20590">
        <f>IF(M20590="","",'Master Barang'!A84)</f>
        <v>0</v>
      </c>
      <c r="O20590">
        <f>IF(N20590="","",'Master Barang'!B84)</f>
        <v>0</v>
      </c>
      <c r="P20590">
        <f>IF(OR(M20590="",N20590=""),"",SUMIFS('Barang Keluar'!$E:$E,'Barang Keluar'!$A:$A,M20590,'Barang Keluar'!$C:$C,N20590))</f>
        <v>0</v>
      </c>
    </row>
    <row r="20591" spans="13:16">
      <c r="M20591" s="49">
        <f>IF($A$4+205&gt;$B$4,"",$A$4+205)</f>
        <v>46228</v>
      </c>
      <c r="N20591">
        <f>IF(M20591="","",'Master Barang'!A85)</f>
        <v>0</v>
      </c>
      <c r="O20591">
        <f>IF(N20591="","",'Master Barang'!B85)</f>
        <v>0</v>
      </c>
      <c r="P20591">
        <f>IF(OR(M20591="",N20591=""),"",SUMIFS('Barang Keluar'!$E:$E,'Barang Keluar'!$A:$A,M20591,'Barang Keluar'!$C:$C,N20591))</f>
        <v>0</v>
      </c>
    </row>
    <row r="20592" spans="13:16">
      <c r="M20592" s="49">
        <f>IF($A$4+205&gt;$B$4,"",$A$4+205)</f>
        <v>46228</v>
      </c>
      <c r="N20592">
        <f>IF(M20592="","",'Master Barang'!A86)</f>
        <v>0</v>
      </c>
      <c r="O20592">
        <f>IF(N20592="","",'Master Barang'!B86)</f>
        <v>0</v>
      </c>
      <c r="P20592">
        <f>IF(OR(M20592="",N20592=""),"",SUMIFS('Barang Keluar'!$E:$E,'Barang Keluar'!$A:$A,M20592,'Barang Keluar'!$C:$C,N20592))</f>
        <v>0</v>
      </c>
    </row>
    <row r="20593" spans="13:16">
      <c r="M20593" s="49">
        <f>IF($A$4+205&gt;$B$4,"",$A$4+205)</f>
        <v>46228</v>
      </c>
      <c r="N20593">
        <f>IF(M20593="","",'Master Barang'!A87)</f>
        <v>0</v>
      </c>
      <c r="O20593">
        <f>IF(N20593="","",'Master Barang'!B87)</f>
        <v>0</v>
      </c>
      <c r="P20593">
        <f>IF(OR(M20593="",N20593=""),"",SUMIFS('Barang Keluar'!$E:$E,'Barang Keluar'!$A:$A,M20593,'Barang Keluar'!$C:$C,N20593))</f>
        <v>0</v>
      </c>
    </row>
    <row r="20594" spans="13:16">
      <c r="M20594" s="49">
        <f>IF($A$4+205&gt;$B$4,"",$A$4+205)</f>
        <v>46228</v>
      </c>
      <c r="N20594">
        <f>IF(M20594="","",'Master Barang'!A88)</f>
        <v>0</v>
      </c>
      <c r="O20594">
        <f>IF(N20594="","",'Master Barang'!B88)</f>
        <v>0</v>
      </c>
      <c r="P20594">
        <f>IF(OR(M20594="",N20594=""),"",SUMIFS('Barang Keluar'!$E:$E,'Barang Keluar'!$A:$A,M20594,'Barang Keluar'!$C:$C,N20594))</f>
        <v>0</v>
      </c>
    </row>
    <row r="20595" spans="13:16">
      <c r="M20595" s="49">
        <f>IF($A$4+205&gt;$B$4,"",$A$4+205)</f>
        <v>46228</v>
      </c>
      <c r="N20595">
        <f>IF(M20595="","",'Master Barang'!A89)</f>
        <v>0</v>
      </c>
      <c r="O20595">
        <f>IF(N20595="","",'Master Barang'!B89)</f>
        <v>0</v>
      </c>
      <c r="P20595">
        <f>IF(OR(M20595="",N20595=""),"",SUMIFS('Barang Keluar'!$E:$E,'Barang Keluar'!$A:$A,M20595,'Barang Keluar'!$C:$C,N20595))</f>
        <v>0</v>
      </c>
    </row>
    <row r="20596" spans="13:16">
      <c r="M20596" s="49">
        <f>IF($A$4+205&gt;$B$4,"",$A$4+205)</f>
        <v>46228</v>
      </c>
      <c r="N20596">
        <f>IF(M20596="","",'Master Barang'!A90)</f>
        <v>0</v>
      </c>
      <c r="O20596">
        <f>IF(N20596="","",'Master Barang'!B90)</f>
        <v>0</v>
      </c>
      <c r="P20596">
        <f>IF(OR(M20596="",N20596=""),"",SUMIFS('Barang Keluar'!$E:$E,'Barang Keluar'!$A:$A,M20596,'Barang Keluar'!$C:$C,N20596))</f>
        <v>0</v>
      </c>
    </row>
    <row r="20597" spans="13:16">
      <c r="M20597" s="49">
        <f>IF($A$4+205&gt;$B$4,"",$A$4+205)</f>
        <v>46228</v>
      </c>
      <c r="N20597">
        <f>IF(M20597="","",'Master Barang'!A91)</f>
        <v>0</v>
      </c>
      <c r="O20597">
        <f>IF(N20597="","",'Master Barang'!B91)</f>
        <v>0</v>
      </c>
      <c r="P20597">
        <f>IF(OR(M20597="",N20597=""),"",SUMIFS('Barang Keluar'!$E:$E,'Barang Keluar'!$A:$A,M20597,'Barang Keluar'!$C:$C,N20597))</f>
        <v>0</v>
      </c>
    </row>
    <row r="20598" spans="13:16">
      <c r="M20598" s="49">
        <f>IF($A$4+205&gt;$B$4,"",$A$4+205)</f>
        <v>46228</v>
      </c>
      <c r="N20598">
        <f>IF(M20598="","",'Master Barang'!A92)</f>
        <v>0</v>
      </c>
      <c r="O20598">
        <f>IF(N20598="","",'Master Barang'!B92)</f>
        <v>0</v>
      </c>
      <c r="P20598">
        <f>IF(OR(M20598="",N20598=""),"",SUMIFS('Barang Keluar'!$E:$E,'Barang Keluar'!$A:$A,M20598,'Barang Keluar'!$C:$C,N20598))</f>
        <v>0</v>
      </c>
    </row>
    <row r="20599" spans="13:16">
      <c r="M20599" s="49">
        <f>IF($A$4+205&gt;$B$4,"",$A$4+205)</f>
        <v>46228</v>
      </c>
      <c r="N20599">
        <f>IF(M20599="","",'Master Barang'!A93)</f>
        <v>0</v>
      </c>
      <c r="O20599">
        <f>IF(N20599="","",'Master Barang'!B93)</f>
        <v>0</v>
      </c>
      <c r="P20599">
        <f>IF(OR(M20599="",N20599=""),"",SUMIFS('Barang Keluar'!$E:$E,'Barang Keluar'!$A:$A,M20599,'Barang Keluar'!$C:$C,N20599))</f>
        <v>0</v>
      </c>
    </row>
    <row r="20600" spans="13:16">
      <c r="M20600" s="49">
        <f>IF($A$4+205&gt;$B$4,"",$A$4+205)</f>
        <v>46228</v>
      </c>
      <c r="N20600">
        <f>IF(M20600="","",'Master Barang'!A94)</f>
        <v>0</v>
      </c>
      <c r="O20600">
        <f>IF(N20600="","",'Master Barang'!B94)</f>
        <v>0</v>
      </c>
      <c r="P20600">
        <f>IF(OR(M20600="",N20600=""),"",SUMIFS('Barang Keluar'!$E:$E,'Barang Keluar'!$A:$A,M20600,'Barang Keluar'!$C:$C,N20600))</f>
        <v>0</v>
      </c>
    </row>
    <row r="20601" spans="13:16">
      <c r="M20601" s="49">
        <f>IF($A$4+205&gt;$B$4,"",$A$4+205)</f>
        <v>46228</v>
      </c>
      <c r="N20601">
        <f>IF(M20601="","",'Master Barang'!A95)</f>
        <v>0</v>
      </c>
      <c r="O20601">
        <f>IF(N20601="","",'Master Barang'!B95)</f>
        <v>0</v>
      </c>
      <c r="P20601">
        <f>IF(OR(M20601="",N20601=""),"",SUMIFS('Barang Keluar'!$E:$E,'Barang Keluar'!$A:$A,M20601,'Barang Keluar'!$C:$C,N20601))</f>
        <v>0</v>
      </c>
    </row>
    <row r="20602" spans="13:16">
      <c r="M20602" s="49">
        <f>IF($A$4+205&gt;$B$4,"",$A$4+205)</f>
        <v>46228</v>
      </c>
      <c r="N20602">
        <f>IF(M20602="","",'Master Barang'!A96)</f>
        <v>0</v>
      </c>
      <c r="O20602">
        <f>IF(N20602="","",'Master Barang'!B96)</f>
        <v>0</v>
      </c>
      <c r="P20602">
        <f>IF(OR(M20602="",N20602=""),"",SUMIFS('Barang Keluar'!$E:$E,'Barang Keluar'!$A:$A,M20602,'Barang Keluar'!$C:$C,N20602))</f>
        <v>0</v>
      </c>
    </row>
    <row r="20603" spans="13:16">
      <c r="M20603" s="49">
        <f>IF($A$4+205&gt;$B$4,"",$A$4+205)</f>
        <v>46228</v>
      </c>
      <c r="N20603">
        <f>IF(M20603="","",'Master Barang'!A97)</f>
        <v>0</v>
      </c>
      <c r="O20603">
        <f>IF(N20603="","",'Master Barang'!B97)</f>
        <v>0</v>
      </c>
      <c r="P20603">
        <f>IF(OR(M20603="",N20603=""),"",SUMIFS('Barang Keluar'!$E:$E,'Barang Keluar'!$A:$A,M20603,'Barang Keluar'!$C:$C,N20603))</f>
        <v>0</v>
      </c>
    </row>
    <row r="20604" spans="13:16">
      <c r="M20604" s="49">
        <f>IF($A$4+205&gt;$B$4,"",$A$4+205)</f>
        <v>46228</v>
      </c>
      <c r="N20604">
        <f>IF(M20604="","",'Master Barang'!A98)</f>
        <v>0</v>
      </c>
      <c r="O20604">
        <f>IF(N20604="","",'Master Barang'!B98)</f>
        <v>0</v>
      </c>
      <c r="P20604">
        <f>IF(OR(M20604="",N20604=""),"",SUMIFS('Barang Keluar'!$E:$E,'Barang Keluar'!$A:$A,M20604,'Barang Keluar'!$C:$C,N20604))</f>
        <v>0</v>
      </c>
    </row>
    <row r="20605" spans="13:16">
      <c r="M20605" s="49">
        <f>IF($A$4+205&gt;$B$4,"",$A$4+205)</f>
        <v>46228</v>
      </c>
      <c r="N20605">
        <f>IF(M20605="","",'Master Barang'!A99)</f>
        <v>0</v>
      </c>
      <c r="O20605">
        <f>IF(N20605="","",'Master Barang'!B99)</f>
        <v>0</v>
      </c>
      <c r="P20605">
        <f>IF(OR(M20605="",N20605=""),"",SUMIFS('Barang Keluar'!$E:$E,'Barang Keluar'!$A:$A,M20605,'Barang Keluar'!$C:$C,N20605))</f>
        <v>0</v>
      </c>
    </row>
    <row r="20606" spans="13:16">
      <c r="M20606" s="49">
        <f>IF($A$4+205&gt;$B$4,"",$A$4+205)</f>
        <v>46228</v>
      </c>
      <c r="N20606">
        <f>IF(M20606="","",'Master Barang'!A100)</f>
        <v>0</v>
      </c>
      <c r="O20606">
        <f>IF(N20606="","",'Master Barang'!B100)</f>
        <v>0</v>
      </c>
      <c r="P20606">
        <f>IF(OR(M20606="",N20606=""),"",SUMIFS('Barang Keluar'!$E:$E,'Barang Keluar'!$A:$A,M20606,'Barang Keluar'!$C:$C,N20606))</f>
        <v>0</v>
      </c>
    </row>
    <row r="20607" spans="13:16">
      <c r="M20607" s="49">
        <f>IF($A$4+205&gt;$B$4,"",$A$4+205)</f>
        <v>46228</v>
      </c>
      <c r="N20607">
        <f>IF(M20607="","",'Master Barang'!A101)</f>
        <v>0</v>
      </c>
      <c r="O20607">
        <f>IF(N20607="","",'Master Barang'!B101)</f>
        <v>0</v>
      </c>
      <c r="P20607">
        <f>IF(OR(M20607="",N20607=""),"",SUMIFS('Barang Keluar'!$E:$E,'Barang Keluar'!$A:$A,M20607,'Barang Keluar'!$C:$C,N20607))</f>
        <v>0</v>
      </c>
    </row>
    <row r="20608" spans="13:16">
      <c r="M20608" s="49">
        <f>IF($A$4+206&gt;$B$4,"",$A$4+206)</f>
        <v>46229</v>
      </c>
      <c r="N20608" t="str">
        <f>IF(M20608="","",'Master Barang'!A2)</f>
        <v>PRL-001</v>
      </c>
      <c r="O20608" t="str">
        <f>IF(N20608="","",'Master Barang'!B2)</f>
        <v>natura desinfectant food grade 5l</v>
      </c>
      <c r="P20608">
        <f>IF(OR(M20608="",N20608=""),"",SUMIFS('Barang Keluar'!$E:$E,'Barang Keluar'!$A:$A,M20608,'Barang Keluar'!$C:$C,N20608))</f>
        <v>0</v>
      </c>
    </row>
    <row r="20609" spans="13:16">
      <c r="M20609" s="49">
        <f>IF($A$4+206&gt;$B$4,"",$A$4+206)</f>
        <v>46229</v>
      </c>
      <c r="N20609" t="str">
        <f>IF(M20609="","",'Master Barang'!A3)</f>
        <v>PRL-002</v>
      </c>
      <c r="O20609" t="str">
        <f>IF(N20609="","",'Master Barang'!B3)</f>
        <v>sunlight cairan pencuci piring 5l</v>
      </c>
      <c r="P20609">
        <f>IF(OR(M20609="",N20609=""),"",SUMIFS('Barang Keluar'!$E:$E,'Barang Keluar'!$A:$A,M20609,'Barang Keluar'!$C:$C,N20609))</f>
        <v>0</v>
      </c>
    </row>
    <row r="20610" spans="13:16">
      <c r="M20610" s="49">
        <f>IF($A$4+206&gt;$B$4,"",$A$4+206)</f>
        <v>46229</v>
      </c>
      <c r="N20610" t="str">
        <f>IF(M20610="","",'Master Barang'!A4)</f>
        <v>PRL-003</v>
      </c>
      <c r="O20610" t="str">
        <f>IF(N20610="","",'Master Barang'!B4)</f>
        <v>oixs cleaner 1l</v>
      </c>
      <c r="P20610">
        <f>IF(OR(M20610="",N20610=""),"",SUMIFS('Barang Keluar'!$E:$E,'Barang Keluar'!$A:$A,M20610,'Barang Keluar'!$C:$C,N20610))</f>
        <v>0</v>
      </c>
    </row>
    <row r="20611" spans="13:16">
      <c r="M20611" s="49">
        <f>IF($A$4+206&gt;$B$4,"",$A$4+206)</f>
        <v>46229</v>
      </c>
      <c r="N20611" t="str">
        <f>IF(M20611="","",'Master Barang'!A5)</f>
        <v>PRL-004</v>
      </c>
      <c r="O20611" t="str">
        <f>IF(N20611="","",'Master Barang'!B5)</f>
        <v>be clean tissue serbaguna</v>
      </c>
      <c r="P20611">
        <f>IF(OR(M20611="",N20611=""),"",SUMIFS('Barang Keluar'!$E:$E,'Barang Keluar'!$A:$A,M20611,'Barang Keluar'!$C:$C,N20611))</f>
        <v>0</v>
      </c>
    </row>
    <row r="20612" spans="13:16">
      <c r="M20612" s="49">
        <f>IF($A$4+206&gt;$B$4,"",$A$4+206)</f>
        <v>46229</v>
      </c>
      <c r="N20612" t="str">
        <f>IF(M20612="","",'Master Barang'!A6)</f>
        <v>PRL-005</v>
      </c>
      <c r="O20612" t="str">
        <f>IF(N20612="","",'Master Barang'!B6)</f>
        <v>spons cuci hijau</v>
      </c>
      <c r="P20612">
        <f>IF(OR(M20612="",N20612=""),"",SUMIFS('Barang Keluar'!$E:$E,'Barang Keluar'!$A:$A,M20612,'Barang Keluar'!$C:$C,N20612))</f>
        <v>0</v>
      </c>
    </row>
    <row r="20613" spans="13:16">
      <c r="M20613" s="49">
        <f>IF($A$4+206&gt;$B$4,"",$A$4+206)</f>
        <v>46229</v>
      </c>
      <c r="N20613" t="str">
        <f>IF(M20613="","",'Master Barang'!A7)</f>
        <v>PRL-006</v>
      </c>
      <c r="O20613" t="str">
        <f>IF(N20613="","",'Master Barang'!B7)</f>
        <v>sabut cuci stainless</v>
      </c>
      <c r="P20613">
        <f>IF(OR(M20613="",N20613=""),"",SUMIFS('Barang Keluar'!$E:$E,'Barang Keluar'!$A:$A,M20613,'Barang Keluar'!$C:$C,N20613))</f>
        <v>0</v>
      </c>
    </row>
    <row r="20614" spans="13:16">
      <c r="M20614" s="49">
        <f>IF($A$4+206&gt;$B$4,"",$A$4+206)</f>
        <v>46229</v>
      </c>
      <c r="N20614" t="str">
        <f>IF(M20614="","",'Master Barang'!A8)</f>
        <v>PRL-007</v>
      </c>
      <c r="O20614" t="str">
        <f>IF(N20614="","",'Master Barang'!B8)</f>
        <v>plastik kresek besar merah 50pc</v>
      </c>
      <c r="P20614">
        <f>IF(OR(M20614="",N20614=""),"",SUMIFS('Barang Keluar'!$E:$E,'Barang Keluar'!$A:$A,M20614,'Barang Keluar'!$C:$C,N20614))</f>
        <v>0</v>
      </c>
    </row>
    <row r="20615" spans="13:16">
      <c r="M20615" s="49">
        <f>IF($A$4+206&gt;$B$4,"",$A$4+206)</f>
        <v>46229</v>
      </c>
      <c r="N20615" t="str">
        <f>IF(M20615="","",'Master Barang'!A9)</f>
        <v>PRL-008</v>
      </c>
      <c r="O20615" t="str">
        <f>IF(N20615="","",'Master Barang'!B9)</f>
        <v>lap besar</v>
      </c>
      <c r="P20615">
        <f>IF(OR(M20615="",N20615=""),"",SUMIFS('Barang Keluar'!$E:$E,'Barang Keluar'!$A:$A,M20615,'Barang Keluar'!$C:$C,N20615))</f>
        <v>0</v>
      </c>
    </row>
    <row r="20616" spans="13:16">
      <c r="M20616" s="49">
        <f>IF($A$4+206&gt;$B$4,"",$A$4+206)</f>
        <v>46229</v>
      </c>
      <c r="N20616" t="str">
        <f>IF(M20616="","",'Master Barang'!A10)</f>
        <v>PRL-009</v>
      </c>
      <c r="O20616" t="str">
        <f>IF(N20616="","",'Master Barang'!B10)</f>
        <v>lap microfiber</v>
      </c>
      <c r="P20616">
        <f>IF(OR(M20616="",N20616=""),"",SUMIFS('Barang Keluar'!$E:$E,'Barang Keluar'!$A:$A,M20616,'Barang Keluar'!$C:$C,N20616))</f>
        <v>0</v>
      </c>
    </row>
    <row r="20617" spans="13:16">
      <c r="M20617" s="49">
        <f>IF($A$4+206&gt;$B$4,"",$A$4+206)</f>
        <v>46229</v>
      </c>
      <c r="N20617" t="str">
        <f>IF(M20617="","",'Master Barang'!A11)</f>
        <v>PRL-010</v>
      </c>
      <c r="O20617" t="str">
        <f>IF(N20617="","",'Master Barang'!B11)</f>
        <v>lap kecil</v>
      </c>
      <c r="P20617">
        <f>IF(OR(M20617="",N20617=""),"",SUMIFS('Barang Keluar'!$E:$E,'Barang Keluar'!$A:$A,M20617,'Barang Keluar'!$C:$C,N20617))</f>
        <v>0</v>
      </c>
    </row>
    <row r="20618" spans="13:16">
      <c r="M20618" s="49">
        <f>IF($A$4+206&gt;$B$4,"",$A$4+206)</f>
        <v>46229</v>
      </c>
      <c r="N20618" t="str">
        <f>IF(M20618="","",'Master Barang'!A12)</f>
        <v>PRL-011</v>
      </c>
      <c r="O20618" t="str">
        <f>IF(N20618="","",'Master Barang'!B12)</f>
        <v>kanebo kecil</v>
      </c>
      <c r="P20618">
        <f>IF(OR(M20618="",N20618=""),"",SUMIFS('Barang Keluar'!$E:$E,'Barang Keluar'!$A:$A,M20618,'Barang Keluar'!$C:$C,N20618))</f>
        <v>0</v>
      </c>
    </row>
    <row r="20619" spans="13:16">
      <c r="M20619" s="49">
        <f>IF($A$4+206&gt;$B$4,"",$A$4+206)</f>
        <v>46229</v>
      </c>
      <c r="N20619" t="str">
        <f>IF(M20619="","",'Master Barang'!A13)</f>
        <v>PRL-012</v>
      </c>
      <c r="O20619" t="str">
        <f>IF(N20619="","",'Master Barang'!B13)</f>
        <v>plastik 1/4kg joyoboyo 100 lembar</v>
      </c>
      <c r="P20619">
        <f>IF(OR(M20619="",N20619=""),"",SUMIFS('Barang Keluar'!$E:$E,'Barang Keluar'!$A:$A,M20619,'Barang Keluar'!$C:$C,N20619))</f>
        <v>0</v>
      </c>
    </row>
    <row r="20620" spans="13:16">
      <c r="M20620" s="49">
        <f>IF($A$4+206&gt;$B$4,"",$A$4+206)</f>
        <v>46229</v>
      </c>
      <c r="N20620" t="str">
        <f>IF(M20620="","",'Master Barang'!A14)</f>
        <v>PRL-013</v>
      </c>
      <c r="O20620" t="str">
        <f>IF(N20620="","",'Master Barang'!B14)</f>
        <v>sarung tangan plastik kaka 100 pcs</v>
      </c>
      <c r="P20620">
        <f>IF(OR(M20620="",N20620=""),"",SUMIFS('Barang Keluar'!$E:$E,'Barang Keluar'!$A:$A,M20620,'Barang Keluar'!$C:$C,N20620))</f>
        <v>0</v>
      </c>
    </row>
    <row r="20621" spans="13:16">
      <c r="M20621" s="49">
        <f>IF($A$4+206&gt;$B$4,"",$A$4+206)</f>
        <v>46229</v>
      </c>
      <c r="N20621" t="str">
        <f>IF(M20621="","",'Master Barang'!A15)</f>
        <v>PRL-014</v>
      </c>
      <c r="O20621" t="str">
        <f>IF(N20621="","",'Master Barang'!B15)</f>
        <v>optima trashbag 80x100</v>
      </c>
      <c r="P20621">
        <f>IF(OR(M20621="",N20621=""),"",SUMIFS('Barang Keluar'!$E:$E,'Barang Keluar'!$A:$A,M20621,'Barang Keluar'!$C:$C,N20621))</f>
        <v>0</v>
      </c>
    </row>
    <row r="20622" spans="13:16">
      <c r="M20622" s="49">
        <f>IF($A$4+206&gt;$B$4,"",$A$4+206)</f>
        <v>46229</v>
      </c>
      <c r="N20622" t="str">
        <f>IF(M20622="","",'Master Barang'!A16)</f>
        <v>PRL-015</v>
      </c>
      <c r="O20622" t="str">
        <f>IF(N20622="","",'Master Barang'!B16)</f>
        <v>optima trashbag 60x100</v>
      </c>
      <c r="P20622">
        <f>IF(OR(M20622="",N20622=""),"",SUMIFS('Barang Keluar'!$E:$E,'Barang Keluar'!$A:$A,M20622,'Barang Keluar'!$C:$C,N20622))</f>
        <v>0</v>
      </c>
    </row>
    <row r="20623" spans="13:16">
      <c r="M20623" s="49">
        <f>IF($A$4+206&gt;$B$4,"",$A$4+206)</f>
        <v>46229</v>
      </c>
      <c r="N20623" t="str">
        <f>IF(M20623="","",'Master Barang'!A17)</f>
        <v>PRL-016</v>
      </c>
      <c r="O20623" t="str">
        <f>IF(N20623="","",'Master Barang'!B17)</f>
        <v>rajawali trashbag 30x40</v>
      </c>
      <c r="P20623">
        <f>IF(OR(M20623="",N20623=""),"",SUMIFS('Barang Keluar'!$E:$E,'Barang Keluar'!$A:$A,M20623,'Barang Keluar'!$C:$C,N20623))</f>
        <v>0</v>
      </c>
    </row>
    <row r="20624" spans="13:16">
      <c r="M20624" s="49">
        <f>IF($A$4+206&gt;$B$4,"",$A$4+206)</f>
        <v>46229</v>
      </c>
      <c r="N20624" t="str">
        <f>IF(M20624="","",'Master Barang'!A18)</f>
        <v>PRL-017</v>
      </c>
      <c r="O20624" t="str">
        <f>IF(N20624="","",'Master Barang'!B18)</f>
        <v>onemed masker biru 3 play 50 pcs</v>
      </c>
      <c r="P20624">
        <f>IF(OR(M20624="",N20624=""),"",SUMIFS('Barang Keluar'!$E:$E,'Barang Keluar'!$A:$A,M20624,'Barang Keluar'!$C:$C,N20624))</f>
        <v>0</v>
      </c>
    </row>
    <row r="20625" spans="13:16">
      <c r="M20625" s="49">
        <f>IF($A$4+206&gt;$B$4,"",$A$4+206)</f>
        <v>46229</v>
      </c>
      <c r="N20625" t="str">
        <f>IF(M20625="","",'Master Barang'!A19)</f>
        <v>PRL-018</v>
      </c>
      <c r="O20625" t="str">
        <f>IF(N20625="","",'Master Barang'!B19)</f>
        <v>onemed masker biru 3 play hijab 50 pcs</v>
      </c>
      <c r="P20625">
        <f>IF(OR(M20625="",N20625=""),"",SUMIFS('Barang Keluar'!$E:$E,'Barang Keluar'!$A:$A,M20625,'Barang Keluar'!$C:$C,N20625))</f>
        <v>0</v>
      </c>
    </row>
    <row r="20626" spans="13:16">
      <c r="M20626" s="49">
        <f>IF($A$4+206&gt;$B$4,"",$A$4+206)</f>
        <v>46229</v>
      </c>
      <c r="N20626" t="str">
        <f>IF(M20626="","",'Master Barang'!A20)</f>
        <v>PRL-019</v>
      </c>
      <c r="O20626" t="str">
        <f>IF(N20626="","",'Master Barang'!B20)</f>
        <v>neo health masker biru 3 play 50 pcs</v>
      </c>
      <c r="P20626">
        <f>IF(OR(M20626="",N20626=""),"",SUMIFS('Barang Keluar'!$E:$E,'Barang Keluar'!$A:$A,M20626,'Barang Keluar'!$C:$C,N20626))</f>
        <v>0</v>
      </c>
    </row>
    <row r="20627" spans="13:16">
      <c r="M20627" s="49">
        <f>IF($A$4+206&gt;$B$4,"",$A$4+206)</f>
        <v>46229</v>
      </c>
      <c r="N20627" t="str">
        <f>IF(M20627="","",'Master Barang'!A21)</f>
        <v>PRL-020</v>
      </c>
      <c r="O20627" t="str">
        <f>IF(N20627="","",'Master Barang'!B21)</f>
        <v>baymed masker hijau 3 play hijau 50 pcs</v>
      </c>
      <c r="P20627">
        <f>IF(OR(M20627="",N20627=""),"",SUMIFS('Barang Keluar'!$E:$E,'Barang Keluar'!$A:$A,M20627,'Barang Keluar'!$C:$C,N20627))</f>
        <v>0</v>
      </c>
    </row>
    <row r="20628" spans="13:16">
      <c r="M20628" s="49">
        <f>IF($A$4+206&gt;$B$4,"",$A$4+206)</f>
        <v>46229</v>
      </c>
      <c r="N20628" t="str">
        <f>IF(M20628="","",'Master Barang'!A22)</f>
        <v>PRL-021</v>
      </c>
      <c r="O20628" t="str">
        <f>IF(N20628="","",'Master Barang'!B22)</f>
        <v>altamed nurse cap penutup kepala 100 pcs</v>
      </c>
      <c r="P20628">
        <f>IF(OR(M20628="",N20628=""),"",SUMIFS('Barang Keluar'!$E:$E,'Barang Keluar'!$A:$A,M20628,'Barang Keluar'!$C:$C,N20628))</f>
        <v>0</v>
      </c>
    </row>
    <row r="20629" spans="13:16">
      <c r="M20629" s="49">
        <f>IF($A$4+206&gt;$B$4,"",$A$4+206)</f>
        <v>46229</v>
      </c>
      <c r="N20629" t="str">
        <f>IF(M20629="","",'Master Barang'!A23)</f>
        <v>PRL-022</v>
      </c>
      <c r="O20629" t="str">
        <f>IF(N20629="","",'Master Barang'!B23)</f>
        <v>sabun cuci tangan</v>
      </c>
      <c r="P20629">
        <f>IF(OR(M20629="",N20629=""),"",SUMIFS('Barang Keluar'!$E:$E,'Barang Keluar'!$A:$A,M20629,'Barang Keluar'!$C:$C,N20629))</f>
        <v>0</v>
      </c>
    </row>
    <row r="20630" spans="13:16">
      <c r="M20630" s="49">
        <f>IF($A$4+206&gt;$B$4,"",$A$4+206)</f>
        <v>46229</v>
      </c>
      <c r="N20630" t="str">
        <f>IF(M20630="","",'Master Barang'!A24)</f>
        <v>PRL-023</v>
      </c>
      <c r="O20630" t="str">
        <f>IF(N20630="","",'Master Barang'!B24)</f>
        <v>gayung kecil</v>
      </c>
      <c r="P20630">
        <f>IF(OR(M20630="",N20630=""),"",SUMIFS('Barang Keluar'!$E:$E,'Barang Keluar'!$A:$A,M20630,'Barang Keluar'!$C:$C,N20630))</f>
        <v>0</v>
      </c>
    </row>
    <row r="20631" spans="13:16">
      <c r="M20631" s="49">
        <f>IF($A$4+206&gt;$B$4,"",$A$4+206)</f>
        <v>46229</v>
      </c>
      <c r="N20631" t="str">
        <f>IF(M20631="","",'Master Barang'!A25)</f>
        <v>PRL-024</v>
      </c>
      <c r="O20631" t="str">
        <f>IF(N20631="","",'Master Barang'!B25)</f>
        <v>cikrak kecil</v>
      </c>
      <c r="P20631">
        <f>IF(OR(M20631="",N20631=""),"",SUMIFS('Barang Keluar'!$E:$E,'Barang Keluar'!$A:$A,M20631,'Barang Keluar'!$C:$C,N20631))</f>
        <v>0</v>
      </c>
    </row>
    <row r="20632" spans="13:16">
      <c r="M20632" s="49">
        <f>IF($A$4+206&gt;$B$4,"",$A$4+206)</f>
        <v>46229</v>
      </c>
      <c r="N20632" t="str">
        <f>IF(M20632="","",'Master Barang'!A26)</f>
        <v>PRL-025</v>
      </c>
      <c r="O20632" t="str">
        <f>IF(N20632="","",'Master Barang'!B26)</f>
        <v>petromax plastik kecil 12x24 100 lembar</v>
      </c>
      <c r="P20632">
        <f>IF(OR(M20632="",N20632=""),"",SUMIFS('Barang Keluar'!$E:$E,'Barang Keluar'!$A:$A,M20632,'Barang Keluar'!$C:$C,N20632))</f>
        <v>0</v>
      </c>
    </row>
    <row r="20633" spans="13:16">
      <c r="M20633" s="49">
        <f>IF($A$4+206&gt;$B$4,"",$A$4+206)</f>
        <v>46229</v>
      </c>
      <c r="N20633" t="str">
        <f>IF(M20633="","",'Master Barang'!A27)</f>
        <v>PRL-026</v>
      </c>
      <c r="O20633" t="str">
        <f>IF(N20633="","",'Master Barang'!B27)</f>
        <v>lancar kresek kecil bening </v>
      </c>
      <c r="P20633">
        <f>IF(OR(M20633="",N20633=""),"",SUMIFS('Barang Keluar'!$E:$E,'Barang Keluar'!$A:$A,M20633,'Barang Keluar'!$C:$C,N20633))</f>
        <v>0</v>
      </c>
    </row>
    <row r="20634" spans="13:16">
      <c r="M20634" s="49">
        <f>IF($A$4+206&gt;$B$4,"",$A$4+206)</f>
        <v>46229</v>
      </c>
      <c r="N20634" t="str">
        <f>IF(M20634="","",'Master Barang'!A28)</f>
        <v>PRL-027</v>
      </c>
      <c r="O20634" t="str">
        <f>IF(N20634="","",'Master Barang'!B28)</f>
        <v>kresek klin warna warni kecil</v>
      </c>
      <c r="P20634">
        <f>IF(OR(M20634="",N20634=""),"",SUMIFS('Barang Keluar'!$E:$E,'Barang Keluar'!$A:$A,M20634,'Barang Keluar'!$C:$C,N20634))</f>
        <v>0</v>
      </c>
    </row>
    <row r="20635" spans="13:16">
      <c r="M20635" s="49">
        <f>IF($A$4+206&gt;$B$4,"",$A$4+206)</f>
        <v>46229</v>
      </c>
      <c r="N20635" t="str">
        <f>IF(M20635="","",'Master Barang'!A29)</f>
        <v>PRL-028</v>
      </c>
      <c r="O20635" t="str">
        <f>IF(N20635="","",'Master Barang'!B29)</f>
        <v>ctik plastik 7x10 100 pcs</v>
      </c>
      <c r="P20635">
        <f>IF(OR(M20635="",N20635=""),"",SUMIFS('Barang Keluar'!$E:$E,'Barang Keluar'!$A:$A,M20635,'Barang Keluar'!$C:$C,N20635))</f>
        <v>0</v>
      </c>
    </row>
    <row r="20636" spans="13:16">
      <c r="M20636" s="49">
        <f>IF($A$4+206&gt;$B$4,"",$A$4+206)</f>
        <v>46229</v>
      </c>
      <c r="N20636" t="str">
        <f>IF(M20636="","",'Master Barang'!A30)</f>
        <v>PRL-029</v>
      </c>
      <c r="O20636" t="str">
        <f>IF(N20636="","",'Master Barang'!B30)</f>
        <v>ctik plastik 6x10 100 pcs</v>
      </c>
      <c r="P20636">
        <f>IF(OR(M20636="",N20636=""),"",SUMIFS('Barang Keluar'!$E:$E,'Barang Keluar'!$A:$A,M20636,'Barang Keluar'!$C:$C,N20636))</f>
        <v>0</v>
      </c>
    </row>
    <row r="20637" spans="13:16">
      <c r="M20637" s="49">
        <f>IF($A$4+206&gt;$B$4,"",$A$4+206)</f>
        <v>46229</v>
      </c>
      <c r="N20637" t="str">
        <f>IF(M20637="","",'Master Barang'!A31)</f>
        <v>PRL-030</v>
      </c>
      <c r="O20637" t="str">
        <f>IF(N20637="","",'Master Barang'!B31)</f>
        <v>klip plastik 25x16 100 pcs</v>
      </c>
      <c r="P20637">
        <f>IF(OR(M20637="",N20637=""),"",SUMIFS('Barang Keluar'!$E:$E,'Barang Keluar'!$A:$A,M20637,'Barang Keluar'!$C:$C,N20637))</f>
        <v>0</v>
      </c>
    </row>
    <row r="20638" spans="13:16">
      <c r="M20638" s="49">
        <f>IF($A$4+206&gt;$B$4,"",$A$4+206)</f>
        <v>46229</v>
      </c>
      <c r="N20638" t="str">
        <f>IF(M20638="","",'Master Barang'!A32)</f>
        <v>PRL-031</v>
      </c>
      <c r="O20638" t="str">
        <f>IF(N20638="","",'Master Barang'!B32)</f>
        <v>tempat saus 20 ml</v>
      </c>
      <c r="P20638">
        <f>IF(OR(M20638="",N20638=""),"",SUMIFS('Barang Keluar'!$E:$E,'Barang Keluar'!$A:$A,M20638,'Barang Keluar'!$C:$C,N20638))</f>
        <v>0</v>
      </c>
    </row>
    <row r="20639" spans="13:16">
      <c r="M20639" s="49">
        <f>IF($A$4+206&gt;$B$4,"",$A$4+206)</f>
        <v>46229</v>
      </c>
      <c r="N20639" t="str">
        <f>IF(M20639="","",'Master Barang'!A33)</f>
        <v>PRL-032</v>
      </c>
      <c r="O20639" t="str">
        <f>IF(N20639="","",'Master Barang'!B33)</f>
        <v>plastik packaging ag box uk sedang</v>
      </c>
      <c r="P20639">
        <f>IF(OR(M20639="",N20639=""),"",SUMIFS('Barang Keluar'!$E:$E,'Barang Keluar'!$A:$A,M20639,'Barang Keluar'!$C:$C,N20639))</f>
        <v>0</v>
      </c>
    </row>
    <row r="20640" spans="13:16">
      <c r="M20640" s="49">
        <f>IF($A$4+206&gt;$B$4,"",$A$4+206)</f>
        <v>46229</v>
      </c>
      <c r="N20640" t="str">
        <f>IF(M20640="","",'Master Barang'!A34)</f>
        <v>PRL-033</v>
      </c>
      <c r="O20640">
        <f>IF(N20640="","",'Master Barang'!B34)</f>
        <v>0</v>
      </c>
      <c r="P20640">
        <f>IF(OR(M20640="",N20640=""),"",SUMIFS('Barang Keluar'!$E:$E,'Barang Keluar'!$A:$A,M20640,'Barang Keluar'!$C:$C,N20640))</f>
        <v>0</v>
      </c>
    </row>
    <row r="20641" spans="13:16">
      <c r="M20641" s="49">
        <f>IF($A$4+206&gt;$B$4,"",$A$4+206)</f>
        <v>46229</v>
      </c>
      <c r="N20641">
        <f>IF(M20641="","",'Master Barang'!A35)</f>
        <v>0</v>
      </c>
      <c r="O20641">
        <f>IF(N20641="","",'Master Barang'!B35)</f>
        <v>0</v>
      </c>
      <c r="P20641">
        <f>IF(OR(M20641="",N20641=""),"",SUMIFS('Barang Keluar'!$E:$E,'Barang Keluar'!$A:$A,M20641,'Barang Keluar'!$C:$C,N20641))</f>
        <v>0</v>
      </c>
    </row>
    <row r="20642" spans="13:16">
      <c r="M20642" s="49">
        <f>IF($A$4+206&gt;$B$4,"",$A$4+206)</f>
        <v>46229</v>
      </c>
      <c r="N20642">
        <f>IF(M20642="","",'Master Barang'!A36)</f>
        <v>0</v>
      </c>
      <c r="O20642">
        <f>IF(N20642="","",'Master Barang'!B36)</f>
        <v>0</v>
      </c>
      <c r="P20642">
        <f>IF(OR(M20642="",N20642=""),"",SUMIFS('Barang Keluar'!$E:$E,'Barang Keluar'!$A:$A,M20642,'Barang Keluar'!$C:$C,N20642))</f>
        <v>0</v>
      </c>
    </row>
    <row r="20643" spans="13:16">
      <c r="M20643" s="49">
        <f>IF($A$4+206&gt;$B$4,"",$A$4+206)</f>
        <v>46229</v>
      </c>
      <c r="N20643">
        <f>IF(M20643="","",'Master Barang'!A37)</f>
        <v>0</v>
      </c>
      <c r="O20643">
        <f>IF(N20643="","",'Master Barang'!B37)</f>
        <v>0</v>
      </c>
      <c r="P20643">
        <f>IF(OR(M20643="",N20643=""),"",SUMIFS('Barang Keluar'!$E:$E,'Barang Keluar'!$A:$A,M20643,'Barang Keluar'!$C:$C,N20643))</f>
        <v>0</v>
      </c>
    </row>
    <row r="20644" spans="13:16">
      <c r="M20644" s="49">
        <f>IF($A$4+206&gt;$B$4,"",$A$4+206)</f>
        <v>46229</v>
      </c>
      <c r="N20644">
        <f>IF(M20644="","",'Master Barang'!A38)</f>
        <v>0</v>
      </c>
      <c r="O20644">
        <f>IF(N20644="","",'Master Barang'!B38)</f>
        <v>0</v>
      </c>
      <c r="P20644">
        <f>IF(OR(M20644="",N20644=""),"",SUMIFS('Barang Keluar'!$E:$E,'Barang Keluar'!$A:$A,M20644,'Barang Keluar'!$C:$C,N20644))</f>
        <v>0</v>
      </c>
    </row>
    <row r="20645" spans="13:16">
      <c r="M20645" s="49">
        <f>IF($A$4+206&gt;$B$4,"",$A$4+206)</f>
        <v>46229</v>
      </c>
      <c r="N20645">
        <f>IF(M20645="","",'Master Barang'!A39)</f>
        <v>0</v>
      </c>
      <c r="O20645">
        <f>IF(N20645="","",'Master Barang'!B39)</f>
        <v>0</v>
      </c>
      <c r="P20645">
        <f>IF(OR(M20645="",N20645=""),"",SUMIFS('Barang Keluar'!$E:$E,'Barang Keluar'!$A:$A,M20645,'Barang Keluar'!$C:$C,N20645))</f>
        <v>0</v>
      </c>
    </row>
    <row r="20646" spans="13:16">
      <c r="M20646" s="49">
        <f>IF($A$4+206&gt;$B$4,"",$A$4+206)</f>
        <v>46229</v>
      </c>
      <c r="N20646">
        <f>IF(M20646="","",'Master Barang'!A40)</f>
        <v>0</v>
      </c>
      <c r="O20646">
        <f>IF(N20646="","",'Master Barang'!B40)</f>
        <v>0</v>
      </c>
      <c r="P20646">
        <f>IF(OR(M20646="",N20646=""),"",SUMIFS('Barang Keluar'!$E:$E,'Barang Keluar'!$A:$A,M20646,'Barang Keluar'!$C:$C,N20646))</f>
        <v>0</v>
      </c>
    </row>
    <row r="20647" spans="13:16">
      <c r="M20647" s="49">
        <f>IF($A$4+206&gt;$B$4,"",$A$4+206)</f>
        <v>46229</v>
      </c>
      <c r="N20647">
        <f>IF(M20647="","",'Master Barang'!A41)</f>
        <v>0</v>
      </c>
      <c r="O20647">
        <f>IF(N20647="","",'Master Barang'!B41)</f>
        <v>0</v>
      </c>
      <c r="P20647">
        <f>IF(OR(M20647="",N20647=""),"",SUMIFS('Barang Keluar'!$E:$E,'Barang Keluar'!$A:$A,M20647,'Barang Keluar'!$C:$C,N20647))</f>
        <v>0</v>
      </c>
    </row>
    <row r="20648" spans="13:16">
      <c r="M20648" s="49">
        <f>IF($A$4+206&gt;$B$4,"",$A$4+206)</f>
        <v>46229</v>
      </c>
      <c r="N20648">
        <f>IF(M20648="","",'Master Barang'!A42)</f>
        <v>0</v>
      </c>
      <c r="O20648">
        <f>IF(N20648="","",'Master Barang'!B42)</f>
        <v>0</v>
      </c>
      <c r="P20648">
        <f>IF(OR(M20648="",N20648=""),"",SUMIFS('Barang Keluar'!$E:$E,'Barang Keluar'!$A:$A,M20648,'Barang Keluar'!$C:$C,N20648))</f>
        <v>0</v>
      </c>
    </row>
    <row r="20649" spans="13:16">
      <c r="M20649" s="49">
        <f>IF($A$4+206&gt;$B$4,"",$A$4+206)</f>
        <v>46229</v>
      </c>
      <c r="N20649">
        <f>IF(M20649="","",'Master Barang'!A43)</f>
        <v>0</v>
      </c>
      <c r="O20649">
        <f>IF(N20649="","",'Master Barang'!B43)</f>
        <v>0</v>
      </c>
      <c r="P20649">
        <f>IF(OR(M20649="",N20649=""),"",SUMIFS('Barang Keluar'!$E:$E,'Barang Keluar'!$A:$A,M20649,'Barang Keluar'!$C:$C,N20649))</f>
        <v>0</v>
      </c>
    </row>
    <row r="20650" spans="13:16">
      <c r="M20650" s="49">
        <f>IF($A$4+206&gt;$B$4,"",$A$4+206)</f>
        <v>46229</v>
      </c>
      <c r="N20650">
        <f>IF(M20650="","",'Master Barang'!A44)</f>
        <v>0</v>
      </c>
      <c r="O20650">
        <f>IF(N20650="","",'Master Barang'!B44)</f>
        <v>0</v>
      </c>
      <c r="P20650">
        <f>IF(OR(M20650="",N20650=""),"",SUMIFS('Barang Keluar'!$E:$E,'Barang Keluar'!$A:$A,M20650,'Barang Keluar'!$C:$C,N20650))</f>
        <v>0</v>
      </c>
    </row>
    <row r="20651" spans="13:16">
      <c r="M20651" s="49">
        <f>IF($A$4+206&gt;$B$4,"",$A$4+206)</f>
        <v>46229</v>
      </c>
      <c r="N20651">
        <f>IF(M20651="","",'Master Barang'!A45)</f>
        <v>0</v>
      </c>
      <c r="O20651">
        <f>IF(N20651="","",'Master Barang'!B45)</f>
        <v>0</v>
      </c>
      <c r="P20651">
        <f>IF(OR(M20651="",N20651=""),"",SUMIFS('Barang Keluar'!$E:$E,'Barang Keluar'!$A:$A,M20651,'Barang Keluar'!$C:$C,N20651))</f>
        <v>0</v>
      </c>
    </row>
    <row r="20652" spans="13:16">
      <c r="M20652" s="49">
        <f>IF($A$4+206&gt;$B$4,"",$A$4+206)</f>
        <v>46229</v>
      </c>
      <c r="N20652">
        <f>IF(M20652="","",'Master Barang'!A46)</f>
        <v>0</v>
      </c>
      <c r="O20652">
        <f>IF(N20652="","",'Master Barang'!B46)</f>
        <v>0</v>
      </c>
      <c r="P20652">
        <f>IF(OR(M20652="",N20652=""),"",SUMIFS('Barang Keluar'!$E:$E,'Barang Keluar'!$A:$A,M20652,'Barang Keluar'!$C:$C,N20652))</f>
        <v>0</v>
      </c>
    </row>
    <row r="20653" spans="13:16">
      <c r="M20653" s="49">
        <f>IF($A$4+206&gt;$B$4,"",$A$4+206)</f>
        <v>46229</v>
      </c>
      <c r="N20653">
        <f>IF(M20653="","",'Master Barang'!A47)</f>
        <v>0</v>
      </c>
      <c r="O20653">
        <f>IF(N20653="","",'Master Barang'!B47)</f>
        <v>0</v>
      </c>
      <c r="P20653">
        <f>IF(OR(M20653="",N20653=""),"",SUMIFS('Barang Keluar'!$E:$E,'Barang Keluar'!$A:$A,M20653,'Barang Keluar'!$C:$C,N20653))</f>
        <v>0</v>
      </c>
    </row>
    <row r="20654" spans="13:16">
      <c r="M20654" s="49">
        <f>IF($A$4+206&gt;$B$4,"",$A$4+206)</f>
        <v>46229</v>
      </c>
      <c r="N20654">
        <f>IF(M20654="","",'Master Barang'!A48)</f>
        <v>0</v>
      </c>
      <c r="O20654">
        <f>IF(N20654="","",'Master Barang'!B48)</f>
        <v>0</v>
      </c>
      <c r="P20654">
        <f>IF(OR(M20654="",N20654=""),"",SUMIFS('Barang Keluar'!$E:$E,'Barang Keluar'!$A:$A,M20654,'Barang Keluar'!$C:$C,N20654))</f>
        <v>0</v>
      </c>
    </row>
    <row r="20655" spans="13:16">
      <c r="M20655" s="49">
        <f>IF($A$4+206&gt;$B$4,"",$A$4+206)</f>
        <v>46229</v>
      </c>
      <c r="N20655">
        <f>IF(M20655="","",'Master Barang'!A49)</f>
        <v>0</v>
      </c>
      <c r="O20655">
        <f>IF(N20655="","",'Master Barang'!B49)</f>
        <v>0</v>
      </c>
      <c r="P20655">
        <f>IF(OR(M20655="",N20655=""),"",SUMIFS('Barang Keluar'!$E:$E,'Barang Keluar'!$A:$A,M20655,'Barang Keluar'!$C:$C,N20655))</f>
        <v>0</v>
      </c>
    </row>
    <row r="20656" spans="13:16">
      <c r="M20656" s="49">
        <f>IF($A$4+206&gt;$B$4,"",$A$4+206)</f>
        <v>46229</v>
      </c>
      <c r="N20656">
        <f>IF(M20656="","",'Master Barang'!A50)</f>
        <v>0</v>
      </c>
      <c r="O20656">
        <f>IF(N20656="","",'Master Barang'!B50)</f>
        <v>0</v>
      </c>
      <c r="P20656">
        <f>IF(OR(M20656="",N20656=""),"",SUMIFS('Barang Keluar'!$E:$E,'Barang Keluar'!$A:$A,M20656,'Barang Keluar'!$C:$C,N20656))</f>
        <v>0</v>
      </c>
    </row>
    <row r="20657" spans="13:16">
      <c r="M20657" s="49">
        <f>IF($A$4+206&gt;$B$4,"",$A$4+206)</f>
        <v>46229</v>
      </c>
      <c r="N20657">
        <f>IF(M20657="","",'Master Barang'!A51)</f>
        <v>0</v>
      </c>
      <c r="O20657">
        <f>IF(N20657="","",'Master Barang'!B51)</f>
        <v>0</v>
      </c>
      <c r="P20657">
        <f>IF(OR(M20657="",N20657=""),"",SUMIFS('Barang Keluar'!$E:$E,'Barang Keluar'!$A:$A,M20657,'Barang Keluar'!$C:$C,N20657))</f>
        <v>0</v>
      </c>
    </row>
    <row r="20658" spans="13:16">
      <c r="M20658" s="49">
        <f>IF($A$4+206&gt;$B$4,"",$A$4+206)</f>
        <v>46229</v>
      </c>
      <c r="N20658">
        <f>IF(M20658="","",'Master Barang'!A52)</f>
        <v>0</v>
      </c>
      <c r="O20658">
        <f>IF(N20658="","",'Master Barang'!B52)</f>
        <v>0</v>
      </c>
      <c r="P20658">
        <f>IF(OR(M20658="",N20658=""),"",SUMIFS('Barang Keluar'!$E:$E,'Barang Keluar'!$A:$A,M20658,'Barang Keluar'!$C:$C,N20658))</f>
        <v>0</v>
      </c>
    </row>
    <row r="20659" spans="13:16">
      <c r="M20659" s="49">
        <f>IF($A$4+206&gt;$B$4,"",$A$4+206)</f>
        <v>46229</v>
      </c>
      <c r="N20659">
        <f>IF(M20659="","",'Master Barang'!A53)</f>
        <v>0</v>
      </c>
      <c r="O20659">
        <f>IF(N20659="","",'Master Barang'!B53)</f>
        <v>0</v>
      </c>
      <c r="P20659">
        <f>IF(OR(M20659="",N20659=""),"",SUMIFS('Barang Keluar'!$E:$E,'Barang Keluar'!$A:$A,M20659,'Barang Keluar'!$C:$C,N20659))</f>
        <v>0</v>
      </c>
    </row>
    <row r="20660" spans="13:16">
      <c r="M20660" s="49">
        <f>IF($A$4+206&gt;$B$4,"",$A$4+206)</f>
        <v>46229</v>
      </c>
      <c r="N20660">
        <f>IF(M20660="","",'Master Barang'!A54)</f>
        <v>0</v>
      </c>
      <c r="O20660">
        <f>IF(N20660="","",'Master Barang'!B54)</f>
        <v>0</v>
      </c>
      <c r="P20660">
        <f>IF(OR(M20660="",N20660=""),"",SUMIFS('Barang Keluar'!$E:$E,'Barang Keluar'!$A:$A,M20660,'Barang Keluar'!$C:$C,N20660))</f>
        <v>0</v>
      </c>
    </row>
    <row r="20661" spans="13:16">
      <c r="M20661" s="49">
        <f>IF($A$4+206&gt;$B$4,"",$A$4+206)</f>
        <v>46229</v>
      </c>
      <c r="N20661">
        <f>IF(M20661="","",'Master Barang'!A55)</f>
        <v>0</v>
      </c>
      <c r="O20661">
        <f>IF(N20661="","",'Master Barang'!B55)</f>
        <v>0</v>
      </c>
      <c r="P20661">
        <f>IF(OR(M20661="",N20661=""),"",SUMIFS('Barang Keluar'!$E:$E,'Barang Keluar'!$A:$A,M20661,'Barang Keluar'!$C:$C,N20661))</f>
        <v>0</v>
      </c>
    </row>
    <row r="20662" spans="13:16">
      <c r="M20662" s="49">
        <f>IF($A$4+206&gt;$B$4,"",$A$4+206)</f>
        <v>46229</v>
      </c>
      <c r="N20662">
        <f>IF(M20662="","",'Master Barang'!A56)</f>
        <v>0</v>
      </c>
      <c r="O20662">
        <f>IF(N20662="","",'Master Barang'!B56)</f>
        <v>0</v>
      </c>
      <c r="P20662">
        <f>IF(OR(M20662="",N20662=""),"",SUMIFS('Barang Keluar'!$E:$E,'Barang Keluar'!$A:$A,M20662,'Barang Keluar'!$C:$C,N20662))</f>
        <v>0</v>
      </c>
    </row>
    <row r="20663" spans="13:16">
      <c r="M20663" s="49">
        <f>IF($A$4+206&gt;$B$4,"",$A$4+206)</f>
        <v>46229</v>
      </c>
      <c r="N20663">
        <f>IF(M20663="","",'Master Barang'!A57)</f>
        <v>0</v>
      </c>
      <c r="O20663">
        <f>IF(N20663="","",'Master Barang'!B57)</f>
        <v>0</v>
      </c>
      <c r="P20663">
        <f>IF(OR(M20663="",N20663=""),"",SUMIFS('Barang Keluar'!$E:$E,'Barang Keluar'!$A:$A,M20663,'Barang Keluar'!$C:$C,N20663))</f>
        <v>0</v>
      </c>
    </row>
    <row r="20664" spans="13:16">
      <c r="M20664" s="49">
        <f>IF($A$4+206&gt;$B$4,"",$A$4+206)</f>
        <v>46229</v>
      </c>
      <c r="N20664">
        <f>IF(M20664="","",'Master Barang'!A58)</f>
        <v>0</v>
      </c>
      <c r="O20664">
        <f>IF(N20664="","",'Master Barang'!B58)</f>
        <v>0</v>
      </c>
      <c r="P20664">
        <f>IF(OR(M20664="",N20664=""),"",SUMIFS('Barang Keluar'!$E:$E,'Barang Keluar'!$A:$A,M20664,'Barang Keluar'!$C:$C,N20664))</f>
        <v>0</v>
      </c>
    </row>
    <row r="20665" spans="13:16">
      <c r="M20665" s="49">
        <f>IF($A$4+206&gt;$B$4,"",$A$4+206)</f>
        <v>46229</v>
      </c>
      <c r="N20665">
        <f>IF(M20665="","",'Master Barang'!A59)</f>
        <v>0</v>
      </c>
      <c r="O20665">
        <f>IF(N20665="","",'Master Barang'!B59)</f>
        <v>0</v>
      </c>
      <c r="P20665">
        <f>IF(OR(M20665="",N20665=""),"",SUMIFS('Barang Keluar'!$E:$E,'Barang Keluar'!$A:$A,M20665,'Barang Keluar'!$C:$C,N20665))</f>
        <v>0</v>
      </c>
    </row>
    <row r="20666" spans="13:16">
      <c r="M20666" s="49">
        <f>IF($A$4+206&gt;$B$4,"",$A$4+206)</f>
        <v>46229</v>
      </c>
      <c r="N20666">
        <f>IF(M20666="","",'Master Barang'!A60)</f>
        <v>0</v>
      </c>
      <c r="O20666">
        <f>IF(N20666="","",'Master Barang'!B60)</f>
        <v>0</v>
      </c>
      <c r="P20666">
        <f>IF(OR(M20666="",N20666=""),"",SUMIFS('Barang Keluar'!$E:$E,'Barang Keluar'!$A:$A,M20666,'Barang Keluar'!$C:$C,N20666))</f>
        <v>0</v>
      </c>
    </row>
    <row r="20667" spans="13:16">
      <c r="M20667" s="49">
        <f>IF($A$4+206&gt;$B$4,"",$A$4+206)</f>
        <v>46229</v>
      </c>
      <c r="N20667">
        <f>IF(M20667="","",'Master Barang'!A61)</f>
        <v>0</v>
      </c>
      <c r="O20667">
        <f>IF(N20667="","",'Master Barang'!B61)</f>
        <v>0</v>
      </c>
      <c r="P20667">
        <f>IF(OR(M20667="",N20667=""),"",SUMIFS('Barang Keluar'!$E:$E,'Barang Keluar'!$A:$A,M20667,'Barang Keluar'!$C:$C,N20667))</f>
        <v>0</v>
      </c>
    </row>
    <row r="20668" spans="13:16">
      <c r="M20668" s="49">
        <f>IF($A$4+206&gt;$B$4,"",$A$4+206)</f>
        <v>46229</v>
      </c>
      <c r="N20668">
        <f>IF(M20668="","",'Master Barang'!A62)</f>
        <v>0</v>
      </c>
      <c r="O20668">
        <f>IF(N20668="","",'Master Barang'!B62)</f>
        <v>0</v>
      </c>
      <c r="P20668">
        <f>IF(OR(M20668="",N20668=""),"",SUMIFS('Barang Keluar'!$E:$E,'Barang Keluar'!$A:$A,M20668,'Barang Keluar'!$C:$C,N20668))</f>
        <v>0</v>
      </c>
    </row>
    <row r="20669" spans="13:16">
      <c r="M20669" s="49">
        <f>IF($A$4+206&gt;$B$4,"",$A$4+206)</f>
        <v>46229</v>
      </c>
      <c r="N20669">
        <f>IF(M20669="","",'Master Barang'!A63)</f>
        <v>0</v>
      </c>
      <c r="O20669">
        <f>IF(N20669="","",'Master Barang'!B63)</f>
        <v>0</v>
      </c>
      <c r="P20669">
        <f>IF(OR(M20669="",N20669=""),"",SUMIFS('Barang Keluar'!$E:$E,'Barang Keluar'!$A:$A,M20669,'Barang Keluar'!$C:$C,N20669))</f>
        <v>0</v>
      </c>
    </row>
    <row r="20670" spans="13:16">
      <c r="M20670" s="49">
        <f>IF($A$4+206&gt;$B$4,"",$A$4+206)</f>
        <v>46229</v>
      </c>
      <c r="N20670">
        <f>IF(M20670="","",'Master Barang'!A64)</f>
        <v>0</v>
      </c>
      <c r="O20670">
        <f>IF(N20670="","",'Master Barang'!B64)</f>
        <v>0</v>
      </c>
      <c r="P20670">
        <f>IF(OR(M20670="",N20670=""),"",SUMIFS('Barang Keluar'!$E:$E,'Barang Keluar'!$A:$A,M20670,'Barang Keluar'!$C:$C,N20670))</f>
        <v>0</v>
      </c>
    </row>
    <row r="20671" spans="13:16">
      <c r="M20671" s="49">
        <f>IF($A$4+206&gt;$B$4,"",$A$4+206)</f>
        <v>46229</v>
      </c>
      <c r="N20671">
        <f>IF(M20671="","",'Master Barang'!A65)</f>
        <v>0</v>
      </c>
      <c r="O20671">
        <f>IF(N20671="","",'Master Barang'!B65)</f>
        <v>0</v>
      </c>
      <c r="P20671">
        <f>IF(OR(M20671="",N20671=""),"",SUMIFS('Barang Keluar'!$E:$E,'Barang Keluar'!$A:$A,M20671,'Barang Keluar'!$C:$C,N20671))</f>
        <v>0</v>
      </c>
    </row>
    <row r="20672" spans="13:16">
      <c r="M20672" s="49">
        <f>IF($A$4+206&gt;$B$4,"",$A$4+206)</f>
        <v>46229</v>
      </c>
      <c r="N20672">
        <f>IF(M20672="","",'Master Barang'!A66)</f>
        <v>0</v>
      </c>
      <c r="O20672">
        <f>IF(N20672="","",'Master Barang'!B66)</f>
        <v>0</v>
      </c>
      <c r="P20672">
        <f>IF(OR(M20672="",N20672=""),"",SUMIFS('Barang Keluar'!$E:$E,'Barang Keluar'!$A:$A,M20672,'Barang Keluar'!$C:$C,N20672))</f>
        <v>0</v>
      </c>
    </row>
    <row r="20673" spans="13:16">
      <c r="M20673" s="49">
        <f>IF($A$4+206&gt;$B$4,"",$A$4+206)</f>
        <v>46229</v>
      </c>
      <c r="N20673">
        <f>IF(M20673="","",'Master Barang'!A67)</f>
        <v>0</v>
      </c>
      <c r="O20673">
        <f>IF(N20673="","",'Master Barang'!B67)</f>
        <v>0</v>
      </c>
      <c r="P20673">
        <f>IF(OR(M20673="",N20673=""),"",SUMIFS('Barang Keluar'!$E:$E,'Barang Keluar'!$A:$A,M20673,'Barang Keluar'!$C:$C,N20673))</f>
        <v>0</v>
      </c>
    </row>
    <row r="20674" spans="13:16">
      <c r="M20674" s="49">
        <f>IF($A$4+206&gt;$B$4,"",$A$4+206)</f>
        <v>46229</v>
      </c>
      <c r="N20674">
        <f>IF(M20674="","",'Master Barang'!A68)</f>
        <v>0</v>
      </c>
      <c r="O20674">
        <f>IF(N20674="","",'Master Barang'!B68)</f>
        <v>0</v>
      </c>
      <c r="P20674">
        <f>IF(OR(M20674="",N20674=""),"",SUMIFS('Barang Keluar'!$E:$E,'Barang Keluar'!$A:$A,M20674,'Barang Keluar'!$C:$C,N20674))</f>
        <v>0</v>
      </c>
    </row>
    <row r="20675" spans="13:16">
      <c r="M20675" s="49">
        <f>IF($A$4+206&gt;$B$4,"",$A$4+206)</f>
        <v>46229</v>
      </c>
      <c r="N20675">
        <f>IF(M20675="","",'Master Barang'!A69)</f>
        <v>0</v>
      </c>
      <c r="O20675">
        <f>IF(N20675="","",'Master Barang'!B69)</f>
        <v>0</v>
      </c>
      <c r="P20675">
        <f>IF(OR(M20675="",N20675=""),"",SUMIFS('Barang Keluar'!$E:$E,'Barang Keluar'!$A:$A,M20675,'Barang Keluar'!$C:$C,N20675))</f>
        <v>0</v>
      </c>
    </row>
    <row r="20676" spans="13:16">
      <c r="M20676" s="49">
        <f>IF($A$4+206&gt;$B$4,"",$A$4+206)</f>
        <v>46229</v>
      </c>
      <c r="N20676">
        <f>IF(M20676="","",'Master Barang'!A70)</f>
        <v>0</v>
      </c>
      <c r="O20676">
        <f>IF(N20676="","",'Master Barang'!B70)</f>
        <v>0</v>
      </c>
      <c r="P20676">
        <f>IF(OR(M20676="",N20676=""),"",SUMIFS('Barang Keluar'!$E:$E,'Barang Keluar'!$A:$A,M20676,'Barang Keluar'!$C:$C,N20676))</f>
        <v>0</v>
      </c>
    </row>
    <row r="20677" spans="13:16">
      <c r="M20677" s="49">
        <f>IF($A$4+206&gt;$B$4,"",$A$4+206)</f>
        <v>46229</v>
      </c>
      <c r="N20677">
        <f>IF(M20677="","",'Master Barang'!A71)</f>
        <v>0</v>
      </c>
      <c r="O20677">
        <f>IF(N20677="","",'Master Barang'!B71)</f>
        <v>0</v>
      </c>
      <c r="P20677">
        <f>IF(OR(M20677="",N20677=""),"",SUMIFS('Barang Keluar'!$E:$E,'Barang Keluar'!$A:$A,M20677,'Barang Keluar'!$C:$C,N20677))</f>
        <v>0</v>
      </c>
    </row>
    <row r="20678" spans="13:16">
      <c r="M20678" s="49">
        <f>IF($A$4+206&gt;$B$4,"",$A$4+206)</f>
        <v>46229</v>
      </c>
      <c r="N20678">
        <f>IF(M20678="","",'Master Barang'!A72)</f>
        <v>0</v>
      </c>
      <c r="O20678">
        <f>IF(N20678="","",'Master Barang'!B72)</f>
        <v>0</v>
      </c>
      <c r="P20678">
        <f>IF(OR(M20678="",N20678=""),"",SUMIFS('Barang Keluar'!$E:$E,'Barang Keluar'!$A:$A,M20678,'Barang Keluar'!$C:$C,N20678))</f>
        <v>0</v>
      </c>
    </row>
    <row r="20679" spans="13:16">
      <c r="M20679" s="49">
        <f>IF($A$4+206&gt;$B$4,"",$A$4+206)</f>
        <v>46229</v>
      </c>
      <c r="N20679">
        <f>IF(M20679="","",'Master Barang'!A73)</f>
        <v>0</v>
      </c>
      <c r="O20679">
        <f>IF(N20679="","",'Master Barang'!B73)</f>
        <v>0</v>
      </c>
      <c r="P20679">
        <f>IF(OR(M20679="",N20679=""),"",SUMIFS('Barang Keluar'!$E:$E,'Barang Keluar'!$A:$A,M20679,'Barang Keluar'!$C:$C,N20679))</f>
        <v>0</v>
      </c>
    </row>
    <row r="20680" spans="13:16">
      <c r="M20680" s="49">
        <f>IF($A$4+206&gt;$B$4,"",$A$4+206)</f>
        <v>46229</v>
      </c>
      <c r="N20680">
        <f>IF(M20680="","",'Master Barang'!A74)</f>
        <v>0</v>
      </c>
      <c r="O20680">
        <f>IF(N20680="","",'Master Barang'!B74)</f>
        <v>0</v>
      </c>
      <c r="P20680">
        <f>IF(OR(M20680="",N20680=""),"",SUMIFS('Barang Keluar'!$E:$E,'Barang Keluar'!$A:$A,M20680,'Barang Keluar'!$C:$C,N20680))</f>
        <v>0</v>
      </c>
    </row>
    <row r="20681" spans="13:16">
      <c r="M20681" s="49">
        <f>IF($A$4+206&gt;$B$4,"",$A$4+206)</f>
        <v>46229</v>
      </c>
      <c r="N20681">
        <f>IF(M20681="","",'Master Barang'!A75)</f>
        <v>0</v>
      </c>
      <c r="O20681">
        <f>IF(N20681="","",'Master Barang'!B75)</f>
        <v>0</v>
      </c>
      <c r="P20681">
        <f>IF(OR(M20681="",N20681=""),"",SUMIFS('Barang Keluar'!$E:$E,'Barang Keluar'!$A:$A,M20681,'Barang Keluar'!$C:$C,N20681))</f>
        <v>0</v>
      </c>
    </row>
    <row r="20682" spans="13:16">
      <c r="M20682" s="49">
        <f>IF($A$4+206&gt;$B$4,"",$A$4+206)</f>
        <v>46229</v>
      </c>
      <c r="N20682">
        <f>IF(M20682="","",'Master Barang'!A76)</f>
        <v>0</v>
      </c>
      <c r="O20682">
        <f>IF(N20682="","",'Master Barang'!B76)</f>
        <v>0</v>
      </c>
      <c r="P20682">
        <f>IF(OR(M20682="",N20682=""),"",SUMIFS('Barang Keluar'!$E:$E,'Barang Keluar'!$A:$A,M20682,'Barang Keluar'!$C:$C,N20682))</f>
        <v>0</v>
      </c>
    </row>
    <row r="20683" spans="13:16">
      <c r="M20683" s="49">
        <f>IF($A$4+206&gt;$B$4,"",$A$4+206)</f>
        <v>46229</v>
      </c>
      <c r="N20683">
        <f>IF(M20683="","",'Master Barang'!A77)</f>
        <v>0</v>
      </c>
      <c r="O20683">
        <f>IF(N20683="","",'Master Barang'!B77)</f>
        <v>0</v>
      </c>
      <c r="P20683">
        <f>IF(OR(M20683="",N20683=""),"",SUMIFS('Barang Keluar'!$E:$E,'Barang Keluar'!$A:$A,M20683,'Barang Keluar'!$C:$C,N20683))</f>
        <v>0</v>
      </c>
    </row>
    <row r="20684" spans="13:16">
      <c r="M20684" s="49">
        <f>IF($A$4+206&gt;$B$4,"",$A$4+206)</f>
        <v>46229</v>
      </c>
      <c r="N20684">
        <f>IF(M20684="","",'Master Barang'!A78)</f>
        <v>0</v>
      </c>
      <c r="O20684">
        <f>IF(N20684="","",'Master Barang'!B78)</f>
        <v>0</v>
      </c>
      <c r="P20684">
        <f>IF(OR(M20684="",N20684=""),"",SUMIFS('Barang Keluar'!$E:$E,'Barang Keluar'!$A:$A,M20684,'Barang Keluar'!$C:$C,N20684))</f>
        <v>0</v>
      </c>
    </row>
    <row r="20685" spans="13:16">
      <c r="M20685" s="49">
        <f>IF($A$4+206&gt;$B$4,"",$A$4+206)</f>
        <v>46229</v>
      </c>
      <c r="N20685">
        <f>IF(M20685="","",'Master Barang'!A79)</f>
        <v>0</v>
      </c>
      <c r="O20685">
        <f>IF(N20685="","",'Master Barang'!B79)</f>
        <v>0</v>
      </c>
      <c r="P20685">
        <f>IF(OR(M20685="",N20685=""),"",SUMIFS('Barang Keluar'!$E:$E,'Barang Keluar'!$A:$A,M20685,'Barang Keluar'!$C:$C,N20685))</f>
        <v>0</v>
      </c>
    </row>
    <row r="20686" spans="13:16">
      <c r="M20686" s="49">
        <f>IF($A$4+206&gt;$B$4,"",$A$4+206)</f>
        <v>46229</v>
      </c>
      <c r="N20686">
        <f>IF(M20686="","",'Master Barang'!A80)</f>
        <v>0</v>
      </c>
      <c r="O20686">
        <f>IF(N20686="","",'Master Barang'!B80)</f>
        <v>0</v>
      </c>
      <c r="P20686">
        <f>IF(OR(M20686="",N20686=""),"",SUMIFS('Barang Keluar'!$E:$E,'Barang Keluar'!$A:$A,M20686,'Barang Keluar'!$C:$C,N20686))</f>
        <v>0</v>
      </c>
    </row>
    <row r="20687" spans="13:16">
      <c r="M20687" s="49">
        <f>IF($A$4+206&gt;$B$4,"",$A$4+206)</f>
        <v>46229</v>
      </c>
      <c r="N20687">
        <f>IF(M20687="","",'Master Barang'!A81)</f>
        <v>0</v>
      </c>
      <c r="O20687">
        <f>IF(N20687="","",'Master Barang'!B81)</f>
        <v>0</v>
      </c>
      <c r="P20687">
        <f>IF(OR(M20687="",N20687=""),"",SUMIFS('Barang Keluar'!$E:$E,'Barang Keluar'!$A:$A,M20687,'Barang Keluar'!$C:$C,N20687))</f>
        <v>0</v>
      </c>
    </row>
    <row r="20688" spans="13:16">
      <c r="M20688" s="49">
        <f>IF($A$4+206&gt;$B$4,"",$A$4+206)</f>
        <v>46229</v>
      </c>
      <c r="N20688">
        <f>IF(M20688="","",'Master Barang'!A82)</f>
        <v>0</v>
      </c>
      <c r="O20688">
        <f>IF(N20688="","",'Master Barang'!B82)</f>
        <v>0</v>
      </c>
      <c r="P20688">
        <f>IF(OR(M20688="",N20688=""),"",SUMIFS('Barang Keluar'!$E:$E,'Barang Keluar'!$A:$A,M20688,'Barang Keluar'!$C:$C,N20688))</f>
        <v>0</v>
      </c>
    </row>
    <row r="20689" spans="13:16">
      <c r="M20689" s="49">
        <f>IF($A$4+206&gt;$B$4,"",$A$4+206)</f>
        <v>46229</v>
      </c>
      <c r="N20689">
        <f>IF(M20689="","",'Master Barang'!A83)</f>
        <v>0</v>
      </c>
      <c r="O20689">
        <f>IF(N20689="","",'Master Barang'!B83)</f>
        <v>0</v>
      </c>
      <c r="P20689">
        <f>IF(OR(M20689="",N20689=""),"",SUMIFS('Barang Keluar'!$E:$E,'Barang Keluar'!$A:$A,M20689,'Barang Keluar'!$C:$C,N20689))</f>
        <v>0</v>
      </c>
    </row>
    <row r="20690" spans="13:16">
      <c r="M20690" s="49">
        <f>IF($A$4+206&gt;$B$4,"",$A$4+206)</f>
        <v>46229</v>
      </c>
      <c r="N20690">
        <f>IF(M20690="","",'Master Barang'!A84)</f>
        <v>0</v>
      </c>
      <c r="O20690">
        <f>IF(N20690="","",'Master Barang'!B84)</f>
        <v>0</v>
      </c>
      <c r="P20690">
        <f>IF(OR(M20690="",N20690=""),"",SUMIFS('Barang Keluar'!$E:$E,'Barang Keluar'!$A:$A,M20690,'Barang Keluar'!$C:$C,N20690))</f>
        <v>0</v>
      </c>
    </row>
    <row r="20691" spans="13:16">
      <c r="M20691" s="49">
        <f>IF($A$4+206&gt;$B$4,"",$A$4+206)</f>
        <v>46229</v>
      </c>
      <c r="N20691">
        <f>IF(M20691="","",'Master Barang'!A85)</f>
        <v>0</v>
      </c>
      <c r="O20691">
        <f>IF(N20691="","",'Master Barang'!B85)</f>
        <v>0</v>
      </c>
      <c r="P20691">
        <f>IF(OR(M20691="",N20691=""),"",SUMIFS('Barang Keluar'!$E:$E,'Barang Keluar'!$A:$A,M20691,'Barang Keluar'!$C:$C,N20691))</f>
        <v>0</v>
      </c>
    </row>
    <row r="20692" spans="13:16">
      <c r="M20692" s="49">
        <f>IF($A$4+206&gt;$B$4,"",$A$4+206)</f>
        <v>46229</v>
      </c>
      <c r="N20692">
        <f>IF(M20692="","",'Master Barang'!A86)</f>
        <v>0</v>
      </c>
      <c r="O20692">
        <f>IF(N20692="","",'Master Barang'!B86)</f>
        <v>0</v>
      </c>
      <c r="P20692">
        <f>IF(OR(M20692="",N20692=""),"",SUMIFS('Barang Keluar'!$E:$E,'Barang Keluar'!$A:$A,M20692,'Barang Keluar'!$C:$C,N20692))</f>
        <v>0</v>
      </c>
    </row>
    <row r="20693" spans="13:16">
      <c r="M20693" s="49">
        <f>IF($A$4+206&gt;$B$4,"",$A$4+206)</f>
        <v>46229</v>
      </c>
      <c r="N20693">
        <f>IF(M20693="","",'Master Barang'!A87)</f>
        <v>0</v>
      </c>
      <c r="O20693">
        <f>IF(N20693="","",'Master Barang'!B87)</f>
        <v>0</v>
      </c>
      <c r="P20693">
        <f>IF(OR(M20693="",N20693=""),"",SUMIFS('Barang Keluar'!$E:$E,'Barang Keluar'!$A:$A,M20693,'Barang Keluar'!$C:$C,N20693))</f>
        <v>0</v>
      </c>
    </row>
    <row r="20694" spans="13:16">
      <c r="M20694" s="49">
        <f>IF($A$4+206&gt;$B$4,"",$A$4+206)</f>
        <v>46229</v>
      </c>
      <c r="N20694">
        <f>IF(M20694="","",'Master Barang'!A88)</f>
        <v>0</v>
      </c>
      <c r="O20694">
        <f>IF(N20694="","",'Master Barang'!B88)</f>
        <v>0</v>
      </c>
      <c r="P20694">
        <f>IF(OR(M20694="",N20694=""),"",SUMIFS('Barang Keluar'!$E:$E,'Barang Keluar'!$A:$A,M20694,'Barang Keluar'!$C:$C,N20694))</f>
        <v>0</v>
      </c>
    </row>
    <row r="20695" spans="13:16">
      <c r="M20695" s="49">
        <f>IF($A$4+206&gt;$B$4,"",$A$4+206)</f>
        <v>46229</v>
      </c>
      <c r="N20695">
        <f>IF(M20695="","",'Master Barang'!A89)</f>
        <v>0</v>
      </c>
      <c r="O20695">
        <f>IF(N20695="","",'Master Barang'!B89)</f>
        <v>0</v>
      </c>
      <c r="P20695">
        <f>IF(OR(M20695="",N20695=""),"",SUMIFS('Barang Keluar'!$E:$E,'Barang Keluar'!$A:$A,M20695,'Barang Keluar'!$C:$C,N20695))</f>
        <v>0</v>
      </c>
    </row>
    <row r="20696" spans="13:16">
      <c r="M20696" s="49">
        <f>IF($A$4+206&gt;$B$4,"",$A$4+206)</f>
        <v>46229</v>
      </c>
      <c r="N20696">
        <f>IF(M20696="","",'Master Barang'!A90)</f>
        <v>0</v>
      </c>
      <c r="O20696">
        <f>IF(N20696="","",'Master Barang'!B90)</f>
        <v>0</v>
      </c>
      <c r="P20696">
        <f>IF(OR(M20696="",N20696=""),"",SUMIFS('Barang Keluar'!$E:$E,'Barang Keluar'!$A:$A,M20696,'Barang Keluar'!$C:$C,N20696))</f>
        <v>0</v>
      </c>
    </row>
    <row r="20697" spans="13:16">
      <c r="M20697" s="49">
        <f>IF($A$4+206&gt;$B$4,"",$A$4+206)</f>
        <v>46229</v>
      </c>
      <c r="N20697">
        <f>IF(M20697="","",'Master Barang'!A91)</f>
        <v>0</v>
      </c>
      <c r="O20697">
        <f>IF(N20697="","",'Master Barang'!B91)</f>
        <v>0</v>
      </c>
      <c r="P20697">
        <f>IF(OR(M20697="",N20697=""),"",SUMIFS('Barang Keluar'!$E:$E,'Barang Keluar'!$A:$A,M20697,'Barang Keluar'!$C:$C,N20697))</f>
        <v>0</v>
      </c>
    </row>
    <row r="20698" spans="13:16">
      <c r="M20698" s="49">
        <f>IF($A$4+206&gt;$B$4,"",$A$4+206)</f>
        <v>46229</v>
      </c>
      <c r="N20698">
        <f>IF(M20698="","",'Master Barang'!A92)</f>
        <v>0</v>
      </c>
      <c r="O20698">
        <f>IF(N20698="","",'Master Barang'!B92)</f>
        <v>0</v>
      </c>
      <c r="P20698">
        <f>IF(OR(M20698="",N20698=""),"",SUMIFS('Barang Keluar'!$E:$E,'Barang Keluar'!$A:$A,M20698,'Barang Keluar'!$C:$C,N20698))</f>
        <v>0</v>
      </c>
    </row>
    <row r="20699" spans="13:16">
      <c r="M20699" s="49">
        <f>IF($A$4+206&gt;$B$4,"",$A$4+206)</f>
        <v>46229</v>
      </c>
      <c r="N20699">
        <f>IF(M20699="","",'Master Barang'!A93)</f>
        <v>0</v>
      </c>
      <c r="O20699">
        <f>IF(N20699="","",'Master Barang'!B93)</f>
        <v>0</v>
      </c>
      <c r="P20699">
        <f>IF(OR(M20699="",N20699=""),"",SUMIFS('Barang Keluar'!$E:$E,'Barang Keluar'!$A:$A,M20699,'Barang Keluar'!$C:$C,N20699))</f>
        <v>0</v>
      </c>
    </row>
    <row r="20700" spans="13:16">
      <c r="M20700" s="49">
        <f>IF($A$4+206&gt;$B$4,"",$A$4+206)</f>
        <v>46229</v>
      </c>
      <c r="N20700">
        <f>IF(M20700="","",'Master Barang'!A94)</f>
        <v>0</v>
      </c>
      <c r="O20700">
        <f>IF(N20700="","",'Master Barang'!B94)</f>
        <v>0</v>
      </c>
      <c r="P20700">
        <f>IF(OR(M20700="",N20700=""),"",SUMIFS('Barang Keluar'!$E:$E,'Barang Keluar'!$A:$A,M20700,'Barang Keluar'!$C:$C,N20700))</f>
        <v>0</v>
      </c>
    </row>
    <row r="20701" spans="13:16">
      <c r="M20701" s="49">
        <f>IF($A$4+206&gt;$B$4,"",$A$4+206)</f>
        <v>46229</v>
      </c>
      <c r="N20701">
        <f>IF(M20701="","",'Master Barang'!A95)</f>
        <v>0</v>
      </c>
      <c r="O20701">
        <f>IF(N20701="","",'Master Barang'!B95)</f>
        <v>0</v>
      </c>
      <c r="P20701">
        <f>IF(OR(M20701="",N20701=""),"",SUMIFS('Barang Keluar'!$E:$E,'Barang Keluar'!$A:$A,M20701,'Barang Keluar'!$C:$C,N20701))</f>
        <v>0</v>
      </c>
    </row>
    <row r="20702" spans="13:16">
      <c r="M20702" s="49">
        <f>IF($A$4+206&gt;$B$4,"",$A$4+206)</f>
        <v>46229</v>
      </c>
      <c r="N20702">
        <f>IF(M20702="","",'Master Barang'!A96)</f>
        <v>0</v>
      </c>
      <c r="O20702">
        <f>IF(N20702="","",'Master Barang'!B96)</f>
        <v>0</v>
      </c>
      <c r="P20702">
        <f>IF(OR(M20702="",N20702=""),"",SUMIFS('Barang Keluar'!$E:$E,'Barang Keluar'!$A:$A,M20702,'Barang Keluar'!$C:$C,N20702))</f>
        <v>0</v>
      </c>
    </row>
    <row r="20703" spans="13:16">
      <c r="M20703" s="49">
        <f>IF($A$4+206&gt;$B$4,"",$A$4+206)</f>
        <v>46229</v>
      </c>
      <c r="N20703">
        <f>IF(M20703="","",'Master Barang'!A97)</f>
        <v>0</v>
      </c>
      <c r="O20703">
        <f>IF(N20703="","",'Master Barang'!B97)</f>
        <v>0</v>
      </c>
      <c r="P20703">
        <f>IF(OR(M20703="",N20703=""),"",SUMIFS('Barang Keluar'!$E:$E,'Barang Keluar'!$A:$A,M20703,'Barang Keluar'!$C:$C,N20703))</f>
        <v>0</v>
      </c>
    </row>
    <row r="20704" spans="13:16">
      <c r="M20704" s="49">
        <f>IF($A$4+206&gt;$B$4,"",$A$4+206)</f>
        <v>46229</v>
      </c>
      <c r="N20704">
        <f>IF(M20704="","",'Master Barang'!A98)</f>
        <v>0</v>
      </c>
      <c r="O20704">
        <f>IF(N20704="","",'Master Barang'!B98)</f>
        <v>0</v>
      </c>
      <c r="P20704">
        <f>IF(OR(M20704="",N20704=""),"",SUMIFS('Barang Keluar'!$E:$E,'Barang Keluar'!$A:$A,M20704,'Barang Keluar'!$C:$C,N20704))</f>
        <v>0</v>
      </c>
    </row>
    <row r="20705" spans="13:16">
      <c r="M20705" s="49">
        <f>IF($A$4+206&gt;$B$4,"",$A$4+206)</f>
        <v>46229</v>
      </c>
      <c r="N20705">
        <f>IF(M20705="","",'Master Barang'!A99)</f>
        <v>0</v>
      </c>
      <c r="O20705">
        <f>IF(N20705="","",'Master Barang'!B99)</f>
        <v>0</v>
      </c>
      <c r="P20705">
        <f>IF(OR(M20705="",N20705=""),"",SUMIFS('Barang Keluar'!$E:$E,'Barang Keluar'!$A:$A,M20705,'Barang Keluar'!$C:$C,N20705))</f>
        <v>0</v>
      </c>
    </row>
    <row r="20706" spans="13:16">
      <c r="M20706" s="49">
        <f>IF($A$4+206&gt;$B$4,"",$A$4+206)</f>
        <v>46229</v>
      </c>
      <c r="N20706">
        <f>IF(M20706="","",'Master Barang'!A100)</f>
        <v>0</v>
      </c>
      <c r="O20706">
        <f>IF(N20706="","",'Master Barang'!B100)</f>
        <v>0</v>
      </c>
      <c r="P20706">
        <f>IF(OR(M20706="",N20706=""),"",SUMIFS('Barang Keluar'!$E:$E,'Barang Keluar'!$A:$A,M20706,'Barang Keluar'!$C:$C,N20706))</f>
        <v>0</v>
      </c>
    </row>
    <row r="20707" spans="13:16">
      <c r="M20707" s="49">
        <f>IF($A$4+206&gt;$B$4,"",$A$4+206)</f>
        <v>46229</v>
      </c>
      <c r="N20707">
        <f>IF(M20707="","",'Master Barang'!A101)</f>
        <v>0</v>
      </c>
      <c r="O20707">
        <f>IF(N20707="","",'Master Barang'!B101)</f>
        <v>0</v>
      </c>
      <c r="P20707">
        <f>IF(OR(M20707="",N20707=""),"",SUMIFS('Barang Keluar'!$E:$E,'Barang Keluar'!$A:$A,M20707,'Barang Keluar'!$C:$C,N20707))</f>
        <v>0</v>
      </c>
    </row>
    <row r="20708" spans="13:16">
      <c r="M20708" s="49">
        <f>IF($A$4+207&gt;$B$4,"",$A$4+207)</f>
        <v>46230</v>
      </c>
      <c r="N20708" t="str">
        <f>IF(M20708="","",'Master Barang'!A2)</f>
        <v>PRL-001</v>
      </c>
      <c r="O20708" t="str">
        <f>IF(N20708="","",'Master Barang'!B2)</f>
        <v>natura desinfectant food grade 5l</v>
      </c>
      <c r="P20708">
        <f>IF(OR(M20708="",N20708=""),"",SUMIFS('Barang Keluar'!$E:$E,'Barang Keluar'!$A:$A,M20708,'Barang Keluar'!$C:$C,N20708))</f>
        <v>0</v>
      </c>
    </row>
    <row r="20709" spans="13:16">
      <c r="M20709" s="49">
        <f>IF($A$4+207&gt;$B$4,"",$A$4+207)</f>
        <v>46230</v>
      </c>
      <c r="N20709" t="str">
        <f>IF(M20709="","",'Master Barang'!A3)</f>
        <v>PRL-002</v>
      </c>
      <c r="O20709" t="str">
        <f>IF(N20709="","",'Master Barang'!B3)</f>
        <v>sunlight cairan pencuci piring 5l</v>
      </c>
      <c r="P20709">
        <f>IF(OR(M20709="",N20709=""),"",SUMIFS('Barang Keluar'!$E:$E,'Barang Keluar'!$A:$A,M20709,'Barang Keluar'!$C:$C,N20709))</f>
        <v>0</v>
      </c>
    </row>
    <row r="20710" spans="13:16">
      <c r="M20710" s="49">
        <f>IF($A$4+207&gt;$B$4,"",$A$4+207)</f>
        <v>46230</v>
      </c>
      <c r="N20710" t="str">
        <f>IF(M20710="","",'Master Barang'!A4)</f>
        <v>PRL-003</v>
      </c>
      <c r="O20710" t="str">
        <f>IF(N20710="","",'Master Barang'!B4)</f>
        <v>oixs cleaner 1l</v>
      </c>
      <c r="P20710">
        <f>IF(OR(M20710="",N20710=""),"",SUMIFS('Barang Keluar'!$E:$E,'Barang Keluar'!$A:$A,M20710,'Barang Keluar'!$C:$C,N20710))</f>
        <v>0</v>
      </c>
    </row>
    <row r="20711" spans="13:16">
      <c r="M20711" s="49">
        <f>IF($A$4+207&gt;$B$4,"",$A$4+207)</f>
        <v>46230</v>
      </c>
      <c r="N20711" t="str">
        <f>IF(M20711="","",'Master Barang'!A5)</f>
        <v>PRL-004</v>
      </c>
      <c r="O20711" t="str">
        <f>IF(N20711="","",'Master Barang'!B5)</f>
        <v>be clean tissue serbaguna</v>
      </c>
      <c r="P20711">
        <f>IF(OR(M20711="",N20711=""),"",SUMIFS('Barang Keluar'!$E:$E,'Barang Keluar'!$A:$A,M20711,'Barang Keluar'!$C:$C,N20711))</f>
        <v>0</v>
      </c>
    </row>
    <row r="20712" spans="13:16">
      <c r="M20712" s="49">
        <f>IF($A$4+207&gt;$B$4,"",$A$4+207)</f>
        <v>46230</v>
      </c>
      <c r="N20712" t="str">
        <f>IF(M20712="","",'Master Barang'!A6)</f>
        <v>PRL-005</v>
      </c>
      <c r="O20712" t="str">
        <f>IF(N20712="","",'Master Barang'!B6)</f>
        <v>spons cuci hijau</v>
      </c>
      <c r="P20712">
        <f>IF(OR(M20712="",N20712=""),"",SUMIFS('Barang Keluar'!$E:$E,'Barang Keluar'!$A:$A,M20712,'Barang Keluar'!$C:$C,N20712))</f>
        <v>0</v>
      </c>
    </row>
    <row r="20713" spans="13:16">
      <c r="M20713" s="49">
        <f>IF($A$4+207&gt;$B$4,"",$A$4+207)</f>
        <v>46230</v>
      </c>
      <c r="N20713" t="str">
        <f>IF(M20713="","",'Master Barang'!A7)</f>
        <v>PRL-006</v>
      </c>
      <c r="O20713" t="str">
        <f>IF(N20713="","",'Master Barang'!B7)</f>
        <v>sabut cuci stainless</v>
      </c>
      <c r="P20713">
        <f>IF(OR(M20713="",N20713=""),"",SUMIFS('Barang Keluar'!$E:$E,'Barang Keluar'!$A:$A,M20713,'Barang Keluar'!$C:$C,N20713))</f>
        <v>0</v>
      </c>
    </row>
    <row r="20714" spans="13:16">
      <c r="M20714" s="49">
        <f>IF($A$4+207&gt;$B$4,"",$A$4+207)</f>
        <v>46230</v>
      </c>
      <c r="N20714" t="str">
        <f>IF(M20714="","",'Master Barang'!A8)</f>
        <v>PRL-007</v>
      </c>
      <c r="O20714" t="str">
        <f>IF(N20714="","",'Master Barang'!B8)</f>
        <v>plastik kresek besar merah 50pc</v>
      </c>
      <c r="P20714">
        <f>IF(OR(M20714="",N20714=""),"",SUMIFS('Barang Keluar'!$E:$E,'Barang Keluar'!$A:$A,M20714,'Barang Keluar'!$C:$C,N20714))</f>
        <v>0</v>
      </c>
    </row>
    <row r="20715" spans="13:16">
      <c r="M20715" s="49">
        <f>IF($A$4+207&gt;$B$4,"",$A$4+207)</f>
        <v>46230</v>
      </c>
      <c r="N20715" t="str">
        <f>IF(M20715="","",'Master Barang'!A9)</f>
        <v>PRL-008</v>
      </c>
      <c r="O20715" t="str">
        <f>IF(N20715="","",'Master Barang'!B9)</f>
        <v>lap besar</v>
      </c>
      <c r="P20715">
        <f>IF(OR(M20715="",N20715=""),"",SUMIFS('Barang Keluar'!$E:$E,'Barang Keluar'!$A:$A,M20715,'Barang Keluar'!$C:$C,N20715))</f>
        <v>0</v>
      </c>
    </row>
    <row r="20716" spans="13:16">
      <c r="M20716" s="49">
        <f>IF($A$4+207&gt;$B$4,"",$A$4+207)</f>
        <v>46230</v>
      </c>
      <c r="N20716" t="str">
        <f>IF(M20716="","",'Master Barang'!A10)</f>
        <v>PRL-009</v>
      </c>
      <c r="O20716" t="str">
        <f>IF(N20716="","",'Master Barang'!B10)</f>
        <v>lap microfiber</v>
      </c>
      <c r="P20716">
        <f>IF(OR(M20716="",N20716=""),"",SUMIFS('Barang Keluar'!$E:$E,'Barang Keluar'!$A:$A,M20716,'Barang Keluar'!$C:$C,N20716))</f>
        <v>0</v>
      </c>
    </row>
    <row r="20717" spans="13:16">
      <c r="M20717" s="49">
        <f>IF($A$4+207&gt;$B$4,"",$A$4+207)</f>
        <v>46230</v>
      </c>
      <c r="N20717" t="str">
        <f>IF(M20717="","",'Master Barang'!A11)</f>
        <v>PRL-010</v>
      </c>
      <c r="O20717" t="str">
        <f>IF(N20717="","",'Master Barang'!B11)</f>
        <v>lap kecil</v>
      </c>
      <c r="P20717">
        <f>IF(OR(M20717="",N20717=""),"",SUMIFS('Barang Keluar'!$E:$E,'Barang Keluar'!$A:$A,M20717,'Barang Keluar'!$C:$C,N20717))</f>
        <v>0</v>
      </c>
    </row>
    <row r="20718" spans="13:16">
      <c r="M20718" s="49">
        <f>IF($A$4+207&gt;$B$4,"",$A$4+207)</f>
        <v>46230</v>
      </c>
      <c r="N20718" t="str">
        <f>IF(M20718="","",'Master Barang'!A12)</f>
        <v>PRL-011</v>
      </c>
      <c r="O20718" t="str">
        <f>IF(N20718="","",'Master Barang'!B12)</f>
        <v>kanebo kecil</v>
      </c>
      <c r="P20718">
        <f>IF(OR(M20718="",N20718=""),"",SUMIFS('Barang Keluar'!$E:$E,'Barang Keluar'!$A:$A,M20718,'Barang Keluar'!$C:$C,N20718))</f>
        <v>0</v>
      </c>
    </row>
    <row r="20719" spans="13:16">
      <c r="M20719" s="49">
        <f>IF($A$4+207&gt;$B$4,"",$A$4+207)</f>
        <v>46230</v>
      </c>
      <c r="N20719" t="str">
        <f>IF(M20719="","",'Master Barang'!A13)</f>
        <v>PRL-012</v>
      </c>
      <c r="O20719" t="str">
        <f>IF(N20719="","",'Master Barang'!B13)</f>
        <v>plastik 1/4kg joyoboyo 100 lembar</v>
      </c>
      <c r="P20719">
        <f>IF(OR(M20719="",N20719=""),"",SUMIFS('Barang Keluar'!$E:$E,'Barang Keluar'!$A:$A,M20719,'Barang Keluar'!$C:$C,N20719))</f>
        <v>0</v>
      </c>
    </row>
    <row r="20720" spans="13:16">
      <c r="M20720" s="49">
        <f>IF($A$4+207&gt;$B$4,"",$A$4+207)</f>
        <v>46230</v>
      </c>
      <c r="N20720" t="str">
        <f>IF(M20720="","",'Master Barang'!A14)</f>
        <v>PRL-013</v>
      </c>
      <c r="O20720" t="str">
        <f>IF(N20720="","",'Master Barang'!B14)</f>
        <v>sarung tangan plastik kaka 100 pcs</v>
      </c>
      <c r="P20720">
        <f>IF(OR(M20720="",N20720=""),"",SUMIFS('Barang Keluar'!$E:$E,'Barang Keluar'!$A:$A,M20720,'Barang Keluar'!$C:$C,N20720))</f>
        <v>0</v>
      </c>
    </row>
    <row r="20721" spans="13:16">
      <c r="M20721" s="49">
        <f>IF($A$4+207&gt;$B$4,"",$A$4+207)</f>
        <v>46230</v>
      </c>
      <c r="N20721" t="str">
        <f>IF(M20721="","",'Master Barang'!A15)</f>
        <v>PRL-014</v>
      </c>
      <c r="O20721" t="str">
        <f>IF(N20721="","",'Master Barang'!B15)</f>
        <v>optima trashbag 80x100</v>
      </c>
      <c r="P20721">
        <f>IF(OR(M20721="",N20721=""),"",SUMIFS('Barang Keluar'!$E:$E,'Barang Keluar'!$A:$A,M20721,'Barang Keluar'!$C:$C,N20721))</f>
        <v>0</v>
      </c>
    </row>
    <row r="20722" spans="13:16">
      <c r="M20722" s="49">
        <f>IF($A$4+207&gt;$B$4,"",$A$4+207)</f>
        <v>46230</v>
      </c>
      <c r="N20722" t="str">
        <f>IF(M20722="","",'Master Barang'!A16)</f>
        <v>PRL-015</v>
      </c>
      <c r="O20722" t="str">
        <f>IF(N20722="","",'Master Barang'!B16)</f>
        <v>optima trashbag 60x100</v>
      </c>
      <c r="P20722">
        <f>IF(OR(M20722="",N20722=""),"",SUMIFS('Barang Keluar'!$E:$E,'Barang Keluar'!$A:$A,M20722,'Barang Keluar'!$C:$C,N20722))</f>
        <v>0</v>
      </c>
    </row>
    <row r="20723" spans="13:16">
      <c r="M20723" s="49">
        <f>IF($A$4+207&gt;$B$4,"",$A$4+207)</f>
        <v>46230</v>
      </c>
      <c r="N20723" t="str">
        <f>IF(M20723="","",'Master Barang'!A17)</f>
        <v>PRL-016</v>
      </c>
      <c r="O20723" t="str">
        <f>IF(N20723="","",'Master Barang'!B17)</f>
        <v>rajawali trashbag 30x40</v>
      </c>
      <c r="P20723">
        <f>IF(OR(M20723="",N20723=""),"",SUMIFS('Barang Keluar'!$E:$E,'Barang Keluar'!$A:$A,M20723,'Barang Keluar'!$C:$C,N20723))</f>
        <v>0</v>
      </c>
    </row>
    <row r="20724" spans="13:16">
      <c r="M20724" s="49">
        <f>IF($A$4+207&gt;$B$4,"",$A$4+207)</f>
        <v>46230</v>
      </c>
      <c r="N20724" t="str">
        <f>IF(M20724="","",'Master Barang'!A18)</f>
        <v>PRL-017</v>
      </c>
      <c r="O20724" t="str">
        <f>IF(N20724="","",'Master Barang'!B18)</f>
        <v>onemed masker biru 3 play 50 pcs</v>
      </c>
      <c r="P20724">
        <f>IF(OR(M20724="",N20724=""),"",SUMIFS('Barang Keluar'!$E:$E,'Barang Keluar'!$A:$A,M20724,'Barang Keluar'!$C:$C,N20724))</f>
        <v>0</v>
      </c>
    </row>
    <row r="20725" spans="13:16">
      <c r="M20725" s="49">
        <f>IF($A$4+207&gt;$B$4,"",$A$4+207)</f>
        <v>46230</v>
      </c>
      <c r="N20725" t="str">
        <f>IF(M20725="","",'Master Barang'!A19)</f>
        <v>PRL-018</v>
      </c>
      <c r="O20725" t="str">
        <f>IF(N20725="","",'Master Barang'!B19)</f>
        <v>onemed masker biru 3 play hijab 50 pcs</v>
      </c>
      <c r="P20725">
        <f>IF(OR(M20725="",N20725=""),"",SUMIFS('Barang Keluar'!$E:$E,'Barang Keluar'!$A:$A,M20725,'Barang Keluar'!$C:$C,N20725))</f>
        <v>0</v>
      </c>
    </row>
    <row r="20726" spans="13:16">
      <c r="M20726" s="49">
        <f>IF($A$4+207&gt;$B$4,"",$A$4+207)</f>
        <v>46230</v>
      </c>
      <c r="N20726" t="str">
        <f>IF(M20726="","",'Master Barang'!A20)</f>
        <v>PRL-019</v>
      </c>
      <c r="O20726" t="str">
        <f>IF(N20726="","",'Master Barang'!B20)</f>
        <v>neo health masker biru 3 play 50 pcs</v>
      </c>
      <c r="P20726">
        <f>IF(OR(M20726="",N20726=""),"",SUMIFS('Barang Keluar'!$E:$E,'Barang Keluar'!$A:$A,M20726,'Barang Keluar'!$C:$C,N20726))</f>
        <v>0</v>
      </c>
    </row>
    <row r="20727" spans="13:16">
      <c r="M20727" s="49">
        <f>IF($A$4+207&gt;$B$4,"",$A$4+207)</f>
        <v>46230</v>
      </c>
      <c r="N20727" t="str">
        <f>IF(M20727="","",'Master Barang'!A21)</f>
        <v>PRL-020</v>
      </c>
      <c r="O20727" t="str">
        <f>IF(N20727="","",'Master Barang'!B21)</f>
        <v>baymed masker hijau 3 play hijau 50 pcs</v>
      </c>
      <c r="P20727">
        <f>IF(OR(M20727="",N20727=""),"",SUMIFS('Barang Keluar'!$E:$E,'Barang Keluar'!$A:$A,M20727,'Barang Keluar'!$C:$C,N20727))</f>
        <v>0</v>
      </c>
    </row>
    <row r="20728" spans="13:16">
      <c r="M20728" s="49">
        <f>IF($A$4+207&gt;$B$4,"",$A$4+207)</f>
        <v>46230</v>
      </c>
      <c r="N20728" t="str">
        <f>IF(M20728="","",'Master Barang'!A22)</f>
        <v>PRL-021</v>
      </c>
      <c r="O20728" t="str">
        <f>IF(N20728="","",'Master Barang'!B22)</f>
        <v>altamed nurse cap penutup kepala 100 pcs</v>
      </c>
      <c r="P20728">
        <f>IF(OR(M20728="",N20728=""),"",SUMIFS('Barang Keluar'!$E:$E,'Barang Keluar'!$A:$A,M20728,'Barang Keluar'!$C:$C,N20728))</f>
        <v>0</v>
      </c>
    </row>
    <row r="20729" spans="13:16">
      <c r="M20729" s="49">
        <f>IF($A$4+207&gt;$B$4,"",$A$4+207)</f>
        <v>46230</v>
      </c>
      <c r="N20729" t="str">
        <f>IF(M20729="","",'Master Barang'!A23)</f>
        <v>PRL-022</v>
      </c>
      <c r="O20729" t="str">
        <f>IF(N20729="","",'Master Barang'!B23)</f>
        <v>sabun cuci tangan</v>
      </c>
      <c r="P20729">
        <f>IF(OR(M20729="",N20729=""),"",SUMIFS('Barang Keluar'!$E:$E,'Barang Keluar'!$A:$A,M20729,'Barang Keluar'!$C:$C,N20729))</f>
        <v>0</v>
      </c>
    </row>
    <row r="20730" spans="13:16">
      <c r="M20730" s="49">
        <f>IF($A$4+207&gt;$B$4,"",$A$4+207)</f>
        <v>46230</v>
      </c>
      <c r="N20730" t="str">
        <f>IF(M20730="","",'Master Barang'!A24)</f>
        <v>PRL-023</v>
      </c>
      <c r="O20730" t="str">
        <f>IF(N20730="","",'Master Barang'!B24)</f>
        <v>gayung kecil</v>
      </c>
      <c r="P20730">
        <f>IF(OR(M20730="",N20730=""),"",SUMIFS('Barang Keluar'!$E:$E,'Barang Keluar'!$A:$A,M20730,'Barang Keluar'!$C:$C,N20730))</f>
        <v>0</v>
      </c>
    </row>
    <row r="20731" spans="13:16">
      <c r="M20731" s="49">
        <f>IF($A$4+207&gt;$B$4,"",$A$4+207)</f>
        <v>46230</v>
      </c>
      <c r="N20731" t="str">
        <f>IF(M20731="","",'Master Barang'!A25)</f>
        <v>PRL-024</v>
      </c>
      <c r="O20731" t="str">
        <f>IF(N20731="","",'Master Barang'!B25)</f>
        <v>cikrak kecil</v>
      </c>
      <c r="P20731">
        <f>IF(OR(M20731="",N20731=""),"",SUMIFS('Barang Keluar'!$E:$E,'Barang Keluar'!$A:$A,M20731,'Barang Keluar'!$C:$C,N20731))</f>
        <v>0</v>
      </c>
    </row>
    <row r="20732" spans="13:16">
      <c r="M20732" s="49">
        <f>IF($A$4+207&gt;$B$4,"",$A$4+207)</f>
        <v>46230</v>
      </c>
      <c r="N20732" t="str">
        <f>IF(M20732="","",'Master Barang'!A26)</f>
        <v>PRL-025</v>
      </c>
      <c r="O20732" t="str">
        <f>IF(N20732="","",'Master Barang'!B26)</f>
        <v>petromax plastik kecil 12x24 100 lembar</v>
      </c>
      <c r="P20732">
        <f>IF(OR(M20732="",N20732=""),"",SUMIFS('Barang Keluar'!$E:$E,'Barang Keluar'!$A:$A,M20732,'Barang Keluar'!$C:$C,N20732))</f>
        <v>0</v>
      </c>
    </row>
    <row r="20733" spans="13:16">
      <c r="M20733" s="49">
        <f>IF($A$4+207&gt;$B$4,"",$A$4+207)</f>
        <v>46230</v>
      </c>
      <c r="N20733" t="str">
        <f>IF(M20733="","",'Master Barang'!A27)</f>
        <v>PRL-026</v>
      </c>
      <c r="O20733" t="str">
        <f>IF(N20733="","",'Master Barang'!B27)</f>
        <v>lancar kresek kecil bening </v>
      </c>
      <c r="P20733">
        <f>IF(OR(M20733="",N20733=""),"",SUMIFS('Barang Keluar'!$E:$E,'Barang Keluar'!$A:$A,M20733,'Barang Keluar'!$C:$C,N20733))</f>
        <v>0</v>
      </c>
    </row>
    <row r="20734" spans="13:16">
      <c r="M20734" s="49">
        <f>IF($A$4+207&gt;$B$4,"",$A$4+207)</f>
        <v>46230</v>
      </c>
      <c r="N20734" t="str">
        <f>IF(M20734="","",'Master Barang'!A28)</f>
        <v>PRL-027</v>
      </c>
      <c r="O20734" t="str">
        <f>IF(N20734="","",'Master Barang'!B28)</f>
        <v>kresek klin warna warni kecil</v>
      </c>
      <c r="P20734">
        <f>IF(OR(M20734="",N20734=""),"",SUMIFS('Barang Keluar'!$E:$E,'Barang Keluar'!$A:$A,M20734,'Barang Keluar'!$C:$C,N20734))</f>
        <v>0</v>
      </c>
    </row>
    <row r="20735" spans="13:16">
      <c r="M20735" s="49">
        <f>IF($A$4+207&gt;$B$4,"",$A$4+207)</f>
        <v>46230</v>
      </c>
      <c r="N20735" t="str">
        <f>IF(M20735="","",'Master Barang'!A29)</f>
        <v>PRL-028</v>
      </c>
      <c r="O20735" t="str">
        <f>IF(N20735="","",'Master Barang'!B29)</f>
        <v>ctik plastik 7x10 100 pcs</v>
      </c>
      <c r="P20735">
        <f>IF(OR(M20735="",N20735=""),"",SUMIFS('Barang Keluar'!$E:$E,'Barang Keluar'!$A:$A,M20735,'Barang Keluar'!$C:$C,N20735))</f>
        <v>0</v>
      </c>
    </row>
    <row r="20736" spans="13:16">
      <c r="M20736" s="49">
        <f>IF($A$4+207&gt;$B$4,"",$A$4+207)</f>
        <v>46230</v>
      </c>
      <c r="N20736" t="str">
        <f>IF(M20736="","",'Master Barang'!A30)</f>
        <v>PRL-029</v>
      </c>
      <c r="O20736" t="str">
        <f>IF(N20736="","",'Master Barang'!B30)</f>
        <v>ctik plastik 6x10 100 pcs</v>
      </c>
      <c r="P20736">
        <f>IF(OR(M20736="",N20736=""),"",SUMIFS('Barang Keluar'!$E:$E,'Barang Keluar'!$A:$A,M20736,'Barang Keluar'!$C:$C,N20736))</f>
        <v>0</v>
      </c>
    </row>
    <row r="20737" spans="13:16">
      <c r="M20737" s="49">
        <f>IF($A$4+207&gt;$B$4,"",$A$4+207)</f>
        <v>46230</v>
      </c>
      <c r="N20737" t="str">
        <f>IF(M20737="","",'Master Barang'!A31)</f>
        <v>PRL-030</v>
      </c>
      <c r="O20737" t="str">
        <f>IF(N20737="","",'Master Barang'!B31)</f>
        <v>klip plastik 25x16 100 pcs</v>
      </c>
      <c r="P20737">
        <f>IF(OR(M20737="",N20737=""),"",SUMIFS('Barang Keluar'!$E:$E,'Barang Keluar'!$A:$A,M20737,'Barang Keluar'!$C:$C,N20737))</f>
        <v>0</v>
      </c>
    </row>
    <row r="20738" spans="13:16">
      <c r="M20738" s="49">
        <f>IF($A$4+207&gt;$B$4,"",$A$4+207)</f>
        <v>46230</v>
      </c>
      <c r="N20738" t="str">
        <f>IF(M20738="","",'Master Barang'!A32)</f>
        <v>PRL-031</v>
      </c>
      <c r="O20738" t="str">
        <f>IF(N20738="","",'Master Barang'!B32)</f>
        <v>tempat saus 20 ml</v>
      </c>
      <c r="P20738">
        <f>IF(OR(M20738="",N20738=""),"",SUMIFS('Barang Keluar'!$E:$E,'Barang Keluar'!$A:$A,M20738,'Barang Keluar'!$C:$C,N20738))</f>
        <v>0</v>
      </c>
    </row>
    <row r="20739" spans="13:16">
      <c r="M20739" s="49">
        <f>IF($A$4+207&gt;$B$4,"",$A$4+207)</f>
        <v>46230</v>
      </c>
      <c r="N20739" t="str">
        <f>IF(M20739="","",'Master Barang'!A33)</f>
        <v>PRL-032</v>
      </c>
      <c r="O20739" t="str">
        <f>IF(N20739="","",'Master Barang'!B33)</f>
        <v>plastik packaging ag box uk sedang</v>
      </c>
      <c r="P20739">
        <f>IF(OR(M20739="",N20739=""),"",SUMIFS('Barang Keluar'!$E:$E,'Barang Keluar'!$A:$A,M20739,'Barang Keluar'!$C:$C,N20739))</f>
        <v>0</v>
      </c>
    </row>
    <row r="20740" spans="13:16">
      <c r="M20740" s="49">
        <f>IF($A$4+207&gt;$B$4,"",$A$4+207)</f>
        <v>46230</v>
      </c>
      <c r="N20740" t="str">
        <f>IF(M20740="","",'Master Barang'!A34)</f>
        <v>PRL-033</v>
      </c>
      <c r="O20740">
        <f>IF(N20740="","",'Master Barang'!B34)</f>
        <v>0</v>
      </c>
      <c r="P20740">
        <f>IF(OR(M20740="",N20740=""),"",SUMIFS('Barang Keluar'!$E:$E,'Barang Keluar'!$A:$A,M20740,'Barang Keluar'!$C:$C,N20740))</f>
        <v>0</v>
      </c>
    </row>
    <row r="20741" spans="13:16">
      <c r="M20741" s="49">
        <f>IF($A$4+207&gt;$B$4,"",$A$4+207)</f>
        <v>46230</v>
      </c>
      <c r="N20741">
        <f>IF(M20741="","",'Master Barang'!A35)</f>
        <v>0</v>
      </c>
      <c r="O20741">
        <f>IF(N20741="","",'Master Barang'!B35)</f>
        <v>0</v>
      </c>
      <c r="P20741">
        <f>IF(OR(M20741="",N20741=""),"",SUMIFS('Barang Keluar'!$E:$E,'Barang Keluar'!$A:$A,M20741,'Barang Keluar'!$C:$C,N20741))</f>
        <v>0</v>
      </c>
    </row>
    <row r="20742" spans="13:16">
      <c r="M20742" s="49">
        <f>IF($A$4+207&gt;$B$4,"",$A$4+207)</f>
        <v>46230</v>
      </c>
      <c r="N20742">
        <f>IF(M20742="","",'Master Barang'!A36)</f>
        <v>0</v>
      </c>
      <c r="O20742">
        <f>IF(N20742="","",'Master Barang'!B36)</f>
        <v>0</v>
      </c>
      <c r="P20742">
        <f>IF(OR(M20742="",N20742=""),"",SUMIFS('Barang Keluar'!$E:$E,'Barang Keluar'!$A:$A,M20742,'Barang Keluar'!$C:$C,N20742))</f>
        <v>0</v>
      </c>
    </row>
    <row r="20743" spans="13:16">
      <c r="M20743" s="49">
        <f>IF($A$4+207&gt;$B$4,"",$A$4+207)</f>
        <v>46230</v>
      </c>
      <c r="N20743">
        <f>IF(M20743="","",'Master Barang'!A37)</f>
        <v>0</v>
      </c>
      <c r="O20743">
        <f>IF(N20743="","",'Master Barang'!B37)</f>
        <v>0</v>
      </c>
      <c r="P20743">
        <f>IF(OR(M20743="",N20743=""),"",SUMIFS('Barang Keluar'!$E:$E,'Barang Keluar'!$A:$A,M20743,'Barang Keluar'!$C:$C,N20743))</f>
        <v>0</v>
      </c>
    </row>
    <row r="20744" spans="13:16">
      <c r="M20744" s="49">
        <f>IF($A$4+207&gt;$B$4,"",$A$4+207)</f>
        <v>46230</v>
      </c>
      <c r="N20744">
        <f>IF(M20744="","",'Master Barang'!A38)</f>
        <v>0</v>
      </c>
      <c r="O20744">
        <f>IF(N20744="","",'Master Barang'!B38)</f>
        <v>0</v>
      </c>
      <c r="P20744">
        <f>IF(OR(M20744="",N20744=""),"",SUMIFS('Barang Keluar'!$E:$E,'Barang Keluar'!$A:$A,M20744,'Barang Keluar'!$C:$C,N20744))</f>
        <v>0</v>
      </c>
    </row>
    <row r="20745" spans="13:16">
      <c r="M20745" s="49">
        <f>IF($A$4+207&gt;$B$4,"",$A$4+207)</f>
        <v>46230</v>
      </c>
      <c r="N20745">
        <f>IF(M20745="","",'Master Barang'!A39)</f>
        <v>0</v>
      </c>
      <c r="O20745">
        <f>IF(N20745="","",'Master Barang'!B39)</f>
        <v>0</v>
      </c>
      <c r="P20745">
        <f>IF(OR(M20745="",N20745=""),"",SUMIFS('Barang Keluar'!$E:$E,'Barang Keluar'!$A:$A,M20745,'Barang Keluar'!$C:$C,N20745))</f>
        <v>0</v>
      </c>
    </row>
    <row r="20746" spans="13:16">
      <c r="M20746" s="49">
        <f>IF($A$4+207&gt;$B$4,"",$A$4+207)</f>
        <v>46230</v>
      </c>
      <c r="N20746">
        <f>IF(M20746="","",'Master Barang'!A40)</f>
        <v>0</v>
      </c>
      <c r="O20746">
        <f>IF(N20746="","",'Master Barang'!B40)</f>
        <v>0</v>
      </c>
      <c r="P20746">
        <f>IF(OR(M20746="",N20746=""),"",SUMIFS('Barang Keluar'!$E:$E,'Barang Keluar'!$A:$A,M20746,'Barang Keluar'!$C:$C,N20746))</f>
        <v>0</v>
      </c>
    </row>
    <row r="20747" spans="13:16">
      <c r="M20747" s="49">
        <f>IF($A$4+207&gt;$B$4,"",$A$4+207)</f>
        <v>46230</v>
      </c>
      <c r="N20747">
        <f>IF(M20747="","",'Master Barang'!A41)</f>
        <v>0</v>
      </c>
      <c r="O20747">
        <f>IF(N20747="","",'Master Barang'!B41)</f>
        <v>0</v>
      </c>
      <c r="P20747">
        <f>IF(OR(M20747="",N20747=""),"",SUMIFS('Barang Keluar'!$E:$E,'Barang Keluar'!$A:$A,M20747,'Barang Keluar'!$C:$C,N20747))</f>
        <v>0</v>
      </c>
    </row>
    <row r="20748" spans="13:16">
      <c r="M20748" s="49">
        <f>IF($A$4+207&gt;$B$4,"",$A$4+207)</f>
        <v>46230</v>
      </c>
      <c r="N20748">
        <f>IF(M20748="","",'Master Barang'!A42)</f>
        <v>0</v>
      </c>
      <c r="O20748">
        <f>IF(N20748="","",'Master Barang'!B42)</f>
        <v>0</v>
      </c>
      <c r="P20748">
        <f>IF(OR(M20748="",N20748=""),"",SUMIFS('Barang Keluar'!$E:$E,'Barang Keluar'!$A:$A,M20748,'Barang Keluar'!$C:$C,N20748))</f>
        <v>0</v>
      </c>
    </row>
    <row r="20749" spans="13:16">
      <c r="M20749" s="49">
        <f>IF($A$4+207&gt;$B$4,"",$A$4+207)</f>
        <v>46230</v>
      </c>
      <c r="N20749">
        <f>IF(M20749="","",'Master Barang'!A43)</f>
        <v>0</v>
      </c>
      <c r="O20749">
        <f>IF(N20749="","",'Master Barang'!B43)</f>
        <v>0</v>
      </c>
      <c r="P20749">
        <f>IF(OR(M20749="",N20749=""),"",SUMIFS('Barang Keluar'!$E:$E,'Barang Keluar'!$A:$A,M20749,'Barang Keluar'!$C:$C,N20749))</f>
        <v>0</v>
      </c>
    </row>
    <row r="20750" spans="13:16">
      <c r="M20750" s="49">
        <f>IF($A$4+207&gt;$B$4,"",$A$4+207)</f>
        <v>46230</v>
      </c>
      <c r="N20750">
        <f>IF(M20750="","",'Master Barang'!A44)</f>
        <v>0</v>
      </c>
      <c r="O20750">
        <f>IF(N20750="","",'Master Barang'!B44)</f>
        <v>0</v>
      </c>
      <c r="P20750">
        <f>IF(OR(M20750="",N20750=""),"",SUMIFS('Barang Keluar'!$E:$E,'Barang Keluar'!$A:$A,M20750,'Barang Keluar'!$C:$C,N20750))</f>
        <v>0</v>
      </c>
    </row>
    <row r="20751" spans="13:16">
      <c r="M20751" s="49">
        <f>IF($A$4+207&gt;$B$4,"",$A$4+207)</f>
        <v>46230</v>
      </c>
      <c r="N20751">
        <f>IF(M20751="","",'Master Barang'!A45)</f>
        <v>0</v>
      </c>
      <c r="O20751">
        <f>IF(N20751="","",'Master Barang'!B45)</f>
        <v>0</v>
      </c>
      <c r="P20751">
        <f>IF(OR(M20751="",N20751=""),"",SUMIFS('Barang Keluar'!$E:$E,'Barang Keluar'!$A:$A,M20751,'Barang Keluar'!$C:$C,N20751))</f>
        <v>0</v>
      </c>
    </row>
    <row r="20752" spans="13:16">
      <c r="M20752" s="49">
        <f>IF($A$4+207&gt;$B$4,"",$A$4+207)</f>
        <v>46230</v>
      </c>
      <c r="N20752">
        <f>IF(M20752="","",'Master Barang'!A46)</f>
        <v>0</v>
      </c>
      <c r="O20752">
        <f>IF(N20752="","",'Master Barang'!B46)</f>
        <v>0</v>
      </c>
      <c r="P20752">
        <f>IF(OR(M20752="",N20752=""),"",SUMIFS('Barang Keluar'!$E:$E,'Barang Keluar'!$A:$A,M20752,'Barang Keluar'!$C:$C,N20752))</f>
        <v>0</v>
      </c>
    </row>
    <row r="20753" spans="13:16">
      <c r="M20753" s="49">
        <f>IF($A$4+207&gt;$B$4,"",$A$4+207)</f>
        <v>46230</v>
      </c>
      <c r="N20753">
        <f>IF(M20753="","",'Master Barang'!A47)</f>
        <v>0</v>
      </c>
      <c r="O20753">
        <f>IF(N20753="","",'Master Barang'!B47)</f>
        <v>0</v>
      </c>
      <c r="P20753">
        <f>IF(OR(M20753="",N20753=""),"",SUMIFS('Barang Keluar'!$E:$E,'Barang Keluar'!$A:$A,M20753,'Barang Keluar'!$C:$C,N20753))</f>
        <v>0</v>
      </c>
    </row>
    <row r="20754" spans="13:16">
      <c r="M20754" s="49">
        <f>IF($A$4+207&gt;$B$4,"",$A$4+207)</f>
        <v>46230</v>
      </c>
      <c r="N20754">
        <f>IF(M20754="","",'Master Barang'!A48)</f>
        <v>0</v>
      </c>
      <c r="O20754">
        <f>IF(N20754="","",'Master Barang'!B48)</f>
        <v>0</v>
      </c>
      <c r="P20754">
        <f>IF(OR(M20754="",N20754=""),"",SUMIFS('Barang Keluar'!$E:$E,'Barang Keluar'!$A:$A,M20754,'Barang Keluar'!$C:$C,N20754))</f>
        <v>0</v>
      </c>
    </row>
    <row r="20755" spans="13:16">
      <c r="M20755" s="49">
        <f>IF($A$4+207&gt;$B$4,"",$A$4+207)</f>
        <v>46230</v>
      </c>
      <c r="N20755">
        <f>IF(M20755="","",'Master Barang'!A49)</f>
        <v>0</v>
      </c>
      <c r="O20755">
        <f>IF(N20755="","",'Master Barang'!B49)</f>
        <v>0</v>
      </c>
      <c r="P20755">
        <f>IF(OR(M20755="",N20755=""),"",SUMIFS('Barang Keluar'!$E:$E,'Barang Keluar'!$A:$A,M20755,'Barang Keluar'!$C:$C,N20755))</f>
        <v>0</v>
      </c>
    </row>
    <row r="20756" spans="13:16">
      <c r="M20756" s="49">
        <f>IF($A$4+207&gt;$B$4,"",$A$4+207)</f>
        <v>46230</v>
      </c>
      <c r="N20756">
        <f>IF(M20756="","",'Master Barang'!A50)</f>
        <v>0</v>
      </c>
      <c r="O20756">
        <f>IF(N20756="","",'Master Barang'!B50)</f>
        <v>0</v>
      </c>
      <c r="P20756">
        <f>IF(OR(M20756="",N20756=""),"",SUMIFS('Barang Keluar'!$E:$E,'Barang Keluar'!$A:$A,M20756,'Barang Keluar'!$C:$C,N20756))</f>
        <v>0</v>
      </c>
    </row>
    <row r="20757" spans="13:16">
      <c r="M20757" s="49">
        <f>IF($A$4+207&gt;$B$4,"",$A$4+207)</f>
        <v>46230</v>
      </c>
      <c r="N20757">
        <f>IF(M20757="","",'Master Barang'!A51)</f>
        <v>0</v>
      </c>
      <c r="O20757">
        <f>IF(N20757="","",'Master Barang'!B51)</f>
        <v>0</v>
      </c>
      <c r="P20757">
        <f>IF(OR(M20757="",N20757=""),"",SUMIFS('Barang Keluar'!$E:$E,'Barang Keluar'!$A:$A,M20757,'Barang Keluar'!$C:$C,N20757))</f>
        <v>0</v>
      </c>
    </row>
    <row r="20758" spans="13:16">
      <c r="M20758" s="49">
        <f>IF($A$4+207&gt;$B$4,"",$A$4+207)</f>
        <v>46230</v>
      </c>
      <c r="N20758">
        <f>IF(M20758="","",'Master Barang'!A52)</f>
        <v>0</v>
      </c>
      <c r="O20758">
        <f>IF(N20758="","",'Master Barang'!B52)</f>
        <v>0</v>
      </c>
      <c r="P20758">
        <f>IF(OR(M20758="",N20758=""),"",SUMIFS('Barang Keluar'!$E:$E,'Barang Keluar'!$A:$A,M20758,'Barang Keluar'!$C:$C,N20758))</f>
        <v>0</v>
      </c>
    </row>
    <row r="20759" spans="13:16">
      <c r="M20759" s="49">
        <f>IF($A$4+207&gt;$B$4,"",$A$4+207)</f>
        <v>46230</v>
      </c>
      <c r="N20759">
        <f>IF(M20759="","",'Master Barang'!A53)</f>
        <v>0</v>
      </c>
      <c r="O20759">
        <f>IF(N20759="","",'Master Barang'!B53)</f>
        <v>0</v>
      </c>
      <c r="P20759">
        <f>IF(OR(M20759="",N20759=""),"",SUMIFS('Barang Keluar'!$E:$E,'Barang Keluar'!$A:$A,M20759,'Barang Keluar'!$C:$C,N20759))</f>
        <v>0</v>
      </c>
    </row>
    <row r="20760" spans="13:16">
      <c r="M20760" s="49">
        <f>IF($A$4+207&gt;$B$4,"",$A$4+207)</f>
        <v>46230</v>
      </c>
      <c r="N20760">
        <f>IF(M20760="","",'Master Barang'!A54)</f>
        <v>0</v>
      </c>
      <c r="O20760">
        <f>IF(N20760="","",'Master Barang'!B54)</f>
        <v>0</v>
      </c>
      <c r="P20760">
        <f>IF(OR(M20760="",N20760=""),"",SUMIFS('Barang Keluar'!$E:$E,'Barang Keluar'!$A:$A,M20760,'Barang Keluar'!$C:$C,N20760))</f>
        <v>0</v>
      </c>
    </row>
    <row r="20761" spans="13:16">
      <c r="M20761" s="49">
        <f>IF($A$4+207&gt;$B$4,"",$A$4+207)</f>
        <v>46230</v>
      </c>
      <c r="N20761">
        <f>IF(M20761="","",'Master Barang'!A55)</f>
        <v>0</v>
      </c>
      <c r="O20761">
        <f>IF(N20761="","",'Master Barang'!B55)</f>
        <v>0</v>
      </c>
      <c r="P20761">
        <f>IF(OR(M20761="",N20761=""),"",SUMIFS('Barang Keluar'!$E:$E,'Barang Keluar'!$A:$A,M20761,'Barang Keluar'!$C:$C,N20761))</f>
        <v>0</v>
      </c>
    </row>
    <row r="20762" spans="13:16">
      <c r="M20762" s="49">
        <f>IF($A$4+207&gt;$B$4,"",$A$4+207)</f>
        <v>46230</v>
      </c>
      <c r="N20762">
        <f>IF(M20762="","",'Master Barang'!A56)</f>
        <v>0</v>
      </c>
      <c r="O20762">
        <f>IF(N20762="","",'Master Barang'!B56)</f>
        <v>0</v>
      </c>
      <c r="P20762">
        <f>IF(OR(M20762="",N20762=""),"",SUMIFS('Barang Keluar'!$E:$E,'Barang Keluar'!$A:$A,M20762,'Barang Keluar'!$C:$C,N20762))</f>
        <v>0</v>
      </c>
    </row>
    <row r="20763" spans="13:16">
      <c r="M20763" s="49">
        <f>IF($A$4+207&gt;$B$4,"",$A$4+207)</f>
        <v>46230</v>
      </c>
      <c r="N20763">
        <f>IF(M20763="","",'Master Barang'!A57)</f>
        <v>0</v>
      </c>
      <c r="O20763">
        <f>IF(N20763="","",'Master Barang'!B57)</f>
        <v>0</v>
      </c>
      <c r="P20763">
        <f>IF(OR(M20763="",N20763=""),"",SUMIFS('Barang Keluar'!$E:$E,'Barang Keluar'!$A:$A,M20763,'Barang Keluar'!$C:$C,N20763))</f>
        <v>0</v>
      </c>
    </row>
    <row r="20764" spans="13:16">
      <c r="M20764" s="49">
        <f>IF($A$4+207&gt;$B$4,"",$A$4+207)</f>
        <v>46230</v>
      </c>
      <c r="N20764">
        <f>IF(M20764="","",'Master Barang'!A58)</f>
        <v>0</v>
      </c>
      <c r="O20764">
        <f>IF(N20764="","",'Master Barang'!B58)</f>
        <v>0</v>
      </c>
      <c r="P20764">
        <f>IF(OR(M20764="",N20764=""),"",SUMIFS('Barang Keluar'!$E:$E,'Barang Keluar'!$A:$A,M20764,'Barang Keluar'!$C:$C,N20764))</f>
        <v>0</v>
      </c>
    </row>
    <row r="20765" spans="13:16">
      <c r="M20765" s="49">
        <f>IF($A$4+207&gt;$B$4,"",$A$4+207)</f>
        <v>46230</v>
      </c>
      <c r="N20765">
        <f>IF(M20765="","",'Master Barang'!A59)</f>
        <v>0</v>
      </c>
      <c r="O20765">
        <f>IF(N20765="","",'Master Barang'!B59)</f>
        <v>0</v>
      </c>
      <c r="P20765">
        <f>IF(OR(M20765="",N20765=""),"",SUMIFS('Barang Keluar'!$E:$E,'Barang Keluar'!$A:$A,M20765,'Barang Keluar'!$C:$C,N20765))</f>
        <v>0</v>
      </c>
    </row>
    <row r="20766" spans="13:16">
      <c r="M20766" s="49">
        <f>IF($A$4+207&gt;$B$4,"",$A$4+207)</f>
        <v>46230</v>
      </c>
      <c r="N20766">
        <f>IF(M20766="","",'Master Barang'!A60)</f>
        <v>0</v>
      </c>
      <c r="O20766">
        <f>IF(N20766="","",'Master Barang'!B60)</f>
        <v>0</v>
      </c>
      <c r="P20766">
        <f>IF(OR(M20766="",N20766=""),"",SUMIFS('Barang Keluar'!$E:$E,'Barang Keluar'!$A:$A,M20766,'Barang Keluar'!$C:$C,N20766))</f>
        <v>0</v>
      </c>
    </row>
    <row r="20767" spans="13:16">
      <c r="M20767" s="49">
        <f>IF($A$4+207&gt;$B$4,"",$A$4+207)</f>
        <v>46230</v>
      </c>
      <c r="N20767">
        <f>IF(M20767="","",'Master Barang'!A61)</f>
        <v>0</v>
      </c>
      <c r="O20767">
        <f>IF(N20767="","",'Master Barang'!B61)</f>
        <v>0</v>
      </c>
      <c r="P20767">
        <f>IF(OR(M20767="",N20767=""),"",SUMIFS('Barang Keluar'!$E:$E,'Barang Keluar'!$A:$A,M20767,'Barang Keluar'!$C:$C,N20767))</f>
        <v>0</v>
      </c>
    </row>
    <row r="20768" spans="13:16">
      <c r="M20768" s="49">
        <f>IF($A$4+207&gt;$B$4,"",$A$4+207)</f>
        <v>46230</v>
      </c>
      <c r="N20768">
        <f>IF(M20768="","",'Master Barang'!A62)</f>
        <v>0</v>
      </c>
      <c r="O20768">
        <f>IF(N20768="","",'Master Barang'!B62)</f>
        <v>0</v>
      </c>
      <c r="P20768">
        <f>IF(OR(M20768="",N20768=""),"",SUMIFS('Barang Keluar'!$E:$E,'Barang Keluar'!$A:$A,M20768,'Barang Keluar'!$C:$C,N20768))</f>
        <v>0</v>
      </c>
    </row>
    <row r="20769" spans="13:16">
      <c r="M20769" s="49">
        <f>IF($A$4+207&gt;$B$4,"",$A$4+207)</f>
        <v>46230</v>
      </c>
      <c r="N20769">
        <f>IF(M20769="","",'Master Barang'!A63)</f>
        <v>0</v>
      </c>
      <c r="O20769">
        <f>IF(N20769="","",'Master Barang'!B63)</f>
        <v>0</v>
      </c>
      <c r="P20769">
        <f>IF(OR(M20769="",N20769=""),"",SUMIFS('Barang Keluar'!$E:$E,'Barang Keluar'!$A:$A,M20769,'Barang Keluar'!$C:$C,N20769))</f>
        <v>0</v>
      </c>
    </row>
    <row r="20770" spans="13:16">
      <c r="M20770" s="49">
        <f>IF($A$4+207&gt;$B$4,"",$A$4+207)</f>
        <v>46230</v>
      </c>
      <c r="N20770">
        <f>IF(M20770="","",'Master Barang'!A64)</f>
        <v>0</v>
      </c>
      <c r="O20770">
        <f>IF(N20770="","",'Master Barang'!B64)</f>
        <v>0</v>
      </c>
      <c r="P20770">
        <f>IF(OR(M20770="",N20770=""),"",SUMIFS('Barang Keluar'!$E:$E,'Barang Keluar'!$A:$A,M20770,'Barang Keluar'!$C:$C,N20770))</f>
        <v>0</v>
      </c>
    </row>
    <row r="20771" spans="13:16">
      <c r="M20771" s="49">
        <f>IF($A$4+207&gt;$B$4,"",$A$4+207)</f>
        <v>46230</v>
      </c>
      <c r="N20771">
        <f>IF(M20771="","",'Master Barang'!A65)</f>
        <v>0</v>
      </c>
      <c r="O20771">
        <f>IF(N20771="","",'Master Barang'!B65)</f>
        <v>0</v>
      </c>
      <c r="P20771">
        <f>IF(OR(M20771="",N20771=""),"",SUMIFS('Barang Keluar'!$E:$E,'Barang Keluar'!$A:$A,M20771,'Barang Keluar'!$C:$C,N20771))</f>
        <v>0</v>
      </c>
    </row>
    <row r="20772" spans="13:16">
      <c r="M20772" s="49">
        <f>IF($A$4+207&gt;$B$4,"",$A$4+207)</f>
        <v>46230</v>
      </c>
      <c r="N20772">
        <f>IF(M20772="","",'Master Barang'!A66)</f>
        <v>0</v>
      </c>
      <c r="O20772">
        <f>IF(N20772="","",'Master Barang'!B66)</f>
        <v>0</v>
      </c>
      <c r="P20772">
        <f>IF(OR(M20772="",N20772=""),"",SUMIFS('Barang Keluar'!$E:$E,'Barang Keluar'!$A:$A,M20772,'Barang Keluar'!$C:$C,N20772))</f>
        <v>0</v>
      </c>
    </row>
    <row r="20773" spans="13:16">
      <c r="M20773" s="49">
        <f>IF($A$4+207&gt;$B$4,"",$A$4+207)</f>
        <v>46230</v>
      </c>
      <c r="N20773">
        <f>IF(M20773="","",'Master Barang'!A67)</f>
        <v>0</v>
      </c>
      <c r="O20773">
        <f>IF(N20773="","",'Master Barang'!B67)</f>
        <v>0</v>
      </c>
      <c r="P20773">
        <f>IF(OR(M20773="",N20773=""),"",SUMIFS('Barang Keluar'!$E:$E,'Barang Keluar'!$A:$A,M20773,'Barang Keluar'!$C:$C,N20773))</f>
        <v>0</v>
      </c>
    </row>
    <row r="20774" spans="13:16">
      <c r="M20774" s="49">
        <f>IF($A$4+207&gt;$B$4,"",$A$4+207)</f>
        <v>46230</v>
      </c>
      <c r="N20774">
        <f>IF(M20774="","",'Master Barang'!A68)</f>
        <v>0</v>
      </c>
      <c r="O20774">
        <f>IF(N20774="","",'Master Barang'!B68)</f>
        <v>0</v>
      </c>
      <c r="P20774">
        <f>IF(OR(M20774="",N20774=""),"",SUMIFS('Barang Keluar'!$E:$E,'Barang Keluar'!$A:$A,M20774,'Barang Keluar'!$C:$C,N20774))</f>
        <v>0</v>
      </c>
    </row>
    <row r="20775" spans="13:16">
      <c r="M20775" s="49">
        <f>IF($A$4+207&gt;$B$4,"",$A$4+207)</f>
        <v>46230</v>
      </c>
      <c r="N20775">
        <f>IF(M20775="","",'Master Barang'!A69)</f>
        <v>0</v>
      </c>
      <c r="O20775">
        <f>IF(N20775="","",'Master Barang'!B69)</f>
        <v>0</v>
      </c>
      <c r="P20775">
        <f>IF(OR(M20775="",N20775=""),"",SUMIFS('Barang Keluar'!$E:$E,'Barang Keluar'!$A:$A,M20775,'Barang Keluar'!$C:$C,N20775))</f>
        <v>0</v>
      </c>
    </row>
    <row r="20776" spans="13:16">
      <c r="M20776" s="49">
        <f>IF($A$4+207&gt;$B$4,"",$A$4+207)</f>
        <v>46230</v>
      </c>
      <c r="N20776">
        <f>IF(M20776="","",'Master Barang'!A70)</f>
        <v>0</v>
      </c>
      <c r="O20776">
        <f>IF(N20776="","",'Master Barang'!B70)</f>
        <v>0</v>
      </c>
      <c r="P20776">
        <f>IF(OR(M20776="",N20776=""),"",SUMIFS('Barang Keluar'!$E:$E,'Barang Keluar'!$A:$A,M20776,'Barang Keluar'!$C:$C,N20776))</f>
        <v>0</v>
      </c>
    </row>
    <row r="20777" spans="13:16">
      <c r="M20777" s="49">
        <f>IF($A$4+207&gt;$B$4,"",$A$4+207)</f>
        <v>46230</v>
      </c>
      <c r="N20777">
        <f>IF(M20777="","",'Master Barang'!A71)</f>
        <v>0</v>
      </c>
      <c r="O20777">
        <f>IF(N20777="","",'Master Barang'!B71)</f>
        <v>0</v>
      </c>
      <c r="P20777">
        <f>IF(OR(M20777="",N20777=""),"",SUMIFS('Barang Keluar'!$E:$E,'Barang Keluar'!$A:$A,M20777,'Barang Keluar'!$C:$C,N20777))</f>
        <v>0</v>
      </c>
    </row>
    <row r="20778" spans="13:16">
      <c r="M20778" s="49">
        <f>IF($A$4+207&gt;$B$4,"",$A$4+207)</f>
        <v>46230</v>
      </c>
      <c r="N20778">
        <f>IF(M20778="","",'Master Barang'!A72)</f>
        <v>0</v>
      </c>
      <c r="O20778">
        <f>IF(N20778="","",'Master Barang'!B72)</f>
        <v>0</v>
      </c>
      <c r="P20778">
        <f>IF(OR(M20778="",N20778=""),"",SUMIFS('Barang Keluar'!$E:$E,'Barang Keluar'!$A:$A,M20778,'Barang Keluar'!$C:$C,N20778))</f>
        <v>0</v>
      </c>
    </row>
    <row r="20779" spans="13:16">
      <c r="M20779" s="49">
        <f>IF($A$4+207&gt;$B$4,"",$A$4+207)</f>
        <v>46230</v>
      </c>
      <c r="N20779">
        <f>IF(M20779="","",'Master Barang'!A73)</f>
        <v>0</v>
      </c>
      <c r="O20779">
        <f>IF(N20779="","",'Master Barang'!B73)</f>
        <v>0</v>
      </c>
      <c r="P20779">
        <f>IF(OR(M20779="",N20779=""),"",SUMIFS('Barang Keluar'!$E:$E,'Barang Keluar'!$A:$A,M20779,'Barang Keluar'!$C:$C,N20779))</f>
        <v>0</v>
      </c>
    </row>
    <row r="20780" spans="13:16">
      <c r="M20780" s="49">
        <f>IF($A$4+207&gt;$B$4,"",$A$4+207)</f>
        <v>46230</v>
      </c>
      <c r="N20780">
        <f>IF(M20780="","",'Master Barang'!A74)</f>
        <v>0</v>
      </c>
      <c r="O20780">
        <f>IF(N20780="","",'Master Barang'!B74)</f>
        <v>0</v>
      </c>
      <c r="P20780">
        <f>IF(OR(M20780="",N20780=""),"",SUMIFS('Barang Keluar'!$E:$E,'Barang Keluar'!$A:$A,M20780,'Barang Keluar'!$C:$C,N20780))</f>
        <v>0</v>
      </c>
    </row>
    <row r="20781" spans="13:16">
      <c r="M20781" s="49">
        <f>IF($A$4+207&gt;$B$4,"",$A$4+207)</f>
        <v>46230</v>
      </c>
      <c r="N20781">
        <f>IF(M20781="","",'Master Barang'!A75)</f>
        <v>0</v>
      </c>
      <c r="O20781">
        <f>IF(N20781="","",'Master Barang'!B75)</f>
        <v>0</v>
      </c>
      <c r="P20781">
        <f>IF(OR(M20781="",N20781=""),"",SUMIFS('Barang Keluar'!$E:$E,'Barang Keluar'!$A:$A,M20781,'Barang Keluar'!$C:$C,N20781))</f>
        <v>0</v>
      </c>
    </row>
    <row r="20782" spans="13:16">
      <c r="M20782" s="49">
        <f>IF($A$4+207&gt;$B$4,"",$A$4+207)</f>
        <v>46230</v>
      </c>
      <c r="N20782">
        <f>IF(M20782="","",'Master Barang'!A76)</f>
        <v>0</v>
      </c>
      <c r="O20782">
        <f>IF(N20782="","",'Master Barang'!B76)</f>
        <v>0</v>
      </c>
      <c r="P20782">
        <f>IF(OR(M20782="",N20782=""),"",SUMIFS('Barang Keluar'!$E:$E,'Barang Keluar'!$A:$A,M20782,'Barang Keluar'!$C:$C,N20782))</f>
        <v>0</v>
      </c>
    </row>
    <row r="20783" spans="13:16">
      <c r="M20783" s="49">
        <f>IF($A$4+207&gt;$B$4,"",$A$4+207)</f>
        <v>46230</v>
      </c>
      <c r="N20783">
        <f>IF(M20783="","",'Master Barang'!A77)</f>
        <v>0</v>
      </c>
      <c r="O20783">
        <f>IF(N20783="","",'Master Barang'!B77)</f>
        <v>0</v>
      </c>
      <c r="P20783">
        <f>IF(OR(M20783="",N20783=""),"",SUMIFS('Barang Keluar'!$E:$E,'Barang Keluar'!$A:$A,M20783,'Barang Keluar'!$C:$C,N20783))</f>
        <v>0</v>
      </c>
    </row>
    <row r="20784" spans="13:16">
      <c r="M20784" s="49">
        <f>IF($A$4+207&gt;$B$4,"",$A$4+207)</f>
        <v>46230</v>
      </c>
      <c r="N20784">
        <f>IF(M20784="","",'Master Barang'!A78)</f>
        <v>0</v>
      </c>
      <c r="O20784">
        <f>IF(N20784="","",'Master Barang'!B78)</f>
        <v>0</v>
      </c>
      <c r="P20784">
        <f>IF(OR(M20784="",N20784=""),"",SUMIFS('Barang Keluar'!$E:$E,'Barang Keluar'!$A:$A,M20784,'Barang Keluar'!$C:$C,N20784))</f>
        <v>0</v>
      </c>
    </row>
    <row r="20785" spans="13:16">
      <c r="M20785" s="49">
        <f>IF($A$4+207&gt;$B$4,"",$A$4+207)</f>
        <v>46230</v>
      </c>
      <c r="N20785">
        <f>IF(M20785="","",'Master Barang'!A79)</f>
        <v>0</v>
      </c>
      <c r="O20785">
        <f>IF(N20785="","",'Master Barang'!B79)</f>
        <v>0</v>
      </c>
      <c r="P20785">
        <f>IF(OR(M20785="",N20785=""),"",SUMIFS('Barang Keluar'!$E:$E,'Barang Keluar'!$A:$A,M20785,'Barang Keluar'!$C:$C,N20785))</f>
        <v>0</v>
      </c>
    </row>
    <row r="20786" spans="13:16">
      <c r="M20786" s="49">
        <f>IF($A$4+207&gt;$B$4,"",$A$4+207)</f>
        <v>46230</v>
      </c>
      <c r="N20786">
        <f>IF(M20786="","",'Master Barang'!A80)</f>
        <v>0</v>
      </c>
      <c r="O20786">
        <f>IF(N20786="","",'Master Barang'!B80)</f>
        <v>0</v>
      </c>
      <c r="P20786">
        <f>IF(OR(M20786="",N20786=""),"",SUMIFS('Barang Keluar'!$E:$E,'Barang Keluar'!$A:$A,M20786,'Barang Keluar'!$C:$C,N20786))</f>
        <v>0</v>
      </c>
    </row>
    <row r="20787" spans="13:16">
      <c r="M20787" s="49">
        <f>IF($A$4+207&gt;$B$4,"",$A$4+207)</f>
        <v>46230</v>
      </c>
      <c r="N20787">
        <f>IF(M20787="","",'Master Barang'!A81)</f>
        <v>0</v>
      </c>
      <c r="O20787">
        <f>IF(N20787="","",'Master Barang'!B81)</f>
        <v>0</v>
      </c>
      <c r="P20787">
        <f>IF(OR(M20787="",N20787=""),"",SUMIFS('Barang Keluar'!$E:$E,'Barang Keluar'!$A:$A,M20787,'Barang Keluar'!$C:$C,N20787))</f>
        <v>0</v>
      </c>
    </row>
    <row r="20788" spans="13:16">
      <c r="M20788" s="49">
        <f>IF($A$4+207&gt;$B$4,"",$A$4+207)</f>
        <v>46230</v>
      </c>
      <c r="N20788">
        <f>IF(M20788="","",'Master Barang'!A82)</f>
        <v>0</v>
      </c>
      <c r="O20788">
        <f>IF(N20788="","",'Master Barang'!B82)</f>
        <v>0</v>
      </c>
      <c r="P20788">
        <f>IF(OR(M20788="",N20788=""),"",SUMIFS('Barang Keluar'!$E:$E,'Barang Keluar'!$A:$A,M20788,'Barang Keluar'!$C:$C,N20788))</f>
        <v>0</v>
      </c>
    </row>
    <row r="20789" spans="13:16">
      <c r="M20789" s="49">
        <f>IF($A$4+207&gt;$B$4,"",$A$4+207)</f>
        <v>46230</v>
      </c>
      <c r="N20789">
        <f>IF(M20789="","",'Master Barang'!A83)</f>
        <v>0</v>
      </c>
      <c r="O20789">
        <f>IF(N20789="","",'Master Barang'!B83)</f>
        <v>0</v>
      </c>
      <c r="P20789">
        <f>IF(OR(M20789="",N20789=""),"",SUMIFS('Barang Keluar'!$E:$E,'Barang Keluar'!$A:$A,M20789,'Barang Keluar'!$C:$C,N20789))</f>
        <v>0</v>
      </c>
    </row>
    <row r="20790" spans="13:16">
      <c r="M20790" s="49">
        <f>IF($A$4+207&gt;$B$4,"",$A$4+207)</f>
        <v>46230</v>
      </c>
      <c r="N20790">
        <f>IF(M20790="","",'Master Barang'!A84)</f>
        <v>0</v>
      </c>
      <c r="O20790">
        <f>IF(N20790="","",'Master Barang'!B84)</f>
        <v>0</v>
      </c>
      <c r="P20790">
        <f>IF(OR(M20790="",N20790=""),"",SUMIFS('Barang Keluar'!$E:$E,'Barang Keluar'!$A:$A,M20790,'Barang Keluar'!$C:$C,N20790))</f>
        <v>0</v>
      </c>
    </row>
    <row r="20791" spans="13:16">
      <c r="M20791" s="49">
        <f>IF($A$4+207&gt;$B$4,"",$A$4+207)</f>
        <v>46230</v>
      </c>
      <c r="N20791">
        <f>IF(M20791="","",'Master Barang'!A85)</f>
        <v>0</v>
      </c>
      <c r="O20791">
        <f>IF(N20791="","",'Master Barang'!B85)</f>
        <v>0</v>
      </c>
      <c r="P20791">
        <f>IF(OR(M20791="",N20791=""),"",SUMIFS('Barang Keluar'!$E:$E,'Barang Keluar'!$A:$A,M20791,'Barang Keluar'!$C:$C,N20791))</f>
        <v>0</v>
      </c>
    </row>
    <row r="20792" spans="13:16">
      <c r="M20792" s="49">
        <f>IF($A$4+207&gt;$B$4,"",$A$4+207)</f>
        <v>46230</v>
      </c>
      <c r="N20792">
        <f>IF(M20792="","",'Master Barang'!A86)</f>
        <v>0</v>
      </c>
      <c r="O20792">
        <f>IF(N20792="","",'Master Barang'!B86)</f>
        <v>0</v>
      </c>
      <c r="P20792">
        <f>IF(OR(M20792="",N20792=""),"",SUMIFS('Barang Keluar'!$E:$E,'Barang Keluar'!$A:$A,M20792,'Barang Keluar'!$C:$C,N20792))</f>
        <v>0</v>
      </c>
    </row>
    <row r="20793" spans="13:16">
      <c r="M20793" s="49">
        <f>IF($A$4+207&gt;$B$4,"",$A$4+207)</f>
        <v>46230</v>
      </c>
      <c r="N20793">
        <f>IF(M20793="","",'Master Barang'!A87)</f>
        <v>0</v>
      </c>
      <c r="O20793">
        <f>IF(N20793="","",'Master Barang'!B87)</f>
        <v>0</v>
      </c>
      <c r="P20793">
        <f>IF(OR(M20793="",N20793=""),"",SUMIFS('Barang Keluar'!$E:$E,'Barang Keluar'!$A:$A,M20793,'Barang Keluar'!$C:$C,N20793))</f>
        <v>0</v>
      </c>
    </row>
    <row r="20794" spans="13:16">
      <c r="M20794" s="49">
        <f>IF($A$4+207&gt;$B$4,"",$A$4+207)</f>
        <v>46230</v>
      </c>
      <c r="N20794">
        <f>IF(M20794="","",'Master Barang'!A88)</f>
        <v>0</v>
      </c>
      <c r="O20794">
        <f>IF(N20794="","",'Master Barang'!B88)</f>
        <v>0</v>
      </c>
      <c r="P20794">
        <f>IF(OR(M20794="",N20794=""),"",SUMIFS('Barang Keluar'!$E:$E,'Barang Keluar'!$A:$A,M20794,'Barang Keluar'!$C:$C,N20794))</f>
        <v>0</v>
      </c>
    </row>
    <row r="20795" spans="13:16">
      <c r="M20795" s="49">
        <f>IF($A$4+207&gt;$B$4,"",$A$4+207)</f>
        <v>46230</v>
      </c>
      <c r="N20795">
        <f>IF(M20795="","",'Master Barang'!A89)</f>
        <v>0</v>
      </c>
      <c r="O20795">
        <f>IF(N20795="","",'Master Barang'!B89)</f>
        <v>0</v>
      </c>
      <c r="P20795">
        <f>IF(OR(M20795="",N20795=""),"",SUMIFS('Barang Keluar'!$E:$E,'Barang Keluar'!$A:$A,M20795,'Barang Keluar'!$C:$C,N20795))</f>
        <v>0</v>
      </c>
    </row>
    <row r="20796" spans="13:16">
      <c r="M20796" s="49">
        <f>IF($A$4+207&gt;$B$4,"",$A$4+207)</f>
        <v>46230</v>
      </c>
      <c r="N20796">
        <f>IF(M20796="","",'Master Barang'!A90)</f>
        <v>0</v>
      </c>
      <c r="O20796">
        <f>IF(N20796="","",'Master Barang'!B90)</f>
        <v>0</v>
      </c>
      <c r="P20796">
        <f>IF(OR(M20796="",N20796=""),"",SUMIFS('Barang Keluar'!$E:$E,'Barang Keluar'!$A:$A,M20796,'Barang Keluar'!$C:$C,N20796))</f>
        <v>0</v>
      </c>
    </row>
    <row r="20797" spans="13:16">
      <c r="M20797" s="49">
        <f>IF($A$4+207&gt;$B$4,"",$A$4+207)</f>
        <v>46230</v>
      </c>
      <c r="N20797">
        <f>IF(M20797="","",'Master Barang'!A91)</f>
        <v>0</v>
      </c>
      <c r="O20797">
        <f>IF(N20797="","",'Master Barang'!B91)</f>
        <v>0</v>
      </c>
      <c r="P20797">
        <f>IF(OR(M20797="",N20797=""),"",SUMIFS('Barang Keluar'!$E:$E,'Barang Keluar'!$A:$A,M20797,'Barang Keluar'!$C:$C,N20797))</f>
        <v>0</v>
      </c>
    </row>
    <row r="20798" spans="13:16">
      <c r="M20798" s="49">
        <f>IF($A$4+207&gt;$B$4,"",$A$4+207)</f>
        <v>46230</v>
      </c>
      <c r="N20798">
        <f>IF(M20798="","",'Master Barang'!A92)</f>
        <v>0</v>
      </c>
      <c r="O20798">
        <f>IF(N20798="","",'Master Barang'!B92)</f>
        <v>0</v>
      </c>
      <c r="P20798">
        <f>IF(OR(M20798="",N20798=""),"",SUMIFS('Barang Keluar'!$E:$E,'Barang Keluar'!$A:$A,M20798,'Barang Keluar'!$C:$C,N20798))</f>
        <v>0</v>
      </c>
    </row>
    <row r="20799" spans="13:16">
      <c r="M20799" s="49">
        <f>IF($A$4+207&gt;$B$4,"",$A$4+207)</f>
        <v>46230</v>
      </c>
      <c r="N20799">
        <f>IF(M20799="","",'Master Barang'!A93)</f>
        <v>0</v>
      </c>
      <c r="O20799">
        <f>IF(N20799="","",'Master Barang'!B93)</f>
        <v>0</v>
      </c>
      <c r="P20799">
        <f>IF(OR(M20799="",N20799=""),"",SUMIFS('Barang Keluar'!$E:$E,'Barang Keluar'!$A:$A,M20799,'Barang Keluar'!$C:$C,N20799))</f>
        <v>0</v>
      </c>
    </row>
    <row r="20800" spans="13:16">
      <c r="M20800" s="49">
        <f>IF($A$4+207&gt;$B$4,"",$A$4+207)</f>
        <v>46230</v>
      </c>
      <c r="N20800">
        <f>IF(M20800="","",'Master Barang'!A94)</f>
        <v>0</v>
      </c>
      <c r="O20800">
        <f>IF(N20800="","",'Master Barang'!B94)</f>
        <v>0</v>
      </c>
      <c r="P20800">
        <f>IF(OR(M20800="",N20800=""),"",SUMIFS('Barang Keluar'!$E:$E,'Barang Keluar'!$A:$A,M20800,'Barang Keluar'!$C:$C,N20800))</f>
        <v>0</v>
      </c>
    </row>
    <row r="20801" spans="13:16">
      <c r="M20801" s="49">
        <f>IF($A$4+207&gt;$B$4,"",$A$4+207)</f>
        <v>46230</v>
      </c>
      <c r="N20801">
        <f>IF(M20801="","",'Master Barang'!A95)</f>
        <v>0</v>
      </c>
      <c r="O20801">
        <f>IF(N20801="","",'Master Barang'!B95)</f>
        <v>0</v>
      </c>
      <c r="P20801">
        <f>IF(OR(M20801="",N20801=""),"",SUMIFS('Barang Keluar'!$E:$E,'Barang Keluar'!$A:$A,M20801,'Barang Keluar'!$C:$C,N20801))</f>
        <v>0</v>
      </c>
    </row>
    <row r="20802" spans="13:16">
      <c r="M20802" s="49">
        <f>IF($A$4+207&gt;$B$4,"",$A$4+207)</f>
        <v>46230</v>
      </c>
      <c r="N20802">
        <f>IF(M20802="","",'Master Barang'!A96)</f>
        <v>0</v>
      </c>
      <c r="O20802">
        <f>IF(N20802="","",'Master Barang'!B96)</f>
        <v>0</v>
      </c>
      <c r="P20802">
        <f>IF(OR(M20802="",N20802=""),"",SUMIFS('Barang Keluar'!$E:$E,'Barang Keluar'!$A:$A,M20802,'Barang Keluar'!$C:$C,N20802))</f>
        <v>0</v>
      </c>
    </row>
    <row r="20803" spans="13:16">
      <c r="M20803" s="49">
        <f>IF($A$4+207&gt;$B$4,"",$A$4+207)</f>
        <v>46230</v>
      </c>
      <c r="N20803">
        <f>IF(M20803="","",'Master Barang'!A97)</f>
        <v>0</v>
      </c>
      <c r="O20803">
        <f>IF(N20803="","",'Master Barang'!B97)</f>
        <v>0</v>
      </c>
      <c r="P20803">
        <f>IF(OR(M20803="",N20803=""),"",SUMIFS('Barang Keluar'!$E:$E,'Barang Keluar'!$A:$A,M20803,'Barang Keluar'!$C:$C,N20803))</f>
        <v>0</v>
      </c>
    </row>
    <row r="20804" spans="13:16">
      <c r="M20804" s="49">
        <f>IF($A$4+207&gt;$B$4,"",$A$4+207)</f>
        <v>46230</v>
      </c>
      <c r="N20804">
        <f>IF(M20804="","",'Master Barang'!A98)</f>
        <v>0</v>
      </c>
      <c r="O20804">
        <f>IF(N20804="","",'Master Barang'!B98)</f>
        <v>0</v>
      </c>
      <c r="P20804">
        <f>IF(OR(M20804="",N20804=""),"",SUMIFS('Barang Keluar'!$E:$E,'Barang Keluar'!$A:$A,M20804,'Barang Keluar'!$C:$C,N20804))</f>
        <v>0</v>
      </c>
    </row>
    <row r="20805" spans="13:16">
      <c r="M20805" s="49">
        <f>IF($A$4+207&gt;$B$4,"",$A$4+207)</f>
        <v>46230</v>
      </c>
      <c r="N20805">
        <f>IF(M20805="","",'Master Barang'!A99)</f>
        <v>0</v>
      </c>
      <c r="O20805">
        <f>IF(N20805="","",'Master Barang'!B99)</f>
        <v>0</v>
      </c>
      <c r="P20805">
        <f>IF(OR(M20805="",N20805=""),"",SUMIFS('Barang Keluar'!$E:$E,'Barang Keluar'!$A:$A,M20805,'Barang Keluar'!$C:$C,N20805))</f>
        <v>0</v>
      </c>
    </row>
    <row r="20806" spans="13:16">
      <c r="M20806" s="49">
        <f>IF($A$4+207&gt;$B$4,"",$A$4+207)</f>
        <v>46230</v>
      </c>
      <c r="N20806">
        <f>IF(M20806="","",'Master Barang'!A100)</f>
        <v>0</v>
      </c>
      <c r="O20806">
        <f>IF(N20806="","",'Master Barang'!B100)</f>
        <v>0</v>
      </c>
      <c r="P20806">
        <f>IF(OR(M20806="",N20806=""),"",SUMIFS('Barang Keluar'!$E:$E,'Barang Keluar'!$A:$A,M20806,'Barang Keluar'!$C:$C,N20806))</f>
        <v>0</v>
      </c>
    </row>
    <row r="20807" spans="13:16">
      <c r="M20807" s="49">
        <f>IF($A$4+207&gt;$B$4,"",$A$4+207)</f>
        <v>46230</v>
      </c>
      <c r="N20807">
        <f>IF(M20807="","",'Master Barang'!A101)</f>
        <v>0</v>
      </c>
      <c r="O20807">
        <f>IF(N20807="","",'Master Barang'!B101)</f>
        <v>0</v>
      </c>
      <c r="P20807">
        <f>IF(OR(M20807="",N20807=""),"",SUMIFS('Barang Keluar'!$E:$E,'Barang Keluar'!$A:$A,M20807,'Barang Keluar'!$C:$C,N20807))</f>
        <v>0</v>
      </c>
    </row>
    <row r="20808" spans="13:16">
      <c r="M20808" s="49">
        <f>IF($A$4+208&gt;$B$4,"",$A$4+208)</f>
        <v>46231</v>
      </c>
      <c r="N20808" t="str">
        <f>IF(M20808="","",'Master Barang'!A2)</f>
        <v>PRL-001</v>
      </c>
      <c r="O20808" t="str">
        <f>IF(N20808="","",'Master Barang'!B2)</f>
        <v>natura desinfectant food grade 5l</v>
      </c>
      <c r="P20808">
        <f>IF(OR(M20808="",N20808=""),"",SUMIFS('Barang Keluar'!$E:$E,'Barang Keluar'!$A:$A,M20808,'Barang Keluar'!$C:$C,N20808))</f>
        <v>0</v>
      </c>
    </row>
    <row r="20809" spans="13:16">
      <c r="M20809" s="49">
        <f>IF($A$4+208&gt;$B$4,"",$A$4+208)</f>
        <v>46231</v>
      </c>
      <c r="N20809" t="str">
        <f>IF(M20809="","",'Master Barang'!A3)</f>
        <v>PRL-002</v>
      </c>
      <c r="O20809" t="str">
        <f>IF(N20809="","",'Master Barang'!B3)</f>
        <v>sunlight cairan pencuci piring 5l</v>
      </c>
      <c r="P20809">
        <f>IF(OR(M20809="",N20809=""),"",SUMIFS('Barang Keluar'!$E:$E,'Barang Keluar'!$A:$A,M20809,'Barang Keluar'!$C:$C,N20809))</f>
        <v>0</v>
      </c>
    </row>
    <row r="20810" spans="13:16">
      <c r="M20810" s="49">
        <f>IF($A$4+208&gt;$B$4,"",$A$4+208)</f>
        <v>46231</v>
      </c>
      <c r="N20810" t="str">
        <f>IF(M20810="","",'Master Barang'!A4)</f>
        <v>PRL-003</v>
      </c>
      <c r="O20810" t="str">
        <f>IF(N20810="","",'Master Barang'!B4)</f>
        <v>oixs cleaner 1l</v>
      </c>
      <c r="P20810">
        <f>IF(OR(M20810="",N20810=""),"",SUMIFS('Barang Keluar'!$E:$E,'Barang Keluar'!$A:$A,M20810,'Barang Keluar'!$C:$C,N20810))</f>
        <v>0</v>
      </c>
    </row>
    <row r="20811" spans="13:16">
      <c r="M20811" s="49">
        <f>IF($A$4+208&gt;$B$4,"",$A$4+208)</f>
        <v>46231</v>
      </c>
      <c r="N20811" t="str">
        <f>IF(M20811="","",'Master Barang'!A5)</f>
        <v>PRL-004</v>
      </c>
      <c r="O20811" t="str">
        <f>IF(N20811="","",'Master Barang'!B5)</f>
        <v>be clean tissue serbaguna</v>
      </c>
      <c r="P20811">
        <f>IF(OR(M20811="",N20811=""),"",SUMIFS('Barang Keluar'!$E:$E,'Barang Keluar'!$A:$A,M20811,'Barang Keluar'!$C:$C,N20811))</f>
        <v>0</v>
      </c>
    </row>
    <row r="20812" spans="13:16">
      <c r="M20812" s="49">
        <f>IF($A$4+208&gt;$B$4,"",$A$4+208)</f>
        <v>46231</v>
      </c>
      <c r="N20812" t="str">
        <f>IF(M20812="","",'Master Barang'!A6)</f>
        <v>PRL-005</v>
      </c>
      <c r="O20812" t="str">
        <f>IF(N20812="","",'Master Barang'!B6)</f>
        <v>spons cuci hijau</v>
      </c>
      <c r="P20812">
        <f>IF(OR(M20812="",N20812=""),"",SUMIFS('Barang Keluar'!$E:$E,'Barang Keluar'!$A:$A,M20812,'Barang Keluar'!$C:$C,N20812))</f>
        <v>0</v>
      </c>
    </row>
    <row r="20813" spans="13:16">
      <c r="M20813" s="49">
        <f>IF($A$4+208&gt;$B$4,"",$A$4+208)</f>
        <v>46231</v>
      </c>
      <c r="N20813" t="str">
        <f>IF(M20813="","",'Master Barang'!A7)</f>
        <v>PRL-006</v>
      </c>
      <c r="O20813" t="str">
        <f>IF(N20813="","",'Master Barang'!B7)</f>
        <v>sabut cuci stainless</v>
      </c>
      <c r="P20813">
        <f>IF(OR(M20813="",N20813=""),"",SUMIFS('Barang Keluar'!$E:$E,'Barang Keluar'!$A:$A,M20813,'Barang Keluar'!$C:$C,N20813))</f>
        <v>0</v>
      </c>
    </row>
    <row r="20814" spans="13:16">
      <c r="M20814" s="49">
        <f>IF($A$4+208&gt;$B$4,"",$A$4+208)</f>
        <v>46231</v>
      </c>
      <c r="N20814" t="str">
        <f>IF(M20814="","",'Master Barang'!A8)</f>
        <v>PRL-007</v>
      </c>
      <c r="O20814" t="str">
        <f>IF(N20814="","",'Master Barang'!B8)</f>
        <v>plastik kresek besar merah 50pc</v>
      </c>
      <c r="P20814">
        <f>IF(OR(M20814="",N20814=""),"",SUMIFS('Barang Keluar'!$E:$E,'Barang Keluar'!$A:$A,M20814,'Barang Keluar'!$C:$C,N20814))</f>
        <v>0</v>
      </c>
    </row>
    <row r="20815" spans="13:16">
      <c r="M20815" s="49">
        <f>IF($A$4+208&gt;$B$4,"",$A$4+208)</f>
        <v>46231</v>
      </c>
      <c r="N20815" t="str">
        <f>IF(M20815="","",'Master Barang'!A9)</f>
        <v>PRL-008</v>
      </c>
      <c r="O20815" t="str">
        <f>IF(N20815="","",'Master Barang'!B9)</f>
        <v>lap besar</v>
      </c>
      <c r="P20815">
        <f>IF(OR(M20815="",N20815=""),"",SUMIFS('Barang Keluar'!$E:$E,'Barang Keluar'!$A:$A,M20815,'Barang Keluar'!$C:$C,N20815))</f>
        <v>0</v>
      </c>
    </row>
    <row r="20816" spans="13:16">
      <c r="M20816" s="49">
        <f>IF($A$4+208&gt;$B$4,"",$A$4+208)</f>
        <v>46231</v>
      </c>
      <c r="N20816" t="str">
        <f>IF(M20816="","",'Master Barang'!A10)</f>
        <v>PRL-009</v>
      </c>
      <c r="O20816" t="str">
        <f>IF(N20816="","",'Master Barang'!B10)</f>
        <v>lap microfiber</v>
      </c>
      <c r="P20816">
        <f>IF(OR(M20816="",N20816=""),"",SUMIFS('Barang Keluar'!$E:$E,'Barang Keluar'!$A:$A,M20816,'Barang Keluar'!$C:$C,N20816))</f>
        <v>0</v>
      </c>
    </row>
    <row r="20817" spans="13:16">
      <c r="M20817" s="49">
        <f>IF($A$4+208&gt;$B$4,"",$A$4+208)</f>
        <v>46231</v>
      </c>
      <c r="N20817" t="str">
        <f>IF(M20817="","",'Master Barang'!A11)</f>
        <v>PRL-010</v>
      </c>
      <c r="O20817" t="str">
        <f>IF(N20817="","",'Master Barang'!B11)</f>
        <v>lap kecil</v>
      </c>
      <c r="P20817">
        <f>IF(OR(M20817="",N20817=""),"",SUMIFS('Barang Keluar'!$E:$E,'Barang Keluar'!$A:$A,M20817,'Barang Keluar'!$C:$C,N20817))</f>
        <v>0</v>
      </c>
    </row>
    <row r="20818" spans="13:16">
      <c r="M20818" s="49">
        <f>IF($A$4+208&gt;$B$4,"",$A$4+208)</f>
        <v>46231</v>
      </c>
      <c r="N20818" t="str">
        <f>IF(M20818="","",'Master Barang'!A12)</f>
        <v>PRL-011</v>
      </c>
      <c r="O20818" t="str">
        <f>IF(N20818="","",'Master Barang'!B12)</f>
        <v>kanebo kecil</v>
      </c>
      <c r="P20818">
        <f>IF(OR(M20818="",N20818=""),"",SUMIFS('Barang Keluar'!$E:$E,'Barang Keluar'!$A:$A,M20818,'Barang Keluar'!$C:$C,N20818))</f>
        <v>0</v>
      </c>
    </row>
    <row r="20819" spans="13:16">
      <c r="M20819" s="49">
        <f>IF($A$4+208&gt;$B$4,"",$A$4+208)</f>
        <v>46231</v>
      </c>
      <c r="N20819" t="str">
        <f>IF(M20819="","",'Master Barang'!A13)</f>
        <v>PRL-012</v>
      </c>
      <c r="O20819" t="str">
        <f>IF(N20819="","",'Master Barang'!B13)</f>
        <v>plastik 1/4kg joyoboyo 100 lembar</v>
      </c>
      <c r="P20819">
        <f>IF(OR(M20819="",N20819=""),"",SUMIFS('Barang Keluar'!$E:$E,'Barang Keluar'!$A:$A,M20819,'Barang Keluar'!$C:$C,N20819))</f>
        <v>0</v>
      </c>
    </row>
    <row r="20820" spans="13:16">
      <c r="M20820" s="49">
        <f>IF($A$4+208&gt;$B$4,"",$A$4+208)</f>
        <v>46231</v>
      </c>
      <c r="N20820" t="str">
        <f>IF(M20820="","",'Master Barang'!A14)</f>
        <v>PRL-013</v>
      </c>
      <c r="O20820" t="str">
        <f>IF(N20820="","",'Master Barang'!B14)</f>
        <v>sarung tangan plastik kaka 100 pcs</v>
      </c>
      <c r="P20820">
        <f>IF(OR(M20820="",N20820=""),"",SUMIFS('Barang Keluar'!$E:$E,'Barang Keluar'!$A:$A,M20820,'Barang Keluar'!$C:$C,N20820))</f>
        <v>0</v>
      </c>
    </row>
    <row r="20821" spans="13:16">
      <c r="M20821" s="49">
        <f>IF($A$4+208&gt;$B$4,"",$A$4+208)</f>
        <v>46231</v>
      </c>
      <c r="N20821" t="str">
        <f>IF(M20821="","",'Master Barang'!A15)</f>
        <v>PRL-014</v>
      </c>
      <c r="O20821" t="str">
        <f>IF(N20821="","",'Master Barang'!B15)</f>
        <v>optima trashbag 80x100</v>
      </c>
      <c r="P20821">
        <f>IF(OR(M20821="",N20821=""),"",SUMIFS('Barang Keluar'!$E:$E,'Barang Keluar'!$A:$A,M20821,'Barang Keluar'!$C:$C,N20821))</f>
        <v>0</v>
      </c>
    </row>
    <row r="20822" spans="13:16">
      <c r="M20822" s="49">
        <f>IF($A$4+208&gt;$B$4,"",$A$4+208)</f>
        <v>46231</v>
      </c>
      <c r="N20822" t="str">
        <f>IF(M20822="","",'Master Barang'!A16)</f>
        <v>PRL-015</v>
      </c>
      <c r="O20822" t="str">
        <f>IF(N20822="","",'Master Barang'!B16)</f>
        <v>optima trashbag 60x100</v>
      </c>
      <c r="P20822">
        <f>IF(OR(M20822="",N20822=""),"",SUMIFS('Barang Keluar'!$E:$E,'Barang Keluar'!$A:$A,M20822,'Barang Keluar'!$C:$C,N20822))</f>
        <v>0</v>
      </c>
    </row>
    <row r="20823" spans="13:16">
      <c r="M20823" s="49">
        <f>IF($A$4+208&gt;$B$4,"",$A$4+208)</f>
        <v>46231</v>
      </c>
      <c r="N20823" t="str">
        <f>IF(M20823="","",'Master Barang'!A17)</f>
        <v>PRL-016</v>
      </c>
      <c r="O20823" t="str">
        <f>IF(N20823="","",'Master Barang'!B17)</f>
        <v>rajawali trashbag 30x40</v>
      </c>
      <c r="P20823">
        <f>IF(OR(M20823="",N20823=""),"",SUMIFS('Barang Keluar'!$E:$E,'Barang Keluar'!$A:$A,M20823,'Barang Keluar'!$C:$C,N20823))</f>
        <v>0</v>
      </c>
    </row>
    <row r="20824" spans="13:16">
      <c r="M20824" s="49">
        <f>IF($A$4+208&gt;$B$4,"",$A$4+208)</f>
        <v>46231</v>
      </c>
      <c r="N20824" t="str">
        <f>IF(M20824="","",'Master Barang'!A18)</f>
        <v>PRL-017</v>
      </c>
      <c r="O20824" t="str">
        <f>IF(N20824="","",'Master Barang'!B18)</f>
        <v>onemed masker biru 3 play 50 pcs</v>
      </c>
      <c r="P20824">
        <f>IF(OR(M20824="",N20824=""),"",SUMIFS('Barang Keluar'!$E:$E,'Barang Keluar'!$A:$A,M20824,'Barang Keluar'!$C:$C,N20824))</f>
        <v>0</v>
      </c>
    </row>
    <row r="20825" spans="13:16">
      <c r="M20825" s="49">
        <f>IF($A$4+208&gt;$B$4,"",$A$4+208)</f>
        <v>46231</v>
      </c>
      <c r="N20825" t="str">
        <f>IF(M20825="","",'Master Barang'!A19)</f>
        <v>PRL-018</v>
      </c>
      <c r="O20825" t="str">
        <f>IF(N20825="","",'Master Barang'!B19)</f>
        <v>onemed masker biru 3 play hijab 50 pcs</v>
      </c>
      <c r="P20825">
        <f>IF(OR(M20825="",N20825=""),"",SUMIFS('Barang Keluar'!$E:$E,'Barang Keluar'!$A:$A,M20825,'Barang Keluar'!$C:$C,N20825))</f>
        <v>0</v>
      </c>
    </row>
    <row r="20826" spans="13:16">
      <c r="M20826" s="49">
        <f>IF($A$4+208&gt;$B$4,"",$A$4+208)</f>
        <v>46231</v>
      </c>
      <c r="N20826" t="str">
        <f>IF(M20826="","",'Master Barang'!A20)</f>
        <v>PRL-019</v>
      </c>
      <c r="O20826" t="str">
        <f>IF(N20826="","",'Master Barang'!B20)</f>
        <v>neo health masker biru 3 play 50 pcs</v>
      </c>
      <c r="P20826">
        <f>IF(OR(M20826="",N20826=""),"",SUMIFS('Barang Keluar'!$E:$E,'Barang Keluar'!$A:$A,M20826,'Barang Keluar'!$C:$C,N20826))</f>
        <v>0</v>
      </c>
    </row>
    <row r="20827" spans="13:16">
      <c r="M20827" s="49">
        <f>IF($A$4+208&gt;$B$4,"",$A$4+208)</f>
        <v>46231</v>
      </c>
      <c r="N20827" t="str">
        <f>IF(M20827="","",'Master Barang'!A21)</f>
        <v>PRL-020</v>
      </c>
      <c r="O20827" t="str">
        <f>IF(N20827="","",'Master Barang'!B21)</f>
        <v>baymed masker hijau 3 play hijau 50 pcs</v>
      </c>
      <c r="P20827">
        <f>IF(OR(M20827="",N20827=""),"",SUMIFS('Barang Keluar'!$E:$E,'Barang Keluar'!$A:$A,M20827,'Barang Keluar'!$C:$C,N20827))</f>
        <v>0</v>
      </c>
    </row>
    <row r="20828" spans="13:16">
      <c r="M20828" s="49">
        <f>IF($A$4+208&gt;$B$4,"",$A$4+208)</f>
        <v>46231</v>
      </c>
      <c r="N20828" t="str">
        <f>IF(M20828="","",'Master Barang'!A22)</f>
        <v>PRL-021</v>
      </c>
      <c r="O20828" t="str">
        <f>IF(N20828="","",'Master Barang'!B22)</f>
        <v>altamed nurse cap penutup kepala 100 pcs</v>
      </c>
      <c r="P20828">
        <f>IF(OR(M20828="",N20828=""),"",SUMIFS('Barang Keluar'!$E:$E,'Barang Keluar'!$A:$A,M20828,'Barang Keluar'!$C:$C,N20828))</f>
        <v>0</v>
      </c>
    </row>
    <row r="20829" spans="13:16">
      <c r="M20829" s="49">
        <f>IF($A$4+208&gt;$B$4,"",$A$4+208)</f>
        <v>46231</v>
      </c>
      <c r="N20829" t="str">
        <f>IF(M20829="","",'Master Barang'!A23)</f>
        <v>PRL-022</v>
      </c>
      <c r="O20829" t="str">
        <f>IF(N20829="","",'Master Barang'!B23)</f>
        <v>sabun cuci tangan</v>
      </c>
      <c r="P20829">
        <f>IF(OR(M20829="",N20829=""),"",SUMIFS('Barang Keluar'!$E:$E,'Barang Keluar'!$A:$A,M20829,'Barang Keluar'!$C:$C,N20829))</f>
        <v>0</v>
      </c>
    </row>
    <row r="20830" spans="13:16">
      <c r="M20830" s="49">
        <f>IF($A$4+208&gt;$B$4,"",$A$4+208)</f>
        <v>46231</v>
      </c>
      <c r="N20830" t="str">
        <f>IF(M20830="","",'Master Barang'!A24)</f>
        <v>PRL-023</v>
      </c>
      <c r="O20830" t="str">
        <f>IF(N20830="","",'Master Barang'!B24)</f>
        <v>gayung kecil</v>
      </c>
      <c r="P20830">
        <f>IF(OR(M20830="",N20830=""),"",SUMIFS('Barang Keluar'!$E:$E,'Barang Keluar'!$A:$A,M20830,'Barang Keluar'!$C:$C,N20830))</f>
        <v>0</v>
      </c>
    </row>
    <row r="20831" spans="13:16">
      <c r="M20831" s="49">
        <f>IF($A$4+208&gt;$B$4,"",$A$4+208)</f>
        <v>46231</v>
      </c>
      <c r="N20831" t="str">
        <f>IF(M20831="","",'Master Barang'!A25)</f>
        <v>PRL-024</v>
      </c>
      <c r="O20831" t="str">
        <f>IF(N20831="","",'Master Barang'!B25)</f>
        <v>cikrak kecil</v>
      </c>
      <c r="P20831">
        <f>IF(OR(M20831="",N20831=""),"",SUMIFS('Barang Keluar'!$E:$E,'Barang Keluar'!$A:$A,M20831,'Barang Keluar'!$C:$C,N20831))</f>
        <v>0</v>
      </c>
    </row>
    <row r="20832" spans="13:16">
      <c r="M20832" s="49">
        <f>IF($A$4+208&gt;$B$4,"",$A$4+208)</f>
        <v>46231</v>
      </c>
      <c r="N20832" t="str">
        <f>IF(M20832="","",'Master Barang'!A26)</f>
        <v>PRL-025</v>
      </c>
      <c r="O20832" t="str">
        <f>IF(N20832="","",'Master Barang'!B26)</f>
        <v>petromax plastik kecil 12x24 100 lembar</v>
      </c>
      <c r="P20832">
        <f>IF(OR(M20832="",N20832=""),"",SUMIFS('Barang Keluar'!$E:$E,'Barang Keluar'!$A:$A,M20832,'Barang Keluar'!$C:$C,N20832))</f>
        <v>0</v>
      </c>
    </row>
    <row r="20833" spans="13:16">
      <c r="M20833" s="49">
        <f>IF($A$4+208&gt;$B$4,"",$A$4+208)</f>
        <v>46231</v>
      </c>
      <c r="N20833" t="str">
        <f>IF(M20833="","",'Master Barang'!A27)</f>
        <v>PRL-026</v>
      </c>
      <c r="O20833" t="str">
        <f>IF(N20833="","",'Master Barang'!B27)</f>
        <v>lancar kresek kecil bening </v>
      </c>
      <c r="P20833">
        <f>IF(OR(M20833="",N20833=""),"",SUMIFS('Barang Keluar'!$E:$E,'Barang Keluar'!$A:$A,M20833,'Barang Keluar'!$C:$C,N20833))</f>
        <v>0</v>
      </c>
    </row>
    <row r="20834" spans="13:16">
      <c r="M20834" s="49">
        <f>IF($A$4+208&gt;$B$4,"",$A$4+208)</f>
        <v>46231</v>
      </c>
      <c r="N20834" t="str">
        <f>IF(M20834="","",'Master Barang'!A28)</f>
        <v>PRL-027</v>
      </c>
      <c r="O20834" t="str">
        <f>IF(N20834="","",'Master Barang'!B28)</f>
        <v>kresek klin warna warni kecil</v>
      </c>
      <c r="P20834">
        <f>IF(OR(M20834="",N20834=""),"",SUMIFS('Barang Keluar'!$E:$E,'Barang Keluar'!$A:$A,M20834,'Barang Keluar'!$C:$C,N20834))</f>
        <v>0</v>
      </c>
    </row>
    <row r="20835" spans="13:16">
      <c r="M20835" s="49">
        <f>IF($A$4+208&gt;$B$4,"",$A$4+208)</f>
        <v>46231</v>
      </c>
      <c r="N20835" t="str">
        <f>IF(M20835="","",'Master Barang'!A29)</f>
        <v>PRL-028</v>
      </c>
      <c r="O20835" t="str">
        <f>IF(N20835="","",'Master Barang'!B29)</f>
        <v>ctik plastik 7x10 100 pcs</v>
      </c>
      <c r="P20835">
        <f>IF(OR(M20835="",N20835=""),"",SUMIFS('Barang Keluar'!$E:$E,'Barang Keluar'!$A:$A,M20835,'Barang Keluar'!$C:$C,N20835))</f>
        <v>0</v>
      </c>
    </row>
    <row r="20836" spans="13:16">
      <c r="M20836" s="49">
        <f>IF($A$4+208&gt;$B$4,"",$A$4+208)</f>
        <v>46231</v>
      </c>
      <c r="N20836" t="str">
        <f>IF(M20836="","",'Master Barang'!A30)</f>
        <v>PRL-029</v>
      </c>
      <c r="O20836" t="str">
        <f>IF(N20836="","",'Master Barang'!B30)</f>
        <v>ctik plastik 6x10 100 pcs</v>
      </c>
      <c r="P20836">
        <f>IF(OR(M20836="",N20836=""),"",SUMIFS('Barang Keluar'!$E:$E,'Barang Keluar'!$A:$A,M20836,'Barang Keluar'!$C:$C,N20836))</f>
        <v>0</v>
      </c>
    </row>
    <row r="20837" spans="13:16">
      <c r="M20837" s="49">
        <f>IF($A$4+208&gt;$B$4,"",$A$4+208)</f>
        <v>46231</v>
      </c>
      <c r="N20837" t="str">
        <f>IF(M20837="","",'Master Barang'!A31)</f>
        <v>PRL-030</v>
      </c>
      <c r="O20837" t="str">
        <f>IF(N20837="","",'Master Barang'!B31)</f>
        <v>klip plastik 25x16 100 pcs</v>
      </c>
      <c r="P20837">
        <f>IF(OR(M20837="",N20837=""),"",SUMIFS('Barang Keluar'!$E:$E,'Barang Keluar'!$A:$A,M20837,'Barang Keluar'!$C:$C,N20837))</f>
        <v>0</v>
      </c>
    </row>
    <row r="20838" spans="13:16">
      <c r="M20838" s="49">
        <f>IF($A$4+208&gt;$B$4,"",$A$4+208)</f>
        <v>46231</v>
      </c>
      <c r="N20838" t="str">
        <f>IF(M20838="","",'Master Barang'!A32)</f>
        <v>PRL-031</v>
      </c>
      <c r="O20838" t="str">
        <f>IF(N20838="","",'Master Barang'!B32)</f>
        <v>tempat saus 20 ml</v>
      </c>
      <c r="P20838">
        <f>IF(OR(M20838="",N20838=""),"",SUMIFS('Barang Keluar'!$E:$E,'Barang Keluar'!$A:$A,M20838,'Barang Keluar'!$C:$C,N20838))</f>
        <v>0</v>
      </c>
    </row>
    <row r="20839" spans="13:16">
      <c r="M20839" s="49">
        <f>IF($A$4+208&gt;$B$4,"",$A$4+208)</f>
        <v>46231</v>
      </c>
      <c r="N20839" t="str">
        <f>IF(M20839="","",'Master Barang'!A33)</f>
        <v>PRL-032</v>
      </c>
      <c r="O20839" t="str">
        <f>IF(N20839="","",'Master Barang'!B33)</f>
        <v>plastik packaging ag box uk sedang</v>
      </c>
      <c r="P20839">
        <f>IF(OR(M20839="",N20839=""),"",SUMIFS('Barang Keluar'!$E:$E,'Barang Keluar'!$A:$A,M20839,'Barang Keluar'!$C:$C,N20839))</f>
        <v>0</v>
      </c>
    </row>
    <row r="20840" spans="13:16">
      <c r="M20840" s="49">
        <f>IF($A$4+208&gt;$B$4,"",$A$4+208)</f>
        <v>46231</v>
      </c>
      <c r="N20840" t="str">
        <f>IF(M20840="","",'Master Barang'!A34)</f>
        <v>PRL-033</v>
      </c>
      <c r="O20840">
        <f>IF(N20840="","",'Master Barang'!B34)</f>
        <v>0</v>
      </c>
      <c r="P20840">
        <f>IF(OR(M20840="",N20840=""),"",SUMIFS('Barang Keluar'!$E:$E,'Barang Keluar'!$A:$A,M20840,'Barang Keluar'!$C:$C,N20840))</f>
        <v>0</v>
      </c>
    </row>
    <row r="20841" spans="13:16">
      <c r="M20841" s="49">
        <f>IF($A$4+208&gt;$B$4,"",$A$4+208)</f>
        <v>46231</v>
      </c>
      <c r="N20841">
        <f>IF(M20841="","",'Master Barang'!A35)</f>
        <v>0</v>
      </c>
      <c r="O20841">
        <f>IF(N20841="","",'Master Barang'!B35)</f>
        <v>0</v>
      </c>
      <c r="P20841">
        <f>IF(OR(M20841="",N20841=""),"",SUMIFS('Barang Keluar'!$E:$E,'Barang Keluar'!$A:$A,M20841,'Barang Keluar'!$C:$C,N20841))</f>
        <v>0</v>
      </c>
    </row>
    <row r="20842" spans="13:16">
      <c r="M20842" s="49">
        <f>IF($A$4+208&gt;$B$4,"",$A$4+208)</f>
        <v>46231</v>
      </c>
      <c r="N20842">
        <f>IF(M20842="","",'Master Barang'!A36)</f>
        <v>0</v>
      </c>
      <c r="O20842">
        <f>IF(N20842="","",'Master Barang'!B36)</f>
        <v>0</v>
      </c>
      <c r="P20842">
        <f>IF(OR(M20842="",N20842=""),"",SUMIFS('Barang Keluar'!$E:$E,'Barang Keluar'!$A:$A,M20842,'Barang Keluar'!$C:$C,N20842))</f>
        <v>0</v>
      </c>
    </row>
    <row r="20843" spans="13:16">
      <c r="M20843" s="49">
        <f>IF($A$4+208&gt;$B$4,"",$A$4+208)</f>
        <v>46231</v>
      </c>
      <c r="N20843">
        <f>IF(M20843="","",'Master Barang'!A37)</f>
        <v>0</v>
      </c>
      <c r="O20843">
        <f>IF(N20843="","",'Master Barang'!B37)</f>
        <v>0</v>
      </c>
      <c r="P20843">
        <f>IF(OR(M20843="",N20843=""),"",SUMIFS('Barang Keluar'!$E:$E,'Barang Keluar'!$A:$A,M20843,'Barang Keluar'!$C:$C,N20843))</f>
        <v>0</v>
      </c>
    </row>
    <row r="20844" spans="13:16">
      <c r="M20844" s="49">
        <f>IF($A$4+208&gt;$B$4,"",$A$4+208)</f>
        <v>46231</v>
      </c>
      <c r="N20844">
        <f>IF(M20844="","",'Master Barang'!A38)</f>
        <v>0</v>
      </c>
      <c r="O20844">
        <f>IF(N20844="","",'Master Barang'!B38)</f>
        <v>0</v>
      </c>
      <c r="P20844">
        <f>IF(OR(M20844="",N20844=""),"",SUMIFS('Barang Keluar'!$E:$E,'Barang Keluar'!$A:$A,M20844,'Barang Keluar'!$C:$C,N20844))</f>
        <v>0</v>
      </c>
    </row>
    <row r="20845" spans="13:16">
      <c r="M20845" s="49">
        <f>IF($A$4+208&gt;$B$4,"",$A$4+208)</f>
        <v>46231</v>
      </c>
      <c r="N20845">
        <f>IF(M20845="","",'Master Barang'!A39)</f>
        <v>0</v>
      </c>
      <c r="O20845">
        <f>IF(N20845="","",'Master Barang'!B39)</f>
        <v>0</v>
      </c>
      <c r="P20845">
        <f>IF(OR(M20845="",N20845=""),"",SUMIFS('Barang Keluar'!$E:$E,'Barang Keluar'!$A:$A,M20845,'Barang Keluar'!$C:$C,N20845))</f>
        <v>0</v>
      </c>
    </row>
    <row r="20846" spans="13:16">
      <c r="M20846" s="49">
        <f>IF($A$4+208&gt;$B$4,"",$A$4+208)</f>
        <v>46231</v>
      </c>
      <c r="N20846">
        <f>IF(M20846="","",'Master Barang'!A40)</f>
        <v>0</v>
      </c>
      <c r="O20846">
        <f>IF(N20846="","",'Master Barang'!B40)</f>
        <v>0</v>
      </c>
      <c r="P20846">
        <f>IF(OR(M20846="",N20846=""),"",SUMIFS('Barang Keluar'!$E:$E,'Barang Keluar'!$A:$A,M20846,'Barang Keluar'!$C:$C,N20846))</f>
        <v>0</v>
      </c>
    </row>
    <row r="20847" spans="13:16">
      <c r="M20847" s="49">
        <f>IF($A$4+208&gt;$B$4,"",$A$4+208)</f>
        <v>46231</v>
      </c>
      <c r="N20847">
        <f>IF(M20847="","",'Master Barang'!A41)</f>
        <v>0</v>
      </c>
      <c r="O20847">
        <f>IF(N20847="","",'Master Barang'!B41)</f>
        <v>0</v>
      </c>
      <c r="P20847">
        <f>IF(OR(M20847="",N20847=""),"",SUMIFS('Barang Keluar'!$E:$E,'Barang Keluar'!$A:$A,M20847,'Barang Keluar'!$C:$C,N20847))</f>
        <v>0</v>
      </c>
    </row>
    <row r="20848" spans="13:16">
      <c r="M20848" s="49">
        <f>IF($A$4+208&gt;$B$4,"",$A$4+208)</f>
        <v>46231</v>
      </c>
      <c r="N20848">
        <f>IF(M20848="","",'Master Barang'!A42)</f>
        <v>0</v>
      </c>
      <c r="O20848">
        <f>IF(N20848="","",'Master Barang'!B42)</f>
        <v>0</v>
      </c>
      <c r="P20848">
        <f>IF(OR(M20848="",N20848=""),"",SUMIFS('Barang Keluar'!$E:$E,'Barang Keluar'!$A:$A,M20848,'Barang Keluar'!$C:$C,N20848))</f>
        <v>0</v>
      </c>
    </row>
    <row r="20849" spans="13:16">
      <c r="M20849" s="49">
        <f>IF($A$4+208&gt;$B$4,"",$A$4+208)</f>
        <v>46231</v>
      </c>
      <c r="N20849">
        <f>IF(M20849="","",'Master Barang'!A43)</f>
        <v>0</v>
      </c>
      <c r="O20849">
        <f>IF(N20849="","",'Master Barang'!B43)</f>
        <v>0</v>
      </c>
      <c r="P20849">
        <f>IF(OR(M20849="",N20849=""),"",SUMIFS('Barang Keluar'!$E:$E,'Barang Keluar'!$A:$A,M20849,'Barang Keluar'!$C:$C,N20849))</f>
        <v>0</v>
      </c>
    </row>
    <row r="20850" spans="13:16">
      <c r="M20850" s="49">
        <f>IF($A$4+208&gt;$B$4,"",$A$4+208)</f>
        <v>46231</v>
      </c>
      <c r="N20850">
        <f>IF(M20850="","",'Master Barang'!A44)</f>
        <v>0</v>
      </c>
      <c r="O20850">
        <f>IF(N20850="","",'Master Barang'!B44)</f>
        <v>0</v>
      </c>
      <c r="P20850">
        <f>IF(OR(M20850="",N20850=""),"",SUMIFS('Barang Keluar'!$E:$E,'Barang Keluar'!$A:$A,M20850,'Barang Keluar'!$C:$C,N20850))</f>
        <v>0</v>
      </c>
    </row>
    <row r="20851" spans="13:16">
      <c r="M20851" s="49">
        <f>IF($A$4+208&gt;$B$4,"",$A$4+208)</f>
        <v>46231</v>
      </c>
      <c r="N20851">
        <f>IF(M20851="","",'Master Barang'!A45)</f>
        <v>0</v>
      </c>
      <c r="O20851">
        <f>IF(N20851="","",'Master Barang'!B45)</f>
        <v>0</v>
      </c>
      <c r="P20851">
        <f>IF(OR(M20851="",N20851=""),"",SUMIFS('Barang Keluar'!$E:$E,'Barang Keluar'!$A:$A,M20851,'Barang Keluar'!$C:$C,N20851))</f>
        <v>0</v>
      </c>
    </row>
    <row r="20852" spans="13:16">
      <c r="M20852" s="49">
        <f>IF($A$4+208&gt;$B$4,"",$A$4+208)</f>
        <v>46231</v>
      </c>
      <c r="N20852">
        <f>IF(M20852="","",'Master Barang'!A46)</f>
        <v>0</v>
      </c>
      <c r="O20852">
        <f>IF(N20852="","",'Master Barang'!B46)</f>
        <v>0</v>
      </c>
      <c r="P20852">
        <f>IF(OR(M20852="",N20852=""),"",SUMIFS('Barang Keluar'!$E:$E,'Barang Keluar'!$A:$A,M20852,'Barang Keluar'!$C:$C,N20852))</f>
        <v>0</v>
      </c>
    </row>
    <row r="20853" spans="13:16">
      <c r="M20853" s="49">
        <f>IF($A$4+208&gt;$B$4,"",$A$4+208)</f>
        <v>46231</v>
      </c>
      <c r="N20853">
        <f>IF(M20853="","",'Master Barang'!A47)</f>
        <v>0</v>
      </c>
      <c r="O20853">
        <f>IF(N20853="","",'Master Barang'!B47)</f>
        <v>0</v>
      </c>
      <c r="P20853">
        <f>IF(OR(M20853="",N20853=""),"",SUMIFS('Barang Keluar'!$E:$E,'Barang Keluar'!$A:$A,M20853,'Barang Keluar'!$C:$C,N20853))</f>
        <v>0</v>
      </c>
    </row>
    <row r="20854" spans="13:16">
      <c r="M20854" s="49">
        <f>IF($A$4+208&gt;$B$4,"",$A$4+208)</f>
        <v>46231</v>
      </c>
      <c r="N20854">
        <f>IF(M20854="","",'Master Barang'!A48)</f>
        <v>0</v>
      </c>
      <c r="O20854">
        <f>IF(N20854="","",'Master Barang'!B48)</f>
        <v>0</v>
      </c>
      <c r="P20854">
        <f>IF(OR(M20854="",N20854=""),"",SUMIFS('Barang Keluar'!$E:$E,'Barang Keluar'!$A:$A,M20854,'Barang Keluar'!$C:$C,N20854))</f>
        <v>0</v>
      </c>
    </row>
    <row r="20855" spans="13:16">
      <c r="M20855" s="49">
        <f>IF($A$4+208&gt;$B$4,"",$A$4+208)</f>
        <v>46231</v>
      </c>
      <c r="N20855">
        <f>IF(M20855="","",'Master Barang'!A49)</f>
        <v>0</v>
      </c>
      <c r="O20855">
        <f>IF(N20855="","",'Master Barang'!B49)</f>
        <v>0</v>
      </c>
      <c r="P20855">
        <f>IF(OR(M20855="",N20855=""),"",SUMIFS('Barang Keluar'!$E:$E,'Barang Keluar'!$A:$A,M20855,'Barang Keluar'!$C:$C,N20855))</f>
        <v>0</v>
      </c>
    </row>
    <row r="20856" spans="13:16">
      <c r="M20856" s="49">
        <f>IF($A$4+208&gt;$B$4,"",$A$4+208)</f>
        <v>46231</v>
      </c>
      <c r="N20856">
        <f>IF(M20856="","",'Master Barang'!A50)</f>
        <v>0</v>
      </c>
      <c r="O20856">
        <f>IF(N20856="","",'Master Barang'!B50)</f>
        <v>0</v>
      </c>
      <c r="P20856">
        <f>IF(OR(M20856="",N20856=""),"",SUMIFS('Barang Keluar'!$E:$E,'Barang Keluar'!$A:$A,M20856,'Barang Keluar'!$C:$C,N20856))</f>
        <v>0</v>
      </c>
    </row>
    <row r="20857" spans="13:16">
      <c r="M20857" s="49">
        <f>IF($A$4+208&gt;$B$4,"",$A$4+208)</f>
        <v>46231</v>
      </c>
      <c r="N20857">
        <f>IF(M20857="","",'Master Barang'!A51)</f>
        <v>0</v>
      </c>
      <c r="O20857">
        <f>IF(N20857="","",'Master Barang'!B51)</f>
        <v>0</v>
      </c>
      <c r="P20857">
        <f>IF(OR(M20857="",N20857=""),"",SUMIFS('Barang Keluar'!$E:$E,'Barang Keluar'!$A:$A,M20857,'Barang Keluar'!$C:$C,N20857))</f>
        <v>0</v>
      </c>
    </row>
    <row r="20858" spans="13:16">
      <c r="M20858" s="49">
        <f>IF($A$4+208&gt;$B$4,"",$A$4+208)</f>
        <v>46231</v>
      </c>
      <c r="N20858">
        <f>IF(M20858="","",'Master Barang'!A52)</f>
        <v>0</v>
      </c>
      <c r="O20858">
        <f>IF(N20858="","",'Master Barang'!B52)</f>
        <v>0</v>
      </c>
      <c r="P20858">
        <f>IF(OR(M20858="",N20858=""),"",SUMIFS('Barang Keluar'!$E:$E,'Barang Keluar'!$A:$A,M20858,'Barang Keluar'!$C:$C,N20858))</f>
        <v>0</v>
      </c>
    </row>
    <row r="20859" spans="13:16">
      <c r="M20859" s="49">
        <f>IF($A$4+208&gt;$B$4,"",$A$4+208)</f>
        <v>46231</v>
      </c>
      <c r="N20859">
        <f>IF(M20859="","",'Master Barang'!A53)</f>
        <v>0</v>
      </c>
      <c r="O20859">
        <f>IF(N20859="","",'Master Barang'!B53)</f>
        <v>0</v>
      </c>
      <c r="P20859">
        <f>IF(OR(M20859="",N20859=""),"",SUMIFS('Barang Keluar'!$E:$E,'Barang Keluar'!$A:$A,M20859,'Barang Keluar'!$C:$C,N20859))</f>
        <v>0</v>
      </c>
    </row>
    <row r="20860" spans="13:16">
      <c r="M20860" s="49">
        <f>IF($A$4+208&gt;$B$4,"",$A$4+208)</f>
        <v>46231</v>
      </c>
      <c r="N20860">
        <f>IF(M20860="","",'Master Barang'!A54)</f>
        <v>0</v>
      </c>
      <c r="O20860">
        <f>IF(N20860="","",'Master Barang'!B54)</f>
        <v>0</v>
      </c>
      <c r="P20860">
        <f>IF(OR(M20860="",N20860=""),"",SUMIFS('Barang Keluar'!$E:$E,'Barang Keluar'!$A:$A,M20860,'Barang Keluar'!$C:$C,N20860))</f>
        <v>0</v>
      </c>
    </row>
    <row r="20861" spans="13:16">
      <c r="M20861" s="49">
        <f>IF($A$4+208&gt;$B$4,"",$A$4+208)</f>
        <v>46231</v>
      </c>
      <c r="N20861">
        <f>IF(M20861="","",'Master Barang'!A55)</f>
        <v>0</v>
      </c>
      <c r="O20861">
        <f>IF(N20861="","",'Master Barang'!B55)</f>
        <v>0</v>
      </c>
      <c r="P20861">
        <f>IF(OR(M20861="",N20861=""),"",SUMIFS('Barang Keluar'!$E:$E,'Barang Keluar'!$A:$A,M20861,'Barang Keluar'!$C:$C,N20861))</f>
        <v>0</v>
      </c>
    </row>
    <row r="20862" spans="13:16">
      <c r="M20862" s="49">
        <f>IF($A$4+208&gt;$B$4,"",$A$4+208)</f>
        <v>46231</v>
      </c>
      <c r="N20862">
        <f>IF(M20862="","",'Master Barang'!A56)</f>
        <v>0</v>
      </c>
      <c r="O20862">
        <f>IF(N20862="","",'Master Barang'!B56)</f>
        <v>0</v>
      </c>
      <c r="P20862">
        <f>IF(OR(M20862="",N20862=""),"",SUMIFS('Barang Keluar'!$E:$E,'Barang Keluar'!$A:$A,M20862,'Barang Keluar'!$C:$C,N20862))</f>
        <v>0</v>
      </c>
    </row>
    <row r="20863" spans="13:16">
      <c r="M20863" s="49">
        <f>IF($A$4+208&gt;$B$4,"",$A$4+208)</f>
        <v>46231</v>
      </c>
      <c r="N20863">
        <f>IF(M20863="","",'Master Barang'!A57)</f>
        <v>0</v>
      </c>
      <c r="O20863">
        <f>IF(N20863="","",'Master Barang'!B57)</f>
        <v>0</v>
      </c>
      <c r="P20863">
        <f>IF(OR(M20863="",N20863=""),"",SUMIFS('Barang Keluar'!$E:$E,'Barang Keluar'!$A:$A,M20863,'Barang Keluar'!$C:$C,N20863))</f>
        <v>0</v>
      </c>
    </row>
    <row r="20864" spans="13:16">
      <c r="M20864" s="49">
        <f>IF($A$4+208&gt;$B$4,"",$A$4+208)</f>
        <v>46231</v>
      </c>
      <c r="N20864">
        <f>IF(M20864="","",'Master Barang'!A58)</f>
        <v>0</v>
      </c>
      <c r="O20864">
        <f>IF(N20864="","",'Master Barang'!B58)</f>
        <v>0</v>
      </c>
      <c r="P20864">
        <f>IF(OR(M20864="",N20864=""),"",SUMIFS('Barang Keluar'!$E:$E,'Barang Keluar'!$A:$A,M20864,'Barang Keluar'!$C:$C,N20864))</f>
        <v>0</v>
      </c>
    </row>
    <row r="20865" spans="13:16">
      <c r="M20865" s="49">
        <f>IF($A$4+208&gt;$B$4,"",$A$4+208)</f>
        <v>46231</v>
      </c>
      <c r="N20865">
        <f>IF(M20865="","",'Master Barang'!A59)</f>
        <v>0</v>
      </c>
      <c r="O20865">
        <f>IF(N20865="","",'Master Barang'!B59)</f>
        <v>0</v>
      </c>
      <c r="P20865">
        <f>IF(OR(M20865="",N20865=""),"",SUMIFS('Barang Keluar'!$E:$E,'Barang Keluar'!$A:$A,M20865,'Barang Keluar'!$C:$C,N20865))</f>
        <v>0</v>
      </c>
    </row>
    <row r="20866" spans="13:16">
      <c r="M20866" s="49">
        <f>IF($A$4+208&gt;$B$4,"",$A$4+208)</f>
        <v>46231</v>
      </c>
      <c r="N20866">
        <f>IF(M20866="","",'Master Barang'!A60)</f>
        <v>0</v>
      </c>
      <c r="O20866">
        <f>IF(N20866="","",'Master Barang'!B60)</f>
        <v>0</v>
      </c>
      <c r="P20866">
        <f>IF(OR(M20866="",N20866=""),"",SUMIFS('Barang Keluar'!$E:$E,'Barang Keluar'!$A:$A,M20866,'Barang Keluar'!$C:$C,N20866))</f>
        <v>0</v>
      </c>
    </row>
    <row r="20867" spans="13:16">
      <c r="M20867" s="49">
        <f>IF($A$4+208&gt;$B$4,"",$A$4+208)</f>
        <v>46231</v>
      </c>
      <c r="N20867">
        <f>IF(M20867="","",'Master Barang'!A61)</f>
        <v>0</v>
      </c>
      <c r="O20867">
        <f>IF(N20867="","",'Master Barang'!B61)</f>
        <v>0</v>
      </c>
      <c r="P20867">
        <f>IF(OR(M20867="",N20867=""),"",SUMIFS('Barang Keluar'!$E:$E,'Barang Keluar'!$A:$A,M20867,'Barang Keluar'!$C:$C,N20867))</f>
        <v>0</v>
      </c>
    </row>
    <row r="20868" spans="13:16">
      <c r="M20868" s="49">
        <f>IF($A$4+208&gt;$B$4,"",$A$4+208)</f>
        <v>46231</v>
      </c>
      <c r="N20868">
        <f>IF(M20868="","",'Master Barang'!A62)</f>
        <v>0</v>
      </c>
      <c r="O20868">
        <f>IF(N20868="","",'Master Barang'!B62)</f>
        <v>0</v>
      </c>
      <c r="P20868">
        <f>IF(OR(M20868="",N20868=""),"",SUMIFS('Barang Keluar'!$E:$E,'Barang Keluar'!$A:$A,M20868,'Barang Keluar'!$C:$C,N20868))</f>
        <v>0</v>
      </c>
    </row>
    <row r="20869" spans="13:16">
      <c r="M20869" s="49">
        <f>IF($A$4+208&gt;$B$4,"",$A$4+208)</f>
        <v>46231</v>
      </c>
      <c r="N20869">
        <f>IF(M20869="","",'Master Barang'!A63)</f>
        <v>0</v>
      </c>
      <c r="O20869">
        <f>IF(N20869="","",'Master Barang'!B63)</f>
        <v>0</v>
      </c>
      <c r="P20869">
        <f>IF(OR(M20869="",N20869=""),"",SUMIFS('Barang Keluar'!$E:$E,'Barang Keluar'!$A:$A,M20869,'Barang Keluar'!$C:$C,N20869))</f>
        <v>0</v>
      </c>
    </row>
    <row r="20870" spans="13:16">
      <c r="M20870" s="49">
        <f>IF($A$4+208&gt;$B$4,"",$A$4+208)</f>
        <v>46231</v>
      </c>
      <c r="N20870">
        <f>IF(M20870="","",'Master Barang'!A64)</f>
        <v>0</v>
      </c>
      <c r="O20870">
        <f>IF(N20870="","",'Master Barang'!B64)</f>
        <v>0</v>
      </c>
      <c r="P20870">
        <f>IF(OR(M20870="",N20870=""),"",SUMIFS('Barang Keluar'!$E:$E,'Barang Keluar'!$A:$A,M20870,'Barang Keluar'!$C:$C,N20870))</f>
        <v>0</v>
      </c>
    </row>
    <row r="20871" spans="13:16">
      <c r="M20871" s="49">
        <f>IF($A$4+208&gt;$B$4,"",$A$4+208)</f>
        <v>46231</v>
      </c>
      <c r="N20871">
        <f>IF(M20871="","",'Master Barang'!A65)</f>
        <v>0</v>
      </c>
      <c r="O20871">
        <f>IF(N20871="","",'Master Barang'!B65)</f>
        <v>0</v>
      </c>
      <c r="P20871">
        <f>IF(OR(M20871="",N20871=""),"",SUMIFS('Barang Keluar'!$E:$E,'Barang Keluar'!$A:$A,M20871,'Barang Keluar'!$C:$C,N20871))</f>
        <v>0</v>
      </c>
    </row>
    <row r="20872" spans="13:16">
      <c r="M20872" s="49">
        <f>IF($A$4+208&gt;$B$4,"",$A$4+208)</f>
        <v>46231</v>
      </c>
      <c r="N20872">
        <f>IF(M20872="","",'Master Barang'!A66)</f>
        <v>0</v>
      </c>
      <c r="O20872">
        <f>IF(N20872="","",'Master Barang'!B66)</f>
        <v>0</v>
      </c>
      <c r="P20872">
        <f>IF(OR(M20872="",N20872=""),"",SUMIFS('Barang Keluar'!$E:$E,'Barang Keluar'!$A:$A,M20872,'Barang Keluar'!$C:$C,N20872))</f>
        <v>0</v>
      </c>
    </row>
    <row r="20873" spans="13:16">
      <c r="M20873" s="49">
        <f>IF($A$4+208&gt;$B$4,"",$A$4+208)</f>
        <v>46231</v>
      </c>
      <c r="N20873">
        <f>IF(M20873="","",'Master Barang'!A67)</f>
        <v>0</v>
      </c>
      <c r="O20873">
        <f>IF(N20873="","",'Master Barang'!B67)</f>
        <v>0</v>
      </c>
      <c r="P20873">
        <f>IF(OR(M20873="",N20873=""),"",SUMIFS('Barang Keluar'!$E:$E,'Barang Keluar'!$A:$A,M20873,'Barang Keluar'!$C:$C,N20873))</f>
        <v>0</v>
      </c>
    </row>
    <row r="20874" spans="13:16">
      <c r="M20874" s="49">
        <f>IF($A$4+208&gt;$B$4,"",$A$4+208)</f>
        <v>46231</v>
      </c>
      <c r="N20874">
        <f>IF(M20874="","",'Master Barang'!A68)</f>
        <v>0</v>
      </c>
      <c r="O20874">
        <f>IF(N20874="","",'Master Barang'!B68)</f>
        <v>0</v>
      </c>
      <c r="P20874">
        <f>IF(OR(M20874="",N20874=""),"",SUMIFS('Barang Keluar'!$E:$E,'Barang Keluar'!$A:$A,M20874,'Barang Keluar'!$C:$C,N20874))</f>
        <v>0</v>
      </c>
    </row>
    <row r="20875" spans="13:16">
      <c r="M20875" s="49">
        <f>IF($A$4+208&gt;$B$4,"",$A$4+208)</f>
        <v>46231</v>
      </c>
      <c r="N20875">
        <f>IF(M20875="","",'Master Barang'!A69)</f>
        <v>0</v>
      </c>
      <c r="O20875">
        <f>IF(N20875="","",'Master Barang'!B69)</f>
        <v>0</v>
      </c>
      <c r="P20875">
        <f>IF(OR(M20875="",N20875=""),"",SUMIFS('Barang Keluar'!$E:$E,'Barang Keluar'!$A:$A,M20875,'Barang Keluar'!$C:$C,N20875))</f>
        <v>0</v>
      </c>
    </row>
    <row r="20876" spans="13:16">
      <c r="M20876" s="49">
        <f>IF($A$4+208&gt;$B$4,"",$A$4+208)</f>
        <v>46231</v>
      </c>
      <c r="N20876">
        <f>IF(M20876="","",'Master Barang'!A70)</f>
        <v>0</v>
      </c>
      <c r="O20876">
        <f>IF(N20876="","",'Master Barang'!B70)</f>
        <v>0</v>
      </c>
      <c r="P20876">
        <f>IF(OR(M20876="",N20876=""),"",SUMIFS('Barang Keluar'!$E:$E,'Barang Keluar'!$A:$A,M20876,'Barang Keluar'!$C:$C,N20876))</f>
        <v>0</v>
      </c>
    </row>
    <row r="20877" spans="13:16">
      <c r="M20877" s="49">
        <f>IF($A$4+208&gt;$B$4,"",$A$4+208)</f>
        <v>46231</v>
      </c>
      <c r="N20877">
        <f>IF(M20877="","",'Master Barang'!A71)</f>
        <v>0</v>
      </c>
      <c r="O20877">
        <f>IF(N20877="","",'Master Barang'!B71)</f>
        <v>0</v>
      </c>
      <c r="P20877">
        <f>IF(OR(M20877="",N20877=""),"",SUMIFS('Barang Keluar'!$E:$E,'Barang Keluar'!$A:$A,M20877,'Barang Keluar'!$C:$C,N20877))</f>
        <v>0</v>
      </c>
    </row>
    <row r="20878" spans="13:16">
      <c r="M20878" s="49">
        <f>IF($A$4+208&gt;$B$4,"",$A$4+208)</f>
        <v>46231</v>
      </c>
      <c r="N20878">
        <f>IF(M20878="","",'Master Barang'!A72)</f>
        <v>0</v>
      </c>
      <c r="O20878">
        <f>IF(N20878="","",'Master Barang'!B72)</f>
        <v>0</v>
      </c>
      <c r="P20878">
        <f>IF(OR(M20878="",N20878=""),"",SUMIFS('Barang Keluar'!$E:$E,'Barang Keluar'!$A:$A,M20878,'Barang Keluar'!$C:$C,N20878))</f>
        <v>0</v>
      </c>
    </row>
    <row r="20879" spans="13:16">
      <c r="M20879" s="49">
        <f>IF($A$4+208&gt;$B$4,"",$A$4+208)</f>
        <v>46231</v>
      </c>
      <c r="N20879">
        <f>IF(M20879="","",'Master Barang'!A73)</f>
        <v>0</v>
      </c>
      <c r="O20879">
        <f>IF(N20879="","",'Master Barang'!B73)</f>
        <v>0</v>
      </c>
      <c r="P20879">
        <f>IF(OR(M20879="",N20879=""),"",SUMIFS('Barang Keluar'!$E:$E,'Barang Keluar'!$A:$A,M20879,'Barang Keluar'!$C:$C,N20879))</f>
        <v>0</v>
      </c>
    </row>
    <row r="20880" spans="13:16">
      <c r="M20880" s="49">
        <f>IF($A$4+208&gt;$B$4,"",$A$4+208)</f>
        <v>46231</v>
      </c>
      <c r="N20880">
        <f>IF(M20880="","",'Master Barang'!A74)</f>
        <v>0</v>
      </c>
      <c r="O20880">
        <f>IF(N20880="","",'Master Barang'!B74)</f>
        <v>0</v>
      </c>
      <c r="P20880">
        <f>IF(OR(M20880="",N20880=""),"",SUMIFS('Barang Keluar'!$E:$E,'Barang Keluar'!$A:$A,M20880,'Barang Keluar'!$C:$C,N20880))</f>
        <v>0</v>
      </c>
    </row>
    <row r="20881" spans="13:16">
      <c r="M20881" s="49">
        <f>IF($A$4+208&gt;$B$4,"",$A$4+208)</f>
        <v>46231</v>
      </c>
      <c r="N20881">
        <f>IF(M20881="","",'Master Barang'!A75)</f>
        <v>0</v>
      </c>
      <c r="O20881">
        <f>IF(N20881="","",'Master Barang'!B75)</f>
        <v>0</v>
      </c>
      <c r="P20881">
        <f>IF(OR(M20881="",N20881=""),"",SUMIFS('Barang Keluar'!$E:$E,'Barang Keluar'!$A:$A,M20881,'Barang Keluar'!$C:$C,N20881))</f>
        <v>0</v>
      </c>
    </row>
    <row r="20882" spans="13:16">
      <c r="M20882" s="49">
        <f>IF($A$4+208&gt;$B$4,"",$A$4+208)</f>
        <v>46231</v>
      </c>
      <c r="N20882">
        <f>IF(M20882="","",'Master Barang'!A76)</f>
        <v>0</v>
      </c>
      <c r="O20882">
        <f>IF(N20882="","",'Master Barang'!B76)</f>
        <v>0</v>
      </c>
      <c r="P20882">
        <f>IF(OR(M20882="",N20882=""),"",SUMIFS('Barang Keluar'!$E:$E,'Barang Keluar'!$A:$A,M20882,'Barang Keluar'!$C:$C,N20882))</f>
        <v>0</v>
      </c>
    </row>
    <row r="20883" spans="13:16">
      <c r="M20883" s="49">
        <f>IF($A$4+208&gt;$B$4,"",$A$4+208)</f>
        <v>46231</v>
      </c>
      <c r="N20883">
        <f>IF(M20883="","",'Master Barang'!A77)</f>
        <v>0</v>
      </c>
      <c r="O20883">
        <f>IF(N20883="","",'Master Barang'!B77)</f>
        <v>0</v>
      </c>
      <c r="P20883">
        <f>IF(OR(M20883="",N20883=""),"",SUMIFS('Barang Keluar'!$E:$E,'Barang Keluar'!$A:$A,M20883,'Barang Keluar'!$C:$C,N20883))</f>
        <v>0</v>
      </c>
    </row>
    <row r="20884" spans="13:16">
      <c r="M20884" s="49">
        <f>IF($A$4+208&gt;$B$4,"",$A$4+208)</f>
        <v>46231</v>
      </c>
      <c r="N20884">
        <f>IF(M20884="","",'Master Barang'!A78)</f>
        <v>0</v>
      </c>
      <c r="O20884">
        <f>IF(N20884="","",'Master Barang'!B78)</f>
        <v>0</v>
      </c>
      <c r="P20884">
        <f>IF(OR(M20884="",N20884=""),"",SUMIFS('Barang Keluar'!$E:$E,'Barang Keluar'!$A:$A,M20884,'Barang Keluar'!$C:$C,N20884))</f>
        <v>0</v>
      </c>
    </row>
    <row r="20885" spans="13:16">
      <c r="M20885" s="49">
        <f>IF($A$4+208&gt;$B$4,"",$A$4+208)</f>
        <v>46231</v>
      </c>
      <c r="N20885">
        <f>IF(M20885="","",'Master Barang'!A79)</f>
        <v>0</v>
      </c>
      <c r="O20885">
        <f>IF(N20885="","",'Master Barang'!B79)</f>
        <v>0</v>
      </c>
      <c r="P20885">
        <f>IF(OR(M20885="",N20885=""),"",SUMIFS('Barang Keluar'!$E:$E,'Barang Keluar'!$A:$A,M20885,'Barang Keluar'!$C:$C,N20885))</f>
        <v>0</v>
      </c>
    </row>
    <row r="20886" spans="13:16">
      <c r="M20886" s="49">
        <f>IF($A$4+208&gt;$B$4,"",$A$4+208)</f>
        <v>46231</v>
      </c>
      <c r="N20886">
        <f>IF(M20886="","",'Master Barang'!A80)</f>
        <v>0</v>
      </c>
      <c r="O20886">
        <f>IF(N20886="","",'Master Barang'!B80)</f>
        <v>0</v>
      </c>
      <c r="P20886">
        <f>IF(OR(M20886="",N20886=""),"",SUMIFS('Barang Keluar'!$E:$E,'Barang Keluar'!$A:$A,M20886,'Barang Keluar'!$C:$C,N20886))</f>
        <v>0</v>
      </c>
    </row>
    <row r="20887" spans="13:16">
      <c r="M20887" s="49">
        <f>IF($A$4+208&gt;$B$4,"",$A$4+208)</f>
        <v>46231</v>
      </c>
      <c r="N20887">
        <f>IF(M20887="","",'Master Barang'!A81)</f>
        <v>0</v>
      </c>
      <c r="O20887">
        <f>IF(N20887="","",'Master Barang'!B81)</f>
        <v>0</v>
      </c>
      <c r="P20887">
        <f>IF(OR(M20887="",N20887=""),"",SUMIFS('Barang Keluar'!$E:$E,'Barang Keluar'!$A:$A,M20887,'Barang Keluar'!$C:$C,N20887))</f>
        <v>0</v>
      </c>
    </row>
    <row r="20888" spans="13:16">
      <c r="M20888" s="49">
        <f>IF($A$4+208&gt;$B$4,"",$A$4+208)</f>
        <v>46231</v>
      </c>
      <c r="N20888">
        <f>IF(M20888="","",'Master Barang'!A82)</f>
        <v>0</v>
      </c>
      <c r="O20888">
        <f>IF(N20888="","",'Master Barang'!B82)</f>
        <v>0</v>
      </c>
      <c r="P20888">
        <f>IF(OR(M20888="",N20888=""),"",SUMIFS('Barang Keluar'!$E:$E,'Barang Keluar'!$A:$A,M20888,'Barang Keluar'!$C:$C,N20888))</f>
        <v>0</v>
      </c>
    </row>
    <row r="20889" spans="13:16">
      <c r="M20889" s="49">
        <f>IF($A$4+208&gt;$B$4,"",$A$4+208)</f>
        <v>46231</v>
      </c>
      <c r="N20889">
        <f>IF(M20889="","",'Master Barang'!A83)</f>
        <v>0</v>
      </c>
      <c r="O20889">
        <f>IF(N20889="","",'Master Barang'!B83)</f>
        <v>0</v>
      </c>
      <c r="P20889">
        <f>IF(OR(M20889="",N20889=""),"",SUMIFS('Barang Keluar'!$E:$E,'Barang Keluar'!$A:$A,M20889,'Barang Keluar'!$C:$C,N20889))</f>
        <v>0</v>
      </c>
    </row>
    <row r="20890" spans="13:16">
      <c r="M20890" s="49">
        <f>IF($A$4+208&gt;$B$4,"",$A$4+208)</f>
        <v>46231</v>
      </c>
      <c r="N20890">
        <f>IF(M20890="","",'Master Barang'!A84)</f>
        <v>0</v>
      </c>
      <c r="O20890">
        <f>IF(N20890="","",'Master Barang'!B84)</f>
        <v>0</v>
      </c>
      <c r="P20890">
        <f>IF(OR(M20890="",N20890=""),"",SUMIFS('Barang Keluar'!$E:$E,'Barang Keluar'!$A:$A,M20890,'Barang Keluar'!$C:$C,N20890))</f>
        <v>0</v>
      </c>
    </row>
    <row r="20891" spans="13:16">
      <c r="M20891" s="49">
        <f>IF($A$4+208&gt;$B$4,"",$A$4+208)</f>
        <v>46231</v>
      </c>
      <c r="N20891">
        <f>IF(M20891="","",'Master Barang'!A85)</f>
        <v>0</v>
      </c>
      <c r="O20891">
        <f>IF(N20891="","",'Master Barang'!B85)</f>
        <v>0</v>
      </c>
      <c r="P20891">
        <f>IF(OR(M20891="",N20891=""),"",SUMIFS('Barang Keluar'!$E:$E,'Barang Keluar'!$A:$A,M20891,'Barang Keluar'!$C:$C,N20891))</f>
        <v>0</v>
      </c>
    </row>
    <row r="20892" spans="13:16">
      <c r="M20892" s="49">
        <f>IF($A$4+208&gt;$B$4,"",$A$4+208)</f>
        <v>46231</v>
      </c>
      <c r="N20892">
        <f>IF(M20892="","",'Master Barang'!A86)</f>
        <v>0</v>
      </c>
      <c r="O20892">
        <f>IF(N20892="","",'Master Barang'!B86)</f>
        <v>0</v>
      </c>
      <c r="P20892">
        <f>IF(OR(M20892="",N20892=""),"",SUMIFS('Barang Keluar'!$E:$E,'Barang Keluar'!$A:$A,M20892,'Barang Keluar'!$C:$C,N20892))</f>
        <v>0</v>
      </c>
    </row>
    <row r="20893" spans="13:16">
      <c r="M20893" s="49">
        <f>IF($A$4+208&gt;$B$4,"",$A$4+208)</f>
        <v>46231</v>
      </c>
      <c r="N20893">
        <f>IF(M20893="","",'Master Barang'!A87)</f>
        <v>0</v>
      </c>
      <c r="O20893">
        <f>IF(N20893="","",'Master Barang'!B87)</f>
        <v>0</v>
      </c>
      <c r="P20893">
        <f>IF(OR(M20893="",N20893=""),"",SUMIFS('Barang Keluar'!$E:$E,'Barang Keluar'!$A:$A,M20893,'Barang Keluar'!$C:$C,N20893))</f>
        <v>0</v>
      </c>
    </row>
    <row r="20894" spans="13:16">
      <c r="M20894" s="49">
        <f>IF($A$4+208&gt;$B$4,"",$A$4+208)</f>
        <v>46231</v>
      </c>
      <c r="N20894">
        <f>IF(M20894="","",'Master Barang'!A88)</f>
        <v>0</v>
      </c>
      <c r="O20894">
        <f>IF(N20894="","",'Master Barang'!B88)</f>
        <v>0</v>
      </c>
      <c r="P20894">
        <f>IF(OR(M20894="",N20894=""),"",SUMIFS('Barang Keluar'!$E:$E,'Barang Keluar'!$A:$A,M20894,'Barang Keluar'!$C:$C,N20894))</f>
        <v>0</v>
      </c>
    </row>
    <row r="20895" spans="13:16">
      <c r="M20895" s="49">
        <f>IF($A$4+208&gt;$B$4,"",$A$4+208)</f>
        <v>46231</v>
      </c>
      <c r="N20895">
        <f>IF(M20895="","",'Master Barang'!A89)</f>
        <v>0</v>
      </c>
      <c r="O20895">
        <f>IF(N20895="","",'Master Barang'!B89)</f>
        <v>0</v>
      </c>
      <c r="P20895">
        <f>IF(OR(M20895="",N20895=""),"",SUMIFS('Barang Keluar'!$E:$E,'Barang Keluar'!$A:$A,M20895,'Barang Keluar'!$C:$C,N20895))</f>
        <v>0</v>
      </c>
    </row>
    <row r="20896" spans="13:16">
      <c r="M20896" s="49">
        <f>IF($A$4+208&gt;$B$4,"",$A$4+208)</f>
        <v>46231</v>
      </c>
      <c r="N20896">
        <f>IF(M20896="","",'Master Barang'!A90)</f>
        <v>0</v>
      </c>
      <c r="O20896">
        <f>IF(N20896="","",'Master Barang'!B90)</f>
        <v>0</v>
      </c>
      <c r="P20896">
        <f>IF(OR(M20896="",N20896=""),"",SUMIFS('Barang Keluar'!$E:$E,'Barang Keluar'!$A:$A,M20896,'Barang Keluar'!$C:$C,N20896))</f>
        <v>0</v>
      </c>
    </row>
    <row r="20897" spans="13:16">
      <c r="M20897" s="49">
        <f>IF($A$4+208&gt;$B$4,"",$A$4+208)</f>
        <v>46231</v>
      </c>
      <c r="N20897">
        <f>IF(M20897="","",'Master Barang'!A91)</f>
        <v>0</v>
      </c>
      <c r="O20897">
        <f>IF(N20897="","",'Master Barang'!B91)</f>
        <v>0</v>
      </c>
      <c r="P20897">
        <f>IF(OR(M20897="",N20897=""),"",SUMIFS('Barang Keluar'!$E:$E,'Barang Keluar'!$A:$A,M20897,'Barang Keluar'!$C:$C,N20897))</f>
        <v>0</v>
      </c>
    </row>
    <row r="20898" spans="13:16">
      <c r="M20898" s="49">
        <f>IF($A$4+208&gt;$B$4,"",$A$4+208)</f>
        <v>46231</v>
      </c>
      <c r="N20898">
        <f>IF(M20898="","",'Master Barang'!A92)</f>
        <v>0</v>
      </c>
      <c r="O20898">
        <f>IF(N20898="","",'Master Barang'!B92)</f>
        <v>0</v>
      </c>
      <c r="P20898">
        <f>IF(OR(M20898="",N20898=""),"",SUMIFS('Barang Keluar'!$E:$E,'Barang Keluar'!$A:$A,M20898,'Barang Keluar'!$C:$C,N20898))</f>
        <v>0</v>
      </c>
    </row>
    <row r="20899" spans="13:16">
      <c r="M20899" s="49">
        <f>IF($A$4+208&gt;$B$4,"",$A$4+208)</f>
        <v>46231</v>
      </c>
      <c r="N20899">
        <f>IF(M20899="","",'Master Barang'!A93)</f>
        <v>0</v>
      </c>
      <c r="O20899">
        <f>IF(N20899="","",'Master Barang'!B93)</f>
        <v>0</v>
      </c>
      <c r="P20899">
        <f>IF(OR(M20899="",N20899=""),"",SUMIFS('Barang Keluar'!$E:$E,'Barang Keluar'!$A:$A,M20899,'Barang Keluar'!$C:$C,N20899))</f>
        <v>0</v>
      </c>
    </row>
    <row r="20900" spans="13:16">
      <c r="M20900" s="49">
        <f>IF($A$4+208&gt;$B$4,"",$A$4+208)</f>
        <v>46231</v>
      </c>
      <c r="N20900">
        <f>IF(M20900="","",'Master Barang'!A94)</f>
        <v>0</v>
      </c>
      <c r="O20900">
        <f>IF(N20900="","",'Master Barang'!B94)</f>
        <v>0</v>
      </c>
      <c r="P20900">
        <f>IF(OR(M20900="",N20900=""),"",SUMIFS('Barang Keluar'!$E:$E,'Barang Keluar'!$A:$A,M20900,'Barang Keluar'!$C:$C,N20900))</f>
        <v>0</v>
      </c>
    </row>
    <row r="20901" spans="13:16">
      <c r="M20901" s="49">
        <f>IF($A$4+208&gt;$B$4,"",$A$4+208)</f>
        <v>46231</v>
      </c>
      <c r="N20901">
        <f>IF(M20901="","",'Master Barang'!A95)</f>
        <v>0</v>
      </c>
      <c r="O20901">
        <f>IF(N20901="","",'Master Barang'!B95)</f>
        <v>0</v>
      </c>
      <c r="P20901">
        <f>IF(OR(M20901="",N20901=""),"",SUMIFS('Barang Keluar'!$E:$E,'Barang Keluar'!$A:$A,M20901,'Barang Keluar'!$C:$C,N20901))</f>
        <v>0</v>
      </c>
    </row>
    <row r="20902" spans="13:16">
      <c r="M20902" s="49">
        <f>IF($A$4+208&gt;$B$4,"",$A$4+208)</f>
        <v>46231</v>
      </c>
      <c r="N20902">
        <f>IF(M20902="","",'Master Barang'!A96)</f>
        <v>0</v>
      </c>
      <c r="O20902">
        <f>IF(N20902="","",'Master Barang'!B96)</f>
        <v>0</v>
      </c>
      <c r="P20902">
        <f>IF(OR(M20902="",N20902=""),"",SUMIFS('Barang Keluar'!$E:$E,'Barang Keluar'!$A:$A,M20902,'Barang Keluar'!$C:$C,N20902))</f>
        <v>0</v>
      </c>
    </row>
    <row r="20903" spans="13:16">
      <c r="M20903" s="49">
        <f>IF($A$4+208&gt;$B$4,"",$A$4+208)</f>
        <v>46231</v>
      </c>
      <c r="N20903">
        <f>IF(M20903="","",'Master Barang'!A97)</f>
        <v>0</v>
      </c>
      <c r="O20903">
        <f>IF(N20903="","",'Master Barang'!B97)</f>
        <v>0</v>
      </c>
      <c r="P20903">
        <f>IF(OR(M20903="",N20903=""),"",SUMIFS('Barang Keluar'!$E:$E,'Barang Keluar'!$A:$A,M20903,'Barang Keluar'!$C:$C,N20903))</f>
        <v>0</v>
      </c>
    </row>
    <row r="20904" spans="13:16">
      <c r="M20904" s="49">
        <f>IF($A$4+208&gt;$B$4,"",$A$4+208)</f>
        <v>46231</v>
      </c>
      <c r="N20904">
        <f>IF(M20904="","",'Master Barang'!A98)</f>
        <v>0</v>
      </c>
      <c r="O20904">
        <f>IF(N20904="","",'Master Barang'!B98)</f>
        <v>0</v>
      </c>
      <c r="P20904">
        <f>IF(OR(M20904="",N20904=""),"",SUMIFS('Barang Keluar'!$E:$E,'Barang Keluar'!$A:$A,M20904,'Barang Keluar'!$C:$C,N20904))</f>
        <v>0</v>
      </c>
    </row>
    <row r="20905" spans="13:16">
      <c r="M20905" s="49">
        <f>IF($A$4+208&gt;$B$4,"",$A$4+208)</f>
        <v>46231</v>
      </c>
      <c r="N20905">
        <f>IF(M20905="","",'Master Barang'!A99)</f>
        <v>0</v>
      </c>
      <c r="O20905">
        <f>IF(N20905="","",'Master Barang'!B99)</f>
        <v>0</v>
      </c>
      <c r="P20905">
        <f>IF(OR(M20905="",N20905=""),"",SUMIFS('Barang Keluar'!$E:$E,'Barang Keluar'!$A:$A,M20905,'Barang Keluar'!$C:$C,N20905))</f>
        <v>0</v>
      </c>
    </row>
    <row r="20906" spans="13:16">
      <c r="M20906" s="49">
        <f>IF($A$4+208&gt;$B$4,"",$A$4+208)</f>
        <v>46231</v>
      </c>
      <c r="N20906">
        <f>IF(M20906="","",'Master Barang'!A100)</f>
        <v>0</v>
      </c>
      <c r="O20906">
        <f>IF(N20906="","",'Master Barang'!B100)</f>
        <v>0</v>
      </c>
      <c r="P20906">
        <f>IF(OR(M20906="",N20906=""),"",SUMIFS('Barang Keluar'!$E:$E,'Barang Keluar'!$A:$A,M20906,'Barang Keluar'!$C:$C,N20906))</f>
        <v>0</v>
      </c>
    </row>
    <row r="20907" spans="13:16">
      <c r="M20907" s="49">
        <f>IF($A$4+208&gt;$B$4,"",$A$4+208)</f>
        <v>46231</v>
      </c>
      <c r="N20907">
        <f>IF(M20907="","",'Master Barang'!A101)</f>
        <v>0</v>
      </c>
      <c r="O20907">
        <f>IF(N20907="","",'Master Barang'!B101)</f>
        <v>0</v>
      </c>
      <c r="P20907">
        <f>IF(OR(M20907="",N20907=""),"",SUMIFS('Barang Keluar'!$E:$E,'Barang Keluar'!$A:$A,M20907,'Barang Keluar'!$C:$C,N20907))</f>
        <v>0</v>
      </c>
    </row>
    <row r="20908" spans="13:16">
      <c r="M20908" s="49">
        <f>IF($A$4+209&gt;$B$4,"",$A$4+209)</f>
        <v>46232</v>
      </c>
      <c r="N20908" t="str">
        <f>IF(M20908="","",'Master Barang'!A2)</f>
        <v>PRL-001</v>
      </c>
      <c r="O20908" t="str">
        <f>IF(N20908="","",'Master Barang'!B2)</f>
        <v>natura desinfectant food grade 5l</v>
      </c>
      <c r="P20908">
        <f>IF(OR(M20908="",N20908=""),"",SUMIFS('Barang Keluar'!$E:$E,'Barang Keluar'!$A:$A,M20908,'Barang Keluar'!$C:$C,N20908))</f>
        <v>0</v>
      </c>
    </row>
    <row r="20909" spans="13:16">
      <c r="M20909" s="49">
        <f>IF($A$4+209&gt;$B$4,"",$A$4+209)</f>
        <v>46232</v>
      </c>
      <c r="N20909" t="str">
        <f>IF(M20909="","",'Master Barang'!A3)</f>
        <v>PRL-002</v>
      </c>
      <c r="O20909" t="str">
        <f>IF(N20909="","",'Master Barang'!B3)</f>
        <v>sunlight cairan pencuci piring 5l</v>
      </c>
      <c r="P20909">
        <f>IF(OR(M20909="",N20909=""),"",SUMIFS('Barang Keluar'!$E:$E,'Barang Keluar'!$A:$A,M20909,'Barang Keluar'!$C:$C,N20909))</f>
        <v>0</v>
      </c>
    </row>
    <row r="20910" spans="13:16">
      <c r="M20910" s="49">
        <f>IF($A$4+209&gt;$B$4,"",$A$4+209)</f>
        <v>46232</v>
      </c>
      <c r="N20910" t="str">
        <f>IF(M20910="","",'Master Barang'!A4)</f>
        <v>PRL-003</v>
      </c>
      <c r="O20910" t="str">
        <f>IF(N20910="","",'Master Barang'!B4)</f>
        <v>oixs cleaner 1l</v>
      </c>
      <c r="P20910">
        <f>IF(OR(M20910="",N20910=""),"",SUMIFS('Barang Keluar'!$E:$E,'Barang Keluar'!$A:$A,M20910,'Barang Keluar'!$C:$C,N20910))</f>
        <v>0</v>
      </c>
    </row>
    <row r="20911" spans="13:16">
      <c r="M20911" s="49">
        <f>IF($A$4+209&gt;$B$4,"",$A$4+209)</f>
        <v>46232</v>
      </c>
      <c r="N20911" t="str">
        <f>IF(M20911="","",'Master Barang'!A5)</f>
        <v>PRL-004</v>
      </c>
      <c r="O20911" t="str">
        <f>IF(N20911="","",'Master Barang'!B5)</f>
        <v>be clean tissue serbaguna</v>
      </c>
      <c r="P20911">
        <f>IF(OR(M20911="",N20911=""),"",SUMIFS('Barang Keluar'!$E:$E,'Barang Keluar'!$A:$A,M20911,'Barang Keluar'!$C:$C,N20911))</f>
        <v>0</v>
      </c>
    </row>
    <row r="20912" spans="13:16">
      <c r="M20912" s="49">
        <f>IF($A$4+209&gt;$B$4,"",$A$4+209)</f>
        <v>46232</v>
      </c>
      <c r="N20912" t="str">
        <f>IF(M20912="","",'Master Barang'!A6)</f>
        <v>PRL-005</v>
      </c>
      <c r="O20912" t="str">
        <f>IF(N20912="","",'Master Barang'!B6)</f>
        <v>spons cuci hijau</v>
      </c>
      <c r="P20912">
        <f>IF(OR(M20912="",N20912=""),"",SUMIFS('Barang Keluar'!$E:$E,'Barang Keluar'!$A:$A,M20912,'Barang Keluar'!$C:$C,N20912))</f>
        <v>0</v>
      </c>
    </row>
    <row r="20913" spans="13:16">
      <c r="M20913" s="49">
        <f>IF($A$4+209&gt;$B$4,"",$A$4+209)</f>
        <v>46232</v>
      </c>
      <c r="N20913" t="str">
        <f>IF(M20913="","",'Master Barang'!A7)</f>
        <v>PRL-006</v>
      </c>
      <c r="O20913" t="str">
        <f>IF(N20913="","",'Master Barang'!B7)</f>
        <v>sabut cuci stainless</v>
      </c>
      <c r="P20913">
        <f>IF(OR(M20913="",N20913=""),"",SUMIFS('Barang Keluar'!$E:$E,'Barang Keluar'!$A:$A,M20913,'Barang Keluar'!$C:$C,N20913))</f>
        <v>0</v>
      </c>
    </row>
    <row r="20914" spans="13:16">
      <c r="M20914" s="49">
        <f>IF($A$4+209&gt;$B$4,"",$A$4+209)</f>
        <v>46232</v>
      </c>
      <c r="N20914" t="str">
        <f>IF(M20914="","",'Master Barang'!A8)</f>
        <v>PRL-007</v>
      </c>
      <c r="O20914" t="str">
        <f>IF(N20914="","",'Master Barang'!B8)</f>
        <v>plastik kresek besar merah 50pc</v>
      </c>
      <c r="P20914">
        <f>IF(OR(M20914="",N20914=""),"",SUMIFS('Barang Keluar'!$E:$E,'Barang Keluar'!$A:$A,M20914,'Barang Keluar'!$C:$C,N20914))</f>
        <v>0</v>
      </c>
    </row>
    <row r="20915" spans="13:16">
      <c r="M20915" s="49">
        <f>IF($A$4+209&gt;$B$4,"",$A$4+209)</f>
        <v>46232</v>
      </c>
      <c r="N20915" t="str">
        <f>IF(M20915="","",'Master Barang'!A9)</f>
        <v>PRL-008</v>
      </c>
      <c r="O20915" t="str">
        <f>IF(N20915="","",'Master Barang'!B9)</f>
        <v>lap besar</v>
      </c>
      <c r="P20915">
        <f>IF(OR(M20915="",N20915=""),"",SUMIFS('Barang Keluar'!$E:$E,'Barang Keluar'!$A:$A,M20915,'Barang Keluar'!$C:$C,N20915))</f>
        <v>0</v>
      </c>
    </row>
    <row r="20916" spans="13:16">
      <c r="M20916" s="49">
        <f>IF($A$4+209&gt;$B$4,"",$A$4+209)</f>
        <v>46232</v>
      </c>
      <c r="N20916" t="str">
        <f>IF(M20916="","",'Master Barang'!A10)</f>
        <v>PRL-009</v>
      </c>
      <c r="O20916" t="str">
        <f>IF(N20916="","",'Master Barang'!B10)</f>
        <v>lap microfiber</v>
      </c>
      <c r="P20916">
        <f>IF(OR(M20916="",N20916=""),"",SUMIFS('Barang Keluar'!$E:$E,'Barang Keluar'!$A:$A,M20916,'Barang Keluar'!$C:$C,N20916))</f>
        <v>0</v>
      </c>
    </row>
    <row r="20917" spans="13:16">
      <c r="M20917" s="49">
        <f>IF($A$4+209&gt;$B$4,"",$A$4+209)</f>
        <v>46232</v>
      </c>
      <c r="N20917" t="str">
        <f>IF(M20917="","",'Master Barang'!A11)</f>
        <v>PRL-010</v>
      </c>
      <c r="O20917" t="str">
        <f>IF(N20917="","",'Master Barang'!B11)</f>
        <v>lap kecil</v>
      </c>
      <c r="P20917">
        <f>IF(OR(M20917="",N20917=""),"",SUMIFS('Barang Keluar'!$E:$E,'Barang Keluar'!$A:$A,M20917,'Barang Keluar'!$C:$C,N20917))</f>
        <v>0</v>
      </c>
    </row>
    <row r="20918" spans="13:16">
      <c r="M20918" s="49">
        <f>IF($A$4+209&gt;$B$4,"",$A$4+209)</f>
        <v>46232</v>
      </c>
      <c r="N20918" t="str">
        <f>IF(M20918="","",'Master Barang'!A12)</f>
        <v>PRL-011</v>
      </c>
      <c r="O20918" t="str">
        <f>IF(N20918="","",'Master Barang'!B12)</f>
        <v>kanebo kecil</v>
      </c>
      <c r="P20918">
        <f>IF(OR(M20918="",N20918=""),"",SUMIFS('Barang Keluar'!$E:$E,'Barang Keluar'!$A:$A,M20918,'Barang Keluar'!$C:$C,N20918))</f>
        <v>0</v>
      </c>
    </row>
    <row r="20919" spans="13:16">
      <c r="M20919" s="49">
        <f>IF($A$4+209&gt;$B$4,"",$A$4+209)</f>
        <v>46232</v>
      </c>
      <c r="N20919" t="str">
        <f>IF(M20919="","",'Master Barang'!A13)</f>
        <v>PRL-012</v>
      </c>
      <c r="O20919" t="str">
        <f>IF(N20919="","",'Master Barang'!B13)</f>
        <v>plastik 1/4kg joyoboyo 100 lembar</v>
      </c>
      <c r="P20919">
        <f>IF(OR(M20919="",N20919=""),"",SUMIFS('Barang Keluar'!$E:$E,'Barang Keluar'!$A:$A,M20919,'Barang Keluar'!$C:$C,N20919))</f>
        <v>0</v>
      </c>
    </row>
    <row r="20920" spans="13:16">
      <c r="M20920" s="49">
        <f>IF($A$4+209&gt;$B$4,"",$A$4+209)</f>
        <v>46232</v>
      </c>
      <c r="N20920" t="str">
        <f>IF(M20920="","",'Master Barang'!A14)</f>
        <v>PRL-013</v>
      </c>
      <c r="O20920" t="str">
        <f>IF(N20920="","",'Master Barang'!B14)</f>
        <v>sarung tangan plastik kaka 100 pcs</v>
      </c>
      <c r="P20920">
        <f>IF(OR(M20920="",N20920=""),"",SUMIFS('Barang Keluar'!$E:$E,'Barang Keluar'!$A:$A,M20920,'Barang Keluar'!$C:$C,N20920))</f>
        <v>0</v>
      </c>
    </row>
    <row r="20921" spans="13:16">
      <c r="M20921" s="49">
        <f>IF($A$4+209&gt;$B$4,"",$A$4+209)</f>
        <v>46232</v>
      </c>
      <c r="N20921" t="str">
        <f>IF(M20921="","",'Master Barang'!A15)</f>
        <v>PRL-014</v>
      </c>
      <c r="O20921" t="str">
        <f>IF(N20921="","",'Master Barang'!B15)</f>
        <v>optima trashbag 80x100</v>
      </c>
      <c r="P20921">
        <f>IF(OR(M20921="",N20921=""),"",SUMIFS('Barang Keluar'!$E:$E,'Barang Keluar'!$A:$A,M20921,'Barang Keluar'!$C:$C,N20921))</f>
        <v>0</v>
      </c>
    </row>
    <row r="20922" spans="13:16">
      <c r="M20922" s="49">
        <f>IF($A$4+209&gt;$B$4,"",$A$4+209)</f>
        <v>46232</v>
      </c>
      <c r="N20922" t="str">
        <f>IF(M20922="","",'Master Barang'!A16)</f>
        <v>PRL-015</v>
      </c>
      <c r="O20922" t="str">
        <f>IF(N20922="","",'Master Barang'!B16)</f>
        <v>optima trashbag 60x100</v>
      </c>
      <c r="P20922">
        <f>IF(OR(M20922="",N20922=""),"",SUMIFS('Barang Keluar'!$E:$E,'Barang Keluar'!$A:$A,M20922,'Barang Keluar'!$C:$C,N20922))</f>
        <v>0</v>
      </c>
    </row>
    <row r="20923" spans="13:16">
      <c r="M20923" s="49">
        <f>IF($A$4+209&gt;$B$4,"",$A$4+209)</f>
        <v>46232</v>
      </c>
      <c r="N20923" t="str">
        <f>IF(M20923="","",'Master Barang'!A17)</f>
        <v>PRL-016</v>
      </c>
      <c r="O20923" t="str">
        <f>IF(N20923="","",'Master Barang'!B17)</f>
        <v>rajawali trashbag 30x40</v>
      </c>
      <c r="P20923">
        <f>IF(OR(M20923="",N20923=""),"",SUMIFS('Barang Keluar'!$E:$E,'Barang Keluar'!$A:$A,M20923,'Barang Keluar'!$C:$C,N20923))</f>
        <v>0</v>
      </c>
    </row>
    <row r="20924" spans="13:16">
      <c r="M20924" s="49">
        <f>IF($A$4+209&gt;$B$4,"",$A$4+209)</f>
        <v>46232</v>
      </c>
      <c r="N20924" t="str">
        <f>IF(M20924="","",'Master Barang'!A18)</f>
        <v>PRL-017</v>
      </c>
      <c r="O20924" t="str">
        <f>IF(N20924="","",'Master Barang'!B18)</f>
        <v>onemed masker biru 3 play 50 pcs</v>
      </c>
      <c r="P20924">
        <f>IF(OR(M20924="",N20924=""),"",SUMIFS('Barang Keluar'!$E:$E,'Barang Keluar'!$A:$A,M20924,'Barang Keluar'!$C:$C,N20924))</f>
        <v>0</v>
      </c>
    </row>
    <row r="20925" spans="13:16">
      <c r="M20925" s="49">
        <f>IF($A$4+209&gt;$B$4,"",$A$4+209)</f>
        <v>46232</v>
      </c>
      <c r="N20925" t="str">
        <f>IF(M20925="","",'Master Barang'!A19)</f>
        <v>PRL-018</v>
      </c>
      <c r="O20925" t="str">
        <f>IF(N20925="","",'Master Barang'!B19)</f>
        <v>onemed masker biru 3 play hijab 50 pcs</v>
      </c>
      <c r="P20925">
        <f>IF(OR(M20925="",N20925=""),"",SUMIFS('Barang Keluar'!$E:$E,'Barang Keluar'!$A:$A,M20925,'Barang Keluar'!$C:$C,N20925))</f>
        <v>0</v>
      </c>
    </row>
    <row r="20926" spans="13:16">
      <c r="M20926" s="49">
        <f>IF($A$4+209&gt;$B$4,"",$A$4+209)</f>
        <v>46232</v>
      </c>
      <c r="N20926" t="str">
        <f>IF(M20926="","",'Master Barang'!A20)</f>
        <v>PRL-019</v>
      </c>
      <c r="O20926" t="str">
        <f>IF(N20926="","",'Master Barang'!B20)</f>
        <v>neo health masker biru 3 play 50 pcs</v>
      </c>
      <c r="P20926">
        <f>IF(OR(M20926="",N20926=""),"",SUMIFS('Barang Keluar'!$E:$E,'Barang Keluar'!$A:$A,M20926,'Barang Keluar'!$C:$C,N20926))</f>
        <v>0</v>
      </c>
    </row>
    <row r="20927" spans="13:16">
      <c r="M20927" s="49">
        <f>IF($A$4+209&gt;$B$4,"",$A$4+209)</f>
        <v>46232</v>
      </c>
      <c r="N20927" t="str">
        <f>IF(M20927="","",'Master Barang'!A21)</f>
        <v>PRL-020</v>
      </c>
      <c r="O20927" t="str">
        <f>IF(N20927="","",'Master Barang'!B21)</f>
        <v>baymed masker hijau 3 play hijau 50 pcs</v>
      </c>
      <c r="P20927">
        <f>IF(OR(M20927="",N20927=""),"",SUMIFS('Barang Keluar'!$E:$E,'Barang Keluar'!$A:$A,M20927,'Barang Keluar'!$C:$C,N20927))</f>
        <v>0</v>
      </c>
    </row>
    <row r="20928" spans="13:16">
      <c r="M20928" s="49">
        <f>IF($A$4+209&gt;$B$4,"",$A$4+209)</f>
        <v>46232</v>
      </c>
      <c r="N20928" t="str">
        <f>IF(M20928="","",'Master Barang'!A22)</f>
        <v>PRL-021</v>
      </c>
      <c r="O20928" t="str">
        <f>IF(N20928="","",'Master Barang'!B22)</f>
        <v>altamed nurse cap penutup kepala 100 pcs</v>
      </c>
      <c r="P20928">
        <f>IF(OR(M20928="",N20928=""),"",SUMIFS('Barang Keluar'!$E:$E,'Barang Keluar'!$A:$A,M20928,'Barang Keluar'!$C:$C,N20928))</f>
        <v>0</v>
      </c>
    </row>
    <row r="20929" spans="13:16">
      <c r="M20929" s="49">
        <f>IF($A$4+209&gt;$B$4,"",$A$4+209)</f>
        <v>46232</v>
      </c>
      <c r="N20929" t="str">
        <f>IF(M20929="","",'Master Barang'!A23)</f>
        <v>PRL-022</v>
      </c>
      <c r="O20929" t="str">
        <f>IF(N20929="","",'Master Barang'!B23)</f>
        <v>sabun cuci tangan</v>
      </c>
      <c r="P20929">
        <f>IF(OR(M20929="",N20929=""),"",SUMIFS('Barang Keluar'!$E:$E,'Barang Keluar'!$A:$A,M20929,'Barang Keluar'!$C:$C,N20929))</f>
        <v>0</v>
      </c>
    </row>
    <row r="20930" spans="13:16">
      <c r="M20930" s="49">
        <f>IF($A$4+209&gt;$B$4,"",$A$4+209)</f>
        <v>46232</v>
      </c>
      <c r="N20930" t="str">
        <f>IF(M20930="","",'Master Barang'!A24)</f>
        <v>PRL-023</v>
      </c>
      <c r="O20930" t="str">
        <f>IF(N20930="","",'Master Barang'!B24)</f>
        <v>gayung kecil</v>
      </c>
      <c r="P20930">
        <f>IF(OR(M20930="",N20930=""),"",SUMIFS('Barang Keluar'!$E:$E,'Barang Keluar'!$A:$A,M20930,'Barang Keluar'!$C:$C,N20930))</f>
        <v>0</v>
      </c>
    </row>
    <row r="20931" spans="13:16">
      <c r="M20931" s="49">
        <f>IF($A$4+209&gt;$B$4,"",$A$4+209)</f>
        <v>46232</v>
      </c>
      <c r="N20931" t="str">
        <f>IF(M20931="","",'Master Barang'!A25)</f>
        <v>PRL-024</v>
      </c>
      <c r="O20931" t="str">
        <f>IF(N20931="","",'Master Barang'!B25)</f>
        <v>cikrak kecil</v>
      </c>
      <c r="P20931">
        <f>IF(OR(M20931="",N20931=""),"",SUMIFS('Barang Keluar'!$E:$E,'Barang Keluar'!$A:$A,M20931,'Barang Keluar'!$C:$C,N20931))</f>
        <v>0</v>
      </c>
    </row>
    <row r="20932" spans="13:16">
      <c r="M20932" s="49">
        <f>IF($A$4+209&gt;$B$4,"",$A$4+209)</f>
        <v>46232</v>
      </c>
      <c r="N20932" t="str">
        <f>IF(M20932="","",'Master Barang'!A26)</f>
        <v>PRL-025</v>
      </c>
      <c r="O20932" t="str">
        <f>IF(N20932="","",'Master Barang'!B26)</f>
        <v>petromax plastik kecil 12x24 100 lembar</v>
      </c>
      <c r="P20932">
        <f>IF(OR(M20932="",N20932=""),"",SUMIFS('Barang Keluar'!$E:$E,'Barang Keluar'!$A:$A,M20932,'Barang Keluar'!$C:$C,N20932))</f>
        <v>0</v>
      </c>
    </row>
    <row r="20933" spans="13:16">
      <c r="M20933" s="49">
        <f>IF($A$4+209&gt;$B$4,"",$A$4+209)</f>
        <v>46232</v>
      </c>
      <c r="N20933" t="str">
        <f>IF(M20933="","",'Master Barang'!A27)</f>
        <v>PRL-026</v>
      </c>
      <c r="O20933" t="str">
        <f>IF(N20933="","",'Master Barang'!B27)</f>
        <v>lancar kresek kecil bening </v>
      </c>
      <c r="P20933">
        <f>IF(OR(M20933="",N20933=""),"",SUMIFS('Barang Keluar'!$E:$E,'Barang Keluar'!$A:$A,M20933,'Barang Keluar'!$C:$C,N20933))</f>
        <v>0</v>
      </c>
    </row>
    <row r="20934" spans="13:16">
      <c r="M20934" s="49">
        <f>IF($A$4+209&gt;$B$4,"",$A$4+209)</f>
        <v>46232</v>
      </c>
      <c r="N20934" t="str">
        <f>IF(M20934="","",'Master Barang'!A28)</f>
        <v>PRL-027</v>
      </c>
      <c r="O20934" t="str">
        <f>IF(N20934="","",'Master Barang'!B28)</f>
        <v>kresek klin warna warni kecil</v>
      </c>
      <c r="P20934">
        <f>IF(OR(M20934="",N20934=""),"",SUMIFS('Barang Keluar'!$E:$E,'Barang Keluar'!$A:$A,M20934,'Barang Keluar'!$C:$C,N20934))</f>
        <v>0</v>
      </c>
    </row>
    <row r="20935" spans="13:16">
      <c r="M20935" s="49">
        <f>IF($A$4+209&gt;$B$4,"",$A$4+209)</f>
        <v>46232</v>
      </c>
      <c r="N20935" t="str">
        <f>IF(M20935="","",'Master Barang'!A29)</f>
        <v>PRL-028</v>
      </c>
      <c r="O20935" t="str">
        <f>IF(N20935="","",'Master Barang'!B29)</f>
        <v>ctik plastik 7x10 100 pcs</v>
      </c>
      <c r="P20935">
        <f>IF(OR(M20935="",N20935=""),"",SUMIFS('Barang Keluar'!$E:$E,'Barang Keluar'!$A:$A,M20935,'Barang Keluar'!$C:$C,N20935))</f>
        <v>0</v>
      </c>
    </row>
    <row r="20936" spans="13:16">
      <c r="M20936" s="49">
        <f>IF($A$4+209&gt;$B$4,"",$A$4+209)</f>
        <v>46232</v>
      </c>
      <c r="N20936" t="str">
        <f>IF(M20936="","",'Master Barang'!A30)</f>
        <v>PRL-029</v>
      </c>
      <c r="O20936" t="str">
        <f>IF(N20936="","",'Master Barang'!B30)</f>
        <v>ctik plastik 6x10 100 pcs</v>
      </c>
      <c r="P20936">
        <f>IF(OR(M20936="",N20936=""),"",SUMIFS('Barang Keluar'!$E:$E,'Barang Keluar'!$A:$A,M20936,'Barang Keluar'!$C:$C,N20936))</f>
        <v>0</v>
      </c>
    </row>
    <row r="20937" spans="13:16">
      <c r="M20937" s="49">
        <f>IF($A$4+209&gt;$B$4,"",$A$4+209)</f>
        <v>46232</v>
      </c>
      <c r="N20937" t="str">
        <f>IF(M20937="","",'Master Barang'!A31)</f>
        <v>PRL-030</v>
      </c>
      <c r="O20937" t="str">
        <f>IF(N20937="","",'Master Barang'!B31)</f>
        <v>klip plastik 25x16 100 pcs</v>
      </c>
      <c r="P20937">
        <f>IF(OR(M20937="",N20937=""),"",SUMIFS('Barang Keluar'!$E:$E,'Barang Keluar'!$A:$A,M20937,'Barang Keluar'!$C:$C,N20937))</f>
        <v>0</v>
      </c>
    </row>
    <row r="20938" spans="13:16">
      <c r="M20938" s="49">
        <f>IF($A$4+209&gt;$B$4,"",$A$4+209)</f>
        <v>46232</v>
      </c>
      <c r="N20938" t="str">
        <f>IF(M20938="","",'Master Barang'!A32)</f>
        <v>PRL-031</v>
      </c>
      <c r="O20938" t="str">
        <f>IF(N20938="","",'Master Barang'!B32)</f>
        <v>tempat saus 20 ml</v>
      </c>
      <c r="P20938">
        <f>IF(OR(M20938="",N20938=""),"",SUMIFS('Barang Keluar'!$E:$E,'Barang Keluar'!$A:$A,M20938,'Barang Keluar'!$C:$C,N20938))</f>
        <v>0</v>
      </c>
    </row>
    <row r="20939" spans="13:16">
      <c r="M20939" s="49">
        <f>IF($A$4+209&gt;$B$4,"",$A$4+209)</f>
        <v>46232</v>
      </c>
      <c r="N20939" t="str">
        <f>IF(M20939="","",'Master Barang'!A33)</f>
        <v>PRL-032</v>
      </c>
      <c r="O20939" t="str">
        <f>IF(N20939="","",'Master Barang'!B33)</f>
        <v>plastik packaging ag box uk sedang</v>
      </c>
      <c r="P20939">
        <f>IF(OR(M20939="",N20939=""),"",SUMIFS('Barang Keluar'!$E:$E,'Barang Keluar'!$A:$A,M20939,'Barang Keluar'!$C:$C,N20939))</f>
        <v>0</v>
      </c>
    </row>
    <row r="20940" spans="13:16">
      <c r="M20940" s="49">
        <f>IF($A$4+209&gt;$B$4,"",$A$4+209)</f>
        <v>46232</v>
      </c>
      <c r="N20940" t="str">
        <f>IF(M20940="","",'Master Barang'!A34)</f>
        <v>PRL-033</v>
      </c>
      <c r="O20940">
        <f>IF(N20940="","",'Master Barang'!B34)</f>
        <v>0</v>
      </c>
      <c r="P20940">
        <f>IF(OR(M20940="",N20940=""),"",SUMIFS('Barang Keluar'!$E:$E,'Barang Keluar'!$A:$A,M20940,'Barang Keluar'!$C:$C,N20940))</f>
        <v>0</v>
      </c>
    </row>
    <row r="20941" spans="13:16">
      <c r="M20941" s="49">
        <f>IF($A$4+209&gt;$B$4,"",$A$4+209)</f>
        <v>46232</v>
      </c>
      <c r="N20941">
        <f>IF(M20941="","",'Master Barang'!A35)</f>
        <v>0</v>
      </c>
      <c r="O20941">
        <f>IF(N20941="","",'Master Barang'!B35)</f>
        <v>0</v>
      </c>
      <c r="P20941">
        <f>IF(OR(M20941="",N20941=""),"",SUMIFS('Barang Keluar'!$E:$E,'Barang Keluar'!$A:$A,M20941,'Barang Keluar'!$C:$C,N20941))</f>
        <v>0</v>
      </c>
    </row>
    <row r="20942" spans="13:16">
      <c r="M20942" s="49">
        <f>IF($A$4+209&gt;$B$4,"",$A$4+209)</f>
        <v>46232</v>
      </c>
      <c r="N20942">
        <f>IF(M20942="","",'Master Barang'!A36)</f>
        <v>0</v>
      </c>
      <c r="O20942">
        <f>IF(N20942="","",'Master Barang'!B36)</f>
        <v>0</v>
      </c>
      <c r="P20942">
        <f>IF(OR(M20942="",N20942=""),"",SUMIFS('Barang Keluar'!$E:$E,'Barang Keluar'!$A:$A,M20942,'Barang Keluar'!$C:$C,N20942))</f>
        <v>0</v>
      </c>
    </row>
    <row r="20943" spans="13:16">
      <c r="M20943" s="49">
        <f>IF($A$4+209&gt;$B$4,"",$A$4+209)</f>
        <v>46232</v>
      </c>
      <c r="N20943">
        <f>IF(M20943="","",'Master Barang'!A37)</f>
        <v>0</v>
      </c>
      <c r="O20943">
        <f>IF(N20943="","",'Master Barang'!B37)</f>
        <v>0</v>
      </c>
      <c r="P20943">
        <f>IF(OR(M20943="",N20943=""),"",SUMIFS('Barang Keluar'!$E:$E,'Barang Keluar'!$A:$A,M20943,'Barang Keluar'!$C:$C,N20943))</f>
        <v>0</v>
      </c>
    </row>
    <row r="20944" spans="13:16">
      <c r="M20944" s="49">
        <f>IF($A$4+209&gt;$B$4,"",$A$4+209)</f>
        <v>46232</v>
      </c>
      <c r="N20944">
        <f>IF(M20944="","",'Master Barang'!A38)</f>
        <v>0</v>
      </c>
      <c r="O20944">
        <f>IF(N20944="","",'Master Barang'!B38)</f>
        <v>0</v>
      </c>
      <c r="P20944">
        <f>IF(OR(M20944="",N20944=""),"",SUMIFS('Barang Keluar'!$E:$E,'Barang Keluar'!$A:$A,M20944,'Barang Keluar'!$C:$C,N20944))</f>
        <v>0</v>
      </c>
    </row>
    <row r="20945" spans="13:16">
      <c r="M20945" s="49">
        <f>IF($A$4+209&gt;$B$4,"",$A$4+209)</f>
        <v>46232</v>
      </c>
      <c r="N20945">
        <f>IF(M20945="","",'Master Barang'!A39)</f>
        <v>0</v>
      </c>
      <c r="O20945">
        <f>IF(N20945="","",'Master Barang'!B39)</f>
        <v>0</v>
      </c>
      <c r="P20945">
        <f>IF(OR(M20945="",N20945=""),"",SUMIFS('Barang Keluar'!$E:$E,'Barang Keluar'!$A:$A,M20945,'Barang Keluar'!$C:$C,N20945))</f>
        <v>0</v>
      </c>
    </row>
    <row r="20946" spans="13:16">
      <c r="M20946" s="49">
        <f>IF($A$4+209&gt;$B$4,"",$A$4+209)</f>
        <v>46232</v>
      </c>
      <c r="N20946">
        <f>IF(M20946="","",'Master Barang'!A40)</f>
        <v>0</v>
      </c>
      <c r="O20946">
        <f>IF(N20946="","",'Master Barang'!B40)</f>
        <v>0</v>
      </c>
      <c r="P20946">
        <f>IF(OR(M20946="",N20946=""),"",SUMIFS('Barang Keluar'!$E:$E,'Barang Keluar'!$A:$A,M20946,'Barang Keluar'!$C:$C,N20946))</f>
        <v>0</v>
      </c>
    </row>
    <row r="20947" spans="13:16">
      <c r="M20947" s="49">
        <f>IF($A$4+209&gt;$B$4,"",$A$4+209)</f>
        <v>46232</v>
      </c>
      <c r="N20947">
        <f>IF(M20947="","",'Master Barang'!A41)</f>
        <v>0</v>
      </c>
      <c r="O20947">
        <f>IF(N20947="","",'Master Barang'!B41)</f>
        <v>0</v>
      </c>
      <c r="P20947">
        <f>IF(OR(M20947="",N20947=""),"",SUMIFS('Barang Keluar'!$E:$E,'Barang Keluar'!$A:$A,M20947,'Barang Keluar'!$C:$C,N20947))</f>
        <v>0</v>
      </c>
    </row>
    <row r="20948" spans="13:16">
      <c r="M20948" s="49">
        <f>IF($A$4+209&gt;$B$4,"",$A$4+209)</f>
        <v>46232</v>
      </c>
      <c r="N20948">
        <f>IF(M20948="","",'Master Barang'!A42)</f>
        <v>0</v>
      </c>
      <c r="O20948">
        <f>IF(N20948="","",'Master Barang'!B42)</f>
        <v>0</v>
      </c>
      <c r="P20948">
        <f>IF(OR(M20948="",N20948=""),"",SUMIFS('Barang Keluar'!$E:$E,'Barang Keluar'!$A:$A,M20948,'Barang Keluar'!$C:$C,N20948))</f>
        <v>0</v>
      </c>
    </row>
    <row r="20949" spans="13:16">
      <c r="M20949" s="49">
        <f>IF($A$4+209&gt;$B$4,"",$A$4+209)</f>
        <v>46232</v>
      </c>
      <c r="N20949">
        <f>IF(M20949="","",'Master Barang'!A43)</f>
        <v>0</v>
      </c>
      <c r="O20949">
        <f>IF(N20949="","",'Master Barang'!B43)</f>
        <v>0</v>
      </c>
      <c r="P20949">
        <f>IF(OR(M20949="",N20949=""),"",SUMIFS('Barang Keluar'!$E:$E,'Barang Keluar'!$A:$A,M20949,'Barang Keluar'!$C:$C,N20949))</f>
        <v>0</v>
      </c>
    </row>
    <row r="20950" spans="13:16">
      <c r="M20950" s="49">
        <f>IF($A$4+209&gt;$B$4,"",$A$4+209)</f>
        <v>46232</v>
      </c>
      <c r="N20950">
        <f>IF(M20950="","",'Master Barang'!A44)</f>
        <v>0</v>
      </c>
      <c r="O20950">
        <f>IF(N20950="","",'Master Barang'!B44)</f>
        <v>0</v>
      </c>
      <c r="P20950">
        <f>IF(OR(M20950="",N20950=""),"",SUMIFS('Barang Keluar'!$E:$E,'Barang Keluar'!$A:$A,M20950,'Barang Keluar'!$C:$C,N20950))</f>
        <v>0</v>
      </c>
    </row>
    <row r="20951" spans="13:16">
      <c r="M20951" s="49">
        <f>IF($A$4+209&gt;$B$4,"",$A$4+209)</f>
        <v>46232</v>
      </c>
      <c r="N20951">
        <f>IF(M20951="","",'Master Barang'!A45)</f>
        <v>0</v>
      </c>
      <c r="O20951">
        <f>IF(N20951="","",'Master Barang'!B45)</f>
        <v>0</v>
      </c>
      <c r="P20951">
        <f>IF(OR(M20951="",N20951=""),"",SUMIFS('Barang Keluar'!$E:$E,'Barang Keluar'!$A:$A,M20951,'Barang Keluar'!$C:$C,N20951))</f>
        <v>0</v>
      </c>
    </row>
    <row r="20952" spans="13:16">
      <c r="M20952" s="49">
        <f>IF($A$4+209&gt;$B$4,"",$A$4+209)</f>
        <v>46232</v>
      </c>
      <c r="N20952">
        <f>IF(M20952="","",'Master Barang'!A46)</f>
        <v>0</v>
      </c>
      <c r="O20952">
        <f>IF(N20952="","",'Master Barang'!B46)</f>
        <v>0</v>
      </c>
      <c r="P20952">
        <f>IF(OR(M20952="",N20952=""),"",SUMIFS('Barang Keluar'!$E:$E,'Barang Keluar'!$A:$A,M20952,'Barang Keluar'!$C:$C,N20952))</f>
        <v>0</v>
      </c>
    </row>
    <row r="20953" spans="13:16">
      <c r="M20953" s="49">
        <f>IF($A$4+209&gt;$B$4,"",$A$4+209)</f>
        <v>46232</v>
      </c>
      <c r="N20953">
        <f>IF(M20953="","",'Master Barang'!A47)</f>
        <v>0</v>
      </c>
      <c r="O20953">
        <f>IF(N20953="","",'Master Barang'!B47)</f>
        <v>0</v>
      </c>
      <c r="P20953">
        <f>IF(OR(M20953="",N20953=""),"",SUMIFS('Barang Keluar'!$E:$E,'Barang Keluar'!$A:$A,M20953,'Barang Keluar'!$C:$C,N20953))</f>
        <v>0</v>
      </c>
    </row>
    <row r="20954" spans="13:16">
      <c r="M20954" s="49">
        <f>IF($A$4+209&gt;$B$4,"",$A$4+209)</f>
        <v>46232</v>
      </c>
      <c r="N20954">
        <f>IF(M20954="","",'Master Barang'!A48)</f>
        <v>0</v>
      </c>
      <c r="O20954">
        <f>IF(N20954="","",'Master Barang'!B48)</f>
        <v>0</v>
      </c>
      <c r="P20954">
        <f>IF(OR(M20954="",N20954=""),"",SUMIFS('Barang Keluar'!$E:$E,'Barang Keluar'!$A:$A,M20954,'Barang Keluar'!$C:$C,N20954))</f>
        <v>0</v>
      </c>
    </row>
    <row r="20955" spans="13:16">
      <c r="M20955" s="49">
        <f>IF($A$4+209&gt;$B$4,"",$A$4+209)</f>
        <v>46232</v>
      </c>
      <c r="N20955">
        <f>IF(M20955="","",'Master Barang'!A49)</f>
        <v>0</v>
      </c>
      <c r="O20955">
        <f>IF(N20955="","",'Master Barang'!B49)</f>
        <v>0</v>
      </c>
      <c r="P20955">
        <f>IF(OR(M20955="",N20955=""),"",SUMIFS('Barang Keluar'!$E:$E,'Barang Keluar'!$A:$A,M20955,'Barang Keluar'!$C:$C,N20955))</f>
        <v>0</v>
      </c>
    </row>
    <row r="20956" spans="13:16">
      <c r="M20956" s="49">
        <f>IF($A$4+209&gt;$B$4,"",$A$4+209)</f>
        <v>46232</v>
      </c>
      <c r="N20956">
        <f>IF(M20956="","",'Master Barang'!A50)</f>
        <v>0</v>
      </c>
      <c r="O20956">
        <f>IF(N20956="","",'Master Barang'!B50)</f>
        <v>0</v>
      </c>
      <c r="P20956">
        <f>IF(OR(M20956="",N20956=""),"",SUMIFS('Barang Keluar'!$E:$E,'Barang Keluar'!$A:$A,M20956,'Barang Keluar'!$C:$C,N20956))</f>
        <v>0</v>
      </c>
    </row>
    <row r="20957" spans="13:16">
      <c r="M20957" s="49">
        <f>IF($A$4+209&gt;$B$4,"",$A$4+209)</f>
        <v>46232</v>
      </c>
      <c r="N20957">
        <f>IF(M20957="","",'Master Barang'!A51)</f>
        <v>0</v>
      </c>
      <c r="O20957">
        <f>IF(N20957="","",'Master Barang'!B51)</f>
        <v>0</v>
      </c>
      <c r="P20957">
        <f>IF(OR(M20957="",N20957=""),"",SUMIFS('Barang Keluar'!$E:$E,'Barang Keluar'!$A:$A,M20957,'Barang Keluar'!$C:$C,N20957))</f>
        <v>0</v>
      </c>
    </row>
    <row r="20958" spans="13:16">
      <c r="M20958" s="49">
        <f>IF($A$4+209&gt;$B$4,"",$A$4+209)</f>
        <v>46232</v>
      </c>
      <c r="N20958">
        <f>IF(M20958="","",'Master Barang'!A52)</f>
        <v>0</v>
      </c>
      <c r="O20958">
        <f>IF(N20958="","",'Master Barang'!B52)</f>
        <v>0</v>
      </c>
      <c r="P20958">
        <f>IF(OR(M20958="",N20958=""),"",SUMIFS('Barang Keluar'!$E:$E,'Barang Keluar'!$A:$A,M20958,'Barang Keluar'!$C:$C,N20958))</f>
        <v>0</v>
      </c>
    </row>
    <row r="20959" spans="13:16">
      <c r="M20959" s="49">
        <f>IF($A$4+209&gt;$B$4,"",$A$4+209)</f>
        <v>46232</v>
      </c>
      <c r="N20959">
        <f>IF(M20959="","",'Master Barang'!A53)</f>
        <v>0</v>
      </c>
      <c r="O20959">
        <f>IF(N20959="","",'Master Barang'!B53)</f>
        <v>0</v>
      </c>
      <c r="P20959">
        <f>IF(OR(M20959="",N20959=""),"",SUMIFS('Barang Keluar'!$E:$E,'Barang Keluar'!$A:$A,M20959,'Barang Keluar'!$C:$C,N20959))</f>
        <v>0</v>
      </c>
    </row>
    <row r="20960" spans="13:16">
      <c r="M20960" s="49">
        <f>IF($A$4+209&gt;$B$4,"",$A$4+209)</f>
        <v>46232</v>
      </c>
      <c r="N20960">
        <f>IF(M20960="","",'Master Barang'!A54)</f>
        <v>0</v>
      </c>
      <c r="O20960">
        <f>IF(N20960="","",'Master Barang'!B54)</f>
        <v>0</v>
      </c>
      <c r="P20960">
        <f>IF(OR(M20960="",N20960=""),"",SUMIFS('Barang Keluar'!$E:$E,'Barang Keluar'!$A:$A,M20960,'Barang Keluar'!$C:$C,N20960))</f>
        <v>0</v>
      </c>
    </row>
    <row r="20961" spans="13:16">
      <c r="M20961" s="49">
        <f>IF($A$4+209&gt;$B$4,"",$A$4+209)</f>
        <v>46232</v>
      </c>
      <c r="N20961">
        <f>IF(M20961="","",'Master Barang'!A55)</f>
        <v>0</v>
      </c>
      <c r="O20961">
        <f>IF(N20961="","",'Master Barang'!B55)</f>
        <v>0</v>
      </c>
      <c r="P20961">
        <f>IF(OR(M20961="",N20961=""),"",SUMIFS('Barang Keluar'!$E:$E,'Barang Keluar'!$A:$A,M20961,'Barang Keluar'!$C:$C,N20961))</f>
        <v>0</v>
      </c>
    </row>
    <row r="20962" spans="13:16">
      <c r="M20962" s="49">
        <f>IF($A$4+209&gt;$B$4,"",$A$4+209)</f>
        <v>46232</v>
      </c>
      <c r="N20962">
        <f>IF(M20962="","",'Master Barang'!A56)</f>
        <v>0</v>
      </c>
      <c r="O20962">
        <f>IF(N20962="","",'Master Barang'!B56)</f>
        <v>0</v>
      </c>
      <c r="P20962">
        <f>IF(OR(M20962="",N20962=""),"",SUMIFS('Barang Keluar'!$E:$E,'Barang Keluar'!$A:$A,M20962,'Barang Keluar'!$C:$C,N20962))</f>
        <v>0</v>
      </c>
    </row>
    <row r="20963" spans="13:16">
      <c r="M20963" s="49">
        <f>IF($A$4+209&gt;$B$4,"",$A$4+209)</f>
        <v>46232</v>
      </c>
      <c r="N20963">
        <f>IF(M20963="","",'Master Barang'!A57)</f>
        <v>0</v>
      </c>
      <c r="O20963">
        <f>IF(N20963="","",'Master Barang'!B57)</f>
        <v>0</v>
      </c>
      <c r="P20963">
        <f>IF(OR(M20963="",N20963=""),"",SUMIFS('Barang Keluar'!$E:$E,'Barang Keluar'!$A:$A,M20963,'Barang Keluar'!$C:$C,N20963))</f>
        <v>0</v>
      </c>
    </row>
    <row r="20964" spans="13:16">
      <c r="M20964" s="49">
        <f>IF($A$4+209&gt;$B$4,"",$A$4+209)</f>
        <v>46232</v>
      </c>
      <c r="N20964">
        <f>IF(M20964="","",'Master Barang'!A58)</f>
        <v>0</v>
      </c>
      <c r="O20964">
        <f>IF(N20964="","",'Master Barang'!B58)</f>
        <v>0</v>
      </c>
      <c r="P20964">
        <f>IF(OR(M20964="",N20964=""),"",SUMIFS('Barang Keluar'!$E:$E,'Barang Keluar'!$A:$A,M20964,'Barang Keluar'!$C:$C,N20964))</f>
        <v>0</v>
      </c>
    </row>
    <row r="20965" spans="13:16">
      <c r="M20965" s="49">
        <f>IF($A$4+209&gt;$B$4,"",$A$4+209)</f>
        <v>46232</v>
      </c>
      <c r="N20965">
        <f>IF(M20965="","",'Master Barang'!A59)</f>
        <v>0</v>
      </c>
      <c r="O20965">
        <f>IF(N20965="","",'Master Barang'!B59)</f>
        <v>0</v>
      </c>
      <c r="P20965">
        <f>IF(OR(M20965="",N20965=""),"",SUMIFS('Barang Keluar'!$E:$E,'Barang Keluar'!$A:$A,M20965,'Barang Keluar'!$C:$C,N20965))</f>
        <v>0</v>
      </c>
    </row>
    <row r="20966" spans="13:16">
      <c r="M20966" s="49">
        <f>IF($A$4+209&gt;$B$4,"",$A$4+209)</f>
        <v>46232</v>
      </c>
      <c r="N20966">
        <f>IF(M20966="","",'Master Barang'!A60)</f>
        <v>0</v>
      </c>
      <c r="O20966">
        <f>IF(N20966="","",'Master Barang'!B60)</f>
        <v>0</v>
      </c>
      <c r="P20966">
        <f>IF(OR(M20966="",N20966=""),"",SUMIFS('Barang Keluar'!$E:$E,'Barang Keluar'!$A:$A,M20966,'Barang Keluar'!$C:$C,N20966))</f>
        <v>0</v>
      </c>
    </row>
    <row r="20967" spans="13:16">
      <c r="M20967" s="49">
        <f>IF($A$4+209&gt;$B$4,"",$A$4+209)</f>
        <v>46232</v>
      </c>
      <c r="N20967">
        <f>IF(M20967="","",'Master Barang'!A61)</f>
        <v>0</v>
      </c>
      <c r="O20967">
        <f>IF(N20967="","",'Master Barang'!B61)</f>
        <v>0</v>
      </c>
      <c r="P20967">
        <f>IF(OR(M20967="",N20967=""),"",SUMIFS('Barang Keluar'!$E:$E,'Barang Keluar'!$A:$A,M20967,'Barang Keluar'!$C:$C,N20967))</f>
        <v>0</v>
      </c>
    </row>
    <row r="20968" spans="13:16">
      <c r="M20968" s="49">
        <f>IF($A$4+209&gt;$B$4,"",$A$4+209)</f>
        <v>46232</v>
      </c>
      <c r="N20968">
        <f>IF(M20968="","",'Master Barang'!A62)</f>
        <v>0</v>
      </c>
      <c r="O20968">
        <f>IF(N20968="","",'Master Barang'!B62)</f>
        <v>0</v>
      </c>
      <c r="P20968">
        <f>IF(OR(M20968="",N20968=""),"",SUMIFS('Barang Keluar'!$E:$E,'Barang Keluar'!$A:$A,M20968,'Barang Keluar'!$C:$C,N20968))</f>
        <v>0</v>
      </c>
    </row>
    <row r="20969" spans="13:16">
      <c r="M20969" s="49">
        <f>IF($A$4+209&gt;$B$4,"",$A$4+209)</f>
        <v>46232</v>
      </c>
      <c r="N20969">
        <f>IF(M20969="","",'Master Barang'!A63)</f>
        <v>0</v>
      </c>
      <c r="O20969">
        <f>IF(N20969="","",'Master Barang'!B63)</f>
        <v>0</v>
      </c>
      <c r="P20969">
        <f>IF(OR(M20969="",N20969=""),"",SUMIFS('Barang Keluar'!$E:$E,'Barang Keluar'!$A:$A,M20969,'Barang Keluar'!$C:$C,N20969))</f>
        <v>0</v>
      </c>
    </row>
    <row r="20970" spans="13:16">
      <c r="M20970" s="49">
        <f>IF($A$4+209&gt;$B$4,"",$A$4+209)</f>
        <v>46232</v>
      </c>
      <c r="N20970">
        <f>IF(M20970="","",'Master Barang'!A64)</f>
        <v>0</v>
      </c>
      <c r="O20970">
        <f>IF(N20970="","",'Master Barang'!B64)</f>
        <v>0</v>
      </c>
      <c r="P20970">
        <f>IF(OR(M20970="",N20970=""),"",SUMIFS('Barang Keluar'!$E:$E,'Barang Keluar'!$A:$A,M20970,'Barang Keluar'!$C:$C,N20970))</f>
        <v>0</v>
      </c>
    </row>
    <row r="20971" spans="13:16">
      <c r="M20971" s="49">
        <f>IF($A$4+209&gt;$B$4,"",$A$4+209)</f>
        <v>46232</v>
      </c>
      <c r="N20971">
        <f>IF(M20971="","",'Master Barang'!A65)</f>
        <v>0</v>
      </c>
      <c r="O20971">
        <f>IF(N20971="","",'Master Barang'!B65)</f>
        <v>0</v>
      </c>
      <c r="P20971">
        <f>IF(OR(M20971="",N20971=""),"",SUMIFS('Barang Keluar'!$E:$E,'Barang Keluar'!$A:$A,M20971,'Barang Keluar'!$C:$C,N20971))</f>
        <v>0</v>
      </c>
    </row>
    <row r="20972" spans="13:16">
      <c r="M20972" s="49">
        <f>IF($A$4+209&gt;$B$4,"",$A$4+209)</f>
        <v>46232</v>
      </c>
      <c r="N20972">
        <f>IF(M20972="","",'Master Barang'!A66)</f>
        <v>0</v>
      </c>
      <c r="O20972">
        <f>IF(N20972="","",'Master Barang'!B66)</f>
        <v>0</v>
      </c>
      <c r="P20972">
        <f>IF(OR(M20972="",N20972=""),"",SUMIFS('Barang Keluar'!$E:$E,'Barang Keluar'!$A:$A,M20972,'Barang Keluar'!$C:$C,N20972))</f>
        <v>0</v>
      </c>
    </row>
    <row r="20973" spans="13:16">
      <c r="M20973" s="49">
        <f>IF($A$4+209&gt;$B$4,"",$A$4+209)</f>
        <v>46232</v>
      </c>
      <c r="N20973">
        <f>IF(M20973="","",'Master Barang'!A67)</f>
        <v>0</v>
      </c>
      <c r="O20973">
        <f>IF(N20973="","",'Master Barang'!B67)</f>
        <v>0</v>
      </c>
      <c r="P20973">
        <f>IF(OR(M20973="",N20973=""),"",SUMIFS('Barang Keluar'!$E:$E,'Barang Keluar'!$A:$A,M20973,'Barang Keluar'!$C:$C,N20973))</f>
        <v>0</v>
      </c>
    </row>
    <row r="20974" spans="13:16">
      <c r="M20974" s="49">
        <f>IF($A$4+209&gt;$B$4,"",$A$4+209)</f>
        <v>46232</v>
      </c>
      <c r="N20974">
        <f>IF(M20974="","",'Master Barang'!A68)</f>
        <v>0</v>
      </c>
      <c r="O20974">
        <f>IF(N20974="","",'Master Barang'!B68)</f>
        <v>0</v>
      </c>
      <c r="P20974">
        <f>IF(OR(M20974="",N20974=""),"",SUMIFS('Barang Keluar'!$E:$E,'Barang Keluar'!$A:$A,M20974,'Barang Keluar'!$C:$C,N20974))</f>
        <v>0</v>
      </c>
    </row>
    <row r="20975" spans="13:16">
      <c r="M20975" s="49">
        <f>IF($A$4+209&gt;$B$4,"",$A$4+209)</f>
        <v>46232</v>
      </c>
      <c r="N20975">
        <f>IF(M20975="","",'Master Barang'!A69)</f>
        <v>0</v>
      </c>
      <c r="O20975">
        <f>IF(N20975="","",'Master Barang'!B69)</f>
        <v>0</v>
      </c>
      <c r="P20975">
        <f>IF(OR(M20975="",N20975=""),"",SUMIFS('Barang Keluar'!$E:$E,'Barang Keluar'!$A:$A,M20975,'Barang Keluar'!$C:$C,N20975))</f>
        <v>0</v>
      </c>
    </row>
    <row r="20976" spans="13:16">
      <c r="M20976" s="49">
        <f>IF($A$4+209&gt;$B$4,"",$A$4+209)</f>
        <v>46232</v>
      </c>
      <c r="N20976">
        <f>IF(M20976="","",'Master Barang'!A70)</f>
        <v>0</v>
      </c>
      <c r="O20976">
        <f>IF(N20976="","",'Master Barang'!B70)</f>
        <v>0</v>
      </c>
      <c r="P20976">
        <f>IF(OR(M20976="",N20976=""),"",SUMIFS('Barang Keluar'!$E:$E,'Barang Keluar'!$A:$A,M20976,'Barang Keluar'!$C:$C,N20976))</f>
        <v>0</v>
      </c>
    </row>
    <row r="20977" spans="13:16">
      <c r="M20977" s="49">
        <f>IF($A$4+209&gt;$B$4,"",$A$4+209)</f>
        <v>46232</v>
      </c>
      <c r="N20977">
        <f>IF(M20977="","",'Master Barang'!A71)</f>
        <v>0</v>
      </c>
      <c r="O20977">
        <f>IF(N20977="","",'Master Barang'!B71)</f>
        <v>0</v>
      </c>
      <c r="P20977">
        <f>IF(OR(M20977="",N20977=""),"",SUMIFS('Barang Keluar'!$E:$E,'Barang Keluar'!$A:$A,M20977,'Barang Keluar'!$C:$C,N20977))</f>
        <v>0</v>
      </c>
    </row>
    <row r="20978" spans="13:16">
      <c r="M20978" s="49">
        <f>IF($A$4+209&gt;$B$4,"",$A$4+209)</f>
        <v>46232</v>
      </c>
      <c r="N20978">
        <f>IF(M20978="","",'Master Barang'!A72)</f>
        <v>0</v>
      </c>
      <c r="O20978">
        <f>IF(N20978="","",'Master Barang'!B72)</f>
        <v>0</v>
      </c>
      <c r="P20978">
        <f>IF(OR(M20978="",N20978=""),"",SUMIFS('Barang Keluar'!$E:$E,'Barang Keluar'!$A:$A,M20978,'Barang Keluar'!$C:$C,N20978))</f>
        <v>0</v>
      </c>
    </row>
    <row r="20979" spans="13:16">
      <c r="M20979" s="49">
        <f>IF($A$4+209&gt;$B$4,"",$A$4+209)</f>
        <v>46232</v>
      </c>
      <c r="N20979">
        <f>IF(M20979="","",'Master Barang'!A73)</f>
        <v>0</v>
      </c>
      <c r="O20979">
        <f>IF(N20979="","",'Master Barang'!B73)</f>
        <v>0</v>
      </c>
      <c r="P20979">
        <f>IF(OR(M20979="",N20979=""),"",SUMIFS('Barang Keluar'!$E:$E,'Barang Keluar'!$A:$A,M20979,'Barang Keluar'!$C:$C,N20979))</f>
        <v>0</v>
      </c>
    </row>
    <row r="20980" spans="13:16">
      <c r="M20980" s="49">
        <f>IF($A$4+209&gt;$B$4,"",$A$4+209)</f>
        <v>46232</v>
      </c>
      <c r="N20980">
        <f>IF(M20980="","",'Master Barang'!A74)</f>
        <v>0</v>
      </c>
      <c r="O20980">
        <f>IF(N20980="","",'Master Barang'!B74)</f>
        <v>0</v>
      </c>
      <c r="P20980">
        <f>IF(OR(M20980="",N20980=""),"",SUMIFS('Barang Keluar'!$E:$E,'Barang Keluar'!$A:$A,M20980,'Barang Keluar'!$C:$C,N20980))</f>
        <v>0</v>
      </c>
    </row>
    <row r="20981" spans="13:16">
      <c r="M20981" s="49">
        <f>IF($A$4+209&gt;$B$4,"",$A$4+209)</f>
        <v>46232</v>
      </c>
      <c r="N20981">
        <f>IF(M20981="","",'Master Barang'!A75)</f>
        <v>0</v>
      </c>
      <c r="O20981">
        <f>IF(N20981="","",'Master Barang'!B75)</f>
        <v>0</v>
      </c>
      <c r="P20981">
        <f>IF(OR(M20981="",N20981=""),"",SUMIFS('Barang Keluar'!$E:$E,'Barang Keluar'!$A:$A,M20981,'Barang Keluar'!$C:$C,N20981))</f>
        <v>0</v>
      </c>
    </row>
    <row r="20982" spans="13:16">
      <c r="M20982" s="49">
        <f>IF($A$4+209&gt;$B$4,"",$A$4+209)</f>
        <v>46232</v>
      </c>
      <c r="N20982">
        <f>IF(M20982="","",'Master Barang'!A76)</f>
        <v>0</v>
      </c>
      <c r="O20982">
        <f>IF(N20982="","",'Master Barang'!B76)</f>
        <v>0</v>
      </c>
      <c r="P20982">
        <f>IF(OR(M20982="",N20982=""),"",SUMIFS('Barang Keluar'!$E:$E,'Barang Keluar'!$A:$A,M20982,'Barang Keluar'!$C:$C,N20982))</f>
        <v>0</v>
      </c>
    </row>
    <row r="20983" spans="13:16">
      <c r="M20983" s="49">
        <f>IF($A$4+209&gt;$B$4,"",$A$4+209)</f>
        <v>46232</v>
      </c>
      <c r="N20983">
        <f>IF(M20983="","",'Master Barang'!A77)</f>
        <v>0</v>
      </c>
      <c r="O20983">
        <f>IF(N20983="","",'Master Barang'!B77)</f>
        <v>0</v>
      </c>
      <c r="P20983">
        <f>IF(OR(M20983="",N20983=""),"",SUMIFS('Barang Keluar'!$E:$E,'Barang Keluar'!$A:$A,M20983,'Barang Keluar'!$C:$C,N20983))</f>
        <v>0</v>
      </c>
    </row>
    <row r="20984" spans="13:16">
      <c r="M20984" s="49">
        <f>IF($A$4+209&gt;$B$4,"",$A$4+209)</f>
        <v>46232</v>
      </c>
      <c r="N20984">
        <f>IF(M20984="","",'Master Barang'!A78)</f>
        <v>0</v>
      </c>
      <c r="O20984">
        <f>IF(N20984="","",'Master Barang'!B78)</f>
        <v>0</v>
      </c>
      <c r="P20984">
        <f>IF(OR(M20984="",N20984=""),"",SUMIFS('Barang Keluar'!$E:$E,'Barang Keluar'!$A:$A,M20984,'Barang Keluar'!$C:$C,N20984))</f>
        <v>0</v>
      </c>
    </row>
    <row r="20985" spans="13:16">
      <c r="M20985" s="49">
        <f>IF($A$4+209&gt;$B$4,"",$A$4+209)</f>
        <v>46232</v>
      </c>
      <c r="N20985">
        <f>IF(M20985="","",'Master Barang'!A79)</f>
        <v>0</v>
      </c>
      <c r="O20985">
        <f>IF(N20985="","",'Master Barang'!B79)</f>
        <v>0</v>
      </c>
      <c r="P20985">
        <f>IF(OR(M20985="",N20985=""),"",SUMIFS('Barang Keluar'!$E:$E,'Barang Keluar'!$A:$A,M20985,'Barang Keluar'!$C:$C,N20985))</f>
        <v>0</v>
      </c>
    </row>
    <row r="20986" spans="13:16">
      <c r="M20986" s="49">
        <f>IF($A$4+209&gt;$B$4,"",$A$4+209)</f>
        <v>46232</v>
      </c>
      <c r="N20986">
        <f>IF(M20986="","",'Master Barang'!A80)</f>
        <v>0</v>
      </c>
      <c r="O20986">
        <f>IF(N20986="","",'Master Barang'!B80)</f>
        <v>0</v>
      </c>
      <c r="P20986">
        <f>IF(OR(M20986="",N20986=""),"",SUMIFS('Barang Keluar'!$E:$E,'Barang Keluar'!$A:$A,M20986,'Barang Keluar'!$C:$C,N20986))</f>
        <v>0</v>
      </c>
    </row>
    <row r="20987" spans="13:16">
      <c r="M20987" s="49">
        <f>IF($A$4+209&gt;$B$4,"",$A$4+209)</f>
        <v>46232</v>
      </c>
      <c r="N20987">
        <f>IF(M20987="","",'Master Barang'!A81)</f>
        <v>0</v>
      </c>
      <c r="O20987">
        <f>IF(N20987="","",'Master Barang'!B81)</f>
        <v>0</v>
      </c>
      <c r="P20987">
        <f>IF(OR(M20987="",N20987=""),"",SUMIFS('Barang Keluar'!$E:$E,'Barang Keluar'!$A:$A,M20987,'Barang Keluar'!$C:$C,N20987))</f>
        <v>0</v>
      </c>
    </row>
    <row r="20988" spans="13:16">
      <c r="M20988" s="49">
        <f>IF($A$4+209&gt;$B$4,"",$A$4+209)</f>
        <v>46232</v>
      </c>
      <c r="N20988">
        <f>IF(M20988="","",'Master Barang'!A82)</f>
        <v>0</v>
      </c>
      <c r="O20988">
        <f>IF(N20988="","",'Master Barang'!B82)</f>
        <v>0</v>
      </c>
      <c r="P20988">
        <f>IF(OR(M20988="",N20988=""),"",SUMIFS('Barang Keluar'!$E:$E,'Barang Keluar'!$A:$A,M20988,'Barang Keluar'!$C:$C,N20988))</f>
        <v>0</v>
      </c>
    </row>
    <row r="20989" spans="13:16">
      <c r="M20989" s="49">
        <f>IF($A$4+209&gt;$B$4,"",$A$4+209)</f>
        <v>46232</v>
      </c>
      <c r="N20989">
        <f>IF(M20989="","",'Master Barang'!A83)</f>
        <v>0</v>
      </c>
      <c r="O20989">
        <f>IF(N20989="","",'Master Barang'!B83)</f>
        <v>0</v>
      </c>
      <c r="P20989">
        <f>IF(OR(M20989="",N20989=""),"",SUMIFS('Barang Keluar'!$E:$E,'Barang Keluar'!$A:$A,M20989,'Barang Keluar'!$C:$C,N20989))</f>
        <v>0</v>
      </c>
    </row>
    <row r="20990" spans="13:16">
      <c r="M20990" s="49">
        <f>IF($A$4+209&gt;$B$4,"",$A$4+209)</f>
        <v>46232</v>
      </c>
      <c r="N20990">
        <f>IF(M20990="","",'Master Barang'!A84)</f>
        <v>0</v>
      </c>
      <c r="O20990">
        <f>IF(N20990="","",'Master Barang'!B84)</f>
        <v>0</v>
      </c>
      <c r="P20990">
        <f>IF(OR(M20990="",N20990=""),"",SUMIFS('Barang Keluar'!$E:$E,'Barang Keluar'!$A:$A,M20990,'Barang Keluar'!$C:$C,N20990))</f>
        <v>0</v>
      </c>
    </row>
    <row r="20991" spans="13:16">
      <c r="M20991" s="49">
        <f>IF($A$4+209&gt;$B$4,"",$A$4+209)</f>
        <v>46232</v>
      </c>
      <c r="N20991">
        <f>IF(M20991="","",'Master Barang'!A85)</f>
        <v>0</v>
      </c>
      <c r="O20991">
        <f>IF(N20991="","",'Master Barang'!B85)</f>
        <v>0</v>
      </c>
      <c r="P20991">
        <f>IF(OR(M20991="",N20991=""),"",SUMIFS('Barang Keluar'!$E:$E,'Barang Keluar'!$A:$A,M20991,'Barang Keluar'!$C:$C,N20991))</f>
        <v>0</v>
      </c>
    </row>
    <row r="20992" spans="13:16">
      <c r="M20992" s="49">
        <f>IF($A$4+209&gt;$B$4,"",$A$4+209)</f>
        <v>46232</v>
      </c>
      <c r="N20992">
        <f>IF(M20992="","",'Master Barang'!A86)</f>
        <v>0</v>
      </c>
      <c r="O20992">
        <f>IF(N20992="","",'Master Barang'!B86)</f>
        <v>0</v>
      </c>
      <c r="P20992">
        <f>IF(OR(M20992="",N20992=""),"",SUMIFS('Barang Keluar'!$E:$E,'Barang Keluar'!$A:$A,M20992,'Barang Keluar'!$C:$C,N20992))</f>
        <v>0</v>
      </c>
    </row>
    <row r="20993" spans="13:16">
      <c r="M20993" s="49">
        <f>IF($A$4+209&gt;$B$4,"",$A$4+209)</f>
        <v>46232</v>
      </c>
      <c r="N20993">
        <f>IF(M20993="","",'Master Barang'!A87)</f>
        <v>0</v>
      </c>
      <c r="O20993">
        <f>IF(N20993="","",'Master Barang'!B87)</f>
        <v>0</v>
      </c>
      <c r="P20993">
        <f>IF(OR(M20993="",N20993=""),"",SUMIFS('Barang Keluar'!$E:$E,'Barang Keluar'!$A:$A,M20993,'Barang Keluar'!$C:$C,N20993))</f>
        <v>0</v>
      </c>
    </row>
    <row r="20994" spans="13:16">
      <c r="M20994" s="49">
        <f>IF($A$4+209&gt;$B$4,"",$A$4+209)</f>
        <v>46232</v>
      </c>
      <c r="N20994">
        <f>IF(M20994="","",'Master Barang'!A88)</f>
        <v>0</v>
      </c>
      <c r="O20994">
        <f>IF(N20994="","",'Master Barang'!B88)</f>
        <v>0</v>
      </c>
      <c r="P20994">
        <f>IF(OR(M20994="",N20994=""),"",SUMIFS('Barang Keluar'!$E:$E,'Barang Keluar'!$A:$A,M20994,'Barang Keluar'!$C:$C,N20994))</f>
        <v>0</v>
      </c>
    </row>
    <row r="20995" spans="13:16">
      <c r="M20995" s="49">
        <f>IF($A$4+209&gt;$B$4,"",$A$4+209)</f>
        <v>46232</v>
      </c>
      <c r="N20995">
        <f>IF(M20995="","",'Master Barang'!A89)</f>
        <v>0</v>
      </c>
      <c r="O20995">
        <f>IF(N20995="","",'Master Barang'!B89)</f>
        <v>0</v>
      </c>
      <c r="P20995">
        <f>IF(OR(M20995="",N20995=""),"",SUMIFS('Barang Keluar'!$E:$E,'Barang Keluar'!$A:$A,M20995,'Barang Keluar'!$C:$C,N20995))</f>
        <v>0</v>
      </c>
    </row>
    <row r="20996" spans="13:16">
      <c r="M20996" s="49">
        <f>IF($A$4+209&gt;$B$4,"",$A$4+209)</f>
        <v>46232</v>
      </c>
      <c r="N20996">
        <f>IF(M20996="","",'Master Barang'!A90)</f>
        <v>0</v>
      </c>
      <c r="O20996">
        <f>IF(N20996="","",'Master Barang'!B90)</f>
        <v>0</v>
      </c>
      <c r="P20996">
        <f>IF(OR(M20996="",N20996=""),"",SUMIFS('Barang Keluar'!$E:$E,'Barang Keluar'!$A:$A,M20996,'Barang Keluar'!$C:$C,N20996))</f>
        <v>0</v>
      </c>
    </row>
    <row r="20997" spans="13:16">
      <c r="M20997" s="49">
        <f>IF($A$4+209&gt;$B$4,"",$A$4+209)</f>
        <v>46232</v>
      </c>
      <c r="N20997">
        <f>IF(M20997="","",'Master Barang'!A91)</f>
        <v>0</v>
      </c>
      <c r="O20997">
        <f>IF(N20997="","",'Master Barang'!B91)</f>
        <v>0</v>
      </c>
      <c r="P20997">
        <f>IF(OR(M20997="",N20997=""),"",SUMIFS('Barang Keluar'!$E:$E,'Barang Keluar'!$A:$A,M20997,'Barang Keluar'!$C:$C,N20997))</f>
        <v>0</v>
      </c>
    </row>
    <row r="20998" spans="13:16">
      <c r="M20998" s="49">
        <f>IF($A$4+209&gt;$B$4,"",$A$4+209)</f>
        <v>46232</v>
      </c>
      <c r="N20998">
        <f>IF(M20998="","",'Master Barang'!A92)</f>
        <v>0</v>
      </c>
      <c r="O20998">
        <f>IF(N20998="","",'Master Barang'!B92)</f>
        <v>0</v>
      </c>
      <c r="P20998">
        <f>IF(OR(M20998="",N20998=""),"",SUMIFS('Barang Keluar'!$E:$E,'Barang Keluar'!$A:$A,M20998,'Barang Keluar'!$C:$C,N20998))</f>
        <v>0</v>
      </c>
    </row>
    <row r="20999" spans="13:16">
      <c r="M20999" s="49">
        <f>IF($A$4+209&gt;$B$4,"",$A$4+209)</f>
        <v>46232</v>
      </c>
      <c r="N20999">
        <f>IF(M20999="","",'Master Barang'!A93)</f>
        <v>0</v>
      </c>
      <c r="O20999">
        <f>IF(N20999="","",'Master Barang'!B93)</f>
        <v>0</v>
      </c>
      <c r="P20999">
        <f>IF(OR(M20999="",N20999=""),"",SUMIFS('Barang Keluar'!$E:$E,'Barang Keluar'!$A:$A,M20999,'Barang Keluar'!$C:$C,N20999))</f>
        <v>0</v>
      </c>
    </row>
    <row r="21000" spans="13:16">
      <c r="M21000" s="49">
        <f>IF($A$4+209&gt;$B$4,"",$A$4+209)</f>
        <v>46232</v>
      </c>
      <c r="N21000">
        <f>IF(M21000="","",'Master Barang'!A94)</f>
        <v>0</v>
      </c>
      <c r="O21000">
        <f>IF(N21000="","",'Master Barang'!B94)</f>
        <v>0</v>
      </c>
      <c r="P21000">
        <f>IF(OR(M21000="",N21000=""),"",SUMIFS('Barang Keluar'!$E:$E,'Barang Keluar'!$A:$A,M21000,'Barang Keluar'!$C:$C,N21000))</f>
        <v>0</v>
      </c>
    </row>
    <row r="21001" spans="13:16">
      <c r="M21001" s="49">
        <f>IF($A$4+209&gt;$B$4,"",$A$4+209)</f>
        <v>46232</v>
      </c>
      <c r="N21001">
        <f>IF(M21001="","",'Master Barang'!A95)</f>
        <v>0</v>
      </c>
      <c r="O21001">
        <f>IF(N21001="","",'Master Barang'!B95)</f>
        <v>0</v>
      </c>
      <c r="P21001">
        <f>IF(OR(M21001="",N21001=""),"",SUMIFS('Barang Keluar'!$E:$E,'Barang Keluar'!$A:$A,M21001,'Barang Keluar'!$C:$C,N21001))</f>
        <v>0</v>
      </c>
    </row>
    <row r="21002" spans="13:16">
      <c r="M21002" s="49">
        <f>IF($A$4+209&gt;$B$4,"",$A$4+209)</f>
        <v>46232</v>
      </c>
      <c r="N21002">
        <f>IF(M21002="","",'Master Barang'!A96)</f>
        <v>0</v>
      </c>
      <c r="O21002">
        <f>IF(N21002="","",'Master Barang'!B96)</f>
        <v>0</v>
      </c>
      <c r="P21002">
        <f>IF(OR(M21002="",N21002=""),"",SUMIFS('Barang Keluar'!$E:$E,'Barang Keluar'!$A:$A,M21002,'Barang Keluar'!$C:$C,N21002))</f>
        <v>0</v>
      </c>
    </row>
    <row r="21003" spans="13:16">
      <c r="M21003" s="49">
        <f>IF($A$4+209&gt;$B$4,"",$A$4+209)</f>
        <v>46232</v>
      </c>
      <c r="N21003">
        <f>IF(M21003="","",'Master Barang'!A97)</f>
        <v>0</v>
      </c>
      <c r="O21003">
        <f>IF(N21003="","",'Master Barang'!B97)</f>
        <v>0</v>
      </c>
      <c r="P21003">
        <f>IF(OR(M21003="",N21003=""),"",SUMIFS('Barang Keluar'!$E:$E,'Barang Keluar'!$A:$A,M21003,'Barang Keluar'!$C:$C,N21003))</f>
        <v>0</v>
      </c>
    </row>
    <row r="21004" spans="13:16">
      <c r="M21004" s="49">
        <f>IF($A$4+209&gt;$B$4,"",$A$4+209)</f>
        <v>46232</v>
      </c>
      <c r="N21004">
        <f>IF(M21004="","",'Master Barang'!A98)</f>
        <v>0</v>
      </c>
      <c r="O21004">
        <f>IF(N21004="","",'Master Barang'!B98)</f>
        <v>0</v>
      </c>
      <c r="P21004">
        <f>IF(OR(M21004="",N21004=""),"",SUMIFS('Barang Keluar'!$E:$E,'Barang Keluar'!$A:$A,M21004,'Barang Keluar'!$C:$C,N21004))</f>
        <v>0</v>
      </c>
    </row>
    <row r="21005" spans="13:16">
      <c r="M21005" s="49">
        <f>IF($A$4+209&gt;$B$4,"",$A$4+209)</f>
        <v>46232</v>
      </c>
      <c r="N21005">
        <f>IF(M21005="","",'Master Barang'!A99)</f>
        <v>0</v>
      </c>
      <c r="O21005">
        <f>IF(N21005="","",'Master Barang'!B99)</f>
        <v>0</v>
      </c>
      <c r="P21005">
        <f>IF(OR(M21005="",N21005=""),"",SUMIFS('Barang Keluar'!$E:$E,'Barang Keluar'!$A:$A,M21005,'Barang Keluar'!$C:$C,N21005))</f>
        <v>0</v>
      </c>
    </row>
    <row r="21006" spans="13:16">
      <c r="M21006" s="49">
        <f>IF($A$4+209&gt;$B$4,"",$A$4+209)</f>
        <v>46232</v>
      </c>
      <c r="N21006">
        <f>IF(M21006="","",'Master Barang'!A100)</f>
        <v>0</v>
      </c>
      <c r="O21006">
        <f>IF(N21006="","",'Master Barang'!B100)</f>
        <v>0</v>
      </c>
      <c r="P21006">
        <f>IF(OR(M21006="",N21006=""),"",SUMIFS('Barang Keluar'!$E:$E,'Barang Keluar'!$A:$A,M21006,'Barang Keluar'!$C:$C,N21006))</f>
        <v>0</v>
      </c>
    </row>
    <row r="21007" spans="13:16">
      <c r="M21007" s="49">
        <f>IF($A$4+209&gt;$B$4,"",$A$4+209)</f>
        <v>46232</v>
      </c>
      <c r="N21007">
        <f>IF(M21007="","",'Master Barang'!A101)</f>
        <v>0</v>
      </c>
      <c r="O21007">
        <f>IF(N21007="","",'Master Barang'!B101)</f>
        <v>0</v>
      </c>
      <c r="P21007">
        <f>IF(OR(M21007="",N21007=""),"",SUMIFS('Barang Keluar'!$E:$E,'Barang Keluar'!$A:$A,M21007,'Barang Keluar'!$C:$C,N21007))</f>
        <v>0</v>
      </c>
    </row>
    <row r="21008" spans="13:16">
      <c r="M21008" s="49">
        <f>IF($A$4+210&gt;$B$4,"",$A$4+210)</f>
        <v>46233</v>
      </c>
      <c r="N21008" t="str">
        <f>IF(M21008="","",'Master Barang'!A2)</f>
        <v>PRL-001</v>
      </c>
      <c r="O21008" t="str">
        <f>IF(N21008="","",'Master Barang'!B2)</f>
        <v>natura desinfectant food grade 5l</v>
      </c>
      <c r="P21008">
        <f>IF(OR(M21008="",N21008=""),"",SUMIFS('Barang Keluar'!$E:$E,'Barang Keluar'!$A:$A,M21008,'Barang Keluar'!$C:$C,N21008))</f>
        <v>0</v>
      </c>
    </row>
    <row r="21009" spans="13:16">
      <c r="M21009" s="49">
        <f>IF($A$4+210&gt;$B$4,"",$A$4+210)</f>
        <v>46233</v>
      </c>
      <c r="N21009" t="str">
        <f>IF(M21009="","",'Master Barang'!A3)</f>
        <v>PRL-002</v>
      </c>
      <c r="O21009" t="str">
        <f>IF(N21009="","",'Master Barang'!B3)</f>
        <v>sunlight cairan pencuci piring 5l</v>
      </c>
      <c r="P21009">
        <f>IF(OR(M21009="",N21009=""),"",SUMIFS('Barang Keluar'!$E:$E,'Barang Keluar'!$A:$A,M21009,'Barang Keluar'!$C:$C,N21009))</f>
        <v>0</v>
      </c>
    </row>
    <row r="21010" spans="13:16">
      <c r="M21010" s="49">
        <f>IF($A$4+210&gt;$B$4,"",$A$4+210)</f>
        <v>46233</v>
      </c>
      <c r="N21010" t="str">
        <f>IF(M21010="","",'Master Barang'!A4)</f>
        <v>PRL-003</v>
      </c>
      <c r="O21010" t="str">
        <f>IF(N21010="","",'Master Barang'!B4)</f>
        <v>oixs cleaner 1l</v>
      </c>
      <c r="P21010">
        <f>IF(OR(M21010="",N21010=""),"",SUMIFS('Barang Keluar'!$E:$E,'Barang Keluar'!$A:$A,M21010,'Barang Keluar'!$C:$C,N21010))</f>
        <v>0</v>
      </c>
    </row>
    <row r="21011" spans="13:16">
      <c r="M21011" s="49">
        <f>IF($A$4+210&gt;$B$4,"",$A$4+210)</f>
        <v>46233</v>
      </c>
      <c r="N21011" t="str">
        <f>IF(M21011="","",'Master Barang'!A5)</f>
        <v>PRL-004</v>
      </c>
      <c r="O21011" t="str">
        <f>IF(N21011="","",'Master Barang'!B5)</f>
        <v>be clean tissue serbaguna</v>
      </c>
      <c r="P21011">
        <f>IF(OR(M21011="",N21011=""),"",SUMIFS('Barang Keluar'!$E:$E,'Barang Keluar'!$A:$A,M21011,'Barang Keluar'!$C:$C,N21011))</f>
        <v>0</v>
      </c>
    </row>
    <row r="21012" spans="13:16">
      <c r="M21012" s="49">
        <f>IF($A$4+210&gt;$B$4,"",$A$4+210)</f>
        <v>46233</v>
      </c>
      <c r="N21012" t="str">
        <f>IF(M21012="","",'Master Barang'!A6)</f>
        <v>PRL-005</v>
      </c>
      <c r="O21012" t="str">
        <f>IF(N21012="","",'Master Barang'!B6)</f>
        <v>spons cuci hijau</v>
      </c>
      <c r="P21012">
        <f>IF(OR(M21012="",N21012=""),"",SUMIFS('Barang Keluar'!$E:$E,'Barang Keluar'!$A:$A,M21012,'Barang Keluar'!$C:$C,N21012))</f>
        <v>0</v>
      </c>
    </row>
    <row r="21013" spans="13:16">
      <c r="M21013" s="49">
        <f>IF($A$4+210&gt;$B$4,"",$A$4+210)</f>
        <v>46233</v>
      </c>
      <c r="N21013" t="str">
        <f>IF(M21013="","",'Master Barang'!A7)</f>
        <v>PRL-006</v>
      </c>
      <c r="O21013" t="str">
        <f>IF(N21013="","",'Master Barang'!B7)</f>
        <v>sabut cuci stainless</v>
      </c>
      <c r="P21013">
        <f>IF(OR(M21013="",N21013=""),"",SUMIFS('Barang Keluar'!$E:$E,'Barang Keluar'!$A:$A,M21013,'Barang Keluar'!$C:$C,N21013))</f>
        <v>0</v>
      </c>
    </row>
    <row r="21014" spans="13:16">
      <c r="M21014" s="49">
        <f>IF($A$4+210&gt;$B$4,"",$A$4+210)</f>
        <v>46233</v>
      </c>
      <c r="N21014" t="str">
        <f>IF(M21014="","",'Master Barang'!A8)</f>
        <v>PRL-007</v>
      </c>
      <c r="O21014" t="str">
        <f>IF(N21014="","",'Master Barang'!B8)</f>
        <v>plastik kresek besar merah 50pc</v>
      </c>
      <c r="P21014">
        <f>IF(OR(M21014="",N21014=""),"",SUMIFS('Barang Keluar'!$E:$E,'Barang Keluar'!$A:$A,M21014,'Barang Keluar'!$C:$C,N21014))</f>
        <v>0</v>
      </c>
    </row>
    <row r="21015" spans="13:16">
      <c r="M21015" s="49">
        <f>IF($A$4+210&gt;$B$4,"",$A$4+210)</f>
        <v>46233</v>
      </c>
      <c r="N21015" t="str">
        <f>IF(M21015="","",'Master Barang'!A9)</f>
        <v>PRL-008</v>
      </c>
      <c r="O21015" t="str">
        <f>IF(N21015="","",'Master Barang'!B9)</f>
        <v>lap besar</v>
      </c>
      <c r="P21015">
        <f>IF(OR(M21015="",N21015=""),"",SUMIFS('Barang Keluar'!$E:$E,'Barang Keluar'!$A:$A,M21015,'Barang Keluar'!$C:$C,N21015))</f>
        <v>0</v>
      </c>
    </row>
    <row r="21016" spans="13:16">
      <c r="M21016" s="49">
        <f>IF($A$4+210&gt;$B$4,"",$A$4+210)</f>
        <v>46233</v>
      </c>
      <c r="N21016" t="str">
        <f>IF(M21016="","",'Master Barang'!A10)</f>
        <v>PRL-009</v>
      </c>
      <c r="O21016" t="str">
        <f>IF(N21016="","",'Master Barang'!B10)</f>
        <v>lap microfiber</v>
      </c>
      <c r="P21016">
        <f>IF(OR(M21016="",N21016=""),"",SUMIFS('Barang Keluar'!$E:$E,'Barang Keluar'!$A:$A,M21016,'Barang Keluar'!$C:$C,N21016))</f>
        <v>0</v>
      </c>
    </row>
    <row r="21017" spans="13:16">
      <c r="M21017" s="49">
        <f>IF($A$4+210&gt;$B$4,"",$A$4+210)</f>
        <v>46233</v>
      </c>
      <c r="N21017" t="str">
        <f>IF(M21017="","",'Master Barang'!A11)</f>
        <v>PRL-010</v>
      </c>
      <c r="O21017" t="str">
        <f>IF(N21017="","",'Master Barang'!B11)</f>
        <v>lap kecil</v>
      </c>
      <c r="P21017">
        <f>IF(OR(M21017="",N21017=""),"",SUMIFS('Barang Keluar'!$E:$E,'Barang Keluar'!$A:$A,M21017,'Barang Keluar'!$C:$C,N21017))</f>
        <v>0</v>
      </c>
    </row>
    <row r="21018" spans="13:16">
      <c r="M21018" s="49">
        <f>IF($A$4+210&gt;$B$4,"",$A$4+210)</f>
        <v>46233</v>
      </c>
      <c r="N21018" t="str">
        <f>IF(M21018="","",'Master Barang'!A12)</f>
        <v>PRL-011</v>
      </c>
      <c r="O21018" t="str">
        <f>IF(N21018="","",'Master Barang'!B12)</f>
        <v>kanebo kecil</v>
      </c>
      <c r="P21018">
        <f>IF(OR(M21018="",N21018=""),"",SUMIFS('Barang Keluar'!$E:$E,'Barang Keluar'!$A:$A,M21018,'Barang Keluar'!$C:$C,N21018))</f>
        <v>0</v>
      </c>
    </row>
    <row r="21019" spans="13:16">
      <c r="M21019" s="49">
        <f>IF($A$4+210&gt;$B$4,"",$A$4+210)</f>
        <v>46233</v>
      </c>
      <c r="N21019" t="str">
        <f>IF(M21019="","",'Master Barang'!A13)</f>
        <v>PRL-012</v>
      </c>
      <c r="O21019" t="str">
        <f>IF(N21019="","",'Master Barang'!B13)</f>
        <v>plastik 1/4kg joyoboyo 100 lembar</v>
      </c>
      <c r="P21019">
        <f>IF(OR(M21019="",N21019=""),"",SUMIFS('Barang Keluar'!$E:$E,'Barang Keluar'!$A:$A,M21019,'Barang Keluar'!$C:$C,N21019))</f>
        <v>0</v>
      </c>
    </row>
    <row r="21020" spans="13:16">
      <c r="M21020" s="49">
        <f>IF($A$4+210&gt;$B$4,"",$A$4+210)</f>
        <v>46233</v>
      </c>
      <c r="N21020" t="str">
        <f>IF(M21020="","",'Master Barang'!A14)</f>
        <v>PRL-013</v>
      </c>
      <c r="O21020" t="str">
        <f>IF(N21020="","",'Master Barang'!B14)</f>
        <v>sarung tangan plastik kaka 100 pcs</v>
      </c>
      <c r="P21020">
        <f>IF(OR(M21020="",N21020=""),"",SUMIFS('Barang Keluar'!$E:$E,'Barang Keluar'!$A:$A,M21020,'Barang Keluar'!$C:$C,N21020))</f>
        <v>0</v>
      </c>
    </row>
    <row r="21021" spans="13:16">
      <c r="M21021" s="49">
        <f>IF($A$4+210&gt;$B$4,"",$A$4+210)</f>
        <v>46233</v>
      </c>
      <c r="N21021" t="str">
        <f>IF(M21021="","",'Master Barang'!A15)</f>
        <v>PRL-014</v>
      </c>
      <c r="O21021" t="str">
        <f>IF(N21021="","",'Master Barang'!B15)</f>
        <v>optima trashbag 80x100</v>
      </c>
      <c r="P21021">
        <f>IF(OR(M21021="",N21021=""),"",SUMIFS('Barang Keluar'!$E:$E,'Barang Keluar'!$A:$A,M21021,'Barang Keluar'!$C:$C,N21021))</f>
        <v>0</v>
      </c>
    </row>
    <row r="21022" spans="13:16">
      <c r="M21022" s="49">
        <f>IF($A$4+210&gt;$B$4,"",$A$4+210)</f>
        <v>46233</v>
      </c>
      <c r="N21022" t="str">
        <f>IF(M21022="","",'Master Barang'!A16)</f>
        <v>PRL-015</v>
      </c>
      <c r="O21022" t="str">
        <f>IF(N21022="","",'Master Barang'!B16)</f>
        <v>optima trashbag 60x100</v>
      </c>
      <c r="P21022">
        <f>IF(OR(M21022="",N21022=""),"",SUMIFS('Barang Keluar'!$E:$E,'Barang Keluar'!$A:$A,M21022,'Barang Keluar'!$C:$C,N21022))</f>
        <v>0</v>
      </c>
    </row>
    <row r="21023" spans="13:16">
      <c r="M21023" s="49">
        <f>IF($A$4+210&gt;$B$4,"",$A$4+210)</f>
        <v>46233</v>
      </c>
      <c r="N21023" t="str">
        <f>IF(M21023="","",'Master Barang'!A17)</f>
        <v>PRL-016</v>
      </c>
      <c r="O21023" t="str">
        <f>IF(N21023="","",'Master Barang'!B17)</f>
        <v>rajawali trashbag 30x40</v>
      </c>
      <c r="P21023">
        <f>IF(OR(M21023="",N21023=""),"",SUMIFS('Barang Keluar'!$E:$E,'Barang Keluar'!$A:$A,M21023,'Barang Keluar'!$C:$C,N21023))</f>
        <v>0</v>
      </c>
    </row>
    <row r="21024" spans="13:16">
      <c r="M21024" s="49">
        <f>IF($A$4+210&gt;$B$4,"",$A$4+210)</f>
        <v>46233</v>
      </c>
      <c r="N21024" t="str">
        <f>IF(M21024="","",'Master Barang'!A18)</f>
        <v>PRL-017</v>
      </c>
      <c r="O21024" t="str">
        <f>IF(N21024="","",'Master Barang'!B18)</f>
        <v>onemed masker biru 3 play 50 pcs</v>
      </c>
      <c r="P21024">
        <f>IF(OR(M21024="",N21024=""),"",SUMIFS('Barang Keluar'!$E:$E,'Barang Keluar'!$A:$A,M21024,'Barang Keluar'!$C:$C,N21024))</f>
        <v>0</v>
      </c>
    </row>
    <row r="21025" spans="13:16">
      <c r="M21025" s="49">
        <f>IF($A$4+210&gt;$B$4,"",$A$4+210)</f>
        <v>46233</v>
      </c>
      <c r="N21025" t="str">
        <f>IF(M21025="","",'Master Barang'!A19)</f>
        <v>PRL-018</v>
      </c>
      <c r="O21025" t="str">
        <f>IF(N21025="","",'Master Barang'!B19)</f>
        <v>onemed masker biru 3 play hijab 50 pcs</v>
      </c>
      <c r="P21025">
        <f>IF(OR(M21025="",N21025=""),"",SUMIFS('Barang Keluar'!$E:$E,'Barang Keluar'!$A:$A,M21025,'Barang Keluar'!$C:$C,N21025))</f>
        <v>0</v>
      </c>
    </row>
    <row r="21026" spans="13:16">
      <c r="M21026" s="49">
        <f>IF($A$4+210&gt;$B$4,"",$A$4+210)</f>
        <v>46233</v>
      </c>
      <c r="N21026" t="str">
        <f>IF(M21026="","",'Master Barang'!A20)</f>
        <v>PRL-019</v>
      </c>
      <c r="O21026" t="str">
        <f>IF(N21026="","",'Master Barang'!B20)</f>
        <v>neo health masker biru 3 play 50 pcs</v>
      </c>
      <c r="P21026">
        <f>IF(OR(M21026="",N21026=""),"",SUMIFS('Barang Keluar'!$E:$E,'Barang Keluar'!$A:$A,M21026,'Barang Keluar'!$C:$C,N21026))</f>
        <v>0</v>
      </c>
    </row>
    <row r="21027" spans="13:16">
      <c r="M21027" s="49">
        <f>IF($A$4+210&gt;$B$4,"",$A$4+210)</f>
        <v>46233</v>
      </c>
      <c r="N21027" t="str">
        <f>IF(M21027="","",'Master Barang'!A21)</f>
        <v>PRL-020</v>
      </c>
      <c r="O21027" t="str">
        <f>IF(N21027="","",'Master Barang'!B21)</f>
        <v>baymed masker hijau 3 play hijau 50 pcs</v>
      </c>
      <c r="P21027">
        <f>IF(OR(M21027="",N21027=""),"",SUMIFS('Barang Keluar'!$E:$E,'Barang Keluar'!$A:$A,M21027,'Barang Keluar'!$C:$C,N21027))</f>
        <v>0</v>
      </c>
    </row>
    <row r="21028" spans="13:16">
      <c r="M21028" s="49">
        <f>IF($A$4+210&gt;$B$4,"",$A$4+210)</f>
        <v>46233</v>
      </c>
      <c r="N21028" t="str">
        <f>IF(M21028="","",'Master Barang'!A22)</f>
        <v>PRL-021</v>
      </c>
      <c r="O21028" t="str">
        <f>IF(N21028="","",'Master Barang'!B22)</f>
        <v>altamed nurse cap penutup kepala 100 pcs</v>
      </c>
      <c r="P21028">
        <f>IF(OR(M21028="",N21028=""),"",SUMIFS('Barang Keluar'!$E:$E,'Barang Keluar'!$A:$A,M21028,'Barang Keluar'!$C:$C,N21028))</f>
        <v>0</v>
      </c>
    </row>
    <row r="21029" spans="13:16">
      <c r="M21029" s="49">
        <f>IF($A$4+210&gt;$B$4,"",$A$4+210)</f>
        <v>46233</v>
      </c>
      <c r="N21029" t="str">
        <f>IF(M21029="","",'Master Barang'!A23)</f>
        <v>PRL-022</v>
      </c>
      <c r="O21029" t="str">
        <f>IF(N21029="","",'Master Barang'!B23)</f>
        <v>sabun cuci tangan</v>
      </c>
      <c r="P21029">
        <f>IF(OR(M21029="",N21029=""),"",SUMIFS('Barang Keluar'!$E:$E,'Barang Keluar'!$A:$A,M21029,'Barang Keluar'!$C:$C,N21029))</f>
        <v>0</v>
      </c>
    </row>
    <row r="21030" spans="13:16">
      <c r="M21030" s="49">
        <f>IF($A$4+210&gt;$B$4,"",$A$4+210)</f>
        <v>46233</v>
      </c>
      <c r="N21030" t="str">
        <f>IF(M21030="","",'Master Barang'!A24)</f>
        <v>PRL-023</v>
      </c>
      <c r="O21030" t="str">
        <f>IF(N21030="","",'Master Barang'!B24)</f>
        <v>gayung kecil</v>
      </c>
      <c r="P21030">
        <f>IF(OR(M21030="",N21030=""),"",SUMIFS('Barang Keluar'!$E:$E,'Barang Keluar'!$A:$A,M21030,'Barang Keluar'!$C:$C,N21030))</f>
        <v>0</v>
      </c>
    </row>
    <row r="21031" spans="13:16">
      <c r="M21031" s="49">
        <f>IF($A$4+210&gt;$B$4,"",$A$4+210)</f>
        <v>46233</v>
      </c>
      <c r="N21031" t="str">
        <f>IF(M21031="","",'Master Barang'!A25)</f>
        <v>PRL-024</v>
      </c>
      <c r="O21031" t="str">
        <f>IF(N21031="","",'Master Barang'!B25)</f>
        <v>cikrak kecil</v>
      </c>
      <c r="P21031">
        <f>IF(OR(M21031="",N21031=""),"",SUMIFS('Barang Keluar'!$E:$E,'Barang Keluar'!$A:$A,M21031,'Barang Keluar'!$C:$C,N21031))</f>
        <v>0</v>
      </c>
    </row>
    <row r="21032" spans="13:16">
      <c r="M21032" s="49">
        <f>IF($A$4+210&gt;$B$4,"",$A$4+210)</f>
        <v>46233</v>
      </c>
      <c r="N21032" t="str">
        <f>IF(M21032="","",'Master Barang'!A26)</f>
        <v>PRL-025</v>
      </c>
      <c r="O21032" t="str">
        <f>IF(N21032="","",'Master Barang'!B26)</f>
        <v>petromax plastik kecil 12x24 100 lembar</v>
      </c>
      <c r="P21032">
        <f>IF(OR(M21032="",N21032=""),"",SUMIFS('Barang Keluar'!$E:$E,'Barang Keluar'!$A:$A,M21032,'Barang Keluar'!$C:$C,N21032))</f>
        <v>0</v>
      </c>
    </row>
    <row r="21033" spans="13:16">
      <c r="M21033" s="49">
        <f>IF($A$4+210&gt;$B$4,"",$A$4+210)</f>
        <v>46233</v>
      </c>
      <c r="N21033" t="str">
        <f>IF(M21033="","",'Master Barang'!A27)</f>
        <v>PRL-026</v>
      </c>
      <c r="O21033" t="str">
        <f>IF(N21033="","",'Master Barang'!B27)</f>
        <v>lancar kresek kecil bening </v>
      </c>
      <c r="P21033">
        <f>IF(OR(M21033="",N21033=""),"",SUMIFS('Barang Keluar'!$E:$E,'Barang Keluar'!$A:$A,M21033,'Barang Keluar'!$C:$C,N21033))</f>
        <v>0</v>
      </c>
    </row>
    <row r="21034" spans="13:16">
      <c r="M21034" s="49">
        <f>IF($A$4+210&gt;$B$4,"",$A$4+210)</f>
        <v>46233</v>
      </c>
      <c r="N21034" t="str">
        <f>IF(M21034="","",'Master Barang'!A28)</f>
        <v>PRL-027</v>
      </c>
      <c r="O21034" t="str">
        <f>IF(N21034="","",'Master Barang'!B28)</f>
        <v>kresek klin warna warni kecil</v>
      </c>
      <c r="P21034">
        <f>IF(OR(M21034="",N21034=""),"",SUMIFS('Barang Keluar'!$E:$E,'Barang Keluar'!$A:$A,M21034,'Barang Keluar'!$C:$C,N21034))</f>
        <v>0</v>
      </c>
    </row>
    <row r="21035" spans="13:16">
      <c r="M21035" s="49">
        <f>IF($A$4+210&gt;$B$4,"",$A$4+210)</f>
        <v>46233</v>
      </c>
      <c r="N21035" t="str">
        <f>IF(M21035="","",'Master Barang'!A29)</f>
        <v>PRL-028</v>
      </c>
      <c r="O21035" t="str">
        <f>IF(N21035="","",'Master Barang'!B29)</f>
        <v>ctik plastik 7x10 100 pcs</v>
      </c>
      <c r="P21035">
        <f>IF(OR(M21035="",N21035=""),"",SUMIFS('Barang Keluar'!$E:$E,'Barang Keluar'!$A:$A,M21035,'Barang Keluar'!$C:$C,N21035))</f>
        <v>0</v>
      </c>
    </row>
    <row r="21036" spans="13:16">
      <c r="M21036" s="49">
        <f>IF($A$4+210&gt;$B$4,"",$A$4+210)</f>
        <v>46233</v>
      </c>
      <c r="N21036" t="str">
        <f>IF(M21036="","",'Master Barang'!A30)</f>
        <v>PRL-029</v>
      </c>
      <c r="O21036" t="str">
        <f>IF(N21036="","",'Master Barang'!B30)</f>
        <v>ctik plastik 6x10 100 pcs</v>
      </c>
      <c r="P21036">
        <f>IF(OR(M21036="",N21036=""),"",SUMIFS('Barang Keluar'!$E:$E,'Barang Keluar'!$A:$A,M21036,'Barang Keluar'!$C:$C,N21036))</f>
        <v>0</v>
      </c>
    </row>
    <row r="21037" spans="13:16">
      <c r="M21037" s="49">
        <f>IF($A$4+210&gt;$B$4,"",$A$4+210)</f>
        <v>46233</v>
      </c>
      <c r="N21037" t="str">
        <f>IF(M21037="","",'Master Barang'!A31)</f>
        <v>PRL-030</v>
      </c>
      <c r="O21037" t="str">
        <f>IF(N21037="","",'Master Barang'!B31)</f>
        <v>klip plastik 25x16 100 pcs</v>
      </c>
      <c r="P21037">
        <f>IF(OR(M21037="",N21037=""),"",SUMIFS('Barang Keluar'!$E:$E,'Barang Keluar'!$A:$A,M21037,'Barang Keluar'!$C:$C,N21037))</f>
        <v>0</v>
      </c>
    </row>
    <row r="21038" spans="13:16">
      <c r="M21038" s="49">
        <f>IF($A$4+210&gt;$B$4,"",$A$4+210)</f>
        <v>46233</v>
      </c>
      <c r="N21038" t="str">
        <f>IF(M21038="","",'Master Barang'!A32)</f>
        <v>PRL-031</v>
      </c>
      <c r="O21038" t="str">
        <f>IF(N21038="","",'Master Barang'!B32)</f>
        <v>tempat saus 20 ml</v>
      </c>
      <c r="P21038">
        <f>IF(OR(M21038="",N21038=""),"",SUMIFS('Barang Keluar'!$E:$E,'Barang Keluar'!$A:$A,M21038,'Barang Keluar'!$C:$C,N21038))</f>
        <v>0</v>
      </c>
    </row>
    <row r="21039" spans="13:16">
      <c r="M21039" s="49">
        <f>IF($A$4+210&gt;$B$4,"",$A$4+210)</f>
        <v>46233</v>
      </c>
      <c r="N21039" t="str">
        <f>IF(M21039="","",'Master Barang'!A33)</f>
        <v>PRL-032</v>
      </c>
      <c r="O21039" t="str">
        <f>IF(N21039="","",'Master Barang'!B33)</f>
        <v>plastik packaging ag box uk sedang</v>
      </c>
      <c r="P21039">
        <f>IF(OR(M21039="",N21039=""),"",SUMIFS('Barang Keluar'!$E:$E,'Barang Keluar'!$A:$A,M21039,'Barang Keluar'!$C:$C,N21039))</f>
        <v>0</v>
      </c>
    </row>
    <row r="21040" spans="13:16">
      <c r="M21040" s="49">
        <f>IF($A$4+210&gt;$B$4,"",$A$4+210)</f>
        <v>46233</v>
      </c>
      <c r="N21040" t="str">
        <f>IF(M21040="","",'Master Barang'!A34)</f>
        <v>PRL-033</v>
      </c>
      <c r="O21040">
        <f>IF(N21040="","",'Master Barang'!B34)</f>
        <v>0</v>
      </c>
      <c r="P21040">
        <f>IF(OR(M21040="",N21040=""),"",SUMIFS('Barang Keluar'!$E:$E,'Barang Keluar'!$A:$A,M21040,'Barang Keluar'!$C:$C,N21040))</f>
        <v>0</v>
      </c>
    </row>
    <row r="21041" spans="13:16">
      <c r="M21041" s="49">
        <f>IF($A$4+210&gt;$B$4,"",$A$4+210)</f>
        <v>46233</v>
      </c>
      <c r="N21041">
        <f>IF(M21041="","",'Master Barang'!A35)</f>
        <v>0</v>
      </c>
      <c r="O21041">
        <f>IF(N21041="","",'Master Barang'!B35)</f>
        <v>0</v>
      </c>
      <c r="P21041">
        <f>IF(OR(M21041="",N21041=""),"",SUMIFS('Barang Keluar'!$E:$E,'Barang Keluar'!$A:$A,M21041,'Barang Keluar'!$C:$C,N21041))</f>
        <v>0</v>
      </c>
    </row>
    <row r="21042" spans="13:16">
      <c r="M21042" s="49">
        <f>IF($A$4+210&gt;$B$4,"",$A$4+210)</f>
        <v>46233</v>
      </c>
      <c r="N21042">
        <f>IF(M21042="","",'Master Barang'!A36)</f>
        <v>0</v>
      </c>
      <c r="O21042">
        <f>IF(N21042="","",'Master Barang'!B36)</f>
        <v>0</v>
      </c>
      <c r="P21042">
        <f>IF(OR(M21042="",N21042=""),"",SUMIFS('Barang Keluar'!$E:$E,'Barang Keluar'!$A:$A,M21042,'Barang Keluar'!$C:$C,N21042))</f>
        <v>0</v>
      </c>
    </row>
    <row r="21043" spans="13:16">
      <c r="M21043" s="49">
        <f>IF($A$4+210&gt;$B$4,"",$A$4+210)</f>
        <v>46233</v>
      </c>
      <c r="N21043">
        <f>IF(M21043="","",'Master Barang'!A37)</f>
        <v>0</v>
      </c>
      <c r="O21043">
        <f>IF(N21043="","",'Master Barang'!B37)</f>
        <v>0</v>
      </c>
      <c r="P21043">
        <f>IF(OR(M21043="",N21043=""),"",SUMIFS('Barang Keluar'!$E:$E,'Barang Keluar'!$A:$A,M21043,'Barang Keluar'!$C:$C,N21043))</f>
        <v>0</v>
      </c>
    </row>
    <row r="21044" spans="13:16">
      <c r="M21044" s="49">
        <f>IF($A$4+210&gt;$B$4,"",$A$4+210)</f>
        <v>46233</v>
      </c>
      <c r="N21044">
        <f>IF(M21044="","",'Master Barang'!A38)</f>
        <v>0</v>
      </c>
      <c r="O21044">
        <f>IF(N21044="","",'Master Barang'!B38)</f>
        <v>0</v>
      </c>
      <c r="P21044">
        <f>IF(OR(M21044="",N21044=""),"",SUMIFS('Barang Keluar'!$E:$E,'Barang Keluar'!$A:$A,M21044,'Barang Keluar'!$C:$C,N21044))</f>
        <v>0</v>
      </c>
    </row>
    <row r="21045" spans="13:16">
      <c r="M21045" s="49">
        <f>IF($A$4+210&gt;$B$4,"",$A$4+210)</f>
        <v>46233</v>
      </c>
      <c r="N21045">
        <f>IF(M21045="","",'Master Barang'!A39)</f>
        <v>0</v>
      </c>
      <c r="O21045">
        <f>IF(N21045="","",'Master Barang'!B39)</f>
        <v>0</v>
      </c>
      <c r="P21045">
        <f>IF(OR(M21045="",N21045=""),"",SUMIFS('Barang Keluar'!$E:$E,'Barang Keluar'!$A:$A,M21045,'Barang Keluar'!$C:$C,N21045))</f>
        <v>0</v>
      </c>
    </row>
    <row r="21046" spans="13:16">
      <c r="M21046" s="49">
        <f>IF($A$4+210&gt;$B$4,"",$A$4+210)</f>
        <v>46233</v>
      </c>
      <c r="N21046">
        <f>IF(M21046="","",'Master Barang'!A40)</f>
        <v>0</v>
      </c>
      <c r="O21046">
        <f>IF(N21046="","",'Master Barang'!B40)</f>
        <v>0</v>
      </c>
      <c r="P21046">
        <f>IF(OR(M21046="",N21046=""),"",SUMIFS('Barang Keluar'!$E:$E,'Barang Keluar'!$A:$A,M21046,'Barang Keluar'!$C:$C,N21046))</f>
        <v>0</v>
      </c>
    </row>
    <row r="21047" spans="13:16">
      <c r="M21047" s="49">
        <f>IF($A$4+210&gt;$B$4,"",$A$4+210)</f>
        <v>46233</v>
      </c>
      <c r="N21047">
        <f>IF(M21047="","",'Master Barang'!A41)</f>
        <v>0</v>
      </c>
      <c r="O21047">
        <f>IF(N21047="","",'Master Barang'!B41)</f>
        <v>0</v>
      </c>
      <c r="P21047">
        <f>IF(OR(M21047="",N21047=""),"",SUMIFS('Barang Keluar'!$E:$E,'Barang Keluar'!$A:$A,M21047,'Barang Keluar'!$C:$C,N21047))</f>
        <v>0</v>
      </c>
    </row>
    <row r="21048" spans="13:16">
      <c r="M21048" s="49">
        <f>IF($A$4+210&gt;$B$4,"",$A$4+210)</f>
        <v>46233</v>
      </c>
      <c r="N21048">
        <f>IF(M21048="","",'Master Barang'!A42)</f>
        <v>0</v>
      </c>
      <c r="O21048">
        <f>IF(N21048="","",'Master Barang'!B42)</f>
        <v>0</v>
      </c>
      <c r="P21048">
        <f>IF(OR(M21048="",N21048=""),"",SUMIFS('Barang Keluar'!$E:$E,'Barang Keluar'!$A:$A,M21048,'Barang Keluar'!$C:$C,N21048))</f>
        <v>0</v>
      </c>
    </row>
    <row r="21049" spans="13:16">
      <c r="M21049" s="49">
        <f>IF($A$4+210&gt;$B$4,"",$A$4+210)</f>
        <v>46233</v>
      </c>
      <c r="N21049">
        <f>IF(M21049="","",'Master Barang'!A43)</f>
        <v>0</v>
      </c>
      <c r="O21049">
        <f>IF(N21049="","",'Master Barang'!B43)</f>
        <v>0</v>
      </c>
      <c r="P21049">
        <f>IF(OR(M21049="",N21049=""),"",SUMIFS('Barang Keluar'!$E:$E,'Barang Keluar'!$A:$A,M21049,'Barang Keluar'!$C:$C,N21049))</f>
        <v>0</v>
      </c>
    </row>
    <row r="21050" spans="13:16">
      <c r="M21050" s="49">
        <f>IF($A$4+210&gt;$B$4,"",$A$4+210)</f>
        <v>46233</v>
      </c>
      <c r="N21050">
        <f>IF(M21050="","",'Master Barang'!A44)</f>
        <v>0</v>
      </c>
      <c r="O21050">
        <f>IF(N21050="","",'Master Barang'!B44)</f>
        <v>0</v>
      </c>
      <c r="P21050">
        <f>IF(OR(M21050="",N21050=""),"",SUMIFS('Barang Keluar'!$E:$E,'Barang Keluar'!$A:$A,M21050,'Barang Keluar'!$C:$C,N21050))</f>
        <v>0</v>
      </c>
    </row>
    <row r="21051" spans="13:16">
      <c r="M21051" s="49">
        <f>IF($A$4+210&gt;$B$4,"",$A$4+210)</f>
        <v>46233</v>
      </c>
      <c r="N21051">
        <f>IF(M21051="","",'Master Barang'!A45)</f>
        <v>0</v>
      </c>
      <c r="O21051">
        <f>IF(N21051="","",'Master Barang'!B45)</f>
        <v>0</v>
      </c>
      <c r="P21051">
        <f>IF(OR(M21051="",N21051=""),"",SUMIFS('Barang Keluar'!$E:$E,'Barang Keluar'!$A:$A,M21051,'Barang Keluar'!$C:$C,N21051))</f>
        <v>0</v>
      </c>
    </row>
    <row r="21052" spans="13:16">
      <c r="M21052" s="49">
        <f>IF($A$4+210&gt;$B$4,"",$A$4+210)</f>
        <v>46233</v>
      </c>
      <c r="N21052">
        <f>IF(M21052="","",'Master Barang'!A46)</f>
        <v>0</v>
      </c>
      <c r="O21052">
        <f>IF(N21052="","",'Master Barang'!B46)</f>
        <v>0</v>
      </c>
      <c r="P21052">
        <f>IF(OR(M21052="",N21052=""),"",SUMIFS('Barang Keluar'!$E:$E,'Barang Keluar'!$A:$A,M21052,'Barang Keluar'!$C:$C,N21052))</f>
        <v>0</v>
      </c>
    </row>
    <row r="21053" spans="13:16">
      <c r="M21053" s="49">
        <f>IF($A$4+210&gt;$B$4,"",$A$4+210)</f>
        <v>46233</v>
      </c>
      <c r="N21053">
        <f>IF(M21053="","",'Master Barang'!A47)</f>
        <v>0</v>
      </c>
      <c r="O21053">
        <f>IF(N21053="","",'Master Barang'!B47)</f>
        <v>0</v>
      </c>
      <c r="P21053">
        <f>IF(OR(M21053="",N21053=""),"",SUMIFS('Barang Keluar'!$E:$E,'Barang Keluar'!$A:$A,M21053,'Barang Keluar'!$C:$C,N21053))</f>
        <v>0</v>
      </c>
    </row>
    <row r="21054" spans="13:16">
      <c r="M21054" s="49">
        <f>IF($A$4+210&gt;$B$4,"",$A$4+210)</f>
        <v>46233</v>
      </c>
      <c r="N21054">
        <f>IF(M21054="","",'Master Barang'!A48)</f>
        <v>0</v>
      </c>
      <c r="O21054">
        <f>IF(N21054="","",'Master Barang'!B48)</f>
        <v>0</v>
      </c>
      <c r="P21054">
        <f>IF(OR(M21054="",N21054=""),"",SUMIFS('Barang Keluar'!$E:$E,'Barang Keluar'!$A:$A,M21054,'Barang Keluar'!$C:$C,N21054))</f>
        <v>0</v>
      </c>
    </row>
    <row r="21055" spans="13:16">
      <c r="M21055" s="49">
        <f>IF($A$4+210&gt;$B$4,"",$A$4+210)</f>
        <v>46233</v>
      </c>
      <c r="N21055">
        <f>IF(M21055="","",'Master Barang'!A49)</f>
        <v>0</v>
      </c>
      <c r="O21055">
        <f>IF(N21055="","",'Master Barang'!B49)</f>
        <v>0</v>
      </c>
      <c r="P21055">
        <f>IF(OR(M21055="",N21055=""),"",SUMIFS('Barang Keluar'!$E:$E,'Barang Keluar'!$A:$A,M21055,'Barang Keluar'!$C:$C,N21055))</f>
        <v>0</v>
      </c>
    </row>
    <row r="21056" spans="13:16">
      <c r="M21056" s="49">
        <f>IF($A$4+210&gt;$B$4,"",$A$4+210)</f>
        <v>46233</v>
      </c>
      <c r="N21056">
        <f>IF(M21056="","",'Master Barang'!A50)</f>
        <v>0</v>
      </c>
      <c r="O21056">
        <f>IF(N21056="","",'Master Barang'!B50)</f>
        <v>0</v>
      </c>
      <c r="P21056">
        <f>IF(OR(M21056="",N21056=""),"",SUMIFS('Barang Keluar'!$E:$E,'Barang Keluar'!$A:$A,M21056,'Barang Keluar'!$C:$C,N21056))</f>
        <v>0</v>
      </c>
    </row>
    <row r="21057" spans="13:16">
      <c r="M21057" s="49">
        <f>IF($A$4+210&gt;$B$4,"",$A$4+210)</f>
        <v>46233</v>
      </c>
      <c r="N21057">
        <f>IF(M21057="","",'Master Barang'!A51)</f>
        <v>0</v>
      </c>
      <c r="O21057">
        <f>IF(N21057="","",'Master Barang'!B51)</f>
        <v>0</v>
      </c>
      <c r="P21057">
        <f>IF(OR(M21057="",N21057=""),"",SUMIFS('Barang Keluar'!$E:$E,'Barang Keluar'!$A:$A,M21057,'Barang Keluar'!$C:$C,N21057))</f>
        <v>0</v>
      </c>
    </row>
    <row r="21058" spans="13:16">
      <c r="M21058" s="49">
        <f>IF($A$4+210&gt;$B$4,"",$A$4+210)</f>
        <v>46233</v>
      </c>
      <c r="N21058">
        <f>IF(M21058="","",'Master Barang'!A52)</f>
        <v>0</v>
      </c>
      <c r="O21058">
        <f>IF(N21058="","",'Master Barang'!B52)</f>
        <v>0</v>
      </c>
      <c r="P21058">
        <f>IF(OR(M21058="",N21058=""),"",SUMIFS('Barang Keluar'!$E:$E,'Barang Keluar'!$A:$A,M21058,'Barang Keluar'!$C:$C,N21058))</f>
        <v>0</v>
      </c>
    </row>
    <row r="21059" spans="13:16">
      <c r="M21059" s="49">
        <f>IF($A$4+210&gt;$B$4,"",$A$4+210)</f>
        <v>46233</v>
      </c>
      <c r="N21059">
        <f>IF(M21059="","",'Master Barang'!A53)</f>
        <v>0</v>
      </c>
      <c r="O21059">
        <f>IF(N21059="","",'Master Barang'!B53)</f>
        <v>0</v>
      </c>
      <c r="P21059">
        <f>IF(OR(M21059="",N21059=""),"",SUMIFS('Barang Keluar'!$E:$E,'Barang Keluar'!$A:$A,M21059,'Barang Keluar'!$C:$C,N21059))</f>
        <v>0</v>
      </c>
    </row>
    <row r="21060" spans="13:16">
      <c r="M21060" s="49">
        <f>IF($A$4+210&gt;$B$4,"",$A$4+210)</f>
        <v>46233</v>
      </c>
      <c r="N21060">
        <f>IF(M21060="","",'Master Barang'!A54)</f>
        <v>0</v>
      </c>
      <c r="O21060">
        <f>IF(N21060="","",'Master Barang'!B54)</f>
        <v>0</v>
      </c>
      <c r="P21060">
        <f>IF(OR(M21060="",N21060=""),"",SUMIFS('Barang Keluar'!$E:$E,'Barang Keluar'!$A:$A,M21060,'Barang Keluar'!$C:$C,N21060))</f>
        <v>0</v>
      </c>
    </row>
    <row r="21061" spans="13:16">
      <c r="M21061" s="49">
        <f>IF($A$4+210&gt;$B$4,"",$A$4+210)</f>
        <v>46233</v>
      </c>
      <c r="N21061">
        <f>IF(M21061="","",'Master Barang'!A55)</f>
        <v>0</v>
      </c>
      <c r="O21061">
        <f>IF(N21061="","",'Master Barang'!B55)</f>
        <v>0</v>
      </c>
      <c r="P21061">
        <f>IF(OR(M21061="",N21061=""),"",SUMIFS('Barang Keluar'!$E:$E,'Barang Keluar'!$A:$A,M21061,'Barang Keluar'!$C:$C,N21061))</f>
        <v>0</v>
      </c>
    </row>
    <row r="21062" spans="13:16">
      <c r="M21062" s="49">
        <f>IF($A$4+210&gt;$B$4,"",$A$4+210)</f>
        <v>46233</v>
      </c>
      <c r="N21062">
        <f>IF(M21062="","",'Master Barang'!A56)</f>
        <v>0</v>
      </c>
      <c r="O21062">
        <f>IF(N21062="","",'Master Barang'!B56)</f>
        <v>0</v>
      </c>
      <c r="P21062">
        <f>IF(OR(M21062="",N21062=""),"",SUMIFS('Barang Keluar'!$E:$E,'Barang Keluar'!$A:$A,M21062,'Barang Keluar'!$C:$C,N21062))</f>
        <v>0</v>
      </c>
    </row>
    <row r="21063" spans="13:16">
      <c r="M21063" s="49">
        <f>IF($A$4+210&gt;$B$4,"",$A$4+210)</f>
        <v>46233</v>
      </c>
      <c r="N21063">
        <f>IF(M21063="","",'Master Barang'!A57)</f>
        <v>0</v>
      </c>
      <c r="O21063">
        <f>IF(N21063="","",'Master Barang'!B57)</f>
        <v>0</v>
      </c>
      <c r="P21063">
        <f>IF(OR(M21063="",N21063=""),"",SUMIFS('Barang Keluar'!$E:$E,'Barang Keluar'!$A:$A,M21063,'Barang Keluar'!$C:$C,N21063))</f>
        <v>0</v>
      </c>
    </row>
    <row r="21064" spans="13:16">
      <c r="M21064" s="49">
        <f>IF($A$4+210&gt;$B$4,"",$A$4+210)</f>
        <v>46233</v>
      </c>
      <c r="N21064">
        <f>IF(M21064="","",'Master Barang'!A58)</f>
        <v>0</v>
      </c>
      <c r="O21064">
        <f>IF(N21064="","",'Master Barang'!B58)</f>
        <v>0</v>
      </c>
      <c r="P21064">
        <f>IF(OR(M21064="",N21064=""),"",SUMIFS('Barang Keluar'!$E:$E,'Barang Keluar'!$A:$A,M21064,'Barang Keluar'!$C:$C,N21064))</f>
        <v>0</v>
      </c>
    </row>
    <row r="21065" spans="13:16">
      <c r="M21065" s="49">
        <f>IF($A$4+210&gt;$B$4,"",$A$4+210)</f>
        <v>46233</v>
      </c>
      <c r="N21065">
        <f>IF(M21065="","",'Master Barang'!A59)</f>
        <v>0</v>
      </c>
      <c r="O21065">
        <f>IF(N21065="","",'Master Barang'!B59)</f>
        <v>0</v>
      </c>
      <c r="P21065">
        <f>IF(OR(M21065="",N21065=""),"",SUMIFS('Barang Keluar'!$E:$E,'Barang Keluar'!$A:$A,M21065,'Barang Keluar'!$C:$C,N21065))</f>
        <v>0</v>
      </c>
    </row>
    <row r="21066" spans="13:16">
      <c r="M21066" s="49">
        <f>IF($A$4+210&gt;$B$4,"",$A$4+210)</f>
        <v>46233</v>
      </c>
      <c r="N21066">
        <f>IF(M21066="","",'Master Barang'!A60)</f>
        <v>0</v>
      </c>
      <c r="O21066">
        <f>IF(N21066="","",'Master Barang'!B60)</f>
        <v>0</v>
      </c>
      <c r="P21066">
        <f>IF(OR(M21066="",N21066=""),"",SUMIFS('Barang Keluar'!$E:$E,'Barang Keluar'!$A:$A,M21066,'Barang Keluar'!$C:$C,N21066))</f>
        <v>0</v>
      </c>
    </row>
    <row r="21067" spans="13:16">
      <c r="M21067" s="49">
        <f>IF($A$4+210&gt;$B$4,"",$A$4+210)</f>
        <v>46233</v>
      </c>
      <c r="N21067">
        <f>IF(M21067="","",'Master Barang'!A61)</f>
        <v>0</v>
      </c>
      <c r="O21067">
        <f>IF(N21067="","",'Master Barang'!B61)</f>
        <v>0</v>
      </c>
      <c r="P21067">
        <f>IF(OR(M21067="",N21067=""),"",SUMIFS('Barang Keluar'!$E:$E,'Barang Keluar'!$A:$A,M21067,'Barang Keluar'!$C:$C,N21067))</f>
        <v>0</v>
      </c>
    </row>
    <row r="21068" spans="13:16">
      <c r="M21068" s="49">
        <f>IF($A$4+210&gt;$B$4,"",$A$4+210)</f>
        <v>46233</v>
      </c>
      <c r="N21068">
        <f>IF(M21068="","",'Master Barang'!A62)</f>
        <v>0</v>
      </c>
      <c r="O21068">
        <f>IF(N21068="","",'Master Barang'!B62)</f>
        <v>0</v>
      </c>
      <c r="P21068">
        <f>IF(OR(M21068="",N21068=""),"",SUMIFS('Barang Keluar'!$E:$E,'Barang Keluar'!$A:$A,M21068,'Barang Keluar'!$C:$C,N21068))</f>
        <v>0</v>
      </c>
    </row>
    <row r="21069" spans="13:16">
      <c r="M21069" s="49">
        <f>IF($A$4+210&gt;$B$4,"",$A$4+210)</f>
        <v>46233</v>
      </c>
      <c r="N21069">
        <f>IF(M21069="","",'Master Barang'!A63)</f>
        <v>0</v>
      </c>
      <c r="O21069">
        <f>IF(N21069="","",'Master Barang'!B63)</f>
        <v>0</v>
      </c>
      <c r="P21069">
        <f>IF(OR(M21069="",N21069=""),"",SUMIFS('Barang Keluar'!$E:$E,'Barang Keluar'!$A:$A,M21069,'Barang Keluar'!$C:$C,N21069))</f>
        <v>0</v>
      </c>
    </row>
    <row r="21070" spans="13:16">
      <c r="M21070" s="49">
        <f>IF($A$4+210&gt;$B$4,"",$A$4+210)</f>
        <v>46233</v>
      </c>
      <c r="N21070">
        <f>IF(M21070="","",'Master Barang'!A64)</f>
        <v>0</v>
      </c>
      <c r="O21070">
        <f>IF(N21070="","",'Master Barang'!B64)</f>
        <v>0</v>
      </c>
      <c r="P21070">
        <f>IF(OR(M21070="",N21070=""),"",SUMIFS('Barang Keluar'!$E:$E,'Barang Keluar'!$A:$A,M21070,'Barang Keluar'!$C:$C,N21070))</f>
        <v>0</v>
      </c>
    </row>
    <row r="21071" spans="13:16">
      <c r="M21071" s="49">
        <f>IF($A$4+210&gt;$B$4,"",$A$4+210)</f>
        <v>46233</v>
      </c>
      <c r="N21071">
        <f>IF(M21071="","",'Master Barang'!A65)</f>
        <v>0</v>
      </c>
      <c r="O21071">
        <f>IF(N21071="","",'Master Barang'!B65)</f>
        <v>0</v>
      </c>
      <c r="P21071">
        <f>IF(OR(M21071="",N21071=""),"",SUMIFS('Barang Keluar'!$E:$E,'Barang Keluar'!$A:$A,M21071,'Barang Keluar'!$C:$C,N21071))</f>
        <v>0</v>
      </c>
    </row>
    <row r="21072" spans="13:16">
      <c r="M21072" s="49">
        <f>IF($A$4+210&gt;$B$4,"",$A$4+210)</f>
        <v>46233</v>
      </c>
      <c r="N21072">
        <f>IF(M21072="","",'Master Barang'!A66)</f>
        <v>0</v>
      </c>
      <c r="O21072">
        <f>IF(N21072="","",'Master Barang'!B66)</f>
        <v>0</v>
      </c>
      <c r="P21072">
        <f>IF(OR(M21072="",N21072=""),"",SUMIFS('Barang Keluar'!$E:$E,'Barang Keluar'!$A:$A,M21072,'Barang Keluar'!$C:$C,N21072))</f>
        <v>0</v>
      </c>
    </row>
    <row r="21073" spans="13:16">
      <c r="M21073" s="49">
        <f>IF($A$4+210&gt;$B$4,"",$A$4+210)</f>
        <v>46233</v>
      </c>
      <c r="N21073">
        <f>IF(M21073="","",'Master Barang'!A67)</f>
        <v>0</v>
      </c>
      <c r="O21073">
        <f>IF(N21073="","",'Master Barang'!B67)</f>
        <v>0</v>
      </c>
      <c r="P21073">
        <f>IF(OR(M21073="",N21073=""),"",SUMIFS('Barang Keluar'!$E:$E,'Barang Keluar'!$A:$A,M21073,'Barang Keluar'!$C:$C,N21073))</f>
        <v>0</v>
      </c>
    </row>
    <row r="21074" spans="13:16">
      <c r="M21074" s="49">
        <f>IF($A$4+210&gt;$B$4,"",$A$4+210)</f>
        <v>46233</v>
      </c>
      <c r="N21074">
        <f>IF(M21074="","",'Master Barang'!A68)</f>
        <v>0</v>
      </c>
      <c r="O21074">
        <f>IF(N21074="","",'Master Barang'!B68)</f>
        <v>0</v>
      </c>
      <c r="P21074">
        <f>IF(OR(M21074="",N21074=""),"",SUMIFS('Barang Keluar'!$E:$E,'Barang Keluar'!$A:$A,M21074,'Barang Keluar'!$C:$C,N21074))</f>
        <v>0</v>
      </c>
    </row>
    <row r="21075" spans="13:16">
      <c r="M21075" s="49">
        <f>IF($A$4+210&gt;$B$4,"",$A$4+210)</f>
        <v>46233</v>
      </c>
      <c r="N21075">
        <f>IF(M21075="","",'Master Barang'!A69)</f>
        <v>0</v>
      </c>
      <c r="O21075">
        <f>IF(N21075="","",'Master Barang'!B69)</f>
        <v>0</v>
      </c>
      <c r="P21075">
        <f>IF(OR(M21075="",N21075=""),"",SUMIFS('Barang Keluar'!$E:$E,'Barang Keluar'!$A:$A,M21075,'Barang Keluar'!$C:$C,N21075))</f>
        <v>0</v>
      </c>
    </row>
    <row r="21076" spans="13:16">
      <c r="M21076" s="49">
        <f>IF($A$4+210&gt;$B$4,"",$A$4+210)</f>
        <v>46233</v>
      </c>
      <c r="N21076">
        <f>IF(M21076="","",'Master Barang'!A70)</f>
        <v>0</v>
      </c>
      <c r="O21076">
        <f>IF(N21076="","",'Master Barang'!B70)</f>
        <v>0</v>
      </c>
      <c r="P21076">
        <f>IF(OR(M21076="",N21076=""),"",SUMIFS('Barang Keluar'!$E:$E,'Barang Keluar'!$A:$A,M21076,'Barang Keluar'!$C:$C,N21076))</f>
        <v>0</v>
      </c>
    </row>
    <row r="21077" spans="13:16">
      <c r="M21077" s="49">
        <f>IF($A$4+210&gt;$B$4,"",$A$4+210)</f>
        <v>46233</v>
      </c>
      <c r="N21077">
        <f>IF(M21077="","",'Master Barang'!A71)</f>
        <v>0</v>
      </c>
      <c r="O21077">
        <f>IF(N21077="","",'Master Barang'!B71)</f>
        <v>0</v>
      </c>
      <c r="P21077">
        <f>IF(OR(M21077="",N21077=""),"",SUMIFS('Barang Keluar'!$E:$E,'Barang Keluar'!$A:$A,M21077,'Barang Keluar'!$C:$C,N21077))</f>
        <v>0</v>
      </c>
    </row>
    <row r="21078" spans="13:16">
      <c r="M21078" s="49">
        <f>IF($A$4+210&gt;$B$4,"",$A$4+210)</f>
        <v>46233</v>
      </c>
      <c r="N21078">
        <f>IF(M21078="","",'Master Barang'!A72)</f>
        <v>0</v>
      </c>
      <c r="O21078">
        <f>IF(N21078="","",'Master Barang'!B72)</f>
        <v>0</v>
      </c>
      <c r="P21078">
        <f>IF(OR(M21078="",N21078=""),"",SUMIFS('Barang Keluar'!$E:$E,'Barang Keluar'!$A:$A,M21078,'Barang Keluar'!$C:$C,N21078))</f>
        <v>0</v>
      </c>
    </row>
    <row r="21079" spans="13:16">
      <c r="M21079" s="49">
        <f>IF($A$4+210&gt;$B$4,"",$A$4+210)</f>
        <v>46233</v>
      </c>
      <c r="N21079">
        <f>IF(M21079="","",'Master Barang'!A73)</f>
        <v>0</v>
      </c>
      <c r="O21079">
        <f>IF(N21079="","",'Master Barang'!B73)</f>
        <v>0</v>
      </c>
      <c r="P21079">
        <f>IF(OR(M21079="",N21079=""),"",SUMIFS('Barang Keluar'!$E:$E,'Barang Keluar'!$A:$A,M21079,'Barang Keluar'!$C:$C,N21079))</f>
        <v>0</v>
      </c>
    </row>
    <row r="21080" spans="13:16">
      <c r="M21080" s="49">
        <f>IF($A$4+210&gt;$B$4,"",$A$4+210)</f>
        <v>46233</v>
      </c>
      <c r="N21080">
        <f>IF(M21080="","",'Master Barang'!A74)</f>
        <v>0</v>
      </c>
      <c r="O21080">
        <f>IF(N21080="","",'Master Barang'!B74)</f>
        <v>0</v>
      </c>
      <c r="P21080">
        <f>IF(OR(M21080="",N21080=""),"",SUMIFS('Barang Keluar'!$E:$E,'Barang Keluar'!$A:$A,M21080,'Barang Keluar'!$C:$C,N21080))</f>
        <v>0</v>
      </c>
    </row>
    <row r="21081" spans="13:16">
      <c r="M21081" s="49">
        <f>IF($A$4+210&gt;$B$4,"",$A$4+210)</f>
        <v>46233</v>
      </c>
      <c r="N21081">
        <f>IF(M21081="","",'Master Barang'!A75)</f>
        <v>0</v>
      </c>
      <c r="O21081">
        <f>IF(N21081="","",'Master Barang'!B75)</f>
        <v>0</v>
      </c>
      <c r="P21081">
        <f>IF(OR(M21081="",N21081=""),"",SUMIFS('Barang Keluar'!$E:$E,'Barang Keluar'!$A:$A,M21081,'Barang Keluar'!$C:$C,N21081))</f>
        <v>0</v>
      </c>
    </row>
    <row r="21082" spans="13:16">
      <c r="M21082" s="49">
        <f>IF($A$4+210&gt;$B$4,"",$A$4+210)</f>
        <v>46233</v>
      </c>
      <c r="N21082">
        <f>IF(M21082="","",'Master Barang'!A76)</f>
        <v>0</v>
      </c>
      <c r="O21082">
        <f>IF(N21082="","",'Master Barang'!B76)</f>
        <v>0</v>
      </c>
      <c r="P21082">
        <f>IF(OR(M21082="",N21082=""),"",SUMIFS('Barang Keluar'!$E:$E,'Barang Keluar'!$A:$A,M21082,'Barang Keluar'!$C:$C,N21082))</f>
        <v>0</v>
      </c>
    </row>
    <row r="21083" spans="13:16">
      <c r="M21083" s="49">
        <f>IF($A$4+210&gt;$B$4,"",$A$4+210)</f>
        <v>46233</v>
      </c>
      <c r="N21083">
        <f>IF(M21083="","",'Master Barang'!A77)</f>
        <v>0</v>
      </c>
      <c r="O21083">
        <f>IF(N21083="","",'Master Barang'!B77)</f>
        <v>0</v>
      </c>
      <c r="P21083">
        <f>IF(OR(M21083="",N21083=""),"",SUMIFS('Barang Keluar'!$E:$E,'Barang Keluar'!$A:$A,M21083,'Barang Keluar'!$C:$C,N21083))</f>
        <v>0</v>
      </c>
    </row>
    <row r="21084" spans="13:16">
      <c r="M21084" s="49">
        <f>IF($A$4+210&gt;$B$4,"",$A$4+210)</f>
        <v>46233</v>
      </c>
      <c r="N21084">
        <f>IF(M21084="","",'Master Barang'!A78)</f>
        <v>0</v>
      </c>
      <c r="O21084">
        <f>IF(N21084="","",'Master Barang'!B78)</f>
        <v>0</v>
      </c>
      <c r="P21084">
        <f>IF(OR(M21084="",N21084=""),"",SUMIFS('Barang Keluar'!$E:$E,'Barang Keluar'!$A:$A,M21084,'Barang Keluar'!$C:$C,N21084))</f>
        <v>0</v>
      </c>
    </row>
    <row r="21085" spans="13:16">
      <c r="M21085" s="49">
        <f>IF($A$4+210&gt;$B$4,"",$A$4+210)</f>
        <v>46233</v>
      </c>
      <c r="N21085">
        <f>IF(M21085="","",'Master Barang'!A79)</f>
        <v>0</v>
      </c>
      <c r="O21085">
        <f>IF(N21085="","",'Master Barang'!B79)</f>
        <v>0</v>
      </c>
      <c r="P21085">
        <f>IF(OR(M21085="",N21085=""),"",SUMIFS('Barang Keluar'!$E:$E,'Barang Keluar'!$A:$A,M21085,'Barang Keluar'!$C:$C,N21085))</f>
        <v>0</v>
      </c>
    </row>
    <row r="21086" spans="13:16">
      <c r="M21086" s="49">
        <f>IF($A$4+210&gt;$B$4,"",$A$4+210)</f>
        <v>46233</v>
      </c>
      <c r="N21086">
        <f>IF(M21086="","",'Master Barang'!A80)</f>
        <v>0</v>
      </c>
      <c r="O21086">
        <f>IF(N21086="","",'Master Barang'!B80)</f>
        <v>0</v>
      </c>
      <c r="P21086">
        <f>IF(OR(M21086="",N21086=""),"",SUMIFS('Barang Keluar'!$E:$E,'Barang Keluar'!$A:$A,M21086,'Barang Keluar'!$C:$C,N21086))</f>
        <v>0</v>
      </c>
    </row>
    <row r="21087" spans="13:16">
      <c r="M21087" s="49">
        <f>IF($A$4+210&gt;$B$4,"",$A$4+210)</f>
        <v>46233</v>
      </c>
      <c r="N21087">
        <f>IF(M21087="","",'Master Barang'!A81)</f>
        <v>0</v>
      </c>
      <c r="O21087">
        <f>IF(N21087="","",'Master Barang'!B81)</f>
        <v>0</v>
      </c>
      <c r="P21087">
        <f>IF(OR(M21087="",N21087=""),"",SUMIFS('Barang Keluar'!$E:$E,'Barang Keluar'!$A:$A,M21087,'Barang Keluar'!$C:$C,N21087))</f>
        <v>0</v>
      </c>
    </row>
    <row r="21088" spans="13:16">
      <c r="M21088" s="49">
        <f>IF($A$4+210&gt;$B$4,"",$A$4+210)</f>
        <v>46233</v>
      </c>
      <c r="N21088">
        <f>IF(M21088="","",'Master Barang'!A82)</f>
        <v>0</v>
      </c>
      <c r="O21088">
        <f>IF(N21088="","",'Master Barang'!B82)</f>
        <v>0</v>
      </c>
      <c r="P21088">
        <f>IF(OR(M21088="",N21088=""),"",SUMIFS('Barang Keluar'!$E:$E,'Barang Keluar'!$A:$A,M21088,'Barang Keluar'!$C:$C,N21088))</f>
        <v>0</v>
      </c>
    </row>
    <row r="21089" spans="13:16">
      <c r="M21089" s="49">
        <f>IF($A$4+210&gt;$B$4,"",$A$4+210)</f>
        <v>46233</v>
      </c>
      <c r="N21089">
        <f>IF(M21089="","",'Master Barang'!A83)</f>
        <v>0</v>
      </c>
      <c r="O21089">
        <f>IF(N21089="","",'Master Barang'!B83)</f>
        <v>0</v>
      </c>
      <c r="P21089">
        <f>IF(OR(M21089="",N21089=""),"",SUMIFS('Barang Keluar'!$E:$E,'Barang Keluar'!$A:$A,M21089,'Barang Keluar'!$C:$C,N21089))</f>
        <v>0</v>
      </c>
    </row>
    <row r="21090" spans="13:16">
      <c r="M21090" s="49">
        <f>IF($A$4+210&gt;$B$4,"",$A$4+210)</f>
        <v>46233</v>
      </c>
      <c r="N21090">
        <f>IF(M21090="","",'Master Barang'!A84)</f>
        <v>0</v>
      </c>
      <c r="O21090">
        <f>IF(N21090="","",'Master Barang'!B84)</f>
        <v>0</v>
      </c>
      <c r="P21090">
        <f>IF(OR(M21090="",N21090=""),"",SUMIFS('Barang Keluar'!$E:$E,'Barang Keluar'!$A:$A,M21090,'Barang Keluar'!$C:$C,N21090))</f>
        <v>0</v>
      </c>
    </row>
    <row r="21091" spans="13:16">
      <c r="M21091" s="49">
        <f>IF($A$4+210&gt;$B$4,"",$A$4+210)</f>
        <v>46233</v>
      </c>
      <c r="N21091">
        <f>IF(M21091="","",'Master Barang'!A85)</f>
        <v>0</v>
      </c>
      <c r="O21091">
        <f>IF(N21091="","",'Master Barang'!B85)</f>
        <v>0</v>
      </c>
      <c r="P21091">
        <f>IF(OR(M21091="",N21091=""),"",SUMIFS('Barang Keluar'!$E:$E,'Barang Keluar'!$A:$A,M21091,'Barang Keluar'!$C:$C,N21091))</f>
        <v>0</v>
      </c>
    </row>
    <row r="21092" spans="13:16">
      <c r="M21092" s="49">
        <f>IF($A$4+210&gt;$B$4,"",$A$4+210)</f>
        <v>46233</v>
      </c>
      <c r="N21092">
        <f>IF(M21092="","",'Master Barang'!A86)</f>
        <v>0</v>
      </c>
      <c r="O21092">
        <f>IF(N21092="","",'Master Barang'!B86)</f>
        <v>0</v>
      </c>
      <c r="P21092">
        <f>IF(OR(M21092="",N21092=""),"",SUMIFS('Barang Keluar'!$E:$E,'Barang Keluar'!$A:$A,M21092,'Barang Keluar'!$C:$C,N21092))</f>
        <v>0</v>
      </c>
    </row>
    <row r="21093" spans="13:16">
      <c r="M21093" s="49">
        <f>IF($A$4+210&gt;$B$4,"",$A$4+210)</f>
        <v>46233</v>
      </c>
      <c r="N21093">
        <f>IF(M21093="","",'Master Barang'!A87)</f>
        <v>0</v>
      </c>
      <c r="O21093">
        <f>IF(N21093="","",'Master Barang'!B87)</f>
        <v>0</v>
      </c>
      <c r="P21093">
        <f>IF(OR(M21093="",N21093=""),"",SUMIFS('Barang Keluar'!$E:$E,'Barang Keluar'!$A:$A,M21093,'Barang Keluar'!$C:$C,N21093))</f>
        <v>0</v>
      </c>
    </row>
    <row r="21094" spans="13:16">
      <c r="M21094" s="49">
        <f>IF($A$4+210&gt;$B$4,"",$A$4+210)</f>
        <v>46233</v>
      </c>
      <c r="N21094">
        <f>IF(M21094="","",'Master Barang'!A88)</f>
        <v>0</v>
      </c>
      <c r="O21094">
        <f>IF(N21094="","",'Master Barang'!B88)</f>
        <v>0</v>
      </c>
      <c r="P21094">
        <f>IF(OR(M21094="",N21094=""),"",SUMIFS('Barang Keluar'!$E:$E,'Barang Keluar'!$A:$A,M21094,'Barang Keluar'!$C:$C,N21094))</f>
        <v>0</v>
      </c>
    </row>
    <row r="21095" spans="13:16">
      <c r="M21095" s="49">
        <f>IF($A$4+210&gt;$B$4,"",$A$4+210)</f>
        <v>46233</v>
      </c>
      <c r="N21095">
        <f>IF(M21095="","",'Master Barang'!A89)</f>
        <v>0</v>
      </c>
      <c r="O21095">
        <f>IF(N21095="","",'Master Barang'!B89)</f>
        <v>0</v>
      </c>
      <c r="P21095">
        <f>IF(OR(M21095="",N21095=""),"",SUMIFS('Barang Keluar'!$E:$E,'Barang Keluar'!$A:$A,M21095,'Barang Keluar'!$C:$C,N21095))</f>
        <v>0</v>
      </c>
    </row>
    <row r="21096" spans="13:16">
      <c r="M21096" s="49">
        <f>IF($A$4+210&gt;$B$4,"",$A$4+210)</f>
        <v>46233</v>
      </c>
      <c r="N21096">
        <f>IF(M21096="","",'Master Barang'!A90)</f>
        <v>0</v>
      </c>
      <c r="O21096">
        <f>IF(N21096="","",'Master Barang'!B90)</f>
        <v>0</v>
      </c>
      <c r="P21096">
        <f>IF(OR(M21096="",N21096=""),"",SUMIFS('Barang Keluar'!$E:$E,'Barang Keluar'!$A:$A,M21096,'Barang Keluar'!$C:$C,N21096))</f>
        <v>0</v>
      </c>
    </row>
    <row r="21097" spans="13:16">
      <c r="M21097" s="49">
        <f>IF($A$4+210&gt;$B$4,"",$A$4+210)</f>
        <v>46233</v>
      </c>
      <c r="N21097">
        <f>IF(M21097="","",'Master Barang'!A91)</f>
        <v>0</v>
      </c>
      <c r="O21097">
        <f>IF(N21097="","",'Master Barang'!B91)</f>
        <v>0</v>
      </c>
      <c r="P21097">
        <f>IF(OR(M21097="",N21097=""),"",SUMIFS('Barang Keluar'!$E:$E,'Barang Keluar'!$A:$A,M21097,'Barang Keluar'!$C:$C,N21097))</f>
        <v>0</v>
      </c>
    </row>
    <row r="21098" spans="13:16">
      <c r="M21098" s="49">
        <f>IF($A$4+210&gt;$B$4,"",$A$4+210)</f>
        <v>46233</v>
      </c>
      <c r="N21098">
        <f>IF(M21098="","",'Master Barang'!A92)</f>
        <v>0</v>
      </c>
      <c r="O21098">
        <f>IF(N21098="","",'Master Barang'!B92)</f>
        <v>0</v>
      </c>
      <c r="P21098">
        <f>IF(OR(M21098="",N21098=""),"",SUMIFS('Barang Keluar'!$E:$E,'Barang Keluar'!$A:$A,M21098,'Barang Keluar'!$C:$C,N21098))</f>
        <v>0</v>
      </c>
    </row>
    <row r="21099" spans="13:16">
      <c r="M21099" s="49">
        <f>IF($A$4+210&gt;$B$4,"",$A$4+210)</f>
        <v>46233</v>
      </c>
      <c r="N21099">
        <f>IF(M21099="","",'Master Barang'!A93)</f>
        <v>0</v>
      </c>
      <c r="O21099">
        <f>IF(N21099="","",'Master Barang'!B93)</f>
        <v>0</v>
      </c>
      <c r="P21099">
        <f>IF(OR(M21099="",N21099=""),"",SUMIFS('Barang Keluar'!$E:$E,'Barang Keluar'!$A:$A,M21099,'Barang Keluar'!$C:$C,N21099))</f>
        <v>0</v>
      </c>
    </row>
    <row r="21100" spans="13:16">
      <c r="M21100" s="49">
        <f>IF($A$4+210&gt;$B$4,"",$A$4+210)</f>
        <v>46233</v>
      </c>
      <c r="N21100">
        <f>IF(M21100="","",'Master Barang'!A94)</f>
        <v>0</v>
      </c>
      <c r="O21100">
        <f>IF(N21100="","",'Master Barang'!B94)</f>
        <v>0</v>
      </c>
      <c r="P21100">
        <f>IF(OR(M21100="",N21100=""),"",SUMIFS('Barang Keluar'!$E:$E,'Barang Keluar'!$A:$A,M21100,'Barang Keluar'!$C:$C,N21100))</f>
        <v>0</v>
      </c>
    </row>
    <row r="21101" spans="13:16">
      <c r="M21101" s="49">
        <f>IF($A$4+210&gt;$B$4,"",$A$4+210)</f>
        <v>46233</v>
      </c>
      <c r="N21101">
        <f>IF(M21101="","",'Master Barang'!A95)</f>
        <v>0</v>
      </c>
      <c r="O21101">
        <f>IF(N21101="","",'Master Barang'!B95)</f>
        <v>0</v>
      </c>
      <c r="P21101">
        <f>IF(OR(M21101="",N21101=""),"",SUMIFS('Barang Keluar'!$E:$E,'Barang Keluar'!$A:$A,M21101,'Barang Keluar'!$C:$C,N21101))</f>
        <v>0</v>
      </c>
    </row>
    <row r="21102" spans="13:16">
      <c r="M21102" s="49">
        <f>IF($A$4+210&gt;$B$4,"",$A$4+210)</f>
        <v>46233</v>
      </c>
      <c r="N21102">
        <f>IF(M21102="","",'Master Barang'!A96)</f>
        <v>0</v>
      </c>
      <c r="O21102">
        <f>IF(N21102="","",'Master Barang'!B96)</f>
        <v>0</v>
      </c>
      <c r="P21102">
        <f>IF(OR(M21102="",N21102=""),"",SUMIFS('Barang Keluar'!$E:$E,'Barang Keluar'!$A:$A,M21102,'Barang Keluar'!$C:$C,N21102))</f>
        <v>0</v>
      </c>
    </row>
    <row r="21103" spans="13:16">
      <c r="M21103" s="49">
        <f>IF($A$4+210&gt;$B$4,"",$A$4+210)</f>
        <v>46233</v>
      </c>
      <c r="N21103">
        <f>IF(M21103="","",'Master Barang'!A97)</f>
        <v>0</v>
      </c>
      <c r="O21103">
        <f>IF(N21103="","",'Master Barang'!B97)</f>
        <v>0</v>
      </c>
      <c r="P21103">
        <f>IF(OR(M21103="",N21103=""),"",SUMIFS('Barang Keluar'!$E:$E,'Barang Keluar'!$A:$A,M21103,'Barang Keluar'!$C:$C,N21103))</f>
        <v>0</v>
      </c>
    </row>
    <row r="21104" spans="13:16">
      <c r="M21104" s="49">
        <f>IF($A$4+210&gt;$B$4,"",$A$4+210)</f>
        <v>46233</v>
      </c>
      <c r="N21104">
        <f>IF(M21104="","",'Master Barang'!A98)</f>
        <v>0</v>
      </c>
      <c r="O21104">
        <f>IF(N21104="","",'Master Barang'!B98)</f>
        <v>0</v>
      </c>
      <c r="P21104">
        <f>IF(OR(M21104="",N21104=""),"",SUMIFS('Barang Keluar'!$E:$E,'Barang Keluar'!$A:$A,M21104,'Barang Keluar'!$C:$C,N21104))</f>
        <v>0</v>
      </c>
    </row>
    <row r="21105" spans="13:16">
      <c r="M21105" s="49">
        <f>IF($A$4+210&gt;$B$4,"",$A$4+210)</f>
        <v>46233</v>
      </c>
      <c r="N21105">
        <f>IF(M21105="","",'Master Barang'!A99)</f>
        <v>0</v>
      </c>
      <c r="O21105">
        <f>IF(N21105="","",'Master Barang'!B99)</f>
        <v>0</v>
      </c>
      <c r="P21105">
        <f>IF(OR(M21105="",N21105=""),"",SUMIFS('Barang Keluar'!$E:$E,'Barang Keluar'!$A:$A,M21105,'Barang Keluar'!$C:$C,N21105))</f>
        <v>0</v>
      </c>
    </row>
    <row r="21106" spans="13:16">
      <c r="M21106" s="49">
        <f>IF($A$4+210&gt;$B$4,"",$A$4+210)</f>
        <v>46233</v>
      </c>
      <c r="N21106">
        <f>IF(M21106="","",'Master Barang'!A100)</f>
        <v>0</v>
      </c>
      <c r="O21106">
        <f>IF(N21106="","",'Master Barang'!B100)</f>
        <v>0</v>
      </c>
      <c r="P21106">
        <f>IF(OR(M21106="",N21106=""),"",SUMIFS('Barang Keluar'!$E:$E,'Barang Keluar'!$A:$A,M21106,'Barang Keluar'!$C:$C,N21106))</f>
        <v>0</v>
      </c>
    </row>
    <row r="21107" spans="13:16">
      <c r="M21107" s="49">
        <f>IF($A$4+210&gt;$B$4,"",$A$4+210)</f>
        <v>46233</v>
      </c>
      <c r="N21107">
        <f>IF(M21107="","",'Master Barang'!A101)</f>
        <v>0</v>
      </c>
      <c r="O21107">
        <f>IF(N21107="","",'Master Barang'!B101)</f>
        <v>0</v>
      </c>
      <c r="P21107">
        <f>IF(OR(M21107="",N21107=""),"",SUMIFS('Barang Keluar'!$E:$E,'Barang Keluar'!$A:$A,M21107,'Barang Keluar'!$C:$C,N21107))</f>
        <v>0</v>
      </c>
    </row>
    <row r="21108" spans="13:16">
      <c r="M21108" s="49">
        <f>IF($A$4+211&gt;$B$4,"",$A$4+211)</f>
        <v>46234</v>
      </c>
      <c r="N21108" t="str">
        <f>IF(M21108="","",'Master Barang'!A2)</f>
        <v>PRL-001</v>
      </c>
      <c r="O21108" t="str">
        <f>IF(N21108="","",'Master Barang'!B2)</f>
        <v>natura desinfectant food grade 5l</v>
      </c>
      <c r="P21108">
        <f>IF(OR(M21108="",N21108=""),"",SUMIFS('Barang Keluar'!$E:$E,'Barang Keluar'!$A:$A,M21108,'Barang Keluar'!$C:$C,N21108))</f>
        <v>0</v>
      </c>
    </row>
    <row r="21109" spans="13:16">
      <c r="M21109" s="49">
        <f>IF($A$4+211&gt;$B$4,"",$A$4+211)</f>
        <v>46234</v>
      </c>
      <c r="N21109" t="str">
        <f>IF(M21109="","",'Master Barang'!A3)</f>
        <v>PRL-002</v>
      </c>
      <c r="O21109" t="str">
        <f>IF(N21109="","",'Master Barang'!B3)</f>
        <v>sunlight cairan pencuci piring 5l</v>
      </c>
      <c r="P21109">
        <f>IF(OR(M21109="",N21109=""),"",SUMIFS('Barang Keluar'!$E:$E,'Barang Keluar'!$A:$A,M21109,'Barang Keluar'!$C:$C,N21109))</f>
        <v>0</v>
      </c>
    </row>
    <row r="21110" spans="13:16">
      <c r="M21110" s="49">
        <f>IF($A$4+211&gt;$B$4,"",$A$4+211)</f>
        <v>46234</v>
      </c>
      <c r="N21110" t="str">
        <f>IF(M21110="","",'Master Barang'!A4)</f>
        <v>PRL-003</v>
      </c>
      <c r="O21110" t="str">
        <f>IF(N21110="","",'Master Barang'!B4)</f>
        <v>oixs cleaner 1l</v>
      </c>
      <c r="P21110">
        <f>IF(OR(M21110="",N21110=""),"",SUMIFS('Barang Keluar'!$E:$E,'Barang Keluar'!$A:$A,M21110,'Barang Keluar'!$C:$C,N21110))</f>
        <v>0</v>
      </c>
    </row>
    <row r="21111" spans="13:16">
      <c r="M21111" s="49">
        <f>IF($A$4+211&gt;$B$4,"",$A$4+211)</f>
        <v>46234</v>
      </c>
      <c r="N21111" t="str">
        <f>IF(M21111="","",'Master Barang'!A5)</f>
        <v>PRL-004</v>
      </c>
      <c r="O21111" t="str">
        <f>IF(N21111="","",'Master Barang'!B5)</f>
        <v>be clean tissue serbaguna</v>
      </c>
      <c r="P21111">
        <f>IF(OR(M21111="",N21111=""),"",SUMIFS('Barang Keluar'!$E:$E,'Barang Keluar'!$A:$A,M21111,'Barang Keluar'!$C:$C,N21111))</f>
        <v>0</v>
      </c>
    </row>
    <row r="21112" spans="13:16">
      <c r="M21112" s="49">
        <f>IF($A$4+211&gt;$B$4,"",$A$4+211)</f>
        <v>46234</v>
      </c>
      <c r="N21112" t="str">
        <f>IF(M21112="","",'Master Barang'!A6)</f>
        <v>PRL-005</v>
      </c>
      <c r="O21112" t="str">
        <f>IF(N21112="","",'Master Barang'!B6)</f>
        <v>spons cuci hijau</v>
      </c>
      <c r="P21112">
        <f>IF(OR(M21112="",N21112=""),"",SUMIFS('Barang Keluar'!$E:$E,'Barang Keluar'!$A:$A,M21112,'Barang Keluar'!$C:$C,N21112))</f>
        <v>0</v>
      </c>
    </row>
    <row r="21113" spans="13:16">
      <c r="M21113" s="49">
        <f>IF($A$4+211&gt;$B$4,"",$A$4+211)</f>
        <v>46234</v>
      </c>
      <c r="N21113" t="str">
        <f>IF(M21113="","",'Master Barang'!A7)</f>
        <v>PRL-006</v>
      </c>
      <c r="O21113" t="str">
        <f>IF(N21113="","",'Master Barang'!B7)</f>
        <v>sabut cuci stainless</v>
      </c>
      <c r="P21113">
        <f>IF(OR(M21113="",N21113=""),"",SUMIFS('Barang Keluar'!$E:$E,'Barang Keluar'!$A:$A,M21113,'Barang Keluar'!$C:$C,N21113))</f>
        <v>0</v>
      </c>
    </row>
    <row r="21114" spans="13:16">
      <c r="M21114" s="49">
        <f>IF($A$4+211&gt;$B$4,"",$A$4+211)</f>
        <v>46234</v>
      </c>
      <c r="N21114" t="str">
        <f>IF(M21114="","",'Master Barang'!A8)</f>
        <v>PRL-007</v>
      </c>
      <c r="O21114" t="str">
        <f>IF(N21114="","",'Master Barang'!B8)</f>
        <v>plastik kresek besar merah 50pc</v>
      </c>
      <c r="P21114">
        <f>IF(OR(M21114="",N21114=""),"",SUMIFS('Barang Keluar'!$E:$E,'Barang Keluar'!$A:$A,M21114,'Barang Keluar'!$C:$C,N21114))</f>
        <v>0</v>
      </c>
    </row>
    <row r="21115" spans="13:16">
      <c r="M21115" s="49">
        <f>IF($A$4+211&gt;$B$4,"",$A$4+211)</f>
        <v>46234</v>
      </c>
      <c r="N21115" t="str">
        <f>IF(M21115="","",'Master Barang'!A9)</f>
        <v>PRL-008</v>
      </c>
      <c r="O21115" t="str">
        <f>IF(N21115="","",'Master Barang'!B9)</f>
        <v>lap besar</v>
      </c>
      <c r="P21115">
        <f>IF(OR(M21115="",N21115=""),"",SUMIFS('Barang Keluar'!$E:$E,'Barang Keluar'!$A:$A,M21115,'Barang Keluar'!$C:$C,N21115))</f>
        <v>0</v>
      </c>
    </row>
    <row r="21116" spans="13:16">
      <c r="M21116" s="49">
        <f>IF($A$4+211&gt;$B$4,"",$A$4+211)</f>
        <v>46234</v>
      </c>
      <c r="N21116" t="str">
        <f>IF(M21116="","",'Master Barang'!A10)</f>
        <v>PRL-009</v>
      </c>
      <c r="O21116" t="str">
        <f>IF(N21116="","",'Master Barang'!B10)</f>
        <v>lap microfiber</v>
      </c>
      <c r="P21116">
        <f>IF(OR(M21116="",N21116=""),"",SUMIFS('Barang Keluar'!$E:$E,'Barang Keluar'!$A:$A,M21116,'Barang Keluar'!$C:$C,N21116))</f>
        <v>0</v>
      </c>
    </row>
    <row r="21117" spans="13:16">
      <c r="M21117" s="49">
        <f>IF($A$4+211&gt;$B$4,"",$A$4+211)</f>
        <v>46234</v>
      </c>
      <c r="N21117" t="str">
        <f>IF(M21117="","",'Master Barang'!A11)</f>
        <v>PRL-010</v>
      </c>
      <c r="O21117" t="str">
        <f>IF(N21117="","",'Master Barang'!B11)</f>
        <v>lap kecil</v>
      </c>
      <c r="P21117">
        <f>IF(OR(M21117="",N21117=""),"",SUMIFS('Barang Keluar'!$E:$E,'Barang Keluar'!$A:$A,M21117,'Barang Keluar'!$C:$C,N21117))</f>
        <v>0</v>
      </c>
    </row>
    <row r="21118" spans="13:16">
      <c r="M21118" s="49">
        <f>IF($A$4+211&gt;$B$4,"",$A$4+211)</f>
        <v>46234</v>
      </c>
      <c r="N21118" t="str">
        <f>IF(M21118="","",'Master Barang'!A12)</f>
        <v>PRL-011</v>
      </c>
      <c r="O21118" t="str">
        <f>IF(N21118="","",'Master Barang'!B12)</f>
        <v>kanebo kecil</v>
      </c>
      <c r="P21118">
        <f>IF(OR(M21118="",N21118=""),"",SUMIFS('Barang Keluar'!$E:$E,'Barang Keluar'!$A:$A,M21118,'Barang Keluar'!$C:$C,N21118))</f>
        <v>0</v>
      </c>
    </row>
    <row r="21119" spans="13:16">
      <c r="M21119" s="49">
        <f>IF($A$4+211&gt;$B$4,"",$A$4+211)</f>
        <v>46234</v>
      </c>
      <c r="N21119" t="str">
        <f>IF(M21119="","",'Master Barang'!A13)</f>
        <v>PRL-012</v>
      </c>
      <c r="O21119" t="str">
        <f>IF(N21119="","",'Master Barang'!B13)</f>
        <v>plastik 1/4kg joyoboyo 100 lembar</v>
      </c>
      <c r="P21119">
        <f>IF(OR(M21119="",N21119=""),"",SUMIFS('Barang Keluar'!$E:$E,'Barang Keluar'!$A:$A,M21119,'Barang Keluar'!$C:$C,N21119))</f>
        <v>0</v>
      </c>
    </row>
    <row r="21120" spans="13:16">
      <c r="M21120" s="49">
        <f>IF($A$4+211&gt;$B$4,"",$A$4+211)</f>
        <v>46234</v>
      </c>
      <c r="N21120" t="str">
        <f>IF(M21120="","",'Master Barang'!A14)</f>
        <v>PRL-013</v>
      </c>
      <c r="O21120" t="str">
        <f>IF(N21120="","",'Master Barang'!B14)</f>
        <v>sarung tangan plastik kaka 100 pcs</v>
      </c>
      <c r="P21120">
        <f>IF(OR(M21120="",N21120=""),"",SUMIFS('Barang Keluar'!$E:$E,'Barang Keluar'!$A:$A,M21120,'Barang Keluar'!$C:$C,N21120))</f>
        <v>0</v>
      </c>
    </row>
    <row r="21121" spans="13:16">
      <c r="M21121" s="49">
        <f>IF($A$4+211&gt;$B$4,"",$A$4+211)</f>
        <v>46234</v>
      </c>
      <c r="N21121" t="str">
        <f>IF(M21121="","",'Master Barang'!A15)</f>
        <v>PRL-014</v>
      </c>
      <c r="O21121" t="str">
        <f>IF(N21121="","",'Master Barang'!B15)</f>
        <v>optima trashbag 80x100</v>
      </c>
      <c r="P21121">
        <f>IF(OR(M21121="",N21121=""),"",SUMIFS('Barang Keluar'!$E:$E,'Barang Keluar'!$A:$A,M21121,'Barang Keluar'!$C:$C,N21121))</f>
        <v>0</v>
      </c>
    </row>
    <row r="21122" spans="13:16">
      <c r="M21122" s="49">
        <f>IF($A$4+211&gt;$B$4,"",$A$4+211)</f>
        <v>46234</v>
      </c>
      <c r="N21122" t="str">
        <f>IF(M21122="","",'Master Barang'!A16)</f>
        <v>PRL-015</v>
      </c>
      <c r="O21122" t="str">
        <f>IF(N21122="","",'Master Barang'!B16)</f>
        <v>optima trashbag 60x100</v>
      </c>
      <c r="P21122">
        <f>IF(OR(M21122="",N21122=""),"",SUMIFS('Barang Keluar'!$E:$E,'Barang Keluar'!$A:$A,M21122,'Barang Keluar'!$C:$C,N21122))</f>
        <v>0</v>
      </c>
    </row>
    <row r="21123" spans="13:16">
      <c r="M21123" s="49">
        <f>IF($A$4+211&gt;$B$4,"",$A$4+211)</f>
        <v>46234</v>
      </c>
      <c r="N21123" t="str">
        <f>IF(M21123="","",'Master Barang'!A17)</f>
        <v>PRL-016</v>
      </c>
      <c r="O21123" t="str">
        <f>IF(N21123="","",'Master Barang'!B17)</f>
        <v>rajawali trashbag 30x40</v>
      </c>
      <c r="P21123">
        <f>IF(OR(M21123="",N21123=""),"",SUMIFS('Barang Keluar'!$E:$E,'Barang Keluar'!$A:$A,M21123,'Barang Keluar'!$C:$C,N21123))</f>
        <v>0</v>
      </c>
    </row>
    <row r="21124" spans="13:16">
      <c r="M21124" s="49">
        <f>IF($A$4+211&gt;$B$4,"",$A$4+211)</f>
        <v>46234</v>
      </c>
      <c r="N21124" t="str">
        <f>IF(M21124="","",'Master Barang'!A18)</f>
        <v>PRL-017</v>
      </c>
      <c r="O21124" t="str">
        <f>IF(N21124="","",'Master Barang'!B18)</f>
        <v>onemed masker biru 3 play 50 pcs</v>
      </c>
      <c r="P21124">
        <f>IF(OR(M21124="",N21124=""),"",SUMIFS('Barang Keluar'!$E:$E,'Barang Keluar'!$A:$A,M21124,'Barang Keluar'!$C:$C,N21124))</f>
        <v>0</v>
      </c>
    </row>
    <row r="21125" spans="13:16">
      <c r="M21125" s="49">
        <f>IF($A$4+211&gt;$B$4,"",$A$4+211)</f>
        <v>46234</v>
      </c>
      <c r="N21125" t="str">
        <f>IF(M21125="","",'Master Barang'!A19)</f>
        <v>PRL-018</v>
      </c>
      <c r="O21125" t="str">
        <f>IF(N21125="","",'Master Barang'!B19)</f>
        <v>onemed masker biru 3 play hijab 50 pcs</v>
      </c>
      <c r="P21125">
        <f>IF(OR(M21125="",N21125=""),"",SUMIFS('Barang Keluar'!$E:$E,'Barang Keluar'!$A:$A,M21125,'Barang Keluar'!$C:$C,N21125))</f>
        <v>0</v>
      </c>
    </row>
    <row r="21126" spans="13:16">
      <c r="M21126" s="49">
        <f>IF($A$4+211&gt;$B$4,"",$A$4+211)</f>
        <v>46234</v>
      </c>
      <c r="N21126" t="str">
        <f>IF(M21126="","",'Master Barang'!A20)</f>
        <v>PRL-019</v>
      </c>
      <c r="O21126" t="str">
        <f>IF(N21126="","",'Master Barang'!B20)</f>
        <v>neo health masker biru 3 play 50 pcs</v>
      </c>
      <c r="P21126">
        <f>IF(OR(M21126="",N21126=""),"",SUMIFS('Barang Keluar'!$E:$E,'Barang Keluar'!$A:$A,M21126,'Barang Keluar'!$C:$C,N21126))</f>
        <v>0</v>
      </c>
    </row>
    <row r="21127" spans="13:16">
      <c r="M21127" s="49">
        <f>IF($A$4+211&gt;$B$4,"",$A$4+211)</f>
        <v>46234</v>
      </c>
      <c r="N21127" t="str">
        <f>IF(M21127="","",'Master Barang'!A21)</f>
        <v>PRL-020</v>
      </c>
      <c r="O21127" t="str">
        <f>IF(N21127="","",'Master Barang'!B21)</f>
        <v>baymed masker hijau 3 play hijau 50 pcs</v>
      </c>
      <c r="P21127">
        <f>IF(OR(M21127="",N21127=""),"",SUMIFS('Barang Keluar'!$E:$E,'Barang Keluar'!$A:$A,M21127,'Barang Keluar'!$C:$C,N21127))</f>
        <v>0</v>
      </c>
    </row>
    <row r="21128" spans="13:16">
      <c r="M21128" s="49">
        <f>IF($A$4+211&gt;$B$4,"",$A$4+211)</f>
        <v>46234</v>
      </c>
      <c r="N21128" t="str">
        <f>IF(M21128="","",'Master Barang'!A22)</f>
        <v>PRL-021</v>
      </c>
      <c r="O21128" t="str">
        <f>IF(N21128="","",'Master Barang'!B22)</f>
        <v>altamed nurse cap penutup kepala 100 pcs</v>
      </c>
      <c r="P21128">
        <f>IF(OR(M21128="",N21128=""),"",SUMIFS('Barang Keluar'!$E:$E,'Barang Keluar'!$A:$A,M21128,'Barang Keluar'!$C:$C,N21128))</f>
        <v>0</v>
      </c>
    </row>
    <row r="21129" spans="13:16">
      <c r="M21129" s="49">
        <f>IF($A$4+211&gt;$B$4,"",$A$4+211)</f>
        <v>46234</v>
      </c>
      <c r="N21129" t="str">
        <f>IF(M21129="","",'Master Barang'!A23)</f>
        <v>PRL-022</v>
      </c>
      <c r="O21129" t="str">
        <f>IF(N21129="","",'Master Barang'!B23)</f>
        <v>sabun cuci tangan</v>
      </c>
      <c r="P21129">
        <f>IF(OR(M21129="",N21129=""),"",SUMIFS('Barang Keluar'!$E:$E,'Barang Keluar'!$A:$A,M21129,'Barang Keluar'!$C:$C,N21129))</f>
        <v>0</v>
      </c>
    </row>
    <row r="21130" spans="13:16">
      <c r="M21130" s="49">
        <f>IF($A$4+211&gt;$B$4,"",$A$4+211)</f>
        <v>46234</v>
      </c>
      <c r="N21130" t="str">
        <f>IF(M21130="","",'Master Barang'!A24)</f>
        <v>PRL-023</v>
      </c>
      <c r="O21130" t="str">
        <f>IF(N21130="","",'Master Barang'!B24)</f>
        <v>gayung kecil</v>
      </c>
      <c r="P21130">
        <f>IF(OR(M21130="",N21130=""),"",SUMIFS('Barang Keluar'!$E:$E,'Barang Keluar'!$A:$A,M21130,'Barang Keluar'!$C:$C,N21130))</f>
        <v>0</v>
      </c>
    </row>
    <row r="21131" spans="13:16">
      <c r="M21131" s="49">
        <f>IF($A$4+211&gt;$B$4,"",$A$4+211)</f>
        <v>46234</v>
      </c>
      <c r="N21131" t="str">
        <f>IF(M21131="","",'Master Barang'!A25)</f>
        <v>PRL-024</v>
      </c>
      <c r="O21131" t="str">
        <f>IF(N21131="","",'Master Barang'!B25)</f>
        <v>cikrak kecil</v>
      </c>
      <c r="P21131">
        <f>IF(OR(M21131="",N21131=""),"",SUMIFS('Barang Keluar'!$E:$E,'Barang Keluar'!$A:$A,M21131,'Barang Keluar'!$C:$C,N21131))</f>
        <v>0</v>
      </c>
    </row>
    <row r="21132" spans="13:16">
      <c r="M21132" s="49">
        <f>IF($A$4+211&gt;$B$4,"",$A$4+211)</f>
        <v>46234</v>
      </c>
      <c r="N21132" t="str">
        <f>IF(M21132="","",'Master Barang'!A26)</f>
        <v>PRL-025</v>
      </c>
      <c r="O21132" t="str">
        <f>IF(N21132="","",'Master Barang'!B26)</f>
        <v>petromax plastik kecil 12x24 100 lembar</v>
      </c>
      <c r="P21132">
        <f>IF(OR(M21132="",N21132=""),"",SUMIFS('Barang Keluar'!$E:$E,'Barang Keluar'!$A:$A,M21132,'Barang Keluar'!$C:$C,N21132))</f>
        <v>0</v>
      </c>
    </row>
    <row r="21133" spans="13:16">
      <c r="M21133" s="49">
        <f>IF($A$4+211&gt;$B$4,"",$A$4+211)</f>
        <v>46234</v>
      </c>
      <c r="N21133" t="str">
        <f>IF(M21133="","",'Master Barang'!A27)</f>
        <v>PRL-026</v>
      </c>
      <c r="O21133" t="str">
        <f>IF(N21133="","",'Master Barang'!B27)</f>
        <v>lancar kresek kecil bening </v>
      </c>
      <c r="P21133">
        <f>IF(OR(M21133="",N21133=""),"",SUMIFS('Barang Keluar'!$E:$E,'Barang Keluar'!$A:$A,M21133,'Barang Keluar'!$C:$C,N21133))</f>
        <v>0</v>
      </c>
    </row>
    <row r="21134" spans="13:16">
      <c r="M21134" s="49">
        <f>IF($A$4+211&gt;$B$4,"",$A$4+211)</f>
        <v>46234</v>
      </c>
      <c r="N21134" t="str">
        <f>IF(M21134="","",'Master Barang'!A28)</f>
        <v>PRL-027</v>
      </c>
      <c r="O21134" t="str">
        <f>IF(N21134="","",'Master Barang'!B28)</f>
        <v>kresek klin warna warni kecil</v>
      </c>
      <c r="P21134">
        <f>IF(OR(M21134="",N21134=""),"",SUMIFS('Barang Keluar'!$E:$E,'Barang Keluar'!$A:$A,M21134,'Barang Keluar'!$C:$C,N21134))</f>
        <v>0</v>
      </c>
    </row>
    <row r="21135" spans="13:16">
      <c r="M21135" s="49">
        <f>IF($A$4+211&gt;$B$4,"",$A$4+211)</f>
        <v>46234</v>
      </c>
      <c r="N21135" t="str">
        <f>IF(M21135="","",'Master Barang'!A29)</f>
        <v>PRL-028</v>
      </c>
      <c r="O21135" t="str">
        <f>IF(N21135="","",'Master Barang'!B29)</f>
        <v>ctik plastik 7x10 100 pcs</v>
      </c>
      <c r="P21135">
        <f>IF(OR(M21135="",N21135=""),"",SUMIFS('Barang Keluar'!$E:$E,'Barang Keluar'!$A:$A,M21135,'Barang Keluar'!$C:$C,N21135))</f>
        <v>0</v>
      </c>
    </row>
    <row r="21136" spans="13:16">
      <c r="M21136" s="49">
        <f>IF($A$4+211&gt;$B$4,"",$A$4+211)</f>
        <v>46234</v>
      </c>
      <c r="N21136" t="str">
        <f>IF(M21136="","",'Master Barang'!A30)</f>
        <v>PRL-029</v>
      </c>
      <c r="O21136" t="str">
        <f>IF(N21136="","",'Master Barang'!B30)</f>
        <v>ctik plastik 6x10 100 pcs</v>
      </c>
      <c r="P21136">
        <f>IF(OR(M21136="",N21136=""),"",SUMIFS('Barang Keluar'!$E:$E,'Barang Keluar'!$A:$A,M21136,'Barang Keluar'!$C:$C,N21136))</f>
        <v>0</v>
      </c>
    </row>
    <row r="21137" spans="13:16">
      <c r="M21137" s="49">
        <f>IF($A$4+211&gt;$B$4,"",$A$4+211)</f>
        <v>46234</v>
      </c>
      <c r="N21137" t="str">
        <f>IF(M21137="","",'Master Barang'!A31)</f>
        <v>PRL-030</v>
      </c>
      <c r="O21137" t="str">
        <f>IF(N21137="","",'Master Barang'!B31)</f>
        <v>klip plastik 25x16 100 pcs</v>
      </c>
      <c r="P21137">
        <f>IF(OR(M21137="",N21137=""),"",SUMIFS('Barang Keluar'!$E:$E,'Barang Keluar'!$A:$A,M21137,'Barang Keluar'!$C:$C,N21137))</f>
        <v>0</v>
      </c>
    </row>
    <row r="21138" spans="13:16">
      <c r="M21138" s="49">
        <f>IF($A$4+211&gt;$B$4,"",$A$4+211)</f>
        <v>46234</v>
      </c>
      <c r="N21138" t="str">
        <f>IF(M21138="","",'Master Barang'!A32)</f>
        <v>PRL-031</v>
      </c>
      <c r="O21138" t="str">
        <f>IF(N21138="","",'Master Barang'!B32)</f>
        <v>tempat saus 20 ml</v>
      </c>
      <c r="P21138">
        <f>IF(OR(M21138="",N21138=""),"",SUMIFS('Barang Keluar'!$E:$E,'Barang Keluar'!$A:$A,M21138,'Barang Keluar'!$C:$C,N21138))</f>
        <v>0</v>
      </c>
    </row>
    <row r="21139" spans="13:16">
      <c r="M21139" s="49">
        <f>IF($A$4+211&gt;$B$4,"",$A$4+211)</f>
        <v>46234</v>
      </c>
      <c r="N21139" t="str">
        <f>IF(M21139="","",'Master Barang'!A33)</f>
        <v>PRL-032</v>
      </c>
      <c r="O21139" t="str">
        <f>IF(N21139="","",'Master Barang'!B33)</f>
        <v>plastik packaging ag box uk sedang</v>
      </c>
      <c r="P21139">
        <f>IF(OR(M21139="",N21139=""),"",SUMIFS('Barang Keluar'!$E:$E,'Barang Keluar'!$A:$A,M21139,'Barang Keluar'!$C:$C,N21139))</f>
        <v>0</v>
      </c>
    </row>
    <row r="21140" spans="13:16">
      <c r="M21140" s="49">
        <f>IF($A$4+211&gt;$B$4,"",$A$4+211)</f>
        <v>46234</v>
      </c>
      <c r="N21140" t="str">
        <f>IF(M21140="","",'Master Barang'!A34)</f>
        <v>PRL-033</v>
      </c>
      <c r="O21140">
        <f>IF(N21140="","",'Master Barang'!B34)</f>
        <v>0</v>
      </c>
      <c r="P21140">
        <f>IF(OR(M21140="",N21140=""),"",SUMIFS('Barang Keluar'!$E:$E,'Barang Keluar'!$A:$A,M21140,'Barang Keluar'!$C:$C,N21140))</f>
        <v>0</v>
      </c>
    </row>
    <row r="21141" spans="13:16">
      <c r="M21141" s="49">
        <f>IF($A$4+211&gt;$B$4,"",$A$4+211)</f>
        <v>46234</v>
      </c>
      <c r="N21141">
        <f>IF(M21141="","",'Master Barang'!A35)</f>
        <v>0</v>
      </c>
      <c r="O21141">
        <f>IF(N21141="","",'Master Barang'!B35)</f>
        <v>0</v>
      </c>
      <c r="P21141">
        <f>IF(OR(M21141="",N21141=""),"",SUMIFS('Barang Keluar'!$E:$E,'Barang Keluar'!$A:$A,M21141,'Barang Keluar'!$C:$C,N21141))</f>
        <v>0</v>
      </c>
    </row>
    <row r="21142" spans="13:16">
      <c r="M21142" s="49">
        <f>IF($A$4+211&gt;$B$4,"",$A$4+211)</f>
        <v>46234</v>
      </c>
      <c r="N21142">
        <f>IF(M21142="","",'Master Barang'!A36)</f>
        <v>0</v>
      </c>
      <c r="O21142">
        <f>IF(N21142="","",'Master Barang'!B36)</f>
        <v>0</v>
      </c>
      <c r="P21142">
        <f>IF(OR(M21142="",N21142=""),"",SUMIFS('Barang Keluar'!$E:$E,'Barang Keluar'!$A:$A,M21142,'Barang Keluar'!$C:$C,N21142))</f>
        <v>0</v>
      </c>
    </row>
    <row r="21143" spans="13:16">
      <c r="M21143" s="49">
        <f>IF($A$4+211&gt;$B$4,"",$A$4+211)</f>
        <v>46234</v>
      </c>
      <c r="N21143">
        <f>IF(M21143="","",'Master Barang'!A37)</f>
        <v>0</v>
      </c>
      <c r="O21143">
        <f>IF(N21143="","",'Master Barang'!B37)</f>
        <v>0</v>
      </c>
      <c r="P21143">
        <f>IF(OR(M21143="",N21143=""),"",SUMIFS('Barang Keluar'!$E:$E,'Barang Keluar'!$A:$A,M21143,'Barang Keluar'!$C:$C,N21143))</f>
        <v>0</v>
      </c>
    </row>
    <row r="21144" spans="13:16">
      <c r="M21144" s="49">
        <f>IF($A$4+211&gt;$B$4,"",$A$4+211)</f>
        <v>46234</v>
      </c>
      <c r="N21144">
        <f>IF(M21144="","",'Master Barang'!A38)</f>
        <v>0</v>
      </c>
      <c r="O21144">
        <f>IF(N21144="","",'Master Barang'!B38)</f>
        <v>0</v>
      </c>
      <c r="P21144">
        <f>IF(OR(M21144="",N21144=""),"",SUMIFS('Barang Keluar'!$E:$E,'Barang Keluar'!$A:$A,M21144,'Barang Keluar'!$C:$C,N21144))</f>
        <v>0</v>
      </c>
    </row>
    <row r="21145" spans="13:16">
      <c r="M21145" s="49">
        <f>IF($A$4+211&gt;$B$4,"",$A$4+211)</f>
        <v>46234</v>
      </c>
      <c r="N21145">
        <f>IF(M21145="","",'Master Barang'!A39)</f>
        <v>0</v>
      </c>
      <c r="O21145">
        <f>IF(N21145="","",'Master Barang'!B39)</f>
        <v>0</v>
      </c>
      <c r="P21145">
        <f>IF(OR(M21145="",N21145=""),"",SUMIFS('Barang Keluar'!$E:$E,'Barang Keluar'!$A:$A,M21145,'Barang Keluar'!$C:$C,N21145))</f>
        <v>0</v>
      </c>
    </row>
    <row r="21146" spans="13:16">
      <c r="M21146" s="49">
        <f>IF($A$4+211&gt;$B$4,"",$A$4+211)</f>
        <v>46234</v>
      </c>
      <c r="N21146">
        <f>IF(M21146="","",'Master Barang'!A40)</f>
        <v>0</v>
      </c>
      <c r="O21146">
        <f>IF(N21146="","",'Master Barang'!B40)</f>
        <v>0</v>
      </c>
      <c r="P21146">
        <f>IF(OR(M21146="",N21146=""),"",SUMIFS('Barang Keluar'!$E:$E,'Barang Keluar'!$A:$A,M21146,'Barang Keluar'!$C:$C,N21146))</f>
        <v>0</v>
      </c>
    </row>
    <row r="21147" spans="13:16">
      <c r="M21147" s="49">
        <f>IF($A$4+211&gt;$B$4,"",$A$4+211)</f>
        <v>46234</v>
      </c>
      <c r="N21147">
        <f>IF(M21147="","",'Master Barang'!A41)</f>
        <v>0</v>
      </c>
      <c r="O21147">
        <f>IF(N21147="","",'Master Barang'!B41)</f>
        <v>0</v>
      </c>
      <c r="P21147">
        <f>IF(OR(M21147="",N21147=""),"",SUMIFS('Barang Keluar'!$E:$E,'Barang Keluar'!$A:$A,M21147,'Barang Keluar'!$C:$C,N21147))</f>
        <v>0</v>
      </c>
    </row>
    <row r="21148" spans="13:16">
      <c r="M21148" s="49">
        <f>IF($A$4+211&gt;$B$4,"",$A$4+211)</f>
        <v>46234</v>
      </c>
      <c r="N21148">
        <f>IF(M21148="","",'Master Barang'!A42)</f>
        <v>0</v>
      </c>
      <c r="O21148">
        <f>IF(N21148="","",'Master Barang'!B42)</f>
        <v>0</v>
      </c>
      <c r="P21148">
        <f>IF(OR(M21148="",N21148=""),"",SUMIFS('Barang Keluar'!$E:$E,'Barang Keluar'!$A:$A,M21148,'Barang Keluar'!$C:$C,N21148))</f>
        <v>0</v>
      </c>
    </row>
    <row r="21149" spans="13:16">
      <c r="M21149" s="49">
        <f>IF($A$4+211&gt;$B$4,"",$A$4+211)</f>
        <v>46234</v>
      </c>
      <c r="N21149">
        <f>IF(M21149="","",'Master Barang'!A43)</f>
        <v>0</v>
      </c>
      <c r="O21149">
        <f>IF(N21149="","",'Master Barang'!B43)</f>
        <v>0</v>
      </c>
      <c r="P21149">
        <f>IF(OR(M21149="",N21149=""),"",SUMIFS('Barang Keluar'!$E:$E,'Barang Keluar'!$A:$A,M21149,'Barang Keluar'!$C:$C,N21149))</f>
        <v>0</v>
      </c>
    </row>
    <row r="21150" spans="13:16">
      <c r="M21150" s="49">
        <f>IF($A$4+211&gt;$B$4,"",$A$4+211)</f>
        <v>46234</v>
      </c>
      <c r="N21150">
        <f>IF(M21150="","",'Master Barang'!A44)</f>
        <v>0</v>
      </c>
      <c r="O21150">
        <f>IF(N21150="","",'Master Barang'!B44)</f>
        <v>0</v>
      </c>
      <c r="P21150">
        <f>IF(OR(M21150="",N21150=""),"",SUMIFS('Barang Keluar'!$E:$E,'Barang Keluar'!$A:$A,M21150,'Barang Keluar'!$C:$C,N21150))</f>
        <v>0</v>
      </c>
    </row>
    <row r="21151" spans="13:16">
      <c r="M21151" s="49">
        <f>IF($A$4+211&gt;$B$4,"",$A$4+211)</f>
        <v>46234</v>
      </c>
      <c r="N21151">
        <f>IF(M21151="","",'Master Barang'!A45)</f>
        <v>0</v>
      </c>
      <c r="O21151">
        <f>IF(N21151="","",'Master Barang'!B45)</f>
        <v>0</v>
      </c>
      <c r="P21151">
        <f>IF(OR(M21151="",N21151=""),"",SUMIFS('Barang Keluar'!$E:$E,'Barang Keluar'!$A:$A,M21151,'Barang Keluar'!$C:$C,N21151))</f>
        <v>0</v>
      </c>
    </row>
    <row r="21152" spans="13:16">
      <c r="M21152" s="49">
        <f>IF($A$4+211&gt;$B$4,"",$A$4+211)</f>
        <v>46234</v>
      </c>
      <c r="N21152">
        <f>IF(M21152="","",'Master Barang'!A46)</f>
        <v>0</v>
      </c>
      <c r="O21152">
        <f>IF(N21152="","",'Master Barang'!B46)</f>
        <v>0</v>
      </c>
      <c r="P21152">
        <f>IF(OR(M21152="",N21152=""),"",SUMIFS('Barang Keluar'!$E:$E,'Barang Keluar'!$A:$A,M21152,'Barang Keluar'!$C:$C,N21152))</f>
        <v>0</v>
      </c>
    </row>
    <row r="21153" spans="13:16">
      <c r="M21153" s="49">
        <f>IF($A$4+211&gt;$B$4,"",$A$4+211)</f>
        <v>46234</v>
      </c>
      <c r="N21153">
        <f>IF(M21153="","",'Master Barang'!A47)</f>
        <v>0</v>
      </c>
      <c r="O21153">
        <f>IF(N21153="","",'Master Barang'!B47)</f>
        <v>0</v>
      </c>
      <c r="P21153">
        <f>IF(OR(M21153="",N21153=""),"",SUMIFS('Barang Keluar'!$E:$E,'Barang Keluar'!$A:$A,M21153,'Barang Keluar'!$C:$C,N21153))</f>
        <v>0</v>
      </c>
    </row>
    <row r="21154" spans="13:16">
      <c r="M21154" s="49">
        <f>IF($A$4+211&gt;$B$4,"",$A$4+211)</f>
        <v>46234</v>
      </c>
      <c r="N21154">
        <f>IF(M21154="","",'Master Barang'!A48)</f>
        <v>0</v>
      </c>
      <c r="O21154">
        <f>IF(N21154="","",'Master Barang'!B48)</f>
        <v>0</v>
      </c>
      <c r="P21154">
        <f>IF(OR(M21154="",N21154=""),"",SUMIFS('Barang Keluar'!$E:$E,'Barang Keluar'!$A:$A,M21154,'Barang Keluar'!$C:$C,N21154))</f>
        <v>0</v>
      </c>
    </row>
    <row r="21155" spans="13:16">
      <c r="M21155" s="49">
        <f>IF($A$4+211&gt;$B$4,"",$A$4+211)</f>
        <v>46234</v>
      </c>
      <c r="N21155">
        <f>IF(M21155="","",'Master Barang'!A49)</f>
        <v>0</v>
      </c>
      <c r="O21155">
        <f>IF(N21155="","",'Master Barang'!B49)</f>
        <v>0</v>
      </c>
      <c r="P21155">
        <f>IF(OR(M21155="",N21155=""),"",SUMIFS('Barang Keluar'!$E:$E,'Barang Keluar'!$A:$A,M21155,'Barang Keluar'!$C:$C,N21155))</f>
        <v>0</v>
      </c>
    </row>
    <row r="21156" spans="13:16">
      <c r="M21156" s="49">
        <f>IF($A$4+211&gt;$B$4,"",$A$4+211)</f>
        <v>46234</v>
      </c>
      <c r="N21156">
        <f>IF(M21156="","",'Master Barang'!A50)</f>
        <v>0</v>
      </c>
      <c r="O21156">
        <f>IF(N21156="","",'Master Barang'!B50)</f>
        <v>0</v>
      </c>
      <c r="P21156">
        <f>IF(OR(M21156="",N21156=""),"",SUMIFS('Barang Keluar'!$E:$E,'Barang Keluar'!$A:$A,M21156,'Barang Keluar'!$C:$C,N21156))</f>
        <v>0</v>
      </c>
    </row>
    <row r="21157" spans="13:16">
      <c r="M21157" s="49">
        <f>IF($A$4+211&gt;$B$4,"",$A$4+211)</f>
        <v>46234</v>
      </c>
      <c r="N21157">
        <f>IF(M21157="","",'Master Barang'!A51)</f>
        <v>0</v>
      </c>
      <c r="O21157">
        <f>IF(N21157="","",'Master Barang'!B51)</f>
        <v>0</v>
      </c>
      <c r="P21157">
        <f>IF(OR(M21157="",N21157=""),"",SUMIFS('Barang Keluar'!$E:$E,'Barang Keluar'!$A:$A,M21157,'Barang Keluar'!$C:$C,N21157))</f>
        <v>0</v>
      </c>
    </row>
    <row r="21158" spans="13:16">
      <c r="M21158" s="49">
        <f>IF($A$4+211&gt;$B$4,"",$A$4+211)</f>
        <v>46234</v>
      </c>
      <c r="N21158">
        <f>IF(M21158="","",'Master Barang'!A52)</f>
        <v>0</v>
      </c>
      <c r="O21158">
        <f>IF(N21158="","",'Master Barang'!B52)</f>
        <v>0</v>
      </c>
      <c r="P21158">
        <f>IF(OR(M21158="",N21158=""),"",SUMIFS('Barang Keluar'!$E:$E,'Barang Keluar'!$A:$A,M21158,'Barang Keluar'!$C:$C,N21158))</f>
        <v>0</v>
      </c>
    </row>
    <row r="21159" spans="13:16">
      <c r="M21159" s="49">
        <f>IF($A$4+211&gt;$B$4,"",$A$4+211)</f>
        <v>46234</v>
      </c>
      <c r="N21159">
        <f>IF(M21159="","",'Master Barang'!A53)</f>
        <v>0</v>
      </c>
      <c r="O21159">
        <f>IF(N21159="","",'Master Barang'!B53)</f>
        <v>0</v>
      </c>
      <c r="P21159">
        <f>IF(OR(M21159="",N21159=""),"",SUMIFS('Barang Keluar'!$E:$E,'Barang Keluar'!$A:$A,M21159,'Barang Keluar'!$C:$C,N21159))</f>
        <v>0</v>
      </c>
    </row>
    <row r="21160" spans="13:16">
      <c r="M21160" s="49">
        <f>IF($A$4+211&gt;$B$4,"",$A$4+211)</f>
        <v>46234</v>
      </c>
      <c r="N21160">
        <f>IF(M21160="","",'Master Barang'!A54)</f>
        <v>0</v>
      </c>
      <c r="O21160">
        <f>IF(N21160="","",'Master Barang'!B54)</f>
        <v>0</v>
      </c>
      <c r="P21160">
        <f>IF(OR(M21160="",N21160=""),"",SUMIFS('Barang Keluar'!$E:$E,'Barang Keluar'!$A:$A,M21160,'Barang Keluar'!$C:$C,N21160))</f>
        <v>0</v>
      </c>
    </row>
    <row r="21161" spans="13:16">
      <c r="M21161" s="49">
        <f>IF($A$4+211&gt;$B$4,"",$A$4+211)</f>
        <v>46234</v>
      </c>
      <c r="N21161">
        <f>IF(M21161="","",'Master Barang'!A55)</f>
        <v>0</v>
      </c>
      <c r="O21161">
        <f>IF(N21161="","",'Master Barang'!B55)</f>
        <v>0</v>
      </c>
      <c r="P21161">
        <f>IF(OR(M21161="",N21161=""),"",SUMIFS('Barang Keluar'!$E:$E,'Barang Keluar'!$A:$A,M21161,'Barang Keluar'!$C:$C,N21161))</f>
        <v>0</v>
      </c>
    </row>
    <row r="21162" spans="13:16">
      <c r="M21162" s="49">
        <f>IF($A$4+211&gt;$B$4,"",$A$4+211)</f>
        <v>46234</v>
      </c>
      <c r="N21162">
        <f>IF(M21162="","",'Master Barang'!A56)</f>
        <v>0</v>
      </c>
      <c r="O21162">
        <f>IF(N21162="","",'Master Barang'!B56)</f>
        <v>0</v>
      </c>
      <c r="P21162">
        <f>IF(OR(M21162="",N21162=""),"",SUMIFS('Barang Keluar'!$E:$E,'Barang Keluar'!$A:$A,M21162,'Barang Keluar'!$C:$C,N21162))</f>
        <v>0</v>
      </c>
    </row>
    <row r="21163" spans="13:16">
      <c r="M21163" s="49">
        <f>IF($A$4+211&gt;$B$4,"",$A$4+211)</f>
        <v>46234</v>
      </c>
      <c r="N21163">
        <f>IF(M21163="","",'Master Barang'!A57)</f>
        <v>0</v>
      </c>
      <c r="O21163">
        <f>IF(N21163="","",'Master Barang'!B57)</f>
        <v>0</v>
      </c>
      <c r="P21163">
        <f>IF(OR(M21163="",N21163=""),"",SUMIFS('Barang Keluar'!$E:$E,'Barang Keluar'!$A:$A,M21163,'Barang Keluar'!$C:$C,N21163))</f>
        <v>0</v>
      </c>
    </row>
    <row r="21164" spans="13:16">
      <c r="M21164" s="49">
        <f>IF($A$4+211&gt;$B$4,"",$A$4+211)</f>
        <v>46234</v>
      </c>
      <c r="N21164">
        <f>IF(M21164="","",'Master Barang'!A58)</f>
        <v>0</v>
      </c>
      <c r="O21164">
        <f>IF(N21164="","",'Master Barang'!B58)</f>
        <v>0</v>
      </c>
      <c r="P21164">
        <f>IF(OR(M21164="",N21164=""),"",SUMIFS('Barang Keluar'!$E:$E,'Barang Keluar'!$A:$A,M21164,'Barang Keluar'!$C:$C,N21164))</f>
        <v>0</v>
      </c>
    </row>
    <row r="21165" spans="13:16">
      <c r="M21165" s="49">
        <f>IF($A$4+211&gt;$B$4,"",$A$4+211)</f>
        <v>46234</v>
      </c>
      <c r="N21165">
        <f>IF(M21165="","",'Master Barang'!A59)</f>
        <v>0</v>
      </c>
      <c r="O21165">
        <f>IF(N21165="","",'Master Barang'!B59)</f>
        <v>0</v>
      </c>
      <c r="P21165">
        <f>IF(OR(M21165="",N21165=""),"",SUMIFS('Barang Keluar'!$E:$E,'Barang Keluar'!$A:$A,M21165,'Barang Keluar'!$C:$C,N21165))</f>
        <v>0</v>
      </c>
    </row>
    <row r="21166" spans="13:16">
      <c r="M21166" s="49">
        <f>IF($A$4+211&gt;$B$4,"",$A$4+211)</f>
        <v>46234</v>
      </c>
      <c r="N21166">
        <f>IF(M21166="","",'Master Barang'!A60)</f>
        <v>0</v>
      </c>
      <c r="O21166">
        <f>IF(N21166="","",'Master Barang'!B60)</f>
        <v>0</v>
      </c>
      <c r="P21166">
        <f>IF(OR(M21166="",N21166=""),"",SUMIFS('Barang Keluar'!$E:$E,'Barang Keluar'!$A:$A,M21166,'Barang Keluar'!$C:$C,N21166))</f>
        <v>0</v>
      </c>
    </row>
    <row r="21167" spans="13:16">
      <c r="M21167" s="49">
        <f>IF($A$4+211&gt;$B$4,"",$A$4+211)</f>
        <v>46234</v>
      </c>
      <c r="N21167">
        <f>IF(M21167="","",'Master Barang'!A61)</f>
        <v>0</v>
      </c>
      <c r="O21167">
        <f>IF(N21167="","",'Master Barang'!B61)</f>
        <v>0</v>
      </c>
      <c r="P21167">
        <f>IF(OR(M21167="",N21167=""),"",SUMIFS('Barang Keluar'!$E:$E,'Barang Keluar'!$A:$A,M21167,'Barang Keluar'!$C:$C,N21167))</f>
        <v>0</v>
      </c>
    </row>
    <row r="21168" spans="13:16">
      <c r="M21168" s="49">
        <f>IF($A$4+211&gt;$B$4,"",$A$4+211)</f>
        <v>46234</v>
      </c>
      <c r="N21168">
        <f>IF(M21168="","",'Master Barang'!A62)</f>
        <v>0</v>
      </c>
      <c r="O21168">
        <f>IF(N21168="","",'Master Barang'!B62)</f>
        <v>0</v>
      </c>
      <c r="P21168">
        <f>IF(OR(M21168="",N21168=""),"",SUMIFS('Barang Keluar'!$E:$E,'Barang Keluar'!$A:$A,M21168,'Barang Keluar'!$C:$C,N21168))</f>
        <v>0</v>
      </c>
    </row>
    <row r="21169" spans="13:16">
      <c r="M21169" s="49">
        <f>IF($A$4+211&gt;$B$4,"",$A$4+211)</f>
        <v>46234</v>
      </c>
      <c r="N21169">
        <f>IF(M21169="","",'Master Barang'!A63)</f>
        <v>0</v>
      </c>
      <c r="O21169">
        <f>IF(N21169="","",'Master Barang'!B63)</f>
        <v>0</v>
      </c>
      <c r="P21169">
        <f>IF(OR(M21169="",N21169=""),"",SUMIFS('Barang Keluar'!$E:$E,'Barang Keluar'!$A:$A,M21169,'Barang Keluar'!$C:$C,N21169))</f>
        <v>0</v>
      </c>
    </row>
    <row r="21170" spans="13:16">
      <c r="M21170" s="49">
        <f>IF($A$4+211&gt;$B$4,"",$A$4+211)</f>
        <v>46234</v>
      </c>
      <c r="N21170">
        <f>IF(M21170="","",'Master Barang'!A64)</f>
        <v>0</v>
      </c>
      <c r="O21170">
        <f>IF(N21170="","",'Master Barang'!B64)</f>
        <v>0</v>
      </c>
      <c r="P21170">
        <f>IF(OR(M21170="",N21170=""),"",SUMIFS('Barang Keluar'!$E:$E,'Barang Keluar'!$A:$A,M21170,'Barang Keluar'!$C:$C,N21170))</f>
        <v>0</v>
      </c>
    </row>
    <row r="21171" spans="13:16">
      <c r="M21171" s="49">
        <f>IF($A$4+211&gt;$B$4,"",$A$4+211)</f>
        <v>46234</v>
      </c>
      <c r="N21171">
        <f>IF(M21171="","",'Master Barang'!A65)</f>
        <v>0</v>
      </c>
      <c r="O21171">
        <f>IF(N21171="","",'Master Barang'!B65)</f>
        <v>0</v>
      </c>
      <c r="P21171">
        <f>IF(OR(M21171="",N21171=""),"",SUMIFS('Barang Keluar'!$E:$E,'Barang Keluar'!$A:$A,M21171,'Barang Keluar'!$C:$C,N21171))</f>
        <v>0</v>
      </c>
    </row>
    <row r="21172" spans="13:16">
      <c r="M21172" s="49">
        <f>IF($A$4+211&gt;$B$4,"",$A$4+211)</f>
        <v>46234</v>
      </c>
      <c r="N21172">
        <f>IF(M21172="","",'Master Barang'!A66)</f>
        <v>0</v>
      </c>
      <c r="O21172">
        <f>IF(N21172="","",'Master Barang'!B66)</f>
        <v>0</v>
      </c>
      <c r="P21172">
        <f>IF(OR(M21172="",N21172=""),"",SUMIFS('Barang Keluar'!$E:$E,'Barang Keluar'!$A:$A,M21172,'Barang Keluar'!$C:$C,N21172))</f>
        <v>0</v>
      </c>
    </row>
    <row r="21173" spans="13:16">
      <c r="M21173" s="49">
        <f>IF($A$4+211&gt;$B$4,"",$A$4+211)</f>
        <v>46234</v>
      </c>
      <c r="N21173">
        <f>IF(M21173="","",'Master Barang'!A67)</f>
        <v>0</v>
      </c>
      <c r="O21173">
        <f>IF(N21173="","",'Master Barang'!B67)</f>
        <v>0</v>
      </c>
      <c r="P21173">
        <f>IF(OR(M21173="",N21173=""),"",SUMIFS('Barang Keluar'!$E:$E,'Barang Keluar'!$A:$A,M21173,'Barang Keluar'!$C:$C,N21173))</f>
        <v>0</v>
      </c>
    </row>
    <row r="21174" spans="13:16">
      <c r="M21174" s="49">
        <f>IF($A$4+211&gt;$B$4,"",$A$4+211)</f>
        <v>46234</v>
      </c>
      <c r="N21174">
        <f>IF(M21174="","",'Master Barang'!A68)</f>
        <v>0</v>
      </c>
      <c r="O21174">
        <f>IF(N21174="","",'Master Barang'!B68)</f>
        <v>0</v>
      </c>
      <c r="P21174">
        <f>IF(OR(M21174="",N21174=""),"",SUMIFS('Barang Keluar'!$E:$E,'Barang Keluar'!$A:$A,M21174,'Barang Keluar'!$C:$C,N21174))</f>
        <v>0</v>
      </c>
    </row>
    <row r="21175" spans="13:16">
      <c r="M21175" s="49">
        <f>IF($A$4+211&gt;$B$4,"",$A$4+211)</f>
        <v>46234</v>
      </c>
      <c r="N21175">
        <f>IF(M21175="","",'Master Barang'!A69)</f>
        <v>0</v>
      </c>
      <c r="O21175">
        <f>IF(N21175="","",'Master Barang'!B69)</f>
        <v>0</v>
      </c>
      <c r="P21175">
        <f>IF(OR(M21175="",N21175=""),"",SUMIFS('Barang Keluar'!$E:$E,'Barang Keluar'!$A:$A,M21175,'Barang Keluar'!$C:$C,N21175))</f>
        <v>0</v>
      </c>
    </row>
    <row r="21176" spans="13:16">
      <c r="M21176" s="49">
        <f>IF($A$4+211&gt;$B$4,"",$A$4+211)</f>
        <v>46234</v>
      </c>
      <c r="N21176">
        <f>IF(M21176="","",'Master Barang'!A70)</f>
        <v>0</v>
      </c>
      <c r="O21176">
        <f>IF(N21176="","",'Master Barang'!B70)</f>
        <v>0</v>
      </c>
      <c r="P21176">
        <f>IF(OR(M21176="",N21176=""),"",SUMIFS('Barang Keluar'!$E:$E,'Barang Keluar'!$A:$A,M21176,'Barang Keluar'!$C:$C,N21176))</f>
        <v>0</v>
      </c>
    </row>
    <row r="21177" spans="13:16">
      <c r="M21177" s="49">
        <f>IF($A$4+211&gt;$B$4,"",$A$4+211)</f>
        <v>46234</v>
      </c>
      <c r="N21177">
        <f>IF(M21177="","",'Master Barang'!A71)</f>
        <v>0</v>
      </c>
      <c r="O21177">
        <f>IF(N21177="","",'Master Barang'!B71)</f>
        <v>0</v>
      </c>
      <c r="P21177">
        <f>IF(OR(M21177="",N21177=""),"",SUMIFS('Barang Keluar'!$E:$E,'Barang Keluar'!$A:$A,M21177,'Barang Keluar'!$C:$C,N21177))</f>
        <v>0</v>
      </c>
    </row>
    <row r="21178" spans="13:16">
      <c r="M21178" s="49">
        <f>IF($A$4+211&gt;$B$4,"",$A$4+211)</f>
        <v>46234</v>
      </c>
      <c r="N21178">
        <f>IF(M21178="","",'Master Barang'!A72)</f>
        <v>0</v>
      </c>
      <c r="O21178">
        <f>IF(N21178="","",'Master Barang'!B72)</f>
        <v>0</v>
      </c>
      <c r="P21178">
        <f>IF(OR(M21178="",N21178=""),"",SUMIFS('Barang Keluar'!$E:$E,'Barang Keluar'!$A:$A,M21178,'Barang Keluar'!$C:$C,N21178))</f>
        <v>0</v>
      </c>
    </row>
    <row r="21179" spans="13:16">
      <c r="M21179" s="49">
        <f>IF($A$4+211&gt;$B$4,"",$A$4+211)</f>
        <v>46234</v>
      </c>
      <c r="N21179">
        <f>IF(M21179="","",'Master Barang'!A73)</f>
        <v>0</v>
      </c>
      <c r="O21179">
        <f>IF(N21179="","",'Master Barang'!B73)</f>
        <v>0</v>
      </c>
      <c r="P21179">
        <f>IF(OR(M21179="",N21179=""),"",SUMIFS('Barang Keluar'!$E:$E,'Barang Keluar'!$A:$A,M21179,'Barang Keluar'!$C:$C,N21179))</f>
        <v>0</v>
      </c>
    </row>
    <row r="21180" spans="13:16">
      <c r="M21180" s="49">
        <f>IF($A$4+211&gt;$B$4,"",$A$4+211)</f>
        <v>46234</v>
      </c>
      <c r="N21180">
        <f>IF(M21180="","",'Master Barang'!A74)</f>
        <v>0</v>
      </c>
      <c r="O21180">
        <f>IF(N21180="","",'Master Barang'!B74)</f>
        <v>0</v>
      </c>
      <c r="P21180">
        <f>IF(OR(M21180="",N21180=""),"",SUMIFS('Barang Keluar'!$E:$E,'Barang Keluar'!$A:$A,M21180,'Barang Keluar'!$C:$C,N21180))</f>
        <v>0</v>
      </c>
    </row>
    <row r="21181" spans="13:16">
      <c r="M21181" s="49">
        <f>IF($A$4+211&gt;$B$4,"",$A$4+211)</f>
        <v>46234</v>
      </c>
      <c r="N21181">
        <f>IF(M21181="","",'Master Barang'!A75)</f>
        <v>0</v>
      </c>
      <c r="O21181">
        <f>IF(N21181="","",'Master Barang'!B75)</f>
        <v>0</v>
      </c>
      <c r="P21181">
        <f>IF(OR(M21181="",N21181=""),"",SUMIFS('Barang Keluar'!$E:$E,'Barang Keluar'!$A:$A,M21181,'Barang Keluar'!$C:$C,N21181))</f>
        <v>0</v>
      </c>
    </row>
    <row r="21182" spans="13:16">
      <c r="M21182" s="49">
        <f>IF($A$4+211&gt;$B$4,"",$A$4+211)</f>
        <v>46234</v>
      </c>
      <c r="N21182">
        <f>IF(M21182="","",'Master Barang'!A76)</f>
        <v>0</v>
      </c>
      <c r="O21182">
        <f>IF(N21182="","",'Master Barang'!B76)</f>
        <v>0</v>
      </c>
      <c r="P21182">
        <f>IF(OR(M21182="",N21182=""),"",SUMIFS('Barang Keluar'!$E:$E,'Barang Keluar'!$A:$A,M21182,'Barang Keluar'!$C:$C,N21182))</f>
        <v>0</v>
      </c>
    </row>
    <row r="21183" spans="13:16">
      <c r="M21183" s="49">
        <f>IF($A$4+211&gt;$B$4,"",$A$4+211)</f>
        <v>46234</v>
      </c>
      <c r="N21183">
        <f>IF(M21183="","",'Master Barang'!A77)</f>
        <v>0</v>
      </c>
      <c r="O21183">
        <f>IF(N21183="","",'Master Barang'!B77)</f>
        <v>0</v>
      </c>
      <c r="P21183">
        <f>IF(OR(M21183="",N21183=""),"",SUMIFS('Barang Keluar'!$E:$E,'Barang Keluar'!$A:$A,M21183,'Barang Keluar'!$C:$C,N21183))</f>
        <v>0</v>
      </c>
    </row>
    <row r="21184" spans="13:16">
      <c r="M21184" s="49">
        <f>IF($A$4+211&gt;$B$4,"",$A$4+211)</f>
        <v>46234</v>
      </c>
      <c r="N21184">
        <f>IF(M21184="","",'Master Barang'!A78)</f>
        <v>0</v>
      </c>
      <c r="O21184">
        <f>IF(N21184="","",'Master Barang'!B78)</f>
        <v>0</v>
      </c>
      <c r="P21184">
        <f>IF(OR(M21184="",N21184=""),"",SUMIFS('Barang Keluar'!$E:$E,'Barang Keluar'!$A:$A,M21184,'Barang Keluar'!$C:$C,N21184))</f>
        <v>0</v>
      </c>
    </row>
    <row r="21185" spans="13:16">
      <c r="M21185" s="49">
        <f>IF($A$4+211&gt;$B$4,"",$A$4+211)</f>
        <v>46234</v>
      </c>
      <c r="N21185">
        <f>IF(M21185="","",'Master Barang'!A79)</f>
        <v>0</v>
      </c>
      <c r="O21185">
        <f>IF(N21185="","",'Master Barang'!B79)</f>
        <v>0</v>
      </c>
      <c r="P21185">
        <f>IF(OR(M21185="",N21185=""),"",SUMIFS('Barang Keluar'!$E:$E,'Barang Keluar'!$A:$A,M21185,'Barang Keluar'!$C:$C,N21185))</f>
        <v>0</v>
      </c>
    </row>
    <row r="21186" spans="13:16">
      <c r="M21186" s="49">
        <f>IF($A$4+211&gt;$B$4,"",$A$4+211)</f>
        <v>46234</v>
      </c>
      <c r="N21186">
        <f>IF(M21186="","",'Master Barang'!A80)</f>
        <v>0</v>
      </c>
      <c r="O21186">
        <f>IF(N21186="","",'Master Barang'!B80)</f>
        <v>0</v>
      </c>
      <c r="P21186">
        <f>IF(OR(M21186="",N21186=""),"",SUMIFS('Barang Keluar'!$E:$E,'Barang Keluar'!$A:$A,M21186,'Barang Keluar'!$C:$C,N21186))</f>
        <v>0</v>
      </c>
    </row>
    <row r="21187" spans="13:16">
      <c r="M21187" s="49">
        <f>IF($A$4+211&gt;$B$4,"",$A$4+211)</f>
        <v>46234</v>
      </c>
      <c r="N21187">
        <f>IF(M21187="","",'Master Barang'!A81)</f>
        <v>0</v>
      </c>
      <c r="O21187">
        <f>IF(N21187="","",'Master Barang'!B81)</f>
        <v>0</v>
      </c>
      <c r="P21187">
        <f>IF(OR(M21187="",N21187=""),"",SUMIFS('Barang Keluar'!$E:$E,'Barang Keluar'!$A:$A,M21187,'Barang Keluar'!$C:$C,N21187))</f>
        <v>0</v>
      </c>
    </row>
    <row r="21188" spans="13:16">
      <c r="M21188" s="49">
        <f>IF($A$4+211&gt;$B$4,"",$A$4+211)</f>
        <v>46234</v>
      </c>
      <c r="N21188">
        <f>IF(M21188="","",'Master Barang'!A82)</f>
        <v>0</v>
      </c>
      <c r="O21188">
        <f>IF(N21188="","",'Master Barang'!B82)</f>
        <v>0</v>
      </c>
      <c r="P21188">
        <f>IF(OR(M21188="",N21188=""),"",SUMIFS('Barang Keluar'!$E:$E,'Barang Keluar'!$A:$A,M21188,'Barang Keluar'!$C:$C,N21188))</f>
        <v>0</v>
      </c>
    </row>
    <row r="21189" spans="13:16">
      <c r="M21189" s="49">
        <f>IF($A$4+211&gt;$B$4,"",$A$4+211)</f>
        <v>46234</v>
      </c>
      <c r="N21189">
        <f>IF(M21189="","",'Master Barang'!A83)</f>
        <v>0</v>
      </c>
      <c r="O21189">
        <f>IF(N21189="","",'Master Barang'!B83)</f>
        <v>0</v>
      </c>
      <c r="P21189">
        <f>IF(OR(M21189="",N21189=""),"",SUMIFS('Barang Keluar'!$E:$E,'Barang Keluar'!$A:$A,M21189,'Barang Keluar'!$C:$C,N21189))</f>
        <v>0</v>
      </c>
    </row>
    <row r="21190" spans="13:16">
      <c r="M21190" s="49">
        <f>IF($A$4+211&gt;$B$4,"",$A$4+211)</f>
        <v>46234</v>
      </c>
      <c r="N21190">
        <f>IF(M21190="","",'Master Barang'!A84)</f>
        <v>0</v>
      </c>
      <c r="O21190">
        <f>IF(N21190="","",'Master Barang'!B84)</f>
        <v>0</v>
      </c>
      <c r="P21190">
        <f>IF(OR(M21190="",N21190=""),"",SUMIFS('Barang Keluar'!$E:$E,'Barang Keluar'!$A:$A,M21190,'Barang Keluar'!$C:$C,N21190))</f>
        <v>0</v>
      </c>
    </row>
    <row r="21191" spans="13:16">
      <c r="M21191" s="49">
        <f>IF($A$4+211&gt;$B$4,"",$A$4+211)</f>
        <v>46234</v>
      </c>
      <c r="N21191">
        <f>IF(M21191="","",'Master Barang'!A85)</f>
        <v>0</v>
      </c>
      <c r="O21191">
        <f>IF(N21191="","",'Master Barang'!B85)</f>
        <v>0</v>
      </c>
      <c r="P21191">
        <f>IF(OR(M21191="",N21191=""),"",SUMIFS('Barang Keluar'!$E:$E,'Barang Keluar'!$A:$A,M21191,'Barang Keluar'!$C:$C,N21191))</f>
        <v>0</v>
      </c>
    </row>
    <row r="21192" spans="13:16">
      <c r="M21192" s="49">
        <f>IF($A$4+211&gt;$B$4,"",$A$4+211)</f>
        <v>46234</v>
      </c>
      <c r="N21192">
        <f>IF(M21192="","",'Master Barang'!A86)</f>
        <v>0</v>
      </c>
      <c r="O21192">
        <f>IF(N21192="","",'Master Barang'!B86)</f>
        <v>0</v>
      </c>
      <c r="P21192">
        <f>IF(OR(M21192="",N21192=""),"",SUMIFS('Barang Keluar'!$E:$E,'Barang Keluar'!$A:$A,M21192,'Barang Keluar'!$C:$C,N21192))</f>
        <v>0</v>
      </c>
    </row>
    <row r="21193" spans="13:16">
      <c r="M21193" s="49">
        <f>IF($A$4+211&gt;$B$4,"",$A$4+211)</f>
        <v>46234</v>
      </c>
      <c r="N21193">
        <f>IF(M21193="","",'Master Barang'!A87)</f>
        <v>0</v>
      </c>
      <c r="O21193">
        <f>IF(N21193="","",'Master Barang'!B87)</f>
        <v>0</v>
      </c>
      <c r="P21193">
        <f>IF(OR(M21193="",N21193=""),"",SUMIFS('Barang Keluar'!$E:$E,'Barang Keluar'!$A:$A,M21193,'Barang Keluar'!$C:$C,N21193))</f>
        <v>0</v>
      </c>
    </row>
    <row r="21194" spans="13:16">
      <c r="M21194" s="49">
        <f>IF($A$4+211&gt;$B$4,"",$A$4+211)</f>
        <v>46234</v>
      </c>
      <c r="N21194">
        <f>IF(M21194="","",'Master Barang'!A88)</f>
        <v>0</v>
      </c>
      <c r="O21194">
        <f>IF(N21194="","",'Master Barang'!B88)</f>
        <v>0</v>
      </c>
      <c r="P21194">
        <f>IF(OR(M21194="",N21194=""),"",SUMIFS('Barang Keluar'!$E:$E,'Barang Keluar'!$A:$A,M21194,'Barang Keluar'!$C:$C,N21194))</f>
        <v>0</v>
      </c>
    </row>
    <row r="21195" spans="13:16">
      <c r="M21195" s="49">
        <f>IF($A$4+211&gt;$B$4,"",$A$4+211)</f>
        <v>46234</v>
      </c>
      <c r="N21195">
        <f>IF(M21195="","",'Master Barang'!A89)</f>
        <v>0</v>
      </c>
      <c r="O21195">
        <f>IF(N21195="","",'Master Barang'!B89)</f>
        <v>0</v>
      </c>
      <c r="P21195">
        <f>IF(OR(M21195="",N21195=""),"",SUMIFS('Barang Keluar'!$E:$E,'Barang Keluar'!$A:$A,M21195,'Barang Keluar'!$C:$C,N21195))</f>
        <v>0</v>
      </c>
    </row>
    <row r="21196" spans="13:16">
      <c r="M21196" s="49">
        <f>IF($A$4+211&gt;$B$4,"",$A$4+211)</f>
        <v>46234</v>
      </c>
      <c r="N21196">
        <f>IF(M21196="","",'Master Barang'!A90)</f>
        <v>0</v>
      </c>
      <c r="O21196">
        <f>IF(N21196="","",'Master Barang'!B90)</f>
        <v>0</v>
      </c>
      <c r="P21196">
        <f>IF(OR(M21196="",N21196=""),"",SUMIFS('Barang Keluar'!$E:$E,'Barang Keluar'!$A:$A,M21196,'Barang Keluar'!$C:$C,N21196))</f>
        <v>0</v>
      </c>
    </row>
    <row r="21197" spans="13:16">
      <c r="M21197" s="49">
        <f>IF($A$4+211&gt;$B$4,"",$A$4+211)</f>
        <v>46234</v>
      </c>
      <c r="N21197">
        <f>IF(M21197="","",'Master Barang'!A91)</f>
        <v>0</v>
      </c>
      <c r="O21197">
        <f>IF(N21197="","",'Master Barang'!B91)</f>
        <v>0</v>
      </c>
      <c r="P21197">
        <f>IF(OR(M21197="",N21197=""),"",SUMIFS('Barang Keluar'!$E:$E,'Barang Keluar'!$A:$A,M21197,'Barang Keluar'!$C:$C,N21197))</f>
        <v>0</v>
      </c>
    </row>
    <row r="21198" spans="13:16">
      <c r="M21198" s="49">
        <f>IF($A$4+211&gt;$B$4,"",$A$4+211)</f>
        <v>46234</v>
      </c>
      <c r="N21198">
        <f>IF(M21198="","",'Master Barang'!A92)</f>
        <v>0</v>
      </c>
      <c r="O21198">
        <f>IF(N21198="","",'Master Barang'!B92)</f>
        <v>0</v>
      </c>
      <c r="P21198">
        <f>IF(OR(M21198="",N21198=""),"",SUMIFS('Barang Keluar'!$E:$E,'Barang Keluar'!$A:$A,M21198,'Barang Keluar'!$C:$C,N21198))</f>
        <v>0</v>
      </c>
    </row>
    <row r="21199" spans="13:16">
      <c r="M21199" s="49">
        <f>IF($A$4+211&gt;$B$4,"",$A$4+211)</f>
        <v>46234</v>
      </c>
      <c r="N21199">
        <f>IF(M21199="","",'Master Barang'!A93)</f>
        <v>0</v>
      </c>
      <c r="O21199">
        <f>IF(N21199="","",'Master Barang'!B93)</f>
        <v>0</v>
      </c>
      <c r="P21199">
        <f>IF(OR(M21199="",N21199=""),"",SUMIFS('Barang Keluar'!$E:$E,'Barang Keluar'!$A:$A,M21199,'Barang Keluar'!$C:$C,N21199))</f>
        <v>0</v>
      </c>
    </row>
    <row r="21200" spans="13:16">
      <c r="M21200" s="49">
        <f>IF($A$4+211&gt;$B$4,"",$A$4+211)</f>
        <v>46234</v>
      </c>
      <c r="N21200">
        <f>IF(M21200="","",'Master Barang'!A94)</f>
        <v>0</v>
      </c>
      <c r="O21200">
        <f>IF(N21200="","",'Master Barang'!B94)</f>
        <v>0</v>
      </c>
      <c r="P21200">
        <f>IF(OR(M21200="",N21200=""),"",SUMIFS('Barang Keluar'!$E:$E,'Barang Keluar'!$A:$A,M21200,'Barang Keluar'!$C:$C,N21200))</f>
        <v>0</v>
      </c>
    </row>
    <row r="21201" spans="13:16">
      <c r="M21201" s="49">
        <f>IF($A$4+211&gt;$B$4,"",$A$4+211)</f>
        <v>46234</v>
      </c>
      <c r="N21201">
        <f>IF(M21201="","",'Master Barang'!A95)</f>
        <v>0</v>
      </c>
      <c r="O21201">
        <f>IF(N21201="","",'Master Barang'!B95)</f>
        <v>0</v>
      </c>
      <c r="P21201">
        <f>IF(OR(M21201="",N21201=""),"",SUMIFS('Barang Keluar'!$E:$E,'Barang Keluar'!$A:$A,M21201,'Barang Keluar'!$C:$C,N21201))</f>
        <v>0</v>
      </c>
    </row>
    <row r="21202" spans="13:16">
      <c r="M21202" s="49">
        <f>IF($A$4+211&gt;$B$4,"",$A$4+211)</f>
        <v>46234</v>
      </c>
      <c r="N21202">
        <f>IF(M21202="","",'Master Barang'!A96)</f>
        <v>0</v>
      </c>
      <c r="O21202">
        <f>IF(N21202="","",'Master Barang'!B96)</f>
        <v>0</v>
      </c>
      <c r="P21202">
        <f>IF(OR(M21202="",N21202=""),"",SUMIFS('Barang Keluar'!$E:$E,'Barang Keluar'!$A:$A,M21202,'Barang Keluar'!$C:$C,N21202))</f>
        <v>0</v>
      </c>
    </row>
    <row r="21203" spans="13:16">
      <c r="M21203" s="49">
        <f>IF($A$4+211&gt;$B$4,"",$A$4+211)</f>
        <v>46234</v>
      </c>
      <c r="N21203">
        <f>IF(M21203="","",'Master Barang'!A97)</f>
        <v>0</v>
      </c>
      <c r="O21203">
        <f>IF(N21203="","",'Master Barang'!B97)</f>
        <v>0</v>
      </c>
      <c r="P21203">
        <f>IF(OR(M21203="",N21203=""),"",SUMIFS('Barang Keluar'!$E:$E,'Barang Keluar'!$A:$A,M21203,'Barang Keluar'!$C:$C,N21203))</f>
        <v>0</v>
      </c>
    </row>
    <row r="21204" spans="13:16">
      <c r="M21204" s="49">
        <f>IF($A$4+211&gt;$B$4,"",$A$4+211)</f>
        <v>46234</v>
      </c>
      <c r="N21204">
        <f>IF(M21204="","",'Master Barang'!A98)</f>
        <v>0</v>
      </c>
      <c r="O21204">
        <f>IF(N21204="","",'Master Barang'!B98)</f>
        <v>0</v>
      </c>
      <c r="P21204">
        <f>IF(OR(M21204="",N21204=""),"",SUMIFS('Barang Keluar'!$E:$E,'Barang Keluar'!$A:$A,M21204,'Barang Keluar'!$C:$C,N21204))</f>
        <v>0</v>
      </c>
    </row>
    <row r="21205" spans="13:16">
      <c r="M21205" s="49">
        <f>IF($A$4+211&gt;$B$4,"",$A$4+211)</f>
        <v>46234</v>
      </c>
      <c r="N21205">
        <f>IF(M21205="","",'Master Barang'!A99)</f>
        <v>0</v>
      </c>
      <c r="O21205">
        <f>IF(N21205="","",'Master Barang'!B99)</f>
        <v>0</v>
      </c>
      <c r="P21205">
        <f>IF(OR(M21205="",N21205=""),"",SUMIFS('Barang Keluar'!$E:$E,'Barang Keluar'!$A:$A,M21205,'Barang Keluar'!$C:$C,N21205))</f>
        <v>0</v>
      </c>
    </row>
    <row r="21206" spans="13:16">
      <c r="M21206" s="49">
        <f>IF($A$4+211&gt;$B$4,"",$A$4+211)</f>
        <v>46234</v>
      </c>
      <c r="N21206">
        <f>IF(M21206="","",'Master Barang'!A100)</f>
        <v>0</v>
      </c>
      <c r="O21206">
        <f>IF(N21206="","",'Master Barang'!B100)</f>
        <v>0</v>
      </c>
      <c r="P21206">
        <f>IF(OR(M21206="",N21206=""),"",SUMIFS('Barang Keluar'!$E:$E,'Barang Keluar'!$A:$A,M21206,'Barang Keluar'!$C:$C,N21206))</f>
        <v>0</v>
      </c>
    </row>
    <row r="21207" spans="13:16">
      <c r="M21207" s="49">
        <f>IF($A$4+211&gt;$B$4,"",$A$4+211)</f>
        <v>46234</v>
      </c>
      <c r="N21207">
        <f>IF(M21207="","",'Master Barang'!A101)</f>
        <v>0</v>
      </c>
      <c r="O21207">
        <f>IF(N21207="","",'Master Barang'!B101)</f>
        <v>0</v>
      </c>
      <c r="P21207">
        <f>IF(OR(M21207="",N21207=""),"",SUMIFS('Barang Keluar'!$E:$E,'Barang Keluar'!$A:$A,M21207,'Barang Keluar'!$C:$C,N21207))</f>
        <v>0</v>
      </c>
    </row>
    <row r="21208" spans="13:16">
      <c r="M21208" s="49">
        <f>IF($A$4+212&gt;$B$4,"",$A$4+212)</f>
        <v>46235</v>
      </c>
      <c r="N21208" t="str">
        <f>IF(M21208="","",'Master Barang'!A2)</f>
        <v>PRL-001</v>
      </c>
      <c r="O21208" t="str">
        <f>IF(N21208="","",'Master Barang'!B2)</f>
        <v>natura desinfectant food grade 5l</v>
      </c>
      <c r="P21208">
        <f>IF(OR(M21208="",N21208=""),"",SUMIFS('Barang Keluar'!$E:$E,'Barang Keluar'!$A:$A,M21208,'Barang Keluar'!$C:$C,N21208))</f>
        <v>0</v>
      </c>
    </row>
    <row r="21209" spans="13:16">
      <c r="M21209" s="49">
        <f>IF($A$4+212&gt;$B$4,"",$A$4+212)</f>
        <v>46235</v>
      </c>
      <c r="N21209" t="str">
        <f>IF(M21209="","",'Master Barang'!A3)</f>
        <v>PRL-002</v>
      </c>
      <c r="O21209" t="str">
        <f>IF(N21209="","",'Master Barang'!B3)</f>
        <v>sunlight cairan pencuci piring 5l</v>
      </c>
      <c r="P21209">
        <f>IF(OR(M21209="",N21209=""),"",SUMIFS('Barang Keluar'!$E:$E,'Barang Keluar'!$A:$A,M21209,'Barang Keluar'!$C:$C,N21209))</f>
        <v>0</v>
      </c>
    </row>
    <row r="21210" spans="13:16">
      <c r="M21210" s="49">
        <f>IF($A$4+212&gt;$B$4,"",$A$4+212)</f>
        <v>46235</v>
      </c>
      <c r="N21210" t="str">
        <f>IF(M21210="","",'Master Barang'!A4)</f>
        <v>PRL-003</v>
      </c>
      <c r="O21210" t="str">
        <f>IF(N21210="","",'Master Barang'!B4)</f>
        <v>oixs cleaner 1l</v>
      </c>
      <c r="P21210">
        <f>IF(OR(M21210="",N21210=""),"",SUMIFS('Barang Keluar'!$E:$E,'Barang Keluar'!$A:$A,M21210,'Barang Keluar'!$C:$C,N21210))</f>
        <v>0</v>
      </c>
    </row>
    <row r="21211" spans="13:16">
      <c r="M21211" s="49">
        <f>IF($A$4+212&gt;$B$4,"",$A$4+212)</f>
        <v>46235</v>
      </c>
      <c r="N21211" t="str">
        <f>IF(M21211="","",'Master Barang'!A5)</f>
        <v>PRL-004</v>
      </c>
      <c r="O21211" t="str">
        <f>IF(N21211="","",'Master Barang'!B5)</f>
        <v>be clean tissue serbaguna</v>
      </c>
      <c r="P21211">
        <f>IF(OR(M21211="",N21211=""),"",SUMIFS('Barang Keluar'!$E:$E,'Barang Keluar'!$A:$A,M21211,'Barang Keluar'!$C:$C,N21211))</f>
        <v>0</v>
      </c>
    </row>
    <row r="21212" spans="13:16">
      <c r="M21212" s="49">
        <f>IF($A$4+212&gt;$B$4,"",$A$4+212)</f>
        <v>46235</v>
      </c>
      <c r="N21212" t="str">
        <f>IF(M21212="","",'Master Barang'!A6)</f>
        <v>PRL-005</v>
      </c>
      <c r="O21212" t="str">
        <f>IF(N21212="","",'Master Barang'!B6)</f>
        <v>spons cuci hijau</v>
      </c>
      <c r="P21212">
        <f>IF(OR(M21212="",N21212=""),"",SUMIFS('Barang Keluar'!$E:$E,'Barang Keluar'!$A:$A,M21212,'Barang Keluar'!$C:$C,N21212))</f>
        <v>0</v>
      </c>
    </row>
    <row r="21213" spans="13:16">
      <c r="M21213" s="49">
        <f>IF($A$4+212&gt;$B$4,"",$A$4+212)</f>
        <v>46235</v>
      </c>
      <c r="N21213" t="str">
        <f>IF(M21213="","",'Master Barang'!A7)</f>
        <v>PRL-006</v>
      </c>
      <c r="O21213" t="str">
        <f>IF(N21213="","",'Master Barang'!B7)</f>
        <v>sabut cuci stainless</v>
      </c>
      <c r="P21213">
        <f>IF(OR(M21213="",N21213=""),"",SUMIFS('Barang Keluar'!$E:$E,'Barang Keluar'!$A:$A,M21213,'Barang Keluar'!$C:$C,N21213))</f>
        <v>0</v>
      </c>
    </row>
    <row r="21214" spans="13:16">
      <c r="M21214" s="49">
        <f>IF($A$4+212&gt;$B$4,"",$A$4+212)</f>
        <v>46235</v>
      </c>
      <c r="N21214" t="str">
        <f>IF(M21214="","",'Master Barang'!A8)</f>
        <v>PRL-007</v>
      </c>
      <c r="O21214" t="str">
        <f>IF(N21214="","",'Master Barang'!B8)</f>
        <v>plastik kresek besar merah 50pc</v>
      </c>
      <c r="P21214">
        <f>IF(OR(M21214="",N21214=""),"",SUMIFS('Barang Keluar'!$E:$E,'Barang Keluar'!$A:$A,M21214,'Barang Keluar'!$C:$C,N21214))</f>
        <v>0</v>
      </c>
    </row>
    <row r="21215" spans="13:16">
      <c r="M21215" s="49">
        <f>IF($A$4+212&gt;$B$4,"",$A$4+212)</f>
        <v>46235</v>
      </c>
      <c r="N21215" t="str">
        <f>IF(M21215="","",'Master Barang'!A9)</f>
        <v>PRL-008</v>
      </c>
      <c r="O21215" t="str">
        <f>IF(N21215="","",'Master Barang'!B9)</f>
        <v>lap besar</v>
      </c>
      <c r="P21215">
        <f>IF(OR(M21215="",N21215=""),"",SUMIFS('Barang Keluar'!$E:$E,'Barang Keluar'!$A:$A,M21215,'Barang Keluar'!$C:$C,N21215))</f>
        <v>0</v>
      </c>
    </row>
    <row r="21216" spans="13:16">
      <c r="M21216" s="49">
        <f>IF($A$4+212&gt;$B$4,"",$A$4+212)</f>
        <v>46235</v>
      </c>
      <c r="N21216" t="str">
        <f>IF(M21216="","",'Master Barang'!A10)</f>
        <v>PRL-009</v>
      </c>
      <c r="O21216" t="str">
        <f>IF(N21216="","",'Master Barang'!B10)</f>
        <v>lap microfiber</v>
      </c>
      <c r="P21216">
        <f>IF(OR(M21216="",N21216=""),"",SUMIFS('Barang Keluar'!$E:$E,'Barang Keluar'!$A:$A,M21216,'Barang Keluar'!$C:$C,N21216))</f>
        <v>0</v>
      </c>
    </row>
    <row r="21217" spans="13:16">
      <c r="M21217" s="49">
        <f>IF($A$4+212&gt;$B$4,"",$A$4+212)</f>
        <v>46235</v>
      </c>
      <c r="N21217" t="str">
        <f>IF(M21217="","",'Master Barang'!A11)</f>
        <v>PRL-010</v>
      </c>
      <c r="O21217" t="str">
        <f>IF(N21217="","",'Master Barang'!B11)</f>
        <v>lap kecil</v>
      </c>
      <c r="P21217">
        <f>IF(OR(M21217="",N21217=""),"",SUMIFS('Barang Keluar'!$E:$E,'Barang Keluar'!$A:$A,M21217,'Barang Keluar'!$C:$C,N21217))</f>
        <v>0</v>
      </c>
    </row>
    <row r="21218" spans="13:16">
      <c r="M21218" s="49">
        <f>IF($A$4+212&gt;$B$4,"",$A$4+212)</f>
        <v>46235</v>
      </c>
      <c r="N21218" t="str">
        <f>IF(M21218="","",'Master Barang'!A12)</f>
        <v>PRL-011</v>
      </c>
      <c r="O21218" t="str">
        <f>IF(N21218="","",'Master Barang'!B12)</f>
        <v>kanebo kecil</v>
      </c>
      <c r="P21218">
        <f>IF(OR(M21218="",N21218=""),"",SUMIFS('Barang Keluar'!$E:$E,'Barang Keluar'!$A:$A,M21218,'Barang Keluar'!$C:$C,N21218))</f>
        <v>0</v>
      </c>
    </row>
    <row r="21219" spans="13:16">
      <c r="M21219" s="49">
        <f>IF($A$4+212&gt;$B$4,"",$A$4+212)</f>
        <v>46235</v>
      </c>
      <c r="N21219" t="str">
        <f>IF(M21219="","",'Master Barang'!A13)</f>
        <v>PRL-012</v>
      </c>
      <c r="O21219" t="str">
        <f>IF(N21219="","",'Master Barang'!B13)</f>
        <v>plastik 1/4kg joyoboyo 100 lembar</v>
      </c>
      <c r="P21219">
        <f>IF(OR(M21219="",N21219=""),"",SUMIFS('Barang Keluar'!$E:$E,'Barang Keluar'!$A:$A,M21219,'Barang Keluar'!$C:$C,N21219))</f>
        <v>0</v>
      </c>
    </row>
    <row r="21220" spans="13:16">
      <c r="M21220" s="49">
        <f>IF($A$4+212&gt;$B$4,"",$A$4+212)</f>
        <v>46235</v>
      </c>
      <c r="N21220" t="str">
        <f>IF(M21220="","",'Master Barang'!A14)</f>
        <v>PRL-013</v>
      </c>
      <c r="O21220" t="str">
        <f>IF(N21220="","",'Master Barang'!B14)</f>
        <v>sarung tangan plastik kaka 100 pcs</v>
      </c>
      <c r="P21220">
        <f>IF(OR(M21220="",N21220=""),"",SUMIFS('Barang Keluar'!$E:$E,'Barang Keluar'!$A:$A,M21220,'Barang Keluar'!$C:$C,N21220))</f>
        <v>0</v>
      </c>
    </row>
    <row r="21221" spans="13:16">
      <c r="M21221" s="49">
        <f>IF($A$4+212&gt;$B$4,"",$A$4+212)</f>
        <v>46235</v>
      </c>
      <c r="N21221" t="str">
        <f>IF(M21221="","",'Master Barang'!A15)</f>
        <v>PRL-014</v>
      </c>
      <c r="O21221" t="str">
        <f>IF(N21221="","",'Master Barang'!B15)</f>
        <v>optima trashbag 80x100</v>
      </c>
      <c r="P21221">
        <f>IF(OR(M21221="",N21221=""),"",SUMIFS('Barang Keluar'!$E:$E,'Barang Keluar'!$A:$A,M21221,'Barang Keluar'!$C:$C,N21221))</f>
        <v>0</v>
      </c>
    </row>
    <row r="21222" spans="13:16">
      <c r="M21222" s="49">
        <f>IF($A$4+212&gt;$B$4,"",$A$4+212)</f>
        <v>46235</v>
      </c>
      <c r="N21222" t="str">
        <f>IF(M21222="","",'Master Barang'!A16)</f>
        <v>PRL-015</v>
      </c>
      <c r="O21222" t="str">
        <f>IF(N21222="","",'Master Barang'!B16)</f>
        <v>optima trashbag 60x100</v>
      </c>
      <c r="P21222">
        <f>IF(OR(M21222="",N21222=""),"",SUMIFS('Barang Keluar'!$E:$E,'Barang Keluar'!$A:$A,M21222,'Barang Keluar'!$C:$C,N21222))</f>
        <v>0</v>
      </c>
    </row>
    <row r="21223" spans="13:16">
      <c r="M21223" s="49">
        <f>IF($A$4+212&gt;$B$4,"",$A$4+212)</f>
        <v>46235</v>
      </c>
      <c r="N21223" t="str">
        <f>IF(M21223="","",'Master Barang'!A17)</f>
        <v>PRL-016</v>
      </c>
      <c r="O21223" t="str">
        <f>IF(N21223="","",'Master Barang'!B17)</f>
        <v>rajawali trashbag 30x40</v>
      </c>
      <c r="P21223">
        <f>IF(OR(M21223="",N21223=""),"",SUMIFS('Barang Keluar'!$E:$E,'Barang Keluar'!$A:$A,M21223,'Barang Keluar'!$C:$C,N21223))</f>
        <v>0</v>
      </c>
    </row>
    <row r="21224" spans="13:16">
      <c r="M21224" s="49">
        <f>IF($A$4+212&gt;$B$4,"",$A$4+212)</f>
        <v>46235</v>
      </c>
      <c r="N21224" t="str">
        <f>IF(M21224="","",'Master Barang'!A18)</f>
        <v>PRL-017</v>
      </c>
      <c r="O21224" t="str">
        <f>IF(N21224="","",'Master Barang'!B18)</f>
        <v>onemed masker biru 3 play 50 pcs</v>
      </c>
      <c r="P21224">
        <f>IF(OR(M21224="",N21224=""),"",SUMIFS('Barang Keluar'!$E:$E,'Barang Keluar'!$A:$A,M21224,'Barang Keluar'!$C:$C,N21224))</f>
        <v>0</v>
      </c>
    </row>
    <row r="21225" spans="13:16">
      <c r="M21225" s="49">
        <f>IF($A$4+212&gt;$B$4,"",$A$4+212)</f>
        <v>46235</v>
      </c>
      <c r="N21225" t="str">
        <f>IF(M21225="","",'Master Barang'!A19)</f>
        <v>PRL-018</v>
      </c>
      <c r="O21225" t="str">
        <f>IF(N21225="","",'Master Barang'!B19)</f>
        <v>onemed masker biru 3 play hijab 50 pcs</v>
      </c>
      <c r="P21225">
        <f>IF(OR(M21225="",N21225=""),"",SUMIFS('Barang Keluar'!$E:$E,'Barang Keluar'!$A:$A,M21225,'Barang Keluar'!$C:$C,N21225))</f>
        <v>0</v>
      </c>
    </row>
    <row r="21226" spans="13:16">
      <c r="M21226" s="49">
        <f>IF($A$4+212&gt;$B$4,"",$A$4+212)</f>
        <v>46235</v>
      </c>
      <c r="N21226" t="str">
        <f>IF(M21226="","",'Master Barang'!A20)</f>
        <v>PRL-019</v>
      </c>
      <c r="O21226" t="str">
        <f>IF(N21226="","",'Master Barang'!B20)</f>
        <v>neo health masker biru 3 play 50 pcs</v>
      </c>
      <c r="P21226">
        <f>IF(OR(M21226="",N21226=""),"",SUMIFS('Barang Keluar'!$E:$E,'Barang Keluar'!$A:$A,M21226,'Barang Keluar'!$C:$C,N21226))</f>
        <v>0</v>
      </c>
    </row>
    <row r="21227" spans="13:16">
      <c r="M21227" s="49">
        <f>IF($A$4+212&gt;$B$4,"",$A$4+212)</f>
        <v>46235</v>
      </c>
      <c r="N21227" t="str">
        <f>IF(M21227="","",'Master Barang'!A21)</f>
        <v>PRL-020</v>
      </c>
      <c r="O21227" t="str">
        <f>IF(N21227="","",'Master Barang'!B21)</f>
        <v>baymed masker hijau 3 play hijau 50 pcs</v>
      </c>
      <c r="P21227">
        <f>IF(OR(M21227="",N21227=""),"",SUMIFS('Barang Keluar'!$E:$E,'Barang Keluar'!$A:$A,M21227,'Barang Keluar'!$C:$C,N21227))</f>
        <v>0</v>
      </c>
    </row>
    <row r="21228" spans="13:16">
      <c r="M21228" s="49">
        <f>IF($A$4+212&gt;$B$4,"",$A$4+212)</f>
        <v>46235</v>
      </c>
      <c r="N21228" t="str">
        <f>IF(M21228="","",'Master Barang'!A22)</f>
        <v>PRL-021</v>
      </c>
      <c r="O21228" t="str">
        <f>IF(N21228="","",'Master Barang'!B22)</f>
        <v>altamed nurse cap penutup kepala 100 pcs</v>
      </c>
      <c r="P21228">
        <f>IF(OR(M21228="",N21228=""),"",SUMIFS('Barang Keluar'!$E:$E,'Barang Keluar'!$A:$A,M21228,'Barang Keluar'!$C:$C,N21228))</f>
        <v>0</v>
      </c>
    </row>
    <row r="21229" spans="13:16">
      <c r="M21229" s="49">
        <f>IF($A$4+212&gt;$B$4,"",$A$4+212)</f>
        <v>46235</v>
      </c>
      <c r="N21229" t="str">
        <f>IF(M21229="","",'Master Barang'!A23)</f>
        <v>PRL-022</v>
      </c>
      <c r="O21229" t="str">
        <f>IF(N21229="","",'Master Barang'!B23)</f>
        <v>sabun cuci tangan</v>
      </c>
      <c r="P21229">
        <f>IF(OR(M21229="",N21229=""),"",SUMIFS('Barang Keluar'!$E:$E,'Barang Keluar'!$A:$A,M21229,'Barang Keluar'!$C:$C,N21229))</f>
        <v>0</v>
      </c>
    </row>
    <row r="21230" spans="13:16">
      <c r="M21230" s="49">
        <f>IF($A$4+212&gt;$B$4,"",$A$4+212)</f>
        <v>46235</v>
      </c>
      <c r="N21230" t="str">
        <f>IF(M21230="","",'Master Barang'!A24)</f>
        <v>PRL-023</v>
      </c>
      <c r="O21230" t="str">
        <f>IF(N21230="","",'Master Barang'!B24)</f>
        <v>gayung kecil</v>
      </c>
      <c r="P21230">
        <f>IF(OR(M21230="",N21230=""),"",SUMIFS('Barang Keluar'!$E:$E,'Barang Keluar'!$A:$A,M21230,'Barang Keluar'!$C:$C,N21230))</f>
        <v>0</v>
      </c>
    </row>
    <row r="21231" spans="13:16">
      <c r="M21231" s="49">
        <f>IF($A$4+212&gt;$B$4,"",$A$4+212)</f>
        <v>46235</v>
      </c>
      <c r="N21231" t="str">
        <f>IF(M21231="","",'Master Barang'!A25)</f>
        <v>PRL-024</v>
      </c>
      <c r="O21231" t="str">
        <f>IF(N21231="","",'Master Barang'!B25)</f>
        <v>cikrak kecil</v>
      </c>
      <c r="P21231">
        <f>IF(OR(M21231="",N21231=""),"",SUMIFS('Barang Keluar'!$E:$E,'Barang Keluar'!$A:$A,M21231,'Barang Keluar'!$C:$C,N21231))</f>
        <v>0</v>
      </c>
    </row>
    <row r="21232" spans="13:16">
      <c r="M21232" s="49">
        <f>IF($A$4+212&gt;$B$4,"",$A$4+212)</f>
        <v>46235</v>
      </c>
      <c r="N21232" t="str">
        <f>IF(M21232="","",'Master Barang'!A26)</f>
        <v>PRL-025</v>
      </c>
      <c r="O21232" t="str">
        <f>IF(N21232="","",'Master Barang'!B26)</f>
        <v>petromax plastik kecil 12x24 100 lembar</v>
      </c>
      <c r="P21232">
        <f>IF(OR(M21232="",N21232=""),"",SUMIFS('Barang Keluar'!$E:$E,'Barang Keluar'!$A:$A,M21232,'Barang Keluar'!$C:$C,N21232))</f>
        <v>0</v>
      </c>
    </row>
    <row r="21233" spans="13:16">
      <c r="M21233" s="49">
        <f>IF($A$4+212&gt;$B$4,"",$A$4+212)</f>
        <v>46235</v>
      </c>
      <c r="N21233" t="str">
        <f>IF(M21233="","",'Master Barang'!A27)</f>
        <v>PRL-026</v>
      </c>
      <c r="O21233" t="str">
        <f>IF(N21233="","",'Master Barang'!B27)</f>
        <v>lancar kresek kecil bening </v>
      </c>
      <c r="P21233">
        <f>IF(OR(M21233="",N21233=""),"",SUMIFS('Barang Keluar'!$E:$E,'Barang Keluar'!$A:$A,M21233,'Barang Keluar'!$C:$C,N21233))</f>
        <v>0</v>
      </c>
    </row>
    <row r="21234" spans="13:16">
      <c r="M21234" s="49">
        <f>IF($A$4+212&gt;$B$4,"",$A$4+212)</f>
        <v>46235</v>
      </c>
      <c r="N21234" t="str">
        <f>IF(M21234="","",'Master Barang'!A28)</f>
        <v>PRL-027</v>
      </c>
      <c r="O21234" t="str">
        <f>IF(N21234="","",'Master Barang'!B28)</f>
        <v>kresek klin warna warni kecil</v>
      </c>
      <c r="P21234">
        <f>IF(OR(M21234="",N21234=""),"",SUMIFS('Barang Keluar'!$E:$E,'Barang Keluar'!$A:$A,M21234,'Barang Keluar'!$C:$C,N21234))</f>
        <v>0</v>
      </c>
    </row>
    <row r="21235" spans="13:16">
      <c r="M21235" s="49">
        <f>IF($A$4+212&gt;$B$4,"",$A$4+212)</f>
        <v>46235</v>
      </c>
      <c r="N21235" t="str">
        <f>IF(M21235="","",'Master Barang'!A29)</f>
        <v>PRL-028</v>
      </c>
      <c r="O21235" t="str">
        <f>IF(N21235="","",'Master Barang'!B29)</f>
        <v>ctik plastik 7x10 100 pcs</v>
      </c>
      <c r="P21235">
        <f>IF(OR(M21235="",N21235=""),"",SUMIFS('Barang Keluar'!$E:$E,'Barang Keluar'!$A:$A,M21235,'Barang Keluar'!$C:$C,N21235))</f>
        <v>0</v>
      </c>
    </row>
    <row r="21236" spans="13:16">
      <c r="M21236" s="49">
        <f>IF($A$4+212&gt;$B$4,"",$A$4+212)</f>
        <v>46235</v>
      </c>
      <c r="N21236" t="str">
        <f>IF(M21236="","",'Master Barang'!A30)</f>
        <v>PRL-029</v>
      </c>
      <c r="O21236" t="str">
        <f>IF(N21236="","",'Master Barang'!B30)</f>
        <v>ctik plastik 6x10 100 pcs</v>
      </c>
      <c r="P21236">
        <f>IF(OR(M21236="",N21236=""),"",SUMIFS('Barang Keluar'!$E:$E,'Barang Keluar'!$A:$A,M21236,'Barang Keluar'!$C:$C,N21236))</f>
        <v>0</v>
      </c>
    </row>
    <row r="21237" spans="13:16">
      <c r="M21237" s="49">
        <f>IF($A$4+212&gt;$B$4,"",$A$4+212)</f>
        <v>46235</v>
      </c>
      <c r="N21237" t="str">
        <f>IF(M21237="","",'Master Barang'!A31)</f>
        <v>PRL-030</v>
      </c>
      <c r="O21237" t="str">
        <f>IF(N21237="","",'Master Barang'!B31)</f>
        <v>klip plastik 25x16 100 pcs</v>
      </c>
      <c r="P21237">
        <f>IF(OR(M21237="",N21237=""),"",SUMIFS('Barang Keluar'!$E:$E,'Barang Keluar'!$A:$A,M21237,'Barang Keluar'!$C:$C,N21237))</f>
        <v>0</v>
      </c>
    </row>
    <row r="21238" spans="13:16">
      <c r="M21238" s="49">
        <f>IF($A$4+212&gt;$B$4,"",$A$4+212)</f>
        <v>46235</v>
      </c>
      <c r="N21238" t="str">
        <f>IF(M21238="","",'Master Barang'!A32)</f>
        <v>PRL-031</v>
      </c>
      <c r="O21238" t="str">
        <f>IF(N21238="","",'Master Barang'!B32)</f>
        <v>tempat saus 20 ml</v>
      </c>
      <c r="P21238">
        <f>IF(OR(M21238="",N21238=""),"",SUMIFS('Barang Keluar'!$E:$E,'Barang Keluar'!$A:$A,M21238,'Barang Keluar'!$C:$C,N21238))</f>
        <v>0</v>
      </c>
    </row>
    <row r="21239" spans="13:16">
      <c r="M21239" s="49">
        <f>IF($A$4+212&gt;$B$4,"",$A$4+212)</f>
        <v>46235</v>
      </c>
      <c r="N21239" t="str">
        <f>IF(M21239="","",'Master Barang'!A33)</f>
        <v>PRL-032</v>
      </c>
      <c r="O21239" t="str">
        <f>IF(N21239="","",'Master Barang'!B33)</f>
        <v>plastik packaging ag box uk sedang</v>
      </c>
      <c r="P21239">
        <f>IF(OR(M21239="",N21239=""),"",SUMIFS('Barang Keluar'!$E:$E,'Barang Keluar'!$A:$A,M21239,'Barang Keluar'!$C:$C,N21239))</f>
        <v>0</v>
      </c>
    </row>
    <row r="21240" spans="13:16">
      <c r="M21240" s="49">
        <f>IF($A$4+212&gt;$B$4,"",$A$4+212)</f>
        <v>46235</v>
      </c>
      <c r="N21240" t="str">
        <f>IF(M21240="","",'Master Barang'!A34)</f>
        <v>PRL-033</v>
      </c>
      <c r="O21240">
        <f>IF(N21240="","",'Master Barang'!B34)</f>
        <v>0</v>
      </c>
      <c r="P21240">
        <f>IF(OR(M21240="",N21240=""),"",SUMIFS('Barang Keluar'!$E:$E,'Barang Keluar'!$A:$A,M21240,'Barang Keluar'!$C:$C,N21240))</f>
        <v>0</v>
      </c>
    </row>
    <row r="21241" spans="13:16">
      <c r="M21241" s="49">
        <f>IF($A$4+212&gt;$B$4,"",$A$4+212)</f>
        <v>46235</v>
      </c>
      <c r="N21241">
        <f>IF(M21241="","",'Master Barang'!A35)</f>
        <v>0</v>
      </c>
      <c r="O21241">
        <f>IF(N21241="","",'Master Barang'!B35)</f>
        <v>0</v>
      </c>
      <c r="P21241">
        <f>IF(OR(M21241="",N21241=""),"",SUMIFS('Barang Keluar'!$E:$E,'Barang Keluar'!$A:$A,M21241,'Barang Keluar'!$C:$C,N21241))</f>
        <v>0</v>
      </c>
    </row>
    <row r="21242" spans="13:16">
      <c r="M21242" s="49">
        <f>IF($A$4+212&gt;$B$4,"",$A$4+212)</f>
        <v>46235</v>
      </c>
      <c r="N21242">
        <f>IF(M21242="","",'Master Barang'!A36)</f>
        <v>0</v>
      </c>
      <c r="O21242">
        <f>IF(N21242="","",'Master Barang'!B36)</f>
        <v>0</v>
      </c>
      <c r="P21242">
        <f>IF(OR(M21242="",N21242=""),"",SUMIFS('Barang Keluar'!$E:$E,'Barang Keluar'!$A:$A,M21242,'Barang Keluar'!$C:$C,N21242))</f>
        <v>0</v>
      </c>
    </row>
    <row r="21243" spans="13:16">
      <c r="M21243" s="49">
        <f>IF($A$4+212&gt;$B$4,"",$A$4+212)</f>
        <v>46235</v>
      </c>
      <c r="N21243">
        <f>IF(M21243="","",'Master Barang'!A37)</f>
        <v>0</v>
      </c>
      <c r="O21243">
        <f>IF(N21243="","",'Master Barang'!B37)</f>
        <v>0</v>
      </c>
      <c r="P21243">
        <f>IF(OR(M21243="",N21243=""),"",SUMIFS('Barang Keluar'!$E:$E,'Barang Keluar'!$A:$A,M21243,'Barang Keluar'!$C:$C,N21243))</f>
        <v>0</v>
      </c>
    </row>
    <row r="21244" spans="13:16">
      <c r="M21244" s="49">
        <f>IF($A$4+212&gt;$B$4,"",$A$4+212)</f>
        <v>46235</v>
      </c>
      <c r="N21244">
        <f>IF(M21244="","",'Master Barang'!A38)</f>
        <v>0</v>
      </c>
      <c r="O21244">
        <f>IF(N21244="","",'Master Barang'!B38)</f>
        <v>0</v>
      </c>
      <c r="P21244">
        <f>IF(OR(M21244="",N21244=""),"",SUMIFS('Barang Keluar'!$E:$E,'Barang Keluar'!$A:$A,M21244,'Barang Keluar'!$C:$C,N21244))</f>
        <v>0</v>
      </c>
    </row>
    <row r="21245" spans="13:16">
      <c r="M21245" s="49">
        <f>IF($A$4+212&gt;$B$4,"",$A$4+212)</f>
        <v>46235</v>
      </c>
      <c r="N21245">
        <f>IF(M21245="","",'Master Barang'!A39)</f>
        <v>0</v>
      </c>
      <c r="O21245">
        <f>IF(N21245="","",'Master Barang'!B39)</f>
        <v>0</v>
      </c>
      <c r="P21245">
        <f>IF(OR(M21245="",N21245=""),"",SUMIFS('Barang Keluar'!$E:$E,'Barang Keluar'!$A:$A,M21245,'Barang Keluar'!$C:$C,N21245))</f>
        <v>0</v>
      </c>
    </row>
    <row r="21246" spans="13:16">
      <c r="M21246" s="49">
        <f>IF($A$4+212&gt;$B$4,"",$A$4+212)</f>
        <v>46235</v>
      </c>
      <c r="N21246">
        <f>IF(M21246="","",'Master Barang'!A40)</f>
        <v>0</v>
      </c>
      <c r="O21246">
        <f>IF(N21246="","",'Master Barang'!B40)</f>
        <v>0</v>
      </c>
      <c r="P21246">
        <f>IF(OR(M21246="",N21246=""),"",SUMIFS('Barang Keluar'!$E:$E,'Barang Keluar'!$A:$A,M21246,'Barang Keluar'!$C:$C,N21246))</f>
        <v>0</v>
      </c>
    </row>
    <row r="21247" spans="13:16">
      <c r="M21247" s="49">
        <f>IF($A$4+212&gt;$B$4,"",$A$4+212)</f>
        <v>46235</v>
      </c>
      <c r="N21247">
        <f>IF(M21247="","",'Master Barang'!A41)</f>
        <v>0</v>
      </c>
      <c r="O21247">
        <f>IF(N21247="","",'Master Barang'!B41)</f>
        <v>0</v>
      </c>
      <c r="P21247">
        <f>IF(OR(M21247="",N21247=""),"",SUMIFS('Barang Keluar'!$E:$E,'Barang Keluar'!$A:$A,M21247,'Barang Keluar'!$C:$C,N21247))</f>
        <v>0</v>
      </c>
    </row>
    <row r="21248" spans="13:16">
      <c r="M21248" s="49">
        <f>IF($A$4+212&gt;$B$4,"",$A$4+212)</f>
        <v>46235</v>
      </c>
      <c r="N21248">
        <f>IF(M21248="","",'Master Barang'!A42)</f>
        <v>0</v>
      </c>
      <c r="O21248">
        <f>IF(N21248="","",'Master Barang'!B42)</f>
        <v>0</v>
      </c>
      <c r="P21248">
        <f>IF(OR(M21248="",N21248=""),"",SUMIFS('Barang Keluar'!$E:$E,'Barang Keluar'!$A:$A,M21248,'Barang Keluar'!$C:$C,N21248))</f>
        <v>0</v>
      </c>
    </row>
    <row r="21249" spans="13:16">
      <c r="M21249" s="49">
        <f>IF($A$4+212&gt;$B$4,"",$A$4+212)</f>
        <v>46235</v>
      </c>
      <c r="N21249">
        <f>IF(M21249="","",'Master Barang'!A43)</f>
        <v>0</v>
      </c>
      <c r="O21249">
        <f>IF(N21249="","",'Master Barang'!B43)</f>
        <v>0</v>
      </c>
      <c r="P21249">
        <f>IF(OR(M21249="",N21249=""),"",SUMIFS('Barang Keluar'!$E:$E,'Barang Keluar'!$A:$A,M21249,'Barang Keluar'!$C:$C,N21249))</f>
        <v>0</v>
      </c>
    </row>
    <row r="21250" spans="13:16">
      <c r="M21250" s="49">
        <f>IF($A$4+212&gt;$B$4,"",$A$4+212)</f>
        <v>46235</v>
      </c>
      <c r="N21250">
        <f>IF(M21250="","",'Master Barang'!A44)</f>
        <v>0</v>
      </c>
      <c r="O21250">
        <f>IF(N21250="","",'Master Barang'!B44)</f>
        <v>0</v>
      </c>
      <c r="P21250">
        <f>IF(OR(M21250="",N21250=""),"",SUMIFS('Barang Keluar'!$E:$E,'Barang Keluar'!$A:$A,M21250,'Barang Keluar'!$C:$C,N21250))</f>
        <v>0</v>
      </c>
    </row>
    <row r="21251" spans="13:16">
      <c r="M21251" s="49">
        <f>IF($A$4+212&gt;$B$4,"",$A$4+212)</f>
        <v>46235</v>
      </c>
      <c r="N21251">
        <f>IF(M21251="","",'Master Barang'!A45)</f>
        <v>0</v>
      </c>
      <c r="O21251">
        <f>IF(N21251="","",'Master Barang'!B45)</f>
        <v>0</v>
      </c>
      <c r="P21251">
        <f>IF(OR(M21251="",N21251=""),"",SUMIFS('Barang Keluar'!$E:$E,'Barang Keluar'!$A:$A,M21251,'Barang Keluar'!$C:$C,N21251))</f>
        <v>0</v>
      </c>
    </row>
    <row r="21252" spans="13:16">
      <c r="M21252" s="49">
        <f>IF($A$4+212&gt;$B$4,"",$A$4+212)</f>
        <v>46235</v>
      </c>
      <c r="N21252">
        <f>IF(M21252="","",'Master Barang'!A46)</f>
        <v>0</v>
      </c>
      <c r="O21252">
        <f>IF(N21252="","",'Master Barang'!B46)</f>
        <v>0</v>
      </c>
      <c r="P21252">
        <f>IF(OR(M21252="",N21252=""),"",SUMIFS('Barang Keluar'!$E:$E,'Barang Keluar'!$A:$A,M21252,'Barang Keluar'!$C:$C,N21252))</f>
        <v>0</v>
      </c>
    </row>
    <row r="21253" spans="13:16">
      <c r="M21253" s="49">
        <f>IF($A$4+212&gt;$B$4,"",$A$4+212)</f>
        <v>46235</v>
      </c>
      <c r="N21253">
        <f>IF(M21253="","",'Master Barang'!A47)</f>
        <v>0</v>
      </c>
      <c r="O21253">
        <f>IF(N21253="","",'Master Barang'!B47)</f>
        <v>0</v>
      </c>
      <c r="P21253">
        <f>IF(OR(M21253="",N21253=""),"",SUMIFS('Barang Keluar'!$E:$E,'Barang Keluar'!$A:$A,M21253,'Barang Keluar'!$C:$C,N21253))</f>
        <v>0</v>
      </c>
    </row>
    <row r="21254" spans="13:16">
      <c r="M21254" s="49">
        <f>IF($A$4+212&gt;$B$4,"",$A$4+212)</f>
        <v>46235</v>
      </c>
      <c r="N21254">
        <f>IF(M21254="","",'Master Barang'!A48)</f>
        <v>0</v>
      </c>
      <c r="O21254">
        <f>IF(N21254="","",'Master Barang'!B48)</f>
        <v>0</v>
      </c>
      <c r="P21254">
        <f>IF(OR(M21254="",N21254=""),"",SUMIFS('Barang Keluar'!$E:$E,'Barang Keluar'!$A:$A,M21254,'Barang Keluar'!$C:$C,N21254))</f>
        <v>0</v>
      </c>
    </row>
    <row r="21255" spans="13:16">
      <c r="M21255" s="49">
        <f>IF($A$4+212&gt;$B$4,"",$A$4+212)</f>
        <v>46235</v>
      </c>
      <c r="N21255">
        <f>IF(M21255="","",'Master Barang'!A49)</f>
        <v>0</v>
      </c>
      <c r="O21255">
        <f>IF(N21255="","",'Master Barang'!B49)</f>
        <v>0</v>
      </c>
      <c r="P21255">
        <f>IF(OR(M21255="",N21255=""),"",SUMIFS('Barang Keluar'!$E:$E,'Barang Keluar'!$A:$A,M21255,'Barang Keluar'!$C:$C,N21255))</f>
        <v>0</v>
      </c>
    </row>
    <row r="21256" spans="13:16">
      <c r="M21256" s="49">
        <f>IF($A$4+212&gt;$B$4,"",$A$4+212)</f>
        <v>46235</v>
      </c>
      <c r="N21256">
        <f>IF(M21256="","",'Master Barang'!A50)</f>
        <v>0</v>
      </c>
      <c r="O21256">
        <f>IF(N21256="","",'Master Barang'!B50)</f>
        <v>0</v>
      </c>
      <c r="P21256">
        <f>IF(OR(M21256="",N21256=""),"",SUMIFS('Barang Keluar'!$E:$E,'Barang Keluar'!$A:$A,M21256,'Barang Keluar'!$C:$C,N21256))</f>
        <v>0</v>
      </c>
    </row>
    <row r="21257" spans="13:16">
      <c r="M21257" s="49">
        <f>IF($A$4+212&gt;$B$4,"",$A$4+212)</f>
        <v>46235</v>
      </c>
      <c r="N21257">
        <f>IF(M21257="","",'Master Barang'!A51)</f>
        <v>0</v>
      </c>
      <c r="O21257">
        <f>IF(N21257="","",'Master Barang'!B51)</f>
        <v>0</v>
      </c>
      <c r="P21257">
        <f>IF(OR(M21257="",N21257=""),"",SUMIFS('Barang Keluar'!$E:$E,'Barang Keluar'!$A:$A,M21257,'Barang Keluar'!$C:$C,N21257))</f>
        <v>0</v>
      </c>
    </row>
    <row r="21258" spans="13:16">
      <c r="M21258" s="49">
        <f>IF($A$4+212&gt;$B$4,"",$A$4+212)</f>
        <v>46235</v>
      </c>
      <c r="N21258">
        <f>IF(M21258="","",'Master Barang'!A52)</f>
        <v>0</v>
      </c>
      <c r="O21258">
        <f>IF(N21258="","",'Master Barang'!B52)</f>
        <v>0</v>
      </c>
      <c r="P21258">
        <f>IF(OR(M21258="",N21258=""),"",SUMIFS('Barang Keluar'!$E:$E,'Barang Keluar'!$A:$A,M21258,'Barang Keluar'!$C:$C,N21258))</f>
        <v>0</v>
      </c>
    </row>
    <row r="21259" spans="13:16">
      <c r="M21259" s="49">
        <f>IF($A$4+212&gt;$B$4,"",$A$4+212)</f>
        <v>46235</v>
      </c>
      <c r="N21259">
        <f>IF(M21259="","",'Master Barang'!A53)</f>
        <v>0</v>
      </c>
      <c r="O21259">
        <f>IF(N21259="","",'Master Barang'!B53)</f>
        <v>0</v>
      </c>
      <c r="P21259">
        <f>IF(OR(M21259="",N21259=""),"",SUMIFS('Barang Keluar'!$E:$E,'Barang Keluar'!$A:$A,M21259,'Barang Keluar'!$C:$C,N21259))</f>
        <v>0</v>
      </c>
    </row>
    <row r="21260" spans="13:16">
      <c r="M21260" s="49">
        <f>IF($A$4+212&gt;$B$4,"",$A$4+212)</f>
        <v>46235</v>
      </c>
      <c r="N21260">
        <f>IF(M21260="","",'Master Barang'!A54)</f>
        <v>0</v>
      </c>
      <c r="O21260">
        <f>IF(N21260="","",'Master Barang'!B54)</f>
        <v>0</v>
      </c>
      <c r="P21260">
        <f>IF(OR(M21260="",N21260=""),"",SUMIFS('Barang Keluar'!$E:$E,'Barang Keluar'!$A:$A,M21260,'Barang Keluar'!$C:$C,N21260))</f>
        <v>0</v>
      </c>
    </row>
    <row r="21261" spans="13:16">
      <c r="M21261" s="49">
        <f>IF($A$4+212&gt;$B$4,"",$A$4+212)</f>
        <v>46235</v>
      </c>
      <c r="N21261">
        <f>IF(M21261="","",'Master Barang'!A55)</f>
        <v>0</v>
      </c>
      <c r="O21261">
        <f>IF(N21261="","",'Master Barang'!B55)</f>
        <v>0</v>
      </c>
      <c r="P21261">
        <f>IF(OR(M21261="",N21261=""),"",SUMIFS('Barang Keluar'!$E:$E,'Barang Keluar'!$A:$A,M21261,'Barang Keluar'!$C:$C,N21261))</f>
        <v>0</v>
      </c>
    </row>
    <row r="21262" spans="13:16">
      <c r="M21262" s="49">
        <f>IF($A$4+212&gt;$B$4,"",$A$4+212)</f>
        <v>46235</v>
      </c>
      <c r="N21262">
        <f>IF(M21262="","",'Master Barang'!A56)</f>
        <v>0</v>
      </c>
      <c r="O21262">
        <f>IF(N21262="","",'Master Barang'!B56)</f>
        <v>0</v>
      </c>
      <c r="P21262">
        <f>IF(OR(M21262="",N21262=""),"",SUMIFS('Barang Keluar'!$E:$E,'Barang Keluar'!$A:$A,M21262,'Barang Keluar'!$C:$C,N21262))</f>
        <v>0</v>
      </c>
    </row>
    <row r="21263" spans="13:16">
      <c r="M21263" s="49">
        <f>IF($A$4+212&gt;$B$4,"",$A$4+212)</f>
        <v>46235</v>
      </c>
      <c r="N21263">
        <f>IF(M21263="","",'Master Barang'!A57)</f>
        <v>0</v>
      </c>
      <c r="O21263">
        <f>IF(N21263="","",'Master Barang'!B57)</f>
        <v>0</v>
      </c>
      <c r="P21263">
        <f>IF(OR(M21263="",N21263=""),"",SUMIFS('Barang Keluar'!$E:$E,'Barang Keluar'!$A:$A,M21263,'Barang Keluar'!$C:$C,N21263))</f>
        <v>0</v>
      </c>
    </row>
    <row r="21264" spans="13:16">
      <c r="M21264" s="49">
        <f>IF($A$4+212&gt;$B$4,"",$A$4+212)</f>
        <v>46235</v>
      </c>
      <c r="N21264">
        <f>IF(M21264="","",'Master Barang'!A58)</f>
        <v>0</v>
      </c>
      <c r="O21264">
        <f>IF(N21264="","",'Master Barang'!B58)</f>
        <v>0</v>
      </c>
      <c r="P21264">
        <f>IF(OR(M21264="",N21264=""),"",SUMIFS('Barang Keluar'!$E:$E,'Barang Keluar'!$A:$A,M21264,'Barang Keluar'!$C:$C,N21264))</f>
        <v>0</v>
      </c>
    </row>
    <row r="21265" spans="13:16">
      <c r="M21265" s="49">
        <f>IF($A$4+212&gt;$B$4,"",$A$4+212)</f>
        <v>46235</v>
      </c>
      <c r="N21265">
        <f>IF(M21265="","",'Master Barang'!A59)</f>
        <v>0</v>
      </c>
      <c r="O21265">
        <f>IF(N21265="","",'Master Barang'!B59)</f>
        <v>0</v>
      </c>
      <c r="P21265">
        <f>IF(OR(M21265="",N21265=""),"",SUMIFS('Barang Keluar'!$E:$E,'Barang Keluar'!$A:$A,M21265,'Barang Keluar'!$C:$C,N21265))</f>
        <v>0</v>
      </c>
    </row>
    <row r="21266" spans="13:16">
      <c r="M21266" s="49">
        <f>IF($A$4+212&gt;$B$4,"",$A$4+212)</f>
        <v>46235</v>
      </c>
      <c r="N21266">
        <f>IF(M21266="","",'Master Barang'!A60)</f>
        <v>0</v>
      </c>
      <c r="O21266">
        <f>IF(N21266="","",'Master Barang'!B60)</f>
        <v>0</v>
      </c>
      <c r="P21266">
        <f>IF(OR(M21266="",N21266=""),"",SUMIFS('Barang Keluar'!$E:$E,'Barang Keluar'!$A:$A,M21266,'Barang Keluar'!$C:$C,N21266))</f>
        <v>0</v>
      </c>
    </row>
    <row r="21267" spans="13:16">
      <c r="M21267" s="49">
        <f>IF($A$4+212&gt;$B$4,"",$A$4+212)</f>
        <v>46235</v>
      </c>
      <c r="N21267">
        <f>IF(M21267="","",'Master Barang'!A61)</f>
        <v>0</v>
      </c>
      <c r="O21267">
        <f>IF(N21267="","",'Master Barang'!B61)</f>
        <v>0</v>
      </c>
      <c r="P21267">
        <f>IF(OR(M21267="",N21267=""),"",SUMIFS('Barang Keluar'!$E:$E,'Barang Keluar'!$A:$A,M21267,'Barang Keluar'!$C:$C,N21267))</f>
        <v>0</v>
      </c>
    </row>
    <row r="21268" spans="13:16">
      <c r="M21268" s="49">
        <f>IF($A$4+212&gt;$B$4,"",$A$4+212)</f>
        <v>46235</v>
      </c>
      <c r="N21268">
        <f>IF(M21268="","",'Master Barang'!A62)</f>
        <v>0</v>
      </c>
      <c r="O21268">
        <f>IF(N21268="","",'Master Barang'!B62)</f>
        <v>0</v>
      </c>
      <c r="P21268">
        <f>IF(OR(M21268="",N21268=""),"",SUMIFS('Barang Keluar'!$E:$E,'Barang Keluar'!$A:$A,M21268,'Barang Keluar'!$C:$C,N21268))</f>
        <v>0</v>
      </c>
    </row>
    <row r="21269" spans="13:16">
      <c r="M21269" s="49">
        <f>IF($A$4+212&gt;$B$4,"",$A$4+212)</f>
        <v>46235</v>
      </c>
      <c r="N21269">
        <f>IF(M21269="","",'Master Barang'!A63)</f>
        <v>0</v>
      </c>
      <c r="O21269">
        <f>IF(N21269="","",'Master Barang'!B63)</f>
        <v>0</v>
      </c>
      <c r="P21269">
        <f>IF(OR(M21269="",N21269=""),"",SUMIFS('Barang Keluar'!$E:$E,'Barang Keluar'!$A:$A,M21269,'Barang Keluar'!$C:$C,N21269))</f>
        <v>0</v>
      </c>
    </row>
    <row r="21270" spans="13:16">
      <c r="M21270" s="49">
        <f>IF($A$4+212&gt;$B$4,"",$A$4+212)</f>
        <v>46235</v>
      </c>
      <c r="N21270">
        <f>IF(M21270="","",'Master Barang'!A64)</f>
        <v>0</v>
      </c>
      <c r="O21270">
        <f>IF(N21270="","",'Master Barang'!B64)</f>
        <v>0</v>
      </c>
      <c r="P21270">
        <f>IF(OR(M21270="",N21270=""),"",SUMIFS('Barang Keluar'!$E:$E,'Barang Keluar'!$A:$A,M21270,'Barang Keluar'!$C:$C,N21270))</f>
        <v>0</v>
      </c>
    </row>
    <row r="21271" spans="13:16">
      <c r="M21271" s="49">
        <f>IF($A$4+212&gt;$B$4,"",$A$4+212)</f>
        <v>46235</v>
      </c>
      <c r="N21271">
        <f>IF(M21271="","",'Master Barang'!A65)</f>
        <v>0</v>
      </c>
      <c r="O21271">
        <f>IF(N21271="","",'Master Barang'!B65)</f>
        <v>0</v>
      </c>
      <c r="P21271">
        <f>IF(OR(M21271="",N21271=""),"",SUMIFS('Barang Keluar'!$E:$E,'Barang Keluar'!$A:$A,M21271,'Barang Keluar'!$C:$C,N21271))</f>
        <v>0</v>
      </c>
    </row>
    <row r="21272" spans="13:16">
      <c r="M21272" s="49">
        <f>IF($A$4+212&gt;$B$4,"",$A$4+212)</f>
        <v>46235</v>
      </c>
      <c r="N21272">
        <f>IF(M21272="","",'Master Barang'!A66)</f>
        <v>0</v>
      </c>
      <c r="O21272">
        <f>IF(N21272="","",'Master Barang'!B66)</f>
        <v>0</v>
      </c>
      <c r="P21272">
        <f>IF(OR(M21272="",N21272=""),"",SUMIFS('Barang Keluar'!$E:$E,'Barang Keluar'!$A:$A,M21272,'Barang Keluar'!$C:$C,N21272))</f>
        <v>0</v>
      </c>
    </row>
    <row r="21273" spans="13:16">
      <c r="M21273" s="49">
        <f>IF($A$4+212&gt;$B$4,"",$A$4+212)</f>
        <v>46235</v>
      </c>
      <c r="N21273">
        <f>IF(M21273="","",'Master Barang'!A67)</f>
        <v>0</v>
      </c>
      <c r="O21273">
        <f>IF(N21273="","",'Master Barang'!B67)</f>
        <v>0</v>
      </c>
      <c r="P21273">
        <f>IF(OR(M21273="",N21273=""),"",SUMIFS('Barang Keluar'!$E:$E,'Barang Keluar'!$A:$A,M21273,'Barang Keluar'!$C:$C,N21273))</f>
        <v>0</v>
      </c>
    </row>
    <row r="21274" spans="13:16">
      <c r="M21274" s="49">
        <f>IF($A$4+212&gt;$B$4,"",$A$4+212)</f>
        <v>46235</v>
      </c>
      <c r="N21274">
        <f>IF(M21274="","",'Master Barang'!A68)</f>
        <v>0</v>
      </c>
      <c r="O21274">
        <f>IF(N21274="","",'Master Barang'!B68)</f>
        <v>0</v>
      </c>
      <c r="P21274">
        <f>IF(OR(M21274="",N21274=""),"",SUMIFS('Barang Keluar'!$E:$E,'Barang Keluar'!$A:$A,M21274,'Barang Keluar'!$C:$C,N21274))</f>
        <v>0</v>
      </c>
    </row>
    <row r="21275" spans="13:16">
      <c r="M21275" s="49">
        <f>IF($A$4+212&gt;$B$4,"",$A$4+212)</f>
        <v>46235</v>
      </c>
      <c r="N21275">
        <f>IF(M21275="","",'Master Barang'!A69)</f>
        <v>0</v>
      </c>
      <c r="O21275">
        <f>IF(N21275="","",'Master Barang'!B69)</f>
        <v>0</v>
      </c>
      <c r="P21275">
        <f>IF(OR(M21275="",N21275=""),"",SUMIFS('Barang Keluar'!$E:$E,'Barang Keluar'!$A:$A,M21275,'Barang Keluar'!$C:$C,N21275))</f>
        <v>0</v>
      </c>
    </row>
    <row r="21276" spans="13:16">
      <c r="M21276" s="49">
        <f>IF($A$4+212&gt;$B$4,"",$A$4+212)</f>
        <v>46235</v>
      </c>
      <c r="N21276">
        <f>IF(M21276="","",'Master Barang'!A70)</f>
        <v>0</v>
      </c>
      <c r="O21276">
        <f>IF(N21276="","",'Master Barang'!B70)</f>
        <v>0</v>
      </c>
      <c r="P21276">
        <f>IF(OR(M21276="",N21276=""),"",SUMIFS('Barang Keluar'!$E:$E,'Barang Keluar'!$A:$A,M21276,'Barang Keluar'!$C:$C,N21276))</f>
        <v>0</v>
      </c>
    </row>
    <row r="21277" spans="13:16">
      <c r="M21277" s="49">
        <f>IF($A$4+212&gt;$B$4,"",$A$4+212)</f>
        <v>46235</v>
      </c>
      <c r="N21277">
        <f>IF(M21277="","",'Master Barang'!A71)</f>
        <v>0</v>
      </c>
      <c r="O21277">
        <f>IF(N21277="","",'Master Barang'!B71)</f>
        <v>0</v>
      </c>
      <c r="P21277">
        <f>IF(OR(M21277="",N21277=""),"",SUMIFS('Barang Keluar'!$E:$E,'Barang Keluar'!$A:$A,M21277,'Barang Keluar'!$C:$C,N21277))</f>
        <v>0</v>
      </c>
    </row>
    <row r="21278" spans="13:16">
      <c r="M21278" s="49">
        <f>IF($A$4+212&gt;$B$4,"",$A$4+212)</f>
        <v>46235</v>
      </c>
      <c r="N21278">
        <f>IF(M21278="","",'Master Barang'!A72)</f>
        <v>0</v>
      </c>
      <c r="O21278">
        <f>IF(N21278="","",'Master Barang'!B72)</f>
        <v>0</v>
      </c>
      <c r="P21278">
        <f>IF(OR(M21278="",N21278=""),"",SUMIFS('Barang Keluar'!$E:$E,'Barang Keluar'!$A:$A,M21278,'Barang Keluar'!$C:$C,N21278))</f>
        <v>0</v>
      </c>
    </row>
    <row r="21279" spans="13:16">
      <c r="M21279" s="49">
        <f>IF($A$4+212&gt;$B$4,"",$A$4+212)</f>
        <v>46235</v>
      </c>
      <c r="N21279">
        <f>IF(M21279="","",'Master Barang'!A73)</f>
        <v>0</v>
      </c>
      <c r="O21279">
        <f>IF(N21279="","",'Master Barang'!B73)</f>
        <v>0</v>
      </c>
      <c r="P21279">
        <f>IF(OR(M21279="",N21279=""),"",SUMIFS('Barang Keluar'!$E:$E,'Barang Keluar'!$A:$A,M21279,'Barang Keluar'!$C:$C,N21279))</f>
        <v>0</v>
      </c>
    </row>
    <row r="21280" spans="13:16">
      <c r="M21280" s="49">
        <f>IF($A$4+212&gt;$B$4,"",$A$4+212)</f>
        <v>46235</v>
      </c>
      <c r="N21280">
        <f>IF(M21280="","",'Master Barang'!A74)</f>
        <v>0</v>
      </c>
      <c r="O21280">
        <f>IF(N21280="","",'Master Barang'!B74)</f>
        <v>0</v>
      </c>
      <c r="P21280">
        <f>IF(OR(M21280="",N21280=""),"",SUMIFS('Barang Keluar'!$E:$E,'Barang Keluar'!$A:$A,M21280,'Barang Keluar'!$C:$C,N21280))</f>
        <v>0</v>
      </c>
    </row>
    <row r="21281" spans="13:16">
      <c r="M21281" s="49">
        <f>IF($A$4+212&gt;$B$4,"",$A$4+212)</f>
        <v>46235</v>
      </c>
      <c r="N21281">
        <f>IF(M21281="","",'Master Barang'!A75)</f>
        <v>0</v>
      </c>
      <c r="O21281">
        <f>IF(N21281="","",'Master Barang'!B75)</f>
        <v>0</v>
      </c>
      <c r="P21281">
        <f>IF(OR(M21281="",N21281=""),"",SUMIFS('Barang Keluar'!$E:$E,'Barang Keluar'!$A:$A,M21281,'Barang Keluar'!$C:$C,N21281))</f>
        <v>0</v>
      </c>
    </row>
    <row r="21282" spans="13:16">
      <c r="M21282" s="49">
        <f>IF($A$4+212&gt;$B$4,"",$A$4+212)</f>
        <v>46235</v>
      </c>
      <c r="N21282">
        <f>IF(M21282="","",'Master Barang'!A76)</f>
        <v>0</v>
      </c>
      <c r="O21282">
        <f>IF(N21282="","",'Master Barang'!B76)</f>
        <v>0</v>
      </c>
      <c r="P21282">
        <f>IF(OR(M21282="",N21282=""),"",SUMIFS('Barang Keluar'!$E:$E,'Barang Keluar'!$A:$A,M21282,'Barang Keluar'!$C:$C,N21282))</f>
        <v>0</v>
      </c>
    </row>
    <row r="21283" spans="13:16">
      <c r="M21283" s="49">
        <f>IF($A$4+212&gt;$B$4,"",$A$4+212)</f>
        <v>46235</v>
      </c>
      <c r="N21283">
        <f>IF(M21283="","",'Master Barang'!A77)</f>
        <v>0</v>
      </c>
      <c r="O21283">
        <f>IF(N21283="","",'Master Barang'!B77)</f>
        <v>0</v>
      </c>
      <c r="P21283">
        <f>IF(OR(M21283="",N21283=""),"",SUMIFS('Barang Keluar'!$E:$E,'Barang Keluar'!$A:$A,M21283,'Barang Keluar'!$C:$C,N21283))</f>
        <v>0</v>
      </c>
    </row>
    <row r="21284" spans="13:16">
      <c r="M21284" s="49">
        <f>IF($A$4+212&gt;$B$4,"",$A$4+212)</f>
        <v>46235</v>
      </c>
      <c r="N21284">
        <f>IF(M21284="","",'Master Barang'!A78)</f>
        <v>0</v>
      </c>
      <c r="O21284">
        <f>IF(N21284="","",'Master Barang'!B78)</f>
        <v>0</v>
      </c>
      <c r="P21284">
        <f>IF(OR(M21284="",N21284=""),"",SUMIFS('Barang Keluar'!$E:$E,'Barang Keluar'!$A:$A,M21284,'Barang Keluar'!$C:$C,N21284))</f>
        <v>0</v>
      </c>
    </row>
    <row r="21285" spans="13:16">
      <c r="M21285" s="49">
        <f>IF($A$4+212&gt;$B$4,"",$A$4+212)</f>
        <v>46235</v>
      </c>
      <c r="N21285">
        <f>IF(M21285="","",'Master Barang'!A79)</f>
        <v>0</v>
      </c>
      <c r="O21285">
        <f>IF(N21285="","",'Master Barang'!B79)</f>
        <v>0</v>
      </c>
      <c r="P21285">
        <f>IF(OR(M21285="",N21285=""),"",SUMIFS('Barang Keluar'!$E:$E,'Barang Keluar'!$A:$A,M21285,'Barang Keluar'!$C:$C,N21285))</f>
        <v>0</v>
      </c>
    </row>
    <row r="21286" spans="13:16">
      <c r="M21286" s="49">
        <f>IF($A$4+212&gt;$B$4,"",$A$4+212)</f>
        <v>46235</v>
      </c>
      <c r="N21286">
        <f>IF(M21286="","",'Master Barang'!A80)</f>
        <v>0</v>
      </c>
      <c r="O21286">
        <f>IF(N21286="","",'Master Barang'!B80)</f>
        <v>0</v>
      </c>
      <c r="P21286">
        <f>IF(OR(M21286="",N21286=""),"",SUMIFS('Barang Keluar'!$E:$E,'Barang Keluar'!$A:$A,M21286,'Barang Keluar'!$C:$C,N21286))</f>
        <v>0</v>
      </c>
    </row>
    <row r="21287" spans="13:16">
      <c r="M21287" s="49">
        <f>IF($A$4+212&gt;$B$4,"",$A$4+212)</f>
        <v>46235</v>
      </c>
      <c r="N21287">
        <f>IF(M21287="","",'Master Barang'!A81)</f>
        <v>0</v>
      </c>
      <c r="O21287">
        <f>IF(N21287="","",'Master Barang'!B81)</f>
        <v>0</v>
      </c>
      <c r="P21287">
        <f>IF(OR(M21287="",N21287=""),"",SUMIFS('Barang Keluar'!$E:$E,'Barang Keluar'!$A:$A,M21287,'Barang Keluar'!$C:$C,N21287))</f>
        <v>0</v>
      </c>
    </row>
    <row r="21288" spans="13:16">
      <c r="M21288" s="49">
        <f>IF($A$4+212&gt;$B$4,"",$A$4+212)</f>
        <v>46235</v>
      </c>
      <c r="N21288">
        <f>IF(M21288="","",'Master Barang'!A82)</f>
        <v>0</v>
      </c>
      <c r="O21288">
        <f>IF(N21288="","",'Master Barang'!B82)</f>
        <v>0</v>
      </c>
      <c r="P21288">
        <f>IF(OR(M21288="",N21288=""),"",SUMIFS('Barang Keluar'!$E:$E,'Barang Keluar'!$A:$A,M21288,'Barang Keluar'!$C:$C,N21288))</f>
        <v>0</v>
      </c>
    </row>
    <row r="21289" spans="13:16">
      <c r="M21289" s="49">
        <f>IF($A$4+212&gt;$B$4,"",$A$4+212)</f>
        <v>46235</v>
      </c>
      <c r="N21289">
        <f>IF(M21289="","",'Master Barang'!A83)</f>
        <v>0</v>
      </c>
      <c r="O21289">
        <f>IF(N21289="","",'Master Barang'!B83)</f>
        <v>0</v>
      </c>
      <c r="P21289">
        <f>IF(OR(M21289="",N21289=""),"",SUMIFS('Barang Keluar'!$E:$E,'Barang Keluar'!$A:$A,M21289,'Barang Keluar'!$C:$C,N21289))</f>
        <v>0</v>
      </c>
    </row>
    <row r="21290" spans="13:16">
      <c r="M21290" s="49">
        <f>IF($A$4+212&gt;$B$4,"",$A$4+212)</f>
        <v>46235</v>
      </c>
      <c r="N21290">
        <f>IF(M21290="","",'Master Barang'!A84)</f>
        <v>0</v>
      </c>
      <c r="O21290">
        <f>IF(N21290="","",'Master Barang'!B84)</f>
        <v>0</v>
      </c>
      <c r="P21290">
        <f>IF(OR(M21290="",N21290=""),"",SUMIFS('Barang Keluar'!$E:$E,'Barang Keluar'!$A:$A,M21290,'Barang Keluar'!$C:$C,N21290))</f>
        <v>0</v>
      </c>
    </row>
    <row r="21291" spans="13:16">
      <c r="M21291" s="49">
        <f>IF($A$4+212&gt;$B$4,"",$A$4+212)</f>
        <v>46235</v>
      </c>
      <c r="N21291">
        <f>IF(M21291="","",'Master Barang'!A85)</f>
        <v>0</v>
      </c>
      <c r="O21291">
        <f>IF(N21291="","",'Master Barang'!B85)</f>
        <v>0</v>
      </c>
      <c r="P21291">
        <f>IF(OR(M21291="",N21291=""),"",SUMIFS('Barang Keluar'!$E:$E,'Barang Keluar'!$A:$A,M21291,'Barang Keluar'!$C:$C,N21291))</f>
        <v>0</v>
      </c>
    </row>
    <row r="21292" spans="13:16">
      <c r="M21292" s="49">
        <f>IF($A$4+212&gt;$B$4,"",$A$4+212)</f>
        <v>46235</v>
      </c>
      <c r="N21292">
        <f>IF(M21292="","",'Master Barang'!A86)</f>
        <v>0</v>
      </c>
      <c r="O21292">
        <f>IF(N21292="","",'Master Barang'!B86)</f>
        <v>0</v>
      </c>
      <c r="P21292">
        <f>IF(OR(M21292="",N21292=""),"",SUMIFS('Barang Keluar'!$E:$E,'Barang Keluar'!$A:$A,M21292,'Barang Keluar'!$C:$C,N21292))</f>
        <v>0</v>
      </c>
    </row>
    <row r="21293" spans="13:16">
      <c r="M21293" s="49">
        <f>IF($A$4+212&gt;$B$4,"",$A$4+212)</f>
        <v>46235</v>
      </c>
      <c r="N21293">
        <f>IF(M21293="","",'Master Barang'!A87)</f>
        <v>0</v>
      </c>
      <c r="O21293">
        <f>IF(N21293="","",'Master Barang'!B87)</f>
        <v>0</v>
      </c>
      <c r="P21293">
        <f>IF(OR(M21293="",N21293=""),"",SUMIFS('Barang Keluar'!$E:$E,'Barang Keluar'!$A:$A,M21293,'Barang Keluar'!$C:$C,N21293))</f>
        <v>0</v>
      </c>
    </row>
    <row r="21294" spans="13:16">
      <c r="M21294" s="49">
        <f>IF($A$4+212&gt;$B$4,"",$A$4+212)</f>
        <v>46235</v>
      </c>
      <c r="N21294">
        <f>IF(M21294="","",'Master Barang'!A88)</f>
        <v>0</v>
      </c>
      <c r="O21294">
        <f>IF(N21294="","",'Master Barang'!B88)</f>
        <v>0</v>
      </c>
      <c r="P21294">
        <f>IF(OR(M21294="",N21294=""),"",SUMIFS('Barang Keluar'!$E:$E,'Barang Keluar'!$A:$A,M21294,'Barang Keluar'!$C:$C,N21294))</f>
        <v>0</v>
      </c>
    </row>
    <row r="21295" spans="13:16">
      <c r="M21295" s="49">
        <f>IF($A$4+212&gt;$B$4,"",$A$4+212)</f>
        <v>46235</v>
      </c>
      <c r="N21295">
        <f>IF(M21295="","",'Master Barang'!A89)</f>
        <v>0</v>
      </c>
      <c r="O21295">
        <f>IF(N21295="","",'Master Barang'!B89)</f>
        <v>0</v>
      </c>
      <c r="P21295">
        <f>IF(OR(M21295="",N21295=""),"",SUMIFS('Barang Keluar'!$E:$E,'Barang Keluar'!$A:$A,M21295,'Barang Keluar'!$C:$C,N21295))</f>
        <v>0</v>
      </c>
    </row>
    <row r="21296" spans="13:16">
      <c r="M21296" s="49">
        <f>IF($A$4+212&gt;$B$4,"",$A$4+212)</f>
        <v>46235</v>
      </c>
      <c r="N21296">
        <f>IF(M21296="","",'Master Barang'!A90)</f>
        <v>0</v>
      </c>
      <c r="O21296">
        <f>IF(N21296="","",'Master Barang'!B90)</f>
        <v>0</v>
      </c>
      <c r="P21296">
        <f>IF(OR(M21296="",N21296=""),"",SUMIFS('Barang Keluar'!$E:$E,'Barang Keluar'!$A:$A,M21296,'Barang Keluar'!$C:$C,N21296))</f>
        <v>0</v>
      </c>
    </row>
    <row r="21297" spans="13:16">
      <c r="M21297" s="49">
        <f>IF($A$4+212&gt;$B$4,"",$A$4+212)</f>
        <v>46235</v>
      </c>
      <c r="N21297">
        <f>IF(M21297="","",'Master Barang'!A91)</f>
        <v>0</v>
      </c>
      <c r="O21297">
        <f>IF(N21297="","",'Master Barang'!B91)</f>
        <v>0</v>
      </c>
      <c r="P21297">
        <f>IF(OR(M21297="",N21297=""),"",SUMIFS('Barang Keluar'!$E:$E,'Barang Keluar'!$A:$A,M21297,'Barang Keluar'!$C:$C,N21297))</f>
        <v>0</v>
      </c>
    </row>
    <row r="21298" spans="13:16">
      <c r="M21298" s="49">
        <f>IF($A$4+212&gt;$B$4,"",$A$4+212)</f>
        <v>46235</v>
      </c>
      <c r="N21298">
        <f>IF(M21298="","",'Master Barang'!A92)</f>
        <v>0</v>
      </c>
      <c r="O21298">
        <f>IF(N21298="","",'Master Barang'!B92)</f>
        <v>0</v>
      </c>
      <c r="P21298">
        <f>IF(OR(M21298="",N21298=""),"",SUMIFS('Barang Keluar'!$E:$E,'Barang Keluar'!$A:$A,M21298,'Barang Keluar'!$C:$C,N21298))</f>
        <v>0</v>
      </c>
    </row>
    <row r="21299" spans="13:16">
      <c r="M21299" s="49">
        <f>IF($A$4+212&gt;$B$4,"",$A$4+212)</f>
        <v>46235</v>
      </c>
      <c r="N21299">
        <f>IF(M21299="","",'Master Barang'!A93)</f>
        <v>0</v>
      </c>
      <c r="O21299">
        <f>IF(N21299="","",'Master Barang'!B93)</f>
        <v>0</v>
      </c>
      <c r="P21299">
        <f>IF(OR(M21299="",N21299=""),"",SUMIFS('Barang Keluar'!$E:$E,'Barang Keluar'!$A:$A,M21299,'Barang Keluar'!$C:$C,N21299))</f>
        <v>0</v>
      </c>
    </row>
    <row r="21300" spans="13:16">
      <c r="M21300" s="49">
        <f>IF($A$4+212&gt;$B$4,"",$A$4+212)</f>
        <v>46235</v>
      </c>
      <c r="N21300">
        <f>IF(M21300="","",'Master Barang'!A94)</f>
        <v>0</v>
      </c>
      <c r="O21300">
        <f>IF(N21300="","",'Master Barang'!B94)</f>
        <v>0</v>
      </c>
      <c r="P21300">
        <f>IF(OR(M21300="",N21300=""),"",SUMIFS('Barang Keluar'!$E:$E,'Barang Keluar'!$A:$A,M21300,'Barang Keluar'!$C:$C,N21300))</f>
        <v>0</v>
      </c>
    </row>
    <row r="21301" spans="13:16">
      <c r="M21301" s="49">
        <f>IF($A$4+212&gt;$B$4,"",$A$4+212)</f>
        <v>46235</v>
      </c>
      <c r="N21301">
        <f>IF(M21301="","",'Master Barang'!A95)</f>
        <v>0</v>
      </c>
      <c r="O21301">
        <f>IF(N21301="","",'Master Barang'!B95)</f>
        <v>0</v>
      </c>
      <c r="P21301">
        <f>IF(OR(M21301="",N21301=""),"",SUMIFS('Barang Keluar'!$E:$E,'Barang Keluar'!$A:$A,M21301,'Barang Keluar'!$C:$C,N21301))</f>
        <v>0</v>
      </c>
    </row>
    <row r="21302" spans="13:16">
      <c r="M21302" s="49">
        <f>IF($A$4+212&gt;$B$4,"",$A$4+212)</f>
        <v>46235</v>
      </c>
      <c r="N21302">
        <f>IF(M21302="","",'Master Barang'!A96)</f>
        <v>0</v>
      </c>
      <c r="O21302">
        <f>IF(N21302="","",'Master Barang'!B96)</f>
        <v>0</v>
      </c>
      <c r="P21302">
        <f>IF(OR(M21302="",N21302=""),"",SUMIFS('Barang Keluar'!$E:$E,'Barang Keluar'!$A:$A,M21302,'Barang Keluar'!$C:$C,N21302))</f>
        <v>0</v>
      </c>
    </row>
    <row r="21303" spans="13:16">
      <c r="M21303" s="49">
        <f>IF($A$4+212&gt;$B$4,"",$A$4+212)</f>
        <v>46235</v>
      </c>
      <c r="N21303">
        <f>IF(M21303="","",'Master Barang'!A97)</f>
        <v>0</v>
      </c>
      <c r="O21303">
        <f>IF(N21303="","",'Master Barang'!B97)</f>
        <v>0</v>
      </c>
      <c r="P21303">
        <f>IF(OR(M21303="",N21303=""),"",SUMIFS('Barang Keluar'!$E:$E,'Barang Keluar'!$A:$A,M21303,'Barang Keluar'!$C:$C,N21303))</f>
        <v>0</v>
      </c>
    </row>
    <row r="21304" spans="13:16">
      <c r="M21304" s="49">
        <f>IF($A$4+212&gt;$B$4,"",$A$4+212)</f>
        <v>46235</v>
      </c>
      <c r="N21304">
        <f>IF(M21304="","",'Master Barang'!A98)</f>
        <v>0</v>
      </c>
      <c r="O21304">
        <f>IF(N21304="","",'Master Barang'!B98)</f>
        <v>0</v>
      </c>
      <c r="P21304">
        <f>IF(OR(M21304="",N21304=""),"",SUMIFS('Barang Keluar'!$E:$E,'Barang Keluar'!$A:$A,M21304,'Barang Keluar'!$C:$C,N21304))</f>
        <v>0</v>
      </c>
    </row>
    <row r="21305" spans="13:16">
      <c r="M21305" s="49">
        <f>IF($A$4+212&gt;$B$4,"",$A$4+212)</f>
        <v>46235</v>
      </c>
      <c r="N21305">
        <f>IF(M21305="","",'Master Barang'!A99)</f>
        <v>0</v>
      </c>
      <c r="O21305">
        <f>IF(N21305="","",'Master Barang'!B99)</f>
        <v>0</v>
      </c>
      <c r="P21305">
        <f>IF(OR(M21305="",N21305=""),"",SUMIFS('Barang Keluar'!$E:$E,'Barang Keluar'!$A:$A,M21305,'Barang Keluar'!$C:$C,N21305))</f>
        <v>0</v>
      </c>
    </row>
    <row r="21306" spans="13:16">
      <c r="M21306" s="49">
        <f>IF($A$4+212&gt;$B$4,"",$A$4+212)</f>
        <v>46235</v>
      </c>
      <c r="N21306">
        <f>IF(M21306="","",'Master Barang'!A100)</f>
        <v>0</v>
      </c>
      <c r="O21306">
        <f>IF(N21306="","",'Master Barang'!B100)</f>
        <v>0</v>
      </c>
      <c r="P21306">
        <f>IF(OR(M21306="",N21306=""),"",SUMIFS('Barang Keluar'!$E:$E,'Barang Keluar'!$A:$A,M21306,'Barang Keluar'!$C:$C,N21306))</f>
        <v>0</v>
      </c>
    </row>
    <row r="21307" spans="13:16">
      <c r="M21307" s="49">
        <f>IF($A$4+212&gt;$B$4,"",$A$4+212)</f>
        <v>46235</v>
      </c>
      <c r="N21307">
        <f>IF(M21307="","",'Master Barang'!A101)</f>
        <v>0</v>
      </c>
      <c r="O21307">
        <f>IF(N21307="","",'Master Barang'!B101)</f>
        <v>0</v>
      </c>
      <c r="P21307">
        <f>IF(OR(M21307="",N21307=""),"",SUMIFS('Barang Keluar'!$E:$E,'Barang Keluar'!$A:$A,M21307,'Barang Keluar'!$C:$C,N21307))</f>
        <v>0</v>
      </c>
    </row>
    <row r="21308" spans="13:16">
      <c r="M21308" s="49">
        <f>IF($A$4+213&gt;$B$4,"",$A$4+213)</f>
        <v>46236</v>
      </c>
      <c r="N21308" t="str">
        <f>IF(M21308="","",'Master Barang'!A2)</f>
        <v>PRL-001</v>
      </c>
      <c r="O21308" t="str">
        <f>IF(N21308="","",'Master Barang'!B2)</f>
        <v>natura desinfectant food grade 5l</v>
      </c>
      <c r="P21308">
        <f>IF(OR(M21308="",N21308=""),"",SUMIFS('Barang Keluar'!$E:$E,'Barang Keluar'!$A:$A,M21308,'Barang Keluar'!$C:$C,N21308))</f>
        <v>0</v>
      </c>
    </row>
    <row r="21309" spans="13:16">
      <c r="M21309" s="49">
        <f>IF($A$4+213&gt;$B$4,"",$A$4+213)</f>
        <v>46236</v>
      </c>
      <c r="N21309" t="str">
        <f>IF(M21309="","",'Master Barang'!A3)</f>
        <v>PRL-002</v>
      </c>
      <c r="O21309" t="str">
        <f>IF(N21309="","",'Master Barang'!B3)</f>
        <v>sunlight cairan pencuci piring 5l</v>
      </c>
      <c r="P21309">
        <f>IF(OR(M21309="",N21309=""),"",SUMIFS('Barang Keluar'!$E:$E,'Barang Keluar'!$A:$A,M21309,'Barang Keluar'!$C:$C,N21309))</f>
        <v>0</v>
      </c>
    </row>
    <row r="21310" spans="13:16">
      <c r="M21310" s="49">
        <f>IF($A$4+213&gt;$B$4,"",$A$4+213)</f>
        <v>46236</v>
      </c>
      <c r="N21310" t="str">
        <f>IF(M21310="","",'Master Barang'!A4)</f>
        <v>PRL-003</v>
      </c>
      <c r="O21310" t="str">
        <f>IF(N21310="","",'Master Barang'!B4)</f>
        <v>oixs cleaner 1l</v>
      </c>
      <c r="P21310">
        <f>IF(OR(M21310="",N21310=""),"",SUMIFS('Barang Keluar'!$E:$E,'Barang Keluar'!$A:$A,M21310,'Barang Keluar'!$C:$C,N21310))</f>
        <v>0</v>
      </c>
    </row>
    <row r="21311" spans="13:16">
      <c r="M21311" s="49">
        <f>IF($A$4+213&gt;$B$4,"",$A$4+213)</f>
        <v>46236</v>
      </c>
      <c r="N21311" t="str">
        <f>IF(M21311="","",'Master Barang'!A5)</f>
        <v>PRL-004</v>
      </c>
      <c r="O21311" t="str">
        <f>IF(N21311="","",'Master Barang'!B5)</f>
        <v>be clean tissue serbaguna</v>
      </c>
      <c r="P21311">
        <f>IF(OR(M21311="",N21311=""),"",SUMIFS('Barang Keluar'!$E:$E,'Barang Keluar'!$A:$A,M21311,'Barang Keluar'!$C:$C,N21311))</f>
        <v>0</v>
      </c>
    </row>
    <row r="21312" spans="13:16">
      <c r="M21312" s="49">
        <f>IF($A$4+213&gt;$B$4,"",$A$4+213)</f>
        <v>46236</v>
      </c>
      <c r="N21312" t="str">
        <f>IF(M21312="","",'Master Barang'!A6)</f>
        <v>PRL-005</v>
      </c>
      <c r="O21312" t="str">
        <f>IF(N21312="","",'Master Barang'!B6)</f>
        <v>spons cuci hijau</v>
      </c>
      <c r="P21312">
        <f>IF(OR(M21312="",N21312=""),"",SUMIFS('Barang Keluar'!$E:$E,'Barang Keluar'!$A:$A,M21312,'Barang Keluar'!$C:$C,N21312))</f>
        <v>0</v>
      </c>
    </row>
    <row r="21313" spans="13:16">
      <c r="M21313" s="49">
        <f>IF($A$4+213&gt;$B$4,"",$A$4+213)</f>
        <v>46236</v>
      </c>
      <c r="N21313" t="str">
        <f>IF(M21313="","",'Master Barang'!A7)</f>
        <v>PRL-006</v>
      </c>
      <c r="O21313" t="str">
        <f>IF(N21313="","",'Master Barang'!B7)</f>
        <v>sabut cuci stainless</v>
      </c>
      <c r="P21313">
        <f>IF(OR(M21313="",N21313=""),"",SUMIFS('Barang Keluar'!$E:$E,'Barang Keluar'!$A:$A,M21313,'Barang Keluar'!$C:$C,N21313))</f>
        <v>0</v>
      </c>
    </row>
    <row r="21314" spans="13:16">
      <c r="M21314" s="49">
        <f>IF($A$4+213&gt;$B$4,"",$A$4+213)</f>
        <v>46236</v>
      </c>
      <c r="N21314" t="str">
        <f>IF(M21314="","",'Master Barang'!A8)</f>
        <v>PRL-007</v>
      </c>
      <c r="O21314" t="str">
        <f>IF(N21314="","",'Master Barang'!B8)</f>
        <v>plastik kresek besar merah 50pc</v>
      </c>
      <c r="P21314">
        <f>IF(OR(M21314="",N21314=""),"",SUMIFS('Barang Keluar'!$E:$E,'Barang Keluar'!$A:$A,M21314,'Barang Keluar'!$C:$C,N21314))</f>
        <v>0</v>
      </c>
    </row>
    <row r="21315" spans="13:16">
      <c r="M21315" s="49">
        <f>IF($A$4+213&gt;$B$4,"",$A$4+213)</f>
        <v>46236</v>
      </c>
      <c r="N21315" t="str">
        <f>IF(M21315="","",'Master Barang'!A9)</f>
        <v>PRL-008</v>
      </c>
      <c r="O21315" t="str">
        <f>IF(N21315="","",'Master Barang'!B9)</f>
        <v>lap besar</v>
      </c>
      <c r="P21315">
        <f>IF(OR(M21315="",N21315=""),"",SUMIFS('Barang Keluar'!$E:$E,'Barang Keluar'!$A:$A,M21315,'Barang Keluar'!$C:$C,N21315))</f>
        <v>0</v>
      </c>
    </row>
    <row r="21316" spans="13:16">
      <c r="M21316" s="49">
        <f>IF($A$4+213&gt;$B$4,"",$A$4+213)</f>
        <v>46236</v>
      </c>
      <c r="N21316" t="str">
        <f>IF(M21316="","",'Master Barang'!A10)</f>
        <v>PRL-009</v>
      </c>
      <c r="O21316" t="str">
        <f>IF(N21316="","",'Master Barang'!B10)</f>
        <v>lap microfiber</v>
      </c>
      <c r="P21316">
        <f>IF(OR(M21316="",N21316=""),"",SUMIFS('Barang Keluar'!$E:$E,'Barang Keluar'!$A:$A,M21316,'Barang Keluar'!$C:$C,N21316))</f>
        <v>0</v>
      </c>
    </row>
    <row r="21317" spans="13:16">
      <c r="M21317" s="49">
        <f>IF($A$4+213&gt;$B$4,"",$A$4+213)</f>
        <v>46236</v>
      </c>
      <c r="N21317" t="str">
        <f>IF(M21317="","",'Master Barang'!A11)</f>
        <v>PRL-010</v>
      </c>
      <c r="O21317" t="str">
        <f>IF(N21317="","",'Master Barang'!B11)</f>
        <v>lap kecil</v>
      </c>
      <c r="P21317">
        <f>IF(OR(M21317="",N21317=""),"",SUMIFS('Barang Keluar'!$E:$E,'Barang Keluar'!$A:$A,M21317,'Barang Keluar'!$C:$C,N21317))</f>
        <v>0</v>
      </c>
    </row>
    <row r="21318" spans="13:16">
      <c r="M21318" s="49">
        <f>IF($A$4+213&gt;$B$4,"",$A$4+213)</f>
        <v>46236</v>
      </c>
      <c r="N21318" t="str">
        <f>IF(M21318="","",'Master Barang'!A12)</f>
        <v>PRL-011</v>
      </c>
      <c r="O21318" t="str">
        <f>IF(N21318="","",'Master Barang'!B12)</f>
        <v>kanebo kecil</v>
      </c>
      <c r="P21318">
        <f>IF(OR(M21318="",N21318=""),"",SUMIFS('Barang Keluar'!$E:$E,'Barang Keluar'!$A:$A,M21318,'Barang Keluar'!$C:$C,N21318))</f>
        <v>0</v>
      </c>
    </row>
    <row r="21319" spans="13:16">
      <c r="M21319" s="49">
        <f>IF($A$4+213&gt;$B$4,"",$A$4+213)</f>
        <v>46236</v>
      </c>
      <c r="N21319" t="str">
        <f>IF(M21319="","",'Master Barang'!A13)</f>
        <v>PRL-012</v>
      </c>
      <c r="O21319" t="str">
        <f>IF(N21319="","",'Master Barang'!B13)</f>
        <v>plastik 1/4kg joyoboyo 100 lembar</v>
      </c>
      <c r="P21319">
        <f>IF(OR(M21319="",N21319=""),"",SUMIFS('Barang Keluar'!$E:$E,'Barang Keluar'!$A:$A,M21319,'Barang Keluar'!$C:$C,N21319))</f>
        <v>0</v>
      </c>
    </row>
    <row r="21320" spans="13:16">
      <c r="M21320" s="49">
        <f>IF($A$4+213&gt;$B$4,"",$A$4+213)</f>
        <v>46236</v>
      </c>
      <c r="N21320" t="str">
        <f>IF(M21320="","",'Master Barang'!A14)</f>
        <v>PRL-013</v>
      </c>
      <c r="O21320" t="str">
        <f>IF(N21320="","",'Master Barang'!B14)</f>
        <v>sarung tangan plastik kaka 100 pcs</v>
      </c>
      <c r="P21320">
        <f>IF(OR(M21320="",N21320=""),"",SUMIFS('Barang Keluar'!$E:$E,'Barang Keluar'!$A:$A,M21320,'Barang Keluar'!$C:$C,N21320))</f>
        <v>0</v>
      </c>
    </row>
    <row r="21321" spans="13:16">
      <c r="M21321" s="49">
        <f>IF($A$4+213&gt;$B$4,"",$A$4+213)</f>
        <v>46236</v>
      </c>
      <c r="N21321" t="str">
        <f>IF(M21321="","",'Master Barang'!A15)</f>
        <v>PRL-014</v>
      </c>
      <c r="O21321" t="str">
        <f>IF(N21321="","",'Master Barang'!B15)</f>
        <v>optima trashbag 80x100</v>
      </c>
      <c r="P21321">
        <f>IF(OR(M21321="",N21321=""),"",SUMIFS('Barang Keluar'!$E:$E,'Barang Keluar'!$A:$A,M21321,'Barang Keluar'!$C:$C,N21321))</f>
        <v>0</v>
      </c>
    </row>
    <row r="21322" spans="13:16">
      <c r="M21322" s="49">
        <f>IF($A$4+213&gt;$B$4,"",$A$4+213)</f>
        <v>46236</v>
      </c>
      <c r="N21322" t="str">
        <f>IF(M21322="","",'Master Barang'!A16)</f>
        <v>PRL-015</v>
      </c>
      <c r="O21322" t="str">
        <f>IF(N21322="","",'Master Barang'!B16)</f>
        <v>optima trashbag 60x100</v>
      </c>
      <c r="P21322">
        <f>IF(OR(M21322="",N21322=""),"",SUMIFS('Barang Keluar'!$E:$E,'Barang Keluar'!$A:$A,M21322,'Barang Keluar'!$C:$C,N21322))</f>
        <v>0</v>
      </c>
    </row>
    <row r="21323" spans="13:16">
      <c r="M21323" s="49">
        <f>IF($A$4+213&gt;$B$4,"",$A$4+213)</f>
        <v>46236</v>
      </c>
      <c r="N21323" t="str">
        <f>IF(M21323="","",'Master Barang'!A17)</f>
        <v>PRL-016</v>
      </c>
      <c r="O21323" t="str">
        <f>IF(N21323="","",'Master Barang'!B17)</f>
        <v>rajawali trashbag 30x40</v>
      </c>
      <c r="P21323">
        <f>IF(OR(M21323="",N21323=""),"",SUMIFS('Barang Keluar'!$E:$E,'Barang Keluar'!$A:$A,M21323,'Barang Keluar'!$C:$C,N21323))</f>
        <v>0</v>
      </c>
    </row>
    <row r="21324" spans="13:16">
      <c r="M21324" s="49">
        <f>IF($A$4+213&gt;$B$4,"",$A$4+213)</f>
        <v>46236</v>
      </c>
      <c r="N21324" t="str">
        <f>IF(M21324="","",'Master Barang'!A18)</f>
        <v>PRL-017</v>
      </c>
      <c r="O21324" t="str">
        <f>IF(N21324="","",'Master Barang'!B18)</f>
        <v>onemed masker biru 3 play 50 pcs</v>
      </c>
      <c r="P21324">
        <f>IF(OR(M21324="",N21324=""),"",SUMIFS('Barang Keluar'!$E:$E,'Barang Keluar'!$A:$A,M21324,'Barang Keluar'!$C:$C,N21324))</f>
        <v>0</v>
      </c>
    </row>
    <row r="21325" spans="13:16">
      <c r="M21325" s="49">
        <f>IF($A$4+213&gt;$B$4,"",$A$4+213)</f>
        <v>46236</v>
      </c>
      <c r="N21325" t="str">
        <f>IF(M21325="","",'Master Barang'!A19)</f>
        <v>PRL-018</v>
      </c>
      <c r="O21325" t="str">
        <f>IF(N21325="","",'Master Barang'!B19)</f>
        <v>onemed masker biru 3 play hijab 50 pcs</v>
      </c>
      <c r="P21325">
        <f>IF(OR(M21325="",N21325=""),"",SUMIFS('Barang Keluar'!$E:$E,'Barang Keluar'!$A:$A,M21325,'Barang Keluar'!$C:$C,N21325))</f>
        <v>0</v>
      </c>
    </row>
    <row r="21326" spans="13:16">
      <c r="M21326" s="49">
        <f>IF($A$4+213&gt;$B$4,"",$A$4+213)</f>
        <v>46236</v>
      </c>
      <c r="N21326" t="str">
        <f>IF(M21326="","",'Master Barang'!A20)</f>
        <v>PRL-019</v>
      </c>
      <c r="O21326" t="str">
        <f>IF(N21326="","",'Master Barang'!B20)</f>
        <v>neo health masker biru 3 play 50 pcs</v>
      </c>
      <c r="P21326">
        <f>IF(OR(M21326="",N21326=""),"",SUMIFS('Barang Keluar'!$E:$E,'Barang Keluar'!$A:$A,M21326,'Barang Keluar'!$C:$C,N21326))</f>
        <v>0</v>
      </c>
    </row>
    <row r="21327" spans="13:16">
      <c r="M21327" s="49">
        <f>IF($A$4+213&gt;$B$4,"",$A$4+213)</f>
        <v>46236</v>
      </c>
      <c r="N21327" t="str">
        <f>IF(M21327="","",'Master Barang'!A21)</f>
        <v>PRL-020</v>
      </c>
      <c r="O21327" t="str">
        <f>IF(N21327="","",'Master Barang'!B21)</f>
        <v>baymed masker hijau 3 play hijau 50 pcs</v>
      </c>
      <c r="P21327">
        <f>IF(OR(M21327="",N21327=""),"",SUMIFS('Barang Keluar'!$E:$E,'Barang Keluar'!$A:$A,M21327,'Barang Keluar'!$C:$C,N21327))</f>
        <v>0</v>
      </c>
    </row>
    <row r="21328" spans="13:16">
      <c r="M21328" s="49">
        <f>IF($A$4+213&gt;$B$4,"",$A$4+213)</f>
        <v>46236</v>
      </c>
      <c r="N21328" t="str">
        <f>IF(M21328="","",'Master Barang'!A22)</f>
        <v>PRL-021</v>
      </c>
      <c r="O21328" t="str">
        <f>IF(N21328="","",'Master Barang'!B22)</f>
        <v>altamed nurse cap penutup kepala 100 pcs</v>
      </c>
      <c r="P21328">
        <f>IF(OR(M21328="",N21328=""),"",SUMIFS('Barang Keluar'!$E:$E,'Barang Keluar'!$A:$A,M21328,'Barang Keluar'!$C:$C,N21328))</f>
        <v>0</v>
      </c>
    </row>
    <row r="21329" spans="13:16">
      <c r="M21329" s="49">
        <f>IF($A$4+213&gt;$B$4,"",$A$4+213)</f>
        <v>46236</v>
      </c>
      <c r="N21329" t="str">
        <f>IF(M21329="","",'Master Barang'!A23)</f>
        <v>PRL-022</v>
      </c>
      <c r="O21329" t="str">
        <f>IF(N21329="","",'Master Barang'!B23)</f>
        <v>sabun cuci tangan</v>
      </c>
      <c r="P21329">
        <f>IF(OR(M21329="",N21329=""),"",SUMIFS('Barang Keluar'!$E:$E,'Barang Keluar'!$A:$A,M21329,'Barang Keluar'!$C:$C,N21329))</f>
        <v>0</v>
      </c>
    </row>
    <row r="21330" spans="13:16">
      <c r="M21330" s="49">
        <f>IF($A$4+213&gt;$B$4,"",$A$4+213)</f>
        <v>46236</v>
      </c>
      <c r="N21330" t="str">
        <f>IF(M21330="","",'Master Barang'!A24)</f>
        <v>PRL-023</v>
      </c>
      <c r="O21330" t="str">
        <f>IF(N21330="","",'Master Barang'!B24)</f>
        <v>gayung kecil</v>
      </c>
      <c r="P21330">
        <f>IF(OR(M21330="",N21330=""),"",SUMIFS('Barang Keluar'!$E:$E,'Barang Keluar'!$A:$A,M21330,'Barang Keluar'!$C:$C,N21330))</f>
        <v>0</v>
      </c>
    </row>
    <row r="21331" spans="13:16">
      <c r="M21331" s="49">
        <f>IF($A$4+213&gt;$B$4,"",$A$4+213)</f>
        <v>46236</v>
      </c>
      <c r="N21331" t="str">
        <f>IF(M21331="","",'Master Barang'!A25)</f>
        <v>PRL-024</v>
      </c>
      <c r="O21331" t="str">
        <f>IF(N21331="","",'Master Barang'!B25)</f>
        <v>cikrak kecil</v>
      </c>
      <c r="P21331">
        <f>IF(OR(M21331="",N21331=""),"",SUMIFS('Barang Keluar'!$E:$E,'Barang Keluar'!$A:$A,M21331,'Barang Keluar'!$C:$C,N21331))</f>
        <v>0</v>
      </c>
    </row>
    <row r="21332" spans="13:16">
      <c r="M21332" s="49">
        <f>IF($A$4+213&gt;$B$4,"",$A$4+213)</f>
        <v>46236</v>
      </c>
      <c r="N21332" t="str">
        <f>IF(M21332="","",'Master Barang'!A26)</f>
        <v>PRL-025</v>
      </c>
      <c r="O21332" t="str">
        <f>IF(N21332="","",'Master Barang'!B26)</f>
        <v>petromax plastik kecil 12x24 100 lembar</v>
      </c>
      <c r="P21332">
        <f>IF(OR(M21332="",N21332=""),"",SUMIFS('Barang Keluar'!$E:$E,'Barang Keluar'!$A:$A,M21332,'Barang Keluar'!$C:$C,N21332))</f>
        <v>0</v>
      </c>
    </row>
    <row r="21333" spans="13:16">
      <c r="M21333" s="49">
        <f>IF($A$4+213&gt;$B$4,"",$A$4+213)</f>
        <v>46236</v>
      </c>
      <c r="N21333" t="str">
        <f>IF(M21333="","",'Master Barang'!A27)</f>
        <v>PRL-026</v>
      </c>
      <c r="O21333" t="str">
        <f>IF(N21333="","",'Master Barang'!B27)</f>
        <v>lancar kresek kecil bening </v>
      </c>
      <c r="P21333">
        <f>IF(OR(M21333="",N21333=""),"",SUMIFS('Barang Keluar'!$E:$E,'Barang Keluar'!$A:$A,M21333,'Barang Keluar'!$C:$C,N21333))</f>
        <v>0</v>
      </c>
    </row>
    <row r="21334" spans="13:16">
      <c r="M21334" s="49">
        <f>IF($A$4+213&gt;$B$4,"",$A$4+213)</f>
        <v>46236</v>
      </c>
      <c r="N21334" t="str">
        <f>IF(M21334="","",'Master Barang'!A28)</f>
        <v>PRL-027</v>
      </c>
      <c r="O21334" t="str">
        <f>IF(N21334="","",'Master Barang'!B28)</f>
        <v>kresek klin warna warni kecil</v>
      </c>
      <c r="P21334">
        <f>IF(OR(M21334="",N21334=""),"",SUMIFS('Barang Keluar'!$E:$E,'Barang Keluar'!$A:$A,M21334,'Barang Keluar'!$C:$C,N21334))</f>
        <v>0</v>
      </c>
    </row>
    <row r="21335" spans="13:16">
      <c r="M21335" s="49">
        <f>IF($A$4+213&gt;$B$4,"",$A$4+213)</f>
        <v>46236</v>
      </c>
      <c r="N21335" t="str">
        <f>IF(M21335="","",'Master Barang'!A29)</f>
        <v>PRL-028</v>
      </c>
      <c r="O21335" t="str">
        <f>IF(N21335="","",'Master Barang'!B29)</f>
        <v>ctik plastik 7x10 100 pcs</v>
      </c>
      <c r="P21335">
        <f>IF(OR(M21335="",N21335=""),"",SUMIFS('Barang Keluar'!$E:$E,'Barang Keluar'!$A:$A,M21335,'Barang Keluar'!$C:$C,N21335))</f>
        <v>0</v>
      </c>
    </row>
    <row r="21336" spans="13:16">
      <c r="M21336" s="49">
        <f>IF($A$4+213&gt;$B$4,"",$A$4+213)</f>
        <v>46236</v>
      </c>
      <c r="N21336" t="str">
        <f>IF(M21336="","",'Master Barang'!A30)</f>
        <v>PRL-029</v>
      </c>
      <c r="O21336" t="str">
        <f>IF(N21336="","",'Master Barang'!B30)</f>
        <v>ctik plastik 6x10 100 pcs</v>
      </c>
      <c r="P21336">
        <f>IF(OR(M21336="",N21336=""),"",SUMIFS('Barang Keluar'!$E:$E,'Barang Keluar'!$A:$A,M21336,'Barang Keluar'!$C:$C,N21336))</f>
        <v>0</v>
      </c>
    </row>
    <row r="21337" spans="13:16">
      <c r="M21337" s="49">
        <f>IF($A$4+213&gt;$B$4,"",$A$4+213)</f>
        <v>46236</v>
      </c>
      <c r="N21337" t="str">
        <f>IF(M21337="","",'Master Barang'!A31)</f>
        <v>PRL-030</v>
      </c>
      <c r="O21337" t="str">
        <f>IF(N21337="","",'Master Barang'!B31)</f>
        <v>klip plastik 25x16 100 pcs</v>
      </c>
      <c r="P21337">
        <f>IF(OR(M21337="",N21337=""),"",SUMIFS('Barang Keluar'!$E:$E,'Barang Keluar'!$A:$A,M21337,'Barang Keluar'!$C:$C,N21337))</f>
        <v>0</v>
      </c>
    </row>
    <row r="21338" spans="13:16">
      <c r="M21338" s="49">
        <f>IF($A$4+213&gt;$B$4,"",$A$4+213)</f>
        <v>46236</v>
      </c>
      <c r="N21338" t="str">
        <f>IF(M21338="","",'Master Barang'!A32)</f>
        <v>PRL-031</v>
      </c>
      <c r="O21338" t="str">
        <f>IF(N21338="","",'Master Barang'!B32)</f>
        <v>tempat saus 20 ml</v>
      </c>
      <c r="P21338">
        <f>IF(OR(M21338="",N21338=""),"",SUMIFS('Barang Keluar'!$E:$E,'Barang Keluar'!$A:$A,M21338,'Barang Keluar'!$C:$C,N21338))</f>
        <v>0</v>
      </c>
    </row>
    <row r="21339" spans="13:16">
      <c r="M21339" s="49">
        <f>IF($A$4+213&gt;$B$4,"",$A$4+213)</f>
        <v>46236</v>
      </c>
      <c r="N21339" t="str">
        <f>IF(M21339="","",'Master Barang'!A33)</f>
        <v>PRL-032</v>
      </c>
      <c r="O21339" t="str">
        <f>IF(N21339="","",'Master Barang'!B33)</f>
        <v>plastik packaging ag box uk sedang</v>
      </c>
      <c r="P21339">
        <f>IF(OR(M21339="",N21339=""),"",SUMIFS('Barang Keluar'!$E:$E,'Barang Keluar'!$A:$A,M21339,'Barang Keluar'!$C:$C,N21339))</f>
        <v>0</v>
      </c>
    </row>
    <row r="21340" spans="13:16">
      <c r="M21340" s="49">
        <f>IF($A$4+213&gt;$B$4,"",$A$4+213)</f>
        <v>46236</v>
      </c>
      <c r="N21340" t="str">
        <f>IF(M21340="","",'Master Barang'!A34)</f>
        <v>PRL-033</v>
      </c>
      <c r="O21340">
        <f>IF(N21340="","",'Master Barang'!B34)</f>
        <v>0</v>
      </c>
      <c r="P21340">
        <f>IF(OR(M21340="",N21340=""),"",SUMIFS('Barang Keluar'!$E:$E,'Barang Keluar'!$A:$A,M21340,'Barang Keluar'!$C:$C,N21340))</f>
        <v>0</v>
      </c>
    </row>
    <row r="21341" spans="13:16">
      <c r="M21341" s="49">
        <f>IF($A$4+213&gt;$B$4,"",$A$4+213)</f>
        <v>46236</v>
      </c>
      <c r="N21341">
        <f>IF(M21341="","",'Master Barang'!A35)</f>
        <v>0</v>
      </c>
      <c r="O21341">
        <f>IF(N21341="","",'Master Barang'!B35)</f>
        <v>0</v>
      </c>
      <c r="P21341">
        <f>IF(OR(M21341="",N21341=""),"",SUMIFS('Barang Keluar'!$E:$E,'Barang Keluar'!$A:$A,M21341,'Barang Keluar'!$C:$C,N21341))</f>
        <v>0</v>
      </c>
    </row>
    <row r="21342" spans="13:16">
      <c r="M21342" s="49">
        <f>IF($A$4+213&gt;$B$4,"",$A$4+213)</f>
        <v>46236</v>
      </c>
      <c r="N21342">
        <f>IF(M21342="","",'Master Barang'!A36)</f>
        <v>0</v>
      </c>
      <c r="O21342">
        <f>IF(N21342="","",'Master Barang'!B36)</f>
        <v>0</v>
      </c>
      <c r="P21342">
        <f>IF(OR(M21342="",N21342=""),"",SUMIFS('Barang Keluar'!$E:$E,'Barang Keluar'!$A:$A,M21342,'Barang Keluar'!$C:$C,N21342))</f>
        <v>0</v>
      </c>
    </row>
    <row r="21343" spans="13:16">
      <c r="M21343" s="49">
        <f>IF($A$4+213&gt;$B$4,"",$A$4+213)</f>
        <v>46236</v>
      </c>
      <c r="N21343">
        <f>IF(M21343="","",'Master Barang'!A37)</f>
        <v>0</v>
      </c>
      <c r="O21343">
        <f>IF(N21343="","",'Master Barang'!B37)</f>
        <v>0</v>
      </c>
      <c r="P21343">
        <f>IF(OR(M21343="",N21343=""),"",SUMIFS('Barang Keluar'!$E:$E,'Barang Keluar'!$A:$A,M21343,'Barang Keluar'!$C:$C,N21343))</f>
        <v>0</v>
      </c>
    </row>
    <row r="21344" spans="13:16">
      <c r="M21344" s="49">
        <f>IF($A$4+213&gt;$B$4,"",$A$4+213)</f>
        <v>46236</v>
      </c>
      <c r="N21344">
        <f>IF(M21344="","",'Master Barang'!A38)</f>
        <v>0</v>
      </c>
      <c r="O21344">
        <f>IF(N21344="","",'Master Barang'!B38)</f>
        <v>0</v>
      </c>
      <c r="P21344">
        <f>IF(OR(M21344="",N21344=""),"",SUMIFS('Barang Keluar'!$E:$E,'Barang Keluar'!$A:$A,M21344,'Barang Keluar'!$C:$C,N21344))</f>
        <v>0</v>
      </c>
    </row>
    <row r="21345" spans="13:16">
      <c r="M21345" s="49">
        <f>IF($A$4+213&gt;$B$4,"",$A$4+213)</f>
        <v>46236</v>
      </c>
      <c r="N21345">
        <f>IF(M21345="","",'Master Barang'!A39)</f>
        <v>0</v>
      </c>
      <c r="O21345">
        <f>IF(N21345="","",'Master Barang'!B39)</f>
        <v>0</v>
      </c>
      <c r="P21345">
        <f>IF(OR(M21345="",N21345=""),"",SUMIFS('Barang Keluar'!$E:$E,'Barang Keluar'!$A:$A,M21345,'Barang Keluar'!$C:$C,N21345))</f>
        <v>0</v>
      </c>
    </row>
    <row r="21346" spans="13:16">
      <c r="M21346" s="49">
        <f>IF($A$4+213&gt;$B$4,"",$A$4+213)</f>
        <v>46236</v>
      </c>
      <c r="N21346">
        <f>IF(M21346="","",'Master Barang'!A40)</f>
        <v>0</v>
      </c>
      <c r="O21346">
        <f>IF(N21346="","",'Master Barang'!B40)</f>
        <v>0</v>
      </c>
      <c r="P21346">
        <f>IF(OR(M21346="",N21346=""),"",SUMIFS('Barang Keluar'!$E:$E,'Barang Keluar'!$A:$A,M21346,'Barang Keluar'!$C:$C,N21346))</f>
        <v>0</v>
      </c>
    </row>
    <row r="21347" spans="13:16">
      <c r="M21347" s="49">
        <f>IF($A$4+213&gt;$B$4,"",$A$4+213)</f>
        <v>46236</v>
      </c>
      <c r="N21347">
        <f>IF(M21347="","",'Master Barang'!A41)</f>
        <v>0</v>
      </c>
      <c r="O21347">
        <f>IF(N21347="","",'Master Barang'!B41)</f>
        <v>0</v>
      </c>
      <c r="P21347">
        <f>IF(OR(M21347="",N21347=""),"",SUMIFS('Barang Keluar'!$E:$E,'Barang Keluar'!$A:$A,M21347,'Barang Keluar'!$C:$C,N21347))</f>
        <v>0</v>
      </c>
    </row>
    <row r="21348" spans="13:16">
      <c r="M21348" s="49">
        <f>IF($A$4+213&gt;$B$4,"",$A$4+213)</f>
        <v>46236</v>
      </c>
      <c r="N21348">
        <f>IF(M21348="","",'Master Barang'!A42)</f>
        <v>0</v>
      </c>
      <c r="O21348">
        <f>IF(N21348="","",'Master Barang'!B42)</f>
        <v>0</v>
      </c>
      <c r="P21348">
        <f>IF(OR(M21348="",N21348=""),"",SUMIFS('Barang Keluar'!$E:$E,'Barang Keluar'!$A:$A,M21348,'Barang Keluar'!$C:$C,N21348))</f>
        <v>0</v>
      </c>
    </row>
    <row r="21349" spans="13:16">
      <c r="M21349" s="49">
        <f>IF($A$4+213&gt;$B$4,"",$A$4+213)</f>
        <v>46236</v>
      </c>
      <c r="N21349">
        <f>IF(M21349="","",'Master Barang'!A43)</f>
        <v>0</v>
      </c>
      <c r="O21349">
        <f>IF(N21349="","",'Master Barang'!B43)</f>
        <v>0</v>
      </c>
      <c r="P21349">
        <f>IF(OR(M21349="",N21349=""),"",SUMIFS('Barang Keluar'!$E:$E,'Barang Keluar'!$A:$A,M21349,'Barang Keluar'!$C:$C,N21349))</f>
        <v>0</v>
      </c>
    </row>
    <row r="21350" spans="13:16">
      <c r="M21350" s="49">
        <f>IF($A$4+213&gt;$B$4,"",$A$4+213)</f>
        <v>46236</v>
      </c>
      <c r="N21350">
        <f>IF(M21350="","",'Master Barang'!A44)</f>
        <v>0</v>
      </c>
      <c r="O21350">
        <f>IF(N21350="","",'Master Barang'!B44)</f>
        <v>0</v>
      </c>
      <c r="P21350">
        <f>IF(OR(M21350="",N21350=""),"",SUMIFS('Barang Keluar'!$E:$E,'Barang Keluar'!$A:$A,M21350,'Barang Keluar'!$C:$C,N21350))</f>
        <v>0</v>
      </c>
    </row>
    <row r="21351" spans="13:16">
      <c r="M21351" s="49">
        <f>IF($A$4+213&gt;$B$4,"",$A$4+213)</f>
        <v>46236</v>
      </c>
      <c r="N21351">
        <f>IF(M21351="","",'Master Barang'!A45)</f>
        <v>0</v>
      </c>
      <c r="O21351">
        <f>IF(N21351="","",'Master Barang'!B45)</f>
        <v>0</v>
      </c>
      <c r="P21351">
        <f>IF(OR(M21351="",N21351=""),"",SUMIFS('Barang Keluar'!$E:$E,'Barang Keluar'!$A:$A,M21351,'Barang Keluar'!$C:$C,N21351))</f>
        <v>0</v>
      </c>
    </row>
    <row r="21352" spans="13:16">
      <c r="M21352" s="49">
        <f>IF($A$4+213&gt;$B$4,"",$A$4+213)</f>
        <v>46236</v>
      </c>
      <c r="N21352">
        <f>IF(M21352="","",'Master Barang'!A46)</f>
        <v>0</v>
      </c>
      <c r="O21352">
        <f>IF(N21352="","",'Master Barang'!B46)</f>
        <v>0</v>
      </c>
      <c r="P21352">
        <f>IF(OR(M21352="",N21352=""),"",SUMIFS('Barang Keluar'!$E:$E,'Barang Keluar'!$A:$A,M21352,'Barang Keluar'!$C:$C,N21352))</f>
        <v>0</v>
      </c>
    </row>
    <row r="21353" spans="13:16">
      <c r="M21353" s="49">
        <f>IF($A$4+213&gt;$B$4,"",$A$4+213)</f>
        <v>46236</v>
      </c>
      <c r="N21353">
        <f>IF(M21353="","",'Master Barang'!A47)</f>
        <v>0</v>
      </c>
      <c r="O21353">
        <f>IF(N21353="","",'Master Barang'!B47)</f>
        <v>0</v>
      </c>
      <c r="P21353">
        <f>IF(OR(M21353="",N21353=""),"",SUMIFS('Barang Keluar'!$E:$E,'Barang Keluar'!$A:$A,M21353,'Barang Keluar'!$C:$C,N21353))</f>
        <v>0</v>
      </c>
    </row>
    <row r="21354" spans="13:16">
      <c r="M21354" s="49">
        <f>IF($A$4+213&gt;$B$4,"",$A$4+213)</f>
        <v>46236</v>
      </c>
      <c r="N21354">
        <f>IF(M21354="","",'Master Barang'!A48)</f>
        <v>0</v>
      </c>
      <c r="O21354">
        <f>IF(N21354="","",'Master Barang'!B48)</f>
        <v>0</v>
      </c>
      <c r="P21354">
        <f>IF(OR(M21354="",N21354=""),"",SUMIFS('Barang Keluar'!$E:$E,'Barang Keluar'!$A:$A,M21354,'Barang Keluar'!$C:$C,N21354))</f>
        <v>0</v>
      </c>
    </row>
    <row r="21355" spans="13:16">
      <c r="M21355" s="49">
        <f>IF($A$4+213&gt;$B$4,"",$A$4+213)</f>
        <v>46236</v>
      </c>
      <c r="N21355">
        <f>IF(M21355="","",'Master Barang'!A49)</f>
        <v>0</v>
      </c>
      <c r="O21355">
        <f>IF(N21355="","",'Master Barang'!B49)</f>
        <v>0</v>
      </c>
      <c r="P21355">
        <f>IF(OR(M21355="",N21355=""),"",SUMIFS('Barang Keluar'!$E:$E,'Barang Keluar'!$A:$A,M21355,'Barang Keluar'!$C:$C,N21355))</f>
        <v>0</v>
      </c>
    </row>
    <row r="21356" spans="13:16">
      <c r="M21356" s="49">
        <f>IF($A$4+213&gt;$B$4,"",$A$4+213)</f>
        <v>46236</v>
      </c>
      <c r="N21356">
        <f>IF(M21356="","",'Master Barang'!A50)</f>
        <v>0</v>
      </c>
      <c r="O21356">
        <f>IF(N21356="","",'Master Barang'!B50)</f>
        <v>0</v>
      </c>
      <c r="P21356">
        <f>IF(OR(M21356="",N21356=""),"",SUMIFS('Barang Keluar'!$E:$E,'Barang Keluar'!$A:$A,M21356,'Barang Keluar'!$C:$C,N21356))</f>
        <v>0</v>
      </c>
    </row>
    <row r="21357" spans="13:16">
      <c r="M21357" s="49">
        <f>IF($A$4+213&gt;$B$4,"",$A$4+213)</f>
        <v>46236</v>
      </c>
      <c r="N21357">
        <f>IF(M21357="","",'Master Barang'!A51)</f>
        <v>0</v>
      </c>
      <c r="O21357">
        <f>IF(N21357="","",'Master Barang'!B51)</f>
        <v>0</v>
      </c>
      <c r="P21357">
        <f>IF(OR(M21357="",N21357=""),"",SUMIFS('Barang Keluar'!$E:$E,'Barang Keluar'!$A:$A,M21357,'Barang Keluar'!$C:$C,N21357))</f>
        <v>0</v>
      </c>
    </row>
    <row r="21358" spans="13:16">
      <c r="M21358" s="49">
        <f>IF($A$4+213&gt;$B$4,"",$A$4+213)</f>
        <v>46236</v>
      </c>
      <c r="N21358">
        <f>IF(M21358="","",'Master Barang'!A52)</f>
        <v>0</v>
      </c>
      <c r="O21358">
        <f>IF(N21358="","",'Master Barang'!B52)</f>
        <v>0</v>
      </c>
      <c r="P21358">
        <f>IF(OR(M21358="",N21358=""),"",SUMIFS('Barang Keluar'!$E:$E,'Barang Keluar'!$A:$A,M21358,'Barang Keluar'!$C:$C,N21358))</f>
        <v>0</v>
      </c>
    </row>
    <row r="21359" spans="13:16">
      <c r="M21359" s="49">
        <f>IF($A$4+213&gt;$B$4,"",$A$4+213)</f>
        <v>46236</v>
      </c>
      <c r="N21359">
        <f>IF(M21359="","",'Master Barang'!A53)</f>
        <v>0</v>
      </c>
      <c r="O21359">
        <f>IF(N21359="","",'Master Barang'!B53)</f>
        <v>0</v>
      </c>
      <c r="P21359">
        <f>IF(OR(M21359="",N21359=""),"",SUMIFS('Barang Keluar'!$E:$E,'Barang Keluar'!$A:$A,M21359,'Barang Keluar'!$C:$C,N21359))</f>
        <v>0</v>
      </c>
    </row>
    <row r="21360" spans="13:16">
      <c r="M21360" s="49">
        <f>IF($A$4+213&gt;$B$4,"",$A$4+213)</f>
        <v>46236</v>
      </c>
      <c r="N21360">
        <f>IF(M21360="","",'Master Barang'!A54)</f>
        <v>0</v>
      </c>
      <c r="O21360">
        <f>IF(N21360="","",'Master Barang'!B54)</f>
        <v>0</v>
      </c>
      <c r="P21360">
        <f>IF(OR(M21360="",N21360=""),"",SUMIFS('Barang Keluar'!$E:$E,'Barang Keluar'!$A:$A,M21360,'Barang Keluar'!$C:$C,N21360))</f>
        <v>0</v>
      </c>
    </row>
    <row r="21361" spans="13:16">
      <c r="M21361" s="49">
        <f>IF($A$4+213&gt;$B$4,"",$A$4+213)</f>
        <v>46236</v>
      </c>
      <c r="N21361">
        <f>IF(M21361="","",'Master Barang'!A55)</f>
        <v>0</v>
      </c>
      <c r="O21361">
        <f>IF(N21361="","",'Master Barang'!B55)</f>
        <v>0</v>
      </c>
      <c r="P21361">
        <f>IF(OR(M21361="",N21361=""),"",SUMIFS('Barang Keluar'!$E:$E,'Barang Keluar'!$A:$A,M21361,'Barang Keluar'!$C:$C,N21361))</f>
        <v>0</v>
      </c>
    </row>
    <row r="21362" spans="13:16">
      <c r="M21362" s="49">
        <f>IF($A$4+213&gt;$B$4,"",$A$4+213)</f>
        <v>46236</v>
      </c>
      <c r="N21362">
        <f>IF(M21362="","",'Master Barang'!A56)</f>
        <v>0</v>
      </c>
      <c r="O21362">
        <f>IF(N21362="","",'Master Barang'!B56)</f>
        <v>0</v>
      </c>
      <c r="P21362">
        <f>IF(OR(M21362="",N21362=""),"",SUMIFS('Barang Keluar'!$E:$E,'Barang Keluar'!$A:$A,M21362,'Barang Keluar'!$C:$C,N21362))</f>
        <v>0</v>
      </c>
    </row>
    <row r="21363" spans="13:16">
      <c r="M21363" s="49">
        <f>IF($A$4+213&gt;$B$4,"",$A$4+213)</f>
        <v>46236</v>
      </c>
      <c r="N21363">
        <f>IF(M21363="","",'Master Barang'!A57)</f>
        <v>0</v>
      </c>
      <c r="O21363">
        <f>IF(N21363="","",'Master Barang'!B57)</f>
        <v>0</v>
      </c>
      <c r="P21363">
        <f>IF(OR(M21363="",N21363=""),"",SUMIFS('Barang Keluar'!$E:$E,'Barang Keluar'!$A:$A,M21363,'Barang Keluar'!$C:$C,N21363))</f>
        <v>0</v>
      </c>
    </row>
    <row r="21364" spans="13:16">
      <c r="M21364" s="49">
        <f>IF($A$4+213&gt;$B$4,"",$A$4+213)</f>
        <v>46236</v>
      </c>
      <c r="N21364">
        <f>IF(M21364="","",'Master Barang'!A58)</f>
        <v>0</v>
      </c>
      <c r="O21364">
        <f>IF(N21364="","",'Master Barang'!B58)</f>
        <v>0</v>
      </c>
      <c r="P21364">
        <f>IF(OR(M21364="",N21364=""),"",SUMIFS('Barang Keluar'!$E:$E,'Barang Keluar'!$A:$A,M21364,'Barang Keluar'!$C:$C,N21364))</f>
        <v>0</v>
      </c>
    </row>
    <row r="21365" spans="13:16">
      <c r="M21365" s="49">
        <f>IF($A$4+213&gt;$B$4,"",$A$4+213)</f>
        <v>46236</v>
      </c>
      <c r="N21365">
        <f>IF(M21365="","",'Master Barang'!A59)</f>
        <v>0</v>
      </c>
      <c r="O21365">
        <f>IF(N21365="","",'Master Barang'!B59)</f>
        <v>0</v>
      </c>
      <c r="P21365">
        <f>IF(OR(M21365="",N21365=""),"",SUMIFS('Barang Keluar'!$E:$E,'Barang Keluar'!$A:$A,M21365,'Barang Keluar'!$C:$C,N21365))</f>
        <v>0</v>
      </c>
    </row>
    <row r="21366" spans="13:16">
      <c r="M21366" s="49">
        <f>IF($A$4+213&gt;$B$4,"",$A$4+213)</f>
        <v>46236</v>
      </c>
      <c r="N21366">
        <f>IF(M21366="","",'Master Barang'!A60)</f>
        <v>0</v>
      </c>
      <c r="O21366">
        <f>IF(N21366="","",'Master Barang'!B60)</f>
        <v>0</v>
      </c>
      <c r="P21366">
        <f>IF(OR(M21366="",N21366=""),"",SUMIFS('Barang Keluar'!$E:$E,'Barang Keluar'!$A:$A,M21366,'Barang Keluar'!$C:$C,N21366))</f>
        <v>0</v>
      </c>
    </row>
    <row r="21367" spans="13:16">
      <c r="M21367" s="49">
        <f>IF($A$4+213&gt;$B$4,"",$A$4+213)</f>
        <v>46236</v>
      </c>
      <c r="N21367">
        <f>IF(M21367="","",'Master Barang'!A61)</f>
        <v>0</v>
      </c>
      <c r="O21367">
        <f>IF(N21367="","",'Master Barang'!B61)</f>
        <v>0</v>
      </c>
      <c r="P21367">
        <f>IF(OR(M21367="",N21367=""),"",SUMIFS('Barang Keluar'!$E:$E,'Barang Keluar'!$A:$A,M21367,'Barang Keluar'!$C:$C,N21367))</f>
        <v>0</v>
      </c>
    </row>
    <row r="21368" spans="13:16">
      <c r="M21368" s="49">
        <f>IF($A$4+213&gt;$B$4,"",$A$4+213)</f>
        <v>46236</v>
      </c>
      <c r="N21368">
        <f>IF(M21368="","",'Master Barang'!A62)</f>
        <v>0</v>
      </c>
      <c r="O21368">
        <f>IF(N21368="","",'Master Barang'!B62)</f>
        <v>0</v>
      </c>
      <c r="P21368">
        <f>IF(OR(M21368="",N21368=""),"",SUMIFS('Barang Keluar'!$E:$E,'Barang Keluar'!$A:$A,M21368,'Barang Keluar'!$C:$C,N21368))</f>
        <v>0</v>
      </c>
    </row>
    <row r="21369" spans="13:16">
      <c r="M21369" s="49">
        <f>IF($A$4+213&gt;$B$4,"",$A$4+213)</f>
        <v>46236</v>
      </c>
      <c r="N21369">
        <f>IF(M21369="","",'Master Barang'!A63)</f>
        <v>0</v>
      </c>
      <c r="O21369">
        <f>IF(N21369="","",'Master Barang'!B63)</f>
        <v>0</v>
      </c>
      <c r="P21369">
        <f>IF(OR(M21369="",N21369=""),"",SUMIFS('Barang Keluar'!$E:$E,'Barang Keluar'!$A:$A,M21369,'Barang Keluar'!$C:$C,N21369))</f>
        <v>0</v>
      </c>
    </row>
    <row r="21370" spans="13:16">
      <c r="M21370" s="49">
        <f>IF($A$4+213&gt;$B$4,"",$A$4+213)</f>
        <v>46236</v>
      </c>
      <c r="N21370">
        <f>IF(M21370="","",'Master Barang'!A64)</f>
        <v>0</v>
      </c>
      <c r="O21370">
        <f>IF(N21370="","",'Master Barang'!B64)</f>
        <v>0</v>
      </c>
      <c r="P21370">
        <f>IF(OR(M21370="",N21370=""),"",SUMIFS('Barang Keluar'!$E:$E,'Barang Keluar'!$A:$A,M21370,'Barang Keluar'!$C:$C,N21370))</f>
        <v>0</v>
      </c>
    </row>
    <row r="21371" spans="13:16">
      <c r="M21371" s="49">
        <f>IF($A$4+213&gt;$B$4,"",$A$4+213)</f>
        <v>46236</v>
      </c>
      <c r="N21371">
        <f>IF(M21371="","",'Master Barang'!A65)</f>
        <v>0</v>
      </c>
      <c r="O21371">
        <f>IF(N21371="","",'Master Barang'!B65)</f>
        <v>0</v>
      </c>
      <c r="P21371">
        <f>IF(OR(M21371="",N21371=""),"",SUMIFS('Barang Keluar'!$E:$E,'Barang Keluar'!$A:$A,M21371,'Barang Keluar'!$C:$C,N21371))</f>
        <v>0</v>
      </c>
    </row>
    <row r="21372" spans="13:16">
      <c r="M21372" s="49">
        <f>IF($A$4+213&gt;$B$4,"",$A$4+213)</f>
        <v>46236</v>
      </c>
      <c r="N21372">
        <f>IF(M21372="","",'Master Barang'!A66)</f>
        <v>0</v>
      </c>
      <c r="O21372">
        <f>IF(N21372="","",'Master Barang'!B66)</f>
        <v>0</v>
      </c>
      <c r="P21372">
        <f>IF(OR(M21372="",N21372=""),"",SUMIFS('Barang Keluar'!$E:$E,'Barang Keluar'!$A:$A,M21372,'Barang Keluar'!$C:$C,N21372))</f>
        <v>0</v>
      </c>
    </row>
    <row r="21373" spans="13:16">
      <c r="M21373" s="49">
        <f>IF($A$4+213&gt;$B$4,"",$A$4+213)</f>
        <v>46236</v>
      </c>
      <c r="N21373">
        <f>IF(M21373="","",'Master Barang'!A67)</f>
        <v>0</v>
      </c>
      <c r="O21373">
        <f>IF(N21373="","",'Master Barang'!B67)</f>
        <v>0</v>
      </c>
      <c r="P21373">
        <f>IF(OR(M21373="",N21373=""),"",SUMIFS('Barang Keluar'!$E:$E,'Barang Keluar'!$A:$A,M21373,'Barang Keluar'!$C:$C,N21373))</f>
        <v>0</v>
      </c>
    </row>
    <row r="21374" spans="13:16">
      <c r="M21374" s="49">
        <f>IF($A$4+213&gt;$B$4,"",$A$4+213)</f>
        <v>46236</v>
      </c>
      <c r="N21374">
        <f>IF(M21374="","",'Master Barang'!A68)</f>
        <v>0</v>
      </c>
      <c r="O21374">
        <f>IF(N21374="","",'Master Barang'!B68)</f>
        <v>0</v>
      </c>
      <c r="P21374">
        <f>IF(OR(M21374="",N21374=""),"",SUMIFS('Barang Keluar'!$E:$E,'Barang Keluar'!$A:$A,M21374,'Barang Keluar'!$C:$C,N21374))</f>
        <v>0</v>
      </c>
    </row>
    <row r="21375" spans="13:16">
      <c r="M21375" s="49">
        <f>IF($A$4+213&gt;$B$4,"",$A$4+213)</f>
        <v>46236</v>
      </c>
      <c r="N21375">
        <f>IF(M21375="","",'Master Barang'!A69)</f>
        <v>0</v>
      </c>
      <c r="O21375">
        <f>IF(N21375="","",'Master Barang'!B69)</f>
        <v>0</v>
      </c>
      <c r="P21375">
        <f>IF(OR(M21375="",N21375=""),"",SUMIFS('Barang Keluar'!$E:$E,'Barang Keluar'!$A:$A,M21375,'Barang Keluar'!$C:$C,N21375))</f>
        <v>0</v>
      </c>
    </row>
    <row r="21376" spans="13:16">
      <c r="M21376" s="49">
        <f>IF($A$4+213&gt;$B$4,"",$A$4+213)</f>
        <v>46236</v>
      </c>
      <c r="N21376">
        <f>IF(M21376="","",'Master Barang'!A70)</f>
        <v>0</v>
      </c>
      <c r="O21376">
        <f>IF(N21376="","",'Master Barang'!B70)</f>
        <v>0</v>
      </c>
      <c r="P21376">
        <f>IF(OR(M21376="",N21376=""),"",SUMIFS('Barang Keluar'!$E:$E,'Barang Keluar'!$A:$A,M21376,'Barang Keluar'!$C:$C,N21376))</f>
        <v>0</v>
      </c>
    </row>
    <row r="21377" spans="13:16">
      <c r="M21377" s="49">
        <f>IF($A$4+213&gt;$B$4,"",$A$4+213)</f>
        <v>46236</v>
      </c>
      <c r="N21377">
        <f>IF(M21377="","",'Master Barang'!A71)</f>
        <v>0</v>
      </c>
      <c r="O21377">
        <f>IF(N21377="","",'Master Barang'!B71)</f>
        <v>0</v>
      </c>
      <c r="P21377">
        <f>IF(OR(M21377="",N21377=""),"",SUMIFS('Barang Keluar'!$E:$E,'Barang Keluar'!$A:$A,M21377,'Barang Keluar'!$C:$C,N21377))</f>
        <v>0</v>
      </c>
    </row>
    <row r="21378" spans="13:16">
      <c r="M21378" s="49">
        <f>IF($A$4+213&gt;$B$4,"",$A$4+213)</f>
        <v>46236</v>
      </c>
      <c r="N21378">
        <f>IF(M21378="","",'Master Barang'!A72)</f>
        <v>0</v>
      </c>
      <c r="O21378">
        <f>IF(N21378="","",'Master Barang'!B72)</f>
        <v>0</v>
      </c>
      <c r="P21378">
        <f>IF(OR(M21378="",N21378=""),"",SUMIFS('Barang Keluar'!$E:$E,'Barang Keluar'!$A:$A,M21378,'Barang Keluar'!$C:$C,N21378))</f>
        <v>0</v>
      </c>
    </row>
    <row r="21379" spans="13:16">
      <c r="M21379" s="49">
        <f>IF($A$4+213&gt;$B$4,"",$A$4+213)</f>
        <v>46236</v>
      </c>
      <c r="N21379">
        <f>IF(M21379="","",'Master Barang'!A73)</f>
        <v>0</v>
      </c>
      <c r="O21379">
        <f>IF(N21379="","",'Master Barang'!B73)</f>
        <v>0</v>
      </c>
      <c r="P21379">
        <f>IF(OR(M21379="",N21379=""),"",SUMIFS('Barang Keluar'!$E:$E,'Barang Keluar'!$A:$A,M21379,'Barang Keluar'!$C:$C,N21379))</f>
        <v>0</v>
      </c>
    </row>
    <row r="21380" spans="13:16">
      <c r="M21380" s="49">
        <f>IF($A$4+213&gt;$B$4,"",$A$4+213)</f>
        <v>46236</v>
      </c>
      <c r="N21380">
        <f>IF(M21380="","",'Master Barang'!A74)</f>
        <v>0</v>
      </c>
      <c r="O21380">
        <f>IF(N21380="","",'Master Barang'!B74)</f>
        <v>0</v>
      </c>
      <c r="P21380">
        <f>IF(OR(M21380="",N21380=""),"",SUMIFS('Barang Keluar'!$E:$E,'Barang Keluar'!$A:$A,M21380,'Barang Keluar'!$C:$C,N21380))</f>
        <v>0</v>
      </c>
    </row>
    <row r="21381" spans="13:16">
      <c r="M21381" s="49">
        <f>IF($A$4+213&gt;$B$4,"",$A$4+213)</f>
        <v>46236</v>
      </c>
      <c r="N21381">
        <f>IF(M21381="","",'Master Barang'!A75)</f>
        <v>0</v>
      </c>
      <c r="O21381">
        <f>IF(N21381="","",'Master Barang'!B75)</f>
        <v>0</v>
      </c>
      <c r="P21381">
        <f>IF(OR(M21381="",N21381=""),"",SUMIFS('Barang Keluar'!$E:$E,'Barang Keluar'!$A:$A,M21381,'Barang Keluar'!$C:$C,N21381))</f>
        <v>0</v>
      </c>
    </row>
    <row r="21382" spans="13:16">
      <c r="M21382" s="49">
        <f>IF($A$4+213&gt;$B$4,"",$A$4+213)</f>
        <v>46236</v>
      </c>
      <c r="N21382">
        <f>IF(M21382="","",'Master Barang'!A76)</f>
        <v>0</v>
      </c>
      <c r="O21382">
        <f>IF(N21382="","",'Master Barang'!B76)</f>
        <v>0</v>
      </c>
      <c r="P21382">
        <f>IF(OR(M21382="",N21382=""),"",SUMIFS('Barang Keluar'!$E:$E,'Barang Keluar'!$A:$A,M21382,'Barang Keluar'!$C:$C,N21382))</f>
        <v>0</v>
      </c>
    </row>
    <row r="21383" spans="13:16">
      <c r="M21383" s="49">
        <f>IF($A$4+213&gt;$B$4,"",$A$4+213)</f>
        <v>46236</v>
      </c>
      <c r="N21383">
        <f>IF(M21383="","",'Master Barang'!A77)</f>
        <v>0</v>
      </c>
      <c r="O21383">
        <f>IF(N21383="","",'Master Barang'!B77)</f>
        <v>0</v>
      </c>
      <c r="P21383">
        <f>IF(OR(M21383="",N21383=""),"",SUMIFS('Barang Keluar'!$E:$E,'Barang Keluar'!$A:$A,M21383,'Barang Keluar'!$C:$C,N21383))</f>
        <v>0</v>
      </c>
    </row>
    <row r="21384" spans="13:16">
      <c r="M21384" s="49">
        <f>IF($A$4+213&gt;$B$4,"",$A$4+213)</f>
        <v>46236</v>
      </c>
      <c r="N21384">
        <f>IF(M21384="","",'Master Barang'!A78)</f>
        <v>0</v>
      </c>
      <c r="O21384">
        <f>IF(N21384="","",'Master Barang'!B78)</f>
        <v>0</v>
      </c>
      <c r="P21384">
        <f>IF(OR(M21384="",N21384=""),"",SUMIFS('Barang Keluar'!$E:$E,'Barang Keluar'!$A:$A,M21384,'Barang Keluar'!$C:$C,N21384))</f>
        <v>0</v>
      </c>
    </row>
    <row r="21385" spans="13:16">
      <c r="M21385" s="49">
        <f>IF($A$4+213&gt;$B$4,"",$A$4+213)</f>
        <v>46236</v>
      </c>
      <c r="N21385">
        <f>IF(M21385="","",'Master Barang'!A79)</f>
        <v>0</v>
      </c>
      <c r="O21385">
        <f>IF(N21385="","",'Master Barang'!B79)</f>
        <v>0</v>
      </c>
      <c r="P21385">
        <f>IF(OR(M21385="",N21385=""),"",SUMIFS('Barang Keluar'!$E:$E,'Barang Keluar'!$A:$A,M21385,'Barang Keluar'!$C:$C,N21385))</f>
        <v>0</v>
      </c>
    </row>
    <row r="21386" spans="13:16">
      <c r="M21386" s="49">
        <f>IF($A$4+213&gt;$B$4,"",$A$4+213)</f>
        <v>46236</v>
      </c>
      <c r="N21386">
        <f>IF(M21386="","",'Master Barang'!A80)</f>
        <v>0</v>
      </c>
      <c r="O21386">
        <f>IF(N21386="","",'Master Barang'!B80)</f>
        <v>0</v>
      </c>
      <c r="P21386">
        <f>IF(OR(M21386="",N21386=""),"",SUMIFS('Barang Keluar'!$E:$E,'Barang Keluar'!$A:$A,M21386,'Barang Keluar'!$C:$C,N21386))</f>
        <v>0</v>
      </c>
    </row>
    <row r="21387" spans="13:16">
      <c r="M21387" s="49">
        <f>IF($A$4+213&gt;$B$4,"",$A$4+213)</f>
        <v>46236</v>
      </c>
      <c r="N21387">
        <f>IF(M21387="","",'Master Barang'!A81)</f>
        <v>0</v>
      </c>
      <c r="O21387">
        <f>IF(N21387="","",'Master Barang'!B81)</f>
        <v>0</v>
      </c>
      <c r="P21387">
        <f>IF(OR(M21387="",N21387=""),"",SUMIFS('Barang Keluar'!$E:$E,'Barang Keluar'!$A:$A,M21387,'Barang Keluar'!$C:$C,N21387))</f>
        <v>0</v>
      </c>
    </row>
    <row r="21388" spans="13:16">
      <c r="M21388" s="49">
        <f>IF($A$4+213&gt;$B$4,"",$A$4+213)</f>
        <v>46236</v>
      </c>
      <c r="N21388">
        <f>IF(M21388="","",'Master Barang'!A82)</f>
        <v>0</v>
      </c>
      <c r="O21388">
        <f>IF(N21388="","",'Master Barang'!B82)</f>
        <v>0</v>
      </c>
      <c r="P21388">
        <f>IF(OR(M21388="",N21388=""),"",SUMIFS('Barang Keluar'!$E:$E,'Barang Keluar'!$A:$A,M21388,'Barang Keluar'!$C:$C,N21388))</f>
        <v>0</v>
      </c>
    </row>
    <row r="21389" spans="13:16">
      <c r="M21389" s="49">
        <f>IF($A$4+213&gt;$B$4,"",$A$4+213)</f>
        <v>46236</v>
      </c>
      <c r="N21389">
        <f>IF(M21389="","",'Master Barang'!A83)</f>
        <v>0</v>
      </c>
      <c r="O21389">
        <f>IF(N21389="","",'Master Barang'!B83)</f>
        <v>0</v>
      </c>
      <c r="P21389">
        <f>IF(OR(M21389="",N21389=""),"",SUMIFS('Barang Keluar'!$E:$E,'Barang Keluar'!$A:$A,M21389,'Barang Keluar'!$C:$C,N21389))</f>
        <v>0</v>
      </c>
    </row>
    <row r="21390" spans="13:16">
      <c r="M21390" s="49">
        <f>IF($A$4+213&gt;$B$4,"",$A$4+213)</f>
        <v>46236</v>
      </c>
      <c r="N21390">
        <f>IF(M21390="","",'Master Barang'!A84)</f>
        <v>0</v>
      </c>
      <c r="O21390">
        <f>IF(N21390="","",'Master Barang'!B84)</f>
        <v>0</v>
      </c>
      <c r="P21390">
        <f>IF(OR(M21390="",N21390=""),"",SUMIFS('Barang Keluar'!$E:$E,'Barang Keluar'!$A:$A,M21390,'Barang Keluar'!$C:$C,N21390))</f>
        <v>0</v>
      </c>
    </row>
    <row r="21391" spans="13:16">
      <c r="M21391" s="49">
        <f>IF($A$4+213&gt;$B$4,"",$A$4+213)</f>
        <v>46236</v>
      </c>
      <c r="N21391">
        <f>IF(M21391="","",'Master Barang'!A85)</f>
        <v>0</v>
      </c>
      <c r="O21391">
        <f>IF(N21391="","",'Master Barang'!B85)</f>
        <v>0</v>
      </c>
      <c r="P21391">
        <f>IF(OR(M21391="",N21391=""),"",SUMIFS('Barang Keluar'!$E:$E,'Barang Keluar'!$A:$A,M21391,'Barang Keluar'!$C:$C,N21391))</f>
        <v>0</v>
      </c>
    </row>
    <row r="21392" spans="13:16">
      <c r="M21392" s="49">
        <f>IF($A$4+213&gt;$B$4,"",$A$4+213)</f>
        <v>46236</v>
      </c>
      <c r="N21392">
        <f>IF(M21392="","",'Master Barang'!A86)</f>
        <v>0</v>
      </c>
      <c r="O21392">
        <f>IF(N21392="","",'Master Barang'!B86)</f>
        <v>0</v>
      </c>
      <c r="P21392">
        <f>IF(OR(M21392="",N21392=""),"",SUMIFS('Barang Keluar'!$E:$E,'Barang Keluar'!$A:$A,M21392,'Barang Keluar'!$C:$C,N21392))</f>
        <v>0</v>
      </c>
    </row>
    <row r="21393" spans="13:16">
      <c r="M21393" s="49">
        <f>IF($A$4+213&gt;$B$4,"",$A$4+213)</f>
        <v>46236</v>
      </c>
      <c r="N21393">
        <f>IF(M21393="","",'Master Barang'!A87)</f>
        <v>0</v>
      </c>
      <c r="O21393">
        <f>IF(N21393="","",'Master Barang'!B87)</f>
        <v>0</v>
      </c>
      <c r="P21393">
        <f>IF(OR(M21393="",N21393=""),"",SUMIFS('Barang Keluar'!$E:$E,'Barang Keluar'!$A:$A,M21393,'Barang Keluar'!$C:$C,N21393))</f>
        <v>0</v>
      </c>
    </row>
    <row r="21394" spans="13:16">
      <c r="M21394" s="49">
        <f>IF($A$4+213&gt;$B$4,"",$A$4+213)</f>
        <v>46236</v>
      </c>
      <c r="N21394">
        <f>IF(M21394="","",'Master Barang'!A88)</f>
        <v>0</v>
      </c>
      <c r="O21394">
        <f>IF(N21394="","",'Master Barang'!B88)</f>
        <v>0</v>
      </c>
      <c r="P21394">
        <f>IF(OR(M21394="",N21394=""),"",SUMIFS('Barang Keluar'!$E:$E,'Barang Keluar'!$A:$A,M21394,'Barang Keluar'!$C:$C,N21394))</f>
        <v>0</v>
      </c>
    </row>
    <row r="21395" spans="13:16">
      <c r="M21395" s="49">
        <f>IF($A$4+213&gt;$B$4,"",$A$4+213)</f>
        <v>46236</v>
      </c>
      <c r="N21395">
        <f>IF(M21395="","",'Master Barang'!A89)</f>
        <v>0</v>
      </c>
      <c r="O21395">
        <f>IF(N21395="","",'Master Barang'!B89)</f>
        <v>0</v>
      </c>
      <c r="P21395">
        <f>IF(OR(M21395="",N21395=""),"",SUMIFS('Barang Keluar'!$E:$E,'Barang Keluar'!$A:$A,M21395,'Barang Keluar'!$C:$C,N21395))</f>
        <v>0</v>
      </c>
    </row>
    <row r="21396" spans="13:16">
      <c r="M21396" s="49">
        <f>IF($A$4+213&gt;$B$4,"",$A$4+213)</f>
        <v>46236</v>
      </c>
      <c r="N21396">
        <f>IF(M21396="","",'Master Barang'!A90)</f>
        <v>0</v>
      </c>
      <c r="O21396">
        <f>IF(N21396="","",'Master Barang'!B90)</f>
        <v>0</v>
      </c>
      <c r="P21396">
        <f>IF(OR(M21396="",N21396=""),"",SUMIFS('Barang Keluar'!$E:$E,'Barang Keluar'!$A:$A,M21396,'Barang Keluar'!$C:$C,N21396))</f>
        <v>0</v>
      </c>
    </row>
    <row r="21397" spans="13:16">
      <c r="M21397" s="49">
        <f>IF($A$4+213&gt;$B$4,"",$A$4+213)</f>
        <v>46236</v>
      </c>
      <c r="N21397">
        <f>IF(M21397="","",'Master Barang'!A91)</f>
        <v>0</v>
      </c>
      <c r="O21397">
        <f>IF(N21397="","",'Master Barang'!B91)</f>
        <v>0</v>
      </c>
      <c r="P21397">
        <f>IF(OR(M21397="",N21397=""),"",SUMIFS('Barang Keluar'!$E:$E,'Barang Keluar'!$A:$A,M21397,'Barang Keluar'!$C:$C,N21397))</f>
        <v>0</v>
      </c>
    </row>
    <row r="21398" spans="13:16">
      <c r="M21398" s="49">
        <f>IF($A$4+213&gt;$B$4,"",$A$4+213)</f>
        <v>46236</v>
      </c>
      <c r="N21398">
        <f>IF(M21398="","",'Master Barang'!A92)</f>
        <v>0</v>
      </c>
      <c r="O21398">
        <f>IF(N21398="","",'Master Barang'!B92)</f>
        <v>0</v>
      </c>
      <c r="P21398">
        <f>IF(OR(M21398="",N21398=""),"",SUMIFS('Barang Keluar'!$E:$E,'Barang Keluar'!$A:$A,M21398,'Barang Keluar'!$C:$C,N21398))</f>
        <v>0</v>
      </c>
    </row>
    <row r="21399" spans="13:16">
      <c r="M21399" s="49">
        <f>IF($A$4+213&gt;$B$4,"",$A$4+213)</f>
        <v>46236</v>
      </c>
      <c r="N21399">
        <f>IF(M21399="","",'Master Barang'!A93)</f>
        <v>0</v>
      </c>
      <c r="O21399">
        <f>IF(N21399="","",'Master Barang'!B93)</f>
        <v>0</v>
      </c>
      <c r="P21399">
        <f>IF(OR(M21399="",N21399=""),"",SUMIFS('Barang Keluar'!$E:$E,'Barang Keluar'!$A:$A,M21399,'Barang Keluar'!$C:$C,N21399))</f>
        <v>0</v>
      </c>
    </row>
    <row r="21400" spans="13:16">
      <c r="M21400" s="49">
        <f>IF($A$4+213&gt;$B$4,"",$A$4+213)</f>
        <v>46236</v>
      </c>
      <c r="N21400">
        <f>IF(M21400="","",'Master Barang'!A94)</f>
        <v>0</v>
      </c>
      <c r="O21400">
        <f>IF(N21400="","",'Master Barang'!B94)</f>
        <v>0</v>
      </c>
      <c r="P21400">
        <f>IF(OR(M21400="",N21400=""),"",SUMIFS('Barang Keluar'!$E:$E,'Barang Keluar'!$A:$A,M21400,'Barang Keluar'!$C:$C,N21400))</f>
        <v>0</v>
      </c>
    </row>
    <row r="21401" spans="13:16">
      <c r="M21401" s="49">
        <f>IF($A$4+213&gt;$B$4,"",$A$4+213)</f>
        <v>46236</v>
      </c>
      <c r="N21401">
        <f>IF(M21401="","",'Master Barang'!A95)</f>
        <v>0</v>
      </c>
      <c r="O21401">
        <f>IF(N21401="","",'Master Barang'!B95)</f>
        <v>0</v>
      </c>
      <c r="P21401">
        <f>IF(OR(M21401="",N21401=""),"",SUMIFS('Barang Keluar'!$E:$E,'Barang Keluar'!$A:$A,M21401,'Barang Keluar'!$C:$C,N21401))</f>
        <v>0</v>
      </c>
    </row>
    <row r="21402" spans="13:16">
      <c r="M21402" s="49">
        <f>IF($A$4+213&gt;$B$4,"",$A$4+213)</f>
        <v>46236</v>
      </c>
      <c r="N21402">
        <f>IF(M21402="","",'Master Barang'!A96)</f>
        <v>0</v>
      </c>
      <c r="O21402">
        <f>IF(N21402="","",'Master Barang'!B96)</f>
        <v>0</v>
      </c>
      <c r="P21402">
        <f>IF(OR(M21402="",N21402=""),"",SUMIFS('Barang Keluar'!$E:$E,'Barang Keluar'!$A:$A,M21402,'Barang Keluar'!$C:$C,N21402))</f>
        <v>0</v>
      </c>
    </row>
    <row r="21403" spans="13:16">
      <c r="M21403" s="49">
        <f>IF($A$4+213&gt;$B$4,"",$A$4+213)</f>
        <v>46236</v>
      </c>
      <c r="N21403">
        <f>IF(M21403="","",'Master Barang'!A97)</f>
        <v>0</v>
      </c>
      <c r="O21403">
        <f>IF(N21403="","",'Master Barang'!B97)</f>
        <v>0</v>
      </c>
      <c r="P21403">
        <f>IF(OR(M21403="",N21403=""),"",SUMIFS('Barang Keluar'!$E:$E,'Barang Keluar'!$A:$A,M21403,'Barang Keluar'!$C:$C,N21403))</f>
        <v>0</v>
      </c>
    </row>
    <row r="21404" spans="13:16">
      <c r="M21404" s="49">
        <f>IF($A$4+213&gt;$B$4,"",$A$4+213)</f>
        <v>46236</v>
      </c>
      <c r="N21404">
        <f>IF(M21404="","",'Master Barang'!A98)</f>
        <v>0</v>
      </c>
      <c r="O21404">
        <f>IF(N21404="","",'Master Barang'!B98)</f>
        <v>0</v>
      </c>
      <c r="P21404">
        <f>IF(OR(M21404="",N21404=""),"",SUMIFS('Barang Keluar'!$E:$E,'Barang Keluar'!$A:$A,M21404,'Barang Keluar'!$C:$C,N21404))</f>
        <v>0</v>
      </c>
    </row>
    <row r="21405" spans="13:16">
      <c r="M21405" s="49">
        <f>IF($A$4+213&gt;$B$4,"",$A$4+213)</f>
        <v>46236</v>
      </c>
      <c r="N21405">
        <f>IF(M21405="","",'Master Barang'!A99)</f>
        <v>0</v>
      </c>
      <c r="O21405">
        <f>IF(N21405="","",'Master Barang'!B99)</f>
        <v>0</v>
      </c>
      <c r="P21405">
        <f>IF(OR(M21405="",N21405=""),"",SUMIFS('Barang Keluar'!$E:$E,'Barang Keluar'!$A:$A,M21405,'Barang Keluar'!$C:$C,N21405))</f>
        <v>0</v>
      </c>
    </row>
    <row r="21406" spans="13:16">
      <c r="M21406" s="49">
        <f>IF($A$4+213&gt;$B$4,"",$A$4+213)</f>
        <v>46236</v>
      </c>
      <c r="N21406">
        <f>IF(M21406="","",'Master Barang'!A100)</f>
        <v>0</v>
      </c>
      <c r="O21406">
        <f>IF(N21406="","",'Master Barang'!B100)</f>
        <v>0</v>
      </c>
      <c r="P21406">
        <f>IF(OR(M21406="",N21406=""),"",SUMIFS('Barang Keluar'!$E:$E,'Barang Keluar'!$A:$A,M21406,'Barang Keluar'!$C:$C,N21406))</f>
        <v>0</v>
      </c>
    </row>
    <row r="21407" spans="13:16">
      <c r="M21407" s="49">
        <f>IF($A$4+213&gt;$B$4,"",$A$4+213)</f>
        <v>46236</v>
      </c>
      <c r="N21407">
        <f>IF(M21407="","",'Master Barang'!A101)</f>
        <v>0</v>
      </c>
      <c r="O21407">
        <f>IF(N21407="","",'Master Barang'!B101)</f>
        <v>0</v>
      </c>
      <c r="P21407">
        <f>IF(OR(M21407="",N21407=""),"",SUMIFS('Barang Keluar'!$E:$E,'Barang Keluar'!$A:$A,M21407,'Barang Keluar'!$C:$C,N21407))</f>
        <v>0</v>
      </c>
    </row>
    <row r="21408" spans="13:16">
      <c r="M21408" s="49">
        <f>IF($A$4+214&gt;$B$4,"",$A$4+214)</f>
        <v>46237</v>
      </c>
      <c r="N21408" t="str">
        <f>IF(M21408="","",'Master Barang'!A2)</f>
        <v>PRL-001</v>
      </c>
      <c r="O21408" t="str">
        <f>IF(N21408="","",'Master Barang'!B2)</f>
        <v>natura desinfectant food grade 5l</v>
      </c>
      <c r="P21408">
        <f>IF(OR(M21408="",N21408=""),"",SUMIFS('Barang Keluar'!$E:$E,'Barang Keluar'!$A:$A,M21408,'Barang Keluar'!$C:$C,N21408))</f>
        <v>0</v>
      </c>
    </row>
    <row r="21409" spans="13:16">
      <c r="M21409" s="49">
        <f>IF($A$4+214&gt;$B$4,"",$A$4+214)</f>
        <v>46237</v>
      </c>
      <c r="N21409" t="str">
        <f>IF(M21409="","",'Master Barang'!A3)</f>
        <v>PRL-002</v>
      </c>
      <c r="O21409" t="str">
        <f>IF(N21409="","",'Master Barang'!B3)</f>
        <v>sunlight cairan pencuci piring 5l</v>
      </c>
      <c r="P21409">
        <f>IF(OR(M21409="",N21409=""),"",SUMIFS('Barang Keluar'!$E:$E,'Barang Keluar'!$A:$A,M21409,'Barang Keluar'!$C:$C,N21409))</f>
        <v>0</v>
      </c>
    </row>
    <row r="21410" spans="13:16">
      <c r="M21410" s="49">
        <f>IF($A$4+214&gt;$B$4,"",$A$4+214)</f>
        <v>46237</v>
      </c>
      <c r="N21410" t="str">
        <f>IF(M21410="","",'Master Barang'!A4)</f>
        <v>PRL-003</v>
      </c>
      <c r="O21410" t="str">
        <f>IF(N21410="","",'Master Barang'!B4)</f>
        <v>oixs cleaner 1l</v>
      </c>
      <c r="P21410">
        <f>IF(OR(M21410="",N21410=""),"",SUMIFS('Barang Keluar'!$E:$E,'Barang Keluar'!$A:$A,M21410,'Barang Keluar'!$C:$C,N21410))</f>
        <v>0</v>
      </c>
    </row>
    <row r="21411" spans="13:16">
      <c r="M21411" s="49">
        <f>IF($A$4+214&gt;$B$4,"",$A$4+214)</f>
        <v>46237</v>
      </c>
      <c r="N21411" t="str">
        <f>IF(M21411="","",'Master Barang'!A5)</f>
        <v>PRL-004</v>
      </c>
      <c r="O21411" t="str">
        <f>IF(N21411="","",'Master Barang'!B5)</f>
        <v>be clean tissue serbaguna</v>
      </c>
      <c r="P21411">
        <f>IF(OR(M21411="",N21411=""),"",SUMIFS('Barang Keluar'!$E:$E,'Barang Keluar'!$A:$A,M21411,'Barang Keluar'!$C:$C,N21411))</f>
        <v>0</v>
      </c>
    </row>
    <row r="21412" spans="13:16">
      <c r="M21412" s="49">
        <f>IF($A$4+214&gt;$B$4,"",$A$4+214)</f>
        <v>46237</v>
      </c>
      <c r="N21412" t="str">
        <f>IF(M21412="","",'Master Barang'!A6)</f>
        <v>PRL-005</v>
      </c>
      <c r="O21412" t="str">
        <f>IF(N21412="","",'Master Barang'!B6)</f>
        <v>spons cuci hijau</v>
      </c>
      <c r="P21412">
        <f>IF(OR(M21412="",N21412=""),"",SUMIFS('Barang Keluar'!$E:$E,'Barang Keluar'!$A:$A,M21412,'Barang Keluar'!$C:$C,N21412))</f>
        <v>0</v>
      </c>
    </row>
    <row r="21413" spans="13:16">
      <c r="M21413" s="49">
        <f>IF($A$4+214&gt;$B$4,"",$A$4+214)</f>
        <v>46237</v>
      </c>
      <c r="N21413" t="str">
        <f>IF(M21413="","",'Master Barang'!A7)</f>
        <v>PRL-006</v>
      </c>
      <c r="O21413" t="str">
        <f>IF(N21413="","",'Master Barang'!B7)</f>
        <v>sabut cuci stainless</v>
      </c>
      <c r="P21413">
        <f>IF(OR(M21413="",N21413=""),"",SUMIFS('Barang Keluar'!$E:$E,'Barang Keluar'!$A:$A,M21413,'Barang Keluar'!$C:$C,N21413))</f>
        <v>0</v>
      </c>
    </row>
    <row r="21414" spans="13:16">
      <c r="M21414" s="49">
        <f>IF($A$4+214&gt;$B$4,"",$A$4+214)</f>
        <v>46237</v>
      </c>
      <c r="N21414" t="str">
        <f>IF(M21414="","",'Master Barang'!A8)</f>
        <v>PRL-007</v>
      </c>
      <c r="O21414" t="str">
        <f>IF(N21414="","",'Master Barang'!B8)</f>
        <v>plastik kresek besar merah 50pc</v>
      </c>
      <c r="P21414">
        <f>IF(OR(M21414="",N21414=""),"",SUMIFS('Barang Keluar'!$E:$E,'Barang Keluar'!$A:$A,M21414,'Barang Keluar'!$C:$C,N21414))</f>
        <v>0</v>
      </c>
    </row>
    <row r="21415" spans="13:16">
      <c r="M21415" s="49">
        <f>IF($A$4+214&gt;$B$4,"",$A$4+214)</f>
        <v>46237</v>
      </c>
      <c r="N21415" t="str">
        <f>IF(M21415="","",'Master Barang'!A9)</f>
        <v>PRL-008</v>
      </c>
      <c r="O21415" t="str">
        <f>IF(N21415="","",'Master Barang'!B9)</f>
        <v>lap besar</v>
      </c>
      <c r="P21415">
        <f>IF(OR(M21415="",N21415=""),"",SUMIFS('Barang Keluar'!$E:$E,'Barang Keluar'!$A:$A,M21415,'Barang Keluar'!$C:$C,N21415))</f>
        <v>0</v>
      </c>
    </row>
    <row r="21416" spans="13:16">
      <c r="M21416" s="49">
        <f>IF($A$4+214&gt;$B$4,"",$A$4+214)</f>
        <v>46237</v>
      </c>
      <c r="N21416" t="str">
        <f>IF(M21416="","",'Master Barang'!A10)</f>
        <v>PRL-009</v>
      </c>
      <c r="O21416" t="str">
        <f>IF(N21416="","",'Master Barang'!B10)</f>
        <v>lap microfiber</v>
      </c>
      <c r="P21416">
        <f>IF(OR(M21416="",N21416=""),"",SUMIFS('Barang Keluar'!$E:$E,'Barang Keluar'!$A:$A,M21416,'Barang Keluar'!$C:$C,N21416))</f>
        <v>0</v>
      </c>
    </row>
    <row r="21417" spans="13:16">
      <c r="M21417" s="49">
        <f>IF($A$4+214&gt;$B$4,"",$A$4+214)</f>
        <v>46237</v>
      </c>
      <c r="N21417" t="str">
        <f>IF(M21417="","",'Master Barang'!A11)</f>
        <v>PRL-010</v>
      </c>
      <c r="O21417" t="str">
        <f>IF(N21417="","",'Master Barang'!B11)</f>
        <v>lap kecil</v>
      </c>
      <c r="P21417">
        <f>IF(OR(M21417="",N21417=""),"",SUMIFS('Barang Keluar'!$E:$E,'Barang Keluar'!$A:$A,M21417,'Barang Keluar'!$C:$C,N21417))</f>
        <v>0</v>
      </c>
    </row>
    <row r="21418" spans="13:16">
      <c r="M21418" s="49">
        <f>IF($A$4+214&gt;$B$4,"",$A$4+214)</f>
        <v>46237</v>
      </c>
      <c r="N21418" t="str">
        <f>IF(M21418="","",'Master Barang'!A12)</f>
        <v>PRL-011</v>
      </c>
      <c r="O21418" t="str">
        <f>IF(N21418="","",'Master Barang'!B12)</f>
        <v>kanebo kecil</v>
      </c>
      <c r="P21418">
        <f>IF(OR(M21418="",N21418=""),"",SUMIFS('Barang Keluar'!$E:$E,'Barang Keluar'!$A:$A,M21418,'Barang Keluar'!$C:$C,N21418))</f>
        <v>0</v>
      </c>
    </row>
    <row r="21419" spans="13:16">
      <c r="M21419" s="49">
        <f>IF($A$4+214&gt;$B$4,"",$A$4+214)</f>
        <v>46237</v>
      </c>
      <c r="N21419" t="str">
        <f>IF(M21419="","",'Master Barang'!A13)</f>
        <v>PRL-012</v>
      </c>
      <c r="O21419" t="str">
        <f>IF(N21419="","",'Master Barang'!B13)</f>
        <v>plastik 1/4kg joyoboyo 100 lembar</v>
      </c>
      <c r="P21419">
        <f>IF(OR(M21419="",N21419=""),"",SUMIFS('Barang Keluar'!$E:$E,'Barang Keluar'!$A:$A,M21419,'Barang Keluar'!$C:$C,N21419))</f>
        <v>0</v>
      </c>
    </row>
    <row r="21420" spans="13:16">
      <c r="M21420" s="49">
        <f>IF($A$4+214&gt;$B$4,"",$A$4+214)</f>
        <v>46237</v>
      </c>
      <c r="N21420" t="str">
        <f>IF(M21420="","",'Master Barang'!A14)</f>
        <v>PRL-013</v>
      </c>
      <c r="O21420" t="str">
        <f>IF(N21420="","",'Master Barang'!B14)</f>
        <v>sarung tangan plastik kaka 100 pcs</v>
      </c>
      <c r="P21420">
        <f>IF(OR(M21420="",N21420=""),"",SUMIFS('Barang Keluar'!$E:$E,'Barang Keluar'!$A:$A,M21420,'Barang Keluar'!$C:$C,N21420))</f>
        <v>0</v>
      </c>
    </row>
    <row r="21421" spans="13:16">
      <c r="M21421" s="49">
        <f>IF($A$4+214&gt;$B$4,"",$A$4+214)</f>
        <v>46237</v>
      </c>
      <c r="N21421" t="str">
        <f>IF(M21421="","",'Master Barang'!A15)</f>
        <v>PRL-014</v>
      </c>
      <c r="O21421" t="str">
        <f>IF(N21421="","",'Master Barang'!B15)</f>
        <v>optima trashbag 80x100</v>
      </c>
      <c r="P21421">
        <f>IF(OR(M21421="",N21421=""),"",SUMIFS('Barang Keluar'!$E:$E,'Barang Keluar'!$A:$A,M21421,'Barang Keluar'!$C:$C,N21421))</f>
        <v>0</v>
      </c>
    </row>
    <row r="21422" spans="13:16">
      <c r="M21422" s="49">
        <f>IF($A$4+214&gt;$B$4,"",$A$4+214)</f>
        <v>46237</v>
      </c>
      <c r="N21422" t="str">
        <f>IF(M21422="","",'Master Barang'!A16)</f>
        <v>PRL-015</v>
      </c>
      <c r="O21422" t="str">
        <f>IF(N21422="","",'Master Barang'!B16)</f>
        <v>optima trashbag 60x100</v>
      </c>
      <c r="P21422">
        <f>IF(OR(M21422="",N21422=""),"",SUMIFS('Barang Keluar'!$E:$E,'Barang Keluar'!$A:$A,M21422,'Barang Keluar'!$C:$C,N21422))</f>
        <v>0</v>
      </c>
    </row>
    <row r="21423" spans="13:16">
      <c r="M21423" s="49">
        <f>IF($A$4+214&gt;$B$4,"",$A$4+214)</f>
        <v>46237</v>
      </c>
      <c r="N21423" t="str">
        <f>IF(M21423="","",'Master Barang'!A17)</f>
        <v>PRL-016</v>
      </c>
      <c r="O21423" t="str">
        <f>IF(N21423="","",'Master Barang'!B17)</f>
        <v>rajawali trashbag 30x40</v>
      </c>
      <c r="P21423">
        <f>IF(OR(M21423="",N21423=""),"",SUMIFS('Barang Keluar'!$E:$E,'Barang Keluar'!$A:$A,M21423,'Barang Keluar'!$C:$C,N21423))</f>
        <v>0</v>
      </c>
    </row>
    <row r="21424" spans="13:16">
      <c r="M21424" s="49">
        <f>IF($A$4+214&gt;$B$4,"",$A$4+214)</f>
        <v>46237</v>
      </c>
      <c r="N21424" t="str">
        <f>IF(M21424="","",'Master Barang'!A18)</f>
        <v>PRL-017</v>
      </c>
      <c r="O21424" t="str">
        <f>IF(N21424="","",'Master Barang'!B18)</f>
        <v>onemed masker biru 3 play 50 pcs</v>
      </c>
      <c r="P21424">
        <f>IF(OR(M21424="",N21424=""),"",SUMIFS('Barang Keluar'!$E:$E,'Barang Keluar'!$A:$A,M21424,'Barang Keluar'!$C:$C,N21424))</f>
        <v>0</v>
      </c>
    </row>
    <row r="21425" spans="13:16">
      <c r="M21425" s="49">
        <f>IF($A$4+214&gt;$B$4,"",$A$4+214)</f>
        <v>46237</v>
      </c>
      <c r="N21425" t="str">
        <f>IF(M21425="","",'Master Barang'!A19)</f>
        <v>PRL-018</v>
      </c>
      <c r="O21425" t="str">
        <f>IF(N21425="","",'Master Barang'!B19)</f>
        <v>onemed masker biru 3 play hijab 50 pcs</v>
      </c>
      <c r="P21425">
        <f>IF(OR(M21425="",N21425=""),"",SUMIFS('Barang Keluar'!$E:$E,'Barang Keluar'!$A:$A,M21425,'Barang Keluar'!$C:$C,N21425))</f>
        <v>0</v>
      </c>
    </row>
    <row r="21426" spans="13:16">
      <c r="M21426" s="49">
        <f>IF($A$4+214&gt;$B$4,"",$A$4+214)</f>
        <v>46237</v>
      </c>
      <c r="N21426" t="str">
        <f>IF(M21426="","",'Master Barang'!A20)</f>
        <v>PRL-019</v>
      </c>
      <c r="O21426" t="str">
        <f>IF(N21426="","",'Master Barang'!B20)</f>
        <v>neo health masker biru 3 play 50 pcs</v>
      </c>
      <c r="P21426">
        <f>IF(OR(M21426="",N21426=""),"",SUMIFS('Barang Keluar'!$E:$E,'Barang Keluar'!$A:$A,M21426,'Barang Keluar'!$C:$C,N21426))</f>
        <v>0</v>
      </c>
    </row>
    <row r="21427" spans="13:16">
      <c r="M21427" s="49">
        <f>IF($A$4+214&gt;$B$4,"",$A$4+214)</f>
        <v>46237</v>
      </c>
      <c r="N21427" t="str">
        <f>IF(M21427="","",'Master Barang'!A21)</f>
        <v>PRL-020</v>
      </c>
      <c r="O21427" t="str">
        <f>IF(N21427="","",'Master Barang'!B21)</f>
        <v>baymed masker hijau 3 play hijau 50 pcs</v>
      </c>
      <c r="P21427">
        <f>IF(OR(M21427="",N21427=""),"",SUMIFS('Barang Keluar'!$E:$E,'Barang Keluar'!$A:$A,M21427,'Barang Keluar'!$C:$C,N21427))</f>
        <v>0</v>
      </c>
    </row>
    <row r="21428" spans="13:16">
      <c r="M21428" s="49">
        <f>IF($A$4+214&gt;$B$4,"",$A$4+214)</f>
        <v>46237</v>
      </c>
      <c r="N21428" t="str">
        <f>IF(M21428="","",'Master Barang'!A22)</f>
        <v>PRL-021</v>
      </c>
      <c r="O21428" t="str">
        <f>IF(N21428="","",'Master Barang'!B22)</f>
        <v>altamed nurse cap penutup kepala 100 pcs</v>
      </c>
      <c r="P21428">
        <f>IF(OR(M21428="",N21428=""),"",SUMIFS('Barang Keluar'!$E:$E,'Barang Keluar'!$A:$A,M21428,'Barang Keluar'!$C:$C,N21428))</f>
        <v>0</v>
      </c>
    </row>
    <row r="21429" spans="13:16">
      <c r="M21429" s="49">
        <f>IF($A$4+214&gt;$B$4,"",$A$4+214)</f>
        <v>46237</v>
      </c>
      <c r="N21429" t="str">
        <f>IF(M21429="","",'Master Barang'!A23)</f>
        <v>PRL-022</v>
      </c>
      <c r="O21429" t="str">
        <f>IF(N21429="","",'Master Barang'!B23)</f>
        <v>sabun cuci tangan</v>
      </c>
      <c r="P21429">
        <f>IF(OR(M21429="",N21429=""),"",SUMIFS('Barang Keluar'!$E:$E,'Barang Keluar'!$A:$A,M21429,'Barang Keluar'!$C:$C,N21429))</f>
        <v>0</v>
      </c>
    </row>
    <row r="21430" spans="13:16">
      <c r="M21430" s="49">
        <f>IF($A$4+214&gt;$B$4,"",$A$4+214)</f>
        <v>46237</v>
      </c>
      <c r="N21430" t="str">
        <f>IF(M21430="","",'Master Barang'!A24)</f>
        <v>PRL-023</v>
      </c>
      <c r="O21430" t="str">
        <f>IF(N21430="","",'Master Barang'!B24)</f>
        <v>gayung kecil</v>
      </c>
      <c r="P21430">
        <f>IF(OR(M21430="",N21430=""),"",SUMIFS('Barang Keluar'!$E:$E,'Barang Keluar'!$A:$A,M21430,'Barang Keluar'!$C:$C,N21430))</f>
        <v>0</v>
      </c>
    </row>
    <row r="21431" spans="13:16">
      <c r="M21431" s="49">
        <f>IF($A$4+214&gt;$B$4,"",$A$4+214)</f>
        <v>46237</v>
      </c>
      <c r="N21431" t="str">
        <f>IF(M21431="","",'Master Barang'!A25)</f>
        <v>PRL-024</v>
      </c>
      <c r="O21431" t="str">
        <f>IF(N21431="","",'Master Barang'!B25)</f>
        <v>cikrak kecil</v>
      </c>
      <c r="P21431">
        <f>IF(OR(M21431="",N21431=""),"",SUMIFS('Barang Keluar'!$E:$E,'Barang Keluar'!$A:$A,M21431,'Barang Keluar'!$C:$C,N21431))</f>
        <v>0</v>
      </c>
    </row>
    <row r="21432" spans="13:16">
      <c r="M21432" s="49">
        <f>IF($A$4+214&gt;$B$4,"",$A$4+214)</f>
        <v>46237</v>
      </c>
      <c r="N21432" t="str">
        <f>IF(M21432="","",'Master Barang'!A26)</f>
        <v>PRL-025</v>
      </c>
      <c r="O21432" t="str">
        <f>IF(N21432="","",'Master Barang'!B26)</f>
        <v>petromax plastik kecil 12x24 100 lembar</v>
      </c>
      <c r="P21432">
        <f>IF(OR(M21432="",N21432=""),"",SUMIFS('Barang Keluar'!$E:$E,'Barang Keluar'!$A:$A,M21432,'Barang Keluar'!$C:$C,N21432))</f>
        <v>0</v>
      </c>
    </row>
    <row r="21433" spans="13:16">
      <c r="M21433" s="49">
        <f>IF($A$4+214&gt;$B$4,"",$A$4+214)</f>
        <v>46237</v>
      </c>
      <c r="N21433" t="str">
        <f>IF(M21433="","",'Master Barang'!A27)</f>
        <v>PRL-026</v>
      </c>
      <c r="O21433" t="str">
        <f>IF(N21433="","",'Master Barang'!B27)</f>
        <v>lancar kresek kecil bening </v>
      </c>
      <c r="P21433">
        <f>IF(OR(M21433="",N21433=""),"",SUMIFS('Barang Keluar'!$E:$E,'Barang Keluar'!$A:$A,M21433,'Barang Keluar'!$C:$C,N21433))</f>
        <v>0</v>
      </c>
    </row>
    <row r="21434" spans="13:16">
      <c r="M21434" s="49">
        <f>IF($A$4+214&gt;$B$4,"",$A$4+214)</f>
        <v>46237</v>
      </c>
      <c r="N21434" t="str">
        <f>IF(M21434="","",'Master Barang'!A28)</f>
        <v>PRL-027</v>
      </c>
      <c r="O21434" t="str">
        <f>IF(N21434="","",'Master Barang'!B28)</f>
        <v>kresek klin warna warni kecil</v>
      </c>
      <c r="P21434">
        <f>IF(OR(M21434="",N21434=""),"",SUMIFS('Barang Keluar'!$E:$E,'Barang Keluar'!$A:$A,M21434,'Barang Keluar'!$C:$C,N21434))</f>
        <v>0</v>
      </c>
    </row>
    <row r="21435" spans="13:16">
      <c r="M21435" s="49">
        <f>IF($A$4+214&gt;$B$4,"",$A$4+214)</f>
        <v>46237</v>
      </c>
      <c r="N21435" t="str">
        <f>IF(M21435="","",'Master Barang'!A29)</f>
        <v>PRL-028</v>
      </c>
      <c r="O21435" t="str">
        <f>IF(N21435="","",'Master Barang'!B29)</f>
        <v>ctik plastik 7x10 100 pcs</v>
      </c>
      <c r="P21435">
        <f>IF(OR(M21435="",N21435=""),"",SUMIFS('Barang Keluar'!$E:$E,'Barang Keluar'!$A:$A,M21435,'Barang Keluar'!$C:$C,N21435))</f>
        <v>0</v>
      </c>
    </row>
    <row r="21436" spans="13:16">
      <c r="M21436" s="49">
        <f>IF($A$4+214&gt;$B$4,"",$A$4+214)</f>
        <v>46237</v>
      </c>
      <c r="N21436" t="str">
        <f>IF(M21436="","",'Master Barang'!A30)</f>
        <v>PRL-029</v>
      </c>
      <c r="O21436" t="str">
        <f>IF(N21436="","",'Master Barang'!B30)</f>
        <v>ctik plastik 6x10 100 pcs</v>
      </c>
      <c r="P21436">
        <f>IF(OR(M21436="",N21436=""),"",SUMIFS('Barang Keluar'!$E:$E,'Barang Keluar'!$A:$A,M21436,'Barang Keluar'!$C:$C,N21436))</f>
        <v>0</v>
      </c>
    </row>
    <row r="21437" spans="13:16">
      <c r="M21437" s="49">
        <f>IF($A$4+214&gt;$B$4,"",$A$4+214)</f>
        <v>46237</v>
      </c>
      <c r="N21437" t="str">
        <f>IF(M21437="","",'Master Barang'!A31)</f>
        <v>PRL-030</v>
      </c>
      <c r="O21437" t="str">
        <f>IF(N21437="","",'Master Barang'!B31)</f>
        <v>klip plastik 25x16 100 pcs</v>
      </c>
      <c r="P21437">
        <f>IF(OR(M21437="",N21437=""),"",SUMIFS('Barang Keluar'!$E:$E,'Barang Keluar'!$A:$A,M21437,'Barang Keluar'!$C:$C,N21437))</f>
        <v>0</v>
      </c>
    </row>
    <row r="21438" spans="13:16">
      <c r="M21438" s="49">
        <f>IF($A$4+214&gt;$B$4,"",$A$4+214)</f>
        <v>46237</v>
      </c>
      <c r="N21438" t="str">
        <f>IF(M21438="","",'Master Barang'!A32)</f>
        <v>PRL-031</v>
      </c>
      <c r="O21438" t="str">
        <f>IF(N21438="","",'Master Barang'!B32)</f>
        <v>tempat saus 20 ml</v>
      </c>
      <c r="P21438">
        <f>IF(OR(M21438="",N21438=""),"",SUMIFS('Barang Keluar'!$E:$E,'Barang Keluar'!$A:$A,M21438,'Barang Keluar'!$C:$C,N21438))</f>
        <v>0</v>
      </c>
    </row>
    <row r="21439" spans="13:16">
      <c r="M21439" s="49">
        <f>IF($A$4+214&gt;$B$4,"",$A$4+214)</f>
        <v>46237</v>
      </c>
      <c r="N21439" t="str">
        <f>IF(M21439="","",'Master Barang'!A33)</f>
        <v>PRL-032</v>
      </c>
      <c r="O21439" t="str">
        <f>IF(N21439="","",'Master Barang'!B33)</f>
        <v>plastik packaging ag box uk sedang</v>
      </c>
      <c r="P21439">
        <f>IF(OR(M21439="",N21439=""),"",SUMIFS('Barang Keluar'!$E:$E,'Barang Keluar'!$A:$A,M21439,'Barang Keluar'!$C:$C,N21439))</f>
        <v>0</v>
      </c>
    </row>
    <row r="21440" spans="13:16">
      <c r="M21440" s="49">
        <f>IF($A$4+214&gt;$B$4,"",$A$4+214)</f>
        <v>46237</v>
      </c>
      <c r="N21440" t="str">
        <f>IF(M21440="","",'Master Barang'!A34)</f>
        <v>PRL-033</v>
      </c>
      <c r="O21440">
        <f>IF(N21440="","",'Master Barang'!B34)</f>
        <v>0</v>
      </c>
      <c r="P21440">
        <f>IF(OR(M21440="",N21440=""),"",SUMIFS('Barang Keluar'!$E:$E,'Barang Keluar'!$A:$A,M21440,'Barang Keluar'!$C:$C,N21440))</f>
        <v>0</v>
      </c>
    </row>
    <row r="21441" spans="13:16">
      <c r="M21441" s="49">
        <f>IF($A$4+214&gt;$B$4,"",$A$4+214)</f>
        <v>46237</v>
      </c>
      <c r="N21441">
        <f>IF(M21441="","",'Master Barang'!A35)</f>
        <v>0</v>
      </c>
      <c r="O21441">
        <f>IF(N21441="","",'Master Barang'!B35)</f>
        <v>0</v>
      </c>
      <c r="P21441">
        <f>IF(OR(M21441="",N21441=""),"",SUMIFS('Barang Keluar'!$E:$E,'Barang Keluar'!$A:$A,M21441,'Barang Keluar'!$C:$C,N21441))</f>
        <v>0</v>
      </c>
    </row>
    <row r="21442" spans="13:16">
      <c r="M21442" s="49">
        <f>IF($A$4+214&gt;$B$4,"",$A$4+214)</f>
        <v>46237</v>
      </c>
      <c r="N21442">
        <f>IF(M21442="","",'Master Barang'!A36)</f>
        <v>0</v>
      </c>
      <c r="O21442">
        <f>IF(N21442="","",'Master Barang'!B36)</f>
        <v>0</v>
      </c>
      <c r="P21442">
        <f>IF(OR(M21442="",N21442=""),"",SUMIFS('Barang Keluar'!$E:$E,'Barang Keluar'!$A:$A,M21442,'Barang Keluar'!$C:$C,N21442))</f>
        <v>0</v>
      </c>
    </row>
    <row r="21443" spans="13:16">
      <c r="M21443" s="49">
        <f>IF($A$4+214&gt;$B$4,"",$A$4+214)</f>
        <v>46237</v>
      </c>
      <c r="N21443">
        <f>IF(M21443="","",'Master Barang'!A37)</f>
        <v>0</v>
      </c>
      <c r="O21443">
        <f>IF(N21443="","",'Master Barang'!B37)</f>
        <v>0</v>
      </c>
      <c r="P21443">
        <f>IF(OR(M21443="",N21443=""),"",SUMIFS('Barang Keluar'!$E:$E,'Barang Keluar'!$A:$A,M21443,'Barang Keluar'!$C:$C,N21443))</f>
        <v>0</v>
      </c>
    </row>
    <row r="21444" spans="13:16">
      <c r="M21444" s="49">
        <f>IF($A$4+214&gt;$B$4,"",$A$4+214)</f>
        <v>46237</v>
      </c>
      <c r="N21444">
        <f>IF(M21444="","",'Master Barang'!A38)</f>
        <v>0</v>
      </c>
      <c r="O21444">
        <f>IF(N21444="","",'Master Barang'!B38)</f>
        <v>0</v>
      </c>
      <c r="P21444">
        <f>IF(OR(M21444="",N21444=""),"",SUMIFS('Barang Keluar'!$E:$E,'Barang Keluar'!$A:$A,M21444,'Barang Keluar'!$C:$C,N21444))</f>
        <v>0</v>
      </c>
    </row>
    <row r="21445" spans="13:16">
      <c r="M21445" s="49">
        <f>IF($A$4+214&gt;$B$4,"",$A$4+214)</f>
        <v>46237</v>
      </c>
      <c r="N21445">
        <f>IF(M21445="","",'Master Barang'!A39)</f>
        <v>0</v>
      </c>
      <c r="O21445">
        <f>IF(N21445="","",'Master Barang'!B39)</f>
        <v>0</v>
      </c>
      <c r="P21445">
        <f>IF(OR(M21445="",N21445=""),"",SUMIFS('Barang Keluar'!$E:$E,'Barang Keluar'!$A:$A,M21445,'Barang Keluar'!$C:$C,N21445))</f>
        <v>0</v>
      </c>
    </row>
    <row r="21446" spans="13:16">
      <c r="M21446" s="49">
        <f>IF($A$4+214&gt;$B$4,"",$A$4+214)</f>
        <v>46237</v>
      </c>
      <c r="N21446">
        <f>IF(M21446="","",'Master Barang'!A40)</f>
        <v>0</v>
      </c>
      <c r="O21446">
        <f>IF(N21446="","",'Master Barang'!B40)</f>
        <v>0</v>
      </c>
      <c r="P21446">
        <f>IF(OR(M21446="",N21446=""),"",SUMIFS('Barang Keluar'!$E:$E,'Barang Keluar'!$A:$A,M21446,'Barang Keluar'!$C:$C,N21446))</f>
        <v>0</v>
      </c>
    </row>
    <row r="21447" spans="13:16">
      <c r="M21447" s="49">
        <f>IF($A$4+214&gt;$B$4,"",$A$4+214)</f>
        <v>46237</v>
      </c>
      <c r="N21447">
        <f>IF(M21447="","",'Master Barang'!A41)</f>
        <v>0</v>
      </c>
      <c r="O21447">
        <f>IF(N21447="","",'Master Barang'!B41)</f>
        <v>0</v>
      </c>
      <c r="P21447">
        <f>IF(OR(M21447="",N21447=""),"",SUMIFS('Barang Keluar'!$E:$E,'Barang Keluar'!$A:$A,M21447,'Barang Keluar'!$C:$C,N21447))</f>
        <v>0</v>
      </c>
    </row>
    <row r="21448" spans="13:16">
      <c r="M21448" s="49">
        <f>IF($A$4+214&gt;$B$4,"",$A$4+214)</f>
        <v>46237</v>
      </c>
      <c r="N21448">
        <f>IF(M21448="","",'Master Barang'!A42)</f>
        <v>0</v>
      </c>
      <c r="O21448">
        <f>IF(N21448="","",'Master Barang'!B42)</f>
        <v>0</v>
      </c>
      <c r="P21448">
        <f>IF(OR(M21448="",N21448=""),"",SUMIFS('Barang Keluar'!$E:$E,'Barang Keluar'!$A:$A,M21448,'Barang Keluar'!$C:$C,N21448))</f>
        <v>0</v>
      </c>
    </row>
    <row r="21449" spans="13:16">
      <c r="M21449" s="49">
        <f>IF($A$4+214&gt;$B$4,"",$A$4+214)</f>
        <v>46237</v>
      </c>
      <c r="N21449">
        <f>IF(M21449="","",'Master Barang'!A43)</f>
        <v>0</v>
      </c>
      <c r="O21449">
        <f>IF(N21449="","",'Master Barang'!B43)</f>
        <v>0</v>
      </c>
      <c r="P21449">
        <f>IF(OR(M21449="",N21449=""),"",SUMIFS('Barang Keluar'!$E:$E,'Barang Keluar'!$A:$A,M21449,'Barang Keluar'!$C:$C,N21449))</f>
        <v>0</v>
      </c>
    </row>
    <row r="21450" spans="13:16">
      <c r="M21450" s="49">
        <f>IF($A$4+214&gt;$B$4,"",$A$4+214)</f>
        <v>46237</v>
      </c>
      <c r="N21450">
        <f>IF(M21450="","",'Master Barang'!A44)</f>
        <v>0</v>
      </c>
      <c r="O21450">
        <f>IF(N21450="","",'Master Barang'!B44)</f>
        <v>0</v>
      </c>
      <c r="P21450">
        <f>IF(OR(M21450="",N21450=""),"",SUMIFS('Barang Keluar'!$E:$E,'Barang Keluar'!$A:$A,M21450,'Barang Keluar'!$C:$C,N21450))</f>
        <v>0</v>
      </c>
    </row>
    <row r="21451" spans="13:16">
      <c r="M21451" s="49">
        <f>IF($A$4+214&gt;$B$4,"",$A$4+214)</f>
        <v>46237</v>
      </c>
      <c r="N21451">
        <f>IF(M21451="","",'Master Barang'!A45)</f>
        <v>0</v>
      </c>
      <c r="O21451">
        <f>IF(N21451="","",'Master Barang'!B45)</f>
        <v>0</v>
      </c>
      <c r="P21451">
        <f>IF(OR(M21451="",N21451=""),"",SUMIFS('Barang Keluar'!$E:$E,'Barang Keluar'!$A:$A,M21451,'Barang Keluar'!$C:$C,N21451))</f>
        <v>0</v>
      </c>
    </row>
    <row r="21452" spans="13:16">
      <c r="M21452" s="49">
        <f>IF($A$4+214&gt;$B$4,"",$A$4+214)</f>
        <v>46237</v>
      </c>
      <c r="N21452">
        <f>IF(M21452="","",'Master Barang'!A46)</f>
        <v>0</v>
      </c>
      <c r="O21452">
        <f>IF(N21452="","",'Master Barang'!B46)</f>
        <v>0</v>
      </c>
      <c r="P21452">
        <f>IF(OR(M21452="",N21452=""),"",SUMIFS('Barang Keluar'!$E:$E,'Barang Keluar'!$A:$A,M21452,'Barang Keluar'!$C:$C,N21452))</f>
        <v>0</v>
      </c>
    </row>
    <row r="21453" spans="13:16">
      <c r="M21453" s="49">
        <f>IF($A$4+214&gt;$B$4,"",$A$4+214)</f>
        <v>46237</v>
      </c>
      <c r="N21453">
        <f>IF(M21453="","",'Master Barang'!A47)</f>
        <v>0</v>
      </c>
      <c r="O21453">
        <f>IF(N21453="","",'Master Barang'!B47)</f>
        <v>0</v>
      </c>
      <c r="P21453">
        <f>IF(OR(M21453="",N21453=""),"",SUMIFS('Barang Keluar'!$E:$E,'Barang Keluar'!$A:$A,M21453,'Barang Keluar'!$C:$C,N21453))</f>
        <v>0</v>
      </c>
    </row>
    <row r="21454" spans="13:16">
      <c r="M21454" s="49">
        <f>IF($A$4+214&gt;$B$4,"",$A$4+214)</f>
        <v>46237</v>
      </c>
      <c r="N21454">
        <f>IF(M21454="","",'Master Barang'!A48)</f>
        <v>0</v>
      </c>
      <c r="O21454">
        <f>IF(N21454="","",'Master Barang'!B48)</f>
        <v>0</v>
      </c>
      <c r="P21454">
        <f>IF(OR(M21454="",N21454=""),"",SUMIFS('Barang Keluar'!$E:$E,'Barang Keluar'!$A:$A,M21454,'Barang Keluar'!$C:$C,N21454))</f>
        <v>0</v>
      </c>
    </row>
    <row r="21455" spans="13:16">
      <c r="M21455" s="49">
        <f>IF($A$4+214&gt;$B$4,"",$A$4+214)</f>
        <v>46237</v>
      </c>
      <c r="N21455">
        <f>IF(M21455="","",'Master Barang'!A49)</f>
        <v>0</v>
      </c>
      <c r="O21455">
        <f>IF(N21455="","",'Master Barang'!B49)</f>
        <v>0</v>
      </c>
      <c r="P21455">
        <f>IF(OR(M21455="",N21455=""),"",SUMIFS('Barang Keluar'!$E:$E,'Barang Keluar'!$A:$A,M21455,'Barang Keluar'!$C:$C,N21455))</f>
        <v>0</v>
      </c>
    </row>
    <row r="21456" spans="13:16">
      <c r="M21456" s="49">
        <f>IF($A$4+214&gt;$B$4,"",$A$4+214)</f>
        <v>46237</v>
      </c>
      <c r="N21456">
        <f>IF(M21456="","",'Master Barang'!A50)</f>
        <v>0</v>
      </c>
      <c r="O21456">
        <f>IF(N21456="","",'Master Barang'!B50)</f>
        <v>0</v>
      </c>
      <c r="P21456">
        <f>IF(OR(M21456="",N21456=""),"",SUMIFS('Barang Keluar'!$E:$E,'Barang Keluar'!$A:$A,M21456,'Barang Keluar'!$C:$C,N21456))</f>
        <v>0</v>
      </c>
    </row>
    <row r="21457" spans="13:16">
      <c r="M21457" s="49">
        <f>IF($A$4+214&gt;$B$4,"",$A$4+214)</f>
        <v>46237</v>
      </c>
      <c r="N21457">
        <f>IF(M21457="","",'Master Barang'!A51)</f>
        <v>0</v>
      </c>
      <c r="O21457">
        <f>IF(N21457="","",'Master Barang'!B51)</f>
        <v>0</v>
      </c>
      <c r="P21457">
        <f>IF(OR(M21457="",N21457=""),"",SUMIFS('Barang Keluar'!$E:$E,'Barang Keluar'!$A:$A,M21457,'Barang Keluar'!$C:$C,N21457))</f>
        <v>0</v>
      </c>
    </row>
    <row r="21458" spans="13:16">
      <c r="M21458" s="49">
        <f>IF($A$4+214&gt;$B$4,"",$A$4+214)</f>
        <v>46237</v>
      </c>
      <c r="N21458">
        <f>IF(M21458="","",'Master Barang'!A52)</f>
        <v>0</v>
      </c>
      <c r="O21458">
        <f>IF(N21458="","",'Master Barang'!B52)</f>
        <v>0</v>
      </c>
      <c r="P21458">
        <f>IF(OR(M21458="",N21458=""),"",SUMIFS('Barang Keluar'!$E:$E,'Barang Keluar'!$A:$A,M21458,'Barang Keluar'!$C:$C,N21458))</f>
        <v>0</v>
      </c>
    </row>
    <row r="21459" spans="13:16">
      <c r="M21459" s="49">
        <f>IF($A$4+214&gt;$B$4,"",$A$4+214)</f>
        <v>46237</v>
      </c>
      <c r="N21459">
        <f>IF(M21459="","",'Master Barang'!A53)</f>
        <v>0</v>
      </c>
      <c r="O21459">
        <f>IF(N21459="","",'Master Barang'!B53)</f>
        <v>0</v>
      </c>
      <c r="P21459">
        <f>IF(OR(M21459="",N21459=""),"",SUMIFS('Barang Keluar'!$E:$E,'Barang Keluar'!$A:$A,M21459,'Barang Keluar'!$C:$C,N21459))</f>
        <v>0</v>
      </c>
    </row>
    <row r="21460" spans="13:16">
      <c r="M21460" s="49">
        <f>IF($A$4+214&gt;$B$4,"",$A$4+214)</f>
        <v>46237</v>
      </c>
      <c r="N21460">
        <f>IF(M21460="","",'Master Barang'!A54)</f>
        <v>0</v>
      </c>
      <c r="O21460">
        <f>IF(N21460="","",'Master Barang'!B54)</f>
        <v>0</v>
      </c>
      <c r="P21460">
        <f>IF(OR(M21460="",N21460=""),"",SUMIFS('Barang Keluar'!$E:$E,'Barang Keluar'!$A:$A,M21460,'Barang Keluar'!$C:$C,N21460))</f>
        <v>0</v>
      </c>
    </row>
    <row r="21461" spans="13:16">
      <c r="M21461" s="49">
        <f>IF($A$4+214&gt;$B$4,"",$A$4+214)</f>
        <v>46237</v>
      </c>
      <c r="N21461">
        <f>IF(M21461="","",'Master Barang'!A55)</f>
        <v>0</v>
      </c>
      <c r="O21461">
        <f>IF(N21461="","",'Master Barang'!B55)</f>
        <v>0</v>
      </c>
      <c r="P21461">
        <f>IF(OR(M21461="",N21461=""),"",SUMIFS('Barang Keluar'!$E:$E,'Barang Keluar'!$A:$A,M21461,'Barang Keluar'!$C:$C,N21461))</f>
        <v>0</v>
      </c>
    </row>
    <row r="21462" spans="13:16">
      <c r="M21462" s="49">
        <f>IF($A$4+214&gt;$B$4,"",$A$4+214)</f>
        <v>46237</v>
      </c>
      <c r="N21462">
        <f>IF(M21462="","",'Master Barang'!A56)</f>
        <v>0</v>
      </c>
      <c r="O21462">
        <f>IF(N21462="","",'Master Barang'!B56)</f>
        <v>0</v>
      </c>
      <c r="P21462">
        <f>IF(OR(M21462="",N21462=""),"",SUMIFS('Barang Keluar'!$E:$E,'Barang Keluar'!$A:$A,M21462,'Barang Keluar'!$C:$C,N21462))</f>
        <v>0</v>
      </c>
    </row>
    <row r="21463" spans="13:16">
      <c r="M21463" s="49">
        <f>IF($A$4+214&gt;$B$4,"",$A$4+214)</f>
        <v>46237</v>
      </c>
      <c r="N21463">
        <f>IF(M21463="","",'Master Barang'!A57)</f>
        <v>0</v>
      </c>
      <c r="O21463">
        <f>IF(N21463="","",'Master Barang'!B57)</f>
        <v>0</v>
      </c>
      <c r="P21463">
        <f>IF(OR(M21463="",N21463=""),"",SUMIFS('Barang Keluar'!$E:$E,'Barang Keluar'!$A:$A,M21463,'Barang Keluar'!$C:$C,N21463))</f>
        <v>0</v>
      </c>
    </row>
    <row r="21464" spans="13:16">
      <c r="M21464" s="49">
        <f>IF($A$4+214&gt;$B$4,"",$A$4+214)</f>
        <v>46237</v>
      </c>
      <c r="N21464">
        <f>IF(M21464="","",'Master Barang'!A58)</f>
        <v>0</v>
      </c>
      <c r="O21464">
        <f>IF(N21464="","",'Master Barang'!B58)</f>
        <v>0</v>
      </c>
      <c r="P21464">
        <f>IF(OR(M21464="",N21464=""),"",SUMIFS('Barang Keluar'!$E:$E,'Barang Keluar'!$A:$A,M21464,'Barang Keluar'!$C:$C,N21464))</f>
        <v>0</v>
      </c>
    </row>
    <row r="21465" spans="13:16">
      <c r="M21465" s="49">
        <f>IF($A$4+214&gt;$B$4,"",$A$4+214)</f>
        <v>46237</v>
      </c>
      <c r="N21465">
        <f>IF(M21465="","",'Master Barang'!A59)</f>
        <v>0</v>
      </c>
      <c r="O21465">
        <f>IF(N21465="","",'Master Barang'!B59)</f>
        <v>0</v>
      </c>
      <c r="P21465">
        <f>IF(OR(M21465="",N21465=""),"",SUMIFS('Barang Keluar'!$E:$E,'Barang Keluar'!$A:$A,M21465,'Barang Keluar'!$C:$C,N21465))</f>
        <v>0</v>
      </c>
    </row>
    <row r="21466" spans="13:16">
      <c r="M21466" s="49">
        <f>IF($A$4+214&gt;$B$4,"",$A$4+214)</f>
        <v>46237</v>
      </c>
      <c r="N21466">
        <f>IF(M21466="","",'Master Barang'!A60)</f>
        <v>0</v>
      </c>
      <c r="O21466">
        <f>IF(N21466="","",'Master Barang'!B60)</f>
        <v>0</v>
      </c>
      <c r="P21466">
        <f>IF(OR(M21466="",N21466=""),"",SUMIFS('Barang Keluar'!$E:$E,'Barang Keluar'!$A:$A,M21466,'Barang Keluar'!$C:$C,N21466))</f>
        <v>0</v>
      </c>
    </row>
    <row r="21467" spans="13:16">
      <c r="M21467" s="49">
        <f>IF($A$4+214&gt;$B$4,"",$A$4+214)</f>
        <v>46237</v>
      </c>
      <c r="N21467">
        <f>IF(M21467="","",'Master Barang'!A61)</f>
        <v>0</v>
      </c>
      <c r="O21467">
        <f>IF(N21467="","",'Master Barang'!B61)</f>
        <v>0</v>
      </c>
      <c r="P21467">
        <f>IF(OR(M21467="",N21467=""),"",SUMIFS('Barang Keluar'!$E:$E,'Barang Keluar'!$A:$A,M21467,'Barang Keluar'!$C:$C,N21467))</f>
        <v>0</v>
      </c>
    </row>
    <row r="21468" spans="13:16">
      <c r="M21468" s="49">
        <f>IF($A$4+214&gt;$B$4,"",$A$4+214)</f>
        <v>46237</v>
      </c>
      <c r="N21468">
        <f>IF(M21468="","",'Master Barang'!A62)</f>
        <v>0</v>
      </c>
      <c r="O21468">
        <f>IF(N21468="","",'Master Barang'!B62)</f>
        <v>0</v>
      </c>
      <c r="P21468">
        <f>IF(OR(M21468="",N21468=""),"",SUMIFS('Barang Keluar'!$E:$E,'Barang Keluar'!$A:$A,M21468,'Barang Keluar'!$C:$C,N21468))</f>
        <v>0</v>
      </c>
    </row>
    <row r="21469" spans="13:16">
      <c r="M21469" s="49">
        <f>IF($A$4+214&gt;$B$4,"",$A$4+214)</f>
        <v>46237</v>
      </c>
      <c r="N21469">
        <f>IF(M21469="","",'Master Barang'!A63)</f>
        <v>0</v>
      </c>
      <c r="O21469">
        <f>IF(N21469="","",'Master Barang'!B63)</f>
        <v>0</v>
      </c>
      <c r="P21469">
        <f>IF(OR(M21469="",N21469=""),"",SUMIFS('Barang Keluar'!$E:$E,'Barang Keluar'!$A:$A,M21469,'Barang Keluar'!$C:$C,N21469))</f>
        <v>0</v>
      </c>
    </row>
    <row r="21470" spans="13:16">
      <c r="M21470" s="49">
        <f>IF($A$4+214&gt;$B$4,"",$A$4+214)</f>
        <v>46237</v>
      </c>
      <c r="N21470">
        <f>IF(M21470="","",'Master Barang'!A64)</f>
        <v>0</v>
      </c>
      <c r="O21470">
        <f>IF(N21470="","",'Master Barang'!B64)</f>
        <v>0</v>
      </c>
      <c r="P21470">
        <f>IF(OR(M21470="",N21470=""),"",SUMIFS('Barang Keluar'!$E:$E,'Barang Keluar'!$A:$A,M21470,'Barang Keluar'!$C:$C,N21470))</f>
        <v>0</v>
      </c>
    </row>
    <row r="21471" spans="13:16">
      <c r="M21471" s="49">
        <f>IF($A$4+214&gt;$B$4,"",$A$4+214)</f>
        <v>46237</v>
      </c>
      <c r="N21471">
        <f>IF(M21471="","",'Master Barang'!A65)</f>
        <v>0</v>
      </c>
      <c r="O21471">
        <f>IF(N21471="","",'Master Barang'!B65)</f>
        <v>0</v>
      </c>
      <c r="P21471">
        <f>IF(OR(M21471="",N21471=""),"",SUMIFS('Barang Keluar'!$E:$E,'Barang Keluar'!$A:$A,M21471,'Barang Keluar'!$C:$C,N21471))</f>
        <v>0</v>
      </c>
    </row>
    <row r="21472" spans="13:16">
      <c r="M21472" s="49">
        <f>IF($A$4+214&gt;$B$4,"",$A$4+214)</f>
        <v>46237</v>
      </c>
      <c r="N21472">
        <f>IF(M21472="","",'Master Barang'!A66)</f>
        <v>0</v>
      </c>
      <c r="O21472">
        <f>IF(N21472="","",'Master Barang'!B66)</f>
        <v>0</v>
      </c>
      <c r="P21472">
        <f>IF(OR(M21472="",N21472=""),"",SUMIFS('Barang Keluar'!$E:$E,'Barang Keluar'!$A:$A,M21472,'Barang Keluar'!$C:$C,N21472))</f>
        <v>0</v>
      </c>
    </row>
    <row r="21473" spans="13:16">
      <c r="M21473" s="49">
        <f>IF($A$4+214&gt;$B$4,"",$A$4+214)</f>
        <v>46237</v>
      </c>
      <c r="N21473">
        <f>IF(M21473="","",'Master Barang'!A67)</f>
        <v>0</v>
      </c>
      <c r="O21473">
        <f>IF(N21473="","",'Master Barang'!B67)</f>
        <v>0</v>
      </c>
      <c r="P21473">
        <f>IF(OR(M21473="",N21473=""),"",SUMIFS('Barang Keluar'!$E:$E,'Barang Keluar'!$A:$A,M21473,'Barang Keluar'!$C:$C,N21473))</f>
        <v>0</v>
      </c>
    </row>
    <row r="21474" spans="13:16">
      <c r="M21474" s="49">
        <f>IF($A$4+214&gt;$B$4,"",$A$4+214)</f>
        <v>46237</v>
      </c>
      <c r="N21474">
        <f>IF(M21474="","",'Master Barang'!A68)</f>
        <v>0</v>
      </c>
      <c r="O21474">
        <f>IF(N21474="","",'Master Barang'!B68)</f>
        <v>0</v>
      </c>
      <c r="P21474">
        <f>IF(OR(M21474="",N21474=""),"",SUMIFS('Barang Keluar'!$E:$E,'Barang Keluar'!$A:$A,M21474,'Barang Keluar'!$C:$C,N21474))</f>
        <v>0</v>
      </c>
    </row>
    <row r="21475" spans="13:16">
      <c r="M21475" s="49">
        <f>IF($A$4+214&gt;$B$4,"",$A$4+214)</f>
        <v>46237</v>
      </c>
      <c r="N21475">
        <f>IF(M21475="","",'Master Barang'!A69)</f>
        <v>0</v>
      </c>
      <c r="O21475">
        <f>IF(N21475="","",'Master Barang'!B69)</f>
        <v>0</v>
      </c>
      <c r="P21475">
        <f>IF(OR(M21475="",N21475=""),"",SUMIFS('Barang Keluar'!$E:$E,'Barang Keluar'!$A:$A,M21475,'Barang Keluar'!$C:$C,N21475))</f>
        <v>0</v>
      </c>
    </row>
    <row r="21476" spans="13:16">
      <c r="M21476" s="49">
        <f>IF($A$4+214&gt;$B$4,"",$A$4+214)</f>
        <v>46237</v>
      </c>
      <c r="N21476">
        <f>IF(M21476="","",'Master Barang'!A70)</f>
        <v>0</v>
      </c>
      <c r="O21476">
        <f>IF(N21476="","",'Master Barang'!B70)</f>
        <v>0</v>
      </c>
      <c r="P21476">
        <f>IF(OR(M21476="",N21476=""),"",SUMIFS('Barang Keluar'!$E:$E,'Barang Keluar'!$A:$A,M21476,'Barang Keluar'!$C:$C,N21476))</f>
        <v>0</v>
      </c>
    </row>
    <row r="21477" spans="13:16">
      <c r="M21477" s="49">
        <f>IF($A$4+214&gt;$B$4,"",$A$4+214)</f>
        <v>46237</v>
      </c>
      <c r="N21477">
        <f>IF(M21477="","",'Master Barang'!A71)</f>
        <v>0</v>
      </c>
      <c r="O21477">
        <f>IF(N21477="","",'Master Barang'!B71)</f>
        <v>0</v>
      </c>
      <c r="P21477">
        <f>IF(OR(M21477="",N21477=""),"",SUMIFS('Barang Keluar'!$E:$E,'Barang Keluar'!$A:$A,M21477,'Barang Keluar'!$C:$C,N21477))</f>
        <v>0</v>
      </c>
    </row>
    <row r="21478" spans="13:16">
      <c r="M21478" s="49">
        <f>IF($A$4+214&gt;$B$4,"",$A$4+214)</f>
        <v>46237</v>
      </c>
      <c r="N21478">
        <f>IF(M21478="","",'Master Barang'!A72)</f>
        <v>0</v>
      </c>
      <c r="O21478">
        <f>IF(N21478="","",'Master Barang'!B72)</f>
        <v>0</v>
      </c>
      <c r="P21478">
        <f>IF(OR(M21478="",N21478=""),"",SUMIFS('Barang Keluar'!$E:$E,'Barang Keluar'!$A:$A,M21478,'Barang Keluar'!$C:$C,N21478))</f>
        <v>0</v>
      </c>
    </row>
    <row r="21479" spans="13:16">
      <c r="M21479" s="49">
        <f>IF($A$4+214&gt;$B$4,"",$A$4+214)</f>
        <v>46237</v>
      </c>
      <c r="N21479">
        <f>IF(M21479="","",'Master Barang'!A73)</f>
        <v>0</v>
      </c>
      <c r="O21479">
        <f>IF(N21479="","",'Master Barang'!B73)</f>
        <v>0</v>
      </c>
      <c r="P21479">
        <f>IF(OR(M21479="",N21479=""),"",SUMIFS('Barang Keluar'!$E:$E,'Barang Keluar'!$A:$A,M21479,'Barang Keluar'!$C:$C,N21479))</f>
        <v>0</v>
      </c>
    </row>
    <row r="21480" spans="13:16">
      <c r="M21480" s="49">
        <f>IF($A$4+214&gt;$B$4,"",$A$4+214)</f>
        <v>46237</v>
      </c>
      <c r="N21480">
        <f>IF(M21480="","",'Master Barang'!A74)</f>
        <v>0</v>
      </c>
      <c r="O21480">
        <f>IF(N21480="","",'Master Barang'!B74)</f>
        <v>0</v>
      </c>
      <c r="P21480">
        <f>IF(OR(M21480="",N21480=""),"",SUMIFS('Barang Keluar'!$E:$E,'Barang Keluar'!$A:$A,M21480,'Barang Keluar'!$C:$C,N21480))</f>
        <v>0</v>
      </c>
    </row>
    <row r="21481" spans="13:16">
      <c r="M21481" s="49">
        <f>IF($A$4+214&gt;$B$4,"",$A$4+214)</f>
        <v>46237</v>
      </c>
      <c r="N21481">
        <f>IF(M21481="","",'Master Barang'!A75)</f>
        <v>0</v>
      </c>
      <c r="O21481">
        <f>IF(N21481="","",'Master Barang'!B75)</f>
        <v>0</v>
      </c>
      <c r="P21481">
        <f>IF(OR(M21481="",N21481=""),"",SUMIFS('Barang Keluar'!$E:$E,'Barang Keluar'!$A:$A,M21481,'Barang Keluar'!$C:$C,N21481))</f>
        <v>0</v>
      </c>
    </row>
    <row r="21482" spans="13:16">
      <c r="M21482" s="49">
        <f>IF($A$4+214&gt;$B$4,"",$A$4+214)</f>
        <v>46237</v>
      </c>
      <c r="N21482">
        <f>IF(M21482="","",'Master Barang'!A76)</f>
        <v>0</v>
      </c>
      <c r="O21482">
        <f>IF(N21482="","",'Master Barang'!B76)</f>
        <v>0</v>
      </c>
      <c r="P21482">
        <f>IF(OR(M21482="",N21482=""),"",SUMIFS('Barang Keluar'!$E:$E,'Barang Keluar'!$A:$A,M21482,'Barang Keluar'!$C:$C,N21482))</f>
        <v>0</v>
      </c>
    </row>
    <row r="21483" spans="13:16">
      <c r="M21483" s="49">
        <f>IF($A$4+214&gt;$B$4,"",$A$4+214)</f>
        <v>46237</v>
      </c>
      <c r="N21483">
        <f>IF(M21483="","",'Master Barang'!A77)</f>
        <v>0</v>
      </c>
      <c r="O21483">
        <f>IF(N21483="","",'Master Barang'!B77)</f>
        <v>0</v>
      </c>
      <c r="P21483">
        <f>IF(OR(M21483="",N21483=""),"",SUMIFS('Barang Keluar'!$E:$E,'Barang Keluar'!$A:$A,M21483,'Barang Keluar'!$C:$C,N21483))</f>
        <v>0</v>
      </c>
    </row>
    <row r="21484" spans="13:16">
      <c r="M21484" s="49">
        <f>IF($A$4+214&gt;$B$4,"",$A$4+214)</f>
        <v>46237</v>
      </c>
      <c r="N21484">
        <f>IF(M21484="","",'Master Barang'!A78)</f>
        <v>0</v>
      </c>
      <c r="O21484">
        <f>IF(N21484="","",'Master Barang'!B78)</f>
        <v>0</v>
      </c>
      <c r="P21484">
        <f>IF(OR(M21484="",N21484=""),"",SUMIFS('Barang Keluar'!$E:$E,'Barang Keluar'!$A:$A,M21484,'Barang Keluar'!$C:$C,N21484))</f>
        <v>0</v>
      </c>
    </row>
    <row r="21485" spans="13:16">
      <c r="M21485" s="49">
        <f>IF($A$4+214&gt;$B$4,"",$A$4+214)</f>
        <v>46237</v>
      </c>
      <c r="N21485">
        <f>IF(M21485="","",'Master Barang'!A79)</f>
        <v>0</v>
      </c>
      <c r="O21485">
        <f>IF(N21485="","",'Master Barang'!B79)</f>
        <v>0</v>
      </c>
      <c r="P21485">
        <f>IF(OR(M21485="",N21485=""),"",SUMIFS('Barang Keluar'!$E:$E,'Barang Keluar'!$A:$A,M21485,'Barang Keluar'!$C:$C,N21485))</f>
        <v>0</v>
      </c>
    </row>
    <row r="21486" spans="13:16">
      <c r="M21486" s="49">
        <f>IF($A$4+214&gt;$B$4,"",$A$4+214)</f>
        <v>46237</v>
      </c>
      <c r="N21486">
        <f>IF(M21486="","",'Master Barang'!A80)</f>
        <v>0</v>
      </c>
      <c r="O21486">
        <f>IF(N21486="","",'Master Barang'!B80)</f>
        <v>0</v>
      </c>
      <c r="P21486">
        <f>IF(OR(M21486="",N21486=""),"",SUMIFS('Barang Keluar'!$E:$E,'Barang Keluar'!$A:$A,M21486,'Barang Keluar'!$C:$C,N21486))</f>
        <v>0</v>
      </c>
    </row>
    <row r="21487" spans="13:16">
      <c r="M21487" s="49">
        <f>IF($A$4+214&gt;$B$4,"",$A$4+214)</f>
        <v>46237</v>
      </c>
      <c r="N21487">
        <f>IF(M21487="","",'Master Barang'!A81)</f>
        <v>0</v>
      </c>
      <c r="O21487">
        <f>IF(N21487="","",'Master Barang'!B81)</f>
        <v>0</v>
      </c>
      <c r="P21487">
        <f>IF(OR(M21487="",N21487=""),"",SUMIFS('Barang Keluar'!$E:$E,'Barang Keluar'!$A:$A,M21487,'Barang Keluar'!$C:$C,N21487))</f>
        <v>0</v>
      </c>
    </row>
    <row r="21488" spans="13:16">
      <c r="M21488" s="49">
        <f>IF($A$4+214&gt;$B$4,"",$A$4+214)</f>
        <v>46237</v>
      </c>
      <c r="N21488">
        <f>IF(M21488="","",'Master Barang'!A82)</f>
        <v>0</v>
      </c>
      <c r="O21488">
        <f>IF(N21488="","",'Master Barang'!B82)</f>
        <v>0</v>
      </c>
      <c r="P21488">
        <f>IF(OR(M21488="",N21488=""),"",SUMIFS('Barang Keluar'!$E:$E,'Barang Keluar'!$A:$A,M21488,'Barang Keluar'!$C:$C,N21488))</f>
        <v>0</v>
      </c>
    </row>
    <row r="21489" spans="13:16">
      <c r="M21489" s="49">
        <f>IF($A$4+214&gt;$B$4,"",$A$4+214)</f>
        <v>46237</v>
      </c>
      <c r="N21489">
        <f>IF(M21489="","",'Master Barang'!A83)</f>
        <v>0</v>
      </c>
      <c r="O21489">
        <f>IF(N21489="","",'Master Barang'!B83)</f>
        <v>0</v>
      </c>
      <c r="P21489">
        <f>IF(OR(M21489="",N21489=""),"",SUMIFS('Barang Keluar'!$E:$E,'Barang Keluar'!$A:$A,M21489,'Barang Keluar'!$C:$C,N21489))</f>
        <v>0</v>
      </c>
    </row>
    <row r="21490" spans="13:16">
      <c r="M21490" s="49">
        <f>IF($A$4+214&gt;$B$4,"",$A$4+214)</f>
        <v>46237</v>
      </c>
      <c r="N21490">
        <f>IF(M21490="","",'Master Barang'!A84)</f>
        <v>0</v>
      </c>
      <c r="O21490">
        <f>IF(N21490="","",'Master Barang'!B84)</f>
        <v>0</v>
      </c>
      <c r="P21490">
        <f>IF(OR(M21490="",N21490=""),"",SUMIFS('Barang Keluar'!$E:$E,'Barang Keluar'!$A:$A,M21490,'Barang Keluar'!$C:$C,N21490))</f>
        <v>0</v>
      </c>
    </row>
    <row r="21491" spans="13:16">
      <c r="M21491" s="49">
        <f>IF($A$4+214&gt;$B$4,"",$A$4+214)</f>
        <v>46237</v>
      </c>
      <c r="N21491">
        <f>IF(M21491="","",'Master Barang'!A85)</f>
        <v>0</v>
      </c>
      <c r="O21491">
        <f>IF(N21491="","",'Master Barang'!B85)</f>
        <v>0</v>
      </c>
      <c r="P21491">
        <f>IF(OR(M21491="",N21491=""),"",SUMIFS('Barang Keluar'!$E:$E,'Barang Keluar'!$A:$A,M21491,'Barang Keluar'!$C:$C,N21491))</f>
        <v>0</v>
      </c>
    </row>
    <row r="21492" spans="13:16">
      <c r="M21492" s="49">
        <f>IF($A$4+214&gt;$B$4,"",$A$4+214)</f>
        <v>46237</v>
      </c>
      <c r="N21492">
        <f>IF(M21492="","",'Master Barang'!A86)</f>
        <v>0</v>
      </c>
      <c r="O21492">
        <f>IF(N21492="","",'Master Barang'!B86)</f>
        <v>0</v>
      </c>
      <c r="P21492">
        <f>IF(OR(M21492="",N21492=""),"",SUMIFS('Barang Keluar'!$E:$E,'Barang Keluar'!$A:$A,M21492,'Barang Keluar'!$C:$C,N21492))</f>
        <v>0</v>
      </c>
    </row>
    <row r="21493" spans="13:16">
      <c r="M21493" s="49">
        <f>IF($A$4+214&gt;$B$4,"",$A$4+214)</f>
        <v>46237</v>
      </c>
      <c r="N21493">
        <f>IF(M21493="","",'Master Barang'!A87)</f>
        <v>0</v>
      </c>
      <c r="O21493">
        <f>IF(N21493="","",'Master Barang'!B87)</f>
        <v>0</v>
      </c>
      <c r="P21493">
        <f>IF(OR(M21493="",N21493=""),"",SUMIFS('Barang Keluar'!$E:$E,'Barang Keluar'!$A:$A,M21493,'Barang Keluar'!$C:$C,N21493))</f>
        <v>0</v>
      </c>
    </row>
    <row r="21494" spans="13:16">
      <c r="M21494" s="49">
        <f>IF($A$4+214&gt;$B$4,"",$A$4+214)</f>
        <v>46237</v>
      </c>
      <c r="N21494">
        <f>IF(M21494="","",'Master Barang'!A88)</f>
        <v>0</v>
      </c>
      <c r="O21494">
        <f>IF(N21494="","",'Master Barang'!B88)</f>
        <v>0</v>
      </c>
      <c r="P21494">
        <f>IF(OR(M21494="",N21494=""),"",SUMIFS('Barang Keluar'!$E:$E,'Barang Keluar'!$A:$A,M21494,'Barang Keluar'!$C:$C,N21494))</f>
        <v>0</v>
      </c>
    </row>
    <row r="21495" spans="13:16">
      <c r="M21495" s="49">
        <f>IF($A$4+214&gt;$B$4,"",$A$4+214)</f>
        <v>46237</v>
      </c>
      <c r="N21495">
        <f>IF(M21495="","",'Master Barang'!A89)</f>
        <v>0</v>
      </c>
      <c r="O21495">
        <f>IF(N21495="","",'Master Barang'!B89)</f>
        <v>0</v>
      </c>
      <c r="P21495">
        <f>IF(OR(M21495="",N21495=""),"",SUMIFS('Barang Keluar'!$E:$E,'Barang Keluar'!$A:$A,M21495,'Barang Keluar'!$C:$C,N21495))</f>
        <v>0</v>
      </c>
    </row>
    <row r="21496" spans="13:16">
      <c r="M21496" s="49">
        <f>IF($A$4+214&gt;$B$4,"",$A$4+214)</f>
        <v>46237</v>
      </c>
      <c r="N21496">
        <f>IF(M21496="","",'Master Barang'!A90)</f>
        <v>0</v>
      </c>
      <c r="O21496">
        <f>IF(N21496="","",'Master Barang'!B90)</f>
        <v>0</v>
      </c>
      <c r="P21496">
        <f>IF(OR(M21496="",N21496=""),"",SUMIFS('Barang Keluar'!$E:$E,'Barang Keluar'!$A:$A,M21496,'Barang Keluar'!$C:$C,N21496))</f>
        <v>0</v>
      </c>
    </row>
    <row r="21497" spans="13:16">
      <c r="M21497" s="49">
        <f>IF($A$4+214&gt;$B$4,"",$A$4+214)</f>
        <v>46237</v>
      </c>
      <c r="N21497">
        <f>IF(M21497="","",'Master Barang'!A91)</f>
        <v>0</v>
      </c>
      <c r="O21497">
        <f>IF(N21497="","",'Master Barang'!B91)</f>
        <v>0</v>
      </c>
      <c r="P21497">
        <f>IF(OR(M21497="",N21497=""),"",SUMIFS('Barang Keluar'!$E:$E,'Barang Keluar'!$A:$A,M21497,'Barang Keluar'!$C:$C,N21497))</f>
        <v>0</v>
      </c>
    </row>
    <row r="21498" spans="13:16">
      <c r="M21498" s="49">
        <f>IF($A$4+214&gt;$B$4,"",$A$4+214)</f>
        <v>46237</v>
      </c>
      <c r="N21498">
        <f>IF(M21498="","",'Master Barang'!A92)</f>
        <v>0</v>
      </c>
      <c r="O21498">
        <f>IF(N21498="","",'Master Barang'!B92)</f>
        <v>0</v>
      </c>
      <c r="P21498">
        <f>IF(OR(M21498="",N21498=""),"",SUMIFS('Barang Keluar'!$E:$E,'Barang Keluar'!$A:$A,M21498,'Barang Keluar'!$C:$C,N21498))</f>
        <v>0</v>
      </c>
    </row>
    <row r="21499" spans="13:16">
      <c r="M21499" s="49">
        <f>IF($A$4+214&gt;$B$4,"",$A$4+214)</f>
        <v>46237</v>
      </c>
      <c r="N21499">
        <f>IF(M21499="","",'Master Barang'!A93)</f>
        <v>0</v>
      </c>
      <c r="O21499">
        <f>IF(N21499="","",'Master Barang'!B93)</f>
        <v>0</v>
      </c>
      <c r="P21499">
        <f>IF(OR(M21499="",N21499=""),"",SUMIFS('Barang Keluar'!$E:$E,'Barang Keluar'!$A:$A,M21499,'Barang Keluar'!$C:$C,N21499))</f>
        <v>0</v>
      </c>
    </row>
    <row r="21500" spans="13:16">
      <c r="M21500" s="49">
        <f>IF($A$4+214&gt;$B$4,"",$A$4+214)</f>
        <v>46237</v>
      </c>
      <c r="N21500">
        <f>IF(M21500="","",'Master Barang'!A94)</f>
        <v>0</v>
      </c>
      <c r="O21500">
        <f>IF(N21500="","",'Master Barang'!B94)</f>
        <v>0</v>
      </c>
      <c r="P21500">
        <f>IF(OR(M21500="",N21500=""),"",SUMIFS('Barang Keluar'!$E:$E,'Barang Keluar'!$A:$A,M21500,'Barang Keluar'!$C:$C,N21500))</f>
        <v>0</v>
      </c>
    </row>
    <row r="21501" spans="13:16">
      <c r="M21501" s="49">
        <f>IF($A$4+214&gt;$B$4,"",$A$4+214)</f>
        <v>46237</v>
      </c>
      <c r="N21501">
        <f>IF(M21501="","",'Master Barang'!A95)</f>
        <v>0</v>
      </c>
      <c r="O21501">
        <f>IF(N21501="","",'Master Barang'!B95)</f>
        <v>0</v>
      </c>
      <c r="P21501">
        <f>IF(OR(M21501="",N21501=""),"",SUMIFS('Barang Keluar'!$E:$E,'Barang Keluar'!$A:$A,M21501,'Barang Keluar'!$C:$C,N21501))</f>
        <v>0</v>
      </c>
    </row>
    <row r="21502" spans="13:16">
      <c r="M21502" s="49">
        <f>IF($A$4+214&gt;$B$4,"",$A$4+214)</f>
        <v>46237</v>
      </c>
      <c r="N21502">
        <f>IF(M21502="","",'Master Barang'!A96)</f>
        <v>0</v>
      </c>
      <c r="O21502">
        <f>IF(N21502="","",'Master Barang'!B96)</f>
        <v>0</v>
      </c>
      <c r="P21502">
        <f>IF(OR(M21502="",N21502=""),"",SUMIFS('Barang Keluar'!$E:$E,'Barang Keluar'!$A:$A,M21502,'Barang Keluar'!$C:$C,N21502))</f>
        <v>0</v>
      </c>
    </row>
    <row r="21503" spans="13:16">
      <c r="M21503" s="49">
        <f>IF($A$4+214&gt;$B$4,"",$A$4+214)</f>
        <v>46237</v>
      </c>
      <c r="N21503">
        <f>IF(M21503="","",'Master Barang'!A97)</f>
        <v>0</v>
      </c>
      <c r="O21503">
        <f>IF(N21503="","",'Master Barang'!B97)</f>
        <v>0</v>
      </c>
      <c r="P21503">
        <f>IF(OR(M21503="",N21503=""),"",SUMIFS('Barang Keluar'!$E:$E,'Barang Keluar'!$A:$A,M21503,'Barang Keluar'!$C:$C,N21503))</f>
        <v>0</v>
      </c>
    </row>
    <row r="21504" spans="13:16">
      <c r="M21504" s="49">
        <f>IF($A$4+214&gt;$B$4,"",$A$4+214)</f>
        <v>46237</v>
      </c>
      <c r="N21504">
        <f>IF(M21504="","",'Master Barang'!A98)</f>
        <v>0</v>
      </c>
      <c r="O21504">
        <f>IF(N21504="","",'Master Barang'!B98)</f>
        <v>0</v>
      </c>
      <c r="P21504">
        <f>IF(OR(M21504="",N21504=""),"",SUMIFS('Barang Keluar'!$E:$E,'Barang Keluar'!$A:$A,M21504,'Barang Keluar'!$C:$C,N21504))</f>
        <v>0</v>
      </c>
    </row>
    <row r="21505" spans="13:16">
      <c r="M21505" s="49">
        <f>IF($A$4+214&gt;$B$4,"",$A$4+214)</f>
        <v>46237</v>
      </c>
      <c r="N21505">
        <f>IF(M21505="","",'Master Barang'!A99)</f>
        <v>0</v>
      </c>
      <c r="O21505">
        <f>IF(N21505="","",'Master Barang'!B99)</f>
        <v>0</v>
      </c>
      <c r="P21505">
        <f>IF(OR(M21505="",N21505=""),"",SUMIFS('Barang Keluar'!$E:$E,'Barang Keluar'!$A:$A,M21505,'Barang Keluar'!$C:$C,N21505))</f>
        <v>0</v>
      </c>
    </row>
    <row r="21506" spans="13:16">
      <c r="M21506" s="49">
        <f>IF($A$4+214&gt;$B$4,"",$A$4+214)</f>
        <v>46237</v>
      </c>
      <c r="N21506">
        <f>IF(M21506="","",'Master Barang'!A100)</f>
        <v>0</v>
      </c>
      <c r="O21506">
        <f>IF(N21506="","",'Master Barang'!B100)</f>
        <v>0</v>
      </c>
      <c r="P21506">
        <f>IF(OR(M21506="",N21506=""),"",SUMIFS('Barang Keluar'!$E:$E,'Barang Keluar'!$A:$A,M21506,'Barang Keluar'!$C:$C,N21506))</f>
        <v>0</v>
      </c>
    </row>
    <row r="21507" spans="13:16">
      <c r="M21507" s="49">
        <f>IF($A$4+214&gt;$B$4,"",$A$4+214)</f>
        <v>46237</v>
      </c>
      <c r="N21507">
        <f>IF(M21507="","",'Master Barang'!A101)</f>
        <v>0</v>
      </c>
      <c r="O21507">
        <f>IF(N21507="","",'Master Barang'!B101)</f>
        <v>0</v>
      </c>
      <c r="P21507">
        <f>IF(OR(M21507="",N21507=""),"",SUMIFS('Barang Keluar'!$E:$E,'Barang Keluar'!$A:$A,M21507,'Barang Keluar'!$C:$C,N21507))</f>
        <v>0</v>
      </c>
    </row>
    <row r="21508" spans="13:16">
      <c r="M21508" s="49">
        <f>IF($A$4+215&gt;$B$4,"",$A$4+215)</f>
        <v>46238</v>
      </c>
      <c r="N21508" t="str">
        <f>IF(M21508="","",'Master Barang'!A2)</f>
        <v>PRL-001</v>
      </c>
      <c r="O21508" t="str">
        <f>IF(N21508="","",'Master Barang'!B2)</f>
        <v>natura desinfectant food grade 5l</v>
      </c>
      <c r="P21508">
        <f>IF(OR(M21508="",N21508=""),"",SUMIFS('Barang Keluar'!$E:$E,'Barang Keluar'!$A:$A,M21508,'Barang Keluar'!$C:$C,N21508))</f>
        <v>0</v>
      </c>
    </row>
    <row r="21509" spans="13:16">
      <c r="M21509" s="49">
        <f>IF($A$4+215&gt;$B$4,"",$A$4+215)</f>
        <v>46238</v>
      </c>
      <c r="N21509" t="str">
        <f>IF(M21509="","",'Master Barang'!A3)</f>
        <v>PRL-002</v>
      </c>
      <c r="O21509" t="str">
        <f>IF(N21509="","",'Master Barang'!B3)</f>
        <v>sunlight cairan pencuci piring 5l</v>
      </c>
      <c r="P21509">
        <f>IF(OR(M21509="",N21509=""),"",SUMIFS('Barang Keluar'!$E:$E,'Barang Keluar'!$A:$A,M21509,'Barang Keluar'!$C:$C,N21509))</f>
        <v>0</v>
      </c>
    </row>
    <row r="21510" spans="13:16">
      <c r="M21510" s="49">
        <f>IF($A$4+215&gt;$B$4,"",$A$4+215)</f>
        <v>46238</v>
      </c>
      <c r="N21510" t="str">
        <f>IF(M21510="","",'Master Barang'!A4)</f>
        <v>PRL-003</v>
      </c>
      <c r="O21510" t="str">
        <f>IF(N21510="","",'Master Barang'!B4)</f>
        <v>oixs cleaner 1l</v>
      </c>
      <c r="P21510">
        <f>IF(OR(M21510="",N21510=""),"",SUMIFS('Barang Keluar'!$E:$E,'Barang Keluar'!$A:$A,M21510,'Barang Keluar'!$C:$C,N21510))</f>
        <v>0</v>
      </c>
    </row>
    <row r="21511" spans="13:16">
      <c r="M21511" s="49">
        <f>IF($A$4+215&gt;$B$4,"",$A$4+215)</f>
        <v>46238</v>
      </c>
      <c r="N21511" t="str">
        <f>IF(M21511="","",'Master Barang'!A5)</f>
        <v>PRL-004</v>
      </c>
      <c r="O21511" t="str">
        <f>IF(N21511="","",'Master Barang'!B5)</f>
        <v>be clean tissue serbaguna</v>
      </c>
      <c r="P21511">
        <f>IF(OR(M21511="",N21511=""),"",SUMIFS('Barang Keluar'!$E:$E,'Barang Keluar'!$A:$A,M21511,'Barang Keluar'!$C:$C,N21511))</f>
        <v>0</v>
      </c>
    </row>
    <row r="21512" spans="13:16">
      <c r="M21512" s="49">
        <f>IF($A$4+215&gt;$B$4,"",$A$4+215)</f>
        <v>46238</v>
      </c>
      <c r="N21512" t="str">
        <f>IF(M21512="","",'Master Barang'!A6)</f>
        <v>PRL-005</v>
      </c>
      <c r="O21512" t="str">
        <f>IF(N21512="","",'Master Barang'!B6)</f>
        <v>spons cuci hijau</v>
      </c>
      <c r="P21512">
        <f>IF(OR(M21512="",N21512=""),"",SUMIFS('Barang Keluar'!$E:$E,'Barang Keluar'!$A:$A,M21512,'Barang Keluar'!$C:$C,N21512))</f>
        <v>0</v>
      </c>
    </row>
    <row r="21513" spans="13:16">
      <c r="M21513" s="49">
        <f>IF($A$4+215&gt;$B$4,"",$A$4+215)</f>
        <v>46238</v>
      </c>
      <c r="N21513" t="str">
        <f>IF(M21513="","",'Master Barang'!A7)</f>
        <v>PRL-006</v>
      </c>
      <c r="O21513" t="str">
        <f>IF(N21513="","",'Master Barang'!B7)</f>
        <v>sabut cuci stainless</v>
      </c>
      <c r="P21513">
        <f>IF(OR(M21513="",N21513=""),"",SUMIFS('Barang Keluar'!$E:$E,'Barang Keluar'!$A:$A,M21513,'Barang Keluar'!$C:$C,N21513))</f>
        <v>0</v>
      </c>
    </row>
    <row r="21514" spans="13:16">
      <c r="M21514" s="49">
        <f>IF($A$4+215&gt;$B$4,"",$A$4+215)</f>
        <v>46238</v>
      </c>
      <c r="N21514" t="str">
        <f>IF(M21514="","",'Master Barang'!A8)</f>
        <v>PRL-007</v>
      </c>
      <c r="O21514" t="str">
        <f>IF(N21514="","",'Master Barang'!B8)</f>
        <v>plastik kresek besar merah 50pc</v>
      </c>
      <c r="P21514">
        <f>IF(OR(M21514="",N21514=""),"",SUMIFS('Barang Keluar'!$E:$E,'Barang Keluar'!$A:$A,M21514,'Barang Keluar'!$C:$C,N21514))</f>
        <v>0</v>
      </c>
    </row>
    <row r="21515" spans="13:16">
      <c r="M21515" s="49">
        <f>IF($A$4+215&gt;$B$4,"",$A$4+215)</f>
        <v>46238</v>
      </c>
      <c r="N21515" t="str">
        <f>IF(M21515="","",'Master Barang'!A9)</f>
        <v>PRL-008</v>
      </c>
      <c r="O21515" t="str">
        <f>IF(N21515="","",'Master Barang'!B9)</f>
        <v>lap besar</v>
      </c>
      <c r="P21515">
        <f>IF(OR(M21515="",N21515=""),"",SUMIFS('Barang Keluar'!$E:$E,'Barang Keluar'!$A:$A,M21515,'Barang Keluar'!$C:$C,N21515))</f>
        <v>0</v>
      </c>
    </row>
    <row r="21516" spans="13:16">
      <c r="M21516" s="49">
        <f>IF($A$4+215&gt;$B$4,"",$A$4+215)</f>
        <v>46238</v>
      </c>
      <c r="N21516" t="str">
        <f>IF(M21516="","",'Master Barang'!A10)</f>
        <v>PRL-009</v>
      </c>
      <c r="O21516" t="str">
        <f>IF(N21516="","",'Master Barang'!B10)</f>
        <v>lap microfiber</v>
      </c>
      <c r="P21516">
        <f>IF(OR(M21516="",N21516=""),"",SUMIFS('Barang Keluar'!$E:$E,'Barang Keluar'!$A:$A,M21516,'Barang Keluar'!$C:$C,N21516))</f>
        <v>0</v>
      </c>
    </row>
    <row r="21517" spans="13:16">
      <c r="M21517" s="49">
        <f>IF($A$4+215&gt;$B$4,"",$A$4+215)</f>
        <v>46238</v>
      </c>
      <c r="N21517" t="str">
        <f>IF(M21517="","",'Master Barang'!A11)</f>
        <v>PRL-010</v>
      </c>
      <c r="O21517" t="str">
        <f>IF(N21517="","",'Master Barang'!B11)</f>
        <v>lap kecil</v>
      </c>
      <c r="P21517">
        <f>IF(OR(M21517="",N21517=""),"",SUMIFS('Barang Keluar'!$E:$E,'Barang Keluar'!$A:$A,M21517,'Barang Keluar'!$C:$C,N21517))</f>
        <v>0</v>
      </c>
    </row>
    <row r="21518" spans="13:16">
      <c r="M21518" s="49">
        <f>IF($A$4+215&gt;$B$4,"",$A$4+215)</f>
        <v>46238</v>
      </c>
      <c r="N21518" t="str">
        <f>IF(M21518="","",'Master Barang'!A12)</f>
        <v>PRL-011</v>
      </c>
      <c r="O21518" t="str">
        <f>IF(N21518="","",'Master Barang'!B12)</f>
        <v>kanebo kecil</v>
      </c>
      <c r="P21518">
        <f>IF(OR(M21518="",N21518=""),"",SUMIFS('Barang Keluar'!$E:$E,'Barang Keluar'!$A:$A,M21518,'Barang Keluar'!$C:$C,N21518))</f>
        <v>0</v>
      </c>
    </row>
    <row r="21519" spans="13:16">
      <c r="M21519" s="49">
        <f>IF($A$4+215&gt;$B$4,"",$A$4+215)</f>
        <v>46238</v>
      </c>
      <c r="N21519" t="str">
        <f>IF(M21519="","",'Master Barang'!A13)</f>
        <v>PRL-012</v>
      </c>
      <c r="O21519" t="str">
        <f>IF(N21519="","",'Master Barang'!B13)</f>
        <v>plastik 1/4kg joyoboyo 100 lembar</v>
      </c>
      <c r="P21519">
        <f>IF(OR(M21519="",N21519=""),"",SUMIFS('Barang Keluar'!$E:$E,'Barang Keluar'!$A:$A,M21519,'Barang Keluar'!$C:$C,N21519))</f>
        <v>0</v>
      </c>
    </row>
    <row r="21520" spans="13:16">
      <c r="M21520" s="49">
        <f>IF($A$4+215&gt;$B$4,"",$A$4+215)</f>
        <v>46238</v>
      </c>
      <c r="N21520" t="str">
        <f>IF(M21520="","",'Master Barang'!A14)</f>
        <v>PRL-013</v>
      </c>
      <c r="O21520" t="str">
        <f>IF(N21520="","",'Master Barang'!B14)</f>
        <v>sarung tangan plastik kaka 100 pcs</v>
      </c>
      <c r="P21520">
        <f>IF(OR(M21520="",N21520=""),"",SUMIFS('Barang Keluar'!$E:$E,'Barang Keluar'!$A:$A,M21520,'Barang Keluar'!$C:$C,N21520))</f>
        <v>0</v>
      </c>
    </row>
    <row r="21521" spans="13:16">
      <c r="M21521" s="49">
        <f>IF($A$4+215&gt;$B$4,"",$A$4+215)</f>
        <v>46238</v>
      </c>
      <c r="N21521" t="str">
        <f>IF(M21521="","",'Master Barang'!A15)</f>
        <v>PRL-014</v>
      </c>
      <c r="O21521" t="str">
        <f>IF(N21521="","",'Master Barang'!B15)</f>
        <v>optima trashbag 80x100</v>
      </c>
      <c r="P21521">
        <f>IF(OR(M21521="",N21521=""),"",SUMIFS('Barang Keluar'!$E:$E,'Barang Keluar'!$A:$A,M21521,'Barang Keluar'!$C:$C,N21521))</f>
        <v>0</v>
      </c>
    </row>
    <row r="21522" spans="13:16">
      <c r="M21522" s="49">
        <f>IF($A$4+215&gt;$B$4,"",$A$4+215)</f>
        <v>46238</v>
      </c>
      <c r="N21522" t="str">
        <f>IF(M21522="","",'Master Barang'!A16)</f>
        <v>PRL-015</v>
      </c>
      <c r="O21522" t="str">
        <f>IF(N21522="","",'Master Barang'!B16)</f>
        <v>optima trashbag 60x100</v>
      </c>
      <c r="P21522">
        <f>IF(OR(M21522="",N21522=""),"",SUMIFS('Barang Keluar'!$E:$E,'Barang Keluar'!$A:$A,M21522,'Barang Keluar'!$C:$C,N21522))</f>
        <v>0</v>
      </c>
    </row>
    <row r="21523" spans="13:16">
      <c r="M21523" s="49">
        <f>IF($A$4+215&gt;$B$4,"",$A$4+215)</f>
        <v>46238</v>
      </c>
      <c r="N21523" t="str">
        <f>IF(M21523="","",'Master Barang'!A17)</f>
        <v>PRL-016</v>
      </c>
      <c r="O21523" t="str">
        <f>IF(N21523="","",'Master Barang'!B17)</f>
        <v>rajawali trashbag 30x40</v>
      </c>
      <c r="P21523">
        <f>IF(OR(M21523="",N21523=""),"",SUMIFS('Barang Keluar'!$E:$E,'Barang Keluar'!$A:$A,M21523,'Barang Keluar'!$C:$C,N21523))</f>
        <v>0</v>
      </c>
    </row>
    <row r="21524" spans="13:16">
      <c r="M21524" s="49">
        <f>IF($A$4+215&gt;$B$4,"",$A$4+215)</f>
        <v>46238</v>
      </c>
      <c r="N21524" t="str">
        <f>IF(M21524="","",'Master Barang'!A18)</f>
        <v>PRL-017</v>
      </c>
      <c r="O21524" t="str">
        <f>IF(N21524="","",'Master Barang'!B18)</f>
        <v>onemed masker biru 3 play 50 pcs</v>
      </c>
      <c r="P21524">
        <f>IF(OR(M21524="",N21524=""),"",SUMIFS('Barang Keluar'!$E:$E,'Barang Keluar'!$A:$A,M21524,'Barang Keluar'!$C:$C,N21524))</f>
        <v>0</v>
      </c>
    </row>
    <row r="21525" spans="13:16">
      <c r="M21525" s="49">
        <f>IF($A$4+215&gt;$B$4,"",$A$4+215)</f>
        <v>46238</v>
      </c>
      <c r="N21525" t="str">
        <f>IF(M21525="","",'Master Barang'!A19)</f>
        <v>PRL-018</v>
      </c>
      <c r="O21525" t="str">
        <f>IF(N21525="","",'Master Barang'!B19)</f>
        <v>onemed masker biru 3 play hijab 50 pcs</v>
      </c>
      <c r="P21525">
        <f>IF(OR(M21525="",N21525=""),"",SUMIFS('Barang Keluar'!$E:$E,'Barang Keluar'!$A:$A,M21525,'Barang Keluar'!$C:$C,N21525))</f>
        <v>0</v>
      </c>
    </row>
    <row r="21526" spans="13:16">
      <c r="M21526" s="49">
        <f>IF($A$4+215&gt;$B$4,"",$A$4+215)</f>
        <v>46238</v>
      </c>
      <c r="N21526" t="str">
        <f>IF(M21526="","",'Master Barang'!A20)</f>
        <v>PRL-019</v>
      </c>
      <c r="O21526" t="str">
        <f>IF(N21526="","",'Master Barang'!B20)</f>
        <v>neo health masker biru 3 play 50 pcs</v>
      </c>
      <c r="P21526">
        <f>IF(OR(M21526="",N21526=""),"",SUMIFS('Barang Keluar'!$E:$E,'Barang Keluar'!$A:$A,M21526,'Barang Keluar'!$C:$C,N21526))</f>
        <v>0</v>
      </c>
    </row>
    <row r="21527" spans="13:16">
      <c r="M21527" s="49">
        <f>IF($A$4+215&gt;$B$4,"",$A$4+215)</f>
        <v>46238</v>
      </c>
      <c r="N21527" t="str">
        <f>IF(M21527="","",'Master Barang'!A21)</f>
        <v>PRL-020</v>
      </c>
      <c r="O21527" t="str">
        <f>IF(N21527="","",'Master Barang'!B21)</f>
        <v>baymed masker hijau 3 play hijau 50 pcs</v>
      </c>
      <c r="P21527">
        <f>IF(OR(M21527="",N21527=""),"",SUMIFS('Barang Keluar'!$E:$E,'Barang Keluar'!$A:$A,M21527,'Barang Keluar'!$C:$C,N21527))</f>
        <v>0</v>
      </c>
    </row>
    <row r="21528" spans="13:16">
      <c r="M21528" s="49">
        <f>IF($A$4+215&gt;$B$4,"",$A$4+215)</f>
        <v>46238</v>
      </c>
      <c r="N21528" t="str">
        <f>IF(M21528="","",'Master Barang'!A22)</f>
        <v>PRL-021</v>
      </c>
      <c r="O21528" t="str">
        <f>IF(N21528="","",'Master Barang'!B22)</f>
        <v>altamed nurse cap penutup kepala 100 pcs</v>
      </c>
      <c r="P21528">
        <f>IF(OR(M21528="",N21528=""),"",SUMIFS('Barang Keluar'!$E:$E,'Barang Keluar'!$A:$A,M21528,'Barang Keluar'!$C:$C,N21528))</f>
        <v>0</v>
      </c>
    </row>
    <row r="21529" spans="13:16">
      <c r="M21529" s="49">
        <f>IF($A$4+215&gt;$B$4,"",$A$4+215)</f>
        <v>46238</v>
      </c>
      <c r="N21529" t="str">
        <f>IF(M21529="","",'Master Barang'!A23)</f>
        <v>PRL-022</v>
      </c>
      <c r="O21529" t="str">
        <f>IF(N21529="","",'Master Barang'!B23)</f>
        <v>sabun cuci tangan</v>
      </c>
      <c r="P21529">
        <f>IF(OR(M21529="",N21529=""),"",SUMIFS('Barang Keluar'!$E:$E,'Barang Keluar'!$A:$A,M21529,'Barang Keluar'!$C:$C,N21529))</f>
        <v>0</v>
      </c>
    </row>
    <row r="21530" spans="13:16">
      <c r="M21530" s="49">
        <f>IF($A$4+215&gt;$B$4,"",$A$4+215)</f>
        <v>46238</v>
      </c>
      <c r="N21530" t="str">
        <f>IF(M21530="","",'Master Barang'!A24)</f>
        <v>PRL-023</v>
      </c>
      <c r="O21530" t="str">
        <f>IF(N21530="","",'Master Barang'!B24)</f>
        <v>gayung kecil</v>
      </c>
      <c r="P21530">
        <f>IF(OR(M21530="",N21530=""),"",SUMIFS('Barang Keluar'!$E:$E,'Barang Keluar'!$A:$A,M21530,'Barang Keluar'!$C:$C,N21530))</f>
        <v>0</v>
      </c>
    </row>
    <row r="21531" spans="13:16">
      <c r="M21531" s="49">
        <f>IF($A$4+215&gt;$B$4,"",$A$4+215)</f>
        <v>46238</v>
      </c>
      <c r="N21531" t="str">
        <f>IF(M21531="","",'Master Barang'!A25)</f>
        <v>PRL-024</v>
      </c>
      <c r="O21531" t="str">
        <f>IF(N21531="","",'Master Barang'!B25)</f>
        <v>cikrak kecil</v>
      </c>
      <c r="P21531">
        <f>IF(OR(M21531="",N21531=""),"",SUMIFS('Barang Keluar'!$E:$E,'Barang Keluar'!$A:$A,M21531,'Barang Keluar'!$C:$C,N21531))</f>
        <v>0</v>
      </c>
    </row>
    <row r="21532" spans="13:16">
      <c r="M21532" s="49">
        <f>IF($A$4+215&gt;$B$4,"",$A$4+215)</f>
        <v>46238</v>
      </c>
      <c r="N21532" t="str">
        <f>IF(M21532="","",'Master Barang'!A26)</f>
        <v>PRL-025</v>
      </c>
      <c r="O21532" t="str">
        <f>IF(N21532="","",'Master Barang'!B26)</f>
        <v>petromax plastik kecil 12x24 100 lembar</v>
      </c>
      <c r="P21532">
        <f>IF(OR(M21532="",N21532=""),"",SUMIFS('Barang Keluar'!$E:$E,'Barang Keluar'!$A:$A,M21532,'Barang Keluar'!$C:$C,N21532))</f>
        <v>0</v>
      </c>
    </row>
    <row r="21533" spans="13:16">
      <c r="M21533" s="49">
        <f>IF($A$4+215&gt;$B$4,"",$A$4+215)</f>
        <v>46238</v>
      </c>
      <c r="N21533" t="str">
        <f>IF(M21533="","",'Master Barang'!A27)</f>
        <v>PRL-026</v>
      </c>
      <c r="O21533" t="str">
        <f>IF(N21533="","",'Master Barang'!B27)</f>
        <v>lancar kresek kecil bening </v>
      </c>
      <c r="P21533">
        <f>IF(OR(M21533="",N21533=""),"",SUMIFS('Barang Keluar'!$E:$E,'Barang Keluar'!$A:$A,M21533,'Barang Keluar'!$C:$C,N21533))</f>
        <v>0</v>
      </c>
    </row>
    <row r="21534" spans="13:16">
      <c r="M21534" s="49">
        <f>IF($A$4+215&gt;$B$4,"",$A$4+215)</f>
        <v>46238</v>
      </c>
      <c r="N21534" t="str">
        <f>IF(M21534="","",'Master Barang'!A28)</f>
        <v>PRL-027</v>
      </c>
      <c r="O21534" t="str">
        <f>IF(N21534="","",'Master Barang'!B28)</f>
        <v>kresek klin warna warni kecil</v>
      </c>
      <c r="P21534">
        <f>IF(OR(M21534="",N21534=""),"",SUMIFS('Barang Keluar'!$E:$E,'Barang Keluar'!$A:$A,M21534,'Barang Keluar'!$C:$C,N21534))</f>
        <v>0</v>
      </c>
    </row>
    <row r="21535" spans="13:16">
      <c r="M21535" s="49">
        <f>IF($A$4+215&gt;$B$4,"",$A$4+215)</f>
        <v>46238</v>
      </c>
      <c r="N21535" t="str">
        <f>IF(M21535="","",'Master Barang'!A29)</f>
        <v>PRL-028</v>
      </c>
      <c r="O21535" t="str">
        <f>IF(N21535="","",'Master Barang'!B29)</f>
        <v>ctik plastik 7x10 100 pcs</v>
      </c>
      <c r="P21535">
        <f>IF(OR(M21535="",N21535=""),"",SUMIFS('Barang Keluar'!$E:$E,'Barang Keluar'!$A:$A,M21535,'Barang Keluar'!$C:$C,N21535))</f>
        <v>0</v>
      </c>
    </row>
    <row r="21536" spans="13:16">
      <c r="M21536" s="49">
        <f>IF($A$4+215&gt;$B$4,"",$A$4+215)</f>
        <v>46238</v>
      </c>
      <c r="N21536" t="str">
        <f>IF(M21536="","",'Master Barang'!A30)</f>
        <v>PRL-029</v>
      </c>
      <c r="O21536" t="str">
        <f>IF(N21536="","",'Master Barang'!B30)</f>
        <v>ctik plastik 6x10 100 pcs</v>
      </c>
      <c r="P21536">
        <f>IF(OR(M21536="",N21536=""),"",SUMIFS('Barang Keluar'!$E:$E,'Barang Keluar'!$A:$A,M21536,'Barang Keluar'!$C:$C,N21536))</f>
        <v>0</v>
      </c>
    </row>
    <row r="21537" spans="13:16">
      <c r="M21537" s="49">
        <f>IF($A$4+215&gt;$B$4,"",$A$4+215)</f>
        <v>46238</v>
      </c>
      <c r="N21537" t="str">
        <f>IF(M21537="","",'Master Barang'!A31)</f>
        <v>PRL-030</v>
      </c>
      <c r="O21537" t="str">
        <f>IF(N21537="","",'Master Barang'!B31)</f>
        <v>klip plastik 25x16 100 pcs</v>
      </c>
      <c r="P21537">
        <f>IF(OR(M21537="",N21537=""),"",SUMIFS('Barang Keluar'!$E:$E,'Barang Keluar'!$A:$A,M21537,'Barang Keluar'!$C:$C,N21537))</f>
        <v>0</v>
      </c>
    </row>
    <row r="21538" spans="13:16">
      <c r="M21538" s="49">
        <f>IF($A$4+215&gt;$B$4,"",$A$4+215)</f>
        <v>46238</v>
      </c>
      <c r="N21538" t="str">
        <f>IF(M21538="","",'Master Barang'!A32)</f>
        <v>PRL-031</v>
      </c>
      <c r="O21538" t="str">
        <f>IF(N21538="","",'Master Barang'!B32)</f>
        <v>tempat saus 20 ml</v>
      </c>
      <c r="P21538">
        <f>IF(OR(M21538="",N21538=""),"",SUMIFS('Barang Keluar'!$E:$E,'Barang Keluar'!$A:$A,M21538,'Barang Keluar'!$C:$C,N21538))</f>
        <v>0</v>
      </c>
    </row>
    <row r="21539" spans="13:16">
      <c r="M21539" s="49">
        <f>IF($A$4+215&gt;$B$4,"",$A$4+215)</f>
        <v>46238</v>
      </c>
      <c r="N21539" t="str">
        <f>IF(M21539="","",'Master Barang'!A33)</f>
        <v>PRL-032</v>
      </c>
      <c r="O21539" t="str">
        <f>IF(N21539="","",'Master Barang'!B33)</f>
        <v>plastik packaging ag box uk sedang</v>
      </c>
      <c r="P21539">
        <f>IF(OR(M21539="",N21539=""),"",SUMIFS('Barang Keluar'!$E:$E,'Barang Keluar'!$A:$A,M21539,'Barang Keluar'!$C:$C,N21539))</f>
        <v>0</v>
      </c>
    </row>
    <row r="21540" spans="13:16">
      <c r="M21540" s="49">
        <f>IF($A$4+215&gt;$B$4,"",$A$4+215)</f>
        <v>46238</v>
      </c>
      <c r="N21540" t="str">
        <f>IF(M21540="","",'Master Barang'!A34)</f>
        <v>PRL-033</v>
      </c>
      <c r="O21540">
        <f>IF(N21540="","",'Master Barang'!B34)</f>
        <v>0</v>
      </c>
      <c r="P21540">
        <f>IF(OR(M21540="",N21540=""),"",SUMIFS('Barang Keluar'!$E:$E,'Barang Keluar'!$A:$A,M21540,'Barang Keluar'!$C:$C,N21540))</f>
        <v>0</v>
      </c>
    </row>
    <row r="21541" spans="13:16">
      <c r="M21541" s="49">
        <f>IF($A$4+215&gt;$B$4,"",$A$4+215)</f>
        <v>46238</v>
      </c>
      <c r="N21541">
        <f>IF(M21541="","",'Master Barang'!A35)</f>
        <v>0</v>
      </c>
      <c r="O21541">
        <f>IF(N21541="","",'Master Barang'!B35)</f>
        <v>0</v>
      </c>
      <c r="P21541">
        <f>IF(OR(M21541="",N21541=""),"",SUMIFS('Barang Keluar'!$E:$E,'Barang Keluar'!$A:$A,M21541,'Barang Keluar'!$C:$C,N21541))</f>
        <v>0</v>
      </c>
    </row>
    <row r="21542" spans="13:16">
      <c r="M21542" s="49">
        <f>IF($A$4+215&gt;$B$4,"",$A$4+215)</f>
        <v>46238</v>
      </c>
      <c r="N21542">
        <f>IF(M21542="","",'Master Barang'!A36)</f>
        <v>0</v>
      </c>
      <c r="O21542">
        <f>IF(N21542="","",'Master Barang'!B36)</f>
        <v>0</v>
      </c>
      <c r="P21542">
        <f>IF(OR(M21542="",N21542=""),"",SUMIFS('Barang Keluar'!$E:$E,'Barang Keluar'!$A:$A,M21542,'Barang Keluar'!$C:$C,N21542))</f>
        <v>0</v>
      </c>
    </row>
    <row r="21543" spans="13:16">
      <c r="M21543" s="49">
        <f>IF($A$4+215&gt;$B$4,"",$A$4+215)</f>
        <v>46238</v>
      </c>
      <c r="N21543">
        <f>IF(M21543="","",'Master Barang'!A37)</f>
        <v>0</v>
      </c>
      <c r="O21543">
        <f>IF(N21543="","",'Master Barang'!B37)</f>
        <v>0</v>
      </c>
      <c r="P21543">
        <f>IF(OR(M21543="",N21543=""),"",SUMIFS('Barang Keluar'!$E:$E,'Barang Keluar'!$A:$A,M21543,'Barang Keluar'!$C:$C,N21543))</f>
        <v>0</v>
      </c>
    </row>
    <row r="21544" spans="13:16">
      <c r="M21544" s="49">
        <f>IF($A$4+215&gt;$B$4,"",$A$4+215)</f>
        <v>46238</v>
      </c>
      <c r="N21544">
        <f>IF(M21544="","",'Master Barang'!A38)</f>
        <v>0</v>
      </c>
      <c r="O21544">
        <f>IF(N21544="","",'Master Barang'!B38)</f>
        <v>0</v>
      </c>
      <c r="P21544">
        <f>IF(OR(M21544="",N21544=""),"",SUMIFS('Barang Keluar'!$E:$E,'Barang Keluar'!$A:$A,M21544,'Barang Keluar'!$C:$C,N21544))</f>
        <v>0</v>
      </c>
    </row>
    <row r="21545" spans="13:16">
      <c r="M21545" s="49">
        <f>IF($A$4+215&gt;$B$4,"",$A$4+215)</f>
        <v>46238</v>
      </c>
      <c r="N21545">
        <f>IF(M21545="","",'Master Barang'!A39)</f>
        <v>0</v>
      </c>
      <c r="O21545">
        <f>IF(N21545="","",'Master Barang'!B39)</f>
        <v>0</v>
      </c>
      <c r="P21545">
        <f>IF(OR(M21545="",N21545=""),"",SUMIFS('Barang Keluar'!$E:$E,'Barang Keluar'!$A:$A,M21545,'Barang Keluar'!$C:$C,N21545))</f>
        <v>0</v>
      </c>
    </row>
    <row r="21546" spans="13:16">
      <c r="M21546" s="49">
        <f>IF($A$4+215&gt;$B$4,"",$A$4+215)</f>
        <v>46238</v>
      </c>
      <c r="N21546">
        <f>IF(M21546="","",'Master Barang'!A40)</f>
        <v>0</v>
      </c>
      <c r="O21546">
        <f>IF(N21546="","",'Master Barang'!B40)</f>
        <v>0</v>
      </c>
      <c r="P21546">
        <f>IF(OR(M21546="",N21546=""),"",SUMIFS('Barang Keluar'!$E:$E,'Barang Keluar'!$A:$A,M21546,'Barang Keluar'!$C:$C,N21546))</f>
        <v>0</v>
      </c>
    </row>
    <row r="21547" spans="13:16">
      <c r="M21547" s="49">
        <f>IF($A$4+215&gt;$B$4,"",$A$4+215)</f>
        <v>46238</v>
      </c>
      <c r="N21547">
        <f>IF(M21547="","",'Master Barang'!A41)</f>
        <v>0</v>
      </c>
      <c r="O21547">
        <f>IF(N21547="","",'Master Barang'!B41)</f>
        <v>0</v>
      </c>
      <c r="P21547">
        <f>IF(OR(M21547="",N21547=""),"",SUMIFS('Barang Keluar'!$E:$E,'Barang Keluar'!$A:$A,M21547,'Barang Keluar'!$C:$C,N21547))</f>
        <v>0</v>
      </c>
    </row>
    <row r="21548" spans="13:16">
      <c r="M21548" s="49">
        <f>IF($A$4+215&gt;$B$4,"",$A$4+215)</f>
        <v>46238</v>
      </c>
      <c r="N21548">
        <f>IF(M21548="","",'Master Barang'!A42)</f>
        <v>0</v>
      </c>
      <c r="O21548">
        <f>IF(N21548="","",'Master Barang'!B42)</f>
        <v>0</v>
      </c>
      <c r="P21548">
        <f>IF(OR(M21548="",N21548=""),"",SUMIFS('Barang Keluar'!$E:$E,'Barang Keluar'!$A:$A,M21548,'Barang Keluar'!$C:$C,N21548))</f>
        <v>0</v>
      </c>
    </row>
    <row r="21549" spans="13:16">
      <c r="M21549" s="49">
        <f>IF($A$4+215&gt;$B$4,"",$A$4+215)</f>
        <v>46238</v>
      </c>
      <c r="N21549">
        <f>IF(M21549="","",'Master Barang'!A43)</f>
        <v>0</v>
      </c>
      <c r="O21549">
        <f>IF(N21549="","",'Master Barang'!B43)</f>
        <v>0</v>
      </c>
      <c r="P21549">
        <f>IF(OR(M21549="",N21549=""),"",SUMIFS('Barang Keluar'!$E:$E,'Barang Keluar'!$A:$A,M21549,'Barang Keluar'!$C:$C,N21549))</f>
        <v>0</v>
      </c>
    </row>
    <row r="21550" spans="13:16">
      <c r="M21550" s="49">
        <f>IF($A$4+215&gt;$B$4,"",$A$4+215)</f>
        <v>46238</v>
      </c>
      <c r="N21550">
        <f>IF(M21550="","",'Master Barang'!A44)</f>
        <v>0</v>
      </c>
      <c r="O21550">
        <f>IF(N21550="","",'Master Barang'!B44)</f>
        <v>0</v>
      </c>
      <c r="P21550">
        <f>IF(OR(M21550="",N21550=""),"",SUMIFS('Barang Keluar'!$E:$E,'Barang Keluar'!$A:$A,M21550,'Barang Keluar'!$C:$C,N21550))</f>
        <v>0</v>
      </c>
    </row>
    <row r="21551" spans="13:16">
      <c r="M21551" s="49">
        <f>IF($A$4+215&gt;$B$4,"",$A$4+215)</f>
        <v>46238</v>
      </c>
      <c r="N21551">
        <f>IF(M21551="","",'Master Barang'!A45)</f>
        <v>0</v>
      </c>
      <c r="O21551">
        <f>IF(N21551="","",'Master Barang'!B45)</f>
        <v>0</v>
      </c>
      <c r="P21551">
        <f>IF(OR(M21551="",N21551=""),"",SUMIFS('Barang Keluar'!$E:$E,'Barang Keluar'!$A:$A,M21551,'Barang Keluar'!$C:$C,N21551))</f>
        <v>0</v>
      </c>
    </row>
    <row r="21552" spans="13:16">
      <c r="M21552" s="49">
        <f>IF($A$4+215&gt;$B$4,"",$A$4+215)</f>
        <v>46238</v>
      </c>
      <c r="N21552">
        <f>IF(M21552="","",'Master Barang'!A46)</f>
        <v>0</v>
      </c>
      <c r="O21552">
        <f>IF(N21552="","",'Master Barang'!B46)</f>
        <v>0</v>
      </c>
      <c r="P21552">
        <f>IF(OR(M21552="",N21552=""),"",SUMIFS('Barang Keluar'!$E:$E,'Barang Keluar'!$A:$A,M21552,'Barang Keluar'!$C:$C,N21552))</f>
        <v>0</v>
      </c>
    </row>
    <row r="21553" spans="13:16">
      <c r="M21553" s="49">
        <f>IF($A$4+215&gt;$B$4,"",$A$4+215)</f>
        <v>46238</v>
      </c>
      <c r="N21553">
        <f>IF(M21553="","",'Master Barang'!A47)</f>
        <v>0</v>
      </c>
      <c r="O21553">
        <f>IF(N21553="","",'Master Barang'!B47)</f>
        <v>0</v>
      </c>
      <c r="P21553">
        <f>IF(OR(M21553="",N21553=""),"",SUMIFS('Barang Keluar'!$E:$E,'Barang Keluar'!$A:$A,M21553,'Barang Keluar'!$C:$C,N21553))</f>
        <v>0</v>
      </c>
    </row>
    <row r="21554" spans="13:16">
      <c r="M21554" s="49">
        <f>IF($A$4+215&gt;$B$4,"",$A$4+215)</f>
        <v>46238</v>
      </c>
      <c r="N21554">
        <f>IF(M21554="","",'Master Barang'!A48)</f>
        <v>0</v>
      </c>
      <c r="O21554">
        <f>IF(N21554="","",'Master Barang'!B48)</f>
        <v>0</v>
      </c>
      <c r="P21554">
        <f>IF(OR(M21554="",N21554=""),"",SUMIFS('Barang Keluar'!$E:$E,'Barang Keluar'!$A:$A,M21554,'Barang Keluar'!$C:$C,N21554))</f>
        <v>0</v>
      </c>
    </row>
    <row r="21555" spans="13:16">
      <c r="M21555" s="49">
        <f>IF($A$4+215&gt;$B$4,"",$A$4+215)</f>
        <v>46238</v>
      </c>
      <c r="N21555">
        <f>IF(M21555="","",'Master Barang'!A49)</f>
        <v>0</v>
      </c>
      <c r="O21555">
        <f>IF(N21555="","",'Master Barang'!B49)</f>
        <v>0</v>
      </c>
      <c r="P21555">
        <f>IF(OR(M21555="",N21555=""),"",SUMIFS('Barang Keluar'!$E:$E,'Barang Keluar'!$A:$A,M21555,'Barang Keluar'!$C:$C,N21555))</f>
        <v>0</v>
      </c>
    </row>
    <row r="21556" spans="13:16">
      <c r="M21556" s="49">
        <f>IF($A$4+215&gt;$B$4,"",$A$4+215)</f>
        <v>46238</v>
      </c>
      <c r="N21556">
        <f>IF(M21556="","",'Master Barang'!A50)</f>
        <v>0</v>
      </c>
      <c r="O21556">
        <f>IF(N21556="","",'Master Barang'!B50)</f>
        <v>0</v>
      </c>
      <c r="P21556">
        <f>IF(OR(M21556="",N21556=""),"",SUMIFS('Barang Keluar'!$E:$E,'Barang Keluar'!$A:$A,M21556,'Barang Keluar'!$C:$C,N21556))</f>
        <v>0</v>
      </c>
    </row>
    <row r="21557" spans="13:16">
      <c r="M21557" s="49">
        <f>IF($A$4+215&gt;$B$4,"",$A$4+215)</f>
        <v>46238</v>
      </c>
      <c r="N21557">
        <f>IF(M21557="","",'Master Barang'!A51)</f>
        <v>0</v>
      </c>
      <c r="O21557">
        <f>IF(N21557="","",'Master Barang'!B51)</f>
        <v>0</v>
      </c>
      <c r="P21557">
        <f>IF(OR(M21557="",N21557=""),"",SUMIFS('Barang Keluar'!$E:$E,'Barang Keluar'!$A:$A,M21557,'Barang Keluar'!$C:$C,N21557))</f>
        <v>0</v>
      </c>
    </row>
    <row r="21558" spans="13:16">
      <c r="M21558" s="49">
        <f>IF($A$4+215&gt;$B$4,"",$A$4+215)</f>
        <v>46238</v>
      </c>
      <c r="N21558">
        <f>IF(M21558="","",'Master Barang'!A52)</f>
        <v>0</v>
      </c>
      <c r="O21558">
        <f>IF(N21558="","",'Master Barang'!B52)</f>
        <v>0</v>
      </c>
      <c r="P21558">
        <f>IF(OR(M21558="",N21558=""),"",SUMIFS('Barang Keluar'!$E:$E,'Barang Keluar'!$A:$A,M21558,'Barang Keluar'!$C:$C,N21558))</f>
        <v>0</v>
      </c>
    </row>
    <row r="21559" spans="13:16">
      <c r="M21559" s="49">
        <f>IF($A$4+215&gt;$B$4,"",$A$4+215)</f>
        <v>46238</v>
      </c>
      <c r="N21559">
        <f>IF(M21559="","",'Master Barang'!A53)</f>
        <v>0</v>
      </c>
      <c r="O21559">
        <f>IF(N21559="","",'Master Barang'!B53)</f>
        <v>0</v>
      </c>
      <c r="P21559">
        <f>IF(OR(M21559="",N21559=""),"",SUMIFS('Barang Keluar'!$E:$E,'Barang Keluar'!$A:$A,M21559,'Barang Keluar'!$C:$C,N21559))</f>
        <v>0</v>
      </c>
    </row>
    <row r="21560" spans="13:16">
      <c r="M21560" s="49">
        <f>IF($A$4+215&gt;$B$4,"",$A$4+215)</f>
        <v>46238</v>
      </c>
      <c r="N21560">
        <f>IF(M21560="","",'Master Barang'!A54)</f>
        <v>0</v>
      </c>
      <c r="O21560">
        <f>IF(N21560="","",'Master Barang'!B54)</f>
        <v>0</v>
      </c>
      <c r="P21560">
        <f>IF(OR(M21560="",N21560=""),"",SUMIFS('Barang Keluar'!$E:$E,'Barang Keluar'!$A:$A,M21560,'Barang Keluar'!$C:$C,N21560))</f>
        <v>0</v>
      </c>
    </row>
    <row r="21561" spans="13:16">
      <c r="M21561" s="49">
        <f>IF($A$4+215&gt;$B$4,"",$A$4+215)</f>
        <v>46238</v>
      </c>
      <c r="N21561">
        <f>IF(M21561="","",'Master Barang'!A55)</f>
        <v>0</v>
      </c>
      <c r="O21561">
        <f>IF(N21561="","",'Master Barang'!B55)</f>
        <v>0</v>
      </c>
      <c r="P21561">
        <f>IF(OR(M21561="",N21561=""),"",SUMIFS('Barang Keluar'!$E:$E,'Barang Keluar'!$A:$A,M21561,'Barang Keluar'!$C:$C,N21561))</f>
        <v>0</v>
      </c>
    </row>
    <row r="21562" spans="13:16">
      <c r="M21562" s="49">
        <f>IF($A$4+215&gt;$B$4,"",$A$4+215)</f>
        <v>46238</v>
      </c>
      <c r="N21562">
        <f>IF(M21562="","",'Master Barang'!A56)</f>
        <v>0</v>
      </c>
      <c r="O21562">
        <f>IF(N21562="","",'Master Barang'!B56)</f>
        <v>0</v>
      </c>
      <c r="P21562">
        <f>IF(OR(M21562="",N21562=""),"",SUMIFS('Barang Keluar'!$E:$E,'Barang Keluar'!$A:$A,M21562,'Barang Keluar'!$C:$C,N21562))</f>
        <v>0</v>
      </c>
    </row>
    <row r="21563" spans="13:16">
      <c r="M21563" s="49">
        <f>IF($A$4+215&gt;$B$4,"",$A$4+215)</f>
        <v>46238</v>
      </c>
      <c r="N21563">
        <f>IF(M21563="","",'Master Barang'!A57)</f>
        <v>0</v>
      </c>
      <c r="O21563">
        <f>IF(N21563="","",'Master Barang'!B57)</f>
        <v>0</v>
      </c>
      <c r="P21563">
        <f>IF(OR(M21563="",N21563=""),"",SUMIFS('Barang Keluar'!$E:$E,'Barang Keluar'!$A:$A,M21563,'Barang Keluar'!$C:$C,N21563))</f>
        <v>0</v>
      </c>
    </row>
    <row r="21564" spans="13:16">
      <c r="M21564" s="49">
        <f>IF($A$4+215&gt;$B$4,"",$A$4+215)</f>
        <v>46238</v>
      </c>
      <c r="N21564">
        <f>IF(M21564="","",'Master Barang'!A58)</f>
        <v>0</v>
      </c>
      <c r="O21564">
        <f>IF(N21564="","",'Master Barang'!B58)</f>
        <v>0</v>
      </c>
      <c r="P21564">
        <f>IF(OR(M21564="",N21564=""),"",SUMIFS('Barang Keluar'!$E:$E,'Barang Keluar'!$A:$A,M21564,'Barang Keluar'!$C:$C,N21564))</f>
        <v>0</v>
      </c>
    </row>
    <row r="21565" spans="13:16">
      <c r="M21565" s="49">
        <f>IF($A$4+215&gt;$B$4,"",$A$4+215)</f>
        <v>46238</v>
      </c>
      <c r="N21565">
        <f>IF(M21565="","",'Master Barang'!A59)</f>
        <v>0</v>
      </c>
      <c r="O21565">
        <f>IF(N21565="","",'Master Barang'!B59)</f>
        <v>0</v>
      </c>
      <c r="P21565">
        <f>IF(OR(M21565="",N21565=""),"",SUMIFS('Barang Keluar'!$E:$E,'Barang Keluar'!$A:$A,M21565,'Barang Keluar'!$C:$C,N21565))</f>
        <v>0</v>
      </c>
    </row>
    <row r="21566" spans="13:16">
      <c r="M21566" s="49">
        <f>IF($A$4+215&gt;$B$4,"",$A$4+215)</f>
        <v>46238</v>
      </c>
      <c r="N21566">
        <f>IF(M21566="","",'Master Barang'!A60)</f>
        <v>0</v>
      </c>
      <c r="O21566">
        <f>IF(N21566="","",'Master Barang'!B60)</f>
        <v>0</v>
      </c>
      <c r="P21566">
        <f>IF(OR(M21566="",N21566=""),"",SUMIFS('Barang Keluar'!$E:$E,'Barang Keluar'!$A:$A,M21566,'Barang Keluar'!$C:$C,N21566))</f>
        <v>0</v>
      </c>
    </row>
    <row r="21567" spans="13:16">
      <c r="M21567" s="49">
        <f>IF($A$4+215&gt;$B$4,"",$A$4+215)</f>
        <v>46238</v>
      </c>
      <c r="N21567">
        <f>IF(M21567="","",'Master Barang'!A61)</f>
        <v>0</v>
      </c>
      <c r="O21567">
        <f>IF(N21567="","",'Master Barang'!B61)</f>
        <v>0</v>
      </c>
      <c r="P21567">
        <f>IF(OR(M21567="",N21567=""),"",SUMIFS('Barang Keluar'!$E:$E,'Barang Keluar'!$A:$A,M21567,'Barang Keluar'!$C:$C,N21567))</f>
        <v>0</v>
      </c>
    </row>
    <row r="21568" spans="13:16">
      <c r="M21568" s="49">
        <f>IF($A$4+215&gt;$B$4,"",$A$4+215)</f>
        <v>46238</v>
      </c>
      <c r="N21568">
        <f>IF(M21568="","",'Master Barang'!A62)</f>
        <v>0</v>
      </c>
      <c r="O21568">
        <f>IF(N21568="","",'Master Barang'!B62)</f>
        <v>0</v>
      </c>
      <c r="P21568">
        <f>IF(OR(M21568="",N21568=""),"",SUMIFS('Barang Keluar'!$E:$E,'Barang Keluar'!$A:$A,M21568,'Barang Keluar'!$C:$C,N21568))</f>
        <v>0</v>
      </c>
    </row>
    <row r="21569" spans="13:16">
      <c r="M21569" s="49">
        <f>IF($A$4+215&gt;$B$4,"",$A$4+215)</f>
        <v>46238</v>
      </c>
      <c r="N21569">
        <f>IF(M21569="","",'Master Barang'!A63)</f>
        <v>0</v>
      </c>
      <c r="O21569">
        <f>IF(N21569="","",'Master Barang'!B63)</f>
        <v>0</v>
      </c>
      <c r="P21569">
        <f>IF(OR(M21569="",N21569=""),"",SUMIFS('Barang Keluar'!$E:$E,'Barang Keluar'!$A:$A,M21569,'Barang Keluar'!$C:$C,N21569))</f>
        <v>0</v>
      </c>
    </row>
    <row r="21570" spans="13:16">
      <c r="M21570" s="49">
        <f>IF($A$4+215&gt;$B$4,"",$A$4+215)</f>
        <v>46238</v>
      </c>
      <c r="N21570">
        <f>IF(M21570="","",'Master Barang'!A64)</f>
        <v>0</v>
      </c>
      <c r="O21570">
        <f>IF(N21570="","",'Master Barang'!B64)</f>
        <v>0</v>
      </c>
      <c r="P21570">
        <f>IF(OR(M21570="",N21570=""),"",SUMIFS('Barang Keluar'!$E:$E,'Barang Keluar'!$A:$A,M21570,'Barang Keluar'!$C:$C,N21570))</f>
        <v>0</v>
      </c>
    </row>
    <row r="21571" spans="13:16">
      <c r="M21571" s="49">
        <f>IF($A$4+215&gt;$B$4,"",$A$4+215)</f>
        <v>46238</v>
      </c>
      <c r="N21571">
        <f>IF(M21571="","",'Master Barang'!A65)</f>
        <v>0</v>
      </c>
      <c r="O21571">
        <f>IF(N21571="","",'Master Barang'!B65)</f>
        <v>0</v>
      </c>
      <c r="P21571">
        <f>IF(OR(M21571="",N21571=""),"",SUMIFS('Barang Keluar'!$E:$E,'Barang Keluar'!$A:$A,M21571,'Barang Keluar'!$C:$C,N21571))</f>
        <v>0</v>
      </c>
    </row>
    <row r="21572" spans="13:16">
      <c r="M21572" s="49">
        <f>IF($A$4+215&gt;$B$4,"",$A$4+215)</f>
        <v>46238</v>
      </c>
      <c r="N21572">
        <f>IF(M21572="","",'Master Barang'!A66)</f>
        <v>0</v>
      </c>
      <c r="O21572">
        <f>IF(N21572="","",'Master Barang'!B66)</f>
        <v>0</v>
      </c>
      <c r="P21572">
        <f>IF(OR(M21572="",N21572=""),"",SUMIFS('Barang Keluar'!$E:$E,'Barang Keluar'!$A:$A,M21572,'Barang Keluar'!$C:$C,N21572))</f>
        <v>0</v>
      </c>
    </row>
    <row r="21573" spans="13:16">
      <c r="M21573" s="49">
        <f>IF($A$4+215&gt;$B$4,"",$A$4+215)</f>
        <v>46238</v>
      </c>
      <c r="N21573">
        <f>IF(M21573="","",'Master Barang'!A67)</f>
        <v>0</v>
      </c>
      <c r="O21573">
        <f>IF(N21573="","",'Master Barang'!B67)</f>
        <v>0</v>
      </c>
      <c r="P21573">
        <f>IF(OR(M21573="",N21573=""),"",SUMIFS('Barang Keluar'!$E:$E,'Barang Keluar'!$A:$A,M21573,'Barang Keluar'!$C:$C,N21573))</f>
        <v>0</v>
      </c>
    </row>
    <row r="21574" spans="13:16">
      <c r="M21574" s="49">
        <f>IF($A$4+215&gt;$B$4,"",$A$4+215)</f>
        <v>46238</v>
      </c>
      <c r="N21574">
        <f>IF(M21574="","",'Master Barang'!A68)</f>
        <v>0</v>
      </c>
      <c r="O21574">
        <f>IF(N21574="","",'Master Barang'!B68)</f>
        <v>0</v>
      </c>
      <c r="P21574">
        <f>IF(OR(M21574="",N21574=""),"",SUMIFS('Barang Keluar'!$E:$E,'Barang Keluar'!$A:$A,M21574,'Barang Keluar'!$C:$C,N21574))</f>
        <v>0</v>
      </c>
    </row>
    <row r="21575" spans="13:16">
      <c r="M21575" s="49">
        <f>IF($A$4+215&gt;$B$4,"",$A$4+215)</f>
        <v>46238</v>
      </c>
      <c r="N21575">
        <f>IF(M21575="","",'Master Barang'!A69)</f>
        <v>0</v>
      </c>
      <c r="O21575">
        <f>IF(N21575="","",'Master Barang'!B69)</f>
        <v>0</v>
      </c>
      <c r="P21575">
        <f>IF(OR(M21575="",N21575=""),"",SUMIFS('Barang Keluar'!$E:$E,'Barang Keluar'!$A:$A,M21575,'Barang Keluar'!$C:$C,N21575))</f>
        <v>0</v>
      </c>
    </row>
    <row r="21576" spans="13:16">
      <c r="M21576" s="49">
        <f>IF($A$4+215&gt;$B$4,"",$A$4+215)</f>
        <v>46238</v>
      </c>
      <c r="N21576">
        <f>IF(M21576="","",'Master Barang'!A70)</f>
        <v>0</v>
      </c>
      <c r="O21576">
        <f>IF(N21576="","",'Master Barang'!B70)</f>
        <v>0</v>
      </c>
      <c r="P21576">
        <f>IF(OR(M21576="",N21576=""),"",SUMIFS('Barang Keluar'!$E:$E,'Barang Keluar'!$A:$A,M21576,'Barang Keluar'!$C:$C,N21576))</f>
        <v>0</v>
      </c>
    </row>
    <row r="21577" spans="13:16">
      <c r="M21577" s="49">
        <f>IF($A$4+215&gt;$B$4,"",$A$4+215)</f>
        <v>46238</v>
      </c>
      <c r="N21577">
        <f>IF(M21577="","",'Master Barang'!A71)</f>
        <v>0</v>
      </c>
      <c r="O21577">
        <f>IF(N21577="","",'Master Barang'!B71)</f>
        <v>0</v>
      </c>
      <c r="P21577">
        <f>IF(OR(M21577="",N21577=""),"",SUMIFS('Barang Keluar'!$E:$E,'Barang Keluar'!$A:$A,M21577,'Barang Keluar'!$C:$C,N21577))</f>
        <v>0</v>
      </c>
    </row>
    <row r="21578" spans="13:16">
      <c r="M21578" s="49">
        <f>IF($A$4+215&gt;$B$4,"",$A$4+215)</f>
        <v>46238</v>
      </c>
      <c r="N21578">
        <f>IF(M21578="","",'Master Barang'!A72)</f>
        <v>0</v>
      </c>
      <c r="O21578">
        <f>IF(N21578="","",'Master Barang'!B72)</f>
        <v>0</v>
      </c>
      <c r="P21578">
        <f>IF(OR(M21578="",N21578=""),"",SUMIFS('Barang Keluar'!$E:$E,'Barang Keluar'!$A:$A,M21578,'Barang Keluar'!$C:$C,N21578))</f>
        <v>0</v>
      </c>
    </row>
    <row r="21579" spans="13:16">
      <c r="M21579" s="49">
        <f>IF($A$4+215&gt;$B$4,"",$A$4+215)</f>
        <v>46238</v>
      </c>
      <c r="N21579">
        <f>IF(M21579="","",'Master Barang'!A73)</f>
        <v>0</v>
      </c>
      <c r="O21579">
        <f>IF(N21579="","",'Master Barang'!B73)</f>
        <v>0</v>
      </c>
      <c r="P21579">
        <f>IF(OR(M21579="",N21579=""),"",SUMIFS('Barang Keluar'!$E:$E,'Barang Keluar'!$A:$A,M21579,'Barang Keluar'!$C:$C,N21579))</f>
        <v>0</v>
      </c>
    </row>
    <row r="21580" spans="13:16">
      <c r="M21580" s="49">
        <f>IF($A$4+215&gt;$B$4,"",$A$4+215)</f>
        <v>46238</v>
      </c>
      <c r="N21580">
        <f>IF(M21580="","",'Master Barang'!A74)</f>
        <v>0</v>
      </c>
      <c r="O21580">
        <f>IF(N21580="","",'Master Barang'!B74)</f>
        <v>0</v>
      </c>
      <c r="P21580">
        <f>IF(OR(M21580="",N21580=""),"",SUMIFS('Barang Keluar'!$E:$E,'Barang Keluar'!$A:$A,M21580,'Barang Keluar'!$C:$C,N21580))</f>
        <v>0</v>
      </c>
    </row>
    <row r="21581" spans="13:16">
      <c r="M21581" s="49">
        <f>IF($A$4+215&gt;$B$4,"",$A$4+215)</f>
        <v>46238</v>
      </c>
      <c r="N21581">
        <f>IF(M21581="","",'Master Barang'!A75)</f>
        <v>0</v>
      </c>
      <c r="O21581">
        <f>IF(N21581="","",'Master Barang'!B75)</f>
        <v>0</v>
      </c>
      <c r="P21581">
        <f>IF(OR(M21581="",N21581=""),"",SUMIFS('Barang Keluar'!$E:$E,'Barang Keluar'!$A:$A,M21581,'Barang Keluar'!$C:$C,N21581))</f>
        <v>0</v>
      </c>
    </row>
    <row r="21582" spans="13:16">
      <c r="M21582" s="49">
        <f>IF($A$4+215&gt;$B$4,"",$A$4+215)</f>
        <v>46238</v>
      </c>
      <c r="N21582">
        <f>IF(M21582="","",'Master Barang'!A76)</f>
        <v>0</v>
      </c>
      <c r="O21582">
        <f>IF(N21582="","",'Master Barang'!B76)</f>
        <v>0</v>
      </c>
      <c r="P21582">
        <f>IF(OR(M21582="",N21582=""),"",SUMIFS('Barang Keluar'!$E:$E,'Barang Keluar'!$A:$A,M21582,'Barang Keluar'!$C:$C,N21582))</f>
        <v>0</v>
      </c>
    </row>
    <row r="21583" spans="13:16">
      <c r="M21583" s="49">
        <f>IF($A$4+215&gt;$B$4,"",$A$4+215)</f>
        <v>46238</v>
      </c>
      <c r="N21583">
        <f>IF(M21583="","",'Master Barang'!A77)</f>
        <v>0</v>
      </c>
      <c r="O21583">
        <f>IF(N21583="","",'Master Barang'!B77)</f>
        <v>0</v>
      </c>
      <c r="P21583">
        <f>IF(OR(M21583="",N21583=""),"",SUMIFS('Barang Keluar'!$E:$E,'Barang Keluar'!$A:$A,M21583,'Barang Keluar'!$C:$C,N21583))</f>
        <v>0</v>
      </c>
    </row>
    <row r="21584" spans="13:16">
      <c r="M21584" s="49">
        <f>IF($A$4+215&gt;$B$4,"",$A$4+215)</f>
        <v>46238</v>
      </c>
      <c r="N21584">
        <f>IF(M21584="","",'Master Barang'!A78)</f>
        <v>0</v>
      </c>
      <c r="O21584">
        <f>IF(N21584="","",'Master Barang'!B78)</f>
        <v>0</v>
      </c>
      <c r="P21584">
        <f>IF(OR(M21584="",N21584=""),"",SUMIFS('Barang Keluar'!$E:$E,'Barang Keluar'!$A:$A,M21584,'Barang Keluar'!$C:$C,N21584))</f>
        <v>0</v>
      </c>
    </row>
    <row r="21585" spans="13:16">
      <c r="M21585" s="49">
        <f>IF($A$4+215&gt;$B$4,"",$A$4+215)</f>
        <v>46238</v>
      </c>
      <c r="N21585">
        <f>IF(M21585="","",'Master Barang'!A79)</f>
        <v>0</v>
      </c>
      <c r="O21585">
        <f>IF(N21585="","",'Master Barang'!B79)</f>
        <v>0</v>
      </c>
      <c r="P21585">
        <f>IF(OR(M21585="",N21585=""),"",SUMIFS('Barang Keluar'!$E:$E,'Barang Keluar'!$A:$A,M21585,'Barang Keluar'!$C:$C,N21585))</f>
        <v>0</v>
      </c>
    </row>
    <row r="21586" spans="13:16">
      <c r="M21586" s="49">
        <f>IF($A$4+215&gt;$B$4,"",$A$4+215)</f>
        <v>46238</v>
      </c>
      <c r="N21586">
        <f>IF(M21586="","",'Master Barang'!A80)</f>
        <v>0</v>
      </c>
      <c r="O21586">
        <f>IF(N21586="","",'Master Barang'!B80)</f>
        <v>0</v>
      </c>
      <c r="P21586">
        <f>IF(OR(M21586="",N21586=""),"",SUMIFS('Barang Keluar'!$E:$E,'Barang Keluar'!$A:$A,M21586,'Barang Keluar'!$C:$C,N21586))</f>
        <v>0</v>
      </c>
    </row>
    <row r="21587" spans="13:16">
      <c r="M21587" s="49">
        <f>IF($A$4+215&gt;$B$4,"",$A$4+215)</f>
        <v>46238</v>
      </c>
      <c r="N21587">
        <f>IF(M21587="","",'Master Barang'!A81)</f>
        <v>0</v>
      </c>
      <c r="O21587">
        <f>IF(N21587="","",'Master Barang'!B81)</f>
        <v>0</v>
      </c>
      <c r="P21587">
        <f>IF(OR(M21587="",N21587=""),"",SUMIFS('Barang Keluar'!$E:$E,'Barang Keluar'!$A:$A,M21587,'Barang Keluar'!$C:$C,N21587))</f>
        <v>0</v>
      </c>
    </row>
    <row r="21588" spans="13:16">
      <c r="M21588" s="49">
        <f>IF($A$4+215&gt;$B$4,"",$A$4+215)</f>
        <v>46238</v>
      </c>
      <c r="N21588">
        <f>IF(M21588="","",'Master Barang'!A82)</f>
        <v>0</v>
      </c>
      <c r="O21588">
        <f>IF(N21588="","",'Master Barang'!B82)</f>
        <v>0</v>
      </c>
      <c r="P21588">
        <f>IF(OR(M21588="",N21588=""),"",SUMIFS('Barang Keluar'!$E:$E,'Barang Keluar'!$A:$A,M21588,'Barang Keluar'!$C:$C,N21588))</f>
        <v>0</v>
      </c>
    </row>
    <row r="21589" spans="13:16">
      <c r="M21589" s="49">
        <f>IF($A$4+215&gt;$B$4,"",$A$4+215)</f>
        <v>46238</v>
      </c>
      <c r="N21589">
        <f>IF(M21589="","",'Master Barang'!A83)</f>
        <v>0</v>
      </c>
      <c r="O21589">
        <f>IF(N21589="","",'Master Barang'!B83)</f>
        <v>0</v>
      </c>
      <c r="P21589">
        <f>IF(OR(M21589="",N21589=""),"",SUMIFS('Barang Keluar'!$E:$E,'Barang Keluar'!$A:$A,M21589,'Barang Keluar'!$C:$C,N21589))</f>
        <v>0</v>
      </c>
    </row>
    <row r="21590" spans="13:16">
      <c r="M21590" s="49">
        <f>IF($A$4+215&gt;$B$4,"",$A$4+215)</f>
        <v>46238</v>
      </c>
      <c r="N21590">
        <f>IF(M21590="","",'Master Barang'!A84)</f>
        <v>0</v>
      </c>
      <c r="O21590">
        <f>IF(N21590="","",'Master Barang'!B84)</f>
        <v>0</v>
      </c>
      <c r="P21590">
        <f>IF(OR(M21590="",N21590=""),"",SUMIFS('Barang Keluar'!$E:$E,'Barang Keluar'!$A:$A,M21590,'Barang Keluar'!$C:$C,N21590))</f>
        <v>0</v>
      </c>
    </row>
    <row r="21591" spans="13:16">
      <c r="M21591" s="49">
        <f>IF($A$4+215&gt;$B$4,"",$A$4+215)</f>
        <v>46238</v>
      </c>
      <c r="N21591">
        <f>IF(M21591="","",'Master Barang'!A85)</f>
        <v>0</v>
      </c>
      <c r="O21591">
        <f>IF(N21591="","",'Master Barang'!B85)</f>
        <v>0</v>
      </c>
      <c r="P21591">
        <f>IF(OR(M21591="",N21591=""),"",SUMIFS('Barang Keluar'!$E:$E,'Barang Keluar'!$A:$A,M21591,'Barang Keluar'!$C:$C,N21591))</f>
        <v>0</v>
      </c>
    </row>
    <row r="21592" spans="13:16">
      <c r="M21592" s="49">
        <f>IF($A$4+215&gt;$B$4,"",$A$4+215)</f>
        <v>46238</v>
      </c>
      <c r="N21592">
        <f>IF(M21592="","",'Master Barang'!A86)</f>
        <v>0</v>
      </c>
      <c r="O21592">
        <f>IF(N21592="","",'Master Barang'!B86)</f>
        <v>0</v>
      </c>
      <c r="P21592">
        <f>IF(OR(M21592="",N21592=""),"",SUMIFS('Barang Keluar'!$E:$E,'Barang Keluar'!$A:$A,M21592,'Barang Keluar'!$C:$C,N21592))</f>
        <v>0</v>
      </c>
    </row>
    <row r="21593" spans="13:16">
      <c r="M21593" s="49">
        <f>IF($A$4+215&gt;$B$4,"",$A$4+215)</f>
        <v>46238</v>
      </c>
      <c r="N21593">
        <f>IF(M21593="","",'Master Barang'!A87)</f>
        <v>0</v>
      </c>
      <c r="O21593">
        <f>IF(N21593="","",'Master Barang'!B87)</f>
        <v>0</v>
      </c>
      <c r="P21593">
        <f>IF(OR(M21593="",N21593=""),"",SUMIFS('Barang Keluar'!$E:$E,'Barang Keluar'!$A:$A,M21593,'Barang Keluar'!$C:$C,N21593))</f>
        <v>0</v>
      </c>
    </row>
    <row r="21594" spans="13:16">
      <c r="M21594" s="49">
        <f>IF($A$4+215&gt;$B$4,"",$A$4+215)</f>
        <v>46238</v>
      </c>
      <c r="N21594">
        <f>IF(M21594="","",'Master Barang'!A88)</f>
        <v>0</v>
      </c>
      <c r="O21594">
        <f>IF(N21594="","",'Master Barang'!B88)</f>
        <v>0</v>
      </c>
      <c r="P21594">
        <f>IF(OR(M21594="",N21594=""),"",SUMIFS('Barang Keluar'!$E:$E,'Barang Keluar'!$A:$A,M21594,'Barang Keluar'!$C:$C,N21594))</f>
        <v>0</v>
      </c>
    </row>
    <row r="21595" spans="13:16">
      <c r="M21595" s="49">
        <f>IF($A$4+215&gt;$B$4,"",$A$4+215)</f>
        <v>46238</v>
      </c>
      <c r="N21595">
        <f>IF(M21595="","",'Master Barang'!A89)</f>
        <v>0</v>
      </c>
      <c r="O21595">
        <f>IF(N21595="","",'Master Barang'!B89)</f>
        <v>0</v>
      </c>
      <c r="P21595">
        <f>IF(OR(M21595="",N21595=""),"",SUMIFS('Barang Keluar'!$E:$E,'Barang Keluar'!$A:$A,M21595,'Barang Keluar'!$C:$C,N21595))</f>
        <v>0</v>
      </c>
    </row>
    <row r="21596" spans="13:16">
      <c r="M21596" s="49">
        <f>IF($A$4+215&gt;$B$4,"",$A$4+215)</f>
        <v>46238</v>
      </c>
      <c r="N21596">
        <f>IF(M21596="","",'Master Barang'!A90)</f>
        <v>0</v>
      </c>
      <c r="O21596">
        <f>IF(N21596="","",'Master Barang'!B90)</f>
        <v>0</v>
      </c>
      <c r="P21596">
        <f>IF(OR(M21596="",N21596=""),"",SUMIFS('Barang Keluar'!$E:$E,'Barang Keluar'!$A:$A,M21596,'Barang Keluar'!$C:$C,N21596))</f>
        <v>0</v>
      </c>
    </row>
    <row r="21597" spans="13:16">
      <c r="M21597" s="49">
        <f>IF($A$4+215&gt;$B$4,"",$A$4+215)</f>
        <v>46238</v>
      </c>
      <c r="N21597">
        <f>IF(M21597="","",'Master Barang'!A91)</f>
        <v>0</v>
      </c>
      <c r="O21597">
        <f>IF(N21597="","",'Master Barang'!B91)</f>
        <v>0</v>
      </c>
      <c r="P21597">
        <f>IF(OR(M21597="",N21597=""),"",SUMIFS('Barang Keluar'!$E:$E,'Barang Keluar'!$A:$A,M21597,'Barang Keluar'!$C:$C,N21597))</f>
        <v>0</v>
      </c>
    </row>
    <row r="21598" spans="13:16">
      <c r="M21598" s="49">
        <f>IF($A$4+215&gt;$B$4,"",$A$4+215)</f>
        <v>46238</v>
      </c>
      <c r="N21598">
        <f>IF(M21598="","",'Master Barang'!A92)</f>
        <v>0</v>
      </c>
      <c r="O21598">
        <f>IF(N21598="","",'Master Barang'!B92)</f>
        <v>0</v>
      </c>
      <c r="P21598">
        <f>IF(OR(M21598="",N21598=""),"",SUMIFS('Barang Keluar'!$E:$E,'Barang Keluar'!$A:$A,M21598,'Barang Keluar'!$C:$C,N21598))</f>
        <v>0</v>
      </c>
    </row>
    <row r="21599" spans="13:16">
      <c r="M21599" s="49">
        <f>IF($A$4+215&gt;$B$4,"",$A$4+215)</f>
        <v>46238</v>
      </c>
      <c r="N21599">
        <f>IF(M21599="","",'Master Barang'!A93)</f>
        <v>0</v>
      </c>
      <c r="O21599">
        <f>IF(N21599="","",'Master Barang'!B93)</f>
        <v>0</v>
      </c>
      <c r="P21599">
        <f>IF(OR(M21599="",N21599=""),"",SUMIFS('Barang Keluar'!$E:$E,'Barang Keluar'!$A:$A,M21599,'Barang Keluar'!$C:$C,N21599))</f>
        <v>0</v>
      </c>
    </row>
    <row r="21600" spans="13:16">
      <c r="M21600" s="49">
        <f>IF($A$4+215&gt;$B$4,"",$A$4+215)</f>
        <v>46238</v>
      </c>
      <c r="N21600">
        <f>IF(M21600="","",'Master Barang'!A94)</f>
        <v>0</v>
      </c>
      <c r="O21600">
        <f>IF(N21600="","",'Master Barang'!B94)</f>
        <v>0</v>
      </c>
      <c r="P21600">
        <f>IF(OR(M21600="",N21600=""),"",SUMIFS('Barang Keluar'!$E:$E,'Barang Keluar'!$A:$A,M21600,'Barang Keluar'!$C:$C,N21600))</f>
        <v>0</v>
      </c>
    </row>
    <row r="21601" spans="13:16">
      <c r="M21601" s="49">
        <f>IF($A$4+215&gt;$B$4,"",$A$4+215)</f>
        <v>46238</v>
      </c>
      <c r="N21601">
        <f>IF(M21601="","",'Master Barang'!A95)</f>
        <v>0</v>
      </c>
      <c r="O21601">
        <f>IF(N21601="","",'Master Barang'!B95)</f>
        <v>0</v>
      </c>
      <c r="P21601">
        <f>IF(OR(M21601="",N21601=""),"",SUMIFS('Barang Keluar'!$E:$E,'Barang Keluar'!$A:$A,M21601,'Barang Keluar'!$C:$C,N21601))</f>
        <v>0</v>
      </c>
    </row>
    <row r="21602" spans="13:16">
      <c r="M21602" s="49">
        <f>IF($A$4+215&gt;$B$4,"",$A$4+215)</f>
        <v>46238</v>
      </c>
      <c r="N21602">
        <f>IF(M21602="","",'Master Barang'!A96)</f>
        <v>0</v>
      </c>
      <c r="O21602">
        <f>IF(N21602="","",'Master Barang'!B96)</f>
        <v>0</v>
      </c>
      <c r="P21602">
        <f>IF(OR(M21602="",N21602=""),"",SUMIFS('Barang Keluar'!$E:$E,'Barang Keluar'!$A:$A,M21602,'Barang Keluar'!$C:$C,N21602))</f>
        <v>0</v>
      </c>
    </row>
    <row r="21603" spans="13:16">
      <c r="M21603" s="49">
        <f>IF($A$4+215&gt;$B$4,"",$A$4+215)</f>
        <v>46238</v>
      </c>
      <c r="N21603">
        <f>IF(M21603="","",'Master Barang'!A97)</f>
        <v>0</v>
      </c>
      <c r="O21603">
        <f>IF(N21603="","",'Master Barang'!B97)</f>
        <v>0</v>
      </c>
      <c r="P21603">
        <f>IF(OR(M21603="",N21603=""),"",SUMIFS('Barang Keluar'!$E:$E,'Barang Keluar'!$A:$A,M21603,'Barang Keluar'!$C:$C,N21603))</f>
        <v>0</v>
      </c>
    </row>
    <row r="21604" spans="13:16">
      <c r="M21604" s="49">
        <f>IF($A$4+215&gt;$B$4,"",$A$4+215)</f>
        <v>46238</v>
      </c>
      <c r="N21604">
        <f>IF(M21604="","",'Master Barang'!A98)</f>
        <v>0</v>
      </c>
      <c r="O21604">
        <f>IF(N21604="","",'Master Barang'!B98)</f>
        <v>0</v>
      </c>
      <c r="P21604">
        <f>IF(OR(M21604="",N21604=""),"",SUMIFS('Barang Keluar'!$E:$E,'Barang Keluar'!$A:$A,M21604,'Barang Keluar'!$C:$C,N21604))</f>
        <v>0</v>
      </c>
    </row>
    <row r="21605" spans="13:16">
      <c r="M21605" s="49">
        <f>IF($A$4+215&gt;$B$4,"",$A$4+215)</f>
        <v>46238</v>
      </c>
      <c r="N21605">
        <f>IF(M21605="","",'Master Barang'!A99)</f>
        <v>0</v>
      </c>
      <c r="O21605">
        <f>IF(N21605="","",'Master Barang'!B99)</f>
        <v>0</v>
      </c>
      <c r="P21605">
        <f>IF(OR(M21605="",N21605=""),"",SUMIFS('Barang Keluar'!$E:$E,'Barang Keluar'!$A:$A,M21605,'Barang Keluar'!$C:$C,N21605))</f>
        <v>0</v>
      </c>
    </row>
    <row r="21606" spans="13:16">
      <c r="M21606" s="49">
        <f>IF($A$4+215&gt;$B$4,"",$A$4+215)</f>
        <v>46238</v>
      </c>
      <c r="N21606">
        <f>IF(M21606="","",'Master Barang'!A100)</f>
        <v>0</v>
      </c>
      <c r="O21606">
        <f>IF(N21606="","",'Master Barang'!B100)</f>
        <v>0</v>
      </c>
      <c r="P21606">
        <f>IF(OR(M21606="",N21606=""),"",SUMIFS('Barang Keluar'!$E:$E,'Barang Keluar'!$A:$A,M21606,'Barang Keluar'!$C:$C,N21606))</f>
        <v>0</v>
      </c>
    </row>
    <row r="21607" spans="13:16">
      <c r="M21607" s="49">
        <f>IF($A$4+215&gt;$B$4,"",$A$4+215)</f>
        <v>46238</v>
      </c>
      <c r="N21607">
        <f>IF(M21607="","",'Master Barang'!A101)</f>
        <v>0</v>
      </c>
      <c r="O21607">
        <f>IF(N21607="","",'Master Barang'!B101)</f>
        <v>0</v>
      </c>
      <c r="P21607">
        <f>IF(OR(M21607="",N21607=""),"",SUMIFS('Barang Keluar'!$E:$E,'Barang Keluar'!$A:$A,M21607,'Barang Keluar'!$C:$C,N21607))</f>
        <v>0</v>
      </c>
    </row>
    <row r="21608" spans="13:16">
      <c r="M21608" s="49">
        <f>IF($A$4+216&gt;$B$4,"",$A$4+216)</f>
        <v>46239</v>
      </c>
      <c r="N21608" t="str">
        <f>IF(M21608="","",'Master Barang'!A2)</f>
        <v>PRL-001</v>
      </c>
      <c r="O21608" t="str">
        <f>IF(N21608="","",'Master Barang'!B2)</f>
        <v>natura desinfectant food grade 5l</v>
      </c>
      <c r="P21608">
        <f>IF(OR(M21608="",N21608=""),"",SUMIFS('Barang Keluar'!$E:$E,'Barang Keluar'!$A:$A,M21608,'Barang Keluar'!$C:$C,N21608))</f>
        <v>0</v>
      </c>
    </row>
    <row r="21609" spans="13:16">
      <c r="M21609" s="49">
        <f>IF($A$4+216&gt;$B$4,"",$A$4+216)</f>
        <v>46239</v>
      </c>
      <c r="N21609" t="str">
        <f>IF(M21609="","",'Master Barang'!A3)</f>
        <v>PRL-002</v>
      </c>
      <c r="O21609" t="str">
        <f>IF(N21609="","",'Master Barang'!B3)</f>
        <v>sunlight cairan pencuci piring 5l</v>
      </c>
      <c r="P21609">
        <f>IF(OR(M21609="",N21609=""),"",SUMIFS('Barang Keluar'!$E:$E,'Barang Keluar'!$A:$A,M21609,'Barang Keluar'!$C:$C,N21609))</f>
        <v>0</v>
      </c>
    </row>
    <row r="21610" spans="13:16">
      <c r="M21610" s="49">
        <f>IF($A$4+216&gt;$B$4,"",$A$4+216)</f>
        <v>46239</v>
      </c>
      <c r="N21610" t="str">
        <f>IF(M21610="","",'Master Barang'!A4)</f>
        <v>PRL-003</v>
      </c>
      <c r="O21610" t="str">
        <f>IF(N21610="","",'Master Barang'!B4)</f>
        <v>oixs cleaner 1l</v>
      </c>
      <c r="P21610">
        <f>IF(OR(M21610="",N21610=""),"",SUMIFS('Barang Keluar'!$E:$E,'Barang Keluar'!$A:$A,M21610,'Barang Keluar'!$C:$C,N21610))</f>
        <v>0</v>
      </c>
    </row>
    <row r="21611" spans="13:16">
      <c r="M21611" s="49">
        <f>IF($A$4+216&gt;$B$4,"",$A$4+216)</f>
        <v>46239</v>
      </c>
      <c r="N21611" t="str">
        <f>IF(M21611="","",'Master Barang'!A5)</f>
        <v>PRL-004</v>
      </c>
      <c r="O21611" t="str">
        <f>IF(N21611="","",'Master Barang'!B5)</f>
        <v>be clean tissue serbaguna</v>
      </c>
      <c r="P21611">
        <f>IF(OR(M21611="",N21611=""),"",SUMIFS('Barang Keluar'!$E:$E,'Barang Keluar'!$A:$A,M21611,'Barang Keluar'!$C:$C,N21611))</f>
        <v>0</v>
      </c>
    </row>
    <row r="21612" spans="13:16">
      <c r="M21612" s="49">
        <f>IF($A$4+216&gt;$B$4,"",$A$4+216)</f>
        <v>46239</v>
      </c>
      <c r="N21612" t="str">
        <f>IF(M21612="","",'Master Barang'!A6)</f>
        <v>PRL-005</v>
      </c>
      <c r="O21612" t="str">
        <f>IF(N21612="","",'Master Barang'!B6)</f>
        <v>spons cuci hijau</v>
      </c>
      <c r="P21612">
        <f>IF(OR(M21612="",N21612=""),"",SUMIFS('Barang Keluar'!$E:$E,'Barang Keluar'!$A:$A,M21612,'Barang Keluar'!$C:$C,N21612))</f>
        <v>0</v>
      </c>
    </row>
    <row r="21613" spans="13:16">
      <c r="M21613" s="49">
        <f>IF($A$4+216&gt;$B$4,"",$A$4+216)</f>
        <v>46239</v>
      </c>
      <c r="N21613" t="str">
        <f>IF(M21613="","",'Master Barang'!A7)</f>
        <v>PRL-006</v>
      </c>
      <c r="O21613" t="str">
        <f>IF(N21613="","",'Master Barang'!B7)</f>
        <v>sabut cuci stainless</v>
      </c>
      <c r="P21613">
        <f>IF(OR(M21613="",N21613=""),"",SUMIFS('Barang Keluar'!$E:$E,'Barang Keluar'!$A:$A,M21613,'Barang Keluar'!$C:$C,N21613))</f>
        <v>0</v>
      </c>
    </row>
    <row r="21614" spans="13:16">
      <c r="M21614" s="49">
        <f>IF($A$4+216&gt;$B$4,"",$A$4+216)</f>
        <v>46239</v>
      </c>
      <c r="N21614" t="str">
        <f>IF(M21614="","",'Master Barang'!A8)</f>
        <v>PRL-007</v>
      </c>
      <c r="O21614" t="str">
        <f>IF(N21614="","",'Master Barang'!B8)</f>
        <v>plastik kresek besar merah 50pc</v>
      </c>
      <c r="P21614">
        <f>IF(OR(M21614="",N21614=""),"",SUMIFS('Barang Keluar'!$E:$E,'Barang Keluar'!$A:$A,M21614,'Barang Keluar'!$C:$C,N21614))</f>
        <v>0</v>
      </c>
    </row>
    <row r="21615" spans="13:16">
      <c r="M21615" s="49">
        <f>IF($A$4+216&gt;$B$4,"",$A$4+216)</f>
        <v>46239</v>
      </c>
      <c r="N21615" t="str">
        <f>IF(M21615="","",'Master Barang'!A9)</f>
        <v>PRL-008</v>
      </c>
      <c r="O21615" t="str">
        <f>IF(N21615="","",'Master Barang'!B9)</f>
        <v>lap besar</v>
      </c>
      <c r="P21615">
        <f>IF(OR(M21615="",N21615=""),"",SUMIFS('Barang Keluar'!$E:$E,'Barang Keluar'!$A:$A,M21615,'Barang Keluar'!$C:$C,N21615))</f>
        <v>0</v>
      </c>
    </row>
    <row r="21616" spans="13:16">
      <c r="M21616" s="49">
        <f>IF($A$4+216&gt;$B$4,"",$A$4+216)</f>
        <v>46239</v>
      </c>
      <c r="N21616" t="str">
        <f>IF(M21616="","",'Master Barang'!A10)</f>
        <v>PRL-009</v>
      </c>
      <c r="O21616" t="str">
        <f>IF(N21616="","",'Master Barang'!B10)</f>
        <v>lap microfiber</v>
      </c>
      <c r="P21616">
        <f>IF(OR(M21616="",N21616=""),"",SUMIFS('Barang Keluar'!$E:$E,'Barang Keluar'!$A:$A,M21616,'Barang Keluar'!$C:$C,N21616))</f>
        <v>0</v>
      </c>
    </row>
    <row r="21617" spans="13:16">
      <c r="M21617" s="49">
        <f>IF($A$4+216&gt;$B$4,"",$A$4+216)</f>
        <v>46239</v>
      </c>
      <c r="N21617" t="str">
        <f>IF(M21617="","",'Master Barang'!A11)</f>
        <v>PRL-010</v>
      </c>
      <c r="O21617" t="str">
        <f>IF(N21617="","",'Master Barang'!B11)</f>
        <v>lap kecil</v>
      </c>
      <c r="P21617">
        <f>IF(OR(M21617="",N21617=""),"",SUMIFS('Barang Keluar'!$E:$E,'Barang Keluar'!$A:$A,M21617,'Barang Keluar'!$C:$C,N21617))</f>
        <v>0</v>
      </c>
    </row>
    <row r="21618" spans="13:16">
      <c r="M21618" s="49">
        <f>IF($A$4+216&gt;$B$4,"",$A$4+216)</f>
        <v>46239</v>
      </c>
      <c r="N21618" t="str">
        <f>IF(M21618="","",'Master Barang'!A12)</f>
        <v>PRL-011</v>
      </c>
      <c r="O21618" t="str">
        <f>IF(N21618="","",'Master Barang'!B12)</f>
        <v>kanebo kecil</v>
      </c>
      <c r="P21618">
        <f>IF(OR(M21618="",N21618=""),"",SUMIFS('Barang Keluar'!$E:$E,'Barang Keluar'!$A:$A,M21618,'Barang Keluar'!$C:$C,N21618))</f>
        <v>0</v>
      </c>
    </row>
    <row r="21619" spans="13:16">
      <c r="M21619" s="49">
        <f>IF($A$4+216&gt;$B$4,"",$A$4+216)</f>
        <v>46239</v>
      </c>
      <c r="N21619" t="str">
        <f>IF(M21619="","",'Master Barang'!A13)</f>
        <v>PRL-012</v>
      </c>
      <c r="O21619" t="str">
        <f>IF(N21619="","",'Master Barang'!B13)</f>
        <v>plastik 1/4kg joyoboyo 100 lembar</v>
      </c>
      <c r="P21619">
        <f>IF(OR(M21619="",N21619=""),"",SUMIFS('Barang Keluar'!$E:$E,'Barang Keluar'!$A:$A,M21619,'Barang Keluar'!$C:$C,N21619))</f>
        <v>0</v>
      </c>
    </row>
    <row r="21620" spans="13:16">
      <c r="M21620" s="49">
        <f>IF($A$4+216&gt;$B$4,"",$A$4+216)</f>
        <v>46239</v>
      </c>
      <c r="N21620" t="str">
        <f>IF(M21620="","",'Master Barang'!A14)</f>
        <v>PRL-013</v>
      </c>
      <c r="O21620" t="str">
        <f>IF(N21620="","",'Master Barang'!B14)</f>
        <v>sarung tangan plastik kaka 100 pcs</v>
      </c>
      <c r="P21620">
        <f>IF(OR(M21620="",N21620=""),"",SUMIFS('Barang Keluar'!$E:$E,'Barang Keluar'!$A:$A,M21620,'Barang Keluar'!$C:$C,N21620))</f>
        <v>0</v>
      </c>
    </row>
    <row r="21621" spans="13:16">
      <c r="M21621" s="49">
        <f>IF($A$4+216&gt;$B$4,"",$A$4+216)</f>
        <v>46239</v>
      </c>
      <c r="N21621" t="str">
        <f>IF(M21621="","",'Master Barang'!A15)</f>
        <v>PRL-014</v>
      </c>
      <c r="O21621" t="str">
        <f>IF(N21621="","",'Master Barang'!B15)</f>
        <v>optima trashbag 80x100</v>
      </c>
      <c r="P21621">
        <f>IF(OR(M21621="",N21621=""),"",SUMIFS('Barang Keluar'!$E:$E,'Barang Keluar'!$A:$A,M21621,'Barang Keluar'!$C:$C,N21621))</f>
        <v>0</v>
      </c>
    </row>
    <row r="21622" spans="13:16">
      <c r="M21622" s="49">
        <f>IF($A$4+216&gt;$B$4,"",$A$4+216)</f>
        <v>46239</v>
      </c>
      <c r="N21622" t="str">
        <f>IF(M21622="","",'Master Barang'!A16)</f>
        <v>PRL-015</v>
      </c>
      <c r="O21622" t="str">
        <f>IF(N21622="","",'Master Barang'!B16)</f>
        <v>optima trashbag 60x100</v>
      </c>
      <c r="P21622">
        <f>IF(OR(M21622="",N21622=""),"",SUMIFS('Barang Keluar'!$E:$E,'Barang Keluar'!$A:$A,M21622,'Barang Keluar'!$C:$C,N21622))</f>
        <v>0</v>
      </c>
    </row>
    <row r="21623" spans="13:16">
      <c r="M21623" s="49">
        <f>IF($A$4+216&gt;$B$4,"",$A$4+216)</f>
        <v>46239</v>
      </c>
      <c r="N21623" t="str">
        <f>IF(M21623="","",'Master Barang'!A17)</f>
        <v>PRL-016</v>
      </c>
      <c r="O21623" t="str">
        <f>IF(N21623="","",'Master Barang'!B17)</f>
        <v>rajawali trashbag 30x40</v>
      </c>
      <c r="P21623">
        <f>IF(OR(M21623="",N21623=""),"",SUMIFS('Barang Keluar'!$E:$E,'Barang Keluar'!$A:$A,M21623,'Barang Keluar'!$C:$C,N21623))</f>
        <v>0</v>
      </c>
    </row>
    <row r="21624" spans="13:16">
      <c r="M21624" s="49">
        <f>IF($A$4+216&gt;$B$4,"",$A$4+216)</f>
        <v>46239</v>
      </c>
      <c r="N21624" t="str">
        <f>IF(M21624="","",'Master Barang'!A18)</f>
        <v>PRL-017</v>
      </c>
      <c r="O21624" t="str">
        <f>IF(N21624="","",'Master Barang'!B18)</f>
        <v>onemed masker biru 3 play 50 pcs</v>
      </c>
      <c r="P21624">
        <f>IF(OR(M21624="",N21624=""),"",SUMIFS('Barang Keluar'!$E:$E,'Barang Keluar'!$A:$A,M21624,'Barang Keluar'!$C:$C,N21624))</f>
        <v>0</v>
      </c>
    </row>
    <row r="21625" spans="13:16">
      <c r="M21625" s="49">
        <f>IF($A$4+216&gt;$B$4,"",$A$4+216)</f>
        <v>46239</v>
      </c>
      <c r="N21625" t="str">
        <f>IF(M21625="","",'Master Barang'!A19)</f>
        <v>PRL-018</v>
      </c>
      <c r="O21625" t="str">
        <f>IF(N21625="","",'Master Barang'!B19)</f>
        <v>onemed masker biru 3 play hijab 50 pcs</v>
      </c>
      <c r="P21625">
        <f>IF(OR(M21625="",N21625=""),"",SUMIFS('Barang Keluar'!$E:$E,'Barang Keluar'!$A:$A,M21625,'Barang Keluar'!$C:$C,N21625))</f>
        <v>0</v>
      </c>
    </row>
    <row r="21626" spans="13:16">
      <c r="M21626" s="49">
        <f>IF($A$4+216&gt;$B$4,"",$A$4+216)</f>
        <v>46239</v>
      </c>
      <c r="N21626" t="str">
        <f>IF(M21626="","",'Master Barang'!A20)</f>
        <v>PRL-019</v>
      </c>
      <c r="O21626" t="str">
        <f>IF(N21626="","",'Master Barang'!B20)</f>
        <v>neo health masker biru 3 play 50 pcs</v>
      </c>
      <c r="P21626">
        <f>IF(OR(M21626="",N21626=""),"",SUMIFS('Barang Keluar'!$E:$E,'Barang Keluar'!$A:$A,M21626,'Barang Keluar'!$C:$C,N21626))</f>
        <v>0</v>
      </c>
    </row>
    <row r="21627" spans="13:16">
      <c r="M21627" s="49">
        <f>IF($A$4+216&gt;$B$4,"",$A$4+216)</f>
        <v>46239</v>
      </c>
      <c r="N21627" t="str">
        <f>IF(M21627="","",'Master Barang'!A21)</f>
        <v>PRL-020</v>
      </c>
      <c r="O21627" t="str">
        <f>IF(N21627="","",'Master Barang'!B21)</f>
        <v>baymed masker hijau 3 play hijau 50 pcs</v>
      </c>
      <c r="P21627">
        <f>IF(OR(M21627="",N21627=""),"",SUMIFS('Barang Keluar'!$E:$E,'Barang Keluar'!$A:$A,M21627,'Barang Keluar'!$C:$C,N21627))</f>
        <v>0</v>
      </c>
    </row>
    <row r="21628" spans="13:16">
      <c r="M21628" s="49">
        <f>IF($A$4+216&gt;$B$4,"",$A$4+216)</f>
        <v>46239</v>
      </c>
      <c r="N21628" t="str">
        <f>IF(M21628="","",'Master Barang'!A22)</f>
        <v>PRL-021</v>
      </c>
      <c r="O21628" t="str">
        <f>IF(N21628="","",'Master Barang'!B22)</f>
        <v>altamed nurse cap penutup kepala 100 pcs</v>
      </c>
      <c r="P21628">
        <f>IF(OR(M21628="",N21628=""),"",SUMIFS('Barang Keluar'!$E:$E,'Barang Keluar'!$A:$A,M21628,'Barang Keluar'!$C:$C,N21628))</f>
        <v>0</v>
      </c>
    </row>
    <row r="21629" spans="13:16">
      <c r="M21629" s="49">
        <f>IF($A$4+216&gt;$B$4,"",$A$4+216)</f>
        <v>46239</v>
      </c>
      <c r="N21629" t="str">
        <f>IF(M21629="","",'Master Barang'!A23)</f>
        <v>PRL-022</v>
      </c>
      <c r="O21629" t="str">
        <f>IF(N21629="","",'Master Barang'!B23)</f>
        <v>sabun cuci tangan</v>
      </c>
      <c r="P21629">
        <f>IF(OR(M21629="",N21629=""),"",SUMIFS('Barang Keluar'!$E:$E,'Barang Keluar'!$A:$A,M21629,'Barang Keluar'!$C:$C,N21629))</f>
        <v>0</v>
      </c>
    </row>
    <row r="21630" spans="13:16">
      <c r="M21630" s="49">
        <f>IF($A$4+216&gt;$B$4,"",$A$4+216)</f>
        <v>46239</v>
      </c>
      <c r="N21630" t="str">
        <f>IF(M21630="","",'Master Barang'!A24)</f>
        <v>PRL-023</v>
      </c>
      <c r="O21630" t="str">
        <f>IF(N21630="","",'Master Barang'!B24)</f>
        <v>gayung kecil</v>
      </c>
      <c r="P21630">
        <f>IF(OR(M21630="",N21630=""),"",SUMIFS('Barang Keluar'!$E:$E,'Barang Keluar'!$A:$A,M21630,'Barang Keluar'!$C:$C,N21630))</f>
        <v>0</v>
      </c>
    </row>
    <row r="21631" spans="13:16">
      <c r="M21631" s="49">
        <f>IF($A$4+216&gt;$B$4,"",$A$4+216)</f>
        <v>46239</v>
      </c>
      <c r="N21631" t="str">
        <f>IF(M21631="","",'Master Barang'!A25)</f>
        <v>PRL-024</v>
      </c>
      <c r="O21631" t="str">
        <f>IF(N21631="","",'Master Barang'!B25)</f>
        <v>cikrak kecil</v>
      </c>
      <c r="P21631">
        <f>IF(OR(M21631="",N21631=""),"",SUMIFS('Barang Keluar'!$E:$E,'Barang Keluar'!$A:$A,M21631,'Barang Keluar'!$C:$C,N21631))</f>
        <v>0</v>
      </c>
    </row>
    <row r="21632" spans="13:16">
      <c r="M21632" s="49">
        <f>IF($A$4+216&gt;$B$4,"",$A$4+216)</f>
        <v>46239</v>
      </c>
      <c r="N21632" t="str">
        <f>IF(M21632="","",'Master Barang'!A26)</f>
        <v>PRL-025</v>
      </c>
      <c r="O21632" t="str">
        <f>IF(N21632="","",'Master Barang'!B26)</f>
        <v>petromax plastik kecil 12x24 100 lembar</v>
      </c>
      <c r="P21632">
        <f>IF(OR(M21632="",N21632=""),"",SUMIFS('Barang Keluar'!$E:$E,'Barang Keluar'!$A:$A,M21632,'Barang Keluar'!$C:$C,N21632))</f>
        <v>0</v>
      </c>
    </row>
    <row r="21633" spans="13:16">
      <c r="M21633" s="49">
        <f>IF($A$4+216&gt;$B$4,"",$A$4+216)</f>
        <v>46239</v>
      </c>
      <c r="N21633" t="str">
        <f>IF(M21633="","",'Master Barang'!A27)</f>
        <v>PRL-026</v>
      </c>
      <c r="O21633" t="str">
        <f>IF(N21633="","",'Master Barang'!B27)</f>
        <v>lancar kresek kecil bening </v>
      </c>
      <c r="P21633">
        <f>IF(OR(M21633="",N21633=""),"",SUMIFS('Barang Keluar'!$E:$E,'Barang Keluar'!$A:$A,M21633,'Barang Keluar'!$C:$C,N21633))</f>
        <v>0</v>
      </c>
    </row>
    <row r="21634" spans="13:16">
      <c r="M21634" s="49">
        <f>IF($A$4+216&gt;$B$4,"",$A$4+216)</f>
        <v>46239</v>
      </c>
      <c r="N21634" t="str">
        <f>IF(M21634="","",'Master Barang'!A28)</f>
        <v>PRL-027</v>
      </c>
      <c r="O21634" t="str">
        <f>IF(N21634="","",'Master Barang'!B28)</f>
        <v>kresek klin warna warni kecil</v>
      </c>
      <c r="P21634">
        <f>IF(OR(M21634="",N21634=""),"",SUMIFS('Barang Keluar'!$E:$E,'Barang Keluar'!$A:$A,M21634,'Barang Keluar'!$C:$C,N21634))</f>
        <v>0</v>
      </c>
    </row>
    <row r="21635" spans="13:16">
      <c r="M21635" s="49">
        <f>IF($A$4+216&gt;$B$4,"",$A$4+216)</f>
        <v>46239</v>
      </c>
      <c r="N21635" t="str">
        <f>IF(M21635="","",'Master Barang'!A29)</f>
        <v>PRL-028</v>
      </c>
      <c r="O21635" t="str">
        <f>IF(N21635="","",'Master Barang'!B29)</f>
        <v>ctik plastik 7x10 100 pcs</v>
      </c>
      <c r="P21635">
        <f>IF(OR(M21635="",N21635=""),"",SUMIFS('Barang Keluar'!$E:$E,'Barang Keluar'!$A:$A,M21635,'Barang Keluar'!$C:$C,N21635))</f>
        <v>0</v>
      </c>
    </row>
    <row r="21636" spans="13:16">
      <c r="M21636" s="49">
        <f>IF($A$4+216&gt;$B$4,"",$A$4+216)</f>
        <v>46239</v>
      </c>
      <c r="N21636" t="str">
        <f>IF(M21636="","",'Master Barang'!A30)</f>
        <v>PRL-029</v>
      </c>
      <c r="O21636" t="str">
        <f>IF(N21636="","",'Master Barang'!B30)</f>
        <v>ctik plastik 6x10 100 pcs</v>
      </c>
      <c r="P21636">
        <f>IF(OR(M21636="",N21636=""),"",SUMIFS('Barang Keluar'!$E:$E,'Barang Keluar'!$A:$A,M21636,'Barang Keluar'!$C:$C,N21636))</f>
        <v>0</v>
      </c>
    </row>
    <row r="21637" spans="13:16">
      <c r="M21637" s="49">
        <f>IF($A$4+216&gt;$B$4,"",$A$4+216)</f>
        <v>46239</v>
      </c>
      <c r="N21637" t="str">
        <f>IF(M21637="","",'Master Barang'!A31)</f>
        <v>PRL-030</v>
      </c>
      <c r="O21637" t="str">
        <f>IF(N21637="","",'Master Barang'!B31)</f>
        <v>klip plastik 25x16 100 pcs</v>
      </c>
      <c r="P21637">
        <f>IF(OR(M21637="",N21637=""),"",SUMIFS('Barang Keluar'!$E:$E,'Barang Keluar'!$A:$A,M21637,'Barang Keluar'!$C:$C,N21637))</f>
        <v>0</v>
      </c>
    </row>
    <row r="21638" spans="13:16">
      <c r="M21638" s="49">
        <f>IF($A$4+216&gt;$B$4,"",$A$4+216)</f>
        <v>46239</v>
      </c>
      <c r="N21638" t="str">
        <f>IF(M21638="","",'Master Barang'!A32)</f>
        <v>PRL-031</v>
      </c>
      <c r="O21638" t="str">
        <f>IF(N21638="","",'Master Barang'!B32)</f>
        <v>tempat saus 20 ml</v>
      </c>
      <c r="P21638">
        <f>IF(OR(M21638="",N21638=""),"",SUMIFS('Barang Keluar'!$E:$E,'Barang Keluar'!$A:$A,M21638,'Barang Keluar'!$C:$C,N21638))</f>
        <v>0</v>
      </c>
    </row>
    <row r="21639" spans="13:16">
      <c r="M21639" s="49">
        <f>IF($A$4+216&gt;$B$4,"",$A$4+216)</f>
        <v>46239</v>
      </c>
      <c r="N21639" t="str">
        <f>IF(M21639="","",'Master Barang'!A33)</f>
        <v>PRL-032</v>
      </c>
      <c r="O21639" t="str">
        <f>IF(N21639="","",'Master Barang'!B33)</f>
        <v>plastik packaging ag box uk sedang</v>
      </c>
      <c r="P21639">
        <f>IF(OR(M21639="",N21639=""),"",SUMIFS('Barang Keluar'!$E:$E,'Barang Keluar'!$A:$A,M21639,'Barang Keluar'!$C:$C,N21639))</f>
        <v>0</v>
      </c>
    </row>
    <row r="21640" spans="13:16">
      <c r="M21640" s="49">
        <f>IF($A$4+216&gt;$B$4,"",$A$4+216)</f>
        <v>46239</v>
      </c>
      <c r="N21640" t="str">
        <f>IF(M21640="","",'Master Barang'!A34)</f>
        <v>PRL-033</v>
      </c>
      <c r="O21640">
        <f>IF(N21640="","",'Master Barang'!B34)</f>
        <v>0</v>
      </c>
      <c r="P21640">
        <f>IF(OR(M21640="",N21640=""),"",SUMIFS('Barang Keluar'!$E:$E,'Barang Keluar'!$A:$A,M21640,'Barang Keluar'!$C:$C,N21640))</f>
        <v>0</v>
      </c>
    </row>
    <row r="21641" spans="13:16">
      <c r="M21641" s="49">
        <f>IF($A$4+216&gt;$B$4,"",$A$4+216)</f>
        <v>46239</v>
      </c>
      <c r="N21641">
        <f>IF(M21641="","",'Master Barang'!A35)</f>
        <v>0</v>
      </c>
      <c r="O21641">
        <f>IF(N21641="","",'Master Barang'!B35)</f>
        <v>0</v>
      </c>
      <c r="P21641">
        <f>IF(OR(M21641="",N21641=""),"",SUMIFS('Barang Keluar'!$E:$E,'Barang Keluar'!$A:$A,M21641,'Barang Keluar'!$C:$C,N21641))</f>
        <v>0</v>
      </c>
    </row>
    <row r="21642" spans="13:16">
      <c r="M21642" s="49">
        <f>IF($A$4+216&gt;$B$4,"",$A$4+216)</f>
        <v>46239</v>
      </c>
      <c r="N21642">
        <f>IF(M21642="","",'Master Barang'!A36)</f>
        <v>0</v>
      </c>
      <c r="O21642">
        <f>IF(N21642="","",'Master Barang'!B36)</f>
        <v>0</v>
      </c>
      <c r="P21642">
        <f>IF(OR(M21642="",N21642=""),"",SUMIFS('Barang Keluar'!$E:$E,'Barang Keluar'!$A:$A,M21642,'Barang Keluar'!$C:$C,N21642))</f>
        <v>0</v>
      </c>
    </row>
    <row r="21643" spans="13:16">
      <c r="M21643" s="49">
        <f>IF($A$4+216&gt;$B$4,"",$A$4+216)</f>
        <v>46239</v>
      </c>
      <c r="N21643">
        <f>IF(M21643="","",'Master Barang'!A37)</f>
        <v>0</v>
      </c>
      <c r="O21643">
        <f>IF(N21643="","",'Master Barang'!B37)</f>
        <v>0</v>
      </c>
      <c r="P21643">
        <f>IF(OR(M21643="",N21643=""),"",SUMIFS('Barang Keluar'!$E:$E,'Barang Keluar'!$A:$A,M21643,'Barang Keluar'!$C:$C,N21643))</f>
        <v>0</v>
      </c>
    </row>
    <row r="21644" spans="13:16">
      <c r="M21644" s="49">
        <f>IF($A$4+216&gt;$B$4,"",$A$4+216)</f>
        <v>46239</v>
      </c>
      <c r="N21644">
        <f>IF(M21644="","",'Master Barang'!A38)</f>
        <v>0</v>
      </c>
      <c r="O21644">
        <f>IF(N21644="","",'Master Barang'!B38)</f>
        <v>0</v>
      </c>
      <c r="P21644">
        <f>IF(OR(M21644="",N21644=""),"",SUMIFS('Barang Keluar'!$E:$E,'Barang Keluar'!$A:$A,M21644,'Barang Keluar'!$C:$C,N21644))</f>
        <v>0</v>
      </c>
    </row>
    <row r="21645" spans="13:16">
      <c r="M21645" s="49">
        <f>IF($A$4+216&gt;$B$4,"",$A$4+216)</f>
        <v>46239</v>
      </c>
      <c r="N21645">
        <f>IF(M21645="","",'Master Barang'!A39)</f>
        <v>0</v>
      </c>
      <c r="O21645">
        <f>IF(N21645="","",'Master Barang'!B39)</f>
        <v>0</v>
      </c>
      <c r="P21645">
        <f>IF(OR(M21645="",N21645=""),"",SUMIFS('Barang Keluar'!$E:$E,'Barang Keluar'!$A:$A,M21645,'Barang Keluar'!$C:$C,N21645))</f>
        <v>0</v>
      </c>
    </row>
    <row r="21646" spans="13:16">
      <c r="M21646" s="49">
        <f>IF($A$4+216&gt;$B$4,"",$A$4+216)</f>
        <v>46239</v>
      </c>
      <c r="N21646">
        <f>IF(M21646="","",'Master Barang'!A40)</f>
        <v>0</v>
      </c>
      <c r="O21646">
        <f>IF(N21646="","",'Master Barang'!B40)</f>
        <v>0</v>
      </c>
      <c r="P21646">
        <f>IF(OR(M21646="",N21646=""),"",SUMIFS('Barang Keluar'!$E:$E,'Barang Keluar'!$A:$A,M21646,'Barang Keluar'!$C:$C,N21646))</f>
        <v>0</v>
      </c>
    </row>
    <row r="21647" spans="13:16">
      <c r="M21647" s="49">
        <f>IF($A$4+216&gt;$B$4,"",$A$4+216)</f>
        <v>46239</v>
      </c>
      <c r="N21647">
        <f>IF(M21647="","",'Master Barang'!A41)</f>
        <v>0</v>
      </c>
      <c r="O21647">
        <f>IF(N21647="","",'Master Barang'!B41)</f>
        <v>0</v>
      </c>
      <c r="P21647">
        <f>IF(OR(M21647="",N21647=""),"",SUMIFS('Barang Keluar'!$E:$E,'Barang Keluar'!$A:$A,M21647,'Barang Keluar'!$C:$C,N21647))</f>
        <v>0</v>
      </c>
    </row>
    <row r="21648" spans="13:16">
      <c r="M21648" s="49">
        <f>IF($A$4+216&gt;$B$4,"",$A$4+216)</f>
        <v>46239</v>
      </c>
      <c r="N21648">
        <f>IF(M21648="","",'Master Barang'!A42)</f>
        <v>0</v>
      </c>
      <c r="O21648">
        <f>IF(N21648="","",'Master Barang'!B42)</f>
        <v>0</v>
      </c>
      <c r="P21648">
        <f>IF(OR(M21648="",N21648=""),"",SUMIFS('Barang Keluar'!$E:$E,'Barang Keluar'!$A:$A,M21648,'Barang Keluar'!$C:$C,N21648))</f>
        <v>0</v>
      </c>
    </row>
    <row r="21649" spans="13:16">
      <c r="M21649" s="49">
        <f>IF($A$4+216&gt;$B$4,"",$A$4+216)</f>
        <v>46239</v>
      </c>
      <c r="N21649">
        <f>IF(M21649="","",'Master Barang'!A43)</f>
        <v>0</v>
      </c>
      <c r="O21649">
        <f>IF(N21649="","",'Master Barang'!B43)</f>
        <v>0</v>
      </c>
      <c r="P21649">
        <f>IF(OR(M21649="",N21649=""),"",SUMIFS('Barang Keluar'!$E:$E,'Barang Keluar'!$A:$A,M21649,'Barang Keluar'!$C:$C,N21649))</f>
        <v>0</v>
      </c>
    </row>
    <row r="21650" spans="13:16">
      <c r="M21650" s="49">
        <f>IF($A$4+216&gt;$B$4,"",$A$4+216)</f>
        <v>46239</v>
      </c>
      <c r="N21650">
        <f>IF(M21650="","",'Master Barang'!A44)</f>
        <v>0</v>
      </c>
      <c r="O21650">
        <f>IF(N21650="","",'Master Barang'!B44)</f>
        <v>0</v>
      </c>
      <c r="P21650">
        <f>IF(OR(M21650="",N21650=""),"",SUMIFS('Barang Keluar'!$E:$E,'Barang Keluar'!$A:$A,M21650,'Barang Keluar'!$C:$C,N21650))</f>
        <v>0</v>
      </c>
    </row>
    <row r="21651" spans="13:16">
      <c r="M21651" s="49">
        <f>IF($A$4+216&gt;$B$4,"",$A$4+216)</f>
        <v>46239</v>
      </c>
      <c r="N21651">
        <f>IF(M21651="","",'Master Barang'!A45)</f>
        <v>0</v>
      </c>
      <c r="O21651">
        <f>IF(N21651="","",'Master Barang'!B45)</f>
        <v>0</v>
      </c>
      <c r="P21651">
        <f>IF(OR(M21651="",N21651=""),"",SUMIFS('Barang Keluar'!$E:$E,'Barang Keluar'!$A:$A,M21651,'Barang Keluar'!$C:$C,N21651))</f>
        <v>0</v>
      </c>
    </row>
    <row r="21652" spans="13:16">
      <c r="M21652" s="49">
        <f>IF($A$4+216&gt;$B$4,"",$A$4+216)</f>
        <v>46239</v>
      </c>
      <c r="N21652">
        <f>IF(M21652="","",'Master Barang'!A46)</f>
        <v>0</v>
      </c>
      <c r="O21652">
        <f>IF(N21652="","",'Master Barang'!B46)</f>
        <v>0</v>
      </c>
      <c r="P21652">
        <f>IF(OR(M21652="",N21652=""),"",SUMIFS('Barang Keluar'!$E:$E,'Barang Keluar'!$A:$A,M21652,'Barang Keluar'!$C:$C,N21652))</f>
        <v>0</v>
      </c>
    </row>
    <row r="21653" spans="13:16">
      <c r="M21653" s="49">
        <f>IF($A$4+216&gt;$B$4,"",$A$4+216)</f>
        <v>46239</v>
      </c>
      <c r="N21653">
        <f>IF(M21653="","",'Master Barang'!A47)</f>
        <v>0</v>
      </c>
      <c r="O21653">
        <f>IF(N21653="","",'Master Barang'!B47)</f>
        <v>0</v>
      </c>
      <c r="P21653">
        <f>IF(OR(M21653="",N21653=""),"",SUMIFS('Barang Keluar'!$E:$E,'Barang Keluar'!$A:$A,M21653,'Barang Keluar'!$C:$C,N21653))</f>
        <v>0</v>
      </c>
    </row>
    <row r="21654" spans="13:16">
      <c r="M21654" s="49">
        <f>IF($A$4+216&gt;$B$4,"",$A$4+216)</f>
        <v>46239</v>
      </c>
      <c r="N21654">
        <f>IF(M21654="","",'Master Barang'!A48)</f>
        <v>0</v>
      </c>
      <c r="O21654">
        <f>IF(N21654="","",'Master Barang'!B48)</f>
        <v>0</v>
      </c>
      <c r="P21654">
        <f>IF(OR(M21654="",N21654=""),"",SUMIFS('Barang Keluar'!$E:$E,'Barang Keluar'!$A:$A,M21654,'Barang Keluar'!$C:$C,N21654))</f>
        <v>0</v>
      </c>
    </row>
    <row r="21655" spans="13:16">
      <c r="M21655" s="49">
        <f>IF($A$4+216&gt;$B$4,"",$A$4+216)</f>
        <v>46239</v>
      </c>
      <c r="N21655">
        <f>IF(M21655="","",'Master Barang'!A49)</f>
        <v>0</v>
      </c>
      <c r="O21655">
        <f>IF(N21655="","",'Master Barang'!B49)</f>
        <v>0</v>
      </c>
      <c r="P21655">
        <f>IF(OR(M21655="",N21655=""),"",SUMIFS('Barang Keluar'!$E:$E,'Barang Keluar'!$A:$A,M21655,'Barang Keluar'!$C:$C,N21655))</f>
        <v>0</v>
      </c>
    </row>
    <row r="21656" spans="13:16">
      <c r="M21656" s="49">
        <f>IF($A$4+216&gt;$B$4,"",$A$4+216)</f>
        <v>46239</v>
      </c>
      <c r="N21656">
        <f>IF(M21656="","",'Master Barang'!A50)</f>
        <v>0</v>
      </c>
      <c r="O21656">
        <f>IF(N21656="","",'Master Barang'!B50)</f>
        <v>0</v>
      </c>
      <c r="P21656">
        <f>IF(OR(M21656="",N21656=""),"",SUMIFS('Barang Keluar'!$E:$E,'Barang Keluar'!$A:$A,M21656,'Barang Keluar'!$C:$C,N21656))</f>
        <v>0</v>
      </c>
    </row>
    <row r="21657" spans="13:16">
      <c r="M21657" s="49">
        <f>IF($A$4+216&gt;$B$4,"",$A$4+216)</f>
        <v>46239</v>
      </c>
      <c r="N21657">
        <f>IF(M21657="","",'Master Barang'!A51)</f>
        <v>0</v>
      </c>
      <c r="O21657">
        <f>IF(N21657="","",'Master Barang'!B51)</f>
        <v>0</v>
      </c>
      <c r="P21657">
        <f>IF(OR(M21657="",N21657=""),"",SUMIFS('Barang Keluar'!$E:$E,'Barang Keluar'!$A:$A,M21657,'Barang Keluar'!$C:$C,N21657))</f>
        <v>0</v>
      </c>
    </row>
    <row r="21658" spans="13:16">
      <c r="M21658" s="49">
        <f>IF($A$4+216&gt;$B$4,"",$A$4+216)</f>
        <v>46239</v>
      </c>
      <c r="N21658">
        <f>IF(M21658="","",'Master Barang'!A52)</f>
        <v>0</v>
      </c>
      <c r="O21658">
        <f>IF(N21658="","",'Master Barang'!B52)</f>
        <v>0</v>
      </c>
      <c r="P21658">
        <f>IF(OR(M21658="",N21658=""),"",SUMIFS('Barang Keluar'!$E:$E,'Barang Keluar'!$A:$A,M21658,'Barang Keluar'!$C:$C,N21658))</f>
        <v>0</v>
      </c>
    </row>
    <row r="21659" spans="13:16">
      <c r="M21659" s="49">
        <f>IF($A$4+216&gt;$B$4,"",$A$4+216)</f>
        <v>46239</v>
      </c>
      <c r="N21659">
        <f>IF(M21659="","",'Master Barang'!A53)</f>
        <v>0</v>
      </c>
      <c r="O21659">
        <f>IF(N21659="","",'Master Barang'!B53)</f>
        <v>0</v>
      </c>
      <c r="P21659">
        <f>IF(OR(M21659="",N21659=""),"",SUMIFS('Barang Keluar'!$E:$E,'Barang Keluar'!$A:$A,M21659,'Barang Keluar'!$C:$C,N21659))</f>
        <v>0</v>
      </c>
    </row>
    <row r="21660" spans="13:16">
      <c r="M21660" s="49">
        <f>IF($A$4+216&gt;$B$4,"",$A$4+216)</f>
        <v>46239</v>
      </c>
      <c r="N21660">
        <f>IF(M21660="","",'Master Barang'!A54)</f>
        <v>0</v>
      </c>
      <c r="O21660">
        <f>IF(N21660="","",'Master Barang'!B54)</f>
        <v>0</v>
      </c>
      <c r="P21660">
        <f>IF(OR(M21660="",N21660=""),"",SUMIFS('Barang Keluar'!$E:$E,'Barang Keluar'!$A:$A,M21660,'Barang Keluar'!$C:$C,N21660))</f>
        <v>0</v>
      </c>
    </row>
    <row r="21661" spans="13:16">
      <c r="M21661" s="49">
        <f>IF($A$4+216&gt;$B$4,"",$A$4+216)</f>
        <v>46239</v>
      </c>
      <c r="N21661">
        <f>IF(M21661="","",'Master Barang'!A55)</f>
        <v>0</v>
      </c>
      <c r="O21661">
        <f>IF(N21661="","",'Master Barang'!B55)</f>
        <v>0</v>
      </c>
      <c r="P21661">
        <f>IF(OR(M21661="",N21661=""),"",SUMIFS('Barang Keluar'!$E:$E,'Barang Keluar'!$A:$A,M21661,'Barang Keluar'!$C:$C,N21661))</f>
        <v>0</v>
      </c>
    </row>
    <row r="21662" spans="13:16">
      <c r="M21662" s="49">
        <f>IF($A$4+216&gt;$B$4,"",$A$4+216)</f>
        <v>46239</v>
      </c>
      <c r="N21662">
        <f>IF(M21662="","",'Master Barang'!A56)</f>
        <v>0</v>
      </c>
      <c r="O21662">
        <f>IF(N21662="","",'Master Barang'!B56)</f>
        <v>0</v>
      </c>
      <c r="P21662">
        <f>IF(OR(M21662="",N21662=""),"",SUMIFS('Barang Keluar'!$E:$E,'Barang Keluar'!$A:$A,M21662,'Barang Keluar'!$C:$C,N21662))</f>
        <v>0</v>
      </c>
    </row>
    <row r="21663" spans="13:16">
      <c r="M21663" s="49">
        <f>IF($A$4+216&gt;$B$4,"",$A$4+216)</f>
        <v>46239</v>
      </c>
      <c r="N21663">
        <f>IF(M21663="","",'Master Barang'!A57)</f>
        <v>0</v>
      </c>
      <c r="O21663">
        <f>IF(N21663="","",'Master Barang'!B57)</f>
        <v>0</v>
      </c>
      <c r="P21663">
        <f>IF(OR(M21663="",N21663=""),"",SUMIFS('Barang Keluar'!$E:$E,'Barang Keluar'!$A:$A,M21663,'Barang Keluar'!$C:$C,N21663))</f>
        <v>0</v>
      </c>
    </row>
    <row r="21664" spans="13:16">
      <c r="M21664" s="49">
        <f>IF($A$4+216&gt;$B$4,"",$A$4+216)</f>
        <v>46239</v>
      </c>
      <c r="N21664">
        <f>IF(M21664="","",'Master Barang'!A58)</f>
        <v>0</v>
      </c>
      <c r="O21664">
        <f>IF(N21664="","",'Master Barang'!B58)</f>
        <v>0</v>
      </c>
      <c r="P21664">
        <f>IF(OR(M21664="",N21664=""),"",SUMIFS('Barang Keluar'!$E:$E,'Barang Keluar'!$A:$A,M21664,'Barang Keluar'!$C:$C,N21664))</f>
        <v>0</v>
      </c>
    </row>
    <row r="21665" spans="13:16">
      <c r="M21665" s="49">
        <f>IF($A$4+216&gt;$B$4,"",$A$4+216)</f>
        <v>46239</v>
      </c>
      <c r="N21665">
        <f>IF(M21665="","",'Master Barang'!A59)</f>
        <v>0</v>
      </c>
      <c r="O21665">
        <f>IF(N21665="","",'Master Barang'!B59)</f>
        <v>0</v>
      </c>
      <c r="P21665">
        <f>IF(OR(M21665="",N21665=""),"",SUMIFS('Barang Keluar'!$E:$E,'Barang Keluar'!$A:$A,M21665,'Barang Keluar'!$C:$C,N21665))</f>
        <v>0</v>
      </c>
    </row>
    <row r="21666" spans="13:16">
      <c r="M21666" s="49">
        <f>IF($A$4+216&gt;$B$4,"",$A$4+216)</f>
        <v>46239</v>
      </c>
      <c r="N21666">
        <f>IF(M21666="","",'Master Barang'!A60)</f>
        <v>0</v>
      </c>
      <c r="O21666">
        <f>IF(N21666="","",'Master Barang'!B60)</f>
        <v>0</v>
      </c>
      <c r="P21666">
        <f>IF(OR(M21666="",N21666=""),"",SUMIFS('Barang Keluar'!$E:$E,'Barang Keluar'!$A:$A,M21666,'Barang Keluar'!$C:$C,N21666))</f>
        <v>0</v>
      </c>
    </row>
    <row r="21667" spans="13:16">
      <c r="M21667" s="49">
        <f>IF($A$4+216&gt;$B$4,"",$A$4+216)</f>
        <v>46239</v>
      </c>
      <c r="N21667">
        <f>IF(M21667="","",'Master Barang'!A61)</f>
        <v>0</v>
      </c>
      <c r="O21667">
        <f>IF(N21667="","",'Master Barang'!B61)</f>
        <v>0</v>
      </c>
      <c r="P21667">
        <f>IF(OR(M21667="",N21667=""),"",SUMIFS('Barang Keluar'!$E:$E,'Barang Keluar'!$A:$A,M21667,'Barang Keluar'!$C:$C,N21667))</f>
        <v>0</v>
      </c>
    </row>
    <row r="21668" spans="13:16">
      <c r="M21668" s="49">
        <f>IF($A$4+216&gt;$B$4,"",$A$4+216)</f>
        <v>46239</v>
      </c>
      <c r="N21668">
        <f>IF(M21668="","",'Master Barang'!A62)</f>
        <v>0</v>
      </c>
      <c r="O21668">
        <f>IF(N21668="","",'Master Barang'!B62)</f>
        <v>0</v>
      </c>
      <c r="P21668">
        <f>IF(OR(M21668="",N21668=""),"",SUMIFS('Barang Keluar'!$E:$E,'Barang Keluar'!$A:$A,M21668,'Barang Keluar'!$C:$C,N21668))</f>
        <v>0</v>
      </c>
    </row>
    <row r="21669" spans="13:16">
      <c r="M21669" s="49">
        <f>IF($A$4+216&gt;$B$4,"",$A$4+216)</f>
        <v>46239</v>
      </c>
      <c r="N21669">
        <f>IF(M21669="","",'Master Barang'!A63)</f>
        <v>0</v>
      </c>
      <c r="O21669">
        <f>IF(N21669="","",'Master Barang'!B63)</f>
        <v>0</v>
      </c>
      <c r="P21669">
        <f>IF(OR(M21669="",N21669=""),"",SUMIFS('Barang Keluar'!$E:$E,'Barang Keluar'!$A:$A,M21669,'Barang Keluar'!$C:$C,N21669))</f>
        <v>0</v>
      </c>
    </row>
    <row r="21670" spans="13:16">
      <c r="M21670" s="49">
        <f>IF($A$4+216&gt;$B$4,"",$A$4+216)</f>
        <v>46239</v>
      </c>
      <c r="N21670">
        <f>IF(M21670="","",'Master Barang'!A64)</f>
        <v>0</v>
      </c>
      <c r="O21670">
        <f>IF(N21670="","",'Master Barang'!B64)</f>
        <v>0</v>
      </c>
      <c r="P21670">
        <f>IF(OR(M21670="",N21670=""),"",SUMIFS('Barang Keluar'!$E:$E,'Barang Keluar'!$A:$A,M21670,'Barang Keluar'!$C:$C,N21670))</f>
        <v>0</v>
      </c>
    </row>
    <row r="21671" spans="13:16">
      <c r="M21671" s="49">
        <f>IF($A$4+216&gt;$B$4,"",$A$4+216)</f>
        <v>46239</v>
      </c>
      <c r="N21671">
        <f>IF(M21671="","",'Master Barang'!A65)</f>
        <v>0</v>
      </c>
      <c r="O21671">
        <f>IF(N21671="","",'Master Barang'!B65)</f>
        <v>0</v>
      </c>
      <c r="P21671">
        <f>IF(OR(M21671="",N21671=""),"",SUMIFS('Barang Keluar'!$E:$E,'Barang Keluar'!$A:$A,M21671,'Barang Keluar'!$C:$C,N21671))</f>
        <v>0</v>
      </c>
    </row>
    <row r="21672" spans="13:16">
      <c r="M21672" s="49">
        <f>IF($A$4+216&gt;$B$4,"",$A$4+216)</f>
        <v>46239</v>
      </c>
      <c r="N21672">
        <f>IF(M21672="","",'Master Barang'!A66)</f>
        <v>0</v>
      </c>
      <c r="O21672">
        <f>IF(N21672="","",'Master Barang'!B66)</f>
        <v>0</v>
      </c>
      <c r="P21672">
        <f>IF(OR(M21672="",N21672=""),"",SUMIFS('Barang Keluar'!$E:$E,'Barang Keluar'!$A:$A,M21672,'Barang Keluar'!$C:$C,N21672))</f>
        <v>0</v>
      </c>
    </row>
    <row r="21673" spans="13:16">
      <c r="M21673" s="49">
        <f>IF($A$4+216&gt;$B$4,"",$A$4+216)</f>
        <v>46239</v>
      </c>
      <c r="N21673">
        <f>IF(M21673="","",'Master Barang'!A67)</f>
        <v>0</v>
      </c>
      <c r="O21673">
        <f>IF(N21673="","",'Master Barang'!B67)</f>
        <v>0</v>
      </c>
      <c r="P21673">
        <f>IF(OR(M21673="",N21673=""),"",SUMIFS('Barang Keluar'!$E:$E,'Barang Keluar'!$A:$A,M21673,'Barang Keluar'!$C:$C,N21673))</f>
        <v>0</v>
      </c>
    </row>
    <row r="21674" spans="13:16">
      <c r="M21674" s="49">
        <f>IF($A$4+216&gt;$B$4,"",$A$4+216)</f>
        <v>46239</v>
      </c>
      <c r="N21674">
        <f>IF(M21674="","",'Master Barang'!A68)</f>
        <v>0</v>
      </c>
      <c r="O21674">
        <f>IF(N21674="","",'Master Barang'!B68)</f>
        <v>0</v>
      </c>
      <c r="P21674">
        <f>IF(OR(M21674="",N21674=""),"",SUMIFS('Barang Keluar'!$E:$E,'Barang Keluar'!$A:$A,M21674,'Barang Keluar'!$C:$C,N21674))</f>
        <v>0</v>
      </c>
    </row>
    <row r="21675" spans="13:16">
      <c r="M21675" s="49">
        <f>IF($A$4+216&gt;$B$4,"",$A$4+216)</f>
        <v>46239</v>
      </c>
      <c r="N21675">
        <f>IF(M21675="","",'Master Barang'!A69)</f>
        <v>0</v>
      </c>
      <c r="O21675">
        <f>IF(N21675="","",'Master Barang'!B69)</f>
        <v>0</v>
      </c>
      <c r="P21675">
        <f>IF(OR(M21675="",N21675=""),"",SUMIFS('Barang Keluar'!$E:$E,'Barang Keluar'!$A:$A,M21675,'Barang Keluar'!$C:$C,N21675))</f>
        <v>0</v>
      </c>
    </row>
    <row r="21676" spans="13:16">
      <c r="M21676" s="49">
        <f>IF($A$4+216&gt;$B$4,"",$A$4+216)</f>
        <v>46239</v>
      </c>
      <c r="N21676">
        <f>IF(M21676="","",'Master Barang'!A70)</f>
        <v>0</v>
      </c>
      <c r="O21676">
        <f>IF(N21676="","",'Master Barang'!B70)</f>
        <v>0</v>
      </c>
      <c r="P21676">
        <f>IF(OR(M21676="",N21676=""),"",SUMIFS('Barang Keluar'!$E:$E,'Barang Keluar'!$A:$A,M21676,'Barang Keluar'!$C:$C,N21676))</f>
        <v>0</v>
      </c>
    </row>
    <row r="21677" spans="13:16">
      <c r="M21677" s="49">
        <f>IF($A$4+216&gt;$B$4,"",$A$4+216)</f>
        <v>46239</v>
      </c>
      <c r="N21677">
        <f>IF(M21677="","",'Master Barang'!A71)</f>
        <v>0</v>
      </c>
      <c r="O21677">
        <f>IF(N21677="","",'Master Barang'!B71)</f>
        <v>0</v>
      </c>
      <c r="P21677">
        <f>IF(OR(M21677="",N21677=""),"",SUMIFS('Barang Keluar'!$E:$E,'Barang Keluar'!$A:$A,M21677,'Barang Keluar'!$C:$C,N21677))</f>
        <v>0</v>
      </c>
    </row>
    <row r="21678" spans="13:16">
      <c r="M21678" s="49">
        <f>IF($A$4+216&gt;$B$4,"",$A$4+216)</f>
        <v>46239</v>
      </c>
      <c r="N21678">
        <f>IF(M21678="","",'Master Barang'!A72)</f>
        <v>0</v>
      </c>
      <c r="O21678">
        <f>IF(N21678="","",'Master Barang'!B72)</f>
        <v>0</v>
      </c>
      <c r="P21678">
        <f>IF(OR(M21678="",N21678=""),"",SUMIFS('Barang Keluar'!$E:$E,'Barang Keluar'!$A:$A,M21678,'Barang Keluar'!$C:$C,N21678))</f>
        <v>0</v>
      </c>
    </row>
    <row r="21679" spans="13:16">
      <c r="M21679" s="49">
        <f>IF($A$4+216&gt;$B$4,"",$A$4+216)</f>
        <v>46239</v>
      </c>
      <c r="N21679">
        <f>IF(M21679="","",'Master Barang'!A73)</f>
        <v>0</v>
      </c>
      <c r="O21679">
        <f>IF(N21679="","",'Master Barang'!B73)</f>
        <v>0</v>
      </c>
      <c r="P21679">
        <f>IF(OR(M21679="",N21679=""),"",SUMIFS('Barang Keluar'!$E:$E,'Barang Keluar'!$A:$A,M21679,'Barang Keluar'!$C:$C,N21679))</f>
        <v>0</v>
      </c>
    </row>
    <row r="21680" spans="13:16">
      <c r="M21680" s="49">
        <f>IF($A$4+216&gt;$B$4,"",$A$4+216)</f>
        <v>46239</v>
      </c>
      <c r="N21680">
        <f>IF(M21680="","",'Master Barang'!A74)</f>
        <v>0</v>
      </c>
      <c r="O21680">
        <f>IF(N21680="","",'Master Barang'!B74)</f>
        <v>0</v>
      </c>
      <c r="P21680">
        <f>IF(OR(M21680="",N21680=""),"",SUMIFS('Barang Keluar'!$E:$E,'Barang Keluar'!$A:$A,M21680,'Barang Keluar'!$C:$C,N21680))</f>
        <v>0</v>
      </c>
    </row>
    <row r="21681" spans="13:16">
      <c r="M21681" s="49">
        <f>IF($A$4+216&gt;$B$4,"",$A$4+216)</f>
        <v>46239</v>
      </c>
      <c r="N21681">
        <f>IF(M21681="","",'Master Barang'!A75)</f>
        <v>0</v>
      </c>
      <c r="O21681">
        <f>IF(N21681="","",'Master Barang'!B75)</f>
        <v>0</v>
      </c>
      <c r="P21681">
        <f>IF(OR(M21681="",N21681=""),"",SUMIFS('Barang Keluar'!$E:$E,'Barang Keluar'!$A:$A,M21681,'Barang Keluar'!$C:$C,N21681))</f>
        <v>0</v>
      </c>
    </row>
    <row r="21682" spans="13:16">
      <c r="M21682" s="49">
        <f>IF($A$4+216&gt;$B$4,"",$A$4+216)</f>
        <v>46239</v>
      </c>
      <c r="N21682">
        <f>IF(M21682="","",'Master Barang'!A76)</f>
        <v>0</v>
      </c>
      <c r="O21682">
        <f>IF(N21682="","",'Master Barang'!B76)</f>
        <v>0</v>
      </c>
      <c r="P21682">
        <f>IF(OR(M21682="",N21682=""),"",SUMIFS('Barang Keluar'!$E:$E,'Barang Keluar'!$A:$A,M21682,'Barang Keluar'!$C:$C,N21682))</f>
        <v>0</v>
      </c>
    </row>
    <row r="21683" spans="13:16">
      <c r="M21683" s="49">
        <f>IF($A$4+216&gt;$B$4,"",$A$4+216)</f>
        <v>46239</v>
      </c>
      <c r="N21683">
        <f>IF(M21683="","",'Master Barang'!A77)</f>
        <v>0</v>
      </c>
      <c r="O21683">
        <f>IF(N21683="","",'Master Barang'!B77)</f>
        <v>0</v>
      </c>
      <c r="P21683">
        <f>IF(OR(M21683="",N21683=""),"",SUMIFS('Barang Keluar'!$E:$E,'Barang Keluar'!$A:$A,M21683,'Barang Keluar'!$C:$C,N21683))</f>
        <v>0</v>
      </c>
    </row>
    <row r="21684" spans="13:16">
      <c r="M21684" s="49">
        <f>IF($A$4+216&gt;$B$4,"",$A$4+216)</f>
        <v>46239</v>
      </c>
      <c r="N21684">
        <f>IF(M21684="","",'Master Barang'!A78)</f>
        <v>0</v>
      </c>
      <c r="O21684">
        <f>IF(N21684="","",'Master Barang'!B78)</f>
        <v>0</v>
      </c>
      <c r="P21684">
        <f>IF(OR(M21684="",N21684=""),"",SUMIFS('Barang Keluar'!$E:$E,'Barang Keluar'!$A:$A,M21684,'Barang Keluar'!$C:$C,N21684))</f>
        <v>0</v>
      </c>
    </row>
    <row r="21685" spans="13:16">
      <c r="M21685" s="49">
        <f>IF($A$4+216&gt;$B$4,"",$A$4+216)</f>
        <v>46239</v>
      </c>
      <c r="N21685">
        <f>IF(M21685="","",'Master Barang'!A79)</f>
        <v>0</v>
      </c>
      <c r="O21685">
        <f>IF(N21685="","",'Master Barang'!B79)</f>
        <v>0</v>
      </c>
      <c r="P21685">
        <f>IF(OR(M21685="",N21685=""),"",SUMIFS('Barang Keluar'!$E:$E,'Barang Keluar'!$A:$A,M21685,'Barang Keluar'!$C:$C,N21685))</f>
        <v>0</v>
      </c>
    </row>
    <row r="21686" spans="13:16">
      <c r="M21686" s="49">
        <f>IF($A$4+216&gt;$B$4,"",$A$4+216)</f>
        <v>46239</v>
      </c>
      <c r="N21686">
        <f>IF(M21686="","",'Master Barang'!A80)</f>
        <v>0</v>
      </c>
      <c r="O21686">
        <f>IF(N21686="","",'Master Barang'!B80)</f>
        <v>0</v>
      </c>
      <c r="P21686">
        <f>IF(OR(M21686="",N21686=""),"",SUMIFS('Barang Keluar'!$E:$E,'Barang Keluar'!$A:$A,M21686,'Barang Keluar'!$C:$C,N21686))</f>
        <v>0</v>
      </c>
    </row>
    <row r="21687" spans="13:16">
      <c r="M21687" s="49">
        <f>IF($A$4+216&gt;$B$4,"",$A$4+216)</f>
        <v>46239</v>
      </c>
      <c r="N21687">
        <f>IF(M21687="","",'Master Barang'!A81)</f>
        <v>0</v>
      </c>
      <c r="O21687">
        <f>IF(N21687="","",'Master Barang'!B81)</f>
        <v>0</v>
      </c>
      <c r="P21687">
        <f>IF(OR(M21687="",N21687=""),"",SUMIFS('Barang Keluar'!$E:$E,'Barang Keluar'!$A:$A,M21687,'Barang Keluar'!$C:$C,N21687))</f>
        <v>0</v>
      </c>
    </row>
    <row r="21688" spans="13:16">
      <c r="M21688" s="49">
        <f>IF($A$4+216&gt;$B$4,"",$A$4+216)</f>
        <v>46239</v>
      </c>
      <c r="N21688">
        <f>IF(M21688="","",'Master Barang'!A82)</f>
        <v>0</v>
      </c>
      <c r="O21688">
        <f>IF(N21688="","",'Master Barang'!B82)</f>
        <v>0</v>
      </c>
      <c r="P21688">
        <f>IF(OR(M21688="",N21688=""),"",SUMIFS('Barang Keluar'!$E:$E,'Barang Keluar'!$A:$A,M21688,'Barang Keluar'!$C:$C,N21688))</f>
        <v>0</v>
      </c>
    </row>
    <row r="21689" spans="13:16">
      <c r="M21689" s="49">
        <f>IF($A$4+216&gt;$B$4,"",$A$4+216)</f>
        <v>46239</v>
      </c>
      <c r="N21689">
        <f>IF(M21689="","",'Master Barang'!A83)</f>
        <v>0</v>
      </c>
      <c r="O21689">
        <f>IF(N21689="","",'Master Barang'!B83)</f>
        <v>0</v>
      </c>
      <c r="P21689">
        <f>IF(OR(M21689="",N21689=""),"",SUMIFS('Barang Keluar'!$E:$E,'Barang Keluar'!$A:$A,M21689,'Barang Keluar'!$C:$C,N21689))</f>
        <v>0</v>
      </c>
    </row>
    <row r="21690" spans="13:16">
      <c r="M21690" s="49">
        <f>IF($A$4+216&gt;$B$4,"",$A$4+216)</f>
        <v>46239</v>
      </c>
      <c r="N21690">
        <f>IF(M21690="","",'Master Barang'!A84)</f>
        <v>0</v>
      </c>
      <c r="O21690">
        <f>IF(N21690="","",'Master Barang'!B84)</f>
        <v>0</v>
      </c>
      <c r="P21690">
        <f>IF(OR(M21690="",N21690=""),"",SUMIFS('Barang Keluar'!$E:$E,'Barang Keluar'!$A:$A,M21690,'Barang Keluar'!$C:$C,N21690))</f>
        <v>0</v>
      </c>
    </row>
    <row r="21691" spans="13:16">
      <c r="M21691" s="49">
        <f>IF($A$4+216&gt;$B$4,"",$A$4+216)</f>
        <v>46239</v>
      </c>
      <c r="N21691">
        <f>IF(M21691="","",'Master Barang'!A85)</f>
        <v>0</v>
      </c>
      <c r="O21691">
        <f>IF(N21691="","",'Master Barang'!B85)</f>
        <v>0</v>
      </c>
      <c r="P21691">
        <f>IF(OR(M21691="",N21691=""),"",SUMIFS('Barang Keluar'!$E:$E,'Barang Keluar'!$A:$A,M21691,'Barang Keluar'!$C:$C,N21691))</f>
        <v>0</v>
      </c>
    </row>
    <row r="21692" spans="13:16">
      <c r="M21692" s="49">
        <f>IF($A$4+216&gt;$B$4,"",$A$4+216)</f>
        <v>46239</v>
      </c>
      <c r="N21692">
        <f>IF(M21692="","",'Master Barang'!A86)</f>
        <v>0</v>
      </c>
      <c r="O21692">
        <f>IF(N21692="","",'Master Barang'!B86)</f>
        <v>0</v>
      </c>
      <c r="P21692">
        <f>IF(OR(M21692="",N21692=""),"",SUMIFS('Barang Keluar'!$E:$E,'Barang Keluar'!$A:$A,M21692,'Barang Keluar'!$C:$C,N21692))</f>
        <v>0</v>
      </c>
    </row>
    <row r="21693" spans="13:16">
      <c r="M21693" s="49">
        <f>IF($A$4+216&gt;$B$4,"",$A$4+216)</f>
        <v>46239</v>
      </c>
      <c r="N21693">
        <f>IF(M21693="","",'Master Barang'!A87)</f>
        <v>0</v>
      </c>
      <c r="O21693">
        <f>IF(N21693="","",'Master Barang'!B87)</f>
        <v>0</v>
      </c>
      <c r="P21693">
        <f>IF(OR(M21693="",N21693=""),"",SUMIFS('Barang Keluar'!$E:$E,'Barang Keluar'!$A:$A,M21693,'Barang Keluar'!$C:$C,N21693))</f>
        <v>0</v>
      </c>
    </row>
    <row r="21694" spans="13:16">
      <c r="M21694" s="49">
        <f>IF($A$4+216&gt;$B$4,"",$A$4+216)</f>
        <v>46239</v>
      </c>
      <c r="N21694">
        <f>IF(M21694="","",'Master Barang'!A88)</f>
        <v>0</v>
      </c>
      <c r="O21694">
        <f>IF(N21694="","",'Master Barang'!B88)</f>
        <v>0</v>
      </c>
      <c r="P21694">
        <f>IF(OR(M21694="",N21694=""),"",SUMIFS('Barang Keluar'!$E:$E,'Barang Keluar'!$A:$A,M21694,'Barang Keluar'!$C:$C,N21694))</f>
        <v>0</v>
      </c>
    </row>
    <row r="21695" spans="13:16">
      <c r="M21695" s="49">
        <f>IF($A$4+216&gt;$B$4,"",$A$4+216)</f>
        <v>46239</v>
      </c>
      <c r="N21695">
        <f>IF(M21695="","",'Master Barang'!A89)</f>
        <v>0</v>
      </c>
      <c r="O21695">
        <f>IF(N21695="","",'Master Barang'!B89)</f>
        <v>0</v>
      </c>
      <c r="P21695">
        <f>IF(OR(M21695="",N21695=""),"",SUMIFS('Barang Keluar'!$E:$E,'Barang Keluar'!$A:$A,M21695,'Barang Keluar'!$C:$C,N21695))</f>
        <v>0</v>
      </c>
    </row>
    <row r="21696" spans="13:16">
      <c r="M21696" s="49">
        <f>IF($A$4+216&gt;$B$4,"",$A$4+216)</f>
        <v>46239</v>
      </c>
      <c r="N21696">
        <f>IF(M21696="","",'Master Barang'!A90)</f>
        <v>0</v>
      </c>
      <c r="O21696">
        <f>IF(N21696="","",'Master Barang'!B90)</f>
        <v>0</v>
      </c>
      <c r="P21696">
        <f>IF(OR(M21696="",N21696=""),"",SUMIFS('Barang Keluar'!$E:$E,'Barang Keluar'!$A:$A,M21696,'Barang Keluar'!$C:$C,N21696))</f>
        <v>0</v>
      </c>
    </row>
    <row r="21697" spans="13:16">
      <c r="M21697" s="49">
        <f>IF($A$4+216&gt;$B$4,"",$A$4+216)</f>
        <v>46239</v>
      </c>
      <c r="N21697">
        <f>IF(M21697="","",'Master Barang'!A91)</f>
        <v>0</v>
      </c>
      <c r="O21697">
        <f>IF(N21697="","",'Master Barang'!B91)</f>
        <v>0</v>
      </c>
      <c r="P21697">
        <f>IF(OR(M21697="",N21697=""),"",SUMIFS('Barang Keluar'!$E:$E,'Barang Keluar'!$A:$A,M21697,'Barang Keluar'!$C:$C,N21697))</f>
        <v>0</v>
      </c>
    </row>
    <row r="21698" spans="13:16">
      <c r="M21698" s="49">
        <f>IF($A$4+216&gt;$B$4,"",$A$4+216)</f>
        <v>46239</v>
      </c>
      <c r="N21698">
        <f>IF(M21698="","",'Master Barang'!A92)</f>
        <v>0</v>
      </c>
      <c r="O21698">
        <f>IF(N21698="","",'Master Barang'!B92)</f>
        <v>0</v>
      </c>
      <c r="P21698">
        <f>IF(OR(M21698="",N21698=""),"",SUMIFS('Barang Keluar'!$E:$E,'Barang Keluar'!$A:$A,M21698,'Barang Keluar'!$C:$C,N21698))</f>
        <v>0</v>
      </c>
    </row>
    <row r="21699" spans="13:16">
      <c r="M21699" s="49">
        <f>IF($A$4+216&gt;$B$4,"",$A$4+216)</f>
        <v>46239</v>
      </c>
      <c r="N21699">
        <f>IF(M21699="","",'Master Barang'!A93)</f>
        <v>0</v>
      </c>
      <c r="O21699">
        <f>IF(N21699="","",'Master Barang'!B93)</f>
        <v>0</v>
      </c>
      <c r="P21699">
        <f>IF(OR(M21699="",N21699=""),"",SUMIFS('Barang Keluar'!$E:$E,'Barang Keluar'!$A:$A,M21699,'Barang Keluar'!$C:$C,N21699))</f>
        <v>0</v>
      </c>
    </row>
    <row r="21700" spans="13:16">
      <c r="M21700" s="49">
        <f>IF($A$4+216&gt;$B$4,"",$A$4+216)</f>
        <v>46239</v>
      </c>
      <c r="N21700">
        <f>IF(M21700="","",'Master Barang'!A94)</f>
        <v>0</v>
      </c>
      <c r="O21700">
        <f>IF(N21700="","",'Master Barang'!B94)</f>
        <v>0</v>
      </c>
      <c r="P21700">
        <f>IF(OR(M21700="",N21700=""),"",SUMIFS('Barang Keluar'!$E:$E,'Barang Keluar'!$A:$A,M21700,'Barang Keluar'!$C:$C,N21700))</f>
        <v>0</v>
      </c>
    </row>
    <row r="21701" spans="13:16">
      <c r="M21701" s="49">
        <f>IF($A$4+216&gt;$B$4,"",$A$4+216)</f>
        <v>46239</v>
      </c>
      <c r="N21701">
        <f>IF(M21701="","",'Master Barang'!A95)</f>
        <v>0</v>
      </c>
      <c r="O21701">
        <f>IF(N21701="","",'Master Barang'!B95)</f>
        <v>0</v>
      </c>
      <c r="P21701">
        <f>IF(OR(M21701="",N21701=""),"",SUMIFS('Barang Keluar'!$E:$E,'Barang Keluar'!$A:$A,M21701,'Barang Keluar'!$C:$C,N21701))</f>
        <v>0</v>
      </c>
    </row>
    <row r="21702" spans="13:16">
      <c r="M21702" s="49">
        <f>IF($A$4+216&gt;$B$4,"",$A$4+216)</f>
        <v>46239</v>
      </c>
      <c r="N21702">
        <f>IF(M21702="","",'Master Barang'!A96)</f>
        <v>0</v>
      </c>
      <c r="O21702">
        <f>IF(N21702="","",'Master Barang'!B96)</f>
        <v>0</v>
      </c>
      <c r="P21702">
        <f>IF(OR(M21702="",N21702=""),"",SUMIFS('Barang Keluar'!$E:$E,'Barang Keluar'!$A:$A,M21702,'Barang Keluar'!$C:$C,N21702))</f>
        <v>0</v>
      </c>
    </row>
    <row r="21703" spans="13:16">
      <c r="M21703" s="49">
        <f>IF($A$4+216&gt;$B$4,"",$A$4+216)</f>
        <v>46239</v>
      </c>
      <c r="N21703">
        <f>IF(M21703="","",'Master Barang'!A97)</f>
        <v>0</v>
      </c>
      <c r="O21703">
        <f>IF(N21703="","",'Master Barang'!B97)</f>
        <v>0</v>
      </c>
      <c r="P21703">
        <f>IF(OR(M21703="",N21703=""),"",SUMIFS('Barang Keluar'!$E:$E,'Barang Keluar'!$A:$A,M21703,'Barang Keluar'!$C:$C,N21703))</f>
        <v>0</v>
      </c>
    </row>
    <row r="21704" spans="13:16">
      <c r="M21704" s="49">
        <f>IF($A$4+216&gt;$B$4,"",$A$4+216)</f>
        <v>46239</v>
      </c>
      <c r="N21704">
        <f>IF(M21704="","",'Master Barang'!A98)</f>
        <v>0</v>
      </c>
      <c r="O21704">
        <f>IF(N21704="","",'Master Barang'!B98)</f>
        <v>0</v>
      </c>
      <c r="P21704">
        <f>IF(OR(M21704="",N21704=""),"",SUMIFS('Barang Keluar'!$E:$E,'Barang Keluar'!$A:$A,M21704,'Barang Keluar'!$C:$C,N21704))</f>
        <v>0</v>
      </c>
    </row>
    <row r="21705" spans="13:16">
      <c r="M21705" s="49">
        <f>IF($A$4+216&gt;$B$4,"",$A$4+216)</f>
        <v>46239</v>
      </c>
      <c r="N21705">
        <f>IF(M21705="","",'Master Barang'!A99)</f>
        <v>0</v>
      </c>
      <c r="O21705">
        <f>IF(N21705="","",'Master Barang'!B99)</f>
        <v>0</v>
      </c>
      <c r="P21705">
        <f>IF(OR(M21705="",N21705=""),"",SUMIFS('Barang Keluar'!$E:$E,'Barang Keluar'!$A:$A,M21705,'Barang Keluar'!$C:$C,N21705))</f>
        <v>0</v>
      </c>
    </row>
    <row r="21706" spans="13:16">
      <c r="M21706" s="49">
        <f>IF($A$4+216&gt;$B$4,"",$A$4+216)</f>
        <v>46239</v>
      </c>
      <c r="N21706">
        <f>IF(M21706="","",'Master Barang'!A100)</f>
        <v>0</v>
      </c>
      <c r="O21706">
        <f>IF(N21706="","",'Master Barang'!B100)</f>
        <v>0</v>
      </c>
      <c r="P21706">
        <f>IF(OR(M21706="",N21706=""),"",SUMIFS('Barang Keluar'!$E:$E,'Barang Keluar'!$A:$A,M21706,'Barang Keluar'!$C:$C,N21706))</f>
        <v>0</v>
      </c>
    </row>
    <row r="21707" spans="13:16">
      <c r="M21707" s="49">
        <f>IF($A$4+216&gt;$B$4,"",$A$4+216)</f>
        <v>46239</v>
      </c>
      <c r="N21707">
        <f>IF(M21707="","",'Master Barang'!A101)</f>
        <v>0</v>
      </c>
      <c r="O21707">
        <f>IF(N21707="","",'Master Barang'!B101)</f>
        <v>0</v>
      </c>
      <c r="P21707">
        <f>IF(OR(M21707="",N21707=""),"",SUMIFS('Barang Keluar'!$E:$E,'Barang Keluar'!$A:$A,M21707,'Barang Keluar'!$C:$C,N21707))</f>
        <v>0</v>
      </c>
    </row>
    <row r="21708" spans="13:16">
      <c r="M21708" s="49">
        <f>IF($A$4+217&gt;$B$4,"",$A$4+217)</f>
        <v>46240</v>
      </c>
      <c r="N21708" t="str">
        <f>IF(M21708="","",'Master Barang'!A2)</f>
        <v>PRL-001</v>
      </c>
      <c r="O21708" t="str">
        <f>IF(N21708="","",'Master Barang'!B2)</f>
        <v>natura desinfectant food grade 5l</v>
      </c>
      <c r="P21708">
        <f>IF(OR(M21708="",N21708=""),"",SUMIFS('Barang Keluar'!$E:$E,'Barang Keluar'!$A:$A,M21708,'Barang Keluar'!$C:$C,N21708))</f>
        <v>0</v>
      </c>
    </row>
    <row r="21709" spans="13:16">
      <c r="M21709" s="49">
        <f>IF($A$4+217&gt;$B$4,"",$A$4+217)</f>
        <v>46240</v>
      </c>
      <c r="N21709" t="str">
        <f>IF(M21709="","",'Master Barang'!A3)</f>
        <v>PRL-002</v>
      </c>
      <c r="O21709" t="str">
        <f>IF(N21709="","",'Master Barang'!B3)</f>
        <v>sunlight cairan pencuci piring 5l</v>
      </c>
      <c r="P21709">
        <f>IF(OR(M21709="",N21709=""),"",SUMIFS('Barang Keluar'!$E:$E,'Barang Keluar'!$A:$A,M21709,'Barang Keluar'!$C:$C,N21709))</f>
        <v>0</v>
      </c>
    </row>
    <row r="21710" spans="13:16">
      <c r="M21710" s="49">
        <f>IF($A$4+217&gt;$B$4,"",$A$4+217)</f>
        <v>46240</v>
      </c>
      <c r="N21710" t="str">
        <f>IF(M21710="","",'Master Barang'!A4)</f>
        <v>PRL-003</v>
      </c>
      <c r="O21710" t="str">
        <f>IF(N21710="","",'Master Barang'!B4)</f>
        <v>oixs cleaner 1l</v>
      </c>
      <c r="P21710">
        <f>IF(OR(M21710="",N21710=""),"",SUMIFS('Barang Keluar'!$E:$E,'Barang Keluar'!$A:$A,M21710,'Barang Keluar'!$C:$C,N21710))</f>
        <v>0</v>
      </c>
    </row>
    <row r="21711" spans="13:16">
      <c r="M21711" s="49">
        <f>IF($A$4+217&gt;$B$4,"",$A$4+217)</f>
        <v>46240</v>
      </c>
      <c r="N21711" t="str">
        <f>IF(M21711="","",'Master Barang'!A5)</f>
        <v>PRL-004</v>
      </c>
      <c r="O21711" t="str">
        <f>IF(N21711="","",'Master Barang'!B5)</f>
        <v>be clean tissue serbaguna</v>
      </c>
      <c r="P21711">
        <f>IF(OR(M21711="",N21711=""),"",SUMIFS('Barang Keluar'!$E:$E,'Barang Keluar'!$A:$A,M21711,'Barang Keluar'!$C:$C,N21711))</f>
        <v>0</v>
      </c>
    </row>
    <row r="21712" spans="13:16">
      <c r="M21712" s="49">
        <f>IF($A$4+217&gt;$B$4,"",$A$4+217)</f>
        <v>46240</v>
      </c>
      <c r="N21712" t="str">
        <f>IF(M21712="","",'Master Barang'!A6)</f>
        <v>PRL-005</v>
      </c>
      <c r="O21712" t="str">
        <f>IF(N21712="","",'Master Barang'!B6)</f>
        <v>spons cuci hijau</v>
      </c>
      <c r="P21712">
        <f>IF(OR(M21712="",N21712=""),"",SUMIFS('Barang Keluar'!$E:$E,'Barang Keluar'!$A:$A,M21712,'Barang Keluar'!$C:$C,N21712))</f>
        <v>0</v>
      </c>
    </row>
    <row r="21713" spans="13:16">
      <c r="M21713" s="49">
        <f>IF($A$4+217&gt;$B$4,"",$A$4+217)</f>
        <v>46240</v>
      </c>
      <c r="N21713" t="str">
        <f>IF(M21713="","",'Master Barang'!A7)</f>
        <v>PRL-006</v>
      </c>
      <c r="O21713" t="str">
        <f>IF(N21713="","",'Master Barang'!B7)</f>
        <v>sabut cuci stainless</v>
      </c>
      <c r="P21713">
        <f>IF(OR(M21713="",N21713=""),"",SUMIFS('Barang Keluar'!$E:$E,'Barang Keluar'!$A:$A,M21713,'Barang Keluar'!$C:$C,N21713))</f>
        <v>0</v>
      </c>
    </row>
    <row r="21714" spans="13:16">
      <c r="M21714" s="49">
        <f>IF($A$4+217&gt;$B$4,"",$A$4+217)</f>
        <v>46240</v>
      </c>
      <c r="N21714" t="str">
        <f>IF(M21714="","",'Master Barang'!A8)</f>
        <v>PRL-007</v>
      </c>
      <c r="O21714" t="str">
        <f>IF(N21714="","",'Master Barang'!B8)</f>
        <v>plastik kresek besar merah 50pc</v>
      </c>
      <c r="P21714">
        <f>IF(OR(M21714="",N21714=""),"",SUMIFS('Barang Keluar'!$E:$E,'Barang Keluar'!$A:$A,M21714,'Barang Keluar'!$C:$C,N21714))</f>
        <v>0</v>
      </c>
    </row>
    <row r="21715" spans="13:16">
      <c r="M21715" s="49">
        <f>IF($A$4+217&gt;$B$4,"",$A$4+217)</f>
        <v>46240</v>
      </c>
      <c r="N21715" t="str">
        <f>IF(M21715="","",'Master Barang'!A9)</f>
        <v>PRL-008</v>
      </c>
      <c r="O21715" t="str">
        <f>IF(N21715="","",'Master Barang'!B9)</f>
        <v>lap besar</v>
      </c>
      <c r="P21715">
        <f>IF(OR(M21715="",N21715=""),"",SUMIFS('Barang Keluar'!$E:$E,'Barang Keluar'!$A:$A,M21715,'Barang Keluar'!$C:$C,N21715))</f>
        <v>0</v>
      </c>
    </row>
    <row r="21716" spans="13:16">
      <c r="M21716" s="49">
        <f>IF($A$4+217&gt;$B$4,"",$A$4+217)</f>
        <v>46240</v>
      </c>
      <c r="N21716" t="str">
        <f>IF(M21716="","",'Master Barang'!A10)</f>
        <v>PRL-009</v>
      </c>
      <c r="O21716" t="str">
        <f>IF(N21716="","",'Master Barang'!B10)</f>
        <v>lap microfiber</v>
      </c>
      <c r="P21716">
        <f>IF(OR(M21716="",N21716=""),"",SUMIFS('Barang Keluar'!$E:$E,'Barang Keluar'!$A:$A,M21716,'Barang Keluar'!$C:$C,N21716))</f>
        <v>0</v>
      </c>
    </row>
    <row r="21717" spans="13:16">
      <c r="M21717" s="49">
        <f>IF($A$4+217&gt;$B$4,"",$A$4+217)</f>
        <v>46240</v>
      </c>
      <c r="N21717" t="str">
        <f>IF(M21717="","",'Master Barang'!A11)</f>
        <v>PRL-010</v>
      </c>
      <c r="O21717" t="str">
        <f>IF(N21717="","",'Master Barang'!B11)</f>
        <v>lap kecil</v>
      </c>
      <c r="P21717">
        <f>IF(OR(M21717="",N21717=""),"",SUMIFS('Barang Keluar'!$E:$E,'Barang Keluar'!$A:$A,M21717,'Barang Keluar'!$C:$C,N21717))</f>
        <v>0</v>
      </c>
    </row>
    <row r="21718" spans="13:16">
      <c r="M21718" s="49">
        <f>IF($A$4+217&gt;$B$4,"",$A$4+217)</f>
        <v>46240</v>
      </c>
      <c r="N21718" t="str">
        <f>IF(M21718="","",'Master Barang'!A12)</f>
        <v>PRL-011</v>
      </c>
      <c r="O21718" t="str">
        <f>IF(N21718="","",'Master Barang'!B12)</f>
        <v>kanebo kecil</v>
      </c>
      <c r="P21718">
        <f>IF(OR(M21718="",N21718=""),"",SUMIFS('Barang Keluar'!$E:$E,'Barang Keluar'!$A:$A,M21718,'Barang Keluar'!$C:$C,N21718))</f>
        <v>0</v>
      </c>
    </row>
    <row r="21719" spans="13:16">
      <c r="M21719" s="49">
        <f>IF($A$4+217&gt;$B$4,"",$A$4+217)</f>
        <v>46240</v>
      </c>
      <c r="N21719" t="str">
        <f>IF(M21719="","",'Master Barang'!A13)</f>
        <v>PRL-012</v>
      </c>
      <c r="O21719" t="str">
        <f>IF(N21719="","",'Master Barang'!B13)</f>
        <v>plastik 1/4kg joyoboyo 100 lembar</v>
      </c>
      <c r="P21719">
        <f>IF(OR(M21719="",N21719=""),"",SUMIFS('Barang Keluar'!$E:$E,'Barang Keluar'!$A:$A,M21719,'Barang Keluar'!$C:$C,N21719))</f>
        <v>0</v>
      </c>
    </row>
    <row r="21720" spans="13:16">
      <c r="M21720" s="49">
        <f>IF($A$4+217&gt;$B$4,"",$A$4+217)</f>
        <v>46240</v>
      </c>
      <c r="N21720" t="str">
        <f>IF(M21720="","",'Master Barang'!A14)</f>
        <v>PRL-013</v>
      </c>
      <c r="O21720" t="str">
        <f>IF(N21720="","",'Master Barang'!B14)</f>
        <v>sarung tangan plastik kaka 100 pcs</v>
      </c>
      <c r="P21720">
        <f>IF(OR(M21720="",N21720=""),"",SUMIFS('Barang Keluar'!$E:$E,'Barang Keluar'!$A:$A,M21720,'Barang Keluar'!$C:$C,N21720))</f>
        <v>0</v>
      </c>
    </row>
    <row r="21721" spans="13:16">
      <c r="M21721" s="49">
        <f>IF($A$4+217&gt;$B$4,"",$A$4+217)</f>
        <v>46240</v>
      </c>
      <c r="N21721" t="str">
        <f>IF(M21721="","",'Master Barang'!A15)</f>
        <v>PRL-014</v>
      </c>
      <c r="O21721" t="str">
        <f>IF(N21721="","",'Master Barang'!B15)</f>
        <v>optima trashbag 80x100</v>
      </c>
      <c r="P21721">
        <f>IF(OR(M21721="",N21721=""),"",SUMIFS('Barang Keluar'!$E:$E,'Barang Keluar'!$A:$A,M21721,'Barang Keluar'!$C:$C,N21721))</f>
        <v>0</v>
      </c>
    </row>
    <row r="21722" spans="13:16">
      <c r="M21722" s="49">
        <f>IF($A$4+217&gt;$B$4,"",$A$4+217)</f>
        <v>46240</v>
      </c>
      <c r="N21722" t="str">
        <f>IF(M21722="","",'Master Barang'!A16)</f>
        <v>PRL-015</v>
      </c>
      <c r="O21722" t="str">
        <f>IF(N21722="","",'Master Barang'!B16)</f>
        <v>optima trashbag 60x100</v>
      </c>
      <c r="P21722">
        <f>IF(OR(M21722="",N21722=""),"",SUMIFS('Barang Keluar'!$E:$E,'Barang Keluar'!$A:$A,M21722,'Barang Keluar'!$C:$C,N21722))</f>
        <v>0</v>
      </c>
    </row>
    <row r="21723" spans="13:16">
      <c r="M21723" s="49">
        <f>IF($A$4+217&gt;$B$4,"",$A$4+217)</f>
        <v>46240</v>
      </c>
      <c r="N21723" t="str">
        <f>IF(M21723="","",'Master Barang'!A17)</f>
        <v>PRL-016</v>
      </c>
      <c r="O21723" t="str">
        <f>IF(N21723="","",'Master Barang'!B17)</f>
        <v>rajawali trashbag 30x40</v>
      </c>
      <c r="P21723">
        <f>IF(OR(M21723="",N21723=""),"",SUMIFS('Barang Keluar'!$E:$E,'Barang Keluar'!$A:$A,M21723,'Barang Keluar'!$C:$C,N21723))</f>
        <v>0</v>
      </c>
    </row>
    <row r="21724" spans="13:16">
      <c r="M21724" s="49">
        <f>IF($A$4+217&gt;$B$4,"",$A$4+217)</f>
        <v>46240</v>
      </c>
      <c r="N21724" t="str">
        <f>IF(M21724="","",'Master Barang'!A18)</f>
        <v>PRL-017</v>
      </c>
      <c r="O21724" t="str">
        <f>IF(N21724="","",'Master Barang'!B18)</f>
        <v>onemed masker biru 3 play 50 pcs</v>
      </c>
      <c r="P21724">
        <f>IF(OR(M21724="",N21724=""),"",SUMIFS('Barang Keluar'!$E:$E,'Barang Keluar'!$A:$A,M21724,'Barang Keluar'!$C:$C,N21724))</f>
        <v>0</v>
      </c>
    </row>
    <row r="21725" spans="13:16">
      <c r="M21725" s="49">
        <f>IF($A$4+217&gt;$B$4,"",$A$4+217)</f>
        <v>46240</v>
      </c>
      <c r="N21725" t="str">
        <f>IF(M21725="","",'Master Barang'!A19)</f>
        <v>PRL-018</v>
      </c>
      <c r="O21725" t="str">
        <f>IF(N21725="","",'Master Barang'!B19)</f>
        <v>onemed masker biru 3 play hijab 50 pcs</v>
      </c>
      <c r="P21725">
        <f>IF(OR(M21725="",N21725=""),"",SUMIFS('Barang Keluar'!$E:$E,'Barang Keluar'!$A:$A,M21725,'Barang Keluar'!$C:$C,N21725))</f>
        <v>0</v>
      </c>
    </row>
    <row r="21726" spans="13:16">
      <c r="M21726" s="49">
        <f>IF($A$4+217&gt;$B$4,"",$A$4+217)</f>
        <v>46240</v>
      </c>
      <c r="N21726" t="str">
        <f>IF(M21726="","",'Master Barang'!A20)</f>
        <v>PRL-019</v>
      </c>
      <c r="O21726" t="str">
        <f>IF(N21726="","",'Master Barang'!B20)</f>
        <v>neo health masker biru 3 play 50 pcs</v>
      </c>
      <c r="P21726">
        <f>IF(OR(M21726="",N21726=""),"",SUMIFS('Barang Keluar'!$E:$E,'Barang Keluar'!$A:$A,M21726,'Barang Keluar'!$C:$C,N21726))</f>
        <v>0</v>
      </c>
    </row>
    <row r="21727" spans="13:16">
      <c r="M21727" s="49">
        <f>IF($A$4+217&gt;$B$4,"",$A$4+217)</f>
        <v>46240</v>
      </c>
      <c r="N21727" t="str">
        <f>IF(M21727="","",'Master Barang'!A21)</f>
        <v>PRL-020</v>
      </c>
      <c r="O21727" t="str">
        <f>IF(N21727="","",'Master Barang'!B21)</f>
        <v>baymed masker hijau 3 play hijau 50 pcs</v>
      </c>
      <c r="P21727">
        <f>IF(OR(M21727="",N21727=""),"",SUMIFS('Barang Keluar'!$E:$E,'Barang Keluar'!$A:$A,M21727,'Barang Keluar'!$C:$C,N21727))</f>
        <v>0</v>
      </c>
    </row>
    <row r="21728" spans="13:16">
      <c r="M21728" s="49">
        <f>IF($A$4+217&gt;$B$4,"",$A$4+217)</f>
        <v>46240</v>
      </c>
      <c r="N21728" t="str">
        <f>IF(M21728="","",'Master Barang'!A22)</f>
        <v>PRL-021</v>
      </c>
      <c r="O21728" t="str">
        <f>IF(N21728="","",'Master Barang'!B22)</f>
        <v>altamed nurse cap penutup kepala 100 pcs</v>
      </c>
      <c r="P21728">
        <f>IF(OR(M21728="",N21728=""),"",SUMIFS('Barang Keluar'!$E:$E,'Barang Keluar'!$A:$A,M21728,'Barang Keluar'!$C:$C,N21728))</f>
        <v>0</v>
      </c>
    </row>
    <row r="21729" spans="13:16">
      <c r="M21729" s="49">
        <f>IF($A$4+217&gt;$B$4,"",$A$4+217)</f>
        <v>46240</v>
      </c>
      <c r="N21729" t="str">
        <f>IF(M21729="","",'Master Barang'!A23)</f>
        <v>PRL-022</v>
      </c>
      <c r="O21729" t="str">
        <f>IF(N21729="","",'Master Barang'!B23)</f>
        <v>sabun cuci tangan</v>
      </c>
      <c r="P21729">
        <f>IF(OR(M21729="",N21729=""),"",SUMIFS('Barang Keluar'!$E:$E,'Barang Keluar'!$A:$A,M21729,'Barang Keluar'!$C:$C,N21729))</f>
        <v>0</v>
      </c>
    </row>
    <row r="21730" spans="13:16">
      <c r="M21730" s="49">
        <f>IF($A$4+217&gt;$B$4,"",$A$4+217)</f>
        <v>46240</v>
      </c>
      <c r="N21730" t="str">
        <f>IF(M21730="","",'Master Barang'!A24)</f>
        <v>PRL-023</v>
      </c>
      <c r="O21730" t="str">
        <f>IF(N21730="","",'Master Barang'!B24)</f>
        <v>gayung kecil</v>
      </c>
      <c r="P21730">
        <f>IF(OR(M21730="",N21730=""),"",SUMIFS('Barang Keluar'!$E:$E,'Barang Keluar'!$A:$A,M21730,'Barang Keluar'!$C:$C,N21730))</f>
        <v>0</v>
      </c>
    </row>
    <row r="21731" spans="13:16">
      <c r="M21731" s="49">
        <f>IF($A$4+217&gt;$B$4,"",$A$4+217)</f>
        <v>46240</v>
      </c>
      <c r="N21731" t="str">
        <f>IF(M21731="","",'Master Barang'!A25)</f>
        <v>PRL-024</v>
      </c>
      <c r="O21731" t="str">
        <f>IF(N21731="","",'Master Barang'!B25)</f>
        <v>cikrak kecil</v>
      </c>
      <c r="P21731">
        <f>IF(OR(M21731="",N21731=""),"",SUMIFS('Barang Keluar'!$E:$E,'Barang Keluar'!$A:$A,M21731,'Barang Keluar'!$C:$C,N21731))</f>
        <v>0</v>
      </c>
    </row>
    <row r="21732" spans="13:16">
      <c r="M21732" s="49">
        <f>IF($A$4+217&gt;$B$4,"",$A$4+217)</f>
        <v>46240</v>
      </c>
      <c r="N21732" t="str">
        <f>IF(M21732="","",'Master Barang'!A26)</f>
        <v>PRL-025</v>
      </c>
      <c r="O21732" t="str">
        <f>IF(N21732="","",'Master Barang'!B26)</f>
        <v>petromax plastik kecil 12x24 100 lembar</v>
      </c>
      <c r="P21732">
        <f>IF(OR(M21732="",N21732=""),"",SUMIFS('Barang Keluar'!$E:$E,'Barang Keluar'!$A:$A,M21732,'Barang Keluar'!$C:$C,N21732))</f>
        <v>0</v>
      </c>
    </row>
    <row r="21733" spans="13:16">
      <c r="M21733" s="49">
        <f>IF($A$4+217&gt;$B$4,"",$A$4+217)</f>
        <v>46240</v>
      </c>
      <c r="N21733" t="str">
        <f>IF(M21733="","",'Master Barang'!A27)</f>
        <v>PRL-026</v>
      </c>
      <c r="O21733" t="str">
        <f>IF(N21733="","",'Master Barang'!B27)</f>
        <v>lancar kresek kecil bening </v>
      </c>
      <c r="P21733">
        <f>IF(OR(M21733="",N21733=""),"",SUMIFS('Barang Keluar'!$E:$E,'Barang Keluar'!$A:$A,M21733,'Barang Keluar'!$C:$C,N21733))</f>
        <v>0</v>
      </c>
    </row>
    <row r="21734" spans="13:16">
      <c r="M21734" s="49">
        <f>IF($A$4+217&gt;$B$4,"",$A$4+217)</f>
        <v>46240</v>
      </c>
      <c r="N21734" t="str">
        <f>IF(M21734="","",'Master Barang'!A28)</f>
        <v>PRL-027</v>
      </c>
      <c r="O21734" t="str">
        <f>IF(N21734="","",'Master Barang'!B28)</f>
        <v>kresek klin warna warni kecil</v>
      </c>
      <c r="P21734">
        <f>IF(OR(M21734="",N21734=""),"",SUMIFS('Barang Keluar'!$E:$E,'Barang Keluar'!$A:$A,M21734,'Barang Keluar'!$C:$C,N21734))</f>
        <v>0</v>
      </c>
    </row>
    <row r="21735" spans="13:16">
      <c r="M21735" s="49">
        <f>IF($A$4+217&gt;$B$4,"",$A$4+217)</f>
        <v>46240</v>
      </c>
      <c r="N21735" t="str">
        <f>IF(M21735="","",'Master Barang'!A29)</f>
        <v>PRL-028</v>
      </c>
      <c r="O21735" t="str">
        <f>IF(N21735="","",'Master Barang'!B29)</f>
        <v>ctik plastik 7x10 100 pcs</v>
      </c>
      <c r="P21735">
        <f>IF(OR(M21735="",N21735=""),"",SUMIFS('Barang Keluar'!$E:$E,'Barang Keluar'!$A:$A,M21735,'Barang Keluar'!$C:$C,N21735))</f>
        <v>0</v>
      </c>
    </row>
    <row r="21736" spans="13:16">
      <c r="M21736" s="49">
        <f>IF($A$4+217&gt;$B$4,"",$A$4+217)</f>
        <v>46240</v>
      </c>
      <c r="N21736" t="str">
        <f>IF(M21736="","",'Master Barang'!A30)</f>
        <v>PRL-029</v>
      </c>
      <c r="O21736" t="str">
        <f>IF(N21736="","",'Master Barang'!B30)</f>
        <v>ctik plastik 6x10 100 pcs</v>
      </c>
      <c r="P21736">
        <f>IF(OR(M21736="",N21736=""),"",SUMIFS('Barang Keluar'!$E:$E,'Barang Keluar'!$A:$A,M21736,'Barang Keluar'!$C:$C,N21736))</f>
        <v>0</v>
      </c>
    </row>
    <row r="21737" spans="13:16">
      <c r="M21737" s="49">
        <f>IF($A$4+217&gt;$B$4,"",$A$4+217)</f>
        <v>46240</v>
      </c>
      <c r="N21737" t="str">
        <f>IF(M21737="","",'Master Barang'!A31)</f>
        <v>PRL-030</v>
      </c>
      <c r="O21737" t="str">
        <f>IF(N21737="","",'Master Barang'!B31)</f>
        <v>klip plastik 25x16 100 pcs</v>
      </c>
      <c r="P21737">
        <f>IF(OR(M21737="",N21737=""),"",SUMIFS('Barang Keluar'!$E:$E,'Barang Keluar'!$A:$A,M21737,'Barang Keluar'!$C:$C,N21737))</f>
        <v>0</v>
      </c>
    </row>
    <row r="21738" spans="13:16">
      <c r="M21738" s="49">
        <f>IF($A$4+217&gt;$B$4,"",$A$4+217)</f>
        <v>46240</v>
      </c>
      <c r="N21738" t="str">
        <f>IF(M21738="","",'Master Barang'!A32)</f>
        <v>PRL-031</v>
      </c>
      <c r="O21738" t="str">
        <f>IF(N21738="","",'Master Barang'!B32)</f>
        <v>tempat saus 20 ml</v>
      </c>
      <c r="P21738">
        <f>IF(OR(M21738="",N21738=""),"",SUMIFS('Barang Keluar'!$E:$E,'Barang Keluar'!$A:$A,M21738,'Barang Keluar'!$C:$C,N21738))</f>
        <v>0</v>
      </c>
    </row>
    <row r="21739" spans="13:16">
      <c r="M21739" s="49">
        <f>IF($A$4+217&gt;$B$4,"",$A$4+217)</f>
        <v>46240</v>
      </c>
      <c r="N21739" t="str">
        <f>IF(M21739="","",'Master Barang'!A33)</f>
        <v>PRL-032</v>
      </c>
      <c r="O21739" t="str">
        <f>IF(N21739="","",'Master Barang'!B33)</f>
        <v>plastik packaging ag box uk sedang</v>
      </c>
      <c r="P21739">
        <f>IF(OR(M21739="",N21739=""),"",SUMIFS('Barang Keluar'!$E:$E,'Barang Keluar'!$A:$A,M21739,'Barang Keluar'!$C:$C,N21739))</f>
        <v>0</v>
      </c>
    </row>
    <row r="21740" spans="13:16">
      <c r="M21740" s="49">
        <f>IF($A$4+217&gt;$B$4,"",$A$4+217)</f>
        <v>46240</v>
      </c>
      <c r="N21740" t="str">
        <f>IF(M21740="","",'Master Barang'!A34)</f>
        <v>PRL-033</v>
      </c>
      <c r="O21740">
        <f>IF(N21740="","",'Master Barang'!B34)</f>
        <v>0</v>
      </c>
      <c r="P21740">
        <f>IF(OR(M21740="",N21740=""),"",SUMIFS('Barang Keluar'!$E:$E,'Barang Keluar'!$A:$A,M21740,'Barang Keluar'!$C:$C,N21740))</f>
        <v>0</v>
      </c>
    </row>
    <row r="21741" spans="13:16">
      <c r="M21741" s="49">
        <f>IF($A$4+217&gt;$B$4,"",$A$4+217)</f>
        <v>46240</v>
      </c>
      <c r="N21741">
        <f>IF(M21741="","",'Master Barang'!A35)</f>
        <v>0</v>
      </c>
      <c r="O21741">
        <f>IF(N21741="","",'Master Barang'!B35)</f>
        <v>0</v>
      </c>
      <c r="P21741">
        <f>IF(OR(M21741="",N21741=""),"",SUMIFS('Barang Keluar'!$E:$E,'Barang Keluar'!$A:$A,M21741,'Barang Keluar'!$C:$C,N21741))</f>
        <v>0</v>
      </c>
    </row>
    <row r="21742" spans="13:16">
      <c r="M21742" s="49">
        <f>IF($A$4+217&gt;$B$4,"",$A$4+217)</f>
        <v>46240</v>
      </c>
      <c r="N21742">
        <f>IF(M21742="","",'Master Barang'!A36)</f>
        <v>0</v>
      </c>
      <c r="O21742">
        <f>IF(N21742="","",'Master Barang'!B36)</f>
        <v>0</v>
      </c>
      <c r="P21742">
        <f>IF(OR(M21742="",N21742=""),"",SUMIFS('Barang Keluar'!$E:$E,'Barang Keluar'!$A:$A,M21742,'Barang Keluar'!$C:$C,N21742))</f>
        <v>0</v>
      </c>
    </row>
    <row r="21743" spans="13:16">
      <c r="M21743" s="49">
        <f>IF($A$4+217&gt;$B$4,"",$A$4+217)</f>
        <v>46240</v>
      </c>
      <c r="N21743">
        <f>IF(M21743="","",'Master Barang'!A37)</f>
        <v>0</v>
      </c>
      <c r="O21743">
        <f>IF(N21743="","",'Master Barang'!B37)</f>
        <v>0</v>
      </c>
      <c r="P21743">
        <f>IF(OR(M21743="",N21743=""),"",SUMIFS('Barang Keluar'!$E:$E,'Barang Keluar'!$A:$A,M21743,'Barang Keluar'!$C:$C,N21743))</f>
        <v>0</v>
      </c>
    </row>
    <row r="21744" spans="13:16">
      <c r="M21744" s="49">
        <f>IF($A$4+217&gt;$B$4,"",$A$4+217)</f>
        <v>46240</v>
      </c>
      <c r="N21744">
        <f>IF(M21744="","",'Master Barang'!A38)</f>
        <v>0</v>
      </c>
      <c r="O21744">
        <f>IF(N21744="","",'Master Barang'!B38)</f>
        <v>0</v>
      </c>
      <c r="P21744">
        <f>IF(OR(M21744="",N21744=""),"",SUMIFS('Barang Keluar'!$E:$E,'Barang Keluar'!$A:$A,M21744,'Barang Keluar'!$C:$C,N21744))</f>
        <v>0</v>
      </c>
    </row>
    <row r="21745" spans="13:16">
      <c r="M21745" s="49">
        <f>IF($A$4+217&gt;$B$4,"",$A$4+217)</f>
        <v>46240</v>
      </c>
      <c r="N21745">
        <f>IF(M21745="","",'Master Barang'!A39)</f>
        <v>0</v>
      </c>
      <c r="O21745">
        <f>IF(N21745="","",'Master Barang'!B39)</f>
        <v>0</v>
      </c>
      <c r="P21745">
        <f>IF(OR(M21745="",N21745=""),"",SUMIFS('Barang Keluar'!$E:$E,'Barang Keluar'!$A:$A,M21745,'Barang Keluar'!$C:$C,N21745))</f>
        <v>0</v>
      </c>
    </row>
    <row r="21746" spans="13:16">
      <c r="M21746" s="49">
        <f>IF($A$4+217&gt;$B$4,"",$A$4+217)</f>
        <v>46240</v>
      </c>
      <c r="N21746">
        <f>IF(M21746="","",'Master Barang'!A40)</f>
        <v>0</v>
      </c>
      <c r="O21746">
        <f>IF(N21746="","",'Master Barang'!B40)</f>
        <v>0</v>
      </c>
      <c r="P21746">
        <f>IF(OR(M21746="",N21746=""),"",SUMIFS('Barang Keluar'!$E:$E,'Barang Keluar'!$A:$A,M21746,'Barang Keluar'!$C:$C,N21746))</f>
        <v>0</v>
      </c>
    </row>
    <row r="21747" spans="13:16">
      <c r="M21747" s="49">
        <f>IF($A$4+217&gt;$B$4,"",$A$4+217)</f>
        <v>46240</v>
      </c>
      <c r="N21747">
        <f>IF(M21747="","",'Master Barang'!A41)</f>
        <v>0</v>
      </c>
      <c r="O21747">
        <f>IF(N21747="","",'Master Barang'!B41)</f>
        <v>0</v>
      </c>
      <c r="P21747">
        <f>IF(OR(M21747="",N21747=""),"",SUMIFS('Barang Keluar'!$E:$E,'Barang Keluar'!$A:$A,M21747,'Barang Keluar'!$C:$C,N21747))</f>
        <v>0</v>
      </c>
    </row>
    <row r="21748" spans="13:16">
      <c r="M21748" s="49">
        <f>IF($A$4+217&gt;$B$4,"",$A$4+217)</f>
        <v>46240</v>
      </c>
      <c r="N21748">
        <f>IF(M21748="","",'Master Barang'!A42)</f>
        <v>0</v>
      </c>
      <c r="O21748">
        <f>IF(N21748="","",'Master Barang'!B42)</f>
        <v>0</v>
      </c>
      <c r="P21748">
        <f>IF(OR(M21748="",N21748=""),"",SUMIFS('Barang Keluar'!$E:$E,'Barang Keluar'!$A:$A,M21748,'Barang Keluar'!$C:$C,N21748))</f>
        <v>0</v>
      </c>
    </row>
    <row r="21749" spans="13:16">
      <c r="M21749" s="49">
        <f>IF($A$4+217&gt;$B$4,"",$A$4+217)</f>
        <v>46240</v>
      </c>
      <c r="N21749">
        <f>IF(M21749="","",'Master Barang'!A43)</f>
        <v>0</v>
      </c>
      <c r="O21749">
        <f>IF(N21749="","",'Master Barang'!B43)</f>
        <v>0</v>
      </c>
      <c r="P21749">
        <f>IF(OR(M21749="",N21749=""),"",SUMIFS('Barang Keluar'!$E:$E,'Barang Keluar'!$A:$A,M21749,'Barang Keluar'!$C:$C,N21749))</f>
        <v>0</v>
      </c>
    </row>
    <row r="21750" spans="13:16">
      <c r="M21750" s="49">
        <f>IF($A$4+217&gt;$B$4,"",$A$4+217)</f>
        <v>46240</v>
      </c>
      <c r="N21750">
        <f>IF(M21750="","",'Master Barang'!A44)</f>
        <v>0</v>
      </c>
      <c r="O21750">
        <f>IF(N21750="","",'Master Barang'!B44)</f>
        <v>0</v>
      </c>
      <c r="P21750">
        <f>IF(OR(M21750="",N21750=""),"",SUMIFS('Barang Keluar'!$E:$E,'Barang Keluar'!$A:$A,M21750,'Barang Keluar'!$C:$C,N21750))</f>
        <v>0</v>
      </c>
    </row>
    <row r="21751" spans="13:16">
      <c r="M21751" s="49">
        <f>IF($A$4+217&gt;$B$4,"",$A$4+217)</f>
        <v>46240</v>
      </c>
      <c r="N21751">
        <f>IF(M21751="","",'Master Barang'!A45)</f>
        <v>0</v>
      </c>
      <c r="O21751">
        <f>IF(N21751="","",'Master Barang'!B45)</f>
        <v>0</v>
      </c>
      <c r="P21751">
        <f>IF(OR(M21751="",N21751=""),"",SUMIFS('Barang Keluar'!$E:$E,'Barang Keluar'!$A:$A,M21751,'Barang Keluar'!$C:$C,N21751))</f>
        <v>0</v>
      </c>
    </row>
    <row r="21752" spans="13:16">
      <c r="M21752" s="49">
        <f>IF($A$4+217&gt;$B$4,"",$A$4+217)</f>
        <v>46240</v>
      </c>
      <c r="N21752">
        <f>IF(M21752="","",'Master Barang'!A46)</f>
        <v>0</v>
      </c>
      <c r="O21752">
        <f>IF(N21752="","",'Master Barang'!B46)</f>
        <v>0</v>
      </c>
      <c r="P21752">
        <f>IF(OR(M21752="",N21752=""),"",SUMIFS('Barang Keluar'!$E:$E,'Barang Keluar'!$A:$A,M21752,'Barang Keluar'!$C:$C,N21752))</f>
        <v>0</v>
      </c>
    </row>
    <row r="21753" spans="13:16">
      <c r="M21753" s="49">
        <f>IF($A$4+217&gt;$B$4,"",$A$4+217)</f>
        <v>46240</v>
      </c>
      <c r="N21753">
        <f>IF(M21753="","",'Master Barang'!A47)</f>
        <v>0</v>
      </c>
      <c r="O21753">
        <f>IF(N21753="","",'Master Barang'!B47)</f>
        <v>0</v>
      </c>
      <c r="P21753">
        <f>IF(OR(M21753="",N21753=""),"",SUMIFS('Barang Keluar'!$E:$E,'Barang Keluar'!$A:$A,M21753,'Barang Keluar'!$C:$C,N21753))</f>
        <v>0</v>
      </c>
    </row>
    <row r="21754" spans="13:16">
      <c r="M21754" s="49">
        <f>IF($A$4+217&gt;$B$4,"",$A$4+217)</f>
        <v>46240</v>
      </c>
      <c r="N21754">
        <f>IF(M21754="","",'Master Barang'!A48)</f>
        <v>0</v>
      </c>
      <c r="O21754">
        <f>IF(N21754="","",'Master Barang'!B48)</f>
        <v>0</v>
      </c>
      <c r="P21754">
        <f>IF(OR(M21754="",N21754=""),"",SUMIFS('Barang Keluar'!$E:$E,'Barang Keluar'!$A:$A,M21754,'Barang Keluar'!$C:$C,N21754))</f>
        <v>0</v>
      </c>
    </row>
    <row r="21755" spans="13:16">
      <c r="M21755" s="49">
        <f>IF($A$4+217&gt;$B$4,"",$A$4+217)</f>
        <v>46240</v>
      </c>
      <c r="N21755">
        <f>IF(M21755="","",'Master Barang'!A49)</f>
        <v>0</v>
      </c>
      <c r="O21755">
        <f>IF(N21755="","",'Master Barang'!B49)</f>
        <v>0</v>
      </c>
      <c r="P21755">
        <f>IF(OR(M21755="",N21755=""),"",SUMIFS('Barang Keluar'!$E:$E,'Barang Keluar'!$A:$A,M21755,'Barang Keluar'!$C:$C,N21755))</f>
        <v>0</v>
      </c>
    </row>
    <row r="21756" spans="13:16">
      <c r="M21756" s="49">
        <f>IF($A$4+217&gt;$B$4,"",$A$4+217)</f>
        <v>46240</v>
      </c>
      <c r="N21756">
        <f>IF(M21756="","",'Master Barang'!A50)</f>
        <v>0</v>
      </c>
      <c r="O21756">
        <f>IF(N21756="","",'Master Barang'!B50)</f>
        <v>0</v>
      </c>
      <c r="P21756">
        <f>IF(OR(M21756="",N21756=""),"",SUMIFS('Barang Keluar'!$E:$E,'Barang Keluar'!$A:$A,M21756,'Barang Keluar'!$C:$C,N21756))</f>
        <v>0</v>
      </c>
    </row>
    <row r="21757" spans="13:16">
      <c r="M21757" s="49">
        <f>IF($A$4+217&gt;$B$4,"",$A$4+217)</f>
        <v>46240</v>
      </c>
      <c r="N21757">
        <f>IF(M21757="","",'Master Barang'!A51)</f>
        <v>0</v>
      </c>
      <c r="O21757">
        <f>IF(N21757="","",'Master Barang'!B51)</f>
        <v>0</v>
      </c>
      <c r="P21757">
        <f>IF(OR(M21757="",N21757=""),"",SUMIFS('Barang Keluar'!$E:$E,'Barang Keluar'!$A:$A,M21757,'Barang Keluar'!$C:$C,N21757))</f>
        <v>0</v>
      </c>
    </row>
    <row r="21758" spans="13:16">
      <c r="M21758" s="49">
        <f>IF($A$4+217&gt;$B$4,"",$A$4+217)</f>
        <v>46240</v>
      </c>
      <c r="N21758">
        <f>IF(M21758="","",'Master Barang'!A52)</f>
        <v>0</v>
      </c>
      <c r="O21758">
        <f>IF(N21758="","",'Master Barang'!B52)</f>
        <v>0</v>
      </c>
      <c r="P21758">
        <f>IF(OR(M21758="",N21758=""),"",SUMIFS('Barang Keluar'!$E:$E,'Barang Keluar'!$A:$A,M21758,'Barang Keluar'!$C:$C,N21758))</f>
        <v>0</v>
      </c>
    </row>
    <row r="21759" spans="13:16">
      <c r="M21759" s="49">
        <f>IF($A$4+217&gt;$B$4,"",$A$4+217)</f>
        <v>46240</v>
      </c>
      <c r="N21759">
        <f>IF(M21759="","",'Master Barang'!A53)</f>
        <v>0</v>
      </c>
      <c r="O21759">
        <f>IF(N21759="","",'Master Barang'!B53)</f>
        <v>0</v>
      </c>
      <c r="P21759">
        <f>IF(OR(M21759="",N21759=""),"",SUMIFS('Barang Keluar'!$E:$E,'Barang Keluar'!$A:$A,M21759,'Barang Keluar'!$C:$C,N21759))</f>
        <v>0</v>
      </c>
    </row>
    <row r="21760" spans="13:16">
      <c r="M21760" s="49">
        <f>IF($A$4+217&gt;$B$4,"",$A$4+217)</f>
        <v>46240</v>
      </c>
      <c r="N21760">
        <f>IF(M21760="","",'Master Barang'!A54)</f>
        <v>0</v>
      </c>
      <c r="O21760">
        <f>IF(N21760="","",'Master Barang'!B54)</f>
        <v>0</v>
      </c>
      <c r="P21760">
        <f>IF(OR(M21760="",N21760=""),"",SUMIFS('Barang Keluar'!$E:$E,'Barang Keluar'!$A:$A,M21760,'Barang Keluar'!$C:$C,N21760))</f>
        <v>0</v>
      </c>
    </row>
    <row r="21761" spans="13:16">
      <c r="M21761" s="49">
        <f>IF($A$4+217&gt;$B$4,"",$A$4+217)</f>
        <v>46240</v>
      </c>
      <c r="N21761">
        <f>IF(M21761="","",'Master Barang'!A55)</f>
        <v>0</v>
      </c>
      <c r="O21761">
        <f>IF(N21761="","",'Master Barang'!B55)</f>
        <v>0</v>
      </c>
      <c r="P21761">
        <f>IF(OR(M21761="",N21761=""),"",SUMIFS('Barang Keluar'!$E:$E,'Barang Keluar'!$A:$A,M21761,'Barang Keluar'!$C:$C,N21761))</f>
        <v>0</v>
      </c>
    </row>
    <row r="21762" spans="13:16">
      <c r="M21762" s="49">
        <f>IF($A$4+217&gt;$B$4,"",$A$4+217)</f>
        <v>46240</v>
      </c>
      <c r="N21762">
        <f>IF(M21762="","",'Master Barang'!A56)</f>
        <v>0</v>
      </c>
      <c r="O21762">
        <f>IF(N21762="","",'Master Barang'!B56)</f>
        <v>0</v>
      </c>
      <c r="P21762">
        <f>IF(OR(M21762="",N21762=""),"",SUMIFS('Barang Keluar'!$E:$E,'Barang Keluar'!$A:$A,M21762,'Barang Keluar'!$C:$C,N21762))</f>
        <v>0</v>
      </c>
    </row>
    <row r="21763" spans="13:16">
      <c r="M21763" s="49">
        <f>IF($A$4+217&gt;$B$4,"",$A$4+217)</f>
        <v>46240</v>
      </c>
      <c r="N21763">
        <f>IF(M21763="","",'Master Barang'!A57)</f>
        <v>0</v>
      </c>
      <c r="O21763">
        <f>IF(N21763="","",'Master Barang'!B57)</f>
        <v>0</v>
      </c>
      <c r="P21763">
        <f>IF(OR(M21763="",N21763=""),"",SUMIFS('Barang Keluar'!$E:$E,'Barang Keluar'!$A:$A,M21763,'Barang Keluar'!$C:$C,N21763))</f>
        <v>0</v>
      </c>
    </row>
    <row r="21764" spans="13:16">
      <c r="M21764" s="49">
        <f>IF($A$4+217&gt;$B$4,"",$A$4+217)</f>
        <v>46240</v>
      </c>
      <c r="N21764">
        <f>IF(M21764="","",'Master Barang'!A58)</f>
        <v>0</v>
      </c>
      <c r="O21764">
        <f>IF(N21764="","",'Master Barang'!B58)</f>
        <v>0</v>
      </c>
      <c r="P21764">
        <f>IF(OR(M21764="",N21764=""),"",SUMIFS('Barang Keluar'!$E:$E,'Barang Keluar'!$A:$A,M21764,'Barang Keluar'!$C:$C,N21764))</f>
        <v>0</v>
      </c>
    </row>
    <row r="21765" spans="13:16">
      <c r="M21765" s="49">
        <f>IF($A$4+217&gt;$B$4,"",$A$4+217)</f>
        <v>46240</v>
      </c>
      <c r="N21765">
        <f>IF(M21765="","",'Master Barang'!A59)</f>
        <v>0</v>
      </c>
      <c r="O21765">
        <f>IF(N21765="","",'Master Barang'!B59)</f>
        <v>0</v>
      </c>
      <c r="P21765">
        <f>IF(OR(M21765="",N21765=""),"",SUMIFS('Barang Keluar'!$E:$E,'Barang Keluar'!$A:$A,M21765,'Barang Keluar'!$C:$C,N21765))</f>
        <v>0</v>
      </c>
    </row>
    <row r="21766" spans="13:16">
      <c r="M21766" s="49">
        <f>IF($A$4+217&gt;$B$4,"",$A$4+217)</f>
        <v>46240</v>
      </c>
      <c r="N21766">
        <f>IF(M21766="","",'Master Barang'!A60)</f>
        <v>0</v>
      </c>
      <c r="O21766">
        <f>IF(N21766="","",'Master Barang'!B60)</f>
        <v>0</v>
      </c>
      <c r="P21766">
        <f>IF(OR(M21766="",N21766=""),"",SUMIFS('Barang Keluar'!$E:$E,'Barang Keluar'!$A:$A,M21766,'Barang Keluar'!$C:$C,N21766))</f>
        <v>0</v>
      </c>
    </row>
    <row r="21767" spans="13:16">
      <c r="M21767" s="49">
        <f>IF($A$4+217&gt;$B$4,"",$A$4+217)</f>
        <v>46240</v>
      </c>
      <c r="N21767">
        <f>IF(M21767="","",'Master Barang'!A61)</f>
        <v>0</v>
      </c>
      <c r="O21767">
        <f>IF(N21767="","",'Master Barang'!B61)</f>
        <v>0</v>
      </c>
      <c r="P21767">
        <f>IF(OR(M21767="",N21767=""),"",SUMIFS('Barang Keluar'!$E:$E,'Barang Keluar'!$A:$A,M21767,'Barang Keluar'!$C:$C,N21767))</f>
        <v>0</v>
      </c>
    </row>
    <row r="21768" spans="13:16">
      <c r="M21768" s="49">
        <f>IF($A$4+217&gt;$B$4,"",$A$4+217)</f>
        <v>46240</v>
      </c>
      <c r="N21768">
        <f>IF(M21768="","",'Master Barang'!A62)</f>
        <v>0</v>
      </c>
      <c r="O21768">
        <f>IF(N21768="","",'Master Barang'!B62)</f>
        <v>0</v>
      </c>
      <c r="P21768">
        <f>IF(OR(M21768="",N21768=""),"",SUMIFS('Barang Keluar'!$E:$E,'Barang Keluar'!$A:$A,M21768,'Barang Keluar'!$C:$C,N21768))</f>
        <v>0</v>
      </c>
    </row>
    <row r="21769" spans="13:16">
      <c r="M21769" s="49">
        <f>IF($A$4+217&gt;$B$4,"",$A$4+217)</f>
        <v>46240</v>
      </c>
      <c r="N21769">
        <f>IF(M21769="","",'Master Barang'!A63)</f>
        <v>0</v>
      </c>
      <c r="O21769">
        <f>IF(N21769="","",'Master Barang'!B63)</f>
        <v>0</v>
      </c>
      <c r="P21769">
        <f>IF(OR(M21769="",N21769=""),"",SUMIFS('Barang Keluar'!$E:$E,'Barang Keluar'!$A:$A,M21769,'Barang Keluar'!$C:$C,N21769))</f>
        <v>0</v>
      </c>
    </row>
    <row r="21770" spans="13:16">
      <c r="M21770" s="49">
        <f>IF($A$4+217&gt;$B$4,"",$A$4+217)</f>
        <v>46240</v>
      </c>
      <c r="N21770">
        <f>IF(M21770="","",'Master Barang'!A64)</f>
        <v>0</v>
      </c>
      <c r="O21770">
        <f>IF(N21770="","",'Master Barang'!B64)</f>
        <v>0</v>
      </c>
      <c r="P21770">
        <f>IF(OR(M21770="",N21770=""),"",SUMIFS('Barang Keluar'!$E:$E,'Barang Keluar'!$A:$A,M21770,'Barang Keluar'!$C:$C,N21770))</f>
        <v>0</v>
      </c>
    </row>
    <row r="21771" spans="13:16">
      <c r="M21771" s="49">
        <f>IF($A$4+217&gt;$B$4,"",$A$4+217)</f>
        <v>46240</v>
      </c>
      <c r="N21771">
        <f>IF(M21771="","",'Master Barang'!A65)</f>
        <v>0</v>
      </c>
      <c r="O21771">
        <f>IF(N21771="","",'Master Barang'!B65)</f>
        <v>0</v>
      </c>
      <c r="P21771">
        <f>IF(OR(M21771="",N21771=""),"",SUMIFS('Barang Keluar'!$E:$E,'Barang Keluar'!$A:$A,M21771,'Barang Keluar'!$C:$C,N21771))</f>
        <v>0</v>
      </c>
    </row>
    <row r="21772" spans="13:16">
      <c r="M21772" s="49">
        <f>IF($A$4+217&gt;$B$4,"",$A$4+217)</f>
        <v>46240</v>
      </c>
      <c r="N21772">
        <f>IF(M21772="","",'Master Barang'!A66)</f>
        <v>0</v>
      </c>
      <c r="O21772">
        <f>IF(N21772="","",'Master Barang'!B66)</f>
        <v>0</v>
      </c>
      <c r="P21772">
        <f>IF(OR(M21772="",N21772=""),"",SUMIFS('Barang Keluar'!$E:$E,'Barang Keluar'!$A:$A,M21772,'Barang Keluar'!$C:$C,N21772))</f>
        <v>0</v>
      </c>
    </row>
    <row r="21773" spans="13:16">
      <c r="M21773" s="49">
        <f>IF($A$4+217&gt;$B$4,"",$A$4+217)</f>
        <v>46240</v>
      </c>
      <c r="N21773">
        <f>IF(M21773="","",'Master Barang'!A67)</f>
        <v>0</v>
      </c>
      <c r="O21773">
        <f>IF(N21773="","",'Master Barang'!B67)</f>
        <v>0</v>
      </c>
      <c r="P21773">
        <f>IF(OR(M21773="",N21773=""),"",SUMIFS('Barang Keluar'!$E:$E,'Barang Keluar'!$A:$A,M21773,'Barang Keluar'!$C:$C,N21773))</f>
        <v>0</v>
      </c>
    </row>
    <row r="21774" spans="13:16">
      <c r="M21774" s="49">
        <f>IF($A$4+217&gt;$B$4,"",$A$4+217)</f>
        <v>46240</v>
      </c>
      <c r="N21774">
        <f>IF(M21774="","",'Master Barang'!A68)</f>
        <v>0</v>
      </c>
      <c r="O21774">
        <f>IF(N21774="","",'Master Barang'!B68)</f>
        <v>0</v>
      </c>
      <c r="P21774">
        <f>IF(OR(M21774="",N21774=""),"",SUMIFS('Barang Keluar'!$E:$E,'Barang Keluar'!$A:$A,M21774,'Barang Keluar'!$C:$C,N21774))</f>
        <v>0</v>
      </c>
    </row>
    <row r="21775" spans="13:16">
      <c r="M21775" s="49">
        <f>IF($A$4+217&gt;$B$4,"",$A$4+217)</f>
        <v>46240</v>
      </c>
      <c r="N21775">
        <f>IF(M21775="","",'Master Barang'!A69)</f>
        <v>0</v>
      </c>
      <c r="O21775">
        <f>IF(N21775="","",'Master Barang'!B69)</f>
        <v>0</v>
      </c>
      <c r="P21775">
        <f>IF(OR(M21775="",N21775=""),"",SUMIFS('Barang Keluar'!$E:$E,'Barang Keluar'!$A:$A,M21775,'Barang Keluar'!$C:$C,N21775))</f>
        <v>0</v>
      </c>
    </row>
    <row r="21776" spans="13:16">
      <c r="M21776" s="49">
        <f>IF($A$4+217&gt;$B$4,"",$A$4+217)</f>
        <v>46240</v>
      </c>
      <c r="N21776">
        <f>IF(M21776="","",'Master Barang'!A70)</f>
        <v>0</v>
      </c>
      <c r="O21776">
        <f>IF(N21776="","",'Master Barang'!B70)</f>
        <v>0</v>
      </c>
      <c r="P21776">
        <f>IF(OR(M21776="",N21776=""),"",SUMIFS('Barang Keluar'!$E:$E,'Barang Keluar'!$A:$A,M21776,'Barang Keluar'!$C:$C,N21776))</f>
        <v>0</v>
      </c>
    </row>
    <row r="21777" spans="13:16">
      <c r="M21777" s="49">
        <f>IF($A$4+217&gt;$B$4,"",$A$4+217)</f>
        <v>46240</v>
      </c>
      <c r="N21777">
        <f>IF(M21777="","",'Master Barang'!A71)</f>
        <v>0</v>
      </c>
      <c r="O21777">
        <f>IF(N21777="","",'Master Barang'!B71)</f>
        <v>0</v>
      </c>
      <c r="P21777">
        <f>IF(OR(M21777="",N21777=""),"",SUMIFS('Barang Keluar'!$E:$E,'Barang Keluar'!$A:$A,M21777,'Barang Keluar'!$C:$C,N21777))</f>
        <v>0</v>
      </c>
    </row>
    <row r="21778" spans="13:16">
      <c r="M21778" s="49">
        <f>IF($A$4+217&gt;$B$4,"",$A$4+217)</f>
        <v>46240</v>
      </c>
      <c r="N21778">
        <f>IF(M21778="","",'Master Barang'!A72)</f>
        <v>0</v>
      </c>
      <c r="O21778">
        <f>IF(N21778="","",'Master Barang'!B72)</f>
        <v>0</v>
      </c>
      <c r="P21778">
        <f>IF(OR(M21778="",N21778=""),"",SUMIFS('Barang Keluar'!$E:$E,'Barang Keluar'!$A:$A,M21778,'Barang Keluar'!$C:$C,N21778))</f>
        <v>0</v>
      </c>
    </row>
    <row r="21779" spans="13:16">
      <c r="M21779" s="49">
        <f>IF($A$4+217&gt;$B$4,"",$A$4+217)</f>
        <v>46240</v>
      </c>
      <c r="N21779">
        <f>IF(M21779="","",'Master Barang'!A73)</f>
        <v>0</v>
      </c>
      <c r="O21779">
        <f>IF(N21779="","",'Master Barang'!B73)</f>
        <v>0</v>
      </c>
      <c r="P21779">
        <f>IF(OR(M21779="",N21779=""),"",SUMIFS('Barang Keluar'!$E:$E,'Barang Keluar'!$A:$A,M21779,'Barang Keluar'!$C:$C,N21779))</f>
        <v>0</v>
      </c>
    </row>
    <row r="21780" spans="13:16">
      <c r="M21780" s="49">
        <f>IF($A$4+217&gt;$B$4,"",$A$4+217)</f>
        <v>46240</v>
      </c>
      <c r="N21780">
        <f>IF(M21780="","",'Master Barang'!A74)</f>
        <v>0</v>
      </c>
      <c r="O21780">
        <f>IF(N21780="","",'Master Barang'!B74)</f>
        <v>0</v>
      </c>
      <c r="P21780">
        <f>IF(OR(M21780="",N21780=""),"",SUMIFS('Barang Keluar'!$E:$E,'Barang Keluar'!$A:$A,M21780,'Barang Keluar'!$C:$C,N21780))</f>
        <v>0</v>
      </c>
    </row>
    <row r="21781" spans="13:16">
      <c r="M21781" s="49">
        <f>IF($A$4+217&gt;$B$4,"",$A$4+217)</f>
        <v>46240</v>
      </c>
      <c r="N21781">
        <f>IF(M21781="","",'Master Barang'!A75)</f>
        <v>0</v>
      </c>
      <c r="O21781">
        <f>IF(N21781="","",'Master Barang'!B75)</f>
        <v>0</v>
      </c>
      <c r="P21781">
        <f>IF(OR(M21781="",N21781=""),"",SUMIFS('Barang Keluar'!$E:$E,'Barang Keluar'!$A:$A,M21781,'Barang Keluar'!$C:$C,N21781))</f>
        <v>0</v>
      </c>
    </row>
    <row r="21782" spans="13:16">
      <c r="M21782" s="49">
        <f>IF($A$4+217&gt;$B$4,"",$A$4+217)</f>
        <v>46240</v>
      </c>
      <c r="N21782">
        <f>IF(M21782="","",'Master Barang'!A76)</f>
        <v>0</v>
      </c>
      <c r="O21782">
        <f>IF(N21782="","",'Master Barang'!B76)</f>
        <v>0</v>
      </c>
      <c r="P21782">
        <f>IF(OR(M21782="",N21782=""),"",SUMIFS('Barang Keluar'!$E:$E,'Barang Keluar'!$A:$A,M21782,'Barang Keluar'!$C:$C,N21782))</f>
        <v>0</v>
      </c>
    </row>
    <row r="21783" spans="13:16">
      <c r="M21783" s="49">
        <f>IF($A$4+217&gt;$B$4,"",$A$4+217)</f>
        <v>46240</v>
      </c>
      <c r="N21783">
        <f>IF(M21783="","",'Master Barang'!A77)</f>
        <v>0</v>
      </c>
      <c r="O21783">
        <f>IF(N21783="","",'Master Barang'!B77)</f>
        <v>0</v>
      </c>
      <c r="P21783">
        <f>IF(OR(M21783="",N21783=""),"",SUMIFS('Barang Keluar'!$E:$E,'Barang Keluar'!$A:$A,M21783,'Barang Keluar'!$C:$C,N21783))</f>
        <v>0</v>
      </c>
    </row>
    <row r="21784" spans="13:16">
      <c r="M21784" s="49">
        <f>IF($A$4+217&gt;$B$4,"",$A$4+217)</f>
        <v>46240</v>
      </c>
      <c r="N21784">
        <f>IF(M21784="","",'Master Barang'!A78)</f>
        <v>0</v>
      </c>
      <c r="O21784">
        <f>IF(N21784="","",'Master Barang'!B78)</f>
        <v>0</v>
      </c>
      <c r="P21784">
        <f>IF(OR(M21784="",N21784=""),"",SUMIFS('Barang Keluar'!$E:$E,'Barang Keluar'!$A:$A,M21784,'Barang Keluar'!$C:$C,N21784))</f>
        <v>0</v>
      </c>
    </row>
    <row r="21785" spans="13:16">
      <c r="M21785" s="49">
        <f>IF($A$4+217&gt;$B$4,"",$A$4+217)</f>
        <v>46240</v>
      </c>
      <c r="N21785">
        <f>IF(M21785="","",'Master Barang'!A79)</f>
        <v>0</v>
      </c>
      <c r="O21785">
        <f>IF(N21785="","",'Master Barang'!B79)</f>
        <v>0</v>
      </c>
      <c r="P21785">
        <f>IF(OR(M21785="",N21785=""),"",SUMIFS('Barang Keluar'!$E:$E,'Barang Keluar'!$A:$A,M21785,'Barang Keluar'!$C:$C,N21785))</f>
        <v>0</v>
      </c>
    </row>
    <row r="21786" spans="13:16">
      <c r="M21786" s="49">
        <f>IF($A$4+217&gt;$B$4,"",$A$4+217)</f>
        <v>46240</v>
      </c>
      <c r="N21786">
        <f>IF(M21786="","",'Master Barang'!A80)</f>
        <v>0</v>
      </c>
      <c r="O21786">
        <f>IF(N21786="","",'Master Barang'!B80)</f>
        <v>0</v>
      </c>
      <c r="P21786">
        <f>IF(OR(M21786="",N21786=""),"",SUMIFS('Barang Keluar'!$E:$E,'Barang Keluar'!$A:$A,M21786,'Barang Keluar'!$C:$C,N21786))</f>
        <v>0</v>
      </c>
    </row>
    <row r="21787" spans="13:16">
      <c r="M21787" s="49">
        <f>IF($A$4+217&gt;$B$4,"",$A$4+217)</f>
        <v>46240</v>
      </c>
      <c r="N21787">
        <f>IF(M21787="","",'Master Barang'!A81)</f>
        <v>0</v>
      </c>
      <c r="O21787">
        <f>IF(N21787="","",'Master Barang'!B81)</f>
        <v>0</v>
      </c>
      <c r="P21787">
        <f>IF(OR(M21787="",N21787=""),"",SUMIFS('Barang Keluar'!$E:$E,'Barang Keluar'!$A:$A,M21787,'Barang Keluar'!$C:$C,N21787))</f>
        <v>0</v>
      </c>
    </row>
    <row r="21788" spans="13:16">
      <c r="M21788" s="49">
        <f>IF($A$4+217&gt;$B$4,"",$A$4+217)</f>
        <v>46240</v>
      </c>
      <c r="N21788">
        <f>IF(M21788="","",'Master Barang'!A82)</f>
        <v>0</v>
      </c>
      <c r="O21788">
        <f>IF(N21788="","",'Master Barang'!B82)</f>
        <v>0</v>
      </c>
      <c r="P21788">
        <f>IF(OR(M21788="",N21788=""),"",SUMIFS('Barang Keluar'!$E:$E,'Barang Keluar'!$A:$A,M21788,'Barang Keluar'!$C:$C,N21788))</f>
        <v>0</v>
      </c>
    </row>
    <row r="21789" spans="13:16">
      <c r="M21789" s="49">
        <f>IF($A$4+217&gt;$B$4,"",$A$4+217)</f>
        <v>46240</v>
      </c>
      <c r="N21789">
        <f>IF(M21789="","",'Master Barang'!A83)</f>
        <v>0</v>
      </c>
      <c r="O21789">
        <f>IF(N21789="","",'Master Barang'!B83)</f>
        <v>0</v>
      </c>
      <c r="P21789">
        <f>IF(OR(M21789="",N21789=""),"",SUMIFS('Barang Keluar'!$E:$E,'Barang Keluar'!$A:$A,M21789,'Barang Keluar'!$C:$C,N21789))</f>
        <v>0</v>
      </c>
    </row>
    <row r="21790" spans="13:16">
      <c r="M21790" s="49">
        <f>IF($A$4+217&gt;$B$4,"",$A$4+217)</f>
        <v>46240</v>
      </c>
      <c r="N21790">
        <f>IF(M21790="","",'Master Barang'!A84)</f>
        <v>0</v>
      </c>
      <c r="O21790">
        <f>IF(N21790="","",'Master Barang'!B84)</f>
        <v>0</v>
      </c>
      <c r="P21790">
        <f>IF(OR(M21790="",N21790=""),"",SUMIFS('Barang Keluar'!$E:$E,'Barang Keluar'!$A:$A,M21790,'Barang Keluar'!$C:$C,N21790))</f>
        <v>0</v>
      </c>
    </row>
    <row r="21791" spans="13:16">
      <c r="M21791" s="49">
        <f>IF($A$4+217&gt;$B$4,"",$A$4+217)</f>
        <v>46240</v>
      </c>
      <c r="N21791">
        <f>IF(M21791="","",'Master Barang'!A85)</f>
        <v>0</v>
      </c>
      <c r="O21791">
        <f>IF(N21791="","",'Master Barang'!B85)</f>
        <v>0</v>
      </c>
      <c r="P21791">
        <f>IF(OR(M21791="",N21791=""),"",SUMIFS('Barang Keluar'!$E:$E,'Barang Keluar'!$A:$A,M21791,'Barang Keluar'!$C:$C,N21791))</f>
        <v>0</v>
      </c>
    </row>
    <row r="21792" spans="13:16">
      <c r="M21792" s="49">
        <f>IF($A$4+217&gt;$B$4,"",$A$4+217)</f>
        <v>46240</v>
      </c>
      <c r="N21792">
        <f>IF(M21792="","",'Master Barang'!A86)</f>
        <v>0</v>
      </c>
      <c r="O21792">
        <f>IF(N21792="","",'Master Barang'!B86)</f>
        <v>0</v>
      </c>
      <c r="P21792">
        <f>IF(OR(M21792="",N21792=""),"",SUMIFS('Barang Keluar'!$E:$E,'Barang Keluar'!$A:$A,M21792,'Barang Keluar'!$C:$C,N21792))</f>
        <v>0</v>
      </c>
    </row>
    <row r="21793" spans="13:16">
      <c r="M21793" s="49">
        <f>IF($A$4+217&gt;$B$4,"",$A$4+217)</f>
        <v>46240</v>
      </c>
      <c r="N21793">
        <f>IF(M21793="","",'Master Barang'!A87)</f>
        <v>0</v>
      </c>
      <c r="O21793">
        <f>IF(N21793="","",'Master Barang'!B87)</f>
        <v>0</v>
      </c>
      <c r="P21793">
        <f>IF(OR(M21793="",N21793=""),"",SUMIFS('Barang Keluar'!$E:$E,'Barang Keluar'!$A:$A,M21793,'Barang Keluar'!$C:$C,N21793))</f>
        <v>0</v>
      </c>
    </row>
    <row r="21794" spans="13:16">
      <c r="M21794" s="49">
        <f>IF($A$4+217&gt;$B$4,"",$A$4+217)</f>
        <v>46240</v>
      </c>
      <c r="N21794">
        <f>IF(M21794="","",'Master Barang'!A88)</f>
        <v>0</v>
      </c>
      <c r="O21794">
        <f>IF(N21794="","",'Master Barang'!B88)</f>
        <v>0</v>
      </c>
      <c r="P21794">
        <f>IF(OR(M21794="",N21794=""),"",SUMIFS('Barang Keluar'!$E:$E,'Barang Keluar'!$A:$A,M21794,'Barang Keluar'!$C:$C,N21794))</f>
        <v>0</v>
      </c>
    </row>
    <row r="21795" spans="13:16">
      <c r="M21795" s="49">
        <f>IF($A$4+217&gt;$B$4,"",$A$4+217)</f>
        <v>46240</v>
      </c>
      <c r="N21795">
        <f>IF(M21795="","",'Master Barang'!A89)</f>
        <v>0</v>
      </c>
      <c r="O21795">
        <f>IF(N21795="","",'Master Barang'!B89)</f>
        <v>0</v>
      </c>
      <c r="P21795">
        <f>IF(OR(M21795="",N21795=""),"",SUMIFS('Barang Keluar'!$E:$E,'Barang Keluar'!$A:$A,M21795,'Barang Keluar'!$C:$C,N21795))</f>
        <v>0</v>
      </c>
    </row>
    <row r="21796" spans="13:16">
      <c r="M21796" s="49">
        <f>IF($A$4+217&gt;$B$4,"",$A$4+217)</f>
        <v>46240</v>
      </c>
      <c r="N21796">
        <f>IF(M21796="","",'Master Barang'!A90)</f>
        <v>0</v>
      </c>
      <c r="O21796">
        <f>IF(N21796="","",'Master Barang'!B90)</f>
        <v>0</v>
      </c>
      <c r="P21796">
        <f>IF(OR(M21796="",N21796=""),"",SUMIFS('Barang Keluar'!$E:$E,'Barang Keluar'!$A:$A,M21796,'Barang Keluar'!$C:$C,N21796))</f>
        <v>0</v>
      </c>
    </row>
    <row r="21797" spans="13:16">
      <c r="M21797" s="49">
        <f>IF($A$4+217&gt;$B$4,"",$A$4+217)</f>
        <v>46240</v>
      </c>
      <c r="N21797">
        <f>IF(M21797="","",'Master Barang'!A91)</f>
        <v>0</v>
      </c>
      <c r="O21797">
        <f>IF(N21797="","",'Master Barang'!B91)</f>
        <v>0</v>
      </c>
      <c r="P21797">
        <f>IF(OR(M21797="",N21797=""),"",SUMIFS('Barang Keluar'!$E:$E,'Barang Keluar'!$A:$A,M21797,'Barang Keluar'!$C:$C,N21797))</f>
        <v>0</v>
      </c>
    </row>
    <row r="21798" spans="13:16">
      <c r="M21798" s="49">
        <f>IF($A$4+217&gt;$B$4,"",$A$4+217)</f>
        <v>46240</v>
      </c>
      <c r="N21798">
        <f>IF(M21798="","",'Master Barang'!A92)</f>
        <v>0</v>
      </c>
      <c r="O21798">
        <f>IF(N21798="","",'Master Barang'!B92)</f>
        <v>0</v>
      </c>
      <c r="P21798">
        <f>IF(OR(M21798="",N21798=""),"",SUMIFS('Barang Keluar'!$E:$E,'Barang Keluar'!$A:$A,M21798,'Barang Keluar'!$C:$C,N21798))</f>
        <v>0</v>
      </c>
    </row>
    <row r="21799" spans="13:16">
      <c r="M21799" s="49">
        <f>IF($A$4+217&gt;$B$4,"",$A$4+217)</f>
        <v>46240</v>
      </c>
      <c r="N21799">
        <f>IF(M21799="","",'Master Barang'!A93)</f>
        <v>0</v>
      </c>
      <c r="O21799">
        <f>IF(N21799="","",'Master Barang'!B93)</f>
        <v>0</v>
      </c>
      <c r="P21799">
        <f>IF(OR(M21799="",N21799=""),"",SUMIFS('Barang Keluar'!$E:$E,'Barang Keluar'!$A:$A,M21799,'Barang Keluar'!$C:$C,N21799))</f>
        <v>0</v>
      </c>
    </row>
    <row r="21800" spans="13:16">
      <c r="M21800" s="49">
        <f>IF($A$4+217&gt;$B$4,"",$A$4+217)</f>
        <v>46240</v>
      </c>
      <c r="N21800">
        <f>IF(M21800="","",'Master Barang'!A94)</f>
        <v>0</v>
      </c>
      <c r="O21800">
        <f>IF(N21800="","",'Master Barang'!B94)</f>
        <v>0</v>
      </c>
      <c r="P21800">
        <f>IF(OR(M21800="",N21800=""),"",SUMIFS('Barang Keluar'!$E:$E,'Barang Keluar'!$A:$A,M21800,'Barang Keluar'!$C:$C,N21800))</f>
        <v>0</v>
      </c>
    </row>
    <row r="21801" spans="13:16">
      <c r="M21801" s="49">
        <f>IF($A$4+217&gt;$B$4,"",$A$4+217)</f>
        <v>46240</v>
      </c>
      <c r="N21801">
        <f>IF(M21801="","",'Master Barang'!A95)</f>
        <v>0</v>
      </c>
      <c r="O21801">
        <f>IF(N21801="","",'Master Barang'!B95)</f>
        <v>0</v>
      </c>
      <c r="P21801">
        <f>IF(OR(M21801="",N21801=""),"",SUMIFS('Barang Keluar'!$E:$E,'Barang Keluar'!$A:$A,M21801,'Barang Keluar'!$C:$C,N21801))</f>
        <v>0</v>
      </c>
    </row>
    <row r="21802" spans="13:16">
      <c r="M21802" s="49">
        <f>IF($A$4+217&gt;$B$4,"",$A$4+217)</f>
        <v>46240</v>
      </c>
      <c r="N21802">
        <f>IF(M21802="","",'Master Barang'!A96)</f>
        <v>0</v>
      </c>
      <c r="O21802">
        <f>IF(N21802="","",'Master Barang'!B96)</f>
        <v>0</v>
      </c>
      <c r="P21802">
        <f>IF(OR(M21802="",N21802=""),"",SUMIFS('Barang Keluar'!$E:$E,'Barang Keluar'!$A:$A,M21802,'Barang Keluar'!$C:$C,N21802))</f>
        <v>0</v>
      </c>
    </row>
    <row r="21803" spans="13:16">
      <c r="M21803" s="49">
        <f>IF($A$4+217&gt;$B$4,"",$A$4+217)</f>
        <v>46240</v>
      </c>
      <c r="N21803">
        <f>IF(M21803="","",'Master Barang'!A97)</f>
        <v>0</v>
      </c>
      <c r="O21803">
        <f>IF(N21803="","",'Master Barang'!B97)</f>
        <v>0</v>
      </c>
      <c r="P21803">
        <f>IF(OR(M21803="",N21803=""),"",SUMIFS('Barang Keluar'!$E:$E,'Barang Keluar'!$A:$A,M21803,'Barang Keluar'!$C:$C,N21803))</f>
        <v>0</v>
      </c>
    </row>
    <row r="21804" spans="13:16">
      <c r="M21804" s="49">
        <f>IF($A$4+217&gt;$B$4,"",$A$4+217)</f>
        <v>46240</v>
      </c>
      <c r="N21804">
        <f>IF(M21804="","",'Master Barang'!A98)</f>
        <v>0</v>
      </c>
      <c r="O21804">
        <f>IF(N21804="","",'Master Barang'!B98)</f>
        <v>0</v>
      </c>
      <c r="P21804">
        <f>IF(OR(M21804="",N21804=""),"",SUMIFS('Barang Keluar'!$E:$E,'Barang Keluar'!$A:$A,M21804,'Barang Keluar'!$C:$C,N21804))</f>
        <v>0</v>
      </c>
    </row>
    <row r="21805" spans="13:16">
      <c r="M21805" s="49">
        <f>IF($A$4+217&gt;$B$4,"",$A$4+217)</f>
        <v>46240</v>
      </c>
      <c r="N21805">
        <f>IF(M21805="","",'Master Barang'!A99)</f>
        <v>0</v>
      </c>
      <c r="O21805">
        <f>IF(N21805="","",'Master Barang'!B99)</f>
        <v>0</v>
      </c>
      <c r="P21805">
        <f>IF(OR(M21805="",N21805=""),"",SUMIFS('Barang Keluar'!$E:$E,'Barang Keluar'!$A:$A,M21805,'Barang Keluar'!$C:$C,N21805))</f>
        <v>0</v>
      </c>
    </row>
    <row r="21806" spans="13:16">
      <c r="M21806" s="49">
        <f>IF($A$4+217&gt;$B$4,"",$A$4+217)</f>
        <v>46240</v>
      </c>
      <c r="N21806">
        <f>IF(M21806="","",'Master Barang'!A100)</f>
        <v>0</v>
      </c>
      <c r="O21806">
        <f>IF(N21806="","",'Master Barang'!B100)</f>
        <v>0</v>
      </c>
      <c r="P21806">
        <f>IF(OR(M21806="",N21806=""),"",SUMIFS('Barang Keluar'!$E:$E,'Barang Keluar'!$A:$A,M21806,'Barang Keluar'!$C:$C,N21806))</f>
        <v>0</v>
      </c>
    </row>
    <row r="21807" spans="13:16">
      <c r="M21807" s="49">
        <f>IF($A$4+217&gt;$B$4,"",$A$4+217)</f>
        <v>46240</v>
      </c>
      <c r="N21807">
        <f>IF(M21807="","",'Master Barang'!A101)</f>
        <v>0</v>
      </c>
      <c r="O21807">
        <f>IF(N21807="","",'Master Barang'!B101)</f>
        <v>0</v>
      </c>
      <c r="P21807">
        <f>IF(OR(M21807="",N21807=""),"",SUMIFS('Barang Keluar'!$E:$E,'Barang Keluar'!$A:$A,M21807,'Barang Keluar'!$C:$C,N21807))</f>
        <v>0</v>
      </c>
    </row>
    <row r="21808" spans="13:16">
      <c r="M21808" s="49">
        <f>IF($A$4+218&gt;$B$4,"",$A$4+218)</f>
        <v>46241</v>
      </c>
      <c r="N21808" t="str">
        <f>IF(M21808="","",'Master Barang'!A2)</f>
        <v>PRL-001</v>
      </c>
      <c r="O21808" t="str">
        <f>IF(N21808="","",'Master Barang'!B2)</f>
        <v>natura desinfectant food grade 5l</v>
      </c>
      <c r="P21808">
        <f>IF(OR(M21808="",N21808=""),"",SUMIFS('Barang Keluar'!$E:$E,'Barang Keluar'!$A:$A,M21808,'Barang Keluar'!$C:$C,N21808))</f>
        <v>0</v>
      </c>
    </row>
    <row r="21809" spans="13:16">
      <c r="M21809" s="49">
        <f>IF($A$4+218&gt;$B$4,"",$A$4+218)</f>
        <v>46241</v>
      </c>
      <c r="N21809" t="str">
        <f>IF(M21809="","",'Master Barang'!A3)</f>
        <v>PRL-002</v>
      </c>
      <c r="O21809" t="str">
        <f>IF(N21809="","",'Master Barang'!B3)</f>
        <v>sunlight cairan pencuci piring 5l</v>
      </c>
      <c r="P21809">
        <f>IF(OR(M21809="",N21809=""),"",SUMIFS('Barang Keluar'!$E:$E,'Barang Keluar'!$A:$A,M21809,'Barang Keluar'!$C:$C,N21809))</f>
        <v>0</v>
      </c>
    </row>
    <row r="21810" spans="13:16">
      <c r="M21810" s="49">
        <f>IF($A$4+218&gt;$B$4,"",$A$4+218)</f>
        <v>46241</v>
      </c>
      <c r="N21810" t="str">
        <f>IF(M21810="","",'Master Barang'!A4)</f>
        <v>PRL-003</v>
      </c>
      <c r="O21810" t="str">
        <f>IF(N21810="","",'Master Barang'!B4)</f>
        <v>oixs cleaner 1l</v>
      </c>
      <c r="P21810">
        <f>IF(OR(M21810="",N21810=""),"",SUMIFS('Barang Keluar'!$E:$E,'Barang Keluar'!$A:$A,M21810,'Barang Keluar'!$C:$C,N21810))</f>
        <v>0</v>
      </c>
    </row>
    <row r="21811" spans="13:16">
      <c r="M21811" s="49">
        <f>IF($A$4+218&gt;$B$4,"",$A$4+218)</f>
        <v>46241</v>
      </c>
      <c r="N21811" t="str">
        <f>IF(M21811="","",'Master Barang'!A5)</f>
        <v>PRL-004</v>
      </c>
      <c r="O21811" t="str">
        <f>IF(N21811="","",'Master Barang'!B5)</f>
        <v>be clean tissue serbaguna</v>
      </c>
      <c r="P21811">
        <f>IF(OR(M21811="",N21811=""),"",SUMIFS('Barang Keluar'!$E:$E,'Barang Keluar'!$A:$A,M21811,'Barang Keluar'!$C:$C,N21811))</f>
        <v>0</v>
      </c>
    </row>
    <row r="21812" spans="13:16">
      <c r="M21812" s="49">
        <f>IF($A$4+218&gt;$B$4,"",$A$4+218)</f>
        <v>46241</v>
      </c>
      <c r="N21812" t="str">
        <f>IF(M21812="","",'Master Barang'!A6)</f>
        <v>PRL-005</v>
      </c>
      <c r="O21812" t="str">
        <f>IF(N21812="","",'Master Barang'!B6)</f>
        <v>spons cuci hijau</v>
      </c>
      <c r="P21812">
        <f>IF(OR(M21812="",N21812=""),"",SUMIFS('Barang Keluar'!$E:$E,'Barang Keluar'!$A:$A,M21812,'Barang Keluar'!$C:$C,N21812))</f>
        <v>0</v>
      </c>
    </row>
    <row r="21813" spans="13:16">
      <c r="M21813" s="49">
        <f>IF($A$4+218&gt;$B$4,"",$A$4+218)</f>
        <v>46241</v>
      </c>
      <c r="N21813" t="str">
        <f>IF(M21813="","",'Master Barang'!A7)</f>
        <v>PRL-006</v>
      </c>
      <c r="O21813" t="str">
        <f>IF(N21813="","",'Master Barang'!B7)</f>
        <v>sabut cuci stainless</v>
      </c>
      <c r="P21813">
        <f>IF(OR(M21813="",N21813=""),"",SUMIFS('Barang Keluar'!$E:$E,'Barang Keluar'!$A:$A,M21813,'Barang Keluar'!$C:$C,N21813))</f>
        <v>0</v>
      </c>
    </row>
    <row r="21814" spans="13:16">
      <c r="M21814" s="49">
        <f>IF($A$4+218&gt;$B$4,"",$A$4+218)</f>
        <v>46241</v>
      </c>
      <c r="N21814" t="str">
        <f>IF(M21814="","",'Master Barang'!A8)</f>
        <v>PRL-007</v>
      </c>
      <c r="O21814" t="str">
        <f>IF(N21814="","",'Master Barang'!B8)</f>
        <v>plastik kresek besar merah 50pc</v>
      </c>
      <c r="P21814">
        <f>IF(OR(M21814="",N21814=""),"",SUMIFS('Barang Keluar'!$E:$E,'Barang Keluar'!$A:$A,M21814,'Barang Keluar'!$C:$C,N21814))</f>
        <v>0</v>
      </c>
    </row>
    <row r="21815" spans="13:16">
      <c r="M21815" s="49">
        <f>IF($A$4+218&gt;$B$4,"",$A$4+218)</f>
        <v>46241</v>
      </c>
      <c r="N21815" t="str">
        <f>IF(M21815="","",'Master Barang'!A9)</f>
        <v>PRL-008</v>
      </c>
      <c r="O21815" t="str">
        <f>IF(N21815="","",'Master Barang'!B9)</f>
        <v>lap besar</v>
      </c>
      <c r="P21815">
        <f>IF(OR(M21815="",N21815=""),"",SUMIFS('Barang Keluar'!$E:$E,'Barang Keluar'!$A:$A,M21815,'Barang Keluar'!$C:$C,N21815))</f>
        <v>0</v>
      </c>
    </row>
    <row r="21816" spans="13:16">
      <c r="M21816" s="49">
        <f>IF($A$4+218&gt;$B$4,"",$A$4+218)</f>
        <v>46241</v>
      </c>
      <c r="N21816" t="str">
        <f>IF(M21816="","",'Master Barang'!A10)</f>
        <v>PRL-009</v>
      </c>
      <c r="O21816" t="str">
        <f>IF(N21816="","",'Master Barang'!B10)</f>
        <v>lap microfiber</v>
      </c>
      <c r="P21816">
        <f>IF(OR(M21816="",N21816=""),"",SUMIFS('Barang Keluar'!$E:$E,'Barang Keluar'!$A:$A,M21816,'Barang Keluar'!$C:$C,N21816))</f>
        <v>0</v>
      </c>
    </row>
    <row r="21817" spans="13:16">
      <c r="M21817" s="49">
        <f>IF($A$4+218&gt;$B$4,"",$A$4+218)</f>
        <v>46241</v>
      </c>
      <c r="N21817" t="str">
        <f>IF(M21817="","",'Master Barang'!A11)</f>
        <v>PRL-010</v>
      </c>
      <c r="O21817" t="str">
        <f>IF(N21817="","",'Master Barang'!B11)</f>
        <v>lap kecil</v>
      </c>
      <c r="P21817">
        <f>IF(OR(M21817="",N21817=""),"",SUMIFS('Barang Keluar'!$E:$E,'Barang Keluar'!$A:$A,M21817,'Barang Keluar'!$C:$C,N21817))</f>
        <v>0</v>
      </c>
    </row>
    <row r="21818" spans="13:16">
      <c r="M21818" s="49">
        <f>IF($A$4+218&gt;$B$4,"",$A$4+218)</f>
        <v>46241</v>
      </c>
      <c r="N21818" t="str">
        <f>IF(M21818="","",'Master Barang'!A12)</f>
        <v>PRL-011</v>
      </c>
      <c r="O21818" t="str">
        <f>IF(N21818="","",'Master Barang'!B12)</f>
        <v>kanebo kecil</v>
      </c>
      <c r="P21818">
        <f>IF(OR(M21818="",N21818=""),"",SUMIFS('Barang Keluar'!$E:$E,'Barang Keluar'!$A:$A,M21818,'Barang Keluar'!$C:$C,N21818))</f>
        <v>0</v>
      </c>
    </row>
    <row r="21819" spans="13:16">
      <c r="M21819" s="49">
        <f>IF($A$4+218&gt;$B$4,"",$A$4+218)</f>
        <v>46241</v>
      </c>
      <c r="N21819" t="str">
        <f>IF(M21819="","",'Master Barang'!A13)</f>
        <v>PRL-012</v>
      </c>
      <c r="O21819" t="str">
        <f>IF(N21819="","",'Master Barang'!B13)</f>
        <v>plastik 1/4kg joyoboyo 100 lembar</v>
      </c>
      <c r="P21819">
        <f>IF(OR(M21819="",N21819=""),"",SUMIFS('Barang Keluar'!$E:$E,'Barang Keluar'!$A:$A,M21819,'Barang Keluar'!$C:$C,N21819))</f>
        <v>0</v>
      </c>
    </row>
    <row r="21820" spans="13:16">
      <c r="M21820" s="49">
        <f>IF($A$4+218&gt;$B$4,"",$A$4+218)</f>
        <v>46241</v>
      </c>
      <c r="N21820" t="str">
        <f>IF(M21820="","",'Master Barang'!A14)</f>
        <v>PRL-013</v>
      </c>
      <c r="O21820" t="str">
        <f>IF(N21820="","",'Master Barang'!B14)</f>
        <v>sarung tangan plastik kaka 100 pcs</v>
      </c>
      <c r="P21820">
        <f>IF(OR(M21820="",N21820=""),"",SUMIFS('Barang Keluar'!$E:$E,'Barang Keluar'!$A:$A,M21820,'Barang Keluar'!$C:$C,N21820))</f>
        <v>0</v>
      </c>
    </row>
    <row r="21821" spans="13:16">
      <c r="M21821" s="49">
        <f>IF($A$4+218&gt;$B$4,"",$A$4+218)</f>
        <v>46241</v>
      </c>
      <c r="N21821" t="str">
        <f>IF(M21821="","",'Master Barang'!A15)</f>
        <v>PRL-014</v>
      </c>
      <c r="O21821" t="str">
        <f>IF(N21821="","",'Master Barang'!B15)</f>
        <v>optima trashbag 80x100</v>
      </c>
      <c r="P21821">
        <f>IF(OR(M21821="",N21821=""),"",SUMIFS('Barang Keluar'!$E:$E,'Barang Keluar'!$A:$A,M21821,'Barang Keluar'!$C:$C,N21821))</f>
        <v>0</v>
      </c>
    </row>
    <row r="21822" spans="13:16">
      <c r="M21822" s="49">
        <f>IF($A$4+218&gt;$B$4,"",$A$4+218)</f>
        <v>46241</v>
      </c>
      <c r="N21822" t="str">
        <f>IF(M21822="","",'Master Barang'!A16)</f>
        <v>PRL-015</v>
      </c>
      <c r="O21822" t="str">
        <f>IF(N21822="","",'Master Barang'!B16)</f>
        <v>optima trashbag 60x100</v>
      </c>
      <c r="P21822">
        <f>IF(OR(M21822="",N21822=""),"",SUMIFS('Barang Keluar'!$E:$E,'Barang Keluar'!$A:$A,M21822,'Barang Keluar'!$C:$C,N21822))</f>
        <v>0</v>
      </c>
    </row>
    <row r="21823" spans="13:16">
      <c r="M21823" s="49">
        <f>IF($A$4+218&gt;$B$4,"",$A$4+218)</f>
        <v>46241</v>
      </c>
      <c r="N21823" t="str">
        <f>IF(M21823="","",'Master Barang'!A17)</f>
        <v>PRL-016</v>
      </c>
      <c r="O21823" t="str">
        <f>IF(N21823="","",'Master Barang'!B17)</f>
        <v>rajawali trashbag 30x40</v>
      </c>
      <c r="P21823">
        <f>IF(OR(M21823="",N21823=""),"",SUMIFS('Barang Keluar'!$E:$E,'Barang Keluar'!$A:$A,M21823,'Barang Keluar'!$C:$C,N21823))</f>
        <v>0</v>
      </c>
    </row>
    <row r="21824" spans="13:16">
      <c r="M21824" s="49">
        <f>IF($A$4+218&gt;$B$4,"",$A$4+218)</f>
        <v>46241</v>
      </c>
      <c r="N21824" t="str">
        <f>IF(M21824="","",'Master Barang'!A18)</f>
        <v>PRL-017</v>
      </c>
      <c r="O21824" t="str">
        <f>IF(N21824="","",'Master Barang'!B18)</f>
        <v>onemed masker biru 3 play 50 pcs</v>
      </c>
      <c r="P21824">
        <f>IF(OR(M21824="",N21824=""),"",SUMIFS('Barang Keluar'!$E:$E,'Barang Keluar'!$A:$A,M21824,'Barang Keluar'!$C:$C,N21824))</f>
        <v>0</v>
      </c>
    </row>
    <row r="21825" spans="13:16">
      <c r="M21825" s="49">
        <f>IF($A$4+218&gt;$B$4,"",$A$4+218)</f>
        <v>46241</v>
      </c>
      <c r="N21825" t="str">
        <f>IF(M21825="","",'Master Barang'!A19)</f>
        <v>PRL-018</v>
      </c>
      <c r="O21825" t="str">
        <f>IF(N21825="","",'Master Barang'!B19)</f>
        <v>onemed masker biru 3 play hijab 50 pcs</v>
      </c>
      <c r="P21825">
        <f>IF(OR(M21825="",N21825=""),"",SUMIFS('Barang Keluar'!$E:$E,'Barang Keluar'!$A:$A,M21825,'Barang Keluar'!$C:$C,N21825))</f>
        <v>0</v>
      </c>
    </row>
    <row r="21826" spans="13:16">
      <c r="M21826" s="49">
        <f>IF($A$4+218&gt;$B$4,"",$A$4+218)</f>
        <v>46241</v>
      </c>
      <c r="N21826" t="str">
        <f>IF(M21826="","",'Master Barang'!A20)</f>
        <v>PRL-019</v>
      </c>
      <c r="O21826" t="str">
        <f>IF(N21826="","",'Master Barang'!B20)</f>
        <v>neo health masker biru 3 play 50 pcs</v>
      </c>
      <c r="P21826">
        <f>IF(OR(M21826="",N21826=""),"",SUMIFS('Barang Keluar'!$E:$E,'Barang Keluar'!$A:$A,M21826,'Barang Keluar'!$C:$C,N21826))</f>
        <v>0</v>
      </c>
    </row>
    <row r="21827" spans="13:16">
      <c r="M21827" s="49">
        <f>IF($A$4+218&gt;$B$4,"",$A$4+218)</f>
        <v>46241</v>
      </c>
      <c r="N21827" t="str">
        <f>IF(M21827="","",'Master Barang'!A21)</f>
        <v>PRL-020</v>
      </c>
      <c r="O21827" t="str">
        <f>IF(N21827="","",'Master Barang'!B21)</f>
        <v>baymed masker hijau 3 play hijau 50 pcs</v>
      </c>
      <c r="P21827">
        <f>IF(OR(M21827="",N21827=""),"",SUMIFS('Barang Keluar'!$E:$E,'Barang Keluar'!$A:$A,M21827,'Barang Keluar'!$C:$C,N21827))</f>
        <v>0</v>
      </c>
    </row>
    <row r="21828" spans="13:16">
      <c r="M21828" s="49">
        <f>IF($A$4+218&gt;$B$4,"",$A$4+218)</f>
        <v>46241</v>
      </c>
      <c r="N21828" t="str">
        <f>IF(M21828="","",'Master Barang'!A22)</f>
        <v>PRL-021</v>
      </c>
      <c r="O21828" t="str">
        <f>IF(N21828="","",'Master Barang'!B22)</f>
        <v>altamed nurse cap penutup kepala 100 pcs</v>
      </c>
      <c r="P21828">
        <f>IF(OR(M21828="",N21828=""),"",SUMIFS('Barang Keluar'!$E:$E,'Barang Keluar'!$A:$A,M21828,'Barang Keluar'!$C:$C,N21828))</f>
        <v>0</v>
      </c>
    </row>
    <row r="21829" spans="13:16">
      <c r="M21829" s="49">
        <f>IF($A$4+218&gt;$B$4,"",$A$4+218)</f>
        <v>46241</v>
      </c>
      <c r="N21829" t="str">
        <f>IF(M21829="","",'Master Barang'!A23)</f>
        <v>PRL-022</v>
      </c>
      <c r="O21829" t="str">
        <f>IF(N21829="","",'Master Barang'!B23)</f>
        <v>sabun cuci tangan</v>
      </c>
      <c r="P21829">
        <f>IF(OR(M21829="",N21829=""),"",SUMIFS('Barang Keluar'!$E:$E,'Barang Keluar'!$A:$A,M21829,'Barang Keluar'!$C:$C,N21829))</f>
        <v>0</v>
      </c>
    </row>
    <row r="21830" spans="13:16">
      <c r="M21830" s="49">
        <f>IF($A$4+218&gt;$B$4,"",$A$4+218)</f>
        <v>46241</v>
      </c>
      <c r="N21830" t="str">
        <f>IF(M21830="","",'Master Barang'!A24)</f>
        <v>PRL-023</v>
      </c>
      <c r="O21830" t="str">
        <f>IF(N21830="","",'Master Barang'!B24)</f>
        <v>gayung kecil</v>
      </c>
      <c r="P21830">
        <f>IF(OR(M21830="",N21830=""),"",SUMIFS('Barang Keluar'!$E:$E,'Barang Keluar'!$A:$A,M21830,'Barang Keluar'!$C:$C,N21830))</f>
        <v>0</v>
      </c>
    </row>
    <row r="21831" spans="13:16">
      <c r="M21831" s="49">
        <f>IF($A$4+218&gt;$B$4,"",$A$4+218)</f>
        <v>46241</v>
      </c>
      <c r="N21831" t="str">
        <f>IF(M21831="","",'Master Barang'!A25)</f>
        <v>PRL-024</v>
      </c>
      <c r="O21831" t="str">
        <f>IF(N21831="","",'Master Barang'!B25)</f>
        <v>cikrak kecil</v>
      </c>
      <c r="P21831">
        <f>IF(OR(M21831="",N21831=""),"",SUMIFS('Barang Keluar'!$E:$E,'Barang Keluar'!$A:$A,M21831,'Barang Keluar'!$C:$C,N21831))</f>
        <v>0</v>
      </c>
    </row>
    <row r="21832" spans="13:16">
      <c r="M21832" s="49">
        <f>IF($A$4+218&gt;$B$4,"",$A$4+218)</f>
        <v>46241</v>
      </c>
      <c r="N21832" t="str">
        <f>IF(M21832="","",'Master Barang'!A26)</f>
        <v>PRL-025</v>
      </c>
      <c r="O21832" t="str">
        <f>IF(N21832="","",'Master Barang'!B26)</f>
        <v>petromax plastik kecil 12x24 100 lembar</v>
      </c>
      <c r="P21832">
        <f>IF(OR(M21832="",N21832=""),"",SUMIFS('Barang Keluar'!$E:$E,'Barang Keluar'!$A:$A,M21832,'Barang Keluar'!$C:$C,N21832))</f>
        <v>0</v>
      </c>
    </row>
    <row r="21833" spans="13:16">
      <c r="M21833" s="49">
        <f>IF($A$4+218&gt;$B$4,"",$A$4+218)</f>
        <v>46241</v>
      </c>
      <c r="N21833" t="str">
        <f>IF(M21833="","",'Master Barang'!A27)</f>
        <v>PRL-026</v>
      </c>
      <c r="O21833" t="str">
        <f>IF(N21833="","",'Master Barang'!B27)</f>
        <v>lancar kresek kecil bening </v>
      </c>
      <c r="P21833">
        <f>IF(OR(M21833="",N21833=""),"",SUMIFS('Barang Keluar'!$E:$E,'Barang Keluar'!$A:$A,M21833,'Barang Keluar'!$C:$C,N21833))</f>
        <v>0</v>
      </c>
    </row>
    <row r="21834" spans="13:16">
      <c r="M21834" s="49">
        <f>IF($A$4+218&gt;$B$4,"",$A$4+218)</f>
        <v>46241</v>
      </c>
      <c r="N21834" t="str">
        <f>IF(M21834="","",'Master Barang'!A28)</f>
        <v>PRL-027</v>
      </c>
      <c r="O21834" t="str">
        <f>IF(N21834="","",'Master Barang'!B28)</f>
        <v>kresek klin warna warni kecil</v>
      </c>
      <c r="P21834">
        <f>IF(OR(M21834="",N21834=""),"",SUMIFS('Barang Keluar'!$E:$E,'Barang Keluar'!$A:$A,M21834,'Barang Keluar'!$C:$C,N21834))</f>
        <v>0</v>
      </c>
    </row>
    <row r="21835" spans="13:16">
      <c r="M21835" s="49">
        <f>IF($A$4+218&gt;$B$4,"",$A$4+218)</f>
        <v>46241</v>
      </c>
      <c r="N21835" t="str">
        <f>IF(M21835="","",'Master Barang'!A29)</f>
        <v>PRL-028</v>
      </c>
      <c r="O21835" t="str">
        <f>IF(N21835="","",'Master Barang'!B29)</f>
        <v>ctik plastik 7x10 100 pcs</v>
      </c>
      <c r="P21835">
        <f>IF(OR(M21835="",N21835=""),"",SUMIFS('Barang Keluar'!$E:$E,'Barang Keluar'!$A:$A,M21835,'Barang Keluar'!$C:$C,N21835))</f>
        <v>0</v>
      </c>
    </row>
    <row r="21836" spans="13:16">
      <c r="M21836" s="49">
        <f>IF($A$4+218&gt;$B$4,"",$A$4+218)</f>
        <v>46241</v>
      </c>
      <c r="N21836" t="str">
        <f>IF(M21836="","",'Master Barang'!A30)</f>
        <v>PRL-029</v>
      </c>
      <c r="O21836" t="str">
        <f>IF(N21836="","",'Master Barang'!B30)</f>
        <v>ctik plastik 6x10 100 pcs</v>
      </c>
      <c r="P21836">
        <f>IF(OR(M21836="",N21836=""),"",SUMIFS('Barang Keluar'!$E:$E,'Barang Keluar'!$A:$A,M21836,'Barang Keluar'!$C:$C,N21836))</f>
        <v>0</v>
      </c>
    </row>
    <row r="21837" spans="13:16">
      <c r="M21837" s="49">
        <f>IF($A$4+218&gt;$B$4,"",$A$4+218)</f>
        <v>46241</v>
      </c>
      <c r="N21837" t="str">
        <f>IF(M21837="","",'Master Barang'!A31)</f>
        <v>PRL-030</v>
      </c>
      <c r="O21837" t="str">
        <f>IF(N21837="","",'Master Barang'!B31)</f>
        <v>klip plastik 25x16 100 pcs</v>
      </c>
      <c r="P21837">
        <f>IF(OR(M21837="",N21837=""),"",SUMIFS('Barang Keluar'!$E:$E,'Barang Keluar'!$A:$A,M21837,'Barang Keluar'!$C:$C,N21837))</f>
        <v>0</v>
      </c>
    </row>
    <row r="21838" spans="13:16">
      <c r="M21838" s="49">
        <f>IF($A$4+218&gt;$B$4,"",$A$4+218)</f>
        <v>46241</v>
      </c>
      <c r="N21838" t="str">
        <f>IF(M21838="","",'Master Barang'!A32)</f>
        <v>PRL-031</v>
      </c>
      <c r="O21838" t="str">
        <f>IF(N21838="","",'Master Barang'!B32)</f>
        <v>tempat saus 20 ml</v>
      </c>
      <c r="P21838">
        <f>IF(OR(M21838="",N21838=""),"",SUMIFS('Barang Keluar'!$E:$E,'Barang Keluar'!$A:$A,M21838,'Barang Keluar'!$C:$C,N21838))</f>
        <v>0</v>
      </c>
    </row>
    <row r="21839" spans="13:16">
      <c r="M21839" s="49">
        <f>IF($A$4+218&gt;$B$4,"",$A$4+218)</f>
        <v>46241</v>
      </c>
      <c r="N21839" t="str">
        <f>IF(M21839="","",'Master Barang'!A33)</f>
        <v>PRL-032</v>
      </c>
      <c r="O21839" t="str">
        <f>IF(N21839="","",'Master Barang'!B33)</f>
        <v>plastik packaging ag box uk sedang</v>
      </c>
      <c r="P21839">
        <f>IF(OR(M21839="",N21839=""),"",SUMIFS('Barang Keluar'!$E:$E,'Barang Keluar'!$A:$A,M21839,'Barang Keluar'!$C:$C,N21839))</f>
        <v>0</v>
      </c>
    </row>
    <row r="21840" spans="13:16">
      <c r="M21840" s="49">
        <f>IF($A$4+218&gt;$B$4,"",$A$4+218)</f>
        <v>46241</v>
      </c>
      <c r="N21840" t="str">
        <f>IF(M21840="","",'Master Barang'!A34)</f>
        <v>PRL-033</v>
      </c>
      <c r="O21840">
        <f>IF(N21840="","",'Master Barang'!B34)</f>
        <v>0</v>
      </c>
      <c r="P21840">
        <f>IF(OR(M21840="",N21840=""),"",SUMIFS('Barang Keluar'!$E:$E,'Barang Keluar'!$A:$A,M21840,'Barang Keluar'!$C:$C,N21840))</f>
        <v>0</v>
      </c>
    </row>
    <row r="21841" spans="13:16">
      <c r="M21841" s="49">
        <f>IF($A$4+218&gt;$B$4,"",$A$4+218)</f>
        <v>46241</v>
      </c>
      <c r="N21841">
        <f>IF(M21841="","",'Master Barang'!A35)</f>
        <v>0</v>
      </c>
      <c r="O21841">
        <f>IF(N21841="","",'Master Barang'!B35)</f>
        <v>0</v>
      </c>
      <c r="P21841">
        <f>IF(OR(M21841="",N21841=""),"",SUMIFS('Barang Keluar'!$E:$E,'Barang Keluar'!$A:$A,M21841,'Barang Keluar'!$C:$C,N21841))</f>
        <v>0</v>
      </c>
    </row>
    <row r="21842" spans="13:16">
      <c r="M21842" s="49">
        <f>IF($A$4+218&gt;$B$4,"",$A$4+218)</f>
        <v>46241</v>
      </c>
      <c r="N21842">
        <f>IF(M21842="","",'Master Barang'!A36)</f>
        <v>0</v>
      </c>
      <c r="O21842">
        <f>IF(N21842="","",'Master Barang'!B36)</f>
        <v>0</v>
      </c>
      <c r="P21842">
        <f>IF(OR(M21842="",N21842=""),"",SUMIFS('Barang Keluar'!$E:$E,'Barang Keluar'!$A:$A,M21842,'Barang Keluar'!$C:$C,N21842))</f>
        <v>0</v>
      </c>
    </row>
    <row r="21843" spans="13:16">
      <c r="M21843" s="49">
        <f>IF($A$4+218&gt;$B$4,"",$A$4+218)</f>
        <v>46241</v>
      </c>
      <c r="N21843">
        <f>IF(M21843="","",'Master Barang'!A37)</f>
        <v>0</v>
      </c>
      <c r="O21843">
        <f>IF(N21843="","",'Master Barang'!B37)</f>
        <v>0</v>
      </c>
      <c r="P21843">
        <f>IF(OR(M21843="",N21843=""),"",SUMIFS('Barang Keluar'!$E:$E,'Barang Keluar'!$A:$A,M21843,'Barang Keluar'!$C:$C,N21843))</f>
        <v>0</v>
      </c>
    </row>
    <row r="21844" spans="13:16">
      <c r="M21844" s="49">
        <f>IF($A$4+218&gt;$B$4,"",$A$4+218)</f>
        <v>46241</v>
      </c>
      <c r="N21844">
        <f>IF(M21844="","",'Master Barang'!A38)</f>
        <v>0</v>
      </c>
      <c r="O21844">
        <f>IF(N21844="","",'Master Barang'!B38)</f>
        <v>0</v>
      </c>
      <c r="P21844">
        <f>IF(OR(M21844="",N21844=""),"",SUMIFS('Barang Keluar'!$E:$E,'Barang Keluar'!$A:$A,M21844,'Barang Keluar'!$C:$C,N21844))</f>
        <v>0</v>
      </c>
    </row>
    <row r="21845" spans="13:16">
      <c r="M21845" s="49">
        <f>IF($A$4+218&gt;$B$4,"",$A$4+218)</f>
        <v>46241</v>
      </c>
      <c r="N21845">
        <f>IF(M21845="","",'Master Barang'!A39)</f>
        <v>0</v>
      </c>
      <c r="O21845">
        <f>IF(N21845="","",'Master Barang'!B39)</f>
        <v>0</v>
      </c>
      <c r="P21845">
        <f>IF(OR(M21845="",N21845=""),"",SUMIFS('Barang Keluar'!$E:$E,'Barang Keluar'!$A:$A,M21845,'Barang Keluar'!$C:$C,N21845))</f>
        <v>0</v>
      </c>
    </row>
    <row r="21846" spans="13:16">
      <c r="M21846" s="49">
        <f>IF($A$4+218&gt;$B$4,"",$A$4+218)</f>
        <v>46241</v>
      </c>
      <c r="N21846">
        <f>IF(M21846="","",'Master Barang'!A40)</f>
        <v>0</v>
      </c>
      <c r="O21846">
        <f>IF(N21846="","",'Master Barang'!B40)</f>
        <v>0</v>
      </c>
      <c r="P21846">
        <f>IF(OR(M21846="",N21846=""),"",SUMIFS('Barang Keluar'!$E:$E,'Barang Keluar'!$A:$A,M21846,'Barang Keluar'!$C:$C,N21846))</f>
        <v>0</v>
      </c>
    </row>
    <row r="21847" spans="13:16">
      <c r="M21847" s="49">
        <f>IF($A$4+218&gt;$B$4,"",$A$4+218)</f>
        <v>46241</v>
      </c>
      <c r="N21847">
        <f>IF(M21847="","",'Master Barang'!A41)</f>
        <v>0</v>
      </c>
      <c r="O21847">
        <f>IF(N21847="","",'Master Barang'!B41)</f>
        <v>0</v>
      </c>
      <c r="P21847">
        <f>IF(OR(M21847="",N21847=""),"",SUMIFS('Barang Keluar'!$E:$E,'Barang Keluar'!$A:$A,M21847,'Barang Keluar'!$C:$C,N21847))</f>
        <v>0</v>
      </c>
    </row>
    <row r="21848" spans="13:16">
      <c r="M21848" s="49">
        <f>IF($A$4+218&gt;$B$4,"",$A$4+218)</f>
        <v>46241</v>
      </c>
      <c r="N21848">
        <f>IF(M21848="","",'Master Barang'!A42)</f>
        <v>0</v>
      </c>
      <c r="O21848">
        <f>IF(N21848="","",'Master Barang'!B42)</f>
        <v>0</v>
      </c>
      <c r="P21848">
        <f>IF(OR(M21848="",N21848=""),"",SUMIFS('Barang Keluar'!$E:$E,'Barang Keluar'!$A:$A,M21848,'Barang Keluar'!$C:$C,N21848))</f>
        <v>0</v>
      </c>
    </row>
    <row r="21849" spans="13:16">
      <c r="M21849" s="49">
        <f>IF($A$4+218&gt;$B$4,"",$A$4+218)</f>
        <v>46241</v>
      </c>
      <c r="N21849">
        <f>IF(M21849="","",'Master Barang'!A43)</f>
        <v>0</v>
      </c>
      <c r="O21849">
        <f>IF(N21849="","",'Master Barang'!B43)</f>
        <v>0</v>
      </c>
      <c r="P21849">
        <f>IF(OR(M21849="",N21849=""),"",SUMIFS('Barang Keluar'!$E:$E,'Barang Keluar'!$A:$A,M21849,'Barang Keluar'!$C:$C,N21849))</f>
        <v>0</v>
      </c>
    </row>
    <row r="21850" spans="13:16">
      <c r="M21850" s="49">
        <f>IF($A$4+218&gt;$B$4,"",$A$4+218)</f>
        <v>46241</v>
      </c>
      <c r="N21850">
        <f>IF(M21850="","",'Master Barang'!A44)</f>
        <v>0</v>
      </c>
      <c r="O21850">
        <f>IF(N21850="","",'Master Barang'!B44)</f>
        <v>0</v>
      </c>
      <c r="P21850">
        <f>IF(OR(M21850="",N21850=""),"",SUMIFS('Barang Keluar'!$E:$E,'Barang Keluar'!$A:$A,M21850,'Barang Keluar'!$C:$C,N21850))</f>
        <v>0</v>
      </c>
    </row>
    <row r="21851" spans="13:16">
      <c r="M21851" s="49">
        <f>IF($A$4+218&gt;$B$4,"",$A$4+218)</f>
        <v>46241</v>
      </c>
      <c r="N21851">
        <f>IF(M21851="","",'Master Barang'!A45)</f>
        <v>0</v>
      </c>
      <c r="O21851">
        <f>IF(N21851="","",'Master Barang'!B45)</f>
        <v>0</v>
      </c>
      <c r="P21851">
        <f>IF(OR(M21851="",N21851=""),"",SUMIFS('Barang Keluar'!$E:$E,'Barang Keluar'!$A:$A,M21851,'Barang Keluar'!$C:$C,N21851))</f>
        <v>0</v>
      </c>
    </row>
    <row r="21852" spans="13:16">
      <c r="M21852" s="49">
        <f>IF($A$4+218&gt;$B$4,"",$A$4+218)</f>
        <v>46241</v>
      </c>
      <c r="N21852">
        <f>IF(M21852="","",'Master Barang'!A46)</f>
        <v>0</v>
      </c>
      <c r="O21852">
        <f>IF(N21852="","",'Master Barang'!B46)</f>
        <v>0</v>
      </c>
      <c r="P21852">
        <f>IF(OR(M21852="",N21852=""),"",SUMIFS('Barang Keluar'!$E:$E,'Barang Keluar'!$A:$A,M21852,'Barang Keluar'!$C:$C,N21852))</f>
        <v>0</v>
      </c>
    </row>
    <row r="21853" spans="13:16">
      <c r="M21853" s="49">
        <f>IF($A$4+218&gt;$B$4,"",$A$4+218)</f>
        <v>46241</v>
      </c>
      <c r="N21853">
        <f>IF(M21853="","",'Master Barang'!A47)</f>
        <v>0</v>
      </c>
      <c r="O21853">
        <f>IF(N21853="","",'Master Barang'!B47)</f>
        <v>0</v>
      </c>
      <c r="P21853">
        <f>IF(OR(M21853="",N21853=""),"",SUMIFS('Barang Keluar'!$E:$E,'Barang Keluar'!$A:$A,M21853,'Barang Keluar'!$C:$C,N21853))</f>
        <v>0</v>
      </c>
    </row>
    <row r="21854" spans="13:16">
      <c r="M21854" s="49">
        <f>IF($A$4+218&gt;$B$4,"",$A$4+218)</f>
        <v>46241</v>
      </c>
      <c r="N21854">
        <f>IF(M21854="","",'Master Barang'!A48)</f>
        <v>0</v>
      </c>
      <c r="O21854">
        <f>IF(N21854="","",'Master Barang'!B48)</f>
        <v>0</v>
      </c>
      <c r="P21854">
        <f>IF(OR(M21854="",N21854=""),"",SUMIFS('Barang Keluar'!$E:$E,'Barang Keluar'!$A:$A,M21854,'Barang Keluar'!$C:$C,N21854))</f>
        <v>0</v>
      </c>
    </row>
    <row r="21855" spans="13:16">
      <c r="M21855" s="49">
        <f>IF($A$4+218&gt;$B$4,"",$A$4+218)</f>
        <v>46241</v>
      </c>
      <c r="N21855">
        <f>IF(M21855="","",'Master Barang'!A49)</f>
        <v>0</v>
      </c>
      <c r="O21855">
        <f>IF(N21855="","",'Master Barang'!B49)</f>
        <v>0</v>
      </c>
      <c r="P21855">
        <f>IF(OR(M21855="",N21855=""),"",SUMIFS('Barang Keluar'!$E:$E,'Barang Keluar'!$A:$A,M21855,'Barang Keluar'!$C:$C,N21855))</f>
        <v>0</v>
      </c>
    </row>
    <row r="21856" spans="13:16">
      <c r="M21856" s="49">
        <f>IF($A$4+218&gt;$B$4,"",$A$4+218)</f>
        <v>46241</v>
      </c>
      <c r="N21856">
        <f>IF(M21856="","",'Master Barang'!A50)</f>
        <v>0</v>
      </c>
      <c r="O21856">
        <f>IF(N21856="","",'Master Barang'!B50)</f>
        <v>0</v>
      </c>
      <c r="P21856">
        <f>IF(OR(M21856="",N21856=""),"",SUMIFS('Barang Keluar'!$E:$E,'Barang Keluar'!$A:$A,M21856,'Barang Keluar'!$C:$C,N21856))</f>
        <v>0</v>
      </c>
    </row>
    <row r="21857" spans="13:16">
      <c r="M21857" s="49">
        <f>IF($A$4+218&gt;$B$4,"",$A$4+218)</f>
        <v>46241</v>
      </c>
      <c r="N21857">
        <f>IF(M21857="","",'Master Barang'!A51)</f>
        <v>0</v>
      </c>
      <c r="O21857">
        <f>IF(N21857="","",'Master Barang'!B51)</f>
        <v>0</v>
      </c>
      <c r="P21857">
        <f>IF(OR(M21857="",N21857=""),"",SUMIFS('Barang Keluar'!$E:$E,'Barang Keluar'!$A:$A,M21857,'Barang Keluar'!$C:$C,N21857))</f>
        <v>0</v>
      </c>
    </row>
    <row r="21858" spans="13:16">
      <c r="M21858" s="49">
        <f>IF($A$4+218&gt;$B$4,"",$A$4+218)</f>
        <v>46241</v>
      </c>
      <c r="N21858">
        <f>IF(M21858="","",'Master Barang'!A52)</f>
        <v>0</v>
      </c>
      <c r="O21858">
        <f>IF(N21858="","",'Master Barang'!B52)</f>
        <v>0</v>
      </c>
      <c r="P21858">
        <f>IF(OR(M21858="",N21858=""),"",SUMIFS('Barang Keluar'!$E:$E,'Barang Keluar'!$A:$A,M21858,'Barang Keluar'!$C:$C,N21858))</f>
        <v>0</v>
      </c>
    </row>
    <row r="21859" spans="13:16">
      <c r="M21859" s="49">
        <f>IF($A$4+218&gt;$B$4,"",$A$4+218)</f>
        <v>46241</v>
      </c>
      <c r="N21859">
        <f>IF(M21859="","",'Master Barang'!A53)</f>
        <v>0</v>
      </c>
      <c r="O21859">
        <f>IF(N21859="","",'Master Barang'!B53)</f>
        <v>0</v>
      </c>
      <c r="P21859">
        <f>IF(OR(M21859="",N21859=""),"",SUMIFS('Barang Keluar'!$E:$E,'Barang Keluar'!$A:$A,M21859,'Barang Keluar'!$C:$C,N21859))</f>
        <v>0</v>
      </c>
    </row>
    <row r="21860" spans="13:16">
      <c r="M21860" s="49">
        <f>IF($A$4+218&gt;$B$4,"",$A$4+218)</f>
        <v>46241</v>
      </c>
      <c r="N21860">
        <f>IF(M21860="","",'Master Barang'!A54)</f>
        <v>0</v>
      </c>
      <c r="O21860">
        <f>IF(N21860="","",'Master Barang'!B54)</f>
        <v>0</v>
      </c>
      <c r="P21860">
        <f>IF(OR(M21860="",N21860=""),"",SUMIFS('Barang Keluar'!$E:$E,'Barang Keluar'!$A:$A,M21860,'Barang Keluar'!$C:$C,N21860))</f>
        <v>0</v>
      </c>
    </row>
    <row r="21861" spans="13:16">
      <c r="M21861" s="49">
        <f>IF($A$4+218&gt;$B$4,"",$A$4+218)</f>
        <v>46241</v>
      </c>
      <c r="N21861">
        <f>IF(M21861="","",'Master Barang'!A55)</f>
        <v>0</v>
      </c>
      <c r="O21861">
        <f>IF(N21861="","",'Master Barang'!B55)</f>
        <v>0</v>
      </c>
      <c r="P21861">
        <f>IF(OR(M21861="",N21861=""),"",SUMIFS('Barang Keluar'!$E:$E,'Barang Keluar'!$A:$A,M21861,'Barang Keluar'!$C:$C,N21861))</f>
        <v>0</v>
      </c>
    </row>
    <row r="21862" spans="13:16">
      <c r="M21862" s="49">
        <f>IF($A$4+218&gt;$B$4,"",$A$4+218)</f>
        <v>46241</v>
      </c>
      <c r="N21862">
        <f>IF(M21862="","",'Master Barang'!A56)</f>
        <v>0</v>
      </c>
      <c r="O21862">
        <f>IF(N21862="","",'Master Barang'!B56)</f>
        <v>0</v>
      </c>
      <c r="P21862">
        <f>IF(OR(M21862="",N21862=""),"",SUMIFS('Barang Keluar'!$E:$E,'Barang Keluar'!$A:$A,M21862,'Barang Keluar'!$C:$C,N21862))</f>
        <v>0</v>
      </c>
    </row>
    <row r="21863" spans="13:16">
      <c r="M21863" s="49">
        <f>IF($A$4+218&gt;$B$4,"",$A$4+218)</f>
        <v>46241</v>
      </c>
      <c r="N21863">
        <f>IF(M21863="","",'Master Barang'!A57)</f>
        <v>0</v>
      </c>
      <c r="O21863">
        <f>IF(N21863="","",'Master Barang'!B57)</f>
        <v>0</v>
      </c>
      <c r="P21863">
        <f>IF(OR(M21863="",N21863=""),"",SUMIFS('Barang Keluar'!$E:$E,'Barang Keluar'!$A:$A,M21863,'Barang Keluar'!$C:$C,N21863))</f>
        <v>0</v>
      </c>
    </row>
    <row r="21864" spans="13:16">
      <c r="M21864" s="49">
        <f>IF($A$4+218&gt;$B$4,"",$A$4+218)</f>
        <v>46241</v>
      </c>
      <c r="N21864">
        <f>IF(M21864="","",'Master Barang'!A58)</f>
        <v>0</v>
      </c>
      <c r="O21864">
        <f>IF(N21864="","",'Master Barang'!B58)</f>
        <v>0</v>
      </c>
      <c r="P21864">
        <f>IF(OR(M21864="",N21864=""),"",SUMIFS('Barang Keluar'!$E:$E,'Barang Keluar'!$A:$A,M21864,'Barang Keluar'!$C:$C,N21864))</f>
        <v>0</v>
      </c>
    </row>
    <row r="21865" spans="13:16">
      <c r="M21865" s="49">
        <f>IF($A$4+218&gt;$B$4,"",$A$4+218)</f>
        <v>46241</v>
      </c>
      <c r="N21865">
        <f>IF(M21865="","",'Master Barang'!A59)</f>
        <v>0</v>
      </c>
      <c r="O21865">
        <f>IF(N21865="","",'Master Barang'!B59)</f>
        <v>0</v>
      </c>
      <c r="P21865">
        <f>IF(OR(M21865="",N21865=""),"",SUMIFS('Barang Keluar'!$E:$E,'Barang Keluar'!$A:$A,M21865,'Barang Keluar'!$C:$C,N21865))</f>
        <v>0</v>
      </c>
    </row>
    <row r="21866" spans="13:16">
      <c r="M21866" s="49">
        <f>IF($A$4+218&gt;$B$4,"",$A$4+218)</f>
        <v>46241</v>
      </c>
      <c r="N21866">
        <f>IF(M21866="","",'Master Barang'!A60)</f>
        <v>0</v>
      </c>
      <c r="O21866">
        <f>IF(N21866="","",'Master Barang'!B60)</f>
        <v>0</v>
      </c>
      <c r="P21866">
        <f>IF(OR(M21866="",N21866=""),"",SUMIFS('Barang Keluar'!$E:$E,'Barang Keluar'!$A:$A,M21866,'Barang Keluar'!$C:$C,N21866))</f>
        <v>0</v>
      </c>
    </row>
    <row r="21867" spans="13:16">
      <c r="M21867" s="49">
        <f>IF($A$4+218&gt;$B$4,"",$A$4+218)</f>
        <v>46241</v>
      </c>
      <c r="N21867">
        <f>IF(M21867="","",'Master Barang'!A61)</f>
        <v>0</v>
      </c>
      <c r="O21867">
        <f>IF(N21867="","",'Master Barang'!B61)</f>
        <v>0</v>
      </c>
      <c r="P21867">
        <f>IF(OR(M21867="",N21867=""),"",SUMIFS('Barang Keluar'!$E:$E,'Barang Keluar'!$A:$A,M21867,'Barang Keluar'!$C:$C,N21867))</f>
        <v>0</v>
      </c>
    </row>
    <row r="21868" spans="13:16">
      <c r="M21868" s="49">
        <f>IF($A$4+218&gt;$B$4,"",$A$4+218)</f>
        <v>46241</v>
      </c>
      <c r="N21868">
        <f>IF(M21868="","",'Master Barang'!A62)</f>
        <v>0</v>
      </c>
      <c r="O21868">
        <f>IF(N21868="","",'Master Barang'!B62)</f>
        <v>0</v>
      </c>
      <c r="P21868">
        <f>IF(OR(M21868="",N21868=""),"",SUMIFS('Barang Keluar'!$E:$E,'Barang Keluar'!$A:$A,M21868,'Barang Keluar'!$C:$C,N21868))</f>
        <v>0</v>
      </c>
    </row>
    <row r="21869" spans="13:16">
      <c r="M21869" s="49">
        <f>IF($A$4+218&gt;$B$4,"",$A$4+218)</f>
        <v>46241</v>
      </c>
      <c r="N21869">
        <f>IF(M21869="","",'Master Barang'!A63)</f>
        <v>0</v>
      </c>
      <c r="O21869">
        <f>IF(N21869="","",'Master Barang'!B63)</f>
        <v>0</v>
      </c>
      <c r="P21869">
        <f>IF(OR(M21869="",N21869=""),"",SUMIFS('Barang Keluar'!$E:$E,'Barang Keluar'!$A:$A,M21869,'Barang Keluar'!$C:$C,N21869))</f>
        <v>0</v>
      </c>
    </row>
    <row r="21870" spans="13:16">
      <c r="M21870" s="49">
        <f>IF($A$4+218&gt;$B$4,"",$A$4+218)</f>
        <v>46241</v>
      </c>
      <c r="N21870">
        <f>IF(M21870="","",'Master Barang'!A64)</f>
        <v>0</v>
      </c>
      <c r="O21870">
        <f>IF(N21870="","",'Master Barang'!B64)</f>
        <v>0</v>
      </c>
      <c r="P21870">
        <f>IF(OR(M21870="",N21870=""),"",SUMIFS('Barang Keluar'!$E:$E,'Barang Keluar'!$A:$A,M21870,'Barang Keluar'!$C:$C,N21870))</f>
        <v>0</v>
      </c>
    </row>
    <row r="21871" spans="13:16">
      <c r="M21871" s="49">
        <f>IF($A$4+218&gt;$B$4,"",$A$4+218)</f>
        <v>46241</v>
      </c>
      <c r="N21871">
        <f>IF(M21871="","",'Master Barang'!A65)</f>
        <v>0</v>
      </c>
      <c r="O21871">
        <f>IF(N21871="","",'Master Barang'!B65)</f>
        <v>0</v>
      </c>
      <c r="P21871">
        <f>IF(OR(M21871="",N21871=""),"",SUMIFS('Barang Keluar'!$E:$E,'Barang Keluar'!$A:$A,M21871,'Barang Keluar'!$C:$C,N21871))</f>
        <v>0</v>
      </c>
    </row>
    <row r="21872" spans="13:16">
      <c r="M21872" s="49">
        <f>IF($A$4+218&gt;$B$4,"",$A$4+218)</f>
        <v>46241</v>
      </c>
      <c r="N21872">
        <f>IF(M21872="","",'Master Barang'!A66)</f>
        <v>0</v>
      </c>
      <c r="O21872">
        <f>IF(N21872="","",'Master Barang'!B66)</f>
        <v>0</v>
      </c>
      <c r="P21872">
        <f>IF(OR(M21872="",N21872=""),"",SUMIFS('Barang Keluar'!$E:$E,'Barang Keluar'!$A:$A,M21872,'Barang Keluar'!$C:$C,N21872))</f>
        <v>0</v>
      </c>
    </row>
    <row r="21873" spans="13:16">
      <c r="M21873" s="49">
        <f>IF($A$4+218&gt;$B$4,"",$A$4+218)</f>
        <v>46241</v>
      </c>
      <c r="N21873">
        <f>IF(M21873="","",'Master Barang'!A67)</f>
        <v>0</v>
      </c>
      <c r="O21873">
        <f>IF(N21873="","",'Master Barang'!B67)</f>
        <v>0</v>
      </c>
      <c r="P21873">
        <f>IF(OR(M21873="",N21873=""),"",SUMIFS('Barang Keluar'!$E:$E,'Barang Keluar'!$A:$A,M21873,'Barang Keluar'!$C:$C,N21873))</f>
        <v>0</v>
      </c>
    </row>
    <row r="21874" spans="13:16">
      <c r="M21874" s="49">
        <f>IF($A$4+218&gt;$B$4,"",$A$4+218)</f>
        <v>46241</v>
      </c>
      <c r="N21874">
        <f>IF(M21874="","",'Master Barang'!A68)</f>
        <v>0</v>
      </c>
      <c r="O21874">
        <f>IF(N21874="","",'Master Barang'!B68)</f>
        <v>0</v>
      </c>
      <c r="P21874">
        <f>IF(OR(M21874="",N21874=""),"",SUMIFS('Barang Keluar'!$E:$E,'Barang Keluar'!$A:$A,M21874,'Barang Keluar'!$C:$C,N21874))</f>
        <v>0</v>
      </c>
    </row>
    <row r="21875" spans="13:16">
      <c r="M21875" s="49">
        <f>IF($A$4+218&gt;$B$4,"",$A$4+218)</f>
        <v>46241</v>
      </c>
      <c r="N21875">
        <f>IF(M21875="","",'Master Barang'!A69)</f>
        <v>0</v>
      </c>
      <c r="O21875">
        <f>IF(N21875="","",'Master Barang'!B69)</f>
        <v>0</v>
      </c>
      <c r="P21875">
        <f>IF(OR(M21875="",N21875=""),"",SUMIFS('Barang Keluar'!$E:$E,'Barang Keluar'!$A:$A,M21875,'Barang Keluar'!$C:$C,N21875))</f>
        <v>0</v>
      </c>
    </row>
    <row r="21876" spans="13:16">
      <c r="M21876" s="49">
        <f>IF($A$4+218&gt;$B$4,"",$A$4+218)</f>
        <v>46241</v>
      </c>
      <c r="N21876">
        <f>IF(M21876="","",'Master Barang'!A70)</f>
        <v>0</v>
      </c>
      <c r="O21876">
        <f>IF(N21876="","",'Master Barang'!B70)</f>
        <v>0</v>
      </c>
      <c r="P21876">
        <f>IF(OR(M21876="",N21876=""),"",SUMIFS('Barang Keluar'!$E:$E,'Barang Keluar'!$A:$A,M21876,'Barang Keluar'!$C:$C,N21876))</f>
        <v>0</v>
      </c>
    </row>
    <row r="21877" spans="13:16">
      <c r="M21877" s="49">
        <f>IF($A$4+218&gt;$B$4,"",$A$4+218)</f>
        <v>46241</v>
      </c>
      <c r="N21877">
        <f>IF(M21877="","",'Master Barang'!A71)</f>
        <v>0</v>
      </c>
      <c r="O21877">
        <f>IF(N21877="","",'Master Barang'!B71)</f>
        <v>0</v>
      </c>
      <c r="P21877">
        <f>IF(OR(M21877="",N21877=""),"",SUMIFS('Barang Keluar'!$E:$E,'Barang Keluar'!$A:$A,M21877,'Barang Keluar'!$C:$C,N21877))</f>
        <v>0</v>
      </c>
    </row>
    <row r="21878" spans="13:16">
      <c r="M21878" s="49">
        <f>IF($A$4+218&gt;$B$4,"",$A$4+218)</f>
        <v>46241</v>
      </c>
      <c r="N21878">
        <f>IF(M21878="","",'Master Barang'!A72)</f>
        <v>0</v>
      </c>
      <c r="O21878">
        <f>IF(N21878="","",'Master Barang'!B72)</f>
        <v>0</v>
      </c>
      <c r="P21878">
        <f>IF(OR(M21878="",N21878=""),"",SUMIFS('Barang Keluar'!$E:$E,'Barang Keluar'!$A:$A,M21878,'Barang Keluar'!$C:$C,N21878))</f>
        <v>0</v>
      </c>
    </row>
    <row r="21879" spans="13:16">
      <c r="M21879" s="49">
        <f>IF($A$4+218&gt;$B$4,"",$A$4+218)</f>
        <v>46241</v>
      </c>
      <c r="N21879">
        <f>IF(M21879="","",'Master Barang'!A73)</f>
        <v>0</v>
      </c>
      <c r="O21879">
        <f>IF(N21879="","",'Master Barang'!B73)</f>
        <v>0</v>
      </c>
      <c r="P21879">
        <f>IF(OR(M21879="",N21879=""),"",SUMIFS('Barang Keluar'!$E:$E,'Barang Keluar'!$A:$A,M21879,'Barang Keluar'!$C:$C,N21879))</f>
        <v>0</v>
      </c>
    </row>
    <row r="21880" spans="13:16">
      <c r="M21880" s="49">
        <f>IF($A$4+218&gt;$B$4,"",$A$4+218)</f>
        <v>46241</v>
      </c>
      <c r="N21880">
        <f>IF(M21880="","",'Master Barang'!A74)</f>
        <v>0</v>
      </c>
      <c r="O21880">
        <f>IF(N21880="","",'Master Barang'!B74)</f>
        <v>0</v>
      </c>
      <c r="P21880">
        <f>IF(OR(M21880="",N21880=""),"",SUMIFS('Barang Keluar'!$E:$E,'Barang Keluar'!$A:$A,M21880,'Barang Keluar'!$C:$C,N21880))</f>
        <v>0</v>
      </c>
    </row>
    <row r="21881" spans="13:16">
      <c r="M21881" s="49">
        <f>IF($A$4+218&gt;$B$4,"",$A$4+218)</f>
        <v>46241</v>
      </c>
      <c r="N21881">
        <f>IF(M21881="","",'Master Barang'!A75)</f>
        <v>0</v>
      </c>
      <c r="O21881">
        <f>IF(N21881="","",'Master Barang'!B75)</f>
        <v>0</v>
      </c>
      <c r="P21881">
        <f>IF(OR(M21881="",N21881=""),"",SUMIFS('Barang Keluar'!$E:$E,'Barang Keluar'!$A:$A,M21881,'Barang Keluar'!$C:$C,N21881))</f>
        <v>0</v>
      </c>
    </row>
    <row r="21882" spans="13:16">
      <c r="M21882" s="49">
        <f>IF($A$4+218&gt;$B$4,"",$A$4+218)</f>
        <v>46241</v>
      </c>
      <c r="N21882">
        <f>IF(M21882="","",'Master Barang'!A76)</f>
        <v>0</v>
      </c>
      <c r="O21882">
        <f>IF(N21882="","",'Master Barang'!B76)</f>
        <v>0</v>
      </c>
      <c r="P21882">
        <f>IF(OR(M21882="",N21882=""),"",SUMIFS('Barang Keluar'!$E:$E,'Barang Keluar'!$A:$A,M21882,'Barang Keluar'!$C:$C,N21882))</f>
        <v>0</v>
      </c>
    </row>
    <row r="21883" spans="13:16">
      <c r="M21883" s="49">
        <f>IF($A$4+218&gt;$B$4,"",$A$4+218)</f>
        <v>46241</v>
      </c>
      <c r="N21883">
        <f>IF(M21883="","",'Master Barang'!A77)</f>
        <v>0</v>
      </c>
      <c r="O21883">
        <f>IF(N21883="","",'Master Barang'!B77)</f>
        <v>0</v>
      </c>
      <c r="P21883">
        <f>IF(OR(M21883="",N21883=""),"",SUMIFS('Barang Keluar'!$E:$E,'Barang Keluar'!$A:$A,M21883,'Barang Keluar'!$C:$C,N21883))</f>
        <v>0</v>
      </c>
    </row>
    <row r="21884" spans="13:16">
      <c r="M21884" s="49">
        <f>IF($A$4+218&gt;$B$4,"",$A$4+218)</f>
        <v>46241</v>
      </c>
      <c r="N21884">
        <f>IF(M21884="","",'Master Barang'!A78)</f>
        <v>0</v>
      </c>
      <c r="O21884">
        <f>IF(N21884="","",'Master Barang'!B78)</f>
        <v>0</v>
      </c>
      <c r="P21884">
        <f>IF(OR(M21884="",N21884=""),"",SUMIFS('Barang Keluar'!$E:$E,'Barang Keluar'!$A:$A,M21884,'Barang Keluar'!$C:$C,N21884))</f>
        <v>0</v>
      </c>
    </row>
    <row r="21885" spans="13:16">
      <c r="M21885" s="49">
        <f>IF($A$4+218&gt;$B$4,"",$A$4+218)</f>
        <v>46241</v>
      </c>
      <c r="N21885">
        <f>IF(M21885="","",'Master Barang'!A79)</f>
        <v>0</v>
      </c>
      <c r="O21885">
        <f>IF(N21885="","",'Master Barang'!B79)</f>
        <v>0</v>
      </c>
      <c r="P21885">
        <f>IF(OR(M21885="",N21885=""),"",SUMIFS('Barang Keluar'!$E:$E,'Barang Keluar'!$A:$A,M21885,'Barang Keluar'!$C:$C,N21885))</f>
        <v>0</v>
      </c>
    </row>
    <row r="21886" spans="13:16">
      <c r="M21886" s="49">
        <f>IF($A$4+218&gt;$B$4,"",$A$4+218)</f>
        <v>46241</v>
      </c>
      <c r="N21886">
        <f>IF(M21886="","",'Master Barang'!A80)</f>
        <v>0</v>
      </c>
      <c r="O21886">
        <f>IF(N21886="","",'Master Barang'!B80)</f>
        <v>0</v>
      </c>
      <c r="P21886">
        <f>IF(OR(M21886="",N21886=""),"",SUMIFS('Barang Keluar'!$E:$E,'Barang Keluar'!$A:$A,M21886,'Barang Keluar'!$C:$C,N21886))</f>
        <v>0</v>
      </c>
    </row>
    <row r="21887" spans="13:16">
      <c r="M21887" s="49">
        <f>IF($A$4+218&gt;$B$4,"",$A$4+218)</f>
        <v>46241</v>
      </c>
      <c r="N21887">
        <f>IF(M21887="","",'Master Barang'!A81)</f>
        <v>0</v>
      </c>
      <c r="O21887">
        <f>IF(N21887="","",'Master Barang'!B81)</f>
        <v>0</v>
      </c>
      <c r="P21887">
        <f>IF(OR(M21887="",N21887=""),"",SUMIFS('Barang Keluar'!$E:$E,'Barang Keluar'!$A:$A,M21887,'Barang Keluar'!$C:$C,N21887))</f>
        <v>0</v>
      </c>
    </row>
    <row r="21888" spans="13:16">
      <c r="M21888" s="49">
        <f>IF($A$4+218&gt;$B$4,"",$A$4+218)</f>
        <v>46241</v>
      </c>
      <c r="N21888">
        <f>IF(M21888="","",'Master Barang'!A82)</f>
        <v>0</v>
      </c>
      <c r="O21888">
        <f>IF(N21888="","",'Master Barang'!B82)</f>
        <v>0</v>
      </c>
      <c r="P21888">
        <f>IF(OR(M21888="",N21888=""),"",SUMIFS('Barang Keluar'!$E:$E,'Barang Keluar'!$A:$A,M21888,'Barang Keluar'!$C:$C,N21888))</f>
        <v>0</v>
      </c>
    </row>
    <row r="21889" spans="13:16">
      <c r="M21889" s="49">
        <f>IF($A$4+218&gt;$B$4,"",$A$4+218)</f>
        <v>46241</v>
      </c>
      <c r="N21889">
        <f>IF(M21889="","",'Master Barang'!A83)</f>
        <v>0</v>
      </c>
      <c r="O21889">
        <f>IF(N21889="","",'Master Barang'!B83)</f>
        <v>0</v>
      </c>
      <c r="P21889">
        <f>IF(OR(M21889="",N21889=""),"",SUMIFS('Barang Keluar'!$E:$E,'Barang Keluar'!$A:$A,M21889,'Barang Keluar'!$C:$C,N21889))</f>
        <v>0</v>
      </c>
    </row>
    <row r="21890" spans="13:16">
      <c r="M21890" s="49">
        <f>IF($A$4+218&gt;$B$4,"",$A$4+218)</f>
        <v>46241</v>
      </c>
      <c r="N21890">
        <f>IF(M21890="","",'Master Barang'!A84)</f>
        <v>0</v>
      </c>
      <c r="O21890">
        <f>IF(N21890="","",'Master Barang'!B84)</f>
        <v>0</v>
      </c>
      <c r="P21890">
        <f>IF(OR(M21890="",N21890=""),"",SUMIFS('Barang Keluar'!$E:$E,'Barang Keluar'!$A:$A,M21890,'Barang Keluar'!$C:$C,N21890))</f>
        <v>0</v>
      </c>
    </row>
    <row r="21891" spans="13:16">
      <c r="M21891" s="49">
        <f>IF($A$4+218&gt;$B$4,"",$A$4+218)</f>
        <v>46241</v>
      </c>
      <c r="N21891">
        <f>IF(M21891="","",'Master Barang'!A85)</f>
        <v>0</v>
      </c>
      <c r="O21891">
        <f>IF(N21891="","",'Master Barang'!B85)</f>
        <v>0</v>
      </c>
      <c r="P21891">
        <f>IF(OR(M21891="",N21891=""),"",SUMIFS('Barang Keluar'!$E:$E,'Barang Keluar'!$A:$A,M21891,'Barang Keluar'!$C:$C,N21891))</f>
        <v>0</v>
      </c>
    </row>
    <row r="21892" spans="13:16">
      <c r="M21892" s="49">
        <f>IF($A$4+218&gt;$B$4,"",$A$4+218)</f>
        <v>46241</v>
      </c>
      <c r="N21892">
        <f>IF(M21892="","",'Master Barang'!A86)</f>
        <v>0</v>
      </c>
      <c r="O21892">
        <f>IF(N21892="","",'Master Barang'!B86)</f>
        <v>0</v>
      </c>
      <c r="P21892">
        <f>IF(OR(M21892="",N21892=""),"",SUMIFS('Barang Keluar'!$E:$E,'Barang Keluar'!$A:$A,M21892,'Barang Keluar'!$C:$C,N21892))</f>
        <v>0</v>
      </c>
    </row>
    <row r="21893" spans="13:16">
      <c r="M21893" s="49">
        <f>IF($A$4+218&gt;$B$4,"",$A$4+218)</f>
        <v>46241</v>
      </c>
      <c r="N21893">
        <f>IF(M21893="","",'Master Barang'!A87)</f>
        <v>0</v>
      </c>
      <c r="O21893">
        <f>IF(N21893="","",'Master Barang'!B87)</f>
        <v>0</v>
      </c>
      <c r="P21893">
        <f>IF(OR(M21893="",N21893=""),"",SUMIFS('Barang Keluar'!$E:$E,'Barang Keluar'!$A:$A,M21893,'Barang Keluar'!$C:$C,N21893))</f>
        <v>0</v>
      </c>
    </row>
    <row r="21894" spans="13:16">
      <c r="M21894" s="49">
        <f>IF($A$4+218&gt;$B$4,"",$A$4+218)</f>
        <v>46241</v>
      </c>
      <c r="N21894">
        <f>IF(M21894="","",'Master Barang'!A88)</f>
        <v>0</v>
      </c>
      <c r="O21894">
        <f>IF(N21894="","",'Master Barang'!B88)</f>
        <v>0</v>
      </c>
      <c r="P21894">
        <f>IF(OR(M21894="",N21894=""),"",SUMIFS('Barang Keluar'!$E:$E,'Barang Keluar'!$A:$A,M21894,'Barang Keluar'!$C:$C,N21894))</f>
        <v>0</v>
      </c>
    </row>
    <row r="21895" spans="13:16">
      <c r="M21895" s="49">
        <f>IF($A$4+218&gt;$B$4,"",$A$4+218)</f>
        <v>46241</v>
      </c>
      <c r="N21895">
        <f>IF(M21895="","",'Master Barang'!A89)</f>
        <v>0</v>
      </c>
      <c r="O21895">
        <f>IF(N21895="","",'Master Barang'!B89)</f>
        <v>0</v>
      </c>
      <c r="P21895">
        <f>IF(OR(M21895="",N21895=""),"",SUMIFS('Barang Keluar'!$E:$E,'Barang Keluar'!$A:$A,M21895,'Barang Keluar'!$C:$C,N21895))</f>
        <v>0</v>
      </c>
    </row>
    <row r="21896" spans="13:16">
      <c r="M21896" s="49">
        <f>IF($A$4+218&gt;$B$4,"",$A$4+218)</f>
        <v>46241</v>
      </c>
      <c r="N21896">
        <f>IF(M21896="","",'Master Barang'!A90)</f>
        <v>0</v>
      </c>
      <c r="O21896">
        <f>IF(N21896="","",'Master Barang'!B90)</f>
        <v>0</v>
      </c>
      <c r="P21896">
        <f>IF(OR(M21896="",N21896=""),"",SUMIFS('Barang Keluar'!$E:$E,'Barang Keluar'!$A:$A,M21896,'Barang Keluar'!$C:$C,N21896))</f>
        <v>0</v>
      </c>
    </row>
    <row r="21897" spans="13:16">
      <c r="M21897" s="49">
        <f>IF($A$4+218&gt;$B$4,"",$A$4+218)</f>
        <v>46241</v>
      </c>
      <c r="N21897">
        <f>IF(M21897="","",'Master Barang'!A91)</f>
        <v>0</v>
      </c>
      <c r="O21897">
        <f>IF(N21897="","",'Master Barang'!B91)</f>
        <v>0</v>
      </c>
      <c r="P21897">
        <f>IF(OR(M21897="",N21897=""),"",SUMIFS('Barang Keluar'!$E:$E,'Barang Keluar'!$A:$A,M21897,'Barang Keluar'!$C:$C,N21897))</f>
        <v>0</v>
      </c>
    </row>
    <row r="21898" spans="13:16">
      <c r="M21898" s="49">
        <f>IF($A$4+218&gt;$B$4,"",$A$4+218)</f>
        <v>46241</v>
      </c>
      <c r="N21898">
        <f>IF(M21898="","",'Master Barang'!A92)</f>
        <v>0</v>
      </c>
      <c r="O21898">
        <f>IF(N21898="","",'Master Barang'!B92)</f>
        <v>0</v>
      </c>
      <c r="P21898">
        <f>IF(OR(M21898="",N21898=""),"",SUMIFS('Barang Keluar'!$E:$E,'Barang Keluar'!$A:$A,M21898,'Barang Keluar'!$C:$C,N21898))</f>
        <v>0</v>
      </c>
    </row>
    <row r="21899" spans="13:16">
      <c r="M21899" s="49">
        <f>IF($A$4+218&gt;$B$4,"",$A$4+218)</f>
        <v>46241</v>
      </c>
      <c r="N21899">
        <f>IF(M21899="","",'Master Barang'!A93)</f>
        <v>0</v>
      </c>
      <c r="O21899">
        <f>IF(N21899="","",'Master Barang'!B93)</f>
        <v>0</v>
      </c>
      <c r="P21899">
        <f>IF(OR(M21899="",N21899=""),"",SUMIFS('Barang Keluar'!$E:$E,'Barang Keluar'!$A:$A,M21899,'Barang Keluar'!$C:$C,N21899))</f>
        <v>0</v>
      </c>
    </row>
    <row r="21900" spans="13:16">
      <c r="M21900" s="49">
        <f>IF($A$4+218&gt;$B$4,"",$A$4+218)</f>
        <v>46241</v>
      </c>
      <c r="N21900">
        <f>IF(M21900="","",'Master Barang'!A94)</f>
        <v>0</v>
      </c>
      <c r="O21900">
        <f>IF(N21900="","",'Master Barang'!B94)</f>
        <v>0</v>
      </c>
      <c r="P21900">
        <f>IF(OR(M21900="",N21900=""),"",SUMIFS('Barang Keluar'!$E:$E,'Barang Keluar'!$A:$A,M21900,'Barang Keluar'!$C:$C,N21900))</f>
        <v>0</v>
      </c>
    </row>
    <row r="21901" spans="13:16">
      <c r="M21901" s="49">
        <f>IF($A$4+218&gt;$B$4,"",$A$4+218)</f>
        <v>46241</v>
      </c>
      <c r="N21901">
        <f>IF(M21901="","",'Master Barang'!A95)</f>
        <v>0</v>
      </c>
      <c r="O21901">
        <f>IF(N21901="","",'Master Barang'!B95)</f>
        <v>0</v>
      </c>
      <c r="P21901">
        <f>IF(OR(M21901="",N21901=""),"",SUMIFS('Barang Keluar'!$E:$E,'Barang Keluar'!$A:$A,M21901,'Barang Keluar'!$C:$C,N21901))</f>
        <v>0</v>
      </c>
    </row>
    <row r="21902" spans="13:16">
      <c r="M21902" s="49">
        <f>IF($A$4+218&gt;$B$4,"",$A$4+218)</f>
        <v>46241</v>
      </c>
      <c r="N21902">
        <f>IF(M21902="","",'Master Barang'!A96)</f>
        <v>0</v>
      </c>
      <c r="O21902">
        <f>IF(N21902="","",'Master Barang'!B96)</f>
        <v>0</v>
      </c>
      <c r="P21902">
        <f>IF(OR(M21902="",N21902=""),"",SUMIFS('Barang Keluar'!$E:$E,'Barang Keluar'!$A:$A,M21902,'Barang Keluar'!$C:$C,N21902))</f>
        <v>0</v>
      </c>
    </row>
    <row r="21903" spans="13:16">
      <c r="M21903" s="49">
        <f>IF($A$4+218&gt;$B$4,"",$A$4+218)</f>
        <v>46241</v>
      </c>
      <c r="N21903">
        <f>IF(M21903="","",'Master Barang'!A97)</f>
        <v>0</v>
      </c>
      <c r="O21903">
        <f>IF(N21903="","",'Master Barang'!B97)</f>
        <v>0</v>
      </c>
      <c r="P21903">
        <f>IF(OR(M21903="",N21903=""),"",SUMIFS('Barang Keluar'!$E:$E,'Barang Keluar'!$A:$A,M21903,'Barang Keluar'!$C:$C,N21903))</f>
        <v>0</v>
      </c>
    </row>
    <row r="21904" spans="13:16">
      <c r="M21904" s="49">
        <f>IF($A$4+218&gt;$B$4,"",$A$4+218)</f>
        <v>46241</v>
      </c>
      <c r="N21904">
        <f>IF(M21904="","",'Master Barang'!A98)</f>
        <v>0</v>
      </c>
      <c r="O21904">
        <f>IF(N21904="","",'Master Barang'!B98)</f>
        <v>0</v>
      </c>
      <c r="P21904">
        <f>IF(OR(M21904="",N21904=""),"",SUMIFS('Barang Keluar'!$E:$E,'Barang Keluar'!$A:$A,M21904,'Barang Keluar'!$C:$C,N21904))</f>
        <v>0</v>
      </c>
    </row>
    <row r="21905" spans="13:16">
      <c r="M21905" s="49">
        <f>IF($A$4+218&gt;$B$4,"",$A$4+218)</f>
        <v>46241</v>
      </c>
      <c r="N21905">
        <f>IF(M21905="","",'Master Barang'!A99)</f>
        <v>0</v>
      </c>
      <c r="O21905">
        <f>IF(N21905="","",'Master Barang'!B99)</f>
        <v>0</v>
      </c>
      <c r="P21905">
        <f>IF(OR(M21905="",N21905=""),"",SUMIFS('Barang Keluar'!$E:$E,'Barang Keluar'!$A:$A,M21905,'Barang Keluar'!$C:$C,N21905))</f>
        <v>0</v>
      </c>
    </row>
    <row r="21906" spans="13:16">
      <c r="M21906" s="49">
        <f>IF($A$4+218&gt;$B$4,"",$A$4+218)</f>
        <v>46241</v>
      </c>
      <c r="N21906">
        <f>IF(M21906="","",'Master Barang'!A100)</f>
        <v>0</v>
      </c>
      <c r="O21906">
        <f>IF(N21906="","",'Master Barang'!B100)</f>
        <v>0</v>
      </c>
      <c r="P21906">
        <f>IF(OR(M21906="",N21906=""),"",SUMIFS('Barang Keluar'!$E:$E,'Barang Keluar'!$A:$A,M21906,'Barang Keluar'!$C:$C,N21906))</f>
        <v>0</v>
      </c>
    </row>
    <row r="21907" spans="13:16">
      <c r="M21907" s="49">
        <f>IF($A$4+218&gt;$B$4,"",$A$4+218)</f>
        <v>46241</v>
      </c>
      <c r="N21907">
        <f>IF(M21907="","",'Master Barang'!A101)</f>
        <v>0</v>
      </c>
      <c r="O21907">
        <f>IF(N21907="","",'Master Barang'!B101)</f>
        <v>0</v>
      </c>
      <c r="P21907">
        <f>IF(OR(M21907="",N21907=""),"",SUMIFS('Barang Keluar'!$E:$E,'Barang Keluar'!$A:$A,M21907,'Barang Keluar'!$C:$C,N21907))</f>
        <v>0</v>
      </c>
    </row>
    <row r="21908" spans="13:16">
      <c r="M21908" s="49">
        <f>IF($A$4+219&gt;$B$4,"",$A$4+219)</f>
        <v>46242</v>
      </c>
      <c r="N21908" t="str">
        <f>IF(M21908="","",'Master Barang'!A2)</f>
        <v>PRL-001</v>
      </c>
      <c r="O21908" t="str">
        <f>IF(N21908="","",'Master Barang'!B2)</f>
        <v>natura desinfectant food grade 5l</v>
      </c>
      <c r="P21908">
        <f>IF(OR(M21908="",N21908=""),"",SUMIFS('Barang Keluar'!$E:$E,'Barang Keluar'!$A:$A,M21908,'Barang Keluar'!$C:$C,N21908))</f>
        <v>0</v>
      </c>
    </row>
    <row r="21909" spans="13:16">
      <c r="M21909" s="49">
        <f>IF($A$4+219&gt;$B$4,"",$A$4+219)</f>
        <v>46242</v>
      </c>
      <c r="N21909" t="str">
        <f>IF(M21909="","",'Master Barang'!A3)</f>
        <v>PRL-002</v>
      </c>
      <c r="O21909" t="str">
        <f>IF(N21909="","",'Master Barang'!B3)</f>
        <v>sunlight cairan pencuci piring 5l</v>
      </c>
      <c r="P21909">
        <f>IF(OR(M21909="",N21909=""),"",SUMIFS('Barang Keluar'!$E:$E,'Barang Keluar'!$A:$A,M21909,'Barang Keluar'!$C:$C,N21909))</f>
        <v>0</v>
      </c>
    </row>
    <row r="21910" spans="13:16">
      <c r="M21910" s="49">
        <f>IF($A$4+219&gt;$B$4,"",$A$4+219)</f>
        <v>46242</v>
      </c>
      <c r="N21910" t="str">
        <f>IF(M21910="","",'Master Barang'!A4)</f>
        <v>PRL-003</v>
      </c>
      <c r="O21910" t="str">
        <f>IF(N21910="","",'Master Barang'!B4)</f>
        <v>oixs cleaner 1l</v>
      </c>
      <c r="P21910">
        <f>IF(OR(M21910="",N21910=""),"",SUMIFS('Barang Keluar'!$E:$E,'Barang Keluar'!$A:$A,M21910,'Barang Keluar'!$C:$C,N21910))</f>
        <v>0</v>
      </c>
    </row>
    <row r="21911" spans="13:16">
      <c r="M21911" s="49">
        <f>IF($A$4+219&gt;$B$4,"",$A$4+219)</f>
        <v>46242</v>
      </c>
      <c r="N21911" t="str">
        <f>IF(M21911="","",'Master Barang'!A5)</f>
        <v>PRL-004</v>
      </c>
      <c r="O21911" t="str">
        <f>IF(N21911="","",'Master Barang'!B5)</f>
        <v>be clean tissue serbaguna</v>
      </c>
      <c r="P21911">
        <f>IF(OR(M21911="",N21911=""),"",SUMIFS('Barang Keluar'!$E:$E,'Barang Keluar'!$A:$A,M21911,'Barang Keluar'!$C:$C,N21911))</f>
        <v>0</v>
      </c>
    </row>
    <row r="21912" spans="13:16">
      <c r="M21912" s="49">
        <f>IF($A$4+219&gt;$B$4,"",$A$4+219)</f>
        <v>46242</v>
      </c>
      <c r="N21912" t="str">
        <f>IF(M21912="","",'Master Barang'!A6)</f>
        <v>PRL-005</v>
      </c>
      <c r="O21912" t="str">
        <f>IF(N21912="","",'Master Barang'!B6)</f>
        <v>spons cuci hijau</v>
      </c>
      <c r="P21912">
        <f>IF(OR(M21912="",N21912=""),"",SUMIFS('Barang Keluar'!$E:$E,'Barang Keluar'!$A:$A,M21912,'Barang Keluar'!$C:$C,N21912))</f>
        <v>0</v>
      </c>
    </row>
    <row r="21913" spans="13:16">
      <c r="M21913" s="49">
        <f>IF($A$4+219&gt;$B$4,"",$A$4+219)</f>
        <v>46242</v>
      </c>
      <c r="N21913" t="str">
        <f>IF(M21913="","",'Master Barang'!A7)</f>
        <v>PRL-006</v>
      </c>
      <c r="O21913" t="str">
        <f>IF(N21913="","",'Master Barang'!B7)</f>
        <v>sabut cuci stainless</v>
      </c>
      <c r="P21913">
        <f>IF(OR(M21913="",N21913=""),"",SUMIFS('Barang Keluar'!$E:$E,'Barang Keluar'!$A:$A,M21913,'Barang Keluar'!$C:$C,N21913))</f>
        <v>0</v>
      </c>
    </row>
    <row r="21914" spans="13:16">
      <c r="M21914" s="49">
        <f>IF($A$4+219&gt;$B$4,"",$A$4+219)</f>
        <v>46242</v>
      </c>
      <c r="N21914" t="str">
        <f>IF(M21914="","",'Master Barang'!A8)</f>
        <v>PRL-007</v>
      </c>
      <c r="O21914" t="str">
        <f>IF(N21914="","",'Master Barang'!B8)</f>
        <v>plastik kresek besar merah 50pc</v>
      </c>
      <c r="P21914">
        <f>IF(OR(M21914="",N21914=""),"",SUMIFS('Barang Keluar'!$E:$E,'Barang Keluar'!$A:$A,M21914,'Barang Keluar'!$C:$C,N21914))</f>
        <v>0</v>
      </c>
    </row>
    <row r="21915" spans="13:16">
      <c r="M21915" s="49">
        <f>IF($A$4+219&gt;$B$4,"",$A$4+219)</f>
        <v>46242</v>
      </c>
      <c r="N21915" t="str">
        <f>IF(M21915="","",'Master Barang'!A9)</f>
        <v>PRL-008</v>
      </c>
      <c r="O21915" t="str">
        <f>IF(N21915="","",'Master Barang'!B9)</f>
        <v>lap besar</v>
      </c>
      <c r="P21915">
        <f>IF(OR(M21915="",N21915=""),"",SUMIFS('Barang Keluar'!$E:$E,'Barang Keluar'!$A:$A,M21915,'Barang Keluar'!$C:$C,N21915))</f>
        <v>0</v>
      </c>
    </row>
    <row r="21916" spans="13:16">
      <c r="M21916" s="49">
        <f>IF($A$4+219&gt;$B$4,"",$A$4+219)</f>
        <v>46242</v>
      </c>
      <c r="N21916" t="str">
        <f>IF(M21916="","",'Master Barang'!A10)</f>
        <v>PRL-009</v>
      </c>
      <c r="O21916" t="str">
        <f>IF(N21916="","",'Master Barang'!B10)</f>
        <v>lap microfiber</v>
      </c>
      <c r="P21916">
        <f>IF(OR(M21916="",N21916=""),"",SUMIFS('Barang Keluar'!$E:$E,'Barang Keluar'!$A:$A,M21916,'Barang Keluar'!$C:$C,N21916))</f>
        <v>0</v>
      </c>
    </row>
    <row r="21917" spans="13:16">
      <c r="M21917" s="49">
        <f>IF($A$4+219&gt;$B$4,"",$A$4+219)</f>
        <v>46242</v>
      </c>
      <c r="N21917" t="str">
        <f>IF(M21917="","",'Master Barang'!A11)</f>
        <v>PRL-010</v>
      </c>
      <c r="O21917" t="str">
        <f>IF(N21917="","",'Master Barang'!B11)</f>
        <v>lap kecil</v>
      </c>
      <c r="P21917">
        <f>IF(OR(M21917="",N21917=""),"",SUMIFS('Barang Keluar'!$E:$E,'Barang Keluar'!$A:$A,M21917,'Barang Keluar'!$C:$C,N21917))</f>
        <v>0</v>
      </c>
    </row>
    <row r="21918" spans="13:16">
      <c r="M21918" s="49">
        <f>IF($A$4+219&gt;$B$4,"",$A$4+219)</f>
        <v>46242</v>
      </c>
      <c r="N21918" t="str">
        <f>IF(M21918="","",'Master Barang'!A12)</f>
        <v>PRL-011</v>
      </c>
      <c r="O21918" t="str">
        <f>IF(N21918="","",'Master Barang'!B12)</f>
        <v>kanebo kecil</v>
      </c>
      <c r="P21918">
        <f>IF(OR(M21918="",N21918=""),"",SUMIFS('Barang Keluar'!$E:$E,'Barang Keluar'!$A:$A,M21918,'Barang Keluar'!$C:$C,N21918))</f>
        <v>0</v>
      </c>
    </row>
    <row r="21919" spans="13:16">
      <c r="M21919" s="49">
        <f>IF($A$4+219&gt;$B$4,"",$A$4+219)</f>
        <v>46242</v>
      </c>
      <c r="N21919" t="str">
        <f>IF(M21919="","",'Master Barang'!A13)</f>
        <v>PRL-012</v>
      </c>
      <c r="O21919" t="str">
        <f>IF(N21919="","",'Master Barang'!B13)</f>
        <v>plastik 1/4kg joyoboyo 100 lembar</v>
      </c>
      <c r="P21919">
        <f>IF(OR(M21919="",N21919=""),"",SUMIFS('Barang Keluar'!$E:$E,'Barang Keluar'!$A:$A,M21919,'Barang Keluar'!$C:$C,N21919))</f>
        <v>0</v>
      </c>
    </row>
    <row r="21920" spans="13:16">
      <c r="M21920" s="49">
        <f>IF($A$4+219&gt;$B$4,"",$A$4+219)</f>
        <v>46242</v>
      </c>
      <c r="N21920" t="str">
        <f>IF(M21920="","",'Master Barang'!A14)</f>
        <v>PRL-013</v>
      </c>
      <c r="O21920" t="str">
        <f>IF(N21920="","",'Master Barang'!B14)</f>
        <v>sarung tangan plastik kaka 100 pcs</v>
      </c>
      <c r="P21920">
        <f>IF(OR(M21920="",N21920=""),"",SUMIFS('Barang Keluar'!$E:$E,'Barang Keluar'!$A:$A,M21920,'Barang Keluar'!$C:$C,N21920))</f>
        <v>0</v>
      </c>
    </row>
    <row r="21921" spans="13:16">
      <c r="M21921" s="49">
        <f>IF($A$4+219&gt;$B$4,"",$A$4+219)</f>
        <v>46242</v>
      </c>
      <c r="N21921" t="str">
        <f>IF(M21921="","",'Master Barang'!A15)</f>
        <v>PRL-014</v>
      </c>
      <c r="O21921" t="str">
        <f>IF(N21921="","",'Master Barang'!B15)</f>
        <v>optima trashbag 80x100</v>
      </c>
      <c r="P21921">
        <f>IF(OR(M21921="",N21921=""),"",SUMIFS('Barang Keluar'!$E:$E,'Barang Keluar'!$A:$A,M21921,'Barang Keluar'!$C:$C,N21921))</f>
        <v>0</v>
      </c>
    </row>
    <row r="21922" spans="13:16">
      <c r="M21922" s="49">
        <f>IF($A$4+219&gt;$B$4,"",$A$4+219)</f>
        <v>46242</v>
      </c>
      <c r="N21922" t="str">
        <f>IF(M21922="","",'Master Barang'!A16)</f>
        <v>PRL-015</v>
      </c>
      <c r="O21922" t="str">
        <f>IF(N21922="","",'Master Barang'!B16)</f>
        <v>optima trashbag 60x100</v>
      </c>
      <c r="P21922">
        <f>IF(OR(M21922="",N21922=""),"",SUMIFS('Barang Keluar'!$E:$E,'Barang Keluar'!$A:$A,M21922,'Barang Keluar'!$C:$C,N21922))</f>
        <v>0</v>
      </c>
    </row>
    <row r="21923" spans="13:16">
      <c r="M21923" s="49">
        <f>IF($A$4+219&gt;$B$4,"",$A$4+219)</f>
        <v>46242</v>
      </c>
      <c r="N21923" t="str">
        <f>IF(M21923="","",'Master Barang'!A17)</f>
        <v>PRL-016</v>
      </c>
      <c r="O21923" t="str">
        <f>IF(N21923="","",'Master Barang'!B17)</f>
        <v>rajawali trashbag 30x40</v>
      </c>
      <c r="P21923">
        <f>IF(OR(M21923="",N21923=""),"",SUMIFS('Barang Keluar'!$E:$E,'Barang Keluar'!$A:$A,M21923,'Barang Keluar'!$C:$C,N21923))</f>
        <v>0</v>
      </c>
    </row>
    <row r="21924" spans="13:16">
      <c r="M21924" s="49">
        <f>IF($A$4+219&gt;$B$4,"",$A$4+219)</f>
        <v>46242</v>
      </c>
      <c r="N21924" t="str">
        <f>IF(M21924="","",'Master Barang'!A18)</f>
        <v>PRL-017</v>
      </c>
      <c r="O21924" t="str">
        <f>IF(N21924="","",'Master Barang'!B18)</f>
        <v>onemed masker biru 3 play 50 pcs</v>
      </c>
      <c r="P21924">
        <f>IF(OR(M21924="",N21924=""),"",SUMIFS('Barang Keluar'!$E:$E,'Barang Keluar'!$A:$A,M21924,'Barang Keluar'!$C:$C,N21924))</f>
        <v>0</v>
      </c>
    </row>
    <row r="21925" spans="13:16">
      <c r="M21925" s="49">
        <f>IF($A$4+219&gt;$B$4,"",$A$4+219)</f>
        <v>46242</v>
      </c>
      <c r="N21925" t="str">
        <f>IF(M21925="","",'Master Barang'!A19)</f>
        <v>PRL-018</v>
      </c>
      <c r="O21925" t="str">
        <f>IF(N21925="","",'Master Barang'!B19)</f>
        <v>onemed masker biru 3 play hijab 50 pcs</v>
      </c>
      <c r="P21925">
        <f>IF(OR(M21925="",N21925=""),"",SUMIFS('Barang Keluar'!$E:$E,'Barang Keluar'!$A:$A,M21925,'Barang Keluar'!$C:$C,N21925))</f>
        <v>0</v>
      </c>
    </row>
    <row r="21926" spans="13:16">
      <c r="M21926" s="49">
        <f>IF($A$4+219&gt;$B$4,"",$A$4+219)</f>
        <v>46242</v>
      </c>
      <c r="N21926" t="str">
        <f>IF(M21926="","",'Master Barang'!A20)</f>
        <v>PRL-019</v>
      </c>
      <c r="O21926" t="str">
        <f>IF(N21926="","",'Master Barang'!B20)</f>
        <v>neo health masker biru 3 play 50 pcs</v>
      </c>
      <c r="P21926">
        <f>IF(OR(M21926="",N21926=""),"",SUMIFS('Barang Keluar'!$E:$E,'Barang Keluar'!$A:$A,M21926,'Barang Keluar'!$C:$C,N21926))</f>
        <v>0</v>
      </c>
    </row>
    <row r="21927" spans="13:16">
      <c r="M21927" s="49">
        <f>IF($A$4+219&gt;$B$4,"",$A$4+219)</f>
        <v>46242</v>
      </c>
      <c r="N21927" t="str">
        <f>IF(M21927="","",'Master Barang'!A21)</f>
        <v>PRL-020</v>
      </c>
      <c r="O21927" t="str">
        <f>IF(N21927="","",'Master Barang'!B21)</f>
        <v>baymed masker hijau 3 play hijau 50 pcs</v>
      </c>
      <c r="P21927">
        <f>IF(OR(M21927="",N21927=""),"",SUMIFS('Barang Keluar'!$E:$E,'Barang Keluar'!$A:$A,M21927,'Barang Keluar'!$C:$C,N21927))</f>
        <v>0</v>
      </c>
    </row>
    <row r="21928" spans="13:16">
      <c r="M21928" s="49">
        <f>IF($A$4+219&gt;$B$4,"",$A$4+219)</f>
        <v>46242</v>
      </c>
      <c r="N21928" t="str">
        <f>IF(M21928="","",'Master Barang'!A22)</f>
        <v>PRL-021</v>
      </c>
      <c r="O21928" t="str">
        <f>IF(N21928="","",'Master Barang'!B22)</f>
        <v>altamed nurse cap penutup kepala 100 pcs</v>
      </c>
      <c r="P21928">
        <f>IF(OR(M21928="",N21928=""),"",SUMIFS('Barang Keluar'!$E:$E,'Barang Keluar'!$A:$A,M21928,'Barang Keluar'!$C:$C,N21928))</f>
        <v>0</v>
      </c>
    </row>
    <row r="21929" spans="13:16">
      <c r="M21929" s="49">
        <f>IF($A$4+219&gt;$B$4,"",$A$4+219)</f>
        <v>46242</v>
      </c>
      <c r="N21929" t="str">
        <f>IF(M21929="","",'Master Barang'!A23)</f>
        <v>PRL-022</v>
      </c>
      <c r="O21929" t="str">
        <f>IF(N21929="","",'Master Barang'!B23)</f>
        <v>sabun cuci tangan</v>
      </c>
      <c r="P21929">
        <f>IF(OR(M21929="",N21929=""),"",SUMIFS('Barang Keluar'!$E:$E,'Barang Keluar'!$A:$A,M21929,'Barang Keluar'!$C:$C,N21929))</f>
        <v>0</v>
      </c>
    </row>
    <row r="21930" spans="13:16">
      <c r="M21930" s="49">
        <f>IF($A$4+219&gt;$B$4,"",$A$4+219)</f>
        <v>46242</v>
      </c>
      <c r="N21930" t="str">
        <f>IF(M21930="","",'Master Barang'!A24)</f>
        <v>PRL-023</v>
      </c>
      <c r="O21930" t="str">
        <f>IF(N21930="","",'Master Barang'!B24)</f>
        <v>gayung kecil</v>
      </c>
      <c r="P21930">
        <f>IF(OR(M21930="",N21930=""),"",SUMIFS('Barang Keluar'!$E:$E,'Barang Keluar'!$A:$A,M21930,'Barang Keluar'!$C:$C,N21930))</f>
        <v>0</v>
      </c>
    </row>
    <row r="21931" spans="13:16">
      <c r="M21931" s="49">
        <f>IF($A$4+219&gt;$B$4,"",$A$4+219)</f>
        <v>46242</v>
      </c>
      <c r="N21931" t="str">
        <f>IF(M21931="","",'Master Barang'!A25)</f>
        <v>PRL-024</v>
      </c>
      <c r="O21931" t="str">
        <f>IF(N21931="","",'Master Barang'!B25)</f>
        <v>cikrak kecil</v>
      </c>
      <c r="P21931">
        <f>IF(OR(M21931="",N21931=""),"",SUMIFS('Barang Keluar'!$E:$E,'Barang Keluar'!$A:$A,M21931,'Barang Keluar'!$C:$C,N21931))</f>
        <v>0</v>
      </c>
    </row>
    <row r="21932" spans="13:16">
      <c r="M21932" s="49">
        <f>IF($A$4+219&gt;$B$4,"",$A$4+219)</f>
        <v>46242</v>
      </c>
      <c r="N21932" t="str">
        <f>IF(M21932="","",'Master Barang'!A26)</f>
        <v>PRL-025</v>
      </c>
      <c r="O21932" t="str">
        <f>IF(N21932="","",'Master Barang'!B26)</f>
        <v>petromax plastik kecil 12x24 100 lembar</v>
      </c>
      <c r="P21932">
        <f>IF(OR(M21932="",N21932=""),"",SUMIFS('Barang Keluar'!$E:$E,'Barang Keluar'!$A:$A,M21932,'Barang Keluar'!$C:$C,N21932))</f>
        <v>0</v>
      </c>
    </row>
    <row r="21933" spans="13:16">
      <c r="M21933" s="49">
        <f>IF($A$4+219&gt;$B$4,"",$A$4+219)</f>
        <v>46242</v>
      </c>
      <c r="N21933" t="str">
        <f>IF(M21933="","",'Master Barang'!A27)</f>
        <v>PRL-026</v>
      </c>
      <c r="O21933" t="str">
        <f>IF(N21933="","",'Master Barang'!B27)</f>
        <v>lancar kresek kecil bening </v>
      </c>
      <c r="P21933">
        <f>IF(OR(M21933="",N21933=""),"",SUMIFS('Barang Keluar'!$E:$E,'Barang Keluar'!$A:$A,M21933,'Barang Keluar'!$C:$C,N21933))</f>
        <v>0</v>
      </c>
    </row>
    <row r="21934" spans="13:16">
      <c r="M21934" s="49">
        <f>IF($A$4+219&gt;$B$4,"",$A$4+219)</f>
        <v>46242</v>
      </c>
      <c r="N21934" t="str">
        <f>IF(M21934="","",'Master Barang'!A28)</f>
        <v>PRL-027</v>
      </c>
      <c r="O21934" t="str">
        <f>IF(N21934="","",'Master Barang'!B28)</f>
        <v>kresek klin warna warni kecil</v>
      </c>
      <c r="P21934">
        <f>IF(OR(M21934="",N21934=""),"",SUMIFS('Barang Keluar'!$E:$E,'Barang Keluar'!$A:$A,M21934,'Barang Keluar'!$C:$C,N21934))</f>
        <v>0</v>
      </c>
    </row>
    <row r="21935" spans="13:16">
      <c r="M21935" s="49">
        <f>IF($A$4+219&gt;$B$4,"",$A$4+219)</f>
        <v>46242</v>
      </c>
      <c r="N21935" t="str">
        <f>IF(M21935="","",'Master Barang'!A29)</f>
        <v>PRL-028</v>
      </c>
      <c r="O21935" t="str">
        <f>IF(N21935="","",'Master Barang'!B29)</f>
        <v>ctik plastik 7x10 100 pcs</v>
      </c>
      <c r="P21935">
        <f>IF(OR(M21935="",N21935=""),"",SUMIFS('Barang Keluar'!$E:$E,'Barang Keluar'!$A:$A,M21935,'Barang Keluar'!$C:$C,N21935))</f>
        <v>0</v>
      </c>
    </row>
    <row r="21936" spans="13:16">
      <c r="M21936" s="49">
        <f>IF($A$4+219&gt;$B$4,"",$A$4+219)</f>
        <v>46242</v>
      </c>
      <c r="N21936" t="str">
        <f>IF(M21936="","",'Master Barang'!A30)</f>
        <v>PRL-029</v>
      </c>
      <c r="O21936" t="str">
        <f>IF(N21936="","",'Master Barang'!B30)</f>
        <v>ctik plastik 6x10 100 pcs</v>
      </c>
      <c r="P21936">
        <f>IF(OR(M21936="",N21936=""),"",SUMIFS('Barang Keluar'!$E:$E,'Barang Keluar'!$A:$A,M21936,'Barang Keluar'!$C:$C,N21936))</f>
        <v>0</v>
      </c>
    </row>
    <row r="21937" spans="13:16">
      <c r="M21937" s="49">
        <f>IF($A$4+219&gt;$B$4,"",$A$4+219)</f>
        <v>46242</v>
      </c>
      <c r="N21937" t="str">
        <f>IF(M21937="","",'Master Barang'!A31)</f>
        <v>PRL-030</v>
      </c>
      <c r="O21937" t="str">
        <f>IF(N21937="","",'Master Barang'!B31)</f>
        <v>klip plastik 25x16 100 pcs</v>
      </c>
      <c r="P21937">
        <f>IF(OR(M21937="",N21937=""),"",SUMIFS('Barang Keluar'!$E:$E,'Barang Keluar'!$A:$A,M21937,'Barang Keluar'!$C:$C,N21937))</f>
        <v>0</v>
      </c>
    </row>
    <row r="21938" spans="13:16">
      <c r="M21938" s="49">
        <f>IF($A$4+219&gt;$B$4,"",$A$4+219)</f>
        <v>46242</v>
      </c>
      <c r="N21938" t="str">
        <f>IF(M21938="","",'Master Barang'!A32)</f>
        <v>PRL-031</v>
      </c>
      <c r="O21938" t="str">
        <f>IF(N21938="","",'Master Barang'!B32)</f>
        <v>tempat saus 20 ml</v>
      </c>
      <c r="P21938">
        <f>IF(OR(M21938="",N21938=""),"",SUMIFS('Barang Keluar'!$E:$E,'Barang Keluar'!$A:$A,M21938,'Barang Keluar'!$C:$C,N21938))</f>
        <v>0</v>
      </c>
    </row>
    <row r="21939" spans="13:16">
      <c r="M21939" s="49">
        <f>IF($A$4+219&gt;$B$4,"",$A$4+219)</f>
        <v>46242</v>
      </c>
      <c r="N21939" t="str">
        <f>IF(M21939="","",'Master Barang'!A33)</f>
        <v>PRL-032</v>
      </c>
      <c r="O21939" t="str">
        <f>IF(N21939="","",'Master Barang'!B33)</f>
        <v>plastik packaging ag box uk sedang</v>
      </c>
      <c r="P21939">
        <f>IF(OR(M21939="",N21939=""),"",SUMIFS('Barang Keluar'!$E:$E,'Barang Keluar'!$A:$A,M21939,'Barang Keluar'!$C:$C,N21939))</f>
        <v>0</v>
      </c>
    </row>
    <row r="21940" spans="13:16">
      <c r="M21940" s="49">
        <f>IF($A$4+219&gt;$B$4,"",$A$4+219)</f>
        <v>46242</v>
      </c>
      <c r="N21940" t="str">
        <f>IF(M21940="","",'Master Barang'!A34)</f>
        <v>PRL-033</v>
      </c>
      <c r="O21940">
        <f>IF(N21940="","",'Master Barang'!B34)</f>
        <v>0</v>
      </c>
      <c r="P21940">
        <f>IF(OR(M21940="",N21940=""),"",SUMIFS('Barang Keluar'!$E:$E,'Barang Keluar'!$A:$A,M21940,'Barang Keluar'!$C:$C,N21940))</f>
        <v>0</v>
      </c>
    </row>
    <row r="21941" spans="13:16">
      <c r="M21941" s="49">
        <f>IF($A$4+219&gt;$B$4,"",$A$4+219)</f>
        <v>46242</v>
      </c>
      <c r="N21941">
        <f>IF(M21941="","",'Master Barang'!A35)</f>
        <v>0</v>
      </c>
      <c r="O21941">
        <f>IF(N21941="","",'Master Barang'!B35)</f>
        <v>0</v>
      </c>
      <c r="P21941">
        <f>IF(OR(M21941="",N21941=""),"",SUMIFS('Barang Keluar'!$E:$E,'Barang Keluar'!$A:$A,M21941,'Barang Keluar'!$C:$C,N21941))</f>
        <v>0</v>
      </c>
    </row>
    <row r="21942" spans="13:16">
      <c r="M21942" s="49">
        <f>IF($A$4+219&gt;$B$4,"",$A$4+219)</f>
        <v>46242</v>
      </c>
      <c r="N21942">
        <f>IF(M21942="","",'Master Barang'!A36)</f>
        <v>0</v>
      </c>
      <c r="O21942">
        <f>IF(N21942="","",'Master Barang'!B36)</f>
        <v>0</v>
      </c>
      <c r="P21942">
        <f>IF(OR(M21942="",N21942=""),"",SUMIFS('Barang Keluar'!$E:$E,'Barang Keluar'!$A:$A,M21942,'Barang Keluar'!$C:$C,N21942))</f>
        <v>0</v>
      </c>
    </row>
    <row r="21943" spans="13:16">
      <c r="M21943" s="49">
        <f>IF($A$4+219&gt;$B$4,"",$A$4+219)</f>
        <v>46242</v>
      </c>
      <c r="N21943">
        <f>IF(M21943="","",'Master Barang'!A37)</f>
        <v>0</v>
      </c>
      <c r="O21943">
        <f>IF(N21943="","",'Master Barang'!B37)</f>
        <v>0</v>
      </c>
      <c r="P21943">
        <f>IF(OR(M21943="",N21943=""),"",SUMIFS('Barang Keluar'!$E:$E,'Barang Keluar'!$A:$A,M21943,'Barang Keluar'!$C:$C,N21943))</f>
        <v>0</v>
      </c>
    </row>
    <row r="21944" spans="13:16">
      <c r="M21944" s="49">
        <f>IF($A$4+219&gt;$B$4,"",$A$4+219)</f>
        <v>46242</v>
      </c>
      <c r="N21944">
        <f>IF(M21944="","",'Master Barang'!A38)</f>
        <v>0</v>
      </c>
      <c r="O21944">
        <f>IF(N21944="","",'Master Barang'!B38)</f>
        <v>0</v>
      </c>
      <c r="P21944">
        <f>IF(OR(M21944="",N21944=""),"",SUMIFS('Barang Keluar'!$E:$E,'Barang Keluar'!$A:$A,M21944,'Barang Keluar'!$C:$C,N21944))</f>
        <v>0</v>
      </c>
    </row>
    <row r="21945" spans="13:16">
      <c r="M21945" s="49">
        <f>IF($A$4+219&gt;$B$4,"",$A$4+219)</f>
        <v>46242</v>
      </c>
      <c r="N21945">
        <f>IF(M21945="","",'Master Barang'!A39)</f>
        <v>0</v>
      </c>
      <c r="O21945">
        <f>IF(N21945="","",'Master Barang'!B39)</f>
        <v>0</v>
      </c>
      <c r="P21945">
        <f>IF(OR(M21945="",N21945=""),"",SUMIFS('Barang Keluar'!$E:$E,'Barang Keluar'!$A:$A,M21945,'Barang Keluar'!$C:$C,N21945))</f>
        <v>0</v>
      </c>
    </row>
    <row r="21946" spans="13:16">
      <c r="M21946" s="49">
        <f>IF($A$4+219&gt;$B$4,"",$A$4+219)</f>
        <v>46242</v>
      </c>
      <c r="N21946">
        <f>IF(M21946="","",'Master Barang'!A40)</f>
        <v>0</v>
      </c>
      <c r="O21946">
        <f>IF(N21946="","",'Master Barang'!B40)</f>
        <v>0</v>
      </c>
      <c r="P21946">
        <f>IF(OR(M21946="",N21946=""),"",SUMIFS('Barang Keluar'!$E:$E,'Barang Keluar'!$A:$A,M21946,'Barang Keluar'!$C:$C,N21946))</f>
        <v>0</v>
      </c>
    </row>
    <row r="21947" spans="13:16">
      <c r="M21947" s="49">
        <f>IF($A$4+219&gt;$B$4,"",$A$4+219)</f>
        <v>46242</v>
      </c>
      <c r="N21947">
        <f>IF(M21947="","",'Master Barang'!A41)</f>
        <v>0</v>
      </c>
      <c r="O21947">
        <f>IF(N21947="","",'Master Barang'!B41)</f>
        <v>0</v>
      </c>
      <c r="P21947">
        <f>IF(OR(M21947="",N21947=""),"",SUMIFS('Barang Keluar'!$E:$E,'Barang Keluar'!$A:$A,M21947,'Barang Keluar'!$C:$C,N21947))</f>
        <v>0</v>
      </c>
    </row>
    <row r="21948" spans="13:16">
      <c r="M21948" s="49">
        <f>IF($A$4+219&gt;$B$4,"",$A$4+219)</f>
        <v>46242</v>
      </c>
      <c r="N21948">
        <f>IF(M21948="","",'Master Barang'!A42)</f>
        <v>0</v>
      </c>
      <c r="O21948">
        <f>IF(N21948="","",'Master Barang'!B42)</f>
        <v>0</v>
      </c>
      <c r="P21948">
        <f>IF(OR(M21948="",N21948=""),"",SUMIFS('Barang Keluar'!$E:$E,'Barang Keluar'!$A:$A,M21948,'Barang Keluar'!$C:$C,N21948))</f>
        <v>0</v>
      </c>
    </row>
    <row r="21949" spans="13:16">
      <c r="M21949" s="49">
        <f>IF($A$4+219&gt;$B$4,"",$A$4+219)</f>
        <v>46242</v>
      </c>
      <c r="N21949">
        <f>IF(M21949="","",'Master Barang'!A43)</f>
        <v>0</v>
      </c>
      <c r="O21949">
        <f>IF(N21949="","",'Master Barang'!B43)</f>
        <v>0</v>
      </c>
      <c r="P21949">
        <f>IF(OR(M21949="",N21949=""),"",SUMIFS('Barang Keluar'!$E:$E,'Barang Keluar'!$A:$A,M21949,'Barang Keluar'!$C:$C,N21949))</f>
        <v>0</v>
      </c>
    </row>
    <row r="21950" spans="13:16">
      <c r="M21950" s="49">
        <f>IF($A$4+219&gt;$B$4,"",$A$4+219)</f>
        <v>46242</v>
      </c>
      <c r="N21950">
        <f>IF(M21950="","",'Master Barang'!A44)</f>
        <v>0</v>
      </c>
      <c r="O21950">
        <f>IF(N21950="","",'Master Barang'!B44)</f>
        <v>0</v>
      </c>
      <c r="P21950">
        <f>IF(OR(M21950="",N21950=""),"",SUMIFS('Barang Keluar'!$E:$E,'Barang Keluar'!$A:$A,M21950,'Barang Keluar'!$C:$C,N21950))</f>
        <v>0</v>
      </c>
    </row>
    <row r="21951" spans="13:16">
      <c r="M21951" s="49">
        <f>IF($A$4+219&gt;$B$4,"",$A$4+219)</f>
        <v>46242</v>
      </c>
      <c r="N21951">
        <f>IF(M21951="","",'Master Barang'!A45)</f>
        <v>0</v>
      </c>
      <c r="O21951">
        <f>IF(N21951="","",'Master Barang'!B45)</f>
        <v>0</v>
      </c>
      <c r="P21951">
        <f>IF(OR(M21951="",N21951=""),"",SUMIFS('Barang Keluar'!$E:$E,'Barang Keluar'!$A:$A,M21951,'Barang Keluar'!$C:$C,N21951))</f>
        <v>0</v>
      </c>
    </row>
    <row r="21952" spans="13:16">
      <c r="M21952" s="49">
        <f>IF($A$4+219&gt;$B$4,"",$A$4+219)</f>
        <v>46242</v>
      </c>
      <c r="N21952">
        <f>IF(M21952="","",'Master Barang'!A46)</f>
        <v>0</v>
      </c>
      <c r="O21952">
        <f>IF(N21952="","",'Master Barang'!B46)</f>
        <v>0</v>
      </c>
      <c r="P21952">
        <f>IF(OR(M21952="",N21952=""),"",SUMIFS('Barang Keluar'!$E:$E,'Barang Keluar'!$A:$A,M21952,'Barang Keluar'!$C:$C,N21952))</f>
        <v>0</v>
      </c>
    </row>
    <row r="21953" spans="13:16">
      <c r="M21953" s="49">
        <f>IF($A$4+219&gt;$B$4,"",$A$4+219)</f>
        <v>46242</v>
      </c>
      <c r="N21953">
        <f>IF(M21953="","",'Master Barang'!A47)</f>
        <v>0</v>
      </c>
      <c r="O21953">
        <f>IF(N21953="","",'Master Barang'!B47)</f>
        <v>0</v>
      </c>
      <c r="P21953">
        <f>IF(OR(M21953="",N21953=""),"",SUMIFS('Barang Keluar'!$E:$E,'Barang Keluar'!$A:$A,M21953,'Barang Keluar'!$C:$C,N21953))</f>
        <v>0</v>
      </c>
    </row>
    <row r="21954" spans="13:16">
      <c r="M21954" s="49">
        <f>IF($A$4+219&gt;$B$4,"",$A$4+219)</f>
        <v>46242</v>
      </c>
      <c r="N21954">
        <f>IF(M21954="","",'Master Barang'!A48)</f>
        <v>0</v>
      </c>
      <c r="O21954">
        <f>IF(N21954="","",'Master Barang'!B48)</f>
        <v>0</v>
      </c>
      <c r="P21954">
        <f>IF(OR(M21954="",N21954=""),"",SUMIFS('Barang Keluar'!$E:$E,'Barang Keluar'!$A:$A,M21954,'Barang Keluar'!$C:$C,N21954))</f>
        <v>0</v>
      </c>
    </row>
    <row r="21955" spans="13:16">
      <c r="M21955" s="49">
        <f>IF($A$4+219&gt;$B$4,"",$A$4+219)</f>
        <v>46242</v>
      </c>
      <c r="N21955">
        <f>IF(M21955="","",'Master Barang'!A49)</f>
        <v>0</v>
      </c>
      <c r="O21955">
        <f>IF(N21955="","",'Master Barang'!B49)</f>
        <v>0</v>
      </c>
      <c r="P21955">
        <f>IF(OR(M21955="",N21955=""),"",SUMIFS('Barang Keluar'!$E:$E,'Barang Keluar'!$A:$A,M21955,'Barang Keluar'!$C:$C,N21955))</f>
        <v>0</v>
      </c>
    </row>
    <row r="21956" spans="13:16">
      <c r="M21956" s="49">
        <f>IF($A$4+219&gt;$B$4,"",$A$4+219)</f>
        <v>46242</v>
      </c>
      <c r="N21956">
        <f>IF(M21956="","",'Master Barang'!A50)</f>
        <v>0</v>
      </c>
      <c r="O21956">
        <f>IF(N21956="","",'Master Barang'!B50)</f>
        <v>0</v>
      </c>
      <c r="P21956">
        <f>IF(OR(M21956="",N21956=""),"",SUMIFS('Barang Keluar'!$E:$E,'Barang Keluar'!$A:$A,M21956,'Barang Keluar'!$C:$C,N21956))</f>
        <v>0</v>
      </c>
    </row>
    <row r="21957" spans="13:16">
      <c r="M21957" s="49">
        <f>IF($A$4+219&gt;$B$4,"",$A$4+219)</f>
        <v>46242</v>
      </c>
      <c r="N21957">
        <f>IF(M21957="","",'Master Barang'!A51)</f>
        <v>0</v>
      </c>
      <c r="O21957">
        <f>IF(N21957="","",'Master Barang'!B51)</f>
        <v>0</v>
      </c>
      <c r="P21957">
        <f>IF(OR(M21957="",N21957=""),"",SUMIFS('Barang Keluar'!$E:$E,'Barang Keluar'!$A:$A,M21957,'Barang Keluar'!$C:$C,N21957))</f>
        <v>0</v>
      </c>
    </row>
    <row r="21958" spans="13:16">
      <c r="M21958" s="49">
        <f>IF($A$4+219&gt;$B$4,"",$A$4+219)</f>
        <v>46242</v>
      </c>
      <c r="N21958">
        <f>IF(M21958="","",'Master Barang'!A52)</f>
        <v>0</v>
      </c>
      <c r="O21958">
        <f>IF(N21958="","",'Master Barang'!B52)</f>
        <v>0</v>
      </c>
      <c r="P21958">
        <f>IF(OR(M21958="",N21958=""),"",SUMIFS('Barang Keluar'!$E:$E,'Barang Keluar'!$A:$A,M21958,'Barang Keluar'!$C:$C,N21958))</f>
        <v>0</v>
      </c>
    </row>
    <row r="21959" spans="13:16">
      <c r="M21959" s="49">
        <f>IF($A$4+219&gt;$B$4,"",$A$4+219)</f>
        <v>46242</v>
      </c>
      <c r="N21959">
        <f>IF(M21959="","",'Master Barang'!A53)</f>
        <v>0</v>
      </c>
      <c r="O21959">
        <f>IF(N21959="","",'Master Barang'!B53)</f>
        <v>0</v>
      </c>
      <c r="P21959">
        <f>IF(OR(M21959="",N21959=""),"",SUMIFS('Barang Keluar'!$E:$E,'Barang Keluar'!$A:$A,M21959,'Barang Keluar'!$C:$C,N21959))</f>
        <v>0</v>
      </c>
    </row>
    <row r="21960" spans="13:16">
      <c r="M21960" s="49">
        <f>IF($A$4+219&gt;$B$4,"",$A$4+219)</f>
        <v>46242</v>
      </c>
      <c r="N21960">
        <f>IF(M21960="","",'Master Barang'!A54)</f>
        <v>0</v>
      </c>
      <c r="O21960">
        <f>IF(N21960="","",'Master Barang'!B54)</f>
        <v>0</v>
      </c>
      <c r="P21960">
        <f>IF(OR(M21960="",N21960=""),"",SUMIFS('Barang Keluar'!$E:$E,'Barang Keluar'!$A:$A,M21960,'Barang Keluar'!$C:$C,N21960))</f>
        <v>0</v>
      </c>
    </row>
    <row r="21961" spans="13:16">
      <c r="M21961" s="49">
        <f>IF($A$4+219&gt;$B$4,"",$A$4+219)</f>
        <v>46242</v>
      </c>
      <c r="N21961">
        <f>IF(M21961="","",'Master Barang'!A55)</f>
        <v>0</v>
      </c>
      <c r="O21961">
        <f>IF(N21961="","",'Master Barang'!B55)</f>
        <v>0</v>
      </c>
      <c r="P21961">
        <f>IF(OR(M21961="",N21961=""),"",SUMIFS('Barang Keluar'!$E:$E,'Barang Keluar'!$A:$A,M21961,'Barang Keluar'!$C:$C,N21961))</f>
        <v>0</v>
      </c>
    </row>
    <row r="21962" spans="13:16">
      <c r="M21962" s="49">
        <f>IF($A$4+219&gt;$B$4,"",$A$4+219)</f>
        <v>46242</v>
      </c>
      <c r="N21962">
        <f>IF(M21962="","",'Master Barang'!A56)</f>
        <v>0</v>
      </c>
      <c r="O21962">
        <f>IF(N21962="","",'Master Barang'!B56)</f>
        <v>0</v>
      </c>
      <c r="P21962">
        <f>IF(OR(M21962="",N21962=""),"",SUMIFS('Barang Keluar'!$E:$E,'Barang Keluar'!$A:$A,M21962,'Barang Keluar'!$C:$C,N21962))</f>
        <v>0</v>
      </c>
    </row>
    <row r="21963" spans="13:16">
      <c r="M21963" s="49">
        <f>IF($A$4+219&gt;$B$4,"",$A$4+219)</f>
        <v>46242</v>
      </c>
      <c r="N21963">
        <f>IF(M21963="","",'Master Barang'!A57)</f>
        <v>0</v>
      </c>
      <c r="O21963">
        <f>IF(N21963="","",'Master Barang'!B57)</f>
        <v>0</v>
      </c>
      <c r="P21963">
        <f>IF(OR(M21963="",N21963=""),"",SUMIFS('Barang Keluar'!$E:$E,'Barang Keluar'!$A:$A,M21963,'Barang Keluar'!$C:$C,N21963))</f>
        <v>0</v>
      </c>
    </row>
    <row r="21964" spans="13:16">
      <c r="M21964" s="49">
        <f>IF($A$4+219&gt;$B$4,"",$A$4+219)</f>
        <v>46242</v>
      </c>
      <c r="N21964">
        <f>IF(M21964="","",'Master Barang'!A58)</f>
        <v>0</v>
      </c>
      <c r="O21964">
        <f>IF(N21964="","",'Master Barang'!B58)</f>
        <v>0</v>
      </c>
      <c r="P21964">
        <f>IF(OR(M21964="",N21964=""),"",SUMIFS('Barang Keluar'!$E:$E,'Barang Keluar'!$A:$A,M21964,'Barang Keluar'!$C:$C,N21964))</f>
        <v>0</v>
      </c>
    </row>
    <row r="21965" spans="13:16">
      <c r="M21965" s="49">
        <f>IF($A$4+219&gt;$B$4,"",$A$4+219)</f>
        <v>46242</v>
      </c>
      <c r="N21965">
        <f>IF(M21965="","",'Master Barang'!A59)</f>
        <v>0</v>
      </c>
      <c r="O21965">
        <f>IF(N21965="","",'Master Barang'!B59)</f>
        <v>0</v>
      </c>
      <c r="P21965">
        <f>IF(OR(M21965="",N21965=""),"",SUMIFS('Barang Keluar'!$E:$E,'Barang Keluar'!$A:$A,M21965,'Barang Keluar'!$C:$C,N21965))</f>
        <v>0</v>
      </c>
    </row>
    <row r="21966" spans="13:16">
      <c r="M21966" s="49">
        <f>IF($A$4+219&gt;$B$4,"",$A$4+219)</f>
        <v>46242</v>
      </c>
      <c r="N21966">
        <f>IF(M21966="","",'Master Barang'!A60)</f>
        <v>0</v>
      </c>
      <c r="O21966">
        <f>IF(N21966="","",'Master Barang'!B60)</f>
        <v>0</v>
      </c>
      <c r="P21966">
        <f>IF(OR(M21966="",N21966=""),"",SUMIFS('Barang Keluar'!$E:$E,'Barang Keluar'!$A:$A,M21966,'Barang Keluar'!$C:$C,N21966))</f>
        <v>0</v>
      </c>
    </row>
    <row r="21967" spans="13:16">
      <c r="M21967" s="49">
        <f>IF($A$4+219&gt;$B$4,"",$A$4+219)</f>
        <v>46242</v>
      </c>
      <c r="N21967">
        <f>IF(M21967="","",'Master Barang'!A61)</f>
        <v>0</v>
      </c>
      <c r="O21967">
        <f>IF(N21967="","",'Master Barang'!B61)</f>
        <v>0</v>
      </c>
      <c r="P21967">
        <f>IF(OR(M21967="",N21967=""),"",SUMIFS('Barang Keluar'!$E:$E,'Barang Keluar'!$A:$A,M21967,'Barang Keluar'!$C:$C,N21967))</f>
        <v>0</v>
      </c>
    </row>
    <row r="21968" spans="13:16">
      <c r="M21968" s="49">
        <f>IF($A$4+219&gt;$B$4,"",$A$4+219)</f>
        <v>46242</v>
      </c>
      <c r="N21968">
        <f>IF(M21968="","",'Master Barang'!A62)</f>
        <v>0</v>
      </c>
      <c r="O21968">
        <f>IF(N21968="","",'Master Barang'!B62)</f>
        <v>0</v>
      </c>
      <c r="P21968">
        <f>IF(OR(M21968="",N21968=""),"",SUMIFS('Barang Keluar'!$E:$E,'Barang Keluar'!$A:$A,M21968,'Barang Keluar'!$C:$C,N21968))</f>
        <v>0</v>
      </c>
    </row>
    <row r="21969" spans="13:16">
      <c r="M21969" s="49">
        <f>IF($A$4+219&gt;$B$4,"",$A$4+219)</f>
        <v>46242</v>
      </c>
      <c r="N21969">
        <f>IF(M21969="","",'Master Barang'!A63)</f>
        <v>0</v>
      </c>
      <c r="O21969">
        <f>IF(N21969="","",'Master Barang'!B63)</f>
        <v>0</v>
      </c>
      <c r="P21969">
        <f>IF(OR(M21969="",N21969=""),"",SUMIFS('Barang Keluar'!$E:$E,'Barang Keluar'!$A:$A,M21969,'Barang Keluar'!$C:$C,N21969))</f>
        <v>0</v>
      </c>
    </row>
    <row r="21970" spans="13:16">
      <c r="M21970" s="49">
        <f>IF($A$4+219&gt;$B$4,"",$A$4+219)</f>
        <v>46242</v>
      </c>
      <c r="N21970">
        <f>IF(M21970="","",'Master Barang'!A64)</f>
        <v>0</v>
      </c>
      <c r="O21970">
        <f>IF(N21970="","",'Master Barang'!B64)</f>
        <v>0</v>
      </c>
      <c r="P21970">
        <f>IF(OR(M21970="",N21970=""),"",SUMIFS('Barang Keluar'!$E:$E,'Barang Keluar'!$A:$A,M21970,'Barang Keluar'!$C:$C,N21970))</f>
        <v>0</v>
      </c>
    </row>
    <row r="21971" spans="13:16">
      <c r="M21971" s="49">
        <f>IF($A$4+219&gt;$B$4,"",$A$4+219)</f>
        <v>46242</v>
      </c>
      <c r="N21971">
        <f>IF(M21971="","",'Master Barang'!A65)</f>
        <v>0</v>
      </c>
      <c r="O21971">
        <f>IF(N21971="","",'Master Barang'!B65)</f>
        <v>0</v>
      </c>
      <c r="P21971">
        <f>IF(OR(M21971="",N21971=""),"",SUMIFS('Barang Keluar'!$E:$E,'Barang Keluar'!$A:$A,M21971,'Barang Keluar'!$C:$C,N21971))</f>
        <v>0</v>
      </c>
    </row>
    <row r="21972" spans="13:16">
      <c r="M21972" s="49">
        <f>IF($A$4+219&gt;$B$4,"",$A$4+219)</f>
        <v>46242</v>
      </c>
      <c r="N21972">
        <f>IF(M21972="","",'Master Barang'!A66)</f>
        <v>0</v>
      </c>
      <c r="O21972">
        <f>IF(N21972="","",'Master Barang'!B66)</f>
        <v>0</v>
      </c>
      <c r="P21972">
        <f>IF(OR(M21972="",N21972=""),"",SUMIFS('Barang Keluar'!$E:$E,'Barang Keluar'!$A:$A,M21972,'Barang Keluar'!$C:$C,N21972))</f>
        <v>0</v>
      </c>
    </row>
    <row r="21973" spans="13:16">
      <c r="M21973" s="49">
        <f>IF($A$4+219&gt;$B$4,"",$A$4+219)</f>
        <v>46242</v>
      </c>
      <c r="N21973">
        <f>IF(M21973="","",'Master Barang'!A67)</f>
        <v>0</v>
      </c>
      <c r="O21973">
        <f>IF(N21973="","",'Master Barang'!B67)</f>
        <v>0</v>
      </c>
      <c r="P21973">
        <f>IF(OR(M21973="",N21973=""),"",SUMIFS('Barang Keluar'!$E:$E,'Barang Keluar'!$A:$A,M21973,'Barang Keluar'!$C:$C,N21973))</f>
        <v>0</v>
      </c>
    </row>
    <row r="21974" spans="13:16">
      <c r="M21974" s="49">
        <f>IF($A$4+219&gt;$B$4,"",$A$4+219)</f>
        <v>46242</v>
      </c>
      <c r="N21974">
        <f>IF(M21974="","",'Master Barang'!A68)</f>
        <v>0</v>
      </c>
      <c r="O21974">
        <f>IF(N21974="","",'Master Barang'!B68)</f>
        <v>0</v>
      </c>
      <c r="P21974">
        <f>IF(OR(M21974="",N21974=""),"",SUMIFS('Barang Keluar'!$E:$E,'Barang Keluar'!$A:$A,M21974,'Barang Keluar'!$C:$C,N21974))</f>
        <v>0</v>
      </c>
    </row>
    <row r="21975" spans="13:16">
      <c r="M21975" s="49">
        <f>IF($A$4+219&gt;$B$4,"",$A$4+219)</f>
        <v>46242</v>
      </c>
      <c r="N21975">
        <f>IF(M21975="","",'Master Barang'!A69)</f>
        <v>0</v>
      </c>
      <c r="O21975">
        <f>IF(N21975="","",'Master Barang'!B69)</f>
        <v>0</v>
      </c>
      <c r="P21975">
        <f>IF(OR(M21975="",N21975=""),"",SUMIFS('Barang Keluar'!$E:$E,'Barang Keluar'!$A:$A,M21975,'Barang Keluar'!$C:$C,N21975))</f>
        <v>0</v>
      </c>
    </row>
    <row r="21976" spans="13:16">
      <c r="M21976" s="49">
        <f>IF($A$4+219&gt;$B$4,"",$A$4+219)</f>
        <v>46242</v>
      </c>
      <c r="N21976">
        <f>IF(M21976="","",'Master Barang'!A70)</f>
        <v>0</v>
      </c>
      <c r="O21976">
        <f>IF(N21976="","",'Master Barang'!B70)</f>
        <v>0</v>
      </c>
      <c r="P21976">
        <f>IF(OR(M21976="",N21976=""),"",SUMIFS('Barang Keluar'!$E:$E,'Barang Keluar'!$A:$A,M21976,'Barang Keluar'!$C:$C,N21976))</f>
        <v>0</v>
      </c>
    </row>
    <row r="21977" spans="13:16">
      <c r="M21977" s="49">
        <f>IF($A$4+219&gt;$B$4,"",$A$4+219)</f>
        <v>46242</v>
      </c>
      <c r="N21977">
        <f>IF(M21977="","",'Master Barang'!A71)</f>
        <v>0</v>
      </c>
      <c r="O21977">
        <f>IF(N21977="","",'Master Barang'!B71)</f>
        <v>0</v>
      </c>
      <c r="P21977">
        <f>IF(OR(M21977="",N21977=""),"",SUMIFS('Barang Keluar'!$E:$E,'Barang Keluar'!$A:$A,M21977,'Barang Keluar'!$C:$C,N21977))</f>
        <v>0</v>
      </c>
    </row>
    <row r="21978" spans="13:16">
      <c r="M21978" s="49">
        <f>IF($A$4+219&gt;$B$4,"",$A$4+219)</f>
        <v>46242</v>
      </c>
      <c r="N21978">
        <f>IF(M21978="","",'Master Barang'!A72)</f>
        <v>0</v>
      </c>
      <c r="O21978">
        <f>IF(N21978="","",'Master Barang'!B72)</f>
        <v>0</v>
      </c>
      <c r="P21978">
        <f>IF(OR(M21978="",N21978=""),"",SUMIFS('Barang Keluar'!$E:$E,'Barang Keluar'!$A:$A,M21978,'Barang Keluar'!$C:$C,N21978))</f>
        <v>0</v>
      </c>
    </row>
    <row r="21979" spans="13:16">
      <c r="M21979" s="49">
        <f>IF($A$4+219&gt;$B$4,"",$A$4+219)</f>
        <v>46242</v>
      </c>
      <c r="N21979">
        <f>IF(M21979="","",'Master Barang'!A73)</f>
        <v>0</v>
      </c>
      <c r="O21979">
        <f>IF(N21979="","",'Master Barang'!B73)</f>
        <v>0</v>
      </c>
      <c r="P21979">
        <f>IF(OR(M21979="",N21979=""),"",SUMIFS('Barang Keluar'!$E:$E,'Barang Keluar'!$A:$A,M21979,'Barang Keluar'!$C:$C,N21979))</f>
        <v>0</v>
      </c>
    </row>
    <row r="21980" spans="13:16">
      <c r="M21980" s="49">
        <f>IF($A$4+219&gt;$B$4,"",$A$4+219)</f>
        <v>46242</v>
      </c>
      <c r="N21980">
        <f>IF(M21980="","",'Master Barang'!A74)</f>
        <v>0</v>
      </c>
      <c r="O21980">
        <f>IF(N21980="","",'Master Barang'!B74)</f>
        <v>0</v>
      </c>
      <c r="P21980">
        <f>IF(OR(M21980="",N21980=""),"",SUMIFS('Barang Keluar'!$E:$E,'Barang Keluar'!$A:$A,M21980,'Barang Keluar'!$C:$C,N21980))</f>
        <v>0</v>
      </c>
    </row>
    <row r="21981" spans="13:16">
      <c r="M21981" s="49">
        <f>IF($A$4+219&gt;$B$4,"",$A$4+219)</f>
        <v>46242</v>
      </c>
      <c r="N21981">
        <f>IF(M21981="","",'Master Barang'!A75)</f>
        <v>0</v>
      </c>
      <c r="O21981">
        <f>IF(N21981="","",'Master Barang'!B75)</f>
        <v>0</v>
      </c>
      <c r="P21981">
        <f>IF(OR(M21981="",N21981=""),"",SUMIFS('Barang Keluar'!$E:$E,'Barang Keluar'!$A:$A,M21981,'Barang Keluar'!$C:$C,N21981))</f>
        <v>0</v>
      </c>
    </row>
    <row r="21982" spans="13:16">
      <c r="M21982" s="49">
        <f>IF($A$4+219&gt;$B$4,"",$A$4+219)</f>
        <v>46242</v>
      </c>
      <c r="N21982">
        <f>IF(M21982="","",'Master Barang'!A76)</f>
        <v>0</v>
      </c>
      <c r="O21982">
        <f>IF(N21982="","",'Master Barang'!B76)</f>
        <v>0</v>
      </c>
      <c r="P21982">
        <f>IF(OR(M21982="",N21982=""),"",SUMIFS('Barang Keluar'!$E:$E,'Barang Keluar'!$A:$A,M21982,'Barang Keluar'!$C:$C,N21982))</f>
        <v>0</v>
      </c>
    </row>
    <row r="21983" spans="13:16">
      <c r="M21983" s="49">
        <f>IF($A$4+219&gt;$B$4,"",$A$4+219)</f>
        <v>46242</v>
      </c>
      <c r="N21983">
        <f>IF(M21983="","",'Master Barang'!A77)</f>
        <v>0</v>
      </c>
      <c r="O21983">
        <f>IF(N21983="","",'Master Barang'!B77)</f>
        <v>0</v>
      </c>
      <c r="P21983">
        <f>IF(OR(M21983="",N21983=""),"",SUMIFS('Barang Keluar'!$E:$E,'Barang Keluar'!$A:$A,M21983,'Barang Keluar'!$C:$C,N21983))</f>
        <v>0</v>
      </c>
    </row>
    <row r="21984" spans="13:16">
      <c r="M21984" s="49">
        <f>IF($A$4+219&gt;$B$4,"",$A$4+219)</f>
        <v>46242</v>
      </c>
      <c r="N21984">
        <f>IF(M21984="","",'Master Barang'!A78)</f>
        <v>0</v>
      </c>
      <c r="O21984">
        <f>IF(N21984="","",'Master Barang'!B78)</f>
        <v>0</v>
      </c>
      <c r="P21984">
        <f>IF(OR(M21984="",N21984=""),"",SUMIFS('Barang Keluar'!$E:$E,'Barang Keluar'!$A:$A,M21984,'Barang Keluar'!$C:$C,N21984))</f>
        <v>0</v>
      </c>
    </row>
    <row r="21985" spans="13:16">
      <c r="M21985" s="49">
        <f>IF($A$4+219&gt;$B$4,"",$A$4+219)</f>
        <v>46242</v>
      </c>
      <c r="N21985">
        <f>IF(M21985="","",'Master Barang'!A79)</f>
        <v>0</v>
      </c>
      <c r="O21985">
        <f>IF(N21985="","",'Master Barang'!B79)</f>
        <v>0</v>
      </c>
      <c r="P21985">
        <f>IF(OR(M21985="",N21985=""),"",SUMIFS('Barang Keluar'!$E:$E,'Barang Keluar'!$A:$A,M21985,'Barang Keluar'!$C:$C,N21985))</f>
        <v>0</v>
      </c>
    </row>
    <row r="21986" spans="13:16">
      <c r="M21986" s="49">
        <f>IF($A$4+219&gt;$B$4,"",$A$4+219)</f>
        <v>46242</v>
      </c>
      <c r="N21986">
        <f>IF(M21986="","",'Master Barang'!A80)</f>
        <v>0</v>
      </c>
      <c r="O21986">
        <f>IF(N21986="","",'Master Barang'!B80)</f>
        <v>0</v>
      </c>
      <c r="P21986">
        <f>IF(OR(M21986="",N21986=""),"",SUMIFS('Barang Keluar'!$E:$E,'Barang Keluar'!$A:$A,M21986,'Barang Keluar'!$C:$C,N21986))</f>
        <v>0</v>
      </c>
    </row>
    <row r="21987" spans="13:16">
      <c r="M21987" s="49">
        <f>IF($A$4+219&gt;$B$4,"",$A$4+219)</f>
        <v>46242</v>
      </c>
      <c r="N21987">
        <f>IF(M21987="","",'Master Barang'!A81)</f>
        <v>0</v>
      </c>
      <c r="O21987">
        <f>IF(N21987="","",'Master Barang'!B81)</f>
        <v>0</v>
      </c>
      <c r="P21987">
        <f>IF(OR(M21987="",N21987=""),"",SUMIFS('Barang Keluar'!$E:$E,'Barang Keluar'!$A:$A,M21987,'Barang Keluar'!$C:$C,N21987))</f>
        <v>0</v>
      </c>
    </row>
    <row r="21988" spans="13:16">
      <c r="M21988" s="49">
        <f>IF($A$4+219&gt;$B$4,"",$A$4+219)</f>
        <v>46242</v>
      </c>
      <c r="N21988">
        <f>IF(M21988="","",'Master Barang'!A82)</f>
        <v>0</v>
      </c>
      <c r="O21988">
        <f>IF(N21988="","",'Master Barang'!B82)</f>
        <v>0</v>
      </c>
      <c r="P21988">
        <f>IF(OR(M21988="",N21988=""),"",SUMIFS('Barang Keluar'!$E:$E,'Barang Keluar'!$A:$A,M21988,'Barang Keluar'!$C:$C,N21988))</f>
        <v>0</v>
      </c>
    </row>
    <row r="21989" spans="13:16">
      <c r="M21989" s="49">
        <f>IF($A$4+219&gt;$B$4,"",$A$4+219)</f>
        <v>46242</v>
      </c>
      <c r="N21989">
        <f>IF(M21989="","",'Master Barang'!A83)</f>
        <v>0</v>
      </c>
      <c r="O21989">
        <f>IF(N21989="","",'Master Barang'!B83)</f>
        <v>0</v>
      </c>
      <c r="P21989">
        <f>IF(OR(M21989="",N21989=""),"",SUMIFS('Barang Keluar'!$E:$E,'Barang Keluar'!$A:$A,M21989,'Barang Keluar'!$C:$C,N21989))</f>
        <v>0</v>
      </c>
    </row>
    <row r="21990" spans="13:16">
      <c r="M21990" s="49">
        <f>IF($A$4+219&gt;$B$4,"",$A$4+219)</f>
        <v>46242</v>
      </c>
      <c r="N21990">
        <f>IF(M21990="","",'Master Barang'!A84)</f>
        <v>0</v>
      </c>
      <c r="O21990">
        <f>IF(N21990="","",'Master Barang'!B84)</f>
        <v>0</v>
      </c>
      <c r="P21990">
        <f>IF(OR(M21990="",N21990=""),"",SUMIFS('Barang Keluar'!$E:$E,'Barang Keluar'!$A:$A,M21990,'Barang Keluar'!$C:$C,N21990))</f>
        <v>0</v>
      </c>
    </row>
    <row r="21991" spans="13:16">
      <c r="M21991" s="49">
        <f>IF($A$4+219&gt;$B$4,"",$A$4+219)</f>
        <v>46242</v>
      </c>
      <c r="N21991">
        <f>IF(M21991="","",'Master Barang'!A85)</f>
        <v>0</v>
      </c>
      <c r="O21991">
        <f>IF(N21991="","",'Master Barang'!B85)</f>
        <v>0</v>
      </c>
      <c r="P21991">
        <f>IF(OR(M21991="",N21991=""),"",SUMIFS('Barang Keluar'!$E:$E,'Barang Keluar'!$A:$A,M21991,'Barang Keluar'!$C:$C,N21991))</f>
        <v>0</v>
      </c>
    </row>
    <row r="21992" spans="13:16">
      <c r="M21992" s="49">
        <f>IF($A$4+219&gt;$B$4,"",$A$4+219)</f>
        <v>46242</v>
      </c>
      <c r="N21992">
        <f>IF(M21992="","",'Master Barang'!A86)</f>
        <v>0</v>
      </c>
      <c r="O21992">
        <f>IF(N21992="","",'Master Barang'!B86)</f>
        <v>0</v>
      </c>
      <c r="P21992">
        <f>IF(OR(M21992="",N21992=""),"",SUMIFS('Barang Keluar'!$E:$E,'Barang Keluar'!$A:$A,M21992,'Barang Keluar'!$C:$C,N21992))</f>
        <v>0</v>
      </c>
    </row>
    <row r="21993" spans="13:16">
      <c r="M21993" s="49">
        <f>IF($A$4+219&gt;$B$4,"",$A$4+219)</f>
        <v>46242</v>
      </c>
      <c r="N21993">
        <f>IF(M21993="","",'Master Barang'!A87)</f>
        <v>0</v>
      </c>
      <c r="O21993">
        <f>IF(N21993="","",'Master Barang'!B87)</f>
        <v>0</v>
      </c>
      <c r="P21993">
        <f>IF(OR(M21993="",N21993=""),"",SUMIFS('Barang Keluar'!$E:$E,'Barang Keluar'!$A:$A,M21993,'Barang Keluar'!$C:$C,N21993))</f>
        <v>0</v>
      </c>
    </row>
    <row r="21994" spans="13:16">
      <c r="M21994" s="49">
        <f>IF($A$4+219&gt;$B$4,"",$A$4+219)</f>
        <v>46242</v>
      </c>
      <c r="N21994">
        <f>IF(M21994="","",'Master Barang'!A88)</f>
        <v>0</v>
      </c>
      <c r="O21994">
        <f>IF(N21994="","",'Master Barang'!B88)</f>
        <v>0</v>
      </c>
      <c r="P21994">
        <f>IF(OR(M21994="",N21994=""),"",SUMIFS('Barang Keluar'!$E:$E,'Barang Keluar'!$A:$A,M21994,'Barang Keluar'!$C:$C,N21994))</f>
        <v>0</v>
      </c>
    </row>
    <row r="21995" spans="13:16">
      <c r="M21995" s="49">
        <f>IF($A$4+219&gt;$B$4,"",$A$4+219)</f>
        <v>46242</v>
      </c>
      <c r="N21995">
        <f>IF(M21995="","",'Master Barang'!A89)</f>
        <v>0</v>
      </c>
      <c r="O21995">
        <f>IF(N21995="","",'Master Barang'!B89)</f>
        <v>0</v>
      </c>
      <c r="P21995">
        <f>IF(OR(M21995="",N21995=""),"",SUMIFS('Barang Keluar'!$E:$E,'Barang Keluar'!$A:$A,M21995,'Barang Keluar'!$C:$C,N21995))</f>
        <v>0</v>
      </c>
    </row>
    <row r="21996" spans="13:16">
      <c r="M21996" s="49">
        <f>IF($A$4+219&gt;$B$4,"",$A$4+219)</f>
        <v>46242</v>
      </c>
      <c r="N21996">
        <f>IF(M21996="","",'Master Barang'!A90)</f>
        <v>0</v>
      </c>
      <c r="O21996">
        <f>IF(N21996="","",'Master Barang'!B90)</f>
        <v>0</v>
      </c>
      <c r="P21996">
        <f>IF(OR(M21996="",N21996=""),"",SUMIFS('Barang Keluar'!$E:$E,'Barang Keluar'!$A:$A,M21996,'Barang Keluar'!$C:$C,N21996))</f>
        <v>0</v>
      </c>
    </row>
    <row r="21997" spans="13:16">
      <c r="M21997" s="49">
        <f>IF($A$4+219&gt;$B$4,"",$A$4+219)</f>
        <v>46242</v>
      </c>
      <c r="N21997">
        <f>IF(M21997="","",'Master Barang'!A91)</f>
        <v>0</v>
      </c>
      <c r="O21997">
        <f>IF(N21997="","",'Master Barang'!B91)</f>
        <v>0</v>
      </c>
      <c r="P21997">
        <f>IF(OR(M21997="",N21997=""),"",SUMIFS('Barang Keluar'!$E:$E,'Barang Keluar'!$A:$A,M21997,'Barang Keluar'!$C:$C,N21997))</f>
        <v>0</v>
      </c>
    </row>
    <row r="21998" spans="13:16">
      <c r="M21998" s="49">
        <f>IF($A$4+219&gt;$B$4,"",$A$4+219)</f>
        <v>46242</v>
      </c>
      <c r="N21998">
        <f>IF(M21998="","",'Master Barang'!A92)</f>
        <v>0</v>
      </c>
      <c r="O21998">
        <f>IF(N21998="","",'Master Barang'!B92)</f>
        <v>0</v>
      </c>
      <c r="P21998">
        <f>IF(OR(M21998="",N21998=""),"",SUMIFS('Barang Keluar'!$E:$E,'Barang Keluar'!$A:$A,M21998,'Barang Keluar'!$C:$C,N21998))</f>
        <v>0</v>
      </c>
    </row>
    <row r="21999" spans="13:16">
      <c r="M21999" s="49">
        <f>IF($A$4+219&gt;$B$4,"",$A$4+219)</f>
        <v>46242</v>
      </c>
      <c r="N21999">
        <f>IF(M21999="","",'Master Barang'!A93)</f>
        <v>0</v>
      </c>
      <c r="O21999">
        <f>IF(N21999="","",'Master Barang'!B93)</f>
        <v>0</v>
      </c>
      <c r="P21999">
        <f>IF(OR(M21999="",N21999=""),"",SUMIFS('Barang Keluar'!$E:$E,'Barang Keluar'!$A:$A,M21999,'Barang Keluar'!$C:$C,N21999))</f>
        <v>0</v>
      </c>
    </row>
    <row r="22000" spans="13:16">
      <c r="M22000" s="49">
        <f>IF($A$4+219&gt;$B$4,"",$A$4+219)</f>
        <v>46242</v>
      </c>
      <c r="N22000">
        <f>IF(M22000="","",'Master Barang'!A94)</f>
        <v>0</v>
      </c>
      <c r="O22000">
        <f>IF(N22000="","",'Master Barang'!B94)</f>
        <v>0</v>
      </c>
      <c r="P22000">
        <f>IF(OR(M22000="",N22000=""),"",SUMIFS('Barang Keluar'!$E:$E,'Barang Keluar'!$A:$A,M22000,'Barang Keluar'!$C:$C,N22000))</f>
        <v>0</v>
      </c>
    </row>
    <row r="22001" spans="13:16">
      <c r="M22001" s="49">
        <f>IF($A$4+219&gt;$B$4,"",$A$4+219)</f>
        <v>46242</v>
      </c>
      <c r="N22001">
        <f>IF(M22001="","",'Master Barang'!A95)</f>
        <v>0</v>
      </c>
      <c r="O22001">
        <f>IF(N22001="","",'Master Barang'!B95)</f>
        <v>0</v>
      </c>
      <c r="P22001">
        <f>IF(OR(M22001="",N22001=""),"",SUMIFS('Barang Keluar'!$E:$E,'Barang Keluar'!$A:$A,M22001,'Barang Keluar'!$C:$C,N22001))</f>
        <v>0</v>
      </c>
    </row>
    <row r="22002" spans="13:16">
      <c r="M22002" s="49">
        <f>IF($A$4+219&gt;$B$4,"",$A$4+219)</f>
        <v>46242</v>
      </c>
      <c r="N22002">
        <f>IF(M22002="","",'Master Barang'!A96)</f>
        <v>0</v>
      </c>
      <c r="O22002">
        <f>IF(N22002="","",'Master Barang'!B96)</f>
        <v>0</v>
      </c>
      <c r="P22002">
        <f>IF(OR(M22002="",N22002=""),"",SUMIFS('Barang Keluar'!$E:$E,'Barang Keluar'!$A:$A,M22002,'Barang Keluar'!$C:$C,N22002))</f>
        <v>0</v>
      </c>
    </row>
    <row r="22003" spans="13:16">
      <c r="M22003" s="49">
        <f>IF($A$4+219&gt;$B$4,"",$A$4+219)</f>
        <v>46242</v>
      </c>
      <c r="N22003">
        <f>IF(M22003="","",'Master Barang'!A97)</f>
        <v>0</v>
      </c>
      <c r="O22003">
        <f>IF(N22003="","",'Master Barang'!B97)</f>
        <v>0</v>
      </c>
      <c r="P22003">
        <f>IF(OR(M22003="",N22003=""),"",SUMIFS('Barang Keluar'!$E:$E,'Barang Keluar'!$A:$A,M22003,'Barang Keluar'!$C:$C,N22003))</f>
        <v>0</v>
      </c>
    </row>
    <row r="22004" spans="13:16">
      <c r="M22004" s="49">
        <f>IF($A$4+219&gt;$B$4,"",$A$4+219)</f>
        <v>46242</v>
      </c>
      <c r="N22004">
        <f>IF(M22004="","",'Master Barang'!A98)</f>
        <v>0</v>
      </c>
      <c r="O22004">
        <f>IF(N22004="","",'Master Barang'!B98)</f>
        <v>0</v>
      </c>
      <c r="P22004">
        <f>IF(OR(M22004="",N22004=""),"",SUMIFS('Barang Keluar'!$E:$E,'Barang Keluar'!$A:$A,M22004,'Barang Keluar'!$C:$C,N22004))</f>
        <v>0</v>
      </c>
    </row>
    <row r="22005" spans="13:16">
      <c r="M22005" s="49">
        <f>IF($A$4+219&gt;$B$4,"",$A$4+219)</f>
        <v>46242</v>
      </c>
      <c r="N22005">
        <f>IF(M22005="","",'Master Barang'!A99)</f>
        <v>0</v>
      </c>
      <c r="O22005">
        <f>IF(N22005="","",'Master Barang'!B99)</f>
        <v>0</v>
      </c>
      <c r="P22005">
        <f>IF(OR(M22005="",N22005=""),"",SUMIFS('Barang Keluar'!$E:$E,'Barang Keluar'!$A:$A,M22005,'Barang Keluar'!$C:$C,N22005))</f>
        <v>0</v>
      </c>
    </row>
    <row r="22006" spans="13:16">
      <c r="M22006" s="49">
        <f>IF($A$4+219&gt;$B$4,"",$A$4+219)</f>
        <v>46242</v>
      </c>
      <c r="N22006">
        <f>IF(M22006="","",'Master Barang'!A100)</f>
        <v>0</v>
      </c>
      <c r="O22006">
        <f>IF(N22006="","",'Master Barang'!B100)</f>
        <v>0</v>
      </c>
      <c r="P22006">
        <f>IF(OR(M22006="",N22006=""),"",SUMIFS('Barang Keluar'!$E:$E,'Barang Keluar'!$A:$A,M22006,'Barang Keluar'!$C:$C,N22006))</f>
        <v>0</v>
      </c>
    </row>
    <row r="22007" spans="13:16">
      <c r="M22007" s="49">
        <f>IF($A$4+219&gt;$B$4,"",$A$4+219)</f>
        <v>46242</v>
      </c>
      <c r="N22007">
        <f>IF(M22007="","",'Master Barang'!A101)</f>
        <v>0</v>
      </c>
      <c r="O22007">
        <f>IF(N22007="","",'Master Barang'!B101)</f>
        <v>0</v>
      </c>
      <c r="P22007">
        <f>IF(OR(M22007="",N22007=""),"",SUMIFS('Barang Keluar'!$E:$E,'Barang Keluar'!$A:$A,M22007,'Barang Keluar'!$C:$C,N22007))</f>
        <v>0</v>
      </c>
    </row>
    <row r="22008" spans="13:16">
      <c r="M22008" s="49">
        <f>IF($A$4+220&gt;$B$4,"",$A$4+220)</f>
        <v>46243</v>
      </c>
      <c r="N22008" t="str">
        <f>IF(M22008="","",'Master Barang'!A2)</f>
        <v>PRL-001</v>
      </c>
      <c r="O22008" t="str">
        <f>IF(N22008="","",'Master Barang'!B2)</f>
        <v>natura desinfectant food grade 5l</v>
      </c>
      <c r="P22008">
        <f>IF(OR(M22008="",N22008=""),"",SUMIFS('Barang Keluar'!$E:$E,'Barang Keluar'!$A:$A,M22008,'Barang Keluar'!$C:$C,N22008))</f>
        <v>0</v>
      </c>
    </row>
    <row r="22009" spans="13:16">
      <c r="M22009" s="49">
        <f>IF($A$4+220&gt;$B$4,"",$A$4+220)</f>
        <v>46243</v>
      </c>
      <c r="N22009" t="str">
        <f>IF(M22009="","",'Master Barang'!A3)</f>
        <v>PRL-002</v>
      </c>
      <c r="O22009" t="str">
        <f>IF(N22009="","",'Master Barang'!B3)</f>
        <v>sunlight cairan pencuci piring 5l</v>
      </c>
      <c r="P22009">
        <f>IF(OR(M22009="",N22009=""),"",SUMIFS('Barang Keluar'!$E:$E,'Barang Keluar'!$A:$A,M22009,'Barang Keluar'!$C:$C,N22009))</f>
        <v>0</v>
      </c>
    </row>
    <row r="22010" spans="13:16">
      <c r="M22010" s="49">
        <f>IF($A$4+220&gt;$B$4,"",$A$4+220)</f>
        <v>46243</v>
      </c>
      <c r="N22010" t="str">
        <f>IF(M22010="","",'Master Barang'!A4)</f>
        <v>PRL-003</v>
      </c>
      <c r="O22010" t="str">
        <f>IF(N22010="","",'Master Barang'!B4)</f>
        <v>oixs cleaner 1l</v>
      </c>
      <c r="P22010">
        <f>IF(OR(M22010="",N22010=""),"",SUMIFS('Barang Keluar'!$E:$E,'Barang Keluar'!$A:$A,M22010,'Barang Keluar'!$C:$C,N22010))</f>
        <v>0</v>
      </c>
    </row>
    <row r="22011" spans="13:16">
      <c r="M22011" s="49">
        <f>IF($A$4+220&gt;$B$4,"",$A$4+220)</f>
        <v>46243</v>
      </c>
      <c r="N22011" t="str">
        <f>IF(M22011="","",'Master Barang'!A5)</f>
        <v>PRL-004</v>
      </c>
      <c r="O22011" t="str">
        <f>IF(N22011="","",'Master Barang'!B5)</f>
        <v>be clean tissue serbaguna</v>
      </c>
      <c r="P22011">
        <f>IF(OR(M22011="",N22011=""),"",SUMIFS('Barang Keluar'!$E:$E,'Barang Keluar'!$A:$A,M22011,'Barang Keluar'!$C:$C,N22011))</f>
        <v>0</v>
      </c>
    </row>
    <row r="22012" spans="13:16">
      <c r="M22012" s="49">
        <f>IF($A$4+220&gt;$B$4,"",$A$4+220)</f>
        <v>46243</v>
      </c>
      <c r="N22012" t="str">
        <f>IF(M22012="","",'Master Barang'!A6)</f>
        <v>PRL-005</v>
      </c>
      <c r="O22012" t="str">
        <f>IF(N22012="","",'Master Barang'!B6)</f>
        <v>spons cuci hijau</v>
      </c>
      <c r="P22012">
        <f>IF(OR(M22012="",N22012=""),"",SUMIFS('Barang Keluar'!$E:$E,'Barang Keluar'!$A:$A,M22012,'Barang Keluar'!$C:$C,N22012))</f>
        <v>0</v>
      </c>
    </row>
    <row r="22013" spans="13:16">
      <c r="M22013" s="49">
        <f>IF($A$4+220&gt;$B$4,"",$A$4+220)</f>
        <v>46243</v>
      </c>
      <c r="N22013" t="str">
        <f>IF(M22013="","",'Master Barang'!A7)</f>
        <v>PRL-006</v>
      </c>
      <c r="O22013" t="str">
        <f>IF(N22013="","",'Master Barang'!B7)</f>
        <v>sabut cuci stainless</v>
      </c>
      <c r="P22013">
        <f>IF(OR(M22013="",N22013=""),"",SUMIFS('Barang Keluar'!$E:$E,'Barang Keluar'!$A:$A,M22013,'Barang Keluar'!$C:$C,N22013))</f>
        <v>0</v>
      </c>
    </row>
    <row r="22014" spans="13:16">
      <c r="M22014" s="49">
        <f>IF($A$4+220&gt;$B$4,"",$A$4+220)</f>
        <v>46243</v>
      </c>
      <c r="N22014" t="str">
        <f>IF(M22014="","",'Master Barang'!A8)</f>
        <v>PRL-007</v>
      </c>
      <c r="O22014" t="str">
        <f>IF(N22014="","",'Master Barang'!B8)</f>
        <v>plastik kresek besar merah 50pc</v>
      </c>
      <c r="P22014">
        <f>IF(OR(M22014="",N22014=""),"",SUMIFS('Barang Keluar'!$E:$E,'Barang Keluar'!$A:$A,M22014,'Barang Keluar'!$C:$C,N22014))</f>
        <v>0</v>
      </c>
    </row>
    <row r="22015" spans="13:16">
      <c r="M22015" s="49">
        <f>IF($A$4+220&gt;$B$4,"",$A$4+220)</f>
        <v>46243</v>
      </c>
      <c r="N22015" t="str">
        <f>IF(M22015="","",'Master Barang'!A9)</f>
        <v>PRL-008</v>
      </c>
      <c r="O22015" t="str">
        <f>IF(N22015="","",'Master Barang'!B9)</f>
        <v>lap besar</v>
      </c>
      <c r="P22015">
        <f>IF(OR(M22015="",N22015=""),"",SUMIFS('Barang Keluar'!$E:$E,'Barang Keluar'!$A:$A,M22015,'Barang Keluar'!$C:$C,N22015))</f>
        <v>0</v>
      </c>
    </row>
    <row r="22016" spans="13:16">
      <c r="M22016" s="49">
        <f>IF($A$4+220&gt;$B$4,"",$A$4+220)</f>
        <v>46243</v>
      </c>
      <c r="N22016" t="str">
        <f>IF(M22016="","",'Master Barang'!A10)</f>
        <v>PRL-009</v>
      </c>
      <c r="O22016" t="str">
        <f>IF(N22016="","",'Master Barang'!B10)</f>
        <v>lap microfiber</v>
      </c>
      <c r="P22016">
        <f>IF(OR(M22016="",N22016=""),"",SUMIFS('Barang Keluar'!$E:$E,'Barang Keluar'!$A:$A,M22016,'Barang Keluar'!$C:$C,N22016))</f>
        <v>0</v>
      </c>
    </row>
    <row r="22017" spans="13:16">
      <c r="M22017" s="49">
        <f>IF($A$4+220&gt;$B$4,"",$A$4+220)</f>
        <v>46243</v>
      </c>
      <c r="N22017" t="str">
        <f>IF(M22017="","",'Master Barang'!A11)</f>
        <v>PRL-010</v>
      </c>
      <c r="O22017" t="str">
        <f>IF(N22017="","",'Master Barang'!B11)</f>
        <v>lap kecil</v>
      </c>
      <c r="P22017">
        <f>IF(OR(M22017="",N22017=""),"",SUMIFS('Barang Keluar'!$E:$E,'Barang Keluar'!$A:$A,M22017,'Barang Keluar'!$C:$C,N22017))</f>
        <v>0</v>
      </c>
    </row>
    <row r="22018" spans="13:16">
      <c r="M22018" s="49">
        <f>IF($A$4+220&gt;$B$4,"",$A$4+220)</f>
        <v>46243</v>
      </c>
      <c r="N22018" t="str">
        <f>IF(M22018="","",'Master Barang'!A12)</f>
        <v>PRL-011</v>
      </c>
      <c r="O22018" t="str">
        <f>IF(N22018="","",'Master Barang'!B12)</f>
        <v>kanebo kecil</v>
      </c>
      <c r="P22018">
        <f>IF(OR(M22018="",N22018=""),"",SUMIFS('Barang Keluar'!$E:$E,'Barang Keluar'!$A:$A,M22018,'Barang Keluar'!$C:$C,N22018))</f>
        <v>0</v>
      </c>
    </row>
    <row r="22019" spans="13:16">
      <c r="M22019" s="49">
        <f>IF($A$4+220&gt;$B$4,"",$A$4+220)</f>
        <v>46243</v>
      </c>
      <c r="N22019" t="str">
        <f>IF(M22019="","",'Master Barang'!A13)</f>
        <v>PRL-012</v>
      </c>
      <c r="O22019" t="str">
        <f>IF(N22019="","",'Master Barang'!B13)</f>
        <v>plastik 1/4kg joyoboyo 100 lembar</v>
      </c>
      <c r="P22019">
        <f>IF(OR(M22019="",N22019=""),"",SUMIFS('Barang Keluar'!$E:$E,'Barang Keluar'!$A:$A,M22019,'Barang Keluar'!$C:$C,N22019))</f>
        <v>0</v>
      </c>
    </row>
    <row r="22020" spans="13:16">
      <c r="M22020" s="49">
        <f>IF($A$4+220&gt;$B$4,"",$A$4+220)</f>
        <v>46243</v>
      </c>
      <c r="N22020" t="str">
        <f>IF(M22020="","",'Master Barang'!A14)</f>
        <v>PRL-013</v>
      </c>
      <c r="O22020" t="str">
        <f>IF(N22020="","",'Master Barang'!B14)</f>
        <v>sarung tangan plastik kaka 100 pcs</v>
      </c>
      <c r="P22020">
        <f>IF(OR(M22020="",N22020=""),"",SUMIFS('Barang Keluar'!$E:$E,'Barang Keluar'!$A:$A,M22020,'Barang Keluar'!$C:$C,N22020))</f>
        <v>0</v>
      </c>
    </row>
    <row r="22021" spans="13:16">
      <c r="M22021" s="49">
        <f>IF($A$4+220&gt;$B$4,"",$A$4+220)</f>
        <v>46243</v>
      </c>
      <c r="N22021" t="str">
        <f>IF(M22021="","",'Master Barang'!A15)</f>
        <v>PRL-014</v>
      </c>
      <c r="O22021" t="str">
        <f>IF(N22021="","",'Master Barang'!B15)</f>
        <v>optima trashbag 80x100</v>
      </c>
      <c r="P22021">
        <f>IF(OR(M22021="",N22021=""),"",SUMIFS('Barang Keluar'!$E:$E,'Barang Keluar'!$A:$A,M22021,'Barang Keluar'!$C:$C,N22021))</f>
        <v>0</v>
      </c>
    </row>
    <row r="22022" spans="13:16">
      <c r="M22022" s="49">
        <f>IF($A$4+220&gt;$B$4,"",$A$4+220)</f>
        <v>46243</v>
      </c>
      <c r="N22022" t="str">
        <f>IF(M22022="","",'Master Barang'!A16)</f>
        <v>PRL-015</v>
      </c>
      <c r="O22022" t="str">
        <f>IF(N22022="","",'Master Barang'!B16)</f>
        <v>optima trashbag 60x100</v>
      </c>
      <c r="P22022">
        <f>IF(OR(M22022="",N22022=""),"",SUMIFS('Barang Keluar'!$E:$E,'Barang Keluar'!$A:$A,M22022,'Barang Keluar'!$C:$C,N22022))</f>
        <v>0</v>
      </c>
    </row>
    <row r="22023" spans="13:16">
      <c r="M22023" s="49">
        <f>IF($A$4+220&gt;$B$4,"",$A$4+220)</f>
        <v>46243</v>
      </c>
      <c r="N22023" t="str">
        <f>IF(M22023="","",'Master Barang'!A17)</f>
        <v>PRL-016</v>
      </c>
      <c r="O22023" t="str">
        <f>IF(N22023="","",'Master Barang'!B17)</f>
        <v>rajawali trashbag 30x40</v>
      </c>
      <c r="P22023">
        <f>IF(OR(M22023="",N22023=""),"",SUMIFS('Barang Keluar'!$E:$E,'Barang Keluar'!$A:$A,M22023,'Barang Keluar'!$C:$C,N22023))</f>
        <v>0</v>
      </c>
    </row>
    <row r="22024" spans="13:16">
      <c r="M22024" s="49">
        <f>IF($A$4+220&gt;$B$4,"",$A$4+220)</f>
        <v>46243</v>
      </c>
      <c r="N22024" t="str">
        <f>IF(M22024="","",'Master Barang'!A18)</f>
        <v>PRL-017</v>
      </c>
      <c r="O22024" t="str">
        <f>IF(N22024="","",'Master Barang'!B18)</f>
        <v>onemed masker biru 3 play 50 pcs</v>
      </c>
      <c r="P22024">
        <f>IF(OR(M22024="",N22024=""),"",SUMIFS('Barang Keluar'!$E:$E,'Barang Keluar'!$A:$A,M22024,'Barang Keluar'!$C:$C,N22024))</f>
        <v>0</v>
      </c>
    </row>
    <row r="22025" spans="13:16">
      <c r="M22025" s="49">
        <f>IF($A$4+220&gt;$B$4,"",$A$4+220)</f>
        <v>46243</v>
      </c>
      <c r="N22025" t="str">
        <f>IF(M22025="","",'Master Barang'!A19)</f>
        <v>PRL-018</v>
      </c>
      <c r="O22025" t="str">
        <f>IF(N22025="","",'Master Barang'!B19)</f>
        <v>onemed masker biru 3 play hijab 50 pcs</v>
      </c>
      <c r="P22025">
        <f>IF(OR(M22025="",N22025=""),"",SUMIFS('Barang Keluar'!$E:$E,'Barang Keluar'!$A:$A,M22025,'Barang Keluar'!$C:$C,N22025))</f>
        <v>0</v>
      </c>
    </row>
    <row r="22026" spans="13:16">
      <c r="M22026" s="49">
        <f>IF($A$4+220&gt;$B$4,"",$A$4+220)</f>
        <v>46243</v>
      </c>
      <c r="N22026" t="str">
        <f>IF(M22026="","",'Master Barang'!A20)</f>
        <v>PRL-019</v>
      </c>
      <c r="O22026" t="str">
        <f>IF(N22026="","",'Master Barang'!B20)</f>
        <v>neo health masker biru 3 play 50 pcs</v>
      </c>
      <c r="P22026">
        <f>IF(OR(M22026="",N22026=""),"",SUMIFS('Barang Keluar'!$E:$E,'Barang Keluar'!$A:$A,M22026,'Barang Keluar'!$C:$C,N22026))</f>
        <v>0</v>
      </c>
    </row>
    <row r="22027" spans="13:16">
      <c r="M22027" s="49">
        <f>IF($A$4+220&gt;$B$4,"",$A$4+220)</f>
        <v>46243</v>
      </c>
      <c r="N22027" t="str">
        <f>IF(M22027="","",'Master Barang'!A21)</f>
        <v>PRL-020</v>
      </c>
      <c r="O22027" t="str">
        <f>IF(N22027="","",'Master Barang'!B21)</f>
        <v>baymed masker hijau 3 play hijau 50 pcs</v>
      </c>
      <c r="P22027">
        <f>IF(OR(M22027="",N22027=""),"",SUMIFS('Barang Keluar'!$E:$E,'Barang Keluar'!$A:$A,M22027,'Barang Keluar'!$C:$C,N22027))</f>
        <v>0</v>
      </c>
    </row>
    <row r="22028" spans="13:16">
      <c r="M22028" s="49">
        <f>IF($A$4+220&gt;$B$4,"",$A$4+220)</f>
        <v>46243</v>
      </c>
      <c r="N22028" t="str">
        <f>IF(M22028="","",'Master Barang'!A22)</f>
        <v>PRL-021</v>
      </c>
      <c r="O22028" t="str">
        <f>IF(N22028="","",'Master Barang'!B22)</f>
        <v>altamed nurse cap penutup kepala 100 pcs</v>
      </c>
      <c r="P22028">
        <f>IF(OR(M22028="",N22028=""),"",SUMIFS('Barang Keluar'!$E:$E,'Barang Keluar'!$A:$A,M22028,'Barang Keluar'!$C:$C,N22028))</f>
        <v>0</v>
      </c>
    </row>
    <row r="22029" spans="13:16">
      <c r="M22029" s="49">
        <f>IF($A$4+220&gt;$B$4,"",$A$4+220)</f>
        <v>46243</v>
      </c>
      <c r="N22029" t="str">
        <f>IF(M22029="","",'Master Barang'!A23)</f>
        <v>PRL-022</v>
      </c>
      <c r="O22029" t="str">
        <f>IF(N22029="","",'Master Barang'!B23)</f>
        <v>sabun cuci tangan</v>
      </c>
      <c r="P22029">
        <f>IF(OR(M22029="",N22029=""),"",SUMIFS('Barang Keluar'!$E:$E,'Barang Keluar'!$A:$A,M22029,'Barang Keluar'!$C:$C,N22029))</f>
        <v>0</v>
      </c>
    </row>
    <row r="22030" spans="13:16">
      <c r="M22030" s="49">
        <f>IF($A$4+220&gt;$B$4,"",$A$4+220)</f>
        <v>46243</v>
      </c>
      <c r="N22030" t="str">
        <f>IF(M22030="","",'Master Barang'!A24)</f>
        <v>PRL-023</v>
      </c>
      <c r="O22030" t="str">
        <f>IF(N22030="","",'Master Barang'!B24)</f>
        <v>gayung kecil</v>
      </c>
      <c r="P22030">
        <f>IF(OR(M22030="",N22030=""),"",SUMIFS('Barang Keluar'!$E:$E,'Barang Keluar'!$A:$A,M22030,'Barang Keluar'!$C:$C,N22030))</f>
        <v>0</v>
      </c>
    </row>
    <row r="22031" spans="13:16">
      <c r="M22031" s="49">
        <f>IF($A$4+220&gt;$B$4,"",$A$4+220)</f>
        <v>46243</v>
      </c>
      <c r="N22031" t="str">
        <f>IF(M22031="","",'Master Barang'!A25)</f>
        <v>PRL-024</v>
      </c>
      <c r="O22031" t="str">
        <f>IF(N22031="","",'Master Barang'!B25)</f>
        <v>cikrak kecil</v>
      </c>
      <c r="P22031">
        <f>IF(OR(M22031="",N22031=""),"",SUMIFS('Barang Keluar'!$E:$E,'Barang Keluar'!$A:$A,M22031,'Barang Keluar'!$C:$C,N22031))</f>
        <v>0</v>
      </c>
    </row>
    <row r="22032" spans="13:16">
      <c r="M22032" s="49">
        <f>IF($A$4+220&gt;$B$4,"",$A$4+220)</f>
        <v>46243</v>
      </c>
      <c r="N22032" t="str">
        <f>IF(M22032="","",'Master Barang'!A26)</f>
        <v>PRL-025</v>
      </c>
      <c r="O22032" t="str">
        <f>IF(N22032="","",'Master Barang'!B26)</f>
        <v>petromax plastik kecil 12x24 100 lembar</v>
      </c>
      <c r="P22032">
        <f>IF(OR(M22032="",N22032=""),"",SUMIFS('Barang Keluar'!$E:$E,'Barang Keluar'!$A:$A,M22032,'Barang Keluar'!$C:$C,N22032))</f>
        <v>0</v>
      </c>
    </row>
    <row r="22033" spans="13:16">
      <c r="M22033" s="49">
        <f>IF($A$4+220&gt;$B$4,"",$A$4+220)</f>
        <v>46243</v>
      </c>
      <c r="N22033" t="str">
        <f>IF(M22033="","",'Master Barang'!A27)</f>
        <v>PRL-026</v>
      </c>
      <c r="O22033" t="str">
        <f>IF(N22033="","",'Master Barang'!B27)</f>
        <v>lancar kresek kecil bening </v>
      </c>
      <c r="P22033">
        <f>IF(OR(M22033="",N22033=""),"",SUMIFS('Barang Keluar'!$E:$E,'Barang Keluar'!$A:$A,M22033,'Barang Keluar'!$C:$C,N22033))</f>
        <v>0</v>
      </c>
    </row>
    <row r="22034" spans="13:16">
      <c r="M22034" s="49">
        <f>IF($A$4+220&gt;$B$4,"",$A$4+220)</f>
        <v>46243</v>
      </c>
      <c r="N22034" t="str">
        <f>IF(M22034="","",'Master Barang'!A28)</f>
        <v>PRL-027</v>
      </c>
      <c r="O22034" t="str">
        <f>IF(N22034="","",'Master Barang'!B28)</f>
        <v>kresek klin warna warni kecil</v>
      </c>
      <c r="P22034">
        <f>IF(OR(M22034="",N22034=""),"",SUMIFS('Barang Keluar'!$E:$E,'Barang Keluar'!$A:$A,M22034,'Barang Keluar'!$C:$C,N22034))</f>
        <v>0</v>
      </c>
    </row>
    <row r="22035" spans="13:16">
      <c r="M22035" s="49">
        <f>IF($A$4+220&gt;$B$4,"",$A$4+220)</f>
        <v>46243</v>
      </c>
      <c r="N22035" t="str">
        <f>IF(M22035="","",'Master Barang'!A29)</f>
        <v>PRL-028</v>
      </c>
      <c r="O22035" t="str">
        <f>IF(N22035="","",'Master Barang'!B29)</f>
        <v>ctik plastik 7x10 100 pcs</v>
      </c>
      <c r="P22035">
        <f>IF(OR(M22035="",N22035=""),"",SUMIFS('Barang Keluar'!$E:$E,'Barang Keluar'!$A:$A,M22035,'Barang Keluar'!$C:$C,N22035))</f>
        <v>0</v>
      </c>
    </row>
    <row r="22036" spans="13:16">
      <c r="M22036" s="49">
        <f>IF($A$4+220&gt;$B$4,"",$A$4+220)</f>
        <v>46243</v>
      </c>
      <c r="N22036" t="str">
        <f>IF(M22036="","",'Master Barang'!A30)</f>
        <v>PRL-029</v>
      </c>
      <c r="O22036" t="str">
        <f>IF(N22036="","",'Master Barang'!B30)</f>
        <v>ctik plastik 6x10 100 pcs</v>
      </c>
      <c r="P22036">
        <f>IF(OR(M22036="",N22036=""),"",SUMIFS('Barang Keluar'!$E:$E,'Barang Keluar'!$A:$A,M22036,'Barang Keluar'!$C:$C,N22036))</f>
        <v>0</v>
      </c>
    </row>
    <row r="22037" spans="13:16">
      <c r="M22037" s="49">
        <f>IF($A$4+220&gt;$B$4,"",$A$4+220)</f>
        <v>46243</v>
      </c>
      <c r="N22037" t="str">
        <f>IF(M22037="","",'Master Barang'!A31)</f>
        <v>PRL-030</v>
      </c>
      <c r="O22037" t="str">
        <f>IF(N22037="","",'Master Barang'!B31)</f>
        <v>klip plastik 25x16 100 pcs</v>
      </c>
      <c r="P22037">
        <f>IF(OR(M22037="",N22037=""),"",SUMIFS('Barang Keluar'!$E:$E,'Barang Keluar'!$A:$A,M22037,'Barang Keluar'!$C:$C,N22037))</f>
        <v>0</v>
      </c>
    </row>
    <row r="22038" spans="13:16">
      <c r="M22038" s="49">
        <f>IF($A$4+220&gt;$B$4,"",$A$4+220)</f>
        <v>46243</v>
      </c>
      <c r="N22038" t="str">
        <f>IF(M22038="","",'Master Barang'!A32)</f>
        <v>PRL-031</v>
      </c>
      <c r="O22038" t="str">
        <f>IF(N22038="","",'Master Barang'!B32)</f>
        <v>tempat saus 20 ml</v>
      </c>
      <c r="P22038">
        <f>IF(OR(M22038="",N22038=""),"",SUMIFS('Barang Keluar'!$E:$E,'Barang Keluar'!$A:$A,M22038,'Barang Keluar'!$C:$C,N22038))</f>
        <v>0</v>
      </c>
    </row>
    <row r="22039" spans="13:16">
      <c r="M22039" s="49">
        <f>IF($A$4+220&gt;$B$4,"",$A$4+220)</f>
        <v>46243</v>
      </c>
      <c r="N22039" t="str">
        <f>IF(M22039="","",'Master Barang'!A33)</f>
        <v>PRL-032</v>
      </c>
      <c r="O22039" t="str">
        <f>IF(N22039="","",'Master Barang'!B33)</f>
        <v>plastik packaging ag box uk sedang</v>
      </c>
      <c r="P22039">
        <f>IF(OR(M22039="",N22039=""),"",SUMIFS('Barang Keluar'!$E:$E,'Barang Keluar'!$A:$A,M22039,'Barang Keluar'!$C:$C,N22039))</f>
        <v>0</v>
      </c>
    </row>
    <row r="22040" spans="13:16">
      <c r="M22040" s="49">
        <f>IF($A$4+220&gt;$B$4,"",$A$4+220)</f>
        <v>46243</v>
      </c>
      <c r="N22040" t="str">
        <f>IF(M22040="","",'Master Barang'!A34)</f>
        <v>PRL-033</v>
      </c>
      <c r="O22040">
        <f>IF(N22040="","",'Master Barang'!B34)</f>
        <v>0</v>
      </c>
      <c r="P22040">
        <f>IF(OR(M22040="",N22040=""),"",SUMIFS('Barang Keluar'!$E:$E,'Barang Keluar'!$A:$A,M22040,'Barang Keluar'!$C:$C,N22040))</f>
        <v>0</v>
      </c>
    </row>
    <row r="22041" spans="13:16">
      <c r="M22041" s="49">
        <f>IF($A$4+220&gt;$B$4,"",$A$4+220)</f>
        <v>46243</v>
      </c>
      <c r="N22041">
        <f>IF(M22041="","",'Master Barang'!A35)</f>
        <v>0</v>
      </c>
      <c r="O22041">
        <f>IF(N22041="","",'Master Barang'!B35)</f>
        <v>0</v>
      </c>
      <c r="P22041">
        <f>IF(OR(M22041="",N22041=""),"",SUMIFS('Barang Keluar'!$E:$E,'Barang Keluar'!$A:$A,M22041,'Barang Keluar'!$C:$C,N22041))</f>
        <v>0</v>
      </c>
    </row>
    <row r="22042" spans="13:16">
      <c r="M22042" s="49">
        <f>IF($A$4+220&gt;$B$4,"",$A$4+220)</f>
        <v>46243</v>
      </c>
      <c r="N22042">
        <f>IF(M22042="","",'Master Barang'!A36)</f>
        <v>0</v>
      </c>
      <c r="O22042">
        <f>IF(N22042="","",'Master Barang'!B36)</f>
        <v>0</v>
      </c>
      <c r="P22042">
        <f>IF(OR(M22042="",N22042=""),"",SUMIFS('Barang Keluar'!$E:$E,'Barang Keluar'!$A:$A,M22042,'Barang Keluar'!$C:$C,N22042))</f>
        <v>0</v>
      </c>
    </row>
    <row r="22043" spans="13:16">
      <c r="M22043" s="49">
        <f>IF($A$4+220&gt;$B$4,"",$A$4+220)</f>
        <v>46243</v>
      </c>
      <c r="N22043">
        <f>IF(M22043="","",'Master Barang'!A37)</f>
        <v>0</v>
      </c>
      <c r="O22043">
        <f>IF(N22043="","",'Master Barang'!B37)</f>
        <v>0</v>
      </c>
      <c r="P22043">
        <f>IF(OR(M22043="",N22043=""),"",SUMIFS('Barang Keluar'!$E:$E,'Barang Keluar'!$A:$A,M22043,'Barang Keluar'!$C:$C,N22043))</f>
        <v>0</v>
      </c>
    </row>
    <row r="22044" spans="13:16">
      <c r="M22044" s="49">
        <f>IF($A$4+220&gt;$B$4,"",$A$4+220)</f>
        <v>46243</v>
      </c>
      <c r="N22044">
        <f>IF(M22044="","",'Master Barang'!A38)</f>
        <v>0</v>
      </c>
      <c r="O22044">
        <f>IF(N22044="","",'Master Barang'!B38)</f>
        <v>0</v>
      </c>
      <c r="P22044">
        <f>IF(OR(M22044="",N22044=""),"",SUMIFS('Barang Keluar'!$E:$E,'Barang Keluar'!$A:$A,M22044,'Barang Keluar'!$C:$C,N22044))</f>
        <v>0</v>
      </c>
    </row>
    <row r="22045" spans="13:16">
      <c r="M22045" s="49">
        <f>IF($A$4+220&gt;$B$4,"",$A$4+220)</f>
        <v>46243</v>
      </c>
      <c r="N22045">
        <f>IF(M22045="","",'Master Barang'!A39)</f>
        <v>0</v>
      </c>
      <c r="O22045">
        <f>IF(N22045="","",'Master Barang'!B39)</f>
        <v>0</v>
      </c>
      <c r="P22045">
        <f>IF(OR(M22045="",N22045=""),"",SUMIFS('Barang Keluar'!$E:$E,'Barang Keluar'!$A:$A,M22045,'Barang Keluar'!$C:$C,N22045))</f>
        <v>0</v>
      </c>
    </row>
    <row r="22046" spans="13:16">
      <c r="M22046" s="49">
        <f>IF($A$4+220&gt;$B$4,"",$A$4+220)</f>
        <v>46243</v>
      </c>
      <c r="N22046">
        <f>IF(M22046="","",'Master Barang'!A40)</f>
        <v>0</v>
      </c>
      <c r="O22046">
        <f>IF(N22046="","",'Master Barang'!B40)</f>
        <v>0</v>
      </c>
      <c r="P22046">
        <f>IF(OR(M22046="",N22046=""),"",SUMIFS('Barang Keluar'!$E:$E,'Barang Keluar'!$A:$A,M22046,'Barang Keluar'!$C:$C,N22046))</f>
        <v>0</v>
      </c>
    </row>
    <row r="22047" spans="13:16">
      <c r="M22047" s="49">
        <f>IF($A$4+220&gt;$B$4,"",$A$4+220)</f>
        <v>46243</v>
      </c>
      <c r="N22047">
        <f>IF(M22047="","",'Master Barang'!A41)</f>
        <v>0</v>
      </c>
      <c r="O22047">
        <f>IF(N22047="","",'Master Barang'!B41)</f>
        <v>0</v>
      </c>
      <c r="P22047">
        <f>IF(OR(M22047="",N22047=""),"",SUMIFS('Barang Keluar'!$E:$E,'Barang Keluar'!$A:$A,M22047,'Barang Keluar'!$C:$C,N22047))</f>
        <v>0</v>
      </c>
    </row>
    <row r="22048" spans="13:16">
      <c r="M22048" s="49">
        <f>IF($A$4+220&gt;$B$4,"",$A$4+220)</f>
        <v>46243</v>
      </c>
      <c r="N22048">
        <f>IF(M22048="","",'Master Barang'!A42)</f>
        <v>0</v>
      </c>
      <c r="O22048">
        <f>IF(N22048="","",'Master Barang'!B42)</f>
        <v>0</v>
      </c>
      <c r="P22048">
        <f>IF(OR(M22048="",N22048=""),"",SUMIFS('Barang Keluar'!$E:$E,'Barang Keluar'!$A:$A,M22048,'Barang Keluar'!$C:$C,N22048))</f>
        <v>0</v>
      </c>
    </row>
    <row r="22049" spans="13:16">
      <c r="M22049" s="49">
        <f>IF($A$4+220&gt;$B$4,"",$A$4+220)</f>
        <v>46243</v>
      </c>
      <c r="N22049">
        <f>IF(M22049="","",'Master Barang'!A43)</f>
        <v>0</v>
      </c>
      <c r="O22049">
        <f>IF(N22049="","",'Master Barang'!B43)</f>
        <v>0</v>
      </c>
      <c r="P22049">
        <f>IF(OR(M22049="",N22049=""),"",SUMIFS('Barang Keluar'!$E:$E,'Barang Keluar'!$A:$A,M22049,'Barang Keluar'!$C:$C,N22049))</f>
        <v>0</v>
      </c>
    </row>
    <row r="22050" spans="13:16">
      <c r="M22050" s="49">
        <f>IF($A$4+220&gt;$B$4,"",$A$4+220)</f>
        <v>46243</v>
      </c>
      <c r="N22050">
        <f>IF(M22050="","",'Master Barang'!A44)</f>
        <v>0</v>
      </c>
      <c r="O22050">
        <f>IF(N22050="","",'Master Barang'!B44)</f>
        <v>0</v>
      </c>
      <c r="P22050">
        <f>IF(OR(M22050="",N22050=""),"",SUMIFS('Barang Keluar'!$E:$E,'Barang Keluar'!$A:$A,M22050,'Barang Keluar'!$C:$C,N22050))</f>
        <v>0</v>
      </c>
    </row>
    <row r="22051" spans="13:16">
      <c r="M22051" s="49">
        <f>IF($A$4+220&gt;$B$4,"",$A$4+220)</f>
        <v>46243</v>
      </c>
      <c r="N22051">
        <f>IF(M22051="","",'Master Barang'!A45)</f>
        <v>0</v>
      </c>
      <c r="O22051">
        <f>IF(N22051="","",'Master Barang'!B45)</f>
        <v>0</v>
      </c>
      <c r="P22051">
        <f>IF(OR(M22051="",N22051=""),"",SUMIFS('Barang Keluar'!$E:$E,'Barang Keluar'!$A:$A,M22051,'Barang Keluar'!$C:$C,N22051))</f>
        <v>0</v>
      </c>
    </row>
    <row r="22052" spans="13:16">
      <c r="M22052" s="49">
        <f>IF($A$4+220&gt;$B$4,"",$A$4+220)</f>
        <v>46243</v>
      </c>
      <c r="N22052">
        <f>IF(M22052="","",'Master Barang'!A46)</f>
        <v>0</v>
      </c>
      <c r="O22052">
        <f>IF(N22052="","",'Master Barang'!B46)</f>
        <v>0</v>
      </c>
      <c r="P22052">
        <f>IF(OR(M22052="",N22052=""),"",SUMIFS('Barang Keluar'!$E:$E,'Barang Keluar'!$A:$A,M22052,'Barang Keluar'!$C:$C,N22052))</f>
        <v>0</v>
      </c>
    </row>
    <row r="22053" spans="13:16">
      <c r="M22053" s="49">
        <f>IF($A$4+220&gt;$B$4,"",$A$4+220)</f>
        <v>46243</v>
      </c>
      <c r="N22053">
        <f>IF(M22053="","",'Master Barang'!A47)</f>
        <v>0</v>
      </c>
      <c r="O22053">
        <f>IF(N22053="","",'Master Barang'!B47)</f>
        <v>0</v>
      </c>
      <c r="P22053">
        <f>IF(OR(M22053="",N22053=""),"",SUMIFS('Barang Keluar'!$E:$E,'Barang Keluar'!$A:$A,M22053,'Barang Keluar'!$C:$C,N22053))</f>
        <v>0</v>
      </c>
    </row>
    <row r="22054" spans="13:16">
      <c r="M22054" s="49">
        <f>IF($A$4+220&gt;$B$4,"",$A$4+220)</f>
        <v>46243</v>
      </c>
      <c r="N22054">
        <f>IF(M22054="","",'Master Barang'!A48)</f>
        <v>0</v>
      </c>
      <c r="O22054">
        <f>IF(N22054="","",'Master Barang'!B48)</f>
        <v>0</v>
      </c>
      <c r="P22054">
        <f>IF(OR(M22054="",N22054=""),"",SUMIFS('Barang Keluar'!$E:$E,'Barang Keluar'!$A:$A,M22054,'Barang Keluar'!$C:$C,N22054))</f>
        <v>0</v>
      </c>
    </row>
    <row r="22055" spans="13:16">
      <c r="M22055" s="49">
        <f>IF($A$4+220&gt;$B$4,"",$A$4+220)</f>
        <v>46243</v>
      </c>
      <c r="N22055">
        <f>IF(M22055="","",'Master Barang'!A49)</f>
        <v>0</v>
      </c>
      <c r="O22055">
        <f>IF(N22055="","",'Master Barang'!B49)</f>
        <v>0</v>
      </c>
      <c r="P22055">
        <f>IF(OR(M22055="",N22055=""),"",SUMIFS('Barang Keluar'!$E:$E,'Barang Keluar'!$A:$A,M22055,'Barang Keluar'!$C:$C,N22055))</f>
        <v>0</v>
      </c>
    </row>
    <row r="22056" spans="13:16">
      <c r="M22056" s="49">
        <f>IF($A$4+220&gt;$B$4,"",$A$4+220)</f>
        <v>46243</v>
      </c>
      <c r="N22056">
        <f>IF(M22056="","",'Master Barang'!A50)</f>
        <v>0</v>
      </c>
      <c r="O22056">
        <f>IF(N22056="","",'Master Barang'!B50)</f>
        <v>0</v>
      </c>
      <c r="P22056">
        <f>IF(OR(M22056="",N22056=""),"",SUMIFS('Barang Keluar'!$E:$E,'Barang Keluar'!$A:$A,M22056,'Barang Keluar'!$C:$C,N22056))</f>
        <v>0</v>
      </c>
    </row>
    <row r="22057" spans="13:16">
      <c r="M22057" s="49">
        <f>IF($A$4+220&gt;$B$4,"",$A$4+220)</f>
        <v>46243</v>
      </c>
      <c r="N22057">
        <f>IF(M22057="","",'Master Barang'!A51)</f>
        <v>0</v>
      </c>
      <c r="O22057">
        <f>IF(N22057="","",'Master Barang'!B51)</f>
        <v>0</v>
      </c>
      <c r="P22057">
        <f>IF(OR(M22057="",N22057=""),"",SUMIFS('Barang Keluar'!$E:$E,'Barang Keluar'!$A:$A,M22057,'Barang Keluar'!$C:$C,N22057))</f>
        <v>0</v>
      </c>
    </row>
    <row r="22058" spans="13:16">
      <c r="M22058" s="49">
        <f>IF($A$4+220&gt;$B$4,"",$A$4+220)</f>
        <v>46243</v>
      </c>
      <c r="N22058">
        <f>IF(M22058="","",'Master Barang'!A52)</f>
        <v>0</v>
      </c>
      <c r="O22058">
        <f>IF(N22058="","",'Master Barang'!B52)</f>
        <v>0</v>
      </c>
      <c r="P22058">
        <f>IF(OR(M22058="",N22058=""),"",SUMIFS('Barang Keluar'!$E:$E,'Barang Keluar'!$A:$A,M22058,'Barang Keluar'!$C:$C,N22058))</f>
        <v>0</v>
      </c>
    </row>
    <row r="22059" spans="13:16">
      <c r="M22059" s="49">
        <f>IF($A$4+220&gt;$B$4,"",$A$4+220)</f>
        <v>46243</v>
      </c>
      <c r="N22059">
        <f>IF(M22059="","",'Master Barang'!A53)</f>
        <v>0</v>
      </c>
      <c r="O22059">
        <f>IF(N22059="","",'Master Barang'!B53)</f>
        <v>0</v>
      </c>
      <c r="P22059">
        <f>IF(OR(M22059="",N22059=""),"",SUMIFS('Barang Keluar'!$E:$E,'Barang Keluar'!$A:$A,M22059,'Barang Keluar'!$C:$C,N22059))</f>
        <v>0</v>
      </c>
    </row>
    <row r="22060" spans="13:16">
      <c r="M22060" s="49">
        <f>IF($A$4+220&gt;$B$4,"",$A$4+220)</f>
        <v>46243</v>
      </c>
      <c r="N22060">
        <f>IF(M22060="","",'Master Barang'!A54)</f>
        <v>0</v>
      </c>
      <c r="O22060">
        <f>IF(N22060="","",'Master Barang'!B54)</f>
        <v>0</v>
      </c>
      <c r="P22060">
        <f>IF(OR(M22060="",N22060=""),"",SUMIFS('Barang Keluar'!$E:$E,'Barang Keluar'!$A:$A,M22060,'Barang Keluar'!$C:$C,N22060))</f>
        <v>0</v>
      </c>
    </row>
    <row r="22061" spans="13:16">
      <c r="M22061" s="49">
        <f>IF($A$4+220&gt;$B$4,"",$A$4+220)</f>
        <v>46243</v>
      </c>
      <c r="N22061">
        <f>IF(M22061="","",'Master Barang'!A55)</f>
        <v>0</v>
      </c>
      <c r="O22061">
        <f>IF(N22061="","",'Master Barang'!B55)</f>
        <v>0</v>
      </c>
      <c r="P22061">
        <f>IF(OR(M22061="",N22061=""),"",SUMIFS('Barang Keluar'!$E:$E,'Barang Keluar'!$A:$A,M22061,'Barang Keluar'!$C:$C,N22061))</f>
        <v>0</v>
      </c>
    </row>
    <row r="22062" spans="13:16">
      <c r="M22062" s="49">
        <f>IF($A$4+220&gt;$B$4,"",$A$4+220)</f>
        <v>46243</v>
      </c>
      <c r="N22062">
        <f>IF(M22062="","",'Master Barang'!A56)</f>
        <v>0</v>
      </c>
      <c r="O22062">
        <f>IF(N22062="","",'Master Barang'!B56)</f>
        <v>0</v>
      </c>
      <c r="P22062">
        <f>IF(OR(M22062="",N22062=""),"",SUMIFS('Barang Keluar'!$E:$E,'Barang Keluar'!$A:$A,M22062,'Barang Keluar'!$C:$C,N22062))</f>
        <v>0</v>
      </c>
    </row>
    <row r="22063" spans="13:16">
      <c r="M22063" s="49">
        <f>IF($A$4+220&gt;$B$4,"",$A$4+220)</f>
        <v>46243</v>
      </c>
      <c r="N22063">
        <f>IF(M22063="","",'Master Barang'!A57)</f>
        <v>0</v>
      </c>
      <c r="O22063">
        <f>IF(N22063="","",'Master Barang'!B57)</f>
        <v>0</v>
      </c>
      <c r="P22063">
        <f>IF(OR(M22063="",N22063=""),"",SUMIFS('Barang Keluar'!$E:$E,'Barang Keluar'!$A:$A,M22063,'Barang Keluar'!$C:$C,N22063))</f>
        <v>0</v>
      </c>
    </row>
    <row r="22064" spans="13:16">
      <c r="M22064" s="49">
        <f>IF($A$4+220&gt;$B$4,"",$A$4+220)</f>
        <v>46243</v>
      </c>
      <c r="N22064">
        <f>IF(M22064="","",'Master Barang'!A58)</f>
        <v>0</v>
      </c>
      <c r="O22064">
        <f>IF(N22064="","",'Master Barang'!B58)</f>
        <v>0</v>
      </c>
      <c r="P22064">
        <f>IF(OR(M22064="",N22064=""),"",SUMIFS('Barang Keluar'!$E:$E,'Barang Keluar'!$A:$A,M22064,'Barang Keluar'!$C:$C,N22064))</f>
        <v>0</v>
      </c>
    </row>
    <row r="22065" spans="13:16">
      <c r="M22065" s="49">
        <f>IF($A$4+220&gt;$B$4,"",$A$4+220)</f>
        <v>46243</v>
      </c>
      <c r="N22065">
        <f>IF(M22065="","",'Master Barang'!A59)</f>
        <v>0</v>
      </c>
      <c r="O22065">
        <f>IF(N22065="","",'Master Barang'!B59)</f>
        <v>0</v>
      </c>
      <c r="P22065">
        <f>IF(OR(M22065="",N22065=""),"",SUMIFS('Barang Keluar'!$E:$E,'Barang Keluar'!$A:$A,M22065,'Barang Keluar'!$C:$C,N22065))</f>
        <v>0</v>
      </c>
    </row>
    <row r="22066" spans="13:16">
      <c r="M22066" s="49">
        <f>IF($A$4+220&gt;$B$4,"",$A$4+220)</f>
        <v>46243</v>
      </c>
      <c r="N22066">
        <f>IF(M22066="","",'Master Barang'!A60)</f>
        <v>0</v>
      </c>
      <c r="O22066">
        <f>IF(N22066="","",'Master Barang'!B60)</f>
        <v>0</v>
      </c>
      <c r="P22066">
        <f>IF(OR(M22066="",N22066=""),"",SUMIFS('Barang Keluar'!$E:$E,'Barang Keluar'!$A:$A,M22066,'Barang Keluar'!$C:$C,N22066))</f>
        <v>0</v>
      </c>
    </row>
    <row r="22067" spans="13:16">
      <c r="M22067" s="49">
        <f>IF($A$4+220&gt;$B$4,"",$A$4+220)</f>
        <v>46243</v>
      </c>
      <c r="N22067">
        <f>IF(M22067="","",'Master Barang'!A61)</f>
        <v>0</v>
      </c>
      <c r="O22067">
        <f>IF(N22067="","",'Master Barang'!B61)</f>
        <v>0</v>
      </c>
      <c r="P22067">
        <f>IF(OR(M22067="",N22067=""),"",SUMIFS('Barang Keluar'!$E:$E,'Barang Keluar'!$A:$A,M22067,'Barang Keluar'!$C:$C,N22067))</f>
        <v>0</v>
      </c>
    </row>
    <row r="22068" spans="13:16">
      <c r="M22068" s="49">
        <f>IF($A$4+220&gt;$B$4,"",$A$4+220)</f>
        <v>46243</v>
      </c>
      <c r="N22068">
        <f>IF(M22068="","",'Master Barang'!A62)</f>
        <v>0</v>
      </c>
      <c r="O22068">
        <f>IF(N22068="","",'Master Barang'!B62)</f>
        <v>0</v>
      </c>
      <c r="P22068">
        <f>IF(OR(M22068="",N22068=""),"",SUMIFS('Barang Keluar'!$E:$E,'Barang Keluar'!$A:$A,M22068,'Barang Keluar'!$C:$C,N22068))</f>
        <v>0</v>
      </c>
    </row>
    <row r="22069" spans="13:16">
      <c r="M22069" s="49">
        <f>IF($A$4+220&gt;$B$4,"",$A$4+220)</f>
        <v>46243</v>
      </c>
      <c r="N22069">
        <f>IF(M22069="","",'Master Barang'!A63)</f>
        <v>0</v>
      </c>
      <c r="O22069">
        <f>IF(N22069="","",'Master Barang'!B63)</f>
        <v>0</v>
      </c>
      <c r="P22069">
        <f>IF(OR(M22069="",N22069=""),"",SUMIFS('Barang Keluar'!$E:$E,'Barang Keluar'!$A:$A,M22069,'Barang Keluar'!$C:$C,N22069))</f>
        <v>0</v>
      </c>
    </row>
    <row r="22070" spans="13:16">
      <c r="M22070" s="49">
        <f>IF($A$4+220&gt;$B$4,"",$A$4+220)</f>
        <v>46243</v>
      </c>
      <c r="N22070">
        <f>IF(M22070="","",'Master Barang'!A64)</f>
        <v>0</v>
      </c>
      <c r="O22070">
        <f>IF(N22070="","",'Master Barang'!B64)</f>
        <v>0</v>
      </c>
      <c r="P22070">
        <f>IF(OR(M22070="",N22070=""),"",SUMIFS('Barang Keluar'!$E:$E,'Barang Keluar'!$A:$A,M22070,'Barang Keluar'!$C:$C,N22070))</f>
        <v>0</v>
      </c>
    </row>
    <row r="22071" spans="13:16">
      <c r="M22071" s="49">
        <f>IF($A$4+220&gt;$B$4,"",$A$4+220)</f>
        <v>46243</v>
      </c>
      <c r="N22071">
        <f>IF(M22071="","",'Master Barang'!A65)</f>
        <v>0</v>
      </c>
      <c r="O22071">
        <f>IF(N22071="","",'Master Barang'!B65)</f>
        <v>0</v>
      </c>
      <c r="P22071">
        <f>IF(OR(M22071="",N22071=""),"",SUMIFS('Barang Keluar'!$E:$E,'Barang Keluar'!$A:$A,M22071,'Barang Keluar'!$C:$C,N22071))</f>
        <v>0</v>
      </c>
    </row>
    <row r="22072" spans="13:16">
      <c r="M22072" s="49">
        <f>IF($A$4+220&gt;$B$4,"",$A$4+220)</f>
        <v>46243</v>
      </c>
      <c r="N22072">
        <f>IF(M22072="","",'Master Barang'!A66)</f>
        <v>0</v>
      </c>
      <c r="O22072">
        <f>IF(N22072="","",'Master Barang'!B66)</f>
        <v>0</v>
      </c>
      <c r="P22072">
        <f>IF(OR(M22072="",N22072=""),"",SUMIFS('Barang Keluar'!$E:$E,'Barang Keluar'!$A:$A,M22072,'Barang Keluar'!$C:$C,N22072))</f>
        <v>0</v>
      </c>
    </row>
    <row r="22073" spans="13:16">
      <c r="M22073" s="49">
        <f>IF($A$4+220&gt;$B$4,"",$A$4+220)</f>
        <v>46243</v>
      </c>
      <c r="N22073">
        <f>IF(M22073="","",'Master Barang'!A67)</f>
        <v>0</v>
      </c>
      <c r="O22073">
        <f>IF(N22073="","",'Master Barang'!B67)</f>
        <v>0</v>
      </c>
      <c r="P22073">
        <f>IF(OR(M22073="",N22073=""),"",SUMIFS('Barang Keluar'!$E:$E,'Barang Keluar'!$A:$A,M22073,'Barang Keluar'!$C:$C,N22073))</f>
        <v>0</v>
      </c>
    </row>
    <row r="22074" spans="13:16">
      <c r="M22074" s="49">
        <f>IF($A$4+220&gt;$B$4,"",$A$4+220)</f>
        <v>46243</v>
      </c>
      <c r="N22074">
        <f>IF(M22074="","",'Master Barang'!A68)</f>
        <v>0</v>
      </c>
      <c r="O22074">
        <f>IF(N22074="","",'Master Barang'!B68)</f>
        <v>0</v>
      </c>
      <c r="P22074">
        <f>IF(OR(M22074="",N22074=""),"",SUMIFS('Barang Keluar'!$E:$E,'Barang Keluar'!$A:$A,M22074,'Barang Keluar'!$C:$C,N22074))</f>
        <v>0</v>
      </c>
    </row>
    <row r="22075" spans="13:16">
      <c r="M22075" s="49">
        <f>IF($A$4+220&gt;$B$4,"",$A$4+220)</f>
        <v>46243</v>
      </c>
      <c r="N22075">
        <f>IF(M22075="","",'Master Barang'!A69)</f>
        <v>0</v>
      </c>
      <c r="O22075">
        <f>IF(N22075="","",'Master Barang'!B69)</f>
        <v>0</v>
      </c>
      <c r="P22075">
        <f>IF(OR(M22075="",N22075=""),"",SUMIFS('Barang Keluar'!$E:$E,'Barang Keluar'!$A:$A,M22075,'Barang Keluar'!$C:$C,N22075))</f>
        <v>0</v>
      </c>
    </row>
    <row r="22076" spans="13:16">
      <c r="M22076" s="49">
        <f>IF($A$4+220&gt;$B$4,"",$A$4+220)</f>
        <v>46243</v>
      </c>
      <c r="N22076">
        <f>IF(M22076="","",'Master Barang'!A70)</f>
        <v>0</v>
      </c>
      <c r="O22076">
        <f>IF(N22076="","",'Master Barang'!B70)</f>
        <v>0</v>
      </c>
      <c r="P22076">
        <f>IF(OR(M22076="",N22076=""),"",SUMIFS('Barang Keluar'!$E:$E,'Barang Keluar'!$A:$A,M22076,'Barang Keluar'!$C:$C,N22076))</f>
        <v>0</v>
      </c>
    </row>
    <row r="22077" spans="13:16">
      <c r="M22077" s="49">
        <f>IF($A$4+220&gt;$B$4,"",$A$4+220)</f>
        <v>46243</v>
      </c>
      <c r="N22077">
        <f>IF(M22077="","",'Master Barang'!A71)</f>
        <v>0</v>
      </c>
      <c r="O22077">
        <f>IF(N22077="","",'Master Barang'!B71)</f>
        <v>0</v>
      </c>
      <c r="P22077">
        <f>IF(OR(M22077="",N22077=""),"",SUMIFS('Barang Keluar'!$E:$E,'Barang Keluar'!$A:$A,M22077,'Barang Keluar'!$C:$C,N22077))</f>
        <v>0</v>
      </c>
    </row>
    <row r="22078" spans="13:16">
      <c r="M22078" s="49">
        <f>IF($A$4+220&gt;$B$4,"",$A$4+220)</f>
        <v>46243</v>
      </c>
      <c r="N22078">
        <f>IF(M22078="","",'Master Barang'!A72)</f>
        <v>0</v>
      </c>
      <c r="O22078">
        <f>IF(N22078="","",'Master Barang'!B72)</f>
        <v>0</v>
      </c>
      <c r="P22078">
        <f>IF(OR(M22078="",N22078=""),"",SUMIFS('Barang Keluar'!$E:$E,'Barang Keluar'!$A:$A,M22078,'Barang Keluar'!$C:$C,N22078))</f>
        <v>0</v>
      </c>
    </row>
    <row r="22079" spans="13:16">
      <c r="M22079" s="49">
        <f>IF($A$4+220&gt;$B$4,"",$A$4+220)</f>
        <v>46243</v>
      </c>
      <c r="N22079">
        <f>IF(M22079="","",'Master Barang'!A73)</f>
        <v>0</v>
      </c>
      <c r="O22079">
        <f>IF(N22079="","",'Master Barang'!B73)</f>
        <v>0</v>
      </c>
      <c r="P22079">
        <f>IF(OR(M22079="",N22079=""),"",SUMIFS('Barang Keluar'!$E:$E,'Barang Keluar'!$A:$A,M22079,'Barang Keluar'!$C:$C,N22079))</f>
        <v>0</v>
      </c>
    </row>
    <row r="22080" spans="13:16">
      <c r="M22080" s="49">
        <f>IF($A$4+220&gt;$B$4,"",$A$4+220)</f>
        <v>46243</v>
      </c>
      <c r="N22080">
        <f>IF(M22080="","",'Master Barang'!A74)</f>
        <v>0</v>
      </c>
      <c r="O22080">
        <f>IF(N22080="","",'Master Barang'!B74)</f>
        <v>0</v>
      </c>
      <c r="P22080">
        <f>IF(OR(M22080="",N22080=""),"",SUMIFS('Barang Keluar'!$E:$E,'Barang Keluar'!$A:$A,M22080,'Barang Keluar'!$C:$C,N22080))</f>
        <v>0</v>
      </c>
    </row>
    <row r="22081" spans="13:16">
      <c r="M22081" s="49">
        <f>IF($A$4+220&gt;$B$4,"",$A$4+220)</f>
        <v>46243</v>
      </c>
      <c r="N22081">
        <f>IF(M22081="","",'Master Barang'!A75)</f>
        <v>0</v>
      </c>
      <c r="O22081">
        <f>IF(N22081="","",'Master Barang'!B75)</f>
        <v>0</v>
      </c>
      <c r="P22081">
        <f>IF(OR(M22081="",N22081=""),"",SUMIFS('Barang Keluar'!$E:$E,'Barang Keluar'!$A:$A,M22081,'Barang Keluar'!$C:$C,N22081))</f>
        <v>0</v>
      </c>
    </row>
    <row r="22082" spans="13:16">
      <c r="M22082" s="49">
        <f>IF($A$4+220&gt;$B$4,"",$A$4+220)</f>
        <v>46243</v>
      </c>
      <c r="N22082">
        <f>IF(M22082="","",'Master Barang'!A76)</f>
        <v>0</v>
      </c>
      <c r="O22082">
        <f>IF(N22082="","",'Master Barang'!B76)</f>
        <v>0</v>
      </c>
      <c r="P22082">
        <f>IF(OR(M22082="",N22082=""),"",SUMIFS('Barang Keluar'!$E:$E,'Barang Keluar'!$A:$A,M22082,'Barang Keluar'!$C:$C,N22082))</f>
        <v>0</v>
      </c>
    </row>
    <row r="22083" spans="13:16">
      <c r="M22083" s="49">
        <f>IF($A$4+220&gt;$B$4,"",$A$4+220)</f>
        <v>46243</v>
      </c>
      <c r="N22083">
        <f>IF(M22083="","",'Master Barang'!A77)</f>
        <v>0</v>
      </c>
      <c r="O22083">
        <f>IF(N22083="","",'Master Barang'!B77)</f>
        <v>0</v>
      </c>
      <c r="P22083">
        <f>IF(OR(M22083="",N22083=""),"",SUMIFS('Barang Keluar'!$E:$E,'Barang Keluar'!$A:$A,M22083,'Barang Keluar'!$C:$C,N22083))</f>
        <v>0</v>
      </c>
    </row>
    <row r="22084" spans="13:16">
      <c r="M22084" s="49">
        <f>IF($A$4+220&gt;$B$4,"",$A$4+220)</f>
        <v>46243</v>
      </c>
      <c r="N22084">
        <f>IF(M22084="","",'Master Barang'!A78)</f>
        <v>0</v>
      </c>
      <c r="O22084">
        <f>IF(N22084="","",'Master Barang'!B78)</f>
        <v>0</v>
      </c>
      <c r="P22084">
        <f>IF(OR(M22084="",N22084=""),"",SUMIFS('Barang Keluar'!$E:$E,'Barang Keluar'!$A:$A,M22084,'Barang Keluar'!$C:$C,N22084))</f>
        <v>0</v>
      </c>
    </row>
    <row r="22085" spans="13:16">
      <c r="M22085" s="49">
        <f>IF($A$4+220&gt;$B$4,"",$A$4+220)</f>
        <v>46243</v>
      </c>
      <c r="N22085">
        <f>IF(M22085="","",'Master Barang'!A79)</f>
        <v>0</v>
      </c>
      <c r="O22085">
        <f>IF(N22085="","",'Master Barang'!B79)</f>
        <v>0</v>
      </c>
      <c r="P22085">
        <f>IF(OR(M22085="",N22085=""),"",SUMIFS('Barang Keluar'!$E:$E,'Barang Keluar'!$A:$A,M22085,'Barang Keluar'!$C:$C,N22085))</f>
        <v>0</v>
      </c>
    </row>
    <row r="22086" spans="13:16">
      <c r="M22086" s="49">
        <f>IF($A$4+220&gt;$B$4,"",$A$4+220)</f>
        <v>46243</v>
      </c>
      <c r="N22086">
        <f>IF(M22086="","",'Master Barang'!A80)</f>
        <v>0</v>
      </c>
      <c r="O22086">
        <f>IF(N22086="","",'Master Barang'!B80)</f>
        <v>0</v>
      </c>
      <c r="P22086">
        <f>IF(OR(M22086="",N22086=""),"",SUMIFS('Barang Keluar'!$E:$E,'Barang Keluar'!$A:$A,M22086,'Barang Keluar'!$C:$C,N22086))</f>
        <v>0</v>
      </c>
    </row>
    <row r="22087" spans="13:16">
      <c r="M22087" s="49">
        <f>IF($A$4+220&gt;$B$4,"",$A$4+220)</f>
        <v>46243</v>
      </c>
      <c r="N22087">
        <f>IF(M22087="","",'Master Barang'!A81)</f>
        <v>0</v>
      </c>
      <c r="O22087">
        <f>IF(N22087="","",'Master Barang'!B81)</f>
        <v>0</v>
      </c>
      <c r="P22087">
        <f>IF(OR(M22087="",N22087=""),"",SUMIFS('Barang Keluar'!$E:$E,'Barang Keluar'!$A:$A,M22087,'Barang Keluar'!$C:$C,N22087))</f>
        <v>0</v>
      </c>
    </row>
    <row r="22088" spans="13:16">
      <c r="M22088" s="49">
        <f>IF($A$4+220&gt;$B$4,"",$A$4+220)</f>
        <v>46243</v>
      </c>
      <c r="N22088">
        <f>IF(M22088="","",'Master Barang'!A82)</f>
        <v>0</v>
      </c>
      <c r="O22088">
        <f>IF(N22088="","",'Master Barang'!B82)</f>
        <v>0</v>
      </c>
      <c r="P22088">
        <f>IF(OR(M22088="",N22088=""),"",SUMIFS('Barang Keluar'!$E:$E,'Barang Keluar'!$A:$A,M22088,'Barang Keluar'!$C:$C,N22088))</f>
        <v>0</v>
      </c>
    </row>
    <row r="22089" spans="13:16">
      <c r="M22089" s="49">
        <f>IF($A$4+220&gt;$B$4,"",$A$4+220)</f>
        <v>46243</v>
      </c>
      <c r="N22089">
        <f>IF(M22089="","",'Master Barang'!A83)</f>
        <v>0</v>
      </c>
      <c r="O22089">
        <f>IF(N22089="","",'Master Barang'!B83)</f>
        <v>0</v>
      </c>
      <c r="P22089">
        <f>IF(OR(M22089="",N22089=""),"",SUMIFS('Barang Keluar'!$E:$E,'Barang Keluar'!$A:$A,M22089,'Barang Keluar'!$C:$C,N22089))</f>
        <v>0</v>
      </c>
    </row>
    <row r="22090" spans="13:16">
      <c r="M22090" s="49">
        <f>IF($A$4+220&gt;$B$4,"",$A$4+220)</f>
        <v>46243</v>
      </c>
      <c r="N22090">
        <f>IF(M22090="","",'Master Barang'!A84)</f>
        <v>0</v>
      </c>
      <c r="O22090">
        <f>IF(N22090="","",'Master Barang'!B84)</f>
        <v>0</v>
      </c>
      <c r="P22090">
        <f>IF(OR(M22090="",N22090=""),"",SUMIFS('Barang Keluar'!$E:$E,'Barang Keluar'!$A:$A,M22090,'Barang Keluar'!$C:$C,N22090))</f>
        <v>0</v>
      </c>
    </row>
    <row r="22091" spans="13:16">
      <c r="M22091" s="49">
        <f>IF($A$4+220&gt;$B$4,"",$A$4+220)</f>
        <v>46243</v>
      </c>
      <c r="N22091">
        <f>IF(M22091="","",'Master Barang'!A85)</f>
        <v>0</v>
      </c>
      <c r="O22091">
        <f>IF(N22091="","",'Master Barang'!B85)</f>
        <v>0</v>
      </c>
      <c r="P22091">
        <f>IF(OR(M22091="",N22091=""),"",SUMIFS('Barang Keluar'!$E:$E,'Barang Keluar'!$A:$A,M22091,'Barang Keluar'!$C:$C,N22091))</f>
        <v>0</v>
      </c>
    </row>
    <row r="22092" spans="13:16">
      <c r="M22092" s="49">
        <f>IF($A$4+220&gt;$B$4,"",$A$4+220)</f>
        <v>46243</v>
      </c>
      <c r="N22092">
        <f>IF(M22092="","",'Master Barang'!A86)</f>
        <v>0</v>
      </c>
      <c r="O22092">
        <f>IF(N22092="","",'Master Barang'!B86)</f>
        <v>0</v>
      </c>
      <c r="P22092">
        <f>IF(OR(M22092="",N22092=""),"",SUMIFS('Barang Keluar'!$E:$E,'Barang Keluar'!$A:$A,M22092,'Barang Keluar'!$C:$C,N22092))</f>
        <v>0</v>
      </c>
    </row>
    <row r="22093" spans="13:16">
      <c r="M22093" s="49">
        <f>IF($A$4+220&gt;$B$4,"",$A$4+220)</f>
        <v>46243</v>
      </c>
      <c r="N22093">
        <f>IF(M22093="","",'Master Barang'!A87)</f>
        <v>0</v>
      </c>
      <c r="O22093">
        <f>IF(N22093="","",'Master Barang'!B87)</f>
        <v>0</v>
      </c>
      <c r="P22093">
        <f>IF(OR(M22093="",N22093=""),"",SUMIFS('Barang Keluar'!$E:$E,'Barang Keluar'!$A:$A,M22093,'Barang Keluar'!$C:$C,N22093))</f>
        <v>0</v>
      </c>
    </row>
    <row r="22094" spans="13:16">
      <c r="M22094" s="49">
        <f>IF($A$4+220&gt;$B$4,"",$A$4+220)</f>
        <v>46243</v>
      </c>
      <c r="N22094">
        <f>IF(M22094="","",'Master Barang'!A88)</f>
        <v>0</v>
      </c>
      <c r="O22094">
        <f>IF(N22094="","",'Master Barang'!B88)</f>
        <v>0</v>
      </c>
      <c r="P22094">
        <f>IF(OR(M22094="",N22094=""),"",SUMIFS('Barang Keluar'!$E:$E,'Barang Keluar'!$A:$A,M22094,'Barang Keluar'!$C:$C,N22094))</f>
        <v>0</v>
      </c>
    </row>
    <row r="22095" spans="13:16">
      <c r="M22095" s="49">
        <f>IF($A$4+220&gt;$B$4,"",$A$4+220)</f>
        <v>46243</v>
      </c>
      <c r="N22095">
        <f>IF(M22095="","",'Master Barang'!A89)</f>
        <v>0</v>
      </c>
      <c r="O22095">
        <f>IF(N22095="","",'Master Barang'!B89)</f>
        <v>0</v>
      </c>
      <c r="P22095">
        <f>IF(OR(M22095="",N22095=""),"",SUMIFS('Barang Keluar'!$E:$E,'Barang Keluar'!$A:$A,M22095,'Barang Keluar'!$C:$C,N22095))</f>
        <v>0</v>
      </c>
    </row>
    <row r="22096" spans="13:16">
      <c r="M22096" s="49">
        <f>IF($A$4+220&gt;$B$4,"",$A$4+220)</f>
        <v>46243</v>
      </c>
      <c r="N22096">
        <f>IF(M22096="","",'Master Barang'!A90)</f>
        <v>0</v>
      </c>
      <c r="O22096">
        <f>IF(N22096="","",'Master Barang'!B90)</f>
        <v>0</v>
      </c>
      <c r="P22096">
        <f>IF(OR(M22096="",N22096=""),"",SUMIFS('Barang Keluar'!$E:$E,'Barang Keluar'!$A:$A,M22096,'Barang Keluar'!$C:$C,N22096))</f>
        <v>0</v>
      </c>
    </row>
    <row r="22097" spans="13:16">
      <c r="M22097" s="49">
        <f>IF($A$4+220&gt;$B$4,"",$A$4+220)</f>
        <v>46243</v>
      </c>
      <c r="N22097">
        <f>IF(M22097="","",'Master Barang'!A91)</f>
        <v>0</v>
      </c>
      <c r="O22097">
        <f>IF(N22097="","",'Master Barang'!B91)</f>
        <v>0</v>
      </c>
      <c r="P22097">
        <f>IF(OR(M22097="",N22097=""),"",SUMIFS('Barang Keluar'!$E:$E,'Barang Keluar'!$A:$A,M22097,'Barang Keluar'!$C:$C,N22097))</f>
        <v>0</v>
      </c>
    </row>
    <row r="22098" spans="13:16">
      <c r="M22098" s="49">
        <f>IF($A$4+220&gt;$B$4,"",$A$4+220)</f>
        <v>46243</v>
      </c>
      <c r="N22098">
        <f>IF(M22098="","",'Master Barang'!A92)</f>
        <v>0</v>
      </c>
      <c r="O22098">
        <f>IF(N22098="","",'Master Barang'!B92)</f>
        <v>0</v>
      </c>
      <c r="P22098">
        <f>IF(OR(M22098="",N22098=""),"",SUMIFS('Barang Keluar'!$E:$E,'Barang Keluar'!$A:$A,M22098,'Barang Keluar'!$C:$C,N22098))</f>
        <v>0</v>
      </c>
    </row>
    <row r="22099" spans="13:16">
      <c r="M22099" s="49">
        <f>IF($A$4+220&gt;$B$4,"",$A$4+220)</f>
        <v>46243</v>
      </c>
      <c r="N22099">
        <f>IF(M22099="","",'Master Barang'!A93)</f>
        <v>0</v>
      </c>
      <c r="O22099">
        <f>IF(N22099="","",'Master Barang'!B93)</f>
        <v>0</v>
      </c>
      <c r="P22099">
        <f>IF(OR(M22099="",N22099=""),"",SUMIFS('Barang Keluar'!$E:$E,'Barang Keluar'!$A:$A,M22099,'Barang Keluar'!$C:$C,N22099))</f>
        <v>0</v>
      </c>
    </row>
    <row r="22100" spans="13:16">
      <c r="M22100" s="49">
        <f>IF($A$4+220&gt;$B$4,"",$A$4+220)</f>
        <v>46243</v>
      </c>
      <c r="N22100">
        <f>IF(M22100="","",'Master Barang'!A94)</f>
        <v>0</v>
      </c>
      <c r="O22100">
        <f>IF(N22100="","",'Master Barang'!B94)</f>
        <v>0</v>
      </c>
      <c r="P22100">
        <f>IF(OR(M22100="",N22100=""),"",SUMIFS('Barang Keluar'!$E:$E,'Barang Keluar'!$A:$A,M22100,'Barang Keluar'!$C:$C,N22100))</f>
        <v>0</v>
      </c>
    </row>
    <row r="22101" spans="13:16">
      <c r="M22101" s="49">
        <f>IF($A$4+220&gt;$B$4,"",$A$4+220)</f>
        <v>46243</v>
      </c>
      <c r="N22101">
        <f>IF(M22101="","",'Master Barang'!A95)</f>
        <v>0</v>
      </c>
      <c r="O22101">
        <f>IF(N22101="","",'Master Barang'!B95)</f>
        <v>0</v>
      </c>
      <c r="P22101">
        <f>IF(OR(M22101="",N22101=""),"",SUMIFS('Barang Keluar'!$E:$E,'Barang Keluar'!$A:$A,M22101,'Barang Keluar'!$C:$C,N22101))</f>
        <v>0</v>
      </c>
    </row>
    <row r="22102" spans="13:16">
      <c r="M22102" s="49">
        <f>IF($A$4+220&gt;$B$4,"",$A$4+220)</f>
        <v>46243</v>
      </c>
      <c r="N22102">
        <f>IF(M22102="","",'Master Barang'!A96)</f>
        <v>0</v>
      </c>
      <c r="O22102">
        <f>IF(N22102="","",'Master Barang'!B96)</f>
        <v>0</v>
      </c>
      <c r="P22102">
        <f>IF(OR(M22102="",N22102=""),"",SUMIFS('Barang Keluar'!$E:$E,'Barang Keluar'!$A:$A,M22102,'Barang Keluar'!$C:$C,N22102))</f>
        <v>0</v>
      </c>
    </row>
    <row r="22103" spans="13:16">
      <c r="M22103" s="49">
        <f>IF($A$4+220&gt;$B$4,"",$A$4+220)</f>
        <v>46243</v>
      </c>
      <c r="N22103">
        <f>IF(M22103="","",'Master Barang'!A97)</f>
        <v>0</v>
      </c>
      <c r="O22103">
        <f>IF(N22103="","",'Master Barang'!B97)</f>
        <v>0</v>
      </c>
      <c r="P22103">
        <f>IF(OR(M22103="",N22103=""),"",SUMIFS('Barang Keluar'!$E:$E,'Barang Keluar'!$A:$A,M22103,'Barang Keluar'!$C:$C,N22103))</f>
        <v>0</v>
      </c>
    </row>
    <row r="22104" spans="13:16">
      <c r="M22104" s="49">
        <f>IF($A$4+220&gt;$B$4,"",$A$4+220)</f>
        <v>46243</v>
      </c>
      <c r="N22104">
        <f>IF(M22104="","",'Master Barang'!A98)</f>
        <v>0</v>
      </c>
      <c r="O22104">
        <f>IF(N22104="","",'Master Barang'!B98)</f>
        <v>0</v>
      </c>
      <c r="P22104">
        <f>IF(OR(M22104="",N22104=""),"",SUMIFS('Barang Keluar'!$E:$E,'Barang Keluar'!$A:$A,M22104,'Barang Keluar'!$C:$C,N22104))</f>
        <v>0</v>
      </c>
    </row>
    <row r="22105" spans="13:16">
      <c r="M22105" s="49">
        <f>IF($A$4+220&gt;$B$4,"",$A$4+220)</f>
        <v>46243</v>
      </c>
      <c r="N22105">
        <f>IF(M22105="","",'Master Barang'!A99)</f>
        <v>0</v>
      </c>
      <c r="O22105">
        <f>IF(N22105="","",'Master Barang'!B99)</f>
        <v>0</v>
      </c>
      <c r="P22105">
        <f>IF(OR(M22105="",N22105=""),"",SUMIFS('Barang Keluar'!$E:$E,'Barang Keluar'!$A:$A,M22105,'Barang Keluar'!$C:$C,N22105))</f>
        <v>0</v>
      </c>
    </row>
    <row r="22106" spans="13:16">
      <c r="M22106" s="49">
        <f>IF($A$4+220&gt;$B$4,"",$A$4+220)</f>
        <v>46243</v>
      </c>
      <c r="N22106">
        <f>IF(M22106="","",'Master Barang'!A100)</f>
        <v>0</v>
      </c>
      <c r="O22106">
        <f>IF(N22106="","",'Master Barang'!B100)</f>
        <v>0</v>
      </c>
      <c r="P22106">
        <f>IF(OR(M22106="",N22106=""),"",SUMIFS('Barang Keluar'!$E:$E,'Barang Keluar'!$A:$A,M22106,'Barang Keluar'!$C:$C,N22106))</f>
        <v>0</v>
      </c>
    </row>
    <row r="22107" spans="13:16">
      <c r="M22107" s="49">
        <f>IF($A$4+220&gt;$B$4,"",$A$4+220)</f>
        <v>46243</v>
      </c>
      <c r="N22107">
        <f>IF(M22107="","",'Master Barang'!A101)</f>
        <v>0</v>
      </c>
      <c r="O22107">
        <f>IF(N22107="","",'Master Barang'!B101)</f>
        <v>0</v>
      </c>
      <c r="P22107">
        <f>IF(OR(M22107="",N22107=""),"",SUMIFS('Barang Keluar'!$E:$E,'Barang Keluar'!$A:$A,M22107,'Barang Keluar'!$C:$C,N22107))</f>
        <v>0</v>
      </c>
    </row>
    <row r="22108" spans="13:16">
      <c r="M22108" s="49">
        <f>IF($A$4+221&gt;$B$4,"",$A$4+221)</f>
        <v>46244</v>
      </c>
      <c r="N22108" t="str">
        <f>IF(M22108="","",'Master Barang'!A2)</f>
        <v>PRL-001</v>
      </c>
      <c r="O22108" t="str">
        <f>IF(N22108="","",'Master Barang'!B2)</f>
        <v>natura desinfectant food grade 5l</v>
      </c>
      <c r="P22108">
        <f>IF(OR(M22108="",N22108=""),"",SUMIFS('Barang Keluar'!$E:$E,'Barang Keluar'!$A:$A,M22108,'Barang Keluar'!$C:$C,N22108))</f>
        <v>0</v>
      </c>
    </row>
    <row r="22109" spans="13:16">
      <c r="M22109" s="49">
        <f>IF($A$4+221&gt;$B$4,"",$A$4+221)</f>
        <v>46244</v>
      </c>
      <c r="N22109" t="str">
        <f>IF(M22109="","",'Master Barang'!A3)</f>
        <v>PRL-002</v>
      </c>
      <c r="O22109" t="str">
        <f>IF(N22109="","",'Master Barang'!B3)</f>
        <v>sunlight cairan pencuci piring 5l</v>
      </c>
      <c r="P22109">
        <f>IF(OR(M22109="",N22109=""),"",SUMIFS('Barang Keluar'!$E:$E,'Barang Keluar'!$A:$A,M22109,'Barang Keluar'!$C:$C,N22109))</f>
        <v>0</v>
      </c>
    </row>
    <row r="22110" spans="13:16">
      <c r="M22110" s="49">
        <f>IF($A$4+221&gt;$B$4,"",$A$4+221)</f>
        <v>46244</v>
      </c>
      <c r="N22110" t="str">
        <f>IF(M22110="","",'Master Barang'!A4)</f>
        <v>PRL-003</v>
      </c>
      <c r="O22110" t="str">
        <f>IF(N22110="","",'Master Barang'!B4)</f>
        <v>oixs cleaner 1l</v>
      </c>
      <c r="P22110">
        <f>IF(OR(M22110="",N22110=""),"",SUMIFS('Barang Keluar'!$E:$E,'Barang Keluar'!$A:$A,M22110,'Barang Keluar'!$C:$C,N22110))</f>
        <v>0</v>
      </c>
    </row>
    <row r="22111" spans="13:16">
      <c r="M22111" s="49">
        <f>IF($A$4+221&gt;$B$4,"",$A$4+221)</f>
        <v>46244</v>
      </c>
      <c r="N22111" t="str">
        <f>IF(M22111="","",'Master Barang'!A5)</f>
        <v>PRL-004</v>
      </c>
      <c r="O22111" t="str">
        <f>IF(N22111="","",'Master Barang'!B5)</f>
        <v>be clean tissue serbaguna</v>
      </c>
      <c r="P22111">
        <f>IF(OR(M22111="",N22111=""),"",SUMIFS('Barang Keluar'!$E:$E,'Barang Keluar'!$A:$A,M22111,'Barang Keluar'!$C:$C,N22111))</f>
        <v>0</v>
      </c>
    </row>
    <row r="22112" spans="13:16">
      <c r="M22112" s="49">
        <f>IF($A$4+221&gt;$B$4,"",$A$4+221)</f>
        <v>46244</v>
      </c>
      <c r="N22112" t="str">
        <f>IF(M22112="","",'Master Barang'!A6)</f>
        <v>PRL-005</v>
      </c>
      <c r="O22112" t="str">
        <f>IF(N22112="","",'Master Barang'!B6)</f>
        <v>spons cuci hijau</v>
      </c>
      <c r="P22112">
        <f>IF(OR(M22112="",N22112=""),"",SUMIFS('Barang Keluar'!$E:$E,'Barang Keluar'!$A:$A,M22112,'Barang Keluar'!$C:$C,N22112))</f>
        <v>0</v>
      </c>
    </row>
    <row r="22113" spans="13:16">
      <c r="M22113" s="49">
        <f>IF($A$4+221&gt;$B$4,"",$A$4+221)</f>
        <v>46244</v>
      </c>
      <c r="N22113" t="str">
        <f>IF(M22113="","",'Master Barang'!A7)</f>
        <v>PRL-006</v>
      </c>
      <c r="O22113" t="str">
        <f>IF(N22113="","",'Master Barang'!B7)</f>
        <v>sabut cuci stainless</v>
      </c>
      <c r="P22113">
        <f>IF(OR(M22113="",N22113=""),"",SUMIFS('Barang Keluar'!$E:$E,'Barang Keluar'!$A:$A,M22113,'Barang Keluar'!$C:$C,N22113))</f>
        <v>0</v>
      </c>
    </row>
    <row r="22114" spans="13:16">
      <c r="M22114" s="49">
        <f>IF($A$4+221&gt;$B$4,"",$A$4+221)</f>
        <v>46244</v>
      </c>
      <c r="N22114" t="str">
        <f>IF(M22114="","",'Master Barang'!A8)</f>
        <v>PRL-007</v>
      </c>
      <c r="O22114" t="str">
        <f>IF(N22114="","",'Master Barang'!B8)</f>
        <v>plastik kresek besar merah 50pc</v>
      </c>
      <c r="P22114">
        <f>IF(OR(M22114="",N22114=""),"",SUMIFS('Barang Keluar'!$E:$E,'Barang Keluar'!$A:$A,M22114,'Barang Keluar'!$C:$C,N22114))</f>
        <v>0</v>
      </c>
    </row>
    <row r="22115" spans="13:16">
      <c r="M22115" s="49">
        <f>IF($A$4+221&gt;$B$4,"",$A$4+221)</f>
        <v>46244</v>
      </c>
      <c r="N22115" t="str">
        <f>IF(M22115="","",'Master Barang'!A9)</f>
        <v>PRL-008</v>
      </c>
      <c r="O22115" t="str">
        <f>IF(N22115="","",'Master Barang'!B9)</f>
        <v>lap besar</v>
      </c>
      <c r="P22115">
        <f>IF(OR(M22115="",N22115=""),"",SUMIFS('Barang Keluar'!$E:$E,'Barang Keluar'!$A:$A,M22115,'Barang Keluar'!$C:$C,N22115))</f>
        <v>0</v>
      </c>
    </row>
    <row r="22116" spans="13:16">
      <c r="M22116" s="49">
        <f>IF($A$4+221&gt;$B$4,"",$A$4+221)</f>
        <v>46244</v>
      </c>
      <c r="N22116" t="str">
        <f>IF(M22116="","",'Master Barang'!A10)</f>
        <v>PRL-009</v>
      </c>
      <c r="O22116" t="str">
        <f>IF(N22116="","",'Master Barang'!B10)</f>
        <v>lap microfiber</v>
      </c>
      <c r="P22116">
        <f>IF(OR(M22116="",N22116=""),"",SUMIFS('Barang Keluar'!$E:$E,'Barang Keluar'!$A:$A,M22116,'Barang Keluar'!$C:$C,N22116))</f>
        <v>0</v>
      </c>
    </row>
    <row r="22117" spans="13:16">
      <c r="M22117" s="49">
        <f>IF($A$4+221&gt;$B$4,"",$A$4+221)</f>
        <v>46244</v>
      </c>
      <c r="N22117" t="str">
        <f>IF(M22117="","",'Master Barang'!A11)</f>
        <v>PRL-010</v>
      </c>
      <c r="O22117" t="str">
        <f>IF(N22117="","",'Master Barang'!B11)</f>
        <v>lap kecil</v>
      </c>
      <c r="P22117">
        <f>IF(OR(M22117="",N22117=""),"",SUMIFS('Barang Keluar'!$E:$E,'Barang Keluar'!$A:$A,M22117,'Barang Keluar'!$C:$C,N22117))</f>
        <v>0</v>
      </c>
    </row>
    <row r="22118" spans="13:16">
      <c r="M22118" s="49">
        <f>IF($A$4+221&gt;$B$4,"",$A$4+221)</f>
        <v>46244</v>
      </c>
      <c r="N22118" t="str">
        <f>IF(M22118="","",'Master Barang'!A12)</f>
        <v>PRL-011</v>
      </c>
      <c r="O22118" t="str">
        <f>IF(N22118="","",'Master Barang'!B12)</f>
        <v>kanebo kecil</v>
      </c>
      <c r="P22118">
        <f>IF(OR(M22118="",N22118=""),"",SUMIFS('Barang Keluar'!$E:$E,'Barang Keluar'!$A:$A,M22118,'Barang Keluar'!$C:$C,N22118))</f>
        <v>0</v>
      </c>
    </row>
    <row r="22119" spans="13:16">
      <c r="M22119" s="49">
        <f>IF($A$4+221&gt;$B$4,"",$A$4+221)</f>
        <v>46244</v>
      </c>
      <c r="N22119" t="str">
        <f>IF(M22119="","",'Master Barang'!A13)</f>
        <v>PRL-012</v>
      </c>
      <c r="O22119" t="str">
        <f>IF(N22119="","",'Master Barang'!B13)</f>
        <v>plastik 1/4kg joyoboyo 100 lembar</v>
      </c>
      <c r="P22119">
        <f>IF(OR(M22119="",N22119=""),"",SUMIFS('Barang Keluar'!$E:$E,'Barang Keluar'!$A:$A,M22119,'Barang Keluar'!$C:$C,N22119))</f>
        <v>0</v>
      </c>
    </row>
    <row r="22120" spans="13:16">
      <c r="M22120" s="49">
        <f>IF($A$4+221&gt;$B$4,"",$A$4+221)</f>
        <v>46244</v>
      </c>
      <c r="N22120" t="str">
        <f>IF(M22120="","",'Master Barang'!A14)</f>
        <v>PRL-013</v>
      </c>
      <c r="O22120" t="str">
        <f>IF(N22120="","",'Master Barang'!B14)</f>
        <v>sarung tangan plastik kaka 100 pcs</v>
      </c>
      <c r="P22120">
        <f>IF(OR(M22120="",N22120=""),"",SUMIFS('Barang Keluar'!$E:$E,'Barang Keluar'!$A:$A,M22120,'Barang Keluar'!$C:$C,N22120))</f>
        <v>0</v>
      </c>
    </row>
    <row r="22121" spans="13:16">
      <c r="M22121" s="49">
        <f>IF($A$4+221&gt;$B$4,"",$A$4+221)</f>
        <v>46244</v>
      </c>
      <c r="N22121" t="str">
        <f>IF(M22121="","",'Master Barang'!A15)</f>
        <v>PRL-014</v>
      </c>
      <c r="O22121" t="str">
        <f>IF(N22121="","",'Master Barang'!B15)</f>
        <v>optima trashbag 80x100</v>
      </c>
      <c r="P22121">
        <f>IF(OR(M22121="",N22121=""),"",SUMIFS('Barang Keluar'!$E:$E,'Barang Keluar'!$A:$A,M22121,'Barang Keluar'!$C:$C,N22121))</f>
        <v>0</v>
      </c>
    </row>
    <row r="22122" spans="13:16">
      <c r="M22122" s="49">
        <f>IF($A$4+221&gt;$B$4,"",$A$4+221)</f>
        <v>46244</v>
      </c>
      <c r="N22122" t="str">
        <f>IF(M22122="","",'Master Barang'!A16)</f>
        <v>PRL-015</v>
      </c>
      <c r="O22122" t="str">
        <f>IF(N22122="","",'Master Barang'!B16)</f>
        <v>optima trashbag 60x100</v>
      </c>
      <c r="P22122">
        <f>IF(OR(M22122="",N22122=""),"",SUMIFS('Barang Keluar'!$E:$E,'Barang Keluar'!$A:$A,M22122,'Barang Keluar'!$C:$C,N22122))</f>
        <v>0</v>
      </c>
    </row>
    <row r="22123" spans="13:16">
      <c r="M22123" s="49">
        <f>IF($A$4+221&gt;$B$4,"",$A$4+221)</f>
        <v>46244</v>
      </c>
      <c r="N22123" t="str">
        <f>IF(M22123="","",'Master Barang'!A17)</f>
        <v>PRL-016</v>
      </c>
      <c r="O22123" t="str">
        <f>IF(N22123="","",'Master Barang'!B17)</f>
        <v>rajawali trashbag 30x40</v>
      </c>
      <c r="P22123">
        <f>IF(OR(M22123="",N22123=""),"",SUMIFS('Barang Keluar'!$E:$E,'Barang Keluar'!$A:$A,M22123,'Barang Keluar'!$C:$C,N22123))</f>
        <v>0</v>
      </c>
    </row>
    <row r="22124" spans="13:16">
      <c r="M22124" s="49">
        <f>IF($A$4+221&gt;$B$4,"",$A$4+221)</f>
        <v>46244</v>
      </c>
      <c r="N22124" t="str">
        <f>IF(M22124="","",'Master Barang'!A18)</f>
        <v>PRL-017</v>
      </c>
      <c r="O22124" t="str">
        <f>IF(N22124="","",'Master Barang'!B18)</f>
        <v>onemed masker biru 3 play 50 pcs</v>
      </c>
      <c r="P22124">
        <f>IF(OR(M22124="",N22124=""),"",SUMIFS('Barang Keluar'!$E:$E,'Barang Keluar'!$A:$A,M22124,'Barang Keluar'!$C:$C,N22124))</f>
        <v>0</v>
      </c>
    </row>
    <row r="22125" spans="13:16">
      <c r="M22125" s="49">
        <f>IF($A$4+221&gt;$B$4,"",$A$4+221)</f>
        <v>46244</v>
      </c>
      <c r="N22125" t="str">
        <f>IF(M22125="","",'Master Barang'!A19)</f>
        <v>PRL-018</v>
      </c>
      <c r="O22125" t="str">
        <f>IF(N22125="","",'Master Barang'!B19)</f>
        <v>onemed masker biru 3 play hijab 50 pcs</v>
      </c>
      <c r="P22125">
        <f>IF(OR(M22125="",N22125=""),"",SUMIFS('Barang Keluar'!$E:$E,'Barang Keluar'!$A:$A,M22125,'Barang Keluar'!$C:$C,N22125))</f>
        <v>0</v>
      </c>
    </row>
    <row r="22126" spans="13:16">
      <c r="M22126" s="49">
        <f>IF($A$4+221&gt;$B$4,"",$A$4+221)</f>
        <v>46244</v>
      </c>
      <c r="N22126" t="str">
        <f>IF(M22126="","",'Master Barang'!A20)</f>
        <v>PRL-019</v>
      </c>
      <c r="O22126" t="str">
        <f>IF(N22126="","",'Master Barang'!B20)</f>
        <v>neo health masker biru 3 play 50 pcs</v>
      </c>
      <c r="P22126">
        <f>IF(OR(M22126="",N22126=""),"",SUMIFS('Barang Keluar'!$E:$E,'Barang Keluar'!$A:$A,M22126,'Barang Keluar'!$C:$C,N22126))</f>
        <v>0</v>
      </c>
    </row>
    <row r="22127" spans="13:16">
      <c r="M22127" s="49">
        <f>IF($A$4+221&gt;$B$4,"",$A$4+221)</f>
        <v>46244</v>
      </c>
      <c r="N22127" t="str">
        <f>IF(M22127="","",'Master Barang'!A21)</f>
        <v>PRL-020</v>
      </c>
      <c r="O22127" t="str">
        <f>IF(N22127="","",'Master Barang'!B21)</f>
        <v>baymed masker hijau 3 play hijau 50 pcs</v>
      </c>
      <c r="P22127">
        <f>IF(OR(M22127="",N22127=""),"",SUMIFS('Barang Keluar'!$E:$E,'Barang Keluar'!$A:$A,M22127,'Barang Keluar'!$C:$C,N22127))</f>
        <v>0</v>
      </c>
    </row>
    <row r="22128" spans="13:16">
      <c r="M22128" s="49">
        <f>IF($A$4+221&gt;$B$4,"",$A$4+221)</f>
        <v>46244</v>
      </c>
      <c r="N22128" t="str">
        <f>IF(M22128="","",'Master Barang'!A22)</f>
        <v>PRL-021</v>
      </c>
      <c r="O22128" t="str">
        <f>IF(N22128="","",'Master Barang'!B22)</f>
        <v>altamed nurse cap penutup kepala 100 pcs</v>
      </c>
      <c r="P22128">
        <f>IF(OR(M22128="",N22128=""),"",SUMIFS('Barang Keluar'!$E:$E,'Barang Keluar'!$A:$A,M22128,'Barang Keluar'!$C:$C,N22128))</f>
        <v>0</v>
      </c>
    </row>
    <row r="22129" spans="13:16">
      <c r="M22129" s="49">
        <f>IF($A$4+221&gt;$B$4,"",$A$4+221)</f>
        <v>46244</v>
      </c>
      <c r="N22129" t="str">
        <f>IF(M22129="","",'Master Barang'!A23)</f>
        <v>PRL-022</v>
      </c>
      <c r="O22129" t="str">
        <f>IF(N22129="","",'Master Barang'!B23)</f>
        <v>sabun cuci tangan</v>
      </c>
      <c r="P22129">
        <f>IF(OR(M22129="",N22129=""),"",SUMIFS('Barang Keluar'!$E:$E,'Barang Keluar'!$A:$A,M22129,'Barang Keluar'!$C:$C,N22129))</f>
        <v>0</v>
      </c>
    </row>
    <row r="22130" spans="13:16">
      <c r="M22130" s="49">
        <f>IF($A$4+221&gt;$B$4,"",$A$4+221)</f>
        <v>46244</v>
      </c>
      <c r="N22130" t="str">
        <f>IF(M22130="","",'Master Barang'!A24)</f>
        <v>PRL-023</v>
      </c>
      <c r="O22130" t="str">
        <f>IF(N22130="","",'Master Barang'!B24)</f>
        <v>gayung kecil</v>
      </c>
      <c r="P22130">
        <f>IF(OR(M22130="",N22130=""),"",SUMIFS('Barang Keluar'!$E:$E,'Barang Keluar'!$A:$A,M22130,'Barang Keluar'!$C:$C,N22130))</f>
        <v>0</v>
      </c>
    </row>
    <row r="22131" spans="13:16">
      <c r="M22131" s="49">
        <f>IF($A$4+221&gt;$B$4,"",$A$4+221)</f>
        <v>46244</v>
      </c>
      <c r="N22131" t="str">
        <f>IF(M22131="","",'Master Barang'!A25)</f>
        <v>PRL-024</v>
      </c>
      <c r="O22131" t="str">
        <f>IF(N22131="","",'Master Barang'!B25)</f>
        <v>cikrak kecil</v>
      </c>
      <c r="P22131">
        <f>IF(OR(M22131="",N22131=""),"",SUMIFS('Barang Keluar'!$E:$E,'Barang Keluar'!$A:$A,M22131,'Barang Keluar'!$C:$C,N22131))</f>
        <v>0</v>
      </c>
    </row>
    <row r="22132" spans="13:16">
      <c r="M22132" s="49">
        <f>IF($A$4+221&gt;$B$4,"",$A$4+221)</f>
        <v>46244</v>
      </c>
      <c r="N22132" t="str">
        <f>IF(M22132="","",'Master Barang'!A26)</f>
        <v>PRL-025</v>
      </c>
      <c r="O22132" t="str">
        <f>IF(N22132="","",'Master Barang'!B26)</f>
        <v>petromax plastik kecil 12x24 100 lembar</v>
      </c>
      <c r="P22132">
        <f>IF(OR(M22132="",N22132=""),"",SUMIFS('Barang Keluar'!$E:$E,'Barang Keluar'!$A:$A,M22132,'Barang Keluar'!$C:$C,N22132))</f>
        <v>0</v>
      </c>
    </row>
    <row r="22133" spans="13:16">
      <c r="M22133" s="49">
        <f>IF($A$4+221&gt;$B$4,"",$A$4+221)</f>
        <v>46244</v>
      </c>
      <c r="N22133" t="str">
        <f>IF(M22133="","",'Master Barang'!A27)</f>
        <v>PRL-026</v>
      </c>
      <c r="O22133" t="str">
        <f>IF(N22133="","",'Master Barang'!B27)</f>
        <v>lancar kresek kecil bening </v>
      </c>
      <c r="P22133">
        <f>IF(OR(M22133="",N22133=""),"",SUMIFS('Barang Keluar'!$E:$E,'Barang Keluar'!$A:$A,M22133,'Barang Keluar'!$C:$C,N22133))</f>
        <v>0</v>
      </c>
    </row>
    <row r="22134" spans="13:16">
      <c r="M22134" s="49">
        <f>IF($A$4+221&gt;$B$4,"",$A$4+221)</f>
        <v>46244</v>
      </c>
      <c r="N22134" t="str">
        <f>IF(M22134="","",'Master Barang'!A28)</f>
        <v>PRL-027</v>
      </c>
      <c r="O22134" t="str">
        <f>IF(N22134="","",'Master Barang'!B28)</f>
        <v>kresek klin warna warni kecil</v>
      </c>
      <c r="P22134">
        <f>IF(OR(M22134="",N22134=""),"",SUMIFS('Barang Keluar'!$E:$E,'Barang Keluar'!$A:$A,M22134,'Barang Keluar'!$C:$C,N22134))</f>
        <v>0</v>
      </c>
    </row>
    <row r="22135" spans="13:16">
      <c r="M22135" s="49">
        <f>IF($A$4+221&gt;$B$4,"",$A$4+221)</f>
        <v>46244</v>
      </c>
      <c r="N22135" t="str">
        <f>IF(M22135="","",'Master Barang'!A29)</f>
        <v>PRL-028</v>
      </c>
      <c r="O22135" t="str">
        <f>IF(N22135="","",'Master Barang'!B29)</f>
        <v>ctik plastik 7x10 100 pcs</v>
      </c>
      <c r="P22135">
        <f>IF(OR(M22135="",N22135=""),"",SUMIFS('Barang Keluar'!$E:$E,'Barang Keluar'!$A:$A,M22135,'Barang Keluar'!$C:$C,N22135))</f>
        <v>0</v>
      </c>
    </row>
    <row r="22136" spans="13:16">
      <c r="M22136" s="49">
        <f>IF($A$4+221&gt;$B$4,"",$A$4+221)</f>
        <v>46244</v>
      </c>
      <c r="N22136" t="str">
        <f>IF(M22136="","",'Master Barang'!A30)</f>
        <v>PRL-029</v>
      </c>
      <c r="O22136" t="str">
        <f>IF(N22136="","",'Master Barang'!B30)</f>
        <v>ctik plastik 6x10 100 pcs</v>
      </c>
      <c r="P22136">
        <f>IF(OR(M22136="",N22136=""),"",SUMIFS('Barang Keluar'!$E:$E,'Barang Keluar'!$A:$A,M22136,'Barang Keluar'!$C:$C,N22136))</f>
        <v>0</v>
      </c>
    </row>
    <row r="22137" spans="13:16">
      <c r="M22137" s="49">
        <f>IF($A$4+221&gt;$B$4,"",$A$4+221)</f>
        <v>46244</v>
      </c>
      <c r="N22137" t="str">
        <f>IF(M22137="","",'Master Barang'!A31)</f>
        <v>PRL-030</v>
      </c>
      <c r="O22137" t="str">
        <f>IF(N22137="","",'Master Barang'!B31)</f>
        <v>klip plastik 25x16 100 pcs</v>
      </c>
      <c r="P22137">
        <f>IF(OR(M22137="",N22137=""),"",SUMIFS('Barang Keluar'!$E:$E,'Barang Keluar'!$A:$A,M22137,'Barang Keluar'!$C:$C,N22137))</f>
        <v>0</v>
      </c>
    </row>
    <row r="22138" spans="13:16">
      <c r="M22138" s="49">
        <f>IF($A$4+221&gt;$B$4,"",$A$4+221)</f>
        <v>46244</v>
      </c>
      <c r="N22138" t="str">
        <f>IF(M22138="","",'Master Barang'!A32)</f>
        <v>PRL-031</v>
      </c>
      <c r="O22138" t="str">
        <f>IF(N22138="","",'Master Barang'!B32)</f>
        <v>tempat saus 20 ml</v>
      </c>
      <c r="P22138">
        <f>IF(OR(M22138="",N22138=""),"",SUMIFS('Barang Keluar'!$E:$E,'Barang Keluar'!$A:$A,M22138,'Barang Keluar'!$C:$C,N22138))</f>
        <v>0</v>
      </c>
    </row>
    <row r="22139" spans="13:16">
      <c r="M22139" s="49">
        <f>IF($A$4+221&gt;$B$4,"",$A$4+221)</f>
        <v>46244</v>
      </c>
      <c r="N22139" t="str">
        <f>IF(M22139="","",'Master Barang'!A33)</f>
        <v>PRL-032</v>
      </c>
      <c r="O22139" t="str">
        <f>IF(N22139="","",'Master Barang'!B33)</f>
        <v>plastik packaging ag box uk sedang</v>
      </c>
      <c r="P22139">
        <f>IF(OR(M22139="",N22139=""),"",SUMIFS('Barang Keluar'!$E:$E,'Barang Keluar'!$A:$A,M22139,'Barang Keluar'!$C:$C,N22139))</f>
        <v>0</v>
      </c>
    </row>
    <row r="22140" spans="13:16">
      <c r="M22140" s="49">
        <f>IF($A$4+221&gt;$B$4,"",$A$4+221)</f>
        <v>46244</v>
      </c>
      <c r="N22140" t="str">
        <f>IF(M22140="","",'Master Barang'!A34)</f>
        <v>PRL-033</v>
      </c>
      <c r="O22140">
        <f>IF(N22140="","",'Master Barang'!B34)</f>
        <v>0</v>
      </c>
      <c r="P22140">
        <f>IF(OR(M22140="",N22140=""),"",SUMIFS('Barang Keluar'!$E:$E,'Barang Keluar'!$A:$A,M22140,'Barang Keluar'!$C:$C,N22140))</f>
        <v>0</v>
      </c>
    </row>
    <row r="22141" spans="13:16">
      <c r="M22141" s="49">
        <f>IF($A$4+221&gt;$B$4,"",$A$4+221)</f>
        <v>46244</v>
      </c>
      <c r="N22141">
        <f>IF(M22141="","",'Master Barang'!A35)</f>
        <v>0</v>
      </c>
      <c r="O22141">
        <f>IF(N22141="","",'Master Barang'!B35)</f>
        <v>0</v>
      </c>
      <c r="P22141">
        <f>IF(OR(M22141="",N22141=""),"",SUMIFS('Barang Keluar'!$E:$E,'Barang Keluar'!$A:$A,M22141,'Barang Keluar'!$C:$C,N22141))</f>
        <v>0</v>
      </c>
    </row>
    <row r="22142" spans="13:16">
      <c r="M22142" s="49">
        <f>IF($A$4+221&gt;$B$4,"",$A$4+221)</f>
        <v>46244</v>
      </c>
      <c r="N22142">
        <f>IF(M22142="","",'Master Barang'!A36)</f>
        <v>0</v>
      </c>
      <c r="O22142">
        <f>IF(N22142="","",'Master Barang'!B36)</f>
        <v>0</v>
      </c>
      <c r="P22142">
        <f>IF(OR(M22142="",N22142=""),"",SUMIFS('Barang Keluar'!$E:$E,'Barang Keluar'!$A:$A,M22142,'Barang Keluar'!$C:$C,N22142))</f>
        <v>0</v>
      </c>
    </row>
    <row r="22143" spans="13:16">
      <c r="M22143" s="49">
        <f>IF($A$4+221&gt;$B$4,"",$A$4+221)</f>
        <v>46244</v>
      </c>
      <c r="N22143">
        <f>IF(M22143="","",'Master Barang'!A37)</f>
        <v>0</v>
      </c>
      <c r="O22143">
        <f>IF(N22143="","",'Master Barang'!B37)</f>
        <v>0</v>
      </c>
      <c r="P22143">
        <f>IF(OR(M22143="",N22143=""),"",SUMIFS('Barang Keluar'!$E:$E,'Barang Keluar'!$A:$A,M22143,'Barang Keluar'!$C:$C,N22143))</f>
        <v>0</v>
      </c>
    </row>
    <row r="22144" spans="13:16">
      <c r="M22144" s="49">
        <f>IF($A$4+221&gt;$B$4,"",$A$4+221)</f>
        <v>46244</v>
      </c>
      <c r="N22144">
        <f>IF(M22144="","",'Master Barang'!A38)</f>
        <v>0</v>
      </c>
      <c r="O22144">
        <f>IF(N22144="","",'Master Barang'!B38)</f>
        <v>0</v>
      </c>
      <c r="P22144">
        <f>IF(OR(M22144="",N22144=""),"",SUMIFS('Barang Keluar'!$E:$E,'Barang Keluar'!$A:$A,M22144,'Barang Keluar'!$C:$C,N22144))</f>
        <v>0</v>
      </c>
    </row>
    <row r="22145" spans="13:16">
      <c r="M22145" s="49">
        <f>IF($A$4+221&gt;$B$4,"",$A$4+221)</f>
        <v>46244</v>
      </c>
      <c r="N22145">
        <f>IF(M22145="","",'Master Barang'!A39)</f>
        <v>0</v>
      </c>
      <c r="O22145">
        <f>IF(N22145="","",'Master Barang'!B39)</f>
        <v>0</v>
      </c>
      <c r="P22145">
        <f>IF(OR(M22145="",N22145=""),"",SUMIFS('Barang Keluar'!$E:$E,'Barang Keluar'!$A:$A,M22145,'Barang Keluar'!$C:$C,N22145))</f>
        <v>0</v>
      </c>
    </row>
    <row r="22146" spans="13:16">
      <c r="M22146" s="49">
        <f>IF($A$4+221&gt;$B$4,"",$A$4+221)</f>
        <v>46244</v>
      </c>
      <c r="N22146">
        <f>IF(M22146="","",'Master Barang'!A40)</f>
        <v>0</v>
      </c>
      <c r="O22146">
        <f>IF(N22146="","",'Master Barang'!B40)</f>
        <v>0</v>
      </c>
      <c r="P22146">
        <f>IF(OR(M22146="",N22146=""),"",SUMIFS('Barang Keluar'!$E:$E,'Barang Keluar'!$A:$A,M22146,'Barang Keluar'!$C:$C,N22146))</f>
        <v>0</v>
      </c>
    </row>
    <row r="22147" spans="13:16">
      <c r="M22147" s="49">
        <f>IF($A$4+221&gt;$B$4,"",$A$4+221)</f>
        <v>46244</v>
      </c>
      <c r="N22147">
        <f>IF(M22147="","",'Master Barang'!A41)</f>
        <v>0</v>
      </c>
      <c r="O22147">
        <f>IF(N22147="","",'Master Barang'!B41)</f>
        <v>0</v>
      </c>
      <c r="P22147">
        <f>IF(OR(M22147="",N22147=""),"",SUMIFS('Barang Keluar'!$E:$E,'Barang Keluar'!$A:$A,M22147,'Barang Keluar'!$C:$C,N22147))</f>
        <v>0</v>
      </c>
    </row>
    <row r="22148" spans="13:16">
      <c r="M22148" s="49">
        <f>IF($A$4+221&gt;$B$4,"",$A$4+221)</f>
        <v>46244</v>
      </c>
      <c r="N22148">
        <f>IF(M22148="","",'Master Barang'!A42)</f>
        <v>0</v>
      </c>
      <c r="O22148">
        <f>IF(N22148="","",'Master Barang'!B42)</f>
        <v>0</v>
      </c>
      <c r="P22148">
        <f>IF(OR(M22148="",N22148=""),"",SUMIFS('Barang Keluar'!$E:$E,'Barang Keluar'!$A:$A,M22148,'Barang Keluar'!$C:$C,N22148))</f>
        <v>0</v>
      </c>
    </row>
    <row r="22149" spans="13:16">
      <c r="M22149" s="49">
        <f>IF($A$4+221&gt;$B$4,"",$A$4+221)</f>
        <v>46244</v>
      </c>
      <c r="N22149">
        <f>IF(M22149="","",'Master Barang'!A43)</f>
        <v>0</v>
      </c>
      <c r="O22149">
        <f>IF(N22149="","",'Master Barang'!B43)</f>
        <v>0</v>
      </c>
      <c r="P22149">
        <f>IF(OR(M22149="",N22149=""),"",SUMIFS('Barang Keluar'!$E:$E,'Barang Keluar'!$A:$A,M22149,'Barang Keluar'!$C:$C,N22149))</f>
        <v>0</v>
      </c>
    </row>
    <row r="22150" spans="13:16">
      <c r="M22150" s="49">
        <f>IF($A$4+221&gt;$B$4,"",$A$4+221)</f>
        <v>46244</v>
      </c>
      <c r="N22150">
        <f>IF(M22150="","",'Master Barang'!A44)</f>
        <v>0</v>
      </c>
      <c r="O22150">
        <f>IF(N22150="","",'Master Barang'!B44)</f>
        <v>0</v>
      </c>
      <c r="P22150">
        <f>IF(OR(M22150="",N22150=""),"",SUMIFS('Barang Keluar'!$E:$E,'Barang Keluar'!$A:$A,M22150,'Barang Keluar'!$C:$C,N22150))</f>
        <v>0</v>
      </c>
    </row>
    <row r="22151" spans="13:16">
      <c r="M22151" s="49">
        <f>IF($A$4+221&gt;$B$4,"",$A$4+221)</f>
        <v>46244</v>
      </c>
      <c r="N22151">
        <f>IF(M22151="","",'Master Barang'!A45)</f>
        <v>0</v>
      </c>
      <c r="O22151">
        <f>IF(N22151="","",'Master Barang'!B45)</f>
        <v>0</v>
      </c>
      <c r="P22151">
        <f>IF(OR(M22151="",N22151=""),"",SUMIFS('Barang Keluar'!$E:$E,'Barang Keluar'!$A:$A,M22151,'Barang Keluar'!$C:$C,N22151))</f>
        <v>0</v>
      </c>
    </row>
    <row r="22152" spans="13:16">
      <c r="M22152" s="49">
        <f>IF($A$4+221&gt;$B$4,"",$A$4+221)</f>
        <v>46244</v>
      </c>
      <c r="N22152">
        <f>IF(M22152="","",'Master Barang'!A46)</f>
        <v>0</v>
      </c>
      <c r="O22152">
        <f>IF(N22152="","",'Master Barang'!B46)</f>
        <v>0</v>
      </c>
      <c r="P22152">
        <f>IF(OR(M22152="",N22152=""),"",SUMIFS('Barang Keluar'!$E:$E,'Barang Keluar'!$A:$A,M22152,'Barang Keluar'!$C:$C,N22152))</f>
        <v>0</v>
      </c>
    </row>
    <row r="22153" spans="13:16">
      <c r="M22153" s="49">
        <f>IF($A$4+221&gt;$B$4,"",$A$4+221)</f>
        <v>46244</v>
      </c>
      <c r="N22153">
        <f>IF(M22153="","",'Master Barang'!A47)</f>
        <v>0</v>
      </c>
      <c r="O22153">
        <f>IF(N22153="","",'Master Barang'!B47)</f>
        <v>0</v>
      </c>
      <c r="P22153">
        <f>IF(OR(M22153="",N22153=""),"",SUMIFS('Barang Keluar'!$E:$E,'Barang Keluar'!$A:$A,M22153,'Barang Keluar'!$C:$C,N22153))</f>
        <v>0</v>
      </c>
    </row>
    <row r="22154" spans="13:16">
      <c r="M22154" s="49">
        <f>IF($A$4+221&gt;$B$4,"",$A$4+221)</f>
        <v>46244</v>
      </c>
      <c r="N22154">
        <f>IF(M22154="","",'Master Barang'!A48)</f>
        <v>0</v>
      </c>
      <c r="O22154">
        <f>IF(N22154="","",'Master Barang'!B48)</f>
        <v>0</v>
      </c>
      <c r="P22154">
        <f>IF(OR(M22154="",N22154=""),"",SUMIFS('Barang Keluar'!$E:$E,'Barang Keluar'!$A:$A,M22154,'Barang Keluar'!$C:$C,N22154))</f>
        <v>0</v>
      </c>
    </row>
    <row r="22155" spans="13:16">
      <c r="M22155" s="49">
        <f>IF($A$4+221&gt;$B$4,"",$A$4+221)</f>
        <v>46244</v>
      </c>
      <c r="N22155">
        <f>IF(M22155="","",'Master Barang'!A49)</f>
        <v>0</v>
      </c>
      <c r="O22155">
        <f>IF(N22155="","",'Master Barang'!B49)</f>
        <v>0</v>
      </c>
      <c r="P22155">
        <f>IF(OR(M22155="",N22155=""),"",SUMIFS('Barang Keluar'!$E:$E,'Barang Keluar'!$A:$A,M22155,'Barang Keluar'!$C:$C,N22155))</f>
        <v>0</v>
      </c>
    </row>
    <row r="22156" spans="13:16">
      <c r="M22156" s="49">
        <f>IF($A$4+221&gt;$B$4,"",$A$4+221)</f>
        <v>46244</v>
      </c>
      <c r="N22156">
        <f>IF(M22156="","",'Master Barang'!A50)</f>
        <v>0</v>
      </c>
      <c r="O22156">
        <f>IF(N22156="","",'Master Barang'!B50)</f>
        <v>0</v>
      </c>
      <c r="P22156">
        <f>IF(OR(M22156="",N22156=""),"",SUMIFS('Barang Keluar'!$E:$E,'Barang Keluar'!$A:$A,M22156,'Barang Keluar'!$C:$C,N22156))</f>
        <v>0</v>
      </c>
    </row>
    <row r="22157" spans="13:16">
      <c r="M22157" s="49">
        <f>IF($A$4+221&gt;$B$4,"",$A$4+221)</f>
        <v>46244</v>
      </c>
      <c r="N22157">
        <f>IF(M22157="","",'Master Barang'!A51)</f>
        <v>0</v>
      </c>
      <c r="O22157">
        <f>IF(N22157="","",'Master Barang'!B51)</f>
        <v>0</v>
      </c>
      <c r="P22157">
        <f>IF(OR(M22157="",N22157=""),"",SUMIFS('Barang Keluar'!$E:$E,'Barang Keluar'!$A:$A,M22157,'Barang Keluar'!$C:$C,N22157))</f>
        <v>0</v>
      </c>
    </row>
    <row r="22158" spans="13:16">
      <c r="M22158" s="49">
        <f>IF($A$4+221&gt;$B$4,"",$A$4+221)</f>
        <v>46244</v>
      </c>
      <c r="N22158">
        <f>IF(M22158="","",'Master Barang'!A52)</f>
        <v>0</v>
      </c>
      <c r="O22158">
        <f>IF(N22158="","",'Master Barang'!B52)</f>
        <v>0</v>
      </c>
      <c r="P22158">
        <f>IF(OR(M22158="",N22158=""),"",SUMIFS('Barang Keluar'!$E:$E,'Barang Keluar'!$A:$A,M22158,'Barang Keluar'!$C:$C,N22158))</f>
        <v>0</v>
      </c>
    </row>
    <row r="22159" spans="13:16">
      <c r="M22159" s="49">
        <f>IF($A$4+221&gt;$B$4,"",$A$4+221)</f>
        <v>46244</v>
      </c>
      <c r="N22159">
        <f>IF(M22159="","",'Master Barang'!A53)</f>
        <v>0</v>
      </c>
      <c r="O22159">
        <f>IF(N22159="","",'Master Barang'!B53)</f>
        <v>0</v>
      </c>
      <c r="P22159">
        <f>IF(OR(M22159="",N22159=""),"",SUMIFS('Barang Keluar'!$E:$E,'Barang Keluar'!$A:$A,M22159,'Barang Keluar'!$C:$C,N22159))</f>
        <v>0</v>
      </c>
    </row>
    <row r="22160" spans="13:16">
      <c r="M22160" s="49">
        <f>IF($A$4+221&gt;$B$4,"",$A$4+221)</f>
        <v>46244</v>
      </c>
      <c r="N22160">
        <f>IF(M22160="","",'Master Barang'!A54)</f>
        <v>0</v>
      </c>
      <c r="O22160">
        <f>IF(N22160="","",'Master Barang'!B54)</f>
        <v>0</v>
      </c>
      <c r="P22160">
        <f>IF(OR(M22160="",N22160=""),"",SUMIFS('Barang Keluar'!$E:$E,'Barang Keluar'!$A:$A,M22160,'Barang Keluar'!$C:$C,N22160))</f>
        <v>0</v>
      </c>
    </row>
    <row r="22161" spans="13:16">
      <c r="M22161" s="49">
        <f>IF($A$4+221&gt;$B$4,"",$A$4+221)</f>
        <v>46244</v>
      </c>
      <c r="N22161">
        <f>IF(M22161="","",'Master Barang'!A55)</f>
        <v>0</v>
      </c>
      <c r="O22161">
        <f>IF(N22161="","",'Master Barang'!B55)</f>
        <v>0</v>
      </c>
      <c r="P22161">
        <f>IF(OR(M22161="",N22161=""),"",SUMIFS('Barang Keluar'!$E:$E,'Barang Keluar'!$A:$A,M22161,'Barang Keluar'!$C:$C,N22161))</f>
        <v>0</v>
      </c>
    </row>
    <row r="22162" spans="13:16">
      <c r="M22162" s="49">
        <f>IF($A$4+221&gt;$B$4,"",$A$4+221)</f>
        <v>46244</v>
      </c>
      <c r="N22162">
        <f>IF(M22162="","",'Master Barang'!A56)</f>
        <v>0</v>
      </c>
      <c r="O22162">
        <f>IF(N22162="","",'Master Barang'!B56)</f>
        <v>0</v>
      </c>
      <c r="P22162">
        <f>IF(OR(M22162="",N22162=""),"",SUMIFS('Barang Keluar'!$E:$E,'Barang Keluar'!$A:$A,M22162,'Barang Keluar'!$C:$C,N22162))</f>
        <v>0</v>
      </c>
    </row>
    <row r="22163" spans="13:16">
      <c r="M22163" s="49">
        <f>IF($A$4+221&gt;$B$4,"",$A$4+221)</f>
        <v>46244</v>
      </c>
      <c r="N22163">
        <f>IF(M22163="","",'Master Barang'!A57)</f>
        <v>0</v>
      </c>
      <c r="O22163">
        <f>IF(N22163="","",'Master Barang'!B57)</f>
        <v>0</v>
      </c>
      <c r="P22163">
        <f>IF(OR(M22163="",N22163=""),"",SUMIFS('Barang Keluar'!$E:$E,'Barang Keluar'!$A:$A,M22163,'Barang Keluar'!$C:$C,N22163))</f>
        <v>0</v>
      </c>
    </row>
    <row r="22164" spans="13:16">
      <c r="M22164" s="49">
        <f>IF($A$4+221&gt;$B$4,"",$A$4+221)</f>
        <v>46244</v>
      </c>
      <c r="N22164">
        <f>IF(M22164="","",'Master Barang'!A58)</f>
        <v>0</v>
      </c>
      <c r="O22164">
        <f>IF(N22164="","",'Master Barang'!B58)</f>
        <v>0</v>
      </c>
      <c r="P22164">
        <f>IF(OR(M22164="",N22164=""),"",SUMIFS('Barang Keluar'!$E:$E,'Barang Keluar'!$A:$A,M22164,'Barang Keluar'!$C:$C,N22164))</f>
        <v>0</v>
      </c>
    </row>
    <row r="22165" spans="13:16">
      <c r="M22165" s="49">
        <f>IF($A$4+221&gt;$B$4,"",$A$4+221)</f>
        <v>46244</v>
      </c>
      <c r="N22165">
        <f>IF(M22165="","",'Master Barang'!A59)</f>
        <v>0</v>
      </c>
      <c r="O22165">
        <f>IF(N22165="","",'Master Barang'!B59)</f>
        <v>0</v>
      </c>
      <c r="P22165">
        <f>IF(OR(M22165="",N22165=""),"",SUMIFS('Barang Keluar'!$E:$E,'Barang Keluar'!$A:$A,M22165,'Barang Keluar'!$C:$C,N22165))</f>
        <v>0</v>
      </c>
    </row>
    <row r="22166" spans="13:16">
      <c r="M22166" s="49">
        <f>IF($A$4+221&gt;$B$4,"",$A$4+221)</f>
        <v>46244</v>
      </c>
      <c r="N22166">
        <f>IF(M22166="","",'Master Barang'!A60)</f>
        <v>0</v>
      </c>
      <c r="O22166">
        <f>IF(N22166="","",'Master Barang'!B60)</f>
        <v>0</v>
      </c>
      <c r="P22166">
        <f>IF(OR(M22166="",N22166=""),"",SUMIFS('Barang Keluar'!$E:$E,'Barang Keluar'!$A:$A,M22166,'Barang Keluar'!$C:$C,N22166))</f>
        <v>0</v>
      </c>
    </row>
    <row r="22167" spans="13:16">
      <c r="M22167" s="49">
        <f>IF($A$4+221&gt;$B$4,"",$A$4+221)</f>
        <v>46244</v>
      </c>
      <c r="N22167">
        <f>IF(M22167="","",'Master Barang'!A61)</f>
        <v>0</v>
      </c>
      <c r="O22167">
        <f>IF(N22167="","",'Master Barang'!B61)</f>
        <v>0</v>
      </c>
      <c r="P22167">
        <f>IF(OR(M22167="",N22167=""),"",SUMIFS('Barang Keluar'!$E:$E,'Barang Keluar'!$A:$A,M22167,'Barang Keluar'!$C:$C,N22167))</f>
        <v>0</v>
      </c>
    </row>
    <row r="22168" spans="13:16">
      <c r="M22168" s="49">
        <f>IF($A$4+221&gt;$B$4,"",$A$4+221)</f>
        <v>46244</v>
      </c>
      <c r="N22168">
        <f>IF(M22168="","",'Master Barang'!A62)</f>
        <v>0</v>
      </c>
      <c r="O22168">
        <f>IF(N22168="","",'Master Barang'!B62)</f>
        <v>0</v>
      </c>
      <c r="P22168">
        <f>IF(OR(M22168="",N22168=""),"",SUMIFS('Barang Keluar'!$E:$E,'Barang Keluar'!$A:$A,M22168,'Barang Keluar'!$C:$C,N22168))</f>
        <v>0</v>
      </c>
    </row>
    <row r="22169" spans="13:16">
      <c r="M22169" s="49">
        <f>IF($A$4+221&gt;$B$4,"",$A$4+221)</f>
        <v>46244</v>
      </c>
      <c r="N22169">
        <f>IF(M22169="","",'Master Barang'!A63)</f>
        <v>0</v>
      </c>
      <c r="O22169">
        <f>IF(N22169="","",'Master Barang'!B63)</f>
        <v>0</v>
      </c>
      <c r="P22169">
        <f>IF(OR(M22169="",N22169=""),"",SUMIFS('Barang Keluar'!$E:$E,'Barang Keluar'!$A:$A,M22169,'Barang Keluar'!$C:$C,N22169))</f>
        <v>0</v>
      </c>
    </row>
    <row r="22170" spans="13:16">
      <c r="M22170" s="49">
        <f>IF($A$4+221&gt;$B$4,"",$A$4+221)</f>
        <v>46244</v>
      </c>
      <c r="N22170">
        <f>IF(M22170="","",'Master Barang'!A64)</f>
        <v>0</v>
      </c>
      <c r="O22170">
        <f>IF(N22170="","",'Master Barang'!B64)</f>
        <v>0</v>
      </c>
      <c r="P22170">
        <f>IF(OR(M22170="",N22170=""),"",SUMIFS('Barang Keluar'!$E:$E,'Barang Keluar'!$A:$A,M22170,'Barang Keluar'!$C:$C,N22170))</f>
        <v>0</v>
      </c>
    </row>
    <row r="22171" spans="13:16">
      <c r="M22171" s="49">
        <f>IF($A$4+221&gt;$B$4,"",$A$4+221)</f>
        <v>46244</v>
      </c>
      <c r="N22171">
        <f>IF(M22171="","",'Master Barang'!A65)</f>
        <v>0</v>
      </c>
      <c r="O22171">
        <f>IF(N22171="","",'Master Barang'!B65)</f>
        <v>0</v>
      </c>
      <c r="P22171">
        <f>IF(OR(M22171="",N22171=""),"",SUMIFS('Barang Keluar'!$E:$E,'Barang Keluar'!$A:$A,M22171,'Barang Keluar'!$C:$C,N22171))</f>
        <v>0</v>
      </c>
    </row>
    <row r="22172" spans="13:16">
      <c r="M22172" s="49">
        <f>IF($A$4+221&gt;$B$4,"",$A$4+221)</f>
        <v>46244</v>
      </c>
      <c r="N22172">
        <f>IF(M22172="","",'Master Barang'!A66)</f>
        <v>0</v>
      </c>
      <c r="O22172">
        <f>IF(N22172="","",'Master Barang'!B66)</f>
        <v>0</v>
      </c>
      <c r="P22172">
        <f>IF(OR(M22172="",N22172=""),"",SUMIFS('Barang Keluar'!$E:$E,'Barang Keluar'!$A:$A,M22172,'Barang Keluar'!$C:$C,N22172))</f>
        <v>0</v>
      </c>
    </row>
    <row r="22173" spans="13:16">
      <c r="M22173" s="49">
        <f>IF($A$4+221&gt;$B$4,"",$A$4+221)</f>
        <v>46244</v>
      </c>
      <c r="N22173">
        <f>IF(M22173="","",'Master Barang'!A67)</f>
        <v>0</v>
      </c>
      <c r="O22173">
        <f>IF(N22173="","",'Master Barang'!B67)</f>
        <v>0</v>
      </c>
      <c r="P22173">
        <f>IF(OR(M22173="",N22173=""),"",SUMIFS('Barang Keluar'!$E:$E,'Barang Keluar'!$A:$A,M22173,'Barang Keluar'!$C:$C,N22173))</f>
        <v>0</v>
      </c>
    </row>
    <row r="22174" spans="13:16">
      <c r="M22174" s="49">
        <f>IF($A$4+221&gt;$B$4,"",$A$4+221)</f>
        <v>46244</v>
      </c>
      <c r="N22174">
        <f>IF(M22174="","",'Master Barang'!A68)</f>
        <v>0</v>
      </c>
      <c r="O22174">
        <f>IF(N22174="","",'Master Barang'!B68)</f>
        <v>0</v>
      </c>
      <c r="P22174">
        <f>IF(OR(M22174="",N22174=""),"",SUMIFS('Barang Keluar'!$E:$E,'Barang Keluar'!$A:$A,M22174,'Barang Keluar'!$C:$C,N22174))</f>
        <v>0</v>
      </c>
    </row>
    <row r="22175" spans="13:16">
      <c r="M22175" s="49">
        <f>IF($A$4+221&gt;$B$4,"",$A$4+221)</f>
        <v>46244</v>
      </c>
      <c r="N22175">
        <f>IF(M22175="","",'Master Barang'!A69)</f>
        <v>0</v>
      </c>
      <c r="O22175">
        <f>IF(N22175="","",'Master Barang'!B69)</f>
        <v>0</v>
      </c>
      <c r="P22175">
        <f>IF(OR(M22175="",N22175=""),"",SUMIFS('Barang Keluar'!$E:$E,'Barang Keluar'!$A:$A,M22175,'Barang Keluar'!$C:$C,N22175))</f>
        <v>0</v>
      </c>
    </row>
    <row r="22176" spans="13:16">
      <c r="M22176" s="49">
        <f>IF($A$4+221&gt;$B$4,"",$A$4+221)</f>
        <v>46244</v>
      </c>
      <c r="N22176">
        <f>IF(M22176="","",'Master Barang'!A70)</f>
        <v>0</v>
      </c>
      <c r="O22176">
        <f>IF(N22176="","",'Master Barang'!B70)</f>
        <v>0</v>
      </c>
      <c r="P22176">
        <f>IF(OR(M22176="",N22176=""),"",SUMIFS('Barang Keluar'!$E:$E,'Barang Keluar'!$A:$A,M22176,'Barang Keluar'!$C:$C,N22176))</f>
        <v>0</v>
      </c>
    </row>
    <row r="22177" spans="13:16">
      <c r="M22177" s="49">
        <f>IF($A$4+221&gt;$B$4,"",$A$4+221)</f>
        <v>46244</v>
      </c>
      <c r="N22177">
        <f>IF(M22177="","",'Master Barang'!A71)</f>
        <v>0</v>
      </c>
      <c r="O22177">
        <f>IF(N22177="","",'Master Barang'!B71)</f>
        <v>0</v>
      </c>
      <c r="P22177">
        <f>IF(OR(M22177="",N22177=""),"",SUMIFS('Barang Keluar'!$E:$E,'Barang Keluar'!$A:$A,M22177,'Barang Keluar'!$C:$C,N22177))</f>
        <v>0</v>
      </c>
    </row>
    <row r="22178" spans="13:16">
      <c r="M22178" s="49">
        <f>IF($A$4+221&gt;$B$4,"",$A$4+221)</f>
        <v>46244</v>
      </c>
      <c r="N22178">
        <f>IF(M22178="","",'Master Barang'!A72)</f>
        <v>0</v>
      </c>
      <c r="O22178">
        <f>IF(N22178="","",'Master Barang'!B72)</f>
        <v>0</v>
      </c>
      <c r="P22178">
        <f>IF(OR(M22178="",N22178=""),"",SUMIFS('Barang Keluar'!$E:$E,'Barang Keluar'!$A:$A,M22178,'Barang Keluar'!$C:$C,N22178))</f>
        <v>0</v>
      </c>
    </row>
    <row r="22179" spans="13:16">
      <c r="M22179" s="49">
        <f>IF($A$4+221&gt;$B$4,"",$A$4+221)</f>
        <v>46244</v>
      </c>
      <c r="N22179">
        <f>IF(M22179="","",'Master Barang'!A73)</f>
        <v>0</v>
      </c>
      <c r="O22179">
        <f>IF(N22179="","",'Master Barang'!B73)</f>
        <v>0</v>
      </c>
      <c r="P22179">
        <f>IF(OR(M22179="",N22179=""),"",SUMIFS('Barang Keluar'!$E:$E,'Barang Keluar'!$A:$A,M22179,'Barang Keluar'!$C:$C,N22179))</f>
        <v>0</v>
      </c>
    </row>
    <row r="22180" spans="13:16">
      <c r="M22180" s="49">
        <f>IF($A$4+221&gt;$B$4,"",$A$4+221)</f>
        <v>46244</v>
      </c>
      <c r="N22180">
        <f>IF(M22180="","",'Master Barang'!A74)</f>
        <v>0</v>
      </c>
      <c r="O22180">
        <f>IF(N22180="","",'Master Barang'!B74)</f>
        <v>0</v>
      </c>
      <c r="P22180">
        <f>IF(OR(M22180="",N22180=""),"",SUMIFS('Barang Keluar'!$E:$E,'Barang Keluar'!$A:$A,M22180,'Barang Keluar'!$C:$C,N22180))</f>
        <v>0</v>
      </c>
    </row>
    <row r="22181" spans="13:16">
      <c r="M22181" s="49">
        <f>IF($A$4+221&gt;$B$4,"",$A$4+221)</f>
        <v>46244</v>
      </c>
      <c r="N22181">
        <f>IF(M22181="","",'Master Barang'!A75)</f>
        <v>0</v>
      </c>
      <c r="O22181">
        <f>IF(N22181="","",'Master Barang'!B75)</f>
        <v>0</v>
      </c>
      <c r="P22181">
        <f>IF(OR(M22181="",N22181=""),"",SUMIFS('Barang Keluar'!$E:$E,'Barang Keluar'!$A:$A,M22181,'Barang Keluar'!$C:$C,N22181))</f>
        <v>0</v>
      </c>
    </row>
    <row r="22182" spans="13:16">
      <c r="M22182" s="49">
        <f>IF($A$4+221&gt;$B$4,"",$A$4+221)</f>
        <v>46244</v>
      </c>
      <c r="N22182">
        <f>IF(M22182="","",'Master Barang'!A76)</f>
        <v>0</v>
      </c>
      <c r="O22182">
        <f>IF(N22182="","",'Master Barang'!B76)</f>
        <v>0</v>
      </c>
      <c r="P22182">
        <f>IF(OR(M22182="",N22182=""),"",SUMIFS('Barang Keluar'!$E:$E,'Barang Keluar'!$A:$A,M22182,'Barang Keluar'!$C:$C,N22182))</f>
        <v>0</v>
      </c>
    </row>
    <row r="22183" spans="13:16">
      <c r="M22183" s="49">
        <f>IF($A$4+221&gt;$B$4,"",$A$4+221)</f>
        <v>46244</v>
      </c>
      <c r="N22183">
        <f>IF(M22183="","",'Master Barang'!A77)</f>
        <v>0</v>
      </c>
      <c r="O22183">
        <f>IF(N22183="","",'Master Barang'!B77)</f>
        <v>0</v>
      </c>
      <c r="P22183">
        <f>IF(OR(M22183="",N22183=""),"",SUMIFS('Barang Keluar'!$E:$E,'Barang Keluar'!$A:$A,M22183,'Barang Keluar'!$C:$C,N22183))</f>
        <v>0</v>
      </c>
    </row>
    <row r="22184" spans="13:16">
      <c r="M22184" s="49">
        <f>IF($A$4+221&gt;$B$4,"",$A$4+221)</f>
        <v>46244</v>
      </c>
      <c r="N22184">
        <f>IF(M22184="","",'Master Barang'!A78)</f>
        <v>0</v>
      </c>
      <c r="O22184">
        <f>IF(N22184="","",'Master Barang'!B78)</f>
        <v>0</v>
      </c>
      <c r="P22184">
        <f>IF(OR(M22184="",N22184=""),"",SUMIFS('Barang Keluar'!$E:$E,'Barang Keluar'!$A:$A,M22184,'Barang Keluar'!$C:$C,N22184))</f>
        <v>0</v>
      </c>
    </row>
    <row r="22185" spans="13:16">
      <c r="M22185" s="49">
        <f>IF($A$4+221&gt;$B$4,"",$A$4+221)</f>
        <v>46244</v>
      </c>
      <c r="N22185">
        <f>IF(M22185="","",'Master Barang'!A79)</f>
        <v>0</v>
      </c>
      <c r="O22185">
        <f>IF(N22185="","",'Master Barang'!B79)</f>
        <v>0</v>
      </c>
      <c r="P22185">
        <f>IF(OR(M22185="",N22185=""),"",SUMIFS('Barang Keluar'!$E:$E,'Barang Keluar'!$A:$A,M22185,'Barang Keluar'!$C:$C,N22185))</f>
        <v>0</v>
      </c>
    </row>
    <row r="22186" spans="13:16">
      <c r="M22186" s="49">
        <f>IF($A$4+221&gt;$B$4,"",$A$4+221)</f>
        <v>46244</v>
      </c>
      <c r="N22186">
        <f>IF(M22186="","",'Master Barang'!A80)</f>
        <v>0</v>
      </c>
      <c r="O22186">
        <f>IF(N22186="","",'Master Barang'!B80)</f>
        <v>0</v>
      </c>
      <c r="P22186">
        <f>IF(OR(M22186="",N22186=""),"",SUMIFS('Barang Keluar'!$E:$E,'Barang Keluar'!$A:$A,M22186,'Barang Keluar'!$C:$C,N22186))</f>
        <v>0</v>
      </c>
    </row>
    <row r="22187" spans="13:16">
      <c r="M22187" s="49">
        <f>IF($A$4+221&gt;$B$4,"",$A$4+221)</f>
        <v>46244</v>
      </c>
      <c r="N22187">
        <f>IF(M22187="","",'Master Barang'!A81)</f>
        <v>0</v>
      </c>
      <c r="O22187">
        <f>IF(N22187="","",'Master Barang'!B81)</f>
        <v>0</v>
      </c>
      <c r="P22187">
        <f>IF(OR(M22187="",N22187=""),"",SUMIFS('Barang Keluar'!$E:$E,'Barang Keluar'!$A:$A,M22187,'Barang Keluar'!$C:$C,N22187))</f>
        <v>0</v>
      </c>
    </row>
    <row r="22188" spans="13:16">
      <c r="M22188" s="49">
        <f>IF($A$4+221&gt;$B$4,"",$A$4+221)</f>
        <v>46244</v>
      </c>
      <c r="N22188">
        <f>IF(M22188="","",'Master Barang'!A82)</f>
        <v>0</v>
      </c>
      <c r="O22188">
        <f>IF(N22188="","",'Master Barang'!B82)</f>
        <v>0</v>
      </c>
      <c r="P22188">
        <f>IF(OR(M22188="",N22188=""),"",SUMIFS('Barang Keluar'!$E:$E,'Barang Keluar'!$A:$A,M22188,'Barang Keluar'!$C:$C,N22188))</f>
        <v>0</v>
      </c>
    </row>
    <row r="22189" spans="13:16">
      <c r="M22189" s="49">
        <f>IF($A$4+221&gt;$B$4,"",$A$4+221)</f>
        <v>46244</v>
      </c>
      <c r="N22189">
        <f>IF(M22189="","",'Master Barang'!A83)</f>
        <v>0</v>
      </c>
      <c r="O22189">
        <f>IF(N22189="","",'Master Barang'!B83)</f>
        <v>0</v>
      </c>
      <c r="P22189">
        <f>IF(OR(M22189="",N22189=""),"",SUMIFS('Barang Keluar'!$E:$E,'Barang Keluar'!$A:$A,M22189,'Barang Keluar'!$C:$C,N22189))</f>
        <v>0</v>
      </c>
    </row>
    <row r="22190" spans="13:16">
      <c r="M22190" s="49">
        <f>IF($A$4+221&gt;$B$4,"",$A$4+221)</f>
        <v>46244</v>
      </c>
      <c r="N22190">
        <f>IF(M22190="","",'Master Barang'!A84)</f>
        <v>0</v>
      </c>
      <c r="O22190">
        <f>IF(N22190="","",'Master Barang'!B84)</f>
        <v>0</v>
      </c>
      <c r="P22190">
        <f>IF(OR(M22190="",N22190=""),"",SUMIFS('Barang Keluar'!$E:$E,'Barang Keluar'!$A:$A,M22190,'Barang Keluar'!$C:$C,N22190))</f>
        <v>0</v>
      </c>
    </row>
    <row r="22191" spans="13:16">
      <c r="M22191" s="49">
        <f>IF($A$4+221&gt;$B$4,"",$A$4+221)</f>
        <v>46244</v>
      </c>
      <c r="N22191">
        <f>IF(M22191="","",'Master Barang'!A85)</f>
        <v>0</v>
      </c>
      <c r="O22191">
        <f>IF(N22191="","",'Master Barang'!B85)</f>
        <v>0</v>
      </c>
      <c r="P22191">
        <f>IF(OR(M22191="",N22191=""),"",SUMIFS('Barang Keluar'!$E:$E,'Barang Keluar'!$A:$A,M22191,'Barang Keluar'!$C:$C,N22191))</f>
        <v>0</v>
      </c>
    </row>
    <row r="22192" spans="13:16">
      <c r="M22192" s="49">
        <f>IF($A$4+221&gt;$B$4,"",$A$4+221)</f>
        <v>46244</v>
      </c>
      <c r="N22192">
        <f>IF(M22192="","",'Master Barang'!A86)</f>
        <v>0</v>
      </c>
      <c r="O22192">
        <f>IF(N22192="","",'Master Barang'!B86)</f>
        <v>0</v>
      </c>
      <c r="P22192">
        <f>IF(OR(M22192="",N22192=""),"",SUMIFS('Barang Keluar'!$E:$E,'Barang Keluar'!$A:$A,M22192,'Barang Keluar'!$C:$C,N22192))</f>
        <v>0</v>
      </c>
    </row>
    <row r="22193" spans="13:16">
      <c r="M22193" s="49">
        <f>IF($A$4+221&gt;$B$4,"",$A$4+221)</f>
        <v>46244</v>
      </c>
      <c r="N22193">
        <f>IF(M22193="","",'Master Barang'!A87)</f>
        <v>0</v>
      </c>
      <c r="O22193">
        <f>IF(N22193="","",'Master Barang'!B87)</f>
        <v>0</v>
      </c>
      <c r="P22193">
        <f>IF(OR(M22193="",N22193=""),"",SUMIFS('Barang Keluar'!$E:$E,'Barang Keluar'!$A:$A,M22193,'Barang Keluar'!$C:$C,N22193))</f>
        <v>0</v>
      </c>
    </row>
    <row r="22194" spans="13:16">
      <c r="M22194" s="49">
        <f>IF($A$4+221&gt;$B$4,"",$A$4+221)</f>
        <v>46244</v>
      </c>
      <c r="N22194">
        <f>IF(M22194="","",'Master Barang'!A88)</f>
        <v>0</v>
      </c>
      <c r="O22194">
        <f>IF(N22194="","",'Master Barang'!B88)</f>
        <v>0</v>
      </c>
      <c r="P22194">
        <f>IF(OR(M22194="",N22194=""),"",SUMIFS('Barang Keluar'!$E:$E,'Barang Keluar'!$A:$A,M22194,'Barang Keluar'!$C:$C,N22194))</f>
        <v>0</v>
      </c>
    </row>
    <row r="22195" spans="13:16">
      <c r="M22195" s="49">
        <f>IF($A$4+221&gt;$B$4,"",$A$4+221)</f>
        <v>46244</v>
      </c>
      <c r="N22195">
        <f>IF(M22195="","",'Master Barang'!A89)</f>
        <v>0</v>
      </c>
      <c r="O22195">
        <f>IF(N22195="","",'Master Barang'!B89)</f>
        <v>0</v>
      </c>
      <c r="P22195">
        <f>IF(OR(M22195="",N22195=""),"",SUMIFS('Barang Keluar'!$E:$E,'Barang Keluar'!$A:$A,M22195,'Barang Keluar'!$C:$C,N22195))</f>
        <v>0</v>
      </c>
    </row>
    <row r="22196" spans="13:16">
      <c r="M22196" s="49">
        <f>IF($A$4+221&gt;$B$4,"",$A$4+221)</f>
        <v>46244</v>
      </c>
      <c r="N22196">
        <f>IF(M22196="","",'Master Barang'!A90)</f>
        <v>0</v>
      </c>
      <c r="O22196">
        <f>IF(N22196="","",'Master Barang'!B90)</f>
        <v>0</v>
      </c>
      <c r="P22196">
        <f>IF(OR(M22196="",N22196=""),"",SUMIFS('Barang Keluar'!$E:$E,'Barang Keluar'!$A:$A,M22196,'Barang Keluar'!$C:$C,N22196))</f>
        <v>0</v>
      </c>
    </row>
    <row r="22197" spans="13:16">
      <c r="M22197" s="49">
        <f>IF($A$4+221&gt;$B$4,"",$A$4+221)</f>
        <v>46244</v>
      </c>
      <c r="N22197">
        <f>IF(M22197="","",'Master Barang'!A91)</f>
        <v>0</v>
      </c>
      <c r="O22197">
        <f>IF(N22197="","",'Master Barang'!B91)</f>
        <v>0</v>
      </c>
      <c r="P22197">
        <f>IF(OR(M22197="",N22197=""),"",SUMIFS('Barang Keluar'!$E:$E,'Barang Keluar'!$A:$A,M22197,'Barang Keluar'!$C:$C,N22197))</f>
        <v>0</v>
      </c>
    </row>
    <row r="22198" spans="13:16">
      <c r="M22198" s="49">
        <f>IF($A$4+221&gt;$B$4,"",$A$4+221)</f>
        <v>46244</v>
      </c>
      <c r="N22198">
        <f>IF(M22198="","",'Master Barang'!A92)</f>
        <v>0</v>
      </c>
      <c r="O22198">
        <f>IF(N22198="","",'Master Barang'!B92)</f>
        <v>0</v>
      </c>
      <c r="P22198">
        <f>IF(OR(M22198="",N22198=""),"",SUMIFS('Barang Keluar'!$E:$E,'Barang Keluar'!$A:$A,M22198,'Barang Keluar'!$C:$C,N22198))</f>
        <v>0</v>
      </c>
    </row>
    <row r="22199" spans="13:16">
      <c r="M22199" s="49">
        <f>IF($A$4+221&gt;$B$4,"",$A$4+221)</f>
        <v>46244</v>
      </c>
      <c r="N22199">
        <f>IF(M22199="","",'Master Barang'!A93)</f>
        <v>0</v>
      </c>
      <c r="O22199">
        <f>IF(N22199="","",'Master Barang'!B93)</f>
        <v>0</v>
      </c>
      <c r="P22199">
        <f>IF(OR(M22199="",N22199=""),"",SUMIFS('Barang Keluar'!$E:$E,'Barang Keluar'!$A:$A,M22199,'Barang Keluar'!$C:$C,N22199))</f>
        <v>0</v>
      </c>
    </row>
    <row r="22200" spans="13:16">
      <c r="M22200" s="49">
        <f>IF($A$4+221&gt;$B$4,"",$A$4+221)</f>
        <v>46244</v>
      </c>
      <c r="N22200">
        <f>IF(M22200="","",'Master Barang'!A94)</f>
        <v>0</v>
      </c>
      <c r="O22200">
        <f>IF(N22200="","",'Master Barang'!B94)</f>
        <v>0</v>
      </c>
      <c r="P22200">
        <f>IF(OR(M22200="",N22200=""),"",SUMIFS('Barang Keluar'!$E:$E,'Barang Keluar'!$A:$A,M22200,'Barang Keluar'!$C:$C,N22200))</f>
        <v>0</v>
      </c>
    </row>
    <row r="22201" spans="13:16">
      <c r="M22201" s="49">
        <f>IF($A$4+221&gt;$B$4,"",$A$4+221)</f>
        <v>46244</v>
      </c>
      <c r="N22201">
        <f>IF(M22201="","",'Master Barang'!A95)</f>
        <v>0</v>
      </c>
      <c r="O22201">
        <f>IF(N22201="","",'Master Barang'!B95)</f>
        <v>0</v>
      </c>
      <c r="P22201">
        <f>IF(OR(M22201="",N22201=""),"",SUMIFS('Barang Keluar'!$E:$E,'Barang Keluar'!$A:$A,M22201,'Barang Keluar'!$C:$C,N22201))</f>
        <v>0</v>
      </c>
    </row>
    <row r="22202" spans="13:16">
      <c r="M22202" s="49">
        <f>IF($A$4+221&gt;$B$4,"",$A$4+221)</f>
        <v>46244</v>
      </c>
      <c r="N22202">
        <f>IF(M22202="","",'Master Barang'!A96)</f>
        <v>0</v>
      </c>
      <c r="O22202">
        <f>IF(N22202="","",'Master Barang'!B96)</f>
        <v>0</v>
      </c>
      <c r="P22202">
        <f>IF(OR(M22202="",N22202=""),"",SUMIFS('Barang Keluar'!$E:$E,'Barang Keluar'!$A:$A,M22202,'Barang Keluar'!$C:$C,N22202))</f>
        <v>0</v>
      </c>
    </row>
    <row r="22203" spans="13:16">
      <c r="M22203" s="49">
        <f>IF($A$4+221&gt;$B$4,"",$A$4+221)</f>
        <v>46244</v>
      </c>
      <c r="N22203">
        <f>IF(M22203="","",'Master Barang'!A97)</f>
        <v>0</v>
      </c>
      <c r="O22203">
        <f>IF(N22203="","",'Master Barang'!B97)</f>
        <v>0</v>
      </c>
      <c r="P22203">
        <f>IF(OR(M22203="",N22203=""),"",SUMIFS('Barang Keluar'!$E:$E,'Barang Keluar'!$A:$A,M22203,'Barang Keluar'!$C:$C,N22203))</f>
        <v>0</v>
      </c>
    </row>
    <row r="22204" spans="13:16">
      <c r="M22204" s="49">
        <f>IF($A$4+221&gt;$B$4,"",$A$4+221)</f>
        <v>46244</v>
      </c>
      <c r="N22204">
        <f>IF(M22204="","",'Master Barang'!A98)</f>
        <v>0</v>
      </c>
      <c r="O22204">
        <f>IF(N22204="","",'Master Barang'!B98)</f>
        <v>0</v>
      </c>
      <c r="P22204">
        <f>IF(OR(M22204="",N22204=""),"",SUMIFS('Barang Keluar'!$E:$E,'Barang Keluar'!$A:$A,M22204,'Barang Keluar'!$C:$C,N22204))</f>
        <v>0</v>
      </c>
    </row>
    <row r="22205" spans="13:16">
      <c r="M22205" s="49">
        <f>IF($A$4+221&gt;$B$4,"",$A$4+221)</f>
        <v>46244</v>
      </c>
      <c r="N22205">
        <f>IF(M22205="","",'Master Barang'!A99)</f>
        <v>0</v>
      </c>
      <c r="O22205">
        <f>IF(N22205="","",'Master Barang'!B99)</f>
        <v>0</v>
      </c>
      <c r="P22205">
        <f>IF(OR(M22205="",N22205=""),"",SUMIFS('Barang Keluar'!$E:$E,'Barang Keluar'!$A:$A,M22205,'Barang Keluar'!$C:$C,N22205))</f>
        <v>0</v>
      </c>
    </row>
    <row r="22206" spans="13:16">
      <c r="M22206" s="49">
        <f>IF($A$4+221&gt;$B$4,"",$A$4+221)</f>
        <v>46244</v>
      </c>
      <c r="N22206">
        <f>IF(M22206="","",'Master Barang'!A100)</f>
        <v>0</v>
      </c>
      <c r="O22206">
        <f>IF(N22206="","",'Master Barang'!B100)</f>
        <v>0</v>
      </c>
      <c r="P22206">
        <f>IF(OR(M22206="",N22206=""),"",SUMIFS('Barang Keluar'!$E:$E,'Barang Keluar'!$A:$A,M22206,'Barang Keluar'!$C:$C,N22206))</f>
        <v>0</v>
      </c>
    </row>
    <row r="22207" spans="13:16">
      <c r="M22207" s="49">
        <f>IF($A$4+221&gt;$B$4,"",$A$4+221)</f>
        <v>46244</v>
      </c>
      <c r="N22207">
        <f>IF(M22207="","",'Master Barang'!A101)</f>
        <v>0</v>
      </c>
      <c r="O22207">
        <f>IF(N22207="","",'Master Barang'!B101)</f>
        <v>0</v>
      </c>
      <c r="P22207">
        <f>IF(OR(M22207="",N22207=""),"",SUMIFS('Barang Keluar'!$E:$E,'Barang Keluar'!$A:$A,M22207,'Barang Keluar'!$C:$C,N22207))</f>
        <v>0</v>
      </c>
    </row>
    <row r="22208" spans="13:16">
      <c r="M22208" s="49">
        <f>IF($A$4+222&gt;$B$4,"",$A$4+222)</f>
        <v>46245</v>
      </c>
      <c r="N22208" t="str">
        <f>IF(M22208="","",'Master Barang'!A2)</f>
        <v>PRL-001</v>
      </c>
      <c r="O22208" t="str">
        <f>IF(N22208="","",'Master Barang'!B2)</f>
        <v>natura desinfectant food grade 5l</v>
      </c>
      <c r="P22208">
        <f>IF(OR(M22208="",N22208=""),"",SUMIFS('Barang Keluar'!$E:$E,'Barang Keluar'!$A:$A,M22208,'Barang Keluar'!$C:$C,N22208))</f>
        <v>0</v>
      </c>
    </row>
    <row r="22209" spans="13:16">
      <c r="M22209" s="49">
        <f>IF($A$4+222&gt;$B$4,"",$A$4+222)</f>
        <v>46245</v>
      </c>
      <c r="N22209" t="str">
        <f>IF(M22209="","",'Master Barang'!A3)</f>
        <v>PRL-002</v>
      </c>
      <c r="O22209" t="str">
        <f>IF(N22209="","",'Master Barang'!B3)</f>
        <v>sunlight cairan pencuci piring 5l</v>
      </c>
      <c r="P22209">
        <f>IF(OR(M22209="",N22209=""),"",SUMIFS('Barang Keluar'!$E:$E,'Barang Keluar'!$A:$A,M22209,'Barang Keluar'!$C:$C,N22209))</f>
        <v>0</v>
      </c>
    </row>
    <row r="22210" spans="13:16">
      <c r="M22210" s="49">
        <f>IF($A$4+222&gt;$B$4,"",$A$4+222)</f>
        <v>46245</v>
      </c>
      <c r="N22210" t="str">
        <f>IF(M22210="","",'Master Barang'!A4)</f>
        <v>PRL-003</v>
      </c>
      <c r="O22210" t="str">
        <f>IF(N22210="","",'Master Barang'!B4)</f>
        <v>oixs cleaner 1l</v>
      </c>
      <c r="P22210">
        <f>IF(OR(M22210="",N22210=""),"",SUMIFS('Barang Keluar'!$E:$E,'Barang Keluar'!$A:$A,M22210,'Barang Keluar'!$C:$C,N22210))</f>
        <v>0</v>
      </c>
    </row>
    <row r="22211" spans="13:16">
      <c r="M22211" s="49">
        <f>IF($A$4+222&gt;$B$4,"",$A$4+222)</f>
        <v>46245</v>
      </c>
      <c r="N22211" t="str">
        <f>IF(M22211="","",'Master Barang'!A5)</f>
        <v>PRL-004</v>
      </c>
      <c r="O22211" t="str">
        <f>IF(N22211="","",'Master Barang'!B5)</f>
        <v>be clean tissue serbaguna</v>
      </c>
      <c r="P22211">
        <f>IF(OR(M22211="",N22211=""),"",SUMIFS('Barang Keluar'!$E:$E,'Barang Keluar'!$A:$A,M22211,'Barang Keluar'!$C:$C,N22211))</f>
        <v>0</v>
      </c>
    </row>
    <row r="22212" spans="13:16">
      <c r="M22212" s="49">
        <f>IF($A$4+222&gt;$B$4,"",$A$4+222)</f>
        <v>46245</v>
      </c>
      <c r="N22212" t="str">
        <f>IF(M22212="","",'Master Barang'!A6)</f>
        <v>PRL-005</v>
      </c>
      <c r="O22212" t="str">
        <f>IF(N22212="","",'Master Barang'!B6)</f>
        <v>spons cuci hijau</v>
      </c>
      <c r="P22212">
        <f>IF(OR(M22212="",N22212=""),"",SUMIFS('Barang Keluar'!$E:$E,'Barang Keluar'!$A:$A,M22212,'Barang Keluar'!$C:$C,N22212))</f>
        <v>0</v>
      </c>
    </row>
    <row r="22213" spans="13:16">
      <c r="M22213" s="49">
        <f>IF($A$4+222&gt;$B$4,"",$A$4+222)</f>
        <v>46245</v>
      </c>
      <c r="N22213" t="str">
        <f>IF(M22213="","",'Master Barang'!A7)</f>
        <v>PRL-006</v>
      </c>
      <c r="O22213" t="str">
        <f>IF(N22213="","",'Master Barang'!B7)</f>
        <v>sabut cuci stainless</v>
      </c>
      <c r="P22213">
        <f>IF(OR(M22213="",N22213=""),"",SUMIFS('Barang Keluar'!$E:$E,'Barang Keluar'!$A:$A,M22213,'Barang Keluar'!$C:$C,N22213))</f>
        <v>0</v>
      </c>
    </row>
    <row r="22214" spans="13:16">
      <c r="M22214" s="49">
        <f>IF($A$4+222&gt;$B$4,"",$A$4+222)</f>
        <v>46245</v>
      </c>
      <c r="N22214" t="str">
        <f>IF(M22214="","",'Master Barang'!A8)</f>
        <v>PRL-007</v>
      </c>
      <c r="O22214" t="str">
        <f>IF(N22214="","",'Master Barang'!B8)</f>
        <v>plastik kresek besar merah 50pc</v>
      </c>
      <c r="P22214">
        <f>IF(OR(M22214="",N22214=""),"",SUMIFS('Barang Keluar'!$E:$E,'Barang Keluar'!$A:$A,M22214,'Barang Keluar'!$C:$C,N22214))</f>
        <v>0</v>
      </c>
    </row>
    <row r="22215" spans="13:16">
      <c r="M22215" s="49">
        <f>IF($A$4+222&gt;$B$4,"",$A$4+222)</f>
        <v>46245</v>
      </c>
      <c r="N22215" t="str">
        <f>IF(M22215="","",'Master Barang'!A9)</f>
        <v>PRL-008</v>
      </c>
      <c r="O22215" t="str">
        <f>IF(N22215="","",'Master Barang'!B9)</f>
        <v>lap besar</v>
      </c>
      <c r="P22215">
        <f>IF(OR(M22215="",N22215=""),"",SUMIFS('Barang Keluar'!$E:$E,'Barang Keluar'!$A:$A,M22215,'Barang Keluar'!$C:$C,N22215))</f>
        <v>0</v>
      </c>
    </row>
    <row r="22216" spans="13:16">
      <c r="M22216" s="49">
        <f>IF($A$4+222&gt;$B$4,"",$A$4+222)</f>
        <v>46245</v>
      </c>
      <c r="N22216" t="str">
        <f>IF(M22216="","",'Master Barang'!A10)</f>
        <v>PRL-009</v>
      </c>
      <c r="O22216" t="str">
        <f>IF(N22216="","",'Master Barang'!B10)</f>
        <v>lap microfiber</v>
      </c>
      <c r="P22216">
        <f>IF(OR(M22216="",N22216=""),"",SUMIFS('Barang Keluar'!$E:$E,'Barang Keluar'!$A:$A,M22216,'Barang Keluar'!$C:$C,N22216))</f>
        <v>0</v>
      </c>
    </row>
    <row r="22217" spans="13:16">
      <c r="M22217" s="49">
        <f>IF($A$4+222&gt;$B$4,"",$A$4+222)</f>
        <v>46245</v>
      </c>
      <c r="N22217" t="str">
        <f>IF(M22217="","",'Master Barang'!A11)</f>
        <v>PRL-010</v>
      </c>
      <c r="O22217" t="str">
        <f>IF(N22217="","",'Master Barang'!B11)</f>
        <v>lap kecil</v>
      </c>
      <c r="P22217">
        <f>IF(OR(M22217="",N22217=""),"",SUMIFS('Barang Keluar'!$E:$E,'Barang Keluar'!$A:$A,M22217,'Barang Keluar'!$C:$C,N22217))</f>
        <v>0</v>
      </c>
    </row>
    <row r="22218" spans="13:16">
      <c r="M22218" s="49">
        <f>IF($A$4+222&gt;$B$4,"",$A$4+222)</f>
        <v>46245</v>
      </c>
      <c r="N22218" t="str">
        <f>IF(M22218="","",'Master Barang'!A12)</f>
        <v>PRL-011</v>
      </c>
      <c r="O22218" t="str">
        <f>IF(N22218="","",'Master Barang'!B12)</f>
        <v>kanebo kecil</v>
      </c>
      <c r="P22218">
        <f>IF(OR(M22218="",N22218=""),"",SUMIFS('Barang Keluar'!$E:$E,'Barang Keluar'!$A:$A,M22218,'Barang Keluar'!$C:$C,N22218))</f>
        <v>0</v>
      </c>
    </row>
    <row r="22219" spans="13:16">
      <c r="M22219" s="49">
        <f>IF($A$4+222&gt;$B$4,"",$A$4+222)</f>
        <v>46245</v>
      </c>
      <c r="N22219" t="str">
        <f>IF(M22219="","",'Master Barang'!A13)</f>
        <v>PRL-012</v>
      </c>
      <c r="O22219" t="str">
        <f>IF(N22219="","",'Master Barang'!B13)</f>
        <v>plastik 1/4kg joyoboyo 100 lembar</v>
      </c>
      <c r="P22219">
        <f>IF(OR(M22219="",N22219=""),"",SUMIFS('Barang Keluar'!$E:$E,'Barang Keluar'!$A:$A,M22219,'Barang Keluar'!$C:$C,N22219))</f>
        <v>0</v>
      </c>
    </row>
    <row r="22220" spans="13:16">
      <c r="M22220" s="49">
        <f>IF($A$4+222&gt;$B$4,"",$A$4+222)</f>
        <v>46245</v>
      </c>
      <c r="N22220" t="str">
        <f>IF(M22220="","",'Master Barang'!A14)</f>
        <v>PRL-013</v>
      </c>
      <c r="O22220" t="str">
        <f>IF(N22220="","",'Master Barang'!B14)</f>
        <v>sarung tangan plastik kaka 100 pcs</v>
      </c>
      <c r="P22220">
        <f>IF(OR(M22220="",N22220=""),"",SUMIFS('Barang Keluar'!$E:$E,'Barang Keluar'!$A:$A,M22220,'Barang Keluar'!$C:$C,N22220))</f>
        <v>0</v>
      </c>
    </row>
    <row r="22221" spans="13:16">
      <c r="M22221" s="49">
        <f>IF($A$4+222&gt;$B$4,"",$A$4+222)</f>
        <v>46245</v>
      </c>
      <c r="N22221" t="str">
        <f>IF(M22221="","",'Master Barang'!A15)</f>
        <v>PRL-014</v>
      </c>
      <c r="O22221" t="str">
        <f>IF(N22221="","",'Master Barang'!B15)</f>
        <v>optima trashbag 80x100</v>
      </c>
      <c r="P22221">
        <f>IF(OR(M22221="",N22221=""),"",SUMIFS('Barang Keluar'!$E:$E,'Barang Keluar'!$A:$A,M22221,'Barang Keluar'!$C:$C,N22221))</f>
        <v>0</v>
      </c>
    </row>
    <row r="22222" spans="13:16">
      <c r="M22222" s="49">
        <f>IF($A$4+222&gt;$B$4,"",$A$4+222)</f>
        <v>46245</v>
      </c>
      <c r="N22222" t="str">
        <f>IF(M22222="","",'Master Barang'!A16)</f>
        <v>PRL-015</v>
      </c>
      <c r="O22222" t="str">
        <f>IF(N22222="","",'Master Barang'!B16)</f>
        <v>optima trashbag 60x100</v>
      </c>
      <c r="P22222">
        <f>IF(OR(M22222="",N22222=""),"",SUMIFS('Barang Keluar'!$E:$E,'Barang Keluar'!$A:$A,M22222,'Barang Keluar'!$C:$C,N22222))</f>
        <v>0</v>
      </c>
    </row>
    <row r="22223" spans="13:16">
      <c r="M22223" s="49">
        <f>IF($A$4+222&gt;$B$4,"",$A$4+222)</f>
        <v>46245</v>
      </c>
      <c r="N22223" t="str">
        <f>IF(M22223="","",'Master Barang'!A17)</f>
        <v>PRL-016</v>
      </c>
      <c r="O22223" t="str">
        <f>IF(N22223="","",'Master Barang'!B17)</f>
        <v>rajawali trashbag 30x40</v>
      </c>
      <c r="P22223">
        <f>IF(OR(M22223="",N22223=""),"",SUMIFS('Barang Keluar'!$E:$E,'Barang Keluar'!$A:$A,M22223,'Barang Keluar'!$C:$C,N22223))</f>
        <v>0</v>
      </c>
    </row>
    <row r="22224" spans="13:16">
      <c r="M22224" s="49">
        <f>IF($A$4+222&gt;$B$4,"",$A$4+222)</f>
        <v>46245</v>
      </c>
      <c r="N22224" t="str">
        <f>IF(M22224="","",'Master Barang'!A18)</f>
        <v>PRL-017</v>
      </c>
      <c r="O22224" t="str">
        <f>IF(N22224="","",'Master Barang'!B18)</f>
        <v>onemed masker biru 3 play 50 pcs</v>
      </c>
      <c r="P22224">
        <f>IF(OR(M22224="",N22224=""),"",SUMIFS('Barang Keluar'!$E:$E,'Barang Keluar'!$A:$A,M22224,'Barang Keluar'!$C:$C,N22224))</f>
        <v>0</v>
      </c>
    </row>
    <row r="22225" spans="13:16">
      <c r="M22225" s="49">
        <f>IF($A$4+222&gt;$B$4,"",$A$4+222)</f>
        <v>46245</v>
      </c>
      <c r="N22225" t="str">
        <f>IF(M22225="","",'Master Barang'!A19)</f>
        <v>PRL-018</v>
      </c>
      <c r="O22225" t="str">
        <f>IF(N22225="","",'Master Barang'!B19)</f>
        <v>onemed masker biru 3 play hijab 50 pcs</v>
      </c>
      <c r="P22225">
        <f>IF(OR(M22225="",N22225=""),"",SUMIFS('Barang Keluar'!$E:$E,'Barang Keluar'!$A:$A,M22225,'Barang Keluar'!$C:$C,N22225))</f>
        <v>0</v>
      </c>
    </row>
    <row r="22226" spans="13:16">
      <c r="M22226" s="49">
        <f>IF($A$4+222&gt;$B$4,"",$A$4+222)</f>
        <v>46245</v>
      </c>
      <c r="N22226" t="str">
        <f>IF(M22226="","",'Master Barang'!A20)</f>
        <v>PRL-019</v>
      </c>
      <c r="O22226" t="str">
        <f>IF(N22226="","",'Master Barang'!B20)</f>
        <v>neo health masker biru 3 play 50 pcs</v>
      </c>
      <c r="P22226">
        <f>IF(OR(M22226="",N22226=""),"",SUMIFS('Barang Keluar'!$E:$E,'Barang Keluar'!$A:$A,M22226,'Barang Keluar'!$C:$C,N22226))</f>
        <v>0</v>
      </c>
    </row>
    <row r="22227" spans="13:16">
      <c r="M22227" s="49">
        <f>IF($A$4+222&gt;$B$4,"",$A$4+222)</f>
        <v>46245</v>
      </c>
      <c r="N22227" t="str">
        <f>IF(M22227="","",'Master Barang'!A21)</f>
        <v>PRL-020</v>
      </c>
      <c r="O22227" t="str">
        <f>IF(N22227="","",'Master Barang'!B21)</f>
        <v>baymed masker hijau 3 play hijau 50 pcs</v>
      </c>
      <c r="P22227">
        <f>IF(OR(M22227="",N22227=""),"",SUMIFS('Barang Keluar'!$E:$E,'Barang Keluar'!$A:$A,M22227,'Barang Keluar'!$C:$C,N22227))</f>
        <v>0</v>
      </c>
    </row>
    <row r="22228" spans="13:16">
      <c r="M22228" s="49">
        <f>IF($A$4+222&gt;$B$4,"",$A$4+222)</f>
        <v>46245</v>
      </c>
      <c r="N22228" t="str">
        <f>IF(M22228="","",'Master Barang'!A22)</f>
        <v>PRL-021</v>
      </c>
      <c r="O22228" t="str">
        <f>IF(N22228="","",'Master Barang'!B22)</f>
        <v>altamed nurse cap penutup kepala 100 pcs</v>
      </c>
      <c r="P22228">
        <f>IF(OR(M22228="",N22228=""),"",SUMIFS('Barang Keluar'!$E:$E,'Barang Keluar'!$A:$A,M22228,'Barang Keluar'!$C:$C,N22228))</f>
        <v>0</v>
      </c>
    </row>
    <row r="22229" spans="13:16">
      <c r="M22229" s="49">
        <f>IF($A$4+222&gt;$B$4,"",$A$4+222)</f>
        <v>46245</v>
      </c>
      <c r="N22229" t="str">
        <f>IF(M22229="","",'Master Barang'!A23)</f>
        <v>PRL-022</v>
      </c>
      <c r="O22229" t="str">
        <f>IF(N22229="","",'Master Barang'!B23)</f>
        <v>sabun cuci tangan</v>
      </c>
      <c r="P22229">
        <f>IF(OR(M22229="",N22229=""),"",SUMIFS('Barang Keluar'!$E:$E,'Barang Keluar'!$A:$A,M22229,'Barang Keluar'!$C:$C,N22229))</f>
        <v>0</v>
      </c>
    </row>
    <row r="22230" spans="13:16">
      <c r="M22230" s="49">
        <f>IF($A$4+222&gt;$B$4,"",$A$4+222)</f>
        <v>46245</v>
      </c>
      <c r="N22230" t="str">
        <f>IF(M22230="","",'Master Barang'!A24)</f>
        <v>PRL-023</v>
      </c>
      <c r="O22230" t="str">
        <f>IF(N22230="","",'Master Barang'!B24)</f>
        <v>gayung kecil</v>
      </c>
      <c r="P22230">
        <f>IF(OR(M22230="",N22230=""),"",SUMIFS('Barang Keluar'!$E:$E,'Barang Keluar'!$A:$A,M22230,'Barang Keluar'!$C:$C,N22230))</f>
        <v>0</v>
      </c>
    </row>
    <row r="22231" spans="13:16">
      <c r="M22231" s="49">
        <f>IF($A$4+222&gt;$B$4,"",$A$4+222)</f>
        <v>46245</v>
      </c>
      <c r="N22231" t="str">
        <f>IF(M22231="","",'Master Barang'!A25)</f>
        <v>PRL-024</v>
      </c>
      <c r="O22231" t="str">
        <f>IF(N22231="","",'Master Barang'!B25)</f>
        <v>cikrak kecil</v>
      </c>
      <c r="P22231">
        <f>IF(OR(M22231="",N22231=""),"",SUMIFS('Barang Keluar'!$E:$E,'Barang Keluar'!$A:$A,M22231,'Barang Keluar'!$C:$C,N22231))</f>
        <v>0</v>
      </c>
    </row>
    <row r="22232" spans="13:16">
      <c r="M22232" s="49">
        <f>IF($A$4+222&gt;$B$4,"",$A$4+222)</f>
        <v>46245</v>
      </c>
      <c r="N22232" t="str">
        <f>IF(M22232="","",'Master Barang'!A26)</f>
        <v>PRL-025</v>
      </c>
      <c r="O22232" t="str">
        <f>IF(N22232="","",'Master Barang'!B26)</f>
        <v>petromax plastik kecil 12x24 100 lembar</v>
      </c>
      <c r="P22232">
        <f>IF(OR(M22232="",N22232=""),"",SUMIFS('Barang Keluar'!$E:$E,'Barang Keluar'!$A:$A,M22232,'Barang Keluar'!$C:$C,N22232))</f>
        <v>0</v>
      </c>
    </row>
    <row r="22233" spans="13:16">
      <c r="M22233" s="49">
        <f>IF($A$4+222&gt;$B$4,"",$A$4+222)</f>
        <v>46245</v>
      </c>
      <c r="N22233" t="str">
        <f>IF(M22233="","",'Master Barang'!A27)</f>
        <v>PRL-026</v>
      </c>
      <c r="O22233" t="str">
        <f>IF(N22233="","",'Master Barang'!B27)</f>
        <v>lancar kresek kecil bening </v>
      </c>
      <c r="P22233">
        <f>IF(OR(M22233="",N22233=""),"",SUMIFS('Barang Keluar'!$E:$E,'Barang Keluar'!$A:$A,M22233,'Barang Keluar'!$C:$C,N22233))</f>
        <v>0</v>
      </c>
    </row>
    <row r="22234" spans="13:16">
      <c r="M22234" s="49">
        <f>IF($A$4+222&gt;$B$4,"",$A$4+222)</f>
        <v>46245</v>
      </c>
      <c r="N22234" t="str">
        <f>IF(M22234="","",'Master Barang'!A28)</f>
        <v>PRL-027</v>
      </c>
      <c r="O22234" t="str">
        <f>IF(N22234="","",'Master Barang'!B28)</f>
        <v>kresek klin warna warni kecil</v>
      </c>
      <c r="P22234">
        <f>IF(OR(M22234="",N22234=""),"",SUMIFS('Barang Keluar'!$E:$E,'Barang Keluar'!$A:$A,M22234,'Barang Keluar'!$C:$C,N22234))</f>
        <v>0</v>
      </c>
    </row>
    <row r="22235" spans="13:16">
      <c r="M22235" s="49">
        <f>IF($A$4+222&gt;$B$4,"",$A$4+222)</f>
        <v>46245</v>
      </c>
      <c r="N22235" t="str">
        <f>IF(M22235="","",'Master Barang'!A29)</f>
        <v>PRL-028</v>
      </c>
      <c r="O22235" t="str">
        <f>IF(N22235="","",'Master Barang'!B29)</f>
        <v>ctik plastik 7x10 100 pcs</v>
      </c>
      <c r="P22235">
        <f>IF(OR(M22235="",N22235=""),"",SUMIFS('Barang Keluar'!$E:$E,'Barang Keluar'!$A:$A,M22235,'Barang Keluar'!$C:$C,N22235))</f>
        <v>0</v>
      </c>
    </row>
    <row r="22236" spans="13:16">
      <c r="M22236" s="49">
        <f>IF($A$4+222&gt;$B$4,"",$A$4+222)</f>
        <v>46245</v>
      </c>
      <c r="N22236" t="str">
        <f>IF(M22236="","",'Master Barang'!A30)</f>
        <v>PRL-029</v>
      </c>
      <c r="O22236" t="str">
        <f>IF(N22236="","",'Master Barang'!B30)</f>
        <v>ctik plastik 6x10 100 pcs</v>
      </c>
      <c r="P22236">
        <f>IF(OR(M22236="",N22236=""),"",SUMIFS('Barang Keluar'!$E:$E,'Barang Keluar'!$A:$A,M22236,'Barang Keluar'!$C:$C,N22236))</f>
        <v>0</v>
      </c>
    </row>
    <row r="22237" spans="13:16">
      <c r="M22237" s="49">
        <f>IF($A$4+222&gt;$B$4,"",$A$4+222)</f>
        <v>46245</v>
      </c>
      <c r="N22237" t="str">
        <f>IF(M22237="","",'Master Barang'!A31)</f>
        <v>PRL-030</v>
      </c>
      <c r="O22237" t="str">
        <f>IF(N22237="","",'Master Barang'!B31)</f>
        <v>klip plastik 25x16 100 pcs</v>
      </c>
      <c r="P22237">
        <f>IF(OR(M22237="",N22237=""),"",SUMIFS('Barang Keluar'!$E:$E,'Barang Keluar'!$A:$A,M22237,'Barang Keluar'!$C:$C,N22237))</f>
        <v>0</v>
      </c>
    </row>
    <row r="22238" spans="13:16">
      <c r="M22238" s="49">
        <f>IF($A$4+222&gt;$B$4,"",$A$4+222)</f>
        <v>46245</v>
      </c>
      <c r="N22238" t="str">
        <f>IF(M22238="","",'Master Barang'!A32)</f>
        <v>PRL-031</v>
      </c>
      <c r="O22238" t="str">
        <f>IF(N22238="","",'Master Barang'!B32)</f>
        <v>tempat saus 20 ml</v>
      </c>
      <c r="P22238">
        <f>IF(OR(M22238="",N22238=""),"",SUMIFS('Barang Keluar'!$E:$E,'Barang Keluar'!$A:$A,M22238,'Barang Keluar'!$C:$C,N22238))</f>
        <v>0</v>
      </c>
    </row>
    <row r="22239" spans="13:16">
      <c r="M22239" s="49">
        <f>IF($A$4+222&gt;$B$4,"",$A$4+222)</f>
        <v>46245</v>
      </c>
      <c r="N22239" t="str">
        <f>IF(M22239="","",'Master Barang'!A33)</f>
        <v>PRL-032</v>
      </c>
      <c r="O22239" t="str">
        <f>IF(N22239="","",'Master Barang'!B33)</f>
        <v>plastik packaging ag box uk sedang</v>
      </c>
      <c r="P22239">
        <f>IF(OR(M22239="",N22239=""),"",SUMIFS('Barang Keluar'!$E:$E,'Barang Keluar'!$A:$A,M22239,'Barang Keluar'!$C:$C,N22239))</f>
        <v>0</v>
      </c>
    </row>
    <row r="22240" spans="13:16">
      <c r="M22240" s="49">
        <f>IF($A$4+222&gt;$B$4,"",$A$4+222)</f>
        <v>46245</v>
      </c>
      <c r="N22240" t="str">
        <f>IF(M22240="","",'Master Barang'!A34)</f>
        <v>PRL-033</v>
      </c>
      <c r="O22240">
        <f>IF(N22240="","",'Master Barang'!B34)</f>
        <v>0</v>
      </c>
      <c r="P22240">
        <f>IF(OR(M22240="",N22240=""),"",SUMIFS('Barang Keluar'!$E:$E,'Barang Keluar'!$A:$A,M22240,'Barang Keluar'!$C:$C,N22240))</f>
        <v>0</v>
      </c>
    </row>
    <row r="22241" spans="13:16">
      <c r="M22241" s="49">
        <f>IF($A$4+222&gt;$B$4,"",$A$4+222)</f>
        <v>46245</v>
      </c>
      <c r="N22241">
        <f>IF(M22241="","",'Master Barang'!A35)</f>
        <v>0</v>
      </c>
      <c r="O22241">
        <f>IF(N22241="","",'Master Barang'!B35)</f>
        <v>0</v>
      </c>
      <c r="P22241">
        <f>IF(OR(M22241="",N22241=""),"",SUMIFS('Barang Keluar'!$E:$E,'Barang Keluar'!$A:$A,M22241,'Barang Keluar'!$C:$C,N22241))</f>
        <v>0</v>
      </c>
    </row>
    <row r="22242" spans="13:16">
      <c r="M22242" s="49">
        <f>IF($A$4+222&gt;$B$4,"",$A$4+222)</f>
        <v>46245</v>
      </c>
      <c r="N22242">
        <f>IF(M22242="","",'Master Barang'!A36)</f>
        <v>0</v>
      </c>
      <c r="O22242">
        <f>IF(N22242="","",'Master Barang'!B36)</f>
        <v>0</v>
      </c>
      <c r="P22242">
        <f>IF(OR(M22242="",N22242=""),"",SUMIFS('Barang Keluar'!$E:$E,'Barang Keluar'!$A:$A,M22242,'Barang Keluar'!$C:$C,N22242))</f>
        <v>0</v>
      </c>
    </row>
    <row r="22243" spans="13:16">
      <c r="M22243" s="49">
        <f>IF($A$4+222&gt;$B$4,"",$A$4+222)</f>
        <v>46245</v>
      </c>
      <c r="N22243">
        <f>IF(M22243="","",'Master Barang'!A37)</f>
        <v>0</v>
      </c>
      <c r="O22243">
        <f>IF(N22243="","",'Master Barang'!B37)</f>
        <v>0</v>
      </c>
      <c r="P22243">
        <f>IF(OR(M22243="",N22243=""),"",SUMIFS('Barang Keluar'!$E:$E,'Barang Keluar'!$A:$A,M22243,'Barang Keluar'!$C:$C,N22243))</f>
        <v>0</v>
      </c>
    </row>
    <row r="22244" spans="13:16">
      <c r="M22244" s="49">
        <f>IF($A$4+222&gt;$B$4,"",$A$4+222)</f>
        <v>46245</v>
      </c>
      <c r="N22244">
        <f>IF(M22244="","",'Master Barang'!A38)</f>
        <v>0</v>
      </c>
      <c r="O22244">
        <f>IF(N22244="","",'Master Barang'!B38)</f>
        <v>0</v>
      </c>
      <c r="P22244">
        <f>IF(OR(M22244="",N22244=""),"",SUMIFS('Barang Keluar'!$E:$E,'Barang Keluar'!$A:$A,M22244,'Barang Keluar'!$C:$C,N22244))</f>
        <v>0</v>
      </c>
    </row>
    <row r="22245" spans="13:16">
      <c r="M22245" s="49">
        <f>IF($A$4+222&gt;$B$4,"",$A$4+222)</f>
        <v>46245</v>
      </c>
      <c r="N22245">
        <f>IF(M22245="","",'Master Barang'!A39)</f>
        <v>0</v>
      </c>
      <c r="O22245">
        <f>IF(N22245="","",'Master Barang'!B39)</f>
        <v>0</v>
      </c>
      <c r="P22245">
        <f>IF(OR(M22245="",N22245=""),"",SUMIFS('Barang Keluar'!$E:$E,'Barang Keluar'!$A:$A,M22245,'Barang Keluar'!$C:$C,N22245))</f>
        <v>0</v>
      </c>
    </row>
    <row r="22246" spans="13:16">
      <c r="M22246" s="49">
        <f>IF($A$4+222&gt;$B$4,"",$A$4+222)</f>
        <v>46245</v>
      </c>
      <c r="N22246">
        <f>IF(M22246="","",'Master Barang'!A40)</f>
        <v>0</v>
      </c>
      <c r="O22246">
        <f>IF(N22246="","",'Master Barang'!B40)</f>
        <v>0</v>
      </c>
      <c r="P22246">
        <f>IF(OR(M22246="",N22246=""),"",SUMIFS('Barang Keluar'!$E:$E,'Barang Keluar'!$A:$A,M22246,'Barang Keluar'!$C:$C,N22246))</f>
        <v>0</v>
      </c>
    </row>
    <row r="22247" spans="13:16">
      <c r="M22247" s="49">
        <f>IF($A$4+222&gt;$B$4,"",$A$4+222)</f>
        <v>46245</v>
      </c>
      <c r="N22247">
        <f>IF(M22247="","",'Master Barang'!A41)</f>
        <v>0</v>
      </c>
      <c r="O22247">
        <f>IF(N22247="","",'Master Barang'!B41)</f>
        <v>0</v>
      </c>
      <c r="P22247">
        <f>IF(OR(M22247="",N22247=""),"",SUMIFS('Barang Keluar'!$E:$E,'Barang Keluar'!$A:$A,M22247,'Barang Keluar'!$C:$C,N22247))</f>
        <v>0</v>
      </c>
    </row>
    <row r="22248" spans="13:16">
      <c r="M22248" s="49">
        <f>IF($A$4+222&gt;$B$4,"",$A$4+222)</f>
        <v>46245</v>
      </c>
      <c r="N22248">
        <f>IF(M22248="","",'Master Barang'!A42)</f>
        <v>0</v>
      </c>
      <c r="O22248">
        <f>IF(N22248="","",'Master Barang'!B42)</f>
        <v>0</v>
      </c>
      <c r="P22248">
        <f>IF(OR(M22248="",N22248=""),"",SUMIFS('Barang Keluar'!$E:$E,'Barang Keluar'!$A:$A,M22248,'Barang Keluar'!$C:$C,N22248))</f>
        <v>0</v>
      </c>
    </row>
    <row r="22249" spans="13:16">
      <c r="M22249" s="49">
        <f>IF($A$4+222&gt;$B$4,"",$A$4+222)</f>
        <v>46245</v>
      </c>
      <c r="N22249">
        <f>IF(M22249="","",'Master Barang'!A43)</f>
        <v>0</v>
      </c>
      <c r="O22249">
        <f>IF(N22249="","",'Master Barang'!B43)</f>
        <v>0</v>
      </c>
      <c r="P22249">
        <f>IF(OR(M22249="",N22249=""),"",SUMIFS('Barang Keluar'!$E:$E,'Barang Keluar'!$A:$A,M22249,'Barang Keluar'!$C:$C,N22249))</f>
        <v>0</v>
      </c>
    </row>
    <row r="22250" spans="13:16">
      <c r="M22250" s="49">
        <f>IF($A$4+222&gt;$B$4,"",$A$4+222)</f>
        <v>46245</v>
      </c>
      <c r="N22250">
        <f>IF(M22250="","",'Master Barang'!A44)</f>
        <v>0</v>
      </c>
      <c r="O22250">
        <f>IF(N22250="","",'Master Barang'!B44)</f>
        <v>0</v>
      </c>
      <c r="P22250">
        <f>IF(OR(M22250="",N22250=""),"",SUMIFS('Barang Keluar'!$E:$E,'Barang Keluar'!$A:$A,M22250,'Barang Keluar'!$C:$C,N22250))</f>
        <v>0</v>
      </c>
    </row>
    <row r="22251" spans="13:16">
      <c r="M22251" s="49">
        <f>IF($A$4+222&gt;$B$4,"",$A$4+222)</f>
        <v>46245</v>
      </c>
      <c r="N22251">
        <f>IF(M22251="","",'Master Barang'!A45)</f>
        <v>0</v>
      </c>
      <c r="O22251">
        <f>IF(N22251="","",'Master Barang'!B45)</f>
        <v>0</v>
      </c>
      <c r="P22251">
        <f>IF(OR(M22251="",N22251=""),"",SUMIFS('Barang Keluar'!$E:$E,'Barang Keluar'!$A:$A,M22251,'Barang Keluar'!$C:$C,N22251))</f>
        <v>0</v>
      </c>
    </row>
    <row r="22252" spans="13:16">
      <c r="M22252" s="49">
        <f>IF($A$4+222&gt;$B$4,"",$A$4+222)</f>
        <v>46245</v>
      </c>
      <c r="N22252">
        <f>IF(M22252="","",'Master Barang'!A46)</f>
        <v>0</v>
      </c>
      <c r="O22252">
        <f>IF(N22252="","",'Master Barang'!B46)</f>
        <v>0</v>
      </c>
      <c r="P22252">
        <f>IF(OR(M22252="",N22252=""),"",SUMIFS('Barang Keluar'!$E:$E,'Barang Keluar'!$A:$A,M22252,'Barang Keluar'!$C:$C,N22252))</f>
        <v>0</v>
      </c>
    </row>
    <row r="22253" spans="13:16">
      <c r="M22253" s="49">
        <f>IF($A$4+222&gt;$B$4,"",$A$4+222)</f>
        <v>46245</v>
      </c>
      <c r="N22253">
        <f>IF(M22253="","",'Master Barang'!A47)</f>
        <v>0</v>
      </c>
      <c r="O22253">
        <f>IF(N22253="","",'Master Barang'!B47)</f>
        <v>0</v>
      </c>
      <c r="P22253">
        <f>IF(OR(M22253="",N22253=""),"",SUMIFS('Barang Keluar'!$E:$E,'Barang Keluar'!$A:$A,M22253,'Barang Keluar'!$C:$C,N22253))</f>
        <v>0</v>
      </c>
    </row>
    <row r="22254" spans="13:16">
      <c r="M22254" s="49">
        <f>IF($A$4+222&gt;$B$4,"",$A$4+222)</f>
        <v>46245</v>
      </c>
      <c r="N22254">
        <f>IF(M22254="","",'Master Barang'!A48)</f>
        <v>0</v>
      </c>
      <c r="O22254">
        <f>IF(N22254="","",'Master Barang'!B48)</f>
        <v>0</v>
      </c>
      <c r="P22254">
        <f>IF(OR(M22254="",N22254=""),"",SUMIFS('Barang Keluar'!$E:$E,'Barang Keluar'!$A:$A,M22254,'Barang Keluar'!$C:$C,N22254))</f>
        <v>0</v>
      </c>
    </row>
    <row r="22255" spans="13:16">
      <c r="M22255" s="49">
        <f>IF($A$4+222&gt;$B$4,"",$A$4+222)</f>
        <v>46245</v>
      </c>
      <c r="N22255">
        <f>IF(M22255="","",'Master Barang'!A49)</f>
        <v>0</v>
      </c>
      <c r="O22255">
        <f>IF(N22255="","",'Master Barang'!B49)</f>
        <v>0</v>
      </c>
      <c r="P22255">
        <f>IF(OR(M22255="",N22255=""),"",SUMIFS('Barang Keluar'!$E:$E,'Barang Keluar'!$A:$A,M22255,'Barang Keluar'!$C:$C,N22255))</f>
        <v>0</v>
      </c>
    </row>
    <row r="22256" spans="13:16">
      <c r="M22256" s="49">
        <f>IF($A$4+222&gt;$B$4,"",$A$4+222)</f>
        <v>46245</v>
      </c>
      <c r="N22256">
        <f>IF(M22256="","",'Master Barang'!A50)</f>
        <v>0</v>
      </c>
      <c r="O22256">
        <f>IF(N22256="","",'Master Barang'!B50)</f>
        <v>0</v>
      </c>
      <c r="P22256">
        <f>IF(OR(M22256="",N22256=""),"",SUMIFS('Barang Keluar'!$E:$E,'Barang Keluar'!$A:$A,M22256,'Barang Keluar'!$C:$C,N22256))</f>
        <v>0</v>
      </c>
    </row>
    <row r="22257" spans="13:16">
      <c r="M22257" s="49">
        <f>IF($A$4+222&gt;$B$4,"",$A$4+222)</f>
        <v>46245</v>
      </c>
      <c r="N22257">
        <f>IF(M22257="","",'Master Barang'!A51)</f>
        <v>0</v>
      </c>
      <c r="O22257">
        <f>IF(N22257="","",'Master Barang'!B51)</f>
        <v>0</v>
      </c>
      <c r="P22257">
        <f>IF(OR(M22257="",N22257=""),"",SUMIFS('Barang Keluar'!$E:$E,'Barang Keluar'!$A:$A,M22257,'Barang Keluar'!$C:$C,N22257))</f>
        <v>0</v>
      </c>
    </row>
    <row r="22258" spans="13:16">
      <c r="M22258" s="49">
        <f>IF($A$4+222&gt;$B$4,"",$A$4+222)</f>
        <v>46245</v>
      </c>
      <c r="N22258">
        <f>IF(M22258="","",'Master Barang'!A52)</f>
        <v>0</v>
      </c>
      <c r="O22258">
        <f>IF(N22258="","",'Master Barang'!B52)</f>
        <v>0</v>
      </c>
      <c r="P22258">
        <f>IF(OR(M22258="",N22258=""),"",SUMIFS('Barang Keluar'!$E:$E,'Barang Keluar'!$A:$A,M22258,'Barang Keluar'!$C:$C,N22258))</f>
        <v>0</v>
      </c>
    </row>
    <row r="22259" spans="13:16">
      <c r="M22259" s="49">
        <f>IF($A$4+222&gt;$B$4,"",$A$4+222)</f>
        <v>46245</v>
      </c>
      <c r="N22259">
        <f>IF(M22259="","",'Master Barang'!A53)</f>
        <v>0</v>
      </c>
      <c r="O22259">
        <f>IF(N22259="","",'Master Barang'!B53)</f>
        <v>0</v>
      </c>
      <c r="P22259">
        <f>IF(OR(M22259="",N22259=""),"",SUMIFS('Barang Keluar'!$E:$E,'Barang Keluar'!$A:$A,M22259,'Barang Keluar'!$C:$C,N22259))</f>
        <v>0</v>
      </c>
    </row>
    <row r="22260" spans="13:16">
      <c r="M22260" s="49">
        <f>IF($A$4+222&gt;$B$4,"",$A$4+222)</f>
        <v>46245</v>
      </c>
      <c r="N22260">
        <f>IF(M22260="","",'Master Barang'!A54)</f>
        <v>0</v>
      </c>
      <c r="O22260">
        <f>IF(N22260="","",'Master Barang'!B54)</f>
        <v>0</v>
      </c>
      <c r="P22260">
        <f>IF(OR(M22260="",N22260=""),"",SUMIFS('Barang Keluar'!$E:$E,'Barang Keluar'!$A:$A,M22260,'Barang Keluar'!$C:$C,N22260))</f>
        <v>0</v>
      </c>
    </row>
    <row r="22261" spans="13:16">
      <c r="M22261" s="49">
        <f>IF($A$4+222&gt;$B$4,"",$A$4+222)</f>
        <v>46245</v>
      </c>
      <c r="N22261">
        <f>IF(M22261="","",'Master Barang'!A55)</f>
        <v>0</v>
      </c>
      <c r="O22261">
        <f>IF(N22261="","",'Master Barang'!B55)</f>
        <v>0</v>
      </c>
      <c r="P22261">
        <f>IF(OR(M22261="",N22261=""),"",SUMIFS('Barang Keluar'!$E:$E,'Barang Keluar'!$A:$A,M22261,'Barang Keluar'!$C:$C,N22261))</f>
        <v>0</v>
      </c>
    </row>
    <row r="22262" spans="13:16">
      <c r="M22262" s="49">
        <f>IF($A$4+222&gt;$B$4,"",$A$4+222)</f>
        <v>46245</v>
      </c>
      <c r="N22262">
        <f>IF(M22262="","",'Master Barang'!A56)</f>
        <v>0</v>
      </c>
      <c r="O22262">
        <f>IF(N22262="","",'Master Barang'!B56)</f>
        <v>0</v>
      </c>
      <c r="P22262">
        <f>IF(OR(M22262="",N22262=""),"",SUMIFS('Barang Keluar'!$E:$E,'Barang Keluar'!$A:$A,M22262,'Barang Keluar'!$C:$C,N22262))</f>
        <v>0</v>
      </c>
    </row>
    <row r="22263" spans="13:16">
      <c r="M22263" s="49">
        <f>IF($A$4+222&gt;$B$4,"",$A$4+222)</f>
        <v>46245</v>
      </c>
      <c r="N22263">
        <f>IF(M22263="","",'Master Barang'!A57)</f>
        <v>0</v>
      </c>
      <c r="O22263">
        <f>IF(N22263="","",'Master Barang'!B57)</f>
        <v>0</v>
      </c>
      <c r="P22263">
        <f>IF(OR(M22263="",N22263=""),"",SUMIFS('Barang Keluar'!$E:$E,'Barang Keluar'!$A:$A,M22263,'Barang Keluar'!$C:$C,N22263))</f>
        <v>0</v>
      </c>
    </row>
    <row r="22264" spans="13:16">
      <c r="M22264" s="49">
        <f>IF($A$4+222&gt;$B$4,"",$A$4+222)</f>
        <v>46245</v>
      </c>
      <c r="N22264">
        <f>IF(M22264="","",'Master Barang'!A58)</f>
        <v>0</v>
      </c>
      <c r="O22264">
        <f>IF(N22264="","",'Master Barang'!B58)</f>
        <v>0</v>
      </c>
      <c r="P22264">
        <f>IF(OR(M22264="",N22264=""),"",SUMIFS('Barang Keluar'!$E:$E,'Barang Keluar'!$A:$A,M22264,'Barang Keluar'!$C:$C,N22264))</f>
        <v>0</v>
      </c>
    </row>
    <row r="22265" spans="13:16">
      <c r="M22265" s="49">
        <f>IF($A$4+222&gt;$B$4,"",$A$4+222)</f>
        <v>46245</v>
      </c>
      <c r="N22265">
        <f>IF(M22265="","",'Master Barang'!A59)</f>
        <v>0</v>
      </c>
      <c r="O22265">
        <f>IF(N22265="","",'Master Barang'!B59)</f>
        <v>0</v>
      </c>
      <c r="P22265">
        <f>IF(OR(M22265="",N22265=""),"",SUMIFS('Barang Keluar'!$E:$E,'Barang Keluar'!$A:$A,M22265,'Barang Keluar'!$C:$C,N22265))</f>
        <v>0</v>
      </c>
    </row>
    <row r="22266" spans="13:16">
      <c r="M22266" s="49">
        <f>IF($A$4+222&gt;$B$4,"",$A$4+222)</f>
        <v>46245</v>
      </c>
      <c r="N22266">
        <f>IF(M22266="","",'Master Barang'!A60)</f>
        <v>0</v>
      </c>
      <c r="O22266">
        <f>IF(N22266="","",'Master Barang'!B60)</f>
        <v>0</v>
      </c>
      <c r="P22266">
        <f>IF(OR(M22266="",N22266=""),"",SUMIFS('Barang Keluar'!$E:$E,'Barang Keluar'!$A:$A,M22266,'Barang Keluar'!$C:$C,N22266))</f>
        <v>0</v>
      </c>
    </row>
    <row r="22267" spans="13:16">
      <c r="M22267" s="49">
        <f>IF($A$4+222&gt;$B$4,"",$A$4+222)</f>
        <v>46245</v>
      </c>
      <c r="N22267">
        <f>IF(M22267="","",'Master Barang'!A61)</f>
        <v>0</v>
      </c>
      <c r="O22267">
        <f>IF(N22267="","",'Master Barang'!B61)</f>
        <v>0</v>
      </c>
      <c r="P22267">
        <f>IF(OR(M22267="",N22267=""),"",SUMIFS('Barang Keluar'!$E:$E,'Barang Keluar'!$A:$A,M22267,'Barang Keluar'!$C:$C,N22267))</f>
        <v>0</v>
      </c>
    </row>
    <row r="22268" spans="13:16">
      <c r="M22268" s="49">
        <f>IF($A$4+222&gt;$B$4,"",$A$4+222)</f>
        <v>46245</v>
      </c>
      <c r="N22268">
        <f>IF(M22268="","",'Master Barang'!A62)</f>
        <v>0</v>
      </c>
      <c r="O22268">
        <f>IF(N22268="","",'Master Barang'!B62)</f>
        <v>0</v>
      </c>
      <c r="P22268">
        <f>IF(OR(M22268="",N22268=""),"",SUMIFS('Barang Keluar'!$E:$E,'Barang Keluar'!$A:$A,M22268,'Barang Keluar'!$C:$C,N22268))</f>
        <v>0</v>
      </c>
    </row>
    <row r="22269" spans="13:16">
      <c r="M22269" s="49">
        <f>IF($A$4+222&gt;$B$4,"",$A$4+222)</f>
        <v>46245</v>
      </c>
      <c r="N22269">
        <f>IF(M22269="","",'Master Barang'!A63)</f>
        <v>0</v>
      </c>
      <c r="O22269">
        <f>IF(N22269="","",'Master Barang'!B63)</f>
        <v>0</v>
      </c>
      <c r="P22269">
        <f>IF(OR(M22269="",N22269=""),"",SUMIFS('Barang Keluar'!$E:$E,'Barang Keluar'!$A:$A,M22269,'Barang Keluar'!$C:$C,N22269))</f>
        <v>0</v>
      </c>
    </row>
    <row r="22270" spans="13:16">
      <c r="M22270" s="49">
        <f>IF($A$4+222&gt;$B$4,"",$A$4+222)</f>
        <v>46245</v>
      </c>
      <c r="N22270">
        <f>IF(M22270="","",'Master Barang'!A64)</f>
        <v>0</v>
      </c>
      <c r="O22270">
        <f>IF(N22270="","",'Master Barang'!B64)</f>
        <v>0</v>
      </c>
      <c r="P22270">
        <f>IF(OR(M22270="",N22270=""),"",SUMIFS('Barang Keluar'!$E:$E,'Barang Keluar'!$A:$A,M22270,'Barang Keluar'!$C:$C,N22270))</f>
        <v>0</v>
      </c>
    </row>
    <row r="22271" spans="13:16">
      <c r="M22271" s="49">
        <f>IF($A$4+222&gt;$B$4,"",$A$4+222)</f>
        <v>46245</v>
      </c>
      <c r="N22271">
        <f>IF(M22271="","",'Master Barang'!A65)</f>
        <v>0</v>
      </c>
      <c r="O22271">
        <f>IF(N22271="","",'Master Barang'!B65)</f>
        <v>0</v>
      </c>
      <c r="P22271">
        <f>IF(OR(M22271="",N22271=""),"",SUMIFS('Barang Keluar'!$E:$E,'Barang Keluar'!$A:$A,M22271,'Barang Keluar'!$C:$C,N22271))</f>
        <v>0</v>
      </c>
    </row>
    <row r="22272" spans="13:16">
      <c r="M22272" s="49">
        <f>IF($A$4+222&gt;$B$4,"",$A$4+222)</f>
        <v>46245</v>
      </c>
      <c r="N22272">
        <f>IF(M22272="","",'Master Barang'!A66)</f>
        <v>0</v>
      </c>
      <c r="O22272">
        <f>IF(N22272="","",'Master Barang'!B66)</f>
        <v>0</v>
      </c>
      <c r="P22272">
        <f>IF(OR(M22272="",N22272=""),"",SUMIFS('Barang Keluar'!$E:$E,'Barang Keluar'!$A:$A,M22272,'Barang Keluar'!$C:$C,N22272))</f>
        <v>0</v>
      </c>
    </row>
    <row r="22273" spans="13:16">
      <c r="M22273" s="49">
        <f>IF($A$4+222&gt;$B$4,"",$A$4+222)</f>
        <v>46245</v>
      </c>
      <c r="N22273">
        <f>IF(M22273="","",'Master Barang'!A67)</f>
        <v>0</v>
      </c>
      <c r="O22273">
        <f>IF(N22273="","",'Master Barang'!B67)</f>
        <v>0</v>
      </c>
      <c r="P22273">
        <f>IF(OR(M22273="",N22273=""),"",SUMIFS('Barang Keluar'!$E:$E,'Barang Keluar'!$A:$A,M22273,'Barang Keluar'!$C:$C,N22273))</f>
        <v>0</v>
      </c>
    </row>
    <row r="22274" spans="13:16">
      <c r="M22274" s="49">
        <f>IF($A$4+222&gt;$B$4,"",$A$4+222)</f>
        <v>46245</v>
      </c>
      <c r="N22274">
        <f>IF(M22274="","",'Master Barang'!A68)</f>
        <v>0</v>
      </c>
      <c r="O22274">
        <f>IF(N22274="","",'Master Barang'!B68)</f>
        <v>0</v>
      </c>
      <c r="P22274">
        <f>IF(OR(M22274="",N22274=""),"",SUMIFS('Barang Keluar'!$E:$E,'Barang Keluar'!$A:$A,M22274,'Barang Keluar'!$C:$C,N22274))</f>
        <v>0</v>
      </c>
    </row>
    <row r="22275" spans="13:16">
      <c r="M22275" s="49">
        <f>IF($A$4+222&gt;$B$4,"",$A$4+222)</f>
        <v>46245</v>
      </c>
      <c r="N22275">
        <f>IF(M22275="","",'Master Barang'!A69)</f>
        <v>0</v>
      </c>
      <c r="O22275">
        <f>IF(N22275="","",'Master Barang'!B69)</f>
        <v>0</v>
      </c>
      <c r="P22275">
        <f>IF(OR(M22275="",N22275=""),"",SUMIFS('Barang Keluar'!$E:$E,'Barang Keluar'!$A:$A,M22275,'Barang Keluar'!$C:$C,N22275))</f>
        <v>0</v>
      </c>
    </row>
    <row r="22276" spans="13:16">
      <c r="M22276" s="49">
        <f>IF($A$4+222&gt;$B$4,"",$A$4+222)</f>
        <v>46245</v>
      </c>
      <c r="N22276">
        <f>IF(M22276="","",'Master Barang'!A70)</f>
        <v>0</v>
      </c>
      <c r="O22276">
        <f>IF(N22276="","",'Master Barang'!B70)</f>
        <v>0</v>
      </c>
      <c r="P22276">
        <f>IF(OR(M22276="",N22276=""),"",SUMIFS('Barang Keluar'!$E:$E,'Barang Keluar'!$A:$A,M22276,'Barang Keluar'!$C:$C,N22276))</f>
        <v>0</v>
      </c>
    </row>
    <row r="22277" spans="13:16">
      <c r="M22277" s="49">
        <f>IF($A$4+222&gt;$B$4,"",$A$4+222)</f>
        <v>46245</v>
      </c>
      <c r="N22277">
        <f>IF(M22277="","",'Master Barang'!A71)</f>
        <v>0</v>
      </c>
      <c r="O22277">
        <f>IF(N22277="","",'Master Barang'!B71)</f>
        <v>0</v>
      </c>
      <c r="P22277">
        <f>IF(OR(M22277="",N22277=""),"",SUMIFS('Barang Keluar'!$E:$E,'Barang Keluar'!$A:$A,M22277,'Barang Keluar'!$C:$C,N22277))</f>
        <v>0</v>
      </c>
    </row>
    <row r="22278" spans="13:16">
      <c r="M22278" s="49">
        <f>IF($A$4+222&gt;$B$4,"",$A$4+222)</f>
        <v>46245</v>
      </c>
      <c r="N22278">
        <f>IF(M22278="","",'Master Barang'!A72)</f>
        <v>0</v>
      </c>
      <c r="O22278">
        <f>IF(N22278="","",'Master Barang'!B72)</f>
        <v>0</v>
      </c>
      <c r="P22278">
        <f>IF(OR(M22278="",N22278=""),"",SUMIFS('Barang Keluar'!$E:$E,'Barang Keluar'!$A:$A,M22278,'Barang Keluar'!$C:$C,N22278))</f>
        <v>0</v>
      </c>
    </row>
    <row r="22279" spans="13:16">
      <c r="M22279" s="49">
        <f>IF($A$4+222&gt;$B$4,"",$A$4+222)</f>
        <v>46245</v>
      </c>
      <c r="N22279">
        <f>IF(M22279="","",'Master Barang'!A73)</f>
        <v>0</v>
      </c>
      <c r="O22279">
        <f>IF(N22279="","",'Master Barang'!B73)</f>
        <v>0</v>
      </c>
      <c r="P22279">
        <f>IF(OR(M22279="",N22279=""),"",SUMIFS('Barang Keluar'!$E:$E,'Barang Keluar'!$A:$A,M22279,'Barang Keluar'!$C:$C,N22279))</f>
        <v>0</v>
      </c>
    </row>
    <row r="22280" spans="13:16">
      <c r="M22280" s="49">
        <f>IF($A$4+222&gt;$B$4,"",$A$4+222)</f>
        <v>46245</v>
      </c>
      <c r="N22280">
        <f>IF(M22280="","",'Master Barang'!A74)</f>
        <v>0</v>
      </c>
      <c r="O22280">
        <f>IF(N22280="","",'Master Barang'!B74)</f>
        <v>0</v>
      </c>
      <c r="P22280">
        <f>IF(OR(M22280="",N22280=""),"",SUMIFS('Barang Keluar'!$E:$E,'Barang Keluar'!$A:$A,M22280,'Barang Keluar'!$C:$C,N22280))</f>
        <v>0</v>
      </c>
    </row>
    <row r="22281" spans="13:16">
      <c r="M22281" s="49">
        <f>IF($A$4+222&gt;$B$4,"",$A$4+222)</f>
        <v>46245</v>
      </c>
      <c r="N22281">
        <f>IF(M22281="","",'Master Barang'!A75)</f>
        <v>0</v>
      </c>
      <c r="O22281">
        <f>IF(N22281="","",'Master Barang'!B75)</f>
        <v>0</v>
      </c>
      <c r="P22281">
        <f>IF(OR(M22281="",N22281=""),"",SUMIFS('Barang Keluar'!$E:$E,'Barang Keluar'!$A:$A,M22281,'Barang Keluar'!$C:$C,N22281))</f>
        <v>0</v>
      </c>
    </row>
    <row r="22282" spans="13:16">
      <c r="M22282" s="49">
        <f>IF($A$4+222&gt;$B$4,"",$A$4+222)</f>
        <v>46245</v>
      </c>
      <c r="N22282">
        <f>IF(M22282="","",'Master Barang'!A76)</f>
        <v>0</v>
      </c>
      <c r="O22282">
        <f>IF(N22282="","",'Master Barang'!B76)</f>
        <v>0</v>
      </c>
      <c r="P22282">
        <f>IF(OR(M22282="",N22282=""),"",SUMIFS('Barang Keluar'!$E:$E,'Barang Keluar'!$A:$A,M22282,'Barang Keluar'!$C:$C,N22282))</f>
        <v>0</v>
      </c>
    </row>
    <row r="22283" spans="13:16">
      <c r="M22283" s="49">
        <f>IF($A$4+222&gt;$B$4,"",$A$4+222)</f>
        <v>46245</v>
      </c>
      <c r="N22283">
        <f>IF(M22283="","",'Master Barang'!A77)</f>
        <v>0</v>
      </c>
      <c r="O22283">
        <f>IF(N22283="","",'Master Barang'!B77)</f>
        <v>0</v>
      </c>
      <c r="P22283">
        <f>IF(OR(M22283="",N22283=""),"",SUMIFS('Barang Keluar'!$E:$E,'Barang Keluar'!$A:$A,M22283,'Barang Keluar'!$C:$C,N22283))</f>
        <v>0</v>
      </c>
    </row>
    <row r="22284" spans="13:16">
      <c r="M22284" s="49">
        <f>IF($A$4+222&gt;$B$4,"",$A$4+222)</f>
        <v>46245</v>
      </c>
      <c r="N22284">
        <f>IF(M22284="","",'Master Barang'!A78)</f>
        <v>0</v>
      </c>
      <c r="O22284">
        <f>IF(N22284="","",'Master Barang'!B78)</f>
        <v>0</v>
      </c>
      <c r="P22284">
        <f>IF(OR(M22284="",N22284=""),"",SUMIFS('Barang Keluar'!$E:$E,'Barang Keluar'!$A:$A,M22284,'Barang Keluar'!$C:$C,N22284))</f>
        <v>0</v>
      </c>
    </row>
    <row r="22285" spans="13:16">
      <c r="M22285" s="49">
        <f>IF($A$4+222&gt;$B$4,"",$A$4+222)</f>
        <v>46245</v>
      </c>
      <c r="N22285">
        <f>IF(M22285="","",'Master Barang'!A79)</f>
        <v>0</v>
      </c>
      <c r="O22285">
        <f>IF(N22285="","",'Master Barang'!B79)</f>
        <v>0</v>
      </c>
      <c r="P22285">
        <f>IF(OR(M22285="",N22285=""),"",SUMIFS('Barang Keluar'!$E:$E,'Barang Keluar'!$A:$A,M22285,'Barang Keluar'!$C:$C,N22285))</f>
        <v>0</v>
      </c>
    </row>
    <row r="22286" spans="13:16">
      <c r="M22286" s="49">
        <f>IF($A$4+222&gt;$B$4,"",$A$4+222)</f>
        <v>46245</v>
      </c>
      <c r="N22286">
        <f>IF(M22286="","",'Master Barang'!A80)</f>
        <v>0</v>
      </c>
      <c r="O22286">
        <f>IF(N22286="","",'Master Barang'!B80)</f>
        <v>0</v>
      </c>
      <c r="P22286">
        <f>IF(OR(M22286="",N22286=""),"",SUMIFS('Barang Keluar'!$E:$E,'Barang Keluar'!$A:$A,M22286,'Barang Keluar'!$C:$C,N22286))</f>
        <v>0</v>
      </c>
    </row>
    <row r="22287" spans="13:16">
      <c r="M22287" s="49">
        <f>IF($A$4+222&gt;$B$4,"",$A$4+222)</f>
        <v>46245</v>
      </c>
      <c r="N22287">
        <f>IF(M22287="","",'Master Barang'!A81)</f>
        <v>0</v>
      </c>
      <c r="O22287">
        <f>IF(N22287="","",'Master Barang'!B81)</f>
        <v>0</v>
      </c>
      <c r="P22287">
        <f>IF(OR(M22287="",N22287=""),"",SUMIFS('Barang Keluar'!$E:$E,'Barang Keluar'!$A:$A,M22287,'Barang Keluar'!$C:$C,N22287))</f>
        <v>0</v>
      </c>
    </row>
    <row r="22288" spans="13:16">
      <c r="M22288" s="49">
        <f>IF($A$4+222&gt;$B$4,"",$A$4+222)</f>
        <v>46245</v>
      </c>
      <c r="N22288">
        <f>IF(M22288="","",'Master Barang'!A82)</f>
        <v>0</v>
      </c>
      <c r="O22288">
        <f>IF(N22288="","",'Master Barang'!B82)</f>
        <v>0</v>
      </c>
      <c r="P22288">
        <f>IF(OR(M22288="",N22288=""),"",SUMIFS('Barang Keluar'!$E:$E,'Barang Keluar'!$A:$A,M22288,'Barang Keluar'!$C:$C,N22288))</f>
        <v>0</v>
      </c>
    </row>
    <row r="22289" spans="13:16">
      <c r="M22289" s="49">
        <f>IF($A$4+222&gt;$B$4,"",$A$4+222)</f>
        <v>46245</v>
      </c>
      <c r="N22289">
        <f>IF(M22289="","",'Master Barang'!A83)</f>
        <v>0</v>
      </c>
      <c r="O22289">
        <f>IF(N22289="","",'Master Barang'!B83)</f>
        <v>0</v>
      </c>
      <c r="P22289">
        <f>IF(OR(M22289="",N22289=""),"",SUMIFS('Barang Keluar'!$E:$E,'Barang Keluar'!$A:$A,M22289,'Barang Keluar'!$C:$C,N22289))</f>
        <v>0</v>
      </c>
    </row>
    <row r="22290" spans="13:16">
      <c r="M22290" s="49">
        <f>IF($A$4+222&gt;$B$4,"",$A$4+222)</f>
        <v>46245</v>
      </c>
      <c r="N22290">
        <f>IF(M22290="","",'Master Barang'!A84)</f>
        <v>0</v>
      </c>
      <c r="O22290">
        <f>IF(N22290="","",'Master Barang'!B84)</f>
        <v>0</v>
      </c>
      <c r="P22290">
        <f>IF(OR(M22290="",N22290=""),"",SUMIFS('Barang Keluar'!$E:$E,'Barang Keluar'!$A:$A,M22290,'Barang Keluar'!$C:$C,N22290))</f>
        <v>0</v>
      </c>
    </row>
    <row r="22291" spans="13:16">
      <c r="M22291" s="49">
        <f>IF($A$4+222&gt;$B$4,"",$A$4+222)</f>
        <v>46245</v>
      </c>
      <c r="N22291">
        <f>IF(M22291="","",'Master Barang'!A85)</f>
        <v>0</v>
      </c>
      <c r="O22291">
        <f>IF(N22291="","",'Master Barang'!B85)</f>
        <v>0</v>
      </c>
      <c r="P22291">
        <f>IF(OR(M22291="",N22291=""),"",SUMIFS('Barang Keluar'!$E:$E,'Barang Keluar'!$A:$A,M22291,'Barang Keluar'!$C:$C,N22291))</f>
        <v>0</v>
      </c>
    </row>
    <row r="22292" spans="13:16">
      <c r="M22292" s="49">
        <f>IF($A$4+222&gt;$B$4,"",$A$4+222)</f>
        <v>46245</v>
      </c>
      <c r="N22292">
        <f>IF(M22292="","",'Master Barang'!A86)</f>
        <v>0</v>
      </c>
      <c r="O22292">
        <f>IF(N22292="","",'Master Barang'!B86)</f>
        <v>0</v>
      </c>
      <c r="P22292">
        <f>IF(OR(M22292="",N22292=""),"",SUMIFS('Barang Keluar'!$E:$E,'Barang Keluar'!$A:$A,M22292,'Barang Keluar'!$C:$C,N22292))</f>
        <v>0</v>
      </c>
    </row>
    <row r="22293" spans="13:16">
      <c r="M22293" s="49">
        <f>IF($A$4+222&gt;$B$4,"",$A$4+222)</f>
        <v>46245</v>
      </c>
      <c r="N22293">
        <f>IF(M22293="","",'Master Barang'!A87)</f>
        <v>0</v>
      </c>
      <c r="O22293">
        <f>IF(N22293="","",'Master Barang'!B87)</f>
        <v>0</v>
      </c>
      <c r="P22293">
        <f>IF(OR(M22293="",N22293=""),"",SUMIFS('Barang Keluar'!$E:$E,'Barang Keluar'!$A:$A,M22293,'Barang Keluar'!$C:$C,N22293))</f>
        <v>0</v>
      </c>
    </row>
    <row r="22294" spans="13:16">
      <c r="M22294" s="49">
        <f>IF($A$4+222&gt;$B$4,"",$A$4+222)</f>
        <v>46245</v>
      </c>
      <c r="N22294">
        <f>IF(M22294="","",'Master Barang'!A88)</f>
        <v>0</v>
      </c>
      <c r="O22294">
        <f>IF(N22294="","",'Master Barang'!B88)</f>
        <v>0</v>
      </c>
      <c r="P22294">
        <f>IF(OR(M22294="",N22294=""),"",SUMIFS('Barang Keluar'!$E:$E,'Barang Keluar'!$A:$A,M22294,'Barang Keluar'!$C:$C,N22294))</f>
        <v>0</v>
      </c>
    </row>
    <row r="22295" spans="13:16">
      <c r="M22295" s="49">
        <f>IF($A$4+222&gt;$B$4,"",$A$4+222)</f>
        <v>46245</v>
      </c>
      <c r="N22295">
        <f>IF(M22295="","",'Master Barang'!A89)</f>
        <v>0</v>
      </c>
      <c r="O22295">
        <f>IF(N22295="","",'Master Barang'!B89)</f>
        <v>0</v>
      </c>
      <c r="P22295">
        <f>IF(OR(M22295="",N22295=""),"",SUMIFS('Barang Keluar'!$E:$E,'Barang Keluar'!$A:$A,M22295,'Barang Keluar'!$C:$C,N22295))</f>
        <v>0</v>
      </c>
    </row>
    <row r="22296" spans="13:16">
      <c r="M22296" s="49">
        <f>IF($A$4+222&gt;$B$4,"",$A$4+222)</f>
        <v>46245</v>
      </c>
      <c r="N22296">
        <f>IF(M22296="","",'Master Barang'!A90)</f>
        <v>0</v>
      </c>
      <c r="O22296">
        <f>IF(N22296="","",'Master Barang'!B90)</f>
        <v>0</v>
      </c>
      <c r="P22296">
        <f>IF(OR(M22296="",N22296=""),"",SUMIFS('Barang Keluar'!$E:$E,'Barang Keluar'!$A:$A,M22296,'Barang Keluar'!$C:$C,N22296))</f>
        <v>0</v>
      </c>
    </row>
    <row r="22297" spans="13:16">
      <c r="M22297" s="49">
        <f>IF($A$4+222&gt;$B$4,"",$A$4+222)</f>
        <v>46245</v>
      </c>
      <c r="N22297">
        <f>IF(M22297="","",'Master Barang'!A91)</f>
        <v>0</v>
      </c>
      <c r="O22297">
        <f>IF(N22297="","",'Master Barang'!B91)</f>
        <v>0</v>
      </c>
      <c r="P22297">
        <f>IF(OR(M22297="",N22297=""),"",SUMIFS('Barang Keluar'!$E:$E,'Barang Keluar'!$A:$A,M22297,'Barang Keluar'!$C:$C,N22297))</f>
        <v>0</v>
      </c>
    </row>
    <row r="22298" spans="13:16">
      <c r="M22298" s="49">
        <f>IF($A$4+222&gt;$B$4,"",$A$4+222)</f>
        <v>46245</v>
      </c>
      <c r="N22298">
        <f>IF(M22298="","",'Master Barang'!A92)</f>
        <v>0</v>
      </c>
      <c r="O22298">
        <f>IF(N22298="","",'Master Barang'!B92)</f>
        <v>0</v>
      </c>
      <c r="P22298">
        <f>IF(OR(M22298="",N22298=""),"",SUMIFS('Barang Keluar'!$E:$E,'Barang Keluar'!$A:$A,M22298,'Barang Keluar'!$C:$C,N22298))</f>
        <v>0</v>
      </c>
    </row>
    <row r="22299" spans="13:16">
      <c r="M22299" s="49">
        <f>IF($A$4+222&gt;$B$4,"",$A$4+222)</f>
        <v>46245</v>
      </c>
      <c r="N22299">
        <f>IF(M22299="","",'Master Barang'!A93)</f>
        <v>0</v>
      </c>
      <c r="O22299">
        <f>IF(N22299="","",'Master Barang'!B93)</f>
        <v>0</v>
      </c>
      <c r="P22299">
        <f>IF(OR(M22299="",N22299=""),"",SUMIFS('Barang Keluar'!$E:$E,'Barang Keluar'!$A:$A,M22299,'Barang Keluar'!$C:$C,N22299))</f>
        <v>0</v>
      </c>
    </row>
    <row r="22300" spans="13:16">
      <c r="M22300" s="49">
        <f>IF($A$4+222&gt;$B$4,"",$A$4+222)</f>
        <v>46245</v>
      </c>
      <c r="N22300">
        <f>IF(M22300="","",'Master Barang'!A94)</f>
        <v>0</v>
      </c>
      <c r="O22300">
        <f>IF(N22300="","",'Master Barang'!B94)</f>
        <v>0</v>
      </c>
      <c r="P22300">
        <f>IF(OR(M22300="",N22300=""),"",SUMIFS('Barang Keluar'!$E:$E,'Barang Keluar'!$A:$A,M22300,'Barang Keluar'!$C:$C,N22300))</f>
        <v>0</v>
      </c>
    </row>
    <row r="22301" spans="13:16">
      <c r="M22301" s="49">
        <f>IF($A$4+222&gt;$B$4,"",$A$4+222)</f>
        <v>46245</v>
      </c>
      <c r="N22301">
        <f>IF(M22301="","",'Master Barang'!A95)</f>
        <v>0</v>
      </c>
      <c r="O22301">
        <f>IF(N22301="","",'Master Barang'!B95)</f>
        <v>0</v>
      </c>
      <c r="P22301">
        <f>IF(OR(M22301="",N22301=""),"",SUMIFS('Barang Keluar'!$E:$E,'Barang Keluar'!$A:$A,M22301,'Barang Keluar'!$C:$C,N22301))</f>
        <v>0</v>
      </c>
    </row>
    <row r="22302" spans="13:16">
      <c r="M22302" s="49">
        <f>IF($A$4+222&gt;$B$4,"",$A$4+222)</f>
        <v>46245</v>
      </c>
      <c r="N22302">
        <f>IF(M22302="","",'Master Barang'!A96)</f>
        <v>0</v>
      </c>
      <c r="O22302">
        <f>IF(N22302="","",'Master Barang'!B96)</f>
        <v>0</v>
      </c>
      <c r="P22302">
        <f>IF(OR(M22302="",N22302=""),"",SUMIFS('Barang Keluar'!$E:$E,'Barang Keluar'!$A:$A,M22302,'Barang Keluar'!$C:$C,N22302))</f>
        <v>0</v>
      </c>
    </row>
    <row r="22303" spans="13:16">
      <c r="M22303" s="49">
        <f>IF($A$4+222&gt;$B$4,"",$A$4+222)</f>
        <v>46245</v>
      </c>
      <c r="N22303">
        <f>IF(M22303="","",'Master Barang'!A97)</f>
        <v>0</v>
      </c>
      <c r="O22303">
        <f>IF(N22303="","",'Master Barang'!B97)</f>
        <v>0</v>
      </c>
      <c r="P22303">
        <f>IF(OR(M22303="",N22303=""),"",SUMIFS('Barang Keluar'!$E:$E,'Barang Keluar'!$A:$A,M22303,'Barang Keluar'!$C:$C,N22303))</f>
        <v>0</v>
      </c>
    </row>
    <row r="22304" spans="13:16">
      <c r="M22304" s="49">
        <f>IF($A$4+222&gt;$B$4,"",$A$4+222)</f>
        <v>46245</v>
      </c>
      <c r="N22304">
        <f>IF(M22304="","",'Master Barang'!A98)</f>
        <v>0</v>
      </c>
      <c r="O22304">
        <f>IF(N22304="","",'Master Barang'!B98)</f>
        <v>0</v>
      </c>
      <c r="P22304">
        <f>IF(OR(M22304="",N22304=""),"",SUMIFS('Barang Keluar'!$E:$E,'Barang Keluar'!$A:$A,M22304,'Barang Keluar'!$C:$C,N22304))</f>
        <v>0</v>
      </c>
    </row>
    <row r="22305" spans="13:16">
      <c r="M22305" s="49">
        <f>IF($A$4+222&gt;$B$4,"",$A$4+222)</f>
        <v>46245</v>
      </c>
      <c r="N22305">
        <f>IF(M22305="","",'Master Barang'!A99)</f>
        <v>0</v>
      </c>
      <c r="O22305">
        <f>IF(N22305="","",'Master Barang'!B99)</f>
        <v>0</v>
      </c>
      <c r="P22305">
        <f>IF(OR(M22305="",N22305=""),"",SUMIFS('Barang Keluar'!$E:$E,'Barang Keluar'!$A:$A,M22305,'Barang Keluar'!$C:$C,N22305))</f>
        <v>0</v>
      </c>
    </row>
    <row r="22306" spans="13:16">
      <c r="M22306" s="49">
        <f>IF($A$4+222&gt;$B$4,"",$A$4+222)</f>
        <v>46245</v>
      </c>
      <c r="N22306">
        <f>IF(M22306="","",'Master Barang'!A100)</f>
        <v>0</v>
      </c>
      <c r="O22306">
        <f>IF(N22306="","",'Master Barang'!B100)</f>
        <v>0</v>
      </c>
      <c r="P22306">
        <f>IF(OR(M22306="",N22306=""),"",SUMIFS('Barang Keluar'!$E:$E,'Barang Keluar'!$A:$A,M22306,'Barang Keluar'!$C:$C,N22306))</f>
        <v>0</v>
      </c>
    </row>
    <row r="22307" spans="13:16">
      <c r="M22307" s="49">
        <f>IF($A$4+222&gt;$B$4,"",$A$4+222)</f>
        <v>46245</v>
      </c>
      <c r="N22307">
        <f>IF(M22307="","",'Master Barang'!A101)</f>
        <v>0</v>
      </c>
      <c r="O22307">
        <f>IF(N22307="","",'Master Barang'!B101)</f>
        <v>0</v>
      </c>
      <c r="P22307">
        <f>IF(OR(M22307="",N22307=""),"",SUMIFS('Barang Keluar'!$E:$E,'Barang Keluar'!$A:$A,M22307,'Barang Keluar'!$C:$C,N22307))</f>
        <v>0</v>
      </c>
    </row>
    <row r="22308" spans="13:16">
      <c r="M22308" s="49">
        <f>IF($A$4+223&gt;$B$4,"",$A$4+223)</f>
        <v>46246</v>
      </c>
      <c r="N22308" t="str">
        <f>IF(M22308="","",'Master Barang'!A2)</f>
        <v>PRL-001</v>
      </c>
      <c r="O22308" t="str">
        <f>IF(N22308="","",'Master Barang'!B2)</f>
        <v>natura desinfectant food grade 5l</v>
      </c>
      <c r="P22308">
        <f>IF(OR(M22308="",N22308=""),"",SUMIFS('Barang Keluar'!$E:$E,'Barang Keluar'!$A:$A,M22308,'Barang Keluar'!$C:$C,N22308))</f>
        <v>0</v>
      </c>
    </row>
    <row r="22309" spans="13:16">
      <c r="M22309" s="49">
        <f>IF($A$4+223&gt;$B$4,"",$A$4+223)</f>
        <v>46246</v>
      </c>
      <c r="N22309" t="str">
        <f>IF(M22309="","",'Master Barang'!A3)</f>
        <v>PRL-002</v>
      </c>
      <c r="O22309" t="str">
        <f>IF(N22309="","",'Master Barang'!B3)</f>
        <v>sunlight cairan pencuci piring 5l</v>
      </c>
      <c r="P22309">
        <f>IF(OR(M22309="",N22309=""),"",SUMIFS('Barang Keluar'!$E:$E,'Barang Keluar'!$A:$A,M22309,'Barang Keluar'!$C:$C,N22309))</f>
        <v>0</v>
      </c>
    </row>
    <row r="22310" spans="13:16">
      <c r="M22310" s="49">
        <f>IF($A$4+223&gt;$B$4,"",$A$4+223)</f>
        <v>46246</v>
      </c>
      <c r="N22310" t="str">
        <f>IF(M22310="","",'Master Barang'!A4)</f>
        <v>PRL-003</v>
      </c>
      <c r="O22310" t="str">
        <f>IF(N22310="","",'Master Barang'!B4)</f>
        <v>oixs cleaner 1l</v>
      </c>
      <c r="P22310">
        <f>IF(OR(M22310="",N22310=""),"",SUMIFS('Barang Keluar'!$E:$E,'Barang Keluar'!$A:$A,M22310,'Barang Keluar'!$C:$C,N22310))</f>
        <v>0</v>
      </c>
    </row>
    <row r="22311" spans="13:16">
      <c r="M22311" s="49">
        <f>IF($A$4+223&gt;$B$4,"",$A$4+223)</f>
        <v>46246</v>
      </c>
      <c r="N22311" t="str">
        <f>IF(M22311="","",'Master Barang'!A5)</f>
        <v>PRL-004</v>
      </c>
      <c r="O22311" t="str">
        <f>IF(N22311="","",'Master Barang'!B5)</f>
        <v>be clean tissue serbaguna</v>
      </c>
      <c r="P22311">
        <f>IF(OR(M22311="",N22311=""),"",SUMIFS('Barang Keluar'!$E:$E,'Barang Keluar'!$A:$A,M22311,'Barang Keluar'!$C:$C,N22311))</f>
        <v>0</v>
      </c>
    </row>
    <row r="22312" spans="13:16">
      <c r="M22312" s="49">
        <f>IF($A$4+223&gt;$B$4,"",$A$4+223)</f>
        <v>46246</v>
      </c>
      <c r="N22312" t="str">
        <f>IF(M22312="","",'Master Barang'!A6)</f>
        <v>PRL-005</v>
      </c>
      <c r="O22312" t="str">
        <f>IF(N22312="","",'Master Barang'!B6)</f>
        <v>spons cuci hijau</v>
      </c>
      <c r="P22312">
        <f>IF(OR(M22312="",N22312=""),"",SUMIFS('Barang Keluar'!$E:$E,'Barang Keluar'!$A:$A,M22312,'Barang Keluar'!$C:$C,N22312))</f>
        <v>0</v>
      </c>
    </row>
    <row r="22313" spans="13:16">
      <c r="M22313" s="49">
        <f>IF($A$4+223&gt;$B$4,"",$A$4+223)</f>
        <v>46246</v>
      </c>
      <c r="N22313" t="str">
        <f>IF(M22313="","",'Master Barang'!A7)</f>
        <v>PRL-006</v>
      </c>
      <c r="O22313" t="str">
        <f>IF(N22313="","",'Master Barang'!B7)</f>
        <v>sabut cuci stainless</v>
      </c>
      <c r="P22313">
        <f>IF(OR(M22313="",N22313=""),"",SUMIFS('Barang Keluar'!$E:$E,'Barang Keluar'!$A:$A,M22313,'Barang Keluar'!$C:$C,N22313))</f>
        <v>0</v>
      </c>
    </row>
    <row r="22314" spans="13:16">
      <c r="M22314" s="49">
        <f>IF($A$4+223&gt;$B$4,"",$A$4+223)</f>
        <v>46246</v>
      </c>
      <c r="N22314" t="str">
        <f>IF(M22314="","",'Master Barang'!A8)</f>
        <v>PRL-007</v>
      </c>
      <c r="O22314" t="str">
        <f>IF(N22314="","",'Master Barang'!B8)</f>
        <v>plastik kresek besar merah 50pc</v>
      </c>
      <c r="P22314">
        <f>IF(OR(M22314="",N22314=""),"",SUMIFS('Barang Keluar'!$E:$E,'Barang Keluar'!$A:$A,M22314,'Barang Keluar'!$C:$C,N22314))</f>
        <v>0</v>
      </c>
    </row>
    <row r="22315" spans="13:16">
      <c r="M22315" s="49">
        <f>IF($A$4+223&gt;$B$4,"",$A$4+223)</f>
        <v>46246</v>
      </c>
      <c r="N22315" t="str">
        <f>IF(M22315="","",'Master Barang'!A9)</f>
        <v>PRL-008</v>
      </c>
      <c r="O22315" t="str">
        <f>IF(N22315="","",'Master Barang'!B9)</f>
        <v>lap besar</v>
      </c>
      <c r="P22315">
        <f>IF(OR(M22315="",N22315=""),"",SUMIFS('Barang Keluar'!$E:$E,'Barang Keluar'!$A:$A,M22315,'Barang Keluar'!$C:$C,N22315))</f>
        <v>0</v>
      </c>
    </row>
    <row r="22316" spans="13:16">
      <c r="M22316" s="49">
        <f>IF($A$4+223&gt;$B$4,"",$A$4+223)</f>
        <v>46246</v>
      </c>
      <c r="N22316" t="str">
        <f>IF(M22316="","",'Master Barang'!A10)</f>
        <v>PRL-009</v>
      </c>
      <c r="O22316" t="str">
        <f>IF(N22316="","",'Master Barang'!B10)</f>
        <v>lap microfiber</v>
      </c>
      <c r="P22316">
        <f>IF(OR(M22316="",N22316=""),"",SUMIFS('Barang Keluar'!$E:$E,'Barang Keluar'!$A:$A,M22316,'Barang Keluar'!$C:$C,N22316))</f>
        <v>0</v>
      </c>
    </row>
    <row r="22317" spans="13:16">
      <c r="M22317" s="49">
        <f>IF($A$4+223&gt;$B$4,"",$A$4+223)</f>
        <v>46246</v>
      </c>
      <c r="N22317" t="str">
        <f>IF(M22317="","",'Master Barang'!A11)</f>
        <v>PRL-010</v>
      </c>
      <c r="O22317" t="str">
        <f>IF(N22317="","",'Master Barang'!B11)</f>
        <v>lap kecil</v>
      </c>
      <c r="P22317">
        <f>IF(OR(M22317="",N22317=""),"",SUMIFS('Barang Keluar'!$E:$E,'Barang Keluar'!$A:$A,M22317,'Barang Keluar'!$C:$C,N22317))</f>
        <v>0</v>
      </c>
    </row>
    <row r="22318" spans="13:16">
      <c r="M22318" s="49">
        <f>IF($A$4+223&gt;$B$4,"",$A$4+223)</f>
        <v>46246</v>
      </c>
      <c r="N22318" t="str">
        <f>IF(M22318="","",'Master Barang'!A12)</f>
        <v>PRL-011</v>
      </c>
      <c r="O22318" t="str">
        <f>IF(N22318="","",'Master Barang'!B12)</f>
        <v>kanebo kecil</v>
      </c>
      <c r="P22318">
        <f>IF(OR(M22318="",N22318=""),"",SUMIFS('Barang Keluar'!$E:$E,'Barang Keluar'!$A:$A,M22318,'Barang Keluar'!$C:$C,N22318))</f>
        <v>0</v>
      </c>
    </row>
    <row r="22319" spans="13:16">
      <c r="M22319" s="49">
        <f>IF($A$4+223&gt;$B$4,"",$A$4+223)</f>
        <v>46246</v>
      </c>
      <c r="N22319" t="str">
        <f>IF(M22319="","",'Master Barang'!A13)</f>
        <v>PRL-012</v>
      </c>
      <c r="O22319" t="str">
        <f>IF(N22319="","",'Master Barang'!B13)</f>
        <v>plastik 1/4kg joyoboyo 100 lembar</v>
      </c>
      <c r="P22319">
        <f>IF(OR(M22319="",N22319=""),"",SUMIFS('Barang Keluar'!$E:$E,'Barang Keluar'!$A:$A,M22319,'Barang Keluar'!$C:$C,N22319))</f>
        <v>0</v>
      </c>
    </row>
    <row r="22320" spans="13:16">
      <c r="M22320" s="49">
        <f>IF($A$4+223&gt;$B$4,"",$A$4+223)</f>
        <v>46246</v>
      </c>
      <c r="N22320" t="str">
        <f>IF(M22320="","",'Master Barang'!A14)</f>
        <v>PRL-013</v>
      </c>
      <c r="O22320" t="str">
        <f>IF(N22320="","",'Master Barang'!B14)</f>
        <v>sarung tangan plastik kaka 100 pcs</v>
      </c>
      <c r="P22320">
        <f>IF(OR(M22320="",N22320=""),"",SUMIFS('Barang Keluar'!$E:$E,'Barang Keluar'!$A:$A,M22320,'Barang Keluar'!$C:$C,N22320))</f>
        <v>0</v>
      </c>
    </row>
    <row r="22321" spans="13:16">
      <c r="M22321" s="49">
        <f>IF($A$4+223&gt;$B$4,"",$A$4+223)</f>
        <v>46246</v>
      </c>
      <c r="N22321" t="str">
        <f>IF(M22321="","",'Master Barang'!A15)</f>
        <v>PRL-014</v>
      </c>
      <c r="O22321" t="str">
        <f>IF(N22321="","",'Master Barang'!B15)</f>
        <v>optima trashbag 80x100</v>
      </c>
      <c r="P22321">
        <f>IF(OR(M22321="",N22321=""),"",SUMIFS('Barang Keluar'!$E:$E,'Barang Keluar'!$A:$A,M22321,'Barang Keluar'!$C:$C,N22321))</f>
        <v>0</v>
      </c>
    </row>
    <row r="22322" spans="13:16">
      <c r="M22322" s="49">
        <f>IF($A$4+223&gt;$B$4,"",$A$4+223)</f>
        <v>46246</v>
      </c>
      <c r="N22322" t="str">
        <f>IF(M22322="","",'Master Barang'!A16)</f>
        <v>PRL-015</v>
      </c>
      <c r="O22322" t="str">
        <f>IF(N22322="","",'Master Barang'!B16)</f>
        <v>optima trashbag 60x100</v>
      </c>
      <c r="P22322">
        <f>IF(OR(M22322="",N22322=""),"",SUMIFS('Barang Keluar'!$E:$E,'Barang Keluar'!$A:$A,M22322,'Barang Keluar'!$C:$C,N22322))</f>
        <v>0</v>
      </c>
    </row>
    <row r="22323" spans="13:16">
      <c r="M22323" s="49">
        <f>IF($A$4+223&gt;$B$4,"",$A$4+223)</f>
        <v>46246</v>
      </c>
      <c r="N22323" t="str">
        <f>IF(M22323="","",'Master Barang'!A17)</f>
        <v>PRL-016</v>
      </c>
      <c r="O22323" t="str">
        <f>IF(N22323="","",'Master Barang'!B17)</f>
        <v>rajawali trashbag 30x40</v>
      </c>
      <c r="P22323">
        <f>IF(OR(M22323="",N22323=""),"",SUMIFS('Barang Keluar'!$E:$E,'Barang Keluar'!$A:$A,M22323,'Barang Keluar'!$C:$C,N22323))</f>
        <v>0</v>
      </c>
    </row>
    <row r="22324" spans="13:16">
      <c r="M22324" s="49">
        <f>IF($A$4+223&gt;$B$4,"",$A$4+223)</f>
        <v>46246</v>
      </c>
      <c r="N22324" t="str">
        <f>IF(M22324="","",'Master Barang'!A18)</f>
        <v>PRL-017</v>
      </c>
      <c r="O22324" t="str">
        <f>IF(N22324="","",'Master Barang'!B18)</f>
        <v>onemed masker biru 3 play 50 pcs</v>
      </c>
      <c r="P22324">
        <f>IF(OR(M22324="",N22324=""),"",SUMIFS('Barang Keluar'!$E:$E,'Barang Keluar'!$A:$A,M22324,'Barang Keluar'!$C:$C,N22324))</f>
        <v>0</v>
      </c>
    </row>
    <row r="22325" spans="13:16">
      <c r="M22325" s="49">
        <f>IF($A$4+223&gt;$B$4,"",$A$4+223)</f>
        <v>46246</v>
      </c>
      <c r="N22325" t="str">
        <f>IF(M22325="","",'Master Barang'!A19)</f>
        <v>PRL-018</v>
      </c>
      <c r="O22325" t="str">
        <f>IF(N22325="","",'Master Barang'!B19)</f>
        <v>onemed masker biru 3 play hijab 50 pcs</v>
      </c>
      <c r="P22325">
        <f>IF(OR(M22325="",N22325=""),"",SUMIFS('Barang Keluar'!$E:$E,'Barang Keluar'!$A:$A,M22325,'Barang Keluar'!$C:$C,N22325))</f>
        <v>0</v>
      </c>
    </row>
    <row r="22326" spans="13:16">
      <c r="M22326" s="49">
        <f>IF($A$4+223&gt;$B$4,"",$A$4+223)</f>
        <v>46246</v>
      </c>
      <c r="N22326" t="str">
        <f>IF(M22326="","",'Master Barang'!A20)</f>
        <v>PRL-019</v>
      </c>
      <c r="O22326" t="str">
        <f>IF(N22326="","",'Master Barang'!B20)</f>
        <v>neo health masker biru 3 play 50 pcs</v>
      </c>
      <c r="P22326">
        <f>IF(OR(M22326="",N22326=""),"",SUMIFS('Barang Keluar'!$E:$E,'Barang Keluar'!$A:$A,M22326,'Barang Keluar'!$C:$C,N22326))</f>
        <v>0</v>
      </c>
    </row>
    <row r="22327" spans="13:16">
      <c r="M22327" s="49">
        <f>IF($A$4+223&gt;$B$4,"",$A$4+223)</f>
        <v>46246</v>
      </c>
      <c r="N22327" t="str">
        <f>IF(M22327="","",'Master Barang'!A21)</f>
        <v>PRL-020</v>
      </c>
      <c r="O22327" t="str">
        <f>IF(N22327="","",'Master Barang'!B21)</f>
        <v>baymed masker hijau 3 play hijau 50 pcs</v>
      </c>
      <c r="P22327">
        <f>IF(OR(M22327="",N22327=""),"",SUMIFS('Barang Keluar'!$E:$E,'Barang Keluar'!$A:$A,M22327,'Barang Keluar'!$C:$C,N22327))</f>
        <v>0</v>
      </c>
    </row>
    <row r="22328" spans="13:16">
      <c r="M22328" s="49">
        <f>IF($A$4+223&gt;$B$4,"",$A$4+223)</f>
        <v>46246</v>
      </c>
      <c r="N22328" t="str">
        <f>IF(M22328="","",'Master Barang'!A22)</f>
        <v>PRL-021</v>
      </c>
      <c r="O22328" t="str">
        <f>IF(N22328="","",'Master Barang'!B22)</f>
        <v>altamed nurse cap penutup kepala 100 pcs</v>
      </c>
      <c r="P22328">
        <f>IF(OR(M22328="",N22328=""),"",SUMIFS('Barang Keluar'!$E:$E,'Barang Keluar'!$A:$A,M22328,'Barang Keluar'!$C:$C,N22328))</f>
        <v>0</v>
      </c>
    </row>
    <row r="22329" spans="13:16">
      <c r="M22329" s="49">
        <f>IF($A$4+223&gt;$B$4,"",$A$4+223)</f>
        <v>46246</v>
      </c>
      <c r="N22329" t="str">
        <f>IF(M22329="","",'Master Barang'!A23)</f>
        <v>PRL-022</v>
      </c>
      <c r="O22329" t="str">
        <f>IF(N22329="","",'Master Barang'!B23)</f>
        <v>sabun cuci tangan</v>
      </c>
      <c r="P22329">
        <f>IF(OR(M22329="",N22329=""),"",SUMIFS('Barang Keluar'!$E:$E,'Barang Keluar'!$A:$A,M22329,'Barang Keluar'!$C:$C,N22329))</f>
        <v>0</v>
      </c>
    </row>
    <row r="22330" spans="13:16">
      <c r="M22330" s="49">
        <f>IF($A$4+223&gt;$B$4,"",$A$4+223)</f>
        <v>46246</v>
      </c>
      <c r="N22330" t="str">
        <f>IF(M22330="","",'Master Barang'!A24)</f>
        <v>PRL-023</v>
      </c>
      <c r="O22330" t="str">
        <f>IF(N22330="","",'Master Barang'!B24)</f>
        <v>gayung kecil</v>
      </c>
      <c r="P22330">
        <f>IF(OR(M22330="",N22330=""),"",SUMIFS('Barang Keluar'!$E:$E,'Barang Keluar'!$A:$A,M22330,'Barang Keluar'!$C:$C,N22330))</f>
        <v>0</v>
      </c>
    </row>
    <row r="22331" spans="13:16">
      <c r="M22331" s="49">
        <f>IF($A$4+223&gt;$B$4,"",$A$4+223)</f>
        <v>46246</v>
      </c>
      <c r="N22331" t="str">
        <f>IF(M22331="","",'Master Barang'!A25)</f>
        <v>PRL-024</v>
      </c>
      <c r="O22331" t="str">
        <f>IF(N22331="","",'Master Barang'!B25)</f>
        <v>cikrak kecil</v>
      </c>
      <c r="P22331">
        <f>IF(OR(M22331="",N22331=""),"",SUMIFS('Barang Keluar'!$E:$E,'Barang Keluar'!$A:$A,M22331,'Barang Keluar'!$C:$C,N22331))</f>
        <v>0</v>
      </c>
    </row>
    <row r="22332" spans="13:16">
      <c r="M22332" s="49">
        <f>IF($A$4+223&gt;$B$4,"",$A$4+223)</f>
        <v>46246</v>
      </c>
      <c r="N22332" t="str">
        <f>IF(M22332="","",'Master Barang'!A26)</f>
        <v>PRL-025</v>
      </c>
      <c r="O22332" t="str">
        <f>IF(N22332="","",'Master Barang'!B26)</f>
        <v>petromax plastik kecil 12x24 100 lembar</v>
      </c>
      <c r="P22332">
        <f>IF(OR(M22332="",N22332=""),"",SUMIFS('Barang Keluar'!$E:$E,'Barang Keluar'!$A:$A,M22332,'Barang Keluar'!$C:$C,N22332))</f>
        <v>0</v>
      </c>
    </row>
    <row r="22333" spans="13:16">
      <c r="M22333" s="49">
        <f>IF($A$4+223&gt;$B$4,"",$A$4+223)</f>
        <v>46246</v>
      </c>
      <c r="N22333" t="str">
        <f>IF(M22333="","",'Master Barang'!A27)</f>
        <v>PRL-026</v>
      </c>
      <c r="O22333" t="str">
        <f>IF(N22333="","",'Master Barang'!B27)</f>
        <v>lancar kresek kecil bening </v>
      </c>
      <c r="P22333">
        <f>IF(OR(M22333="",N22333=""),"",SUMIFS('Barang Keluar'!$E:$E,'Barang Keluar'!$A:$A,M22333,'Barang Keluar'!$C:$C,N22333))</f>
        <v>0</v>
      </c>
    </row>
    <row r="22334" spans="13:16">
      <c r="M22334" s="49">
        <f>IF($A$4+223&gt;$B$4,"",$A$4+223)</f>
        <v>46246</v>
      </c>
      <c r="N22334" t="str">
        <f>IF(M22334="","",'Master Barang'!A28)</f>
        <v>PRL-027</v>
      </c>
      <c r="O22334" t="str">
        <f>IF(N22334="","",'Master Barang'!B28)</f>
        <v>kresek klin warna warni kecil</v>
      </c>
      <c r="P22334">
        <f>IF(OR(M22334="",N22334=""),"",SUMIFS('Barang Keluar'!$E:$E,'Barang Keluar'!$A:$A,M22334,'Barang Keluar'!$C:$C,N22334))</f>
        <v>0</v>
      </c>
    </row>
    <row r="22335" spans="13:16">
      <c r="M22335" s="49">
        <f>IF($A$4+223&gt;$B$4,"",$A$4+223)</f>
        <v>46246</v>
      </c>
      <c r="N22335" t="str">
        <f>IF(M22335="","",'Master Barang'!A29)</f>
        <v>PRL-028</v>
      </c>
      <c r="O22335" t="str">
        <f>IF(N22335="","",'Master Barang'!B29)</f>
        <v>ctik plastik 7x10 100 pcs</v>
      </c>
      <c r="P22335">
        <f>IF(OR(M22335="",N22335=""),"",SUMIFS('Barang Keluar'!$E:$E,'Barang Keluar'!$A:$A,M22335,'Barang Keluar'!$C:$C,N22335))</f>
        <v>0</v>
      </c>
    </row>
    <row r="22336" spans="13:16">
      <c r="M22336" s="49">
        <f>IF($A$4+223&gt;$B$4,"",$A$4+223)</f>
        <v>46246</v>
      </c>
      <c r="N22336" t="str">
        <f>IF(M22336="","",'Master Barang'!A30)</f>
        <v>PRL-029</v>
      </c>
      <c r="O22336" t="str">
        <f>IF(N22336="","",'Master Barang'!B30)</f>
        <v>ctik plastik 6x10 100 pcs</v>
      </c>
      <c r="P22336">
        <f>IF(OR(M22336="",N22336=""),"",SUMIFS('Barang Keluar'!$E:$E,'Barang Keluar'!$A:$A,M22336,'Barang Keluar'!$C:$C,N22336))</f>
        <v>0</v>
      </c>
    </row>
    <row r="22337" spans="13:16">
      <c r="M22337" s="49">
        <f>IF($A$4+223&gt;$B$4,"",$A$4+223)</f>
        <v>46246</v>
      </c>
      <c r="N22337" t="str">
        <f>IF(M22337="","",'Master Barang'!A31)</f>
        <v>PRL-030</v>
      </c>
      <c r="O22337" t="str">
        <f>IF(N22337="","",'Master Barang'!B31)</f>
        <v>klip plastik 25x16 100 pcs</v>
      </c>
      <c r="P22337">
        <f>IF(OR(M22337="",N22337=""),"",SUMIFS('Barang Keluar'!$E:$E,'Barang Keluar'!$A:$A,M22337,'Barang Keluar'!$C:$C,N22337))</f>
        <v>0</v>
      </c>
    </row>
    <row r="22338" spans="13:16">
      <c r="M22338" s="49">
        <f>IF($A$4+223&gt;$B$4,"",$A$4+223)</f>
        <v>46246</v>
      </c>
      <c r="N22338" t="str">
        <f>IF(M22338="","",'Master Barang'!A32)</f>
        <v>PRL-031</v>
      </c>
      <c r="O22338" t="str">
        <f>IF(N22338="","",'Master Barang'!B32)</f>
        <v>tempat saus 20 ml</v>
      </c>
      <c r="P22338">
        <f>IF(OR(M22338="",N22338=""),"",SUMIFS('Barang Keluar'!$E:$E,'Barang Keluar'!$A:$A,M22338,'Barang Keluar'!$C:$C,N22338))</f>
        <v>0</v>
      </c>
    </row>
    <row r="22339" spans="13:16">
      <c r="M22339" s="49">
        <f>IF($A$4+223&gt;$B$4,"",$A$4+223)</f>
        <v>46246</v>
      </c>
      <c r="N22339" t="str">
        <f>IF(M22339="","",'Master Barang'!A33)</f>
        <v>PRL-032</v>
      </c>
      <c r="O22339" t="str">
        <f>IF(N22339="","",'Master Barang'!B33)</f>
        <v>plastik packaging ag box uk sedang</v>
      </c>
      <c r="P22339">
        <f>IF(OR(M22339="",N22339=""),"",SUMIFS('Barang Keluar'!$E:$E,'Barang Keluar'!$A:$A,M22339,'Barang Keluar'!$C:$C,N22339))</f>
        <v>0</v>
      </c>
    </row>
    <row r="22340" spans="13:16">
      <c r="M22340" s="49">
        <f>IF($A$4+223&gt;$B$4,"",$A$4+223)</f>
        <v>46246</v>
      </c>
      <c r="N22340" t="str">
        <f>IF(M22340="","",'Master Barang'!A34)</f>
        <v>PRL-033</v>
      </c>
      <c r="O22340">
        <f>IF(N22340="","",'Master Barang'!B34)</f>
        <v>0</v>
      </c>
      <c r="P22340">
        <f>IF(OR(M22340="",N22340=""),"",SUMIFS('Barang Keluar'!$E:$E,'Barang Keluar'!$A:$A,M22340,'Barang Keluar'!$C:$C,N22340))</f>
        <v>0</v>
      </c>
    </row>
    <row r="22341" spans="13:16">
      <c r="M22341" s="49">
        <f>IF($A$4+223&gt;$B$4,"",$A$4+223)</f>
        <v>46246</v>
      </c>
      <c r="N22341">
        <f>IF(M22341="","",'Master Barang'!A35)</f>
        <v>0</v>
      </c>
      <c r="O22341">
        <f>IF(N22341="","",'Master Barang'!B35)</f>
        <v>0</v>
      </c>
      <c r="P22341">
        <f>IF(OR(M22341="",N22341=""),"",SUMIFS('Barang Keluar'!$E:$E,'Barang Keluar'!$A:$A,M22341,'Barang Keluar'!$C:$C,N22341))</f>
        <v>0</v>
      </c>
    </row>
    <row r="22342" spans="13:16">
      <c r="M22342" s="49">
        <f>IF($A$4+223&gt;$B$4,"",$A$4+223)</f>
        <v>46246</v>
      </c>
      <c r="N22342">
        <f>IF(M22342="","",'Master Barang'!A36)</f>
        <v>0</v>
      </c>
      <c r="O22342">
        <f>IF(N22342="","",'Master Barang'!B36)</f>
        <v>0</v>
      </c>
      <c r="P22342">
        <f>IF(OR(M22342="",N22342=""),"",SUMIFS('Barang Keluar'!$E:$E,'Barang Keluar'!$A:$A,M22342,'Barang Keluar'!$C:$C,N22342))</f>
        <v>0</v>
      </c>
    </row>
    <row r="22343" spans="13:16">
      <c r="M22343" s="49">
        <f>IF($A$4+223&gt;$B$4,"",$A$4+223)</f>
        <v>46246</v>
      </c>
      <c r="N22343">
        <f>IF(M22343="","",'Master Barang'!A37)</f>
        <v>0</v>
      </c>
      <c r="O22343">
        <f>IF(N22343="","",'Master Barang'!B37)</f>
        <v>0</v>
      </c>
      <c r="P22343">
        <f>IF(OR(M22343="",N22343=""),"",SUMIFS('Barang Keluar'!$E:$E,'Barang Keluar'!$A:$A,M22343,'Barang Keluar'!$C:$C,N22343))</f>
        <v>0</v>
      </c>
    </row>
    <row r="22344" spans="13:16">
      <c r="M22344" s="49">
        <f>IF($A$4+223&gt;$B$4,"",$A$4+223)</f>
        <v>46246</v>
      </c>
      <c r="N22344">
        <f>IF(M22344="","",'Master Barang'!A38)</f>
        <v>0</v>
      </c>
      <c r="O22344">
        <f>IF(N22344="","",'Master Barang'!B38)</f>
        <v>0</v>
      </c>
      <c r="P22344">
        <f>IF(OR(M22344="",N22344=""),"",SUMIFS('Barang Keluar'!$E:$E,'Barang Keluar'!$A:$A,M22344,'Barang Keluar'!$C:$C,N22344))</f>
        <v>0</v>
      </c>
    </row>
    <row r="22345" spans="13:16">
      <c r="M22345" s="49">
        <f>IF($A$4+223&gt;$B$4,"",$A$4+223)</f>
        <v>46246</v>
      </c>
      <c r="N22345">
        <f>IF(M22345="","",'Master Barang'!A39)</f>
        <v>0</v>
      </c>
      <c r="O22345">
        <f>IF(N22345="","",'Master Barang'!B39)</f>
        <v>0</v>
      </c>
      <c r="P22345">
        <f>IF(OR(M22345="",N22345=""),"",SUMIFS('Barang Keluar'!$E:$E,'Barang Keluar'!$A:$A,M22345,'Barang Keluar'!$C:$C,N22345))</f>
        <v>0</v>
      </c>
    </row>
    <row r="22346" spans="13:16">
      <c r="M22346" s="49">
        <f>IF($A$4+223&gt;$B$4,"",$A$4+223)</f>
        <v>46246</v>
      </c>
      <c r="N22346">
        <f>IF(M22346="","",'Master Barang'!A40)</f>
        <v>0</v>
      </c>
      <c r="O22346">
        <f>IF(N22346="","",'Master Barang'!B40)</f>
        <v>0</v>
      </c>
      <c r="P22346">
        <f>IF(OR(M22346="",N22346=""),"",SUMIFS('Barang Keluar'!$E:$E,'Barang Keluar'!$A:$A,M22346,'Barang Keluar'!$C:$C,N22346))</f>
        <v>0</v>
      </c>
    </row>
    <row r="22347" spans="13:16">
      <c r="M22347" s="49">
        <f>IF($A$4+223&gt;$B$4,"",$A$4+223)</f>
        <v>46246</v>
      </c>
      <c r="N22347">
        <f>IF(M22347="","",'Master Barang'!A41)</f>
        <v>0</v>
      </c>
      <c r="O22347">
        <f>IF(N22347="","",'Master Barang'!B41)</f>
        <v>0</v>
      </c>
      <c r="P22347">
        <f>IF(OR(M22347="",N22347=""),"",SUMIFS('Barang Keluar'!$E:$E,'Barang Keluar'!$A:$A,M22347,'Barang Keluar'!$C:$C,N22347))</f>
        <v>0</v>
      </c>
    </row>
    <row r="22348" spans="13:16">
      <c r="M22348" s="49">
        <f>IF($A$4+223&gt;$B$4,"",$A$4+223)</f>
        <v>46246</v>
      </c>
      <c r="N22348">
        <f>IF(M22348="","",'Master Barang'!A42)</f>
        <v>0</v>
      </c>
      <c r="O22348">
        <f>IF(N22348="","",'Master Barang'!B42)</f>
        <v>0</v>
      </c>
      <c r="P22348">
        <f>IF(OR(M22348="",N22348=""),"",SUMIFS('Barang Keluar'!$E:$E,'Barang Keluar'!$A:$A,M22348,'Barang Keluar'!$C:$C,N22348))</f>
        <v>0</v>
      </c>
    </row>
    <row r="22349" spans="13:16">
      <c r="M22349" s="49">
        <f>IF($A$4+223&gt;$B$4,"",$A$4+223)</f>
        <v>46246</v>
      </c>
      <c r="N22349">
        <f>IF(M22349="","",'Master Barang'!A43)</f>
        <v>0</v>
      </c>
      <c r="O22349">
        <f>IF(N22349="","",'Master Barang'!B43)</f>
        <v>0</v>
      </c>
      <c r="P22349">
        <f>IF(OR(M22349="",N22349=""),"",SUMIFS('Barang Keluar'!$E:$E,'Barang Keluar'!$A:$A,M22349,'Barang Keluar'!$C:$C,N22349))</f>
        <v>0</v>
      </c>
    </row>
    <row r="22350" spans="13:16">
      <c r="M22350" s="49">
        <f>IF($A$4+223&gt;$B$4,"",$A$4+223)</f>
        <v>46246</v>
      </c>
      <c r="N22350">
        <f>IF(M22350="","",'Master Barang'!A44)</f>
        <v>0</v>
      </c>
      <c r="O22350">
        <f>IF(N22350="","",'Master Barang'!B44)</f>
        <v>0</v>
      </c>
      <c r="P22350">
        <f>IF(OR(M22350="",N22350=""),"",SUMIFS('Barang Keluar'!$E:$E,'Barang Keluar'!$A:$A,M22350,'Barang Keluar'!$C:$C,N22350))</f>
        <v>0</v>
      </c>
    </row>
    <row r="22351" spans="13:16">
      <c r="M22351" s="49">
        <f>IF($A$4+223&gt;$B$4,"",$A$4+223)</f>
        <v>46246</v>
      </c>
      <c r="N22351">
        <f>IF(M22351="","",'Master Barang'!A45)</f>
        <v>0</v>
      </c>
      <c r="O22351">
        <f>IF(N22351="","",'Master Barang'!B45)</f>
        <v>0</v>
      </c>
      <c r="P22351">
        <f>IF(OR(M22351="",N22351=""),"",SUMIFS('Barang Keluar'!$E:$E,'Barang Keluar'!$A:$A,M22351,'Barang Keluar'!$C:$C,N22351))</f>
        <v>0</v>
      </c>
    </row>
    <row r="22352" spans="13:16">
      <c r="M22352" s="49">
        <f>IF($A$4+223&gt;$B$4,"",$A$4+223)</f>
        <v>46246</v>
      </c>
      <c r="N22352">
        <f>IF(M22352="","",'Master Barang'!A46)</f>
        <v>0</v>
      </c>
      <c r="O22352">
        <f>IF(N22352="","",'Master Barang'!B46)</f>
        <v>0</v>
      </c>
      <c r="P22352">
        <f>IF(OR(M22352="",N22352=""),"",SUMIFS('Barang Keluar'!$E:$E,'Barang Keluar'!$A:$A,M22352,'Barang Keluar'!$C:$C,N22352))</f>
        <v>0</v>
      </c>
    </row>
    <row r="22353" spans="13:16">
      <c r="M22353" s="49">
        <f>IF($A$4+223&gt;$B$4,"",$A$4+223)</f>
        <v>46246</v>
      </c>
      <c r="N22353">
        <f>IF(M22353="","",'Master Barang'!A47)</f>
        <v>0</v>
      </c>
      <c r="O22353">
        <f>IF(N22353="","",'Master Barang'!B47)</f>
        <v>0</v>
      </c>
      <c r="P22353">
        <f>IF(OR(M22353="",N22353=""),"",SUMIFS('Barang Keluar'!$E:$E,'Barang Keluar'!$A:$A,M22353,'Barang Keluar'!$C:$C,N22353))</f>
        <v>0</v>
      </c>
    </row>
    <row r="22354" spans="13:16">
      <c r="M22354" s="49">
        <f>IF($A$4+223&gt;$B$4,"",$A$4+223)</f>
        <v>46246</v>
      </c>
      <c r="N22354">
        <f>IF(M22354="","",'Master Barang'!A48)</f>
        <v>0</v>
      </c>
      <c r="O22354">
        <f>IF(N22354="","",'Master Barang'!B48)</f>
        <v>0</v>
      </c>
      <c r="P22354">
        <f>IF(OR(M22354="",N22354=""),"",SUMIFS('Barang Keluar'!$E:$E,'Barang Keluar'!$A:$A,M22354,'Barang Keluar'!$C:$C,N22354))</f>
        <v>0</v>
      </c>
    </row>
    <row r="22355" spans="13:16">
      <c r="M22355" s="49">
        <f>IF($A$4+223&gt;$B$4,"",$A$4+223)</f>
        <v>46246</v>
      </c>
      <c r="N22355">
        <f>IF(M22355="","",'Master Barang'!A49)</f>
        <v>0</v>
      </c>
      <c r="O22355">
        <f>IF(N22355="","",'Master Barang'!B49)</f>
        <v>0</v>
      </c>
      <c r="P22355">
        <f>IF(OR(M22355="",N22355=""),"",SUMIFS('Barang Keluar'!$E:$E,'Barang Keluar'!$A:$A,M22355,'Barang Keluar'!$C:$C,N22355))</f>
        <v>0</v>
      </c>
    </row>
    <row r="22356" spans="13:16">
      <c r="M22356" s="49">
        <f>IF($A$4+223&gt;$B$4,"",$A$4+223)</f>
        <v>46246</v>
      </c>
      <c r="N22356">
        <f>IF(M22356="","",'Master Barang'!A50)</f>
        <v>0</v>
      </c>
      <c r="O22356">
        <f>IF(N22356="","",'Master Barang'!B50)</f>
        <v>0</v>
      </c>
      <c r="P22356">
        <f>IF(OR(M22356="",N22356=""),"",SUMIFS('Barang Keluar'!$E:$E,'Barang Keluar'!$A:$A,M22356,'Barang Keluar'!$C:$C,N22356))</f>
        <v>0</v>
      </c>
    </row>
    <row r="22357" spans="13:16">
      <c r="M22357" s="49">
        <f>IF($A$4+223&gt;$B$4,"",$A$4+223)</f>
        <v>46246</v>
      </c>
      <c r="N22357">
        <f>IF(M22357="","",'Master Barang'!A51)</f>
        <v>0</v>
      </c>
      <c r="O22357">
        <f>IF(N22357="","",'Master Barang'!B51)</f>
        <v>0</v>
      </c>
      <c r="P22357">
        <f>IF(OR(M22357="",N22357=""),"",SUMIFS('Barang Keluar'!$E:$E,'Barang Keluar'!$A:$A,M22357,'Barang Keluar'!$C:$C,N22357))</f>
        <v>0</v>
      </c>
    </row>
    <row r="22358" spans="13:16">
      <c r="M22358" s="49">
        <f>IF($A$4+223&gt;$B$4,"",$A$4+223)</f>
        <v>46246</v>
      </c>
      <c r="N22358">
        <f>IF(M22358="","",'Master Barang'!A52)</f>
        <v>0</v>
      </c>
      <c r="O22358">
        <f>IF(N22358="","",'Master Barang'!B52)</f>
        <v>0</v>
      </c>
      <c r="P22358">
        <f>IF(OR(M22358="",N22358=""),"",SUMIFS('Barang Keluar'!$E:$E,'Barang Keluar'!$A:$A,M22358,'Barang Keluar'!$C:$C,N22358))</f>
        <v>0</v>
      </c>
    </row>
    <row r="22359" spans="13:16">
      <c r="M22359" s="49">
        <f>IF($A$4+223&gt;$B$4,"",$A$4+223)</f>
        <v>46246</v>
      </c>
      <c r="N22359">
        <f>IF(M22359="","",'Master Barang'!A53)</f>
        <v>0</v>
      </c>
      <c r="O22359">
        <f>IF(N22359="","",'Master Barang'!B53)</f>
        <v>0</v>
      </c>
      <c r="P22359">
        <f>IF(OR(M22359="",N22359=""),"",SUMIFS('Barang Keluar'!$E:$E,'Barang Keluar'!$A:$A,M22359,'Barang Keluar'!$C:$C,N22359))</f>
        <v>0</v>
      </c>
    </row>
    <row r="22360" spans="13:16">
      <c r="M22360" s="49">
        <f>IF($A$4+223&gt;$B$4,"",$A$4+223)</f>
        <v>46246</v>
      </c>
      <c r="N22360">
        <f>IF(M22360="","",'Master Barang'!A54)</f>
        <v>0</v>
      </c>
      <c r="O22360">
        <f>IF(N22360="","",'Master Barang'!B54)</f>
        <v>0</v>
      </c>
      <c r="P22360">
        <f>IF(OR(M22360="",N22360=""),"",SUMIFS('Barang Keluar'!$E:$E,'Barang Keluar'!$A:$A,M22360,'Barang Keluar'!$C:$C,N22360))</f>
        <v>0</v>
      </c>
    </row>
    <row r="22361" spans="13:16">
      <c r="M22361" s="49">
        <f>IF($A$4+223&gt;$B$4,"",$A$4+223)</f>
        <v>46246</v>
      </c>
      <c r="N22361">
        <f>IF(M22361="","",'Master Barang'!A55)</f>
        <v>0</v>
      </c>
      <c r="O22361">
        <f>IF(N22361="","",'Master Barang'!B55)</f>
        <v>0</v>
      </c>
      <c r="P22361">
        <f>IF(OR(M22361="",N22361=""),"",SUMIFS('Barang Keluar'!$E:$E,'Barang Keluar'!$A:$A,M22361,'Barang Keluar'!$C:$C,N22361))</f>
        <v>0</v>
      </c>
    </row>
    <row r="22362" spans="13:16">
      <c r="M22362" s="49">
        <f>IF($A$4+223&gt;$B$4,"",$A$4+223)</f>
        <v>46246</v>
      </c>
      <c r="N22362">
        <f>IF(M22362="","",'Master Barang'!A56)</f>
        <v>0</v>
      </c>
      <c r="O22362">
        <f>IF(N22362="","",'Master Barang'!B56)</f>
        <v>0</v>
      </c>
      <c r="P22362">
        <f>IF(OR(M22362="",N22362=""),"",SUMIFS('Barang Keluar'!$E:$E,'Barang Keluar'!$A:$A,M22362,'Barang Keluar'!$C:$C,N22362))</f>
        <v>0</v>
      </c>
    </row>
    <row r="22363" spans="13:16">
      <c r="M22363" s="49">
        <f>IF($A$4+223&gt;$B$4,"",$A$4+223)</f>
        <v>46246</v>
      </c>
      <c r="N22363">
        <f>IF(M22363="","",'Master Barang'!A57)</f>
        <v>0</v>
      </c>
      <c r="O22363">
        <f>IF(N22363="","",'Master Barang'!B57)</f>
        <v>0</v>
      </c>
      <c r="P22363">
        <f>IF(OR(M22363="",N22363=""),"",SUMIFS('Barang Keluar'!$E:$E,'Barang Keluar'!$A:$A,M22363,'Barang Keluar'!$C:$C,N22363))</f>
        <v>0</v>
      </c>
    </row>
    <row r="22364" spans="13:16">
      <c r="M22364" s="49">
        <f>IF($A$4+223&gt;$B$4,"",$A$4+223)</f>
        <v>46246</v>
      </c>
      <c r="N22364">
        <f>IF(M22364="","",'Master Barang'!A58)</f>
        <v>0</v>
      </c>
      <c r="O22364">
        <f>IF(N22364="","",'Master Barang'!B58)</f>
        <v>0</v>
      </c>
      <c r="P22364">
        <f>IF(OR(M22364="",N22364=""),"",SUMIFS('Barang Keluar'!$E:$E,'Barang Keluar'!$A:$A,M22364,'Barang Keluar'!$C:$C,N22364))</f>
        <v>0</v>
      </c>
    </row>
    <row r="22365" spans="13:16">
      <c r="M22365" s="49">
        <f>IF($A$4+223&gt;$B$4,"",$A$4+223)</f>
        <v>46246</v>
      </c>
      <c r="N22365">
        <f>IF(M22365="","",'Master Barang'!A59)</f>
        <v>0</v>
      </c>
      <c r="O22365">
        <f>IF(N22365="","",'Master Barang'!B59)</f>
        <v>0</v>
      </c>
      <c r="P22365">
        <f>IF(OR(M22365="",N22365=""),"",SUMIFS('Barang Keluar'!$E:$E,'Barang Keluar'!$A:$A,M22365,'Barang Keluar'!$C:$C,N22365))</f>
        <v>0</v>
      </c>
    </row>
    <row r="22366" spans="13:16">
      <c r="M22366" s="49">
        <f>IF($A$4+223&gt;$B$4,"",$A$4+223)</f>
        <v>46246</v>
      </c>
      <c r="N22366">
        <f>IF(M22366="","",'Master Barang'!A60)</f>
        <v>0</v>
      </c>
      <c r="O22366">
        <f>IF(N22366="","",'Master Barang'!B60)</f>
        <v>0</v>
      </c>
      <c r="P22366">
        <f>IF(OR(M22366="",N22366=""),"",SUMIFS('Barang Keluar'!$E:$E,'Barang Keluar'!$A:$A,M22366,'Barang Keluar'!$C:$C,N22366))</f>
        <v>0</v>
      </c>
    </row>
    <row r="22367" spans="13:16">
      <c r="M22367" s="49">
        <f>IF($A$4+223&gt;$B$4,"",$A$4+223)</f>
        <v>46246</v>
      </c>
      <c r="N22367">
        <f>IF(M22367="","",'Master Barang'!A61)</f>
        <v>0</v>
      </c>
      <c r="O22367">
        <f>IF(N22367="","",'Master Barang'!B61)</f>
        <v>0</v>
      </c>
      <c r="P22367">
        <f>IF(OR(M22367="",N22367=""),"",SUMIFS('Barang Keluar'!$E:$E,'Barang Keluar'!$A:$A,M22367,'Barang Keluar'!$C:$C,N22367))</f>
        <v>0</v>
      </c>
    </row>
    <row r="22368" spans="13:16">
      <c r="M22368" s="49">
        <f>IF($A$4+223&gt;$B$4,"",$A$4+223)</f>
        <v>46246</v>
      </c>
      <c r="N22368">
        <f>IF(M22368="","",'Master Barang'!A62)</f>
        <v>0</v>
      </c>
      <c r="O22368">
        <f>IF(N22368="","",'Master Barang'!B62)</f>
        <v>0</v>
      </c>
      <c r="P22368">
        <f>IF(OR(M22368="",N22368=""),"",SUMIFS('Barang Keluar'!$E:$E,'Barang Keluar'!$A:$A,M22368,'Barang Keluar'!$C:$C,N22368))</f>
        <v>0</v>
      </c>
    </row>
    <row r="22369" spans="13:16">
      <c r="M22369" s="49">
        <f>IF($A$4+223&gt;$B$4,"",$A$4+223)</f>
        <v>46246</v>
      </c>
      <c r="N22369">
        <f>IF(M22369="","",'Master Barang'!A63)</f>
        <v>0</v>
      </c>
      <c r="O22369">
        <f>IF(N22369="","",'Master Barang'!B63)</f>
        <v>0</v>
      </c>
      <c r="P22369">
        <f>IF(OR(M22369="",N22369=""),"",SUMIFS('Barang Keluar'!$E:$E,'Barang Keluar'!$A:$A,M22369,'Barang Keluar'!$C:$C,N22369))</f>
        <v>0</v>
      </c>
    </row>
    <row r="22370" spans="13:16">
      <c r="M22370" s="49">
        <f>IF($A$4+223&gt;$B$4,"",$A$4+223)</f>
        <v>46246</v>
      </c>
      <c r="N22370">
        <f>IF(M22370="","",'Master Barang'!A64)</f>
        <v>0</v>
      </c>
      <c r="O22370">
        <f>IF(N22370="","",'Master Barang'!B64)</f>
        <v>0</v>
      </c>
      <c r="P22370">
        <f>IF(OR(M22370="",N22370=""),"",SUMIFS('Barang Keluar'!$E:$E,'Barang Keluar'!$A:$A,M22370,'Barang Keluar'!$C:$C,N22370))</f>
        <v>0</v>
      </c>
    </row>
    <row r="22371" spans="13:16">
      <c r="M22371" s="49">
        <f>IF($A$4+223&gt;$B$4,"",$A$4+223)</f>
        <v>46246</v>
      </c>
      <c r="N22371">
        <f>IF(M22371="","",'Master Barang'!A65)</f>
        <v>0</v>
      </c>
      <c r="O22371">
        <f>IF(N22371="","",'Master Barang'!B65)</f>
        <v>0</v>
      </c>
      <c r="P22371">
        <f>IF(OR(M22371="",N22371=""),"",SUMIFS('Barang Keluar'!$E:$E,'Barang Keluar'!$A:$A,M22371,'Barang Keluar'!$C:$C,N22371))</f>
        <v>0</v>
      </c>
    </row>
    <row r="22372" spans="13:16">
      <c r="M22372" s="49">
        <f>IF($A$4+223&gt;$B$4,"",$A$4+223)</f>
        <v>46246</v>
      </c>
      <c r="N22372">
        <f>IF(M22372="","",'Master Barang'!A66)</f>
        <v>0</v>
      </c>
      <c r="O22372">
        <f>IF(N22372="","",'Master Barang'!B66)</f>
        <v>0</v>
      </c>
      <c r="P22372">
        <f>IF(OR(M22372="",N22372=""),"",SUMIFS('Barang Keluar'!$E:$E,'Barang Keluar'!$A:$A,M22372,'Barang Keluar'!$C:$C,N22372))</f>
        <v>0</v>
      </c>
    </row>
    <row r="22373" spans="13:16">
      <c r="M22373" s="49">
        <f>IF($A$4+223&gt;$B$4,"",$A$4+223)</f>
        <v>46246</v>
      </c>
      <c r="N22373">
        <f>IF(M22373="","",'Master Barang'!A67)</f>
        <v>0</v>
      </c>
      <c r="O22373">
        <f>IF(N22373="","",'Master Barang'!B67)</f>
        <v>0</v>
      </c>
      <c r="P22373">
        <f>IF(OR(M22373="",N22373=""),"",SUMIFS('Barang Keluar'!$E:$E,'Barang Keluar'!$A:$A,M22373,'Barang Keluar'!$C:$C,N22373))</f>
        <v>0</v>
      </c>
    </row>
    <row r="22374" spans="13:16">
      <c r="M22374" s="49">
        <f>IF($A$4+223&gt;$B$4,"",$A$4+223)</f>
        <v>46246</v>
      </c>
      <c r="N22374">
        <f>IF(M22374="","",'Master Barang'!A68)</f>
        <v>0</v>
      </c>
      <c r="O22374">
        <f>IF(N22374="","",'Master Barang'!B68)</f>
        <v>0</v>
      </c>
      <c r="P22374">
        <f>IF(OR(M22374="",N22374=""),"",SUMIFS('Barang Keluar'!$E:$E,'Barang Keluar'!$A:$A,M22374,'Barang Keluar'!$C:$C,N22374))</f>
        <v>0</v>
      </c>
    </row>
    <row r="22375" spans="13:16">
      <c r="M22375" s="49">
        <f>IF($A$4+223&gt;$B$4,"",$A$4+223)</f>
        <v>46246</v>
      </c>
      <c r="N22375">
        <f>IF(M22375="","",'Master Barang'!A69)</f>
        <v>0</v>
      </c>
      <c r="O22375">
        <f>IF(N22375="","",'Master Barang'!B69)</f>
        <v>0</v>
      </c>
      <c r="P22375">
        <f>IF(OR(M22375="",N22375=""),"",SUMIFS('Barang Keluar'!$E:$E,'Barang Keluar'!$A:$A,M22375,'Barang Keluar'!$C:$C,N22375))</f>
        <v>0</v>
      </c>
    </row>
    <row r="22376" spans="13:16">
      <c r="M22376" s="49">
        <f>IF($A$4+223&gt;$B$4,"",$A$4+223)</f>
        <v>46246</v>
      </c>
      <c r="N22376">
        <f>IF(M22376="","",'Master Barang'!A70)</f>
        <v>0</v>
      </c>
      <c r="O22376">
        <f>IF(N22376="","",'Master Barang'!B70)</f>
        <v>0</v>
      </c>
      <c r="P22376">
        <f>IF(OR(M22376="",N22376=""),"",SUMIFS('Barang Keluar'!$E:$E,'Barang Keluar'!$A:$A,M22376,'Barang Keluar'!$C:$C,N22376))</f>
        <v>0</v>
      </c>
    </row>
    <row r="22377" spans="13:16">
      <c r="M22377" s="49">
        <f>IF($A$4+223&gt;$B$4,"",$A$4+223)</f>
        <v>46246</v>
      </c>
      <c r="N22377">
        <f>IF(M22377="","",'Master Barang'!A71)</f>
        <v>0</v>
      </c>
      <c r="O22377">
        <f>IF(N22377="","",'Master Barang'!B71)</f>
        <v>0</v>
      </c>
      <c r="P22377">
        <f>IF(OR(M22377="",N22377=""),"",SUMIFS('Barang Keluar'!$E:$E,'Barang Keluar'!$A:$A,M22377,'Barang Keluar'!$C:$C,N22377))</f>
        <v>0</v>
      </c>
    </row>
    <row r="22378" spans="13:16">
      <c r="M22378" s="49">
        <f>IF($A$4+223&gt;$B$4,"",$A$4+223)</f>
        <v>46246</v>
      </c>
      <c r="N22378">
        <f>IF(M22378="","",'Master Barang'!A72)</f>
        <v>0</v>
      </c>
      <c r="O22378">
        <f>IF(N22378="","",'Master Barang'!B72)</f>
        <v>0</v>
      </c>
      <c r="P22378">
        <f>IF(OR(M22378="",N22378=""),"",SUMIFS('Barang Keluar'!$E:$E,'Barang Keluar'!$A:$A,M22378,'Barang Keluar'!$C:$C,N22378))</f>
        <v>0</v>
      </c>
    </row>
    <row r="22379" spans="13:16">
      <c r="M22379" s="49">
        <f>IF($A$4+223&gt;$B$4,"",$A$4+223)</f>
        <v>46246</v>
      </c>
      <c r="N22379">
        <f>IF(M22379="","",'Master Barang'!A73)</f>
        <v>0</v>
      </c>
      <c r="O22379">
        <f>IF(N22379="","",'Master Barang'!B73)</f>
        <v>0</v>
      </c>
      <c r="P22379">
        <f>IF(OR(M22379="",N22379=""),"",SUMIFS('Barang Keluar'!$E:$E,'Barang Keluar'!$A:$A,M22379,'Barang Keluar'!$C:$C,N22379))</f>
        <v>0</v>
      </c>
    </row>
    <row r="22380" spans="13:16">
      <c r="M22380" s="49">
        <f>IF($A$4+223&gt;$B$4,"",$A$4+223)</f>
        <v>46246</v>
      </c>
      <c r="N22380">
        <f>IF(M22380="","",'Master Barang'!A74)</f>
        <v>0</v>
      </c>
      <c r="O22380">
        <f>IF(N22380="","",'Master Barang'!B74)</f>
        <v>0</v>
      </c>
      <c r="P22380">
        <f>IF(OR(M22380="",N22380=""),"",SUMIFS('Barang Keluar'!$E:$E,'Barang Keluar'!$A:$A,M22380,'Barang Keluar'!$C:$C,N22380))</f>
        <v>0</v>
      </c>
    </row>
    <row r="22381" spans="13:16">
      <c r="M22381" s="49">
        <f>IF($A$4+223&gt;$B$4,"",$A$4+223)</f>
        <v>46246</v>
      </c>
      <c r="N22381">
        <f>IF(M22381="","",'Master Barang'!A75)</f>
        <v>0</v>
      </c>
      <c r="O22381">
        <f>IF(N22381="","",'Master Barang'!B75)</f>
        <v>0</v>
      </c>
      <c r="P22381">
        <f>IF(OR(M22381="",N22381=""),"",SUMIFS('Barang Keluar'!$E:$E,'Barang Keluar'!$A:$A,M22381,'Barang Keluar'!$C:$C,N22381))</f>
        <v>0</v>
      </c>
    </row>
    <row r="22382" spans="13:16">
      <c r="M22382" s="49">
        <f>IF($A$4+223&gt;$B$4,"",$A$4+223)</f>
        <v>46246</v>
      </c>
      <c r="N22382">
        <f>IF(M22382="","",'Master Barang'!A76)</f>
        <v>0</v>
      </c>
      <c r="O22382">
        <f>IF(N22382="","",'Master Barang'!B76)</f>
        <v>0</v>
      </c>
      <c r="P22382">
        <f>IF(OR(M22382="",N22382=""),"",SUMIFS('Barang Keluar'!$E:$E,'Barang Keluar'!$A:$A,M22382,'Barang Keluar'!$C:$C,N22382))</f>
        <v>0</v>
      </c>
    </row>
    <row r="22383" spans="13:16">
      <c r="M22383" s="49">
        <f>IF($A$4+223&gt;$B$4,"",$A$4+223)</f>
        <v>46246</v>
      </c>
      <c r="N22383">
        <f>IF(M22383="","",'Master Barang'!A77)</f>
        <v>0</v>
      </c>
      <c r="O22383">
        <f>IF(N22383="","",'Master Barang'!B77)</f>
        <v>0</v>
      </c>
      <c r="P22383">
        <f>IF(OR(M22383="",N22383=""),"",SUMIFS('Barang Keluar'!$E:$E,'Barang Keluar'!$A:$A,M22383,'Barang Keluar'!$C:$C,N22383))</f>
        <v>0</v>
      </c>
    </row>
    <row r="22384" spans="13:16">
      <c r="M22384" s="49">
        <f>IF($A$4+223&gt;$B$4,"",$A$4+223)</f>
        <v>46246</v>
      </c>
      <c r="N22384">
        <f>IF(M22384="","",'Master Barang'!A78)</f>
        <v>0</v>
      </c>
      <c r="O22384">
        <f>IF(N22384="","",'Master Barang'!B78)</f>
        <v>0</v>
      </c>
      <c r="P22384">
        <f>IF(OR(M22384="",N22384=""),"",SUMIFS('Barang Keluar'!$E:$E,'Barang Keluar'!$A:$A,M22384,'Barang Keluar'!$C:$C,N22384))</f>
        <v>0</v>
      </c>
    </row>
    <row r="22385" spans="13:16">
      <c r="M22385" s="49">
        <f>IF($A$4+223&gt;$B$4,"",$A$4+223)</f>
        <v>46246</v>
      </c>
      <c r="N22385">
        <f>IF(M22385="","",'Master Barang'!A79)</f>
        <v>0</v>
      </c>
      <c r="O22385">
        <f>IF(N22385="","",'Master Barang'!B79)</f>
        <v>0</v>
      </c>
      <c r="P22385">
        <f>IF(OR(M22385="",N22385=""),"",SUMIFS('Barang Keluar'!$E:$E,'Barang Keluar'!$A:$A,M22385,'Barang Keluar'!$C:$C,N22385))</f>
        <v>0</v>
      </c>
    </row>
    <row r="22386" spans="13:16">
      <c r="M22386" s="49">
        <f>IF($A$4+223&gt;$B$4,"",$A$4+223)</f>
        <v>46246</v>
      </c>
      <c r="N22386">
        <f>IF(M22386="","",'Master Barang'!A80)</f>
        <v>0</v>
      </c>
      <c r="O22386">
        <f>IF(N22386="","",'Master Barang'!B80)</f>
        <v>0</v>
      </c>
      <c r="P22386">
        <f>IF(OR(M22386="",N22386=""),"",SUMIFS('Barang Keluar'!$E:$E,'Barang Keluar'!$A:$A,M22386,'Barang Keluar'!$C:$C,N22386))</f>
        <v>0</v>
      </c>
    </row>
    <row r="22387" spans="13:16">
      <c r="M22387" s="49">
        <f>IF($A$4+223&gt;$B$4,"",$A$4+223)</f>
        <v>46246</v>
      </c>
      <c r="N22387">
        <f>IF(M22387="","",'Master Barang'!A81)</f>
        <v>0</v>
      </c>
      <c r="O22387">
        <f>IF(N22387="","",'Master Barang'!B81)</f>
        <v>0</v>
      </c>
      <c r="P22387">
        <f>IF(OR(M22387="",N22387=""),"",SUMIFS('Barang Keluar'!$E:$E,'Barang Keluar'!$A:$A,M22387,'Barang Keluar'!$C:$C,N22387))</f>
        <v>0</v>
      </c>
    </row>
    <row r="22388" spans="13:16">
      <c r="M22388" s="49">
        <f>IF($A$4+223&gt;$B$4,"",$A$4+223)</f>
        <v>46246</v>
      </c>
      <c r="N22388">
        <f>IF(M22388="","",'Master Barang'!A82)</f>
        <v>0</v>
      </c>
      <c r="O22388">
        <f>IF(N22388="","",'Master Barang'!B82)</f>
        <v>0</v>
      </c>
      <c r="P22388">
        <f>IF(OR(M22388="",N22388=""),"",SUMIFS('Barang Keluar'!$E:$E,'Barang Keluar'!$A:$A,M22388,'Barang Keluar'!$C:$C,N22388))</f>
        <v>0</v>
      </c>
    </row>
    <row r="22389" spans="13:16">
      <c r="M22389" s="49">
        <f>IF($A$4+223&gt;$B$4,"",$A$4+223)</f>
        <v>46246</v>
      </c>
      <c r="N22389">
        <f>IF(M22389="","",'Master Barang'!A83)</f>
        <v>0</v>
      </c>
      <c r="O22389">
        <f>IF(N22389="","",'Master Barang'!B83)</f>
        <v>0</v>
      </c>
      <c r="P22389">
        <f>IF(OR(M22389="",N22389=""),"",SUMIFS('Barang Keluar'!$E:$E,'Barang Keluar'!$A:$A,M22389,'Barang Keluar'!$C:$C,N22389))</f>
        <v>0</v>
      </c>
    </row>
    <row r="22390" spans="13:16">
      <c r="M22390" s="49">
        <f>IF($A$4+223&gt;$B$4,"",$A$4+223)</f>
        <v>46246</v>
      </c>
      <c r="N22390">
        <f>IF(M22390="","",'Master Barang'!A84)</f>
        <v>0</v>
      </c>
      <c r="O22390">
        <f>IF(N22390="","",'Master Barang'!B84)</f>
        <v>0</v>
      </c>
      <c r="P22390">
        <f>IF(OR(M22390="",N22390=""),"",SUMIFS('Barang Keluar'!$E:$E,'Barang Keluar'!$A:$A,M22390,'Barang Keluar'!$C:$C,N22390))</f>
        <v>0</v>
      </c>
    </row>
    <row r="22391" spans="13:16">
      <c r="M22391" s="49">
        <f>IF($A$4+223&gt;$B$4,"",$A$4+223)</f>
        <v>46246</v>
      </c>
      <c r="N22391">
        <f>IF(M22391="","",'Master Barang'!A85)</f>
        <v>0</v>
      </c>
      <c r="O22391">
        <f>IF(N22391="","",'Master Barang'!B85)</f>
        <v>0</v>
      </c>
      <c r="P22391">
        <f>IF(OR(M22391="",N22391=""),"",SUMIFS('Barang Keluar'!$E:$E,'Barang Keluar'!$A:$A,M22391,'Barang Keluar'!$C:$C,N22391))</f>
        <v>0</v>
      </c>
    </row>
    <row r="22392" spans="13:16">
      <c r="M22392" s="49">
        <f>IF($A$4+223&gt;$B$4,"",$A$4+223)</f>
        <v>46246</v>
      </c>
      <c r="N22392">
        <f>IF(M22392="","",'Master Barang'!A86)</f>
        <v>0</v>
      </c>
      <c r="O22392">
        <f>IF(N22392="","",'Master Barang'!B86)</f>
        <v>0</v>
      </c>
      <c r="P22392">
        <f>IF(OR(M22392="",N22392=""),"",SUMIFS('Barang Keluar'!$E:$E,'Barang Keluar'!$A:$A,M22392,'Barang Keluar'!$C:$C,N22392))</f>
        <v>0</v>
      </c>
    </row>
    <row r="22393" spans="13:16">
      <c r="M22393" s="49">
        <f>IF($A$4+223&gt;$B$4,"",$A$4+223)</f>
        <v>46246</v>
      </c>
      <c r="N22393">
        <f>IF(M22393="","",'Master Barang'!A87)</f>
        <v>0</v>
      </c>
      <c r="O22393">
        <f>IF(N22393="","",'Master Barang'!B87)</f>
        <v>0</v>
      </c>
      <c r="P22393">
        <f>IF(OR(M22393="",N22393=""),"",SUMIFS('Barang Keluar'!$E:$E,'Barang Keluar'!$A:$A,M22393,'Barang Keluar'!$C:$C,N22393))</f>
        <v>0</v>
      </c>
    </row>
    <row r="22394" spans="13:16">
      <c r="M22394" s="49">
        <f>IF($A$4+223&gt;$B$4,"",$A$4+223)</f>
        <v>46246</v>
      </c>
      <c r="N22394">
        <f>IF(M22394="","",'Master Barang'!A88)</f>
        <v>0</v>
      </c>
      <c r="O22394">
        <f>IF(N22394="","",'Master Barang'!B88)</f>
        <v>0</v>
      </c>
      <c r="P22394">
        <f>IF(OR(M22394="",N22394=""),"",SUMIFS('Barang Keluar'!$E:$E,'Barang Keluar'!$A:$A,M22394,'Barang Keluar'!$C:$C,N22394))</f>
        <v>0</v>
      </c>
    </row>
    <row r="22395" spans="13:16">
      <c r="M22395" s="49">
        <f>IF($A$4+223&gt;$B$4,"",$A$4+223)</f>
        <v>46246</v>
      </c>
      <c r="N22395">
        <f>IF(M22395="","",'Master Barang'!A89)</f>
        <v>0</v>
      </c>
      <c r="O22395">
        <f>IF(N22395="","",'Master Barang'!B89)</f>
        <v>0</v>
      </c>
      <c r="P22395">
        <f>IF(OR(M22395="",N22395=""),"",SUMIFS('Barang Keluar'!$E:$E,'Barang Keluar'!$A:$A,M22395,'Barang Keluar'!$C:$C,N22395))</f>
        <v>0</v>
      </c>
    </row>
    <row r="22396" spans="13:16">
      <c r="M22396" s="49">
        <f>IF($A$4+223&gt;$B$4,"",$A$4+223)</f>
        <v>46246</v>
      </c>
      <c r="N22396">
        <f>IF(M22396="","",'Master Barang'!A90)</f>
        <v>0</v>
      </c>
      <c r="O22396">
        <f>IF(N22396="","",'Master Barang'!B90)</f>
        <v>0</v>
      </c>
      <c r="P22396">
        <f>IF(OR(M22396="",N22396=""),"",SUMIFS('Barang Keluar'!$E:$E,'Barang Keluar'!$A:$A,M22396,'Barang Keluar'!$C:$C,N22396))</f>
        <v>0</v>
      </c>
    </row>
    <row r="22397" spans="13:16">
      <c r="M22397" s="49">
        <f>IF($A$4+223&gt;$B$4,"",$A$4+223)</f>
        <v>46246</v>
      </c>
      <c r="N22397">
        <f>IF(M22397="","",'Master Barang'!A91)</f>
        <v>0</v>
      </c>
      <c r="O22397">
        <f>IF(N22397="","",'Master Barang'!B91)</f>
        <v>0</v>
      </c>
      <c r="P22397">
        <f>IF(OR(M22397="",N22397=""),"",SUMIFS('Barang Keluar'!$E:$E,'Barang Keluar'!$A:$A,M22397,'Barang Keluar'!$C:$C,N22397))</f>
        <v>0</v>
      </c>
    </row>
    <row r="22398" spans="13:16">
      <c r="M22398" s="49">
        <f>IF($A$4+223&gt;$B$4,"",$A$4+223)</f>
        <v>46246</v>
      </c>
      <c r="N22398">
        <f>IF(M22398="","",'Master Barang'!A92)</f>
        <v>0</v>
      </c>
      <c r="O22398">
        <f>IF(N22398="","",'Master Barang'!B92)</f>
        <v>0</v>
      </c>
      <c r="P22398">
        <f>IF(OR(M22398="",N22398=""),"",SUMIFS('Barang Keluar'!$E:$E,'Barang Keluar'!$A:$A,M22398,'Barang Keluar'!$C:$C,N22398))</f>
        <v>0</v>
      </c>
    </row>
    <row r="22399" spans="13:16">
      <c r="M22399" s="49">
        <f>IF($A$4+223&gt;$B$4,"",$A$4+223)</f>
        <v>46246</v>
      </c>
      <c r="N22399">
        <f>IF(M22399="","",'Master Barang'!A93)</f>
        <v>0</v>
      </c>
      <c r="O22399">
        <f>IF(N22399="","",'Master Barang'!B93)</f>
        <v>0</v>
      </c>
      <c r="P22399">
        <f>IF(OR(M22399="",N22399=""),"",SUMIFS('Barang Keluar'!$E:$E,'Barang Keluar'!$A:$A,M22399,'Barang Keluar'!$C:$C,N22399))</f>
        <v>0</v>
      </c>
    </row>
    <row r="22400" spans="13:16">
      <c r="M22400" s="49">
        <f>IF($A$4+223&gt;$B$4,"",$A$4+223)</f>
        <v>46246</v>
      </c>
      <c r="N22400">
        <f>IF(M22400="","",'Master Barang'!A94)</f>
        <v>0</v>
      </c>
      <c r="O22400">
        <f>IF(N22400="","",'Master Barang'!B94)</f>
        <v>0</v>
      </c>
      <c r="P22400">
        <f>IF(OR(M22400="",N22400=""),"",SUMIFS('Barang Keluar'!$E:$E,'Barang Keluar'!$A:$A,M22400,'Barang Keluar'!$C:$C,N22400))</f>
        <v>0</v>
      </c>
    </row>
    <row r="22401" spans="13:16">
      <c r="M22401" s="49">
        <f>IF($A$4+223&gt;$B$4,"",$A$4+223)</f>
        <v>46246</v>
      </c>
      <c r="N22401">
        <f>IF(M22401="","",'Master Barang'!A95)</f>
        <v>0</v>
      </c>
      <c r="O22401">
        <f>IF(N22401="","",'Master Barang'!B95)</f>
        <v>0</v>
      </c>
      <c r="P22401">
        <f>IF(OR(M22401="",N22401=""),"",SUMIFS('Barang Keluar'!$E:$E,'Barang Keluar'!$A:$A,M22401,'Barang Keluar'!$C:$C,N22401))</f>
        <v>0</v>
      </c>
    </row>
    <row r="22402" spans="13:16">
      <c r="M22402" s="49">
        <f>IF($A$4+223&gt;$B$4,"",$A$4+223)</f>
        <v>46246</v>
      </c>
      <c r="N22402">
        <f>IF(M22402="","",'Master Barang'!A96)</f>
        <v>0</v>
      </c>
      <c r="O22402">
        <f>IF(N22402="","",'Master Barang'!B96)</f>
        <v>0</v>
      </c>
      <c r="P22402">
        <f>IF(OR(M22402="",N22402=""),"",SUMIFS('Barang Keluar'!$E:$E,'Barang Keluar'!$A:$A,M22402,'Barang Keluar'!$C:$C,N22402))</f>
        <v>0</v>
      </c>
    </row>
    <row r="22403" spans="13:16">
      <c r="M22403" s="49">
        <f>IF($A$4+223&gt;$B$4,"",$A$4+223)</f>
        <v>46246</v>
      </c>
      <c r="N22403">
        <f>IF(M22403="","",'Master Barang'!A97)</f>
        <v>0</v>
      </c>
      <c r="O22403">
        <f>IF(N22403="","",'Master Barang'!B97)</f>
        <v>0</v>
      </c>
      <c r="P22403">
        <f>IF(OR(M22403="",N22403=""),"",SUMIFS('Barang Keluar'!$E:$E,'Barang Keluar'!$A:$A,M22403,'Barang Keluar'!$C:$C,N22403))</f>
        <v>0</v>
      </c>
    </row>
    <row r="22404" spans="13:16">
      <c r="M22404" s="49">
        <f>IF($A$4+223&gt;$B$4,"",$A$4+223)</f>
        <v>46246</v>
      </c>
      <c r="N22404">
        <f>IF(M22404="","",'Master Barang'!A98)</f>
        <v>0</v>
      </c>
      <c r="O22404">
        <f>IF(N22404="","",'Master Barang'!B98)</f>
        <v>0</v>
      </c>
      <c r="P22404">
        <f>IF(OR(M22404="",N22404=""),"",SUMIFS('Barang Keluar'!$E:$E,'Barang Keluar'!$A:$A,M22404,'Barang Keluar'!$C:$C,N22404))</f>
        <v>0</v>
      </c>
    </row>
    <row r="22405" spans="13:16">
      <c r="M22405" s="49">
        <f>IF($A$4+223&gt;$B$4,"",$A$4+223)</f>
        <v>46246</v>
      </c>
      <c r="N22405">
        <f>IF(M22405="","",'Master Barang'!A99)</f>
        <v>0</v>
      </c>
      <c r="O22405">
        <f>IF(N22405="","",'Master Barang'!B99)</f>
        <v>0</v>
      </c>
      <c r="P22405">
        <f>IF(OR(M22405="",N22405=""),"",SUMIFS('Barang Keluar'!$E:$E,'Barang Keluar'!$A:$A,M22405,'Barang Keluar'!$C:$C,N22405))</f>
        <v>0</v>
      </c>
    </row>
    <row r="22406" spans="13:16">
      <c r="M22406" s="49">
        <f>IF($A$4+223&gt;$B$4,"",$A$4+223)</f>
        <v>46246</v>
      </c>
      <c r="N22406">
        <f>IF(M22406="","",'Master Barang'!A100)</f>
        <v>0</v>
      </c>
      <c r="O22406">
        <f>IF(N22406="","",'Master Barang'!B100)</f>
        <v>0</v>
      </c>
      <c r="P22406">
        <f>IF(OR(M22406="",N22406=""),"",SUMIFS('Barang Keluar'!$E:$E,'Barang Keluar'!$A:$A,M22406,'Barang Keluar'!$C:$C,N22406))</f>
        <v>0</v>
      </c>
    </row>
    <row r="22407" spans="13:16">
      <c r="M22407" s="49">
        <f>IF($A$4+223&gt;$B$4,"",$A$4+223)</f>
        <v>46246</v>
      </c>
      <c r="N22407">
        <f>IF(M22407="","",'Master Barang'!A101)</f>
        <v>0</v>
      </c>
      <c r="O22407">
        <f>IF(N22407="","",'Master Barang'!B101)</f>
        <v>0</v>
      </c>
      <c r="P22407">
        <f>IF(OR(M22407="",N22407=""),"",SUMIFS('Barang Keluar'!$E:$E,'Barang Keluar'!$A:$A,M22407,'Barang Keluar'!$C:$C,N22407))</f>
        <v>0</v>
      </c>
    </row>
    <row r="22408" spans="13:16">
      <c r="M22408" s="49">
        <f>IF($A$4+224&gt;$B$4,"",$A$4+224)</f>
        <v>46247</v>
      </c>
      <c r="N22408" t="str">
        <f>IF(M22408="","",'Master Barang'!A2)</f>
        <v>PRL-001</v>
      </c>
      <c r="O22408" t="str">
        <f>IF(N22408="","",'Master Barang'!B2)</f>
        <v>natura desinfectant food grade 5l</v>
      </c>
      <c r="P22408">
        <f>IF(OR(M22408="",N22408=""),"",SUMIFS('Barang Keluar'!$E:$E,'Barang Keluar'!$A:$A,M22408,'Barang Keluar'!$C:$C,N22408))</f>
        <v>0</v>
      </c>
    </row>
    <row r="22409" spans="13:16">
      <c r="M22409" s="49">
        <f>IF($A$4+224&gt;$B$4,"",$A$4+224)</f>
        <v>46247</v>
      </c>
      <c r="N22409" t="str">
        <f>IF(M22409="","",'Master Barang'!A3)</f>
        <v>PRL-002</v>
      </c>
      <c r="O22409" t="str">
        <f>IF(N22409="","",'Master Barang'!B3)</f>
        <v>sunlight cairan pencuci piring 5l</v>
      </c>
      <c r="P22409">
        <f>IF(OR(M22409="",N22409=""),"",SUMIFS('Barang Keluar'!$E:$E,'Barang Keluar'!$A:$A,M22409,'Barang Keluar'!$C:$C,N22409))</f>
        <v>0</v>
      </c>
    </row>
    <row r="22410" spans="13:16">
      <c r="M22410" s="49">
        <f>IF($A$4+224&gt;$B$4,"",$A$4+224)</f>
        <v>46247</v>
      </c>
      <c r="N22410" t="str">
        <f>IF(M22410="","",'Master Barang'!A4)</f>
        <v>PRL-003</v>
      </c>
      <c r="O22410" t="str">
        <f>IF(N22410="","",'Master Barang'!B4)</f>
        <v>oixs cleaner 1l</v>
      </c>
      <c r="P22410">
        <f>IF(OR(M22410="",N22410=""),"",SUMIFS('Barang Keluar'!$E:$E,'Barang Keluar'!$A:$A,M22410,'Barang Keluar'!$C:$C,N22410))</f>
        <v>0</v>
      </c>
    </row>
    <row r="22411" spans="13:16">
      <c r="M22411" s="49">
        <f>IF($A$4+224&gt;$B$4,"",$A$4+224)</f>
        <v>46247</v>
      </c>
      <c r="N22411" t="str">
        <f>IF(M22411="","",'Master Barang'!A5)</f>
        <v>PRL-004</v>
      </c>
      <c r="O22411" t="str">
        <f>IF(N22411="","",'Master Barang'!B5)</f>
        <v>be clean tissue serbaguna</v>
      </c>
      <c r="P22411">
        <f>IF(OR(M22411="",N22411=""),"",SUMIFS('Barang Keluar'!$E:$E,'Barang Keluar'!$A:$A,M22411,'Barang Keluar'!$C:$C,N22411))</f>
        <v>0</v>
      </c>
    </row>
    <row r="22412" spans="13:16">
      <c r="M22412" s="49">
        <f>IF($A$4+224&gt;$B$4,"",$A$4+224)</f>
        <v>46247</v>
      </c>
      <c r="N22412" t="str">
        <f>IF(M22412="","",'Master Barang'!A6)</f>
        <v>PRL-005</v>
      </c>
      <c r="O22412" t="str">
        <f>IF(N22412="","",'Master Barang'!B6)</f>
        <v>spons cuci hijau</v>
      </c>
      <c r="P22412">
        <f>IF(OR(M22412="",N22412=""),"",SUMIFS('Barang Keluar'!$E:$E,'Barang Keluar'!$A:$A,M22412,'Barang Keluar'!$C:$C,N22412))</f>
        <v>0</v>
      </c>
    </row>
    <row r="22413" spans="13:16">
      <c r="M22413" s="49">
        <f>IF($A$4+224&gt;$B$4,"",$A$4+224)</f>
        <v>46247</v>
      </c>
      <c r="N22413" t="str">
        <f>IF(M22413="","",'Master Barang'!A7)</f>
        <v>PRL-006</v>
      </c>
      <c r="O22413" t="str">
        <f>IF(N22413="","",'Master Barang'!B7)</f>
        <v>sabut cuci stainless</v>
      </c>
      <c r="P22413">
        <f>IF(OR(M22413="",N22413=""),"",SUMIFS('Barang Keluar'!$E:$E,'Barang Keluar'!$A:$A,M22413,'Barang Keluar'!$C:$C,N22413))</f>
        <v>0</v>
      </c>
    </row>
    <row r="22414" spans="13:16">
      <c r="M22414" s="49">
        <f>IF($A$4+224&gt;$B$4,"",$A$4+224)</f>
        <v>46247</v>
      </c>
      <c r="N22414" t="str">
        <f>IF(M22414="","",'Master Barang'!A8)</f>
        <v>PRL-007</v>
      </c>
      <c r="O22414" t="str">
        <f>IF(N22414="","",'Master Barang'!B8)</f>
        <v>plastik kresek besar merah 50pc</v>
      </c>
      <c r="P22414">
        <f>IF(OR(M22414="",N22414=""),"",SUMIFS('Barang Keluar'!$E:$E,'Barang Keluar'!$A:$A,M22414,'Barang Keluar'!$C:$C,N22414))</f>
        <v>0</v>
      </c>
    </row>
    <row r="22415" spans="13:16">
      <c r="M22415" s="49">
        <f>IF($A$4+224&gt;$B$4,"",$A$4+224)</f>
        <v>46247</v>
      </c>
      <c r="N22415" t="str">
        <f>IF(M22415="","",'Master Barang'!A9)</f>
        <v>PRL-008</v>
      </c>
      <c r="O22415" t="str">
        <f>IF(N22415="","",'Master Barang'!B9)</f>
        <v>lap besar</v>
      </c>
      <c r="P22415">
        <f>IF(OR(M22415="",N22415=""),"",SUMIFS('Barang Keluar'!$E:$E,'Barang Keluar'!$A:$A,M22415,'Barang Keluar'!$C:$C,N22415))</f>
        <v>0</v>
      </c>
    </row>
    <row r="22416" spans="13:16">
      <c r="M22416" s="49">
        <f>IF($A$4+224&gt;$B$4,"",$A$4+224)</f>
        <v>46247</v>
      </c>
      <c r="N22416" t="str">
        <f>IF(M22416="","",'Master Barang'!A10)</f>
        <v>PRL-009</v>
      </c>
      <c r="O22416" t="str">
        <f>IF(N22416="","",'Master Barang'!B10)</f>
        <v>lap microfiber</v>
      </c>
      <c r="P22416">
        <f>IF(OR(M22416="",N22416=""),"",SUMIFS('Barang Keluar'!$E:$E,'Barang Keluar'!$A:$A,M22416,'Barang Keluar'!$C:$C,N22416))</f>
        <v>0</v>
      </c>
    </row>
    <row r="22417" spans="13:16">
      <c r="M22417" s="49">
        <f>IF($A$4+224&gt;$B$4,"",$A$4+224)</f>
        <v>46247</v>
      </c>
      <c r="N22417" t="str">
        <f>IF(M22417="","",'Master Barang'!A11)</f>
        <v>PRL-010</v>
      </c>
      <c r="O22417" t="str">
        <f>IF(N22417="","",'Master Barang'!B11)</f>
        <v>lap kecil</v>
      </c>
      <c r="P22417">
        <f>IF(OR(M22417="",N22417=""),"",SUMIFS('Barang Keluar'!$E:$E,'Barang Keluar'!$A:$A,M22417,'Barang Keluar'!$C:$C,N22417))</f>
        <v>0</v>
      </c>
    </row>
    <row r="22418" spans="13:16">
      <c r="M22418" s="49">
        <f>IF($A$4+224&gt;$B$4,"",$A$4+224)</f>
        <v>46247</v>
      </c>
      <c r="N22418" t="str">
        <f>IF(M22418="","",'Master Barang'!A12)</f>
        <v>PRL-011</v>
      </c>
      <c r="O22418" t="str">
        <f>IF(N22418="","",'Master Barang'!B12)</f>
        <v>kanebo kecil</v>
      </c>
      <c r="P22418">
        <f>IF(OR(M22418="",N22418=""),"",SUMIFS('Barang Keluar'!$E:$E,'Barang Keluar'!$A:$A,M22418,'Barang Keluar'!$C:$C,N22418))</f>
        <v>0</v>
      </c>
    </row>
    <row r="22419" spans="13:16">
      <c r="M22419" s="49">
        <f>IF($A$4+224&gt;$B$4,"",$A$4+224)</f>
        <v>46247</v>
      </c>
      <c r="N22419" t="str">
        <f>IF(M22419="","",'Master Barang'!A13)</f>
        <v>PRL-012</v>
      </c>
      <c r="O22419" t="str">
        <f>IF(N22419="","",'Master Barang'!B13)</f>
        <v>plastik 1/4kg joyoboyo 100 lembar</v>
      </c>
      <c r="P22419">
        <f>IF(OR(M22419="",N22419=""),"",SUMIFS('Barang Keluar'!$E:$E,'Barang Keluar'!$A:$A,M22419,'Barang Keluar'!$C:$C,N22419))</f>
        <v>0</v>
      </c>
    </row>
    <row r="22420" spans="13:16">
      <c r="M22420" s="49">
        <f>IF($A$4+224&gt;$B$4,"",$A$4+224)</f>
        <v>46247</v>
      </c>
      <c r="N22420" t="str">
        <f>IF(M22420="","",'Master Barang'!A14)</f>
        <v>PRL-013</v>
      </c>
      <c r="O22420" t="str">
        <f>IF(N22420="","",'Master Barang'!B14)</f>
        <v>sarung tangan plastik kaka 100 pcs</v>
      </c>
      <c r="P22420">
        <f>IF(OR(M22420="",N22420=""),"",SUMIFS('Barang Keluar'!$E:$E,'Barang Keluar'!$A:$A,M22420,'Barang Keluar'!$C:$C,N22420))</f>
        <v>0</v>
      </c>
    </row>
    <row r="22421" spans="13:16">
      <c r="M22421" s="49">
        <f>IF($A$4+224&gt;$B$4,"",$A$4+224)</f>
        <v>46247</v>
      </c>
      <c r="N22421" t="str">
        <f>IF(M22421="","",'Master Barang'!A15)</f>
        <v>PRL-014</v>
      </c>
      <c r="O22421" t="str">
        <f>IF(N22421="","",'Master Barang'!B15)</f>
        <v>optima trashbag 80x100</v>
      </c>
      <c r="P22421">
        <f>IF(OR(M22421="",N22421=""),"",SUMIFS('Barang Keluar'!$E:$E,'Barang Keluar'!$A:$A,M22421,'Barang Keluar'!$C:$C,N22421))</f>
        <v>0</v>
      </c>
    </row>
    <row r="22422" spans="13:16">
      <c r="M22422" s="49">
        <f>IF($A$4+224&gt;$B$4,"",$A$4+224)</f>
        <v>46247</v>
      </c>
      <c r="N22422" t="str">
        <f>IF(M22422="","",'Master Barang'!A16)</f>
        <v>PRL-015</v>
      </c>
      <c r="O22422" t="str">
        <f>IF(N22422="","",'Master Barang'!B16)</f>
        <v>optima trashbag 60x100</v>
      </c>
      <c r="P22422">
        <f>IF(OR(M22422="",N22422=""),"",SUMIFS('Barang Keluar'!$E:$E,'Barang Keluar'!$A:$A,M22422,'Barang Keluar'!$C:$C,N22422))</f>
        <v>0</v>
      </c>
    </row>
    <row r="22423" spans="13:16">
      <c r="M22423" s="49">
        <f>IF($A$4+224&gt;$B$4,"",$A$4+224)</f>
        <v>46247</v>
      </c>
      <c r="N22423" t="str">
        <f>IF(M22423="","",'Master Barang'!A17)</f>
        <v>PRL-016</v>
      </c>
      <c r="O22423" t="str">
        <f>IF(N22423="","",'Master Barang'!B17)</f>
        <v>rajawali trashbag 30x40</v>
      </c>
      <c r="P22423">
        <f>IF(OR(M22423="",N22423=""),"",SUMIFS('Barang Keluar'!$E:$E,'Barang Keluar'!$A:$A,M22423,'Barang Keluar'!$C:$C,N22423))</f>
        <v>0</v>
      </c>
    </row>
    <row r="22424" spans="13:16">
      <c r="M22424" s="49">
        <f>IF($A$4+224&gt;$B$4,"",$A$4+224)</f>
        <v>46247</v>
      </c>
      <c r="N22424" t="str">
        <f>IF(M22424="","",'Master Barang'!A18)</f>
        <v>PRL-017</v>
      </c>
      <c r="O22424" t="str">
        <f>IF(N22424="","",'Master Barang'!B18)</f>
        <v>onemed masker biru 3 play 50 pcs</v>
      </c>
      <c r="P22424">
        <f>IF(OR(M22424="",N22424=""),"",SUMIFS('Barang Keluar'!$E:$E,'Barang Keluar'!$A:$A,M22424,'Barang Keluar'!$C:$C,N22424))</f>
        <v>0</v>
      </c>
    </row>
    <row r="22425" spans="13:16">
      <c r="M22425" s="49">
        <f>IF($A$4+224&gt;$B$4,"",$A$4+224)</f>
        <v>46247</v>
      </c>
      <c r="N22425" t="str">
        <f>IF(M22425="","",'Master Barang'!A19)</f>
        <v>PRL-018</v>
      </c>
      <c r="O22425" t="str">
        <f>IF(N22425="","",'Master Barang'!B19)</f>
        <v>onemed masker biru 3 play hijab 50 pcs</v>
      </c>
      <c r="P22425">
        <f>IF(OR(M22425="",N22425=""),"",SUMIFS('Barang Keluar'!$E:$E,'Barang Keluar'!$A:$A,M22425,'Barang Keluar'!$C:$C,N22425))</f>
        <v>0</v>
      </c>
    </row>
    <row r="22426" spans="13:16">
      <c r="M22426" s="49">
        <f>IF($A$4+224&gt;$B$4,"",$A$4+224)</f>
        <v>46247</v>
      </c>
      <c r="N22426" t="str">
        <f>IF(M22426="","",'Master Barang'!A20)</f>
        <v>PRL-019</v>
      </c>
      <c r="O22426" t="str">
        <f>IF(N22426="","",'Master Barang'!B20)</f>
        <v>neo health masker biru 3 play 50 pcs</v>
      </c>
      <c r="P22426">
        <f>IF(OR(M22426="",N22426=""),"",SUMIFS('Barang Keluar'!$E:$E,'Barang Keluar'!$A:$A,M22426,'Barang Keluar'!$C:$C,N22426))</f>
        <v>0</v>
      </c>
    </row>
    <row r="22427" spans="13:16">
      <c r="M22427" s="49">
        <f>IF($A$4+224&gt;$B$4,"",$A$4+224)</f>
        <v>46247</v>
      </c>
      <c r="N22427" t="str">
        <f>IF(M22427="","",'Master Barang'!A21)</f>
        <v>PRL-020</v>
      </c>
      <c r="O22427" t="str">
        <f>IF(N22427="","",'Master Barang'!B21)</f>
        <v>baymed masker hijau 3 play hijau 50 pcs</v>
      </c>
      <c r="P22427">
        <f>IF(OR(M22427="",N22427=""),"",SUMIFS('Barang Keluar'!$E:$E,'Barang Keluar'!$A:$A,M22427,'Barang Keluar'!$C:$C,N22427))</f>
        <v>0</v>
      </c>
    </row>
    <row r="22428" spans="13:16">
      <c r="M22428" s="49">
        <f>IF($A$4+224&gt;$B$4,"",$A$4+224)</f>
        <v>46247</v>
      </c>
      <c r="N22428" t="str">
        <f>IF(M22428="","",'Master Barang'!A22)</f>
        <v>PRL-021</v>
      </c>
      <c r="O22428" t="str">
        <f>IF(N22428="","",'Master Barang'!B22)</f>
        <v>altamed nurse cap penutup kepala 100 pcs</v>
      </c>
      <c r="P22428">
        <f>IF(OR(M22428="",N22428=""),"",SUMIFS('Barang Keluar'!$E:$E,'Barang Keluar'!$A:$A,M22428,'Barang Keluar'!$C:$C,N22428))</f>
        <v>0</v>
      </c>
    </row>
    <row r="22429" spans="13:16">
      <c r="M22429" s="49">
        <f>IF($A$4+224&gt;$B$4,"",$A$4+224)</f>
        <v>46247</v>
      </c>
      <c r="N22429" t="str">
        <f>IF(M22429="","",'Master Barang'!A23)</f>
        <v>PRL-022</v>
      </c>
      <c r="O22429" t="str">
        <f>IF(N22429="","",'Master Barang'!B23)</f>
        <v>sabun cuci tangan</v>
      </c>
      <c r="P22429">
        <f>IF(OR(M22429="",N22429=""),"",SUMIFS('Barang Keluar'!$E:$E,'Barang Keluar'!$A:$A,M22429,'Barang Keluar'!$C:$C,N22429))</f>
        <v>0</v>
      </c>
    </row>
    <row r="22430" spans="13:16">
      <c r="M22430" s="49">
        <f>IF($A$4+224&gt;$B$4,"",$A$4+224)</f>
        <v>46247</v>
      </c>
      <c r="N22430" t="str">
        <f>IF(M22430="","",'Master Barang'!A24)</f>
        <v>PRL-023</v>
      </c>
      <c r="O22430" t="str">
        <f>IF(N22430="","",'Master Barang'!B24)</f>
        <v>gayung kecil</v>
      </c>
      <c r="P22430">
        <f>IF(OR(M22430="",N22430=""),"",SUMIFS('Barang Keluar'!$E:$E,'Barang Keluar'!$A:$A,M22430,'Barang Keluar'!$C:$C,N22430))</f>
        <v>0</v>
      </c>
    </row>
    <row r="22431" spans="13:16">
      <c r="M22431" s="49">
        <f>IF($A$4+224&gt;$B$4,"",$A$4+224)</f>
        <v>46247</v>
      </c>
      <c r="N22431" t="str">
        <f>IF(M22431="","",'Master Barang'!A25)</f>
        <v>PRL-024</v>
      </c>
      <c r="O22431" t="str">
        <f>IF(N22431="","",'Master Barang'!B25)</f>
        <v>cikrak kecil</v>
      </c>
      <c r="P22431">
        <f>IF(OR(M22431="",N22431=""),"",SUMIFS('Barang Keluar'!$E:$E,'Barang Keluar'!$A:$A,M22431,'Barang Keluar'!$C:$C,N22431))</f>
        <v>0</v>
      </c>
    </row>
    <row r="22432" spans="13:16">
      <c r="M22432" s="49">
        <f>IF($A$4+224&gt;$B$4,"",$A$4+224)</f>
        <v>46247</v>
      </c>
      <c r="N22432" t="str">
        <f>IF(M22432="","",'Master Barang'!A26)</f>
        <v>PRL-025</v>
      </c>
      <c r="O22432" t="str">
        <f>IF(N22432="","",'Master Barang'!B26)</f>
        <v>petromax plastik kecil 12x24 100 lembar</v>
      </c>
      <c r="P22432">
        <f>IF(OR(M22432="",N22432=""),"",SUMIFS('Barang Keluar'!$E:$E,'Barang Keluar'!$A:$A,M22432,'Barang Keluar'!$C:$C,N22432))</f>
        <v>0</v>
      </c>
    </row>
    <row r="22433" spans="13:16">
      <c r="M22433" s="49">
        <f>IF($A$4+224&gt;$B$4,"",$A$4+224)</f>
        <v>46247</v>
      </c>
      <c r="N22433" t="str">
        <f>IF(M22433="","",'Master Barang'!A27)</f>
        <v>PRL-026</v>
      </c>
      <c r="O22433" t="str">
        <f>IF(N22433="","",'Master Barang'!B27)</f>
        <v>lancar kresek kecil bening </v>
      </c>
      <c r="P22433">
        <f>IF(OR(M22433="",N22433=""),"",SUMIFS('Barang Keluar'!$E:$E,'Barang Keluar'!$A:$A,M22433,'Barang Keluar'!$C:$C,N22433))</f>
        <v>0</v>
      </c>
    </row>
    <row r="22434" spans="13:16">
      <c r="M22434" s="49">
        <f>IF($A$4+224&gt;$B$4,"",$A$4+224)</f>
        <v>46247</v>
      </c>
      <c r="N22434" t="str">
        <f>IF(M22434="","",'Master Barang'!A28)</f>
        <v>PRL-027</v>
      </c>
      <c r="O22434" t="str">
        <f>IF(N22434="","",'Master Barang'!B28)</f>
        <v>kresek klin warna warni kecil</v>
      </c>
      <c r="P22434">
        <f>IF(OR(M22434="",N22434=""),"",SUMIFS('Barang Keluar'!$E:$E,'Barang Keluar'!$A:$A,M22434,'Barang Keluar'!$C:$C,N22434))</f>
        <v>0</v>
      </c>
    </row>
    <row r="22435" spans="13:16">
      <c r="M22435" s="49">
        <f>IF($A$4+224&gt;$B$4,"",$A$4+224)</f>
        <v>46247</v>
      </c>
      <c r="N22435" t="str">
        <f>IF(M22435="","",'Master Barang'!A29)</f>
        <v>PRL-028</v>
      </c>
      <c r="O22435" t="str">
        <f>IF(N22435="","",'Master Barang'!B29)</f>
        <v>ctik plastik 7x10 100 pcs</v>
      </c>
      <c r="P22435">
        <f>IF(OR(M22435="",N22435=""),"",SUMIFS('Barang Keluar'!$E:$E,'Barang Keluar'!$A:$A,M22435,'Barang Keluar'!$C:$C,N22435))</f>
        <v>0</v>
      </c>
    </row>
    <row r="22436" spans="13:16">
      <c r="M22436" s="49">
        <f>IF($A$4+224&gt;$B$4,"",$A$4+224)</f>
        <v>46247</v>
      </c>
      <c r="N22436" t="str">
        <f>IF(M22436="","",'Master Barang'!A30)</f>
        <v>PRL-029</v>
      </c>
      <c r="O22436" t="str">
        <f>IF(N22436="","",'Master Barang'!B30)</f>
        <v>ctik plastik 6x10 100 pcs</v>
      </c>
      <c r="P22436">
        <f>IF(OR(M22436="",N22436=""),"",SUMIFS('Barang Keluar'!$E:$E,'Barang Keluar'!$A:$A,M22436,'Barang Keluar'!$C:$C,N22436))</f>
        <v>0</v>
      </c>
    </row>
    <row r="22437" spans="13:16">
      <c r="M22437" s="49">
        <f>IF($A$4+224&gt;$B$4,"",$A$4+224)</f>
        <v>46247</v>
      </c>
      <c r="N22437" t="str">
        <f>IF(M22437="","",'Master Barang'!A31)</f>
        <v>PRL-030</v>
      </c>
      <c r="O22437" t="str">
        <f>IF(N22437="","",'Master Barang'!B31)</f>
        <v>klip plastik 25x16 100 pcs</v>
      </c>
      <c r="P22437">
        <f>IF(OR(M22437="",N22437=""),"",SUMIFS('Barang Keluar'!$E:$E,'Barang Keluar'!$A:$A,M22437,'Barang Keluar'!$C:$C,N22437))</f>
        <v>0</v>
      </c>
    </row>
    <row r="22438" spans="13:16">
      <c r="M22438" s="49">
        <f>IF($A$4+224&gt;$B$4,"",$A$4+224)</f>
        <v>46247</v>
      </c>
      <c r="N22438" t="str">
        <f>IF(M22438="","",'Master Barang'!A32)</f>
        <v>PRL-031</v>
      </c>
      <c r="O22438" t="str">
        <f>IF(N22438="","",'Master Barang'!B32)</f>
        <v>tempat saus 20 ml</v>
      </c>
      <c r="P22438">
        <f>IF(OR(M22438="",N22438=""),"",SUMIFS('Barang Keluar'!$E:$E,'Barang Keluar'!$A:$A,M22438,'Barang Keluar'!$C:$C,N22438))</f>
        <v>0</v>
      </c>
    </row>
    <row r="22439" spans="13:16">
      <c r="M22439" s="49">
        <f>IF($A$4+224&gt;$B$4,"",$A$4+224)</f>
        <v>46247</v>
      </c>
      <c r="N22439" t="str">
        <f>IF(M22439="","",'Master Barang'!A33)</f>
        <v>PRL-032</v>
      </c>
      <c r="O22439" t="str">
        <f>IF(N22439="","",'Master Barang'!B33)</f>
        <v>plastik packaging ag box uk sedang</v>
      </c>
      <c r="P22439">
        <f>IF(OR(M22439="",N22439=""),"",SUMIFS('Barang Keluar'!$E:$E,'Barang Keluar'!$A:$A,M22439,'Barang Keluar'!$C:$C,N22439))</f>
        <v>0</v>
      </c>
    </row>
    <row r="22440" spans="13:16">
      <c r="M22440" s="49">
        <f>IF($A$4+224&gt;$B$4,"",$A$4+224)</f>
        <v>46247</v>
      </c>
      <c r="N22440" t="str">
        <f>IF(M22440="","",'Master Barang'!A34)</f>
        <v>PRL-033</v>
      </c>
      <c r="O22440">
        <f>IF(N22440="","",'Master Barang'!B34)</f>
        <v>0</v>
      </c>
      <c r="P22440">
        <f>IF(OR(M22440="",N22440=""),"",SUMIFS('Barang Keluar'!$E:$E,'Barang Keluar'!$A:$A,M22440,'Barang Keluar'!$C:$C,N22440))</f>
        <v>0</v>
      </c>
    </row>
    <row r="22441" spans="13:16">
      <c r="M22441" s="49">
        <f>IF($A$4+224&gt;$B$4,"",$A$4+224)</f>
        <v>46247</v>
      </c>
      <c r="N22441">
        <f>IF(M22441="","",'Master Barang'!A35)</f>
        <v>0</v>
      </c>
      <c r="O22441">
        <f>IF(N22441="","",'Master Barang'!B35)</f>
        <v>0</v>
      </c>
      <c r="P22441">
        <f>IF(OR(M22441="",N22441=""),"",SUMIFS('Barang Keluar'!$E:$E,'Barang Keluar'!$A:$A,M22441,'Barang Keluar'!$C:$C,N22441))</f>
        <v>0</v>
      </c>
    </row>
    <row r="22442" spans="13:16">
      <c r="M22442" s="49">
        <f>IF($A$4+224&gt;$B$4,"",$A$4+224)</f>
        <v>46247</v>
      </c>
      <c r="N22442">
        <f>IF(M22442="","",'Master Barang'!A36)</f>
        <v>0</v>
      </c>
      <c r="O22442">
        <f>IF(N22442="","",'Master Barang'!B36)</f>
        <v>0</v>
      </c>
      <c r="P22442">
        <f>IF(OR(M22442="",N22442=""),"",SUMIFS('Barang Keluar'!$E:$E,'Barang Keluar'!$A:$A,M22442,'Barang Keluar'!$C:$C,N22442))</f>
        <v>0</v>
      </c>
    </row>
    <row r="22443" spans="13:16">
      <c r="M22443" s="49">
        <f>IF($A$4+224&gt;$B$4,"",$A$4+224)</f>
        <v>46247</v>
      </c>
      <c r="N22443">
        <f>IF(M22443="","",'Master Barang'!A37)</f>
        <v>0</v>
      </c>
      <c r="O22443">
        <f>IF(N22443="","",'Master Barang'!B37)</f>
        <v>0</v>
      </c>
      <c r="P22443">
        <f>IF(OR(M22443="",N22443=""),"",SUMIFS('Barang Keluar'!$E:$E,'Barang Keluar'!$A:$A,M22443,'Barang Keluar'!$C:$C,N22443))</f>
        <v>0</v>
      </c>
    </row>
    <row r="22444" spans="13:16">
      <c r="M22444" s="49">
        <f>IF($A$4+224&gt;$B$4,"",$A$4+224)</f>
        <v>46247</v>
      </c>
      <c r="N22444">
        <f>IF(M22444="","",'Master Barang'!A38)</f>
        <v>0</v>
      </c>
      <c r="O22444">
        <f>IF(N22444="","",'Master Barang'!B38)</f>
        <v>0</v>
      </c>
      <c r="P22444">
        <f>IF(OR(M22444="",N22444=""),"",SUMIFS('Barang Keluar'!$E:$E,'Barang Keluar'!$A:$A,M22444,'Barang Keluar'!$C:$C,N22444))</f>
        <v>0</v>
      </c>
    </row>
    <row r="22445" spans="13:16">
      <c r="M22445" s="49">
        <f>IF($A$4+224&gt;$B$4,"",$A$4+224)</f>
        <v>46247</v>
      </c>
      <c r="N22445">
        <f>IF(M22445="","",'Master Barang'!A39)</f>
        <v>0</v>
      </c>
      <c r="O22445">
        <f>IF(N22445="","",'Master Barang'!B39)</f>
        <v>0</v>
      </c>
      <c r="P22445">
        <f>IF(OR(M22445="",N22445=""),"",SUMIFS('Barang Keluar'!$E:$E,'Barang Keluar'!$A:$A,M22445,'Barang Keluar'!$C:$C,N22445))</f>
        <v>0</v>
      </c>
    </row>
    <row r="22446" spans="13:16">
      <c r="M22446" s="49">
        <f>IF($A$4+224&gt;$B$4,"",$A$4+224)</f>
        <v>46247</v>
      </c>
      <c r="N22446">
        <f>IF(M22446="","",'Master Barang'!A40)</f>
        <v>0</v>
      </c>
      <c r="O22446">
        <f>IF(N22446="","",'Master Barang'!B40)</f>
        <v>0</v>
      </c>
      <c r="P22446">
        <f>IF(OR(M22446="",N22446=""),"",SUMIFS('Barang Keluar'!$E:$E,'Barang Keluar'!$A:$A,M22446,'Barang Keluar'!$C:$C,N22446))</f>
        <v>0</v>
      </c>
    </row>
    <row r="22447" spans="13:16">
      <c r="M22447" s="49">
        <f>IF($A$4+224&gt;$B$4,"",$A$4+224)</f>
        <v>46247</v>
      </c>
      <c r="N22447">
        <f>IF(M22447="","",'Master Barang'!A41)</f>
        <v>0</v>
      </c>
      <c r="O22447">
        <f>IF(N22447="","",'Master Barang'!B41)</f>
        <v>0</v>
      </c>
      <c r="P22447">
        <f>IF(OR(M22447="",N22447=""),"",SUMIFS('Barang Keluar'!$E:$E,'Barang Keluar'!$A:$A,M22447,'Barang Keluar'!$C:$C,N22447))</f>
        <v>0</v>
      </c>
    </row>
    <row r="22448" spans="13:16">
      <c r="M22448" s="49">
        <f>IF($A$4+224&gt;$B$4,"",$A$4+224)</f>
        <v>46247</v>
      </c>
      <c r="N22448">
        <f>IF(M22448="","",'Master Barang'!A42)</f>
        <v>0</v>
      </c>
      <c r="O22448">
        <f>IF(N22448="","",'Master Barang'!B42)</f>
        <v>0</v>
      </c>
      <c r="P22448">
        <f>IF(OR(M22448="",N22448=""),"",SUMIFS('Barang Keluar'!$E:$E,'Barang Keluar'!$A:$A,M22448,'Barang Keluar'!$C:$C,N22448))</f>
        <v>0</v>
      </c>
    </row>
    <row r="22449" spans="13:16">
      <c r="M22449" s="49">
        <f>IF($A$4+224&gt;$B$4,"",$A$4+224)</f>
        <v>46247</v>
      </c>
      <c r="N22449">
        <f>IF(M22449="","",'Master Barang'!A43)</f>
        <v>0</v>
      </c>
      <c r="O22449">
        <f>IF(N22449="","",'Master Barang'!B43)</f>
        <v>0</v>
      </c>
      <c r="P22449">
        <f>IF(OR(M22449="",N22449=""),"",SUMIFS('Barang Keluar'!$E:$E,'Barang Keluar'!$A:$A,M22449,'Barang Keluar'!$C:$C,N22449))</f>
        <v>0</v>
      </c>
    </row>
    <row r="22450" spans="13:16">
      <c r="M22450" s="49">
        <f>IF($A$4+224&gt;$B$4,"",$A$4+224)</f>
        <v>46247</v>
      </c>
      <c r="N22450">
        <f>IF(M22450="","",'Master Barang'!A44)</f>
        <v>0</v>
      </c>
      <c r="O22450">
        <f>IF(N22450="","",'Master Barang'!B44)</f>
        <v>0</v>
      </c>
      <c r="P22450">
        <f>IF(OR(M22450="",N22450=""),"",SUMIFS('Barang Keluar'!$E:$E,'Barang Keluar'!$A:$A,M22450,'Barang Keluar'!$C:$C,N22450))</f>
        <v>0</v>
      </c>
    </row>
    <row r="22451" spans="13:16">
      <c r="M22451" s="49">
        <f>IF($A$4+224&gt;$B$4,"",$A$4+224)</f>
        <v>46247</v>
      </c>
      <c r="N22451">
        <f>IF(M22451="","",'Master Barang'!A45)</f>
        <v>0</v>
      </c>
      <c r="O22451">
        <f>IF(N22451="","",'Master Barang'!B45)</f>
        <v>0</v>
      </c>
      <c r="P22451">
        <f>IF(OR(M22451="",N22451=""),"",SUMIFS('Barang Keluar'!$E:$E,'Barang Keluar'!$A:$A,M22451,'Barang Keluar'!$C:$C,N22451))</f>
        <v>0</v>
      </c>
    </row>
    <row r="22452" spans="13:16">
      <c r="M22452" s="49">
        <f>IF($A$4+224&gt;$B$4,"",$A$4+224)</f>
        <v>46247</v>
      </c>
      <c r="N22452">
        <f>IF(M22452="","",'Master Barang'!A46)</f>
        <v>0</v>
      </c>
      <c r="O22452">
        <f>IF(N22452="","",'Master Barang'!B46)</f>
        <v>0</v>
      </c>
      <c r="P22452">
        <f>IF(OR(M22452="",N22452=""),"",SUMIFS('Barang Keluar'!$E:$E,'Barang Keluar'!$A:$A,M22452,'Barang Keluar'!$C:$C,N22452))</f>
        <v>0</v>
      </c>
    </row>
    <row r="22453" spans="13:16">
      <c r="M22453" s="49">
        <f>IF($A$4+224&gt;$B$4,"",$A$4+224)</f>
        <v>46247</v>
      </c>
      <c r="N22453">
        <f>IF(M22453="","",'Master Barang'!A47)</f>
        <v>0</v>
      </c>
      <c r="O22453">
        <f>IF(N22453="","",'Master Barang'!B47)</f>
        <v>0</v>
      </c>
      <c r="P22453">
        <f>IF(OR(M22453="",N22453=""),"",SUMIFS('Barang Keluar'!$E:$E,'Barang Keluar'!$A:$A,M22453,'Barang Keluar'!$C:$C,N22453))</f>
        <v>0</v>
      </c>
    </row>
    <row r="22454" spans="13:16">
      <c r="M22454" s="49">
        <f>IF($A$4+224&gt;$B$4,"",$A$4+224)</f>
        <v>46247</v>
      </c>
      <c r="N22454">
        <f>IF(M22454="","",'Master Barang'!A48)</f>
        <v>0</v>
      </c>
      <c r="O22454">
        <f>IF(N22454="","",'Master Barang'!B48)</f>
        <v>0</v>
      </c>
      <c r="P22454">
        <f>IF(OR(M22454="",N22454=""),"",SUMIFS('Barang Keluar'!$E:$E,'Barang Keluar'!$A:$A,M22454,'Barang Keluar'!$C:$C,N22454))</f>
        <v>0</v>
      </c>
    </row>
    <row r="22455" spans="13:16">
      <c r="M22455" s="49">
        <f>IF($A$4+224&gt;$B$4,"",$A$4+224)</f>
        <v>46247</v>
      </c>
      <c r="N22455">
        <f>IF(M22455="","",'Master Barang'!A49)</f>
        <v>0</v>
      </c>
      <c r="O22455">
        <f>IF(N22455="","",'Master Barang'!B49)</f>
        <v>0</v>
      </c>
      <c r="P22455">
        <f>IF(OR(M22455="",N22455=""),"",SUMIFS('Barang Keluar'!$E:$E,'Barang Keluar'!$A:$A,M22455,'Barang Keluar'!$C:$C,N22455))</f>
        <v>0</v>
      </c>
    </row>
    <row r="22456" spans="13:16">
      <c r="M22456" s="49">
        <f>IF($A$4+224&gt;$B$4,"",$A$4+224)</f>
        <v>46247</v>
      </c>
      <c r="N22456">
        <f>IF(M22456="","",'Master Barang'!A50)</f>
        <v>0</v>
      </c>
      <c r="O22456">
        <f>IF(N22456="","",'Master Barang'!B50)</f>
        <v>0</v>
      </c>
      <c r="P22456">
        <f>IF(OR(M22456="",N22456=""),"",SUMIFS('Barang Keluar'!$E:$E,'Barang Keluar'!$A:$A,M22456,'Barang Keluar'!$C:$C,N22456))</f>
        <v>0</v>
      </c>
    </row>
    <row r="22457" spans="13:16">
      <c r="M22457" s="49">
        <f>IF($A$4+224&gt;$B$4,"",$A$4+224)</f>
        <v>46247</v>
      </c>
      <c r="N22457">
        <f>IF(M22457="","",'Master Barang'!A51)</f>
        <v>0</v>
      </c>
      <c r="O22457">
        <f>IF(N22457="","",'Master Barang'!B51)</f>
        <v>0</v>
      </c>
      <c r="P22457">
        <f>IF(OR(M22457="",N22457=""),"",SUMIFS('Barang Keluar'!$E:$E,'Barang Keluar'!$A:$A,M22457,'Barang Keluar'!$C:$C,N22457))</f>
        <v>0</v>
      </c>
    </row>
    <row r="22458" spans="13:16">
      <c r="M22458" s="49">
        <f>IF($A$4+224&gt;$B$4,"",$A$4+224)</f>
        <v>46247</v>
      </c>
      <c r="N22458">
        <f>IF(M22458="","",'Master Barang'!A52)</f>
        <v>0</v>
      </c>
      <c r="O22458">
        <f>IF(N22458="","",'Master Barang'!B52)</f>
        <v>0</v>
      </c>
      <c r="P22458">
        <f>IF(OR(M22458="",N22458=""),"",SUMIFS('Barang Keluar'!$E:$E,'Barang Keluar'!$A:$A,M22458,'Barang Keluar'!$C:$C,N22458))</f>
        <v>0</v>
      </c>
    </row>
    <row r="22459" spans="13:16">
      <c r="M22459" s="49">
        <f>IF($A$4+224&gt;$B$4,"",$A$4+224)</f>
        <v>46247</v>
      </c>
      <c r="N22459">
        <f>IF(M22459="","",'Master Barang'!A53)</f>
        <v>0</v>
      </c>
      <c r="O22459">
        <f>IF(N22459="","",'Master Barang'!B53)</f>
        <v>0</v>
      </c>
      <c r="P22459">
        <f>IF(OR(M22459="",N22459=""),"",SUMIFS('Barang Keluar'!$E:$E,'Barang Keluar'!$A:$A,M22459,'Barang Keluar'!$C:$C,N22459))</f>
        <v>0</v>
      </c>
    </row>
    <row r="22460" spans="13:16">
      <c r="M22460" s="49">
        <f>IF($A$4+224&gt;$B$4,"",$A$4+224)</f>
        <v>46247</v>
      </c>
      <c r="N22460">
        <f>IF(M22460="","",'Master Barang'!A54)</f>
        <v>0</v>
      </c>
      <c r="O22460">
        <f>IF(N22460="","",'Master Barang'!B54)</f>
        <v>0</v>
      </c>
      <c r="P22460">
        <f>IF(OR(M22460="",N22460=""),"",SUMIFS('Barang Keluar'!$E:$E,'Barang Keluar'!$A:$A,M22460,'Barang Keluar'!$C:$C,N22460))</f>
        <v>0</v>
      </c>
    </row>
    <row r="22461" spans="13:16">
      <c r="M22461" s="49">
        <f>IF($A$4+224&gt;$B$4,"",$A$4+224)</f>
        <v>46247</v>
      </c>
      <c r="N22461">
        <f>IF(M22461="","",'Master Barang'!A55)</f>
        <v>0</v>
      </c>
      <c r="O22461">
        <f>IF(N22461="","",'Master Barang'!B55)</f>
        <v>0</v>
      </c>
      <c r="P22461">
        <f>IF(OR(M22461="",N22461=""),"",SUMIFS('Barang Keluar'!$E:$E,'Barang Keluar'!$A:$A,M22461,'Barang Keluar'!$C:$C,N22461))</f>
        <v>0</v>
      </c>
    </row>
    <row r="22462" spans="13:16">
      <c r="M22462" s="49">
        <f>IF($A$4+224&gt;$B$4,"",$A$4+224)</f>
        <v>46247</v>
      </c>
      <c r="N22462">
        <f>IF(M22462="","",'Master Barang'!A56)</f>
        <v>0</v>
      </c>
      <c r="O22462">
        <f>IF(N22462="","",'Master Barang'!B56)</f>
        <v>0</v>
      </c>
      <c r="P22462">
        <f>IF(OR(M22462="",N22462=""),"",SUMIFS('Barang Keluar'!$E:$E,'Barang Keluar'!$A:$A,M22462,'Barang Keluar'!$C:$C,N22462))</f>
        <v>0</v>
      </c>
    </row>
    <row r="22463" spans="13:16">
      <c r="M22463" s="49">
        <f>IF($A$4+224&gt;$B$4,"",$A$4+224)</f>
        <v>46247</v>
      </c>
      <c r="N22463">
        <f>IF(M22463="","",'Master Barang'!A57)</f>
        <v>0</v>
      </c>
      <c r="O22463">
        <f>IF(N22463="","",'Master Barang'!B57)</f>
        <v>0</v>
      </c>
      <c r="P22463">
        <f>IF(OR(M22463="",N22463=""),"",SUMIFS('Barang Keluar'!$E:$E,'Barang Keluar'!$A:$A,M22463,'Barang Keluar'!$C:$C,N22463))</f>
        <v>0</v>
      </c>
    </row>
    <row r="22464" spans="13:16">
      <c r="M22464" s="49">
        <f>IF($A$4+224&gt;$B$4,"",$A$4+224)</f>
        <v>46247</v>
      </c>
      <c r="N22464">
        <f>IF(M22464="","",'Master Barang'!A58)</f>
        <v>0</v>
      </c>
      <c r="O22464">
        <f>IF(N22464="","",'Master Barang'!B58)</f>
        <v>0</v>
      </c>
      <c r="P22464">
        <f>IF(OR(M22464="",N22464=""),"",SUMIFS('Barang Keluar'!$E:$E,'Barang Keluar'!$A:$A,M22464,'Barang Keluar'!$C:$C,N22464))</f>
        <v>0</v>
      </c>
    </row>
    <row r="22465" spans="13:16">
      <c r="M22465" s="49">
        <f>IF($A$4+224&gt;$B$4,"",$A$4+224)</f>
        <v>46247</v>
      </c>
      <c r="N22465">
        <f>IF(M22465="","",'Master Barang'!A59)</f>
        <v>0</v>
      </c>
      <c r="O22465">
        <f>IF(N22465="","",'Master Barang'!B59)</f>
        <v>0</v>
      </c>
      <c r="P22465">
        <f>IF(OR(M22465="",N22465=""),"",SUMIFS('Barang Keluar'!$E:$E,'Barang Keluar'!$A:$A,M22465,'Barang Keluar'!$C:$C,N22465))</f>
        <v>0</v>
      </c>
    </row>
    <row r="22466" spans="13:16">
      <c r="M22466" s="49">
        <f>IF($A$4+224&gt;$B$4,"",$A$4+224)</f>
        <v>46247</v>
      </c>
      <c r="N22466">
        <f>IF(M22466="","",'Master Barang'!A60)</f>
        <v>0</v>
      </c>
      <c r="O22466">
        <f>IF(N22466="","",'Master Barang'!B60)</f>
        <v>0</v>
      </c>
      <c r="P22466">
        <f>IF(OR(M22466="",N22466=""),"",SUMIFS('Barang Keluar'!$E:$E,'Barang Keluar'!$A:$A,M22466,'Barang Keluar'!$C:$C,N22466))</f>
        <v>0</v>
      </c>
    </row>
    <row r="22467" spans="13:16">
      <c r="M22467" s="49">
        <f>IF($A$4+224&gt;$B$4,"",$A$4+224)</f>
        <v>46247</v>
      </c>
      <c r="N22467">
        <f>IF(M22467="","",'Master Barang'!A61)</f>
        <v>0</v>
      </c>
      <c r="O22467">
        <f>IF(N22467="","",'Master Barang'!B61)</f>
        <v>0</v>
      </c>
      <c r="P22467">
        <f>IF(OR(M22467="",N22467=""),"",SUMIFS('Barang Keluar'!$E:$E,'Barang Keluar'!$A:$A,M22467,'Barang Keluar'!$C:$C,N22467))</f>
        <v>0</v>
      </c>
    </row>
    <row r="22468" spans="13:16">
      <c r="M22468" s="49">
        <f>IF($A$4+224&gt;$B$4,"",$A$4+224)</f>
        <v>46247</v>
      </c>
      <c r="N22468">
        <f>IF(M22468="","",'Master Barang'!A62)</f>
        <v>0</v>
      </c>
      <c r="O22468">
        <f>IF(N22468="","",'Master Barang'!B62)</f>
        <v>0</v>
      </c>
      <c r="P22468">
        <f>IF(OR(M22468="",N22468=""),"",SUMIFS('Barang Keluar'!$E:$E,'Barang Keluar'!$A:$A,M22468,'Barang Keluar'!$C:$C,N22468))</f>
        <v>0</v>
      </c>
    </row>
    <row r="22469" spans="13:16">
      <c r="M22469" s="49">
        <f>IF($A$4+224&gt;$B$4,"",$A$4+224)</f>
        <v>46247</v>
      </c>
      <c r="N22469">
        <f>IF(M22469="","",'Master Barang'!A63)</f>
        <v>0</v>
      </c>
      <c r="O22469">
        <f>IF(N22469="","",'Master Barang'!B63)</f>
        <v>0</v>
      </c>
      <c r="P22469">
        <f>IF(OR(M22469="",N22469=""),"",SUMIFS('Barang Keluar'!$E:$E,'Barang Keluar'!$A:$A,M22469,'Barang Keluar'!$C:$C,N22469))</f>
        <v>0</v>
      </c>
    </row>
    <row r="22470" spans="13:16">
      <c r="M22470" s="49">
        <f>IF($A$4+224&gt;$B$4,"",$A$4+224)</f>
        <v>46247</v>
      </c>
      <c r="N22470">
        <f>IF(M22470="","",'Master Barang'!A64)</f>
        <v>0</v>
      </c>
      <c r="O22470">
        <f>IF(N22470="","",'Master Barang'!B64)</f>
        <v>0</v>
      </c>
      <c r="P22470">
        <f>IF(OR(M22470="",N22470=""),"",SUMIFS('Barang Keluar'!$E:$E,'Barang Keluar'!$A:$A,M22470,'Barang Keluar'!$C:$C,N22470))</f>
        <v>0</v>
      </c>
    </row>
    <row r="22471" spans="13:16">
      <c r="M22471" s="49">
        <f>IF($A$4+224&gt;$B$4,"",$A$4+224)</f>
        <v>46247</v>
      </c>
      <c r="N22471">
        <f>IF(M22471="","",'Master Barang'!A65)</f>
        <v>0</v>
      </c>
      <c r="O22471">
        <f>IF(N22471="","",'Master Barang'!B65)</f>
        <v>0</v>
      </c>
      <c r="P22471">
        <f>IF(OR(M22471="",N22471=""),"",SUMIFS('Barang Keluar'!$E:$E,'Barang Keluar'!$A:$A,M22471,'Barang Keluar'!$C:$C,N22471))</f>
        <v>0</v>
      </c>
    </row>
    <row r="22472" spans="13:16">
      <c r="M22472" s="49">
        <f>IF($A$4+224&gt;$B$4,"",$A$4+224)</f>
        <v>46247</v>
      </c>
      <c r="N22472">
        <f>IF(M22472="","",'Master Barang'!A66)</f>
        <v>0</v>
      </c>
      <c r="O22472">
        <f>IF(N22472="","",'Master Barang'!B66)</f>
        <v>0</v>
      </c>
      <c r="P22472">
        <f>IF(OR(M22472="",N22472=""),"",SUMIFS('Barang Keluar'!$E:$E,'Barang Keluar'!$A:$A,M22472,'Barang Keluar'!$C:$C,N22472))</f>
        <v>0</v>
      </c>
    </row>
    <row r="22473" spans="13:16">
      <c r="M22473" s="49">
        <f>IF($A$4+224&gt;$B$4,"",$A$4+224)</f>
        <v>46247</v>
      </c>
      <c r="N22473">
        <f>IF(M22473="","",'Master Barang'!A67)</f>
        <v>0</v>
      </c>
      <c r="O22473">
        <f>IF(N22473="","",'Master Barang'!B67)</f>
        <v>0</v>
      </c>
      <c r="P22473">
        <f>IF(OR(M22473="",N22473=""),"",SUMIFS('Barang Keluar'!$E:$E,'Barang Keluar'!$A:$A,M22473,'Barang Keluar'!$C:$C,N22473))</f>
        <v>0</v>
      </c>
    </row>
    <row r="22474" spans="13:16">
      <c r="M22474" s="49">
        <f>IF($A$4+224&gt;$B$4,"",$A$4+224)</f>
        <v>46247</v>
      </c>
      <c r="N22474">
        <f>IF(M22474="","",'Master Barang'!A68)</f>
        <v>0</v>
      </c>
      <c r="O22474">
        <f>IF(N22474="","",'Master Barang'!B68)</f>
        <v>0</v>
      </c>
      <c r="P22474">
        <f>IF(OR(M22474="",N22474=""),"",SUMIFS('Barang Keluar'!$E:$E,'Barang Keluar'!$A:$A,M22474,'Barang Keluar'!$C:$C,N22474))</f>
        <v>0</v>
      </c>
    </row>
    <row r="22475" spans="13:16">
      <c r="M22475" s="49">
        <f>IF($A$4+224&gt;$B$4,"",$A$4+224)</f>
        <v>46247</v>
      </c>
      <c r="N22475">
        <f>IF(M22475="","",'Master Barang'!A69)</f>
        <v>0</v>
      </c>
      <c r="O22475">
        <f>IF(N22475="","",'Master Barang'!B69)</f>
        <v>0</v>
      </c>
      <c r="P22475">
        <f>IF(OR(M22475="",N22475=""),"",SUMIFS('Barang Keluar'!$E:$E,'Barang Keluar'!$A:$A,M22475,'Barang Keluar'!$C:$C,N22475))</f>
        <v>0</v>
      </c>
    </row>
    <row r="22476" spans="13:16">
      <c r="M22476" s="49">
        <f>IF($A$4+224&gt;$B$4,"",$A$4+224)</f>
        <v>46247</v>
      </c>
      <c r="N22476">
        <f>IF(M22476="","",'Master Barang'!A70)</f>
        <v>0</v>
      </c>
      <c r="O22476">
        <f>IF(N22476="","",'Master Barang'!B70)</f>
        <v>0</v>
      </c>
      <c r="P22476">
        <f>IF(OR(M22476="",N22476=""),"",SUMIFS('Barang Keluar'!$E:$E,'Barang Keluar'!$A:$A,M22476,'Barang Keluar'!$C:$C,N22476))</f>
        <v>0</v>
      </c>
    </row>
    <row r="22477" spans="13:16">
      <c r="M22477" s="49">
        <f>IF($A$4+224&gt;$B$4,"",$A$4+224)</f>
        <v>46247</v>
      </c>
      <c r="N22477">
        <f>IF(M22477="","",'Master Barang'!A71)</f>
        <v>0</v>
      </c>
      <c r="O22477">
        <f>IF(N22477="","",'Master Barang'!B71)</f>
        <v>0</v>
      </c>
      <c r="P22477">
        <f>IF(OR(M22477="",N22477=""),"",SUMIFS('Barang Keluar'!$E:$E,'Barang Keluar'!$A:$A,M22477,'Barang Keluar'!$C:$C,N22477))</f>
        <v>0</v>
      </c>
    </row>
    <row r="22478" spans="13:16">
      <c r="M22478" s="49">
        <f>IF($A$4+224&gt;$B$4,"",$A$4+224)</f>
        <v>46247</v>
      </c>
      <c r="N22478">
        <f>IF(M22478="","",'Master Barang'!A72)</f>
        <v>0</v>
      </c>
      <c r="O22478">
        <f>IF(N22478="","",'Master Barang'!B72)</f>
        <v>0</v>
      </c>
      <c r="P22478">
        <f>IF(OR(M22478="",N22478=""),"",SUMIFS('Barang Keluar'!$E:$E,'Barang Keluar'!$A:$A,M22478,'Barang Keluar'!$C:$C,N22478))</f>
        <v>0</v>
      </c>
    </row>
    <row r="22479" spans="13:16">
      <c r="M22479" s="49">
        <f>IF($A$4+224&gt;$B$4,"",$A$4+224)</f>
        <v>46247</v>
      </c>
      <c r="N22479">
        <f>IF(M22479="","",'Master Barang'!A73)</f>
        <v>0</v>
      </c>
      <c r="O22479">
        <f>IF(N22479="","",'Master Barang'!B73)</f>
        <v>0</v>
      </c>
      <c r="P22479">
        <f>IF(OR(M22479="",N22479=""),"",SUMIFS('Barang Keluar'!$E:$E,'Barang Keluar'!$A:$A,M22479,'Barang Keluar'!$C:$C,N22479))</f>
        <v>0</v>
      </c>
    </row>
    <row r="22480" spans="13:16">
      <c r="M22480" s="49">
        <f>IF($A$4+224&gt;$B$4,"",$A$4+224)</f>
        <v>46247</v>
      </c>
      <c r="N22480">
        <f>IF(M22480="","",'Master Barang'!A74)</f>
        <v>0</v>
      </c>
      <c r="O22480">
        <f>IF(N22480="","",'Master Barang'!B74)</f>
        <v>0</v>
      </c>
      <c r="P22480">
        <f>IF(OR(M22480="",N22480=""),"",SUMIFS('Barang Keluar'!$E:$E,'Barang Keluar'!$A:$A,M22480,'Barang Keluar'!$C:$C,N22480))</f>
        <v>0</v>
      </c>
    </row>
    <row r="22481" spans="13:16">
      <c r="M22481" s="49">
        <f>IF($A$4+224&gt;$B$4,"",$A$4+224)</f>
        <v>46247</v>
      </c>
      <c r="N22481">
        <f>IF(M22481="","",'Master Barang'!A75)</f>
        <v>0</v>
      </c>
      <c r="O22481">
        <f>IF(N22481="","",'Master Barang'!B75)</f>
        <v>0</v>
      </c>
      <c r="P22481">
        <f>IF(OR(M22481="",N22481=""),"",SUMIFS('Barang Keluar'!$E:$E,'Barang Keluar'!$A:$A,M22481,'Barang Keluar'!$C:$C,N22481))</f>
        <v>0</v>
      </c>
    </row>
    <row r="22482" spans="13:16">
      <c r="M22482" s="49">
        <f>IF($A$4+224&gt;$B$4,"",$A$4+224)</f>
        <v>46247</v>
      </c>
      <c r="N22482">
        <f>IF(M22482="","",'Master Barang'!A76)</f>
        <v>0</v>
      </c>
      <c r="O22482">
        <f>IF(N22482="","",'Master Barang'!B76)</f>
        <v>0</v>
      </c>
      <c r="P22482">
        <f>IF(OR(M22482="",N22482=""),"",SUMIFS('Barang Keluar'!$E:$E,'Barang Keluar'!$A:$A,M22482,'Barang Keluar'!$C:$C,N22482))</f>
        <v>0</v>
      </c>
    </row>
    <row r="22483" spans="13:16">
      <c r="M22483" s="49">
        <f>IF($A$4+224&gt;$B$4,"",$A$4+224)</f>
        <v>46247</v>
      </c>
      <c r="N22483">
        <f>IF(M22483="","",'Master Barang'!A77)</f>
        <v>0</v>
      </c>
      <c r="O22483">
        <f>IF(N22483="","",'Master Barang'!B77)</f>
        <v>0</v>
      </c>
      <c r="P22483">
        <f>IF(OR(M22483="",N22483=""),"",SUMIFS('Barang Keluar'!$E:$E,'Barang Keluar'!$A:$A,M22483,'Barang Keluar'!$C:$C,N22483))</f>
        <v>0</v>
      </c>
    </row>
    <row r="22484" spans="13:16">
      <c r="M22484" s="49">
        <f>IF($A$4+224&gt;$B$4,"",$A$4+224)</f>
        <v>46247</v>
      </c>
      <c r="N22484">
        <f>IF(M22484="","",'Master Barang'!A78)</f>
        <v>0</v>
      </c>
      <c r="O22484">
        <f>IF(N22484="","",'Master Barang'!B78)</f>
        <v>0</v>
      </c>
      <c r="P22484">
        <f>IF(OR(M22484="",N22484=""),"",SUMIFS('Barang Keluar'!$E:$E,'Barang Keluar'!$A:$A,M22484,'Barang Keluar'!$C:$C,N22484))</f>
        <v>0</v>
      </c>
    </row>
    <row r="22485" spans="13:16">
      <c r="M22485" s="49">
        <f>IF($A$4+224&gt;$B$4,"",$A$4+224)</f>
        <v>46247</v>
      </c>
      <c r="N22485">
        <f>IF(M22485="","",'Master Barang'!A79)</f>
        <v>0</v>
      </c>
      <c r="O22485">
        <f>IF(N22485="","",'Master Barang'!B79)</f>
        <v>0</v>
      </c>
      <c r="P22485">
        <f>IF(OR(M22485="",N22485=""),"",SUMIFS('Barang Keluar'!$E:$E,'Barang Keluar'!$A:$A,M22485,'Barang Keluar'!$C:$C,N22485))</f>
        <v>0</v>
      </c>
    </row>
    <row r="22486" spans="13:16">
      <c r="M22486" s="49">
        <f>IF($A$4+224&gt;$B$4,"",$A$4+224)</f>
        <v>46247</v>
      </c>
      <c r="N22486">
        <f>IF(M22486="","",'Master Barang'!A80)</f>
        <v>0</v>
      </c>
      <c r="O22486">
        <f>IF(N22486="","",'Master Barang'!B80)</f>
        <v>0</v>
      </c>
      <c r="P22486">
        <f>IF(OR(M22486="",N22486=""),"",SUMIFS('Barang Keluar'!$E:$E,'Barang Keluar'!$A:$A,M22486,'Barang Keluar'!$C:$C,N22486))</f>
        <v>0</v>
      </c>
    </row>
    <row r="22487" spans="13:16">
      <c r="M22487" s="49">
        <f>IF($A$4+224&gt;$B$4,"",$A$4+224)</f>
        <v>46247</v>
      </c>
      <c r="N22487">
        <f>IF(M22487="","",'Master Barang'!A81)</f>
        <v>0</v>
      </c>
      <c r="O22487">
        <f>IF(N22487="","",'Master Barang'!B81)</f>
        <v>0</v>
      </c>
      <c r="P22487">
        <f>IF(OR(M22487="",N22487=""),"",SUMIFS('Barang Keluar'!$E:$E,'Barang Keluar'!$A:$A,M22487,'Barang Keluar'!$C:$C,N22487))</f>
        <v>0</v>
      </c>
    </row>
    <row r="22488" spans="13:16">
      <c r="M22488" s="49">
        <f>IF($A$4+224&gt;$B$4,"",$A$4+224)</f>
        <v>46247</v>
      </c>
      <c r="N22488">
        <f>IF(M22488="","",'Master Barang'!A82)</f>
        <v>0</v>
      </c>
      <c r="O22488">
        <f>IF(N22488="","",'Master Barang'!B82)</f>
        <v>0</v>
      </c>
      <c r="P22488">
        <f>IF(OR(M22488="",N22488=""),"",SUMIFS('Barang Keluar'!$E:$E,'Barang Keluar'!$A:$A,M22488,'Barang Keluar'!$C:$C,N22488))</f>
        <v>0</v>
      </c>
    </row>
    <row r="22489" spans="13:16">
      <c r="M22489" s="49">
        <f>IF($A$4+224&gt;$B$4,"",$A$4+224)</f>
        <v>46247</v>
      </c>
      <c r="N22489">
        <f>IF(M22489="","",'Master Barang'!A83)</f>
        <v>0</v>
      </c>
      <c r="O22489">
        <f>IF(N22489="","",'Master Barang'!B83)</f>
        <v>0</v>
      </c>
      <c r="P22489">
        <f>IF(OR(M22489="",N22489=""),"",SUMIFS('Barang Keluar'!$E:$E,'Barang Keluar'!$A:$A,M22489,'Barang Keluar'!$C:$C,N22489))</f>
        <v>0</v>
      </c>
    </row>
    <row r="22490" spans="13:16">
      <c r="M22490" s="49">
        <f>IF($A$4+224&gt;$B$4,"",$A$4+224)</f>
        <v>46247</v>
      </c>
      <c r="N22490">
        <f>IF(M22490="","",'Master Barang'!A84)</f>
        <v>0</v>
      </c>
      <c r="O22490">
        <f>IF(N22490="","",'Master Barang'!B84)</f>
        <v>0</v>
      </c>
      <c r="P22490">
        <f>IF(OR(M22490="",N22490=""),"",SUMIFS('Barang Keluar'!$E:$E,'Barang Keluar'!$A:$A,M22490,'Barang Keluar'!$C:$C,N22490))</f>
        <v>0</v>
      </c>
    </row>
    <row r="22491" spans="13:16">
      <c r="M22491" s="49">
        <f>IF($A$4+224&gt;$B$4,"",$A$4+224)</f>
        <v>46247</v>
      </c>
      <c r="N22491">
        <f>IF(M22491="","",'Master Barang'!A85)</f>
        <v>0</v>
      </c>
      <c r="O22491">
        <f>IF(N22491="","",'Master Barang'!B85)</f>
        <v>0</v>
      </c>
      <c r="P22491">
        <f>IF(OR(M22491="",N22491=""),"",SUMIFS('Barang Keluar'!$E:$E,'Barang Keluar'!$A:$A,M22491,'Barang Keluar'!$C:$C,N22491))</f>
        <v>0</v>
      </c>
    </row>
    <row r="22492" spans="13:16">
      <c r="M22492" s="49">
        <f>IF($A$4+224&gt;$B$4,"",$A$4+224)</f>
        <v>46247</v>
      </c>
      <c r="N22492">
        <f>IF(M22492="","",'Master Barang'!A86)</f>
        <v>0</v>
      </c>
      <c r="O22492">
        <f>IF(N22492="","",'Master Barang'!B86)</f>
        <v>0</v>
      </c>
      <c r="P22492">
        <f>IF(OR(M22492="",N22492=""),"",SUMIFS('Barang Keluar'!$E:$E,'Barang Keluar'!$A:$A,M22492,'Barang Keluar'!$C:$C,N22492))</f>
        <v>0</v>
      </c>
    </row>
    <row r="22493" spans="13:16">
      <c r="M22493" s="49">
        <f>IF($A$4+224&gt;$B$4,"",$A$4+224)</f>
        <v>46247</v>
      </c>
      <c r="N22493">
        <f>IF(M22493="","",'Master Barang'!A87)</f>
        <v>0</v>
      </c>
      <c r="O22493">
        <f>IF(N22493="","",'Master Barang'!B87)</f>
        <v>0</v>
      </c>
      <c r="P22493">
        <f>IF(OR(M22493="",N22493=""),"",SUMIFS('Barang Keluar'!$E:$E,'Barang Keluar'!$A:$A,M22493,'Barang Keluar'!$C:$C,N22493))</f>
        <v>0</v>
      </c>
    </row>
    <row r="22494" spans="13:16">
      <c r="M22494" s="49">
        <f>IF($A$4+224&gt;$B$4,"",$A$4+224)</f>
        <v>46247</v>
      </c>
      <c r="N22494">
        <f>IF(M22494="","",'Master Barang'!A88)</f>
        <v>0</v>
      </c>
      <c r="O22494">
        <f>IF(N22494="","",'Master Barang'!B88)</f>
        <v>0</v>
      </c>
      <c r="P22494">
        <f>IF(OR(M22494="",N22494=""),"",SUMIFS('Barang Keluar'!$E:$E,'Barang Keluar'!$A:$A,M22494,'Barang Keluar'!$C:$C,N22494))</f>
        <v>0</v>
      </c>
    </row>
    <row r="22495" spans="13:16">
      <c r="M22495" s="49">
        <f>IF($A$4+224&gt;$B$4,"",$A$4+224)</f>
        <v>46247</v>
      </c>
      <c r="N22495">
        <f>IF(M22495="","",'Master Barang'!A89)</f>
        <v>0</v>
      </c>
      <c r="O22495">
        <f>IF(N22495="","",'Master Barang'!B89)</f>
        <v>0</v>
      </c>
      <c r="P22495">
        <f>IF(OR(M22495="",N22495=""),"",SUMIFS('Barang Keluar'!$E:$E,'Barang Keluar'!$A:$A,M22495,'Barang Keluar'!$C:$C,N22495))</f>
        <v>0</v>
      </c>
    </row>
    <row r="22496" spans="13:16">
      <c r="M22496" s="49">
        <f>IF($A$4+224&gt;$B$4,"",$A$4+224)</f>
        <v>46247</v>
      </c>
      <c r="N22496">
        <f>IF(M22496="","",'Master Barang'!A90)</f>
        <v>0</v>
      </c>
      <c r="O22496">
        <f>IF(N22496="","",'Master Barang'!B90)</f>
        <v>0</v>
      </c>
      <c r="P22496">
        <f>IF(OR(M22496="",N22496=""),"",SUMIFS('Barang Keluar'!$E:$E,'Barang Keluar'!$A:$A,M22496,'Barang Keluar'!$C:$C,N22496))</f>
        <v>0</v>
      </c>
    </row>
    <row r="22497" spans="13:16">
      <c r="M22497" s="49">
        <f>IF($A$4+224&gt;$B$4,"",$A$4+224)</f>
        <v>46247</v>
      </c>
      <c r="N22497">
        <f>IF(M22497="","",'Master Barang'!A91)</f>
        <v>0</v>
      </c>
      <c r="O22497">
        <f>IF(N22497="","",'Master Barang'!B91)</f>
        <v>0</v>
      </c>
      <c r="P22497">
        <f>IF(OR(M22497="",N22497=""),"",SUMIFS('Barang Keluar'!$E:$E,'Barang Keluar'!$A:$A,M22497,'Barang Keluar'!$C:$C,N22497))</f>
        <v>0</v>
      </c>
    </row>
    <row r="22498" spans="13:16">
      <c r="M22498" s="49">
        <f>IF($A$4+224&gt;$B$4,"",$A$4+224)</f>
        <v>46247</v>
      </c>
      <c r="N22498">
        <f>IF(M22498="","",'Master Barang'!A92)</f>
        <v>0</v>
      </c>
      <c r="O22498">
        <f>IF(N22498="","",'Master Barang'!B92)</f>
        <v>0</v>
      </c>
      <c r="P22498">
        <f>IF(OR(M22498="",N22498=""),"",SUMIFS('Barang Keluar'!$E:$E,'Barang Keluar'!$A:$A,M22498,'Barang Keluar'!$C:$C,N22498))</f>
        <v>0</v>
      </c>
    </row>
    <row r="22499" spans="13:16">
      <c r="M22499" s="49">
        <f>IF($A$4+224&gt;$B$4,"",$A$4+224)</f>
        <v>46247</v>
      </c>
      <c r="N22499">
        <f>IF(M22499="","",'Master Barang'!A93)</f>
        <v>0</v>
      </c>
      <c r="O22499">
        <f>IF(N22499="","",'Master Barang'!B93)</f>
        <v>0</v>
      </c>
      <c r="P22499">
        <f>IF(OR(M22499="",N22499=""),"",SUMIFS('Barang Keluar'!$E:$E,'Barang Keluar'!$A:$A,M22499,'Barang Keluar'!$C:$C,N22499))</f>
        <v>0</v>
      </c>
    </row>
    <row r="22500" spans="13:16">
      <c r="M22500" s="49">
        <f>IF($A$4+224&gt;$B$4,"",$A$4+224)</f>
        <v>46247</v>
      </c>
      <c r="N22500">
        <f>IF(M22500="","",'Master Barang'!A94)</f>
        <v>0</v>
      </c>
      <c r="O22500">
        <f>IF(N22500="","",'Master Barang'!B94)</f>
        <v>0</v>
      </c>
      <c r="P22500">
        <f>IF(OR(M22500="",N22500=""),"",SUMIFS('Barang Keluar'!$E:$E,'Barang Keluar'!$A:$A,M22500,'Barang Keluar'!$C:$C,N22500))</f>
        <v>0</v>
      </c>
    </row>
    <row r="22501" spans="13:16">
      <c r="M22501" s="49">
        <f>IF($A$4+224&gt;$B$4,"",$A$4+224)</f>
        <v>46247</v>
      </c>
      <c r="N22501">
        <f>IF(M22501="","",'Master Barang'!A95)</f>
        <v>0</v>
      </c>
      <c r="O22501">
        <f>IF(N22501="","",'Master Barang'!B95)</f>
        <v>0</v>
      </c>
      <c r="P22501">
        <f>IF(OR(M22501="",N22501=""),"",SUMIFS('Barang Keluar'!$E:$E,'Barang Keluar'!$A:$A,M22501,'Barang Keluar'!$C:$C,N22501))</f>
        <v>0</v>
      </c>
    </row>
    <row r="22502" spans="13:16">
      <c r="M22502" s="49">
        <f>IF($A$4+224&gt;$B$4,"",$A$4+224)</f>
        <v>46247</v>
      </c>
      <c r="N22502">
        <f>IF(M22502="","",'Master Barang'!A96)</f>
        <v>0</v>
      </c>
      <c r="O22502">
        <f>IF(N22502="","",'Master Barang'!B96)</f>
        <v>0</v>
      </c>
      <c r="P22502">
        <f>IF(OR(M22502="",N22502=""),"",SUMIFS('Barang Keluar'!$E:$E,'Barang Keluar'!$A:$A,M22502,'Barang Keluar'!$C:$C,N22502))</f>
        <v>0</v>
      </c>
    </row>
    <row r="22503" spans="13:16">
      <c r="M22503" s="49">
        <f>IF($A$4+224&gt;$B$4,"",$A$4+224)</f>
        <v>46247</v>
      </c>
      <c r="N22503">
        <f>IF(M22503="","",'Master Barang'!A97)</f>
        <v>0</v>
      </c>
      <c r="O22503">
        <f>IF(N22503="","",'Master Barang'!B97)</f>
        <v>0</v>
      </c>
      <c r="P22503">
        <f>IF(OR(M22503="",N22503=""),"",SUMIFS('Barang Keluar'!$E:$E,'Barang Keluar'!$A:$A,M22503,'Barang Keluar'!$C:$C,N22503))</f>
        <v>0</v>
      </c>
    </row>
    <row r="22504" spans="13:16">
      <c r="M22504" s="49">
        <f>IF($A$4+224&gt;$B$4,"",$A$4+224)</f>
        <v>46247</v>
      </c>
      <c r="N22504">
        <f>IF(M22504="","",'Master Barang'!A98)</f>
        <v>0</v>
      </c>
      <c r="O22504">
        <f>IF(N22504="","",'Master Barang'!B98)</f>
        <v>0</v>
      </c>
      <c r="P22504">
        <f>IF(OR(M22504="",N22504=""),"",SUMIFS('Barang Keluar'!$E:$E,'Barang Keluar'!$A:$A,M22504,'Barang Keluar'!$C:$C,N22504))</f>
        <v>0</v>
      </c>
    </row>
    <row r="22505" spans="13:16">
      <c r="M22505" s="49">
        <f>IF($A$4+224&gt;$B$4,"",$A$4+224)</f>
        <v>46247</v>
      </c>
      <c r="N22505">
        <f>IF(M22505="","",'Master Barang'!A99)</f>
        <v>0</v>
      </c>
      <c r="O22505">
        <f>IF(N22505="","",'Master Barang'!B99)</f>
        <v>0</v>
      </c>
      <c r="P22505">
        <f>IF(OR(M22505="",N22505=""),"",SUMIFS('Barang Keluar'!$E:$E,'Barang Keluar'!$A:$A,M22505,'Barang Keluar'!$C:$C,N22505))</f>
        <v>0</v>
      </c>
    </row>
    <row r="22506" spans="13:16">
      <c r="M22506" s="49">
        <f>IF($A$4+224&gt;$B$4,"",$A$4+224)</f>
        <v>46247</v>
      </c>
      <c r="N22506">
        <f>IF(M22506="","",'Master Barang'!A100)</f>
        <v>0</v>
      </c>
      <c r="O22506">
        <f>IF(N22506="","",'Master Barang'!B100)</f>
        <v>0</v>
      </c>
      <c r="P22506">
        <f>IF(OR(M22506="",N22506=""),"",SUMIFS('Barang Keluar'!$E:$E,'Barang Keluar'!$A:$A,M22506,'Barang Keluar'!$C:$C,N22506))</f>
        <v>0</v>
      </c>
    </row>
    <row r="22507" spans="13:16">
      <c r="M22507" s="49">
        <f>IF($A$4+224&gt;$B$4,"",$A$4+224)</f>
        <v>46247</v>
      </c>
      <c r="N22507">
        <f>IF(M22507="","",'Master Barang'!A101)</f>
        <v>0</v>
      </c>
      <c r="O22507">
        <f>IF(N22507="","",'Master Barang'!B101)</f>
        <v>0</v>
      </c>
      <c r="P22507">
        <f>IF(OR(M22507="",N22507=""),"",SUMIFS('Barang Keluar'!$E:$E,'Barang Keluar'!$A:$A,M22507,'Barang Keluar'!$C:$C,N22507))</f>
        <v>0</v>
      </c>
    </row>
    <row r="22508" spans="13:16">
      <c r="M22508" s="49">
        <f>IF($A$4+225&gt;$B$4,"",$A$4+225)</f>
        <v>46248</v>
      </c>
      <c r="N22508" t="str">
        <f>IF(M22508="","",'Master Barang'!A2)</f>
        <v>PRL-001</v>
      </c>
      <c r="O22508" t="str">
        <f>IF(N22508="","",'Master Barang'!B2)</f>
        <v>natura desinfectant food grade 5l</v>
      </c>
      <c r="P22508">
        <f>IF(OR(M22508="",N22508=""),"",SUMIFS('Barang Keluar'!$E:$E,'Barang Keluar'!$A:$A,M22508,'Barang Keluar'!$C:$C,N22508))</f>
        <v>0</v>
      </c>
    </row>
    <row r="22509" spans="13:16">
      <c r="M22509" s="49">
        <f>IF($A$4+225&gt;$B$4,"",$A$4+225)</f>
        <v>46248</v>
      </c>
      <c r="N22509" t="str">
        <f>IF(M22509="","",'Master Barang'!A3)</f>
        <v>PRL-002</v>
      </c>
      <c r="O22509" t="str">
        <f>IF(N22509="","",'Master Barang'!B3)</f>
        <v>sunlight cairan pencuci piring 5l</v>
      </c>
      <c r="P22509">
        <f>IF(OR(M22509="",N22509=""),"",SUMIFS('Barang Keluar'!$E:$E,'Barang Keluar'!$A:$A,M22509,'Barang Keluar'!$C:$C,N22509))</f>
        <v>0</v>
      </c>
    </row>
    <row r="22510" spans="13:16">
      <c r="M22510" s="49">
        <f>IF($A$4+225&gt;$B$4,"",$A$4+225)</f>
        <v>46248</v>
      </c>
      <c r="N22510" t="str">
        <f>IF(M22510="","",'Master Barang'!A4)</f>
        <v>PRL-003</v>
      </c>
      <c r="O22510" t="str">
        <f>IF(N22510="","",'Master Barang'!B4)</f>
        <v>oixs cleaner 1l</v>
      </c>
      <c r="P22510">
        <f>IF(OR(M22510="",N22510=""),"",SUMIFS('Barang Keluar'!$E:$E,'Barang Keluar'!$A:$A,M22510,'Barang Keluar'!$C:$C,N22510))</f>
        <v>0</v>
      </c>
    </row>
    <row r="22511" spans="13:16">
      <c r="M22511" s="49">
        <f>IF($A$4+225&gt;$B$4,"",$A$4+225)</f>
        <v>46248</v>
      </c>
      <c r="N22511" t="str">
        <f>IF(M22511="","",'Master Barang'!A5)</f>
        <v>PRL-004</v>
      </c>
      <c r="O22511" t="str">
        <f>IF(N22511="","",'Master Barang'!B5)</f>
        <v>be clean tissue serbaguna</v>
      </c>
      <c r="P22511">
        <f>IF(OR(M22511="",N22511=""),"",SUMIFS('Barang Keluar'!$E:$E,'Barang Keluar'!$A:$A,M22511,'Barang Keluar'!$C:$C,N22511))</f>
        <v>0</v>
      </c>
    </row>
    <row r="22512" spans="13:16">
      <c r="M22512" s="49">
        <f>IF($A$4+225&gt;$B$4,"",$A$4+225)</f>
        <v>46248</v>
      </c>
      <c r="N22512" t="str">
        <f>IF(M22512="","",'Master Barang'!A6)</f>
        <v>PRL-005</v>
      </c>
      <c r="O22512" t="str">
        <f>IF(N22512="","",'Master Barang'!B6)</f>
        <v>spons cuci hijau</v>
      </c>
      <c r="P22512">
        <f>IF(OR(M22512="",N22512=""),"",SUMIFS('Barang Keluar'!$E:$E,'Barang Keluar'!$A:$A,M22512,'Barang Keluar'!$C:$C,N22512))</f>
        <v>0</v>
      </c>
    </row>
    <row r="22513" spans="13:16">
      <c r="M22513" s="49">
        <f>IF($A$4+225&gt;$B$4,"",$A$4+225)</f>
        <v>46248</v>
      </c>
      <c r="N22513" t="str">
        <f>IF(M22513="","",'Master Barang'!A7)</f>
        <v>PRL-006</v>
      </c>
      <c r="O22513" t="str">
        <f>IF(N22513="","",'Master Barang'!B7)</f>
        <v>sabut cuci stainless</v>
      </c>
      <c r="P22513">
        <f>IF(OR(M22513="",N22513=""),"",SUMIFS('Barang Keluar'!$E:$E,'Barang Keluar'!$A:$A,M22513,'Barang Keluar'!$C:$C,N22513))</f>
        <v>0</v>
      </c>
    </row>
    <row r="22514" spans="13:16">
      <c r="M22514" s="49">
        <f>IF($A$4+225&gt;$B$4,"",$A$4+225)</f>
        <v>46248</v>
      </c>
      <c r="N22514" t="str">
        <f>IF(M22514="","",'Master Barang'!A8)</f>
        <v>PRL-007</v>
      </c>
      <c r="O22514" t="str">
        <f>IF(N22514="","",'Master Barang'!B8)</f>
        <v>plastik kresek besar merah 50pc</v>
      </c>
      <c r="P22514">
        <f>IF(OR(M22514="",N22514=""),"",SUMIFS('Barang Keluar'!$E:$E,'Barang Keluar'!$A:$A,M22514,'Barang Keluar'!$C:$C,N22514))</f>
        <v>0</v>
      </c>
    </row>
    <row r="22515" spans="13:16">
      <c r="M22515" s="49">
        <f>IF($A$4+225&gt;$B$4,"",$A$4+225)</f>
        <v>46248</v>
      </c>
      <c r="N22515" t="str">
        <f>IF(M22515="","",'Master Barang'!A9)</f>
        <v>PRL-008</v>
      </c>
      <c r="O22515" t="str">
        <f>IF(N22515="","",'Master Barang'!B9)</f>
        <v>lap besar</v>
      </c>
      <c r="P22515">
        <f>IF(OR(M22515="",N22515=""),"",SUMIFS('Barang Keluar'!$E:$E,'Barang Keluar'!$A:$A,M22515,'Barang Keluar'!$C:$C,N22515))</f>
        <v>0</v>
      </c>
    </row>
    <row r="22516" spans="13:16">
      <c r="M22516" s="49">
        <f>IF($A$4+225&gt;$B$4,"",$A$4+225)</f>
        <v>46248</v>
      </c>
      <c r="N22516" t="str">
        <f>IF(M22516="","",'Master Barang'!A10)</f>
        <v>PRL-009</v>
      </c>
      <c r="O22516" t="str">
        <f>IF(N22516="","",'Master Barang'!B10)</f>
        <v>lap microfiber</v>
      </c>
      <c r="P22516">
        <f>IF(OR(M22516="",N22516=""),"",SUMIFS('Barang Keluar'!$E:$E,'Barang Keluar'!$A:$A,M22516,'Barang Keluar'!$C:$C,N22516))</f>
        <v>0</v>
      </c>
    </row>
    <row r="22517" spans="13:16">
      <c r="M22517" s="49">
        <f>IF($A$4+225&gt;$B$4,"",$A$4+225)</f>
        <v>46248</v>
      </c>
      <c r="N22517" t="str">
        <f>IF(M22517="","",'Master Barang'!A11)</f>
        <v>PRL-010</v>
      </c>
      <c r="O22517" t="str">
        <f>IF(N22517="","",'Master Barang'!B11)</f>
        <v>lap kecil</v>
      </c>
      <c r="P22517">
        <f>IF(OR(M22517="",N22517=""),"",SUMIFS('Barang Keluar'!$E:$E,'Barang Keluar'!$A:$A,M22517,'Barang Keluar'!$C:$C,N22517))</f>
        <v>0</v>
      </c>
    </row>
    <row r="22518" spans="13:16">
      <c r="M22518" s="49">
        <f>IF($A$4+225&gt;$B$4,"",$A$4+225)</f>
        <v>46248</v>
      </c>
      <c r="N22518" t="str">
        <f>IF(M22518="","",'Master Barang'!A12)</f>
        <v>PRL-011</v>
      </c>
      <c r="O22518" t="str">
        <f>IF(N22518="","",'Master Barang'!B12)</f>
        <v>kanebo kecil</v>
      </c>
      <c r="P22518">
        <f>IF(OR(M22518="",N22518=""),"",SUMIFS('Barang Keluar'!$E:$E,'Barang Keluar'!$A:$A,M22518,'Barang Keluar'!$C:$C,N22518))</f>
        <v>0</v>
      </c>
    </row>
    <row r="22519" spans="13:16">
      <c r="M22519" s="49">
        <f>IF($A$4+225&gt;$B$4,"",$A$4+225)</f>
        <v>46248</v>
      </c>
      <c r="N22519" t="str">
        <f>IF(M22519="","",'Master Barang'!A13)</f>
        <v>PRL-012</v>
      </c>
      <c r="O22519" t="str">
        <f>IF(N22519="","",'Master Barang'!B13)</f>
        <v>plastik 1/4kg joyoboyo 100 lembar</v>
      </c>
      <c r="P22519">
        <f>IF(OR(M22519="",N22519=""),"",SUMIFS('Barang Keluar'!$E:$E,'Barang Keluar'!$A:$A,M22519,'Barang Keluar'!$C:$C,N22519))</f>
        <v>0</v>
      </c>
    </row>
    <row r="22520" spans="13:16">
      <c r="M22520" s="49">
        <f>IF($A$4+225&gt;$B$4,"",$A$4+225)</f>
        <v>46248</v>
      </c>
      <c r="N22520" t="str">
        <f>IF(M22520="","",'Master Barang'!A14)</f>
        <v>PRL-013</v>
      </c>
      <c r="O22520" t="str">
        <f>IF(N22520="","",'Master Barang'!B14)</f>
        <v>sarung tangan plastik kaka 100 pcs</v>
      </c>
      <c r="P22520">
        <f>IF(OR(M22520="",N22520=""),"",SUMIFS('Barang Keluar'!$E:$E,'Barang Keluar'!$A:$A,M22520,'Barang Keluar'!$C:$C,N22520))</f>
        <v>0</v>
      </c>
    </row>
    <row r="22521" spans="13:16">
      <c r="M22521" s="49">
        <f>IF($A$4+225&gt;$B$4,"",$A$4+225)</f>
        <v>46248</v>
      </c>
      <c r="N22521" t="str">
        <f>IF(M22521="","",'Master Barang'!A15)</f>
        <v>PRL-014</v>
      </c>
      <c r="O22521" t="str">
        <f>IF(N22521="","",'Master Barang'!B15)</f>
        <v>optima trashbag 80x100</v>
      </c>
      <c r="P22521">
        <f>IF(OR(M22521="",N22521=""),"",SUMIFS('Barang Keluar'!$E:$E,'Barang Keluar'!$A:$A,M22521,'Barang Keluar'!$C:$C,N22521))</f>
        <v>0</v>
      </c>
    </row>
    <row r="22522" spans="13:16">
      <c r="M22522" s="49">
        <f>IF($A$4+225&gt;$B$4,"",$A$4+225)</f>
        <v>46248</v>
      </c>
      <c r="N22522" t="str">
        <f>IF(M22522="","",'Master Barang'!A16)</f>
        <v>PRL-015</v>
      </c>
      <c r="O22522" t="str">
        <f>IF(N22522="","",'Master Barang'!B16)</f>
        <v>optima trashbag 60x100</v>
      </c>
      <c r="P22522">
        <f>IF(OR(M22522="",N22522=""),"",SUMIFS('Barang Keluar'!$E:$E,'Barang Keluar'!$A:$A,M22522,'Barang Keluar'!$C:$C,N22522))</f>
        <v>0</v>
      </c>
    </row>
    <row r="22523" spans="13:16">
      <c r="M22523" s="49">
        <f>IF($A$4+225&gt;$B$4,"",$A$4+225)</f>
        <v>46248</v>
      </c>
      <c r="N22523" t="str">
        <f>IF(M22523="","",'Master Barang'!A17)</f>
        <v>PRL-016</v>
      </c>
      <c r="O22523" t="str">
        <f>IF(N22523="","",'Master Barang'!B17)</f>
        <v>rajawali trashbag 30x40</v>
      </c>
      <c r="P22523">
        <f>IF(OR(M22523="",N22523=""),"",SUMIFS('Barang Keluar'!$E:$E,'Barang Keluar'!$A:$A,M22523,'Barang Keluar'!$C:$C,N22523))</f>
        <v>0</v>
      </c>
    </row>
    <row r="22524" spans="13:16">
      <c r="M22524" s="49">
        <f>IF($A$4+225&gt;$B$4,"",$A$4+225)</f>
        <v>46248</v>
      </c>
      <c r="N22524" t="str">
        <f>IF(M22524="","",'Master Barang'!A18)</f>
        <v>PRL-017</v>
      </c>
      <c r="O22524" t="str">
        <f>IF(N22524="","",'Master Barang'!B18)</f>
        <v>onemed masker biru 3 play 50 pcs</v>
      </c>
      <c r="P22524">
        <f>IF(OR(M22524="",N22524=""),"",SUMIFS('Barang Keluar'!$E:$E,'Barang Keluar'!$A:$A,M22524,'Barang Keluar'!$C:$C,N22524))</f>
        <v>0</v>
      </c>
    </row>
    <row r="22525" spans="13:16">
      <c r="M22525" s="49">
        <f>IF($A$4+225&gt;$B$4,"",$A$4+225)</f>
        <v>46248</v>
      </c>
      <c r="N22525" t="str">
        <f>IF(M22525="","",'Master Barang'!A19)</f>
        <v>PRL-018</v>
      </c>
      <c r="O22525" t="str">
        <f>IF(N22525="","",'Master Barang'!B19)</f>
        <v>onemed masker biru 3 play hijab 50 pcs</v>
      </c>
      <c r="P22525">
        <f>IF(OR(M22525="",N22525=""),"",SUMIFS('Barang Keluar'!$E:$E,'Barang Keluar'!$A:$A,M22525,'Barang Keluar'!$C:$C,N22525))</f>
        <v>0</v>
      </c>
    </row>
    <row r="22526" spans="13:16">
      <c r="M22526" s="49">
        <f>IF($A$4+225&gt;$B$4,"",$A$4+225)</f>
        <v>46248</v>
      </c>
      <c r="N22526" t="str">
        <f>IF(M22526="","",'Master Barang'!A20)</f>
        <v>PRL-019</v>
      </c>
      <c r="O22526" t="str">
        <f>IF(N22526="","",'Master Barang'!B20)</f>
        <v>neo health masker biru 3 play 50 pcs</v>
      </c>
      <c r="P22526">
        <f>IF(OR(M22526="",N22526=""),"",SUMIFS('Barang Keluar'!$E:$E,'Barang Keluar'!$A:$A,M22526,'Barang Keluar'!$C:$C,N22526))</f>
        <v>0</v>
      </c>
    </row>
    <row r="22527" spans="13:16">
      <c r="M22527" s="49">
        <f>IF($A$4+225&gt;$B$4,"",$A$4+225)</f>
        <v>46248</v>
      </c>
      <c r="N22527" t="str">
        <f>IF(M22527="","",'Master Barang'!A21)</f>
        <v>PRL-020</v>
      </c>
      <c r="O22527" t="str">
        <f>IF(N22527="","",'Master Barang'!B21)</f>
        <v>baymed masker hijau 3 play hijau 50 pcs</v>
      </c>
      <c r="P22527">
        <f>IF(OR(M22527="",N22527=""),"",SUMIFS('Barang Keluar'!$E:$E,'Barang Keluar'!$A:$A,M22527,'Barang Keluar'!$C:$C,N22527))</f>
        <v>0</v>
      </c>
    </row>
    <row r="22528" spans="13:16">
      <c r="M22528" s="49">
        <f>IF($A$4+225&gt;$B$4,"",$A$4+225)</f>
        <v>46248</v>
      </c>
      <c r="N22528" t="str">
        <f>IF(M22528="","",'Master Barang'!A22)</f>
        <v>PRL-021</v>
      </c>
      <c r="O22528" t="str">
        <f>IF(N22528="","",'Master Barang'!B22)</f>
        <v>altamed nurse cap penutup kepala 100 pcs</v>
      </c>
      <c r="P22528">
        <f>IF(OR(M22528="",N22528=""),"",SUMIFS('Barang Keluar'!$E:$E,'Barang Keluar'!$A:$A,M22528,'Barang Keluar'!$C:$C,N22528))</f>
        <v>0</v>
      </c>
    </row>
    <row r="22529" spans="13:16">
      <c r="M22529" s="49">
        <f>IF($A$4+225&gt;$B$4,"",$A$4+225)</f>
        <v>46248</v>
      </c>
      <c r="N22529" t="str">
        <f>IF(M22529="","",'Master Barang'!A23)</f>
        <v>PRL-022</v>
      </c>
      <c r="O22529" t="str">
        <f>IF(N22529="","",'Master Barang'!B23)</f>
        <v>sabun cuci tangan</v>
      </c>
      <c r="P22529">
        <f>IF(OR(M22529="",N22529=""),"",SUMIFS('Barang Keluar'!$E:$E,'Barang Keluar'!$A:$A,M22529,'Barang Keluar'!$C:$C,N22529))</f>
        <v>0</v>
      </c>
    </row>
    <row r="22530" spans="13:16">
      <c r="M22530" s="49">
        <f>IF($A$4+225&gt;$B$4,"",$A$4+225)</f>
        <v>46248</v>
      </c>
      <c r="N22530" t="str">
        <f>IF(M22530="","",'Master Barang'!A24)</f>
        <v>PRL-023</v>
      </c>
      <c r="O22530" t="str">
        <f>IF(N22530="","",'Master Barang'!B24)</f>
        <v>gayung kecil</v>
      </c>
      <c r="P22530">
        <f>IF(OR(M22530="",N22530=""),"",SUMIFS('Barang Keluar'!$E:$E,'Barang Keluar'!$A:$A,M22530,'Barang Keluar'!$C:$C,N22530))</f>
        <v>0</v>
      </c>
    </row>
    <row r="22531" spans="13:16">
      <c r="M22531" s="49">
        <f>IF($A$4+225&gt;$B$4,"",$A$4+225)</f>
        <v>46248</v>
      </c>
      <c r="N22531" t="str">
        <f>IF(M22531="","",'Master Barang'!A25)</f>
        <v>PRL-024</v>
      </c>
      <c r="O22531" t="str">
        <f>IF(N22531="","",'Master Barang'!B25)</f>
        <v>cikrak kecil</v>
      </c>
      <c r="P22531">
        <f>IF(OR(M22531="",N22531=""),"",SUMIFS('Barang Keluar'!$E:$E,'Barang Keluar'!$A:$A,M22531,'Barang Keluar'!$C:$C,N22531))</f>
        <v>0</v>
      </c>
    </row>
    <row r="22532" spans="13:16">
      <c r="M22532" s="49">
        <f>IF($A$4+225&gt;$B$4,"",$A$4+225)</f>
        <v>46248</v>
      </c>
      <c r="N22532" t="str">
        <f>IF(M22532="","",'Master Barang'!A26)</f>
        <v>PRL-025</v>
      </c>
      <c r="O22532" t="str">
        <f>IF(N22532="","",'Master Barang'!B26)</f>
        <v>petromax plastik kecil 12x24 100 lembar</v>
      </c>
      <c r="P22532">
        <f>IF(OR(M22532="",N22532=""),"",SUMIFS('Barang Keluar'!$E:$E,'Barang Keluar'!$A:$A,M22532,'Barang Keluar'!$C:$C,N22532))</f>
        <v>0</v>
      </c>
    </row>
    <row r="22533" spans="13:16">
      <c r="M22533" s="49">
        <f>IF($A$4+225&gt;$B$4,"",$A$4+225)</f>
        <v>46248</v>
      </c>
      <c r="N22533" t="str">
        <f>IF(M22533="","",'Master Barang'!A27)</f>
        <v>PRL-026</v>
      </c>
      <c r="O22533" t="str">
        <f>IF(N22533="","",'Master Barang'!B27)</f>
        <v>lancar kresek kecil bening </v>
      </c>
      <c r="P22533">
        <f>IF(OR(M22533="",N22533=""),"",SUMIFS('Barang Keluar'!$E:$E,'Barang Keluar'!$A:$A,M22533,'Barang Keluar'!$C:$C,N22533))</f>
        <v>0</v>
      </c>
    </row>
    <row r="22534" spans="13:16">
      <c r="M22534" s="49">
        <f>IF($A$4+225&gt;$B$4,"",$A$4+225)</f>
        <v>46248</v>
      </c>
      <c r="N22534" t="str">
        <f>IF(M22534="","",'Master Barang'!A28)</f>
        <v>PRL-027</v>
      </c>
      <c r="O22534" t="str">
        <f>IF(N22534="","",'Master Barang'!B28)</f>
        <v>kresek klin warna warni kecil</v>
      </c>
      <c r="P22534">
        <f>IF(OR(M22534="",N22534=""),"",SUMIFS('Barang Keluar'!$E:$E,'Barang Keluar'!$A:$A,M22534,'Barang Keluar'!$C:$C,N22534))</f>
        <v>0</v>
      </c>
    </row>
    <row r="22535" spans="13:16">
      <c r="M22535" s="49">
        <f>IF($A$4+225&gt;$B$4,"",$A$4+225)</f>
        <v>46248</v>
      </c>
      <c r="N22535" t="str">
        <f>IF(M22535="","",'Master Barang'!A29)</f>
        <v>PRL-028</v>
      </c>
      <c r="O22535" t="str">
        <f>IF(N22535="","",'Master Barang'!B29)</f>
        <v>ctik plastik 7x10 100 pcs</v>
      </c>
      <c r="P22535">
        <f>IF(OR(M22535="",N22535=""),"",SUMIFS('Barang Keluar'!$E:$E,'Barang Keluar'!$A:$A,M22535,'Barang Keluar'!$C:$C,N22535))</f>
        <v>0</v>
      </c>
    </row>
    <row r="22536" spans="13:16">
      <c r="M22536" s="49">
        <f>IF($A$4+225&gt;$B$4,"",$A$4+225)</f>
        <v>46248</v>
      </c>
      <c r="N22536" t="str">
        <f>IF(M22536="","",'Master Barang'!A30)</f>
        <v>PRL-029</v>
      </c>
      <c r="O22536" t="str">
        <f>IF(N22536="","",'Master Barang'!B30)</f>
        <v>ctik plastik 6x10 100 pcs</v>
      </c>
      <c r="P22536">
        <f>IF(OR(M22536="",N22536=""),"",SUMIFS('Barang Keluar'!$E:$E,'Barang Keluar'!$A:$A,M22536,'Barang Keluar'!$C:$C,N22536))</f>
        <v>0</v>
      </c>
    </row>
    <row r="22537" spans="13:16">
      <c r="M22537" s="49">
        <f>IF($A$4+225&gt;$B$4,"",$A$4+225)</f>
        <v>46248</v>
      </c>
      <c r="N22537" t="str">
        <f>IF(M22537="","",'Master Barang'!A31)</f>
        <v>PRL-030</v>
      </c>
      <c r="O22537" t="str">
        <f>IF(N22537="","",'Master Barang'!B31)</f>
        <v>klip plastik 25x16 100 pcs</v>
      </c>
      <c r="P22537">
        <f>IF(OR(M22537="",N22537=""),"",SUMIFS('Barang Keluar'!$E:$E,'Barang Keluar'!$A:$A,M22537,'Barang Keluar'!$C:$C,N22537))</f>
        <v>0</v>
      </c>
    </row>
    <row r="22538" spans="13:16">
      <c r="M22538" s="49">
        <f>IF($A$4+225&gt;$B$4,"",$A$4+225)</f>
        <v>46248</v>
      </c>
      <c r="N22538" t="str">
        <f>IF(M22538="","",'Master Barang'!A32)</f>
        <v>PRL-031</v>
      </c>
      <c r="O22538" t="str">
        <f>IF(N22538="","",'Master Barang'!B32)</f>
        <v>tempat saus 20 ml</v>
      </c>
      <c r="P22538">
        <f>IF(OR(M22538="",N22538=""),"",SUMIFS('Barang Keluar'!$E:$E,'Barang Keluar'!$A:$A,M22538,'Barang Keluar'!$C:$C,N22538))</f>
        <v>0</v>
      </c>
    </row>
    <row r="22539" spans="13:16">
      <c r="M22539" s="49">
        <f>IF($A$4+225&gt;$B$4,"",$A$4+225)</f>
        <v>46248</v>
      </c>
      <c r="N22539" t="str">
        <f>IF(M22539="","",'Master Barang'!A33)</f>
        <v>PRL-032</v>
      </c>
      <c r="O22539" t="str">
        <f>IF(N22539="","",'Master Barang'!B33)</f>
        <v>plastik packaging ag box uk sedang</v>
      </c>
      <c r="P22539">
        <f>IF(OR(M22539="",N22539=""),"",SUMIFS('Barang Keluar'!$E:$E,'Barang Keluar'!$A:$A,M22539,'Barang Keluar'!$C:$C,N22539))</f>
        <v>0</v>
      </c>
    </row>
    <row r="22540" spans="13:16">
      <c r="M22540" s="49">
        <f>IF($A$4+225&gt;$B$4,"",$A$4+225)</f>
        <v>46248</v>
      </c>
      <c r="N22540" t="str">
        <f>IF(M22540="","",'Master Barang'!A34)</f>
        <v>PRL-033</v>
      </c>
      <c r="O22540">
        <f>IF(N22540="","",'Master Barang'!B34)</f>
        <v>0</v>
      </c>
      <c r="P22540">
        <f>IF(OR(M22540="",N22540=""),"",SUMIFS('Barang Keluar'!$E:$E,'Barang Keluar'!$A:$A,M22540,'Barang Keluar'!$C:$C,N22540))</f>
        <v>0</v>
      </c>
    </row>
    <row r="22541" spans="13:16">
      <c r="M22541" s="49">
        <f>IF($A$4+225&gt;$B$4,"",$A$4+225)</f>
        <v>46248</v>
      </c>
      <c r="N22541">
        <f>IF(M22541="","",'Master Barang'!A35)</f>
        <v>0</v>
      </c>
      <c r="O22541">
        <f>IF(N22541="","",'Master Barang'!B35)</f>
        <v>0</v>
      </c>
      <c r="P22541">
        <f>IF(OR(M22541="",N22541=""),"",SUMIFS('Barang Keluar'!$E:$E,'Barang Keluar'!$A:$A,M22541,'Barang Keluar'!$C:$C,N22541))</f>
        <v>0</v>
      </c>
    </row>
    <row r="22542" spans="13:16">
      <c r="M22542" s="49">
        <f>IF($A$4+225&gt;$B$4,"",$A$4+225)</f>
        <v>46248</v>
      </c>
      <c r="N22542">
        <f>IF(M22542="","",'Master Barang'!A36)</f>
        <v>0</v>
      </c>
      <c r="O22542">
        <f>IF(N22542="","",'Master Barang'!B36)</f>
        <v>0</v>
      </c>
      <c r="P22542">
        <f>IF(OR(M22542="",N22542=""),"",SUMIFS('Barang Keluar'!$E:$E,'Barang Keluar'!$A:$A,M22542,'Barang Keluar'!$C:$C,N22542))</f>
        <v>0</v>
      </c>
    </row>
    <row r="22543" spans="13:16">
      <c r="M22543" s="49">
        <f>IF($A$4+225&gt;$B$4,"",$A$4+225)</f>
        <v>46248</v>
      </c>
      <c r="N22543">
        <f>IF(M22543="","",'Master Barang'!A37)</f>
        <v>0</v>
      </c>
      <c r="O22543">
        <f>IF(N22543="","",'Master Barang'!B37)</f>
        <v>0</v>
      </c>
      <c r="P22543">
        <f>IF(OR(M22543="",N22543=""),"",SUMIFS('Barang Keluar'!$E:$E,'Barang Keluar'!$A:$A,M22543,'Barang Keluar'!$C:$C,N22543))</f>
        <v>0</v>
      </c>
    </row>
    <row r="22544" spans="13:16">
      <c r="M22544" s="49">
        <f>IF($A$4+225&gt;$B$4,"",$A$4+225)</f>
        <v>46248</v>
      </c>
      <c r="N22544">
        <f>IF(M22544="","",'Master Barang'!A38)</f>
        <v>0</v>
      </c>
      <c r="O22544">
        <f>IF(N22544="","",'Master Barang'!B38)</f>
        <v>0</v>
      </c>
      <c r="P22544">
        <f>IF(OR(M22544="",N22544=""),"",SUMIFS('Barang Keluar'!$E:$E,'Barang Keluar'!$A:$A,M22544,'Barang Keluar'!$C:$C,N22544))</f>
        <v>0</v>
      </c>
    </row>
    <row r="22545" spans="13:16">
      <c r="M22545" s="49">
        <f>IF($A$4+225&gt;$B$4,"",$A$4+225)</f>
        <v>46248</v>
      </c>
      <c r="N22545">
        <f>IF(M22545="","",'Master Barang'!A39)</f>
        <v>0</v>
      </c>
      <c r="O22545">
        <f>IF(N22545="","",'Master Barang'!B39)</f>
        <v>0</v>
      </c>
      <c r="P22545">
        <f>IF(OR(M22545="",N22545=""),"",SUMIFS('Barang Keluar'!$E:$E,'Barang Keluar'!$A:$A,M22545,'Barang Keluar'!$C:$C,N22545))</f>
        <v>0</v>
      </c>
    </row>
    <row r="22546" spans="13:16">
      <c r="M22546" s="49">
        <f>IF($A$4+225&gt;$B$4,"",$A$4+225)</f>
        <v>46248</v>
      </c>
      <c r="N22546">
        <f>IF(M22546="","",'Master Barang'!A40)</f>
        <v>0</v>
      </c>
      <c r="O22546">
        <f>IF(N22546="","",'Master Barang'!B40)</f>
        <v>0</v>
      </c>
      <c r="P22546">
        <f>IF(OR(M22546="",N22546=""),"",SUMIFS('Barang Keluar'!$E:$E,'Barang Keluar'!$A:$A,M22546,'Barang Keluar'!$C:$C,N22546))</f>
        <v>0</v>
      </c>
    </row>
    <row r="22547" spans="13:16">
      <c r="M22547" s="49">
        <f>IF($A$4+225&gt;$B$4,"",$A$4+225)</f>
        <v>46248</v>
      </c>
      <c r="N22547">
        <f>IF(M22547="","",'Master Barang'!A41)</f>
        <v>0</v>
      </c>
      <c r="O22547">
        <f>IF(N22547="","",'Master Barang'!B41)</f>
        <v>0</v>
      </c>
      <c r="P22547">
        <f>IF(OR(M22547="",N22547=""),"",SUMIFS('Barang Keluar'!$E:$E,'Barang Keluar'!$A:$A,M22547,'Barang Keluar'!$C:$C,N22547))</f>
        <v>0</v>
      </c>
    </row>
    <row r="22548" spans="13:16">
      <c r="M22548" s="49">
        <f>IF($A$4+225&gt;$B$4,"",$A$4+225)</f>
        <v>46248</v>
      </c>
      <c r="N22548">
        <f>IF(M22548="","",'Master Barang'!A42)</f>
        <v>0</v>
      </c>
      <c r="O22548">
        <f>IF(N22548="","",'Master Barang'!B42)</f>
        <v>0</v>
      </c>
      <c r="P22548">
        <f>IF(OR(M22548="",N22548=""),"",SUMIFS('Barang Keluar'!$E:$E,'Barang Keluar'!$A:$A,M22548,'Barang Keluar'!$C:$C,N22548))</f>
        <v>0</v>
      </c>
    </row>
    <row r="22549" spans="13:16">
      <c r="M22549" s="49">
        <f>IF($A$4+225&gt;$B$4,"",$A$4+225)</f>
        <v>46248</v>
      </c>
      <c r="N22549">
        <f>IF(M22549="","",'Master Barang'!A43)</f>
        <v>0</v>
      </c>
      <c r="O22549">
        <f>IF(N22549="","",'Master Barang'!B43)</f>
        <v>0</v>
      </c>
      <c r="P22549">
        <f>IF(OR(M22549="",N22549=""),"",SUMIFS('Barang Keluar'!$E:$E,'Barang Keluar'!$A:$A,M22549,'Barang Keluar'!$C:$C,N22549))</f>
        <v>0</v>
      </c>
    </row>
    <row r="22550" spans="13:16">
      <c r="M22550" s="49">
        <f>IF($A$4+225&gt;$B$4,"",$A$4+225)</f>
        <v>46248</v>
      </c>
      <c r="N22550">
        <f>IF(M22550="","",'Master Barang'!A44)</f>
        <v>0</v>
      </c>
      <c r="O22550">
        <f>IF(N22550="","",'Master Barang'!B44)</f>
        <v>0</v>
      </c>
      <c r="P22550">
        <f>IF(OR(M22550="",N22550=""),"",SUMIFS('Barang Keluar'!$E:$E,'Barang Keluar'!$A:$A,M22550,'Barang Keluar'!$C:$C,N22550))</f>
        <v>0</v>
      </c>
    </row>
    <row r="22551" spans="13:16">
      <c r="M22551" s="49">
        <f>IF($A$4+225&gt;$B$4,"",$A$4+225)</f>
        <v>46248</v>
      </c>
      <c r="N22551">
        <f>IF(M22551="","",'Master Barang'!A45)</f>
        <v>0</v>
      </c>
      <c r="O22551">
        <f>IF(N22551="","",'Master Barang'!B45)</f>
        <v>0</v>
      </c>
      <c r="P22551">
        <f>IF(OR(M22551="",N22551=""),"",SUMIFS('Barang Keluar'!$E:$E,'Barang Keluar'!$A:$A,M22551,'Barang Keluar'!$C:$C,N22551))</f>
        <v>0</v>
      </c>
    </row>
    <row r="22552" spans="13:16">
      <c r="M22552" s="49">
        <f>IF($A$4+225&gt;$B$4,"",$A$4+225)</f>
        <v>46248</v>
      </c>
      <c r="N22552">
        <f>IF(M22552="","",'Master Barang'!A46)</f>
        <v>0</v>
      </c>
      <c r="O22552">
        <f>IF(N22552="","",'Master Barang'!B46)</f>
        <v>0</v>
      </c>
      <c r="P22552">
        <f>IF(OR(M22552="",N22552=""),"",SUMIFS('Barang Keluar'!$E:$E,'Barang Keluar'!$A:$A,M22552,'Barang Keluar'!$C:$C,N22552))</f>
        <v>0</v>
      </c>
    </row>
    <row r="22553" spans="13:16">
      <c r="M22553" s="49">
        <f>IF($A$4+225&gt;$B$4,"",$A$4+225)</f>
        <v>46248</v>
      </c>
      <c r="N22553">
        <f>IF(M22553="","",'Master Barang'!A47)</f>
        <v>0</v>
      </c>
      <c r="O22553">
        <f>IF(N22553="","",'Master Barang'!B47)</f>
        <v>0</v>
      </c>
      <c r="P22553">
        <f>IF(OR(M22553="",N22553=""),"",SUMIFS('Barang Keluar'!$E:$E,'Barang Keluar'!$A:$A,M22553,'Barang Keluar'!$C:$C,N22553))</f>
        <v>0</v>
      </c>
    </row>
    <row r="22554" spans="13:16">
      <c r="M22554" s="49">
        <f>IF($A$4+225&gt;$B$4,"",$A$4+225)</f>
        <v>46248</v>
      </c>
      <c r="N22554">
        <f>IF(M22554="","",'Master Barang'!A48)</f>
        <v>0</v>
      </c>
      <c r="O22554">
        <f>IF(N22554="","",'Master Barang'!B48)</f>
        <v>0</v>
      </c>
      <c r="P22554">
        <f>IF(OR(M22554="",N22554=""),"",SUMIFS('Barang Keluar'!$E:$E,'Barang Keluar'!$A:$A,M22554,'Barang Keluar'!$C:$C,N22554))</f>
        <v>0</v>
      </c>
    </row>
    <row r="22555" spans="13:16">
      <c r="M22555" s="49">
        <f>IF($A$4+225&gt;$B$4,"",$A$4+225)</f>
        <v>46248</v>
      </c>
      <c r="N22555">
        <f>IF(M22555="","",'Master Barang'!A49)</f>
        <v>0</v>
      </c>
      <c r="O22555">
        <f>IF(N22555="","",'Master Barang'!B49)</f>
        <v>0</v>
      </c>
      <c r="P22555">
        <f>IF(OR(M22555="",N22555=""),"",SUMIFS('Barang Keluar'!$E:$E,'Barang Keluar'!$A:$A,M22555,'Barang Keluar'!$C:$C,N22555))</f>
        <v>0</v>
      </c>
    </row>
    <row r="22556" spans="13:16">
      <c r="M22556" s="49">
        <f>IF($A$4+225&gt;$B$4,"",$A$4+225)</f>
        <v>46248</v>
      </c>
      <c r="N22556">
        <f>IF(M22556="","",'Master Barang'!A50)</f>
        <v>0</v>
      </c>
      <c r="O22556">
        <f>IF(N22556="","",'Master Barang'!B50)</f>
        <v>0</v>
      </c>
      <c r="P22556">
        <f>IF(OR(M22556="",N22556=""),"",SUMIFS('Barang Keluar'!$E:$E,'Barang Keluar'!$A:$A,M22556,'Barang Keluar'!$C:$C,N22556))</f>
        <v>0</v>
      </c>
    </row>
    <row r="22557" spans="13:16">
      <c r="M22557" s="49">
        <f>IF($A$4+225&gt;$B$4,"",$A$4+225)</f>
        <v>46248</v>
      </c>
      <c r="N22557">
        <f>IF(M22557="","",'Master Barang'!A51)</f>
        <v>0</v>
      </c>
      <c r="O22557">
        <f>IF(N22557="","",'Master Barang'!B51)</f>
        <v>0</v>
      </c>
      <c r="P22557">
        <f>IF(OR(M22557="",N22557=""),"",SUMIFS('Barang Keluar'!$E:$E,'Barang Keluar'!$A:$A,M22557,'Barang Keluar'!$C:$C,N22557))</f>
        <v>0</v>
      </c>
    </row>
    <row r="22558" spans="13:16">
      <c r="M22558" s="49">
        <f>IF($A$4+225&gt;$B$4,"",$A$4+225)</f>
        <v>46248</v>
      </c>
      <c r="N22558">
        <f>IF(M22558="","",'Master Barang'!A52)</f>
        <v>0</v>
      </c>
      <c r="O22558">
        <f>IF(N22558="","",'Master Barang'!B52)</f>
        <v>0</v>
      </c>
      <c r="P22558">
        <f>IF(OR(M22558="",N22558=""),"",SUMIFS('Barang Keluar'!$E:$E,'Barang Keluar'!$A:$A,M22558,'Barang Keluar'!$C:$C,N22558))</f>
        <v>0</v>
      </c>
    </row>
    <row r="22559" spans="13:16">
      <c r="M22559" s="49">
        <f>IF($A$4+225&gt;$B$4,"",$A$4+225)</f>
        <v>46248</v>
      </c>
      <c r="N22559">
        <f>IF(M22559="","",'Master Barang'!A53)</f>
        <v>0</v>
      </c>
      <c r="O22559">
        <f>IF(N22559="","",'Master Barang'!B53)</f>
        <v>0</v>
      </c>
      <c r="P22559">
        <f>IF(OR(M22559="",N22559=""),"",SUMIFS('Barang Keluar'!$E:$E,'Barang Keluar'!$A:$A,M22559,'Barang Keluar'!$C:$C,N22559))</f>
        <v>0</v>
      </c>
    </row>
    <row r="22560" spans="13:16">
      <c r="M22560" s="49">
        <f>IF($A$4+225&gt;$B$4,"",$A$4+225)</f>
        <v>46248</v>
      </c>
      <c r="N22560">
        <f>IF(M22560="","",'Master Barang'!A54)</f>
        <v>0</v>
      </c>
      <c r="O22560">
        <f>IF(N22560="","",'Master Barang'!B54)</f>
        <v>0</v>
      </c>
      <c r="P22560">
        <f>IF(OR(M22560="",N22560=""),"",SUMIFS('Barang Keluar'!$E:$E,'Barang Keluar'!$A:$A,M22560,'Barang Keluar'!$C:$C,N22560))</f>
        <v>0</v>
      </c>
    </row>
    <row r="22561" spans="13:16">
      <c r="M22561" s="49">
        <f>IF($A$4+225&gt;$B$4,"",$A$4+225)</f>
        <v>46248</v>
      </c>
      <c r="N22561">
        <f>IF(M22561="","",'Master Barang'!A55)</f>
        <v>0</v>
      </c>
      <c r="O22561">
        <f>IF(N22561="","",'Master Barang'!B55)</f>
        <v>0</v>
      </c>
      <c r="P22561">
        <f>IF(OR(M22561="",N22561=""),"",SUMIFS('Barang Keluar'!$E:$E,'Barang Keluar'!$A:$A,M22561,'Barang Keluar'!$C:$C,N22561))</f>
        <v>0</v>
      </c>
    </row>
    <row r="22562" spans="13:16">
      <c r="M22562" s="49">
        <f>IF($A$4+225&gt;$B$4,"",$A$4+225)</f>
        <v>46248</v>
      </c>
      <c r="N22562">
        <f>IF(M22562="","",'Master Barang'!A56)</f>
        <v>0</v>
      </c>
      <c r="O22562">
        <f>IF(N22562="","",'Master Barang'!B56)</f>
        <v>0</v>
      </c>
      <c r="P22562">
        <f>IF(OR(M22562="",N22562=""),"",SUMIFS('Barang Keluar'!$E:$E,'Barang Keluar'!$A:$A,M22562,'Barang Keluar'!$C:$C,N22562))</f>
        <v>0</v>
      </c>
    </row>
    <row r="22563" spans="13:16">
      <c r="M22563" s="49">
        <f>IF($A$4+225&gt;$B$4,"",$A$4+225)</f>
        <v>46248</v>
      </c>
      <c r="N22563">
        <f>IF(M22563="","",'Master Barang'!A57)</f>
        <v>0</v>
      </c>
      <c r="O22563">
        <f>IF(N22563="","",'Master Barang'!B57)</f>
        <v>0</v>
      </c>
      <c r="P22563">
        <f>IF(OR(M22563="",N22563=""),"",SUMIFS('Barang Keluar'!$E:$E,'Barang Keluar'!$A:$A,M22563,'Barang Keluar'!$C:$C,N22563))</f>
        <v>0</v>
      </c>
    </row>
    <row r="22564" spans="13:16">
      <c r="M22564" s="49">
        <f>IF($A$4+225&gt;$B$4,"",$A$4+225)</f>
        <v>46248</v>
      </c>
      <c r="N22564">
        <f>IF(M22564="","",'Master Barang'!A58)</f>
        <v>0</v>
      </c>
      <c r="O22564">
        <f>IF(N22564="","",'Master Barang'!B58)</f>
        <v>0</v>
      </c>
      <c r="P22564">
        <f>IF(OR(M22564="",N22564=""),"",SUMIFS('Barang Keluar'!$E:$E,'Barang Keluar'!$A:$A,M22564,'Barang Keluar'!$C:$C,N22564))</f>
        <v>0</v>
      </c>
    </row>
    <row r="22565" spans="13:16">
      <c r="M22565" s="49">
        <f>IF($A$4+225&gt;$B$4,"",$A$4+225)</f>
        <v>46248</v>
      </c>
      <c r="N22565">
        <f>IF(M22565="","",'Master Barang'!A59)</f>
        <v>0</v>
      </c>
      <c r="O22565">
        <f>IF(N22565="","",'Master Barang'!B59)</f>
        <v>0</v>
      </c>
      <c r="P22565">
        <f>IF(OR(M22565="",N22565=""),"",SUMIFS('Barang Keluar'!$E:$E,'Barang Keluar'!$A:$A,M22565,'Barang Keluar'!$C:$C,N22565))</f>
        <v>0</v>
      </c>
    </row>
    <row r="22566" spans="13:16">
      <c r="M22566" s="49">
        <f>IF($A$4+225&gt;$B$4,"",$A$4+225)</f>
        <v>46248</v>
      </c>
      <c r="N22566">
        <f>IF(M22566="","",'Master Barang'!A60)</f>
        <v>0</v>
      </c>
      <c r="O22566">
        <f>IF(N22566="","",'Master Barang'!B60)</f>
        <v>0</v>
      </c>
      <c r="P22566">
        <f>IF(OR(M22566="",N22566=""),"",SUMIFS('Barang Keluar'!$E:$E,'Barang Keluar'!$A:$A,M22566,'Barang Keluar'!$C:$C,N22566))</f>
        <v>0</v>
      </c>
    </row>
    <row r="22567" spans="13:16">
      <c r="M22567" s="49">
        <f>IF($A$4+225&gt;$B$4,"",$A$4+225)</f>
        <v>46248</v>
      </c>
      <c r="N22567">
        <f>IF(M22567="","",'Master Barang'!A61)</f>
        <v>0</v>
      </c>
      <c r="O22567">
        <f>IF(N22567="","",'Master Barang'!B61)</f>
        <v>0</v>
      </c>
      <c r="P22567">
        <f>IF(OR(M22567="",N22567=""),"",SUMIFS('Barang Keluar'!$E:$E,'Barang Keluar'!$A:$A,M22567,'Barang Keluar'!$C:$C,N22567))</f>
        <v>0</v>
      </c>
    </row>
    <row r="22568" spans="13:16">
      <c r="M22568" s="49">
        <f>IF($A$4+225&gt;$B$4,"",$A$4+225)</f>
        <v>46248</v>
      </c>
      <c r="N22568">
        <f>IF(M22568="","",'Master Barang'!A62)</f>
        <v>0</v>
      </c>
      <c r="O22568">
        <f>IF(N22568="","",'Master Barang'!B62)</f>
        <v>0</v>
      </c>
      <c r="P22568">
        <f>IF(OR(M22568="",N22568=""),"",SUMIFS('Barang Keluar'!$E:$E,'Barang Keluar'!$A:$A,M22568,'Barang Keluar'!$C:$C,N22568))</f>
        <v>0</v>
      </c>
    </row>
    <row r="22569" spans="13:16">
      <c r="M22569" s="49">
        <f>IF($A$4+225&gt;$B$4,"",$A$4+225)</f>
        <v>46248</v>
      </c>
      <c r="N22569">
        <f>IF(M22569="","",'Master Barang'!A63)</f>
        <v>0</v>
      </c>
      <c r="O22569">
        <f>IF(N22569="","",'Master Barang'!B63)</f>
        <v>0</v>
      </c>
      <c r="P22569">
        <f>IF(OR(M22569="",N22569=""),"",SUMIFS('Barang Keluar'!$E:$E,'Barang Keluar'!$A:$A,M22569,'Barang Keluar'!$C:$C,N22569))</f>
        <v>0</v>
      </c>
    </row>
    <row r="22570" spans="13:16">
      <c r="M22570" s="49">
        <f>IF($A$4+225&gt;$B$4,"",$A$4+225)</f>
        <v>46248</v>
      </c>
      <c r="N22570">
        <f>IF(M22570="","",'Master Barang'!A64)</f>
        <v>0</v>
      </c>
      <c r="O22570">
        <f>IF(N22570="","",'Master Barang'!B64)</f>
        <v>0</v>
      </c>
      <c r="P22570">
        <f>IF(OR(M22570="",N22570=""),"",SUMIFS('Barang Keluar'!$E:$E,'Barang Keluar'!$A:$A,M22570,'Barang Keluar'!$C:$C,N22570))</f>
        <v>0</v>
      </c>
    </row>
    <row r="22571" spans="13:16">
      <c r="M22571" s="49">
        <f>IF($A$4+225&gt;$B$4,"",$A$4+225)</f>
        <v>46248</v>
      </c>
      <c r="N22571">
        <f>IF(M22571="","",'Master Barang'!A65)</f>
        <v>0</v>
      </c>
      <c r="O22571">
        <f>IF(N22571="","",'Master Barang'!B65)</f>
        <v>0</v>
      </c>
      <c r="P22571">
        <f>IF(OR(M22571="",N22571=""),"",SUMIFS('Barang Keluar'!$E:$E,'Barang Keluar'!$A:$A,M22571,'Barang Keluar'!$C:$C,N22571))</f>
        <v>0</v>
      </c>
    </row>
    <row r="22572" spans="13:16">
      <c r="M22572" s="49">
        <f>IF($A$4+225&gt;$B$4,"",$A$4+225)</f>
        <v>46248</v>
      </c>
      <c r="N22572">
        <f>IF(M22572="","",'Master Barang'!A66)</f>
        <v>0</v>
      </c>
      <c r="O22572">
        <f>IF(N22572="","",'Master Barang'!B66)</f>
        <v>0</v>
      </c>
      <c r="P22572">
        <f>IF(OR(M22572="",N22572=""),"",SUMIFS('Barang Keluar'!$E:$E,'Barang Keluar'!$A:$A,M22572,'Barang Keluar'!$C:$C,N22572))</f>
        <v>0</v>
      </c>
    </row>
    <row r="22573" spans="13:16">
      <c r="M22573" s="49">
        <f>IF($A$4+225&gt;$B$4,"",$A$4+225)</f>
        <v>46248</v>
      </c>
      <c r="N22573">
        <f>IF(M22573="","",'Master Barang'!A67)</f>
        <v>0</v>
      </c>
      <c r="O22573">
        <f>IF(N22573="","",'Master Barang'!B67)</f>
        <v>0</v>
      </c>
      <c r="P22573">
        <f>IF(OR(M22573="",N22573=""),"",SUMIFS('Barang Keluar'!$E:$E,'Barang Keluar'!$A:$A,M22573,'Barang Keluar'!$C:$C,N22573))</f>
        <v>0</v>
      </c>
    </row>
    <row r="22574" spans="13:16">
      <c r="M22574" s="49">
        <f>IF($A$4+225&gt;$B$4,"",$A$4+225)</f>
        <v>46248</v>
      </c>
      <c r="N22574">
        <f>IF(M22574="","",'Master Barang'!A68)</f>
        <v>0</v>
      </c>
      <c r="O22574">
        <f>IF(N22574="","",'Master Barang'!B68)</f>
        <v>0</v>
      </c>
      <c r="P22574">
        <f>IF(OR(M22574="",N22574=""),"",SUMIFS('Barang Keluar'!$E:$E,'Barang Keluar'!$A:$A,M22574,'Barang Keluar'!$C:$C,N22574))</f>
        <v>0</v>
      </c>
    </row>
    <row r="22575" spans="13:16">
      <c r="M22575" s="49">
        <f>IF($A$4+225&gt;$B$4,"",$A$4+225)</f>
        <v>46248</v>
      </c>
      <c r="N22575">
        <f>IF(M22575="","",'Master Barang'!A69)</f>
        <v>0</v>
      </c>
      <c r="O22575">
        <f>IF(N22575="","",'Master Barang'!B69)</f>
        <v>0</v>
      </c>
      <c r="P22575">
        <f>IF(OR(M22575="",N22575=""),"",SUMIFS('Barang Keluar'!$E:$E,'Barang Keluar'!$A:$A,M22575,'Barang Keluar'!$C:$C,N22575))</f>
        <v>0</v>
      </c>
    </row>
    <row r="22576" spans="13:16">
      <c r="M22576" s="49">
        <f>IF($A$4+225&gt;$B$4,"",$A$4+225)</f>
        <v>46248</v>
      </c>
      <c r="N22576">
        <f>IF(M22576="","",'Master Barang'!A70)</f>
        <v>0</v>
      </c>
      <c r="O22576">
        <f>IF(N22576="","",'Master Barang'!B70)</f>
        <v>0</v>
      </c>
      <c r="P22576">
        <f>IF(OR(M22576="",N22576=""),"",SUMIFS('Barang Keluar'!$E:$E,'Barang Keluar'!$A:$A,M22576,'Barang Keluar'!$C:$C,N22576))</f>
        <v>0</v>
      </c>
    </row>
    <row r="22577" spans="13:16">
      <c r="M22577" s="49">
        <f>IF($A$4+225&gt;$B$4,"",$A$4+225)</f>
        <v>46248</v>
      </c>
      <c r="N22577">
        <f>IF(M22577="","",'Master Barang'!A71)</f>
        <v>0</v>
      </c>
      <c r="O22577">
        <f>IF(N22577="","",'Master Barang'!B71)</f>
        <v>0</v>
      </c>
      <c r="P22577">
        <f>IF(OR(M22577="",N22577=""),"",SUMIFS('Barang Keluar'!$E:$E,'Barang Keluar'!$A:$A,M22577,'Barang Keluar'!$C:$C,N22577))</f>
        <v>0</v>
      </c>
    </row>
    <row r="22578" spans="13:16">
      <c r="M22578" s="49">
        <f>IF($A$4+225&gt;$B$4,"",$A$4+225)</f>
        <v>46248</v>
      </c>
      <c r="N22578">
        <f>IF(M22578="","",'Master Barang'!A72)</f>
        <v>0</v>
      </c>
      <c r="O22578">
        <f>IF(N22578="","",'Master Barang'!B72)</f>
        <v>0</v>
      </c>
      <c r="P22578">
        <f>IF(OR(M22578="",N22578=""),"",SUMIFS('Barang Keluar'!$E:$E,'Barang Keluar'!$A:$A,M22578,'Barang Keluar'!$C:$C,N22578))</f>
        <v>0</v>
      </c>
    </row>
    <row r="22579" spans="13:16">
      <c r="M22579" s="49">
        <f>IF($A$4+225&gt;$B$4,"",$A$4+225)</f>
        <v>46248</v>
      </c>
      <c r="N22579">
        <f>IF(M22579="","",'Master Barang'!A73)</f>
        <v>0</v>
      </c>
      <c r="O22579">
        <f>IF(N22579="","",'Master Barang'!B73)</f>
        <v>0</v>
      </c>
      <c r="P22579">
        <f>IF(OR(M22579="",N22579=""),"",SUMIFS('Barang Keluar'!$E:$E,'Barang Keluar'!$A:$A,M22579,'Barang Keluar'!$C:$C,N22579))</f>
        <v>0</v>
      </c>
    </row>
    <row r="22580" spans="13:16">
      <c r="M22580" s="49">
        <f>IF($A$4+225&gt;$B$4,"",$A$4+225)</f>
        <v>46248</v>
      </c>
      <c r="N22580">
        <f>IF(M22580="","",'Master Barang'!A74)</f>
        <v>0</v>
      </c>
      <c r="O22580">
        <f>IF(N22580="","",'Master Barang'!B74)</f>
        <v>0</v>
      </c>
      <c r="P22580">
        <f>IF(OR(M22580="",N22580=""),"",SUMIFS('Barang Keluar'!$E:$E,'Barang Keluar'!$A:$A,M22580,'Barang Keluar'!$C:$C,N22580))</f>
        <v>0</v>
      </c>
    </row>
    <row r="22581" spans="13:16">
      <c r="M22581" s="49">
        <f>IF($A$4+225&gt;$B$4,"",$A$4+225)</f>
        <v>46248</v>
      </c>
      <c r="N22581">
        <f>IF(M22581="","",'Master Barang'!A75)</f>
        <v>0</v>
      </c>
      <c r="O22581">
        <f>IF(N22581="","",'Master Barang'!B75)</f>
        <v>0</v>
      </c>
      <c r="P22581">
        <f>IF(OR(M22581="",N22581=""),"",SUMIFS('Barang Keluar'!$E:$E,'Barang Keluar'!$A:$A,M22581,'Barang Keluar'!$C:$C,N22581))</f>
        <v>0</v>
      </c>
    </row>
    <row r="22582" spans="13:16">
      <c r="M22582" s="49">
        <f>IF($A$4+225&gt;$B$4,"",$A$4+225)</f>
        <v>46248</v>
      </c>
      <c r="N22582">
        <f>IF(M22582="","",'Master Barang'!A76)</f>
        <v>0</v>
      </c>
      <c r="O22582">
        <f>IF(N22582="","",'Master Barang'!B76)</f>
        <v>0</v>
      </c>
      <c r="P22582">
        <f>IF(OR(M22582="",N22582=""),"",SUMIFS('Barang Keluar'!$E:$E,'Barang Keluar'!$A:$A,M22582,'Barang Keluar'!$C:$C,N22582))</f>
        <v>0</v>
      </c>
    </row>
    <row r="22583" spans="13:16">
      <c r="M22583" s="49">
        <f>IF($A$4+225&gt;$B$4,"",$A$4+225)</f>
        <v>46248</v>
      </c>
      <c r="N22583">
        <f>IF(M22583="","",'Master Barang'!A77)</f>
        <v>0</v>
      </c>
      <c r="O22583">
        <f>IF(N22583="","",'Master Barang'!B77)</f>
        <v>0</v>
      </c>
      <c r="P22583">
        <f>IF(OR(M22583="",N22583=""),"",SUMIFS('Barang Keluar'!$E:$E,'Barang Keluar'!$A:$A,M22583,'Barang Keluar'!$C:$C,N22583))</f>
        <v>0</v>
      </c>
    </row>
    <row r="22584" spans="13:16">
      <c r="M22584" s="49">
        <f>IF($A$4+225&gt;$B$4,"",$A$4+225)</f>
        <v>46248</v>
      </c>
      <c r="N22584">
        <f>IF(M22584="","",'Master Barang'!A78)</f>
        <v>0</v>
      </c>
      <c r="O22584">
        <f>IF(N22584="","",'Master Barang'!B78)</f>
        <v>0</v>
      </c>
      <c r="P22584">
        <f>IF(OR(M22584="",N22584=""),"",SUMIFS('Barang Keluar'!$E:$E,'Barang Keluar'!$A:$A,M22584,'Barang Keluar'!$C:$C,N22584))</f>
        <v>0</v>
      </c>
    </row>
    <row r="22585" spans="13:16">
      <c r="M22585" s="49">
        <f>IF($A$4+225&gt;$B$4,"",$A$4+225)</f>
        <v>46248</v>
      </c>
      <c r="N22585">
        <f>IF(M22585="","",'Master Barang'!A79)</f>
        <v>0</v>
      </c>
      <c r="O22585">
        <f>IF(N22585="","",'Master Barang'!B79)</f>
        <v>0</v>
      </c>
      <c r="P22585">
        <f>IF(OR(M22585="",N22585=""),"",SUMIFS('Barang Keluar'!$E:$E,'Barang Keluar'!$A:$A,M22585,'Barang Keluar'!$C:$C,N22585))</f>
        <v>0</v>
      </c>
    </row>
    <row r="22586" spans="13:16">
      <c r="M22586" s="49">
        <f>IF($A$4+225&gt;$B$4,"",$A$4+225)</f>
        <v>46248</v>
      </c>
      <c r="N22586">
        <f>IF(M22586="","",'Master Barang'!A80)</f>
        <v>0</v>
      </c>
      <c r="O22586">
        <f>IF(N22586="","",'Master Barang'!B80)</f>
        <v>0</v>
      </c>
      <c r="P22586">
        <f>IF(OR(M22586="",N22586=""),"",SUMIFS('Barang Keluar'!$E:$E,'Barang Keluar'!$A:$A,M22586,'Barang Keluar'!$C:$C,N22586))</f>
        <v>0</v>
      </c>
    </row>
    <row r="22587" spans="13:16">
      <c r="M22587" s="49">
        <f>IF($A$4+225&gt;$B$4,"",$A$4+225)</f>
        <v>46248</v>
      </c>
      <c r="N22587">
        <f>IF(M22587="","",'Master Barang'!A81)</f>
        <v>0</v>
      </c>
      <c r="O22587">
        <f>IF(N22587="","",'Master Barang'!B81)</f>
        <v>0</v>
      </c>
      <c r="P22587">
        <f>IF(OR(M22587="",N22587=""),"",SUMIFS('Barang Keluar'!$E:$E,'Barang Keluar'!$A:$A,M22587,'Barang Keluar'!$C:$C,N22587))</f>
        <v>0</v>
      </c>
    </row>
    <row r="22588" spans="13:16">
      <c r="M22588" s="49">
        <f>IF($A$4+225&gt;$B$4,"",$A$4+225)</f>
        <v>46248</v>
      </c>
      <c r="N22588">
        <f>IF(M22588="","",'Master Barang'!A82)</f>
        <v>0</v>
      </c>
      <c r="O22588">
        <f>IF(N22588="","",'Master Barang'!B82)</f>
        <v>0</v>
      </c>
      <c r="P22588">
        <f>IF(OR(M22588="",N22588=""),"",SUMIFS('Barang Keluar'!$E:$E,'Barang Keluar'!$A:$A,M22588,'Barang Keluar'!$C:$C,N22588))</f>
        <v>0</v>
      </c>
    </row>
    <row r="22589" spans="13:16">
      <c r="M22589" s="49">
        <f>IF($A$4+225&gt;$B$4,"",$A$4+225)</f>
        <v>46248</v>
      </c>
      <c r="N22589">
        <f>IF(M22589="","",'Master Barang'!A83)</f>
        <v>0</v>
      </c>
      <c r="O22589">
        <f>IF(N22589="","",'Master Barang'!B83)</f>
        <v>0</v>
      </c>
      <c r="P22589">
        <f>IF(OR(M22589="",N22589=""),"",SUMIFS('Barang Keluar'!$E:$E,'Barang Keluar'!$A:$A,M22589,'Barang Keluar'!$C:$C,N22589))</f>
        <v>0</v>
      </c>
    </row>
    <row r="22590" spans="13:16">
      <c r="M22590" s="49">
        <f>IF($A$4+225&gt;$B$4,"",$A$4+225)</f>
        <v>46248</v>
      </c>
      <c r="N22590">
        <f>IF(M22590="","",'Master Barang'!A84)</f>
        <v>0</v>
      </c>
      <c r="O22590">
        <f>IF(N22590="","",'Master Barang'!B84)</f>
        <v>0</v>
      </c>
      <c r="P22590">
        <f>IF(OR(M22590="",N22590=""),"",SUMIFS('Barang Keluar'!$E:$E,'Barang Keluar'!$A:$A,M22590,'Barang Keluar'!$C:$C,N22590))</f>
        <v>0</v>
      </c>
    </row>
    <row r="22591" spans="13:16">
      <c r="M22591" s="49">
        <f>IF($A$4+225&gt;$B$4,"",$A$4+225)</f>
        <v>46248</v>
      </c>
      <c r="N22591">
        <f>IF(M22591="","",'Master Barang'!A85)</f>
        <v>0</v>
      </c>
      <c r="O22591">
        <f>IF(N22591="","",'Master Barang'!B85)</f>
        <v>0</v>
      </c>
      <c r="P22591">
        <f>IF(OR(M22591="",N22591=""),"",SUMIFS('Barang Keluar'!$E:$E,'Barang Keluar'!$A:$A,M22591,'Barang Keluar'!$C:$C,N22591))</f>
        <v>0</v>
      </c>
    </row>
    <row r="22592" spans="13:16">
      <c r="M22592" s="49">
        <f>IF($A$4+225&gt;$B$4,"",$A$4+225)</f>
        <v>46248</v>
      </c>
      <c r="N22592">
        <f>IF(M22592="","",'Master Barang'!A86)</f>
        <v>0</v>
      </c>
      <c r="O22592">
        <f>IF(N22592="","",'Master Barang'!B86)</f>
        <v>0</v>
      </c>
      <c r="P22592">
        <f>IF(OR(M22592="",N22592=""),"",SUMIFS('Barang Keluar'!$E:$E,'Barang Keluar'!$A:$A,M22592,'Barang Keluar'!$C:$C,N22592))</f>
        <v>0</v>
      </c>
    </row>
    <row r="22593" spans="13:16">
      <c r="M22593" s="49">
        <f>IF($A$4+225&gt;$B$4,"",$A$4+225)</f>
        <v>46248</v>
      </c>
      <c r="N22593">
        <f>IF(M22593="","",'Master Barang'!A87)</f>
        <v>0</v>
      </c>
      <c r="O22593">
        <f>IF(N22593="","",'Master Barang'!B87)</f>
        <v>0</v>
      </c>
      <c r="P22593">
        <f>IF(OR(M22593="",N22593=""),"",SUMIFS('Barang Keluar'!$E:$E,'Barang Keluar'!$A:$A,M22593,'Barang Keluar'!$C:$C,N22593))</f>
        <v>0</v>
      </c>
    </row>
    <row r="22594" spans="13:16">
      <c r="M22594" s="49">
        <f>IF($A$4+225&gt;$B$4,"",$A$4+225)</f>
        <v>46248</v>
      </c>
      <c r="N22594">
        <f>IF(M22594="","",'Master Barang'!A88)</f>
        <v>0</v>
      </c>
      <c r="O22594">
        <f>IF(N22594="","",'Master Barang'!B88)</f>
        <v>0</v>
      </c>
      <c r="P22594">
        <f>IF(OR(M22594="",N22594=""),"",SUMIFS('Barang Keluar'!$E:$E,'Barang Keluar'!$A:$A,M22594,'Barang Keluar'!$C:$C,N22594))</f>
        <v>0</v>
      </c>
    </row>
    <row r="22595" spans="13:16">
      <c r="M22595" s="49">
        <f>IF($A$4+225&gt;$B$4,"",$A$4+225)</f>
        <v>46248</v>
      </c>
      <c r="N22595">
        <f>IF(M22595="","",'Master Barang'!A89)</f>
        <v>0</v>
      </c>
      <c r="O22595">
        <f>IF(N22595="","",'Master Barang'!B89)</f>
        <v>0</v>
      </c>
      <c r="P22595">
        <f>IF(OR(M22595="",N22595=""),"",SUMIFS('Barang Keluar'!$E:$E,'Barang Keluar'!$A:$A,M22595,'Barang Keluar'!$C:$C,N22595))</f>
        <v>0</v>
      </c>
    </row>
    <row r="22596" spans="13:16">
      <c r="M22596" s="49">
        <f>IF($A$4+225&gt;$B$4,"",$A$4+225)</f>
        <v>46248</v>
      </c>
      <c r="N22596">
        <f>IF(M22596="","",'Master Barang'!A90)</f>
        <v>0</v>
      </c>
      <c r="O22596">
        <f>IF(N22596="","",'Master Barang'!B90)</f>
        <v>0</v>
      </c>
      <c r="P22596">
        <f>IF(OR(M22596="",N22596=""),"",SUMIFS('Barang Keluar'!$E:$E,'Barang Keluar'!$A:$A,M22596,'Barang Keluar'!$C:$C,N22596))</f>
        <v>0</v>
      </c>
    </row>
    <row r="22597" spans="13:16">
      <c r="M22597" s="49">
        <f>IF($A$4+225&gt;$B$4,"",$A$4+225)</f>
        <v>46248</v>
      </c>
      <c r="N22597">
        <f>IF(M22597="","",'Master Barang'!A91)</f>
        <v>0</v>
      </c>
      <c r="O22597">
        <f>IF(N22597="","",'Master Barang'!B91)</f>
        <v>0</v>
      </c>
      <c r="P22597">
        <f>IF(OR(M22597="",N22597=""),"",SUMIFS('Barang Keluar'!$E:$E,'Barang Keluar'!$A:$A,M22597,'Barang Keluar'!$C:$C,N22597))</f>
        <v>0</v>
      </c>
    </row>
    <row r="22598" spans="13:16">
      <c r="M22598" s="49">
        <f>IF($A$4+225&gt;$B$4,"",$A$4+225)</f>
        <v>46248</v>
      </c>
      <c r="N22598">
        <f>IF(M22598="","",'Master Barang'!A92)</f>
        <v>0</v>
      </c>
      <c r="O22598">
        <f>IF(N22598="","",'Master Barang'!B92)</f>
        <v>0</v>
      </c>
      <c r="P22598">
        <f>IF(OR(M22598="",N22598=""),"",SUMIFS('Barang Keluar'!$E:$E,'Barang Keluar'!$A:$A,M22598,'Barang Keluar'!$C:$C,N22598))</f>
        <v>0</v>
      </c>
    </row>
    <row r="22599" spans="13:16">
      <c r="M22599" s="49">
        <f>IF($A$4+225&gt;$B$4,"",$A$4+225)</f>
        <v>46248</v>
      </c>
      <c r="N22599">
        <f>IF(M22599="","",'Master Barang'!A93)</f>
        <v>0</v>
      </c>
      <c r="O22599">
        <f>IF(N22599="","",'Master Barang'!B93)</f>
        <v>0</v>
      </c>
      <c r="P22599">
        <f>IF(OR(M22599="",N22599=""),"",SUMIFS('Barang Keluar'!$E:$E,'Barang Keluar'!$A:$A,M22599,'Barang Keluar'!$C:$C,N22599))</f>
        <v>0</v>
      </c>
    </row>
    <row r="22600" spans="13:16">
      <c r="M22600" s="49">
        <f>IF($A$4+225&gt;$B$4,"",$A$4+225)</f>
        <v>46248</v>
      </c>
      <c r="N22600">
        <f>IF(M22600="","",'Master Barang'!A94)</f>
        <v>0</v>
      </c>
      <c r="O22600">
        <f>IF(N22600="","",'Master Barang'!B94)</f>
        <v>0</v>
      </c>
      <c r="P22600">
        <f>IF(OR(M22600="",N22600=""),"",SUMIFS('Barang Keluar'!$E:$E,'Barang Keluar'!$A:$A,M22600,'Barang Keluar'!$C:$C,N22600))</f>
        <v>0</v>
      </c>
    </row>
    <row r="22601" spans="13:16">
      <c r="M22601" s="49">
        <f>IF($A$4+225&gt;$B$4,"",$A$4+225)</f>
        <v>46248</v>
      </c>
      <c r="N22601">
        <f>IF(M22601="","",'Master Barang'!A95)</f>
        <v>0</v>
      </c>
      <c r="O22601">
        <f>IF(N22601="","",'Master Barang'!B95)</f>
        <v>0</v>
      </c>
      <c r="P22601">
        <f>IF(OR(M22601="",N22601=""),"",SUMIFS('Barang Keluar'!$E:$E,'Barang Keluar'!$A:$A,M22601,'Barang Keluar'!$C:$C,N22601))</f>
        <v>0</v>
      </c>
    </row>
    <row r="22602" spans="13:16">
      <c r="M22602" s="49">
        <f>IF($A$4+225&gt;$B$4,"",$A$4+225)</f>
        <v>46248</v>
      </c>
      <c r="N22602">
        <f>IF(M22602="","",'Master Barang'!A96)</f>
        <v>0</v>
      </c>
      <c r="O22602">
        <f>IF(N22602="","",'Master Barang'!B96)</f>
        <v>0</v>
      </c>
      <c r="P22602">
        <f>IF(OR(M22602="",N22602=""),"",SUMIFS('Barang Keluar'!$E:$E,'Barang Keluar'!$A:$A,M22602,'Barang Keluar'!$C:$C,N22602))</f>
        <v>0</v>
      </c>
    </row>
    <row r="22603" spans="13:16">
      <c r="M22603" s="49">
        <f>IF($A$4+225&gt;$B$4,"",$A$4+225)</f>
        <v>46248</v>
      </c>
      <c r="N22603">
        <f>IF(M22603="","",'Master Barang'!A97)</f>
        <v>0</v>
      </c>
      <c r="O22603">
        <f>IF(N22603="","",'Master Barang'!B97)</f>
        <v>0</v>
      </c>
      <c r="P22603">
        <f>IF(OR(M22603="",N22603=""),"",SUMIFS('Barang Keluar'!$E:$E,'Barang Keluar'!$A:$A,M22603,'Barang Keluar'!$C:$C,N22603))</f>
        <v>0</v>
      </c>
    </row>
    <row r="22604" spans="13:16">
      <c r="M22604" s="49">
        <f>IF($A$4+225&gt;$B$4,"",$A$4+225)</f>
        <v>46248</v>
      </c>
      <c r="N22604">
        <f>IF(M22604="","",'Master Barang'!A98)</f>
        <v>0</v>
      </c>
      <c r="O22604">
        <f>IF(N22604="","",'Master Barang'!B98)</f>
        <v>0</v>
      </c>
      <c r="P22604">
        <f>IF(OR(M22604="",N22604=""),"",SUMIFS('Barang Keluar'!$E:$E,'Barang Keluar'!$A:$A,M22604,'Barang Keluar'!$C:$C,N22604))</f>
        <v>0</v>
      </c>
    </row>
    <row r="22605" spans="13:16">
      <c r="M22605" s="49">
        <f>IF($A$4+225&gt;$B$4,"",$A$4+225)</f>
        <v>46248</v>
      </c>
      <c r="N22605">
        <f>IF(M22605="","",'Master Barang'!A99)</f>
        <v>0</v>
      </c>
      <c r="O22605">
        <f>IF(N22605="","",'Master Barang'!B99)</f>
        <v>0</v>
      </c>
      <c r="P22605">
        <f>IF(OR(M22605="",N22605=""),"",SUMIFS('Barang Keluar'!$E:$E,'Barang Keluar'!$A:$A,M22605,'Barang Keluar'!$C:$C,N22605))</f>
        <v>0</v>
      </c>
    </row>
    <row r="22606" spans="13:16">
      <c r="M22606" s="49">
        <f>IF($A$4+225&gt;$B$4,"",$A$4+225)</f>
        <v>46248</v>
      </c>
      <c r="N22606">
        <f>IF(M22606="","",'Master Barang'!A100)</f>
        <v>0</v>
      </c>
      <c r="O22606">
        <f>IF(N22606="","",'Master Barang'!B100)</f>
        <v>0</v>
      </c>
      <c r="P22606">
        <f>IF(OR(M22606="",N22606=""),"",SUMIFS('Barang Keluar'!$E:$E,'Barang Keluar'!$A:$A,M22606,'Barang Keluar'!$C:$C,N22606))</f>
        <v>0</v>
      </c>
    </row>
    <row r="22607" spans="13:16">
      <c r="M22607" s="49">
        <f>IF($A$4+225&gt;$B$4,"",$A$4+225)</f>
        <v>46248</v>
      </c>
      <c r="N22607">
        <f>IF(M22607="","",'Master Barang'!A101)</f>
        <v>0</v>
      </c>
      <c r="O22607">
        <f>IF(N22607="","",'Master Barang'!B101)</f>
        <v>0</v>
      </c>
      <c r="P22607">
        <f>IF(OR(M22607="",N22607=""),"",SUMIFS('Barang Keluar'!$E:$E,'Barang Keluar'!$A:$A,M22607,'Barang Keluar'!$C:$C,N22607))</f>
        <v>0</v>
      </c>
    </row>
    <row r="22608" spans="13:16">
      <c r="M22608" s="49">
        <f>IF($A$4+226&gt;$B$4,"",$A$4+226)</f>
        <v>46249</v>
      </c>
      <c r="N22608" t="str">
        <f>IF(M22608="","",'Master Barang'!A2)</f>
        <v>PRL-001</v>
      </c>
      <c r="O22608" t="str">
        <f>IF(N22608="","",'Master Barang'!B2)</f>
        <v>natura desinfectant food grade 5l</v>
      </c>
      <c r="P22608">
        <f>IF(OR(M22608="",N22608=""),"",SUMIFS('Barang Keluar'!$E:$E,'Barang Keluar'!$A:$A,M22608,'Barang Keluar'!$C:$C,N22608))</f>
        <v>0</v>
      </c>
    </row>
    <row r="22609" spans="13:16">
      <c r="M22609" s="49">
        <f>IF($A$4+226&gt;$B$4,"",$A$4+226)</f>
        <v>46249</v>
      </c>
      <c r="N22609" t="str">
        <f>IF(M22609="","",'Master Barang'!A3)</f>
        <v>PRL-002</v>
      </c>
      <c r="O22609" t="str">
        <f>IF(N22609="","",'Master Barang'!B3)</f>
        <v>sunlight cairan pencuci piring 5l</v>
      </c>
      <c r="P22609">
        <f>IF(OR(M22609="",N22609=""),"",SUMIFS('Barang Keluar'!$E:$E,'Barang Keluar'!$A:$A,M22609,'Barang Keluar'!$C:$C,N22609))</f>
        <v>0</v>
      </c>
    </row>
    <row r="22610" spans="13:16">
      <c r="M22610" s="49">
        <f>IF($A$4+226&gt;$B$4,"",$A$4+226)</f>
        <v>46249</v>
      </c>
      <c r="N22610" t="str">
        <f>IF(M22610="","",'Master Barang'!A4)</f>
        <v>PRL-003</v>
      </c>
      <c r="O22610" t="str">
        <f>IF(N22610="","",'Master Barang'!B4)</f>
        <v>oixs cleaner 1l</v>
      </c>
      <c r="P22610">
        <f>IF(OR(M22610="",N22610=""),"",SUMIFS('Barang Keluar'!$E:$E,'Barang Keluar'!$A:$A,M22610,'Barang Keluar'!$C:$C,N22610))</f>
        <v>0</v>
      </c>
    </row>
    <row r="22611" spans="13:16">
      <c r="M22611" s="49">
        <f>IF($A$4+226&gt;$B$4,"",$A$4+226)</f>
        <v>46249</v>
      </c>
      <c r="N22611" t="str">
        <f>IF(M22611="","",'Master Barang'!A5)</f>
        <v>PRL-004</v>
      </c>
      <c r="O22611" t="str">
        <f>IF(N22611="","",'Master Barang'!B5)</f>
        <v>be clean tissue serbaguna</v>
      </c>
      <c r="P22611">
        <f>IF(OR(M22611="",N22611=""),"",SUMIFS('Barang Keluar'!$E:$E,'Barang Keluar'!$A:$A,M22611,'Barang Keluar'!$C:$C,N22611))</f>
        <v>0</v>
      </c>
    </row>
    <row r="22612" spans="13:16">
      <c r="M22612" s="49">
        <f>IF($A$4+226&gt;$B$4,"",$A$4+226)</f>
        <v>46249</v>
      </c>
      <c r="N22612" t="str">
        <f>IF(M22612="","",'Master Barang'!A6)</f>
        <v>PRL-005</v>
      </c>
      <c r="O22612" t="str">
        <f>IF(N22612="","",'Master Barang'!B6)</f>
        <v>spons cuci hijau</v>
      </c>
      <c r="P22612">
        <f>IF(OR(M22612="",N22612=""),"",SUMIFS('Barang Keluar'!$E:$E,'Barang Keluar'!$A:$A,M22612,'Barang Keluar'!$C:$C,N22612))</f>
        <v>0</v>
      </c>
    </row>
    <row r="22613" spans="13:16">
      <c r="M22613" s="49">
        <f>IF($A$4+226&gt;$B$4,"",$A$4+226)</f>
        <v>46249</v>
      </c>
      <c r="N22613" t="str">
        <f>IF(M22613="","",'Master Barang'!A7)</f>
        <v>PRL-006</v>
      </c>
      <c r="O22613" t="str">
        <f>IF(N22613="","",'Master Barang'!B7)</f>
        <v>sabut cuci stainless</v>
      </c>
      <c r="P22613">
        <f>IF(OR(M22613="",N22613=""),"",SUMIFS('Barang Keluar'!$E:$E,'Barang Keluar'!$A:$A,M22613,'Barang Keluar'!$C:$C,N22613))</f>
        <v>0</v>
      </c>
    </row>
    <row r="22614" spans="13:16">
      <c r="M22614" s="49">
        <f>IF($A$4+226&gt;$B$4,"",$A$4+226)</f>
        <v>46249</v>
      </c>
      <c r="N22614" t="str">
        <f>IF(M22614="","",'Master Barang'!A8)</f>
        <v>PRL-007</v>
      </c>
      <c r="O22614" t="str">
        <f>IF(N22614="","",'Master Barang'!B8)</f>
        <v>plastik kresek besar merah 50pc</v>
      </c>
      <c r="P22614">
        <f>IF(OR(M22614="",N22614=""),"",SUMIFS('Barang Keluar'!$E:$E,'Barang Keluar'!$A:$A,M22614,'Barang Keluar'!$C:$C,N22614))</f>
        <v>0</v>
      </c>
    </row>
    <row r="22615" spans="13:16">
      <c r="M22615" s="49">
        <f>IF($A$4+226&gt;$B$4,"",$A$4+226)</f>
        <v>46249</v>
      </c>
      <c r="N22615" t="str">
        <f>IF(M22615="","",'Master Barang'!A9)</f>
        <v>PRL-008</v>
      </c>
      <c r="O22615" t="str">
        <f>IF(N22615="","",'Master Barang'!B9)</f>
        <v>lap besar</v>
      </c>
      <c r="P22615">
        <f>IF(OR(M22615="",N22615=""),"",SUMIFS('Barang Keluar'!$E:$E,'Barang Keluar'!$A:$A,M22615,'Barang Keluar'!$C:$C,N22615))</f>
        <v>0</v>
      </c>
    </row>
    <row r="22616" spans="13:16">
      <c r="M22616" s="49">
        <f>IF($A$4+226&gt;$B$4,"",$A$4+226)</f>
        <v>46249</v>
      </c>
      <c r="N22616" t="str">
        <f>IF(M22616="","",'Master Barang'!A10)</f>
        <v>PRL-009</v>
      </c>
      <c r="O22616" t="str">
        <f>IF(N22616="","",'Master Barang'!B10)</f>
        <v>lap microfiber</v>
      </c>
      <c r="P22616">
        <f>IF(OR(M22616="",N22616=""),"",SUMIFS('Barang Keluar'!$E:$E,'Barang Keluar'!$A:$A,M22616,'Barang Keluar'!$C:$C,N22616))</f>
        <v>0</v>
      </c>
    </row>
    <row r="22617" spans="13:16">
      <c r="M22617" s="49">
        <f>IF($A$4+226&gt;$B$4,"",$A$4+226)</f>
        <v>46249</v>
      </c>
      <c r="N22617" t="str">
        <f>IF(M22617="","",'Master Barang'!A11)</f>
        <v>PRL-010</v>
      </c>
      <c r="O22617" t="str">
        <f>IF(N22617="","",'Master Barang'!B11)</f>
        <v>lap kecil</v>
      </c>
      <c r="P22617">
        <f>IF(OR(M22617="",N22617=""),"",SUMIFS('Barang Keluar'!$E:$E,'Barang Keluar'!$A:$A,M22617,'Barang Keluar'!$C:$C,N22617))</f>
        <v>0</v>
      </c>
    </row>
    <row r="22618" spans="13:16">
      <c r="M22618" s="49">
        <f>IF($A$4+226&gt;$B$4,"",$A$4+226)</f>
        <v>46249</v>
      </c>
      <c r="N22618" t="str">
        <f>IF(M22618="","",'Master Barang'!A12)</f>
        <v>PRL-011</v>
      </c>
      <c r="O22618" t="str">
        <f>IF(N22618="","",'Master Barang'!B12)</f>
        <v>kanebo kecil</v>
      </c>
      <c r="P22618">
        <f>IF(OR(M22618="",N22618=""),"",SUMIFS('Barang Keluar'!$E:$E,'Barang Keluar'!$A:$A,M22618,'Barang Keluar'!$C:$C,N22618))</f>
        <v>0</v>
      </c>
    </row>
    <row r="22619" spans="13:16">
      <c r="M22619" s="49">
        <f>IF($A$4+226&gt;$B$4,"",$A$4+226)</f>
        <v>46249</v>
      </c>
      <c r="N22619" t="str">
        <f>IF(M22619="","",'Master Barang'!A13)</f>
        <v>PRL-012</v>
      </c>
      <c r="O22619" t="str">
        <f>IF(N22619="","",'Master Barang'!B13)</f>
        <v>plastik 1/4kg joyoboyo 100 lembar</v>
      </c>
      <c r="P22619">
        <f>IF(OR(M22619="",N22619=""),"",SUMIFS('Barang Keluar'!$E:$E,'Barang Keluar'!$A:$A,M22619,'Barang Keluar'!$C:$C,N22619))</f>
        <v>0</v>
      </c>
    </row>
    <row r="22620" spans="13:16">
      <c r="M22620" s="49">
        <f>IF($A$4+226&gt;$B$4,"",$A$4+226)</f>
        <v>46249</v>
      </c>
      <c r="N22620" t="str">
        <f>IF(M22620="","",'Master Barang'!A14)</f>
        <v>PRL-013</v>
      </c>
      <c r="O22620" t="str">
        <f>IF(N22620="","",'Master Barang'!B14)</f>
        <v>sarung tangan plastik kaka 100 pcs</v>
      </c>
      <c r="P22620">
        <f>IF(OR(M22620="",N22620=""),"",SUMIFS('Barang Keluar'!$E:$E,'Barang Keluar'!$A:$A,M22620,'Barang Keluar'!$C:$C,N22620))</f>
        <v>0</v>
      </c>
    </row>
    <row r="22621" spans="13:16">
      <c r="M22621" s="49">
        <f>IF($A$4+226&gt;$B$4,"",$A$4+226)</f>
        <v>46249</v>
      </c>
      <c r="N22621" t="str">
        <f>IF(M22621="","",'Master Barang'!A15)</f>
        <v>PRL-014</v>
      </c>
      <c r="O22621" t="str">
        <f>IF(N22621="","",'Master Barang'!B15)</f>
        <v>optima trashbag 80x100</v>
      </c>
      <c r="P22621">
        <f>IF(OR(M22621="",N22621=""),"",SUMIFS('Barang Keluar'!$E:$E,'Barang Keluar'!$A:$A,M22621,'Barang Keluar'!$C:$C,N22621))</f>
        <v>0</v>
      </c>
    </row>
    <row r="22622" spans="13:16">
      <c r="M22622" s="49">
        <f>IF($A$4+226&gt;$B$4,"",$A$4+226)</f>
        <v>46249</v>
      </c>
      <c r="N22622" t="str">
        <f>IF(M22622="","",'Master Barang'!A16)</f>
        <v>PRL-015</v>
      </c>
      <c r="O22622" t="str">
        <f>IF(N22622="","",'Master Barang'!B16)</f>
        <v>optima trashbag 60x100</v>
      </c>
      <c r="P22622">
        <f>IF(OR(M22622="",N22622=""),"",SUMIFS('Barang Keluar'!$E:$E,'Barang Keluar'!$A:$A,M22622,'Barang Keluar'!$C:$C,N22622))</f>
        <v>0</v>
      </c>
    </row>
    <row r="22623" spans="13:16">
      <c r="M22623" s="49">
        <f>IF($A$4+226&gt;$B$4,"",$A$4+226)</f>
        <v>46249</v>
      </c>
      <c r="N22623" t="str">
        <f>IF(M22623="","",'Master Barang'!A17)</f>
        <v>PRL-016</v>
      </c>
      <c r="O22623" t="str">
        <f>IF(N22623="","",'Master Barang'!B17)</f>
        <v>rajawali trashbag 30x40</v>
      </c>
      <c r="P22623">
        <f>IF(OR(M22623="",N22623=""),"",SUMIFS('Barang Keluar'!$E:$E,'Barang Keluar'!$A:$A,M22623,'Barang Keluar'!$C:$C,N22623))</f>
        <v>0</v>
      </c>
    </row>
    <row r="22624" spans="13:16">
      <c r="M22624" s="49">
        <f>IF($A$4+226&gt;$B$4,"",$A$4+226)</f>
        <v>46249</v>
      </c>
      <c r="N22624" t="str">
        <f>IF(M22624="","",'Master Barang'!A18)</f>
        <v>PRL-017</v>
      </c>
      <c r="O22624" t="str">
        <f>IF(N22624="","",'Master Barang'!B18)</f>
        <v>onemed masker biru 3 play 50 pcs</v>
      </c>
      <c r="P22624">
        <f>IF(OR(M22624="",N22624=""),"",SUMIFS('Barang Keluar'!$E:$E,'Barang Keluar'!$A:$A,M22624,'Barang Keluar'!$C:$C,N22624))</f>
        <v>0</v>
      </c>
    </row>
    <row r="22625" spans="13:16">
      <c r="M22625" s="49">
        <f>IF($A$4+226&gt;$B$4,"",$A$4+226)</f>
        <v>46249</v>
      </c>
      <c r="N22625" t="str">
        <f>IF(M22625="","",'Master Barang'!A19)</f>
        <v>PRL-018</v>
      </c>
      <c r="O22625" t="str">
        <f>IF(N22625="","",'Master Barang'!B19)</f>
        <v>onemed masker biru 3 play hijab 50 pcs</v>
      </c>
      <c r="P22625">
        <f>IF(OR(M22625="",N22625=""),"",SUMIFS('Barang Keluar'!$E:$E,'Barang Keluar'!$A:$A,M22625,'Barang Keluar'!$C:$C,N22625))</f>
        <v>0</v>
      </c>
    </row>
    <row r="22626" spans="13:16">
      <c r="M22626" s="49">
        <f>IF($A$4+226&gt;$B$4,"",$A$4+226)</f>
        <v>46249</v>
      </c>
      <c r="N22626" t="str">
        <f>IF(M22626="","",'Master Barang'!A20)</f>
        <v>PRL-019</v>
      </c>
      <c r="O22626" t="str">
        <f>IF(N22626="","",'Master Barang'!B20)</f>
        <v>neo health masker biru 3 play 50 pcs</v>
      </c>
      <c r="P22626">
        <f>IF(OR(M22626="",N22626=""),"",SUMIFS('Barang Keluar'!$E:$E,'Barang Keluar'!$A:$A,M22626,'Barang Keluar'!$C:$C,N22626))</f>
        <v>0</v>
      </c>
    </row>
    <row r="22627" spans="13:16">
      <c r="M22627" s="49">
        <f>IF($A$4+226&gt;$B$4,"",$A$4+226)</f>
        <v>46249</v>
      </c>
      <c r="N22627" t="str">
        <f>IF(M22627="","",'Master Barang'!A21)</f>
        <v>PRL-020</v>
      </c>
      <c r="O22627" t="str">
        <f>IF(N22627="","",'Master Barang'!B21)</f>
        <v>baymed masker hijau 3 play hijau 50 pcs</v>
      </c>
      <c r="P22627">
        <f>IF(OR(M22627="",N22627=""),"",SUMIFS('Barang Keluar'!$E:$E,'Barang Keluar'!$A:$A,M22627,'Barang Keluar'!$C:$C,N22627))</f>
        <v>0</v>
      </c>
    </row>
    <row r="22628" spans="13:16">
      <c r="M22628" s="49">
        <f>IF($A$4+226&gt;$B$4,"",$A$4+226)</f>
        <v>46249</v>
      </c>
      <c r="N22628" t="str">
        <f>IF(M22628="","",'Master Barang'!A22)</f>
        <v>PRL-021</v>
      </c>
      <c r="O22628" t="str">
        <f>IF(N22628="","",'Master Barang'!B22)</f>
        <v>altamed nurse cap penutup kepala 100 pcs</v>
      </c>
      <c r="P22628">
        <f>IF(OR(M22628="",N22628=""),"",SUMIFS('Barang Keluar'!$E:$E,'Barang Keluar'!$A:$A,M22628,'Barang Keluar'!$C:$C,N22628))</f>
        <v>0</v>
      </c>
    </row>
    <row r="22629" spans="13:16">
      <c r="M22629" s="49">
        <f>IF($A$4+226&gt;$B$4,"",$A$4+226)</f>
        <v>46249</v>
      </c>
      <c r="N22629" t="str">
        <f>IF(M22629="","",'Master Barang'!A23)</f>
        <v>PRL-022</v>
      </c>
      <c r="O22629" t="str">
        <f>IF(N22629="","",'Master Barang'!B23)</f>
        <v>sabun cuci tangan</v>
      </c>
      <c r="P22629">
        <f>IF(OR(M22629="",N22629=""),"",SUMIFS('Barang Keluar'!$E:$E,'Barang Keluar'!$A:$A,M22629,'Barang Keluar'!$C:$C,N22629))</f>
        <v>0</v>
      </c>
    </row>
    <row r="22630" spans="13:16">
      <c r="M22630" s="49">
        <f>IF($A$4+226&gt;$B$4,"",$A$4+226)</f>
        <v>46249</v>
      </c>
      <c r="N22630" t="str">
        <f>IF(M22630="","",'Master Barang'!A24)</f>
        <v>PRL-023</v>
      </c>
      <c r="O22630" t="str">
        <f>IF(N22630="","",'Master Barang'!B24)</f>
        <v>gayung kecil</v>
      </c>
      <c r="P22630">
        <f>IF(OR(M22630="",N22630=""),"",SUMIFS('Barang Keluar'!$E:$E,'Barang Keluar'!$A:$A,M22630,'Barang Keluar'!$C:$C,N22630))</f>
        <v>0</v>
      </c>
    </row>
    <row r="22631" spans="13:16">
      <c r="M22631" s="49">
        <f>IF($A$4+226&gt;$B$4,"",$A$4+226)</f>
        <v>46249</v>
      </c>
      <c r="N22631" t="str">
        <f>IF(M22631="","",'Master Barang'!A25)</f>
        <v>PRL-024</v>
      </c>
      <c r="O22631" t="str">
        <f>IF(N22631="","",'Master Barang'!B25)</f>
        <v>cikrak kecil</v>
      </c>
      <c r="P22631">
        <f>IF(OR(M22631="",N22631=""),"",SUMIFS('Barang Keluar'!$E:$E,'Barang Keluar'!$A:$A,M22631,'Barang Keluar'!$C:$C,N22631))</f>
        <v>0</v>
      </c>
    </row>
    <row r="22632" spans="13:16">
      <c r="M22632" s="49">
        <f>IF($A$4+226&gt;$B$4,"",$A$4+226)</f>
        <v>46249</v>
      </c>
      <c r="N22632" t="str">
        <f>IF(M22632="","",'Master Barang'!A26)</f>
        <v>PRL-025</v>
      </c>
      <c r="O22632" t="str">
        <f>IF(N22632="","",'Master Barang'!B26)</f>
        <v>petromax plastik kecil 12x24 100 lembar</v>
      </c>
      <c r="P22632">
        <f>IF(OR(M22632="",N22632=""),"",SUMIFS('Barang Keluar'!$E:$E,'Barang Keluar'!$A:$A,M22632,'Barang Keluar'!$C:$C,N22632))</f>
        <v>0</v>
      </c>
    </row>
    <row r="22633" spans="13:16">
      <c r="M22633" s="49">
        <f>IF($A$4+226&gt;$B$4,"",$A$4+226)</f>
        <v>46249</v>
      </c>
      <c r="N22633" t="str">
        <f>IF(M22633="","",'Master Barang'!A27)</f>
        <v>PRL-026</v>
      </c>
      <c r="O22633" t="str">
        <f>IF(N22633="","",'Master Barang'!B27)</f>
        <v>lancar kresek kecil bening </v>
      </c>
      <c r="P22633">
        <f>IF(OR(M22633="",N22633=""),"",SUMIFS('Barang Keluar'!$E:$E,'Barang Keluar'!$A:$A,M22633,'Barang Keluar'!$C:$C,N22633))</f>
        <v>0</v>
      </c>
    </row>
    <row r="22634" spans="13:16">
      <c r="M22634" s="49">
        <f>IF($A$4+226&gt;$B$4,"",$A$4+226)</f>
        <v>46249</v>
      </c>
      <c r="N22634" t="str">
        <f>IF(M22634="","",'Master Barang'!A28)</f>
        <v>PRL-027</v>
      </c>
      <c r="O22634" t="str">
        <f>IF(N22634="","",'Master Barang'!B28)</f>
        <v>kresek klin warna warni kecil</v>
      </c>
      <c r="P22634">
        <f>IF(OR(M22634="",N22634=""),"",SUMIFS('Barang Keluar'!$E:$E,'Barang Keluar'!$A:$A,M22634,'Barang Keluar'!$C:$C,N22634))</f>
        <v>0</v>
      </c>
    </row>
    <row r="22635" spans="13:16">
      <c r="M22635" s="49">
        <f>IF($A$4+226&gt;$B$4,"",$A$4+226)</f>
        <v>46249</v>
      </c>
      <c r="N22635" t="str">
        <f>IF(M22635="","",'Master Barang'!A29)</f>
        <v>PRL-028</v>
      </c>
      <c r="O22635" t="str">
        <f>IF(N22635="","",'Master Barang'!B29)</f>
        <v>ctik plastik 7x10 100 pcs</v>
      </c>
      <c r="P22635">
        <f>IF(OR(M22635="",N22635=""),"",SUMIFS('Barang Keluar'!$E:$E,'Barang Keluar'!$A:$A,M22635,'Barang Keluar'!$C:$C,N22635))</f>
        <v>0</v>
      </c>
    </row>
    <row r="22636" spans="13:16">
      <c r="M22636" s="49">
        <f>IF($A$4+226&gt;$B$4,"",$A$4+226)</f>
        <v>46249</v>
      </c>
      <c r="N22636" t="str">
        <f>IF(M22636="","",'Master Barang'!A30)</f>
        <v>PRL-029</v>
      </c>
      <c r="O22636" t="str">
        <f>IF(N22636="","",'Master Barang'!B30)</f>
        <v>ctik plastik 6x10 100 pcs</v>
      </c>
      <c r="P22636">
        <f>IF(OR(M22636="",N22636=""),"",SUMIFS('Barang Keluar'!$E:$E,'Barang Keluar'!$A:$A,M22636,'Barang Keluar'!$C:$C,N22636))</f>
        <v>0</v>
      </c>
    </row>
    <row r="22637" spans="13:16">
      <c r="M22637" s="49">
        <f>IF($A$4+226&gt;$B$4,"",$A$4+226)</f>
        <v>46249</v>
      </c>
      <c r="N22637" t="str">
        <f>IF(M22637="","",'Master Barang'!A31)</f>
        <v>PRL-030</v>
      </c>
      <c r="O22637" t="str">
        <f>IF(N22637="","",'Master Barang'!B31)</f>
        <v>klip plastik 25x16 100 pcs</v>
      </c>
      <c r="P22637">
        <f>IF(OR(M22637="",N22637=""),"",SUMIFS('Barang Keluar'!$E:$E,'Barang Keluar'!$A:$A,M22637,'Barang Keluar'!$C:$C,N22637))</f>
        <v>0</v>
      </c>
    </row>
    <row r="22638" spans="13:16">
      <c r="M22638" s="49">
        <f>IF($A$4+226&gt;$B$4,"",$A$4+226)</f>
        <v>46249</v>
      </c>
      <c r="N22638" t="str">
        <f>IF(M22638="","",'Master Barang'!A32)</f>
        <v>PRL-031</v>
      </c>
      <c r="O22638" t="str">
        <f>IF(N22638="","",'Master Barang'!B32)</f>
        <v>tempat saus 20 ml</v>
      </c>
      <c r="P22638">
        <f>IF(OR(M22638="",N22638=""),"",SUMIFS('Barang Keluar'!$E:$E,'Barang Keluar'!$A:$A,M22638,'Barang Keluar'!$C:$C,N22638))</f>
        <v>0</v>
      </c>
    </row>
    <row r="22639" spans="13:16">
      <c r="M22639" s="49">
        <f>IF($A$4+226&gt;$B$4,"",$A$4+226)</f>
        <v>46249</v>
      </c>
      <c r="N22639" t="str">
        <f>IF(M22639="","",'Master Barang'!A33)</f>
        <v>PRL-032</v>
      </c>
      <c r="O22639" t="str">
        <f>IF(N22639="","",'Master Barang'!B33)</f>
        <v>plastik packaging ag box uk sedang</v>
      </c>
      <c r="P22639">
        <f>IF(OR(M22639="",N22639=""),"",SUMIFS('Barang Keluar'!$E:$E,'Barang Keluar'!$A:$A,M22639,'Barang Keluar'!$C:$C,N22639))</f>
        <v>0</v>
      </c>
    </row>
    <row r="22640" spans="13:16">
      <c r="M22640" s="49">
        <f>IF($A$4+226&gt;$B$4,"",$A$4+226)</f>
        <v>46249</v>
      </c>
      <c r="N22640" t="str">
        <f>IF(M22640="","",'Master Barang'!A34)</f>
        <v>PRL-033</v>
      </c>
      <c r="O22640">
        <f>IF(N22640="","",'Master Barang'!B34)</f>
        <v>0</v>
      </c>
      <c r="P22640">
        <f>IF(OR(M22640="",N22640=""),"",SUMIFS('Barang Keluar'!$E:$E,'Barang Keluar'!$A:$A,M22640,'Barang Keluar'!$C:$C,N22640))</f>
        <v>0</v>
      </c>
    </row>
    <row r="22641" spans="13:16">
      <c r="M22641" s="49">
        <f>IF($A$4+226&gt;$B$4,"",$A$4+226)</f>
        <v>46249</v>
      </c>
      <c r="N22641">
        <f>IF(M22641="","",'Master Barang'!A35)</f>
        <v>0</v>
      </c>
      <c r="O22641">
        <f>IF(N22641="","",'Master Barang'!B35)</f>
        <v>0</v>
      </c>
      <c r="P22641">
        <f>IF(OR(M22641="",N22641=""),"",SUMIFS('Barang Keluar'!$E:$E,'Barang Keluar'!$A:$A,M22641,'Barang Keluar'!$C:$C,N22641))</f>
        <v>0</v>
      </c>
    </row>
    <row r="22642" spans="13:16">
      <c r="M22642" s="49">
        <f>IF($A$4+226&gt;$B$4,"",$A$4+226)</f>
        <v>46249</v>
      </c>
      <c r="N22642">
        <f>IF(M22642="","",'Master Barang'!A36)</f>
        <v>0</v>
      </c>
      <c r="O22642">
        <f>IF(N22642="","",'Master Barang'!B36)</f>
        <v>0</v>
      </c>
      <c r="P22642">
        <f>IF(OR(M22642="",N22642=""),"",SUMIFS('Barang Keluar'!$E:$E,'Barang Keluar'!$A:$A,M22642,'Barang Keluar'!$C:$C,N22642))</f>
        <v>0</v>
      </c>
    </row>
    <row r="22643" spans="13:16">
      <c r="M22643" s="49">
        <f>IF($A$4+226&gt;$B$4,"",$A$4+226)</f>
        <v>46249</v>
      </c>
      <c r="N22643">
        <f>IF(M22643="","",'Master Barang'!A37)</f>
        <v>0</v>
      </c>
      <c r="O22643">
        <f>IF(N22643="","",'Master Barang'!B37)</f>
        <v>0</v>
      </c>
      <c r="P22643">
        <f>IF(OR(M22643="",N22643=""),"",SUMIFS('Barang Keluar'!$E:$E,'Barang Keluar'!$A:$A,M22643,'Barang Keluar'!$C:$C,N22643))</f>
        <v>0</v>
      </c>
    </row>
    <row r="22644" spans="13:16">
      <c r="M22644" s="49">
        <f>IF($A$4+226&gt;$B$4,"",$A$4+226)</f>
        <v>46249</v>
      </c>
      <c r="N22644">
        <f>IF(M22644="","",'Master Barang'!A38)</f>
        <v>0</v>
      </c>
      <c r="O22644">
        <f>IF(N22644="","",'Master Barang'!B38)</f>
        <v>0</v>
      </c>
      <c r="P22644">
        <f>IF(OR(M22644="",N22644=""),"",SUMIFS('Barang Keluar'!$E:$E,'Barang Keluar'!$A:$A,M22644,'Barang Keluar'!$C:$C,N22644))</f>
        <v>0</v>
      </c>
    </row>
    <row r="22645" spans="13:16">
      <c r="M22645" s="49">
        <f>IF($A$4+226&gt;$B$4,"",$A$4+226)</f>
        <v>46249</v>
      </c>
      <c r="N22645">
        <f>IF(M22645="","",'Master Barang'!A39)</f>
        <v>0</v>
      </c>
      <c r="O22645">
        <f>IF(N22645="","",'Master Barang'!B39)</f>
        <v>0</v>
      </c>
      <c r="P22645">
        <f>IF(OR(M22645="",N22645=""),"",SUMIFS('Barang Keluar'!$E:$E,'Barang Keluar'!$A:$A,M22645,'Barang Keluar'!$C:$C,N22645))</f>
        <v>0</v>
      </c>
    </row>
    <row r="22646" spans="13:16">
      <c r="M22646" s="49">
        <f>IF($A$4+226&gt;$B$4,"",$A$4+226)</f>
        <v>46249</v>
      </c>
      <c r="N22646">
        <f>IF(M22646="","",'Master Barang'!A40)</f>
        <v>0</v>
      </c>
      <c r="O22646">
        <f>IF(N22646="","",'Master Barang'!B40)</f>
        <v>0</v>
      </c>
      <c r="P22646">
        <f>IF(OR(M22646="",N22646=""),"",SUMIFS('Barang Keluar'!$E:$E,'Barang Keluar'!$A:$A,M22646,'Barang Keluar'!$C:$C,N22646))</f>
        <v>0</v>
      </c>
    </row>
    <row r="22647" spans="13:16">
      <c r="M22647" s="49">
        <f>IF($A$4+226&gt;$B$4,"",$A$4+226)</f>
        <v>46249</v>
      </c>
      <c r="N22647">
        <f>IF(M22647="","",'Master Barang'!A41)</f>
        <v>0</v>
      </c>
      <c r="O22647">
        <f>IF(N22647="","",'Master Barang'!B41)</f>
        <v>0</v>
      </c>
      <c r="P22647">
        <f>IF(OR(M22647="",N22647=""),"",SUMIFS('Barang Keluar'!$E:$E,'Barang Keluar'!$A:$A,M22647,'Barang Keluar'!$C:$C,N22647))</f>
        <v>0</v>
      </c>
    </row>
    <row r="22648" spans="13:16">
      <c r="M22648" s="49">
        <f>IF($A$4+226&gt;$B$4,"",$A$4+226)</f>
        <v>46249</v>
      </c>
      <c r="N22648">
        <f>IF(M22648="","",'Master Barang'!A42)</f>
        <v>0</v>
      </c>
      <c r="O22648">
        <f>IF(N22648="","",'Master Barang'!B42)</f>
        <v>0</v>
      </c>
      <c r="P22648">
        <f>IF(OR(M22648="",N22648=""),"",SUMIFS('Barang Keluar'!$E:$E,'Barang Keluar'!$A:$A,M22648,'Barang Keluar'!$C:$C,N22648))</f>
        <v>0</v>
      </c>
    </row>
    <row r="22649" spans="13:16">
      <c r="M22649" s="49">
        <f>IF($A$4+226&gt;$B$4,"",$A$4+226)</f>
        <v>46249</v>
      </c>
      <c r="N22649">
        <f>IF(M22649="","",'Master Barang'!A43)</f>
        <v>0</v>
      </c>
      <c r="O22649">
        <f>IF(N22649="","",'Master Barang'!B43)</f>
        <v>0</v>
      </c>
      <c r="P22649">
        <f>IF(OR(M22649="",N22649=""),"",SUMIFS('Barang Keluar'!$E:$E,'Barang Keluar'!$A:$A,M22649,'Barang Keluar'!$C:$C,N22649))</f>
        <v>0</v>
      </c>
    </row>
    <row r="22650" spans="13:16">
      <c r="M22650" s="49">
        <f>IF($A$4+226&gt;$B$4,"",$A$4+226)</f>
        <v>46249</v>
      </c>
      <c r="N22650">
        <f>IF(M22650="","",'Master Barang'!A44)</f>
        <v>0</v>
      </c>
      <c r="O22650">
        <f>IF(N22650="","",'Master Barang'!B44)</f>
        <v>0</v>
      </c>
      <c r="P22650">
        <f>IF(OR(M22650="",N22650=""),"",SUMIFS('Barang Keluar'!$E:$E,'Barang Keluar'!$A:$A,M22650,'Barang Keluar'!$C:$C,N22650))</f>
        <v>0</v>
      </c>
    </row>
    <row r="22651" spans="13:16">
      <c r="M22651" s="49">
        <f>IF($A$4+226&gt;$B$4,"",$A$4+226)</f>
        <v>46249</v>
      </c>
      <c r="N22651">
        <f>IF(M22651="","",'Master Barang'!A45)</f>
        <v>0</v>
      </c>
      <c r="O22651">
        <f>IF(N22651="","",'Master Barang'!B45)</f>
        <v>0</v>
      </c>
      <c r="P22651">
        <f>IF(OR(M22651="",N22651=""),"",SUMIFS('Barang Keluar'!$E:$E,'Barang Keluar'!$A:$A,M22651,'Barang Keluar'!$C:$C,N22651))</f>
        <v>0</v>
      </c>
    </row>
    <row r="22652" spans="13:16">
      <c r="M22652" s="49">
        <f>IF($A$4+226&gt;$B$4,"",$A$4+226)</f>
        <v>46249</v>
      </c>
      <c r="N22652">
        <f>IF(M22652="","",'Master Barang'!A46)</f>
        <v>0</v>
      </c>
      <c r="O22652">
        <f>IF(N22652="","",'Master Barang'!B46)</f>
        <v>0</v>
      </c>
      <c r="P22652">
        <f>IF(OR(M22652="",N22652=""),"",SUMIFS('Barang Keluar'!$E:$E,'Barang Keluar'!$A:$A,M22652,'Barang Keluar'!$C:$C,N22652))</f>
        <v>0</v>
      </c>
    </row>
    <row r="22653" spans="13:16">
      <c r="M22653" s="49">
        <f>IF($A$4+226&gt;$B$4,"",$A$4+226)</f>
        <v>46249</v>
      </c>
      <c r="N22653">
        <f>IF(M22653="","",'Master Barang'!A47)</f>
        <v>0</v>
      </c>
      <c r="O22653">
        <f>IF(N22653="","",'Master Barang'!B47)</f>
        <v>0</v>
      </c>
      <c r="P22653">
        <f>IF(OR(M22653="",N22653=""),"",SUMIFS('Barang Keluar'!$E:$E,'Barang Keluar'!$A:$A,M22653,'Barang Keluar'!$C:$C,N22653))</f>
        <v>0</v>
      </c>
    </row>
    <row r="22654" spans="13:16">
      <c r="M22654" s="49">
        <f>IF($A$4+226&gt;$B$4,"",$A$4+226)</f>
        <v>46249</v>
      </c>
      <c r="N22654">
        <f>IF(M22654="","",'Master Barang'!A48)</f>
        <v>0</v>
      </c>
      <c r="O22654">
        <f>IF(N22654="","",'Master Barang'!B48)</f>
        <v>0</v>
      </c>
      <c r="P22654">
        <f>IF(OR(M22654="",N22654=""),"",SUMIFS('Barang Keluar'!$E:$E,'Barang Keluar'!$A:$A,M22654,'Barang Keluar'!$C:$C,N22654))</f>
        <v>0</v>
      </c>
    </row>
    <row r="22655" spans="13:16">
      <c r="M22655" s="49">
        <f>IF($A$4+226&gt;$B$4,"",$A$4+226)</f>
        <v>46249</v>
      </c>
      <c r="N22655">
        <f>IF(M22655="","",'Master Barang'!A49)</f>
        <v>0</v>
      </c>
      <c r="O22655">
        <f>IF(N22655="","",'Master Barang'!B49)</f>
        <v>0</v>
      </c>
      <c r="P22655">
        <f>IF(OR(M22655="",N22655=""),"",SUMIFS('Barang Keluar'!$E:$E,'Barang Keluar'!$A:$A,M22655,'Barang Keluar'!$C:$C,N22655))</f>
        <v>0</v>
      </c>
    </row>
    <row r="22656" spans="13:16">
      <c r="M22656" s="49">
        <f>IF($A$4+226&gt;$B$4,"",$A$4+226)</f>
        <v>46249</v>
      </c>
      <c r="N22656">
        <f>IF(M22656="","",'Master Barang'!A50)</f>
        <v>0</v>
      </c>
      <c r="O22656">
        <f>IF(N22656="","",'Master Barang'!B50)</f>
        <v>0</v>
      </c>
      <c r="P22656">
        <f>IF(OR(M22656="",N22656=""),"",SUMIFS('Barang Keluar'!$E:$E,'Barang Keluar'!$A:$A,M22656,'Barang Keluar'!$C:$C,N22656))</f>
        <v>0</v>
      </c>
    </row>
    <row r="22657" spans="13:16">
      <c r="M22657" s="49">
        <f>IF($A$4+226&gt;$B$4,"",$A$4+226)</f>
        <v>46249</v>
      </c>
      <c r="N22657">
        <f>IF(M22657="","",'Master Barang'!A51)</f>
        <v>0</v>
      </c>
      <c r="O22657">
        <f>IF(N22657="","",'Master Barang'!B51)</f>
        <v>0</v>
      </c>
      <c r="P22657">
        <f>IF(OR(M22657="",N22657=""),"",SUMIFS('Barang Keluar'!$E:$E,'Barang Keluar'!$A:$A,M22657,'Barang Keluar'!$C:$C,N22657))</f>
        <v>0</v>
      </c>
    </row>
    <row r="22658" spans="13:16">
      <c r="M22658" s="49">
        <f>IF($A$4+226&gt;$B$4,"",$A$4+226)</f>
        <v>46249</v>
      </c>
      <c r="N22658">
        <f>IF(M22658="","",'Master Barang'!A52)</f>
        <v>0</v>
      </c>
      <c r="O22658">
        <f>IF(N22658="","",'Master Barang'!B52)</f>
        <v>0</v>
      </c>
      <c r="P22658">
        <f>IF(OR(M22658="",N22658=""),"",SUMIFS('Barang Keluar'!$E:$E,'Barang Keluar'!$A:$A,M22658,'Barang Keluar'!$C:$C,N22658))</f>
        <v>0</v>
      </c>
    </row>
    <row r="22659" spans="13:16">
      <c r="M22659" s="49">
        <f>IF($A$4+226&gt;$B$4,"",$A$4+226)</f>
        <v>46249</v>
      </c>
      <c r="N22659">
        <f>IF(M22659="","",'Master Barang'!A53)</f>
        <v>0</v>
      </c>
      <c r="O22659">
        <f>IF(N22659="","",'Master Barang'!B53)</f>
        <v>0</v>
      </c>
      <c r="P22659">
        <f>IF(OR(M22659="",N22659=""),"",SUMIFS('Barang Keluar'!$E:$E,'Barang Keluar'!$A:$A,M22659,'Barang Keluar'!$C:$C,N22659))</f>
        <v>0</v>
      </c>
    </row>
    <row r="22660" spans="13:16">
      <c r="M22660" s="49">
        <f>IF($A$4+226&gt;$B$4,"",$A$4+226)</f>
        <v>46249</v>
      </c>
      <c r="N22660">
        <f>IF(M22660="","",'Master Barang'!A54)</f>
        <v>0</v>
      </c>
      <c r="O22660">
        <f>IF(N22660="","",'Master Barang'!B54)</f>
        <v>0</v>
      </c>
      <c r="P22660">
        <f>IF(OR(M22660="",N22660=""),"",SUMIFS('Barang Keluar'!$E:$E,'Barang Keluar'!$A:$A,M22660,'Barang Keluar'!$C:$C,N22660))</f>
        <v>0</v>
      </c>
    </row>
    <row r="22661" spans="13:16">
      <c r="M22661" s="49">
        <f>IF($A$4+226&gt;$B$4,"",$A$4+226)</f>
        <v>46249</v>
      </c>
      <c r="N22661">
        <f>IF(M22661="","",'Master Barang'!A55)</f>
        <v>0</v>
      </c>
      <c r="O22661">
        <f>IF(N22661="","",'Master Barang'!B55)</f>
        <v>0</v>
      </c>
      <c r="P22661">
        <f>IF(OR(M22661="",N22661=""),"",SUMIFS('Barang Keluar'!$E:$E,'Barang Keluar'!$A:$A,M22661,'Barang Keluar'!$C:$C,N22661))</f>
        <v>0</v>
      </c>
    </row>
    <row r="22662" spans="13:16">
      <c r="M22662" s="49">
        <f>IF($A$4+226&gt;$B$4,"",$A$4+226)</f>
        <v>46249</v>
      </c>
      <c r="N22662">
        <f>IF(M22662="","",'Master Barang'!A56)</f>
        <v>0</v>
      </c>
      <c r="O22662">
        <f>IF(N22662="","",'Master Barang'!B56)</f>
        <v>0</v>
      </c>
      <c r="P22662">
        <f>IF(OR(M22662="",N22662=""),"",SUMIFS('Barang Keluar'!$E:$E,'Barang Keluar'!$A:$A,M22662,'Barang Keluar'!$C:$C,N22662))</f>
        <v>0</v>
      </c>
    </row>
    <row r="22663" spans="13:16">
      <c r="M22663" s="49">
        <f>IF($A$4+226&gt;$B$4,"",$A$4+226)</f>
        <v>46249</v>
      </c>
      <c r="N22663">
        <f>IF(M22663="","",'Master Barang'!A57)</f>
        <v>0</v>
      </c>
      <c r="O22663">
        <f>IF(N22663="","",'Master Barang'!B57)</f>
        <v>0</v>
      </c>
      <c r="P22663">
        <f>IF(OR(M22663="",N22663=""),"",SUMIFS('Barang Keluar'!$E:$E,'Barang Keluar'!$A:$A,M22663,'Barang Keluar'!$C:$C,N22663))</f>
        <v>0</v>
      </c>
    </row>
    <row r="22664" spans="13:16">
      <c r="M22664" s="49">
        <f>IF($A$4+226&gt;$B$4,"",$A$4+226)</f>
        <v>46249</v>
      </c>
      <c r="N22664">
        <f>IF(M22664="","",'Master Barang'!A58)</f>
        <v>0</v>
      </c>
      <c r="O22664">
        <f>IF(N22664="","",'Master Barang'!B58)</f>
        <v>0</v>
      </c>
      <c r="P22664">
        <f>IF(OR(M22664="",N22664=""),"",SUMIFS('Barang Keluar'!$E:$E,'Barang Keluar'!$A:$A,M22664,'Barang Keluar'!$C:$C,N22664))</f>
        <v>0</v>
      </c>
    </row>
    <row r="22665" spans="13:16">
      <c r="M22665" s="49">
        <f>IF($A$4+226&gt;$B$4,"",$A$4+226)</f>
        <v>46249</v>
      </c>
      <c r="N22665">
        <f>IF(M22665="","",'Master Barang'!A59)</f>
        <v>0</v>
      </c>
      <c r="O22665">
        <f>IF(N22665="","",'Master Barang'!B59)</f>
        <v>0</v>
      </c>
      <c r="P22665">
        <f>IF(OR(M22665="",N22665=""),"",SUMIFS('Barang Keluar'!$E:$E,'Barang Keluar'!$A:$A,M22665,'Barang Keluar'!$C:$C,N22665))</f>
        <v>0</v>
      </c>
    </row>
    <row r="22666" spans="13:16">
      <c r="M22666" s="49">
        <f>IF($A$4+226&gt;$B$4,"",$A$4+226)</f>
        <v>46249</v>
      </c>
      <c r="N22666">
        <f>IF(M22666="","",'Master Barang'!A60)</f>
        <v>0</v>
      </c>
      <c r="O22666">
        <f>IF(N22666="","",'Master Barang'!B60)</f>
        <v>0</v>
      </c>
      <c r="P22666">
        <f>IF(OR(M22666="",N22666=""),"",SUMIFS('Barang Keluar'!$E:$E,'Barang Keluar'!$A:$A,M22666,'Barang Keluar'!$C:$C,N22666))</f>
        <v>0</v>
      </c>
    </row>
    <row r="22667" spans="13:16">
      <c r="M22667" s="49">
        <f>IF($A$4+226&gt;$B$4,"",$A$4+226)</f>
        <v>46249</v>
      </c>
      <c r="N22667">
        <f>IF(M22667="","",'Master Barang'!A61)</f>
        <v>0</v>
      </c>
      <c r="O22667">
        <f>IF(N22667="","",'Master Barang'!B61)</f>
        <v>0</v>
      </c>
      <c r="P22667">
        <f>IF(OR(M22667="",N22667=""),"",SUMIFS('Barang Keluar'!$E:$E,'Barang Keluar'!$A:$A,M22667,'Barang Keluar'!$C:$C,N22667))</f>
        <v>0</v>
      </c>
    </row>
    <row r="22668" spans="13:16">
      <c r="M22668" s="49">
        <f>IF($A$4+226&gt;$B$4,"",$A$4+226)</f>
        <v>46249</v>
      </c>
      <c r="N22668">
        <f>IF(M22668="","",'Master Barang'!A62)</f>
        <v>0</v>
      </c>
      <c r="O22668">
        <f>IF(N22668="","",'Master Barang'!B62)</f>
        <v>0</v>
      </c>
      <c r="P22668">
        <f>IF(OR(M22668="",N22668=""),"",SUMIFS('Barang Keluar'!$E:$E,'Barang Keluar'!$A:$A,M22668,'Barang Keluar'!$C:$C,N22668))</f>
        <v>0</v>
      </c>
    </row>
    <row r="22669" spans="13:16">
      <c r="M22669" s="49">
        <f>IF($A$4+226&gt;$B$4,"",$A$4+226)</f>
        <v>46249</v>
      </c>
      <c r="N22669">
        <f>IF(M22669="","",'Master Barang'!A63)</f>
        <v>0</v>
      </c>
      <c r="O22669">
        <f>IF(N22669="","",'Master Barang'!B63)</f>
        <v>0</v>
      </c>
      <c r="P22669">
        <f>IF(OR(M22669="",N22669=""),"",SUMIFS('Barang Keluar'!$E:$E,'Barang Keluar'!$A:$A,M22669,'Barang Keluar'!$C:$C,N22669))</f>
        <v>0</v>
      </c>
    </row>
    <row r="22670" spans="13:16">
      <c r="M22670" s="49">
        <f>IF($A$4+226&gt;$B$4,"",$A$4+226)</f>
        <v>46249</v>
      </c>
      <c r="N22670">
        <f>IF(M22670="","",'Master Barang'!A64)</f>
        <v>0</v>
      </c>
      <c r="O22670">
        <f>IF(N22670="","",'Master Barang'!B64)</f>
        <v>0</v>
      </c>
      <c r="P22670">
        <f>IF(OR(M22670="",N22670=""),"",SUMIFS('Barang Keluar'!$E:$E,'Barang Keluar'!$A:$A,M22670,'Barang Keluar'!$C:$C,N22670))</f>
        <v>0</v>
      </c>
    </row>
    <row r="22671" spans="13:16">
      <c r="M22671" s="49">
        <f>IF($A$4+226&gt;$B$4,"",$A$4+226)</f>
        <v>46249</v>
      </c>
      <c r="N22671">
        <f>IF(M22671="","",'Master Barang'!A65)</f>
        <v>0</v>
      </c>
      <c r="O22671">
        <f>IF(N22671="","",'Master Barang'!B65)</f>
        <v>0</v>
      </c>
      <c r="P22671">
        <f>IF(OR(M22671="",N22671=""),"",SUMIFS('Barang Keluar'!$E:$E,'Barang Keluar'!$A:$A,M22671,'Barang Keluar'!$C:$C,N22671))</f>
        <v>0</v>
      </c>
    </row>
    <row r="22672" spans="13:16">
      <c r="M22672" s="49">
        <f>IF($A$4+226&gt;$B$4,"",$A$4+226)</f>
        <v>46249</v>
      </c>
      <c r="N22672">
        <f>IF(M22672="","",'Master Barang'!A66)</f>
        <v>0</v>
      </c>
      <c r="O22672">
        <f>IF(N22672="","",'Master Barang'!B66)</f>
        <v>0</v>
      </c>
      <c r="P22672">
        <f>IF(OR(M22672="",N22672=""),"",SUMIFS('Barang Keluar'!$E:$E,'Barang Keluar'!$A:$A,M22672,'Barang Keluar'!$C:$C,N22672))</f>
        <v>0</v>
      </c>
    </row>
    <row r="22673" spans="13:16">
      <c r="M22673" s="49">
        <f>IF($A$4+226&gt;$B$4,"",$A$4+226)</f>
        <v>46249</v>
      </c>
      <c r="N22673">
        <f>IF(M22673="","",'Master Barang'!A67)</f>
        <v>0</v>
      </c>
      <c r="O22673">
        <f>IF(N22673="","",'Master Barang'!B67)</f>
        <v>0</v>
      </c>
      <c r="P22673">
        <f>IF(OR(M22673="",N22673=""),"",SUMIFS('Barang Keluar'!$E:$E,'Barang Keluar'!$A:$A,M22673,'Barang Keluar'!$C:$C,N22673))</f>
        <v>0</v>
      </c>
    </row>
    <row r="22674" spans="13:16">
      <c r="M22674" s="49">
        <f>IF($A$4+226&gt;$B$4,"",$A$4+226)</f>
        <v>46249</v>
      </c>
      <c r="N22674">
        <f>IF(M22674="","",'Master Barang'!A68)</f>
        <v>0</v>
      </c>
      <c r="O22674">
        <f>IF(N22674="","",'Master Barang'!B68)</f>
        <v>0</v>
      </c>
      <c r="P22674">
        <f>IF(OR(M22674="",N22674=""),"",SUMIFS('Barang Keluar'!$E:$E,'Barang Keluar'!$A:$A,M22674,'Barang Keluar'!$C:$C,N22674))</f>
        <v>0</v>
      </c>
    </row>
    <row r="22675" spans="13:16">
      <c r="M22675" s="49">
        <f>IF($A$4+226&gt;$B$4,"",$A$4+226)</f>
        <v>46249</v>
      </c>
      <c r="N22675">
        <f>IF(M22675="","",'Master Barang'!A69)</f>
        <v>0</v>
      </c>
      <c r="O22675">
        <f>IF(N22675="","",'Master Barang'!B69)</f>
        <v>0</v>
      </c>
      <c r="P22675">
        <f>IF(OR(M22675="",N22675=""),"",SUMIFS('Barang Keluar'!$E:$E,'Barang Keluar'!$A:$A,M22675,'Barang Keluar'!$C:$C,N22675))</f>
        <v>0</v>
      </c>
    </row>
    <row r="22676" spans="13:16">
      <c r="M22676" s="49">
        <f>IF($A$4+226&gt;$B$4,"",$A$4+226)</f>
        <v>46249</v>
      </c>
      <c r="N22676">
        <f>IF(M22676="","",'Master Barang'!A70)</f>
        <v>0</v>
      </c>
      <c r="O22676">
        <f>IF(N22676="","",'Master Barang'!B70)</f>
        <v>0</v>
      </c>
      <c r="P22676">
        <f>IF(OR(M22676="",N22676=""),"",SUMIFS('Barang Keluar'!$E:$E,'Barang Keluar'!$A:$A,M22676,'Barang Keluar'!$C:$C,N22676))</f>
        <v>0</v>
      </c>
    </row>
    <row r="22677" spans="13:16">
      <c r="M22677" s="49">
        <f>IF($A$4+226&gt;$B$4,"",$A$4+226)</f>
        <v>46249</v>
      </c>
      <c r="N22677">
        <f>IF(M22677="","",'Master Barang'!A71)</f>
        <v>0</v>
      </c>
      <c r="O22677">
        <f>IF(N22677="","",'Master Barang'!B71)</f>
        <v>0</v>
      </c>
      <c r="P22677">
        <f>IF(OR(M22677="",N22677=""),"",SUMIFS('Barang Keluar'!$E:$E,'Barang Keluar'!$A:$A,M22677,'Barang Keluar'!$C:$C,N22677))</f>
        <v>0</v>
      </c>
    </row>
    <row r="22678" spans="13:16">
      <c r="M22678" s="49">
        <f>IF($A$4+226&gt;$B$4,"",$A$4+226)</f>
        <v>46249</v>
      </c>
      <c r="N22678">
        <f>IF(M22678="","",'Master Barang'!A72)</f>
        <v>0</v>
      </c>
      <c r="O22678">
        <f>IF(N22678="","",'Master Barang'!B72)</f>
        <v>0</v>
      </c>
      <c r="P22678">
        <f>IF(OR(M22678="",N22678=""),"",SUMIFS('Barang Keluar'!$E:$E,'Barang Keluar'!$A:$A,M22678,'Barang Keluar'!$C:$C,N22678))</f>
        <v>0</v>
      </c>
    </row>
    <row r="22679" spans="13:16">
      <c r="M22679" s="49">
        <f>IF($A$4+226&gt;$B$4,"",$A$4+226)</f>
        <v>46249</v>
      </c>
      <c r="N22679">
        <f>IF(M22679="","",'Master Barang'!A73)</f>
        <v>0</v>
      </c>
      <c r="O22679">
        <f>IF(N22679="","",'Master Barang'!B73)</f>
        <v>0</v>
      </c>
      <c r="P22679">
        <f>IF(OR(M22679="",N22679=""),"",SUMIFS('Barang Keluar'!$E:$E,'Barang Keluar'!$A:$A,M22679,'Barang Keluar'!$C:$C,N22679))</f>
        <v>0</v>
      </c>
    </row>
    <row r="22680" spans="13:16">
      <c r="M22680" s="49">
        <f>IF($A$4+226&gt;$B$4,"",$A$4+226)</f>
        <v>46249</v>
      </c>
      <c r="N22680">
        <f>IF(M22680="","",'Master Barang'!A74)</f>
        <v>0</v>
      </c>
      <c r="O22680">
        <f>IF(N22680="","",'Master Barang'!B74)</f>
        <v>0</v>
      </c>
      <c r="P22680">
        <f>IF(OR(M22680="",N22680=""),"",SUMIFS('Barang Keluar'!$E:$E,'Barang Keluar'!$A:$A,M22680,'Barang Keluar'!$C:$C,N22680))</f>
        <v>0</v>
      </c>
    </row>
    <row r="22681" spans="13:16">
      <c r="M22681" s="49">
        <f>IF($A$4+226&gt;$B$4,"",$A$4+226)</f>
        <v>46249</v>
      </c>
      <c r="N22681">
        <f>IF(M22681="","",'Master Barang'!A75)</f>
        <v>0</v>
      </c>
      <c r="O22681">
        <f>IF(N22681="","",'Master Barang'!B75)</f>
        <v>0</v>
      </c>
      <c r="P22681">
        <f>IF(OR(M22681="",N22681=""),"",SUMIFS('Barang Keluar'!$E:$E,'Barang Keluar'!$A:$A,M22681,'Barang Keluar'!$C:$C,N22681))</f>
        <v>0</v>
      </c>
    </row>
    <row r="22682" spans="13:16">
      <c r="M22682" s="49">
        <f>IF($A$4+226&gt;$B$4,"",$A$4+226)</f>
        <v>46249</v>
      </c>
      <c r="N22682">
        <f>IF(M22682="","",'Master Barang'!A76)</f>
        <v>0</v>
      </c>
      <c r="O22682">
        <f>IF(N22682="","",'Master Barang'!B76)</f>
        <v>0</v>
      </c>
      <c r="P22682">
        <f>IF(OR(M22682="",N22682=""),"",SUMIFS('Barang Keluar'!$E:$E,'Barang Keluar'!$A:$A,M22682,'Barang Keluar'!$C:$C,N22682))</f>
        <v>0</v>
      </c>
    </row>
    <row r="22683" spans="13:16">
      <c r="M22683" s="49">
        <f>IF($A$4+226&gt;$B$4,"",$A$4+226)</f>
        <v>46249</v>
      </c>
      <c r="N22683">
        <f>IF(M22683="","",'Master Barang'!A77)</f>
        <v>0</v>
      </c>
      <c r="O22683">
        <f>IF(N22683="","",'Master Barang'!B77)</f>
        <v>0</v>
      </c>
      <c r="P22683">
        <f>IF(OR(M22683="",N22683=""),"",SUMIFS('Barang Keluar'!$E:$E,'Barang Keluar'!$A:$A,M22683,'Barang Keluar'!$C:$C,N22683))</f>
        <v>0</v>
      </c>
    </row>
    <row r="22684" spans="13:16">
      <c r="M22684" s="49">
        <f>IF($A$4+226&gt;$B$4,"",$A$4+226)</f>
        <v>46249</v>
      </c>
      <c r="N22684">
        <f>IF(M22684="","",'Master Barang'!A78)</f>
        <v>0</v>
      </c>
      <c r="O22684">
        <f>IF(N22684="","",'Master Barang'!B78)</f>
        <v>0</v>
      </c>
      <c r="P22684">
        <f>IF(OR(M22684="",N22684=""),"",SUMIFS('Barang Keluar'!$E:$E,'Barang Keluar'!$A:$A,M22684,'Barang Keluar'!$C:$C,N22684))</f>
        <v>0</v>
      </c>
    </row>
    <row r="22685" spans="13:16">
      <c r="M22685" s="49">
        <f>IF($A$4+226&gt;$B$4,"",$A$4+226)</f>
        <v>46249</v>
      </c>
      <c r="N22685">
        <f>IF(M22685="","",'Master Barang'!A79)</f>
        <v>0</v>
      </c>
      <c r="O22685">
        <f>IF(N22685="","",'Master Barang'!B79)</f>
        <v>0</v>
      </c>
      <c r="P22685">
        <f>IF(OR(M22685="",N22685=""),"",SUMIFS('Barang Keluar'!$E:$E,'Barang Keluar'!$A:$A,M22685,'Barang Keluar'!$C:$C,N22685))</f>
        <v>0</v>
      </c>
    </row>
    <row r="22686" spans="13:16">
      <c r="M22686" s="49">
        <f>IF($A$4+226&gt;$B$4,"",$A$4+226)</f>
        <v>46249</v>
      </c>
      <c r="N22686">
        <f>IF(M22686="","",'Master Barang'!A80)</f>
        <v>0</v>
      </c>
      <c r="O22686">
        <f>IF(N22686="","",'Master Barang'!B80)</f>
        <v>0</v>
      </c>
      <c r="P22686">
        <f>IF(OR(M22686="",N22686=""),"",SUMIFS('Barang Keluar'!$E:$E,'Barang Keluar'!$A:$A,M22686,'Barang Keluar'!$C:$C,N22686))</f>
        <v>0</v>
      </c>
    </row>
    <row r="22687" spans="13:16">
      <c r="M22687" s="49">
        <f>IF($A$4+226&gt;$B$4,"",$A$4+226)</f>
        <v>46249</v>
      </c>
      <c r="N22687">
        <f>IF(M22687="","",'Master Barang'!A81)</f>
        <v>0</v>
      </c>
      <c r="O22687">
        <f>IF(N22687="","",'Master Barang'!B81)</f>
        <v>0</v>
      </c>
      <c r="P22687">
        <f>IF(OR(M22687="",N22687=""),"",SUMIFS('Barang Keluar'!$E:$E,'Barang Keluar'!$A:$A,M22687,'Barang Keluar'!$C:$C,N22687))</f>
        <v>0</v>
      </c>
    </row>
    <row r="22688" spans="13:16">
      <c r="M22688" s="49">
        <f>IF($A$4+226&gt;$B$4,"",$A$4+226)</f>
        <v>46249</v>
      </c>
      <c r="N22688">
        <f>IF(M22688="","",'Master Barang'!A82)</f>
        <v>0</v>
      </c>
      <c r="O22688">
        <f>IF(N22688="","",'Master Barang'!B82)</f>
        <v>0</v>
      </c>
      <c r="P22688">
        <f>IF(OR(M22688="",N22688=""),"",SUMIFS('Barang Keluar'!$E:$E,'Barang Keluar'!$A:$A,M22688,'Barang Keluar'!$C:$C,N22688))</f>
        <v>0</v>
      </c>
    </row>
    <row r="22689" spans="13:16">
      <c r="M22689" s="49">
        <f>IF($A$4+226&gt;$B$4,"",$A$4+226)</f>
        <v>46249</v>
      </c>
      <c r="N22689">
        <f>IF(M22689="","",'Master Barang'!A83)</f>
        <v>0</v>
      </c>
      <c r="O22689">
        <f>IF(N22689="","",'Master Barang'!B83)</f>
        <v>0</v>
      </c>
      <c r="P22689">
        <f>IF(OR(M22689="",N22689=""),"",SUMIFS('Barang Keluar'!$E:$E,'Barang Keluar'!$A:$A,M22689,'Barang Keluar'!$C:$C,N22689))</f>
        <v>0</v>
      </c>
    </row>
    <row r="22690" spans="13:16">
      <c r="M22690" s="49">
        <f>IF($A$4+226&gt;$B$4,"",$A$4+226)</f>
        <v>46249</v>
      </c>
      <c r="N22690">
        <f>IF(M22690="","",'Master Barang'!A84)</f>
        <v>0</v>
      </c>
      <c r="O22690">
        <f>IF(N22690="","",'Master Barang'!B84)</f>
        <v>0</v>
      </c>
      <c r="P22690">
        <f>IF(OR(M22690="",N22690=""),"",SUMIFS('Barang Keluar'!$E:$E,'Barang Keluar'!$A:$A,M22690,'Barang Keluar'!$C:$C,N22690))</f>
        <v>0</v>
      </c>
    </row>
    <row r="22691" spans="13:16">
      <c r="M22691" s="49">
        <f>IF($A$4+226&gt;$B$4,"",$A$4+226)</f>
        <v>46249</v>
      </c>
      <c r="N22691">
        <f>IF(M22691="","",'Master Barang'!A85)</f>
        <v>0</v>
      </c>
      <c r="O22691">
        <f>IF(N22691="","",'Master Barang'!B85)</f>
        <v>0</v>
      </c>
      <c r="P22691">
        <f>IF(OR(M22691="",N22691=""),"",SUMIFS('Barang Keluar'!$E:$E,'Barang Keluar'!$A:$A,M22691,'Barang Keluar'!$C:$C,N22691))</f>
        <v>0</v>
      </c>
    </row>
    <row r="22692" spans="13:16">
      <c r="M22692" s="49">
        <f>IF($A$4+226&gt;$B$4,"",$A$4+226)</f>
        <v>46249</v>
      </c>
      <c r="N22692">
        <f>IF(M22692="","",'Master Barang'!A86)</f>
        <v>0</v>
      </c>
      <c r="O22692">
        <f>IF(N22692="","",'Master Barang'!B86)</f>
        <v>0</v>
      </c>
      <c r="P22692">
        <f>IF(OR(M22692="",N22692=""),"",SUMIFS('Barang Keluar'!$E:$E,'Barang Keluar'!$A:$A,M22692,'Barang Keluar'!$C:$C,N22692))</f>
        <v>0</v>
      </c>
    </row>
    <row r="22693" spans="13:16">
      <c r="M22693" s="49">
        <f>IF($A$4+226&gt;$B$4,"",$A$4+226)</f>
        <v>46249</v>
      </c>
      <c r="N22693">
        <f>IF(M22693="","",'Master Barang'!A87)</f>
        <v>0</v>
      </c>
      <c r="O22693">
        <f>IF(N22693="","",'Master Barang'!B87)</f>
        <v>0</v>
      </c>
      <c r="P22693">
        <f>IF(OR(M22693="",N22693=""),"",SUMIFS('Barang Keluar'!$E:$E,'Barang Keluar'!$A:$A,M22693,'Barang Keluar'!$C:$C,N22693))</f>
        <v>0</v>
      </c>
    </row>
    <row r="22694" spans="13:16">
      <c r="M22694" s="49">
        <f>IF($A$4+226&gt;$B$4,"",$A$4+226)</f>
        <v>46249</v>
      </c>
      <c r="N22694">
        <f>IF(M22694="","",'Master Barang'!A88)</f>
        <v>0</v>
      </c>
      <c r="O22694">
        <f>IF(N22694="","",'Master Barang'!B88)</f>
        <v>0</v>
      </c>
      <c r="P22694">
        <f>IF(OR(M22694="",N22694=""),"",SUMIFS('Barang Keluar'!$E:$E,'Barang Keluar'!$A:$A,M22694,'Barang Keluar'!$C:$C,N22694))</f>
        <v>0</v>
      </c>
    </row>
    <row r="22695" spans="13:16">
      <c r="M22695" s="49">
        <f>IF($A$4+226&gt;$B$4,"",$A$4+226)</f>
        <v>46249</v>
      </c>
      <c r="N22695">
        <f>IF(M22695="","",'Master Barang'!A89)</f>
        <v>0</v>
      </c>
      <c r="O22695">
        <f>IF(N22695="","",'Master Barang'!B89)</f>
        <v>0</v>
      </c>
      <c r="P22695">
        <f>IF(OR(M22695="",N22695=""),"",SUMIFS('Barang Keluar'!$E:$E,'Barang Keluar'!$A:$A,M22695,'Barang Keluar'!$C:$C,N22695))</f>
        <v>0</v>
      </c>
    </row>
    <row r="22696" spans="13:16">
      <c r="M22696" s="49">
        <f>IF($A$4+226&gt;$B$4,"",$A$4+226)</f>
        <v>46249</v>
      </c>
      <c r="N22696">
        <f>IF(M22696="","",'Master Barang'!A90)</f>
        <v>0</v>
      </c>
      <c r="O22696">
        <f>IF(N22696="","",'Master Barang'!B90)</f>
        <v>0</v>
      </c>
      <c r="P22696">
        <f>IF(OR(M22696="",N22696=""),"",SUMIFS('Barang Keluar'!$E:$E,'Barang Keluar'!$A:$A,M22696,'Barang Keluar'!$C:$C,N22696))</f>
        <v>0</v>
      </c>
    </row>
    <row r="22697" spans="13:16">
      <c r="M22697" s="49">
        <f>IF($A$4+226&gt;$B$4,"",$A$4+226)</f>
        <v>46249</v>
      </c>
      <c r="N22697">
        <f>IF(M22697="","",'Master Barang'!A91)</f>
        <v>0</v>
      </c>
      <c r="O22697">
        <f>IF(N22697="","",'Master Barang'!B91)</f>
        <v>0</v>
      </c>
      <c r="P22697">
        <f>IF(OR(M22697="",N22697=""),"",SUMIFS('Barang Keluar'!$E:$E,'Barang Keluar'!$A:$A,M22697,'Barang Keluar'!$C:$C,N22697))</f>
        <v>0</v>
      </c>
    </row>
    <row r="22698" spans="13:16">
      <c r="M22698" s="49">
        <f>IF($A$4+226&gt;$B$4,"",$A$4+226)</f>
        <v>46249</v>
      </c>
      <c r="N22698">
        <f>IF(M22698="","",'Master Barang'!A92)</f>
        <v>0</v>
      </c>
      <c r="O22698">
        <f>IF(N22698="","",'Master Barang'!B92)</f>
        <v>0</v>
      </c>
      <c r="P22698">
        <f>IF(OR(M22698="",N22698=""),"",SUMIFS('Barang Keluar'!$E:$E,'Barang Keluar'!$A:$A,M22698,'Barang Keluar'!$C:$C,N22698))</f>
        <v>0</v>
      </c>
    </row>
    <row r="22699" spans="13:16">
      <c r="M22699" s="49">
        <f>IF($A$4+226&gt;$B$4,"",$A$4+226)</f>
        <v>46249</v>
      </c>
      <c r="N22699">
        <f>IF(M22699="","",'Master Barang'!A93)</f>
        <v>0</v>
      </c>
      <c r="O22699">
        <f>IF(N22699="","",'Master Barang'!B93)</f>
        <v>0</v>
      </c>
      <c r="P22699">
        <f>IF(OR(M22699="",N22699=""),"",SUMIFS('Barang Keluar'!$E:$E,'Barang Keluar'!$A:$A,M22699,'Barang Keluar'!$C:$C,N22699))</f>
        <v>0</v>
      </c>
    </row>
    <row r="22700" spans="13:16">
      <c r="M22700" s="49">
        <f>IF($A$4+226&gt;$B$4,"",$A$4+226)</f>
        <v>46249</v>
      </c>
      <c r="N22700">
        <f>IF(M22700="","",'Master Barang'!A94)</f>
        <v>0</v>
      </c>
      <c r="O22700">
        <f>IF(N22700="","",'Master Barang'!B94)</f>
        <v>0</v>
      </c>
      <c r="P22700">
        <f>IF(OR(M22700="",N22700=""),"",SUMIFS('Barang Keluar'!$E:$E,'Barang Keluar'!$A:$A,M22700,'Barang Keluar'!$C:$C,N22700))</f>
        <v>0</v>
      </c>
    </row>
    <row r="22701" spans="13:16">
      <c r="M22701" s="49">
        <f>IF($A$4+226&gt;$B$4,"",$A$4+226)</f>
        <v>46249</v>
      </c>
      <c r="N22701">
        <f>IF(M22701="","",'Master Barang'!A95)</f>
        <v>0</v>
      </c>
      <c r="O22701">
        <f>IF(N22701="","",'Master Barang'!B95)</f>
        <v>0</v>
      </c>
      <c r="P22701">
        <f>IF(OR(M22701="",N22701=""),"",SUMIFS('Barang Keluar'!$E:$E,'Barang Keluar'!$A:$A,M22701,'Barang Keluar'!$C:$C,N22701))</f>
        <v>0</v>
      </c>
    </row>
    <row r="22702" spans="13:16">
      <c r="M22702" s="49">
        <f>IF($A$4+226&gt;$B$4,"",$A$4+226)</f>
        <v>46249</v>
      </c>
      <c r="N22702">
        <f>IF(M22702="","",'Master Barang'!A96)</f>
        <v>0</v>
      </c>
      <c r="O22702">
        <f>IF(N22702="","",'Master Barang'!B96)</f>
        <v>0</v>
      </c>
      <c r="P22702">
        <f>IF(OR(M22702="",N22702=""),"",SUMIFS('Barang Keluar'!$E:$E,'Barang Keluar'!$A:$A,M22702,'Barang Keluar'!$C:$C,N22702))</f>
        <v>0</v>
      </c>
    </row>
    <row r="22703" spans="13:16">
      <c r="M22703" s="49">
        <f>IF($A$4+226&gt;$B$4,"",$A$4+226)</f>
        <v>46249</v>
      </c>
      <c r="N22703">
        <f>IF(M22703="","",'Master Barang'!A97)</f>
        <v>0</v>
      </c>
      <c r="O22703">
        <f>IF(N22703="","",'Master Barang'!B97)</f>
        <v>0</v>
      </c>
      <c r="P22703">
        <f>IF(OR(M22703="",N22703=""),"",SUMIFS('Barang Keluar'!$E:$E,'Barang Keluar'!$A:$A,M22703,'Barang Keluar'!$C:$C,N22703))</f>
        <v>0</v>
      </c>
    </row>
    <row r="22704" spans="13:16">
      <c r="M22704" s="49">
        <f>IF($A$4+226&gt;$B$4,"",$A$4+226)</f>
        <v>46249</v>
      </c>
      <c r="N22704">
        <f>IF(M22704="","",'Master Barang'!A98)</f>
        <v>0</v>
      </c>
      <c r="O22704">
        <f>IF(N22704="","",'Master Barang'!B98)</f>
        <v>0</v>
      </c>
      <c r="P22704">
        <f>IF(OR(M22704="",N22704=""),"",SUMIFS('Barang Keluar'!$E:$E,'Barang Keluar'!$A:$A,M22704,'Barang Keluar'!$C:$C,N22704))</f>
        <v>0</v>
      </c>
    </row>
    <row r="22705" spans="13:16">
      <c r="M22705" s="49">
        <f>IF($A$4+226&gt;$B$4,"",$A$4+226)</f>
        <v>46249</v>
      </c>
      <c r="N22705">
        <f>IF(M22705="","",'Master Barang'!A99)</f>
        <v>0</v>
      </c>
      <c r="O22705">
        <f>IF(N22705="","",'Master Barang'!B99)</f>
        <v>0</v>
      </c>
      <c r="P22705">
        <f>IF(OR(M22705="",N22705=""),"",SUMIFS('Barang Keluar'!$E:$E,'Barang Keluar'!$A:$A,M22705,'Barang Keluar'!$C:$C,N22705))</f>
        <v>0</v>
      </c>
    </row>
    <row r="22706" spans="13:16">
      <c r="M22706" s="49">
        <f>IF($A$4+226&gt;$B$4,"",$A$4+226)</f>
        <v>46249</v>
      </c>
      <c r="N22706">
        <f>IF(M22706="","",'Master Barang'!A100)</f>
        <v>0</v>
      </c>
      <c r="O22706">
        <f>IF(N22706="","",'Master Barang'!B100)</f>
        <v>0</v>
      </c>
      <c r="P22706">
        <f>IF(OR(M22706="",N22706=""),"",SUMIFS('Barang Keluar'!$E:$E,'Barang Keluar'!$A:$A,M22706,'Barang Keluar'!$C:$C,N22706))</f>
        <v>0</v>
      </c>
    </row>
    <row r="22707" spans="13:16">
      <c r="M22707" s="49">
        <f>IF($A$4+226&gt;$B$4,"",$A$4+226)</f>
        <v>46249</v>
      </c>
      <c r="N22707">
        <f>IF(M22707="","",'Master Barang'!A101)</f>
        <v>0</v>
      </c>
      <c r="O22707">
        <f>IF(N22707="","",'Master Barang'!B101)</f>
        <v>0</v>
      </c>
      <c r="P22707">
        <f>IF(OR(M22707="",N22707=""),"",SUMIFS('Barang Keluar'!$E:$E,'Barang Keluar'!$A:$A,M22707,'Barang Keluar'!$C:$C,N22707))</f>
        <v>0</v>
      </c>
    </row>
    <row r="22708" spans="13:16">
      <c r="M22708" s="49">
        <f>IF($A$4+227&gt;$B$4,"",$A$4+227)</f>
        <v>46250</v>
      </c>
      <c r="N22708" t="str">
        <f>IF(M22708="","",'Master Barang'!A2)</f>
        <v>PRL-001</v>
      </c>
      <c r="O22708" t="str">
        <f>IF(N22708="","",'Master Barang'!B2)</f>
        <v>natura desinfectant food grade 5l</v>
      </c>
      <c r="P22708">
        <f>IF(OR(M22708="",N22708=""),"",SUMIFS('Barang Keluar'!$E:$E,'Barang Keluar'!$A:$A,M22708,'Barang Keluar'!$C:$C,N22708))</f>
        <v>0</v>
      </c>
    </row>
    <row r="22709" spans="13:16">
      <c r="M22709" s="49">
        <f>IF($A$4+227&gt;$B$4,"",$A$4+227)</f>
        <v>46250</v>
      </c>
      <c r="N22709" t="str">
        <f>IF(M22709="","",'Master Barang'!A3)</f>
        <v>PRL-002</v>
      </c>
      <c r="O22709" t="str">
        <f>IF(N22709="","",'Master Barang'!B3)</f>
        <v>sunlight cairan pencuci piring 5l</v>
      </c>
      <c r="P22709">
        <f>IF(OR(M22709="",N22709=""),"",SUMIFS('Barang Keluar'!$E:$E,'Barang Keluar'!$A:$A,M22709,'Barang Keluar'!$C:$C,N22709))</f>
        <v>0</v>
      </c>
    </row>
    <row r="22710" spans="13:16">
      <c r="M22710" s="49">
        <f>IF($A$4+227&gt;$B$4,"",$A$4+227)</f>
        <v>46250</v>
      </c>
      <c r="N22710" t="str">
        <f>IF(M22710="","",'Master Barang'!A4)</f>
        <v>PRL-003</v>
      </c>
      <c r="O22710" t="str">
        <f>IF(N22710="","",'Master Barang'!B4)</f>
        <v>oixs cleaner 1l</v>
      </c>
      <c r="P22710">
        <f>IF(OR(M22710="",N22710=""),"",SUMIFS('Barang Keluar'!$E:$E,'Barang Keluar'!$A:$A,M22710,'Barang Keluar'!$C:$C,N22710))</f>
        <v>0</v>
      </c>
    </row>
    <row r="22711" spans="13:16">
      <c r="M22711" s="49">
        <f>IF($A$4+227&gt;$B$4,"",$A$4+227)</f>
        <v>46250</v>
      </c>
      <c r="N22711" t="str">
        <f>IF(M22711="","",'Master Barang'!A5)</f>
        <v>PRL-004</v>
      </c>
      <c r="O22711" t="str">
        <f>IF(N22711="","",'Master Barang'!B5)</f>
        <v>be clean tissue serbaguna</v>
      </c>
      <c r="P22711">
        <f>IF(OR(M22711="",N22711=""),"",SUMIFS('Barang Keluar'!$E:$E,'Barang Keluar'!$A:$A,M22711,'Barang Keluar'!$C:$C,N22711))</f>
        <v>0</v>
      </c>
    </row>
    <row r="22712" spans="13:16">
      <c r="M22712" s="49">
        <f>IF($A$4+227&gt;$B$4,"",$A$4+227)</f>
        <v>46250</v>
      </c>
      <c r="N22712" t="str">
        <f>IF(M22712="","",'Master Barang'!A6)</f>
        <v>PRL-005</v>
      </c>
      <c r="O22712" t="str">
        <f>IF(N22712="","",'Master Barang'!B6)</f>
        <v>spons cuci hijau</v>
      </c>
      <c r="P22712">
        <f>IF(OR(M22712="",N22712=""),"",SUMIFS('Barang Keluar'!$E:$E,'Barang Keluar'!$A:$A,M22712,'Barang Keluar'!$C:$C,N22712))</f>
        <v>0</v>
      </c>
    </row>
    <row r="22713" spans="13:16">
      <c r="M22713" s="49">
        <f>IF($A$4+227&gt;$B$4,"",$A$4+227)</f>
        <v>46250</v>
      </c>
      <c r="N22713" t="str">
        <f>IF(M22713="","",'Master Barang'!A7)</f>
        <v>PRL-006</v>
      </c>
      <c r="O22713" t="str">
        <f>IF(N22713="","",'Master Barang'!B7)</f>
        <v>sabut cuci stainless</v>
      </c>
      <c r="P22713">
        <f>IF(OR(M22713="",N22713=""),"",SUMIFS('Barang Keluar'!$E:$E,'Barang Keluar'!$A:$A,M22713,'Barang Keluar'!$C:$C,N22713))</f>
        <v>0</v>
      </c>
    </row>
    <row r="22714" spans="13:16">
      <c r="M22714" s="49">
        <f>IF($A$4+227&gt;$B$4,"",$A$4+227)</f>
        <v>46250</v>
      </c>
      <c r="N22714" t="str">
        <f>IF(M22714="","",'Master Barang'!A8)</f>
        <v>PRL-007</v>
      </c>
      <c r="O22714" t="str">
        <f>IF(N22714="","",'Master Barang'!B8)</f>
        <v>plastik kresek besar merah 50pc</v>
      </c>
      <c r="P22714">
        <f>IF(OR(M22714="",N22714=""),"",SUMIFS('Barang Keluar'!$E:$E,'Barang Keluar'!$A:$A,M22714,'Barang Keluar'!$C:$C,N22714))</f>
        <v>0</v>
      </c>
    </row>
    <row r="22715" spans="13:16">
      <c r="M22715" s="49">
        <f>IF($A$4+227&gt;$B$4,"",$A$4+227)</f>
        <v>46250</v>
      </c>
      <c r="N22715" t="str">
        <f>IF(M22715="","",'Master Barang'!A9)</f>
        <v>PRL-008</v>
      </c>
      <c r="O22715" t="str">
        <f>IF(N22715="","",'Master Barang'!B9)</f>
        <v>lap besar</v>
      </c>
      <c r="P22715">
        <f>IF(OR(M22715="",N22715=""),"",SUMIFS('Barang Keluar'!$E:$E,'Barang Keluar'!$A:$A,M22715,'Barang Keluar'!$C:$C,N22715))</f>
        <v>0</v>
      </c>
    </row>
    <row r="22716" spans="13:16">
      <c r="M22716" s="49">
        <f>IF($A$4+227&gt;$B$4,"",$A$4+227)</f>
        <v>46250</v>
      </c>
      <c r="N22716" t="str">
        <f>IF(M22716="","",'Master Barang'!A10)</f>
        <v>PRL-009</v>
      </c>
      <c r="O22716" t="str">
        <f>IF(N22716="","",'Master Barang'!B10)</f>
        <v>lap microfiber</v>
      </c>
      <c r="P22716">
        <f>IF(OR(M22716="",N22716=""),"",SUMIFS('Barang Keluar'!$E:$E,'Barang Keluar'!$A:$A,M22716,'Barang Keluar'!$C:$C,N22716))</f>
        <v>0</v>
      </c>
    </row>
    <row r="22717" spans="13:16">
      <c r="M22717" s="49">
        <f>IF($A$4+227&gt;$B$4,"",$A$4+227)</f>
        <v>46250</v>
      </c>
      <c r="N22717" t="str">
        <f>IF(M22717="","",'Master Barang'!A11)</f>
        <v>PRL-010</v>
      </c>
      <c r="O22717" t="str">
        <f>IF(N22717="","",'Master Barang'!B11)</f>
        <v>lap kecil</v>
      </c>
      <c r="P22717">
        <f>IF(OR(M22717="",N22717=""),"",SUMIFS('Barang Keluar'!$E:$E,'Barang Keluar'!$A:$A,M22717,'Barang Keluar'!$C:$C,N22717))</f>
        <v>0</v>
      </c>
    </row>
    <row r="22718" spans="13:16">
      <c r="M22718" s="49">
        <f>IF($A$4+227&gt;$B$4,"",$A$4+227)</f>
        <v>46250</v>
      </c>
      <c r="N22718" t="str">
        <f>IF(M22718="","",'Master Barang'!A12)</f>
        <v>PRL-011</v>
      </c>
      <c r="O22718" t="str">
        <f>IF(N22718="","",'Master Barang'!B12)</f>
        <v>kanebo kecil</v>
      </c>
      <c r="P22718">
        <f>IF(OR(M22718="",N22718=""),"",SUMIFS('Barang Keluar'!$E:$E,'Barang Keluar'!$A:$A,M22718,'Barang Keluar'!$C:$C,N22718))</f>
        <v>0</v>
      </c>
    </row>
    <row r="22719" spans="13:16">
      <c r="M22719" s="49">
        <f>IF($A$4+227&gt;$B$4,"",$A$4+227)</f>
        <v>46250</v>
      </c>
      <c r="N22719" t="str">
        <f>IF(M22719="","",'Master Barang'!A13)</f>
        <v>PRL-012</v>
      </c>
      <c r="O22719" t="str">
        <f>IF(N22719="","",'Master Barang'!B13)</f>
        <v>plastik 1/4kg joyoboyo 100 lembar</v>
      </c>
      <c r="P22719">
        <f>IF(OR(M22719="",N22719=""),"",SUMIFS('Barang Keluar'!$E:$E,'Barang Keluar'!$A:$A,M22719,'Barang Keluar'!$C:$C,N22719))</f>
        <v>0</v>
      </c>
    </row>
    <row r="22720" spans="13:16">
      <c r="M22720" s="49">
        <f>IF($A$4+227&gt;$B$4,"",$A$4+227)</f>
        <v>46250</v>
      </c>
      <c r="N22720" t="str">
        <f>IF(M22720="","",'Master Barang'!A14)</f>
        <v>PRL-013</v>
      </c>
      <c r="O22720" t="str">
        <f>IF(N22720="","",'Master Barang'!B14)</f>
        <v>sarung tangan plastik kaka 100 pcs</v>
      </c>
      <c r="P22720">
        <f>IF(OR(M22720="",N22720=""),"",SUMIFS('Barang Keluar'!$E:$E,'Barang Keluar'!$A:$A,M22720,'Barang Keluar'!$C:$C,N22720))</f>
        <v>0</v>
      </c>
    </row>
    <row r="22721" spans="13:16">
      <c r="M22721" s="49">
        <f>IF($A$4+227&gt;$B$4,"",$A$4+227)</f>
        <v>46250</v>
      </c>
      <c r="N22721" t="str">
        <f>IF(M22721="","",'Master Barang'!A15)</f>
        <v>PRL-014</v>
      </c>
      <c r="O22721" t="str">
        <f>IF(N22721="","",'Master Barang'!B15)</f>
        <v>optima trashbag 80x100</v>
      </c>
      <c r="P22721">
        <f>IF(OR(M22721="",N22721=""),"",SUMIFS('Barang Keluar'!$E:$E,'Barang Keluar'!$A:$A,M22721,'Barang Keluar'!$C:$C,N22721))</f>
        <v>0</v>
      </c>
    </row>
    <row r="22722" spans="13:16">
      <c r="M22722" s="49">
        <f>IF($A$4+227&gt;$B$4,"",$A$4+227)</f>
        <v>46250</v>
      </c>
      <c r="N22722" t="str">
        <f>IF(M22722="","",'Master Barang'!A16)</f>
        <v>PRL-015</v>
      </c>
      <c r="O22722" t="str">
        <f>IF(N22722="","",'Master Barang'!B16)</f>
        <v>optima trashbag 60x100</v>
      </c>
      <c r="P22722">
        <f>IF(OR(M22722="",N22722=""),"",SUMIFS('Barang Keluar'!$E:$E,'Barang Keluar'!$A:$A,M22722,'Barang Keluar'!$C:$C,N22722))</f>
        <v>0</v>
      </c>
    </row>
    <row r="22723" spans="13:16">
      <c r="M22723" s="49">
        <f>IF($A$4+227&gt;$B$4,"",$A$4+227)</f>
        <v>46250</v>
      </c>
      <c r="N22723" t="str">
        <f>IF(M22723="","",'Master Barang'!A17)</f>
        <v>PRL-016</v>
      </c>
      <c r="O22723" t="str">
        <f>IF(N22723="","",'Master Barang'!B17)</f>
        <v>rajawali trashbag 30x40</v>
      </c>
      <c r="P22723">
        <f>IF(OR(M22723="",N22723=""),"",SUMIFS('Barang Keluar'!$E:$E,'Barang Keluar'!$A:$A,M22723,'Barang Keluar'!$C:$C,N22723))</f>
        <v>0</v>
      </c>
    </row>
    <row r="22724" spans="13:16">
      <c r="M22724" s="49">
        <f>IF($A$4+227&gt;$B$4,"",$A$4+227)</f>
        <v>46250</v>
      </c>
      <c r="N22724" t="str">
        <f>IF(M22724="","",'Master Barang'!A18)</f>
        <v>PRL-017</v>
      </c>
      <c r="O22724" t="str">
        <f>IF(N22724="","",'Master Barang'!B18)</f>
        <v>onemed masker biru 3 play 50 pcs</v>
      </c>
      <c r="P22724">
        <f>IF(OR(M22724="",N22724=""),"",SUMIFS('Barang Keluar'!$E:$E,'Barang Keluar'!$A:$A,M22724,'Barang Keluar'!$C:$C,N22724))</f>
        <v>0</v>
      </c>
    </row>
    <row r="22725" spans="13:16">
      <c r="M22725" s="49">
        <f>IF($A$4+227&gt;$B$4,"",$A$4+227)</f>
        <v>46250</v>
      </c>
      <c r="N22725" t="str">
        <f>IF(M22725="","",'Master Barang'!A19)</f>
        <v>PRL-018</v>
      </c>
      <c r="O22725" t="str">
        <f>IF(N22725="","",'Master Barang'!B19)</f>
        <v>onemed masker biru 3 play hijab 50 pcs</v>
      </c>
      <c r="P22725">
        <f>IF(OR(M22725="",N22725=""),"",SUMIFS('Barang Keluar'!$E:$E,'Barang Keluar'!$A:$A,M22725,'Barang Keluar'!$C:$C,N22725))</f>
        <v>0</v>
      </c>
    </row>
    <row r="22726" spans="13:16">
      <c r="M22726" s="49">
        <f>IF($A$4+227&gt;$B$4,"",$A$4+227)</f>
        <v>46250</v>
      </c>
      <c r="N22726" t="str">
        <f>IF(M22726="","",'Master Barang'!A20)</f>
        <v>PRL-019</v>
      </c>
      <c r="O22726" t="str">
        <f>IF(N22726="","",'Master Barang'!B20)</f>
        <v>neo health masker biru 3 play 50 pcs</v>
      </c>
      <c r="P22726">
        <f>IF(OR(M22726="",N22726=""),"",SUMIFS('Barang Keluar'!$E:$E,'Barang Keluar'!$A:$A,M22726,'Barang Keluar'!$C:$C,N22726))</f>
        <v>0</v>
      </c>
    </row>
    <row r="22727" spans="13:16">
      <c r="M22727" s="49">
        <f>IF($A$4+227&gt;$B$4,"",$A$4+227)</f>
        <v>46250</v>
      </c>
      <c r="N22727" t="str">
        <f>IF(M22727="","",'Master Barang'!A21)</f>
        <v>PRL-020</v>
      </c>
      <c r="O22727" t="str">
        <f>IF(N22727="","",'Master Barang'!B21)</f>
        <v>baymed masker hijau 3 play hijau 50 pcs</v>
      </c>
      <c r="P22727">
        <f>IF(OR(M22727="",N22727=""),"",SUMIFS('Barang Keluar'!$E:$E,'Barang Keluar'!$A:$A,M22727,'Barang Keluar'!$C:$C,N22727))</f>
        <v>0</v>
      </c>
    </row>
    <row r="22728" spans="13:16">
      <c r="M22728" s="49">
        <f>IF($A$4+227&gt;$B$4,"",$A$4+227)</f>
        <v>46250</v>
      </c>
      <c r="N22728" t="str">
        <f>IF(M22728="","",'Master Barang'!A22)</f>
        <v>PRL-021</v>
      </c>
      <c r="O22728" t="str">
        <f>IF(N22728="","",'Master Barang'!B22)</f>
        <v>altamed nurse cap penutup kepala 100 pcs</v>
      </c>
      <c r="P22728">
        <f>IF(OR(M22728="",N22728=""),"",SUMIFS('Barang Keluar'!$E:$E,'Barang Keluar'!$A:$A,M22728,'Barang Keluar'!$C:$C,N22728))</f>
        <v>0</v>
      </c>
    </row>
    <row r="22729" spans="13:16">
      <c r="M22729" s="49">
        <f>IF($A$4+227&gt;$B$4,"",$A$4+227)</f>
        <v>46250</v>
      </c>
      <c r="N22729" t="str">
        <f>IF(M22729="","",'Master Barang'!A23)</f>
        <v>PRL-022</v>
      </c>
      <c r="O22729" t="str">
        <f>IF(N22729="","",'Master Barang'!B23)</f>
        <v>sabun cuci tangan</v>
      </c>
      <c r="P22729">
        <f>IF(OR(M22729="",N22729=""),"",SUMIFS('Barang Keluar'!$E:$E,'Barang Keluar'!$A:$A,M22729,'Barang Keluar'!$C:$C,N22729))</f>
        <v>0</v>
      </c>
    </row>
    <row r="22730" spans="13:16">
      <c r="M22730" s="49">
        <f>IF($A$4+227&gt;$B$4,"",$A$4+227)</f>
        <v>46250</v>
      </c>
      <c r="N22730" t="str">
        <f>IF(M22730="","",'Master Barang'!A24)</f>
        <v>PRL-023</v>
      </c>
      <c r="O22730" t="str">
        <f>IF(N22730="","",'Master Barang'!B24)</f>
        <v>gayung kecil</v>
      </c>
      <c r="P22730">
        <f>IF(OR(M22730="",N22730=""),"",SUMIFS('Barang Keluar'!$E:$E,'Barang Keluar'!$A:$A,M22730,'Barang Keluar'!$C:$C,N22730))</f>
        <v>0</v>
      </c>
    </row>
    <row r="22731" spans="13:16">
      <c r="M22731" s="49">
        <f>IF($A$4+227&gt;$B$4,"",$A$4+227)</f>
        <v>46250</v>
      </c>
      <c r="N22731" t="str">
        <f>IF(M22731="","",'Master Barang'!A25)</f>
        <v>PRL-024</v>
      </c>
      <c r="O22731" t="str">
        <f>IF(N22731="","",'Master Barang'!B25)</f>
        <v>cikrak kecil</v>
      </c>
      <c r="P22731">
        <f>IF(OR(M22731="",N22731=""),"",SUMIFS('Barang Keluar'!$E:$E,'Barang Keluar'!$A:$A,M22731,'Barang Keluar'!$C:$C,N22731))</f>
        <v>0</v>
      </c>
    </row>
    <row r="22732" spans="13:16">
      <c r="M22732" s="49">
        <f>IF($A$4+227&gt;$B$4,"",$A$4+227)</f>
        <v>46250</v>
      </c>
      <c r="N22732" t="str">
        <f>IF(M22732="","",'Master Barang'!A26)</f>
        <v>PRL-025</v>
      </c>
      <c r="O22732" t="str">
        <f>IF(N22732="","",'Master Barang'!B26)</f>
        <v>petromax plastik kecil 12x24 100 lembar</v>
      </c>
      <c r="P22732">
        <f>IF(OR(M22732="",N22732=""),"",SUMIFS('Barang Keluar'!$E:$E,'Barang Keluar'!$A:$A,M22732,'Barang Keluar'!$C:$C,N22732))</f>
        <v>0</v>
      </c>
    </row>
    <row r="22733" spans="13:16">
      <c r="M22733" s="49">
        <f>IF($A$4+227&gt;$B$4,"",$A$4+227)</f>
        <v>46250</v>
      </c>
      <c r="N22733" t="str">
        <f>IF(M22733="","",'Master Barang'!A27)</f>
        <v>PRL-026</v>
      </c>
      <c r="O22733" t="str">
        <f>IF(N22733="","",'Master Barang'!B27)</f>
        <v>lancar kresek kecil bening </v>
      </c>
      <c r="P22733">
        <f>IF(OR(M22733="",N22733=""),"",SUMIFS('Barang Keluar'!$E:$E,'Barang Keluar'!$A:$A,M22733,'Barang Keluar'!$C:$C,N22733))</f>
        <v>0</v>
      </c>
    </row>
    <row r="22734" spans="13:16">
      <c r="M22734" s="49">
        <f>IF($A$4+227&gt;$B$4,"",$A$4+227)</f>
        <v>46250</v>
      </c>
      <c r="N22734" t="str">
        <f>IF(M22734="","",'Master Barang'!A28)</f>
        <v>PRL-027</v>
      </c>
      <c r="O22734" t="str">
        <f>IF(N22734="","",'Master Barang'!B28)</f>
        <v>kresek klin warna warni kecil</v>
      </c>
      <c r="P22734">
        <f>IF(OR(M22734="",N22734=""),"",SUMIFS('Barang Keluar'!$E:$E,'Barang Keluar'!$A:$A,M22734,'Barang Keluar'!$C:$C,N22734))</f>
        <v>0</v>
      </c>
    </row>
    <row r="22735" spans="13:16">
      <c r="M22735" s="49">
        <f>IF($A$4+227&gt;$B$4,"",$A$4+227)</f>
        <v>46250</v>
      </c>
      <c r="N22735" t="str">
        <f>IF(M22735="","",'Master Barang'!A29)</f>
        <v>PRL-028</v>
      </c>
      <c r="O22735" t="str">
        <f>IF(N22735="","",'Master Barang'!B29)</f>
        <v>ctik plastik 7x10 100 pcs</v>
      </c>
      <c r="P22735">
        <f>IF(OR(M22735="",N22735=""),"",SUMIFS('Barang Keluar'!$E:$E,'Barang Keluar'!$A:$A,M22735,'Barang Keluar'!$C:$C,N22735))</f>
        <v>0</v>
      </c>
    </row>
    <row r="22736" spans="13:16">
      <c r="M22736" s="49">
        <f>IF($A$4+227&gt;$B$4,"",$A$4+227)</f>
        <v>46250</v>
      </c>
      <c r="N22736" t="str">
        <f>IF(M22736="","",'Master Barang'!A30)</f>
        <v>PRL-029</v>
      </c>
      <c r="O22736" t="str">
        <f>IF(N22736="","",'Master Barang'!B30)</f>
        <v>ctik plastik 6x10 100 pcs</v>
      </c>
      <c r="P22736">
        <f>IF(OR(M22736="",N22736=""),"",SUMIFS('Barang Keluar'!$E:$E,'Barang Keluar'!$A:$A,M22736,'Barang Keluar'!$C:$C,N22736))</f>
        <v>0</v>
      </c>
    </row>
    <row r="22737" spans="13:16">
      <c r="M22737" s="49">
        <f>IF($A$4+227&gt;$B$4,"",$A$4+227)</f>
        <v>46250</v>
      </c>
      <c r="N22737" t="str">
        <f>IF(M22737="","",'Master Barang'!A31)</f>
        <v>PRL-030</v>
      </c>
      <c r="O22737" t="str">
        <f>IF(N22737="","",'Master Barang'!B31)</f>
        <v>klip plastik 25x16 100 pcs</v>
      </c>
      <c r="P22737">
        <f>IF(OR(M22737="",N22737=""),"",SUMIFS('Barang Keluar'!$E:$E,'Barang Keluar'!$A:$A,M22737,'Barang Keluar'!$C:$C,N22737))</f>
        <v>0</v>
      </c>
    </row>
    <row r="22738" spans="13:16">
      <c r="M22738" s="49">
        <f>IF($A$4+227&gt;$B$4,"",$A$4+227)</f>
        <v>46250</v>
      </c>
      <c r="N22738" t="str">
        <f>IF(M22738="","",'Master Barang'!A32)</f>
        <v>PRL-031</v>
      </c>
      <c r="O22738" t="str">
        <f>IF(N22738="","",'Master Barang'!B32)</f>
        <v>tempat saus 20 ml</v>
      </c>
      <c r="P22738">
        <f>IF(OR(M22738="",N22738=""),"",SUMIFS('Barang Keluar'!$E:$E,'Barang Keluar'!$A:$A,M22738,'Barang Keluar'!$C:$C,N22738))</f>
        <v>0</v>
      </c>
    </row>
    <row r="22739" spans="13:16">
      <c r="M22739" s="49">
        <f>IF($A$4+227&gt;$B$4,"",$A$4+227)</f>
        <v>46250</v>
      </c>
      <c r="N22739" t="str">
        <f>IF(M22739="","",'Master Barang'!A33)</f>
        <v>PRL-032</v>
      </c>
      <c r="O22739" t="str">
        <f>IF(N22739="","",'Master Barang'!B33)</f>
        <v>plastik packaging ag box uk sedang</v>
      </c>
      <c r="P22739">
        <f>IF(OR(M22739="",N22739=""),"",SUMIFS('Barang Keluar'!$E:$E,'Barang Keluar'!$A:$A,M22739,'Barang Keluar'!$C:$C,N22739))</f>
        <v>0</v>
      </c>
    </row>
    <row r="22740" spans="13:16">
      <c r="M22740" s="49">
        <f>IF($A$4+227&gt;$B$4,"",$A$4+227)</f>
        <v>46250</v>
      </c>
      <c r="N22740" t="str">
        <f>IF(M22740="","",'Master Barang'!A34)</f>
        <v>PRL-033</v>
      </c>
      <c r="O22740">
        <f>IF(N22740="","",'Master Barang'!B34)</f>
        <v>0</v>
      </c>
      <c r="P22740">
        <f>IF(OR(M22740="",N22740=""),"",SUMIFS('Barang Keluar'!$E:$E,'Barang Keluar'!$A:$A,M22740,'Barang Keluar'!$C:$C,N22740))</f>
        <v>0</v>
      </c>
    </row>
    <row r="22741" spans="13:16">
      <c r="M22741" s="49">
        <f>IF($A$4+227&gt;$B$4,"",$A$4+227)</f>
        <v>46250</v>
      </c>
      <c r="N22741">
        <f>IF(M22741="","",'Master Barang'!A35)</f>
        <v>0</v>
      </c>
      <c r="O22741">
        <f>IF(N22741="","",'Master Barang'!B35)</f>
        <v>0</v>
      </c>
      <c r="P22741">
        <f>IF(OR(M22741="",N22741=""),"",SUMIFS('Barang Keluar'!$E:$E,'Barang Keluar'!$A:$A,M22741,'Barang Keluar'!$C:$C,N22741))</f>
        <v>0</v>
      </c>
    </row>
    <row r="22742" spans="13:16">
      <c r="M22742" s="49">
        <f>IF($A$4+227&gt;$B$4,"",$A$4+227)</f>
        <v>46250</v>
      </c>
      <c r="N22742">
        <f>IF(M22742="","",'Master Barang'!A36)</f>
        <v>0</v>
      </c>
      <c r="O22742">
        <f>IF(N22742="","",'Master Barang'!B36)</f>
        <v>0</v>
      </c>
      <c r="P22742">
        <f>IF(OR(M22742="",N22742=""),"",SUMIFS('Barang Keluar'!$E:$E,'Barang Keluar'!$A:$A,M22742,'Barang Keluar'!$C:$C,N22742))</f>
        <v>0</v>
      </c>
    </row>
    <row r="22743" spans="13:16">
      <c r="M22743" s="49">
        <f>IF($A$4+227&gt;$B$4,"",$A$4+227)</f>
        <v>46250</v>
      </c>
      <c r="N22743">
        <f>IF(M22743="","",'Master Barang'!A37)</f>
        <v>0</v>
      </c>
      <c r="O22743">
        <f>IF(N22743="","",'Master Barang'!B37)</f>
        <v>0</v>
      </c>
      <c r="P22743">
        <f>IF(OR(M22743="",N22743=""),"",SUMIFS('Barang Keluar'!$E:$E,'Barang Keluar'!$A:$A,M22743,'Barang Keluar'!$C:$C,N22743))</f>
        <v>0</v>
      </c>
    </row>
    <row r="22744" spans="13:16">
      <c r="M22744" s="49">
        <f>IF($A$4+227&gt;$B$4,"",$A$4+227)</f>
        <v>46250</v>
      </c>
      <c r="N22744">
        <f>IF(M22744="","",'Master Barang'!A38)</f>
        <v>0</v>
      </c>
      <c r="O22744">
        <f>IF(N22744="","",'Master Barang'!B38)</f>
        <v>0</v>
      </c>
      <c r="P22744">
        <f>IF(OR(M22744="",N22744=""),"",SUMIFS('Barang Keluar'!$E:$E,'Barang Keluar'!$A:$A,M22744,'Barang Keluar'!$C:$C,N22744))</f>
        <v>0</v>
      </c>
    </row>
    <row r="22745" spans="13:16">
      <c r="M22745" s="49">
        <f>IF($A$4+227&gt;$B$4,"",$A$4+227)</f>
        <v>46250</v>
      </c>
      <c r="N22745">
        <f>IF(M22745="","",'Master Barang'!A39)</f>
        <v>0</v>
      </c>
      <c r="O22745">
        <f>IF(N22745="","",'Master Barang'!B39)</f>
        <v>0</v>
      </c>
      <c r="P22745">
        <f>IF(OR(M22745="",N22745=""),"",SUMIFS('Barang Keluar'!$E:$E,'Barang Keluar'!$A:$A,M22745,'Barang Keluar'!$C:$C,N22745))</f>
        <v>0</v>
      </c>
    </row>
    <row r="22746" spans="13:16">
      <c r="M22746" s="49">
        <f>IF($A$4+227&gt;$B$4,"",$A$4+227)</f>
        <v>46250</v>
      </c>
      <c r="N22746">
        <f>IF(M22746="","",'Master Barang'!A40)</f>
        <v>0</v>
      </c>
      <c r="O22746">
        <f>IF(N22746="","",'Master Barang'!B40)</f>
        <v>0</v>
      </c>
      <c r="P22746">
        <f>IF(OR(M22746="",N22746=""),"",SUMIFS('Barang Keluar'!$E:$E,'Barang Keluar'!$A:$A,M22746,'Barang Keluar'!$C:$C,N22746))</f>
        <v>0</v>
      </c>
    </row>
    <row r="22747" spans="13:16">
      <c r="M22747" s="49">
        <f>IF($A$4+227&gt;$B$4,"",$A$4+227)</f>
        <v>46250</v>
      </c>
      <c r="N22747">
        <f>IF(M22747="","",'Master Barang'!A41)</f>
        <v>0</v>
      </c>
      <c r="O22747">
        <f>IF(N22747="","",'Master Barang'!B41)</f>
        <v>0</v>
      </c>
      <c r="P22747">
        <f>IF(OR(M22747="",N22747=""),"",SUMIFS('Barang Keluar'!$E:$E,'Barang Keluar'!$A:$A,M22747,'Barang Keluar'!$C:$C,N22747))</f>
        <v>0</v>
      </c>
    </row>
    <row r="22748" spans="13:16">
      <c r="M22748" s="49">
        <f>IF($A$4+227&gt;$B$4,"",$A$4+227)</f>
        <v>46250</v>
      </c>
      <c r="N22748">
        <f>IF(M22748="","",'Master Barang'!A42)</f>
        <v>0</v>
      </c>
      <c r="O22748">
        <f>IF(N22748="","",'Master Barang'!B42)</f>
        <v>0</v>
      </c>
      <c r="P22748">
        <f>IF(OR(M22748="",N22748=""),"",SUMIFS('Barang Keluar'!$E:$E,'Barang Keluar'!$A:$A,M22748,'Barang Keluar'!$C:$C,N22748))</f>
        <v>0</v>
      </c>
    </row>
    <row r="22749" spans="13:16">
      <c r="M22749" s="49">
        <f>IF($A$4+227&gt;$B$4,"",$A$4+227)</f>
        <v>46250</v>
      </c>
      <c r="N22749">
        <f>IF(M22749="","",'Master Barang'!A43)</f>
        <v>0</v>
      </c>
      <c r="O22749">
        <f>IF(N22749="","",'Master Barang'!B43)</f>
        <v>0</v>
      </c>
      <c r="P22749">
        <f>IF(OR(M22749="",N22749=""),"",SUMIFS('Barang Keluar'!$E:$E,'Barang Keluar'!$A:$A,M22749,'Barang Keluar'!$C:$C,N22749))</f>
        <v>0</v>
      </c>
    </row>
    <row r="22750" spans="13:16">
      <c r="M22750" s="49">
        <f>IF($A$4+227&gt;$B$4,"",$A$4+227)</f>
        <v>46250</v>
      </c>
      <c r="N22750">
        <f>IF(M22750="","",'Master Barang'!A44)</f>
        <v>0</v>
      </c>
      <c r="O22750">
        <f>IF(N22750="","",'Master Barang'!B44)</f>
        <v>0</v>
      </c>
      <c r="P22750">
        <f>IF(OR(M22750="",N22750=""),"",SUMIFS('Barang Keluar'!$E:$E,'Barang Keluar'!$A:$A,M22750,'Barang Keluar'!$C:$C,N22750))</f>
        <v>0</v>
      </c>
    </row>
    <row r="22751" spans="13:16">
      <c r="M22751" s="49">
        <f>IF($A$4+227&gt;$B$4,"",$A$4+227)</f>
        <v>46250</v>
      </c>
      <c r="N22751">
        <f>IF(M22751="","",'Master Barang'!A45)</f>
        <v>0</v>
      </c>
      <c r="O22751">
        <f>IF(N22751="","",'Master Barang'!B45)</f>
        <v>0</v>
      </c>
      <c r="P22751">
        <f>IF(OR(M22751="",N22751=""),"",SUMIFS('Barang Keluar'!$E:$E,'Barang Keluar'!$A:$A,M22751,'Barang Keluar'!$C:$C,N22751))</f>
        <v>0</v>
      </c>
    </row>
    <row r="22752" spans="13:16">
      <c r="M22752" s="49">
        <f>IF($A$4+227&gt;$B$4,"",$A$4+227)</f>
        <v>46250</v>
      </c>
      <c r="N22752">
        <f>IF(M22752="","",'Master Barang'!A46)</f>
        <v>0</v>
      </c>
      <c r="O22752">
        <f>IF(N22752="","",'Master Barang'!B46)</f>
        <v>0</v>
      </c>
      <c r="P22752">
        <f>IF(OR(M22752="",N22752=""),"",SUMIFS('Barang Keluar'!$E:$E,'Barang Keluar'!$A:$A,M22752,'Barang Keluar'!$C:$C,N22752))</f>
        <v>0</v>
      </c>
    </row>
    <row r="22753" spans="13:16">
      <c r="M22753" s="49">
        <f>IF($A$4+227&gt;$B$4,"",$A$4+227)</f>
        <v>46250</v>
      </c>
      <c r="N22753">
        <f>IF(M22753="","",'Master Barang'!A47)</f>
        <v>0</v>
      </c>
      <c r="O22753">
        <f>IF(N22753="","",'Master Barang'!B47)</f>
        <v>0</v>
      </c>
      <c r="P22753">
        <f>IF(OR(M22753="",N22753=""),"",SUMIFS('Barang Keluar'!$E:$E,'Barang Keluar'!$A:$A,M22753,'Barang Keluar'!$C:$C,N22753))</f>
        <v>0</v>
      </c>
    </row>
    <row r="22754" spans="13:16">
      <c r="M22754" s="49">
        <f>IF($A$4+227&gt;$B$4,"",$A$4+227)</f>
        <v>46250</v>
      </c>
      <c r="N22754">
        <f>IF(M22754="","",'Master Barang'!A48)</f>
        <v>0</v>
      </c>
      <c r="O22754">
        <f>IF(N22754="","",'Master Barang'!B48)</f>
        <v>0</v>
      </c>
      <c r="P22754">
        <f>IF(OR(M22754="",N22754=""),"",SUMIFS('Barang Keluar'!$E:$E,'Barang Keluar'!$A:$A,M22754,'Barang Keluar'!$C:$C,N22754))</f>
        <v>0</v>
      </c>
    </row>
    <row r="22755" spans="13:16">
      <c r="M22755" s="49">
        <f>IF($A$4+227&gt;$B$4,"",$A$4+227)</f>
        <v>46250</v>
      </c>
      <c r="N22755">
        <f>IF(M22755="","",'Master Barang'!A49)</f>
        <v>0</v>
      </c>
      <c r="O22755">
        <f>IF(N22755="","",'Master Barang'!B49)</f>
        <v>0</v>
      </c>
      <c r="P22755">
        <f>IF(OR(M22755="",N22755=""),"",SUMIFS('Barang Keluar'!$E:$E,'Barang Keluar'!$A:$A,M22755,'Barang Keluar'!$C:$C,N22755))</f>
        <v>0</v>
      </c>
    </row>
    <row r="22756" spans="13:16">
      <c r="M22756" s="49">
        <f>IF($A$4+227&gt;$B$4,"",$A$4+227)</f>
        <v>46250</v>
      </c>
      <c r="N22756">
        <f>IF(M22756="","",'Master Barang'!A50)</f>
        <v>0</v>
      </c>
      <c r="O22756">
        <f>IF(N22756="","",'Master Barang'!B50)</f>
        <v>0</v>
      </c>
      <c r="P22756">
        <f>IF(OR(M22756="",N22756=""),"",SUMIFS('Barang Keluar'!$E:$E,'Barang Keluar'!$A:$A,M22756,'Barang Keluar'!$C:$C,N22756))</f>
        <v>0</v>
      </c>
    </row>
    <row r="22757" spans="13:16">
      <c r="M22757" s="49">
        <f>IF($A$4+227&gt;$B$4,"",$A$4+227)</f>
        <v>46250</v>
      </c>
      <c r="N22757">
        <f>IF(M22757="","",'Master Barang'!A51)</f>
        <v>0</v>
      </c>
      <c r="O22757">
        <f>IF(N22757="","",'Master Barang'!B51)</f>
        <v>0</v>
      </c>
      <c r="P22757">
        <f>IF(OR(M22757="",N22757=""),"",SUMIFS('Barang Keluar'!$E:$E,'Barang Keluar'!$A:$A,M22757,'Barang Keluar'!$C:$C,N22757))</f>
        <v>0</v>
      </c>
    </row>
    <row r="22758" spans="13:16">
      <c r="M22758" s="49">
        <f>IF($A$4+227&gt;$B$4,"",$A$4+227)</f>
        <v>46250</v>
      </c>
      <c r="N22758">
        <f>IF(M22758="","",'Master Barang'!A52)</f>
        <v>0</v>
      </c>
      <c r="O22758">
        <f>IF(N22758="","",'Master Barang'!B52)</f>
        <v>0</v>
      </c>
      <c r="P22758">
        <f>IF(OR(M22758="",N22758=""),"",SUMIFS('Barang Keluar'!$E:$E,'Barang Keluar'!$A:$A,M22758,'Barang Keluar'!$C:$C,N22758))</f>
        <v>0</v>
      </c>
    </row>
    <row r="22759" spans="13:16">
      <c r="M22759" s="49">
        <f>IF($A$4+227&gt;$B$4,"",$A$4+227)</f>
        <v>46250</v>
      </c>
      <c r="N22759">
        <f>IF(M22759="","",'Master Barang'!A53)</f>
        <v>0</v>
      </c>
      <c r="O22759">
        <f>IF(N22759="","",'Master Barang'!B53)</f>
        <v>0</v>
      </c>
      <c r="P22759">
        <f>IF(OR(M22759="",N22759=""),"",SUMIFS('Barang Keluar'!$E:$E,'Barang Keluar'!$A:$A,M22759,'Barang Keluar'!$C:$C,N22759))</f>
        <v>0</v>
      </c>
    </row>
    <row r="22760" spans="13:16">
      <c r="M22760" s="49">
        <f>IF($A$4+227&gt;$B$4,"",$A$4+227)</f>
        <v>46250</v>
      </c>
      <c r="N22760">
        <f>IF(M22760="","",'Master Barang'!A54)</f>
        <v>0</v>
      </c>
      <c r="O22760">
        <f>IF(N22760="","",'Master Barang'!B54)</f>
        <v>0</v>
      </c>
      <c r="P22760">
        <f>IF(OR(M22760="",N22760=""),"",SUMIFS('Barang Keluar'!$E:$E,'Barang Keluar'!$A:$A,M22760,'Barang Keluar'!$C:$C,N22760))</f>
        <v>0</v>
      </c>
    </row>
    <row r="22761" spans="13:16">
      <c r="M22761" s="49">
        <f>IF($A$4+227&gt;$B$4,"",$A$4+227)</f>
        <v>46250</v>
      </c>
      <c r="N22761">
        <f>IF(M22761="","",'Master Barang'!A55)</f>
        <v>0</v>
      </c>
      <c r="O22761">
        <f>IF(N22761="","",'Master Barang'!B55)</f>
        <v>0</v>
      </c>
      <c r="P22761">
        <f>IF(OR(M22761="",N22761=""),"",SUMIFS('Barang Keluar'!$E:$E,'Barang Keluar'!$A:$A,M22761,'Barang Keluar'!$C:$C,N22761))</f>
        <v>0</v>
      </c>
    </row>
    <row r="22762" spans="13:16">
      <c r="M22762" s="49">
        <f>IF($A$4+227&gt;$B$4,"",$A$4+227)</f>
        <v>46250</v>
      </c>
      <c r="N22762">
        <f>IF(M22762="","",'Master Barang'!A56)</f>
        <v>0</v>
      </c>
      <c r="O22762">
        <f>IF(N22762="","",'Master Barang'!B56)</f>
        <v>0</v>
      </c>
      <c r="P22762">
        <f>IF(OR(M22762="",N22762=""),"",SUMIFS('Barang Keluar'!$E:$E,'Barang Keluar'!$A:$A,M22762,'Barang Keluar'!$C:$C,N22762))</f>
        <v>0</v>
      </c>
    </row>
    <row r="22763" spans="13:16">
      <c r="M22763" s="49">
        <f>IF($A$4+227&gt;$B$4,"",$A$4+227)</f>
        <v>46250</v>
      </c>
      <c r="N22763">
        <f>IF(M22763="","",'Master Barang'!A57)</f>
        <v>0</v>
      </c>
      <c r="O22763">
        <f>IF(N22763="","",'Master Barang'!B57)</f>
        <v>0</v>
      </c>
      <c r="P22763">
        <f>IF(OR(M22763="",N22763=""),"",SUMIFS('Barang Keluar'!$E:$E,'Barang Keluar'!$A:$A,M22763,'Barang Keluar'!$C:$C,N22763))</f>
        <v>0</v>
      </c>
    </row>
    <row r="22764" spans="13:16">
      <c r="M22764" s="49">
        <f>IF($A$4+227&gt;$B$4,"",$A$4+227)</f>
        <v>46250</v>
      </c>
      <c r="N22764">
        <f>IF(M22764="","",'Master Barang'!A58)</f>
        <v>0</v>
      </c>
      <c r="O22764">
        <f>IF(N22764="","",'Master Barang'!B58)</f>
        <v>0</v>
      </c>
      <c r="P22764">
        <f>IF(OR(M22764="",N22764=""),"",SUMIFS('Barang Keluar'!$E:$E,'Barang Keluar'!$A:$A,M22764,'Barang Keluar'!$C:$C,N22764))</f>
        <v>0</v>
      </c>
    </row>
    <row r="22765" spans="13:16">
      <c r="M22765" s="49">
        <f>IF($A$4+227&gt;$B$4,"",$A$4+227)</f>
        <v>46250</v>
      </c>
      <c r="N22765">
        <f>IF(M22765="","",'Master Barang'!A59)</f>
        <v>0</v>
      </c>
      <c r="O22765">
        <f>IF(N22765="","",'Master Barang'!B59)</f>
        <v>0</v>
      </c>
      <c r="P22765">
        <f>IF(OR(M22765="",N22765=""),"",SUMIFS('Barang Keluar'!$E:$E,'Barang Keluar'!$A:$A,M22765,'Barang Keluar'!$C:$C,N22765))</f>
        <v>0</v>
      </c>
    </row>
    <row r="22766" spans="13:16">
      <c r="M22766" s="49">
        <f>IF($A$4+227&gt;$B$4,"",$A$4+227)</f>
        <v>46250</v>
      </c>
      <c r="N22766">
        <f>IF(M22766="","",'Master Barang'!A60)</f>
        <v>0</v>
      </c>
      <c r="O22766">
        <f>IF(N22766="","",'Master Barang'!B60)</f>
        <v>0</v>
      </c>
      <c r="P22766">
        <f>IF(OR(M22766="",N22766=""),"",SUMIFS('Barang Keluar'!$E:$E,'Barang Keluar'!$A:$A,M22766,'Barang Keluar'!$C:$C,N22766))</f>
        <v>0</v>
      </c>
    </row>
    <row r="22767" spans="13:16">
      <c r="M22767" s="49">
        <f>IF($A$4+227&gt;$B$4,"",$A$4+227)</f>
        <v>46250</v>
      </c>
      <c r="N22767">
        <f>IF(M22767="","",'Master Barang'!A61)</f>
        <v>0</v>
      </c>
      <c r="O22767">
        <f>IF(N22767="","",'Master Barang'!B61)</f>
        <v>0</v>
      </c>
      <c r="P22767">
        <f>IF(OR(M22767="",N22767=""),"",SUMIFS('Barang Keluar'!$E:$E,'Barang Keluar'!$A:$A,M22767,'Barang Keluar'!$C:$C,N22767))</f>
        <v>0</v>
      </c>
    </row>
    <row r="22768" spans="13:16">
      <c r="M22768" s="49">
        <f>IF($A$4+227&gt;$B$4,"",$A$4+227)</f>
        <v>46250</v>
      </c>
      <c r="N22768">
        <f>IF(M22768="","",'Master Barang'!A62)</f>
        <v>0</v>
      </c>
      <c r="O22768">
        <f>IF(N22768="","",'Master Barang'!B62)</f>
        <v>0</v>
      </c>
      <c r="P22768">
        <f>IF(OR(M22768="",N22768=""),"",SUMIFS('Barang Keluar'!$E:$E,'Barang Keluar'!$A:$A,M22768,'Barang Keluar'!$C:$C,N22768))</f>
        <v>0</v>
      </c>
    </row>
    <row r="22769" spans="13:16">
      <c r="M22769" s="49">
        <f>IF($A$4+227&gt;$B$4,"",$A$4+227)</f>
        <v>46250</v>
      </c>
      <c r="N22769">
        <f>IF(M22769="","",'Master Barang'!A63)</f>
        <v>0</v>
      </c>
      <c r="O22769">
        <f>IF(N22769="","",'Master Barang'!B63)</f>
        <v>0</v>
      </c>
      <c r="P22769">
        <f>IF(OR(M22769="",N22769=""),"",SUMIFS('Barang Keluar'!$E:$E,'Barang Keluar'!$A:$A,M22769,'Barang Keluar'!$C:$C,N22769))</f>
        <v>0</v>
      </c>
    </row>
    <row r="22770" spans="13:16">
      <c r="M22770" s="49">
        <f>IF($A$4+227&gt;$B$4,"",$A$4+227)</f>
        <v>46250</v>
      </c>
      <c r="N22770">
        <f>IF(M22770="","",'Master Barang'!A64)</f>
        <v>0</v>
      </c>
      <c r="O22770">
        <f>IF(N22770="","",'Master Barang'!B64)</f>
        <v>0</v>
      </c>
      <c r="P22770">
        <f>IF(OR(M22770="",N22770=""),"",SUMIFS('Barang Keluar'!$E:$E,'Barang Keluar'!$A:$A,M22770,'Barang Keluar'!$C:$C,N22770))</f>
        <v>0</v>
      </c>
    </row>
    <row r="22771" spans="13:16">
      <c r="M22771" s="49">
        <f>IF($A$4+227&gt;$B$4,"",$A$4+227)</f>
        <v>46250</v>
      </c>
      <c r="N22771">
        <f>IF(M22771="","",'Master Barang'!A65)</f>
        <v>0</v>
      </c>
      <c r="O22771">
        <f>IF(N22771="","",'Master Barang'!B65)</f>
        <v>0</v>
      </c>
      <c r="P22771">
        <f>IF(OR(M22771="",N22771=""),"",SUMIFS('Barang Keluar'!$E:$E,'Barang Keluar'!$A:$A,M22771,'Barang Keluar'!$C:$C,N22771))</f>
        <v>0</v>
      </c>
    </row>
    <row r="22772" spans="13:16">
      <c r="M22772" s="49">
        <f>IF($A$4+227&gt;$B$4,"",$A$4+227)</f>
        <v>46250</v>
      </c>
      <c r="N22772">
        <f>IF(M22772="","",'Master Barang'!A66)</f>
        <v>0</v>
      </c>
      <c r="O22772">
        <f>IF(N22772="","",'Master Barang'!B66)</f>
        <v>0</v>
      </c>
      <c r="P22772">
        <f>IF(OR(M22772="",N22772=""),"",SUMIFS('Barang Keluar'!$E:$E,'Barang Keluar'!$A:$A,M22772,'Barang Keluar'!$C:$C,N22772))</f>
        <v>0</v>
      </c>
    </row>
    <row r="22773" spans="13:16">
      <c r="M22773" s="49">
        <f>IF($A$4+227&gt;$B$4,"",$A$4+227)</f>
        <v>46250</v>
      </c>
      <c r="N22773">
        <f>IF(M22773="","",'Master Barang'!A67)</f>
        <v>0</v>
      </c>
      <c r="O22773">
        <f>IF(N22773="","",'Master Barang'!B67)</f>
        <v>0</v>
      </c>
      <c r="P22773">
        <f>IF(OR(M22773="",N22773=""),"",SUMIFS('Barang Keluar'!$E:$E,'Barang Keluar'!$A:$A,M22773,'Barang Keluar'!$C:$C,N22773))</f>
        <v>0</v>
      </c>
    </row>
    <row r="22774" spans="13:16">
      <c r="M22774" s="49">
        <f>IF($A$4+227&gt;$B$4,"",$A$4+227)</f>
        <v>46250</v>
      </c>
      <c r="N22774">
        <f>IF(M22774="","",'Master Barang'!A68)</f>
        <v>0</v>
      </c>
      <c r="O22774">
        <f>IF(N22774="","",'Master Barang'!B68)</f>
        <v>0</v>
      </c>
      <c r="P22774">
        <f>IF(OR(M22774="",N22774=""),"",SUMIFS('Barang Keluar'!$E:$E,'Barang Keluar'!$A:$A,M22774,'Barang Keluar'!$C:$C,N22774))</f>
        <v>0</v>
      </c>
    </row>
    <row r="22775" spans="13:16">
      <c r="M22775" s="49">
        <f>IF($A$4+227&gt;$B$4,"",$A$4+227)</f>
        <v>46250</v>
      </c>
      <c r="N22775">
        <f>IF(M22775="","",'Master Barang'!A69)</f>
        <v>0</v>
      </c>
      <c r="O22775">
        <f>IF(N22775="","",'Master Barang'!B69)</f>
        <v>0</v>
      </c>
      <c r="P22775">
        <f>IF(OR(M22775="",N22775=""),"",SUMIFS('Barang Keluar'!$E:$E,'Barang Keluar'!$A:$A,M22775,'Barang Keluar'!$C:$C,N22775))</f>
        <v>0</v>
      </c>
    </row>
    <row r="22776" spans="13:16">
      <c r="M22776" s="49">
        <f>IF($A$4+227&gt;$B$4,"",$A$4+227)</f>
        <v>46250</v>
      </c>
      <c r="N22776">
        <f>IF(M22776="","",'Master Barang'!A70)</f>
        <v>0</v>
      </c>
      <c r="O22776">
        <f>IF(N22776="","",'Master Barang'!B70)</f>
        <v>0</v>
      </c>
      <c r="P22776">
        <f>IF(OR(M22776="",N22776=""),"",SUMIFS('Barang Keluar'!$E:$E,'Barang Keluar'!$A:$A,M22776,'Barang Keluar'!$C:$C,N22776))</f>
        <v>0</v>
      </c>
    </row>
    <row r="22777" spans="13:16">
      <c r="M22777" s="49">
        <f>IF($A$4+227&gt;$B$4,"",$A$4+227)</f>
        <v>46250</v>
      </c>
      <c r="N22777">
        <f>IF(M22777="","",'Master Barang'!A71)</f>
        <v>0</v>
      </c>
      <c r="O22777">
        <f>IF(N22777="","",'Master Barang'!B71)</f>
        <v>0</v>
      </c>
      <c r="P22777">
        <f>IF(OR(M22777="",N22777=""),"",SUMIFS('Barang Keluar'!$E:$E,'Barang Keluar'!$A:$A,M22777,'Barang Keluar'!$C:$C,N22777))</f>
        <v>0</v>
      </c>
    </row>
    <row r="22778" spans="13:16">
      <c r="M22778" s="49">
        <f>IF($A$4+227&gt;$B$4,"",$A$4+227)</f>
        <v>46250</v>
      </c>
      <c r="N22778">
        <f>IF(M22778="","",'Master Barang'!A72)</f>
        <v>0</v>
      </c>
      <c r="O22778">
        <f>IF(N22778="","",'Master Barang'!B72)</f>
        <v>0</v>
      </c>
      <c r="P22778">
        <f>IF(OR(M22778="",N22778=""),"",SUMIFS('Barang Keluar'!$E:$E,'Barang Keluar'!$A:$A,M22778,'Barang Keluar'!$C:$C,N22778))</f>
        <v>0</v>
      </c>
    </row>
    <row r="22779" spans="13:16">
      <c r="M22779" s="49">
        <f>IF($A$4+227&gt;$B$4,"",$A$4+227)</f>
        <v>46250</v>
      </c>
      <c r="N22779">
        <f>IF(M22779="","",'Master Barang'!A73)</f>
        <v>0</v>
      </c>
      <c r="O22779">
        <f>IF(N22779="","",'Master Barang'!B73)</f>
        <v>0</v>
      </c>
      <c r="P22779">
        <f>IF(OR(M22779="",N22779=""),"",SUMIFS('Barang Keluar'!$E:$E,'Barang Keluar'!$A:$A,M22779,'Barang Keluar'!$C:$C,N22779))</f>
        <v>0</v>
      </c>
    </row>
    <row r="22780" spans="13:16">
      <c r="M22780" s="49">
        <f>IF($A$4+227&gt;$B$4,"",$A$4+227)</f>
        <v>46250</v>
      </c>
      <c r="N22780">
        <f>IF(M22780="","",'Master Barang'!A74)</f>
        <v>0</v>
      </c>
      <c r="O22780">
        <f>IF(N22780="","",'Master Barang'!B74)</f>
        <v>0</v>
      </c>
      <c r="P22780">
        <f>IF(OR(M22780="",N22780=""),"",SUMIFS('Barang Keluar'!$E:$E,'Barang Keluar'!$A:$A,M22780,'Barang Keluar'!$C:$C,N22780))</f>
        <v>0</v>
      </c>
    </row>
    <row r="22781" spans="13:16">
      <c r="M22781" s="49">
        <f>IF($A$4+227&gt;$B$4,"",$A$4+227)</f>
        <v>46250</v>
      </c>
      <c r="N22781">
        <f>IF(M22781="","",'Master Barang'!A75)</f>
        <v>0</v>
      </c>
      <c r="O22781">
        <f>IF(N22781="","",'Master Barang'!B75)</f>
        <v>0</v>
      </c>
      <c r="P22781">
        <f>IF(OR(M22781="",N22781=""),"",SUMIFS('Barang Keluar'!$E:$E,'Barang Keluar'!$A:$A,M22781,'Barang Keluar'!$C:$C,N22781))</f>
        <v>0</v>
      </c>
    </row>
    <row r="22782" spans="13:16">
      <c r="M22782" s="49">
        <f>IF($A$4+227&gt;$B$4,"",$A$4+227)</f>
        <v>46250</v>
      </c>
      <c r="N22782">
        <f>IF(M22782="","",'Master Barang'!A76)</f>
        <v>0</v>
      </c>
      <c r="O22782">
        <f>IF(N22782="","",'Master Barang'!B76)</f>
        <v>0</v>
      </c>
      <c r="P22782">
        <f>IF(OR(M22782="",N22782=""),"",SUMIFS('Barang Keluar'!$E:$E,'Barang Keluar'!$A:$A,M22782,'Barang Keluar'!$C:$C,N22782))</f>
        <v>0</v>
      </c>
    </row>
    <row r="22783" spans="13:16">
      <c r="M22783" s="49">
        <f>IF($A$4+227&gt;$B$4,"",$A$4+227)</f>
        <v>46250</v>
      </c>
      <c r="N22783">
        <f>IF(M22783="","",'Master Barang'!A77)</f>
        <v>0</v>
      </c>
      <c r="O22783">
        <f>IF(N22783="","",'Master Barang'!B77)</f>
        <v>0</v>
      </c>
      <c r="P22783">
        <f>IF(OR(M22783="",N22783=""),"",SUMIFS('Barang Keluar'!$E:$E,'Barang Keluar'!$A:$A,M22783,'Barang Keluar'!$C:$C,N22783))</f>
        <v>0</v>
      </c>
    </row>
    <row r="22784" spans="13:16">
      <c r="M22784" s="49">
        <f>IF($A$4+227&gt;$B$4,"",$A$4+227)</f>
        <v>46250</v>
      </c>
      <c r="N22784">
        <f>IF(M22784="","",'Master Barang'!A78)</f>
        <v>0</v>
      </c>
      <c r="O22784">
        <f>IF(N22784="","",'Master Barang'!B78)</f>
        <v>0</v>
      </c>
      <c r="P22784">
        <f>IF(OR(M22784="",N22784=""),"",SUMIFS('Barang Keluar'!$E:$E,'Barang Keluar'!$A:$A,M22784,'Barang Keluar'!$C:$C,N22784))</f>
        <v>0</v>
      </c>
    </row>
    <row r="22785" spans="13:16">
      <c r="M22785" s="49">
        <f>IF($A$4+227&gt;$B$4,"",$A$4+227)</f>
        <v>46250</v>
      </c>
      <c r="N22785">
        <f>IF(M22785="","",'Master Barang'!A79)</f>
        <v>0</v>
      </c>
      <c r="O22785">
        <f>IF(N22785="","",'Master Barang'!B79)</f>
        <v>0</v>
      </c>
      <c r="P22785">
        <f>IF(OR(M22785="",N22785=""),"",SUMIFS('Barang Keluar'!$E:$E,'Barang Keluar'!$A:$A,M22785,'Barang Keluar'!$C:$C,N22785))</f>
        <v>0</v>
      </c>
    </row>
    <row r="22786" spans="13:16">
      <c r="M22786" s="49">
        <f>IF($A$4+227&gt;$B$4,"",$A$4+227)</f>
        <v>46250</v>
      </c>
      <c r="N22786">
        <f>IF(M22786="","",'Master Barang'!A80)</f>
        <v>0</v>
      </c>
      <c r="O22786">
        <f>IF(N22786="","",'Master Barang'!B80)</f>
        <v>0</v>
      </c>
      <c r="P22786">
        <f>IF(OR(M22786="",N22786=""),"",SUMIFS('Barang Keluar'!$E:$E,'Barang Keluar'!$A:$A,M22786,'Barang Keluar'!$C:$C,N22786))</f>
        <v>0</v>
      </c>
    </row>
    <row r="22787" spans="13:16">
      <c r="M22787" s="49">
        <f>IF($A$4+227&gt;$B$4,"",$A$4+227)</f>
        <v>46250</v>
      </c>
      <c r="N22787">
        <f>IF(M22787="","",'Master Barang'!A81)</f>
        <v>0</v>
      </c>
      <c r="O22787">
        <f>IF(N22787="","",'Master Barang'!B81)</f>
        <v>0</v>
      </c>
      <c r="P22787">
        <f>IF(OR(M22787="",N22787=""),"",SUMIFS('Barang Keluar'!$E:$E,'Barang Keluar'!$A:$A,M22787,'Barang Keluar'!$C:$C,N22787))</f>
        <v>0</v>
      </c>
    </row>
    <row r="22788" spans="13:16">
      <c r="M22788" s="49">
        <f>IF($A$4+227&gt;$B$4,"",$A$4+227)</f>
        <v>46250</v>
      </c>
      <c r="N22788">
        <f>IF(M22788="","",'Master Barang'!A82)</f>
        <v>0</v>
      </c>
      <c r="O22788">
        <f>IF(N22788="","",'Master Barang'!B82)</f>
        <v>0</v>
      </c>
      <c r="P22788">
        <f>IF(OR(M22788="",N22788=""),"",SUMIFS('Barang Keluar'!$E:$E,'Barang Keluar'!$A:$A,M22788,'Barang Keluar'!$C:$C,N22788))</f>
        <v>0</v>
      </c>
    </row>
    <row r="22789" spans="13:16">
      <c r="M22789" s="49">
        <f>IF($A$4+227&gt;$B$4,"",$A$4+227)</f>
        <v>46250</v>
      </c>
      <c r="N22789">
        <f>IF(M22789="","",'Master Barang'!A83)</f>
        <v>0</v>
      </c>
      <c r="O22789">
        <f>IF(N22789="","",'Master Barang'!B83)</f>
        <v>0</v>
      </c>
      <c r="P22789">
        <f>IF(OR(M22789="",N22789=""),"",SUMIFS('Barang Keluar'!$E:$E,'Barang Keluar'!$A:$A,M22789,'Barang Keluar'!$C:$C,N22789))</f>
        <v>0</v>
      </c>
    </row>
    <row r="22790" spans="13:16">
      <c r="M22790" s="49">
        <f>IF($A$4+227&gt;$B$4,"",$A$4+227)</f>
        <v>46250</v>
      </c>
      <c r="N22790">
        <f>IF(M22790="","",'Master Barang'!A84)</f>
        <v>0</v>
      </c>
      <c r="O22790">
        <f>IF(N22790="","",'Master Barang'!B84)</f>
        <v>0</v>
      </c>
      <c r="P22790">
        <f>IF(OR(M22790="",N22790=""),"",SUMIFS('Barang Keluar'!$E:$E,'Barang Keluar'!$A:$A,M22790,'Barang Keluar'!$C:$C,N22790))</f>
        <v>0</v>
      </c>
    </row>
    <row r="22791" spans="13:16">
      <c r="M22791" s="49">
        <f>IF($A$4+227&gt;$B$4,"",$A$4+227)</f>
        <v>46250</v>
      </c>
      <c r="N22791">
        <f>IF(M22791="","",'Master Barang'!A85)</f>
        <v>0</v>
      </c>
      <c r="O22791">
        <f>IF(N22791="","",'Master Barang'!B85)</f>
        <v>0</v>
      </c>
      <c r="P22791">
        <f>IF(OR(M22791="",N22791=""),"",SUMIFS('Barang Keluar'!$E:$E,'Barang Keluar'!$A:$A,M22791,'Barang Keluar'!$C:$C,N22791))</f>
        <v>0</v>
      </c>
    </row>
    <row r="22792" spans="13:16">
      <c r="M22792" s="49">
        <f>IF($A$4+227&gt;$B$4,"",$A$4+227)</f>
        <v>46250</v>
      </c>
      <c r="N22792">
        <f>IF(M22792="","",'Master Barang'!A86)</f>
        <v>0</v>
      </c>
      <c r="O22792">
        <f>IF(N22792="","",'Master Barang'!B86)</f>
        <v>0</v>
      </c>
      <c r="P22792">
        <f>IF(OR(M22792="",N22792=""),"",SUMIFS('Barang Keluar'!$E:$E,'Barang Keluar'!$A:$A,M22792,'Barang Keluar'!$C:$C,N22792))</f>
        <v>0</v>
      </c>
    </row>
    <row r="22793" spans="13:16">
      <c r="M22793" s="49">
        <f>IF($A$4+227&gt;$B$4,"",$A$4+227)</f>
        <v>46250</v>
      </c>
      <c r="N22793">
        <f>IF(M22793="","",'Master Barang'!A87)</f>
        <v>0</v>
      </c>
      <c r="O22793">
        <f>IF(N22793="","",'Master Barang'!B87)</f>
        <v>0</v>
      </c>
      <c r="P22793">
        <f>IF(OR(M22793="",N22793=""),"",SUMIFS('Barang Keluar'!$E:$E,'Barang Keluar'!$A:$A,M22793,'Barang Keluar'!$C:$C,N22793))</f>
        <v>0</v>
      </c>
    </row>
    <row r="22794" spans="13:16">
      <c r="M22794" s="49">
        <f>IF($A$4+227&gt;$B$4,"",$A$4+227)</f>
        <v>46250</v>
      </c>
      <c r="N22794">
        <f>IF(M22794="","",'Master Barang'!A88)</f>
        <v>0</v>
      </c>
      <c r="O22794">
        <f>IF(N22794="","",'Master Barang'!B88)</f>
        <v>0</v>
      </c>
      <c r="P22794">
        <f>IF(OR(M22794="",N22794=""),"",SUMIFS('Barang Keluar'!$E:$E,'Barang Keluar'!$A:$A,M22794,'Barang Keluar'!$C:$C,N22794))</f>
        <v>0</v>
      </c>
    </row>
    <row r="22795" spans="13:16">
      <c r="M22795" s="49">
        <f>IF($A$4+227&gt;$B$4,"",$A$4+227)</f>
        <v>46250</v>
      </c>
      <c r="N22795">
        <f>IF(M22795="","",'Master Barang'!A89)</f>
        <v>0</v>
      </c>
      <c r="O22795">
        <f>IF(N22795="","",'Master Barang'!B89)</f>
        <v>0</v>
      </c>
      <c r="P22795">
        <f>IF(OR(M22795="",N22795=""),"",SUMIFS('Barang Keluar'!$E:$E,'Barang Keluar'!$A:$A,M22795,'Barang Keluar'!$C:$C,N22795))</f>
        <v>0</v>
      </c>
    </row>
    <row r="22796" spans="13:16">
      <c r="M22796" s="49">
        <f>IF($A$4+227&gt;$B$4,"",$A$4+227)</f>
        <v>46250</v>
      </c>
      <c r="N22796">
        <f>IF(M22796="","",'Master Barang'!A90)</f>
        <v>0</v>
      </c>
      <c r="O22796">
        <f>IF(N22796="","",'Master Barang'!B90)</f>
        <v>0</v>
      </c>
      <c r="P22796">
        <f>IF(OR(M22796="",N22796=""),"",SUMIFS('Barang Keluar'!$E:$E,'Barang Keluar'!$A:$A,M22796,'Barang Keluar'!$C:$C,N22796))</f>
        <v>0</v>
      </c>
    </row>
    <row r="22797" spans="13:16">
      <c r="M22797" s="49">
        <f>IF($A$4+227&gt;$B$4,"",$A$4+227)</f>
        <v>46250</v>
      </c>
      <c r="N22797">
        <f>IF(M22797="","",'Master Barang'!A91)</f>
        <v>0</v>
      </c>
      <c r="O22797">
        <f>IF(N22797="","",'Master Barang'!B91)</f>
        <v>0</v>
      </c>
      <c r="P22797">
        <f>IF(OR(M22797="",N22797=""),"",SUMIFS('Barang Keluar'!$E:$E,'Barang Keluar'!$A:$A,M22797,'Barang Keluar'!$C:$C,N22797))</f>
        <v>0</v>
      </c>
    </row>
    <row r="22798" spans="13:16">
      <c r="M22798" s="49">
        <f>IF($A$4+227&gt;$B$4,"",$A$4+227)</f>
        <v>46250</v>
      </c>
      <c r="N22798">
        <f>IF(M22798="","",'Master Barang'!A92)</f>
        <v>0</v>
      </c>
      <c r="O22798">
        <f>IF(N22798="","",'Master Barang'!B92)</f>
        <v>0</v>
      </c>
      <c r="P22798">
        <f>IF(OR(M22798="",N22798=""),"",SUMIFS('Barang Keluar'!$E:$E,'Barang Keluar'!$A:$A,M22798,'Barang Keluar'!$C:$C,N22798))</f>
        <v>0</v>
      </c>
    </row>
    <row r="22799" spans="13:16">
      <c r="M22799" s="49">
        <f>IF($A$4+227&gt;$B$4,"",$A$4+227)</f>
        <v>46250</v>
      </c>
      <c r="N22799">
        <f>IF(M22799="","",'Master Barang'!A93)</f>
        <v>0</v>
      </c>
      <c r="O22799">
        <f>IF(N22799="","",'Master Barang'!B93)</f>
        <v>0</v>
      </c>
      <c r="P22799">
        <f>IF(OR(M22799="",N22799=""),"",SUMIFS('Barang Keluar'!$E:$E,'Barang Keluar'!$A:$A,M22799,'Barang Keluar'!$C:$C,N22799))</f>
        <v>0</v>
      </c>
    </row>
    <row r="22800" spans="13:16">
      <c r="M22800" s="49">
        <f>IF($A$4+227&gt;$B$4,"",$A$4+227)</f>
        <v>46250</v>
      </c>
      <c r="N22800">
        <f>IF(M22800="","",'Master Barang'!A94)</f>
        <v>0</v>
      </c>
      <c r="O22800">
        <f>IF(N22800="","",'Master Barang'!B94)</f>
        <v>0</v>
      </c>
      <c r="P22800">
        <f>IF(OR(M22800="",N22800=""),"",SUMIFS('Barang Keluar'!$E:$E,'Barang Keluar'!$A:$A,M22800,'Barang Keluar'!$C:$C,N22800))</f>
        <v>0</v>
      </c>
    </row>
    <row r="22801" spans="13:16">
      <c r="M22801" s="49">
        <f>IF($A$4+227&gt;$B$4,"",$A$4+227)</f>
        <v>46250</v>
      </c>
      <c r="N22801">
        <f>IF(M22801="","",'Master Barang'!A95)</f>
        <v>0</v>
      </c>
      <c r="O22801">
        <f>IF(N22801="","",'Master Barang'!B95)</f>
        <v>0</v>
      </c>
      <c r="P22801">
        <f>IF(OR(M22801="",N22801=""),"",SUMIFS('Barang Keluar'!$E:$E,'Barang Keluar'!$A:$A,M22801,'Barang Keluar'!$C:$C,N22801))</f>
        <v>0</v>
      </c>
    </row>
    <row r="22802" spans="13:16">
      <c r="M22802" s="49">
        <f>IF($A$4+227&gt;$B$4,"",$A$4+227)</f>
        <v>46250</v>
      </c>
      <c r="N22802">
        <f>IF(M22802="","",'Master Barang'!A96)</f>
        <v>0</v>
      </c>
      <c r="O22802">
        <f>IF(N22802="","",'Master Barang'!B96)</f>
        <v>0</v>
      </c>
      <c r="P22802">
        <f>IF(OR(M22802="",N22802=""),"",SUMIFS('Barang Keluar'!$E:$E,'Barang Keluar'!$A:$A,M22802,'Barang Keluar'!$C:$C,N22802))</f>
        <v>0</v>
      </c>
    </row>
    <row r="22803" spans="13:16">
      <c r="M22803" s="49">
        <f>IF($A$4+227&gt;$B$4,"",$A$4+227)</f>
        <v>46250</v>
      </c>
      <c r="N22803">
        <f>IF(M22803="","",'Master Barang'!A97)</f>
        <v>0</v>
      </c>
      <c r="O22803">
        <f>IF(N22803="","",'Master Barang'!B97)</f>
        <v>0</v>
      </c>
      <c r="P22803">
        <f>IF(OR(M22803="",N22803=""),"",SUMIFS('Barang Keluar'!$E:$E,'Barang Keluar'!$A:$A,M22803,'Barang Keluar'!$C:$C,N22803))</f>
        <v>0</v>
      </c>
    </row>
    <row r="22804" spans="13:16">
      <c r="M22804" s="49">
        <f>IF($A$4+227&gt;$B$4,"",$A$4+227)</f>
        <v>46250</v>
      </c>
      <c r="N22804">
        <f>IF(M22804="","",'Master Barang'!A98)</f>
        <v>0</v>
      </c>
      <c r="O22804">
        <f>IF(N22804="","",'Master Barang'!B98)</f>
        <v>0</v>
      </c>
      <c r="P22804">
        <f>IF(OR(M22804="",N22804=""),"",SUMIFS('Barang Keluar'!$E:$E,'Barang Keluar'!$A:$A,M22804,'Barang Keluar'!$C:$C,N22804))</f>
        <v>0</v>
      </c>
    </row>
    <row r="22805" spans="13:16">
      <c r="M22805" s="49">
        <f>IF($A$4+227&gt;$B$4,"",$A$4+227)</f>
        <v>46250</v>
      </c>
      <c r="N22805">
        <f>IF(M22805="","",'Master Barang'!A99)</f>
        <v>0</v>
      </c>
      <c r="O22805">
        <f>IF(N22805="","",'Master Barang'!B99)</f>
        <v>0</v>
      </c>
      <c r="P22805">
        <f>IF(OR(M22805="",N22805=""),"",SUMIFS('Barang Keluar'!$E:$E,'Barang Keluar'!$A:$A,M22805,'Barang Keluar'!$C:$C,N22805))</f>
        <v>0</v>
      </c>
    </row>
    <row r="22806" spans="13:16">
      <c r="M22806" s="49">
        <f>IF($A$4+227&gt;$B$4,"",$A$4+227)</f>
        <v>46250</v>
      </c>
      <c r="N22806">
        <f>IF(M22806="","",'Master Barang'!A100)</f>
        <v>0</v>
      </c>
      <c r="O22806">
        <f>IF(N22806="","",'Master Barang'!B100)</f>
        <v>0</v>
      </c>
      <c r="P22806">
        <f>IF(OR(M22806="",N22806=""),"",SUMIFS('Barang Keluar'!$E:$E,'Barang Keluar'!$A:$A,M22806,'Barang Keluar'!$C:$C,N22806))</f>
        <v>0</v>
      </c>
    </row>
    <row r="22807" spans="13:16">
      <c r="M22807" s="49">
        <f>IF($A$4+227&gt;$B$4,"",$A$4+227)</f>
        <v>46250</v>
      </c>
      <c r="N22807">
        <f>IF(M22807="","",'Master Barang'!A101)</f>
        <v>0</v>
      </c>
      <c r="O22807">
        <f>IF(N22807="","",'Master Barang'!B101)</f>
        <v>0</v>
      </c>
      <c r="P22807">
        <f>IF(OR(M22807="",N22807=""),"",SUMIFS('Barang Keluar'!$E:$E,'Barang Keluar'!$A:$A,M22807,'Barang Keluar'!$C:$C,N22807))</f>
        <v>0</v>
      </c>
    </row>
    <row r="22808" spans="13:16">
      <c r="M22808" s="49">
        <f>IF($A$4+228&gt;$B$4,"",$A$4+228)</f>
        <v>46251</v>
      </c>
      <c r="N22808" t="str">
        <f>IF(M22808="","",'Master Barang'!A2)</f>
        <v>PRL-001</v>
      </c>
      <c r="O22808" t="str">
        <f>IF(N22808="","",'Master Barang'!B2)</f>
        <v>natura desinfectant food grade 5l</v>
      </c>
      <c r="P22808">
        <f>IF(OR(M22808="",N22808=""),"",SUMIFS('Barang Keluar'!$E:$E,'Barang Keluar'!$A:$A,M22808,'Barang Keluar'!$C:$C,N22808))</f>
        <v>0</v>
      </c>
    </row>
    <row r="22809" spans="13:16">
      <c r="M22809" s="49">
        <f>IF($A$4+228&gt;$B$4,"",$A$4+228)</f>
        <v>46251</v>
      </c>
      <c r="N22809" t="str">
        <f>IF(M22809="","",'Master Barang'!A3)</f>
        <v>PRL-002</v>
      </c>
      <c r="O22809" t="str">
        <f>IF(N22809="","",'Master Barang'!B3)</f>
        <v>sunlight cairan pencuci piring 5l</v>
      </c>
      <c r="P22809">
        <f>IF(OR(M22809="",N22809=""),"",SUMIFS('Barang Keluar'!$E:$E,'Barang Keluar'!$A:$A,M22809,'Barang Keluar'!$C:$C,N22809))</f>
        <v>0</v>
      </c>
    </row>
    <row r="22810" spans="13:16">
      <c r="M22810" s="49">
        <f>IF($A$4+228&gt;$B$4,"",$A$4+228)</f>
        <v>46251</v>
      </c>
      <c r="N22810" t="str">
        <f>IF(M22810="","",'Master Barang'!A4)</f>
        <v>PRL-003</v>
      </c>
      <c r="O22810" t="str">
        <f>IF(N22810="","",'Master Barang'!B4)</f>
        <v>oixs cleaner 1l</v>
      </c>
      <c r="P22810">
        <f>IF(OR(M22810="",N22810=""),"",SUMIFS('Barang Keluar'!$E:$E,'Barang Keluar'!$A:$A,M22810,'Barang Keluar'!$C:$C,N22810))</f>
        <v>0</v>
      </c>
    </row>
    <row r="22811" spans="13:16">
      <c r="M22811" s="49">
        <f>IF($A$4+228&gt;$B$4,"",$A$4+228)</f>
        <v>46251</v>
      </c>
      <c r="N22811" t="str">
        <f>IF(M22811="","",'Master Barang'!A5)</f>
        <v>PRL-004</v>
      </c>
      <c r="O22811" t="str">
        <f>IF(N22811="","",'Master Barang'!B5)</f>
        <v>be clean tissue serbaguna</v>
      </c>
      <c r="P22811">
        <f>IF(OR(M22811="",N22811=""),"",SUMIFS('Barang Keluar'!$E:$E,'Barang Keluar'!$A:$A,M22811,'Barang Keluar'!$C:$C,N22811))</f>
        <v>0</v>
      </c>
    </row>
    <row r="22812" spans="13:16">
      <c r="M22812" s="49">
        <f>IF($A$4+228&gt;$B$4,"",$A$4+228)</f>
        <v>46251</v>
      </c>
      <c r="N22812" t="str">
        <f>IF(M22812="","",'Master Barang'!A6)</f>
        <v>PRL-005</v>
      </c>
      <c r="O22812" t="str">
        <f>IF(N22812="","",'Master Barang'!B6)</f>
        <v>spons cuci hijau</v>
      </c>
      <c r="P22812">
        <f>IF(OR(M22812="",N22812=""),"",SUMIFS('Barang Keluar'!$E:$E,'Barang Keluar'!$A:$A,M22812,'Barang Keluar'!$C:$C,N22812))</f>
        <v>0</v>
      </c>
    </row>
    <row r="22813" spans="13:16">
      <c r="M22813" s="49">
        <f>IF($A$4+228&gt;$B$4,"",$A$4+228)</f>
        <v>46251</v>
      </c>
      <c r="N22813" t="str">
        <f>IF(M22813="","",'Master Barang'!A7)</f>
        <v>PRL-006</v>
      </c>
      <c r="O22813" t="str">
        <f>IF(N22813="","",'Master Barang'!B7)</f>
        <v>sabut cuci stainless</v>
      </c>
      <c r="P22813">
        <f>IF(OR(M22813="",N22813=""),"",SUMIFS('Barang Keluar'!$E:$E,'Barang Keluar'!$A:$A,M22813,'Barang Keluar'!$C:$C,N22813))</f>
        <v>0</v>
      </c>
    </row>
    <row r="22814" spans="13:16">
      <c r="M22814" s="49">
        <f>IF($A$4+228&gt;$B$4,"",$A$4+228)</f>
        <v>46251</v>
      </c>
      <c r="N22814" t="str">
        <f>IF(M22814="","",'Master Barang'!A8)</f>
        <v>PRL-007</v>
      </c>
      <c r="O22814" t="str">
        <f>IF(N22814="","",'Master Barang'!B8)</f>
        <v>plastik kresek besar merah 50pc</v>
      </c>
      <c r="P22814">
        <f>IF(OR(M22814="",N22814=""),"",SUMIFS('Barang Keluar'!$E:$E,'Barang Keluar'!$A:$A,M22814,'Barang Keluar'!$C:$C,N22814))</f>
        <v>0</v>
      </c>
    </row>
    <row r="22815" spans="13:16">
      <c r="M22815" s="49">
        <f>IF($A$4+228&gt;$B$4,"",$A$4+228)</f>
        <v>46251</v>
      </c>
      <c r="N22815" t="str">
        <f>IF(M22815="","",'Master Barang'!A9)</f>
        <v>PRL-008</v>
      </c>
      <c r="O22815" t="str">
        <f>IF(N22815="","",'Master Barang'!B9)</f>
        <v>lap besar</v>
      </c>
      <c r="P22815">
        <f>IF(OR(M22815="",N22815=""),"",SUMIFS('Barang Keluar'!$E:$E,'Barang Keluar'!$A:$A,M22815,'Barang Keluar'!$C:$C,N22815))</f>
        <v>0</v>
      </c>
    </row>
    <row r="22816" spans="13:16">
      <c r="M22816" s="49">
        <f>IF($A$4+228&gt;$B$4,"",$A$4+228)</f>
        <v>46251</v>
      </c>
      <c r="N22816" t="str">
        <f>IF(M22816="","",'Master Barang'!A10)</f>
        <v>PRL-009</v>
      </c>
      <c r="O22816" t="str">
        <f>IF(N22816="","",'Master Barang'!B10)</f>
        <v>lap microfiber</v>
      </c>
      <c r="P22816">
        <f>IF(OR(M22816="",N22816=""),"",SUMIFS('Barang Keluar'!$E:$E,'Barang Keluar'!$A:$A,M22816,'Barang Keluar'!$C:$C,N22816))</f>
        <v>0</v>
      </c>
    </row>
    <row r="22817" spans="13:16">
      <c r="M22817" s="49">
        <f>IF($A$4+228&gt;$B$4,"",$A$4+228)</f>
        <v>46251</v>
      </c>
      <c r="N22817" t="str">
        <f>IF(M22817="","",'Master Barang'!A11)</f>
        <v>PRL-010</v>
      </c>
      <c r="O22817" t="str">
        <f>IF(N22817="","",'Master Barang'!B11)</f>
        <v>lap kecil</v>
      </c>
      <c r="P22817">
        <f>IF(OR(M22817="",N22817=""),"",SUMIFS('Barang Keluar'!$E:$E,'Barang Keluar'!$A:$A,M22817,'Barang Keluar'!$C:$C,N22817))</f>
        <v>0</v>
      </c>
    </row>
    <row r="22818" spans="13:16">
      <c r="M22818" s="49">
        <f>IF($A$4+228&gt;$B$4,"",$A$4+228)</f>
        <v>46251</v>
      </c>
      <c r="N22818" t="str">
        <f>IF(M22818="","",'Master Barang'!A12)</f>
        <v>PRL-011</v>
      </c>
      <c r="O22818" t="str">
        <f>IF(N22818="","",'Master Barang'!B12)</f>
        <v>kanebo kecil</v>
      </c>
      <c r="P22818">
        <f>IF(OR(M22818="",N22818=""),"",SUMIFS('Barang Keluar'!$E:$E,'Barang Keluar'!$A:$A,M22818,'Barang Keluar'!$C:$C,N22818))</f>
        <v>0</v>
      </c>
    </row>
    <row r="22819" spans="13:16">
      <c r="M22819" s="49">
        <f>IF($A$4+228&gt;$B$4,"",$A$4+228)</f>
        <v>46251</v>
      </c>
      <c r="N22819" t="str">
        <f>IF(M22819="","",'Master Barang'!A13)</f>
        <v>PRL-012</v>
      </c>
      <c r="O22819" t="str">
        <f>IF(N22819="","",'Master Barang'!B13)</f>
        <v>plastik 1/4kg joyoboyo 100 lembar</v>
      </c>
      <c r="P22819">
        <f>IF(OR(M22819="",N22819=""),"",SUMIFS('Barang Keluar'!$E:$E,'Barang Keluar'!$A:$A,M22819,'Barang Keluar'!$C:$C,N22819))</f>
        <v>0</v>
      </c>
    </row>
    <row r="22820" spans="13:16">
      <c r="M22820" s="49">
        <f>IF($A$4+228&gt;$B$4,"",$A$4+228)</f>
        <v>46251</v>
      </c>
      <c r="N22820" t="str">
        <f>IF(M22820="","",'Master Barang'!A14)</f>
        <v>PRL-013</v>
      </c>
      <c r="O22820" t="str">
        <f>IF(N22820="","",'Master Barang'!B14)</f>
        <v>sarung tangan plastik kaka 100 pcs</v>
      </c>
      <c r="P22820">
        <f>IF(OR(M22820="",N22820=""),"",SUMIFS('Barang Keluar'!$E:$E,'Barang Keluar'!$A:$A,M22820,'Barang Keluar'!$C:$C,N22820))</f>
        <v>0</v>
      </c>
    </row>
    <row r="22821" spans="13:16">
      <c r="M22821" s="49">
        <f>IF($A$4+228&gt;$B$4,"",$A$4+228)</f>
        <v>46251</v>
      </c>
      <c r="N22821" t="str">
        <f>IF(M22821="","",'Master Barang'!A15)</f>
        <v>PRL-014</v>
      </c>
      <c r="O22821" t="str">
        <f>IF(N22821="","",'Master Barang'!B15)</f>
        <v>optima trashbag 80x100</v>
      </c>
      <c r="P22821">
        <f>IF(OR(M22821="",N22821=""),"",SUMIFS('Barang Keluar'!$E:$E,'Barang Keluar'!$A:$A,M22821,'Barang Keluar'!$C:$C,N22821))</f>
        <v>0</v>
      </c>
    </row>
    <row r="22822" spans="13:16">
      <c r="M22822" s="49">
        <f>IF($A$4+228&gt;$B$4,"",$A$4+228)</f>
        <v>46251</v>
      </c>
      <c r="N22822" t="str">
        <f>IF(M22822="","",'Master Barang'!A16)</f>
        <v>PRL-015</v>
      </c>
      <c r="O22822" t="str">
        <f>IF(N22822="","",'Master Barang'!B16)</f>
        <v>optima trashbag 60x100</v>
      </c>
      <c r="P22822">
        <f>IF(OR(M22822="",N22822=""),"",SUMIFS('Barang Keluar'!$E:$E,'Barang Keluar'!$A:$A,M22822,'Barang Keluar'!$C:$C,N22822))</f>
        <v>0</v>
      </c>
    </row>
    <row r="22823" spans="13:16">
      <c r="M22823" s="49">
        <f>IF($A$4+228&gt;$B$4,"",$A$4+228)</f>
        <v>46251</v>
      </c>
      <c r="N22823" t="str">
        <f>IF(M22823="","",'Master Barang'!A17)</f>
        <v>PRL-016</v>
      </c>
      <c r="O22823" t="str">
        <f>IF(N22823="","",'Master Barang'!B17)</f>
        <v>rajawali trashbag 30x40</v>
      </c>
      <c r="P22823">
        <f>IF(OR(M22823="",N22823=""),"",SUMIFS('Barang Keluar'!$E:$E,'Barang Keluar'!$A:$A,M22823,'Barang Keluar'!$C:$C,N22823))</f>
        <v>0</v>
      </c>
    </row>
    <row r="22824" spans="13:16">
      <c r="M22824" s="49">
        <f>IF($A$4+228&gt;$B$4,"",$A$4+228)</f>
        <v>46251</v>
      </c>
      <c r="N22824" t="str">
        <f>IF(M22824="","",'Master Barang'!A18)</f>
        <v>PRL-017</v>
      </c>
      <c r="O22824" t="str">
        <f>IF(N22824="","",'Master Barang'!B18)</f>
        <v>onemed masker biru 3 play 50 pcs</v>
      </c>
      <c r="P22824">
        <f>IF(OR(M22824="",N22824=""),"",SUMIFS('Barang Keluar'!$E:$E,'Barang Keluar'!$A:$A,M22824,'Barang Keluar'!$C:$C,N22824))</f>
        <v>0</v>
      </c>
    </row>
    <row r="22825" spans="13:16">
      <c r="M22825" s="49">
        <f>IF($A$4+228&gt;$B$4,"",$A$4+228)</f>
        <v>46251</v>
      </c>
      <c r="N22825" t="str">
        <f>IF(M22825="","",'Master Barang'!A19)</f>
        <v>PRL-018</v>
      </c>
      <c r="O22825" t="str">
        <f>IF(N22825="","",'Master Barang'!B19)</f>
        <v>onemed masker biru 3 play hijab 50 pcs</v>
      </c>
      <c r="P22825">
        <f>IF(OR(M22825="",N22825=""),"",SUMIFS('Barang Keluar'!$E:$E,'Barang Keluar'!$A:$A,M22825,'Barang Keluar'!$C:$C,N22825))</f>
        <v>0</v>
      </c>
    </row>
    <row r="22826" spans="13:16">
      <c r="M22826" s="49">
        <f>IF($A$4+228&gt;$B$4,"",$A$4+228)</f>
        <v>46251</v>
      </c>
      <c r="N22826" t="str">
        <f>IF(M22826="","",'Master Barang'!A20)</f>
        <v>PRL-019</v>
      </c>
      <c r="O22826" t="str">
        <f>IF(N22826="","",'Master Barang'!B20)</f>
        <v>neo health masker biru 3 play 50 pcs</v>
      </c>
      <c r="P22826">
        <f>IF(OR(M22826="",N22826=""),"",SUMIFS('Barang Keluar'!$E:$E,'Barang Keluar'!$A:$A,M22826,'Barang Keluar'!$C:$C,N22826))</f>
        <v>0</v>
      </c>
    </row>
    <row r="22827" spans="13:16">
      <c r="M22827" s="49">
        <f>IF($A$4+228&gt;$B$4,"",$A$4+228)</f>
        <v>46251</v>
      </c>
      <c r="N22827" t="str">
        <f>IF(M22827="","",'Master Barang'!A21)</f>
        <v>PRL-020</v>
      </c>
      <c r="O22827" t="str">
        <f>IF(N22827="","",'Master Barang'!B21)</f>
        <v>baymed masker hijau 3 play hijau 50 pcs</v>
      </c>
      <c r="P22827">
        <f>IF(OR(M22827="",N22827=""),"",SUMIFS('Barang Keluar'!$E:$E,'Barang Keluar'!$A:$A,M22827,'Barang Keluar'!$C:$C,N22827))</f>
        <v>0</v>
      </c>
    </row>
    <row r="22828" spans="13:16">
      <c r="M22828" s="49">
        <f>IF($A$4+228&gt;$B$4,"",$A$4+228)</f>
        <v>46251</v>
      </c>
      <c r="N22828" t="str">
        <f>IF(M22828="","",'Master Barang'!A22)</f>
        <v>PRL-021</v>
      </c>
      <c r="O22828" t="str">
        <f>IF(N22828="","",'Master Barang'!B22)</f>
        <v>altamed nurse cap penutup kepala 100 pcs</v>
      </c>
      <c r="P22828">
        <f>IF(OR(M22828="",N22828=""),"",SUMIFS('Barang Keluar'!$E:$E,'Barang Keluar'!$A:$A,M22828,'Barang Keluar'!$C:$C,N22828))</f>
        <v>0</v>
      </c>
    </row>
    <row r="22829" spans="13:16">
      <c r="M22829" s="49">
        <f>IF($A$4+228&gt;$B$4,"",$A$4+228)</f>
        <v>46251</v>
      </c>
      <c r="N22829" t="str">
        <f>IF(M22829="","",'Master Barang'!A23)</f>
        <v>PRL-022</v>
      </c>
      <c r="O22829" t="str">
        <f>IF(N22829="","",'Master Barang'!B23)</f>
        <v>sabun cuci tangan</v>
      </c>
      <c r="P22829">
        <f>IF(OR(M22829="",N22829=""),"",SUMIFS('Barang Keluar'!$E:$E,'Barang Keluar'!$A:$A,M22829,'Barang Keluar'!$C:$C,N22829))</f>
        <v>0</v>
      </c>
    </row>
    <row r="22830" spans="13:16">
      <c r="M22830" s="49">
        <f>IF($A$4+228&gt;$B$4,"",$A$4+228)</f>
        <v>46251</v>
      </c>
      <c r="N22830" t="str">
        <f>IF(M22830="","",'Master Barang'!A24)</f>
        <v>PRL-023</v>
      </c>
      <c r="O22830" t="str">
        <f>IF(N22830="","",'Master Barang'!B24)</f>
        <v>gayung kecil</v>
      </c>
      <c r="P22830">
        <f>IF(OR(M22830="",N22830=""),"",SUMIFS('Barang Keluar'!$E:$E,'Barang Keluar'!$A:$A,M22830,'Barang Keluar'!$C:$C,N22830))</f>
        <v>0</v>
      </c>
    </row>
    <row r="22831" spans="13:16">
      <c r="M22831" s="49">
        <f>IF($A$4+228&gt;$B$4,"",$A$4+228)</f>
        <v>46251</v>
      </c>
      <c r="N22831" t="str">
        <f>IF(M22831="","",'Master Barang'!A25)</f>
        <v>PRL-024</v>
      </c>
      <c r="O22831" t="str">
        <f>IF(N22831="","",'Master Barang'!B25)</f>
        <v>cikrak kecil</v>
      </c>
      <c r="P22831">
        <f>IF(OR(M22831="",N22831=""),"",SUMIFS('Barang Keluar'!$E:$E,'Barang Keluar'!$A:$A,M22831,'Barang Keluar'!$C:$C,N22831))</f>
        <v>0</v>
      </c>
    </row>
    <row r="22832" spans="13:16">
      <c r="M22832" s="49">
        <f>IF($A$4+228&gt;$B$4,"",$A$4+228)</f>
        <v>46251</v>
      </c>
      <c r="N22832" t="str">
        <f>IF(M22832="","",'Master Barang'!A26)</f>
        <v>PRL-025</v>
      </c>
      <c r="O22832" t="str">
        <f>IF(N22832="","",'Master Barang'!B26)</f>
        <v>petromax plastik kecil 12x24 100 lembar</v>
      </c>
      <c r="P22832">
        <f>IF(OR(M22832="",N22832=""),"",SUMIFS('Barang Keluar'!$E:$E,'Barang Keluar'!$A:$A,M22832,'Barang Keluar'!$C:$C,N22832))</f>
        <v>0</v>
      </c>
    </row>
    <row r="22833" spans="13:16">
      <c r="M22833" s="49">
        <f>IF($A$4+228&gt;$B$4,"",$A$4+228)</f>
        <v>46251</v>
      </c>
      <c r="N22833" t="str">
        <f>IF(M22833="","",'Master Barang'!A27)</f>
        <v>PRL-026</v>
      </c>
      <c r="O22833" t="str">
        <f>IF(N22833="","",'Master Barang'!B27)</f>
        <v>lancar kresek kecil bening </v>
      </c>
      <c r="P22833">
        <f>IF(OR(M22833="",N22833=""),"",SUMIFS('Barang Keluar'!$E:$E,'Barang Keluar'!$A:$A,M22833,'Barang Keluar'!$C:$C,N22833))</f>
        <v>0</v>
      </c>
    </row>
    <row r="22834" spans="13:16">
      <c r="M22834" s="49">
        <f>IF($A$4+228&gt;$B$4,"",$A$4+228)</f>
        <v>46251</v>
      </c>
      <c r="N22834" t="str">
        <f>IF(M22834="","",'Master Barang'!A28)</f>
        <v>PRL-027</v>
      </c>
      <c r="O22834" t="str">
        <f>IF(N22834="","",'Master Barang'!B28)</f>
        <v>kresek klin warna warni kecil</v>
      </c>
      <c r="P22834">
        <f>IF(OR(M22834="",N22834=""),"",SUMIFS('Barang Keluar'!$E:$E,'Barang Keluar'!$A:$A,M22834,'Barang Keluar'!$C:$C,N22834))</f>
        <v>0</v>
      </c>
    </row>
    <row r="22835" spans="13:16">
      <c r="M22835" s="49">
        <f>IF($A$4+228&gt;$B$4,"",$A$4+228)</f>
        <v>46251</v>
      </c>
      <c r="N22835" t="str">
        <f>IF(M22835="","",'Master Barang'!A29)</f>
        <v>PRL-028</v>
      </c>
      <c r="O22835" t="str">
        <f>IF(N22835="","",'Master Barang'!B29)</f>
        <v>ctik plastik 7x10 100 pcs</v>
      </c>
      <c r="P22835">
        <f>IF(OR(M22835="",N22835=""),"",SUMIFS('Barang Keluar'!$E:$E,'Barang Keluar'!$A:$A,M22835,'Barang Keluar'!$C:$C,N22835))</f>
        <v>0</v>
      </c>
    </row>
    <row r="22836" spans="13:16">
      <c r="M22836" s="49">
        <f>IF($A$4+228&gt;$B$4,"",$A$4+228)</f>
        <v>46251</v>
      </c>
      <c r="N22836" t="str">
        <f>IF(M22836="","",'Master Barang'!A30)</f>
        <v>PRL-029</v>
      </c>
      <c r="O22836" t="str">
        <f>IF(N22836="","",'Master Barang'!B30)</f>
        <v>ctik plastik 6x10 100 pcs</v>
      </c>
      <c r="P22836">
        <f>IF(OR(M22836="",N22836=""),"",SUMIFS('Barang Keluar'!$E:$E,'Barang Keluar'!$A:$A,M22836,'Barang Keluar'!$C:$C,N22836))</f>
        <v>0</v>
      </c>
    </row>
    <row r="22837" spans="13:16">
      <c r="M22837" s="49">
        <f>IF($A$4+228&gt;$B$4,"",$A$4+228)</f>
        <v>46251</v>
      </c>
      <c r="N22837" t="str">
        <f>IF(M22837="","",'Master Barang'!A31)</f>
        <v>PRL-030</v>
      </c>
      <c r="O22837" t="str">
        <f>IF(N22837="","",'Master Barang'!B31)</f>
        <v>klip plastik 25x16 100 pcs</v>
      </c>
      <c r="P22837">
        <f>IF(OR(M22837="",N22837=""),"",SUMIFS('Barang Keluar'!$E:$E,'Barang Keluar'!$A:$A,M22837,'Barang Keluar'!$C:$C,N22837))</f>
        <v>0</v>
      </c>
    </row>
    <row r="22838" spans="13:16">
      <c r="M22838" s="49">
        <f>IF($A$4+228&gt;$B$4,"",$A$4+228)</f>
        <v>46251</v>
      </c>
      <c r="N22838" t="str">
        <f>IF(M22838="","",'Master Barang'!A32)</f>
        <v>PRL-031</v>
      </c>
      <c r="O22838" t="str">
        <f>IF(N22838="","",'Master Barang'!B32)</f>
        <v>tempat saus 20 ml</v>
      </c>
      <c r="P22838">
        <f>IF(OR(M22838="",N22838=""),"",SUMIFS('Barang Keluar'!$E:$E,'Barang Keluar'!$A:$A,M22838,'Barang Keluar'!$C:$C,N22838))</f>
        <v>0</v>
      </c>
    </row>
    <row r="22839" spans="13:16">
      <c r="M22839" s="49">
        <f>IF($A$4+228&gt;$B$4,"",$A$4+228)</f>
        <v>46251</v>
      </c>
      <c r="N22839" t="str">
        <f>IF(M22839="","",'Master Barang'!A33)</f>
        <v>PRL-032</v>
      </c>
      <c r="O22839" t="str">
        <f>IF(N22839="","",'Master Barang'!B33)</f>
        <v>plastik packaging ag box uk sedang</v>
      </c>
      <c r="P22839">
        <f>IF(OR(M22839="",N22839=""),"",SUMIFS('Barang Keluar'!$E:$E,'Barang Keluar'!$A:$A,M22839,'Barang Keluar'!$C:$C,N22839))</f>
        <v>0</v>
      </c>
    </row>
    <row r="22840" spans="13:16">
      <c r="M22840" s="49">
        <f>IF($A$4+228&gt;$B$4,"",$A$4+228)</f>
        <v>46251</v>
      </c>
      <c r="N22840" t="str">
        <f>IF(M22840="","",'Master Barang'!A34)</f>
        <v>PRL-033</v>
      </c>
      <c r="O22840">
        <f>IF(N22840="","",'Master Barang'!B34)</f>
        <v>0</v>
      </c>
      <c r="P22840">
        <f>IF(OR(M22840="",N22840=""),"",SUMIFS('Barang Keluar'!$E:$E,'Barang Keluar'!$A:$A,M22840,'Barang Keluar'!$C:$C,N22840))</f>
        <v>0</v>
      </c>
    </row>
    <row r="22841" spans="13:16">
      <c r="M22841" s="49">
        <f>IF($A$4+228&gt;$B$4,"",$A$4+228)</f>
        <v>46251</v>
      </c>
      <c r="N22841">
        <f>IF(M22841="","",'Master Barang'!A35)</f>
        <v>0</v>
      </c>
      <c r="O22841">
        <f>IF(N22841="","",'Master Barang'!B35)</f>
        <v>0</v>
      </c>
      <c r="P22841">
        <f>IF(OR(M22841="",N22841=""),"",SUMIFS('Barang Keluar'!$E:$E,'Barang Keluar'!$A:$A,M22841,'Barang Keluar'!$C:$C,N22841))</f>
        <v>0</v>
      </c>
    </row>
    <row r="22842" spans="13:16">
      <c r="M22842" s="49">
        <f>IF($A$4+228&gt;$B$4,"",$A$4+228)</f>
        <v>46251</v>
      </c>
      <c r="N22842">
        <f>IF(M22842="","",'Master Barang'!A36)</f>
        <v>0</v>
      </c>
      <c r="O22842">
        <f>IF(N22842="","",'Master Barang'!B36)</f>
        <v>0</v>
      </c>
      <c r="P22842">
        <f>IF(OR(M22842="",N22842=""),"",SUMIFS('Barang Keluar'!$E:$E,'Barang Keluar'!$A:$A,M22842,'Barang Keluar'!$C:$C,N22842))</f>
        <v>0</v>
      </c>
    </row>
    <row r="22843" spans="13:16">
      <c r="M22843" s="49">
        <f>IF($A$4+228&gt;$B$4,"",$A$4+228)</f>
        <v>46251</v>
      </c>
      <c r="N22843">
        <f>IF(M22843="","",'Master Barang'!A37)</f>
        <v>0</v>
      </c>
      <c r="O22843">
        <f>IF(N22843="","",'Master Barang'!B37)</f>
        <v>0</v>
      </c>
      <c r="P22843">
        <f>IF(OR(M22843="",N22843=""),"",SUMIFS('Barang Keluar'!$E:$E,'Barang Keluar'!$A:$A,M22843,'Barang Keluar'!$C:$C,N22843))</f>
        <v>0</v>
      </c>
    </row>
    <row r="22844" spans="13:16">
      <c r="M22844" s="49">
        <f>IF($A$4+228&gt;$B$4,"",$A$4+228)</f>
        <v>46251</v>
      </c>
      <c r="N22844">
        <f>IF(M22844="","",'Master Barang'!A38)</f>
        <v>0</v>
      </c>
      <c r="O22844">
        <f>IF(N22844="","",'Master Barang'!B38)</f>
        <v>0</v>
      </c>
      <c r="P22844">
        <f>IF(OR(M22844="",N22844=""),"",SUMIFS('Barang Keluar'!$E:$E,'Barang Keluar'!$A:$A,M22844,'Barang Keluar'!$C:$C,N22844))</f>
        <v>0</v>
      </c>
    </row>
    <row r="22845" spans="13:16">
      <c r="M22845" s="49">
        <f>IF($A$4+228&gt;$B$4,"",$A$4+228)</f>
        <v>46251</v>
      </c>
      <c r="N22845">
        <f>IF(M22845="","",'Master Barang'!A39)</f>
        <v>0</v>
      </c>
      <c r="O22845">
        <f>IF(N22845="","",'Master Barang'!B39)</f>
        <v>0</v>
      </c>
      <c r="P22845">
        <f>IF(OR(M22845="",N22845=""),"",SUMIFS('Barang Keluar'!$E:$E,'Barang Keluar'!$A:$A,M22845,'Barang Keluar'!$C:$C,N22845))</f>
        <v>0</v>
      </c>
    </row>
    <row r="22846" spans="13:16">
      <c r="M22846" s="49">
        <f>IF($A$4+228&gt;$B$4,"",$A$4+228)</f>
        <v>46251</v>
      </c>
      <c r="N22846">
        <f>IF(M22846="","",'Master Barang'!A40)</f>
        <v>0</v>
      </c>
      <c r="O22846">
        <f>IF(N22846="","",'Master Barang'!B40)</f>
        <v>0</v>
      </c>
      <c r="P22846">
        <f>IF(OR(M22846="",N22846=""),"",SUMIFS('Barang Keluar'!$E:$E,'Barang Keluar'!$A:$A,M22846,'Barang Keluar'!$C:$C,N22846))</f>
        <v>0</v>
      </c>
    </row>
    <row r="22847" spans="13:16">
      <c r="M22847" s="49">
        <f>IF($A$4+228&gt;$B$4,"",$A$4+228)</f>
        <v>46251</v>
      </c>
      <c r="N22847">
        <f>IF(M22847="","",'Master Barang'!A41)</f>
        <v>0</v>
      </c>
      <c r="O22847">
        <f>IF(N22847="","",'Master Barang'!B41)</f>
        <v>0</v>
      </c>
      <c r="P22847">
        <f>IF(OR(M22847="",N22847=""),"",SUMIFS('Barang Keluar'!$E:$E,'Barang Keluar'!$A:$A,M22847,'Barang Keluar'!$C:$C,N22847))</f>
        <v>0</v>
      </c>
    </row>
    <row r="22848" spans="13:16">
      <c r="M22848" s="49">
        <f>IF($A$4+228&gt;$B$4,"",$A$4+228)</f>
        <v>46251</v>
      </c>
      <c r="N22848">
        <f>IF(M22848="","",'Master Barang'!A42)</f>
        <v>0</v>
      </c>
      <c r="O22848">
        <f>IF(N22848="","",'Master Barang'!B42)</f>
        <v>0</v>
      </c>
      <c r="P22848">
        <f>IF(OR(M22848="",N22848=""),"",SUMIFS('Barang Keluar'!$E:$E,'Barang Keluar'!$A:$A,M22848,'Barang Keluar'!$C:$C,N22848))</f>
        <v>0</v>
      </c>
    </row>
    <row r="22849" spans="13:16">
      <c r="M22849" s="49">
        <f>IF($A$4+228&gt;$B$4,"",$A$4+228)</f>
        <v>46251</v>
      </c>
      <c r="N22849">
        <f>IF(M22849="","",'Master Barang'!A43)</f>
        <v>0</v>
      </c>
      <c r="O22849">
        <f>IF(N22849="","",'Master Barang'!B43)</f>
        <v>0</v>
      </c>
      <c r="P22849">
        <f>IF(OR(M22849="",N22849=""),"",SUMIFS('Barang Keluar'!$E:$E,'Barang Keluar'!$A:$A,M22849,'Barang Keluar'!$C:$C,N22849))</f>
        <v>0</v>
      </c>
    </row>
    <row r="22850" spans="13:16">
      <c r="M22850" s="49">
        <f>IF($A$4+228&gt;$B$4,"",$A$4+228)</f>
        <v>46251</v>
      </c>
      <c r="N22850">
        <f>IF(M22850="","",'Master Barang'!A44)</f>
        <v>0</v>
      </c>
      <c r="O22850">
        <f>IF(N22850="","",'Master Barang'!B44)</f>
        <v>0</v>
      </c>
      <c r="P22850">
        <f>IF(OR(M22850="",N22850=""),"",SUMIFS('Barang Keluar'!$E:$E,'Barang Keluar'!$A:$A,M22850,'Barang Keluar'!$C:$C,N22850))</f>
        <v>0</v>
      </c>
    </row>
    <row r="22851" spans="13:16">
      <c r="M22851" s="49">
        <f>IF($A$4+228&gt;$B$4,"",$A$4+228)</f>
        <v>46251</v>
      </c>
      <c r="N22851">
        <f>IF(M22851="","",'Master Barang'!A45)</f>
        <v>0</v>
      </c>
      <c r="O22851">
        <f>IF(N22851="","",'Master Barang'!B45)</f>
        <v>0</v>
      </c>
      <c r="P22851">
        <f>IF(OR(M22851="",N22851=""),"",SUMIFS('Barang Keluar'!$E:$E,'Barang Keluar'!$A:$A,M22851,'Barang Keluar'!$C:$C,N22851))</f>
        <v>0</v>
      </c>
    </row>
    <row r="22852" spans="13:16">
      <c r="M22852" s="49">
        <f>IF($A$4+228&gt;$B$4,"",$A$4+228)</f>
        <v>46251</v>
      </c>
      <c r="N22852">
        <f>IF(M22852="","",'Master Barang'!A46)</f>
        <v>0</v>
      </c>
      <c r="O22852">
        <f>IF(N22852="","",'Master Barang'!B46)</f>
        <v>0</v>
      </c>
      <c r="P22852">
        <f>IF(OR(M22852="",N22852=""),"",SUMIFS('Barang Keluar'!$E:$E,'Barang Keluar'!$A:$A,M22852,'Barang Keluar'!$C:$C,N22852))</f>
        <v>0</v>
      </c>
    </row>
    <row r="22853" spans="13:16">
      <c r="M22853" s="49">
        <f>IF($A$4+228&gt;$B$4,"",$A$4+228)</f>
        <v>46251</v>
      </c>
      <c r="N22853">
        <f>IF(M22853="","",'Master Barang'!A47)</f>
        <v>0</v>
      </c>
      <c r="O22853">
        <f>IF(N22853="","",'Master Barang'!B47)</f>
        <v>0</v>
      </c>
      <c r="P22853">
        <f>IF(OR(M22853="",N22853=""),"",SUMIFS('Barang Keluar'!$E:$E,'Barang Keluar'!$A:$A,M22853,'Barang Keluar'!$C:$C,N22853))</f>
        <v>0</v>
      </c>
    </row>
    <row r="22854" spans="13:16">
      <c r="M22854" s="49">
        <f>IF($A$4+228&gt;$B$4,"",$A$4+228)</f>
        <v>46251</v>
      </c>
      <c r="N22854">
        <f>IF(M22854="","",'Master Barang'!A48)</f>
        <v>0</v>
      </c>
      <c r="O22854">
        <f>IF(N22854="","",'Master Barang'!B48)</f>
        <v>0</v>
      </c>
      <c r="P22854">
        <f>IF(OR(M22854="",N22854=""),"",SUMIFS('Barang Keluar'!$E:$E,'Barang Keluar'!$A:$A,M22854,'Barang Keluar'!$C:$C,N22854))</f>
        <v>0</v>
      </c>
    </row>
    <row r="22855" spans="13:16">
      <c r="M22855" s="49">
        <f>IF($A$4+228&gt;$B$4,"",$A$4+228)</f>
        <v>46251</v>
      </c>
      <c r="N22855">
        <f>IF(M22855="","",'Master Barang'!A49)</f>
        <v>0</v>
      </c>
      <c r="O22855">
        <f>IF(N22855="","",'Master Barang'!B49)</f>
        <v>0</v>
      </c>
      <c r="P22855">
        <f>IF(OR(M22855="",N22855=""),"",SUMIFS('Barang Keluar'!$E:$E,'Barang Keluar'!$A:$A,M22855,'Barang Keluar'!$C:$C,N22855))</f>
        <v>0</v>
      </c>
    </row>
    <row r="22856" spans="13:16">
      <c r="M22856" s="49">
        <f>IF($A$4+228&gt;$B$4,"",$A$4+228)</f>
        <v>46251</v>
      </c>
      <c r="N22856">
        <f>IF(M22856="","",'Master Barang'!A50)</f>
        <v>0</v>
      </c>
      <c r="O22856">
        <f>IF(N22856="","",'Master Barang'!B50)</f>
        <v>0</v>
      </c>
      <c r="P22856">
        <f>IF(OR(M22856="",N22856=""),"",SUMIFS('Barang Keluar'!$E:$E,'Barang Keluar'!$A:$A,M22856,'Barang Keluar'!$C:$C,N22856))</f>
        <v>0</v>
      </c>
    </row>
    <row r="22857" spans="13:16">
      <c r="M22857" s="49">
        <f>IF($A$4+228&gt;$B$4,"",$A$4+228)</f>
        <v>46251</v>
      </c>
      <c r="N22857">
        <f>IF(M22857="","",'Master Barang'!A51)</f>
        <v>0</v>
      </c>
      <c r="O22857">
        <f>IF(N22857="","",'Master Barang'!B51)</f>
        <v>0</v>
      </c>
      <c r="P22857">
        <f>IF(OR(M22857="",N22857=""),"",SUMIFS('Barang Keluar'!$E:$E,'Barang Keluar'!$A:$A,M22857,'Barang Keluar'!$C:$C,N22857))</f>
        <v>0</v>
      </c>
    </row>
    <row r="22858" spans="13:16">
      <c r="M22858" s="49">
        <f>IF($A$4+228&gt;$B$4,"",$A$4+228)</f>
        <v>46251</v>
      </c>
      <c r="N22858">
        <f>IF(M22858="","",'Master Barang'!A52)</f>
        <v>0</v>
      </c>
      <c r="O22858">
        <f>IF(N22858="","",'Master Barang'!B52)</f>
        <v>0</v>
      </c>
      <c r="P22858">
        <f>IF(OR(M22858="",N22858=""),"",SUMIFS('Barang Keluar'!$E:$E,'Barang Keluar'!$A:$A,M22858,'Barang Keluar'!$C:$C,N22858))</f>
        <v>0</v>
      </c>
    </row>
    <row r="22859" spans="13:16">
      <c r="M22859" s="49">
        <f>IF($A$4+228&gt;$B$4,"",$A$4+228)</f>
        <v>46251</v>
      </c>
      <c r="N22859">
        <f>IF(M22859="","",'Master Barang'!A53)</f>
        <v>0</v>
      </c>
      <c r="O22859">
        <f>IF(N22859="","",'Master Barang'!B53)</f>
        <v>0</v>
      </c>
      <c r="P22859">
        <f>IF(OR(M22859="",N22859=""),"",SUMIFS('Barang Keluar'!$E:$E,'Barang Keluar'!$A:$A,M22859,'Barang Keluar'!$C:$C,N22859))</f>
        <v>0</v>
      </c>
    </row>
    <row r="22860" spans="13:16">
      <c r="M22860" s="49">
        <f>IF($A$4+228&gt;$B$4,"",$A$4+228)</f>
        <v>46251</v>
      </c>
      <c r="N22860">
        <f>IF(M22860="","",'Master Barang'!A54)</f>
        <v>0</v>
      </c>
      <c r="O22860">
        <f>IF(N22860="","",'Master Barang'!B54)</f>
        <v>0</v>
      </c>
      <c r="P22860">
        <f>IF(OR(M22860="",N22860=""),"",SUMIFS('Barang Keluar'!$E:$E,'Barang Keluar'!$A:$A,M22860,'Barang Keluar'!$C:$C,N22860))</f>
        <v>0</v>
      </c>
    </row>
    <row r="22861" spans="13:16">
      <c r="M22861" s="49">
        <f>IF($A$4+228&gt;$B$4,"",$A$4+228)</f>
        <v>46251</v>
      </c>
      <c r="N22861">
        <f>IF(M22861="","",'Master Barang'!A55)</f>
        <v>0</v>
      </c>
      <c r="O22861">
        <f>IF(N22861="","",'Master Barang'!B55)</f>
        <v>0</v>
      </c>
      <c r="P22861">
        <f>IF(OR(M22861="",N22861=""),"",SUMIFS('Barang Keluar'!$E:$E,'Barang Keluar'!$A:$A,M22861,'Barang Keluar'!$C:$C,N22861))</f>
        <v>0</v>
      </c>
    </row>
    <row r="22862" spans="13:16">
      <c r="M22862" s="49">
        <f>IF($A$4+228&gt;$B$4,"",$A$4+228)</f>
        <v>46251</v>
      </c>
      <c r="N22862">
        <f>IF(M22862="","",'Master Barang'!A56)</f>
        <v>0</v>
      </c>
      <c r="O22862">
        <f>IF(N22862="","",'Master Barang'!B56)</f>
        <v>0</v>
      </c>
      <c r="P22862">
        <f>IF(OR(M22862="",N22862=""),"",SUMIFS('Barang Keluar'!$E:$E,'Barang Keluar'!$A:$A,M22862,'Barang Keluar'!$C:$C,N22862))</f>
        <v>0</v>
      </c>
    </row>
    <row r="22863" spans="13:16">
      <c r="M22863" s="49">
        <f>IF($A$4+228&gt;$B$4,"",$A$4+228)</f>
        <v>46251</v>
      </c>
      <c r="N22863">
        <f>IF(M22863="","",'Master Barang'!A57)</f>
        <v>0</v>
      </c>
      <c r="O22863">
        <f>IF(N22863="","",'Master Barang'!B57)</f>
        <v>0</v>
      </c>
      <c r="P22863">
        <f>IF(OR(M22863="",N22863=""),"",SUMIFS('Barang Keluar'!$E:$E,'Barang Keluar'!$A:$A,M22863,'Barang Keluar'!$C:$C,N22863))</f>
        <v>0</v>
      </c>
    </row>
    <row r="22864" spans="13:16">
      <c r="M22864" s="49">
        <f>IF($A$4+228&gt;$B$4,"",$A$4+228)</f>
        <v>46251</v>
      </c>
      <c r="N22864">
        <f>IF(M22864="","",'Master Barang'!A58)</f>
        <v>0</v>
      </c>
      <c r="O22864">
        <f>IF(N22864="","",'Master Barang'!B58)</f>
        <v>0</v>
      </c>
      <c r="P22864">
        <f>IF(OR(M22864="",N22864=""),"",SUMIFS('Barang Keluar'!$E:$E,'Barang Keluar'!$A:$A,M22864,'Barang Keluar'!$C:$C,N22864))</f>
        <v>0</v>
      </c>
    </row>
    <row r="22865" spans="13:16">
      <c r="M22865" s="49">
        <f>IF($A$4+228&gt;$B$4,"",$A$4+228)</f>
        <v>46251</v>
      </c>
      <c r="N22865">
        <f>IF(M22865="","",'Master Barang'!A59)</f>
        <v>0</v>
      </c>
      <c r="O22865">
        <f>IF(N22865="","",'Master Barang'!B59)</f>
        <v>0</v>
      </c>
      <c r="P22865">
        <f>IF(OR(M22865="",N22865=""),"",SUMIFS('Barang Keluar'!$E:$E,'Barang Keluar'!$A:$A,M22865,'Barang Keluar'!$C:$C,N22865))</f>
        <v>0</v>
      </c>
    </row>
    <row r="22866" spans="13:16">
      <c r="M22866" s="49">
        <f>IF($A$4+228&gt;$B$4,"",$A$4+228)</f>
        <v>46251</v>
      </c>
      <c r="N22866">
        <f>IF(M22866="","",'Master Barang'!A60)</f>
        <v>0</v>
      </c>
      <c r="O22866">
        <f>IF(N22866="","",'Master Barang'!B60)</f>
        <v>0</v>
      </c>
      <c r="P22866">
        <f>IF(OR(M22866="",N22866=""),"",SUMIFS('Barang Keluar'!$E:$E,'Barang Keluar'!$A:$A,M22866,'Barang Keluar'!$C:$C,N22866))</f>
        <v>0</v>
      </c>
    </row>
    <row r="22867" spans="13:16">
      <c r="M22867" s="49">
        <f>IF($A$4+228&gt;$B$4,"",$A$4+228)</f>
        <v>46251</v>
      </c>
      <c r="N22867">
        <f>IF(M22867="","",'Master Barang'!A61)</f>
        <v>0</v>
      </c>
      <c r="O22867">
        <f>IF(N22867="","",'Master Barang'!B61)</f>
        <v>0</v>
      </c>
      <c r="P22867">
        <f>IF(OR(M22867="",N22867=""),"",SUMIFS('Barang Keluar'!$E:$E,'Barang Keluar'!$A:$A,M22867,'Barang Keluar'!$C:$C,N22867))</f>
        <v>0</v>
      </c>
    </row>
    <row r="22868" spans="13:16">
      <c r="M22868" s="49">
        <f>IF($A$4+228&gt;$B$4,"",$A$4+228)</f>
        <v>46251</v>
      </c>
      <c r="N22868">
        <f>IF(M22868="","",'Master Barang'!A62)</f>
        <v>0</v>
      </c>
      <c r="O22868">
        <f>IF(N22868="","",'Master Barang'!B62)</f>
        <v>0</v>
      </c>
      <c r="P22868">
        <f>IF(OR(M22868="",N22868=""),"",SUMIFS('Barang Keluar'!$E:$E,'Barang Keluar'!$A:$A,M22868,'Barang Keluar'!$C:$C,N22868))</f>
        <v>0</v>
      </c>
    </row>
    <row r="22869" spans="13:16">
      <c r="M22869" s="49">
        <f>IF($A$4+228&gt;$B$4,"",$A$4+228)</f>
        <v>46251</v>
      </c>
      <c r="N22869">
        <f>IF(M22869="","",'Master Barang'!A63)</f>
        <v>0</v>
      </c>
      <c r="O22869">
        <f>IF(N22869="","",'Master Barang'!B63)</f>
        <v>0</v>
      </c>
      <c r="P22869">
        <f>IF(OR(M22869="",N22869=""),"",SUMIFS('Barang Keluar'!$E:$E,'Barang Keluar'!$A:$A,M22869,'Barang Keluar'!$C:$C,N22869))</f>
        <v>0</v>
      </c>
    </row>
    <row r="22870" spans="13:16">
      <c r="M22870" s="49">
        <f>IF($A$4+228&gt;$B$4,"",$A$4+228)</f>
        <v>46251</v>
      </c>
      <c r="N22870">
        <f>IF(M22870="","",'Master Barang'!A64)</f>
        <v>0</v>
      </c>
      <c r="O22870">
        <f>IF(N22870="","",'Master Barang'!B64)</f>
        <v>0</v>
      </c>
      <c r="P22870">
        <f>IF(OR(M22870="",N22870=""),"",SUMIFS('Barang Keluar'!$E:$E,'Barang Keluar'!$A:$A,M22870,'Barang Keluar'!$C:$C,N22870))</f>
        <v>0</v>
      </c>
    </row>
    <row r="22871" spans="13:16">
      <c r="M22871" s="49">
        <f>IF($A$4+228&gt;$B$4,"",$A$4+228)</f>
        <v>46251</v>
      </c>
      <c r="N22871">
        <f>IF(M22871="","",'Master Barang'!A65)</f>
        <v>0</v>
      </c>
      <c r="O22871">
        <f>IF(N22871="","",'Master Barang'!B65)</f>
        <v>0</v>
      </c>
      <c r="P22871">
        <f>IF(OR(M22871="",N22871=""),"",SUMIFS('Barang Keluar'!$E:$E,'Barang Keluar'!$A:$A,M22871,'Barang Keluar'!$C:$C,N22871))</f>
        <v>0</v>
      </c>
    </row>
    <row r="22872" spans="13:16">
      <c r="M22872" s="49">
        <f>IF($A$4+228&gt;$B$4,"",$A$4+228)</f>
        <v>46251</v>
      </c>
      <c r="N22872">
        <f>IF(M22872="","",'Master Barang'!A66)</f>
        <v>0</v>
      </c>
      <c r="O22872">
        <f>IF(N22872="","",'Master Barang'!B66)</f>
        <v>0</v>
      </c>
      <c r="P22872">
        <f>IF(OR(M22872="",N22872=""),"",SUMIFS('Barang Keluar'!$E:$E,'Barang Keluar'!$A:$A,M22872,'Barang Keluar'!$C:$C,N22872))</f>
        <v>0</v>
      </c>
    </row>
    <row r="22873" spans="13:16">
      <c r="M22873" s="49">
        <f>IF($A$4+228&gt;$B$4,"",$A$4+228)</f>
        <v>46251</v>
      </c>
      <c r="N22873">
        <f>IF(M22873="","",'Master Barang'!A67)</f>
        <v>0</v>
      </c>
      <c r="O22873">
        <f>IF(N22873="","",'Master Barang'!B67)</f>
        <v>0</v>
      </c>
      <c r="P22873">
        <f>IF(OR(M22873="",N22873=""),"",SUMIFS('Barang Keluar'!$E:$E,'Barang Keluar'!$A:$A,M22873,'Barang Keluar'!$C:$C,N22873))</f>
        <v>0</v>
      </c>
    </row>
    <row r="22874" spans="13:16">
      <c r="M22874" s="49">
        <f>IF($A$4+228&gt;$B$4,"",$A$4+228)</f>
        <v>46251</v>
      </c>
      <c r="N22874">
        <f>IF(M22874="","",'Master Barang'!A68)</f>
        <v>0</v>
      </c>
      <c r="O22874">
        <f>IF(N22874="","",'Master Barang'!B68)</f>
        <v>0</v>
      </c>
      <c r="P22874">
        <f>IF(OR(M22874="",N22874=""),"",SUMIFS('Barang Keluar'!$E:$E,'Barang Keluar'!$A:$A,M22874,'Barang Keluar'!$C:$C,N22874))</f>
        <v>0</v>
      </c>
    </row>
    <row r="22875" spans="13:16">
      <c r="M22875" s="49">
        <f>IF($A$4+228&gt;$B$4,"",$A$4+228)</f>
        <v>46251</v>
      </c>
      <c r="N22875">
        <f>IF(M22875="","",'Master Barang'!A69)</f>
        <v>0</v>
      </c>
      <c r="O22875">
        <f>IF(N22875="","",'Master Barang'!B69)</f>
        <v>0</v>
      </c>
      <c r="P22875">
        <f>IF(OR(M22875="",N22875=""),"",SUMIFS('Barang Keluar'!$E:$E,'Barang Keluar'!$A:$A,M22875,'Barang Keluar'!$C:$C,N22875))</f>
        <v>0</v>
      </c>
    </row>
    <row r="22876" spans="13:16">
      <c r="M22876" s="49">
        <f>IF($A$4+228&gt;$B$4,"",$A$4+228)</f>
        <v>46251</v>
      </c>
      <c r="N22876">
        <f>IF(M22876="","",'Master Barang'!A70)</f>
        <v>0</v>
      </c>
      <c r="O22876">
        <f>IF(N22876="","",'Master Barang'!B70)</f>
        <v>0</v>
      </c>
      <c r="P22876">
        <f>IF(OR(M22876="",N22876=""),"",SUMIFS('Barang Keluar'!$E:$E,'Barang Keluar'!$A:$A,M22876,'Barang Keluar'!$C:$C,N22876))</f>
        <v>0</v>
      </c>
    </row>
    <row r="22877" spans="13:16">
      <c r="M22877" s="49">
        <f>IF($A$4+228&gt;$B$4,"",$A$4+228)</f>
        <v>46251</v>
      </c>
      <c r="N22877">
        <f>IF(M22877="","",'Master Barang'!A71)</f>
        <v>0</v>
      </c>
      <c r="O22877">
        <f>IF(N22877="","",'Master Barang'!B71)</f>
        <v>0</v>
      </c>
      <c r="P22877">
        <f>IF(OR(M22877="",N22877=""),"",SUMIFS('Barang Keluar'!$E:$E,'Barang Keluar'!$A:$A,M22877,'Barang Keluar'!$C:$C,N22877))</f>
        <v>0</v>
      </c>
    </row>
    <row r="22878" spans="13:16">
      <c r="M22878" s="49">
        <f>IF($A$4+228&gt;$B$4,"",$A$4+228)</f>
        <v>46251</v>
      </c>
      <c r="N22878">
        <f>IF(M22878="","",'Master Barang'!A72)</f>
        <v>0</v>
      </c>
      <c r="O22878">
        <f>IF(N22878="","",'Master Barang'!B72)</f>
        <v>0</v>
      </c>
      <c r="P22878">
        <f>IF(OR(M22878="",N22878=""),"",SUMIFS('Barang Keluar'!$E:$E,'Barang Keluar'!$A:$A,M22878,'Barang Keluar'!$C:$C,N22878))</f>
        <v>0</v>
      </c>
    </row>
    <row r="22879" spans="13:16">
      <c r="M22879" s="49">
        <f>IF($A$4+228&gt;$B$4,"",$A$4+228)</f>
        <v>46251</v>
      </c>
      <c r="N22879">
        <f>IF(M22879="","",'Master Barang'!A73)</f>
        <v>0</v>
      </c>
      <c r="O22879">
        <f>IF(N22879="","",'Master Barang'!B73)</f>
        <v>0</v>
      </c>
      <c r="P22879">
        <f>IF(OR(M22879="",N22879=""),"",SUMIFS('Barang Keluar'!$E:$E,'Barang Keluar'!$A:$A,M22879,'Barang Keluar'!$C:$C,N22879))</f>
        <v>0</v>
      </c>
    </row>
    <row r="22880" spans="13:16">
      <c r="M22880" s="49">
        <f>IF($A$4+228&gt;$B$4,"",$A$4+228)</f>
        <v>46251</v>
      </c>
      <c r="N22880">
        <f>IF(M22880="","",'Master Barang'!A74)</f>
        <v>0</v>
      </c>
      <c r="O22880">
        <f>IF(N22880="","",'Master Barang'!B74)</f>
        <v>0</v>
      </c>
      <c r="P22880">
        <f>IF(OR(M22880="",N22880=""),"",SUMIFS('Barang Keluar'!$E:$E,'Barang Keluar'!$A:$A,M22880,'Barang Keluar'!$C:$C,N22880))</f>
        <v>0</v>
      </c>
    </row>
    <row r="22881" spans="13:16">
      <c r="M22881" s="49">
        <f>IF($A$4+228&gt;$B$4,"",$A$4+228)</f>
        <v>46251</v>
      </c>
      <c r="N22881">
        <f>IF(M22881="","",'Master Barang'!A75)</f>
        <v>0</v>
      </c>
      <c r="O22881">
        <f>IF(N22881="","",'Master Barang'!B75)</f>
        <v>0</v>
      </c>
      <c r="P22881">
        <f>IF(OR(M22881="",N22881=""),"",SUMIFS('Barang Keluar'!$E:$E,'Barang Keluar'!$A:$A,M22881,'Barang Keluar'!$C:$C,N22881))</f>
        <v>0</v>
      </c>
    </row>
    <row r="22882" spans="13:16">
      <c r="M22882" s="49">
        <f>IF($A$4+228&gt;$B$4,"",$A$4+228)</f>
        <v>46251</v>
      </c>
      <c r="N22882">
        <f>IF(M22882="","",'Master Barang'!A76)</f>
        <v>0</v>
      </c>
      <c r="O22882">
        <f>IF(N22882="","",'Master Barang'!B76)</f>
        <v>0</v>
      </c>
      <c r="P22882">
        <f>IF(OR(M22882="",N22882=""),"",SUMIFS('Barang Keluar'!$E:$E,'Barang Keluar'!$A:$A,M22882,'Barang Keluar'!$C:$C,N22882))</f>
        <v>0</v>
      </c>
    </row>
    <row r="22883" spans="13:16">
      <c r="M22883" s="49">
        <f>IF($A$4+228&gt;$B$4,"",$A$4+228)</f>
        <v>46251</v>
      </c>
      <c r="N22883">
        <f>IF(M22883="","",'Master Barang'!A77)</f>
        <v>0</v>
      </c>
      <c r="O22883">
        <f>IF(N22883="","",'Master Barang'!B77)</f>
        <v>0</v>
      </c>
      <c r="P22883">
        <f>IF(OR(M22883="",N22883=""),"",SUMIFS('Barang Keluar'!$E:$E,'Barang Keluar'!$A:$A,M22883,'Barang Keluar'!$C:$C,N22883))</f>
        <v>0</v>
      </c>
    </row>
    <row r="22884" spans="13:16">
      <c r="M22884" s="49">
        <f>IF($A$4+228&gt;$B$4,"",$A$4+228)</f>
        <v>46251</v>
      </c>
      <c r="N22884">
        <f>IF(M22884="","",'Master Barang'!A78)</f>
        <v>0</v>
      </c>
      <c r="O22884">
        <f>IF(N22884="","",'Master Barang'!B78)</f>
        <v>0</v>
      </c>
      <c r="P22884">
        <f>IF(OR(M22884="",N22884=""),"",SUMIFS('Barang Keluar'!$E:$E,'Barang Keluar'!$A:$A,M22884,'Barang Keluar'!$C:$C,N22884))</f>
        <v>0</v>
      </c>
    </row>
    <row r="22885" spans="13:16">
      <c r="M22885" s="49">
        <f>IF($A$4+228&gt;$B$4,"",$A$4+228)</f>
        <v>46251</v>
      </c>
      <c r="N22885">
        <f>IF(M22885="","",'Master Barang'!A79)</f>
        <v>0</v>
      </c>
      <c r="O22885">
        <f>IF(N22885="","",'Master Barang'!B79)</f>
        <v>0</v>
      </c>
      <c r="P22885">
        <f>IF(OR(M22885="",N22885=""),"",SUMIFS('Barang Keluar'!$E:$E,'Barang Keluar'!$A:$A,M22885,'Barang Keluar'!$C:$C,N22885))</f>
        <v>0</v>
      </c>
    </row>
    <row r="22886" spans="13:16">
      <c r="M22886" s="49">
        <f>IF($A$4+228&gt;$B$4,"",$A$4+228)</f>
        <v>46251</v>
      </c>
      <c r="N22886">
        <f>IF(M22886="","",'Master Barang'!A80)</f>
        <v>0</v>
      </c>
      <c r="O22886">
        <f>IF(N22886="","",'Master Barang'!B80)</f>
        <v>0</v>
      </c>
      <c r="P22886">
        <f>IF(OR(M22886="",N22886=""),"",SUMIFS('Barang Keluar'!$E:$E,'Barang Keluar'!$A:$A,M22886,'Barang Keluar'!$C:$C,N22886))</f>
        <v>0</v>
      </c>
    </row>
    <row r="22887" spans="13:16">
      <c r="M22887" s="49">
        <f>IF($A$4+228&gt;$B$4,"",$A$4+228)</f>
        <v>46251</v>
      </c>
      <c r="N22887">
        <f>IF(M22887="","",'Master Barang'!A81)</f>
        <v>0</v>
      </c>
      <c r="O22887">
        <f>IF(N22887="","",'Master Barang'!B81)</f>
        <v>0</v>
      </c>
      <c r="P22887">
        <f>IF(OR(M22887="",N22887=""),"",SUMIFS('Barang Keluar'!$E:$E,'Barang Keluar'!$A:$A,M22887,'Barang Keluar'!$C:$C,N22887))</f>
        <v>0</v>
      </c>
    </row>
    <row r="22888" spans="13:16">
      <c r="M22888" s="49">
        <f>IF($A$4+228&gt;$B$4,"",$A$4+228)</f>
        <v>46251</v>
      </c>
      <c r="N22888">
        <f>IF(M22888="","",'Master Barang'!A82)</f>
        <v>0</v>
      </c>
      <c r="O22888">
        <f>IF(N22888="","",'Master Barang'!B82)</f>
        <v>0</v>
      </c>
      <c r="P22888">
        <f>IF(OR(M22888="",N22888=""),"",SUMIFS('Barang Keluar'!$E:$E,'Barang Keluar'!$A:$A,M22888,'Barang Keluar'!$C:$C,N22888))</f>
        <v>0</v>
      </c>
    </row>
    <row r="22889" spans="13:16">
      <c r="M22889" s="49">
        <f>IF($A$4+228&gt;$B$4,"",$A$4+228)</f>
        <v>46251</v>
      </c>
      <c r="N22889">
        <f>IF(M22889="","",'Master Barang'!A83)</f>
        <v>0</v>
      </c>
      <c r="O22889">
        <f>IF(N22889="","",'Master Barang'!B83)</f>
        <v>0</v>
      </c>
      <c r="P22889">
        <f>IF(OR(M22889="",N22889=""),"",SUMIFS('Barang Keluar'!$E:$E,'Barang Keluar'!$A:$A,M22889,'Barang Keluar'!$C:$C,N22889))</f>
        <v>0</v>
      </c>
    </row>
    <row r="22890" spans="13:16">
      <c r="M22890" s="49">
        <f>IF($A$4+228&gt;$B$4,"",$A$4+228)</f>
        <v>46251</v>
      </c>
      <c r="N22890">
        <f>IF(M22890="","",'Master Barang'!A84)</f>
        <v>0</v>
      </c>
      <c r="O22890">
        <f>IF(N22890="","",'Master Barang'!B84)</f>
        <v>0</v>
      </c>
      <c r="P22890">
        <f>IF(OR(M22890="",N22890=""),"",SUMIFS('Barang Keluar'!$E:$E,'Barang Keluar'!$A:$A,M22890,'Barang Keluar'!$C:$C,N22890))</f>
        <v>0</v>
      </c>
    </row>
    <row r="22891" spans="13:16">
      <c r="M22891" s="49">
        <f>IF($A$4+228&gt;$B$4,"",$A$4+228)</f>
        <v>46251</v>
      </c>
      <c r="N22891">
        <f>IF(M22891="","",'Master Barang'!A85)</f>
        <v>0</v>
      </c>
      <c r="O22891">
        <f>IF(N22891="","",'Master Barang'!B85)</f>
        <v>0</v>
      </c>
      <c r="P22891">
        <f>IF(OR(M22891="",N22891=""),"",SUMIFS('Barang Keluar'!$E:$E,'Barang Keluar'!$A:$A,M22891,'Barang Keluar'!$C:$C,N22891))</f>
        <v>0</v>
      </c>
    </row>
    <row r="22892" spans="13:16">
      <c r="M22892" s="49">
        <f>IF($A$4+228&gt;$B$4,"",$A$4+228)</f>
        <v>46251</v>
      </c>
      <c r="N22892">
        <f>IF(M22892="","",'Master Barang'!A86)</f>
        <v>0</v>
      </c>
      <c r="O22892">
        <f>IF(N22892="","",'Master Barang'!B86)</f>
        <v>0</v>
      </c>
      <c r="P22892">
        <f>IF(OR(M22892="",N22892=""),"",SUMIFS('Barang Keluar'!$E:$E,'Barang Keluar'!$A:$A,M22892,'Barang Keluar'!$C:$C,N22892))</f>
        <v>0</v>
      </c>
    </row>
    <row r="22893" spans="13:16">
      <c r="M22893" s="49">
        <f>IF($A$4+228&gt;$B$4,"",$A$4+228)</f>
        <v>46251</v>
      </c>
      <c r="N22893">
        <f>IF(M22893="","",'Master Barang'!A87)</f>
        <v>0</v>
      </c>
      <c r="O22893">
        <f>IF(N22893="","",'Master Barang'!B87)</f>
        <v>0</v>
      </c>
      <c r="P22893">
        <f>IF(OR(M22893="",N22893=""),"",SUMIFS('Barang Keluar'!$E:$E,'Barang Keluar'!$A:$A,M22893,'Barang Keluar'!$C:$C,N22893))</f>
        <v>0</v>
      </c>
    </row>
    <row r="22894" spans="13:16">
      <c r="M22894" s="49">
        <f>IF($A$4+228&gt;$B$4,"",$A$4+228)</f>
        <v>46251</v>
      </c>
      <c r="N22894">
        <f>IF(M22894="","",'Master Barang'!A88)</f>
        <v>0</v>
      </c>
      <c r="O22894">
        <f>IF(N22894="","",'Master Barang'!B88)</f>
        <v>0</v>
      </c>
      <c r="P22894">
        <f>IF(OR(M22894="",N22894=""),"",SUMIFS('Barang Keluar'!$E:$E,'Barang Keluar'!$A:$A,M22894,'Barang Keluar'!$C:$C,N22894))</f>
        <v>0</v>
      </c>
    </row>
    <row r="22895" spans="13:16">
      <c r="M22895" s="49">
        <f>IF($A$4+228&gt;$B$4,"",$A$4+228)</f>
        <v>46251</v>
      </c>
      <c r="N22895">
        <f>IF(M22895="","",'Master Barang'!A89)</f>
        <v>0</v>
      </c>
      <c r="O22895">
        <f>IF(N22895="","",'Master Barang'!B89)</f>
        <v>0</v>
      </c>
      <c r="P22895">
        <f>IF(OR(M22895="",N22895=""),"",SUMIFS('Barang Keluar'!$E:$E,'Barang Keluar'!$A:$A,M22895,'Barang Keluar'!$C:$C,N22895))</f>
        <v>0</v>
      </c>
    </row>
    <row r="22896" spans="13:16">
      <c r="M22896" s="49">
        <f>IF($A$4+228&gt;$B$4,"",$A$4+228)</f>
        <v>46251</v>
      </c>
      <c r="N22896">
        <f>IF(M22896="","",'Master Barang'!A90)</f>
        <v>0</v>
      </c>
      <c r="O22896">
        <f>IF(N22896="","",'Master Barang'!B90)</f>
        <v>0</v>
      </c>
      <c r="P22896">
        <f>IF(OR(M22896="",N22896=""),"",SUMIFS('Barang Keluar'!$E:$E,'Barang Keluar'!$A:$A,M22896,'Barang Keluar'!$C:$C,N22896))</f>
        <v>0</v>
      </c>
    </row>
    <row r="22897" spans="13:16">
      <c r="M22897" s="49">
        <f>IF($A$4+228&gt;$B$4,"",$A$4+228)</f>
        <v>46251</v>
      </c>
      <c r="N22897">
        <f>IF(M22897="","",'Master Barang'!A91)</f>
        <v>0</v>
      </c>
      <c r="O22897">
        <f>IF(N22897="","",'Master Barang'!B91)</f>
        <v>0</v>
      </c>
      <c r="P22897">
        <f>IF(OR(M22897="",N22897=""),"",SUMIFS('Barang Keluar'!$E:$E,'Barang Keluar'!$A:$A,M22897,'Barang Keluar'!$C:$C,N22897))</f>
        <v>0</v>
      </c>
    </row>
    <row r="22898" spans="13:16">
      <c r="M22898" s="49">
        <f>IF($A$4+228&gt;$B$4,"",$A$4+228)</f>
        <v>46251</v>
      </c>
      <c r="N22898">
        <f>IF(M22898="","",'Master Barang'!A92)</f>
        <v>0</v>
      </c>
      <c r="O22898">
        <f>IF(N22898="","",'Master Barang'!B92)</f>
        <v>0</v>
      </c>
      <c r="P22898">
        <f>IF(OR(M22898="",N22898=""),"",SUMIFS('Barang Keluar'!$E:$E,'Barang Keluar'!$A:$A,M22898,'Barang Keluar'!$C:$C,N22898))</f>
        <v>0</v>
      </c>
    </row>
    <row r="22899" spans="13:16">
      <c r="M22899" s="49">
        <f>IF($A$4+228&gt;$B$4,"",$A$4+228)</f>
        <v>46251</v>
      </c>
      <c r="N22899">
        <f>IF(M22899="","",'Master Barang'!A93)</f>
        <v>0</v>
      </c>
      <c r="O22899">
        <f>IF(N22899="","",'Master Barang'!B93)</f>
        <v>0</v>
      </c>
      <c r="P22899">
        <f>IF(OR(M22899="",N22899=""),"",SUMIFS('Barang Keluar'!$E:$E,'Barang Keluar'!$A:$A,M22899,'Barang Keluar'!$C:$C,N22899))</f>
        <v>0</v>
      </c>
    </row>
    <row r="22900" spans="13:16">
      <c r="M22900" s="49">
        <f>IF($A$4+228&gt;$B$4,"",$A$4+228)</f>
        <v>46251</v>
      </c>
      <c r="N22900">
        <f>IF(M22900="","",'Master Barang'!A94)</f>
        <v>0</v>
      </c>
      <c r="O22900">
        <f>IF(N22900="","",'Master Barang'!B94)</f>
        <v>0</v>
      </c>
      <c r="P22900">
        <f>IF(OR(M22900="",N22900=""),"",SUMIFS('Barang Keluar'!$E:$E,'Barang Keluar'!$A:$A,M22900,'Barang Keluar'!$C:$C,N22900))</f>
        <v>0</v>
      </c>
    </row>
    <row r="22901" spans="13:16">
      <c r="M22901" s="49">
        <f>IF($A$4+228&gt;$B$4,"",$A$4+228)</f>
        <v>46251</v>
      </c>
      <c r="N22901">
        <f>IF(M22901="","",'Master Barang'!A95)</f>
        <v>0</v>
      </c>
      <c r="O22901">
        <f>IF(N22901="","",'Master Barang'!B95)</f>
        <v>0</v>
      </c>
      <c r="P22901">
        <f>IF(OR(M22901="",N22901=""),"",SUMIFS('Barang Keluar'!$E:$E,'Barang Keluar'!$A:$A,M22901,'Barang Keluar'!$C:$C,N22901))</f>
        <v>0</v>
      </c>
    </row>
    <row r="22902" spans="13:16">
      <c r="M22902" s="49">
        <f>IF($A$4+228&gt;$B$4,"",$A$4+228)</f>
        <v>46251</v>
      </c>
      <c r="N22902">
        <f>IF(M22902="","",'Master Barang'!A96)</f>
        <v>0</v>
      </c>
      <c r="O22902">
        <f>IF(N22902="","",'Master Barang'!B96)</f>
        <v>0</v>
      </c>
      <c r="P22902">
        <f>IF(OR(M22902="",N22902=""),"",SUMIFS('Barang Keluar'!$E:$E,'Barang Keluar'!$A:$A,M22902,'Barang Keluar'!$C:$C,N22902))</f>
        <v>0</v>
      </c>
    </row>
    <row r="22903" spans="13:16">
      <c r="M22903" s="49">
        <f>IF($A$4+228&gt;$B$4,"",$A$4+228)</f>
        <v>46251</v>
      </c>
      <c r="N22903">
        <f>IF(M22903="","",'Master Barang'!A97)</f>
        <v>0</v>
      </c>
      <c r="O22903">
        <f>IF(N22903="","",'Master Barang'!B97)</f>
        <v>0</v>
      </c>
      <c r="P22903">
        <f>IF(OR(M22903="",N22903=""),"",SUMIFS('Barang Keluar'!$E:$E,'Barang Keluar'!$A:$A,M22903,'Barang Keluar'!$C:$C,N22903))</f>
        <v>0</v>
      </c>
    </row>
    <row r="22904" spans="13:16">
      <c r="M22904" s="49">
        <f>IF($A$4+228&gt;$B$4,"",$A$4+228)</f>
        <v>46251</v>
      </c>
      <c r="N22904">
        <f>IF(M22904="","",'Master Barang'!A98)</f>
        <v>0</v>
      </c>
      <c r="O22904">
        <f>IF(N22904="","",'Master Barang'!B98)</f>
        <v>0</v>
      </c>
      <c r="P22904">
        <f>IF(OR(M22904="",N22904=""),"",SUMIFS('Barang Keluar'!$E:$E,'Barang Keluar'!$A:$A,M22904,'Barang Keluar'!$C:$C,N22904))</f>
        <v>0</v>
      </c>
    </row>
    <row r="22905" spans="13:16">
      <c r="M22905" s="49">
        <f>IF($A$4+228&gt;$B$4,"",$A$4+228)</f>
        <v>46251</v>
      </c>
      <c r="N22905">
        <f>IF(M22905="","",'Master Barang'!A99)</f>
        <v>0</v>
      </c>
      <c r="O22905">
        <f>IF(N22905="","",'Master Barang'!B99)</f>
        <v>0</v>
      </c>
      <c r="P22905">
        <f>IF(OR(M22905="",N22905=""),"",SUMIFS('Barang Keluar'!$E:$E,'Barang Keluar'!$A:$A,M22905,'Barang Keluar'!$C:$C,N22905))</f>
        <v>0</v>
      </c>
    </row>
    <row r="22906" spans="13:16">
      <c r="M22906" s="49">
        <f>IF($A$4+228&gt;$B$4,"",$A$4+228)</f>
        <v>46251</v>
      </c>
      <c r="N22906">
        <f>IF(M22906="","",'Master Barang'!A100)</f>
        <v>0</v>
      </c>
      <c r="O22906">
        <f>IF(N22906="","",'Master Barang'!B100)</f>
        <v>0</v>
      </c>
      <c r="P22906">
        <f>IF(OR(M22906="",N22906=""),"",SUMIFS('Barang Keluar'!$E:$E,'Barang Keluar'!$A:$A,M22906,'Barang Keluar'!$C:$C,N22906))</f>
        <v>0</v>
      </c>
    </row>
    <row r="22907" spans="13:16">
      <c r="M22907" s="49">
        <f>IF($A$4+228&gt;$B$4,"",$A$4+228)</f>
        <v>46251</v>
      </c>
      <c r="N22907">
        <f>IF(M22907="","",'Master Barang'!A101)</f>
        <v>0</v>
      </c>
      <c r="O22907">
        <f>IF(N22907="","",'Master Barang'!B101)</f>
        <v>0</v>
      </c>
      <c r="P22907">
        <f>IF(OR(M22907="",N22907=""),"",SUMIFS('Barang Keluar'!$E:$E,'Barang Keluar'!$A:$A,M22907,'Barang Keluar'!$C:$C,N22907))</f>
        <v>0</v>
      </c>
    </row>
    <row r="22908" spans="13:16">
      <c r="M22908" s="49">
        <f>IF($A$4+229&gt;$B$4,"",$A$4+229)</f>
        <v>46252</v>
      </c>
      <c r="N22908" t="str">
        <f>IF(M22908="","",'Master Barang'!A2)</f>
        <v>PRL-001</v>
      </c>
      <c r="O22908" t="str">
        <f>IF(N22908="","",'Master Barang'!B2)</f>
        <v>natura desinfectant food grade 5l</v>
      </c>
      <c r="P22908">
        <f>IF(OR(M22908="",N22908=""),"",SUMIFS('Barang Keluar'!$E:$E,'Barang Keluar'!$A:$A,M22908,'Barang Keluar'!$C:$C,N22908))</f>
        <v>0</v>
      </c>
    </row>
    <row r="22909" spans="13:16">
      <c r="M22909" s="49">
        <f>IF($A$4+229&gt;$B$4,"",$A$4+229)</f>
        <v>46252</v>
      </c>
      <c r="N22909" t="str">
        <f>IF(M22909="","",'Master Barang'!A3)</f>
        <v>PRL-002</v>
      </c>
      <c r="O22909" t="str">
        <f>IF(N22909="","",'Master Barang'!B3)</f>
        <v>sunlight cairan pencuci piring 5l</v>
      </c>
      <c r="P22909">
        <f>IF(OR(M22909="",N22909=""),"",SUMIFS('Barang Keluar'!$E:$E,'Barang Keluar'!$A:$A,M22909,'Barang Keluar'!$C:$C,N22909))</f>
        <v>0</v>
      </c>
    </row>
    <row r="22910" spans="13:16">
      <c r="M22910" s="49">
        <f>IF($A$4+229&gt;$B$4,"",$A$4+229)</f>
        <v>46252</v>
      </c>
      <c r="N22910" t="str">
        <f>IF(M22910="","",'Master Barang'!A4)</f>
        <v>PRL-003</v>
      </c>
      <c r="O22910" t="str">
        <f>IF(N22910="","",'Master Barang'!B4)</f>
        <v>oixs cleaner 1l</v>
      </c>
      <c r="P22910">
        <f>IF(OR(M22910="",N22910=""),"",SUMIFS('Barang Keluar'!$E:$E,'Barang Keluar'!$A:$A,M22910,'Barang Keluar'!$C:$C,N22910))</f>
        <v>0</v>
      </c>
    </row>
    <row r="22911" spans="13:16">
      <c r="M22911" s="49">
        <f>IF($A$4+229&gt;$B$4,"",$A$4+229)</f>
        <v>46252</v>
      </c>
      <c r="N22911" t="str">
        <f>IF(M22911="","",'Master Barang'!A5)</f>
        <v>PRL-004</v>
      </c>
      <c r="O22911" t="str">
        <f>IF(N22911="","",'Master Barang'!B5)</f>
        <v>be clean tissue serbaguna</v>
      </c>
      <c r="P22911">
        <f>IF(OR(M22911="",N22911=""),"",SUMIFS('Barang Keluar'!$E:$E,'Barang Keluar'!$A:$A,M22911,'Barang Keluar'!$C:$C,N22911))</f>
        <v>0</v>
      </c>
    </row>
    <row r="22912" spans="13:16">
      <c r="M22912" s="49">
        <f>IF($A$4+229&gt;$B$4,"",$A$4+229)</f>
        <v>46252</v>
      </c>
      <c r="N22912" t="str">
        <f>IF(M22912="","",'Master Barang'!A6)</f>
        <v>PRL-005</v>
      </c>
      <c r="O22912" t="str">
        <f>IF(N22912="","",'Master Barang'!B6)</f>
        <v>spons cuci hijau</v>
      </c>
      <c r="P22912">
        <f>IF(OR(M22912="",N22912=""),"",SUMIFS('Barang Keluar'!$E:$E,'Barang Keluar'!$A:$A,M22912,'Barang Keluar'!$C:$C,N22912))</f>
        <v>0</v>
      </c>
    </row>
    <row r="22913" spans="13:16">
      <c r="M22913" s="49">
        <f>IF($A$4+229&gt;$B$4,"",$A$4+229)</f>
        <v>46252</v>
      </c>
      <c r="N22913" t="str">
        <f>IF(M22913="","",'Master Barang'!A7)</f>
        <v>PRL-006</v>
      </c>
      <c r="O22913" t="str">
        <f>IF(N22913="","",'Master Barang'!B7)</f>
        <v>sabut cuci stainless</v>
      </c>
      <c r="P22913">
        <f>IF(OR(M22913="",N22913=""),"",SUMIFS('Barang Keluar'!$E:$E,'Barang Keluar'!$A:$A,M22913,'Barang Keluar'!$C:$C,N22913))</f>
        <v>0</v>
      </c>
    </row>
    <row r="22914" spans="13:16">
      <c r="M22914" s="49">
        <f>IF($A$4+229&gt;$B$4,"",$A$4+229)</f>
        <v>46252</v>
      </c>
      <c r="N22914" t="str">
        <f>IF(M22914="","",'Master Barang'!A8)</f>
        <v>PRL-007</v>
      </c>
      <c r="O22914" t="str">
        <f>IF(N22914="","",'Master Barang'!B8)</f>
        <v>plastik kresek besar merah 50pc</v>
      </c>
      <c r="P22914">
        <f>IF(OR(M22914="",N22914=""),"",SUMIFS('Barang Keluar'!$E:$E,'Barang Keluar'!$A:$A,M22914,'Barang Keluar'!$C:$C,N22914))</f>
        <v>0</v>
      </c>
    </row>
    <row r="22915" spans="13:16">
      <c r="M22915" s="49">
        <f>IF($A$4+229&gt;$B$4,"",$A$4+229)</f>
        <v>46252</v>
      </c>
      <c r="N22915" t="str">
        <f>IF(M22915="","",'Master Barang'!A9)</f>
        <v>PRL-008</v>
      </c>
      <c r="O22915" t="str">
        <f>IF(N22915="","",'Master Barang'!B9)</f>
        <v>lap besar</v>
      </c>
      <c r="P22915">
        <f>IF(OR(M22915="",N22915=""),"",SUMIFS('Barang Keluar'!$E:$E,'Barang Keluar'!$A:$A,M22915,'Barang Keluar'!$C:$C,N22915))</f>
        <v>0</v>
      </c>
    </row>
    <row r="22916" spans="13:16">
      <c r="M22916" s="49">
        <f>IF($A$4+229&gt;$B$4,"",$A$4+229)</f>
        <v>46252</v>
      </c>
      <c r="N22916" t="str">
        <f>IF(M22916="","",'Master Barang'!A10)</f>
        <v>PRL-009</v>
      </c>
      <c r="O22916" t="str">
        <f>IF(N22916="","",'Master Barang'!B10)</f>
        <v>lap microfiber</v>
      </c>
      <c r="P22916">
        <f>IF(OR(M22916="",N22916=""),"",SUMIFS('Barang Keluar'!$E:$E,'Barang Keluar'!$A:$A,M22916,'Barang Keluar'!$C:$C,N22916))</f>
        <v>0</v>
      </c>
    </row>
    <row r="22917" spans="13:16">
      <c r="M22917" s="49">
        <f>IF($A$4+229&gt;$B$4,"",$A$4+229)</f>
        <v>46252</v>
      </c>
      <c r="N22917" t="str">
        <f>IF(M22917="","",'Master Barang'!A11)</f>
        <v>PRL-010</v>
      </c>
      <c r="O22917" t="str">
        <f>IF(N22917="","",'Master Barang'!B11)</f>
        <v>lap kecil</v>
      </c>
      <c r="P22917">
        <f>IF(OR(M22917="",N22917=""),"",SUMIFS('Barang Keluar'!$E:$E,'Barang Keluar'!$A:$A,M22917,'Barang Keluar'!$C:$C,N22917))</f>
        <v>0</v>
      </c>
    </row>
    <row r="22918" spans="13:16">
      <c r="M22918" s="49">
        <f>IF($A$4+229&gt;$B$4,"",$A$4+229)</f>
        <v>46252</v>
      </c>
      <c r="N22918" t="str">
        <f>IF(M22918="","",'Master Barang'!A12)</f>
        <v>PRL-011</v>
      </c>
      <c r="O22918" t="str">
        <f>IF(N22918="","",'Master Barang'!B12)</f>
        <v>kanebo kecil</v>
      </c>
      <c r="P22918">
        <f>IF(OR(M22918="",N22918=""),"",SUMIFS('Barang Keluar'!$E:$E,'Barang Keluar'!$A:$A,M22918,'Barang Keluar'!$C:$C,N22918))</f>
        <v>0</v>
      </c>
    </row>
    <row r="22919" spans="13:16">
      <c r="M22919" s="49">
        <f>IF($A$4+229&gt;$B$4,"",$A$4+229)</f>
        <v>46252</v>
      </c>
      <c r="N22919" t="str">
        <f>IF(M22919="","",'Master Barang'!A13)</f>
        <v>PRL-012</v>
      </c>
      <c r="O22919" t="str">
        <f>IF(N22919="","",'Master Barang'!B13)</f>
        <v>plastik 1/4kg joyoboyo 100 lembar</v>
      </c>
      <c r="P22919">
        <f>IF(OR(M22919="",N22919=""),"",SUMIFS('Barang Keluar'!$E:$E,'Barang Keluar'!$A:$A,M22919,'Barang Keluar'!$C:$C,N22919))</f>
        <v>0</v>
      </c>
    </row>
    <row r="22920" spans="13:16">
      <c r="M22920" s="49">
        <f>IF($A$4+229&gt;$B$4,"",$A$4+229)</f>
        <v>46252</v>
      </c>
      <c r="N22920" t="str">
        <f>IF(M22920="","",'Master Barang'!A14)</f>
        <v>PRL-013</v>
      </c>
      <c r="O22920" t="str">
        <f>IF(N22920="","",'Master Barang'!B14)</f>
        <v>sarung tangan plastik kaka 100 pcs</v>
      </c>
      <c r="P22920">
        <f>IF(OR(M22920="",N22920=""),"",SUMIFS('Barang Keluar'!$E:$E,'Barang Keluar'!$A:$A,M22920,'Barang Keluar'!$C:$C,N22920))</f>
        <v>0</v>
      </c>
    </row>
    <row r="22921" spans="13:16">
      <c r="M22921" s="49">
        <f>IF($A$4+229&gt;$B$4,"",$A$4+229)</f>
        <v>46252</v>
      </c>
      <c r="N22921" t="str">
        <f>IF(M22921="","",'Master Barang'!A15)</f>
        <v>PRL-014</v>
      </c>
      <c r="O22921" t="str">
        <f>IF(N22921="","",'Master Barang'!B15)</f>
        <v>optima trashbag 80x100</v>
      </c>
      <c r="P22921">
        <f>IF(OR(M22921="",N22921=""),"",SUMIFS('Barang Keluar'!$E:$E,'Barang Keluar'!$A:$A,M22921,'Barang Keluar'!$C:$C,N22921))</f>
        <v>0</v>
      </c>
    </row>
    <row r="22922" spans="13:16">
      <c r="M22922" s="49">
        <f>IF($A$4+229&gt;$B$4,"",$A$4+229)</f>
        <v>46252</v>
      </c>
      <c r="N22922" t="str">
        <f>IF(M22922="","",'Master Barang'!A16)</f>
        <v>PRL-015</v>
      </c>
      <c r="O22922" t="str">
        <f>IF(N22922="","",'Master Barang'!B16)</f>
        <v>optima trashbag 60x100</v>
      </c>
      <c r="P22922">
        <f>IF(OR(M22922="",N22922=""),"",SUMIFS('Barang Keluar'!$E:$E,'Barang Keluar'!$A:$A,M22922,'Barang Keluar'!$C:$C,N22922))</f>
        <v>0</v>
      </c>
    </row>
    <row r="22923" spans="13:16">
      <c r="M22923" s="49">
        <f>IF($A$4+229&gt;$B$4,"",$A$4+229)</f>
        <v>46252</v>
      </c>
      <c r="N22923" t="str">
        <f>IF(M22923="","",'Master Barang'!A17)</f>
        <v>PRL-016</v>
      </c>
      <c r="O22923" t="str">
        <f>IF(N22923="","",'Master Barang'!B17)</f>
        <v>rajawali trashbag 30x40</v>
      </c>
      <c r="P22923">
        <f>IF(OR(M22923="",N22923=""),"",SUMIFS('Barang Keluar'!$E:$E,'Barang Keluar'!$A:$A,M22923,'Barang Keluar'!$C:$C,N22923))</f>
        <v>0</v>
      </c>
    </row>
    <row r="22924" spans="13:16">
      <c r="M22924" s="49">
        <f>IF($A$4+229&gt;$B$4,"",$A$4+229)</f>
        <v>46252</v>
      </c>
      <c r="N22924" t="str">
        <f>IF(M22924="","",'Master Barang'!A18)</f>
        <v>PRL-017</v>
      </c>
      <c r="O22924" t="str">
        <f>IF(N22924="","",'Master Barang'!B18)</f>
        <v>onemed masker biru 3 play 50 pcs</v>
      </c>
      <c r="P22924">
        <f>IF(OR(M22924="",N22924=""),"",SUMIFS('Barang Keluar'!$E:$E,'Barang Keluar'!$A:$A,M22924,'Barang Keluar'!$C:$C,N22924))</f>
        <v>0</v>
      </c>
    </row>
    <row r="22925" spans="13:16">
      <c r="M22925" s="49">
        <f>IF($A$4+229&gt;$B$4,"",$A$4+229)</f>
        <v>46252</v>
      </c>
      <c r="N22925" t="str">
        <f>IF(M22925="","",'Master Barang'!A19)</f>
        <v>PRL-018</v>
      </c>
      <c r="O22925" t="str">
        <f>IF(N22925="","",'Master Barang'!B19)</f>
        <v>onemed masker biru 3 play hijab 50 pcs</v>
      </c>
      <c r="P22925">
        <f>IF(OR(M22925="",N22925=""),"",SUMIFS('Barang Keluar'!$E:$E,'Barang Keluar'!$A:$A,M22925,'Barang Keluar'!$C:$C,N22925))</f>
        <v>0</v>
      </c>
    </row>
    <row r="22926" spans="13:16">
      <c r="M22926" s="49">
        <f>IF($A$4+229&gt;$B$4,"",$A$4+229)</f>
        <v>46252</v>
      </c>
      <c r="N22926" t="str">
        <f>IF(M22926="","",'Master Barang'!A20)</f>
        <v>PRL-019</v>
      </c>
      <c r="O22926" t="str">
        <f>IF(N22926="","",'Master Barang'!B20)</f>
        <v>neo health masker biru 3 play 50 pcs</v>
      </c>
      <c r="P22926">
        <f>IF(OR(M22926="",N22926=""),"",SUMIFS('Barang Keluar'!$E:$E,'Barang Keluar'!$A:$A,M22926,'Barang Keluar'!$C:$C,N22926))</f>
        <v>0</v>
      </c>
    </row>
    <row r="22927" spans="13:16">
      <c r="M22927" s="49">
        <f>IF($A$4+229&gt;$B$4,"",$A$4+229)</f>
        <v>46252</v>
      </c>
      <c r="N22927" t="str">
        <f>IF(M22927="","",'Master Barang'!A21)</f>
        <v>PRL-020</v>
      </c>
      <c r="O22927" t="str">
        <f>IF(N22927="","",'Master Barang'!B21)</f>
        <v>baymed masker hijau 3 play hijau 50 pcs</v>
      </c>
      <c r="P22927">
        <f>IF(OR(M22927="",N22927=""),"",SUMIFS('Barang Keluar'!$E:$E,'Barang Keluar'!$A:$A,M22927,'Barang Keluar'!$C:$C,N22927))</f>
        <v>0</v>
      </c>
    </row>
    <row r="22928" spans="13:16">
      <c r="M22928" s="49">
        <f>IF($A$4+229&gt;$B$4,"",$A$4+229)</f>
        <v>46252</v>
      </c>
      <c r="N22928" t="str">
        <f>IF(M22928="","",'Master Barang'!A22)</f>
        <v>PRL-021</v>
      </c>
      <c r="O22928" t="str">
        <f>IF(N22928="","",'Master Barang'!B22)</f>
        <v>altamed nurse cap penutup kepala 100 pcs</v>
      </c>
      <c r="P22928">
        <f>IF(OR(M22928="",N22928=""),"",SUMIFS('Barang Keluar'!$E:$E,'Barang Keluar'!$A:$A,M22928,'Barang Keluar'!$C:$C,N22928))</f>
        <v>0</v>
      </c>
    </row>
    <row r="22929" spans="13:16">
      <c r="M22929" s="49">
        <f>IF($A$4+229&gt;$B$4,"",$A$4+229)</f>
        <v>46252</v>
      </c>
      <c r="N22929" t="str">
        <f>IF(M22929="","",'Master Barang'!A23)</f>
        <v>PRL-022</v>
      </c>
      <c r="O22929" t="str">
        <f>IF(N22929="","",'Master Barang'!B23)</f>
        <v>sabun cuci tangan</v>
      </c>
      <c r="P22929">
        <f>IF(OR(M22929="",N22929=""),"",SUMIFS('Barang Keluar'!$E:$E,'Barang Keluar'!$A:$A,M22929,'Barang Keluar'!$C:$C,N22929))</f>
        <v>0</v>
      </c>
    </row>
    <row r="22930" spans="13:16">
      <c r="M22930" s="49">
        <f>IF($A$4+229&gt;$B$4,"",$A$4+229)</f>
        <v>46252</v>
      </c>
      <c r="N22930" t="str">
        <f>IF(M22930="","",'Master Barang'!A24)</f>
        <v>PRL-023</v>
      </c>
      <c r="O22930" t="str">
        <f>IF(N22930="","",'Master Barang'!B24)</f>
        <v>gayung kecil</v>
      </c>
      <c r="P22930">
        <f>IF(OR(M22930="",N22930=""),"",SUMIFS('Barang Keluar'!$E:$E,'Barang Keluar'!$A:$A,M22930,'Barang Keluar'!$C:$C,N22930))</f>
        <v>0</v>
      </c>
    </row>
    <row r="22931" spans="13:16">
      <c r="M22931" s="49">
        <f>IF($A$4+229&gt;$B$4,"",$A$4+229)</f>
        <v>46252</v>
      </c>
      <c r="N22931" t="str">
        <f>IF(M22931="","",'Master Barang'!A25)</f>
        <v>PRL-024</v>
      </c>
      <c r="O22931" t="str">
        <f>IF(N22931="","",'Master Barang'!B25)</f>
        <v>cikrak kecil</v>
      </c>
      <c r="P22931">
        <f>IF(OR(M22931="",N22931=""),"",SUMIFS('Barang Keluar'!$E:$E,'Barang Keluar'!$A:$A,M22931,'Barang Keluar'!$C:$C,N22931))</f>
        <v>0</v>
      </c>
    </row>
    <row r="22932" spans="13:16">
      <c r="M22932" s="49">
        <f>IF($A$4+229&gt;$B$4,"",$A$4+229)</f>
        <v>46252</v>
      </c>
      <c r="N22932" t="str">
        <f>IF(M22932="","",'Master Barang'!A26)</f>
        <v>PRL-025</v>
      </c>
      <c r="O22932" t="str">
        <f>IF(N22932="","",'Master Barang'!B26)</f>
        <v>petromax plastik kecil 12x24 100 lembar</v>
      </c>
      <c r="P22932">
        <f>IF(OR(M22932="",N22932=""),"",SUMIFS('Barang Keluar'!$E:$E,'Barang Keluar'!$A:$A,M22932,'Barang Keluar'!$C:$C,N22932))</f>
        <v>0</v>
      </c>
    </row>
    <row r="22933" spans="13:16">
      <c r="M22933" s="49">
        <f>IF($A$4+229&gt;$B$4,"",$A$4+229)</f>
        <v>46252</v>
      </c>
      <c r="N22933" t="str">
        <f>IF(M22933="","",'Master Barang'!A27)</f>
        <v>PRL-026</v>
      </c>
      <c r="O22933" t="str">
        <f>IF(N22933="","",'Master Barang'!B27)</f>
        <v>lancar kresek kecil bening </v>
      </c>
      <c r="P22933">
        <f>IF(OR(M22933="",N22933=""),"",SUMIFS('Barang Keluar'!$E:$E,'Barang Keluar'!$A:$A,M22933,'Barang Keluar'!$C:$C,N22933))</f>
        <v>0</v>
      </c>
    </row>
    <row r="22934" spans="13:16">
      <c r="M22934" s="49">
        <f>IF($A$4+229&gt;$B$4,"",$A$4+229)</f>
        <v>46252</v>
      </c>
      <c r="N22934" t="str">
        <f>IF(M22934="","",'Master Barang'!A28)</f>
        <v>PRL-027</v>
      </c>
      <c r="O22934" t="str">
        <f>IF(N22934="","",'Master Barang'!B28)</f>
        <v>kresek klin warna warni kecil</v>
      </c>
      <c r="P22934">
        <f>IF(OR(M22934="",N22934=""),"",SUMIFS('Barang Keluar'!$E:$E,'Barang Keluar'!$A:$A,M22934,'Barang Keluar'!$C:$C,N22934))</f>
        <v>0</v>
      </c>
    </row>
    <row r="22935" spans="13:16">
      <c r="M22935" s="49">
        <f>IF($A$4+229&gt;$B$4,"",$A$4+229)</f>
        <v>46252</v>
      </c>
      <c r="N22935" t="str">
        <f>IF(M22935="","",'Master Barang'!A29)</f>
        <v>PRL-028</v>
      </c>
      <c r="O22935" t="str">
        <f>IF(N22935="","",'Master Barang'!B29)</f>
        <v>ctik plastik 7x10 100 pcs</v>
      </c>
      <c r="P22935">
        <f>IF(OR(M22935="",N22935=""),"",SUMIFS('Barang Keluar'!$E:$E,'Barang Keluar'!$A:$A,M22935,'Barang Keluar'!$C:$C,N22935))</f>
        <v>0</v>
      </c>
    </row>
    <row r="22936" spans="13:16">
      <c r="M22936" s="49">
        <f>IF($A$4+229&gt;$B$4,"",$A$4+229)</f>
        <v>46252</v>
      </c>
      <c r="N22936" t="str">
        <f>IF(M22936="","",'Master Barang'!A30)</f>
        <v>PRL-029</v>
      </c>
      <c r="O22936" t="str">
        <f>IF(N22936="","",'Master Barang'!B30)</f>
        <v>ctik plastik 6x10 100 pcs</v>
      </c>
      <c r="P22936">
        <f>IF(OR(M22936="",N22936=""),"",SUMIFS('Barang Keluar'!$E:$E,'Barang Keluar'!$A:$A,M22936,'Barang Keluar'!$C:$C,N22936))</f>
        <v>0</v>
      </c>
    </row>
    <row r="22937" spans="13:16">
      <c r="M22937" s="49">
        <f>IF($A$4+229&gt;$B$4,"",$A$4+229)</f>
        <v>46252</v>
      </c>
      <c r="N22937" t="str">
        <f>IF(M22937="","",'Master Barang'!A31)</f>
        <v>PRL-030</v>
      </c>
      <c r="O22937" t="str">
        <f>IF(N22937="","",'Master Barang'!B31)</f>
        <v>klip plastik 25x16 100 pcs</v>
      </c>
      <c r="P22937">
        <f>IF(OR(M22937="",N22937=""),"",SUMIFS('Barang Keluar'!$E:$E,'Barang Keluar'!$A:$A,M22937,'Barang Keluar'!$C:$C,N22937))</f>
        <v>0</v>
      </c>
    </row>
    <row r="22938" spans="13:16">
      <c r="M22938" s="49">
        <f>IF($A$4+229&gt;$B$4,"",$A$4+229)</f>
        <v>46252</v>
      </c>
      <c r="N22938" t="str">
        <f>IF(M22938="","",'Master Barang'!A32)</f>
        <v>PRL-031</v>
      </c>
      <c r="O22938" t="str">
        <f>IF(N22938="","",'Master Barang'!B32)</f>
        <v>tempat saus 20 ml</v>
      </c>
      <c r="P22938">
        <f>IF(OR(M22938="",N22938=""),"",SUMIFS('Barang Keluar'!$E:$E,'Barang Keluar'!$A:$A,M22938,'Barang Keluar'!$C:$C,N22938))</f>
        <v>0</v>
      </c>
    </row>
    <row r="22939" spans="13:16">
      <c r="M22939" s="49">
        <f>IF($A$4+229&gt;$B$4,"",$A$4+229)</f>
        <v>46252</v>
      </c>
      <c r="N22939" t="str">
        <f>IF(M22939="","",'Master Barang'!A33)</f>
        <v>PRL-032</v>
      </c>
      <c r="O22939" t="str">
        <f>IF(N22939="","",'Master Barang'!B33)</f>
        <v>plastik packaging ag box uk sedang</v>
      </c>
      <c r="P22939">
        <f>IF(OR(M22939="",N22939=""),"",SUMIFS('Barang Keluar'!$E:$E,'Barang Keluar'!$A:$A,M22939,'Barang Keluar'!$C:$C,N22939))</f>
        <v>0</v>
      </c>
    </row>
    <row r="22940" spans="13:16">
      <c r="M22940" s="49">
        <f>IF($A$4+229&gt;$B$4,"",$A$4+229)</f>
        <v>46252</v>
      </c>
      <c r="N22940" t="str">
        <f>IF(M22940="","",'Master Barang'!A34)</f>
        <v>PRL-033</v>
      </c>
      <c r="O22940">
        <f>IF(N22940="","",'Master Barang'!B34)</f>
        <v>0</v>
      </c>
      <c r="P22940">
        <f>IF(OR(M22940="",N22940=""),"",SUMIFS('Barang Keluar'!$E:$E,'Barang Keluar'!$A:$A,M22940,'Barang Keluar'!$C:$C,N22940))</f>
        <v>0</v>
      </c>
    </row>
    <row r="22941" spans="13:16">
      <c r="M22941" s="49">
        <f>IF($A$4+229&gt;$B$4,"",$A$4+229)</f>
        <v>46252</v>
      </c>
      <c r="N22941">
        <f>IF(M22941="","",'Master Barang'!A35)</f>
        <v>0</v>
      </c>
      <c r="O22941">
        <f>IF(N22941="","",'Master Barang'!B35)</f>
        <v>0</v>
      </c>
      <c r="P22941">
        <f>IF(OR(M22941="",N22941=""),"",SUMIFS('Barang Keluar'!$E:$E,'Barang Keluar'!$A:$A,M22941,'Barang Keluar'!$C:$C,N22941))</f>
        <v>0</v>
      </c>
    </row>
    <row r="22942" spans="13:16">
      <c r="M22942" s="49">
        <f>IF($A$4+229&gt;$B$4,"",$A$4+229)</f>
        <v>46252</v>
      </c>
      <c r="N22942">
        <f>IF(M22942="","",'Master Barang'!A36)</f>
        <v>0</v>
      </c>
      <c r="O22942">
        <f>IF(N22942="","",'Master Barang'!B36)</f>
        <v>0</v>
      </c>
      <c r="P22942">
        <f>IF(OR(M22942="",N22942=""),"",SUMIFS('Barang Keluar'!$E:$E,'Barang Keluar'!$A:$A,M22942,'Barang Keluar'!$C:$C,N22942))</f>
        <v>0</v>
      </c>
    </row>
    <row r="22943" spans="13:16">
      <c r="M22943" s="49">
        <f>IF($A$4+229&gt;$B$4,"",$A$4+229)</f>
        <v>46252</v>
      </c>
      <c r="N22943">
        <f>IF(M22943="","",'Master Barang'!A37)</f>
        <v>0</v>
      </c>
      <c r="O22943">
        <f>IF(N22943="","",'Master Barang'!B37)</f>
        <v>0</v>
      </c>
      <c r="P22943">
        <f>IF(OR(M22943="",N22943=""),"",SUMIFS('Barang Keluar'!$E:$E,'Barang Keluar'!$A:$A,M22943,'Barang Keluar'!$C:$C,N22943))</f>
        <v>0</v>
      </c>
    </row>
    <row r="22944" spans="13:16">
      <c r="M22944" s="49">
        <f>IF($A$4+229&gt;$B$4,"",$A$4+229)</f>
        <v>46252</v>
      </c>
      <c r="N22944">
        <f>IF(M22944="","",'Master Barang'!A38)</f>
        <v>0</v>
      </c>
      <c r="O22944">
        <f>IF(N22944="","",'Master Barang'!B38)</f>
        <v>0</v>
      </c>
      <c r="P22944">
        <f>IF(OR(M22944="",N22944=""),"",SUMIFS('Barang Keluar'!$E:$E,'Barang Keluar'!$A:$A,M22944,'Barang Keluar'!$C:$C,N22944))</f>
        <v>0</v>
      </c>
    </row>
    <row r="22945" spans="13:16">
      <c r="M22945" s="49">
        <f>IF($A$4+229&gt;$B$4,"",$A$4+229)</f>
        <v>46252</v>
      </c>
      <c r="N22945">
        <f>IF(M22945="","",'Master Barang'!A39)</f>
        <v>0</v>
      </c>
      <c r="O22945">
        <f>IF(N22945="","",'Master Barang'!B39)</f>
        <v>0</v>
      </c>
      <c r="P22945">
        <f>IF(OR(M22945="",N22945=""),"",SUMIFS('Barang Keluar'!$E:$E,'Barang Keluar'!$A:$A,M22945,'Barang Keluar'!$C:$C,N22945))</f>
        <v>0</v>
      </c>
    </row>
    <row r="22946" spans="13:16">
      <c r="M22946" s="49">
        <f>IF($A$4+229&gt;$B$4,"",$A$4+229)</f>
        <v>46252</v>
      </c>
      <c r="N22946">
        <f>IF(M22946="","",'Master Barang'!A40)</f>
        <v>0</v>
      </c>
      <c r="O22946">
        <f>IF(N22946="","",'Master Barang'!B40)</f>
        <v>0</v>
      </c>
      <c r="P22946">
        <f>IF(OR(M22946="",N22946=""),"",SUMIFS('Barang Keluar'!$E:$E,'Barang Keluar'!$A:$A,M22946,'Barang Keluar'!$C:$C,N22946))</f>
        <v>0</v>
      </c>
    </row>
    <row r="22947" spans="13:16">
      <c r="M22947" s="49">
        <f>IF($A$4+229&gt;$B$4,"",$A$4+229)</f>
        <v>46252</v>
      </c>
      <c r="N22947">
        <f>IF(M22947="","",'Master Barang'!A41)</f>
        <v>0</v>
      </c>
      <c r="O22947">
        <f>IF(N22947="","",'Master Barang'!B41)</f>
        <v>0</v>
      </c>
      <c r="P22947">
        <f>IF(OR(M22947="",N22947=""),"",SUMIFS('Barang Keluar'!$E:$E,'Barang Keluar'!$A:$A,M22947,'Barang Keluar'!$C:$C,N22947))</f>
        <v>0</v>
      </c>
    </row>
    <row r="22948" spans="13:16">
      <c r="M22948" s="49">
        <f>IF($A$4+229&gt;$B$4,"",$A$4+229)</f>
        <v>46252</v>
      </c>
      <c r="N22948">
        <f>IF(M22948="","",'Master Barang'!A42)</f>
        <v>0</v>
      </c>
      <c r="O22948">
        <f>IF(N22948="","",'Master Barang'!B42)</f>
        <v>0</v>
      </c>
      <c r="P22948">
        <f>IF(OR(M22948="",N22948=""),"",SUMIFS('Barang Keluar'!$E:$E,'Barang Keluar'!$A:$A,M22948,'Barang Keluar'!$C:$C,N22948))</f>
        <v>0</v>
      </c>
    </row>
    <row r="22949" spans="13:16">
      <c r="M22949" s="49">
        <f>IF($A$4+229&gt;$B$4,"",$A$4+229)</f>
        <v>46252</v>
      </c>
      <c r="N22949">
        <f>IF(M22949="","",'Master Barang'!A43)</f>
        <v>0</v>
      </c>
      <c r="O22949">
        <f>IF(N22949="","",'Master Barang'!B43)</f>
        <v>0</v>
      </c>
      <c r="P22949">
        <f>IF(OR(M22949="",N22949=""),"",SUMIFS('Barang Keluar'!$E:$E,'Barang Keluar'!$A:$A,M22949,'Barang Keluar'!$C:$C,N22949))</f>
        <v>0</v>
      </c>
    </row>
    <row r="22950" spans="13:16">
      <c r="M22950" s="49">
        <f>IF($A$4+229&gt;$B$4,"",$A$4+229)</f>
        <v>46252</v>
      </c>
      <c r="N22950">
        <f>IF(M22950="","",'Master Barang'!A44)</f>
        <v>0</v>
      </c>
      <c r="O22950">
        <f>IF(N22950="","",'Master Barang'!B44)</f>
        <v>0</v>
      </c>
      <c r="P22950">
        <f>IF(OR(M22950="",N22950=""),"",SUMIFS('Barang Keluar'!$E:$E,'Barang Keluar'!$A:$A,M22950,'Barang Keluar'!$C:$C,N22950))</f>
        <v>0</v>
      </c>
    </row>
    <row r="22951" spans="13:16">
      <c r="M22951" s="49">
        <f>IF($A$4+229&gt;$B$4,"",$A$4+229)</f>
        <v>46252</v>
      </c>
      <c r="N22951">
        <f>IF(M22951="","",'Master Barang'!A45)</f>
        <v>0</v>
      </c>
      <c r="O22951">
        <f>IF(N22951="","",'Master Barang'!B45)</f>
        <v>0</v>
      </c>
      <c r="P22951">
        <f>IF(OR(M22951="",N22951=""),"",SUMIFS('Barang Keluar'!$E:$E,'Barang Keluar'!$A:$A,M22951,'Barang Keluar'!$C:$C,N22951))</f>
        <v>0</v>
      </c>
    </row>
    <row r="22952" spans="13:16">
      <c r="M22952" s="49">
        <f>IF($A$4+229&gt;$B$4,"",$A$4+229)</f>
        <v>46252</v>
      </c>
      <c r="N22952">
        <f>IF(M22952="","",'Master Barang'!A46)</f>
        <v>0</v>
      </c>
      <c r="O22952">
        <f>IF(N22952="","",'Master Barang'!B46)</f>
        <v>0</v>
      </c>
      <c r="P22952">
        <f>IF(OR(M22952="",N22952=""),"",SUMIFS('Barang Keluar'!$E:$E,'Barang Keluar'!$A:$A,M22952,'Barang Keluar'!$C:$C,N22952))</f>
        <v>0</v>
      </c>
    </row>
    <row r="22953" spans="13:16">
      <c r="M22953" s="49">
        <f>IF($A$4+229&gt;$B$4,"",$A$4+229)</f>
        <v>46252</v>
      </c>
      <c r="N22953">
        <f>IF(M22953="","",'Master Barang'!A47)</f>
        <v>0</v>
      </c>
      <c r="O22953">
        <f>IF(N22953="","",'Master Barang'!B47)</f>
        <v>0</v>
      </c>
      <c r="P22953">
        <f>IF(OR(M22953="",N22953=""),"",SUMIFS('Barang Keluar'!$E:$E,'Barang Keluar'!$A:$A,M22953,'Barang Keluar'!$C:$C,N22953))</f>
        <v>0</v>
      </c>
    </row>
    <row r="22954" spans="13:16">
      <c r="M22954" s="49">
        <f>IF($A$4+229&gt;$B$4,"",$A$4+229)</f>
        <v>46252</v>
      </c>
      <c r="N22954">
        <f>IF(M22954="","",'Master Barang'!A48)</f>
        <v>0</v>
      </c>
      <c r="O22954">
        <f>IF(N22954="","",'Master Barang'!B48)</f>
        <v>0</v>
      </c>
      <c r="P22954">
        <f>IF(OR(M22954="",N22954=""),"",SUMIFS('Barang Keluar'!$E:$E,'Barang Keluar'!$A:$A,M22954,'Barang Keluar'!$C:$C,N22954))</f>
        <v>0</v>
      </c>
    </row>
    <row r="22955" spans="13:16">
      <c r="M22955" s="49">
        <f>IF($A$4+229&gt;$B$4,"",$A$4+229)</f>
        <v>46252</v>
      </c>
      <c r="N22955">
        <f>IF(M22955="","",'Master Barang'!A49)</f>
        <v>0</v>
      </c>
      <c r="O22955">
        <f>IF(N22955="","",'Master Barang'!B49)</f>
        <v>0</v>
      </c>
      <c r="P22955">
        <f>IF(OR(M22955="",N22955=""),"",SUMIFS('Barang Keluar'!$E:$E,'Barang Keluar'!$A:$A,M22955,'Barang Keluar'!$C:$C,N22955))</f>
        <v>0</v>
      </c>
    </row>
    <row r="22956" spans="13:16">
      <c r="M22956" s="49">
        <f>IF($A$4+229&gt;$B$4,"",$A$4+229)</f>
        <v>46252</v>
      </c>
      <c r="N22956">
        <f>IF(M22956="","",'Master Barang'!A50)</f>
        <v>0</v>
      </c>
      <c r="O22956">
        <f>IF(N22956="","",'Master Barang'!B50)</f>
        <v>0</v>
      </c>
      <c r="P22956">
        <f>IF(OR(M22956="",N22956=""),"",SUMIFS('Barang Keluar'!$E:$E,'Barang Keluar'!$A:$A,M22956,'Barang Keluar'!$C:$C,N22956))</f>
        <v>0</v>
      </c>
    </row>
    <row r="22957" spans="13:16">
      <c r="M22957" s="49">
        <f>IF($A$4+229&gt;$B$4,"",$A$4+229)</f>
        <v>46252</v>
      </c>
      <c r="N22957">
        <f>IF(M22957="","",'Master Barang'!A51)</f>
        <v>0</v>
      </c>
      <c r="O22957">
        <f>IF(N22957="","",'Master Barang'!B51)</f>
        <v>0</v>
      </c>
      <c r="P22957">
        <f>IF(OR(M22957="",N22957=""),"",SUMIFS('Barang Keluar'!$E:$E,'Barang Keluar'!$A:$A,M22957,'Barang Keluar'!$C:$C,N22957))</f>
        <v>0</v>
      </c>
    </row>
    <row r="22958" spans="13:16">
      <c r="M22958" s="49">
        <f>IF($A$4+229&gt;$B$4,"",$A$4+229)</f>
        <v>46252</v>
      </c>
      <c r="N22958">
        <f>IF(M22958="","",'Master Barang'!A52)</f>
        <v>0</v>
      </c>
      <c r="O22958">
        <f>IF(N22958="","",'Master Barang'!B52)</f>
        <v>0</v>
      </c>
      <c r="P22958">
        <f>IF(OR(M22958="",N22958=""),"",SUMIFS('Barang Keluar'!$E:$E,'Barang Keluar'!$A:$A,M22958,'Barang Keluar'!$C:$C,N22958))</f>
        <v>0</v>
      </c>
    </row>
    <row r="22959" spans="13:16">
      <c r="M22959" s="49">
        <f>IF($A$4+229&gt;$B$4,"",$A$4+229)</f>
        <v>46252</v>
      </c>
      <c r="N22959">
        <f>IF(M22959="","",'Master Barang'!A53)</f>
        <v>0</v>
      </c>
      <c r="O22959">
        <f>IF(N22959="","",'Master Barang'!B53)</f>
        <v>0</v>
      </c>
      <c r="P22959">
        <f>IF(OR(M22959="",N22959=""),"",SUMIFS('Barang Keluar'!$E:$E,'Barang Keluar'!$A:$A,M22959,'Barang Keluar'!$C:$C,N22959))</f>
        <v>0</v>
      </c>
    </row>
    <row r="22960" spans="13:16">
      <c r="M22960" s="49">
        <f>IF($A$4+229&gt;$B$4,"",$A$4+229)</f>
        <v>46252</v>
      </c>
      <c r="N22960">
        <f>IF(M22960="","",'Master Barang'!A54)</f>
        <v>0</v>
      </c>
      <c r="O22960">
        <f>IF(N22960="","",'Master Barang'!B54)</f>
        <v>0</v>
      </c>
      <c r="P22960">
        <f>IF(OR(M22960="",N22960=""),"",SUMIFS('Barang Keluar'!$E:$E,'Barang Keluar'!$A:$A,M22960,'Barang Keluar'!$C:$C,N22960))</f>
        <v>0</v>
      </c>
    </row>
    <row r="22961" spans="13:16">
      <c r="M22961" s="49">
        <f>IF($A$4+229&gt;$B$4,"",$A$4+229)</f>
        <v>46252</v>
      </c>
      <c r="N22961">
        <f>IF(M22961="","",'Master Barang'!A55)</f>
        <v>0</v>
      </c>
      <c r="O22961">
        <f>IF(N22961="","",'Master Barang'!B55)</f>
        <v>0</v>
      </c>
      <c r="P22961">
        <f>IF(OR(M22961="",N22961=""),"",SUMIFS('Barang Keluar'!$E:$E,'Barang Keluar'!$A:$A,M22961,'Barang Keluar'!$C:$C,N22961))</f>
        <v>0</v>
      </c>
    </row>
    <row r="22962" spans="13:16">
      <c r="M22962" s="49">
        <f>IF($A$4+229&gt;$B$4,"",$A$4+229)</f>
        <v>46252</v>
      </c>
      <c r="N22962">
        <f>IF(M22962="","",'Master Barang'!A56)</f>
        <v>0</v>
      </c>
      <c r="O22962">
        <f>IF(N22962="","",'Master Barang'!B56)</f>
        <v>0</v>
      </c>
      <c r="P22962">
        <f>IF(OR(M22962="",N22962=""),"",SUMIFS('Barang Keluar'!$E:$E,'Barang Keluar'!$A:$A,M22962,'Barang Keluar'!$C:$C,N22962))</f>
        <v>0</v>
      </c>
    </row>
    <row r="22963" spans="13:16">
      <c r="M22963" s="49">
        <f>IF($A$4+229&gt;$B$4,"",$A$4+229)</f>
        <v>46252</v>
      </c>
      <c r="N22963">
        <f>IF(M22963="","",'Master Barang'!A57)</f>
        <v>0</v>
      </c>
      <c r="O22963">
        <f>IF(N22963="","",'Master Barang'!B57)</f>
        <v>0</v>
      </c>
      <c r="P22963">
        <f>IF(OR(M22963="",N22963=""),"",SUMIFS('Barang Keluar'!$E:$E,'Barang Keluar'!$A:$A,M22963,'Barang Keluar'!$C:$C,N22963))</f>
        <v>0</v>
      </c>
    </row>
    <row r="22964" spans="13:16">
      <c r="M22964" s="49">
        <f>IF($A$4+229&gt;$B$4,"",$A$4+229)</f>
        <v>46252</v>
      </c>
      <c r="N22964">
        <f>IF(M22964="","",'Master Barang'!A58)</f>
        <v>0</v>
      </c>
      <c r="O22964">
        <f>IF(N22964="","",'Master Barang'!B58)</f>
        <v>0</v>
      </c>
      <c r="P22964">
        <f>IF(OR(M22964="",N22964=""),"",SUMIFS('Barang Keluar'!$E:$E,'Barang Keluar'!$A:$A,M22964,'Barang Keluar'!$C:$C,N22964))</f>
        <v>0</v>
      </c>
    </row>
    <row r="22965" spans="13:16">
      <c r="M22965" s="49">
        <f>IF($A$4+229&gt;$B$4,"",$A$4+229)</f>
        <v>46252</v>
      </c>
      <c r="N22965">
        <f>IF(M22965="","",'Master Barang'!A59)</f>
        <v>0</v>
      </c>
      <c r="O22965">
        <f>IF(N22965="","",'Master Barang'!B59)</f>
        <v>0</v>
      </c>
      <c r="P22965">
        <f>IF(OR(M22965="",N22965=""),"",SUMIFS('Barang Keluar'!$E:$E,'Barang Keluar'!$A:$A,M22965,'Barang Keluar'!$C:$C,N22965))</f>
        <v>0</v>
      </c>
    </row>
    <row r="22966" spans="13:16">
      <c r="M22966" s="49">
        <f>IF($A$4+229&gt;$B$4,"",$A$4+229)</f>
        <v>46252</v>
      </c>
      <c r="N22966">
        <f>IF(M22966="","",'Master Barang'!A60)</f>
        <v>0</v>
      </c>
      <c r="O22966">
        <f>IF(N22966="","",'Master Barang'!B60)</f>
        <v>0</v>
      </c>
      <c r="P22966">
        <f>IF(OR(M22966="",N22966=""),"",SUMIFS('Barang Keluar'!$E:$E,'Barang Keluar'!$A:$A,M22966,'Barang Keluar'!$C:$C,N22966))</f>
        <v>0</v>
      </c>
    </row>
    <row r="22967" spans="13:16">
      <c r="M22967" s="49">
        <f>IF($A$4+229&gt;$B$4,"",$A$4+229)</f>
        <v>46252</v>
      </c>
      <c r="N22967">
        <f>IF(M22967="","",'Master Barang'!A61)</f>
        <v>0</v>
      </c>
      <c r="O22967">
        <f>IF(N22967="","",'Master Barang'!B61)</f>
        <v>0</v>
      </c>
      <c r="P22967">
        <f>IF(OR(M22967="",N22967=""),"",SUMIFS('Barang Keluar'!$E:$E,'Barang Keluar'!$A:$A,M22967,'Barang Keluar'!$C:$C,N22967))</f>
        <v>0</v>
      </c>
    </row>
    <row r="22968" spans="13:16">
      <c r="M22968" s="49">
        <f>IF($A$4+229&gt;$B$4,"",$A$4+229)</f>
        <v>46252</v>
      </c>
      <c r="N22968">
        <f>IF(M22968="","",'Master Barang'!A62)</f>
        <v>0</v>
      </c>
      <c r="O22968">
        <f>IF(N22968="","",'Master Barang'!B62)</f>
        <v>0</v>
      </c>
      <c r="P22968">
        <f>IF(OR(M22968="",N22968=""),"",SUMIFS('Barang Keluar'!$E:$E,'Barang Keluar'!$A:$A,M22968,'Barang Keluar'!$C:$C,N22968))</f>
        <v>0</v>
      </c>
    </row>
    <row r="22969" spans="13:16">
      <c r="M22969" s="49">
        <f>IF($A$4+229&gt;$B$4,"",$A$4+229)</f>
        <v>46252</v>
      </c>
      <c r="N22969">
        <f>IF(M22969="","",'Master Barang'!A63)</f>
        <v>0</v>
      </c>
      <c r="O22969">
        <f>IF(N22969="","",'Master Barang'!B63)</f>
        <v>0</v>
      </c>
      <c r="P22969">
        <f>IF(OR(M22969="",N22969=""),"",SUMIFS('Barang Keluar'!$E:$E,'Barang Keluar'!$A:$A,M22969,'Barang Keluar'!$C:$C,N22969))</f>
        <v>0</v>
      </c>
    </row>
    <row r="22970" spans="13:16">
      <c r="M22970" s="49">
        <f>IF($A$4+229&gt;$B$4,"",$A$4+229)</f>
        <v>46252</v>
      </c>
      <c r="N22970">
        <f>IF(M22970="","",'Master Barang'!A64)</f>
        <v>0</v>
      </c>
      <c r="O22970">
        <f>IF(N22970="","",'Master Barang'!B64)</f>
        <v>0</v>
      </c>
      <c r="P22970">
        <f>IF(OR(M22970="",N22970=""),"",SUMIFS('Barang Keluar'!$E:$E,'Barang Keluar'!$A:$A,M22970,'Barang Keluar'!$C:$C,N22970))</f>
        <v>0</v>
      </c>
    </row>
    <row r="22971" spans="13:16">
      <c r="M22971" s="49">
        <f>IF($A$4+229&gt;$B$4,"",$A$4+229)</f>
        <v>46252</v>
      </c>
      <c r="N22971">
        <f>IF(M22971="","",'Master Barang'!A65)</f>
        <v>0</v>
      </c>
      <c r="O22971">
        <f>IF(N22971="","",'Master Barang'!B65)</f>
        <v>0</v>
      </c>
      <c r="P22971">
        <f>IF(OR(M22971="",N22971=""),"",SUMIFS('Barang Keluar'!$E:$E,'Barang Keluar'!$A:$A,M22971,'Barang Keluar'!$C:$C,N22971))</f>
        <v>0</v>
      </c>
    </row>
    <row r="22972" spans="13:16">
      <c r="M22972" s="49">
        <f>IF($A$4+229&gt;$B$4,"",$A$4+229)</f>
        <v>46252</v>
      </c>
      <c r="N22972">
        <f>IF(M22972="","",'Master Barang'!A66)</f>
        <v>0</v>
      </c>
      <c r="O22972">
        <f>IF(N22972="","",'Master Barang'!B66)</f>
        <v>0</v>
      </c>
      <c r="P22972">
        <f>IF(OR(M22972="",N22972=""),"",SUMIFS('Barang Keluar'!$E:$E,'Barang Keluar'!$A:$A,M22972,'Barang Keluar'!$C:$C,N22972))</f>
        <v>0</v>
      </c>
    </row>
    <row r="22973" spans="13:16">
      <c r="M22973" s="49">
        <f>IF($A$4+229&gt;$B$4,"",$A$4+229)</f>
        <v>46252</v>
      </c>
      <c r="N22973">
        <f>IF(M22973="","",'Master Barang'!A67)</f>
        <v>0</v>
      </c>
      <c r="O22973">
        <f>IF(N22973="","",'Master Barang'!B67)</f>
        <v>0</v>
      </c>
      <c r="P22973">
        <f>IF(OR(M22973="",N22973=""),"",SUMIFS('Barang Keluar'!$E:$E,'Barang Keluar'!$A:$A,M22973,'Barang Keluar'!$C:$C,N22973))</f>
        <v>0</v>
      </c>
    </row>
    <row r="22974" spans="13:16">
      <c r="M22974" s="49">
        <f>IF($A$4+229&gt;$B$4,"",$A$4+229)</f>
        <v>46252</v>
      </c>
      <c r="N22974">
        <f>IF(M22974="","",'Master Barang'!A68)</f>
        <v>0</v>
      </c>
      <c r="O22974">
        <f>IF(N22974="","",'Master Barang'!B68)</f>
        <v>0</v>
      </c>
      <c r="P22974">
        <f>IF(OR(M22974="",N22974=""),"",SUMIFS('Barang Keluar'!$E:$E,'Barang Keluar'!$A:$A,M22974,'Barang Keluar'!$C:$C,N22974))</f>
        <v>0</v>
      </c>
    </row>
    <row r="22975" spans="13:16">
      <c r="M22975" s="49">
        <f>IF($A$4+229&gt;$B$4,"",$A$4+229)</f>
        <v>46252</v>
      </c>
      <c r="N22975">
        <f>IF(M22975="","",'Master Barang'!A69)</f>
        <v>0</v>
      </c>
      <c r="O22975">
        <f>IF(N22975="","",'Master Barang'!B69)</f>
        <v>0</v>
      </c>
      <c r="P22975">
        <f>IF(OR(M22975="",N22975=""),"",SUMIFS('Barang Keluar'!$E:$E,'Barang Keluar'!$A:$A,M22975,'Barang Keluar'!$C:$C,N22975))</f>
        <v>0</v>
      </c>
    </row>
    <row r="22976" spans="13:16">
      <c r="M22976" s="49">
        <f>IF($A$4+229&gt;$B$4,"",$A$4+229)</f>
        <v>46252</v>
      </c>
      <c r="N22976">
        <f>IF(M22976="","",'Master Barang'!A70)</f>
        <v>0</v>
      </c>
      <c r="O22976">
        <f>IF(N22976="","",'Master Barang'!B70)</f>
        <v>0</v>
      </c>
      <c r="P22976">
        <f>IF(OR(M22976="",N22976=""),"",SUMIFS('Barang Keluar'!$E:$E,'Barang Keluar'!$A:$A,M22976,'Barang Keluar'!$C:$C,N22976))</f>
        <v>0</v>
      </c>
    </row>
    <row r="22977" spans="13:16">
      <c r="M22977" s="49">
        <f>IF($A$4+229&gt;$B$4,"",$A$4+229)</f>
        <v>46252</v>
      </c>
      <c r="N22977">
        <f>IF(M22977="","",'Master Barang'!A71)</f>
        <v>0</v>
      </c>
      <c r="O22977">
        <f>IF(N22977="","",'Master Barang'!B71)</f>
        <v>0</v>
      </c>
      <c r="P22977">
        <f>IF(OR(M22977="",N22977=""),"",SUMIFS('Barang Keluar'!$E:$E,'Barang Keluar'!$A:$A,M22977,'Barang Keluar'!$C:$C,N22977))</f>
        <v>0</v>
      </c>
    </row>
    <row r="22978" spans="13:16">
      <c r="M22978" s="49">
        <f>IF($A$4+229&gt;$B$4,"",$A$4+229)</f>
        <v>46252</v>
      </c>
      <c r="N22978">
        <f>IF(M22978="","",'Master Barang'!A72)</f>
        <v>0</v>
      </c>
      <c r="O22978">
        <f>IF(N22978="","",'Master Barang'!B72)</f>
        <v>0</v>
      </c>
      <c r="P22978">
        <f>IF(OR(M22978="",N22978=""),"",SUMIFS('Barang Keluar'!$E:$E,'Barang Keluar'!$A:$A,M22978,'Barang Keluar'!$C:$C,N22978))</f>
        <v>0</v>
      </c>
    </row>
    <row r="22979" spans="13:16">
      <c r="M22979" s="49">
        <f>IF($A$4+229&gt;$B$4,"",$A$4+229)</f>
        <v>46252</v>
      </c>
      <c r="N22979">
        <f>IF(M22979="","",'Master Barang'!A73)</f>
        <v>0</v>
      </c>
      <c r="O22979">
        <f>IF(N22979="","",'Master Barang'!B73)</f>
        <v>0</v>
      </c>
      <c r="P22979">
        <f>IF(OR(M22979="",N22979=""),"",SUMIFS('Barang Keluar'!$E:$E,'Barang Keluar'!$A:$A,M22979,'Barang Keluar'!$C:$C,N22979))</f>
        <v>0</v>
      </c>
    </row>
    <row r="22980" spans="13:16">
      <c r="M22980" s="49">
        <f>IF($A$4+229&gt;$B$4,"",$A$4+229)</f>
        <v>46252</v>
      </c>
      <c r="N22980">
        <f>IF(M22980="","",'Master Barang'!A74)</f>
        <v>0</v>
      </c>
      <c r="O22980">
        <f>IF(N22980="","",'Master Barang'!B74)</f>
        <v>0</v>
      </c>
      <c r="P22980">
        <f>IF(OR(M22980="",N22980=""),"",SUMIFS('Barang Keluar'!$E:$E,'Barang Keluar'!$A:$A,M22980,'Barang Keluar'!$C:$C,N22980))</f>
        <v>0</v>
      </c>
    </row>
    <row r="22981" spans="13:16">
      <c r="M22981" s="49">
        <f>IF($A$4+229&gt;$B$4,"",$A$4+229)</f>
        <v>46252</v>
      </c>
      <c r="N22981">
        <f>IF(M22981="","",'Master Barang'!A75)</f>
        <v>0</v>
      </c>
      <c r="O22981">
        <f>IF(N22981="","",'Master Barang'!B75)</f>
        <v>0</v>
      </c>
      <c r="P22981">
        <f>IF(OR(M22981="",N22981=""),"",SUMIFS('Barang Keluar'!$E:$E,'Barang Keluar'!$A:$A,M22981,'Barang Keluar'!$C:$C,N22981))</f>
        <v>0</v>
      </c>
    </row>
    <row r="22982" spans="13:16">
      <c r="M22982" s="49">
        <f>IF($A$4+229&gt;$B$4,"",$A$4+229)</f>
        <v>46252</v>
      </c>
      <c r="N22982">
        <f>IF(M22982="","",'Master Barang'!A76)</f>
        <v>0</v>
      </c>
      <c r="O22982">
        <f>IF(N22982="","",'Master Barang'!B76)</f>
        <v>0</v>
      </c>
      <c r="P22982">
        <f>IF(OR(M22982="",N22982=""),"",SUMIFS('Barang Keluar'!$E:$E,'Barang Keluar'!$A:$A,M22982,'Barang Keluar'!$C:$C,N22982))</f>
        <v>0</v>
      </c>
    </row>
    <row r="22983" spans="13:16">
      <c r="M22983" s="49">
        <f>IF($A$4+229&gt;$B$4,"",$A$4+229)</f>
        <v>46252</v>
      </c>
      <c r="N22983">
        <f>IF(M22983="","",'Master Barang'!A77)</f>
        <v>0</v>
      </c>
      <c r="O22983">
        <f>IF(N22983="","",'Master Barang'!B77)</f>
        <v>0</v>
      </c>
      <c r="P22983">
        <f>IF(OR(M22983="",N22983=""),"",SUMIFS('Barang Keluar'!$E:$E,'Barang Keluar'!$A:$A,M22983,'Barang Keluar'!$C:$C,N22983))</f>
        <v>0</v>
      </c>
    </row>
    <row r="22984" spans="13:16">
      <c r="M22984" s="49">
        <f>IF($A$4+229&gt;$B$4,"",$A$4+229)</f>
        <v>46252</v>
      </c>
      <c r="N22984">
        <f>IF(M22984="","",'Master Barang'!A78)</f>
        <v>0</v>
      </c>
      <c r="O22984">
        <f>IF(N22984="","",'Master Barang'!B78)</f>
        <v>0</v>
      </c>
      <c r="P22984">
        <f>IF(OR(M22984="",N22984=""),"",SUMIFS('Barang Keluar'!$E:$E,'Barang Keluar'!$A:$A,M22984,'Barang Keluar'!$C:$C,N22984))</f>
        <v>0</v>
      </c>
    </row>
    <row r="22985" spans="13:16">
      <c r="M22985" s="49">
        <f>IF($A$4+229&gt;$B$4,"",$A$4+229)</f>
        <v>46252</v>
      </c>
      <c r="N22985">
        <f>IF(M22985="","",'Master Barang'!A79)</f>
        <v>0</v>
      </c>
      <c r="O22985">
        <f>IF(N22985="","",'Master Barang'!B79)</f>
        <v>0</v>
      </c>
      <c r="P22985">
        <f>IF(OR(M22985="",N22985=""),"",SUMIFS('Barang Keluar'!$E:$E,'Barang Keluar'!$A:$A,M22985,'Barang Keluar'!$C:$C,N22985))</f>
        <v>0</v>
      </c>
    </row>
    <row r="22986" spans="13:16">
      <c r="M22986" s="49">
        <f>IF($A$4+229&gt;$B$4,"",$A$4+229)</f>
        <v>46252</v>
      </c>
      <c r="N22986">
        <f>IF(M22986="","",'Master Barang'!A80)</f>
        <v>0</v>
      </c>
      <c r="O22986">
        <f>IF(N22986="","",'Master Barang'!B80)</f>
        <v>0</v>
      </c>
      <c r="P22986">
        <f>IF(OR(M22986="",N22986=""),"",SUMIFS('Barang Keluar'!$E:$E,'Barang Keluar'!$A:$A,M22986,'Barang Keluar'!$C:$C,N22986))</f>
        <v>0</v>
      </c>
    </row>
    <row r="22987" spans="13:16">
      <c r="M22987" s="49">
        <f>IF($A$4+229&gt;$B$4,"",$A$4+229)</f>
        <v>46252</v>
      </c>
      <c r="N22987">
        <f>IF(M22987="","",'Master Barang'!A81)</f>
        <v>0</v>
      </c>
      <c r="O22987">
        <f>IF(N22987="","",'Master Barang'!B81)</f>
        <v>0</v>
      </c>
      <c r="P22987">
        <f>IF(OR(M22987="",N22987=""),"",SUMIFS('Barang Keluar'!$E:$E,'Barang Keluar'!$A:$A,M22987,'Barang Keluar'!$C:$C,N22987))</f>
        <v>0</v>
      </c>
    </row>
    <row r="22988" spans="13:16">
      <c r="M22988" s="49">
        <f>IF($A$4+229&gt;$B$4,"",$A$4+229)</f>
        <v>46252</v>
      </c>
      <c r="N22988">
        <f>IF(M22988="","",'Master Barang'!A82)</f>
        <v>0</v>
      </c>
      <c r="O22988">
        <f>IF(N22988="","",'Master Barang'!B82)</f>
        <v>0</v>
      </c>
      <c r="P22988">
        <f>IF(OR(M22988="",N22988=""),"",SUMIFS('Barang Keluar'!$E:$E,'Barang Keluar'!$A:$A,M22988,'Barang Keluar'!$C:$C,N22988))</f>
        <v>0</v>
      </c>
    </row>
    <row r="22989" spans="13:16">
      <c r="M22989" s="49">
        <f>IF($A$4+229&gt;$B$4,"",$A$4+229)</f>
        <v>46252</v>
      </c>
      <c r="N22989">
        <f>IF(M22989="","",'Master Barang'!A83)</f>
        <v>0</v>
      </c>
      <c r="O22989">
        <f>IF(N22989="","",'Master Barang'!B83)</f>
        <v>0</v>
      </c>
      <c r="P22989">
        <f>IF(OR(M22989="",N22989=""),"",SUMIFS('Barang Keluar'!$E:$E,'Barang Keluar'!$A:$A,M22989,'Barang Keluar'!$C:$C,N22989))</f>
        <v>0</v>
      </c>
    </row>
    <row r="22990" spans="13:16">
      <c r="M22990" s="49">
        <f>IF($A$4+229&gt;$B$4,"",$A$4+229)</f>
        <v>46252</v>
      </c>
      <c r="N22990">
        <f>IF(M22990="","",'Master Barang'!A84)</f>
        <v>0</v>
      </c>
      <c r="O22990">
        <f>IF(N22990="","",'Master Barang'!B84)</f>
        <v>0</v>
      </c>
      <c r="P22990">
        <f>IF(OR(M22990="",N22990=""),"",SUMIFS('Barang Keluar'!$E:$E,'Barang Keluar'!$A:$A,M22990,'Barang Keluar'!$C:$C,N22990))</f>
        <v>0</v>
      </c>
    </row>
    <row r="22991" spans="13:16">
      <c r="M22991" s="49">
        <f>IF($A$4+229&gt;$B$4,"",$A$4+229)</f>
        <v>46252</v>
      </c>
      <c r="N22991">
        <f>IF(M22991="","",'Master Barang'!A85)</f>
        <v>0</v>
      </c>
      <c r="O22991">
        <f>IF(N22991="","",'Master Barang'!B85)</f>
        <v>0</v>
      </c>
      <c r="P22991">
        <f>IF(OR(M22991="",N22991=""),"",SUMIFS('Barang Keluar'!$E:$E,'Barang Keluar'!$A:$A,M22991,'Barang Keluar'!$C:$C,N22991))</f>
        <v>0</v>
      </c>
    </row>
    <row r="22992" spans="13:16">
      <c r="M22992" s="49">
        <f>IF($A$4+229&gt;$B$4,"",$A$4+229)</f>
        <v>46252</v>
      </c>
      <c r="N22992">
        <f>IF(M22992="","",'Master Barang'!A86)</f>
        <v>0</v>
      </c>
      <c r="O22992">
        <f>IF(N22992="","",'Master Barang'!B86)</f>
        <v>0</v>
      </c>
      <c r="P22992">
        <f>IF(OR(M22992="",N22992=""),"",SUMIFS('Barang Keluar'!$E:$E,'Barang Keluar'!$A:$A,M22992,'Barang Keluar'!$C:$C,N22992))</f>
        <v>0</v>
      </c>
    </row>
    <row r="22993" spans="13:16">
      <c r="M22993" s="49">
        <f>IF($A$4+229&gt;$B$4,"",$A$4+229)</f>
        <v>46252</v>
      </c>
      <c r="N22993">
        <f>IF(M22993="","",'Master Barang'!A87)</f>
        <v>0</v>
      </c>
      <c r="O22993">
        <f>IF(N22993="","",'Master Barang'!B87)</f>
        <v>0</v>
      </c>
      <c r="P22993">
        <f>IF(OR(M22993="",N22993=""),"",SUMIFS('Barang Keluar'!$E:$E,'Barang Keluar'!$A:$A,M22993,'Barang Keluar'!$C:$C,N22993))</f>
        <v>0</v>
      </c>
    </row>
    <row r="22994" spans="13:16">
      <c r="M22994" s="49">
        <f>IF($A$4+229&gt;$B$4,"",$A$4+229)</f>
        <v>46252</v>
      </c>
      <c r="N22994">
        <f>IF(M22994="","",'Master Barang'!A88)</f>
        <v>0</v>
      </c>
      <c r="O22994">
        <f>IF(N22994="","",'Master Barang'!B88)</f>
        <v>0</v>
      </c>
      <c r="P22994">
        <f>IF(OR(M22994="",N22994=""),"",SUMIFS('Barang Keluar'!$E:$E,'Barang Keluar'!$A:$A,M22994,'Barang Keluar'!$C:$C,N22994))</f>
        <v>0</v>
      </c>
    </row>
    <row r="22995" spans="13:16">
      <c r="M22995" s="49">
        <f>IF($A$4+229&gt;$B$4,"",$A$4+229)</f>
        <v>46252</v>
      </c>
      <c r="N22995">
        <f>IF(M22995="","",'Master Barang'!A89)</f>
        <v>0</v>
      </c>
      <c r="O22995">
        <f>IF(N22995="","",'Master Barang'!B89)</f>
        <v>0</v>
      </c>
      <c r="P22995">
        <f>IF(OR(M22995="",N22995=""),"",SUMIFS('Barang Keluar'!$E:$E,'Barang Keluar'!$A:$A,M22995,'Barang Keluar'!$C:$C,N22995))</f>
        <v>0</v>
      </c>
    </row>
    <row r="22996" spans="13:16">
      <c r="M22996" s="49">
        <f>IF($A$4+229&gt;$B$4,"",$A$4+229)</f>
        <v>46252</v>
      </c>
      <c r="N22996">
        <f>IF(M22996="","",'Master Barang'!A90)</f>
        <v>0</v>
      </c>
      <c r="O22996">
        <f>IF(N22996="","",'Master Barang'!B90)</f>
        <v>0</v>
      </c>
      <c r="P22996">
        <f>IF(OR(M22996="",N22996=""),"",SUMIFS('Barang Keluar'!$E:$E,'Barang Keluar'!$A:$A,M22996,'Barang Keluar'!$C:$C,N22996))</f>
        <v>0</v>
      </c>
    </row>
    <row r="22997" spans="13:16">
      <c r="M22997" s="49">
        <f>IF($A$4+229&gt;$B$4,"",$A$4+229)</f>
        <v>46252</v>
      </c>
      <c r="N22997">
        <f>IF(M22997="","",'Master Barang'!A91)</f>
        <v>0</v>
      </c>
      <c r="O22997">
        <f>IF(N22997="","",'Master Barang'!B91)</f>
        <v>0</v>
      </c>
      <c r="P22997">
        <f>IF(OR(M22997="",N22997=""),"",SUMIFS('Barang Keluar'!$E:$E,'Barang Keluar'!$A:$A,M22997,'Barang Keluar'!$C:$C,N22997))</f>
        <v>0</v>
      </c>
    </row>
    <row r="22998" spans="13:16">
      <c r="M22998" s="49">
        <f>IF($A$4+229&gt;$B$4,"",$A$4+229)</f>
        <v>46252</v>
      </c>
      <c r="N22998">
        <f>IF(M22998="","",'Master Barang'!A92)</f>
        <v>0</v>
      </c>
      <c r="O22998">
        <f>IF(N22998="","",'Master Barang'!B92)</f>
        <v>0</v>
      </c>
      <c r="P22998">
        <f>IF(OR(M22998="",N22998=""),"",SUMIFS('Barang Keluar'!$E:$E,'Barang Keluar'!$A:$A,M22998,'Barang Keluar'!$C:$C,N22998))</f>
        <v>0</v>
      </c>
    </row>
    <row r="22999" spans="13:16">
      <c r="M22999" s="49">
        <f>IF($A$4+229&gt;$B$4,"",$A$4+229)</f>
        <v>46252</v>
      </c>
      <c r="N22999">
        <f>IF(M22999="","",'Master Barang'!A93)</f>
        <v>0</v>
      </c>
      <c r="O22999">
        <f>IF(N22999="","",'Master Barang'!B93)</f>
        <v>0</v>
      </c>
      <c r="P22999">
        <f>IF(OR(M22999="",N22999=""),"",SUMIFS('Barang Keluar'!$E:$E,'Barang Keluar'!$A:$A,M22999,'Barang Keluar'!$C:$C,N22999))</f>
        <v>0</v>
      </c>
    </row>
    <row r="23000" spans="13:16">
      <c r="M23000" s="49">
        <f>IF($A$4+229&gt;$B$4,"",$A$4+229)</f>
        <v>46252</v>
      </c>
      <c r="N23000">
        <f>IF(M23000="","",'Master Barang'!A94)</f>
        <v>0</v>
      </c>
      <c r="O23000">
        <f>IF(N23000="","",'Master Barang'!B94)</f>
        <v>0</v>
      </c>
      <c r="P23000">
        <f>IF(OR(M23000="",N23000=""),"",SUMIFS('Barang Keluar'!$E:$E,'Barang Keluar'!$A:$A,M23000,'Barang Keluar'!$C:$C,N23000))</f>
        <v>0</v>
      </c>
    </row>
    <row r="23001" spans="13:16">
      <c r="M23001" s="49">
        <f>IF($A$4+229&gt;$B$4,"",$A$4+229)</f>
        <v>46252</v>
      </c>
      <c r="N23001">
        <f>IF(M23001="","",'Master Barang'!A95)</f>
        <v>0</v>
      </c>
      <c r="O23001">
        <f>IF(N23001="","",'Master Barang'!B95)</f>
        <v>0</v>
      </c>
      <c r="P23001">
        <f>IF(OR(M23001="",N23001=""),"",SUMIFS('Barang Keluar'!$E:$E,'Barang Keluar'!$A:$A,M23001,'Barang Keluar'!$C:$C,N23001))</f>
        <v>0</v>
      </c>
    </row>
    <row r="23002" spans="13:16">
      <c r="M23002" s="49">
        <f>IF($A$4+229&gt;$B$4,"",$A$4+229)</f>
        <v>46252</v>
      </c>
      <c r="N23002">
        <f>IF(M23002="","",'Master Barang'!A96)</f>
        <v>0</v>
      </c>
      <c r="O23002">
        <f>IF(N23002="","",'Master Barang'!B96)</f>
        <v>0</v>
      </c>
      <c r="P23002">
        <f>IF(OR(M23002="",N23002=""),"",SUMIFS('Barang Keluar'!$E:$E,'Barang Keluar'!$A:$A,M23002,'Barang Keluar'!$C:$C,N23002))</f>
        <v>0</v>
      </c>
    </row>
    <row r="23003" spans="13:16">
      <c r="M23003" s="49">
        <f>IF($A$4+229&gt;$B$4,"",$A$4+229)</f>
        <v>46252</v>
      </c>
      <c r="N23003">
        <f>IF(M23003="","",'Master Barang'!A97)</f>
        <v>0</v>
      </c>
      <c r="O23003">
        <f>IF(N23003="","",'Master Barang'!B97)</f>
        <v>0</v>
      </c>
      <c r="P23003">
        <f>IF(OR(M23003="",N23003=""),"",SUMIFS('Barang Keluar'!$E:$E,'Barang Keluar'!$A:$A,M23003,'Barang Keluar'!$C:$C,N23003))</f>
        <v>0</v>
      </c>
    </row>
    <row r="23004" spans="13:16">
      <c r="M23004" s="49">
        <f>IF($A$4+229&gt;$B$4,"",$A$4+229)</f>
        <v>46252</v>
      </c>
      <c r="N23004">
        <f>IF(M23004="","",'Master Barang'!A98)</f>
        <v>0</v>
      </c>
      <c r="O23004">
        <f>IF(N23004="","",'Master Barang'!B98)</f>
        <v>0</v>
      </c>
      <c r="P23004">
        <f>IF(OR(M23004="",N23004=""),"",SUMIFS('Barang Keluar'!$E:$E,'Barang Keluar'!$A:$A,M23004,'Barang Keluar'!$C:$C,N23004))</f>
        <v>0</v>
      </c>
    </row>
    <row r="23005" spans="13:16">
      <c r="M23005" s="49">
        <f>IF($A$4+229&gt;$B$4,"",$A$4+229)</f>
        <v>46252</v>
      </c>
      <c r="N23005">
        <f>IF(M23005="","",'Master Barang'!A99)</f>
        <v>0</v>
      </c>
      <c r="O23005">
        <f>IF(N23005="","",'Master Barang'!B99)</f>
        <v>0</v>
      </c>
      <c r="P23005">
        <f>IF(OR(M23005="",N23005=""),"",SUMIFS('Barang Keluar'!$E:$E,'Barang Keluar'!$A:$A,M23005,'Barang Keluar'!$C:$C,N23005))</f>
        <v>0</v>
      </c>
    </row>
    <row r="23006" spans="13:16">
      <c r="M23006" s="49">
        <f>IF($A$4+229&gt;$B$4,"",$A$4+229)</f>
        <v>46252</v>
      </c>
      <c r="N23006">
        <f>IF(M23006="","",'Master Barang'!A100)</f>
        <v>0</v>
      </c>
      <c r="O23006">
        <f>IF(N23006="","",'Master Barang'!B100)</f>
        <v>0</v>
      </c>
      <c r="P23006">
        <f>IF(OR(M23006="",N23006=""),"",SUMIFS('Barang Keluar'!$E:$E,'Barang Keluar'!$A:$A,M23006,'Barang Keluar'!$C:$C,N23006))</f>
        <v>0</v>
      </c>
    </row>
    <row r="23007" spans="13:16">
      <c r="M23007" s="49">
        <f>IF($A$4+229&gt;$B$4,"",$A$4+229)</f>
        <v>46252</v>
      </c>
      <c r="N23007">
        <f>IF(M23007="","",'Master Barang'!A101)</f>
        <v>0</v>
      </c>
      <c r="O23007">
        <f>IF(N23007="","",'Master Barang'!B101)</f>
        <v>0</v>
      </c>
      <c r="P23007">
        <f>IF(OR(M23007="",N23007=""),"",SUMIFS('Barang Keluar'!$E:$E,'Barang Keluar'!$A:$A,M23007,'Barang Keluar'!$C:$C,N23007))</f>
        <v>0</v>
      </c>
    </row>
    <row r="23008" spans="13:16">
      <c r="M23008" s="49">
        <f>IF($A$4+230&gt;$B$4,"",$A$4+230)</f>
        <v>46253</v>
      </c>
      <c r="N23008" t="str">
        <f>IF(M23008="","",'Master Barang'!A2)</f>
        <v>PRL-001</v>
      </c>
      <c r="O23008" t="str">
        <f>IF(N23008="","",'Master Barang'!B2)</f>
        <v>natura desinfectant food grade 5l</v>
      </c>
      <c r="P23008">
        <f>IF(OR(M23008="",N23008=""),"",SUMIFS('Barang Keluar'!$E:$E,'Barang Keluar'!$A:$A,M23008,'Barang Keluar'!$C:$C,N23008))</f>
        <v>0</v>
      </c>
    </row>
    <row r="23009" spans="13:16">
      <c r="M23009" s="49">
        <f>IF($A$4+230&gt;$B$4,"",$A$4+230)</f>
        <v>46253</v>
      </c>
      <c r="N23009" t="str">
        <f>IF(M23009="","",'Master Barang'!A3)</f>
        <v>PRL-002</v>
      </c>
      <c r="O23009" t="str">
        <f>IF(N23009="","",'Master Barang'!B3)</f>
        <v>sunlight cairan pencuci piring 5l</v>
      </c>
      <c r="P23009">
        <f>IF(OR(M23009="",N23009=""),"",SUMIFS('Barang Keluar'!$E:$E,'Barang Keluar'!$A:$A,M23009,'Barang Keluar'!$C:$C,N23009))</f>
        <v>0</v>
      </c>
    </row>
    <row r="23010" spans="13:16">
      <c r="M23010" s="49">
        <f>IF($A$4+230&gt;$B$4,"",$A$4+230)</f>
        <v>46253</v>
      </c>
      <c r="N23010" t="str">
        <f>IF(M23010="","",'Master Barang'!A4)</f>
        <v>PRL-003</v>
      </c>
      <c r="O23010" t="str">
        <f>IF(N23010="","",'Master Barang'!B4)</f>
        <v>oixs cleaner 1l</v>
      </c>
      <c r="P23010">
        <f>IF(OR(M23010="",N23010=""),"",SUMIFS('Barang Keluar'!$E:$E,'Barang Keluar'!$A:$A,M23010,'Barang Keluar'!$C:$C,N23010))</f>
        <v>0</v>
      </c>
    </row>
    <row r="23011" spans="13:16">
      <c r="M23011" s="49">
        <f>IF($A$4+230&gt;$B$4,"",$A$4+230)</f>
        <v>46253</v>
      </c>
      <c r="N23011" t="str">
        <f>IF(M23011="","",'Master Barang'!A5)</f>
        <v>PRL-004</v>
      </c>
      <c r="O23011" t="str">
        <f>IF(N23011="","",'Master Barang'!B5)</f>
        <v>be clean tissue serbaguna</v>
      </c>
      <c r="P23011">
        <f>IF(OR(M23011="",N23011=""),"",SUMIFS('Barang Keluar'!$E:$E,'Barang Keluar'!$A:$A,M23011,'Barang Keluar'!$C:$C,N23011))</f>
        <v>0</v>
      </c>
    </row>
    <row r="23012" spans="13:16">
      <c r="M23012" s="49">
        <f>IF($A$4+230&gt;$B$4,"",$A$4+230)</f>
        <v>46253</v>
      </c>
      <c r="N23012" t="str">
        <f>IF(M23012="","",'Master Barang'!A6)</f>
        <v>PRL-005</v>
      </c>
      <c r="O23012" t="str">
        <f>IF(N23012="","",'Master Barang'!B6)</f>
        <v>spons cuci hijau</v>
      </c>
      <c r="P23012">
        <f>IF(OR(M23012="",N23012=""),"",SUMIFS('Barang Keluar'!$E:$E,'Barang Keluar'!$A:$A,M23012,'Barang Keluar'!$C:$C,N23012))</f>
        <v>0</v>
      </c>
    </row>
    <row r="23013" spans="13:16">
      <c r="M23013" s="49">
        <f>IF($A$4+230&gt;$B$4,"",$A$4+230)</f>
        <v>46253</v>
      </c>
      <c r="N23013" t="str">
        <f>IF(M23013="","",'Master Barang'!A7)</f>
        <v>PRL-006</v>
      </c>
      <c r="O23013" t="str">
        <f>IF(N23013="","",'Master Barang'!B7)</f>
        <v>sabut cuci stainless</v>
      </c>
      <c r="P23013">
        <f>IF(OR(M23013="",N23013=""),"",SUMIFS('Barang Keluar'!$E:$E,'Barang Keluar'!$A:$A,M23013,'Barang Keluar'!$C:$C,N23013))</f>
        <v>0</v>
      </c>
    </row>
    <row r="23014" spans="13:16">
      <c r="M23014" s="49">
        <f>IF($A$4+230&gt;$B$4,"",$A$4+230)</f>
        <v>46253</v>
      </c>
      <c r="N23014" t="str">
        <f>IF(M23014="","",'Master Barang'!A8)</f>
        <v>PRL-007</v>
      </c>
      <c r="O23014" t="str">
        <f>IF(N23014="","",'Master Barang'!B8)</f>
        <v>plastik kresek besar merah 50pc</v>
      </c>
      <c r="P23014">
        <f>IF(OR(M23014="",N23014=""),"",SUMIFS('Barang Keluar'!$E:$E,'Barang Keluar'!$A:$A,M23014,'Barang Keluar'!$C:$C,N23014))</f>
        <v>0</v>
      </c>
    </row>
    <row r="23015" spans="13:16">
      <c r="M23015" s="49">
        <f>IF($A$4+230&gt;$B$4,"",$A$4+230)</f>
        <v>46253</v>
      </c>
      <c r="N23015" t="str">
        <f>IF(M23015="","",'Master Barang'!A9)</f>
        <v>PRL-008</v>
      </c>
      <c r="O23015" t="str">
        <f>IF(N23015="","",'Master Barang'!B9)</f>
        <v>lap besar</v>
      </c>
      <c r="P23015">
        <f>IF(OR(M23015="",N23015=""),"",SUMIFS('Barang Keluar'!$E:$E,'Barang Keluar'!$A:$A,M23015,'Barang Keluar'!$C:$C,N23015))</f>
        <v>0</v>
      </c>
    </row>
    <row r="23016" spans="13:16">
      <c r="M23016" s="49">
        <f>IF($A$4+230&gt;$B$4,"",$A$4+230)</f>
        <v>46253</v>
      </c>
      <c r="N23016" t="str">
        <f>IF(M23016="","",'Master Barang'!A10)</f>
        <v>PRL-009</v>
      </c>
      <c r="O23016" t="str">
        <f>IF(N23016="","",'Master Barang'!B10)</f>
        <v>lap microfiber</v>
      </c>
      <c r="P23016">
        <f>IF(OR(M23016="",N23016=""),"",SUMIFS('Barang Keluar'!$E:$E,'Barang Keluar'!$A:$A,M23016,'Barang Keluar'!$C:$C,N23016))</f>
        <v>0</v>
      </c>
    </row>
    <row r="23017" spans="13:16">
      <c r="M23017" s="49">
        <f>IF($A$4+230&gt;$B$4,"",$A$4+230)</f>
        <v>46253</v>
      </c>
      <c r="N23017" t="str">
        <f>IF(M23017="","",'Master Barang'!A11)</f>
        <v>PRL-010</v>
      </c>
      <c r="O23017" t="str">
        <f>IF(N23017="","",'Master Barang'!B11)</f>
        <v>lap kecil</v>
      </c>
      <c r="P23017">
        <f>IF(OR(M23017="",N23017=""),"",SUMIFS('Barang Keluar'!$E:$E,'Barang Keluar'!$A:$A,M23017,'Barang Keluar'!$C:$C,N23017))</f>
        <v>0</v>
      </c>
    </row>
    <row r="23018" spans="13:16">
      <c r="M23018" s="49">
        <f>IF($A$4+230&gt;$B$4,"",$A$4+230)</f>
        <v>46253</v>
      </c>
      <c r="N23018" t="str">
        <f>IF(M23018="","",'Master Barang'!A12)</f>
        <v>PRL-011</v>
      </c>
      <c r="O23018" t="str">
        <f>IF(N23018="","",'Master Barang'!B12)</f>
        <v>kanebo kecil</v>
      </c>
      <c r="P23018">
        <f>IF(OR(M23018="",N23018=""),"",SUMIFS('Barang Keluar'!$E:$E,'Barang Keluar'!$A:$A,M23018,'Barang Keluar'!$C:$C,N23018))</f>
        <v>0</v>
      </c>
    </row>
    <row r="23019" spans="13:16">
      <c r="M23019" s="49">
        <f>IF($A$4+230&gt;$B$4,"",$A$4+230)</f>
        <v>46253</v>
      </c>
      <c r="N23019" t="str">
        <f>IF(M23019="","",'Master Barang'!A13)</f>
        <v>PRL-012</v>
      </c>
      <c r="O23019" t="str">
        <f>IF(N23019="","",'Master Barang'!B13)</f>
        <v>plastik 1/4kg joyoboyo 100 lembar</v>
      </c>
      <c r="P23019">
        <f>IF(OR(M23019="",N23019=""),"",SUMIFS('Barang Keluar'!$E:$E,'Barang Keluar'!$A:$A,M23019,'Barang Keluar'!$C:$C,N23019))</f>
        <v>0</v>
      </c>
    </row>
    <row r="23020" spans="13:16">
      <c r="M23020" s="49">
        <f>IF($A$4+230&gt;$B$4,"",$A$4+230)</f>
        <v>46253</v>
      </c>
      <c r="N23020" t="str">
        <f>IF(M23020="","",'Master Barang'!A14)</f>
        <v>PRL-013</v>
      </c>
      <c r="O23020" t="str">
        <f>IF(N23020="","",'Master Barang'!B14)</f>
        <v>sarung tangan plastik kaka 100 pcs</v>
      </c>
      <c r="P23020">
        <f>IF(OR(M23020="",N23020=""),"",SUMIFS('Barang Keluar'!$E:$E,'Barang Keluar'!$A:$A,M23020,'Barang Keluar'!$C:$C,N23020))</f>
        <v>0</v>
      </c>
    </row>
    <row r="23021" spans="13:16">
      <c r="M23021" s="49">
        <f>IF($A$4+230&gt;$B$4,"",$A$4+230)</f>
        <v>46253</v>
      </c>
      <c r="N23021" t="str">
        <f>IF(M23021="","",'Master Barang'!A15)</f>
        <v>PRL-014</v>
      </c>
      <c r="O23021" t="str">
        <f>IF(N23021="","",'Master Barang'!B15)</f>
        <v>optima trashbag 80x100</v>
      </c>
      <c r="P23021">
        <f>IF(OR(M23021="",N23021=""),"",SUMIFS('Barang Keluar'!$E:$E,'Barang Keluar'!$A:$A,M23021,'Barang Keluar'!$C:$C,N23021))</f>
        <v>0</v>
      </c>
    </row>
    <row r="23022" spans="13:16">
      <c r="M23022" s="49">
        <f>IF($A$4+230&gt;$B$4,"",$A$4+230)</f>
        <v>46253</v>
      </c>
      <c r="N23022" t="str">
        <f>IF(M23022="","",'Master Barang'!A16)</f>
        <v>PRL-015</v>
      </c>
      <c r="O23022" t="str">
        <f>IF(N23022="","",'Master Barang'!B16)</f>
        <v>optima trashbag 60x100</v>
      </c>
      <c r="P23022">
        <f>IF(OR(M23022="",N23022=""),"",SUMIFS('Barang Keluar'!$E:$E,'Barang Keluar'!$A:$A,M23022,'Barang Keluar'!$C:$C,N23022))</f>
        <v>0</v>
      </c>
    </row>
    <row r="23023" spans="13:16">
      <c r="M23023" s="49">
        <f>IF($A$4+230&gt;$B$4,"",$A$4+230)</f>
        <v>46253</v>
      </c>
      <c r="N23023" t="str">
        <f>IF(M23023="","",'Master Barang'!A17)</f>
        <v>PRL-016</v>
      </c>
      <c r="O23023" t="str">
        <f>IF(N23023="","",'Master Barang'!B17)</f>
        <v>rajawali trashbag 30x40</v>
      </c>
      <c r="P23023">
        <f>IF(OR(M23023="",N23023=""),"",SUMIFS('Barang Keluar'!$E:$E,'Barang Keluar'!$A:$A,M23023,'Barang Keluar'!$C:$C,N23023))</f>
        <v>0</v>
      </c>
    </row>
    <row r="23024" spans="13:16">
      <c r="M23024" s="49">
        <f>IF($A$4+230&gt;$B$4,"",$A$4+230)</f>
        <v>46253</v>
      </c>
      <c r="N23024" t="str">
        <f>IF(M23024="","",'Master Barang'!A18)</f>
        <v>PRL-017</v>
      </c>
      <c r="O23024" t="str">
        <f>IF(N23024="","",'Master Barang'!B18)</f>
        <v>onemed masker biru 3 play 50 pcs</v>
      </c>
      <c r="P23024">
        <f>IF(OR(M23024="",N23024=""),"",SUMIFS('Barang Keluar'!$E:$E,'Barang Keluar'!$A:$A,M23024,'Barang Keluar'!$C:$C,N23024))</f>
        <v>0</v>
      </c>
    </row>
    <row r="23025" spans="13:16">
      <c r="M23025" s="49">
        <f>IF($A$4+230&gt;$B$4,"",$A$4+230)</f>
        <v>46253</v>
      </c>
      <c r="N23025" t="str">
        <f>IF(M23025="","",'Master Barang'!A19)</f>
        <v>PRL-018</v>
      </c>
      <c r="O23025" t="str">
        <f>IF(N23025="","",'Master Barang'!B19)</f>
        <v>onemed masker biru 3 play hijab 50 pcs</v>
      </c>
      <c r="P23025">
        <f>IF(OR(M23025="",N23025=""),"",SUMIFS('Barang Keluar'!$E:$E,'Barang Keluar'!$A:$A,M23025,'Barang Keluar'!$C:$C,N23025))</f>
        <v>0</v>
      </c>
    </row>
    <row r="23026" spans="13:16">
      <c r="M23026" s="49">
        <f>IF($A$4+230&gt;$B$4,"",$A$4+230)</f>
        <v>46253</v>
      </c>
      <c r="N23026" t="str">
        <f>IF(M23026="","",'Master Barang'!A20)</f>
        <v>PRL-019</v>
      </c>
      <c r="O23026" t="str">
        <f>IF(N23026="","",'Master Barang'!B20)</f>
        <v>neo health masker biru 3 play 50 pcs</v>
      </c>
      <c r="P23026">
        <f>IF(OR(M23026="",N23026=""),"",SUMIFS('Barang Keluar'!$E:$E,'Barang Keluar'!$A:$A,M23026,'Barang Keluar'!$C:$C,N23026))</f>
        <v>0</v>
      </c>
    </row>
    <row r="23027" spans="13:16">
      <c r="M23027" s="49">
        <f>IF($A$4+230&gt;$B$4,"",$A$4+230)</f>
        <v>46253</v>
      </c>
      <c r="N23027" t="str">
        <f>IF(M23027="","",'Master Barang'!A21)</f>
        <v>PRL-020</v>
      </c>
      <c r="O23027" t="str">
        <f>IF(N23027="","",'Master Barang'!B21)</f>
        <v>baymed masker hijau 3 play hijau 50 pcs</v>
      </c>
      <c r="P23027">
        <f>IF(OR(M23027="",N23027=""),"",SUMIFS('Barang Keluar'!$E:$E,'Barang Keluar'!$A:$A,M23027,'Barang Keluar'!$C:$C,N23027))</f>
        <v>0</v>
      </c>
    </row>
    <row r="23028" spans="13:16">
      <c r="M23028" s="49">
        <f>IF($A$4+230&gt;$B$4,"",$A$4+230)</f>
        <v>46253</v>
      </c>
      <c r="N23028" t="str">
        <f>IF(M23028="","",'Master Barang'!A22)</f>
        <v>PRL-021</v>
      </c>
      <c r="O23028" t="str">
        <f>IF(N23028="","",'Master Barang'!B22)</f>
        <v>altamed nurse cap penutup kepala 100 pcs</v>
      </c>
      <c r="P23028">
        <f>IF(OR(M23028="",N23028=""),"",SUMIFS('Barang Keluar'!$E:$E,'Barang Keluar'!$A:$A,M23028,'Barang Keluar'!$C:$C,N23028))</f>
        <v>0</v>
      </c>
    </row>
    <row r="23029" spans="13:16">
      <c r="M23029" s="49">
        <f>IF($A$4+230&gt;$B$4,"",$A$4+230)</f>
        <v>46253</v>
      </c>
      <c r="N23029" t="str">
        <f>IF(M23029="","",'Master Barang'!A23)</f>
        <v>PRL-022</v>
      </c>
      <c r="O23029" t="str">
        <f>IF(N23029="","",'Master Barang'!B23)</f>
        <v>sabun cuci tangan</v>
      </c>
      <c r="P23029">
        <f>IF(OR(M23029="",N23029=""),"",SUMIFS('Barang Keluar'!$E:$E,'Barang Keluar'!$A:$A,M23029,'Barang Keluar'!$C:$C,N23029))</f>
        <v>0</v>
      </c>
    </row>
    <row r="23030" spans="13:16">
      <c r="M23030" s="49">
        <f>IF($A$4+230&gt;$B$4,"",$A$4+230)</f>
        <v>46253</v>
      </c>
      <c r="N23030" t="str">
        <f>IF(M23030="","",'Master Barang'!A24)</f>
        <v>PRL-023</v>
      </c>
      <c r="O23030" t="str">
        <f>IF(N23030="","",'Master Barang'!B24)</f>
        <v>gayung kecil</v>
      </c>
      <c r="P23030">
        <f>IF(OR(M23030="",N23030=""),"",SUMIFS('Barang Keluar'!$E:$E,'Barang Keluar'!$A:$A,M23030,'Barang Keluar'!$C:$C,N23030))</f>
        <v>0</v>
      </c>
    </row>
    <row r="23031" spans="13:16">
      <c r="M23031" s="49">
        <f>IF($A$4+230&gt;$B$4,"",$A$4+230)</f>
        <v>46253</v>
      </c>
      <c r="N23031" t="str">
        <f>IF(M23031="","",'Master Barang'!A25)</f>
        <v>PRL-024</v>
      </c>
      <c r="O23031" t="str">
        <f>IF(N23031="","",'Master Barang'!B25)</f>
        <v>cikrak kecil</v>
      </c>
      <c r="P23031">
        <f>IF(OR(M23031="",N23031=""),"",SUMIFS('Barang Keluar'!$E:$E,'Barang Keluar'!$A:$A,M23031,'Barang Keluar'!$C:$C,N23031))</f>
        <v>0</v>
      </c>
    </row>
    <row r="23032" spans="13:16">
      <c r="M23032" s="49">
        <f>IF($A$4+230&gt;$B$4,"",$A$4+230)</f>
        <v>46253</v>
      </c>
      <c r="N23032" t="str">
        <f>IF(M23032="","",'Master Barang'!A26)</f>
        <v>PRL-025</v>
      </c>
      <c r="O23032" t="str">
        <f>IF(N23032="","",'Master Barang'!B26)</f>
        <v>petromax plastik kecil 12x24 100 lembar</v>
      </c>
      <c r="P23032">
        <f>IF(OR(M23032="",N23032=""),"",SUMIFS('Barang Keluar'!$E:$E,'Barang Keluar'!$A:$A,M23032,'Barang Keluar'!$C:$C,N23032))</f>
        <v>0</v>
      </c>
    </row>
    <row r="23033" spans="13:16">
      <c r="M23033" s="49">
        <f>IF($A$4+230&gt;$B$4,"",$A$4+230)</f>
        <v>46253</v>
      </c>
      <c r="N23033" t="str">
        <f>IF(M23033="","",'Master Barang'!A27)</f>
        <v>PRL-026</v>
      </c>
      <c r="O23033" t="str">
        <f>IF(N23033="","",'Master Barang'!B27)</f>
        <v>lancar kresek kecil bening </v>
      </c>
      <c r="P23033">
        <f>IF(OR(M23033="",N23033=""),"",SUMIFS('Barang Keluar'!$E:$E,'Barang Keluar'!$A:$A,M23033,'Barang Keluar'!$C:$C,N23033))</f>
        <v>0</v>
      </c>
    </row>
    <row r="23034" spans="13:16">
      <c r="M23034" s="49">
        <f>IF($A$4+230&gt;$B$4,"",$A$4+230)</f>
        <v>46253</v>
      </c>
      <c r="N23034" t="str">
        <f>IF(M23034="","",'Master Barang'!A28)</f>
        <v>PRL-027</v>
      </c>
      <c r="O23034" t="str">
        <f>IF(N23034="","",'Master Barang'!B28)</f>
        <v>kresek klin warna warni kecil</v>
      </c>
      <c r="P23034">
        <f>IF(OR(M23034="",N23034=""),"",SUMIFS('Barang Keluar'!$E:$E,'Barang Keluar'!$A:$A,M23034,'Barang Keluar'!$C:$C,N23034))</f>
        <v>0</v>
      </c>
    </row>
    <row r="23035" spans="13:16">
      <c r="M23035" s="49">
        <f>IF($A$4+230&gt;$B$4,"",$A$4+230)</f>
        <v>46253</v>
      </c>
      <c r="N23035" t="str">
        <f>IF(M23035="","",'Master Barang'!A29)</f>
        <v>PRL-028</v>
      </c>
      <c r="O23035" t="str">
        <f>IF(N23035="","",'Master Barang'!B29)</f>
        <v>ctik plastik 7x10 100 pcs</v>
      </c>
      <c r="P23035">
        <f>IF(OR(M23035="",N23035=""),"",SUMIFS('Barang Keluar'!$E:$E,'Barang Keluar'!$A:$A,M23035,'Barang Keluar'!$C:$C,N23035))</f>
        <v>0</v>
      </c>
    </row>
    <row r="23036" spans="13:16">
      <c r="M23036" s="49">
        <f>IF($A$4+230&gt;$B$4,"",$A$4+230)</f>
        <v>46253</v>
      </c>
      <c r="N23036" t="str">
        <f>IF(M23036="","",'Master Barang'!A30)</f>
        <v>PRL-029</v>
      </c>
      <c r="O23036" t="str">
        <f>IF(N23036="","",'Master Barang'!B30)</f>
        <v>ctik plastik 6x10 100 pcs</v>
      </c>
      <c r="P23036">
        <f>IF(OR(M23036="",N23036=""),"",SUMIFS('Barang Keluar'!$E:$E,'Barang Keluar'!$A:$A,M23036,'Barang Keluar'!$C:$C,N23036))</f>
        <v>0</v>
      </c>
    </row>
    <row r="23037" spans="13:16">
      <c r="M23037" s="49">
        <f>IF($A$4+230&gt;$B$4,"",$A$4+230)</f>
        <v>46253</v>
      </c>
      <c r="N23037" t="str">
        <f>IF(M23037="","",'Master Barang'!A31)</f>
        <v>PRL-030</v>
      </c>
      <c r="O23037" t="str">
        <f>IF(N23037="","",'Master Barang'!B31)</f>
        <v>klip plastik 25x16 100 pcs</v>
      </c>
      <c r="P23037">
        <f>IF(OR(M23037="",N23037=""),"",SUMIFS('Barang Keluar'!$E:$E,'Barang Keluar'!$A:$A,M23037,'Barang Keluar'!$C:$C,N23037))</f>
        <v>0</v>
      </c>
    </row>
    <row r="23038" spans="13:16">
      <c r="M23038" s="49">
        <f>IF($A$4+230&gt;$B$4,"",$A$4+230)</f>
        <v>46253</v>
      </c>
      <c r="N23038" t="str">
        <f>IF(M23038="","",'Master Barang'!A32)</f>
        <v>PRL-031</v>
      </c>
      <c r="O23038" t="str">
        <f>IF(N23038="","",'Master Barang'!B32)</f>
        <v>tempat saus 20 ml</v>
      </c>
      <c r="P23038">
        <f>IF(OR(M23038="",N23038=""),"",SUMIFS('Barang Keluar'!$E:$E,'Barang Keluar'!$A:$A,M23038,'Barang Keluar'!$C:$C,N23038))</f>
        <v>0</v>
      </c>
    </row>
    <row r="23039" spans="13:16">
      <c r="M23039" s="49">
        <f>IF($A$4+230&gt;$B$4,"",$A$4+230)</f>
        <v>46253</v>
      </c>
      <c r="N23039" t="str">
        <f>IF(M23039="","",'Master Barang'!A33)</f>
        <v>PRL-032</v>
      </c>
      <c r="O23039" t="str">
        <f>IF(N23039="","",'Master Barang'!B33)</f>
        <v>plastik packaging ag box uk sedang</v>
      </c>
      <c r="P23039">
        <f>IF(OR(M23039="",N23039=""),"",SUMIFS('Barang Keluar'!$E:$E,'Barang Keluar'!$A:$A,M23039,'Barang Keluar'!$C:$C,N23039))</f>
        <v>0</v>
      </c>
    </row>
    <row r="23040" spans="13:16">
      <c r="M23040" s="49">
        <f>IF($A$4+230&gt;$B$4,"",$A$4+230)</f>
        <v>46253</v>
      </c>
      <c r="N23040" t="str">
        <f>IF(M23040="","",'Master Barang'!A34)</f>
        <v>PRL-033</v>
      </c>
      <c r="O23040">
        <f>IF(N23040="","",'Master Barang'!B34)</f>
        <v>0</v>
      </c>
      <c r="P23040">
        <f>IF(OR(M23040="",N23040=""),"",SUMIFS('Barang Keluar'!$E:$E,'Barang Keluar'!$A:$A,M23040,'Barang Keluar'!$C:$C,N23040))</f>
        <v>0</v>
      </c>
    </row>
    <row r="23041" spans="13:16">
      <c r="M23041" s="49">
        <f>IF($A$4+230&gt;$B$4,"",$A$4+230)</f>
        <v>46253</v>
      </c>
      <c r="N23041">
        <f>IF(M23041="","",'Master Barang'!A35)</f>
        <v>0</v>
      </c>
      <c r="O23041">
        <f>IF(N23041="","",'Master Barang'!B35)</f>
        <v>0</v>
      </c>
      <c r="P23041">
        <f>IF(OR(M23041="",N23041=""),"",SUMIFS('Barang Keluar'!$E:$E,'Barang Keluar'!$A:$A,M23041,'Barang Keluar'!$C:$C,N23041))</f>
        <v>0</v>
      </c>
    </row>
    <row r="23042" spans="13:16">
      <c r="M23042" s="49">
        <f>IF($A$4+230&gt;$B$4,"",$A$4+230)</f>
        <v>46253</v>
      </c>
      <c r="N23042">
        <f>IF(M23042="","",'Master Barang'!A36)</f>
        <v>0</v>
      </c>
      <c r="O23042">
        <f>IF(N23042="","",'Master Barang'!B36)</f>
        <v>0</v>
      </c>
      <c r="P23042">
        <f>IF(OR(M23042="",N23042=""),"",SUMIFS('Barang Keluar'!$E:$E,'Barang Keluar'!$A:$A,M23042,'Barang Keluar'!$C:$C,N23042))</f>
        <v>0</v>
      </c>
    </row>
    <row r="23043" spans="13:16">
      <c r="M23043" s="49">
        <f>IF($A$4+230&gt;$B$4,"",$A$4+230)</f>
        <v>46253</v>
      </c>
      <c r="N23043">
        <f>IF(M23043="","",'Master Barang'!A37)</f>
        <v>0</v>
      </c>
      <c r="O23043">
        <f>IF(N23043="","",'Master Barang'!B37)</f>
        <v>0</v>
      </c>
      <c r="P23043">
        <f>IF(OR(M23043="",N23043=""),"",SUMIFS('Barang Keluar'!$E:$E,'Barang Keluar'!$A:$A,M23043,'Barang Keluar'!$C:$C,N23043))</f>
        <v>0</v>
      </c>
    </row>
    <row r="23044" spans="13:16">
      <c r="M23044" s="49">
        <f>IF($A$4+230&gt;$B$4,"",$A$4+230)</f>
        <v>46253</v>
      </c>
      <c r="N23044">
        <f>IF(M23044="","",'Master Barang'!A38)</f>
        <v>0</v>
      </c>
      <c r="O23044">
        <f>IF(N23044="","",'Master Barang'!B38)</f>
        <v>0</v>
      </c>
      <c r="P23044">
        <f>IF(OR(M23044="",N23044=""),"",SUMIFS('Barang Keluar'!$E:$E,'Barang Keluar'!$A:$A,M23044,'Barang Keluar'!$C:$C,N23044))</f>
        <v>0</v>
      </c>
    </row>
    <row r="23045" spans="13:16">
      <c r="M23045" s="49">
        <f>IF($A$4+230&gt;$B$4,"",$A$4+230)</f>
        <v>46253</v>
      </c>
      <c r="N23045">
        <f>IF(M23045="","",'Master Barang'!A39)</f>
        <v>0</v>
      </c>
      <c r="O23045">
        <f>IF(N23045="","",'Master Barang'!B39)</f>
        <v>0</v>
      </c>
      <c r="P23045">
        <f>IF(OR(M23045="",N23045=""),"",SUMIFS('Barang Keluar'!$E:$E,'Barang Keluar'!$A:$A,M23045,'Barang Keluar'!$C:$C,N23045))</f>
        <v>0</v>
      </c>
    </row>
    <row r="23046" spans="13:16">
      <c r="M23046" s="49">
        <f>IF($A$4+230&gt;$B$4,"",$A$4+230)</f>
        <v>46253</v>
      </c>
      <c r="N23046">
        <f>IF(M23046="","",'Master Barang'!A40)</f>
        <v>0</v>
      </c>
      <c r="O23046">
        <f>IF(N23046="","",'Master Barang'!B40)</f>
        <v>0</v>
      </c>
      <c r="P23046">
        <f>IF(OR(M23046="",N23046=""),"",SUMIFS('Barang Keluar'!$E:$E,'Barang Keluar'!$A:$A,M23046,'Barang Keluar'!$C:$C,N23046))</f>
        <v>0</v>
      </c>
    </row>
    <row r="23047" spans="13:16">
      <c r="M23047" s="49">
        <f>IF($A$4+230&gt;$B$4,"",$A$4+230)</f>
        <v>46253</v>
      </c>
      <c r="N23047">
        <f>IF(M23047="","",'Master Barang'!A41)</f>
        <v>0</v>
      </c>
      <c r="O23047">
        <f>IF(N23047="","",'Master Barang'!B41)</f>
        <v>0</v>
      </c>
      <c r="P23047">
        <f>IF(OR(M23047="",N23047=""),"",SUMIFS('Barang Keluar'!$E:$E,'Barang Keluar'!$A:$A,M23047,'Barang Keluar'!$C:$C,N23047))</f>
        <v>0</v>
      </c>
    </row>
    <row r="23048" spans="13:16">
      <c r="M23048" s="49">
        <f>IF($A$4+230&gt;$B$4,"",$A$4+230)</f>
        <v>46253</v>
      </c>
      <c r="N23048">
        <f>IF(M23048="","",'Master Barang'!A42)</f>
        <v>0</v>
      </c>
      <c r="O23048">
        <f>IF(N23048="","",'Master Barang'!B42)</f>
        <v>0</v>
      </c>
      <c r="P23048">
        <f>IF(OR(M23048="",N23048=""),"",SUMIFS('Barang Keluar'!$E:$E,'Barang Keluar'!$A:$A,M23048,'Barang Keluar'!$C:$C,N23048))</f>
        <v>0</v>
      </c>
    </row>
    <row r="23049" spans="13:16">
      <c r="M23049" s="49">
        <f>IF($A$4+230&gt;$B$4,"",$A$4+230)</f>
        <v>46253</v>
      </c>
      <c r="N23049">
        <f>IF(M23049="","",'Master Barang'!A43)</f>
        <v>0</v>
      </c>
      <c r="O23049">
        <f>IF(N23049="","",'Master Barang'!B43)</f>
        <v>0</v>
      </c>
      <c r="P23049">
        <f>IF(OR(M23049="",N23049=""),"",SUMIFS('Barang Keluar'!$E:$E,'Barang Keluar'!$A:$A,M23049,'Barang Keluar'!$C:$C,N23049))</f>
        <v>0</v>
      </c>
    </row>
    <row r="23050" spans="13:16">
      <c r="M23050" s="49">
        <f>IF($A$4+230&gt;$B$4,"",$A$4+230)</f>
        <v>46253</v>
      </c>
      <c r="N23050">
        <f>IF(M23050="","",'Master Barang'!A44)</f>
        <v>0</v>
      </c>
      <c r="O23050">
        <f>IF(N23050="","",'Master Barang'!B44)</f>
        <v>0</v>
      </c>
      <c r="P23050">
        <f>IF(OR(M23050="",N23050=""),"",SUMIFS('Barang Keluar'!$E:$E,'Barang Keluar'!$A:$A,M23050,'Barang Keluar'!$C:$C,N23050))</f>
        <v>0</v>
      </c>
    </row>
    <row r="23051" spans="13:16">
      <c r="M23051" s="49">
        <f>IF($A$4+230&gt;$B$4,"",$A$4+230)</f>
        <v>46253</v>
      </c>
      <c r="N23051">
        <f>IF(M23051="","",'Master Barang'!A45)</f>
        <v>0</v>
      </c>
      <c r="O23051">
        <f>IF(N23051="","",'Master Barang'!B45)</f>
        <v>0</v>
      </c>
      <c r="P23051">
        <f>IF(OR(M23051="",N23051=""),"",SUMIFS('Barang Keluar'!$E:$E,'Barang Keluar'!$A:$A,M23051,'Barang Keluar'!$C:$C,N23051))</f>
        <v>0</v>
      </c>
    </row>
    <row r="23052" spans="13:16">
      <c r="M23052" s="49">
        <f>IF($A$4+230&gt;$B$4,"",$A$4+230)</f>
        <v>46253</v>
      </c>
      <c r="N23052">
        <f>IF(M23052="","",'Master Barang'!A46)</f>
        <v>0</v>
      </c>
      <c r="O23052">
        <f>IF(N23052="","",'Master Barang'!B46)</f>
        <v>0</v>
      </c>
      <c r="P23052">
        <f>IF(OR(M23052="",N23052=""),"",SUMIFS('Barang Keluar'!$E:$E,'Barang Keluar'!$A:$A,M23052,'Barang Keluar'!$C:$C,N23052))</f>
        <v>0</v>
      </c>
    </row>
    <row r="23053" spans="13:16">
      <c r="M23053" s="49">
        <f>IF($A$4+230&gt;$B$4,"",$A$4+230)</f>
        <v>46253</v>
      </c>
      <c r="N23053">
        <f>IF(M23053="","",'Master Barang'!A47)</f>
        <v>0</v>
      </c>
      <c r="O23053">
        <f>IF(N23053="","",'Master Barang'!B47)</f>
        <v>0</v>
      </c>
      <c r="P23053">
        <f>IF(OR(M23053="",N23053=""),"",SUMIFS('Barang Keluar'!$E:$E,'Barang Keluar'!$A:$A,M23053,'Barang Keluar'!$C:$C,N23053))</f>
        <v>0</v>
      </c>
    </row>
    <row r="23054" spans="13:16">
      <c r="M23054" s="49">
        <f>IF($A$4+230&gt;$B$4,"",$A$4+230)</f>
        <v>46253</v>
      </c>
      <c r="N23054">
        <f>IF(M23054="","",'Master Barang'!A48)</f>
        <v>0</v>
      </c>
      <c r="O23054">
        <f>IF(N23054="","",'Master Barang'!B48)</f>
        <v>0</v>
      </c>
      <c r="P23054">
        <f>IF(OR(M23054="",N23054=""),"",SUMIFS('Barang Keluar'!$E:$E,'Barang Keluar'!$A:$A,M23054,'Barang Keluar'!$C:$C,N23054))</f>
        <v>0</v>
      </c>
    </row>
    <row r="23055" spans="13:16">
      <c r="M23055" s="49">
        <f>IF($A$4+230&gt;$B$4,"",$A$4+230)</f>
        <v>46253</v>
      </c>
      <c r="N23055">
        <f>IF(M23055="","",'Master Barang'!A49)</f>
        <v>0</v>
      </c>
      <c r="O23055">
        <f>IF(N23055="","",'Master Barang'!B49)</f>
        <v>0</v>
      </c>
      <c r="P23055">
        <f>IF(OR(M23055="",N23055=""),"",SUMIFS('Barang Keluar'!$E:$E,'Barang Keluar'!$A:$A,M23055,'Barang Keluar'!$C:$C,N23055))</f>
        <v>0</v>
      </c>
    </row>
    <row r="23056" spans="13:16">
      <c r="M23056" s="49">
        <f>IF($A$4+230&gt;$B$4,"",$A$4+230)</f>
        <v>46253</v>
      </c>
      <c r="N23056">
        <f>IF(M23056="","",'Master Barang'!A50)</f>
        <v>0</v>
      </c>
      <c r="O23056">
        <f>IF(N23056="","",'Master Barang'!B50)</f>
        <v>0</v>
      </c>
      <c r="P23056">
        <f>IF(OR(M23056="",N23056=""),"",SUMIFS('Barang Keluar'!$E:$E,'Barang Keluar'!$A:$A,M23056,'Barang Keluar'!$C:$C,N23056))</f>
        <v>0</v>
      </c>
    </row>
    <row r="23057" spans="13:16">
      <c r="M23057" s="49">
        <f>IF($A$4+230&gt;$B$4,"",$A$4+230)</f>
        <v>46253</v>
      </c>
      <c r="N23057">
        <f>IF(M23057="","",'Master Barang'!A51)</f>
        <v>0</v>
      </c>
      <c r="O23057">
        <f>IF(N23057="","",'Master Barang'!B51)</f>
        <v>0</v>
      </c>
      <c r="P23057">
        <f>IF(OR(M23057="",N23057=""),"",SUMIFS('Barang Keluar'!$E:$E,'Barang Keluar'!$A:$A,M23057,'Barang Keluar'!$C:$C,N23057))</f>
        <v>0</v>
      </c>
    </row>
    <row r="23058" spans="13:16">
      <c r="M23058" s="49">
        <f>IF($A$4+230&gt;$B$4,"",$A$4+230)</f>
        <v>46253</v>
      </c>
      <c r="N23058">
        <f>IF(M23058="","",'Master Barang'!A52)</f>
        <v>0</v>
      </c>
      <c r="O23058">
        <f>IF(N23058="","",'Master Barang'!B52)</f>
        <v>0</v>
      </c>
      <c r="P23058">
        <f>IF(OR(M23058="",N23058=""),"",SUMIFS('Barang Keluar'!$E:$E,'Barang Keluar'!$A:$A,M23058,'Barang Keluar'!$C:$C,N23058))</f>
        <v>0</v>
      </c>
    </row>
    <row r="23059" spans="13:16">
      <c r="M23059" s="49">
        <f>IF($A$4+230&gt;$B$4,"",$A$4+230)</f>
        <v>46253</v>
      </c>
      <c r="N23059">
        <f>IF(M23059="","",'Master Barang'!A53)</f>
        <v>0</v>
      </c>
      <c r="O23059">
        <f>IF(N23059="","",'Master Barang'!B53)</f>
        <v>0</v>
      </c>
      <c r="P23059">
        <f>IF(OR(M23059="",N23059=""),"",SUMIFS('Barang Keluar'!$E:$E,'Barang Keluar'!$A:$A,M23059,'Barang Keluar'!$C:$C,N23059))</f>
        <v>0</v>
      </c>
    </row>
    <row r="23060" spans="13:16">
      <c r="M23060" s="49">
        <f>IF($A$4+230&gt;$B$4,"",$A$4+230)</f>
        <v>46253</v>
      </c>
      <c r="N23060">
        <f>IF(M23060="","",'Master Barang'!A54)</f>
        <v>0</v>
      </c>
      <c r="O23060">
        <f>IF(N23060="","",'Master Barang'!B54)</f>
        <v>0</v>
      </c>
      <c r="P23060">
        <f>IF(OR(M23060="",N23060=""),"",SUMIFS('Barang Keluar'!$E:$E,'Barang Keluar'!$A:$A,M23060,'Barang Keluar'!$C:$C,N23060))</f>
        <v>0</v>
      </c>
    </row>
    <row r="23061" spans="13:16">
      <c r="M23061" s="49">
        <f>IF($A$4+230&gt;$B$4,"",$A$4+230)</f>
        <v>46253</v>
      </c>
      <c r="N23061">
        <f>IF(M23061="","",'Master Barang'!A55)</f>
        <v>0</v>
      </c>
      <c r="O23061">
        <f>IF(N23061="","",'Master Barang'!B55)</f>
        <v>0</v>
      </c>
      <c r="P23061">
        <f>IF(OR(M23061="",N23061=""),"",SUMIFS('Barang Keluar'!$E:$E,'Barang Keluar'!$A:$A,M23061,'Barang Keluar'!$C:$C,N23061))</f>
        <v>0</v>
      </c>
    </row>
    <row r="23062" spans="13:16">
      <c r="M23062" s="49">
        <f>IF($A$4+230&gt;$B$4,"",$A$4+230)</f>
        <v>46253</v>
      </c>
      <c r="N23062">
        <f>IF(M23062="","",'Master Barang'!A56)</f>
        <v>0</v>
      </c>
      <c r="O23062">
        <f>IF(N23062="","",'Master Barang'!B56)</f>
        <v>0</v>
      </c>
      <c r="P23062">
        <f>IF(OR(M23062="",N23062=""),"",SUMIFS('Barang Keluar'!$E:$E,'Barang Keluar'!$A:$A,M23062,'Barang Keluar'!$C:$C,N23062))</f>
        <v>0</v>
      </c>
    </row>
    <row r="23063" spans="13:16">
      <c r="M23063" s="49">
        <f>IF($A$4+230&gt;$B$4,"",$A$4+230)</f>
        <v>46253</v>
      </c>
      <c r="N23063">
        <f>IF(M23063="","",'Master Barang'!A57)</f>
        <v>0</v>
      </c>
      <c r="O23063">
        <f>IF(N23063="","",'Master Barang'!B57)</f>
        <v>0</v>
      </c>
      <c r="P23063">
        <f>IF(OR(M23063="",N23063=""),"",SUMIFS('Barang Keluar'!$E:$E,'Barang Keluar'!$A:$A,M23063,'Barang Keluar'!$C:$C,N23063))</f>
        <v>0</v>
      </c>
    </row>
    <row r="23064" spans="13:16">
      <c r="M23064" s="49">
        <f>IF($A$4+230&gt;$B$4,"",$A$4+230)</f>
        <v>46253</v>
      </c>
      <c r="N23064">
        <f>IF(M23064="","",'Master Barang'!A58)</f>
        <v>0</v>
      </c>
      <c r="O23064">
        <f>IF(N23064="","",'Master Barang'!B58)</f>
        <v>0</v>
      </c>
      <c r="P23064">
        <f>IF(OR(M23064="",N23064=""),"",SUMIFS('Barang Keluar'!$E:$E,'Barang Keluar'!$A:$A,M23064,'Barang Keluar'!$C:$C,N23064))</f>
        <v>0</v>
      </c>
    </row>
    <row r="23065" spans="13:16">
      <c r="M23065" s="49">
        <f>IF($A$4+230&gt;$B$4,"",$A$4+230)</f>
        <v>46253</v>
      </c>
      <c r="N23065">
        <f>IF(M23065="","",'Master Barang'!A59)</f>
        <v>0</v>
      </c>
      <c r="O23065">
        <f>IF(N23065="","",'Master Barang'!B59)</f>
        <v>0</v>
      </c>
      <c r="P23065">
        <f>IF(OR(M23065="",N23065=""),"",SUMIFS('Barang Keluar'!$E:$E,'Barang Keluar'!$A:$A,M23065,'Barang Keluar'!$C:$C,N23065))</f>
        <v>0</v>
      </c>
    </row>
    <row r="23066" spans="13:16">
      <c r="M23066" s="49">
        <f>IF($A$4+230&gt;$B$4,"",$A$4+230)</f>
        <v>46253</v>
      </c>
      <c r="N23066">
        <f>IF(M23066="","",'Master Barang'!A60)</f>
        <v>0</v>
      </c>
      <c r="O23066">
        <f>IF(N23066="","",'Master Barang'!B60)</f>
        <v>0</v>
      </c>
      <c r="P23066">
        <f>IF(OR(M23066="",N23066=""),"",SUMIFS('Barang Keluar'!$E:$E,'Barang Keluar'!$A:$A,M23066,'Barang Keluar'!$C:$C,N23066))</f>
        <v>0</v>
      </c>
    </row>
    <row r="23067" spans="13:16">
      <c r="M23067" s="49">
        <f>IF($A$4+230&gt;$B$4,"",$A$4+230)</f>
        <v>46253</v>
      </c>
      <c r="N23067">
        <f>IF(M23067="","",'Master Barang'!A61)</f>
        <v>0</v>
      </c>
      <c r="O23067">
        <f>IF(N23067="","",'Master Barang'!B61)</f>
        <v>0</v>
      </c>
      <c r="P23067">
        <f>IF(OR(M23067="",N23067=""),"",SUMIFS('Barang Keluar'!$E:$E,'Barang Keluar'!$A:$A,M23067,'Barang Keluar'!$C:$C,N23067))</f>
        <v>0</v>
      </c>
    </row>
    <row r="23068" spans="13:16">
      <c r="M23068" s="49">
        <f>IF($A$4+230&gt;$B$4,"",$A$4+230)</f>
        <v>46253</v>
      </c>
      <c r="N23068">
        <f>IF(M23068="","",'Master Barang'!A62)</f>
        <v>0</v>
      </c>
      <c r="O23068">
        <f>IF(N23068="","",'Master Barang'!B62)</f>
        <v>0</v>
      </c>
      <c r="P23068">
        <f>IF(OR(M23068="",N23068=""),"",SUMIFS('Barang Keluar'!$E:$E,'Barang Keluar'!$A:$A,M23068,'Barang Keluar'!$C:$C,N23068))</f>
        <v>0</v>
      </c>
    </row>
    <row r="23069" spans="13:16">
      <c r="M23069" s="49">
        <f>IF($A$4+230&gt;$B$4,"",$A$4+230)</f>
        <v>46253</v>
      </c>
      <c r="N23069">
        <f>IF(M23069="","",'Master Barang'!A63)</f>
        <v>0</v>
      </c>
      <c r="O23069">
        <f>IF(N23069="","",'Master Barang'!B63)</f>
        <v>0</v>
      </c>
      <c r="P23069">
        <f>IF(OR(M23069="",N23069=""),"",SUMIFS('Barang Keluar'!$E:$E,'Barang Keluar'!$A:$A,M23069,'Barang Keluar'!$C:$C,N23069))</f>
        <v>0</v>
      </c>
    </row>
    <row r="23070" spans="13:16">
      <c r="M23070" s="49">
        <f>IF($A$4+230&gt;$B$4,"",$A$4+230)</f>
        <v>46253</v>
      </c>
      <c r="N23070">
        <f>IF(M23070="","",'Master Barang'!A64)</f>
        <v>0</v>
      </c>
      <c r="O23070">
        <f>IF(N23070="","",'Master Barang'!B64)</f>
        <v>0</v>
      </c>
      <c r="P23070">
        <f>IF(OR(M23070="",N23070=""),"",SUMIFS('Barang Keluar'!$E:$E,'Barang Keluar'!$A:$A,M23070,'Barang Keluar'!$C:$C,N23070))</f>
        <v>0</v>
      </c>
    </row>
    <row r="23071" spans="13:16">
      <c r="M23071" s="49">
        <f>IF($A$4+230&gt;$B$4,"",$A$4+230)</f>
        <v>46253</v>
      </c>
      <c r="N23071">
        <f>IF(M23071="","",'Master Barang'!A65)</f>
        <v>0</v>
      </c>
      <c r="O23071">
        <f>IF(N23071="","",'Master Barang'!B65)</f>
        <v>0</v>
      </c>
      <c r="P23071">
        <f>IF(OR(M23071="",N23071=""),"",SUMIFS('Barang Keluar'!$E:$E,'Barang Keluar'!$A:$A,M23071,'Barang Keluar'!$C:$C,N23071))</f>
        <v>0</v>
      </c>
    </row>
    <row r="23072" spans="13:16">
      <c r="M23072" s="49">
        <f>IF($A$4+230&gt;$B$4,"",$A$4+230)</f>
        <v>46253</v>
      </c>
      <c r="N23072">
        <f>IF(M23072="","",'Master Barang'!A66)</f>
        <v>0</v>
      </c>
      <c r="O23072">
        <f>IF(N23072="","",'Master Barang'!B66)</f>
        <v>0</v>
      </c>
      <c r="P23072">
        <f>IF(OR(M23072="",N23072=""),"",SUMIFS('Barang Keluar'!$E:$E,'Barang Keluar'!$A:$A,M23072,'Barang Keluar'!$C:$C,N23072))</f>
        <v>0</v>
      </c>
    </row>
    <row r="23073" spans="13:16">
      <c r="M23073" s="49">
        <f>IF($A$4+230&gt;$B$4,"",$A$4+230)</f>
        <v>46253</v>
      </c>
      <c r="N23073">
        <f>IF(M23073="","",'Master Barang'!A67)</f>
        <v>0</v>
      </c>
      <c r="O23073">
        <f>IF(N23073="","",'Master Barang'!B67)</f>
        <v>0</v>
      </c>
      <c r="P23073">
        <f>IF(OR(M23073="",N23073=""),"",SUMIFS('Barang Keluar'!$E:$E,'Barang Keluar'!$A:$A,M23073,'Barang Keluar'!$C:$C,N23073))</f>
        <v>0</v>
      </c>
    </row>
    <row r="23074" spans="13:16">
      <c r="M23074" s="49">
        <f>IF($A$4+230&gt;$B$4,"",$A$4+230)</f>
        <v>46253</v>
      </c>
      <c r="N23074">
        <f>IF(M23074="","",'Master Barang'!A68)</f>
        <v>0</v>
      </c>
      <c r="O23074">
        <f>IF(N23074="","",'Master Barang'!B68)</f>
        <v>0</v>
      </c>
      <c r="P23074">
        <f>IF(OR(M23074="",N23074=""),"",SUMIFS('Barang Keluar'!$E:$E,'Barang Keluar'!$A:$A,M23074,'Barang Keluar'!$C:$C,N23074))</f>
        <v>0</v>
      </c>
    </row>
    <row r="23075" spans="13:16">
      <c r="M23075" s="49">
        <f>IF($A$4+230&gt;$B$4,"",$A$4+230)</f>
        <v>46253</v>
      </c>
      <c r="N23075">
        <f>IF(M23075="","",'Master Barang'!A69)</f>
        <v>0</v>
      </c>
      <c r="O23075">
        <f>IF(N23075="","",'Master Barang'!B69)</f>
        <v>0</v>
      </c>
      <c r="P23075">
        <f>IF(OR(M23075="",N23075=""),"",SUMIFS('Barang Keluar'!$E:$E,'Barang Keluar'!$A:$A,M23075,'Barang Keluar'!$C:$C,N23075))</f>
        <v>0</v>
      </c>
    </row>
    <row r="23076" spans="13:16">
      <c r="M23076" s="49">
        <f>IF($A$4+230&gt;$B$4,"",$A$4+230)</f>
        <v>46253</v>
      </c>
      <c r="N23076">
        <f>IF(M23076="","",'Master Barang'!A70)</f>
        <v>0</v>
      </c>
      <c r="O23076">
        <f>IF(N23076="","",'Master Barang'!B70)</f>
        <v>0</v>
      </c>
      <c r="P23076">
        <f>IF(OR(M23076="",N23076=""),"",SUMIFS('Barang Keluar'!$E:$E,'Barang Keluar'!$A:$A,M23076,'Barang Keluar'!$C:$C,N23076))</f>
        <v>0</v>
      </c>
    </row>
    <row r="23077" spans="13:16">
      <c r="M23077" s="49">
        <f>IF($A$4+230&gt;$B$4,"",$A$4+230)</f>
        <v>46253</v>
      </c>
      <c r="N23077">
        <f>IF(M23077="","",'Master Barang'!A71)</f>
        <v>0</v>
      </c>
      <c r="O23077">
        <f>IF(N23077="","",'Master Barang'!B71)</f>
        <v>0</v>
      </c>
      <c r="P23077">
        <f>IF(OR(M23077="",N23077=""),"",SUMIFS('Barang Keluar'!$E:$E,'Barang Keluar'!$A:$A,M23077,'Barang Keluar'!$C:$C,N23077))</f>
        <v>0</v>
      </c>
    </row>
    <row r="23078" spans="13:16">
      <c r="M23078" s="49">
        <f>IF($A$4+230&gt;$B$4,"",$A$4+230)</f>
        <v>46253</v>
      </c>
      <c r="N23078">
        <f>IF(M23078="","",'Master Barang'!A72)</f>
        <v>0</v>
      </c>
      <c r="O23078">
        <f>IF(N23078="","",'Master Barang'!B72)</f>
        <v>0</v>
      </c>
      <c r="P23078">
        <f>IF(OR(M23078="",N23078=""),"",SUMIFS('Barang Keluar'!$E:$E,'Barang Keluar'!$A:$A,M23078,'Barang Keluar'!$C:$C,N23078))</f>
        <v>0</v>
      </c>
    </row>
    <row r="23079" spans="13:16">
      <c r="M23079" s="49">
        <f>IF($A$4+230&gt;$B$4,"",$A$4+230)</f>
        <v>46253</v>
      </c>
      <c r="N23079">
        <f>IF(M23079="","",'Master Barang'!A73)</f>
        <v>0</v>
      </c>
      <c r="O23079">
        <f>IF(N23079="","",'Master Barang'!B73)</f>
        <v>0</v>
      </c>
      <c r="P23079">
        <f>IF(OR(M23079="",N23079=""),"",SUMIFS('Barang Keluar'!$E:$E,'Barang Keluar'!$A:$A,M23079,'Barang Keluar'!$C:$C,N23079))</f>
        <v>0</v>
      </c>
    </row>
    <row r="23080" spans="13:16">
      <c r="M23080" s="49">
        <f>IF($A$4+230&gt;$B$4,"",$A$4+230)</f>
        <v>46253</v>
      </c>
      <c r="N23080">
        <f>IF(M23080="","",'Master Barang'!A74)</f>
        <v>0</v>
      </c>
      <c r="O23080">
        <f>IF(N23080="","",'Master Barang'!B74)</f>
        <v>0</v>
      </c>
      <c r="P23080">
        <f>IF(OR(M23080="",N23080=""),"",SUMIFS('Barang Keluar'!$E:$E,'Barang Keluar'!$A:$A,M23080,'Barang Keluar'!$C:$C,N23080))</f>
        <v>0</v>
      </c>
    </row>
    <row r="23081" spans="13:16">
      <c r="M23081" s="49">
        <f>IF($A$4+230&gt;$B$4,"",$A$4+230)</f>
        <v>46253</v>
      </c>
      <c r="N23081">
        <f>IF(M23081="","",'Master Barang'!A75)</f>
        <v>0</v>
      </c>
      <c r="O23081">
        <f>IF(N23081="","",'Master Barang'!B75)</f>
        <v>0</v>
      </c>
      <c r="P23081">
        <f>IF(OR(M23081="",N23081=""),"",SUMIFS('Barang Keluar'!$E:$E,'Barang Keluar'!$A:$A,M23081,'Barang Keluar'!$C:$C,N23081))</f>
        <v>0</v>
      </c>
    </row>
    <row r="23082" spans="13:16">
      <c r="M23082" s="49">
        <f>IF($A$4+230&gt;$B$4,"",$A$4+230)</f>
        <v>46253</v>
      </c>
      <c r="N23082">
        <f>IF(M23082="","",'Master Barang'!A76)</f>
        <v>0</v>
      </c>
      <c r="O23082">
        <f>IF(N23082="","",'Master Barang'!B76)</f>
        <v>0</v>
      </c>
      <c r="P23082">
        <f>IF(OR(M23082="",N23082=""),"",SUMIFS('Barang Keluar'!$E:$E,'Barang Keluar'!$A:$A,M23082,'Barang Keluar'!$C:$C,N23082))</f>
        <v>0</v>
      </c>
    </row>
    <row r="23083" spans="13:16">
      <c r="M23083" s="49">
        <f>IF($A$4+230&gt;$B$4,"",$A$4+230)</f>
        <v>46253</v>
      </c>
      <c r="N23083">
        <f>IF(M23083="","",'Master Barang'!A77)</f>
        <v>0</v>
      </c>
      <c r="O23083">
        <f>IF(N23083="","",'Master Barang'!B77)</f>
        <v>0</v>
      </c>
      <c r="P23083">
        <f>IF(OR(M23083="",N23083=""),"",SUMIFS('Barang Keluar'!$E:$E,'Barang Keluar'!$A:$A,M23083,'Barang Keluar'!$C:$C,N23083))</f>
        <v>0</v>
      </c>
    </row>
    <row r="23084" spans="13:16">
      <c r="M23084" s="49">
        <f>IF($A$4+230&gt;$B$4,"",$A$4+230)</f>
        <v>46253</v>
      </c>
      <c r="N23084">
        <f>IF(M23084="","",'Master Barang'!A78)</f>
        <v>0</v>
      </c>
      <c r="O23084">
        <f>IF(N23084="","",'Master Barang'!B78)</f>
        <v>0</v>
      </c>
      <c r="P23084">
        <f>IF(OR(M23084="",N23084=""),"",SUMIFS('Barang Keluar'!$E:$E,'Barang Keluar'!$A:$A,M23084,'Barang Keluar'!$C:$C,N23084))</f>
        <v>0</v>
      </c>
    </row>
    <row r="23085" spans="13:16">
      <c r="M23085" s="49">
        <f>IF($A$4+230&gt;$B$4,"",$A$4+230)</f>
        <v>46253</v>
      </c>
      <c r="N23085">
        <f>IF(M23085="","",'Master Barang'!A79)</f>
        <v>0</v>
      </c>
      <c r="O23085">
        <f>IF(N23085="","",'Master Barang'!B79)</f>
        <v>0</v>
      </c>
      <c r="P23085">
        <f>IF(OR(M23085="",N23085=""),"",SUMIFS('Barang Keluar'!$E:$E,'Barang Keluar'!$A:$A,M23085,'Barang Keluar'!$C:$C,N23085))</f>
        <v>0</v>
      </c>
    </row>
    <row r="23086" spans="13:16">
      <c r="M23086" s="49">
        <f>IF($A$4+230&gt;$B$4,"",$A$4+230)</f>
        <v>46253</v>
      </c>
      <c r="N23086">
        <f>IF(M23086="","",'Master Barang'!A80)</f>
        <v>0</v>
      </c>
      <c r="O23086">
        <f>IF(N23086="","",'Master Barang'!B80)</f>
        <v>0</v>
      </c>
      <c r="P23086">
        <f>IF(OR(M23086="",N23086=""),"",SUMIFS('Barang Keluar'!$E:$E,'Barang Keluar'!$A:$A,M23086,'Barang Keluar'!$C:$C,N23086))</f>
        <v>0</v>
      </c>
    </row>
    <row r="23087" spans="13:16">
      <c r="M23087" s="49">
        <f>IF($A$4+230&gt;$B$4,"",$A$4+230)</f>
        <v>46253</v>
      </c>
      <c r="N23087">
        <f>IF(M23087="","",'Master Barang'!A81)</f>
        <v>0</v>
      </c>
      <c r="O23087">
        <f>IF(N23087="","",'Master Barang'!B81)</f>
        <v>0</v>
      </c>
      <c r="P23087">
        <f>IF(OR(M23087="",N23087=""),"",SUMIFS('Barang Keluar'!$E:$E,'Barang Keluar'!$A:$A,M23087,'Barang Keluar'!$C:$C,N23087))</f>
        <v>0</v>
      </c>
    </row>
    <row r="23088" spans="13:16">
      <c r="M23088" s="49">
        <f>IF($A$4+230&gt;$B$4,"",$A$4+230)</f>
        <v>46253</v>
      </c>
      <c r="N23088">
        <f>IF(M23088="","",'Master Barang'!A82)</f>
        <v>0</v>
      </c>
      <c r="O23088">
        <f>IF(N23088="","",'Master Barang'!B82)</f>
        <v>0</v>
      </c>
      <c r="P23088">
        <f>IF(OR(M23088="",N23088=""),"",SUMIFS('Barang Keluar'!$E:$E,'Barang Keluar'!$A:$A,M23088,'Barang Keluar'!$C:$C,N23088))</f>
        <v>0</v>
      </c>
    </row>
    <row r="23089" spans="13:16">
      <c r="M23089" s="49">
        <f>IF($A$4+230&gt;$B$4,"",$A$4+230)</f>
        <v>46253</v>
      </c>
      <c r="N23089">
        <f>IF(M23089="","",'Master Barang'!A83)</f>
        <v>0</v>
      </c>
      <c r="O23089">
        <f>IF(N23089="","",'Master Barang'!B83)</f>
        <v>0</v>
      </c>
      <c r="P23089">
        <f>IF(OR(M23089="",N23089=""),"",SUMIFS('Barang Keluar'!$E:$E,'Barang Keluar'!$A:$A,M23089,'Barang Keluar'!$C:$C,N23089))</f>
        <v>0</v>
      </c>
    </row>
    <row r="23090" spans="13:16">
      <c r="M23090" s="49">
        <f>IF($A$4+230&gt;$B$4,"",$A$4+230)</f>
        <v>46253</v>
      </c>
      <c r="N23090">
        <f>IF(M23090="","",'Master Barang'!A84)</f>
        <v>0</v>
      </c>
      <c r="O23090">
        <f>IF(N23090="","",'Master Barang'!B84)</f>
        <v>0</v>
      </c>
      <c r="P23090">
        <f>IF(OR(M23090="",N23090=""),"",SUMIFS('Barang Keluar'!$E:$E,'Barang Keluar'!$A:$A,M23090,'Barang Keluar'!$C:$C,N23090))</f>
        <v>0</v>
      </c>
    </row>
    <row r="23091" spans="13:16">
      <c r="M23091" s="49">
        <f>IF($A$4+230&gt;$B$4,"",$A$4+230)</f>
        <v>46253</v>
      </c>
      <c r="N23091">
        <f>IF(M23091="","",'Master Barang'!A85)</f>
        <v>0</v>
      </c>
      <c r="O23091">
        <f>IF(N23091="","",'Master Barang'!B85)</f>
        <v>0</v>
      </c>
      <c r="P23091">
        <f>IF(OR(M23091="",N23091=""),"",SUMIFS('Barang Keluar'!$E:$E,'Barang Keluar'!$A:$A,M23091,'Barang Keluar'!$C:$C,N23091))</f>
        <v>0</v>
      </c>
    </row>
    <row r="23092" spans="13:16">
      <c r="M23092" s="49">
        <f>IF($A$4+230&gt;$B$4,"",$A$4+230)</f>
        <v>46253</v>
      </c>
      <c r="N23092">
        <f>IF(M23092="","",'Master Barang'!A86)</f>
        <v>0</v>
      </c>
      <c r="O23092">
        <f>IF(N23092="","",'Master Barang'!B86)</f>
        <v>0</v>
      </c>
      <c r="P23092">
        <f>IF(OR(M23092="",N23092=""),"",SUMIFS('Barang Keluar'!$E:$E,'Barang Keluar'!$A:$A,M23092,'Barang Keluar'!$C:$C,N23092))</f>
        <v>0</v>
      </c>
    </row>
    <row r="23093" spans="13:16">
      <c r="M23093" s="49">
        <f>IF($A$4+230&gt;$B$4,"",$A$4+230)</f>
        <v>46253</v>
      </c>
      <c r="N23093">
        <f>IF(M23093="","",'Master Barang'!A87)</f>
        <v>0</v>
      </c>
      <c r="O23093">
        <f>IF(N23093="","",'Master Barang'!B87)</f>
        <v>0</v>
      </c>
      <c r="P23093">
        <f>IF(OR(M23093="",N23093=""),"",SUMIFS('Barang Keluar'!$E:$E,'Barang Keluar'!$A:$A,M23093,'Barang Keluar'!$C:$C,N23093))</f>
        <v>0</v>
      </c>
    </row>
    <row r="23094" spans="13:16">
      <c r="M23094" s="49">
        <f>IF($A$4+230&gt;$B$4,"",$A$4+230)</f>
        <v>46253</v>
      </c>
      <c r="N23094">
        <f>IF(M23094="","",'Master Barang'!A88)</f>
        <v>0</v>
      </c>
      <c r="O23094">
        <f>IF(N23094="","",'Master Barang'!B88)</f>
        <v>0</v>
      </c>
      <c r="P23094">
        <f>IF(OR(M23094="",N23094=""),"",SUMIFS('Barang Keluar'!$E:$E,'Barang Keluar'!$A:$A,M23094,'Barang Keluar'!$C:$C,N23094))</f>
        <v>0</v>
      </c>
    </row>
    <row r="23095" spans="13:16">
      <c r="M23095" s="49">
        <f>IF($A$4+230&gt;$B$4,"",$A$4+230)</f>
        <v>46253</v>
      </c>
      <c r="N23095">
        <f>IF(M23095="","",'Master Barang'!A89)</f>
        <v>0</v>
      </c>
      <c r="O23095">
        <f>IF(N23095="","",'Master Barang'!B89)</f>
        <v>0</v>
      </c>
      <c r="P23095">
        <f>IF(OR(M23095="",N23095=""),"",SUMIFS('Barang Keluar'!$E:$E,'Barang Keluar'!$A:$A,M23095,'Barang Keluar'!$C:$C,N23095))</f>
        <v>0</v>
      </c>
    </row>
    <row r="23096" spans="13:16">
      <c r="M23096" s="49">
        <f>IF($A$4+230&gt;$B$4,"",$A$4+230)</f>
        <v>46253</v>
      </c>
      <c r="N23096">
        <f>IF(M23096="","",'Master Barang'!A90)</f>
        <v>0</v>
      </c>
      <c r="O23096">
        <f>IF(N23096="","",'Master Barang'!B90)</f>
        <v>0</v>
      </c>
      <c r="P23096">
        <f>IF(OR(M23096="",N23096=""),"",SUMIFS('Barang Keluar'!$E:$E,'Barang Keluar'!$A:$A,M23096,'Barang Keluar'!$C:$C,N23096))</f>
        <v>0</v>
      </c>
    </row>
    <row r="23097" spans="13:16">
      <c r="M23097" s="49">
        <f>IF($A$4+230&gt;$B$4,"",$A$4+230)</f>
        <v>46253</v>
      </c>
      <c r="N23097">
        <f>IF(M23097="","",'Master Barang'!A91)</f>
        <v>0</v>
      </c>
      <c r="O23097">
        <f>IF(N23097="","",'Master Barang'!B91)</f>
        <v>0</v>
      </c>
      <c r="P23097">
        <f>IF(OR(M23097="",N23097=""),"",SUMIFS('Barang Keluar'!$E:$E,'Barang Keluar'!$A:$A,M23097,'Barang Keluar'!$C:$C,N23097))</f>
        <v>0</v>
      </c>
    </row>
    <row r="23098" spans="13:16">
      <c r="M23098" s="49">
        <f>IF($A$4+230&gt;$B$4,"",$A$4+230)</f>
        <v>46253</v>
      </c>
      <c r="N23098">
        <f>IF(M23098="","",'Master Barang'!A92)</f>
        <v>0</v>
      </c>
      <c r="O23098">
        <f>IF(N23098="","",'Master Barang'!B92)</f>
        <v>0</v>
      </c>
      <c r="P23098">
        <f>IF(OR(M23098="",N23098=""),"",SUMIFS('Barang Keluar'!$E:$E,'Barang Keluar'!$A:$A,M23098,'Barang Keluar'!$C:$C,N23098))</f>
        <v>0</v>
      </c>
    </row>
    <row r="23099" spans="13:16">
      <c r="M23099" s="49">
        <f>IF($A$4+230&gt;$B$4,"",$A$4+230)</f>
        <v>46253</v>
      </c>
      <c r="N23099">
        <f>IF(M23099="","",'Master Barang'!A93)</f>
        <v>0</v>
      </c>
      <c r="O23099">
        <f>IF(N23099="","",'Master Barang'!B93)</f>
        <v>0</v>
      </c>
      <c r="P23099">
        <f>IF(OR(M23099="",N23099=""),"",SUMIFS('Barang Keluar'!$E:$E,'Barang Keluar'!$A:$A,M23099,'Barang Keluar'!$C:$C,N23099))</f>
        <v>0</v>
      </c>
    </row>
    <row r="23100" spans="13:16">
      <c r="M23100" s="49">
        <f>IF($A$4+230&gt;$B$4,"",$A$4+230)</f>
        <v>46253</v>
      </c>
      <c r="N23100">
        <f>IF(M23100="","",'Master Barang'!A94)</f>
        <v>0</v>
      </c>
      <c r="O23100">
        <f>IF(N23100="","",'Master Barang'!B94)</f>
        <v>0</v>
      </c>
      <c r="P23100">
        <f>IF(OR(M23100="",N23100=""),"",SUMIFS('Barang Keluar'!$E:$E,'Barang Keluar'!$A:$A,M23100,'Barang Keluar'!$C:$C,N23100))</f>
        <v>0</v>
      </c>
    </row>
    <row r="23101" spans="13:16">
      <c r="M23101" s="49">
        <f>IF($A$4+230&gt;$B$4,"",$A$4+230)</f>
        <v>46253</v>
      </c>
      <c r="N23101">
        <f>IF(M23101="","",'Master Barang'!A95)</f>
        <v>0</v>
      </c>
      <c r="O23101">
        <f>IF(N23101="","",'Master Barang'!B95)</f>
        <v>0</v>
      </c>
      <c r="P23101">
        <f>IF(OR(M23101="",N23101=""),"",SUMIFS('Barang Keluar'!$E:$E,'Barang Keluar'!$A:$A,M23101,'Barang Keluar'!$C:$C,N23101))</f>
        <v>0</v>
      </c>
    </row>
    <row r="23102" spans="13:16">
      <c r="M23102" s="49">
        <f>IF($A$4+230&gt;$B$4,"",$A$4+230)</f>
        <v>46253</v>
      </c>
      <c r="N23102">
        <f>IF(M23102="","",'Master Barang'!A96)</f>
        <v>0</v>
      </c>
      <c r="O23102">
        <f>IF(N23102="","",'Master Barang'!B96)</f>
        <v>0</v>
      </c>
      <c r="P23102">
        <f>IF(OR(M23102="",N23102=""),"",SUMIFS('Barang Keluar'!$E:$E,'Barang Keluar'!$A:$A,M23102,'Barang Keluar'!$C:$C,N23102))</f>
        <v>0</v>
      </c>
    </row>
    <row r="23103" spans="13:16">
      <c r="M23103" s="49">
        <f>IF($A$4+230&gt;$B$4,"",$A$4+230)</f>
        <v>46253</v>
      </c>
      <c r="N23103">
        <f>IF(M23103="","",'Master Barang'!A97)</f>
        <v>0</v>
      </c>
      <c r="O23103">
        <f>IF(N23103="","",'Master Barang'!B97)</f>
        <v>0</v>
      </c>
      <c r="P23103">
        <f>IF(OR(M23103="",N23103=""),"",SUMIFS('Barang Keluar'!$E:$E,'Barang Keluar'!$A:$A,M23103,'Barang Keluar'!$C:$C,N23103))</f>
        <v>0</v>
      </c>
    </row>
    <row r="23104" spans="13:16">
      <c r="M23104" s="49">
        <f>IF($A$4+230&gt;$B$4,"",$A$4+230)</f>
        <v>46253</v>
      </c>
      <c r="N23104">
        <f>IF(M23104="","",'Master Barang'!A98)</f>
        <v>0</v>
      </c>
      <c r="O23104">
        <f>IF(N23104="","",'Master Barang'!B98)</f>
        <v>0</v>
      </c>
      <c r="P23104">
        <f>IF(OR(M23104="",N23104=""),"",SUMIFS('Barang Keluar'!$E:$E,'Barang Keluar'!$A:$A,M23104,'Barang Keluar'!$C:$C,N23104))</f>
        <v>0</v>
      </c>
    </row>
    <row r="23105" spans="13:16">
      <c r="M23105" s="49">
        <f>IF($A$4+230&gt;$B$4,"",$A$4+230)</f>
        <v>46253</v>
      </c>
      <c r="N23105">
        <f>IF(M23105="","",'Master Barang'!A99)</f>
        <v>0</v>
      </c>
      <c r="O23105">
        <f>IF(N23105="","",'Master Barang'!B99)</f>
        <v>0</v>
      </c>
      <c r="P23105">
        <f>IF(OR(M23105="",N23105=""),"",SUMIFS('Barang Keluar'!$E:$E,'Barang Keluar'!$A:$A,M23105,'Barang Keluar'!$C:$C,N23105))</f>
        <v>0</v>
      </c>
    </row>
    <row r="23106" spans="13:16">
      <c r="M23106" s="49">
        <f>IF($A$4+230&gt;$B$4,"",$A$4+230)</f>
        <v>46253</v>
      </c>
      <c r="N23106">
        <f>IF(M23106="","",'Master Barang'!A100)</f>
        <v>0</v>
      </c>
      <c r="O23106">
        <f>IF(N23106="","",'Master Barang'!B100)</f>
        <v>0</v>
      </c>
      <c r="P23106">
        <f>IF(OR(M23106="",N23106=""),"",SUMIFS('Barang Keluar'!$E:$E,'Barang Keluar'!$A:$A,M23106,'Barang Keluar'!$C:$C,N23106))</f>
        <v>0</v>
      </c>
    </row>
    <row r="23107" spans="13:16">
      <c r="M23107" s="49">
        <f>IF($A$4+230&gt;$B$4,"",$A$4+230)</f>
        <v>46253</v>
      </c>
      <c r="N23107">
        <f>IF(M23107="","",'Master Barang'!A101)</f>
        <v>0</v>
      </c>
      <c r="O23107">
        <f>IF(N23107="","",'Master Barang'!B101)</f>
        <v>0</v>
      </c>
      <c r="P23107">
        <f>IF(OR(M23107="",N23107=""),"",SUMIFS('Barang Keluar'!$E:$E,'Barang Keluar'!$A:$A,M23107,'Barang Keluar'!$C:$C,N23107))</f>
        <v>0</v>
      </c>
    </row>
    <row r="23108" spans="13:16">
      <c r="M23108" s="49">
        <f>IF($A$4+231&gt;$B$4,"",$A$4+231)</f>
        <v>46254</v>
      </c>
      <c r="N23108" t="str">
        <f>IF(M23108="","",'Master Barang'!A2)</f>
        <v>PRL-001</v>
      </c>
      <c r="O23108" t="str">
        <f>IF(N23108="","",'Master Barang'!B2)</f>
        <v>natura desinfectant food grade 5l</v>
      </c>
      <c r="P23108">
        <f>IF(OR(M23108="",N23108=""),"",SUMIFS('Barang Keluar'!$E:$E,'Barang Keluar'!$A:$A,M23108,'Barang Keluar'!$C:$C,N23108))</f>
        <v>0</v>
      </c>
    </row>
    <row r="23109" spans="13:16">
      <c r="M23109" s="49">
        <f>IF($A$4+231&gt;$B$4,"",$A$4+231)</f>
        <v>46254</v>
      </c>
      <c r="N23109" t="str">
        <f>IF(M23109="","",'Master Barang'!A3)</f>
        <v>PRL-002</v>
      </c>
      <c r="O23109" t="str">
        <f>IF(N23109="","",'Master Barang'!B3)</f>
        <v>sunlight cairan pencuci piring 5l</v>
      </c>
      <c r="P23109">
        <f>IF(OR(M23109="",N23109=""),"",SUMIFS('Barang Keluar'!$E:$E,'Barang Keluar'!$A:$A,M23109,'Barang Keluar'!$C:$C,N23109))</f>
        <v>0</v>
      </c>
    </row>
    <row r="23110" spans="13:16">
      <c r="M23110" s="49">
        <f>IF($A$4+231&gt;$B$4,"",$A$4+231)</f>
        <v>46254</v>
      </c>
      <c r="N23110" t="str">
        <f>IF(M23110="","",'Master Barang'!A4)</f>
        <v>PRL-003</v>
      </c>
      <c r="O23110" t="str">
        <f>IF(N23110="","",'Master Barang'!B4)</f>
        <v>oixs cleaner 1l</v>
      </c>
      <c r="P23110">
        <f>IF(OR(M23110="",N23110=""),"",SUMIFS('Barang Keluar'!$E:$E,'Barang Keluar'!$A:$A,M23110,'Barang Keluar'!$C:$C,N23110))</f>
        <v>0</v>
      </c>
    </row>
    <row r="23111" spans="13:16">
      <c r="M23111" s="49">
        <f>IF($A$4+231&gt;$B$4,"",$A$4+231)</f>
        <v>46254</v>
      </c>
      <c r="N23111" t="str">
        <f>IF(M23111="","",'Master Barang'!A5)</f>
        <v>PRL-004</v>
      </c>
      <c r="O23111" t="str">
        <f>IF(N23111="","",'Master Barang'!B5)</f>
        <v>be clean tissue serbaguna</v>
      </c>
      <c r="P23111">
        <f>IF(OR(M23111="",N23111=""),"",SUMIFS('Barang Keluar'!$E:$E,'Barang Keluar'!$A:$A,M23111,'Barang Keluar'!$C:$C,N23111))</f>
        <v>0</v>
      </c>
    </row>
    <row r="23112" spans="13:16">
      <c r="M23112" s="49">
        <f>IF($A$4+231&gt;$B$4,"",$A$4+231)</f>
        <v>46254</v>
      </c>
      <c r="N23112" t="str">
        <f>IF(M23112="","",'Master Barang'!A6)</f>
        <v>PRL-005</v>
      </c>
      <c r="O23112" t="str">
        <f>IF(N23112="","",'Master Barang'!B6)</f>
        <v>spons cuci hijau</v>
      </c>
      <c r="P23112">
        <f>IF(OR(M23112="",N23112=""),"",SUMIFS('Barang Keluar'!$E:$E,'Barang Keluar'!$A:$A,M23112,'Barang Keluar'!$C:$C,N23112))</f>
        <v>0</v>
      </c>
    </row>
    <row r="23113" spans="13:16">
      <c r="M23113" s="49">
        <f>IF($A$4+231&gt;$B$4,"",$A$4+231)</f>
        <v>46254</v>
      </c>
      <c r="N23113" t="str">
        <f>IF(M23113="","",'Master Barang'!A7)</f>
        <v>PRL-006</v>
      </c>
      <c r="O23113" t="str">
        <f>IF(N23113="","",'Master Barang'!B7)</f>
        <v>sabut cuci stainless</v>
      </c>
      <c r="P23113">
        <f>IF(OR(M23113="",N23113=""),"",SUMIFS('Barang Keluar'!$E:$E,'Barang Keluar'!$A:$A,M23113,'Barang Keluar'!$C:$C,N23113))</f>
        <v>0</v>
      </c>
    </row>
    <row r="23114" spans="13:16">
      <c r="M23114" s="49">
        <f>IF($A$4+231&gt;$B$4,"",$A$4+231)</f>
        <v>46254</v>
      </c>
      <c r="N23114" t="str">
        <f>IF(M23114="","",'Master Barang'!A8)</f>
        <v>PRL-007</v>
      </c>
      <c r="O23114" t="str">
        <f>IF(N23114="","",'Master Barang'!B8)</f>
        <v>plastik kresek besar merah 50pc</v>
      </c>
      <c r="P23114">
        <f>IF(OR(M23114="",N23114=""),"",SUMIFS('Barang Keluar'!$E:$E,'Barang Keluar'!$A:$A,M23114,'Barang Keluar'!$C:$C,N23114))</f>
        <v>0</v>
      </c>
    </row>
    <row r="23115" spans="13:16">
      <c r="M23115" s="49">
        <f>IF($A$4+231&gt;$B$4,"",$A$4+231)</f>
        <v>46254</v>
      </c>
      <c r="N23115" t="str">
        <f>IF(M23115="","",'Master Barang'!A9)</f>
        <v>PRL-008</v>
      </c>
      <c r="O23115" t="str">
        <f>IF(N23115="","",'Master Barang'!B9)</f>
        <v>lap besar</v>
      </c>
      <c r="P23115">
        <f>IF(OR(M23115="",N23115=""),"",SUMIFS('Barang Keluar'!$E:$E,'Barang Keluar'!$A:$A,M23115,'Barang Keluar'!$C:$C,N23115))</f>
        <v>0</v>
      </c>
    </row>
    <row r="23116" spans="13:16">
      <c r="M23116" s="49">
        <f>IF($A$4+231&gt;$B$4,"",$A$4+231)</f>
        <v>46254</v>
      </c>
      <c r="N23116" t="str">
        <f>IF(M23116="","",'Master Barang'!A10)</f>
        <v>PRL-009</v>
      </c>
      <c r="O23116" t="str">
        <f>IF(N23116="","",'Master Barang'!B10)</f>
        <v>lap microfiber</v>
      </c>
      <c r="P23116">
        <f>IF(OR(M23116="",N23116=""),"",SUMIFS('Barang Keluar'!$E:$E,'Barang Keluar'!$A:$A,M23116,'Barang Keluar'!$C:$C,N23116))</f>
        <v>0</v>
      </c>
    </row>
    <row r="23117" spans="13:16">
      <c r="M23117" s="49">
        <f>IF($A$4+231&gt;$B$4,"",$A$4+231)</f>
        <v>46254</v>
      </c>
      <c r="N23117" t="str">
        <f>IF(M23117="","",'Master Barang'!A11)</f>
        <v>PRL-010</v>
      </c>
      <c r="O23117" t="str">
        <f>IF(N23117="","",'Master Barang'!B11)</f>
        <v>lap kecil</v>
      </c>
      <c r="P23117">
        <f>IF(OR(M23117="",N23117=""),"",SUMIFS('Barang Keluar'!$E:$E,'Barang Keluar'!$A:$A,M23117,'Barang Keluar'!$C:$C,N23117))</f>
        <v>0</v>
      </c>
    </row>
    <row r="23118" spans="13:16">
      <c r="M23118" s="49">
        <f>IF($A$4+231&gt;$B$4,"",$A$4+231)</f>
        <v>46254</v>
      </c>
      <c r="N23118" t="str">
        <f>IF(M23118="","",'Master Barang'!A12)</f>
        <v>PRL-011</v>
      </c>
      <c r="O23118" t="str">
        <f>IF(N23118="","",'Master Barang'!B12)</f>
        <v>kanebo kecil</v>
      </c>
      <c r="P23118">
        <f>IF(OR(M23118="",N23118=""),"",SUMIFS('Barang Keluar'!$E:$E,'Barang Keluar'!$A:$A,M23118,'Barang Keluar'!$C:$C,N23118))</f>
        <v>0</v>
      </c>
    </row>
    <row r="23119" spans="13:16">
      <c r="M23119" s="49">
        <f>IF($A$4+231&gt;$B$4,"",$A$4+231)</f>
        <v>46254</v>
      </c>
      <c r="N23119" t="str">
        <f>IF(M23119="","",'Master Barang'!A13)</f>
        <v>PRL-012</v>
      </c>
      <c r="O23119" t="str">
        <f>IF(N23119="","",'Master Barang'!B13)</f>
        <v>plastik 1/4kg joyoboyo 100 lembar</v>
      </c>
      <c r="P23119">
        <f>IF(OR(M23119="",N23119=""),"",SUMIFS('Barang Keluar'!$E:$E,'Barang Keluar'!$A:$A,M23119,'Barang Keluar'!$C:$C,N23119))</f>
        <v>0</v>
      </c>
    </row>
    <row r="23120" spans="13:16">
      <c r="M23120" s="49">
        <f>IF($A$4+231&gt;$B$4,"",$A$4+231)</f>
        <v>46254</v>
      </c>
      <c r="N23120" t="str">
        <f>IF(M23120="","",'Master Barang'!A14)</f>
        <v>PRL-013</v>
      </c>
      <c r="O23120" t="str">
        <f>IF(N23120="","",'Master Barang'!B14)</f>
        <v>sarung tangan plastik kaka 100 pcs</v>
      </c>
      <c r="P23120">
        <f>IF(OR(M23120="",N23120=""),"",SUMIFS('Barang Keluar'!$E:$E,'Barang Keluar'!$A:$A,M23120,'Barang Keluar'!$C:$C,N23120))</f>
        <v>0</v>
      </c>
    </row>
    <row r="23121" spans="13:16">
      <c r="M23121" s="49">
        <f>IF($A$4+231&gt;$B$4,"",$A$4+231)</f>
        <v>46254</v>
      </c>
      <c r="N23121" t="str">
        <f>IF(M23121="","",'Master Barang'!A15)</f>
        <v>PRL-014</v>
      </c>
      <c r="O23121" t="str">
        <f>IF(N23121="","",'Master Barang'!B15)</f>
        <v>optima trashbag 80x100</v>
      </c>
      <c r="P23121">
        <f>IF(OR(M23121="",N23121=""),"",SUMIFS('Barang Keluar'!$E:$E,'Barang Keluar'!$A:$A,M23121,'Barang Keluar'!$C:$C,N23121))</f>
        <v>0</v>
      </c>
    </row>
    <row r="23122" spans="13:16">
      <c r="M23122" s="49">
        <f>IF($A$4+231&gt;$B$4,"",$A$4+231)</f>
        <v>46254</v>
      </c>
      <c r="N23122" t="str">
        <f>IF(M23122="","",'Master Barang'!A16)</f>
        <v>PRL-015</v>
      </c>
      <c r="O23122" t="str">
        <f>IF(N23122="","",'Master Barang'!B16)</f>
        <v>optima trashbag 60x100</v>
      </c>
      <c r="P23122">
        <f>IF(OR(M23122="",N23122=""),"",SUMIFS('Barang Keluar'!$E:$E,'Barang Keluar'!$A:$A,M23122,'Barang Keluar'!$C:$C,N23122))</f>
        <v>0</v>
      </c>
    </row>
    <row r="23123" spans="13:16">
      <c r="M23123" s="49">
        <f>IF($A$4+231&gt;$B$4,"",$A$4+231)</f>
        <v>46254</v>
      </c>
      <c r="N23123" t="str">
        <f>IF(M23123="","",'Master Barang'!A17)</f>
        <v>PRL-016</v>
      </c>
      <c r="O23123" t="str">
        <f>IF(N23123="","",'Master Barang'!B17)</f>
        <v>rajawali trashbag 30x40</v>
      </c>
      <c r="P23123">
        <f>IF(OR(M23123="",N23123=""),"",SUMIFS('Barang Keluar'!$E:$E,'Barang Keluar'!$A:$A,M23123,'Barang Keluar'!$C:$C,N23123))</f>
        <v>0</v>
      </c>
    </row>
    <row r="23124" spans="13:16">
      <c r="M23124" s="49">
        <f>IF($A$4+231&gt;$B$4,"",$A$4+231)</f>
        <v>46254</v>
      </c>
      <c r="N23124" t="str">
        <f>IF(M23124="","",'Master Barang'!A18)</f>
        <v>PRL-017</v>
      </c>
      <c r="O23124" t="str">
        <f>IF(N23124="","",'Master Barang'!B18)</f>
        <v>onemed masker biru 3 play 50 pcs</v>
      </c>
      <c r="P23124">
        <f>IF(OR(M23124="",N23124=""),"",SUMIFS('Barang Keluar'!$E:$E,'Barang Keluar'!$A:$A,M23124,'Barang Keluar'!$C:$C,N23124))</f>
        <v>0</v>
      </c>
    </row>
    <row r="23125" spans="13:16">
      <c r="M23125" s="49">
        <f>IF($A$4+231&gt;$B$4,"",$A$4+231)</f>
        <v>46254</v>
      </c>
      <c r="N23125" t="str">
        <f>IF(M23125="","",'Master Barang'!A19)</f>
        <v>PRL-018</v>
      </c>
      <c r="O23125" t="str">
        <f>IF(N23125="","",'Master Barang'!B19)</f>
        <v>onemed masker biru 3 play hijab 50 pcs</v>
      </c>
      <c r="P23125">
        <f>IF(OR(M23125="",N23125=""),"",SUMIFS('Barang Keluar'!$E:$E,'Barang Keluar'!$A:$A,M23125,'Barang Keluar'!$C:$C,N23125))</f>
        <v>0</v>
      </c>
    </row>
    <row r="23126" spans="13:16">
      <c r="M23126" s="49">
        <f>IF($A$4+231&gt;$B$4,"",$A$4+231)</f>
        <v>46254</v>
      </c>
      <c r="N23126" t="str">
        <f>IF(M23126="","",'Master Barang'!A20)</f>
        <v>PRL-019</v>
      </c>
      <c r="O23126" t="str">
        <f>IF(N23126="","",'Master Barang'!B20)</f>
        <v>neo health masker biru 3 play 50 pcs</v>
      </c>
      <c r="P23126">
        <f>IF(OR(M23126="",N23126=""),"",SUMIFS('Barang Keluar'!$E:$E,'Barang Keluar'!$A:$A,M23126,'Barang Keluar'!$C:$C,N23126))</f>
        <v>0</v>
      </c>
    </row>
    <row r="23127" spans="13:16">
      <c r="M23127" s="49">
        <f>IF($A$4+231&gt;$B$4,"",$A$4+231)</f>
        <v>46254</v>
      </c>
      <c r="N23127" t="str">
        <f>IF(M23127="","",'Master Barang'!A21)</f>
        <v>PRL-020</v>
      </c>
      <c r="O23127" t="str">
        <f>IF(N23127="","",'Master Barang'!B21)</f>
        <v>baymed masker hijau 3 play hijau 50 pcs</v>
      </c>
      <c r="P23127">
        <f>IF(OR(M23127="",N23127=""),"",SUMIFS('Barang Keluar'!$E:$E,'Barang Keluar'!$A:$A,M23127,'Barang Keluar'!$C:$C,N23127))</f>
        <v>0</v>
      </c>
    </row>
    <row r="23128" spans="13:16">
      <c r="M23128" s="49">
        <f>IF($A$4+231&gt;$B$4,"",$A$4+231)</f>
        <v>46254</v>
      </c>
      <c r="N23128" t="str">
        <f>IF(M23128="","",'Master Barang'!A22)</f>
        <v>PRL-021</v>
      </c>
      <c r="O23128" t="str">
        <f>IF(N23128="","",'Master Barang'!B22)</f>
        <v>altamed nurse cap penutup kepala 100 pcs</v>
      </c>
      <c r="P23128">
        <f>IF(OR(M23128="",N23128=""),"",SUMIFS('Barang Keluar'!$E:$E,'Barang Keluar'!$A:$A,M23128,'Barang Keluar'!$C:$C,N23128))</f>
        <v>0</v>
      </c>
    </row>
    <row r="23129" spans="13:16">
      <c r="M23129" s="49">
        <f>IF($A$4+231&gt;$B$4,"",$A$4+231)</f>
        <v>46254</v>
      </c>
      <c r="N23129" t="str">
        <f>IF(M23129="","",'Master Barang'!A23)</f>
        <v>PRL-022</v>
      </c>
      <c r="O23129" t="str">
        <f>IF(N23129="","",'Master Barang'!B23)</f>
        <v>sabun cuci tangan</v>
      </c>
      <c r="P23129">
        <f>IF(OR(M23129="",N23129=""),"",SUMIFS('Barang Keluar'!$E:$E,'Barang Keluar'!$A:$A,M23129,'Barang Keluar'!$C:$C,N23129))</f>
        <v>0</v>
      </c>
    </row>
    <row r="23130" spans="13:16">
      <c r="M23130" s="49">
        <f>IF($A$4+231&gt;$B$4,"",$A$4+231)</f>
        <v>46254</v>
      </c>
      <c r="N23130" t="str">
        <f>IF(M23130="","",'Master Barang'!A24)</f>
        <v>PRL-023</v>
      </c>
      <c r="O23130" t="str">
        <f>IF(N23130="","",'Master Barang'!B24)</f>
        <v>gayung kecil</v>
      </c>
      <c r="P23130">
        <f>IF(OR(M23130="",N23130=""),"",SUMIFS('Barang Keluar'!$E:$E,'Barang Keluar'!$A:$A,M23130,'Barang Keluar'!$C:$C,N23130))</f>
        <v>0</v>
      </c>
    </row>
    <row r="23131" spans="13:16">
      <c r="M23131" s="49">
        <f>IF($A$4+231&gt;$B$4,"",$A$4+231)</f>
        <v>46254</v>
      </c>
      <c r="N23131" t="str">
        <f>IF(M23131="","",'Master Barang'!A25)</f>
        <v>PRL-024</v>
      </c>
      <c r="O23131" t="str">
        <f>IF(N23131="","",'Master Barang'!B25)</f>
        <v>cikrak kecil</v>
      </c>
      <c r="P23131">
        <f>IF(OR(M23131="",N23131=""),"",SUMIFS('Barang Keluar'!$E:$E,'Barang Keluar'!$A:$A,M23131,'Barang Keluar'!$C:$C,N23131))</f>
        <v>0</v>
      </c>
    </row>
    <row r="23132" spans="13:16">
      <c r="M23132" s="49">
        <f>IF($A$4+231&gt;$B$4,"",$A$4+231)</f>
        <v>46254</v>
      </c>
      <c r="N23132" t="str">
        <f>IF(M23132="","",'Master Barang'!A26)</f>
        <v>PRL-025</v>
      </c>
      <c r="O23132" t="str">
        <f>IF(N23132="","",'Master Barang'!B26)</f>
        <v>petromax plastik kecil 12x24 100 lembar</v>
      </c>
      <c r="P23132">
        <f>IF(OR(M23132="",N23132=""),"",SUMIFS('Barang Keluar'!$E:$E,'Barang Keluar'!$A:$A,M23132,'Barang Keluar'!$C:$C,N23132))</f>
        <v>0</v>
      </c>
    </row>
    <row r="23133" spans="13:16">
      <c r="M23133" s="49">
        <f>IF($A$4+231&gt;$B$4,"",$A$4+231)</f>
        <v>46254</v>
      </c>
      <c r="N23133" t="str">
        <f>IF(M23133="","",'Master Barang'!A27)</f>
        <v>PRL-026</v>
      </c>
      <c r="O23133" t="str">
        <f>IF(N23133="","",'Master Barang'!B27)</f>
        <v>lancar kresek kecil bening </v>
      </c>
      <c r="P23133">
        <f>IF(OR(M23133="",N23133=""),"",SUMIFS('Barang Keluar'!$E:$E,'Barang Keluar'!$A:$A,M23133,'Barang Keluar'!$C:$C,N23133))</f>
        <v>0</v>
      </c>
    </row>
    <row r="23134" spans="13:16">
      <c r="M23134" s="49">
        <f>IF($A$4+231&gt;$B$4,"",$A$4+231)</f>
        <v>46254</v>
      </c>
      <c r="N23134" t="str">
        <f>IF(M23134="","",'Master Barang'!A28)</f>
        <v>PRL-027</v>
      </c>
      <c r="O23134" t="str">
        <f>IF(N23134="","",'Master Barang'!B28)</f>
        <v>kresek klin warna warni kecil</v>
      </c>
      <c r="P23134">
        <f>IF(OR(M23134="",N23134=""),"",SUMIFS('Barang Keluar'!$E:$E,'Barang Keluar'!$A:$A,M23134,'Barang Keluar'!$C:$C,N23134))</f>
        <v>0</v>
      </c>
    </row>
    <row r="23135" spans="13:16">
      <c r="M23135" s="49">
        <f>IF($A$4+231&gt;$B$4,"",$A$4+231)</f>
        <v>46254</v>
      </c>
      <c r="N23135" t="str">
        <f>IF(M23135="","",'Master Barang'!A29)</f>
        <v>PRL-028</v>
      </c>
      <c r="O23135" t="str">
        <f>IF(N23135="","",'Master Barang'!B29)</f>
        <v>ctik plastik 7x10 100 pcs</v>
      </c>
      <c r="P23135">
        <f>IF(OR(M23135="",N23135=""),"",SUMIFS('Barang Keluar'!$E:$E,'Barang Keluar'!$A:$A,M23135,'Barang Keluar'!$C:$C,N23135))</f>
        <v>0</v>
      </c>
    </row>
    <row r="23136" spans="13:16">
      <c r="M23136" s="49">
        <f>IF($A$4+231&gt;$B$4,"",$A$4+231)</f>
        <v>46254</v>
      </c>
      <c r="N23136" t="str">
        <f>IF(M23136="","",'Master Barang'!A30)</f>
        <v>PRL-029</v>
      </c>
      <c r="O23136" t="str">
        <f>IF(N23136="","",'Master Barang'!B30)</f>
        <v>ctik plastik 6x10 100 pcs</v>
      </c>
      <c r="P23136">
        <f>IF(OR(M23136="",N23136=""),"",SUMIFS('Barang Keluar'!$E:$E,'Barang Keluar'!$A:$A,M23136,'Barang Keluar'!$C:$C,N23136))</f>
        <v>0</v>
      </c>
    </row>
    <row r="23137" spans="13:16">
      <c r="M23137" s="49">
        <f>IF($A$4+231&gt;$B$4,"",$A$4+231)</f>
        <v>46254</v>
      </c>
      <c r="N23137" t="str">
        <f>IF(M23137="","",'Master Barang'!A31)</f>
        <v>PRL-030</v>
      </c>
      <c r="O23137" t="str">
        <f>IF(N23137="","",'Master Barang'!B31)</f>
        <v>klip plastik 25x16 100 pcs</v>
      </c>
      <c r="P23137">
        <f>IF(OR(M23137="",N23137=""),"",SUMIFS('Barang Keluar'!$E:$E,'Barang Keluar'!$A:$A,M23137,'Barang Keluar'!$C:$C,N23137))</f>
        <v>0</v>
      </c>
    </row>
    <row r="23138" spans="13:16">
      <c r="M23138" s="49">
        <f>IF($A$4+231&gt;$B$4,"",$A$4+231)</f>
        <v>46254</v>
      </c>
      <c r="N23138" t="str">
        <f>IF(M23138="","",'Master Barang'!A32)</f>
        <v>PRL-031</v>
      </c>
      <c r="O23138" t="str">
        <f>IF(N23138="","",'Master Barang'!B32)</f>
        <v>tempat saus 20 ml</v>
      </c>
      <c r="P23138">
        <f>IF(OR(M23138="",N23138=""),"",SUMIFS('Barang Keluar'!$E:$E,'Barang Keluar'!$A:$A,M23138,'Barang Keluar'!$C:$C,N23138))</f>
        <v>0</v>
      </c>
    </row>
    <row r="23139" spans="13:16">
      <c r="M23139" s="49">
        <f>IF($A$4+231&gt;$B$4,"",$A$4+231)</f>
        <v>46254</v>
      </c>
      <c r="N23139" t="str">
        <f>IF(M23139="","",'Master Barang'!A33)</f>
        <v>PRL-032</v>
      </c>
      <c r="O23139" t="str">
        <f>IF(N23139="","",'Master Barang'!B33)</f>
        <v>plastik packaging ag box uk sedang</v>
      </c>
      <c r="P23139">
        <f>IF(OR(M23139="",N23139=""),"",SUMIFS('Barang Keluar'!$E:$E,'Barang Keluar'!$A:$A,M23139,'Barang Keluar'!$C:$C,N23139))</f>
        <v>0</v>
      </c>
    </row>
    <row r="23140" spans="13:16">
      <c r="M23140" s="49">
        <f>IF($A$4+231&gt;$B$4,"",$A$4+231)</f>
        <v>46254</v>
      </c>
      <c r="N23140" t="str">
        <f>IF(M23140="","",'Master Barang'!A34)</f>
        <v>PRL-033</v>
      </c>
      <c r="O23140">
        <f>IF(N23140="","",'Master Barang'!B34)</f>
        <v>0</v>
      </c>
      <c r="P23140">
        <f>IF(OR(M23140="",N23140=""),"",SUMIFS('Barang Keluar'!$E:$E,'Barang Keluar'!$A:$A,M23140,'Barang Keluar'!$C:$C,N23140))</f>
        <v>0</v>
      </c>
    </row>
    <row r="23141" spans="13:16">
      <c r="M23141" s="49">
        <f>IF($A$4+231&gt;$B$4,"",$A$4+231)</f>
        <v>46254</v>
      </c>
      <c r="N23141">
        <f>IF(M23141="","",'Master Barang'!A35)</f>
        <v>0</v>
      </c>
      <c r="O23141">
        <f>IF(N23141="","",'Master Barang'!B35)</f>
        <v>0</v>
      </c>
      <c r="P23141">
        <f>IF(OR(M23141="",N23141=""),"",SUMIFS('Barang Keluar'!$E:$E,'Barang Keluar'!$A:$A,M23141,'Barang Keluar'!$C:$C,N23141))</f>
        <v>0</v>
      </c>
    </row>
    <row r="23142" spans="13:16">
      <c r="M23142" s="49">
        <f>IF($A$4+231&gt;$B$4,"",$A$4+231)</f>
        <v>46254</v>
      </c>
      <c r="N23142">
        <f>IF(M23142="","",'Master Barang'!A36)</f>
        <v>0</v>
      </c>
      <c r="O23142">
        <f>IF(N23142="","",'Master Barang'!B36)</f>
        <v>0</v>
      </c>
      <c r="P23142">
        <f>IF(OR(M23142="",N23142=""),"",SUMIFS('Barang Keluar'!$E:$E,'Barang Keluar'!$A:$A,M23142,'Barang Keluar'!$C:$C,N23142))</f>
        <v>0</v>
      </c>
    </row>
    <row r="23143" spans="13:16">
      <c r="M23143" s="49">
        <f>IF($A$4+231&gt;$B$4,"",$A$4+231)</f>
        <v>46254</v>
      </c>
      <c r="N23143">
        <f>IF(M23143="","",'Master Barang'!A37)</f>
        <v>0</v>
      </c>
      <c r="O23143">
        <f>IF(N23143="","",'Master Barang'!B37)</f>
        <v>0</v>
      </c>
      <c r="P23143">
        <f>IF(OR(M23143="",N23143=""),"",SUMIFS('Barang Keluar'!$E:$E,'Barang Keluar'!$A:$A,M23143,'Barang Keluar'!$C:$C,N23143))</f>
        <v>0</v>
      </c>
    </row>
    <row r="23144" spans="13:16">
      <c r="M23144" s="49">
        <f>IF($A$4+231&gt;$B$4,"",$A$4+231)</f>
        <v>46254</v>
      </c>
      <c r="N23144">
        <f>IF(M23144="","",'Master Barang'!A38)</f>
        <v>0</v>
      </c>
      <c r="O23144">
        <f>IF(N23144="","",'Master Barang'!B38)</f>
        <v>0</v>
      </c>
      <c r="P23144">
        <f>IF(OR(M23144="",N23144=""),"",SUMIFS('Barang Keluar'!$E:$E,'Barang Keluar'!$A:$A,M23144,'Barang Keluar'!$C:$C,N23144))</f>
        <v>0</v>
      </c>
    </row>
    <row r="23145" spans="13:16">
      <c r="M23145" s="49">
        <f>IF($A$4+231&gt;$B$4,"",$A$4+231)</f>
        <v>46254</v>
      </c>
      <c r="N23145">
        <f>IF(M23145="","",'Master Barang'!A39)</f>
        <v>0</v>
      </c>
      <c r="O23145">
        <f>IF(N23145="","",'Master Barang'!B39)</f>
        <v>0</v>
      </c>
      <c r="P23145">
        <f>IF(OR(M23145="",N23145=""),"",SUMIFS('Barang Keluar'!$E:$E,'Barang Keluar'!$A:$A,M23145,'Barang Keluar'!$C:$C,N23145))</f>
        <v>0</v>
      </c>
    </row>
    <row r="23146" spans="13:16">
      <c r="M23146" s="49">
        <f>IF($A$4+231&gt;$B$4,"",$A$4+231)</f>
        <v>46254</v>
      </c>
      <c r="N23146">
        <f>IF(M23146="","",'Master Barang'!A40)</f>
        <v>0</v>
      </c>
      <c r="O23146">
        <f>IF(N23146="","",'Master Barang'!B40)</f>
        <v>0</v>
      </c>
      <c r="P23146">
        <f>IF(OR(M23146="",N23146=""),"",SUMIFS('Barang Keluar'!$E:$E,'Barang Keluar'!$A:$A,M23146,'Barang Keluar'!$C:$C,N23146))</f>
        <v>0</v>
      </c>
    </row>
    <row r="23147" spans="13:16">
      <c r="M23147" s="49">
        <f>IF($A$4+231&gt;$B$4,"",$A$4+231)</f>
        <v>46254</v>
      </c>
      <c r="N23147">
        <f>IF(M23147="","",'Master Barang'!A41)</f>
        <v>0</v>
      </c>
      <c r="O23147">
        <f>IF(N23147="","",'Master Barang'!B41)</f>
        <v>0</v>
      </c>
      <c r="P23147">
        <f>IF(OR(M23147="",N23147=""),"",SUMIFS('Barang Keluar'!$E:$E,'Barang Keluar'!$A:$A,M23147,'Barang Keluar'!$C:$C,N23147))</f>
        <v>0</v>
      </c>
    </row>
    <row r="23148" spans="13:16">
      <c r="M23148" s="49">
        <f>IF($A$4+231&gt;$B$4,"",$A$4+231)</f>
        <v>46254</v>
      </c>
      <c r="N23148">
        <f>IF(M23148="","",'Master Barang'!A42)</f>
        <v>0</v>
      </c>
      <c r="O23148">
        <f>IF(N23148="","",'Master Barang'!B42)</f>
        <v>0</v>
      </c>
      <c r="P23148">
        <f>IF(OR(M23148="",N23148=""),"",SUMIFS('Barang Keluar'!$E:$E,'Barang Keluar'!$A:$A,M23148,'Barang Keluar'!$C:$C,N23148))</f>
        <v>0</v>
      </c>
    </row>
    <row r="23149" spans="13:16">
      <c r="M23149" s="49">
        <f>IF($A$4+231&gt;$B$4,"",$A$4+231)</f>
        <v>46254</v>
      </c>
      <c r="N23149">
        <f>IF(M23149="","",'Master Barang'!A43)</f>
        <v>0</v>
      </c>
      <c r="O23149">
        <f>IF(N23149="","",'Master Barang'!B43)</f>
        <v>0</v>
      </c>
      <c r="P23149">
        <f>IF(OR(M23149="",N23149=""),"",SUMIFS('Barang Keluar'!$E:$E,'Barang Keluar'!$A:$A,M23149,'Barang Keluar'!$C:$C,N23149))</f>
        <v>0</v>
      </c>
    </row>
    <row r="23150" spans="13:16">
      <c r="M23150" s="49">
        <f>IF($A$4+231&gt;$B$4,"",$A$4+231)</f>
        <v>46254</v>
      </c>
      <c r="N23150">
        <f>IF(M23150="","",'Master Barang'!A44)</f>
        <v>0</v>
      </c>
      <c r="O23150">
        <f>IF(N23150="","",'Master Barang'!B44)</f>
        <v>0</v>
      </c>
      <c r="P23150">
        <f>IF(OR(M23150="",N23150=""),"",SUMIFS('Barang Keluar'!$E:$E,'Barang Keluar'!$A:$A,M23150,'Barang Keluar'!$C:$C,N23150))</f>
        <v>0</v>
      </c>
    </row>
    <row r="23151" spans="13:16">
      <c r="M23151" s="49">
        <f>IF($A$4+231&gt;$B$4,"",$A$4+231)</f>
        <v>46254</v>
      </c>
      <c r="N23151">
        <f>IF(M23151="","",'Master Barang'!A45)</f>
        <v>0</v>
      </c>
      <c r="O23151">
        <f>IF(N23151="","",'Master Barang'!B45)</f>
        <v>0</v>
      </c>
      <c r="P23151">
        <f>IF(OR(M23151="",N23151=""),"",SUMIFS('Barang Keluar'!$E:$E,'Barang Keluar'!$A:$A,M23151,'Barang Keluar'!$C:$C,N23151))</f>
        <v>0</v>
      </c>
    </row>
    <row r="23152" spans="13:16">
      <c r="M23152" s="49">
        <f>IF($A$4+231&gt;$B$4,"",$A$4+231)</f>
        <v>46254</v>
      </c>
      <c r="N23152">
        <f>IF(M23152="","",'Master Barang'!A46)</f>
        <v>0</v>
      </c>
      <c r="O23152">
        <f>IF(N23152="","",'Master Barang'!B46)</f>
        <v>0</v>
      </c>
      <c r="P23152">
        <f>IF(OR(M23152="",N23152=""),"",SUMIFS('Barang Keluar'!$E:$E,'Barang Keluar'!$A:$A,M23152,'Barang Keluar'!$C:$C,N23152))</f>
        <v>0</v>
      </c>
    </row>
    <row r="23153" spans="13:16">
      <c r="M23153" s="49">
        <f>IF($A$4+231&gt;$B$4,"",$A$4+231)</f>
        <v>46254</v>
      </c>
      <c r="N23153">
        <f>IF(M23153="","",'Master Barang'!A47)</f>
        <v>0</v>
      </c>
      <c r="O23153">
        <f>IF(N23153="","",'Master Barang'!B47)</f>
        <v>0</v>
      </c>
      <c r="P23153">
        <f>IF(OR(M23153="",N23153=""),"",SUMIFS('Barang Keluar'!$E:$E,'Barang Keluar'!$A:$A,M23153,'Barang Keluar'!$C:$C,N23153))</f>
        <v>0</v>
      </c>
    </row>
    <row r="23154" spans="13:16">
      <c r="M23154" s="49">
        <f>IF($A$4+231&gt;$B$4,"",$A$4+231)</f>
        <v>46254</v>
      </c>
      <c r="N23154">
        <f>IF(M23154="","",'Master Barang'!A48)</f>
        <v>0</v>
      </c>
      <c r="O23154">
        <f>IF(N23154="","",'Master Barang'!B48)</f>
        <v>0</v>
      </c>
      <c r="P23154">
        <f>IF(OR(M23154="",N23154=""),"",SUMIFS('Barang Keluar'!$E:$E,'Barang Keluar'!$A:$A,M23154,'Barang Keluar'!$C:$C,N23154))</f>
        <v>0</v>
      </c>
    </row>
    <row r="23155" spans="13:16">
      <c r="M23155" s="49">
        <f>IF($A$4+231&gt;$B$4,"",$A$4+231)</f>
        <v>46254</v>
      </c>
      <c r="N23155">
        <f>IF(M23155="","",'Master Barang'!A49)</f>
        <v>0</v>
      </c>
      <c r="O23155">
        <f>IF(N23155="","",'Master Barang'!B49)</f>
        <v>0</v>
      </c>
      <c r="P23155">
        <f>IF(OR(M23155="",N23155=""),"",SUMIFS('Barang Keluar'!$E:$E,'Barang Keluar'!$A:$A,M23155,'Barang Keluar'!$C:$C,N23155))</f>
        <v>0</v>
      </c>
    </row>
    <row r="23156" spans="13:16">
      <c r="M23156" s="49">
        <f>IF($A$4+231&gt;$B$4,"",$A$4+231)</f>
        <v>46254</v>
      </c>
      <c r="N23156">
        <f>IF(M23156="","",'Master Barang'!A50)</f>
        <v>0</v>
      </c>
      <c r="O23156">
        <f>IF(N23156="","",'Master Barang'!B50)</f>
        <v>0</v>
      </c>
      <c r="P23156">
        <f>IF(OR(M23156="",N23156=""),"",SUMIFS('Barang Keluar'!$E:$E,'Barang Keluar'!$A:$A,M23156,'Barang Keluar'!$C:$C,N23156))</f>
        <v>0</v>
      </c>
    </row>
    <row r="23157" spans="13:16">
      <c r="M23157" s="49">
        <f>IF($A$4+231&gt;$B$4,"",$A$4+231)</f>
        <v>46254</v>
      </c>
      <c r="N23157">
        <f>IF(M23157="","",'Master Barang'!A51)</f>
        <v>0</v>
      </c>
      <c r="O23157">
        <f>IF(N23157="","",'Master Barang'!B51)</f>
        <v>0</v>
      </c>
      <c r="P23157">
        <f>IF(OR(M23157="",N23157=""),"",SUMIFS('Barang Keluar'!$E:$E,'Barang Keluar'!$A:$A,M23157,'Barang Keluar'!$C:$C,N23157))</f>
        <v>0</v>
      </c>
    </row>
    <row r="23158" spans="13:16">
      <c r="M23158" s="49">
        <f>IF($A$4+231&gt;$B$4,"",$A$4+231)</f>
        <v>46254</v>
      </c>
      <c r="N23158">
        <f>IF(M23158="","",'Master Barang'!A52)</f>
        <v>0</v>
      </c>
      <c r="O23158">
        <f>IF(N23158="","",'Master Barang'!B52)</f>
        <v>0</v>
      </c>
      <c r="P23158">
        <f>IF(OR(M23158="",N23158=""),"",SUMIFS('Barang Keluar'!$E:$E,'Barang Keluar'!$A:$A,M23158,'Barang Keluar'!$C:$C,N23158))</f>
        <v>0</v>
      </c>
    </row>
    <row r="23159" spans="13:16">
      <c r="M23159" s="49">
        <f>IF($A$4+231&gt;$B$4,"",$A$4+231)</f>
        <v>46254</v>
      </c>
      <c r="N23159">
        <f>IF(M23159="","",'Master Barang'!A53)</f>
        <v>0</v>
      </c>
      <c r="O23159">
        <f>IF(N23159="","",'Master Barang'!B53)</f>
        <v>0</v>
      </c>
      <c r="P23159">
        <f>IF(OR(M23159="",N23159=""),"",SUMIFS('Barang Keluar'!$E:$E,'Barang Keluar'!$A:$A,M23159,'Barang Keluar'!$C:$C,N23159))</f>
        <v>0</v>
      </c>
    </row>
    <row r="23160" spans="13:16">
      <c r="M23160" s="49">
        <f>IF($A$4+231&gt;$B$4,"",$A$4+231)</f>
        <v>46254</v>
      </c>
      <c r="N23160">
        <f>IF(M23160="","",'Master Barang'!A54)</f>
        <v>0</v>
      </c>
      <c r="O23160">
        <f>IF(N23160="","",'Master Barang'!B54)</f>
        <v>0</v>
      </c>
      <c r="P23160">
        <f>IF(OR(M23160="",N23160=""),"",SUMIFS('Barang Keluar'!$E:$E,'Barang Keluar'!$A:$A,M23160,'Barang Keluar'!$C:$C,N23160))</f>
        <v>0</v>
      </c>
    </row>
    <row r="23161" spans="13:16">
      <c r="M23161" s="49">
        <f>IF($A$4+231&gt;$B$4,"",$A$4+231)</f>
        <v>46254</v>
      </c>
      <c r="N23161">
        <f>IF(M23161="","",'Master Barang'!A55)</f>
        <v>0</v>
      </c>
      <c r="O23161">
        <f>IF(N23161="","",'Master Barang'!B55)</f>
        <v>0</v>
      </c>
      <c r="P23161">
        <f>IF(OR(M23161="",N23161=""),"",SUMIFS('Barang Keluar'!$E:$E,'Barang Keluar'!$A:$A,M23161,'Barang Keluar'!$C:$C,N23161))</f>
        <v>0</v>
      </c>
    </row>
    <row r="23162" spans="13:16">
      <c r="M23162" s="49">
        <f>IF($A$4+231&gt;$B$4,"",$A$4+231)</f>
        <v>46254</v>
      </c>
      <c r="N23162">
        <f>IF(M23162="","",'Master Barang'!A56)</f>
        <v>0</v>
      </c>
      <c r="O23162">
        <f>IF(N23162="","",'Master Barang'!B56)</f>
        <v>0</v>
      </c>
      <c r="P23162">
        <f>IF(OR(M23162="",N23162=""),"",SUMIFS('Barang Keluar'!$E:$E,'Barang Keluar'!$A:$A,M23162,'Barang Keluar'!$C:$C,N23162))</f>
        <v>0</v>
      </c>
    </row>
    <row r="23163" spans="13:16">
      <c r="M23163" s="49">
        <f>IF($A$4+231&gt;$B$4,"",$A$4+231)</f>
        <v>46254</v>
      </c>
      <c r="N23163">
        <f>IF(M23163="","",'Master Barang'!A57)</f>
        <v>0</v>
      </c>
      <c r="O23163">
        <f>IF(N23163="","",'Master Barang'!B57)</f>
        <v>0</v>
      </c>
      <c r="P23163">
        <f>IF(OR(M23163="",N23163=""),"",SUMIFS('Barang Keluar'!$E:$E,'Barang Keluar'!$A:$A,M23163,'Barang Keluar'!$C:$C,N23163))</f>
        <v>0</v>
      </c>
    </row>
    <row r="23164" spans="13:16">
      <c r="M23164" s="49">
        <f>IF($A$4+231&gt;$B$4,"",$A$4+231)</f>
        <v>46254</v>
      </c>
      <c r="N23164">
        <f>IF(M23164="","",'Master Barang'!A58)</f>
        <v>0</v>
      </c>
      <c r="O23164">
        <f>IF(N23164="","",'Master Barang'!B58)</f>
        <v>0</v>
      </c>
      <c r="P23164">
        <f>IF(OR(M23164="",N23164=""),"",SUMIFS('Barang Keluar'!$E:$E,'Barang Keluar'!$A:$A,M23164,'Barang Keluar'!$C:$C,N23164))</f>
        <v>0</v>
      </c>
    </row>
    <row r="23165" spans="13:16">
      <c r="M23165" s="49">
        <f>IF($A$4+231&gt;$B$4,"",$A$4+231)</f>
        <v>46254</v>
      </c>
      <c r="N23165">
        <f>IF(M23165="","",'Master Barang'!A59)</f>
        <v>0</v>
      </c>
      <c r="O23165">
        <f>IF(N23165="","",'Master Barang'!B59)</f>
        <v>0</v>
      </c>
      <c r="P23165">
        <f>IF(OR(M23165="",N23165=""),"",SUMIFS('Barang Keluar'!$E:$E,'Barang Keluar'!$A:$A,M23165,'Barang Keluar'!$C:$C,N23165))</f>
        <v>0</v>
      </c>
    </row>
    <row r="23166" spans="13:16">
      <c r="M23166" s="49">
        <f>IF($A$4+231&gt;$B$4,"",$A$4+231)</f>
        <v>46254</v>
      </c>
      <c r="N23166">
        <f>IF(M23166="","",'Master Barang'!A60)</f>
        <v>0</v>
      </c>
      <c r="O23166">
        <f>IF(N23166="","",'Master Barang'!B60)</f>
        <v>0</v>
      </c>
      <c r="P23166">
        <f>IF(OR(M23166="",N23166=""),"",SUMIFS('Barang Keluar'!$E:$E,'Barang Keluar'!$A:$A,M23166,'Barang Keluar'!$C:$C,N23166))</f>
        <v>0</v>
      </c>
    </row>
    <row r="23167" spans="13:16">
      <c r="M23167" s="49">
        <f>IF($A$4+231&gt;$B$4,"",$A$4+231)</f>
        <v>46254</v>
      </c>
      <c r="N23167">
        <f>IF(M23167="","",'Master Barang'!A61)</f>
        <v>0</v>
      </c>
      <c r="O23167">
        <f>IF(N23167="","",'Master Barang'!B61)</f>
        <v>0</v>
      </c>
      <c r="P23167">
        <f>IF(OR(M23167="",N23167=""),"",SUMIFS('Barang Keluar'!$E:$E,'Barang Keluar'!$A:$A,M23167,'Barang Keluar'!$C:$C,N23167))</f>
        <v>0</v>
      </c>
    </row>
    <row r="23168" spans="13:16">
      <c r="M23168" s="49">
        <f>IF($A$4+231&gt;$B$4,"",$A$4+231)</f>
        <v>46254</v>
      </c>
      <c r="N23168">
        <f>IF(M23168="","",'Master Barang'!A62)</f>
        <v>0</v>
      </c>
      <c r="O23168">
        <f>IF(N23168="","",'Master Barang'!B62)</f>
        <v>0</v>
      </c>
      <c r="P23168">
        <f>IF(OR(M23168="",N23168=""),"",SUMIFS('Barang Keluar'!$E:$E,'Barang Keluar'!$A:$A,M23168,'Barang Keluar'!$C:$C,N23168))</f>
        <v>0</v>
      </c>
    </row>
    <row r="23169" spans="13:16">
      <c r="M23169" s="49">
        <f>IF($A$4+231&gt;$B$4,"",$A$4+231)</f>
        <v>46254</v>
      </c>
      <c r="N23169">
        <f>IF(M23169="","",'Master Barang'!A63)</f>
        <v>0</v>
      </c>
      <c r="O23169">
        <f>IF(N23169="","",'Master Barang'!B63)</f>
        <v>0</v>
      </c>
      <c r="P23169">
        <f>IF(OR(M23169="",N23169=""),"",SUMIFS('Barang Keluar'!$E:$E,'Barang Keluar'!$A:$A,M23169,'Barang Keluar'!$C:$C,N23169))</f>
        <v>0</v>
      </c>
    </row>
    <row r="23170" spans="13:16">
      <c r="M23170" s="49">
        <f>IF($A$4+231&gt;$B$4,"",$A$4+231)</f>
        <v>46254</v>
      </c>
      <c r="N23170">
        <f>IF(M23170="","",'Master Barang'!A64)</f>
        <v>0</v>
      </c>
      <c r="O23170">
        <f>IF(N23170="","",'Master Barang'!B64)</f>
        <v>0</v>
      </c>
      <c r="P23170">
        <f>IF(OR(M23170="",N23170=""),"",SUMIFS('Barang Keluar'!$E:$E,'Barang Keluar'!$A:$A,M23170,'Barang Keluar'!$C:$C,N23170))</f>
        <v>0</v>
      </c>
    </row>
    <row r="23171" spans="13:16">
      <c r="M23171" s="49">
        <f>IF($A$4+231&gt;$B$4,"",$A$4+231)</f>
        <v>46254</v>
      </c>
      <c r="N23171">
        <f>IF(M23171="","",'Master Barang'!A65)</f>
        <v>0</v>
      </c>
      <c r="O23171">
        <f>IF(N23171="","",'Master Barang'!B65)</f>
        <v>0</v>
      </c>
      <c r="P23171">
        <f>IF(OR(M23171="",N23171=""),"",SUMIFS('Barang Keluar'!$E:$E,'Barang Keluar'!$A:$A,M23171,'Barang Keluar'!$C:$C,N23171))</f>
        <v>0</v>
      </c>
    </row>
    <row r="23172" spans="13:16">
      <c r="M23172" s="49">
        <f>IF($A$4+231&gt;$B$4,"",$A$4+231)</f>
        <v>46254</v>
      </c>
      <c r="N23172">
        <f>IF(M23172="","",'Master Barang'!A66)</f>
        <v>0</v>
      </c>
      <c r="O23172">
        <f>IF(N23172="","",'Master Barang'!B66)</f>
        <v>0</v>
      </c>
      <c r="P23172">
        <f>IF(OR(M23172="",N23172=""),"",SUMIFS('Barang Keluar'!$E:$E,'Barang Keluar'!$A:$A,M23172,'Barang Keluar'!$C:$C,N23172))</f>
        <v>0</v>
      </c>
    </row>
    <row r="23173" spans="13:16">
      <c r="M23173" s="49">
        <f>IF($A$4+231&gt;$B$4,"",$A$4+231)</f>
        <v>46254</v>
      </c>
      <c r="N23173">
        <f>IF(M23173="","",'Master Barang'!A67)</f>
        <v>0</v>
      </c>
      <c r="O23173">
        <f>IF(N23173="","",'Master Barang'!B67)</f>
        <v>0</v>
      </c>
      <c r="P23173">
        <f>IF(OR(M23173="",N23173=""),"",SUMIFS('Barang Keluar'!$E:$E,'Barang Keluar'!$A:$A,M23173,'Barang Keluar'!$C:$C,N23173))</f>
        <v>0</v>
      </c>
    </row>
    <row r="23174" spans="13:16">
      <c r="M23174" s="49">
        <f>IF($A$4+231&gt;$B$4,"",$A$4+231)</f>
        <v>46254</v>
      </c>
      <c r="N23174">
        <f>IF(M23174="","",'Master Barang'!A68)</f>
        <v>0</v>
      </c>
      <c r="O23174">
        <f>IF(N23174="","",'Master Barang'!B68)</f>
        <v>0</v>
      </c>
      <c r="P23174">
        <f>IF(OR(M23174="",N23174=""),"",SUMIFS('Barang Keluar'!$E:$E,'Barang Keluar'!$A:$A,M23174,'Barang Keluar'!$C:$C,N23174))</f>
        <v>0</v>
      </c>
    </row>
    <row r="23175" spans="13:16">
      <c r="M23175" s="49">
        <f>IF($A$4+231&gt;$B$4,"",$A$4+231)</f>
        <v>46254</v>
      </c>
      <c r="N23175">
        <f>IF(M23175="","",'Master Barang'!A69)</f>
        <v>0</v>
      </c>
      <c r="O23175">
        <f>IF(N23175="","",'Master Barang'!B69)</f>
        <v>0</v>
      </c>
      <c r="P23175">
        <f>IF(OR(M23175="",N23175=""),"",SUMIFS('Barang Keluar'!$E:$E,'Barang Keluar'!$A:$A,M23175,'Barang Keluar'!$C:$C,N23175))</f>
        <v>0</v>
      </c>
    </row>
    <row r="23176" spans="13:16">
      <c r="M23176" s="49">
        <f>IF($A$4+231&gt;$B$4,"",$A$4+231)</f>
        <v>46254</v>
      </c>
      <c r="N23176">
        <f>IF(M23176="","",'Master Barang'!A70)</f>
        <v>0</v>
      </c>
      <c r="O23176">
        <f>IF(N23176="","",'Master Barang'!B70)</f>
        <v>0</v>
      </c>
      <c r="P23176">
        <f>IF(OR(M23176="",N23176=""),"",SUMIFS('Barang Keluar'!$E:$E,'Barang Keluar'!$A:$A,M23176,'Barang Keluar'!$C:$C,N23176))</f>
        <v>0</v>
      </c>
    </row>
    <row r="23177" spans="13:16">
      <c r="M23177" s="49">
        <f>IF($A$4+231&gt;$B$4,"",$A$4+231)</f>
        <v>46254</v>
      </c>
      <c r="N23177">
        <f>IF(M23177="","",'Master Barang'!A71)</f>
        <v>0</v>
      </c>
      <c r="O23177">
        <f>IF(N23177="","",'Master Barang'!B71)</f>
        <v>0</v>
      </c>
      <c r="P23177">
        <f>IF(OR(M23177="",N23177=""),"",SUMIFS('Barang Keluar'!$E:$E,'Barang Keluar'!$A:$A,M23177,'Barang Keluar'!$C:$C,N23177))</f>
        <v>0</v>
      </c>
    </row>
    <row r="23178" spans="13:16">
      <c r="M23178" s="49">
        <f>IF($A$4+231&gt;$B$4,"",$A$4+231)</f>
        <v>46254</v>
      </c>
      <c r="N23178">
        <f>IF(M23178="","",'Master Barang'!A72)</f>
        <v>0</v>
      </c>
      <c r="O23178">
        <f>IF(N23178="","",'Master Barang'!B72)</f>
        <v>0</v>
      </c>
      <c r="P23178">
        <f>IF(OR(M23178="",N23178=""),"",SUMIFS('Barang Keluar'!$E:$E,'Barang Keluar'!$A:$A,M23178,'Barang Keluar'!$C:$C,N23178))</f>
        <v>0</v>
      </c>
    </row>
    <row r="23179" spans="13:16">
      <c r="M23179" s="49">
        <f>IF($A$4+231&gt;$B$4,"",$A$4+231)</f>
        <v>46254</v>
      </c>
      <c r="N23179">
        <f>IF(M23179="","",'Master Barang'!A73)</f>
        <v>0</v>
      </c>
      <c r="O23179">
        <f>IF(N23179="","",'Master Barang'!B73)</f>
        <v>0</v>
      </c>
      <c r="P23179">
        <f>IF(OR(M23179="",N23179=""),"",SUMIFS('Barang Keluar'!$E:$E,'Barang Keluar'!$A:$A,M23179,'Barang Keluar'!$C:$C,N23179))</f>
        <v>0</v>
      </c>
    </row>
    <row r="23180" spans="13:16">
      <c r="M23180" s="49">
        <f>IF($A$4+231&gt;$B$4,"",$A$4+231)</f>
        <v>46254</v>
      </c>
      <c r="N23180">
        <f>IF(M23180="","",'Master Barang'!A74)</f>
        <v>0</v>
      </c>
      <c r="O23180">
        <f>IF(N23180="","",'Master Barang'!B74)</f>
        <v>0</v>
      </c>
      <c r="P23180">
        <f>IF(OR(M23180="",N23180=""),"",SUMIFS('Barang Keluar'!$E:$E,'Barang Keluar'!$A:$A,M23180,'Barang Keluar'!$C:$C,N23180))</f>
        <v>0</v>
      </c>
    </row>
    <row r="23181" spans="13:16">
      <c r="M23181" s="49">
        <f>IF($A$4+231&gt;$B$4,"",$A$4+231)</f>
        <v>46254</v>
      </c>
      <c r="N23181">
        <f>IF(M23181="","",'Master Barang'!A75)</f>
        <v>0</v>
      </c>
      <c r="O23181">
        <f>IF(N23181="","",'Master Barang'!B75)</f>
        <v>0</v>
      </c>
      <c r="P23181">
        <f>IF(OR(M23181="",N23181=""),"",SUMIFS('Barang Keluar'!$E:$E,'Barang Keluar'!$A:$A,M23181,'Barang Keluar'!$C:$C,N23181))</f>
        <v>0</v>
      </c>
    </row>
    <row r="23182" spans="13:16">
      <c r="M23182" s="49">
        <f>IF($A$4+231&gt;$B$4,"",$A$4+231)</f>
        <v>46254</v>
      </c>
      <c r="N23182">
        <f>IF(M23182="","",'Master Barang'!A76)</f>
        <v>0</v>
      </c>
      <c r="O23182">
        <f>IF(N23182="","",'Master Barang'!B76)</f>
        <v>0</v>
      </c>
      <c r="P23182">
        <f>IF(OR(M23182="",N23182=""),"",SUMIFS('Barang Keluar'!$E:$E,'Barang Keluar'!$A:$A,M23182,'Barang Keluar'!$C:$C,N23182))</f>
        <v>0</v>
      </c>
    </row>
    <row r="23183" spans="13:16">
      <c r="M23183" s="49">
        <f>IF($A$4+231&gt;$B$4,"",$A$4+231)</f>
        <v>46254</v>
      </c>
      <c r="N23183">
        <f>IF(M23183="","",'Master Barang'!A77)</f>
        <v>0</v>
      </c>
      <c r="O23183">
        <f>IF(N23183="","",'Master Barang'!B77)</f>
        <v>0</v>
      </c>
      <c r="P23183">
        <f>IF(OR(M23183="",N23183=""),"",SUMIFS('Barang Keluar'!$E:$E,'Barang Keluar'!$A:$A,M23183,'Barang Keluar'!$C:$C,N23183))</f>
        <v>0</v>
      </c>
    </row>
    <row r="23184" spans="13:16">
      <c r="M23184" s="49">
        <f>IF($A$4+231&gt;$B$4,"",$A$4+231)</f>
        <v>46254</v>
      </c>
      <c r="N23184">
        <f>IF(M23184="","",'Master Barang'!A78)</f>
        <v>0</v>
      </c>
      <c r="O23184">
        <f>IF(N23184="","",'Master Barang'!B78)</f>
        <v>0</v>
      </c>
      <c r="P23184">
        <f>IF(OR(M23184="",N23184=""),"",SUMIFS('Barang Keluar'!$E:$E,'Barang Keluar'!$A:$A,M23184,'Barang Keluar'!$C:$C,N23184))</f>
        <v>0</v>
      </c>
    </row>
    <row r="23185" spans="13:16">
      <c r="M23185" s="49">
        <f>IF($A$4+231&gt;$B$4,"",$A$4+231)</f>
        <v>46254</v>
      </c>
      <c r="N23185">
        <f>IF(M23185="","",'Master Barang'!A79)</f>
        <v>0</v>
      </c>
      <c r="O23185">
        <f>IF(N23185="","",'Master Barang'!B79)</f>
        <v>0</v>
      </c>
      <c r="P23185">
        <f>IF(OR(M23185="",N23185=""),"",SUMIFS('Barang Keluar'!$E:$E,'Barang Keluar'!$A:$A,M23185,'Barang Keluar'!$C:$C,N23185))</f>
        <v>0</v>
      </c>
    </row>
    <row r="23186" spans="13:16">
      <c r="M23186" s="49">
        <f>IF($A$4+231&gt;$B$4,"",$A$4+231)</f>
        <v>46254</v>
      </c>
      <c r="N23186">
        <f>IF(M23186="","",'Master Barang'!A80)</f>
        <v>0</v>
      </c>
      <c r="O23186">
        <f>IF(N23186="","",'Master Barang'!B80)</f>
        <v>0</v>
      </c>
      <c r="P23186">
        <f>IF(OR(M23186="",N23186=""),"",SUMIFS('Barang Keluar'!$E:$E,'Barang Keluar'!$A:$A,M23186,'Barang Keluar'!$C:$C,N23186))</f>
        <v>0</v>
      </c>
    </row>
    <row r="23187" spans="13:16">
      <c r="M23187" s="49">
        <f>IF($A$4+231&gt;$B$4,"",$A$4+231)</f>
        <v>46254</v>
      </c>
      <c r="N23187">
        <f>IF(M23187="","",'Master Barang'!A81)</f>
        <v>0</v>
      </c>
      <c r="O23187">
        <f>IF(N23187="","",'Master Barang'!B81)</f>
        <v>0</v>
      </c>
      <c r="P23187">
        <f>IF(OR(M23187="",N23187=""),"",SUMIFS('Barang Keluar'!$E:$E,'Barang Keluar'!$A:$A,M23187,'Barang Keluar'!$C:$C,N23187))</f>
        <v>0</v>
      </c>
    </row>
    <row r="23188" spans="13:16">
      <c r="M23188" s="49">
        <f>IF($A$4+231&gt;$B$4,"",$A$4+231)</f>
        <v>46254</v>
      </c>
      <c r="N23188">
        <f>IF(M23188="","",'Master Barang'!A82)</f>
        <v>0</v>
      </c>
      <c r="O23188">
        <f>IF(N23188="","",'Master Barang'!B82)</f>
        <v>0</v>
      </c>
      <c r="P23188">
        <f>IF(OR(M23188="",N23188=""),"",SUMIFS('Barang Keluar'!$E:$E,'Barang Keluar'!$A:$A,M23188,'Barang Keluar'!$C:$C,N23188))</f>
        <v>0</v>
      </c>
    </row>
    <row r="23189" spans="13:16">
      <c r="M23189" s="49">
        <f>IF($A$4+231&gt;$B$4,"",$A$4+231)</f>
        <v>46254</v>
      </c>
      <c r="N23189">
        <f>IF(M23189="","",'Master Barang'!A83)</f>
        <v>0</v>
      </c>
      <c r="O23189">
        <f>IF(N23189="","",'Master Barang'!B83)</f>
        <v>0</v>
      </c>
      <c r="P23189">
        <f>IF(OR(M23189="",N23189=""),"",SUMIFS('Barang Keluar'!$E:$E,'Barang Keluar'!$A:$A,M23189,'Barang Keluar'!$C:$C,N23189))</f>
        <v>0</v>
      </c>
    </row>
    <row r="23190" spans="13:16">
      <c r="M23190" s="49">
        <f>IF($A$4+231&gt;$B$4,"",$A$4+231)</f>
        <v>46254</v>
      </c>
      <c r="N23190">
        <f>IF(M23190="","",'Master Barang'!A84)</f>
        <v>0</v>
      </c>
      <c r="O23190">
        <f>IF(N23190="","",'Master Barang'!B84)</f>
        <v>0</v>
      </c>
      <c r="P23190">
        <f>IF(OR(M23190="",N23190=""),"",SUMIFS('Barang Keluar'!$E:$E,'Barang Keluar'!$A:$A,M23190,'Barang Keluar'!$C:$C,N23190))</f>
        <v>0</v>
      </c>
    </row>
    <row r="23191" spans="13:16">
      <c r="M23191" s="49">
        <f>IF($A$4+231&gt;$B$4,"",$A$4+231)</f>
        <v>46254</v>
      </c>
      <c r="N23191">
        <f>IF(M23191="","",'Master Barang'!A85)</f>
        <v>0</v>
      </c>
      <c r="O23191">
        <f>IF(N23191="","",'Master Barang'!B85)</f>
        <v>0</v>
      </c>
      <c r="P23191">
        <f>IF(OR(M23191="",N23191=""),"",SUMIFS('Barang Keluar'!$E:$E,'Barang Keluar'!$A:$A,M23191,'Barang Keluar'!$C:$C,N23191))</f>
        <v>0</v>
      </c>
    </row>
    <row r="23192" spans="13:16">
      <c r="M23192" s="49">
        <f>IF($A$4+231&gt;$B$4,"",$A$4+231)</f>
        <v>46254</v>
      </c>
      <c r="N23192">
        <f>IF(M23192="","",'Master Barang'!A86)</f>
        <v>0</v>
      </c>
      <c r="O23192">
        <f>IF(N23192="","",'Master Barang'!B86)</f>
        <v>0</v>
      </c>
      <c r="P23192">
        <f>IF(OR(M23192="",N23192=""),"",SUMIFS('Barang Keluar'!$E:$E,'Barang Keluar'!$A:$A,M23192,'Barang Keluar'!$C:$C,N23192))</f>
        <v>0</v>
      </c>
    </row>
    <row r="23193" spans="13:16">
      <c r="M23193" s="49">
        <f>IF($A$4+231&gt;$B$4,"",$A$4+231)</f>
        <v>46254</v>
      </c>
      <c r="N23193">
        <f>IF(M23193="","",'Master Barang'!A87)</f>
        <v>0</v>
      </c>
      <c r="O23193">
        <f>IF(N23193="","",'Master Barang'!B87)</f>
        <v>0</v>
      </c>
      <c r="P23193">
        <f>IF(OR(M23193="",N23193=""),"",SUMIFS('Barang Keluar'!$E:$E,'Barang Keluar'!$A:$A,M23193,'Barang Keluar'!$C:$C,N23193))</f>
        <v>0</v>
      </c>
    </row>
    <row r="23194" spans="13:16">
      <c r="M23194" s="49">
        <f>IF($A$4+231&gt;$B$4,"",$A$4+231)</f>
        <v>46254</v>
      </c>
      <c r="N23194">
        <f>IF(M23194="","",'Master Barang'!A88)</f>
        <v>0</v>
      </c>
      <c r="O23194">
        <f>IF(N23194="","",'Master Barang'!B88)</f>
        <v>0</v>
      </c>
      <c r="P23194">
        <f>IF(OR(M23194="",N23194=""),"",SUMIFS('Barang Keluar'!$E:$E,'Barang Keluar'!$A:$A,M23194,'Barang Keluar'!$C:$C,N23194))</f>
        <v>0</v>
      </c>
    </row>
    <row r="23195" spans="13:16">
      <c r="M23195" s="49">
        <f>IF($A$4+231&gt;$B$4,"",$A$4+231)</f>
        <v>46254</v>
      </c>
      <c r="N23195">
        <f>IF(M23195="","",'Master Barang'!A89)</f>
        <v>0</v>
      </c>
      <c r="O23195">
        <f>IF(N23195="","",'Master Barang'!B89)</f>
        <v>0</v>
      </c>
      <c r="P23195">
        <f>IF(OR(M23195="",N23195=""),"",SUMIFS('Barang Keluar'!$E:$E,'Barang Keluar'!$A:$A,M23195,'Barang Keluar'!$C:$C,N23195))</f>
        <v>0</v>
      </c>
    </row>
    <row r="23196" spans="13:16">
      <c r="M23196" s="49">
        <f>IF($A$4+231&gt;$B$4,"",$A$4+231)</f>
        <v>46254</v>
      </c>
      <c r="N23196">
        <f>IF(M23196="","",'Master Barang'!A90)</f>
        <v>0</v>
      </c>
      <c r="O23196">
        <f>IF(N23196="","",'Master Barang'!B90)</f>
        <v>0</v>
      </c>
      <c r="P23196">
        <f>IF(OR(M23196="",N23196=""),"",SUMIFS('Barang Keluar'!$E:$E,'Barang Keluar'!$A:$A,M23196,'Barang Keluar'!$C:$C,N23196))</f>
        <v>0</v>
      </c>
    </row>
    <row r="23197" spans="13:16">
      <c r="M23197" s="49">
        <f>IF($A$4+231&gt;$B$4,"",$A$4+231)</f>
        <v>46254</v>
      </c>
      <c r="N23197">
        <f>IF(M23197="","",'Master Barang'!A91)</f>
        <v>0</v>
      </c>
      <c r="O23197">
        <f>IF(N23197="","",'Master Barang'!B91)</f>
        <v>0</v>
      </c>
      <c r="P23197">
        <f>IF(OR(M23197="",N23197=""),"",SUMIFS('Barang Keluar'!$E:$E,'Barang Keluar'!$A:$A,M23197,'Barang Keluar'!$C:$C,N23197))</f>
        <v>0</v>
      </c>
    </row>
    <row r="23198" spans="13:16">
      <c r="M23198" s="49">
        <f>IF($A$4+231&gt;$B$4,"",$A$4+231)</f>
        <v>46254</v>
      </c>
      <c r="N23198">
        <f>IF(M23198="","",'Master Barang'!A92)</f>
        <v>0</v>
      </c>
      <c r="O23198">
        <f>IF(N23198="","",'Master Barang'!B92)</f>
        <v>0</v>
      </c>
      <c r="P23198">
        <f>IF(OR(M23198="",N23198=""),"",SUMIFS('Barang Keluar'!$E:$E,'Barang Keluar'!$A:$A,M23198,'Barang Keluar'!$C:$C,N23198))</f>
        <v>0</v>
      </c>
    </row>
    <row r="23199" spans="13:16">
      <c r="M23199" s="49">
        <f>IF($A$4+231&gt;$B$4,"",$A$4+231)</f>
        <v>46254</v>
      </c>
      <c r="N23199">
        <f>IF(M23199="","",'Master Barang'!A93)</f>
        <v>0</v>
      </c>
      <c r="O23199">
        <f>IF(N23199="","",'Master Barang'!B93)</f>
        <v>0</v>
      </c>
      <c r="P23199">
        <f>IF(OR(M23199="",N23199=""),"",SUMIFS('Barang Keluar'!$E:$E,'Barang Keluar'!$A:$A,M23199,'Barang Keluar'!$C:$C,N23199))</f>
        <v>0</v>
      </c>
    </row>
    <row r="23200" spans="13:16">
      <c r="M23200" s="49">
        <f>IF($A$4+231&gt;$B$4,"",$A$4+231)</f>
        <v>46254</v>
      </c>
      <c r="N23200">
        <f>IF(M23200="","",'Master Barang'!A94)</f>
        <v>0</v>
      </c>
      <c r="O23200">
        <f>IF(N23200="","",'Master Barang'!B94)</f>
        <v>0</v>
      </c>
      <c r="P23200">
        <f>IF(OR(M23200="",N23200=""),"",SUMIFS('Barang Keluar'!$E:$E,'Barang Keluar'!$A:$A,M23200,'Barang Keluar'!$C:$C,N23200))</f>
        <v>0</v>
      </c>
    </row>
    <row r="23201" spans="13:16">
      <c r="M23201" s="49">
        <f>IF($A$4+231&gt;$B$4,"",$A$4+231)</f>
        <v>46254</v>
      </c>
      <c r="N23201">
        <f>IF(M23201="","",'Master Barang'!A95)</f>
        <v>0</v>
      </c>
      <c r="O23201">
        <f>IF(N23201="","",'Master Barang'!B95)</f>
        <v>0</v>
      </c>
      <c r="P23201">
        <f>IF(OR(M23201="",N23201=""),"",SUMIFS('Barang Keluar'!$E:$E,'Barang Keluar'!$A:$A,M23201,'Barang Keluar'!$C:$C,N23201))</f>
        <v>0</v>
      </c>
    </row>
    <row r="23202" spans="13:16">
      <c r="M23202" s="49">
        <f>IF($A$4+231&gt;$B$4,"",$A$4+231)</f>
        <v>46254</v>
      </c>
      <c r="N23202">
        <f>IF(M23202="","",'Master Barang'!A96)</f>
        <v>0</v>
      </c>
      <c r="O23202">
        <f>IF(N23202="","",'Master Barang'!B96)</f>
        <v>0</v>
      </c>
      <c r="P23202">
        <f>IF(OR(M23202="",N23202=""),"",SUMIFS('Barang Keluar'!$E:$E,'Barang Keluar'!$A:$A,M23202,'Barang Keluar'!$C:$C,N23202))</f>
        <v>0</v>
      </c>
    </row>
    <row r="23203" spans="13:16">
      <c r="M23203" s="49">
        <f>IF($A$4+231&gt;$B$4,"",$A$4+231)</f>
        <v>46254</v>
      </c>
      <c r="N23203">
        <f>IF(M23203="","",'Master Barang'!A97)</f>
        <v>0</v>
      </c>
      <c r="O23203">
        <f>IF(N23203="","",'Master Barang'!B97)</f>
        <v>0</v>
      </c>
      <c r="P23203">
        <f>IF(OR(M23203="",N23203=""),"",SUMIFS('Barang Keluar'!$E:$E,'Barang Keluar'!$A:$A,M23203,'Barang Keluar'!$C:$C,N23203))</f>
        <v>0</v>
      </c>
    </row>
    <row r="23204" spans="13:16">
      <c r="M23204" s="49">
        <f>IF($A$4+231&gt;$B$4,"",$A$4+231)</f>
        <v>46254</v>
      </c>
      <c r="N23204">
        <f>IF(M23204="","",'Master Barang'!A98)</f>
        <v>0</v>
      </c>
      <c r="O23204">
        <f>IF(N23204="","",'Master Barang'!B98)</f>
        <v>0</v>
      </c>
      <c r="P23204">
        <f>IF(OR(M23204="",N23204=""),"",SUMIFS('Barang Keluar'!$E:$E,'Barang Keluar'!$A:$A,M23204,'Barang Keluar'!$C:$C,N23204))</f>
        <v>0</v>
      </c>
    </row>
    <row r="23205" spans="13:16">
      <c r="M23205" s="49">
        <f>IF($A$4+231&gt;$B$4,"",$A$4+231)</f>
        <v>46254</v>
      </c>
      <c r="N23205">
        <f>IF(M23205="","",'Master Barang'!A99)</f>
        <v>0</v>
      </c>
      <c r="O23205">
        <f>IF(N23205="","",'Master Barang'!B99)</f>
        <v>0</v>
      </c>
      <c r="P23205">
        <f>IF(OR(M23205="",N23205=""),"",SUMIFS('Barang Keluar'!$E:$E,'Barang Keluar'!$A:$A,M23205,'Barang Keluar'!$C:$C,N23205))</f>
        <v>0</v>
      </c>
    </row>
    <row r="23206" spans="13:16">
      <c r="M23206" s="49">
        <f>IF($A$4+231&gt;$B$4,"",$A$4+231)</f>
        <v>46254</v>
      </c>
      <c r="N23206">
        <f>IF(M23206="","",'Master Barang'!A100)</f>
        <v>0</v>
      </c>
      <c r="O23206">
        <f>IF(N23206="","",'Master Barang'!B100)</f>
        <v>0</v>
      </c>
      <c r="P23206">
        <f>IF(OR(M23206="",N23206=""),"",SUMIFS('Barang Keluar'!$E:$E,'Barang Keluar'!$A:$A,M23206,'Barang Keluar'!$C:$C,N23206))</f>
        <v>0</v>
      </c>
    </row>
    <row r="23207" spans="13:16">
      <c r="M23207" s="49">
        <f>IF($A$4+231&gt;$B$4,"",$A$4+231)</f>
        <v>46254</v>
      </c>
      <c r="N23207">
        <f>IF(M23207="","",'Master Barang'!A101)</f>
        <v>0</v>
      </c>
      <c r="O23207">
        <f>IF(N23207="","",'Master Barang'!B101)</f>
        <v>0</v>
      </c>
      <c r="P23207">
        <f>IF(OR(M23207="",N23207=""),"",SUMIFS('Barang Keluar'!$E:$E,'Barang Keluar'!$A:$A,M23207,'Barang Keluar'!$C:$C,N23207))</f>
        <v>0</v>
      </c>
    </row>
    <row r="23208" spans="13:16">
      <c r="M23208" s="49">
        <f>IF($A$4+232&gt;$B$4,"",$A$4+232)</f>
        <v>46255</v>
      </c>
      <c r="N23208" t="str">
        <f>IF(M23208="","",'Master Barang'!A2)</f>
        <v>PRL-001</v>
      </c>
      <c r="O23208" t="str">
        <f>IF(N23208="","",'Master Barang'!B2)</f>
        <v>natura desinfectant food grade 5l</v>
      </c>
      <c r="P23208">
        <f>IF(OR(M23208="",N23208=""),"",SUMIFS('Barang Keluar'!$E:$E,'Barang Keluar'!$A:$A,M23208,'Barang Keluar'!$C:$C,N23208))</f>
        <v>0</v>
      </c>
    </row>
    <row r="23209" spans="13:16">
      <c r="M23209" s="49">
        <f>IF($A$4+232&gt;$B$4,"",$A$4+232)</f>
        <v>46255</v>
      </c>
      <c r="N23209" t="str">
        <f>IF(M23209="","",'Master Barang'!A3)</f>
        <v>PRL-002</v>
      </c>
      <c r="O23209" t="str">
        <f>IF(N23209="","",'Master Barang'!B3)</f>
        <v>sunlight cairan pencuci piring 5l</v>
      </c>
      <c r="P23209">
        <f>IF(OR(M23209="",N23209=""),"",SUMIFS('Barang Keluar'!$E:$E,'Barang Keluar'!$A:$A,M23209,'Barang Keluar'!$C:$C,N23209))</f>
        <v>0</v>
      </c>
    </row>
    <row r="23210" spans="13:16">
      <c r="M23210" s="49">
        <f>IF($A$4+232&gt;$B$4,"",$A$4+232)</f>
        <v>46255</v>
      </c>
      <c r="N23210" t="str">
        <f>IF(M23210="","",'Master Barang'!A4)</f>
        <v>PRL-003</v>
      </c>
      <c r="O23210" t="str">
        <f>IF(N23210="","",'Master Barang'!B4)</f>
        <v>oixs cleaner 1l</v>
      </c>
      <c r="P23210">
        <f>IF(OR(M23210="",N23210=""),"",SUMIFS('Barang Keluar'!$E:$E,'Barang Keluar'!$A:$A,M23210,'Barang Keluar'!$C:$C,N23210))</f>
        <v>0</v>
      </c>
    </row>
    <row r="23211" spans="13:16">
      <c r="M23211" s="49">
        <f>IF($A$4+232&gt;$B$4,"",$A$4+232)</f>
        <v>46255</v>
      </c>
      <c r="N23211" t="str">
        <f>IF(M23211="","",'Master Barang'!A5)</f>
        <v>PRL-004</v>
      </c>
      <c r="O23211" t="str">
        <f>IF(N23211="","",'Master Barang'!B5)</f>
        <v>be clean tissue serbaguna</v>
      </c>
      <c r="P23211">
        <f>IF(OR(M23211="",N23211=""),"",SUMIFS('Barang Keluar'!$E:$E,'Barang Keluar'!$A:$A,M23211,'Barang Keluar'!$C:$C,N23211))</f>
        <v>0</v>
      </c>
    </row>
    <row r="23212" spans="13:16">
      <c r="M23212" s="49">
        <f>IF($A$4+232&gt;$B$4,"",$A$4+232)</f>
        <v>46255</v>
      </c>
      <c r="N23212" t="str">
        <f>IF(M23212="","",'Master Barang'!A6)</f>
        <v>PRL-005</v>
      </c>
      <c r="O23212" t="str">
        <f>IF(N23212="","",'Master Barang'!B6)</f>
        <v>spons cuci hijau</v>
      </c>
      <c r="P23212">
        <f>IF(OR(M23212="",N23212=""),"",SUMIFS('Barang Keluar'!$E:$E,'Barang Keluar'!$A:$A,M23212,'Barang Keluar'!$C:$C,N23212))</f>
        <v>0</v>
      </c>
    </row>
    <row r="23213" spans="13:16">
      <c r="M23213" s="49">
        <f>IF($A$4+232&gt;$B$4,"",$A$4+232)</f>
        <v>46255</v>
      </c>
      <c r="N23213" t="str">
        <f>IF(M23213="","",'Master Barang'!A7)</f>
        <v>PRL-006</v>
      </c>
      <c r="O23213" t="str">
        <f>IF(N23213="","",'Master Barang'!B7)</f>
        <v>sabut cuci stainless</v>
      </c>
      <c r="P23213">
        <f>IF(OR(M23213="",N23213=""),"",SUMIFS('Barang Keluar'!$E:$E,'Barang Keluar'!$A:$A,M23213,'Barang Keluar'!$C:$C,N23213))</f>
        <v>0</v>
      </c>
    </row>
    <row r="23214" spans="13:16">
      <c r="M23214" s="49">
        <f>IF($A$4+232&gt;$B$4,"",$A$4+232)</f>
        <v>46255</v>
      </c>
      <c r="N23214" t="str">
        <f>IF(M23214="","",'Master Barang'!A8)</f>
        <v>PRL-007</v>
      </c>
      <c r="O23214" t="str">
        <f>IF(N23214="","",'Master Barang'!B8)</f>
        <v>plastik kresek besar merah 50pc</v>
      </c>
      <c r="P23214">
        <f>IF(OR(M23214="",N23214=""),"",SUMIFS('Barang Keluar'!$E:$E,'Barang Keluar'!$A:$A,M23214,'Barang Keluar'!$C:$C,N23214))</f>
        <v>0</v>
      </c>
    </row>
    <row r="23215" spans="13:16">
      <c r="M23215" s="49">
        <f>IF($A$4+232&gt;$B$4,"",$A$4+232)</f>
        <v>46255</v>
      </c>
      <c r="N23215" t="str">
        <f>IF(M23215="","",'Master Barang'!A9)</f>
        <v>PRL-008</v>
      </c>
      <c r="O23215" t="str">
        <f>IF(N23215="","",'Master Barang'!B9)</f>
        <v>lap besar</v>
      </c>
      <c r="P23215">
        <f>IF(OR(M23215="",N23215=""),"",SUMIFS('Barang Keluar'!$E:$E,'Barang Keluar'!$A:$A,M23215,'Barang Keluar'!$C:$C,N23215))</f>
        <v>0</v>
      </c>
    </row>
    <row r="23216" spans="13:16">
      <c r="M23216" s="49">
        <f>IF($A$4+232&gt;$B$4,"",$A$4+232)</f>
        <v>46255</v>
      </c>
      <c r="N23216" t="str">
        <f>IF(M23216="","",'Master Barang'!A10)</f>
        <v>PRL-009</v>
      </c>
      <c r="O23216" t="str">
        <f>IF(N23216="","",'Master Barang'!B10)</f>
        <v>lap microfiber</v>
      </c>
      <c r="P23216">
        <f>IF(OR(M23216="",N23216=""),"",SUMIFS('Barang Keluar'!$E:$E,'Barang Keluar'!$A:$A,M23216,'Barang Keluar'!$C:$C,N23216))</f>
        <v>0</v>
      </c>
    </row>
    <row r="23217" spans="13:16">
      <c r="M23217" s="49">
        <f>IF($A$4+232&gt;$B$4,"",$A$4+232)</f>
        <v>46255</v>
      </c>
      <c r="N23217" t="str">
        <f>IF(M23217="","",'Master Barang'!A11)</f>
        <v>PRL-010</v>
      </c>
      <c r="O23217" t="str">
        <f>IF(N23217="","",'Master Barang'!B11)</f>
        <v>lap kecil</v>
      </c>
      <c r="P23217">
        <f>IF(OR(M23217="",N23217=""),"",SUMIFS('Barang Keluar'!$E:$E,'Barang Keluar'!$A:$A,M23217,'Barang Keluar'!$C:$C,N23217))</f>
        <v>0</v>
      </c>
    </row>
    <row r="23218" spans="13:16">
      <c r="M23218" s="49">
        <f>IF($A$4+232&gt;$B$4,"",$A$4+232)</f>
        <v>46255</v>
      </c>
      <c r="N23218" t="str">
        <f>IF(M23218="","",'Master Barang'!A12)</f>
        <v>PRL-011</v>
      </c>
      <c r="O23218" t="str">
        <f>IF(N23218="","",'Master Barang'!B12)</f>
        <v>kanebo kecil</v>
      </c>
      <c r="P23218">
        <f>IF(OR(M23218="",N23218=""),"",SUMIFS('Barang Keluar'!$E:$E,'Barang Keluar'!$A:$A,M23218,'Barang Keluar'!$C:$C,N23218))</f>
        <v>0</v>
      </c>
    </row>
    <row r="23219" spans="13:16">
      <c r="M23219" s="49">
        <f>IF($A$4+232&gt;$B$4,"",$A$4+232)</f>
        <v>46255</v>
      </c>
      <c r="N23219" t="str">
        <f>IF(M23219="","",'Master Barang'!A13)</f>
        <v>PRL-012</v>
      </c>
      <c r="O23219" t="str">
        <f>IF(N23219="","",'Master Barang'!B13)</f>
        <v>plastik 1/4kg joyoboyo 100 lembar</v>
      </c>
      <c r="P23219">
        <f>IF(OR(M23219="",N23219=""),"",SUMIFS('Barang Keluar'!$E:$E,'Barang Keluar'!$A:$A,M23219,'Barang Keluar'!$C:$C,N23219))</f>
        <v>0</v>
      </c>
    </row>
    <row r="23220" spans="13:16">
      <c r="M23220" s="49">
        <f>IF($A$4+232&gt;$B$4,"",$A$4+232)</f>
        <v>46255</v>
      </c>
      <c r="N23220" t="str">
        <f>IF(M23220="","",'Master Barang'!A14)</f>
        <v>PRL-013</v>
      </c>
      <c r="O23220" t="str">
        <f>IF(N23220="","",'Master Barang'!B14)</f>
        <v>sarung tangan plastik kaka 100 pcs</v>
      </c>
      <c r="P23220">
        <f>IF(OR(M23220="",N23220=""),"",SUMIFS('Barang Keluar'!$E:$E,'Barang Keluar'!$A:$A,M23220,'Barang Keluar'!$C:$C,N23220))</f>
        <v>0</v>
      </c>
    </row>
    <row r="23221" spans="13:16">
      <c r="M23221" s="49">
        <f>IF($A$4+232&gt;$B$4,"",$A$4+232)</f>
        <v>46255</v>
      </c>
      <c r="N23221" t="str">
        <f>IF(M23221="","",'Master Barang'!A15)</f>
        <v>PRL-014</v>
      </c>
      <c r="O23221" t="str">
        <f>IF(N23221="","",'Master Barang'!B15)</f>
        <v>optima trashbag 80x100</v>
      </c>
      <c r="P23221">
        <f>IF(OR(M23221="",N23221=""),"",SUMIFS('Barang Keluar'!$E:$E,'Barang Keluar'!$A:$A,M23221,'Barang Keluar'!$C:$C,N23221))</f>
        <v>0</v>
      </c>
    </row>
    <row r="23222" spans="13:16">
      <c r="M23222" s="49">
        <f>IF($A$4+232&gt;$B$4,"",$A$4+232)</f>
        <v>46255</v>
      </c>
      <c r="N23222" t="str">
        <f>IF(M23222="","",'Master Barang'!A16)</f>
        <v>PRL-015</v>
      </c>
      <c r="O23222" t="str">
        <f>IF(N23222="","",'Master Barang'!B16)</f>
        <v>optima trashbag 60x100</v>
      </c>
      <c r="P23222">
        <f>IF(OR(M23222="",N23222=""),"",SUMIFS('Barang Keluar'!$E:$E,'Barang Keluar'!$A:$A,M23222,'Barang Keluar'!$C:$C,N23222))</f>
        <v>0</v>
      </c>
    </row>
    <row r="23223" spans="13:16">
      <c r="M23223" s="49">
        <f>IF($A$4+232&gt;$B$4,"",$A$4+232)</f>
        <v>46255</v>
      </c>
      <c r="N23223" t="str">
        <f>IF(M23223="","",'Master Barang'!A17)</f>
        <v>PRL-016</v>
      </c>
      <c r="O23223" t="str">
        <f>IF(N23223="","",'Master Barang'!B17)</f>
        <v>rajawali trashbag 30x40</v>
      </c>
      <c r="P23223">
        <f>IF(OR(M23223="",N23223=""),"",SUMIFS('Barang Keluar'!$E:$E,'Barang Keluar'!$A:$A,M23223,'Barang Keluar'!$C:$C,N23223))</f>
        <v>0</v>
      </c>
    </row>
    <row r="23224" spans="13:16">
      <c r="M23224" s="49">
        <f>IF($A$4+232&gt;$B$4,"",$A$4+232)</f>
        <v>46255</v>
      </c>
      <c r="N23224" t="str">
        <f>IF(M23224="","",'Master Barang'!A18)</f>
        <v>PRL-017</v>
      </c>
      <c r="O23224" t="str">
        <f>IF(N23224="","",'Master Barang'!B18)</f>
        <v>onemed masker biru 3 play 50 pcs</v>
      </c>
      <c r="P23224">
        <f>IF(OR(M23224="",N23224=""),"",SUMIFS('Barang Keluar'!$E:$E,'Barang Keluar'!$A:$A,M23224,'Barang Keluar'!$C:$C,N23224))</f>
        <v>0</v>
      </c>
    </row>
    <row r="23225" spans="13:16">
      <c r="M23225" s="49">
        <f>IF($A$4+232&gt;$B$4,"",$A$4+232)</f>
        <v>46255</v>
      </c>
      <c r="N23225" t="str">
        <f>IF(M23225="","",'Master Barang'!A19)</f>
        <v>PRL-018</v>
      </c>
      <c r="O23225" t="str">
        <f>IF(N23225="","",'Master Barang'!B19)</f>
        <v>onemed masker biru 3 play hijab 50 pcs</v>
      </c>
      <c r="P23225">
        <f>IF(OR(M23225="",N23225=""),"",SUMIFS('Barang Keluar'!$E:$E,'Barang Keluar'!$A:$A,M23225,'Barang Keluar'!$C:$C,N23225))</f>
        <v>0</v>
      </c>
    </row>
    <row r="23226" spans="13:16">
      <c r="M23226" s="49">
        <f>IF($A$4+232&gt;$B$4,"",$A$4+232)</f>
        <v>46255</v>
      </c>
      <c r="N23226" t="str">
        <f>IF(M23226="","",'Master Barang'!A20)</f>
        <v>PRL-019</v>
      </c>
      <c r="O23226" t="str">
        <f>IF(N23226="","",'Master Barang'!B20)</f>
        <v>neo health masker biru 3 play 50 pcs</v>
      </c>
      <c r="P23226">
        <f>IF(OR(M23226="",N23226=""),"",SUMIFS('Barang Keluar'!$E:$E,'Barang Keluar'!$A:$A,M23226,'Barang Keluar'!$C:$C,N23226))</f>
        <v>0</v>
      </c>
    </row>
    <row r="23227" spans="13:16">
      <c r="M23227" s="49">
        <f>IF($A$4+232&gt;$B$4,"",$A$4+232)</f>
        <v>46255</v>
      </c>
      <c r="N23227" t="str">
        <f>IF(M23227="","",'Master Barang'!A21)</f>
        <v>PRL-020</v>
      </c>
      <c r="O23227" t="str">
        <f>IF(N23227="","",'Master Barang'!B21)</f>
        <v>baymed masker hijau 3 play hijau 50 pcs</v>
      </c>
      <c r="P23227">
        <f>IF(OR(M23227="",N23227=""),"",SUMIFS('Barang Keluar'!$E:$E,'Barang Keluar'!$A:$A,M23227,'Barang Keluar'!$C:$C,N23227))</f>
        <v>0</v>
      </c>
    </row>
    <row r="23228" spans="13:16">
      <c r="M23228" s="49">
        <f>IF($A$4+232&gt;$B$4,"",$A$4+232)</f>
        <v>46255</v>
      </c>
      <c r="N23228" t="str">
        <f>IF(M23228="","",'Master Barang'!A22)</f>
        <v>PRL-021</v>
      </c>
      <c r="O23228" t="str">
        <f>IF(N23228="","",'Master Barang'!B22)</f>
        <v>altamed nurse cap penutup kepala 100 pcs</v>
      </c>
      <c r="P23228">
        <f>IF(OR(M23228="",N23228=""),"",SUMIFS('Barang Keluar'!$E:$E,'Barang Keluar'!$A:$A,M23228,'Barang Keluar'!$C:$C,N23228))</f>
        <v>0</v>
      </c>
    </row>
    <row r="23229" spans="13:16">
      <c r="M23229" s="49">
        <f>IF($A$4+232&gt;$B$4,"",$A$4+232)</f>
        <v>46255</v>
      </c>
      <c r="N23229" t="str">
        <f>IF(M23229="","",'Master Barang'!A23)</f>
        <v>PRL-022</v>
      </c>
      <c r="O23229" t="str">
        <f>IF(N23229="","",'Master Barang'!B23)</f>
        <v>sabun cuci tangan</v>
      </c>
      <c r="P23229">
        <f>IF(OR(M23229="",N23229=""),"",SUMIFS('Barang Keluar'!$E:$E,'Barang Keluar'!$A:$A,M23229,'Barang Keluar'!$C:$C,N23229))</f>
        <v>0</v>
      </c>
    </row>
    <row r="23230" spans="13:16">
      <c r="M23230" s="49">
        <f>IF($A$4+232&gt;$B$4,"",$A$4+232)</f>
        <v>46255</v>
      </c>
      <c r="N23230" t="str">
        <f>IF(M23230="","",'Master Barang'!A24)</f>
        <v>PRL-023</v>
      </c>
      <c r="O23230" t="str">
        <f>IF(N23230="","",'Master Barang'!B24)</f>
        <v>gayung kecil</v>
      </c>
      <c r="P23230">
        <f>IF(OR(M23230="",N23230=""),"",SUMIFS('Barang Keluar'!$E:$E,'Barang Keluar'!$A:$A,M23230,'Barang Keluar'!$C:$C,N23230))</f>
        <v>0</v>
      </c>
    </row>
    <row r="23231" spans="13:16">
      <c r="M23231" s="49">
        <f>IF($A$4+232&gt;$B$4,"",$A$4+232)</f>
        <v>46255</v>
      </c>
      <c r="N23231" t="str">
        <f>IF(M23231="","",'Master Barang'!A25)</f>
        <v>PRL-024</v>
      </c>
      <c r="O23231" t="str">
        <f>IF(N23231="","",'Master Barang'!B25)</f>
        <v>cikrak kecil</v>
      </c>
      <c r="P23231">
        <f>IF(OR(M23231="",N23231=""),"",SUMIFS('Barang Keluar'!$E:$E,'Barang Keluar'!$A:$A,M23231,'Barang Keluar'!$C:$C,N23231))</f>
        <v>0</v>
      </c>
    </row>
    <row r="23232" spans="13:16">
      <c r="M23232" s="49">
        <f>IF($A$4+232&gt;$B$4,"",$A$4+232)</f>
        <v>46255</v>
      </c>
      <c r="N23232" t="str">
        <f>IF(M23232="","",'Master Barang'!A26)</f>
        <v>PRL-025</v>
      </c>
      <c r="O23232" t="str">
        <f>IF(N23232="","",'Master Barang'!B26)</f>
        <v>petromax plastik kecil 12x24 100 lembar</v>
      </c>
      <c r="P23232">
        <f>IF(OR(M23232="",N23232=""),"",SUMIFS('Barang Keluar'!$E:$E,'Barang Keluar'!$A:$A,M23232,'Barang Keluar'!$C:$C,N23232))</f>
        <v>0</v>
      </c>
    </row>
    <row r="23233" spans="13:16">
      <c r="M23233" s="49">
        <f>IF($A$4+232&gt;$B$4,"",$A$4+232)</f>
        <v>46255</v>
      </c>
      <c r="N23233" t="str">
        <f>IF(M23233="","",'Master Barang'!A27)</f>
        <v>PRL-026</v>
      </c>
      <c r="O23233" t="str">
        <f>IF(N23233="","",'Master Barang'!B27)</f>
        <v>lancar kresek kecil bening </v>
      </c>
      <c r="P23233">
        <f>IF(OR(M23233="",N23233=""),"",SUMIFS('Barang Keluar'!$E:$E,'Barang Keluar'!$A:$A,M23233,'Barang Keluar'!$C:$C,N23233))</f>
        <v>0</v>
      </c>
    </row>
    <row r="23234" spans="13:16">
      <c r="M23234" s="49">
        <f>IF($A$4+232&gt;$B$4,"",$A$4+232)</f>
        <v>46255</v>
      </c>
      <c r="N23234" t="str">
        <f>IF(M23234="","",'Master Barang'!A28)</f>
        <v>PRL-027</v>
      </c>
      <c r="O23234" t="str">
        <f>IF(N23234="","",'Master Barang'!B28)</f>
        <v>kresek klin warna warni kecil</v>
      </c>
      <c r="P23234">
        <f>IF(OR(M23234="",N23234=""),"",SUMIFS('Barang Keluar'!$E:$E,'Barang Keluar'!$A:$A,M23234,'Barang Keluar'!$C:$C,N23234))</f>
        <v>0</v>
      </c>
    </row>
    <row r="23235" spans="13:16">
      <c r="M23235" s="49">
        <f>IF($A$4+232&gt;$B$4,"",$A$4+232)</f>
        <v>46255</v>
      </c>
      <c r="N23235" t="str">
        <f>IF(M23235="","",'Master Barang'!A29)</f>
        <v>PRL-028</v>
      </c>
      <c r="O23235" t="str">
        <f>IF(N23235="","",'Master Barang'!B29)</f>
        <v>ctik plastik 7x10 100 pcs</v>
      </c>
      <c r="P23235">
        <f>IF(OR(M23235="",N23235=""),"",SUMIFS('Barang Keluar'!$E:$E,'Barang Keluar'!$A:$A,M23235,'Barang Keluar'!$C:$C,N23235))</f>
        <v>0</v>
      </c>
    </row>
    <row r="23236" spans="13:16">
      <c r="M23236" s="49">
        <f>IF($A$4+232&gt;$B$4,"",$A$4+232)</f>
        <v>46255</v>
      </c>
      <c r="N23236" t="str">
        <f>IF(M23236="","",'Master Barang'!A30)</f>
        <v>PRL-029</v>
      </c>
      <c r="O23236" t="str">
        <f>IF(N23236="","",'Master Barang'!B30)</f>
        <v>ctik plastik 6x10 100 pcs</v>
      </c>
      <c r="P23236">
        <f>IF(OR(M23236="",N23236=""),"",SUMIFS('Barang Keluar'!$E:$E,'Barang Keluar'!$A:$A,M23236,'Barang Keluar'!$C:$C,N23236))</f>
        <v>0</v>
      </c>
    </row>
    <row r="23237" spans="13:16">
      <c r="M23237" s="49">
        <f>IF($A$4+232&gt;$B$4,"",$A$4+232)</f>
        <v>46255</v>
      </c>
      <c r="N23237" t="str">
        <f>IF(M23237="","",'Master Barang'!A31)</f>
        <v>PRL-030</v>
      </c>
      <c r="O23237" t="str">
        <f>IF(N23237="","",'Master Barang'!B31)</f>
        <v>klip plastik 25x16 100 pcs</v>
      </c>
      <c r="P23237">
        <f>IF(OR(M23237="",N23237=""),"",SUMIFS('Barang Keluar'!$E:$E,'Barang Keluar'!$A:$A,M23237,'Barang Keluar'!$C:$C,N23237))</f>
        <v>0</v>
      </c>
    </row>
    <row r="23238" spans="13:16">
      <c r="M23238" s="49">
        <f>IF($A$4+232&gt;$B$4,"",$A$4+232)</f>
        <v>46255</v>
      </c>
      <c r="N23238" t="str">
        <f>IF(M23238="","",'Master Barang'!A32)</f>
        <v>PRL-031</v>
      </c>
      <c r="O23238" t="str">
        <f>IF(N23238="","",'Master Barang'!B32)</f>
        <v>tempat saus 20 ml</v>
      </c>
      <c r="P23238">
        <f>IF(OR(M23238="",N23238=""),"",SUMIFS('Barang Keluar'!$E:$E,'Barang Keluar'!$A:$A,M23238,'Barang Keluar'!$C:$C,N23238))</f>
        <v>0</v>
      </c>
    </row>
    <row r="23239" spans="13:16">
      <c r="M23239" s="49">
        <f>IF($A$4+232&gt;$B$4,"",$A$4+232)</f>
        <v>46255</v>
      </c>
      <c r="N23239" t="str">
        <f>IF(M23239="","",'Master Barang'!A33)</f>
        <v>PRL-032</v>
      </c>
      <c r="O23239" t="str">
        <f>IF(N23239="","",'Master Barang'!B33)</f>
        <v>plastik packaging ag box uk sedang</v>
      </c>
      <c r="P23239">
        <f>IF(OR(M23239="",N23239=""),"",SUMIFS('Barang Keluar'!$E:$E,'Barang Keluar'!$A:$A,M23239,'Barang Keluar'!$C:$C,N23239))</f>
        <v>0</v>
      </c>
    </row>
    <row r="23240" spans="13:16">
      <c r="M23240" s="49">
        <f>IF($A$4+232&gt;$B$4,"",$A$4+232)</f>
        <v>46255</v>
      </c>
      <c r="N23240" t="str">
        <f>IF(M23240="","",'Master Barang'!A34)</f>
        <v>PRL-033</v>
      </c>
      <c r="O23240">
        <f>IF(N23240="","",'Master Barang'!B34)</f>
        <v>0</v>
      </c>
      <c r="P23240">
        <f>IF(OR(M23240="",N23240=""),"",SUMIFS('Barang Keluar'!$E:$E,'Barang Keluar'!$A:$A,M23240,'Barang Keluar'!$C:$C,N23240))</f>
        <v>0</v>
      </c>
    </row>
    <row r="23241" spans="13:16">
      <c r="M23241" s="49">
        <f>IF($A$4+232&gt;$B$4,"",$A$4+232)</f>
        <v>46255</v>
      </c>
      <c r="N23241">
        <f>IF(M23241="","",'Master Barang'!A35)</f>
        <v>0</v>
      </c>
      <c r="O23241">
        <f>IF(N23241="","",'Master Barang'!B35)</f>
        <v>0</v>
      </c>
      <c r="P23241">
        <f>IF(OR(M23241="",N23241=""),"",SUMIFS('Barang Keluar'!$E:$E,'Barang Keluar'!$A:$A,M23241,'Barang Keluar'!$C:$C,N23241))</f>
        <v>0</v>
      </c>
    </row>
    <row r="23242" spans="13:16">
      <c r="M23242" s="49">
        <f>IF($A$4+232&gt;$B$4,"",$A$4+232)</f>
        <v>46255</v>
      </c>
      <c r="N23242">
        <f>IF(M23242="","",'Master Barang'!A36)</f>
        <v>0</v>
      </c>
      <c r="O23242">
        <f>IF(N23242="","",'Master Barang'!B36)</f>
        <v>0</v>
      </c>
      <c r="P23242">
        <f>IF(OR(M23242="",N23242=""),"",SUMIFS('Barang Keluar'!$E:$E,'Barang Keluar'!$A:$A,M23242,'Barang Keluar'!$C:$C,N23242))</f>
        <v>0</v>
      </c>
    </row>
    <row r="23243" spans="13:16">
      <c r="M23243" s="49">
        <f>IF($A$4+232&gt;$B$4,"",$A$4+232)</f>
        <v>46255</v>
      </c>
      <c r="N23243">
        <f>IF(M23243="","",'Master Barang'!A37)</f>
        <v>0</v>
      </c>
      <c r="O23243">
        <f>IF(N23243="","",'Master Barang'!B37)</f>
        <v>0</v>
      </c>
      <c r="P23243">
        <f>IF(OR(M23243="",N23243=""),"",SUMIFS('Barang Keluar'!$E:$E,'Barang Keluar'!$A:$A,M23243,'Barang Keluar'!$C:$C,N23243))</f>
        <v>0</v>
      </c>
    </row>
    <row r="23244" spans="13:16">
      <c r="M23244" s="49">
        <f>IF($A$4+232&gt;$B$4,"",$A$4+232)</f>
        <v>46255</v>
      </c>
      <c r="N23244">
        <f>IF(M23244="","",'Master Barang'!A38)</f>
        <v>0</v>
      </c>
      <c r="O23244">
        <f>IF(N23244="","",'Master Barang'!B38)</f>
        <v>0</v>
      </c>
      <c r="P23244">
        <f>IF(OR(M23244="",N23244=""),"",SUMIFS('Barang Keluar'!$E:$E,'Barang Keluar'!$A:$A,M23244,'Barang Keluar'!$C:$C,N23244))</f>
        <v>0</v>
      </c>
    </row>
    <row r="23245" spans="13:16">
      <c r="M23245" s="49">
        <f>IF($A$4+232&gt;$B$4,"",$A$4+232)</f>
        <v>46255</v>
      </c>
      <c r="N23245">
        <f>IF(M23245="","",'Master Barang'!A39)</f>
        <v>0</v>
      </c>
      <c r="O23245">
        <f>IF(N23245="","",'Master Barang'!B39)</f>
        <v>0</v>
      </c>
      <c r="P23245">
        <f>IF(OR(M23245="",N23245=""),"",SUMIFS('Barang Keluar'!$E:$E,'Barang Keluar'!$A:$A,M23245,'Barang Keluar'!$C:$C,N23245))</f>
        <v>0</v>
      </c>
    </row>
    <row r="23246" spans="13:16">
      <c r="M23246" s="49">
        <f>IF($A$4+232&gt;$B$4,"",$A$4+232)</f>
        <v>46255</v>
      </c>
      <c r="N23246">
        <f>IF(M23246="","",'Master Barang'!A40)</f>
        <v>0</v>
      </c>
      <c r="O23246">
        <f>IF(N23246="","",'Master Barang'!B40)</f>
        <v>0</v>
      </c>
      <c r="P23246">
        <f>IF(OR(M23246="",N23246=""),"",SUMIFS('Barang Keluar'!$E:$E,'Barang Keluar'!$A:$A,M23246,'Barang Keluar'!$C:$C,N23246))</f>
        <v>0</v>
      </c>
    </row>
    <row r="23247" spans="13:16">
      <c r="M23247" s="49">
        <f>IF($A$4+232&gt;$B$4,"",$A$4+232)</f>
        <v>46255</v>
      </c>
      <c r="N23247">
        <f>IF(M23247="","",'Master Barang'!A41)</f>
        <v>0</v>
      </c>
      <c r="O23247">
        <f>IF(N23247="","",'Master Barang'!B41)</f>
        <v>0</v>
      </c>
      <c r="P23247">
        <f>IF(OR(M23247="",N23247=""),"",SUMIFS('Barang Keluar'!$E:$E,'Barang Keluar'!$A:$A,M23247,'Barang Keluar'!$C:$C,N23247))</f>
        <v>0</v>
      </c>
    </row>
    <row r="23248" spans="13:16">
      <c r="M23248" s="49">
        <f>IF($A$4+232&gt;$B$4,"",$A$4+232)</f>
        <v>46255</v>
      </c>
      <c r="N23248">
        <f>IF(M23248="","",'Master Barang'!A42)</f>
        <v>0</v>
      </c>
      <c r="O23248">
        <f>IF(N23248="","",'Master Barang'!B42)</f>
        <v>0</v>
      </c>
      <c r="P23248">
        <f>IF(OR(M23248="",N23248=""),"",SUMIFS('Barang Keluar'!$E:$E,'Barang Keluar'!$A:$A,M23248,'Barang Keluar'!$C:$C,N23248))</f>
        <v>0</v>
      </c>
    </row>
    <row r="23249" spans="13:16">
      <c r="M23249" s="49">
        <f>IF($A$4+232&gt;$B$4,"",$A$4+232)</f>
        <v>46255</v>
      </c>
      <c r="N23249">
        <f>IF(M23249="","",'Master Barang'!A43)</f>
        <v>0</v>
      </c>
      <c r="O23249">
        <f>IF(N23249="","",'Master Barang'!B43)</f>
        <v>0</v>
      </c>
      <c r="P23249">
        <f>IF(OR(M23249="",N23249=""),"",SUMIFS('Barang Keluar'!$E:$E,'Barang Keluar'!$A:$A,M23249,'Barang Keluar'!$C:$C,N23249))</f>
        <v>0</v>
      </c>
    </row>
    <row r="23250" spans="13:16">
      <c r="M23250" s="49">
        <f>IF($A$4+232&gt;$B$4,"",$A$4+232)</f>
        <v>46255</v>
      </c>
      <c r="N23250">
        <f>IF(M23250="","",'Master Barang'!A44)</f>
        <v>0</v>
      </c>
      <c r="O23250">
        <f>IF(N23250="","",'Master Barang'!B44)</f>
        <v>0</v>
      </c>
      <c r="P23250">
        <f>IF(OR(M23250="",N23250=""),"",SUMIFS('Barang Keluar'!$E:$E,'Barang Keluar'!$A:$A,M23250,'Barang Keluar'!$C:$C,N23250))</f>
        <v>0</v>
      </c>
    </row>
    <row r="23251" spans="13:16">
      <c r="M23251" s="49">
        <f>IF($A$4+232&gt;$B$4,"",$A$4+232)</f>
        <v>46255</v>
      </c>
      <c r="N23251">
        <f>IF(M23251="","",'Master Barang'!A45)</f>
        <v>0</v>
      </c>
      <c r="O23251">
        <f>IF(N23251="","",'Master Barang'!B45)</f>
        <v>0</v>
      </c>
      <c r="P23251">
        <f>IF(OR(M23251="",N23251=""),"",SUMIFS('Barang Keluar'!$E:$E,'Barang Keluar'!$A:$A,M23251,'Barang Keluar'!$C:$C,N23251))</f>
        <v>0</v>
      </c>
    </row>
    <row r="23252" spans="13:16">
      <c r="M23252" s="49">
        <f>IF($A$4+232&gt;$B$4,"",$A$4+232)</f>
        <v>46255</v>
      </c>
      <c r="N23252">
        <f>IF(M23252="","",'Master Barang'!A46)</f>
        <v>0</v>
      </c>
      <c r="O23252">
        <f>IF(N23252="","",'Master Barang'!B46)</f>
        <v>0</v>
      </c>
      <c r="P23252">
        <f>IF(OR(M23252="",N23252=""),"",SUMIFS('Barang Keluar'!$E:$E,'Barang Keluar'!$A:$A,M23252,'Barang Keluar'!$C:$C,N23252))</f>
        <v>0</v>
      </c>
    </row>
    <row r="23253" spans="13:16">
      <c r="M23253" s="49">
        <f>IF($A$4+232&gt;$B$4,"",$A$4+232)</f>
        <v>46255</v>
      </c>
      <c r="N23253">
        <f>IF(M23253="","",'Master Barang'!A47)</f>
        <v>0</v>
      </c>
      <c r="O23253">
        <f>IF(N23253="","",'Master Barang'!B47)</f>
        <v>0</v>
      </c>
      <c r="P23253">
        <f>IF(OR(M23253="",N23253=""),"",SUMIFS('Barang Keluar'!$E:$E,'Barang Keluar'!$A:$A,M23253,'Barang Keluar'!$C:$C,N23253))</f>
        <v>0</v>
      </c>
    </row>
    <row r="23254" spans="13:16">
      <c r="M23254" s="49">
        <f>IF($A$4+232&gt;$B$4,"",$A$4+232)</f>
        <v>46255</v>
      </c>
      <c r="N23254">
        <f>IF(M23254="","",'Master Barang'!A48)</f>
        <v>0</v>
      </c>
      <c r="O23254">
        <f>IF(N23254="","",'Master Barang'!B48)</f>
        <v>0</v>
      </c>
      <c r="P23254">
        <f>IF(OR(M23254="",N23254=""),"",SUMIFS('Barang Keluar'!$E:$E,'Barang Keluar'!$A:$A,M23254,'Barang Keluar'!$C:$C,N23254))</f>
        <v>0</v>
      </c>
    </row>
    <row r="23255" spans="13:16">
      <c r="M23255" s="49">
        <f>IF($A$4+232&gt;$B$4,"",$A$4+232)</f>
        <v>46255</v>
      </c>
      <c r="N23255">
        <f>IF(M23255="","",'Master Barang'!A49)</f>
        <v>0</v>
      </c>
      <c r="O23255">
        <f>IF(N23255="","",'Master Barang'!B49)</f>
        <v>0</v>
      </c>
      <c r="P23255">
        <f>IF(OR(M23255="",N23255=""),"",SUMIFS('Barang Keluar'!$E:$E,'Barang Keluar'!$A:$A,M23255,'Barang Keluar'!$C:$C,N23255))</f>
        <v>0</v>
      </c>
    </row>
    <row r="23256" spans="13:16">
      <c r="M23256" s="49">
        <f>IF($A$4+232&gt;$B$4,"",$A$4+232)</f>
        <v>46255</v>
      </c>
      <c r="N23256">
        <f>IF(M23256="","",'Master Barang'!A50)</f>
        <v>0</v>
      </c>
      <c r="O23256">
        <f>IF(N23256="","",'Master Barang'!B50)</f>
        <v>0</v>
      </c>
      <c r="P23256">
        <f>IF(OR(M23256="",N23256=""),"",SUMIFS('Barang Keluar'!$E:$E,'Barang Keluar'!$A:$A,M23256,'Barang Keluar'!$C:$C,N23256))</f>
        <v>0</v>
      </c>
    </row>
    <row r="23257" spans="13:16">
      <c r="M23257" s="49">
        <f>IF($A$4+232&gt;$B$4,"",$A$4+232)</f>
        <v>46255</v>
      </c>
      <c r="N23257">
        <f>IF(M23257="","",'Master Barang'!A51)</f>
        <v>0</v>
      </c>
      <c r="O23257">
        <f>IF(N23257="","",'Master Barang'!B51)</f>
        <v>0</v>
      </c>
      <c r="P23257">
        <f>IF(OR(M23257="",N23257=""),"",SUMIFS('Barang Keluar'!$E:$E,'Barang Keluar'!$A:$A,M23257,'Barang Keluar'!$C:$C,N23257))</f>
        <v>0</v>
      </c>
    </row>
    <row r="23258" spans="13:16">
      <c r="M23258" s="49">
        <f>IF($A$4+232&gt;$B$4,"",$A$4+232)</f>
        <v>46255</v>
      </c>
      <c r="N23258">
        <f>IF(M23258="","",'Master Barang'!A52)</f>
        <v>0</v>
      </c>
      <c r="O23258">
        <f>IF(N23258="","",'Master Barang'!B52)</f>
        <v>0</v>
      </c>
      <c r="P23258">
        <f>IF(OR(M23258="",N23258=""),"",SUMIFS('Barang Keluar'!$E:$E,'Barang Keluar'!$A:$A,M23258,'Barang Keluar'!$C:$C,N23258))</f>
        <v>0</v>
      </c>
    </row>
    <row r="23259" spans="13:16">
      <c r="M23259" s="49">
        <f>IF($A$4+232&gt;$B$4,"",$A$4+232)</f>
        <v>46255</v>
      </c>
      <c r="N23259">
        <f>IF(M23259="","",'Master Barang'!A53)</f>
        <v>0</v>
      </c>
      <c r="O23259">
        <f>IF(N23259="","",'Master Barang'!B53)</f>
        <v>0</v>
      </c>
      <c r="P23259">
        <f>IF(OR(M23259="",N23259=""),"",SUMIFS('Barang Keluar'!$E:$E,'Barang Keluar'!$A:$A,M23259,'Barang Keluar'!$C:$C,N23259))</f>
        <v>0</v>
      </c>
    </row>
    <row r="23260" spans="13:16">
      <c r="M23260" s="49">
        <f>IF($A$4+232&gt;$B$4,"",$A$4+232)</f>
        <v>46255</v>
      </c>
      <c r="N23260">
        <f>IF(M23260="","",'Master Barang'!A54)</f>
        <v>0</v>
      </c>
      <c r="O23260">
        <f>IF(N23260="","",'Master Barang'!B54)</f>
        <v>0</v>
      </c>
      <c r="P23260">
        <f>IF(OR(M23260="",N23260=""),"",SUMIFS('Barang Keluar'!$E:$E,'Barang Keluar'!$A:$A,M23260,'Barang Keluar'!$C:$C,N23260))</f>
        <v>0</v>
      </c>
    </row>
    <row r="23261" spans="13:16">
      <c r="M23261" s="49">
        <f>IF($A$4+232&gt;$B$4,"",$A$4+232)</f>
        <v>46255</v>
      </c>
      <c r="N23261">
        <f>IF(M23261="","",'Master Barang'!A55)</f>
        <v>0</v>
      </c>
      <c r="O23261">
        <f>IF(N23261="","",'Master Barang'!B55)</f>
        <v>0</v>
      </c>
      <c r="P23261">
        <f>IF(OR(M23261="",N23261=""),"",SUMIFS('Barang Keluar'!$E:$E,'Barang Keluar'!$A:$A,M23261,'Barang Keluar'!$C:$C,N23261))</f>
        <v>0</v>
      </c>
    </row>
    <row r="23262" spans="13:16">
      <c r="M23262" s="49">
        <f>IF($A$4+232&gt;$B$4,"",$A$4+232)</f>
        <v>46255</v>
      </c>
      <c r="N23262">
        <f>IF(M23262="","",'Master Barang'!A56)</f>
        <v>0</v>
      </c>
      <c r="O23262">
        <f>IF(N23262="","",'Master Barang'!B56)</f>
        <v>0</v>
      </c>
      <c r="P23262">
        <f>IF(OR(M23262="",N23262=""),"",SUMIFS('Barang Keluar'!$E:$E,'Barang Keluar'!$A:$A,M23262,'Barang Keluar'!$C:$C,N23262))</f>
        <v>0</v>
      </c>
    </row>
    <row r="23263" spans="13:16">
      <c r="M23263" s="49">
        <f>IF($A$4+232&gt;$B$4,"",$A$4+232)</f>
        <v>46255</v>
      </c>
      <c r="N23263">
        <f>IF(M23263="","",'Master Barang'!A57)</f>
        <v>0</v>
      </c>
      <c r="O23263">
        <f>IF(N23263="","",'Master Barang'!B57)</f>
        <v>0</v>
      </c>
      <c r="P23263">
        <f>IF(OR(M23263="",N23263=""),"",SUMIFS('Barang Keluar'!$E:$E,'Barang Keluar'!$A:$A,M23263,'Barang Keluar'!$C:$C,N23263))</f>
        <v>0</v>
      </c>
    </row>
    <row r="23264" spans="13:16">
      <c r="M23264" s="49">
        <f>IF($A$4+232&gt;$B$4,"",$A$4+232)</f>
        <v>46255</v>
      </c>
      <c r="N23264">
        <f>IF(M23264="","",'Master Barang'!A58)</f>
        <v>0</v>
      </c>
      <c r="O23264">
        <f>IF(N23264="","",'Master Barang'!B58)</f>
        <v>0</v>
      </c>
      <c r="P23264">
        <f>IF(OR(M23264="",N23264=""),"",SUMIFS('Barang Keluar'!$E:$E,'Barang Keluar'!$A:$A,M23264,'Barang Keluar'!$C:$C,N23264))</f>
        <v>0</v>
      </c>
    </row>
    <row r="23265" spans="13:16">
      <c r="M23265" s="49">
        <f>IF($A$4+232&gt;$B$4,"",$A$4+232)</f>
        <v>46255</v>
      </c>
      <c r="N23265">
        <f>IF(M23265="","",'Master Barang'!A59)</f>
        <v>0</v>
      </c>
      <c r="O23265">
        <f>IF(N23265="","",'Master Barang'!B59)</f>
        <v>0</v>
      </c>
      <c r="P23265">
        <f>IF(OR(M23265="",N23265=""),"",SUMIFS('Barang Keluar'!$E:$E,'Barang Keluar'!$A:$A,M23265,'Barang Keluar'!$C:$C,N23265))</f>
        <v>0</v>
      </c>
    </row>
    <row r="23266" spans="13:16">
      <c r="M23266" s="49">
        <f>IF($A$4+232&gt;$B$4,"",$A$4+232)</f>
        <v>46255</v>
      </c>
      <c r="N23266">
        <f>IF(M23266="","",'Master Barang'!A60)</f>
        <v>0</v>
      </c>
      <c r="O23266">
        <f>IF(N23266="","",'Master Barang'!B60)</f>
        <v>0</v>
      </c>
      <c r="P23266">
        <f>IF(OR(M23266="",N23266=""),"",SUMIFS('Barang Keluar'!$E:$E,'Barang Keluar'!$A:$A,M23266,'Barang Keluar'!$C:$C,N23266))</f>
        <v>0</v>
      </c>
    </row>
    <row r="23267" spans="13:16">
      <c r="M23267" s="49">
        <f>IF($A$4+232&gt;$B$4,"",$A$4+232)</f>
        <v>46255</v>
      </c>
      <c r="N23267">
        <f>IF(M23267="","",'Master Barang'!A61)</f>
        <v>0</v>
      </c>
      <c r="O23267">
        <f>IF(N23267="","",'Master Barang'!B61)</f>
        <v>0</v>
      </c>
      <c r="P23267">
        <f>IF(OR(M23267="",N23267=""),"",SUMIFS('Barang Keluar'!$E:$E,'Barang Keluar'!$A:$A,M23267,'Barang Keluar'!$C:$C,N23267))</f>
        <v>0</v>
      </c>
    </row>
    <row r="23268" spans="13:16">
      <c r="M23268" s="49">
        <f>IF($A$4+232&gt;$B$4,"",$A$4+232)</f>
        <v>46255</v>
      </c>
      <c r="N23268">
        <f>IF(M23268="","",'Master Barang'!A62)</f>
        <v>0</v>
      </c>
      <c r="O23268">
        <f>IF(N23268="","",'Master Barang'!B62)</f>
        <v>0</v>
      </c>
      <c r="P23268">
        <f>IF(OR(M23268="",N23268=""),"",SUMIFS('Barang Keluar'!$E:$E,'Barang Keluar'!$A:$A,M23268,'Barang Keluar'!$C:$C,N23268))</f>
        <v>0</v>
      </c>
    </row>
    <row r="23269" spans="13:16">
      <c r="M23269" s="49">
        <f>IF($A$4+232&gt;$B$4,"",$A$4+232)</f>
        <v>46255</v>
      </c>
      <c r="N23269">
        <f>IF(M23269="","",'Master Barang'!A63)</f>
        <v>0</v>
      </c>
      <c r="O23269">
        <f>IF(N23269="","",'Master Barang'!B63)</f>
        <v>0</v>
      </c>
      <c r="P23269">
        <f>IF(OR(M23269="",N23269=""),"",SUMIFS('Barang Keluar'!$E:$E,'Barang Keluar'!$A:$A,M23269,'Barang Keluar'!$C:$C,N23269))</f>
        <v>0</v>
      </c>
    </row>
    <row r="23270" spans="13:16">
      <c r="M23270" s="49">
        <f>IF($A$4+232&gt;$B$4,"",$A$4+232)</f>
        <v>46255</v>
      </c>
      <c r="N23270">
        <f>IF(M23270="","",'Master Barang'!A64)</f>
        <v>0</v>
      </c>
      <c r="O23270">
        <f>IF(N23270="","",'Master Barang'!B64)</f>
        <v>0</v>
      </c>
      <c r="P23270">
        <f>IF(OR(M23270="",N23270=""),"",SUMIFS('Barang Keluar'!$E:$E,'Barang Keluar'!$A:$A,M23270,'Barang Keluar'!$C:$C,N23270))</f>
        <v>0</v>
      </c>
    </row>
    <row r="23271" spans="13:16">
      <c r="M23271" s="49">
        <f>IF($A$4+232&gt;$B$4,"",$A$4+232)</f>
        <v>46255</v>
      </c>
      <c r="N23271">
        <f>IF(M23271="","",'Master Barang'!A65)</f>
        <v>0</v>
      </c>
      <c r="O23271">
        <f>IF(N23271="","",'Master Barang'!B65)</f>
        <v>0</v>
      </c>
      <c r="P23271">
        <f>IF(OR(M23271="",N23271=""),"",SUMIFS('Barang Keluar'!$E:$E,'Barang Keluar'!$A:$A,M23271,'Barang Keluar'!$C:$C,N23271))</f>
        <v>0</v>
      </c>
    </row>
    <row r="23272" spans="13:16">
      <c r="M23272" s="49">
        <f>IF($A$4+232&gt;$B$4,"",$A$4+232)</f>
        <v>46255</v>
      </c>
      <c r="N23272">
        <f>IF(M23272="","",'Master Barang'!A66)</f>
        <v>0</v>
      </c>
      <c r="O23272">
        <f>IF(N23272="","",'Master Barang'!B66)</f>
        <v>0</v>
      </c>
      <c r="P23272">
        <f>IF(OR(M23272="",N23272=""),"",SUMIFS('Barang Keluar'!$E:$E,'Barang Keluar'!$A:$A,M23272,'Barang Keluar'!$C:$C,N23272))</f>
        <v>0</v>
      </c>
    </row>
    <row r="23273" spans="13:16">
      <c r="M23273" s="49">
        <f>IF($A$4+232&gt;$B$4,"",$A$4+232)</f>
        <v>46255</v>
      </c>
      <c r="N23273">
        <f>IF(M23273="","",'Master Barang'!A67)</f>
        <v>0</v>
      </c>
      <c r="O23273">
        <f>IF(N23273="","",'Master Barang'!B67)</f>
        <v>0</v>
      </c>
      <c r="P23273">
        <f>IF(OR(M23273="",N23273=""),"",SUMIFS('Barang Keluar'!$E:$E,'Barang Keluar'!$A:$A,M23273,'Barang Keluar'!$C:$C,N23273))</f>
        <v>0</v>
      </c>
    </row>
    <row r="23274" spans="13:16">
      <c r="M23274" s="49">
        <f>IF($A$4+232&gt;$B$4,"",$A$4+232)</f>
        <v>46255</v>
      </c>
      <c r="N23274">
        <f>IF(M23274="","",'Master Barang'!A68)</f>
        <v>0</v>
      </c>
      <c r="O23274">
        <f>IF(N23274="","",'Master Barang'!B68)</f>
        <v>0</v>
      </c>
      <c r="P23274">
        <f>IF(OR(M23274="",N23274=""),"",SUMIFS('Barang Keluar'!$E:$E,'Barang Keluar'!$A:$A,M23274,'Barang Keluar'!$C:$C,N23274))</f>
        <v>0</v>
      </c>
    </row>
    <row r="23275" spans="13:16">
      <c r="M23275" s="49">
        <f>IF($A$4+232&gt;$B$4,"",$A$4+232)</f>
        <v>46255</v>
      </c>
      <c r="N23275">
        <f>IF(M23275="","",'Master Barang'!A69)</f>
        <v>0</v>
      </c>
      <c r="O23275">
        <f>IF(N23275="","",'Master Barang'!B69)</f>
        <v>0</v>
      </c>
      <c r="P23275">
        <f>IF(OR(M23275="",N23275=""),"",SUMIFS('Barang Keluar'!$E:$E,'Barang Keluar'!$A:$A,M23275,'Barang Keluar'!$C:$C,N23275))</f>
        <v>0</v>
      </c>
    </row>
    <row r="23276" spans="13:16">
      <c r="M23276" s="49">
        <f>IF($A$4+232&gt;$B$4,"",$A$4+232)</f>
        <v>46255</v>
      </c>
      <c r="N23276">
        <f>IF(M23276="","",'Master Barang'!A70)</f>
        <v>0</v>
      </c>
      <c r="O23276">
        <f>IF(N23276="","",'Master Barang'!B70)</f>
        <v>0</v>
      </c>
      <c r="P23276">
        <f>IF(OR(M23276="",N23276=""),"",SUMIFS('Barang Keluar'!$E:$E,'Barang Keluar'!$A:$A,M23276,'Barang Keluar'!$C:$C,N23276))</f>
        <v>0</v>
      </c>
    </row>
    <row r="23277" spans="13:16">
      <c r="M23277" s="49">
        <f>IF($A$4+232&gt;$B$4,"",$A$4+232)</f>
        <v>46255</v>
      </c>
      <c r="N23277">
        <f>IF(M23277="","",'Master Barang'!A71)</f>
        <v>0</v>
      </c>
      <c r="O23277">
        <f>IF(N23277="","",'Master Barang'!B71)</f>
        <v>0</v>
      </c>
      <c r="P23277">
        <f>IF(OR(M23277="",N23277=""),"",SUMIFS('Barang Keluar'!$E:$E,'Barang Keluar'!$A:$A,M23277,'Barang Keluar'!$C:$C,N23277))</f>
        <v>0</v>
      </c>
    </row>
    <row r="23278" spans="13:16">
      <c r="M23278" s="49">
        <f>IF($A$4+232&gt;$B$4,"",$A$4+232)</f>
        <v>46255</v>
      </c>
      <c r="N23278">
        <f>IF(M23278="","",'Master Barang'!A72)</f>
        <v>0</v>
      </c>
      <c r="O23278">
        <f>IF(N23278="","",'Master Barang'!B72)</f>
        <v>0</v>
      </c>
      <c r="P23278">
        <f>IF(OR(M23278="",N23278=""),"",SUMIFS('Barang Keluar'!$E:$E,'Barang Keluar'!$A:$A,M23278,'Barang Keluar'!$C:$C,N23278))</f>
        <v>0</v>
      </c>
    </row>
    <row r="23279" spans="13:16">
      <c r="M23279" s="49">
        <f>IF($A$4+232&gt;$B$4,"",$A$4+232)</f>
        <v>46255</v>
      </c>
      <c r="N23279">
        <f>IF(M23279="","",'Master Barang'!A73)</f>
        <v>0</v>
      </c>
      <c r="O23279">
        <f>IF(N23279="","",'Master Barang'!B73)</f>
        <v>0</v>
      </c>
      <c r="P23279">
        <f>IF(OR(M23279="",N23279=""),"",SUMIFS('Barang Keluar'!$E:$E,'Barang Keluar'!$A:$A,M23279,'Barang Keluar'!$C:$C,N23279))</f>
        <v>0</v>
      </c>
    </row>
    <row r="23280" spans="13:16">
      <c r="M23280" s="49">
        <f>IF($A$4+232&gt;$B$4,"",$A$4+232)</f>
        <v>46255</v>
      </c>
      <c r="N23280">
        <f>IF(M23280="","",'Master Barang'!A74)</f>
        <v>0</v>
      </c>
      <c r="O23280">
        <f>IF(N23280="","",'Master Barang'!B74)</f>
        <v>0</v>
      </c>
      <c r="P23280">
        <f>IF(OR(M23280="",N23280=""),"",SUMIFS('Barang Keluar'!$E:$E,'Barang Keluar'!$A:$A,M23280,'Barang Keluar'!$C:$C,N23280))</f>
        <v>0</v>
      </c>
    </row>
    <row r="23281" spans="13:16">
      <c r="M23281" s="49">
        <f>IF($A$4+232&gt;$B$4,"",$A$4+232)</f>
        <v>46255</v>
      </c>
      <c r="N23281">
        <f>IF(M23281="","",'Master Barang'!A75)</f>
        <v>0</v>
      </c>
      <c r="O23281">
        <f>IF(N23281="","",'Master Barang'!B75)</f>
        <v>0</v>
      </c>
      <c r="P23281">
        <f>IF(OR(M23281="",N23281=""),"",SUMIFS('Barang Keluar'!$E:$E,'Barang Keluar'!$A:$A,M23281,'Barang Keluar'!$C:$C,N23281))</f>
        <v>0</v>
      </c>
    </row>
    <row r="23282" spans="13:16">
      <c r="M23282" s="49">
        <f>IF($A$4+232&gt;$B$4,"",$A$4+232)</f>
        <v>46255</v>
      </c>
      <c r="N23282">
        <f>IF(M23282="","",'Master Barang'!A76)</f>
        <v>0</v>
      </c>
      <c r="O23282">
        <f>IF(N23282="","",'Master Barang'!B76)</f>
        <v>0</v>
      </c>
      <c r="P23282">
        <f>IF(OR(M23282="",N23282=""),"",SUMIFS('Barang Keluar'!$E:$E,'Barang Keluar'!$A:$A,M23282,'Barang Keluar'!$C:$C,N23282))</f>
        <v>0</v>
      </c>
    </row>
    <row r="23283" spans="13:16">
      <c r="M23283" s="49">
        <f>IF($A$4+232&gt;$B$4,"",$A$4+232)</f>
        <v>46255</v>
      </c>
      <c r="N23283">
        <f>IF(M23283="","",'Master Barang'!A77)</f>
        <v>0</v>
      </c>
      <c r="O23283">
        <f>IF(N23283="","",'Master Barang'!B77)</f>
        <v>0</v>
      </c>
      <c r="P23283">
        <f>IF(OR(M23283="",N23283=""),"",SUMIFS('Barang Keluar'!$E:$E,'Barang Keluar'!$A:$A,M23283,'Barang Keluar'!$C:$C,N23283))</f>
        <v>0</v>
      </c>
    </row>
    <row r="23284" spans="13:16">
      <c r="M23284" s="49">
        <f>IF($A$4+232&gt;$B$4,"",$A$4+232)</f>
        <v>46255</v>
      </c>
      <c r="N23284">
        <f>IF(M23284="","",'Master Barang'!A78)</f>
        <v>0</v>
      </c>
      <c r="O23284">
        <f>IF(N23284="","",'Master Barang'!B78)</f>
        <v>0</v>
      </c>
      <c r="P23284">
        <f>IF(OR(M23284="",N23284=""),"",SUMIFS('Barang Keluar'!$E:$E,'Barang Keluar'!$A:$A,M23284,'Barang Keluar'!$C:$C,N23284))</f>
        <v>0</v>
      </c>
    </row>
    <row r="23285" spans="13:16">
      <c r="M23285" s="49">
        <f>IF($A$4+232&gt;$B$4,"",$A$4+232)</f>
        <v>46255</v>
      </c>
      <c r="N23285">
        <f>IF(M23285="","",'Master Barang'!A79)</f>
        <v>0</v>
      </c>
      <c r="O23285">
        <f>IF(N23285="","",'Master Barang'!B79)</f>
        <v>0</v>
      </c>
      <c r="P23285">
        <f>IF(OR(M23285="",N23285=""),"",SUMIFS('Barang Keluar'!$E:$E,'Barang Keluar'!$A:$A,M23285,'Barang Keluar'!$C:$C,N23285))</f>
        <v>0</v>
      </c>
    </row>
    <row r="23286" spans="13:16">
      <c r="M23286" s="49">
        <f>IF($A$4+232&gt;$B$4,"",$A$4+232)</f>
        <v>46255</v>
      </c>
      <c r="N23286">
        <f>IF(M23286="","",'Master Barang'!A80)</f>
        <v>0</v>
      </c>
      <c r="O23286">
        <f>IF(N23286="","",'Master Barang'!B80)</f>
        <v>0</v>
      </c>
      <c r="P23286">
        <f>IF(OR(M23286="",N23286=""),"",SUMIFS('Barang Keluar'!$E:$E,'Barang Keluar'!$A:$A,M23286,'Barang Keluar'!$C:$C,N23286))</f>
        <v>0</v>
      </c>
    </row>
    <row r="23287" spans="13:16">
      <c r="M23287" s="49">
        <f>IF($A$4+232&gt;$B$4,"",$A$4+232)</f>
        <v>46255</v>
      </c>
      <c r="N23287">
        <f>IF(M23287="","",'Master Barang'!A81)</f>
        <v>0</v>
      </c>
      <c r="O23287">
        <f>IF(N23287="","",'Master Barang'!B81)</f>
        <v>0</v>
      </c>
      <c r="P23287">
        <f>IF(OR(M23287="",N23287=""),"",SUMIFS('Barang Keluar'!$E:$E,'Barang Keluar'!$A:$A,M23287,'Barang Keluar'!$C:$C,N23287))</f>
        <v>0</v>
      </c>
    </row>
    <row r="23288" spans="13:16">
      <c r="M23288" s="49">
        <f>IF($A$4+232&gt;$B$4,"",$A$4+232)</f>
        <v>46255</v>
      </c>
      <c r="N23288">
        <f>IF(M23288="","",'Master Barang'!A82)</f>
        <v>0</v>
      </c>
      <c r="O23288">
        <f>IF(N23288="","",'Master Barang'!B82)</f>
        <v>0</v>
      </c>
      <c r="P23288">
        <f>IF(OR(M23288="",N23288=""),"",SUMIFS('Barang Keluar'!$E:$E,'Barang Keluar'!$A:$A,M23288,'Barang Keluar'!$C:$C,N23288))</f>
        <v>0</v>
      </c>
    </row>
    <row r="23289" spans="13:16">
      <c r="M23289" s="49">
        <f>IF($A$4+232&gt;$B$4,"",$A$4+232)</f>
        <v>46255</v>
      </c>
      <c r="N23289">
        <f>IF(M23289="","",'Master Barang'!A83)</f>
        <v>0</v>
      </c>
      <c r="O23289">
        <f>IF(N23289="","",'Master Barang'!B83)</f>
        <v>0</v>
      </c>
      <c r="P23289">
        <f>IF(OR(M23289="",N23289=""),"",SUMIFS('Barang Keluar'!$E:$E,'Barang Keluar'!$A:$A,M23289,'Barang Keluar'!$C:$C,N23289))</f>
        <v>0</v>
      </c>
    </row>
    <row r="23290" spans="13:16">
      <c r="M23290" s="49">
        <f>IF($A$4+232&gt;$B$4,"",$A$4+232)</f>
        <v>46255</v>
      </c>
      <c r="N23290">
        <f>IF(M23290="","",'Master Barang'!A84)</f>
        <v>0</v>
      </c>
      <c r="O23290">
        <f>IF(N23290="","",'Master Barang'!B84)</f>
        <v>0</v>
      </c>
      <c r="P23290">
        <f>IF(OR(M23290="",N23290=""),"",SUMIFS('Barang Keluar'!$E:$E,'Barang Keluar'!$A:$A,M23290,'Barang Keluar'!$C:$C,N23290))</f>
        <v>0</v>
      </c>
    </row>
    <row r="23291" spans="13:16">
      <c r="M23291" s="49">
        <f>IF($A$4+232&gt;$B$4,"",$A$4+232)</f>
        <v>46255</v>
      </c>
      <c r="N23291">
        <f>IF(M23291="","",'Master Barang'!A85)</f>
        <v>0</v>
      </c>
      <c r="O23291">
        <f>IF(N23291="","",'Master Barang'!B85)</f>
        <v>0</v>
      </c>
      <c r="P23291">
        <f>IF(OR(M23291="",N23291=""),"",SUMIFS('Barang Keluar'!$E:$E,'Barang Keluar'!$A:$A,M23291,'Barang Keluar'!$C:$C,N23291))</f>
        <v>0</v>
      </c>
    </row>
    <row r="23292" spans="13:16">
      <c r="M23292" s="49">
        <f>IF($A$4+232&gt;$B$4,"",$A$4+232)</f>
        <v>46255</v>
      </c>
      <c r="N23292">
        <f>IF(M23292="","",'Master Barang'!A86)</f>
        <v>0</v>
      </c>
      <c r="O23292">
        <f>IF(N23292="","",'Master Barang'!B86)</f>
        <v>0</v>
      </c>
      <c r="P23292">
        <f>IF(OR(M23292="",N23292=""),"",SUMIFS('Barang Keluar'!$E:$E,'Barang Keluar'!$A:$A,M23292,'Barang Keluar'!$C:$C,N23292))</f>
        <v>0</v>
      </c>
    </row>
    <row r="23293" spans="13:16">
      <c r="M23293" s="49">
        <f>IF($A$4+232&gt;$B$4,"",$A$4+232)</f>
        <v>46255</v>
      </c>
      <c r="N23293">
        <f>IF(M23293="","",'Master Barang'!A87)</f>
        <v>0</v>
      </c>
      <c r="O23293">
        <f>IF(N23293="","",'Master Barang'!B87)</f>
        <v>0</v>
      </c>
      <c r="P23293">
        <f>IF(OR(M23293="",N23293=""),"",SUMIFS('Barang Keluar'!$E:$E,'Barang Keluar'!$A:$A,M23293,'Barang Keluar'!$C:$C,N23293))</f>
        <v>0</v>
      </c>
    </row>
    <row r="23294" spans="13:16">
      <c r="M23294" s="49">
        <f>IF($A$4+232&gt;$B$4,"",$A$4+232)</f>
        <v>46255</v>
      </c>
      <c r="N23294">
        <f>IF(M23294="","",'Master Barang'!A88)</f>
        <v>0</v>
      </c>
      <c r="O23294">
        <f>IF(N23294="","",'Master Barang'!B88)</f>
        <v>0</v>
      </c>
      <c r="P23294">
        <f>IF(OR(M23294="",N23294=""),"",SUMIFS('Barang Keluar'!$E:$E,'Barang Keluar'!$A:$A,M23294,'Barang Keluar'!$C:$C,N23294))</f>
        <v>0</v>
      </c>
    </row>
    <row r="23295" spans="13:16">
      <c r="M23295" s="49">
        <f>IF($A$4+232&gt;$B$4,"",$A$4+232)</f>
        <v>46255</v>
      </c>
      <c r="N23295">
        <f>IF(M23295="","",'Master Barang'!A89)</f>
        <v>0</v>
      </c>
      <c r="O23295">
        <f>IF(N23295="","",'Master Barang'!B89)</f>
        <v>0</v>
      </c>
      <c r="P23295">
        <f>IF(OR(M23295="",N23295=""),"",SUMIFS('Barang Keluar'!$E:$E,'Barang Keluar'!$A:$A,M23295,'Barang Keluar'!$C:$C,N23295))</f>
        <v>0</v>
      </c>
    </row>
    <row r="23296" spans="13:16">
      <c r="M23296" s="49">
        <f>IF($A$4+232&gt;$B$4,"",$A$4+232)</f>
        <v>46255</v>
      </c>
      <c r="N23296">
        <f>IF(M23296="","",'Master Barang'!A90)</f>
        <v>0</v>
      </c>
      <c r="O23296">
        <f>IF(N23296="","",'Master Barang'!B90)</f>
        <v>0</v>
      </c>
      <c r="P23296">
        <f>IF(OR(M23296="",N23296=""),"",SUMIFS('Barang Keluar'!$E:$E,'Barang Keluar'!$A:$A,M23296,'Barang Keluar'!$C:$C,N23296))</f>
        <v>0</v>
      </c>
    </row>
    <row r="23297" spans="13:16">
      <c r="M23297" s="49">
        <f>IF($A$4+232&gt;$B$4,"",$A$4+232)</f>
        <v>46255</v>
      </c>
      <c r="N23297">
        <f>IF(M23297="","",'Master Barang'!A91)</f>
        <v>0</v>
      </c>
      <c r="O23297">
        <f>IF(N23297="","",'Master Barang'!B91)</f>
        <v>0</v>
      </c>
      <c r="P23297">
        <f>IF(OR(M23297="",N23297=""),"",SUMIFS('Barang Keluar'!$E:$E,'Barang Keluar'!$A:$A,M23297,'Barang Keluar'!$C:$C,N23297))</f>
        <v>0</v>
      </c>
    </row>
    <row r="23298" spans="13:16">
      <c r="M23298" s="49">
        <f>IF($A$4+232&gt;$B$4,"",$A$4+232)</f>
        <v>46255</v>
      </c>
      <c r="N23298">
        <f>IF(M23298="","",'Master Barang'!A92)</f>
        <v>0</v>
      </c>
      <c r="O23298">
        <f>IF(N23298="","",'Master Barang'!B92)</f>
        <v>0</v>
      </c>
      <c r="P23298">
        <f>IF(OR(M23298="",N23298=""),"",SUMIFS('Barang Keluar'!$E:$E,'Barang Keluar'!$A:$A,M23298,'Barang Keluar'!$C:$C,N23298))</f>
        <v>0</v>
      </c>
    </row>
    <row r="23299" spans="13:16">
      <c r="M23299" s="49">
        <f>IF($A$4+232&gt;$B$4,"",$A$4+232)</f>
        <v>46255</v>
      </c>
      <c r="N23299">
        <f>IF(M23299="","",'Master Barang'!A93)</f>
        <v>0</v>
      </c>
      <c r="O23299">
        <f>IF(N23299="","",'Master Barang'!B93)</f>
        <v>0</v>
      </c>
      <c r="P23299">
        <f>IF(OR(M23299="",N23299=""),"",SUMIFS('Barang Keluar'!$E:$E,'Barang Keluar'!$A:$A,M23299,'Barang Keluar'!$C:$C,N23299))</f>
        <v>0</v>
      </c>
    </row>
    <row r="23300" spans="13:16">
      <c r="M23300" s="49">
        <f>IF($A$4+232&gt;$B$4,"",$A$4+232)</f>
        <v>46255</v>
      </c>
      <c r="N23300">
        <f>IF(M23300="","",'Master Barang'!A94)</f>
        <v>0</v>
      </c>
      <c r="O23300">
        <f>IF(N23300="","",'Master Barang'!B94)</f>
        <v>0</v>
      </c>
      <c r="P23300">
        <f>IF(OR(M23300="",N23300=""),"",SUMIFS('Barang Keluar'!$E:$E,'Barang Keluar'!$A:$A,M23300,'Barang Keluar'!$C:$C,N23300))</f>
        <v>0</v>
      </c>
    </row>
    <row r="23301" spans="13:16">
      <c r="M23301" s="49">
        <f>IF($A$4+232&gt;$B$4,"",$A$4+232)</f>
        <v>46255</v>
      </c>
      <c r="N23301">
        <f>IF(M23301="","",'Master Barang'!A95)</f>
        <v>0</v>
      </c>
      <c r="O23301">
        <f>IF(N23301="","",'Master Barang'!B95)</f>
        <v>0</v>
      </c>
      <c r="P23301">
        <f>IF(OR(M23301="",N23301=""),"",SUMIFS('Barang Keluar'!$E:$E,'Barang Keluar'!$A:$A,M23301,'Barang Keluar'!$C:$C,N23301))</f>
        <v>0</v>
      </c>
    </row>
    <row r="23302" spans="13:16">
      <c r="M23302" s="49">
        <f>IF($A$4+232&gt;$B$4,"",$A$4+232)</f>
        <v>46255</v>
      </c>
      <c r="N23302">
        <f>IF(M23302="","",'Master Barang'!A96)</f>
        <v>0</v>
      </c>
      <c r="O23302">
        <f>IF(N23302="","",'Master Barang'!B96)</f>
        <v>0</v>
      </c>
      <c r="P23302">
        <f>IF(OR(M23302="",N23302=""),"",SUMIFS('Barang Keluar'!$E:$E,'Barang Keluar'!$A:$A,M23302,'Barang Keluar'!$C:$C,N23302))</f>
        <v>0</v>
      </c>
    </row>
    <row r="23303" spans="13:16">
      <c r="M23303" s="49">
        <f>IF($A$4+232&gt;$B$4,"",$A$4+232)</f>
        <v>46255</v>
      </c>
      <c r="N23303">
        <f>IF(M23303="","",'Master Barang'!A97)</f>
        <v>0</v>
      </c>
      <c r="O23303">
        <f>IF(N23303="","",'Master Barang'!B97)</f>
        <v>0</v>
      </c>
      <c r="P23303">
        <f>IF(OR(M23303="",N23303=""),"",SUMIFS('Barang Keluar'!$E:$E,'Barang Keluar'!$A:$A,M23303,'Barang Keluar'!$C:$C,N23303))</f>
        <v>0</v>
      </c>
    </row>
    <row r="23304" spans="13:16">
      <c r="M23304" s="49">
        <f>IF($A$4+232&gt;$B$4,"",$A$4+232)</f>
        <v>46255</v>
      </c>
      <c r="N23304">
        <f>IF(M23304="","",'Master Barang'!A98)</f>
        <v>0</v>
      </c>
      <c r="O23304">
        <f>IF(N23304="","",'Master Barang'!B98)</f>
        <v>0</v>
      </c>
      <c r="P23304">
        <f>IF(OR(M23304="",N23304=""),"",SUMIFS('Barang Keluar'!$E:$E,'Barang Keluar'!$A:$A,M23304,'Barang Keluar'!$C:$C,N23304))</f>
        <v>0</v>
      </c>
    </row>
    <row r="23305" spans="13:16">
      <c r="M23305" s="49">
        <f>IF($A$4+232&gt;$B$4,"",$A$4+232)</f>
        <v>46255</v>
      </c>
      <c r="N23305">
        <f>IF(M23305="","",'Master Barang'!A99)</f>
        <v>0</v>
      </c>
      <c r="O23305">
        <f>IF(N23305="","",'Master Barang'!B99)</f>
        <v>0</v>
      </c>
      <c r="P23305">
        <f>IF(OR(M23305="",N23305=""),"",SUMIFS('Barang Keluar'!$E:$E,'Barang Keluar'!$A:$A,M23305,'Barang Keluar'!$C:$C,N23305))</f>
        <v>0</v>
      </c>
    </row>
    <row r="23306" spans="13:16">
      <c r="M23306" s="49">
        <f>IF($A$4+232&gt;$B$4,"",$A$4+232)</f>
        <v>46255</v>
      </c>
      <c r="N23306">
        <f>IF(M23306="","",'Master Barang'!A100)</f>
        <v>0</v>
      </c>
      <c r="O23306">
        <f>IF(N23306="","",'Master Barang'!B100)</f>
        <v>0</v>
      </c>
      <c r="P23306">
        <f>IF(OR(M23306="",N23306=""),"",SUMIFS('Barang Keluar'!$E:$E,'Barang Keluar'!$A:$A,M23306,'Barang Keluar'!$C:$C,N23306))</f>
        <v>0</v>
      </c>
    </row>
    <row r="23307" spans="13:16">
      <c r="M23307" s="49">
        <f>IF($A$4+232&gt;$B$4,"",$A$4+232)</f>
        <v>46255</v>
      </c>
      <c r="N23307">
        <f>IF(M23307="","",'Master Barang'!A101)</f>
        <v>0</v>
      </c>
      <c r="O23307">
        <f>IF(N23307="","",'Master Barang'!B101)</f>
        <v>0</v>
      </c>
      <c r="P23307">
        <f>IF(OR(M23307="",N23307=""),"",SUMIFS('Barang Keluar'!$E:$E,'Barang Keluar'!$A:$A,M23307,'Barang Keluar'!$C:$C,N23307))</f>
        <v>0</v>
      </c>
    </row>
    <row r="23308" spans="13:16">
      <c r="M23308" s="49">
        <f>IF($A$4+233&gt;$B$4,"",$A$4+233)</f>
        <v>46256</v>
      </c>
      <c r="N23308" t="str">
        <f>IF(M23308="","",'Master Barang'!A2)</f>
        <v>PRL-001</v>
      </c>
      <c r="O23308" t="str">
        <f>IF(N23308="","",'Master Barang'!B2)</f>
        <v>natura desinfectant food grade 5l</v>
      </c>
      <c r="P23308">
        <f>IF(OR(M23308="",N23308=""),"",SUMIFS('Barang Keluar'!$E:$E,'Barang Keluar'!$A:$A,M23308,'Barang Keluar'!$C:$C,N23308))</f>
        <v>0</v>
      </c>
    </row>
    <row r="23309" spans="13:16">
      <c r="M23309" s="49">
        <f>IF($A$4+233&gt;$B$4,"",$A$4+233)</f>
        <v>46256</v>
      </c>
      <c r="N23309" t="str">
        <f>IF(M23309="","",'Master Barang'!A3)</f>
        <v>PRL-002</v>
      </c>
      <c r="O23309" t="str">
        <f>IF(N23309="","",'Master Barang'!B3)</f>
        <v>sunlight cairan pencuci piring 5l</v>
      </c>
      <c r="P23309">
        <f>IF(OR(M23309="",N23309=""),"",SUMIFS('Barang Keluar'!$E:$E,'Barang Keluar'!$A:$A,M23309,'Barang Keluar'!$C:$C,N23309))</f>
        <v>0</v>
      </c>
    </row>
    <row r="23310" spans="13:16">
      <c r="M23310" s="49">
        <f>IF($A$4+233&gt;$B$4,"",$A$4+233)</f>
        <v>46256</v>
      </c>
      <c r="N23310" t="str">
        <f>IF(M23310="","",'Master Barang'!A4)</f>
        <v>PRL-003</v>
      </c>
      <c r="O23310" t="str">
        <f>IF(N23310="","",'Master Barang'!B4)</f>
        <v>oixs cleaner 1l</v>
      </c>
      <c r="P23310">
        <f>IF(OR(M23310="",N23310=""),"",SUMIFS('Barang Keluar'!$E:$E,'Barang Keluar'!$A:$A,M23310,'Barang Keluar'!$C:$C,N23310))</f>
        <v>0</v>
      </c>
    </row>
    <row r="23311" spans="13:16">
      <c r="M23311" s="49">
        <f>IF($A$4+233&gt;$B$4,"",$A$4+233)</f>
        <v>46256</v>
      </c>
      <c r="N23311" t="str">
        <f>IF(M23311="","",'Master Barang'!A5)</f>
        <v>PRL-004</v>
      </c>
      <c r="O23311" t="str">
        <f>IF(N23311="","",'Master Barang'!B5)</f>
        <v>be clean tissue serbaguna</v>
      </c>
      <c r="P23311">
        <f>IF(OR(M23311="",N23311=""),"",SUMIFS('Barang Keluar'!$E:$E,'Barang Keluar'!$A:$A,M23311,'Barang Keluar'!$C:$C,N23311))</f>
        <v>0</v>
      </c>
    </row>
    <row r="23312" spans="13:16">
      <c r="M23312" s="49">
        <f>IF($A$4+233&gt;$B$4,"",$A$4+233)</f>
        <v>46256</v>
      </c>
      <c r="N23312" t="str">
        <f>IF(M23312="","",'Master Barang'!A6)</f>
        <v>PRL-005</v>
      </c>
      <c r="O23312" t="str">
        <f>IF(N23312="","",'Master Barang'!B6)</f>
        <v>spons cuci hijau</v>
      </c>
      <c r="P23312">
        <f>IF(OR(M23312="",N23312=""),"",SUMIFS('Barang Keluar'!$E:$E,'Barang Keluar'!$A:$A,M23312,'Barang Keluar'!$C:$C,N23312))</f>
        <v>0</v>
      </c>
    </row>
    <row r="23313" spans="13:16">
      <c r="M23313" s="49">
        <f>IF($A$4+233&gt;$B$4,"",$A$4+233)</f>
        <v>46256</v>
      </c>
      <c r="N23313" t="str">
        <f>IF(M23313="","",'Master Barang'!A7)</f>
        <v>PRL-006</v>
      </c>
      <c r="O23313" t="str">
        <f>IF(N23313="","",'Master Barang'!B7)</f>
        <v>sabut cuci stainless</v>
      </c>
      <c r="P23313">
        <f>IF(OR(M23313="",N23313=""),"",SUMIFS('Barang Keluar'!$E:$E,'Barang Keluar'!$A:$A,M23313,'Barang Keluar'!$C:$C,N23313))</f>
        <v>0</v>
      </c>
    </row>
    <row r="23314" spans="13:16">
      <c r="M23314" s="49">
        <f>IF($A$4+233&gt;$B$4,"",$A$4+233)</f>
        <v>46256</v>
      </c>
      <c r="N23314" t="str">
        <f>IF(M23314="","",'Master Barang'!A8)</f>
        <v>PRL-007</v>
      </c>
      <c r="O23314" t="str">
        <f>IF(N23314="","",'Master Barang'!B8)</f>
        <v>plastik kresek besar merah 50pc</v>
      </c>
      <c r="P23314">
        <f>IF(OR(M23314="",N23314=""),"",SUMIFS('Barang Keluar'!$E:$E,'Barang Keluar'!$A:$A,M23314,'Barang Keluar'!$C:$C,N23314))</f>
        <v>0</v>
      </c>
    </row>
    <row r="23315" spans="13:16">
      <c r="M23315" s="49">
        <f>IF($A$4+233&gt;$B$4,"",$A$4+233)</f>
        <v>46256</v>
      </c>
      <c r="N23315" t="str">
        <f>IF(M23315="","",'Master Barang'!A9)</f>
        <v>PRL-008</v>
      </c>
      <c r="O23315" t="str">
        <f>IF(N23315="","",'Master Barang'!B9)</f>
        <v>lap besar</v>
      </c>
      <c r="P23315">
        <f>IF(OR(M23315="",N23315=""),"",SUMIFS('Barang Keluar'!$E:$E,'Barang Keluar'!$A:$A,M23315,'Barang Keluar'!$C:$C,N23315))</f>
        <v>0</v>
      </c>
    </row>
    <row r="23316" spans="13:16">
      <c r="M23316" s="49">
        <f>IF($A$4+233&gt;$B$4,"",$A$4+233)</f>
        <v>46256</v>
      </c>
      <c r="N23316" t="str">
        <f>IF(M23316="","",'Master Barang'!A10)</f>
        <v>PRL-009</v>
      </c>
      <c r="O23316" t="str">
        <f>IF(N23316="","",'Master Barang'!B10)</f>
        <v>lap microfiber</v>
      </c>
      <c r="P23316">
        <f>IF(OR(M23316="",N23316=""),"",SUMIFS('Barang Keluar'!$E:$E,'Barang Keluar'!$A:$A,M23316,'Barang Keluar'!$C:$C,N23316))</f>
        <v>0</v>
      </c>
    </row>
    <row r="23317" spans="13:16">
      <c r="M23317" s="49">
        <f>IF($A$4+233&gt;$B$4,"",$A$4+233)</f>
        <v>46256</v>
      </c>
      <c r="N23317" t="str">
        <f>IF(M23317="","",'Master Barang'!A11)</f>
        <v>PRL-010</v>
      </c>
      <c r="O23317" t="str">
        <f>IF(N23317="","",'Master Barang'!B11)</f>
        <v>lap kecil</v>
      </c>
      <c r="P23317">
        <f>IF(OR(M23317="",N23317=""),"",SUMIFS('Barang Keluar'!$E:$E,'Barang Keluar'!$A:$A,M23317,'Barang Keluar'!$C:$C,N23317))</f>
        <v>0</v>
      </c>
    </row>
    <row r="23318" spans="13:16">
      <c r="M23318" s="49">
        <f>IF($A$4+233&gt;$B$4,"",$A$4+233)</f>
        <v>46256</v>
      </c>
      <c r="N23318" t="str">
        <f>IF(M23318="","",'Master Barang'!A12)</f>
        <v>PRL-011</v>
      </c>
      <c r="O23318" t="str">
        <f>IF(N23318="","",'Master Barang'!B12)</f>
        <v>kanebo kecil</v>
      </c>
      <c r="P23318">
        <f>IF(OR(M23318="",N23318=""),"",SUMIFS('Barang Keluar'!$E:$E,'Barang Keluar'!$A:$A,M23318,'Barang Keluar'!$C:$C,N23318))</f>
        <v>0</v>
      </c>
    </row>
    <row r="23319" spans="13:16">
      <c r="M23319" s="49">
        <f>IF($A$4+233&gt;$B$4,"",$A$4+233)</f>
        <v>46256</v>
      </c>
      <c r="N23319" t="str">
        <f>IF(M23319="","",'Master Barang'!A13)</f>
        <v>PRL-012</v>
      </c>
      <c r="O23319" t="str">
        <f>IF(N23319="","",'Master Barang'!B13)</f>
        <v>plastik 1/4kg joyoboyo 100 lembar</v>
      </c>
      <c r="P23319">
        <f>IF(OR(M23319="",N23319=""),"",SUMIFS('Barang Keluar'!$E:$E,'Barang Keluar'!$A:$A,M23319,'Barang Keluar'!$C:$C,N23319))</f>
        <v>0</v>
      </c>
    </row>
    <row r="23320" spans="13:16">
      <c r="M23320" s="49">
        <f>IF($A$4+233&gt;$B$4,"",$A$4+233)</f>
        <v>46256</v>
      </c>
      <c r="N23320" t="str">
        <f>IF(M23320="","",'Master Barang'!A14)</f>
        <v>PRL-013</v>
      </c>
      <c r="O23320" t="str">
        <f>IF(N23320="","",'Master Barang'!B14)</f>
        <v>sarung tangan plastik kaka 100 pcs</v>
      </c>
      <c r="P23320">
        <f>IF(OR(M23320="",N23320=""),"",SUMIFS('Barang Keluar'!$E:$E,'Barang Keluar'!$A:$A,M23320,'Barang Keluar'!$C:$C,N23320))</f>
        <v>0</v>
      </c>
    </row>
    <row r="23321" spans="13:16">
      <c r="M23321" s="49">
        <f>IF($A$4+233&gt;$B$4,"",$A$4+233)</f>
        <v>46256</v>
      </c>
      <c r="N23321" t="str">
        <f>IF(M23321="","",'Master Barang'!A15)</f>
        <v>PRL-014</v>
      </c>
      <c r="O23321" t="str">
        <f>IF(N23321="","",'Master Barang'!B15)</f>
        <v>optima trashbag 80x100</v>
      </c>
      <c r="P23321">
        <f>IF(OR(M23321="",N23321=""),"",SUMIFS('Barang Keluar'!$E:$E,'Barang Keluar'!$A:$A,M23321,'Barang Keluar'!$C:$C,N23321))</f>
        <v>0</v>
      </c>
    </row>
    <row r="23322" spans="13:16">
      <c r="M23322" s="49">
        <f>IF($A$4+233&gt;$B$4,"",$A$4+233)</f>
        <v>46256</v>
      </c>
      <c r="N23322" t="str">
        <f>IF(M23322="","",'Master Barang'!A16)</f>
        <v>PRL-015</v>
      </c>
      <c r="O23322" t="str">
        <f>IF(N23322="","",'Master Barang'!B16)</f>
        <v>optima trashbag 60x100</v>
      </c>
      <c r="P23322">
        <f>IF(OR(M23322="",N23322=""),"",SUMIFS('Barang Keluar'!$E:$E,'Barang Keluar'!$A:$A,M23322,'Barang Keluar'!$C:$C,N23322))</f>
        <v>0</v>
      </c>
    </row>
    <row r="23323" spans="13:16">
      <c r="M23323" s="49">
        <f>IF($A$4+233&gt;$B$4,"",$A$4+233)</f>
        <v>46256</v>
      </c>
      <c r="N23323" t="str">
        <f>IF(M23323="","",'Master Barang'!A17)</f>
        <v>PRL-016</v>
      </c>
      <c r="O23323" t="str">
        <f>IF(N23323="","",'Master Barang'!B17)</f>
        <v>rajawali trashbag 30x40</v>
      </c>
      <c r="P23323">
        <f>IF(OR(M23323="",N23323=""),"",SUMIFS('Barang Keluar'!$E:$E,'Barang Keluar'!$A:$A,M23323,'Barang Keluar'!$C:$C,N23323))</f>
        <v>0</v>
      </c>
    </row>
    <row r="23324" spans="13:16">
      <c r="M23324" s="49">
        <f>IF($A$4+233&gt;$B$4,"",$A$4+233)</f>
        <v>46256</v>
      </c>
      <c r="N23324" t="str">
        <f>IF(M23324="","",'Master Barang'!A18)</f>
        <v>PRL-017</v>
      </c>
      <c r="O23324" t="str">
        <f>IF(N23324="","",'Master Barang'!B18)</f>
        <v>onemed masker biru 3 play 50 pcs</v>
      </c>
      <c r="P23324">
        <f>IF(OR(M23324="",N23324=""),"",SUMIFS('Barang Keluar'!$E:$E,'Barang Keluar'!$A:$A,M23324,'Barang Keluar'!$C:$C,N23324))</f>
        <v>0</v>
      </c>
    </row>
    <row r="23325" spans="13:16">
      <c r="M23325" s="49">
        <f>IF($A$4+233&gt;$B$4,"",$A$4+233)</f>
        <v>46256</v>
      </c>
      <c r="N23325" t="str">
        <f>IF(M23325="","",'Master Barang'!A19)</f>
        <v>PRL-018</v>
      </c>
      <c r="O23325" t="str">
        <f>IF(N23325="","",'Master Barang'!B19)</f>
        <v>onemed masker biru 3 play hijab 50 pcs</v>
      </c>
      <c r="P23325">
        <f>IF(OR(M23325="",N23325=""),"",SUMIFS('Barang Keluar'!$E:$E,'Barang Keluar'!$A:$A,M23325,'Barang Keluar'!$C:$C,N23325))</f>
        <v>0</v>
      </c>
    </row>
    <row r="23326" spans="13:16">
      <c r="M23326" s="49">
        <f>IF($A$4+233&gt;$B$4,"",$A$4+233)</f>
        <v>46256</v>
      </c>
      <c r="N23326" t="str">
        <f>IF(M23326="","",'Master Barang'!A20)</f>
        <v>PRL-019</v>
      </c>
      <c r="O23326" t="str">
        <f>IF(N23326="","",'Master Barang'!B20)</f>
        <v>neo health masker biru 3 play 50 pcs</v>
      </c>
      <c r="P23326">
        <f>IF(OR(M23326="",N23326=""),"",SUMIFS('Barang Keluar'!$E:$E,'Barang Keluar'!$A:$A,M23326,'Barang Keluar'!$C:$C,N23326))</f>
        <v>0</v>
      </c>
    </row>
    <row r="23327" spans="13:16">
      <c r="M23327" s="49">
        <f>IF($A$4+233&gt;$B$4,"",$A$4+233)</f>
        <v>46256</v>
      </c>
      <c r="N23327" t="str">
        <f>IF(M23327="","",'Master Barang'!A21)</f>
        <v>PRL-020</v>
      </c>
      <c r="O23327" t="str">
        <f>IF(N23327="","",'Master Barang'!B21)</f>
        <v>baymed masker hijau 3 play hijau 50 pcs</v>
      </c>
      <c r="P23327">
        <f>IF(OR(M23327="",N23327=""),"",SUMIFS('Barang Keluar'!$E:$E,'Barang Keluar'!$A:$A,M23327,'Barang Keluar'!$C:$C,N23327))</f>
        <v>0</v>
      </c>
    </row>
    <row r="23328" spans="13:16">
      <c r="M23328" s="49">
        <f>IF($A$4+233&gt;$B$4,"",$A$4+233)</f>
        <v>46256</v>
      </c>
      <c r="N23328" t="str">
        <f>IF(M23328="","",'Master Barang'!A22)</f>
        <v>PRL-021</v>
      </c>
      <c r="O23328" t="str">
        <f>IF(N23328="","",'Master Barang'!B22)</f>
        <v>altamed nurse cap penutup kepala 100 pcs</v>
      </c>
      <c r="P23328">
        <f>IF(OR(M23328="",N23328=""),"",SUMIFS('Barang Keluar'!$E:$E,'Barang Keluar'!$A:$A,M23328,'Barang Keluar'!$C:$C,N23328))</f>
        <v>0</v>
      </c>
    </row>
    <row r="23329" spans="13:16">
      <c r="M23329" s="49">
        <f>IF($A$4+233&gt;$B$4,"",$A$4+233)</f>
        <v>46256</v>
      </c>
      <c r="N23329" t="str">
        <f>IF(M23329="","",'Master Barang'!A23)</f>
        <v>PRL-022</v>
      </c>
      <c r="O23329" t="str">
        <f>IF(N23329="","",'Master Barang'!B23)</f>
        <v>sabun cuci tangan</v>
      </c>
      <c r="P23329">
        <f>IF(OR(M23329="",N23329=""),"",SUMIFS('Barang Keluar'!$E:$E,'Barang Keluar'!$A:$A,M23329,'Barang Keluar'!$C:$C,N23329))</f>
        <v>0</v>
      </c>
    </row>
    <row r="23330" spans="13:16">
      <c r="M23330" s="49">
        <f>IF($A$4+233&gt;$B$4,"",$A$4+233)</f>
        <v>46256</v>
      </c>
      <c r="N23330" t="str">
        <f>IF(M23330="","",'Master Barang'!A24)</f>
        <v>PRL-023</v>
      </c>
      <c r="O23330" t="str">
        <f>IF(N23330="","",'Master Barang'!B24)</f>
        <v>gayung kecil</v>
      </c>
      <c r="P23330">
        <f>IF(OR(M23330="",N23330=""),"",SUMIFS('Barang Keluar'!$E:$E,'Barang Keluar'!$A:$A,M23330,'Barang Keluar'!$C:$C,N23330))</f>
        <v>0</v>
      </c>
    </row>
    <row r="23331" spans="13:16">
      <c r="M23331" s="49">
        <f>IF($A$4+233&gt;$B$4,"",$A$4+233)</f>
        <v>46256</v>
      </c>
      <c r="N23331" t="str">
        <f>IF(M23331="","",'Master Barang'!A25)</f>
        <v>PRL-024</v>
      </c>
      <c r="O23331" t="str">
        <f>IF(N23331="","",'Master Barang'!B25)</f>
        <v>cikrak kecil</v>
      </c>
      <c r="P23331">
        <f>IF(OR(M23331="",N23331=""),"",SUMIFS('Barang Keluar'!$E:$E,'Barang Keluar'!$A:$A,M23331,'Barang Keluar'!$C:$C,N23331))</f>
        <v>0</v>
      </c>
    </row>
    <row r="23332" spans="13:16">
      <c r="M23332" s="49">
        <f>IF($A$4+233&gt;$B$4,"",$A$4+233)</f>
        <v>46256</v>
      </c>
      <c r="N23332" t="str">
        <f>IF(M23332="","",'Master Barang'!A26)</f>
        <v>PRL-025</v>
      </c>
      <c r="O23332" t="str">
        <f>IF(N23332="","",'Master Barang'!B26)</f>
        <v>petromax plastik kecil 12x24 100 lembar</v>
      </c>
      <c r="P23332">
        <f>IF(OR(M23332="",N23332=""),"",SUMIFS('Barang Keluar'!$E:$E,'Barang Keluar'!$A:$A,M23332,'Barang Keluar'!$C:$C,N23332))</f>
        <v>0</v>
      </c>
    </row>
    <row r="23333" spans="13:16">
      <c r="M23333" s="49">
        <f>IF($A$4+233&gt;$B$4,"",$A$4+233)</f>
        <v>46256</v>
      </c>
      <c r="N23333" t="str">
        <f>IF(M23333="","",'Master Barang'!A27)</f>
        <v>PRL-026</v>
      </c>
      <c r="O23333" t="str">
        <f>IF(N23333="","",'Master Barang'!B27)</f>
        <v>lancar kresek kecil bening </v>
      </c>
      <c r="P23333">
        <f>IF(OR(M23333="",N23333=""),"",SUMIFS('Barang Keluar'!$E:$E,'Barang Keluar'!$A:$A,M23333,'Barang Keluar'!$C:$C,N23333))</f>
        <v>0</v>
      </c>
    </row>
    <row r="23334" spans="13:16">
      <c r="M23334" s="49">
        <f>IF($A$4+233&gt;$B$4,"",$A$4+233)</f>
        <v>46256</v>
      </c>
      <c r="N23334" t="str">
        <f>IF(M23334="","",'Master Barang'!A28)</f>
        <v>PRL-027</v>
      </c>
      <c r="O23334" t="str">
        <f>IF(N23334="","",'Master Barang'!B28)</f>
        <v>kresek klin warna warni kecil</v>
      </c>
      <c r="P23334">
        <f>IF(OR(M23334="",N23334=""),"",SUMIFS('Barang Keluar'!$E:$E,'Barang Keluar'!$A:$A,M23334,'Barang Keluar'!$C:$C,N23334))</f>
        <v>0</v>
      </c>
    </row>
    <row r="23335" spans="13:16">
      <c r="M23335" s="49">
        <f>IF($A$4+233&gt;$B$4,"",$A$4+233)</f>
        <v>46256</v>
      </c>
      <c r="N23335" t="str">
        <f>IF(M23335="","",'Master Barang'!A29)</f>
        <v>PRL-028</v>
      </c>
      <c r="O23335" t="str">
        <f>IF(N23335="","",'Master Barang'!B29)</f>
        <v>ctik plastik 7x10 100 pcs</v>
      </c>
      <c r="P23335">
        <f>IF(OR(M23335="",N23335=""),"",SUMIFS('Barang Keluar'!$E:$E,'Barang Keluar'!$A:$A,M23335,'Barang Keluar'!$C:$C,N23335))</f>
        <v>0</v>
      </c>
    </row>
    <row r="23336" spans="13:16">
      <c r="M23336" s="49">
        <f>IF($A$4+233&gt;$B$4,"",$A$4+233)</f>
        <v>46256</v>
      </c>
      <c r="N23336" t="str">
        <f>IF(M23336="","",'Master Barang'!A30)</f>
        <v>PRL-029</v>
      </c>
      <c r="O23336" t="str">
        <f>IF(N23336="","",'Master Barang'!B30)</f>
        <v>ctik plastik 6x10 100 pcs</v>
      </c>
      <c r="P23336">
        <f>IF(OR(M23336="",N23336=""),"",SUMIFS('Barang Keluar'!$E:$E,'Barang Keluar'!$A:$A,M23336,'Barang Keluar'!$C:$C,N23336))</f>
        <v>0</v>
      </c>
    </row>
    <row r="23337" spans="13:16">
      <c r="M23337" s="49">
        <f>IF($A$4+233&gt;$B$4,"",$A$4+233)</f>
        <v>46256</v>
      </c>
      <c r="N23337" t="str">
        <f>IF(M23337="","",'Master Barang'!A31)</f>
        <v>PRL-030</v>
      </c>
      <c r="O23337" t="str">
        <f>IF(N23337="","",'Master Barang'!B31)</f>
        <v>klip plastik 25x16 100 pcs</v>
      </c>
      <c r="P23337">
        <f>IF(OR(M23337="",N23337=""),"",SUMIFS('Barang Keluar'!$E:$E,'Barang Keluar'!$A:$A,M23337,'Barang Keluar'!$C:$C,N23337))</f>
        <v>0</v>
      </c>
    </row>
    <row r="23338" spans="13:16">
      <c r="M23338" s="49">
        <f>IF($A$4+233&gt;$B$4,"",$A$4+233)</f>
        <v>46256</v>
      </c>
      <c r="N23338" t="str">
        <f>IF(M23338="","",'Master Barang'!A32)</f>
        <v>PRL-031</v>
      </c>
      <c r="O23338" t="str">
        <f>IF(N23338="","",'Master Barang'!B32)</f>
        <v>tempat saus 20 ml</v>
      </c>
      <c r="P23338">
        <f>IF(OR(M23338="",N23338=""),"",SUMIFS('Barang Keluar'!$E:$E,'Barang Keluar'!$A:$A,M23338,'Barang Keluar'!$C:$C,N23338))</f>
        <v>0</v>
      </c>
    </row>
    <row r="23339" spans="13:16">
      <c r="M23339" s="49">
        <f>IF($A$4+233&gt;$B$4,"",$A$4+233)</f>
        <v>46256</v>
      </c>
      <c r="N23339" t="str">
        <f>IF(M23339="","",'Master Barang'!A33)</f>
        <v>PRL-032</v>
      </c>
      <c r="O23339" t="str">
        <f>IF(N23339="","",'Master Barang'!B33)</f>
        <v>plastik packaging ag box uk sedang</v>
      </c>
      <c r="P23339">
        <f>IF(OR(M23339="",N23339=""),"",SUMIFS('Barang Keluar'!$E:$E,'Barang Keluar'!$A:$A,M23339,'Barang Keluar'!$C:$C,N23339))</f>
        <v>0</v>
      </c>
    </row>
    <row r="23340" spans="13:16">
      <c r="M23340" s="49">
        <f>IF($A$4+233&gt;$B$4,"",$A$4+233)</f>
        <v>46256</v>
      </c>
      <c r="N23340" t="str">
        <f>IF(M23340="","",'Master Barang'!A34)</f>
        <v>PRL-033</v>
      </c>
      <c r="O23340">
        <f>IF(N23340="","",'Master Barang'!B34)</f>
        <v>0</v>
      </c>
      <c r="P23340">
        <f>IF(OR(M23340="",N23340=""),"",SUMIFS('Barang Keluar'!$E:$E,'Barang Keluar'!$A:$A,M23340,'Barang Keluar'!$C:$C,N23340))</f>
        <v>0</v>
      </c>
    </row>
    <row r="23341" spans="13:16">
      <c r="M23341" s="49">
        <f>IF($A$4+233&gt;$B$4,"",$A$4+233)</f>
        <v>46256</v>
      </c>
      <c r="N23341">
        <f>IF(M23341="","",'Master Barang'!A35)</f>
        <v>0</v>
      </c>
      <c r="O23341">
        <f>IF(N23341="","",'Master Barang'!B35)</f>
        <v>0</v>
      </c>
      <c r="P23341">
        <f>IF(OR(M23341="",N23341=""),"",SUMIFS('Barang Keluar'!$E:$E,'Barang Keluar'!$A:$A,M23341,'Barang Keluar'!$C:$C,N23341))</f>
        <v>0</v>
      </c>
    </row>
    <row r="23342" spans="13:16">
      <c r="M23342" s="49">
        <f>IF($A$4+233&gt;$B$4,"",$A$4+233)</f>
        <v>46256</v>
      </c>
      <c r="N23342">
        <f>IF(M23342="","",'Master Barang'!A36)</f>
        <v>0</v>
      </c>
      <c r="O23342">
        <f>IF(N23342="","",'Master Barang'!B36)</f>
        <v>0</v>
      </c>
      <c r="P23342">
        <f>IF(OR(M23342="",N23342=""),"",SUMIFS('Barang Keluar'!$E:$E,'Barang Keluar'!$A:$A,M23342,'Barang Keluar'!$C:$C,N23342))</f>
        <v>0</v>
      </c>
    </row>
    <row r="23343" spans="13:16">
      <c r="M23343" s="49">
        <f>IF($A$4+233&gt;$B$4,"",$A$4+233)</f>
        <v>46256</v>
      </c>
      <c r="N23343">
        <f>IF(M23343="","",'Master Barang'!A37)</f>
        <v>0</v>
      </c>
      <c r="O23343">
        <f>IF(N23343="","",'Master Barang'!B37)</f>
        <v>0</v>
      </c>
      <c r="P23343">
        <f>IF(OR(M23343="",N23343=""),"",SUMIFS('Barang Keluar'!$E:$E,'Barang Keluar'!$A:$A,M23343,'Barang Keluar'!$C:$C,N23343))</f>
        <v>0</v>
      </c>
    </row>
    <row r="23344" spans="13:16">
      <c r="M23344" s="49">
        <f>IF($A$4+233&gt;$B$4,"",$A$4+233)</f>
        <v>46256</v>
      </c>
      <c r="N23344">
        <f>IF(M23344="","",'Master Barang'!A38)</f>
        <v>0</v>
      </c>
      <c r="O23344">
        <f>IF(N23344="","",'Master Barang'!B38)</f>
        <v>0</v>
      </c>
      <c r="P23344">
        <f>IF(OR(M23344="",N23344=""),"",SUMIFS('Barang Keluar'!$E:$E,'Barang Keluar'!$A:$A,M23344,'Barang Keluar'!$C:$C,N23344))</f>
        <v>0</v>
      </c>
    </row>
    <row r="23345" spans="13:16">
      <c r="M23345" s="49">
        <f>IF($A$4+233&gt;$B$4,"",$A$4+233)</f>
        <v>46256</v>
      </c>
      <c r="N23345">
        <f>IF(M23345="","",'Master Barang'!A39)</f>
        <v>0</v>
      </c>
      <c r="O23345">
        <f>IF(N23345="","",'Master Barang'!B39)</f>
        <v>0</v>
      </c>
      <c r="P23345">
        <f>IF(OR(M23345="",N23345=""),"",SUMIFS('Barang Keluar'!$E:$E,'Barang Keluar'!$A:$A,M23345,'Barang Keluar'!$C:$C,N23345))</f>
        <v>0</v>
      </c>
    </row>
    <row r="23346" spans="13:16">
      <c r="M23346" s="49">
        <f>IF($A$4+233&gt;$B$4,"",$A$4+233)</f>
        <v>46256</v>
      </c>
      <c r="N23346">
        <f>IF(M23346="","",'Master Barang'!A40)</f>
        <v>0</v>
      </c>
      <c r="O23346">
        <f>IF(N23346="","",'Master Barang'!B40)</f>
        <v>0</v>
      </c>
      <c r="P23346">
        <f>IF(OR(M23346="",N23346=""),"",SUMIFS('Barang Keluar'!$E:$E,'Barang Keluar'!$A:$A,M23346,'Barang Keluar'!$C:$C,N23346))</f>
        <v>0</v>
      </c>
    </row>
    <row r="23347" spans="13:16">
      <c r="M23347" s="49">
        <f>IF($A$4+233&gt;$B$4,"",$A$4+233)</f>
        <v>46256</v>
      </c>
      <c r="N23347">
        <f>IF(M23347="","",'Master Barang'!A41)</f>
        <v>0</v>
      </c>
      <c r="O23347">
        <f>IF(N23347="","",'Master Barang'!B41)</f>
        <v>0</v>
      </c>
      <c r="P23347">
        <f>IF(OR(M23347="",N23347=""),"",SUMIFS('Barang Keluar'!$E:$E,'Barang Keluar'!$A:$A,M23347,'Barang Keluar'!$C:$C,N23347))</f>
        <v>0</v>
      </c>
    </row>
    <row r="23348" spans="13:16">
      <c r="M23348" s="49">
        <f>IF($A$4+233&gt;$B$4,"",$A$4+233)</f>
        <v>46256</v>
      </c>
      <c r="N23348">
        <f>IF(M23348="","",'Master Barang'!A42)</f>
        <v>0</v>
      </c>
      <c r="O23348">
        <f>IF(N23348="","",'Master Barang'!B42)</f>
        <v>0</v>
      </c>
      <c r="P23348">
        <f>IF(OR(M23348="",N23348=""),"",SUMIFS('Barang Keluar'!$E:$E,'Barang Keluar'!$A:$A,M23348,'Barang Keluar'!$C:$C,N23348))</f>
        <v>0</v>
      </c>
    </row>
    <row r="23349" spans="13:16">
      <c r="M23349" s="49">
        <f>IF($A$4+233&gt;$B$4,"",$A$4+233)</f>
        <v>46256</v>
      </c>
      <c r="N23349">
        <f>IF(M23349="","",'Master Barang'!A43)</f>
        <v>0</v>
      </c>
      <c r="O23349">
        <f>IF(N23349="","",'Master Barang'!B43)</f>
        <v>0</v>
      </c>
      <c r="P23349">
        <f>IF(OR(M23349="",N23349=""),"",SUMIFS('Barang Keluar'!$E:$E,'Barang Keluar'!$A:$A,M23349,'Barang Keluar'!$C:$C,N23349))</f>
        <v>0</v>
      </c>
    </row>
    <row r="23350" spans="13:16">
      <c r="M23350" s="49">
        <f>IF($A$4+233&gt;$B$4,"",$A$4+233)</f>
        <v>46256</v>
      </c>
      <c r="N23350">
        <f>IF(M23350="","",'Master Barang'!A44)</f>
        <v>0</v>
      </c>
      <c r="O23350">
        <f>IF(N23350="","",'Master Barang'!B44)</f>
        <v>0</v>
      </c>
      <c r="P23350">
        <f>IF(OR(M23350="",N23350=""),"",SUMIFS('Barang Keluar'!$E:$E,'Barang Keluar'!$A:$A,M23350,'Barang Keluar'!$C:$C,N23350))</f>
        <v>0</v>
      </c>
    </row>
    <row r="23351" spans="13:16">
      <c r="M23351" s="49">
        <f>IF($A$4+233&gt;$B$4,"",$A$4+233)</f>
        <v>46256</v>
      </c>
      <c r="N23351">
        <f>IF(M23351="","",'Master Barang'!A45)</f>
        <v>0</v>
      </c>
      <c r="O23351">
        <f>IF(N23351="","",'Master Barang'!B45)</f>
        <v>0</v>
      </c>
      <c r="P23351">
        <f>IF(OR(M23351="",N23351=""),"",SUMIFS('Barang Keluar'!$E:$E,'Barang Keluar'!$A:$A,M23351,'Barang Keluar'!$C:$C,N23351))</f>
        <v>0</v>
      </c>
    </row>
    <row r="23352" spans="13:16">
      <c r="M23352" s="49">
        <f>IF($A$4+233&gt;$B$4,"",$A$4+233)</f>
        <v>46256</v>
      </c>
      <c r="N23352">
        <f>IF(M23352="","",'Master Barang'!A46)</f>
        <v>0</v>
      </c>
      <c r="O23352">
        <f>IF(N23352="","",'Master Barang'!B46)</f>
        <v>0</v>
      </c>
      <c r="P23352">
        <f>IF(OR(M23352="",N23352=""),"",SUMIFS('Barang Keluar'!$E:$E,'Barang Keluar'!$A:$A,M23352,'Barang Keluar'!$C:$C,N23352))</f>
        <v>0</v>
      </c>
    </row>
    <row r="23353" spans="13:16">
      <c r="M23353" s="49">
        <f>IF($A$4+233&gt;$B$4,"",$A$4+233)</f>
        <v>46256</v>
      </c>
      <c r="N23353">
        <f>IF(M23353="","",'Master Barang'!A47)</f>
        <v>0</v>
      </c>
      <c r="O23353">
        <f>IF(N23353="","",'Master Barang'!B47)</f>
        <v>0</v>
      </c>
      <c r="P23353">
        <f>IF(OR(M23353="",N23353=""),"",SUMIFS('Barang Keluar'!$E:$E,'Barang Keluar'!$A:$A,M23353,'Barang Keluar'!$C:$C,N23353))</f>
        <v>0</v>
      </c>
    </row>
    <row r="23354" spans="13:16">
      <c r="M23354" s="49">
        <f>IF($A$4+233&gt;$B$4,"",$A$4+233)</f>
        <v>46256</v>
      </c>
      <c r="N23354">
        <f>IF(M23354="","",'Master Barang'!A48)</f>
        <v>0</v>
      </c>
      <c r="O23354">
        <f>IF(N23354="","",'Master Barang'!B48)</f>
        <v>0</v>
      </c>
      <c r="P23354">
        <f>IF(OR(M23354="",N23354=""),"",SUMIFS('Barang Keluar'!$E:$E,'Barang Keluar'!$A:$A,M23354,'Barang Keluar'!$C:$C,N23354))</f>
        <v>0</v>
      </c>
    </row>
    <row r="23355" spans="13:16">
      <c r="M23355" s="49">
        <f>IF($A$4+233&gt;$B$4,"",$A$4+233)</f>
        <v>46256</v>
      </c>
      <c r="N23355">
        <f>IF(M23355="","",'Master Barang'!A49)</f>
        <v>0</v>
      </c>
      <c r="O23355">
        <f>IF(N23355="","",'Master Barang'!B49)</f>
        <v>0</v>
      </c>
      <c r="P23355">
        <f>IF(OR(M23355="",N23355=""),"",SUMIFS('Barang Keluar'!$E:$E,'Barang Keluar'!$A:$A,M23355,'Barang Keluar'!$C:$C,N23355))</f>
        <v>0</v>
      </c>
    </row>
    <row r="23356" spans="13:16">
      <c r="M23356" s="49">
        <f>IF($A$4+233&gt;$B$4,"",$A$4+233)</f>
        <v>46256</v>
      </c>
      <c r="N23356">
        <f>IF(M23356="","",'Master Barang'!A50)</f>
        <v>0</v>
      </c>
      <c r="O23356">
        <f>IF(N23356="","",'Master Barang'!B50)</f>
        <v>0</v>
      </c>
      <c r="P23356">
        <f>IF(OR(M23356="",N23356=""),"",SUMIFS('Barang Keluar'!$E:$E,'Barang Keluar'!$A:$A,M23356,'Barang Keluar'!$C:$C,N23356))</f>
        <v>0</v>
      </c>
    </row>
    <row r="23357" spans="13:16">
      <c r="M23357" s="49">
        <f>IF($A$4+233&gt;$B$4,"",$A$4+233)</f>
        <v>46256</v>
      </c>
      <c r="N23357">
        <f>IF(M23357="","",'Master Barang'!A51)</f>
        <v>0</v>
      </c>
      <c r="O23357">
        <f>IF(N23357="","",'Master Barang'!B51)</f>
        <v>0</v>
      </c>
      <c r="P23357">
        <f>IF(OR(M23357="",N23357=""),"",SUMIFS('Barang Keluar'!$E:$E,'Barang Keluar'!$A:$A,M23357,'Barang Keluar'!$C:$C,N23357))</f>
        <v>0</v>
      </c>
    </row>
    <row r="23358" spans="13:16">
      <c r="M23358" s="49">
        <f>IF($A$4+233&gt;$B$4,"",$A$4+233)</f>
        <v>46256</v>
      </c>
      <c r="N23358">
        <f>IF(M23358="","",'Master Barang'!A52)</f>
        <v>0</v>
      </c>
      <c r="O23358">
        <f>IF(N23358="","",'Master Barang'!B52)</f>
        <v>0</v>
      </c>
      <c r="P23358">
        <f>IF(OR(M23358="",N23358=""),"",SUMIFS('Barang Keluar'!$E:$E,'Barang Keluar'!$A:$A,M23358,'Barang Keluar'!$C:$C,N23358))</f>
        <v>0</v>
      </c>
    </row>
    <row r="23359" spans="13:16">
      <c r="M23359" s="49">
        <f>IF($A$4+233&gt;$B$4,"",$A$4+233)</f>
        <v>46256</v>
      </c>
      <c r="N23359">
        <f>IF(M23359="","",'Master Barang'!A53)</f>
        <v>0</v>
      </c>
      <c r="O23359">
        <f>IF(N23359="","",'Master Barang'!B53)</f>
        <v>0</v>
      </c>
      <c r="P23359">
        <f>IF(OR(M23359="",N23359=""),"",SUMIFS('Barang Keluar'!$E:$E,'Barang Keluar'!$A:$A,M23359,'Barang Keluar'!$C:$C,N23359))</f>
        <v>0</v>
      </c>
    </row>
    <row r="23360" spans="13:16">
      <c r="M23360" s="49">
        <f>IF($A$4+233&gt;$B$4,"",$A$4+233)</f>
        <v>46256</v>
      </c>
      <c r="N23360">
        <f>IF(M23360="","",'Master Barang'!A54)</f>
        <v>0</v>
      </c>
      <c r="O23360">
        <f>IF(N23360="","",'Master Barang'!B54)</f>
        <v>0</v>
      </c>
      <c r="P23360">
        <f>IF(OR(M23360="",N23360=""),"",SUMIFS('Barang Keluar'!$E:$E,'Barang Keluar'!$A:$A,M23360,'Barang Keluar'!$C:$C,N23360))</f>
        <v>0</v>
      </c>
    </row>
    <row r="23361" spans="13:16">
      <c r="M23361" s="49">
        <f>IF($A$4+233&gt;$B$4,"",$A$4+233)</f>
        <v>46256</v>
      </c>
      <c r="N23361">
        <f>IF(M23361="","",'Master Barang'!A55)</f>
        <v>0</v>
      </c>
      <c r="O23361">
        <f>IF(N23361="","",'Master Barang'!B55)</f>
        <v>0</v>
      </c>
      <c r="P23361">
        <f>IF(OR(M23361="",N23361=""),"",SUMIFS('Barang Keluar'!$E:$E,'Barang Keluar'!$A:$A,M23361,'Barang Keluar'!$C:$C,N23361))</f>
        <v>0</v>
      </c>
    </row>
    <row r="23362" spans="13:16">
      <c r="M23362" s="49">
        <f>IF($A$4+233&gt;$B$4,"",$A$4+233)</f>
        <v>46256</v>
      </c>
      <c r="N23362">
        <f>IF(M23362="","",'Master Barang'!A56)</f>
        <v>0</v>
      </c>
      <c r="O23362">
        <f>IF(N23362="","",'Master Barang'!B56)</f>
        <v>0</v>
      </c>
      <c r="P23362">
        <f>IF(OR(M23362="",N23362=""),"",SUMIFS('Barang Keluar'!$E:$E,'Barang Keluar'!$A:$A,M23362,'Barang Keluar'!$C:$C,N23362))</f>
        <v>0</v>
      </c>
    </row>
    <row r="23363" spans="13:16">
      <c r="M23363" s="49">
        <f>IF($A$4+233&gt;$B$4,"",$A$4+233)</f>
        <v>46256</v>
      </c>
      <c r="N23363">
        <f>IF(M23363="","",'Master Barang'!A57)</f>
        <v>0</v>
      </c>
      <c r="O23363">
        <f>IF(N23363="","",'Master Barang'!B57)</f>
        <v>0</v>
      </c>
      <c r="P23363">
        <f>IF(OR(M23363="",N23363=""),"",SUMIFS('Barang Keluar'!$E:$E,'Barang Keluar'!$A:$A,M23363,'Barang Keluar'!$C:$C,N23363))</f>
        <v>0</v>
      </c>
    </row>
    <row r="23364" spans="13:16">
      <c r="M23364" s="49">
        <f>IF($A$4+233&gt;$B$4,"",$A$4+233)</f>
        <v>46256</v>
      </c>
      <c r="N23364">
        <f>IF(M23364="","",'Master Barang'!A58)</f>
        <v>0</v>
      </c>
      <c r="O23364">
        <f>IF(N23364="","",'Master Barang'!B58)</f>
        <v>0</v>
      </c>
      <c r="P23364">
        <f>IF(OR(M23364="",N23364=""),"",SUMIFS('Barang Keluar'!$E:$E,'Barang Keluar'!$A:$A,M23364,'Barang Keluar'!$C:$C,N23364))</f>
        <v>0</v>
      </c>
    </row>
    <row r="23365" spans="13:16">
      <c r="M23365" s="49">
        <f>IF($A$4+233&gt;$B$4,"",$A$4+233)</f>
        <v>46256</v>
      </c>
      <c r="N23365">
        <f>IF(M23365="","",'Master Barang'!A59)</f>
        <v>0</v>
      </c>
      <c r="O23365">
        <f>IF(N23365="","",'Master Barang'!B59)</f>
        <v>0</v>
      </c>
      <c r="P23365">
        <f>IF(OR(M23365="",N23365=""),"",SUMIFS('Barang Keluar'!$E:$E,'Barang Keluar'!$A:$A,M23365,'Barang Keluar'!$C:$C,N23365))</f>
        <v>0</v>
      </c>
    </row>
    <row r="23366" spans="13:16">
      <c r="M23366" s="49">
        <f>IF($A$4+233&gt;$B$4,"",$A$4+233)</f>
        <v>46256</v>
      </c>
      <c r="N23366">
        <f>IF(M23366="","",'Master Barang'!A60)</f>
        <v>0</v>
      </c>
      <c r="O23366">
        <f>IF(N23366="","",'Master Barang'!B60)</f>
        <v>0</v>
      </c>
      <c r="P23366">
        <f>IF(OR(M23366="",N23366=""),"",SUMIFS('Barang Keluar'!$E:$E,'Barang Keluar'!$A:$A,M23366,'Barang Keluar'!$C:$C,N23366))</f>
        <v>0</v>
      </c>
    </row>
    <row r="23367" spans="13:16">
      <c r="M23367" s="49">
        <f>IF($A$4+233&gt;$B$4,"",$A$4+233)</f>
        <v>46256</v>
      </c>
      <c r="N23367">
        <f>IF(M23367="","",'Master Barang'!A61)</f>
        <v>0</v>
      </c>
      <c r="O23367">
        <f>IF(N23367="","",'Master Barang'!B61)</f>
        <v>0</v>
      </c>
      <c r="P23367">
        <f>IF(OR(M23367="",N23367=""),"",SUMIFS('Barang Keluar'!$E:$E,'Barang Keluar'!$A:$A,M23367,'Barang Keluar'!$C:$C,N23367))</f>
        <v>0</v>
      </c>
    </row>
    <row r="23368" spans="13:16">
      <c r="M23368" s="49">
        <f>IF($A$4+233&gt;$B$4,"",$A$4+233)</f>
        <v>46256</v>
      </c>
      <c r="N23368">
        <f>IF(M23368="","",'Master Barang'!A62)</f>
        <v>0</v>
      </c>
      <c r="O23368">
        <f>IF(N23368="","",'Master Barang'!B62)</f>
        <v>0</v>
      </c>
      <c r="P23368">
        <f>IF(OR(M23368="",N23368=""),"",SUMIFS('Barang Keluar'!$E:$E,'Barang Keluar'!$A:$A,M23368,'Barang Keluar'!$C:$C,N23368))</f>
        <v>0</v>
      </c>
    </row>
    <row r="23369" spans="13:16">
      <c r="M23369" s="49">
        <f>IF($A$4+233&gt;$B$4,"",$A$4+233)</f>
        <v>46256</v>
      </c>
      <c r="N23369">
        <f>IF(M23369="","",'Master Barang'!A63)</f>
        <v>0</v>
      </c>
      <c r="O23369">
        <f>IF(N23369="","",'Master Barang'!B63)</f>
        <v>0</v>
      </c>
      <c r="P23369">
        <f>IF(OR(M23369="",N23369=""),"",SUMIFS('Barang Keluar'!$E:$E,'Barang Keluar'!$A:$A,M23369,'Barang Keluar'!$C:$C,N23369))</f>
        <v>0</v>
      </c>
    </row>
    <row r="23370" spans="13:16">
      <c r="M23370" s="49">
        <f>IF($A$4+233&gt;$B$4,"",$A$4+233)</f>
        <v>46256</v>
      </c>
      <c r="N23370">
        <f>IF(M23370="","",'Master Barang'!A64)</f>
        <v>0</v>
      </c>
      <c r="O23370">
        <f>IF(N23370="","",'Master Barang'!B64)</f>
        <v>0</v>
      </c>
      <c r="P23370">
        <f>IF(OR(M23370="",N23370=""),"",SUMIFS('Barang Keluar'!$E:$E,'Barang Keluar'!$A:$A,M23370,'Barang Keluar'!$C:$C,N23370))</f>
        <v>0</v>
      </c>
    </row>
    <row r="23371" spans="13:16">
      <c r="M23371" s="49">
        <f>IF($A$4+233&gt;$B$4,"",$A$4+233)</f>
        <v>46256</v>
      </c>
      <c r="N23371">
        <f>IF(M23371="","",'Master Barang'!A65)</f>
        <v>0</v>
      </c>
      <c r="O23371">
        <f>IF(N23371="","",'Master Barang'!B65)</f>
        <v>0</v>
      </c>
      <c r="P23371">
        <f>IF(OR(M23371="",N23371=""),"",SUMIFS('Barang Keluar'!$E:$E,'Barang Keluar'!$A:$A,M23371,'Barang Keluar'!$C:$C,N23371))</f>
        <v>0</v>
      </c>
    </row>
    <row r="23372" spans="13:16">
      <c r="M23372" s="49">
        <f>IF($A$4+233&gt;$B$4,"",$A$4+233)</f>
        <v>46256</v>
      </c>
      <c r="N23372">
        <f>IF(M23372="","",'Master Barang'!A66)</f>
        <v>0</v>
      </c>
      <c r="O23372">
        <f>IF(N23372="","",'Master Barang'!B66)</f>
        <v>0</v>
      </c>
      <c r="P23372">
        <f>IF(OR(M23372="",N23372=""),"",SUMIFS('Barang Keluar'!$E:$E,'Barang Keluar'!$A:$A,M23372,'Barang Keluar'!$C:$C,N23372))</f>
        <v>0</v>
      </c>
    </row>
    <row r="23373" spans="13:16">
      <c r="M23373" s="49">
        <f>IF($A$4+233&gt;$B$4,"",$A$4+233)</f>
        <v>46256</v>
      </c>
      <c r="N23373">
        <f>IF(M23373="","",'Master Barang'!A67)</f>
        <v>0</v>
      </c>
      <c r="O23373">
        <f>IF(N23373="","",'Master Barang'!B67)</f>
        <v>0</v>
      </c>
      <c r="P23373">
        <f>IF(OR(M23373="",N23373=""),"",SUMIFS('Barang Keluar'!$E:$E,'Barang Keluar'!$A:$A,M23373,'Barang Keluar'!$C:$C,N23373))</f>
        <v>0</v>
      </c>
    </row>
    <row r="23374" spans="13:16">
      <c r="M23374" s="49">
        <f>IF($A$4+233&gt;$B$4,"",$A$4+233)</f>
        <v>46256</v>
      </c>
      <c r="N23374">
        <f>IF(M23374="","",'Master Barang'!A68)</f>
        <v>0</v>
      </c>
      <c r="O23374">
        <f>IF(N23374="","",'Master Barang'!B68)</f>
        <v>0</v>
      </c>
      <c r="P23374">
        <f>IF(OR(M23374="",N23374=""),"",SUMIFS('Barang Keluar'!$E:$E,'Barang Keluar'!$A:$A,M23374,'Barang Keluar'!$C:$C,N23374))</f>
        <v>0</v>
      </c>
    </row>
    <row r="23375" spans="13:16">
      <c r="M23375" s="49">
        <f>IF($A$4+233&gt;$B$4,"",$A$4+233)</f>
        <v>46256</v>
      </c>
      <c r="N23375">
        <f>IF(M23375="","",'Master Barang'!A69)</f>
        <v>0</v>
      </c>
      <c r="O23375">
        <f>IF(N23375="","",'Master Barang'!B69)</f>
        <v>0</v>
      </c>
      <c r="P23375">
        <f>IF(OR(M23375="",N23375=""),"",SUMIFS('Barang Keluar'!$E:$E,'Barang Keluar'!$A:$A,M23375,'Barang Keluar'!$C:$C,N23375))</f>
        <v>0</v>
      </c>
    </row>
    <row r="23376" spans="13:16">
      <c r="M23376" s="49">
        <f>IF($A$4+233&gt;$B$4,"",$A$4+233)</f>
        <v>46256</v>
      </c>
      <c r="N23376">
        <f>IF(M23376="","",'Master Barang'!A70)</f>
        <v>0</v>
      </c>
      <c r="O23376">
        <f>IF(N23376="","",'Master Barang'!B70)</f>
        <v>0</v>
      </c>
      <c r="P23376">
        <f>IF(OR(M23376="",N23376=""),"",SUMIFS('Barang Keluar'!$E:$E,'Barang Keluar'!$A:$A,M23376,'Barang Keluar'!$C:$C,N23376))</f>
        <v>0</v>
      </c>
    </row>
    <row r="23377" spans="13:16">
      <c r="M23377" s="49">
        <f>IF($A$4+233&gt;$B$4,"",$A$4+233)</f>
        <v>46256</v>
      </c>
      <c r="N23377">
        <f>IF(M23377="","",'Master Barang'!A71)</f>
        <v>0</v>
      </c>
      <c r="O23377">
        <f>IF(N23377="","",'Master Barang'!B71)</f>
        <v>0</v>
      </c>
      <c r="P23377">
        <f>IF(OR(M23377="",N23377=""),"",SUMIFS('Barang Keluar'!$E:$E,'Barang Keluar'!$A:$A,M23377,'Barang Keluar'!$C:$C,N23377))</f>
        <v>0</v>
      </c>
    </row>
    <row r="23378" spans="13:16">
      <c r="M23378" s="49">
        <f>IF($A$4+233&gt;$B$4,"",$A$4+233)</f>
        <v>46256</v>
      </c>
      <c r="N23378">
        <f>IF(M23378="","",'Master Barang'!A72)</f>
        <v>0</v>
      </c>
      <c r="O23378">
        <f>IF(N23378="","",'Master Barang'!B72)</f>
        <v>0</v>
      </c>
      <c r="P23378">
        <f>IF(OR(M23378="",N23378=""),"",SUMIFS('Barang Keluar'!$E:$E,'Barang Keluar'!$A:$A,M23378,'Barang Keluar'!$C:$C,N23378))</f>
        <v>0</v>
      </c>
    </row>
    <row r="23379" spans="13:16">
      <c r="M23379" s="49">
        <f>IF($A$4+233&gt;$B$4,"",$A$4+233)</f>
        <v>46256</v>
      </c>
      <c r="N23379">
        <f>IF(M23379="","",'Master Barang'!A73)</f>
        <v>0</v>
      </c>
      <c r="O23379">
        <f>IF(N23379="","",'Master Barang'!B73)</f>
        <v>0</v>
      </c>
      <c r="P23379">
        <f>IF(OR(M23379="",N23379=""),"",SUMIFS('Barang Keluar'!$E:$E,'Barang Keluar'!$A:$A,M23379,'Barang Keluar'!$C:$C,N23379))</f>
        <v>0</v>
      </c>
    </row>
    <row r="23380" spans="13:16">
      <c r="M23380" s="49">
        <f>IF($A$4+233&gt;$B$4,"",$A$4+233)</f>
        <v>46256</v>
      </c>
      <c r="N23380">
        <f>IF(M23380="","",'Master Barang'!A74)</f>
        <v>0</v>
      </c>
      <c r="O23380">
        <f>IF(N23380="","",'Master Barang'!B74)</f>
        <v>0</v>
      </c>
      <c r="P23380">
        <f>IF(OR(M23380="",N23380=""),"",SUMIFS('Barang Keluar'!$E:$E,'Barang Keluar'!$A:$A,M23380,'Barang Keluar'!$C:$C,N23380))</f>
        <v>0</v>
      </c>
    </row>
    <row r="23381" spans="13:16">
      <c r="M23381" s="49">
        <f>IF($A$4+233&gt;$B$4,"",$A$4+233)</f>
        <v>46256</v>
      </c>
      <c r="N23381">
        <f>IF(M23381="","",'Master Barang'!A75)</f>
        <v>0</v>
      </c>
      <c r="O23381">
        <f>IF(N23381="","",'Master Barang'!B75)</f>
        <v>0</v>
      </c>
      <c r="P23381">
        <f>IF(OR(M23381="",N23381=""),"",SUMIFS('Barang Keluar'!$E:$E,'Barang Keluar'!$A:$A,M23381,'Barang Keluar'!$C:$C,N23381))</f>
        <v>0</v>
      </c>
    </row>
    <row r="23382" spans="13:16">
      <c r="M23382" s="49">
        <f>IF($A$4+233&gt;$B$4,"",$A$4+233)</f>
        <v>46256</v>
      </c>
      <c r="N23382">
        <f>IF(M23382="","",'Master Barang'!A76)</f>
        <v>0</v>
      </c>
      <c r="O23382">
        <f>IF(N23382="","",'Master Barang'!B76)</f>
        <v>0</v>
      </c>
      <c r="P23382">
        <f>IF(OR(M23382="",N23382=""),"",SUMIFS('Barang Keluar'!$E:$E,'Barang Keluar'!$A:$A,M23382,'Barang Keluar'!$C:$C,N23382))</f>
        <v>0</v>
      </c>
    </row>
    <row r="23383" spans="13:16">
      <c r="M23383" s="49">
        <f>IF($A$4+233&gt;$B$4,"",$A$4+233)</f>
        <v>46256</v>
      </c>
      <c r="N23383">
        <f>IF(M23383="","",'Master Barang'!A77)</f>
        <v>0</v>
      </c>
      <c r="O23383">
        <f>IF(N23383="","",'Master Barang'!B77)</f>
        <v>0</v>
      </c>
      <c r="P23383">
        <f>IF(OR(M23383="",N23383=""),"",SUMIFS('Barang Keluar'!$E:$E,'Barang Keluar'!$A:$A,M23383,'Barang Keluar'!$C:$C,N23383))</f>
        <v>0</v>
      </c>
    </row>
    <row r="23384" spans="13:16">
      <c r="M23384" s="49">
        <f>IF($A$4+233&gt;$B$4,"",$A$4+233)</f>
        <v>46256</v>
      </c>
      <c r="N23384">
        <f>IF(M23384="","",'Master Barang'!A78)</f>
        <v>0</v>
      </c>
      <c r="O23384">
        <f>IF(N23384="","",'Master Barang'!B78)</f>
        <v>0</v>
      </c>
      <c r="P23384">
        <f>IF(OR(M23384="",N23384=""),"",SUMIFS('Barang Keluar'!$E:$E,'Barang Keluar'!$A:$A,M23384,'Barang Keluar'!$C:$C,N23384))</f>
        <v>0</v>
      </c>
    </row>
    <row r="23385" spans="13:16">
      <c r="M23385" s="49">
        <f>IF($A$4+233&gt;$B$4,"",$A$4+233)</f>
        <v>46256</v>
      </c>
      <c r="N23385">
        <f>IF(M23385="","",'Master Barang'!A79)</f>
        <v>0</v>
      </c>
      <c r="O23385">
        <f>IF(N23385="","",'Master Barang'!B79)</f>
        <v>0</v>
      </c>
      <c r="P23385">
        <f>IF(OR(M23385="",N23385=""),"",SUMIFS('Barang Keluar'!$E:$E,'Barang Keluar'!$A:$A,M23385,'Barang Keluar'!$C:$C,N23385))</f>
        <v>0</v>
      </c>
    </row>
    <row r="23386" spans="13:16">
      <c r="M23386" s="49">
        <f>IF($A$4+233&gt;$B$4,"",$A$4+233)</f>
        <v>46256</v>
      </c>
      <c r="N23386">
        <f>IF(M23386="","",'Master Barang'!A80)</f>
        <v>0</v>
      </c>
      <c r="O23386">
        <f>IF(N23386="","",'Master Barang'!B80)</f>
        <v>0</v>
      </c>
      <c r="P23386">
        <f>IF(OR(M23386="",N23386=""),"",SUMIFS('Barang Keluar'!$E:$E,'Barang Keluar'!$A:$A,M23386,'Barang Keluar'!$C:$C,N23386))</f>
        <v>0</v>
      </c>
    </row>
    <row r="23387" spans="13:16">
      <c r="M23387" s="49">
        <f>IF($A$4+233&gt;$B$4,"",$A$4+233)</f>
        <v>46256</v>
      </c>
      <c r="N23387">
        <f>IF(M23387="","",'Master Barang'!A81)</f>
        <v>0</v>
      </c>
      <c r="O23387">
        <f>IF(N23387="","",'Master Barang'!B81)</f>
        <v>0</v>
      </c>
      <c r="P23387">
        <f>IF(OR(M23387="",N23387=""),"",SUMIFS('Barang Keluar'!$E:$E,'Barang Keluar'!$A:$A,M23387,'Barang Keluar'!$C:$C,N23387))</f>
        <v>0</v>
      </c>
    </row>
    <row r="23388" spans="13:16">
      <c r="M23388" s="49">
        <f>IF($A$4+233&gt;$B$4,"",$A$4+233)</f>
        <v>46256</v>
      </c>
      <c r="N23388">
        <f>IF(M23388="","",'Master Barang'!A82)</f>
        <v>0</v>
      </c>
      <c r="O23388">
        <f>IF(N23388="","",'Master Barang'!B82)</f>
        <v>0</v>
      </c>
      <c r="P23388">
        <f>IF(OR(M23388="",N23388=""),"",SUMIFS('Barang Keluar'!$E:$E,'Barang Keluar'!$A:$A,M23388,'Barang Keluar'!$C:$C,N23388))</f>
        <v>0</v>
      </c>
    </row>
    <row r="23389" spans="13:16">
      <c r="M23389" s="49">
        <f>IF($A$4+233&gt;$B$4,"",$A$4+233)</f>
        <v>46256</v>
      </c>
      <c r="N23389">
        <f>IF(M23389="","",'Master Barang'!A83)</f>
        <v>0</v>
      </c>
      <c r="O23389">
        <f>IF(N23389="","",'Master Barang'!B83)</f>
        <v>0</v>
      </c>
      <c r="P23389">
        <f>IF(OR(M23389="",N23389=""),"",SUMIFS('Barang Keluar'!$E:$E,'Barang Keluar'!$A:$A,M23389,'Barang Keluar'!$C:$C,N23389))</f>
        <v>0</v>
      </c>
    </row>
    <row r="23390" spans="13:16">
      <c r="M23390" s="49">
        <f>IF($A$4+233&gt;$B$4,"",$A$4+233)</f>
        <v>46256</v>
      </c>
      <c r="N23390">
        <f>IF(M23390="","",'Master Barang'!A84)</f>
        <v>0</v>
      </c>
      <c r="O23390">
        <f>IF(N23390="","",'Master Barang'!B84)</f>
        <v>0</v>
      </c>
      <c r="P23390">
        <f>IF(OR(M23390="",N23390=""),"",SUMIFS('Barang Keluar'!$E:$E,'Barang Keluar'!$A:$A,M23390,'Barang Keluar'!$C:$C,N23390))</f>
        <v>0</v>
      </c>
    </row>
    <row r="23391" spans="13:16">
      <c r="M23391" s="49">
        <f>IF($A$4+233&gt;$B$4,"",$A$4+233)</f>
        <v>46256</v>
      </c>
      <c r="N23391">
        <f>IF(M23391="","",'Master Barang'!A85)</f>
        <v>0</v>
      </c>
      <c r="O23391">
        <f>IF(N23391="","",'Master Barang'!B85)</f>
        <v>0</v>
      </c>
      <c r="P23391">
        <f>IF(OR(M23391="",N23391=""),"",SUMIFS('Barang Keluar'!$E:$E,'Barang Keluar'!$A:$A,M23391,'Barang Keluar'!$C:$C,N23391))</f>
        <v>0</v>
      </c>
    </row>
    <row r="23392" spans="13:16">
      <c r="M23392" s="49">
        <f>IF($A$4+233&gt;$B$4,"",$A$4+233)</f>
        <v>46256</v>
      </c>
      <c r="N23392">
        <f>IF(M23392="","",'Master Barang'!A86)</f>
        <v>0</v>
      </c>
      <c r="O23392">
        <f>IF(N23392="","",'Master Barang'!B86)</f>
        <v>0</v>
      </c>
      <c r="P23392">
        <f>IF(OR(M23392="",N23392=""),"",SUMIFS('Barang Keluar'!$E:$E,'Barang Keluar'!$A:$A,M23392,'Barang Keluar'!$C:$C,N23392))</f>
        <v>0</v>
      </c>
    </row>
    <row r="23393" spans="13:16">
      <c r="M23393" s="49">
        <f>IF($A$4+233&gt;$B$4,"",$A$4+233)</f>
        <v>46256</v>
      </c>
      <c r="N23393">
        <f>IF(M23393="","",'Master Barang'!A87)</f>
        <v>0</v>
      </c>
      <c r="O23393">
        <f>IF(N23393="","",'Master Barang'!B87)</f>
        <v>0</v>
      </c>
      <c r="P23393">
        <f>IF(OR(M23393="",N23393=""),"",SUMIFS('Barang Keluar'!$E:$E,'Barang Keluar'!$A:$A,M23393,'Barang Keluar'!$C:$C,N23393))</f>
        <v>0</v>
      </c>
    </row>
    <row r="23394" spans="13:16">
      <c r="M23394" s="49">
        <f>IF($A$4+233&gt;$B$4,"",$A$4+233)</f>
        <v>46256</v>
      </c>
      <c r="N23394">
        <f>IF(M23394="","",'Master Barang'!A88)</f>
        <v>0</v>
      </c>
      <c r="O23394">
        <f>IF(N23394="","",'Master Barang'!B88)</f>
        <v>0</v>
      </c>
      <c r="P23394">
        <f>IF(OR(M23394="",N23394=""),"",SUMIFS('Barang Keluar'!$E:$E,'Barang Keluar'!$A:$A,M23394,'Barang Keluar'!$C:$C,N23394))</f>
        <v>0</v>
      </c>
    </row>
    <row r="23395" spans="13:16">
      <c r="M23395" s="49">
        <f>IF($A$4+233&gt;$B$4,"",$A$4+233)</f>
        <v>46256</v>
      </c>
      <c r="N23395">
        <f>IF(M23395="","",'Master Barang'!A89)</f>
        <v>0</v>
      </c>
      <c r="O23395">
        <f>IF(N23395="","",'Master Barang'!B89)</f>
        <v>0</v>
      </c>
      <c r="P23395">
        <f>IF(OR(M23395="",N23395=""),"",SUMIFS('Barang Keluar'!$E:$E,'Barang Keluar'!$A:$A,M23395,'Barang Keluar'!$C:$C,N23395))</f>
        <v>0</v>
      </c>
    </row>
    <row r="23396" spans="13:16">
      <c r="M23396" s="49">
        <f>IF($A$4+233&gt;$B$4,"",$A$4+233)</f>
        <v>46256</v>
      </c>
      <c r="N23396">
        <f>IF(M23396="","",'Master Barang'!A90)</f>
        <v>0</v>
      </c>
      <c r="O23396">
        <f>IF(N23396="","",'Master Barang'!B90)</f>
        <v>0</v>
      </c>
      <c r="P23396">
        <f>IF(OR(M23396="",N23396=""),"",SUMIFS('Barang Keluar'!$E:$E,'Barang Keluar'!$A:$A,M23396,'Barang Keluar'!$C:$C,N23396))</f>
        <v>0</v>
      </c>
    </row>
    <row r="23397" spans="13:16">
      <c r="M23397" s="49">
        <f>IF($A$4+233&gt;$B$4,"",$A$4+233)</f>
        <v>46256</v>
      </c>
      <c r="N23397">
        <f>IF(M23397="","",'Master Barang'!A91)</f>
        <v>0</v>
      </c>
      <c r="O23397">
        <f>IF(N23397="","",'Master Barang'!B91)</f>
        <v>0</v>
      </c>
      <c r="P23397">
        <f>IF(OR(M23397="",N23397=""),"",SUMIFS('Barang Keluar'!$E:$E,'Barang Keluar'!$A:$A,M23397,'Barang Keluar'!$C:$C,N23397))</f>
        <v>0</v>
      </c>
    </row>
    <row r="23398" spans="13:16">
      <c r="M23398" s="49">
        <f>IF($A$4+233&gt;$B$4,"",$A$4+233)</f>
        <v>46256</v>
      </c>
      <c r="N23398">
        <f>IF(M23398="","",'Master Barang'!A92)</f>
        <v>0</v>
      </c>
      <c r="O23398">
        <f>IF(N23398="","",'Master Barang'!B92)</f>
        <v>0</v>
      </c>
      <c r="P23398">
        <f>IF(OR(M23398="",N23398=""),"",SUMIFS('Barang Keluar'!$E:$E,'Barang Keluar'!$A:$A,M23398,'Barang Keluar'!$C:$C,N23398))</f>
        <v>0</v>
      </c>
    </row>
    <row r="23399" spans="13:16">
      <c r="M23399" s="49">
        <f>IF($A$4+233&gt;$B$4,"",$A$4+233)</f>
        <v>46256</v>
      </c>
      <c r="N23399">
        <f>IF(M23399="","",'Master Barang'!A93)</f>
        <v>0</v>
      </c>
      <c r="O23399">
        <f>IF(N23399="","",'Master Barang'!B93)</f>
        <v>0</v>
      </c>
      <c r="P23399">
        <f>IF(OR(M23399="",N23399=""),"",SUMIFS('Barang Keluar'!$E:$E,'Barang Keluar'!$A:$A,M23399,'Barang Keluar'!$C:$C,N23399))</f>
        <v>0</v>
      </c>
    </row>
    <row r="23400" spans="13:16">
      <c r="M23400" s="49">
        <f>IF($A$4+233&gt;$B$4,"",$A$4+233)</f>
        <v>46256</v>
      </c>
      <c r="N23400">
        <f>IF(M23400="","",'Master Barang'!A94)</f>
        <v>0</v>
      </c>
      <c r="O23400">
        <f>IF(N23400="","",'Master Barang'!B94)</f>
        <v>0</v>
      </c>
      <c r="P23400">
        <f>IF(OR(M23400="",N23400=""),"",SUMIFS('Barang Keluar'!$E:$E,'Barang Keluar'!$A:$A,M23400,'Barang Keluar'!$C:$C,N23400))</f>
        <v>0</v>
      </c>
    </row>
    <row r="23401" spans="13:16">
      <c r="M23401" s="49">
        <f>IF($A$4+233&gt;$B$4,"",$A$4+233)</f>
        <v>46256</v>
      </c>
      <c r="N23401">
        <f>IF(M23401="","",'Master Barang'!A95)</f>
        <v>0</v>
      </c>
      <c r="O23401">
        <f>IF(N23401="","",'Master Barang'!B95)</f>
        <v>0</v>
      </c>
      <c r="P23401">
        <f>IF(OR(M23401="",N23401=""),"",SUMIFS('Barang Keluar'!$E:$E,'Barang Keluar'!$A:$A,M23401,'Barang Keluar'!$C:$C,N23401))</f>
        <v>0</v>
      </c>
    </row>
    <row r="23402" spans="13:16">
      <c r="M23402" s="49">
        <f>IF($A$4+233&gt;$B$4,"",$A$4+233)</f>
        <v>46256</v>
      </c>
      <c r="N23402">
        <f>IF(M23402="","",'Master Barang'!A96)</f>
        <v>0</v>
      </c>
      <c r="O23402">
        <f>IF(N23402="","",'Master Barang'!B96)</f>
        <v>0</v>
      </c>
      <c r="P23402">
        <f>IF(OR(M23402="",N23402=""),"",SUMIFS('Barang Keluar'!$E:$E,'Barang Keluar'!$A:$A,M23402,'Barang Keluar'!$C:$C,N23402))</f>
        <v>0</v>
      </c>
    </row>
    <row r="23403" spans="13:16">
      <c r="M23403" s="49">
        <f>IF($A$4+233&gt;$B$4,"",$A$4+233)</f>
        <v>46256</v>
      </c>
      <c r="N23403">
        <f>IF(M23403="","",'Master Barang'!A97)</f>
        <v>0</v>
      </c>
      <c r="O23403">
        <f>IF(N23403="","",'Master Barang'!B97)</f>
        <v>0</v>
      </c>
      <c r="P23403">
        <f>IF(OR(M23403="",N23403=""),"",SUMIFS('Barang Keluar'!$E:$E,'Barang Keluar'!$A:$A,M23403,'Barang Keluar'!$C:$C,N23403))</f>
        <v>0</v>
      </c>
    </row>
    <row r="23404" spans="13:16">
      <c r="M23404" s="49">
        <f>IF($A$4+233&gt;$B$4,"",$A$4+233)</f>
        <v>46256</v>
      </c>
      <c r="N23404">
        <f>IF(M23404="","",'Master Barang'!A98)</f>
        <v>0</v>
      </c>
      <c r="O23404">
        <f>IF(N23404="","",'Master Barang'!B98)</f>
        <v>0</v>
      </c>
      <c r="P23404">
        <f>IF(OR(M23404="",N23404=""),"",SUMIFS('Barang Keluar'!$E:$E,'Barang Keluar'!$A:$A,M23404,'Barang Keluar'!$C:$C,N23404))</f>
        <v>0</v>
      </c>
    </row>
    <row r="23405" spans="13:16">
      <c r="M23405" s="49">
        <f>IF($A$4+233&gt;$B$4,"",$A$4+233)</f>
        <v>46256</v>
      </c>
      <c r="N23405">
        <f>IF(M23405="","",'Master Barang'!A99)</f>
        <v>0</v>
      </c>
      <c r="O23405">
        <f>IF(N23405="","",'Master Barang'!B99)</f>
        <v>0</v>
      </c>
      <c r="P23405">
        <f>IF(OR(M23405="",N23405=""),"",SUMIFS('Barang Keluar'!$E:$E,'Barang Keluar'!$A:$A,M23405,'Barang Keluar'!$C:$C,N23405))</f>
        <v>0</v>
      </c>
    </row>
    <row r="23406" spans="13:16">
      <c r="M23406" s="49">
        <f>IF($A$4+233&gt;$B$4,"",$A$4+233)</f>
        <v>46256</v>
      </c>
      <c r="N23406">
        <f>IF(M23406="","",'Master Barang'!A100)</f>
        <v>0</v>
      </c>
      <c r="O23406">
        <f>IF(N23406="","",'Master Barang'!B100)</f>
        <v>0</v>
      </c>
      <c r="P23406">
        <f>IF(OR(M23406="",N23406=""),"",SUMIFS('Barang Keluar'!$E:$E,'Barang Keluar'!$A:$A,M23406,'Barang Keluar'!$C:$C,N23406))</f>
        <v>0</v>
      </c>
    </row>
    <row r="23407" spans="13:16">
      <c r="M23407" s="49">
        <f>IF($A$4+233&gt;$B$4,"",$A$4+233)</f>
        <v>46256</v>
      </c>
      <c r="N23407">
        <f>IF(M23407="","",'Master Barang'!A101)</f>
        <v>0</v>
      </c>
      <c r="O23407">
        <f>IF(N23407="","",'Master Barang'!B101)</f>
        <v>0</v>
      </c>
      <c r="P23407">
        <f>IF(OR(M23407="",N23407=""),"",SUMIFS('Barang Keluar'!$E:$E,'Barang Keluar'!$A:$A,M23407,'Barang Keluar'!$C:$C,N23407))</f>
        <v>0</v>
      </c>
    </row>
    <row r="23408" spans="13:16">
      <c r="M23408" s="49">
        <f>IF($A$4+234&gt;$B$4,"",$A$4+234)</f>
        <v>46257</v>
      </c>
      <c r="N23408" t="str">
        <f>IF(M23408="","",'Master Barang'!A2)</f>
        <v>PRL-001</v>
      </c>
      <c r="O23408" t="str">
        <f>IF(N23408="","",'Master Barang'!B2)</f>
        <v>natura desinfectant food grade 5l</v>
      </c>
      <c r="P23408">
        <f>IF(OR(M23408="",N23408=""),"",SUMIFS('Barang Keluar'!$E:$E,'Barang Keluar'!$A:$A,M23408,'Barang Keluar'!$C:$C,N23408))</f>
        <v>0</v>
      </c>
    </row>
    <row r="23409" spans="13:16">
      <c r="M23409" s="49">
        <f>IF($A$4+234&gt;$B$4,"",$A$4+234)</f>
        <v>46257</v>
      </c>
      <c r="N23409" t="str">
        <f>IF(M23409="","",'Master Barang'!A3)</f>
        <v>PRL-002</v>
      </c>
      <c r="O23409" t="str">
        <f>IF(N23409="","",'Master Barang'!B3)</f>
        <v>sunlight cairan pencuci piring 5l</v>
      </c>
      <c r="P23409">
        <f>IF(OR(M23409="",N23409=""),"",SUMIFS('Barang Keluar'!$E:$E,'Barang Keluar'!$A:$A,M23409,'Barang Keluar'!$C:$C,N23409))</f>
        <v>0</v>
      </c>
    </row>
    <row r="23410" spans="13:16">
      <c r="M23410" s="49">
        <f>IF($A$4+234&gt;$B$4,"",$A$4+234)</f>
        <v>46257</v>
      </c>
      <c r="N23410" t="str">
        <f>IF(M23410="","",'Master Barang'!A4)</f>
        <v>PRL-003</v>
      </c>
      <c r="O23410" t="str">
        <f>IF(N23410="","",'Master Barang'!B4)</f>
        <v>oixs cleaner 1l</v>
      </c>
      <c r="P23410">
        <f>IF(OR(M23410="",N23410=""),"",SUMIFS('Barang Keluar'!$E:$E,'Barang Keluar'!$A:$A,M23410,'Barang Keluar'!$C:$C,N23410))</f>
        <v>0</v>
      </c>
    </row>
    <row r="23411" spans="13:16">
      <c r="M23411" s="49">
        <f>IF($A$4+234&gt;$B$4,"",$A$4+234)</f>
        <v>46257</v>
      </c>
      <c r="N23411" t="str">
        <f>IF(M23411="","",'Master Barang'!A5)</f>
        <v>PRL-004</v>
      </c>
      <c r="O23411" t="str">
        <f>IF(N23411="","",'Master Barang'!B5)</f>
        <v>be clean tissue serbaguna</v>
      </c>
      <c r="P23411">
        <f>IF(OR(M23411="",N23411=""),"",SUMIFS('Barang Keluar'!$E:$E,'Barang Keluar'!$A:$A,M23411,'Barang Keluar'!$C:$C,N23411))</f>
        <v>0</v>
      </c>
    </row>
    <row r="23412" spans="13:16">
      <c r="M23412" s="49">
        <f>IF($A$4+234&gt;$B$4,"",$A$4+234)</f>
        <v>46257</v>
      </c>
      <c r="N23412" t="str">
        <f>IF(M23412="","",'Master Barang'!A6)</f>
        <v>PRL-005</v>
      </c>
      <c r="O23412" t="str">
        <f>IF(N23412="","",'Master Barang'!B6)</f>
        <v>spons cuci hijau</v>
      </c>
      <c r="P23412">
        <f>IF(OR(M23412="",N23412=""),"",SUMIFS('Barang Keluar'!$E:$E,'Barang Keluar'!$A:$A,M23412,'Barang Keluar'!$C:$C,N23412))</f>
        <v>0</v>
      </c>
    </row>
    <row r="23413" spans="13:16">
      <c r="M23413" s="49">
        <f>IF($A$4+234&gt;$B$4,"",$A$4+234)</f>
        <v>46257</v>
      </c>
      <c r="N23413" t="str">
        <f>IF(M23413="","",'Master Barang'!A7)</f>
        <v>PRL-006</v>
      </c>
      <c r="O23413" t="str">
        <f>IF(N23413="","",'Master Barang'!B7)</f>
        <v>sabut cuci stainless</v>
      </c>
      <c r="P23413">
        <f>IF(OR(M23413="",N23413=""),"",SUMIFS('Barang Keluar'!$E:$E,'Barang Keluar'!$A:$A,M23413,'Barang Keluar'!$C:$C,N23413))</f>
        <v>0</v>
      </c>
    </row>
    <row r="23414" spans="13:16">
      <c r="M23414" s="49">
        <f>IF($A$4+234&gt;$B$4,"",$A$4+234)</f>
        <v>46257</v>
      </c>
      <c r="N23414" t="str">
        <f>IF(M23414="","",'Master Barang'!A8)</f>
        <v>PRL-007</v>
      </c>
      <c r="O23414" t="str">
        <f>IF(N23414="","",'Master Barang'!B8)</f>
        <v>plastik kresek besar merah 50pc</v>
      </c>
      <c r="P23414">
        <f>IF(OR(M23414="",N23414=""),"",SUMIFS('Barang Keluar'!$E:$E,'Barang Keluar'!$A:$A,M23414,'Barang Keluar'!$C:$C,N23414))</f>
        <v>0</v>
      </c>
    </row>
    <row r="23415" spans="13:16">
      <c r="M23415" s="49">
        <f>IF($A$4+234&gt;$B$4,"",$A$4+234)</f>
        <v>46257</v>
      </c>
      <c r="N23415" t="str">
        <f>IF(M23415="","",'Master Barang'!A9)</f>
        <v>PRL-008</v>
      </c>
      <c r="O23415" t="str">
        <f>IF(N23415="","",'Master Barang'!B9)</f>
        <v>lap besar</v>
      </c>
      <c r="P23415">
        <f>IF(OR(M23415="",N23415=""),"",SUMIFS('Barang Keluar'!$E:$E,'Barang Keluar'!$A:$A,M23415,'Barang Keluar'!$C:$C,N23415))</f>
        <v>0</v>
      </c>
    </row>
    <row r="23416" spans="13:16">
      <c r="M23416" s="49">
        <f>IF($A$4+234&gt;$B$4,"",$A$4+234)</f>
        <v>46257</v>
      </c>
      <c r="N23416" t="str">
        <f>IF(M23416="","",'Master Barang'!A10)</f>
        <v>PRL-009</v>
      </c>
      <c r="O23416" t="str">
        <f>IF(N23416="","",'Master Barang'!B10)</f>
        <v>lap microfiber</v>
      </c>
      <c r="P23416">
        <f>IF(OR(M23416="",N23416=""),"",SUMIFS('Barang Keluar'!$E:$E,'Barang Keluar'!$A:$A,M23416,'Barang Keluar'!$C:$C,N23416))</f>
        <v>0</v>
      </c>
    </row>
    <row r="23417" spans="13:16">
      <c r="M23417" s="49">
        <f>IF($A$4+234&gt;$B$4,"",$A$4+234)</f>
        <v>46257</v>
      </c>
      <c r="N23417" t="str">
        <f>IF(M23417="","",'Master Barang'!A11)</f>
        <v>PRL-010</v>
      </c>
      <c r="O23417" t="str">
        <f>IF(N23417="","",'Master Barang'!B11)</f>
        <v>lap kecil</v>
      </c>
      <c r="P23417">
        <f>IF(OR(M23417="",N23417=""),"",SUMIFS('Barang Keluar'!$E:$E,'Barang Keluar'!$A:$A,M23417,'Barang Keluar'!$C:$C,N23417))</f>
        <v>0</v>
      </c>
    </row>
    <row r="23418" spans="13:16">
      <c r="M23418" s="49">
        <f>IF($A$4+234&gt;$B$4,"",$A$4+234)</f>
        <v>46257</v>
      </c>
      <c r="N23418" t="str">
        <f>IF(M23418="","",'Master Barang'!A12)</f>
        <v>PRL-011</v>
      </c>
      <c r="O23418" t="str">
        <f>IF(N23418="","",'Master Barang'!B12)</f>
        <v>kanebo kecil</v>
      </c>
      <c r="P23418">
        <f>IF(OR(M23418="",N23418=""),"",SUMIFS('Barang Keluar'!$E:$E,'Barang Keluar'!$A:$A,M23418,'Barang Keluar'!$C:$C,N23418))</f>
        <v>0</v>
      </c>
    </row>
    <row r="23419" spans="13:16">
      <c r="M23419" s="49">
        <f>IF($A$4+234&gt;$B$4,"",$A$4+234)</f>
        <v>46257</v>
      </c>
      <c r="N23419" t="str">
        <f>IF(M23419="","",'Master Barang'!A13)</f>
        <v>PRL-012</v>
      </c>
      <c r="O23419" t="str">
        <f>IF(N23419="","",'Master Barang'!B13)</f>
        <v>plastik 1/4kg joyoboyo 100 lembar</v>
      </c>
      <c r="P23419">
        <f>IF(OR(M23419="",N23419=""),"",SUMIFS('Barang Keluar'!$E:$E,'Barang Keluar'!$A:$A,M23419,'Barang Keluar'!$C:$C,N23419))</f>
        <v>0</v>
      </c>
    </row>
    <row r="23420" spans="13:16">
      <c r="M23420" s="49">
        <f>IF($A$4+234&gt;$B$4,"",$A$4+234)</f>
        <v>46257</v>
      </c>
      <c r="N23420" t="str">
        <f>IF(M23420="","",'Master Barang'!A14)</f>
        <v>PRL-013</v>
      </c>
      <c r="O23420" t="str">
        <f>IF(N23420="","",'Master Barang'!B14)</f>
        <v>sarung tangan plastik kaka 100 pcs</v>
      </c>
      <c r="P23420">
        <f>IF(OR(M23420="",N23420=""),"",SUMIFS('Barang Keluar'!$E:$E,'Barang Keluar'!$A:$A,M23420,'Barang Keluar'!$C:$C,N23420))</f>
        <v>0</v>
      </c>
    </row>
    <row r="23421" spans="13:16">
      <c r="M23421" s="49">
        <f>IF($A$4+234&gt;$B$4,"",$A$4+234)</f>
        <v>46257</v>
      </c>
      <c r="N23421" t="str">
        <f>IF(M23421="","",'Master Barang'!A15)</f>
        <v>PRL-014</v>
      </c>
      <c r="O23421" t="str">
        <f>IF(N23421="","",'Master Barang'!B15)</f>
        <v>optima trashbag 80x100</v>
      </c>
      <c r="P23421">
        <f>IF(OR(M23421="",N23421=""),"",SUMIFS('Barang Keluar'!$E:$E,'Barang Keluar'!$A:$A,M23421,'Barang Keluar'!$C:$C,N23421))</f>
        <v>0</v>
      </c>
    </row>
    <row r="23422" spans="13:16">
      <c r="M23422" s="49">
        <f>IF($A$4+234&gt;$B$4,"",$A$4+234)</f>
        <v>46257</v>
      </c>
      <c r="N23422" t="str">
        <f>IF(M23422="","",'Master Barang'!A16)</f>
        <v>PRL-015</v>
      </c>
      <c r="O23422" t="str">
        <f>IF(N23422="","",'Master Barang'!B16)</f>
        <v>optima trashbag 60x100</v>
      </c>
      <c r="P23422">
        <f>IF(OR(M23422="",N23422=""),"",SUMIFS('Barang Keluar'!$E:$E,'Barang Keluar'!$A:$A,M23422,'Barang Keluar'!$C:$C,N23422))</f>
        <v>0</v>
      </c>
    </row>
    <row r="23423" spans="13:16">
      <c r="M23423" s="49">
        <f>IF($A$4+234&gt;$B$4,"",$A$4+234)</f>
        <v>46257</v>
      </c>
      <c r="N23423" t="str">
        <f>IF(M23423="","",'Master Barang'!A17)</f>
        <v>PRL-016</v>
      </c>
      <c r="O23423" t="str">
        <f>IF(N23423="","",'Master Barang'!B17)</f>
        <v>rajawali trashbag 30x40</v>
      </c>
      <c r="P23423">
        <f>IF(OR(M23423="",N23423=""),"",SUMIFS('Barang Keluar'!$E:$E,'Barang Keluar'!$A:$A,M23423,'Barang Keluar'!$C:$C,N23423))</f>
        <v>0</v>
      </c>
    </row>
    <row r="23424" spans="13:16">
      <c r="M23424" s="49">
        <f>IF($A$4+234&gt;$B$4,"",$A$4+234)</f>
        <v>46257</v>
      </c>
      <c r="N23424" t="str">
        <f>IF(M23424="","",'Master Barang'!A18)</f>
        <v>PRL-017</v>
      </c>
      <c r="O23424" t="str">
        <f>IF(N23424="","",'Master Barang'!B18)</f>
        <v>onemed masker biru 3 play 50 pcs</v>
      </c>
      <c r="P23424">
        <f>IF(OR(M23424="",N23424=""),"",SUMIFS('Barang Keluar'!$E:$E,'Barang Keluar'!$A:$A,M23424,'Barang Keluar'!$C:$C,N23424))</f>
        <v>0</v>
      </c>
    </row>
    <row r="23425" spans="13:16">
      <c r="M23425" s="49">
        <f>IF($A$4+234&gt;$B$4,"",$A$4+234)</f>
        <v>46257</v>
      </c>
      <c r="N23425" t="str">
        <f>IF(M23425="","",'Master Barang'!A19)</f>
        <v>PRL-018</v>
      </c>
      <c r="O23425" t="str">
        <f>IF(N23425="","",'Master Barang'!B19)</f>
        <v>onemed masker biru 3 play hijab 50 pcs</v>
      </c>
      <c r="P23425">
        <f>IF(OR(M23425="",N23425=""),"",SUMIFS('Barang Keluar'!$E:$E,'Barang Keluar'!$A:$A,M23425,'Barang Keluar'!$C:$C,N23425))</f>
        <v>0</v>
      </c>
    </row>
    <row r="23426" spans="13:16">
      <c r="M23426" s="49">
        <f>IF($A$4+234&gt;$B$4,"",$A$4+234)</f>
        <v>46257</v>
      </c>
      <c r="N23426" t="str">
        <f>IF(M23426="","",'Master Barang'!A20)</f>
        <v>PRL-019</v>
      </c>
      <c r="O23426" t="str">
        <f>IF(N23426="","",'Master Barang'!B20)</f>
        <v>neo health masker biru 3 play 50 pcs</v>
      </c>
      <c r="P23426">
        <f>IF(OR(M23426="",N23426=""),"",SUMIFS('Barang Keluar'!$E:$E,'Barang Keluar'!$A:$A,M23426,'Barang Keluar'!$C:$C,N23426))</f>
        <v>0</v>
      </c>
    </row>
    <row r="23427" spans="13:16">
      <c r="M23427" s="49">
        <f>IF($A$4+234&gt;$B$4,"",$A$4+234)</f>
        <v>46257</v>
      </c>
      <c r="N23427" t="str">
        <f>IF(M23427="","",'Master Barang'!A21)</f>
        <v>PRL-020</v>
      </c>
      <c r="O23427" t="str">
        <f>IF(N23427="","",'Master Barang'!B21)</f>
        <v>baymed masker hijau 3 play hijau 50 pcs</v>
      </c>
      <c r="P23427">
        <f>IF(OR(M23427="",N23427=""),"",SUMIFS('Barang Keluar'!$E:$E,'Barang Keluar'!$A:$A,M23427,'Barang Keluar'!$C:$C,N23427))</f>
        <v>0</v>
      </c>
    </row>
    <row r="23428" spans="13:16">
      <c r="M23428" s="49">
        <f>IF($A$4+234&gt;$B$4,"",$A$4+234)</f>
        <v>46257</v>
      </c>
      <c r="N23428" t="str">
        <f>IF(M23428="","",'Master Barang'!A22)</f>
        <v>PRL-021</v>
      </c>
      <c r="O23428" t="str">
        <f>IF(N23428="","",'Master Barang'!B22)</f>
        <v>altamed nurse cap penutup kepala 100 pcs</v>
      </c>
      <c r="P23428">
        <f>IF(OR(M23428="",N23428=""),"",SUMIFS('Barang Keluar'!$E:$E,'Barang Keluar'!$A:$A,M23428,'Barang Keluar'!$C:$C,N23428))</f>
        <v>0</v>
      </c>
    </row>
    <row r="23429" spans="13:16">
      <c r="M23429" s="49">
        <f>IF($A$4+234&gt;$B$4,"",$A$4+234)</f>
        <v>46257</v>
      </c>
      <c r="N23429" t="str">
        <f>IF(M23429="","",'Master Barang'!A23)</f>
        <v>PRL-022</v>
      </c>
      <c r="O23429" t="str">
        <f>IF(N23429="","",'Master Barang'!B23)</f>
        <v>sabun cuci tangan</v>
      </c>
      <c r="P23429">
        <f>IF(OR(M23429="",N23429=""),"",SUMIFS('Barang Keluar'!$E:$E,'Barang Keluar'!$A:$A,M23429,'Barang Keluar'!$C:$C,N23429))</f>
        <v>0</v>
      </c>
    </row>
    <row r="23430" spans="13:16">
      <c r="M23430" s="49">
        <f>IF($A$4+234&gt;$B$4,"",$A$4+234)</f>
        <v>46257</v>
      </c>
      <c r="N23430" t="str">
        <f>IF(M23430="","",'Master Barang'!A24)</f>
        <v>PRL-023</v>
      </c>
      <c r="O23430" t="str">
        <f>IF(N23430="","",'Master Barang'!B24)</f>
        <v>gayung kecil</v>
      </c>
      <c r="P23430">
        <f>IF(OR(M23430="",N23430=""),"",SUMIFS('Barang Keluar'!$E:$E,'Barang Keluar'!$A:$A,M23430,'Barang Keluar'!$C:$C,N23430))</f>
        <v>0</v>
      </c>
    </row>
    <row r="23431" spans="13:16">
      <c r="M23431" s="49">
        <f>IF($A$4+234&gt;$B$4,"",$A$4+234)</f>
        <v>46257</v>
      </c>
      <c r="N23431" t="str">
        <f>IF(M23431="","",'Master Barang'!A25)</f>
        <v>PRL-024</v>
      </c>
      <c r="O23431" t="str">
        <f>IF(N23431="","",'Master Barang'!B25)</f>
        <v>cikrak kecil</v>
      </c>
      <c r="P23431">
        <f>IF(OR(M23431="",N23431=""),"",SUMIFS('Barang Keluar'!$E:$E,'Barang Keluar'!$A:$A,M23431,'Barang Keluar'!$C:$C,N23431))</f>
        <v>0</v>
      </c>
    </row>
    <row r="23432" spans="13:16">
      <c r="M23432" s="49">
        <f>IF($A$4+234&gt;$B$4,"",$A$4+234)</f>
        <v>46257</v>
      </c>
      <c r="N23432" t="str">
        <f>IF(M23432="","",'Master Barang'!A26)</f>
        <v>PRL-025</v>
      </c>
      <c r="O23432" t="str">
        <f>IF(N23432="","",'Master Barang'!B26)</f>
        <v>petromax plastik kecil 12x24 100 lembar</v>
      </c>
      <c r="P23432">
        <f>IF(OR(M23432="",N23432=""),"",SUMIFS('Barang Keluar'!$E:$E,'Barang Keluar'!$A:$A,M23432,'Barang Keluar'!$C:$C,N23432))</f>
        <v>0</v>
      </c>
    </row>
    <row r="23433" spans="13:16">
      <c r="M23433" s="49">
        <f>IF($A$4+234&gt;$B$4,"",$A$4+234)</f>
        <v>46257</v>
      </c>
      <c r="N23433" t="str">
        <f>IF(M23433="","",'Master Barang'!A27)</f>
        <v>PRL-026</v>
      </c>
      <c r="O23433" t="str">
        <f>IF(N23433="","",'Master Barang'!B27)</f>
        <v>lancar kresek kecil bening </v>
      </c>
      <c r="P23433">
        <f>IF(OR(M23433="",N23433=""),"",SUMIFS('Barang Keluar'!$E:$E,'Barang Keluar'!$A:$A,M23433,'Barang Keluar'!$C:$C,N23433))</f>
        <v>0</v>
      </c>
    </row>
    <row r="23434" spans="13:16">
      <c r="M23434" s="49">
        <f>IF($A$4+234&gt;$B$4,"",$A$4+234)</f>
        <v>46257</v>
      </c>
      <c r="N23434" t="str">
        <f>IF(M23434="","",'Master Barang'!A28)</f>
        <v>PRL-027</v>
      </c>
      <c r="O23434" t="str">
        <f>IF(N23434="","",'Master Barang'!B28)</f>
        <v>kresek klin warna warni kecil</v>
      </c>
      <c r="P23434">
        <f>IF(OR(M23434="",N23434=""),"",SUMIFS('Barang Keluar'!$E:$E,'Barang Keluar'!$A:$A,M23434,'Barang Keluar'!$C:$C,N23434))</f>
        <v>0</v>
      </c>
    </row>
    <row r="23435" spans="13:16">
      <c r="M23435" s="49">
        <f>IF($A$4+234&gt;$B$4,"",$A$4+234)</f>
        <v>46257</v>
      </c>
      <c r="N23435" t="str">
        <f>IF(M23435="","",'Master Barang'!A29)</f>
        <v>PRL-028</v>
      </c>
      <c r="O23435" t="str">
        <f>IF(N23435="","",'Master Barang'!B29)</f>
        <v>ctik plastik 7x10 100 pcs</v>
      </c>
      <c r="P23435">
        <f>IF(OR(M23435="",N23435=""),"",SUMIFS('Barang Keluar'!$E:$E,'Barang Keluar'!$A:$A,M23435,'Barang Keluar'!$C:$C,N23435))</f>
        <v>0</v>
      </c>
    </row>
    <row r="23436" spans="13:16">
      <c r="M23436" s="49">
        <f>IF($A$4+234&gt;$B$4,"",$A$4+234)</f>
        <v>46257</v>
      </c>
      <c r="N23436" t="str">
        <f>IF(M23436="","",'Master Barang'!A30)</f>
        <v>PRL-029</v>
      </c>
      <c r="O23436" t="str">
        <f>IF(N23436="","",'Master Barang'!B30)</f>
        <v>ctik plastik 6x10 100 pcs</v>
      </c>
      <c r="P23436">
        <f>IF(OR(M23436="",N23436=""),"",SUMIFS('Barang Keluar'!$E:$E,'Barang Keluar'!$A:$A,M23436,'Barang Keluar'!$C:$C,N23436))</f>
        <v>0</v>
      </c>
    </row>
    <row r="23437" spans="13:16">
      <c r="M23437" s="49">
        <f>IF($A$4+234&gt;$B$4,"",$A$4+234)</f>
        <v>46257</v>
      </c>
      <c r="N23437" t="str">
        <f>IF(M23437="","",'Master Barang'!A31)</f>
        <v>PRL-030</v>
      </c>
      <c r="O23437" t="str">
        <f>IF(N23437="","",'Master Barang'!B31)</f>
        <v>klip plastik 25x16 100 pcs</v>
      </c>
      <c r="P23437">
        <f>IF(OR(M23437="",N23437=""),"",SUMIFS('Barang Keluar'!$E:$E,'Barang Keluar'!$A:$A,M23437,'Barang Keluar'!$C:$C,N23437))</f>
        <v>0</v>
      </c>
    </row>
    <row r="23438" spans="13:16">
      <c r="M23438" s="49">
        <f>IF($A$4+234&gt;$B$4,"",$A$4+234)</f>
        <v>46257</v>
      </c>
      <c r="N23438" t="str">
        <f>IF(M23438="","",'Master Barang'!A32)</f>
        <v>PRL-031</v>
      </c>
      <c r="O23438" t="str">
        <f>IF(N23438="","",'Master Barang'!B32)</f>
        <v>tempat saus 20 ml</v>
      </c>
      <c r="P23438">
        <f>IF(OR(M23438="",N23438=""),"",SUMIFS('Barang Keluar'!$E:$E,'Barang Keluar'!$A:$A,M23438,'Barang Keluar'!$C:$C,N23438))</f>
        <v>0</v>
      </c>
    </row>
    <row r="23439" spans="13:16">
      <c r="M23439" s="49">
        <f>IF($A$4+234&gt;$B$4,"",$A$4+234)</f>
        <v>46257</v>
      </c>
      <c r="N23439" t="str">
        <f>IF(M23439="","",'Master Barang'!A33)</f>
        <v>PRL-032</v>
      </c>
      <c r="O23439" t="str">
        <f>IF(N23439="","",'Master Barang'!B33)</f>
        <v>plastik packaging ag box uk sedang</v>
      </c>
      <c r="P23439">
        <f>IF(OR(M23439="",N23439=""),"",SUMIFS('Barang Keluar'!$E:$E,'Barang Keluar'!$A:$A,M23439,'Barang Keluar'!$C:$C,N23439))</f>
        <v>0</v>
      </c>
    </row>
    <row r="23440" spans="13:16">
      <c r="M23440" s="49">
        <f>IF($A$4+234&gt;$B$4,"",$A$4+234)</f>
        <v>46257</v>
      </c>
      <c r="N23440" t="str">
        <f>IF(M23440="","",'Master Barang'!A34)</f>
        <v>PRL-033</v>
      </c>
      <c r="O23440">
        <f>IF(N23440="","",'Master Barang'!B34)</f>
        <v>0</v>
      </c>
      <c r="P23440">
        <f>IF(OR(M23440="",N23440=""),"",SUMIFS('Barang Keluar'!$E:$E,'Barang Keluar'!$A:$A,M23440,'Barang Keluar'!$C:$C,N23440))</f>
        <v>0</v>
      </c>
    </row>
    <row r="23441" spans="13:16">
      <c r="M23441" s="49">
        <f>IF($A$4+234&gt;$B$4,"",$A$4+234)</f>
        <v>46257</v>
      </c>
      <c r="N23441">
        <f>IF(M23441="","",'Master Barang'!A35)</f>
        <v>0</v>
      </c>
      <c r="O23441">
        <f>IF(N23441="","",'Master Barang'!B35)</f>
        <v>0</v>
      </c>
      <c r="P23441">
        <f>IF(OR(M23441="",N23441=""),"",SUMIFS('Barang Keluar'!$E:$E,'Barang Keluar'!$A:$A,M23441,'Barang Keluar'!$C:$C,N23441))</f>
        <v>0</v>
      </c>
    </row>
    <row r="23442" spans="13:16">
      <c r="M23442" s="49">
        <f>IF($A$4+234&gt;$B$4,"",$A$4+234)</f>
        <v>46257</v>
      </c>
      <c r="N23442">
        <f>IF(M23442="","",'Master Barang'!A36)</f>
        <v>0</v>
      </c>
      <c r="O23442">
        <f>IF(N23442="","",'Master Barang'!B36)</f>
        <v>0</v>
      </c>
      <c r="P23442">
        <f>IF(OR(M23442="",N23442=""),"",SUMIFS('Barang Keluar'!$E:$E,'Barang Keluar'!$A:$A,M23442,'Barang Keluar'!$C:$C,N23442))</f>
        <v>0</v>
      </c>
    </row>
    <row r="23443" spans="13:16">
      <c r="M23443" s="49">
        <f>IF($A$4+234&gt;$B$4,"",$A$4+234)</f>
        <v>46257</v>
      </c>
      <c r="N23443">
        <f>IF(M23443="","",'Master Barang'!A37)</f>
        <v>0</v>
      </c>
      <c r="O23443">
        <f>IF(N23443="","",'Master Barang'!B37)</f>
        <v>0</v>
      </c>
      <c r="P23443">
        <f>IF(OR(M23443="",N23443=""),"",SUMIFS('Barang Keluar'!$E:$E,'Barang Keluar'!$A:$A,M23443,'Barang Keluar'!$C:$C,N23443))</f>
        <v>0</v>
      </c>
    </row>
    <row r="23444" spans="13:16">
      <c r="M23444" s="49">
        <f>IF($A$4+234&gt;$B$4,"",$A$4+234)</f>
        <v>46257</v>
      </c>
      <c r="N23444">
        <f>IF(M23444="","",'Master Barang'!A38)</f>
        <v>0</v>
      </c>
      <c r="O23444">
        <f>IF(N23444="","",'Master Barang'!B38)</f>
        <v>0</v>
      </c>
      <c r="P23444">
        <f>IF(OR(M23444="",N23444=""),"",SUMIFS('Barang Keluar'!$E:$E,'Barang Keluar'!$A:$A,M23444,'Barang Keluar'!$C:$C,N23444))</f>
        <v>0</v>
      </c>
    </row>
    <row r="23445" spans="13:16">
      <c r="M23445" s="49">
        <f>IF($A$4+234&gt;$B$4,"",$A$4+234)</f>
        <v>46257</v>
      </c>
      <c r="N23445">
        <f>IF(M23445="","",'Master Barang'!A39)</f>
        <v>0</v>
      </c>
      <c r="O23445">
        <f>IF(N23445="","",'Master Barang'!B39)</f>
        <v>0</v>
      </c>
      <c r="P23445">
        <f>IF(OR(M23445="",N23445=""),"",SUMIFS('Barang Keluar'!$E:$E,'Barang Keluar'!$A:$A,M23445,'Barang Keluar'!$C:$C,N23445))</f>
        <v>0</v>
      </c>
    </row>
    <row r="23446" spans="13:16">
      <c r="M23446" s="49">
        <f>IF($A$4+234&gt;$B$4,"",$A$4+234)</f>
        <v>46257</v>
      </c>
      <c r="N23446">
        <f>IF(M23446="","",'Master Barang'!A40)</f>
        <v>0</v>
      </c>
      <c r="O23446">
        <f>IF(N23446="","",'Master Barang'!B40)</f>
        <v>0</v>
      </c>
      <c r="P23446">
        <f>IF(OR(M23446="",N23446=""),"",SUMIFS('Barang Keluar'!$E:$E,'Barang Keluar'!$A:$A,M23446,'Barang Keluar'!$C:$C,N23446))</f>
        <v>0</v>
      </c>
    </row>
    <row r="23447" spans="13:16">
      <c r="M23447" s="49">
        <f>IF($A$4+234&gt;$B$4,"",$A$4+234)</f>
        <v>46257</v>
      </c>
      <c r="N23447">
        <f>IF(M23447="","",'Master Barang'!A41)</f>
        <v>0</v>
      </c>
      <c r="O23447">
        <f>IF(N23447="","",'Master Barang'!B41)</f>
        <v>0</v>
      </c>
      <c r="P23447">
        <f>IF(OR(M23447="",N23447=""),"",SUMIFS('Barang Keluar'!$E:$E,'Barang Keluar'!$A:$A,M23447,'Barang Keluar'!$C:$C,N23447))</f>
        <v>0</v>
      </c>
    </row>
    <row r="23448" spans="13:16">
      <c r="M23448" s="49">
        <f>IF($A$4+234&gt;$B$4,"",$A$4+234)</f>
        <v>46257</v>
      </c>
      <c r="N23448">
        <f>IF(M23448="","",'Master Barang'!A42)</f>
        <v>0</v>
      </c>
      <c r="O23448">
        <f>IF(N23448="","",'Master Barang'!B42)</f>
        <v>0</v>
      </c>
      <c r="P23448">
        <f>IF(OR(M23448="",N23448=""),"",SUMIFS('Barang Keluar'!$E:$E,'Barang Keluar'!$A:$A,M23448,'Barang Keluar'!$C:$C,N23448))</f>
        <v>0</v>
      </c>
    </row>
    <row r="23449" spans="13:16">
      <c r="M23449" s="49">
        <f>IF($A$4+234&gt;$B$4,"",$A$4+234)</f>
        <v>46257</v>
      </c>
      <c r="N23449">
        <f>IF(M23449="","",'Master Barang'!A43)</f>
        <v>0</v>
      </c>
      <c r="O23449">
        <f>IF(N23449="","",'Master Barang'!B43)</f>
        <v>0</v>
      </c>
      <c r="P23449">
        <f>IF(OR(M23449="",N23449=""),"",SUMIFS('Barang Keluar'!$E:$E,'Barang Keluar'!$A:$A,M23449,'Barang Keluar'!$C:$C,N23449))</f>
        <v>0</v>
      </c>
    </row>
    <row r="23450" spans="13:16">
      <c r="M23450" s="49">
        <f>IF($A$4+234&gt;$B$4,"",$A$4+234)</f>
        <v>46257</v>
      </c>
      <c r="N23450">
        <f>IF(M23450="","",'Master Barang'!A44)</f>
        <v>0</v>
      </c>
      <c r="O23450">
        <f>IF(N23450="","",'Master Barang'!B44)</f>
        <v>0</v>
      </c>
      <c r="P23450">
        <f>IF(OR(M23450="",N23450=""),"",SUMIFS('Barang Keluar'!$E:$E,'Barang Keluar'!$A:$A,M23450,'Barang Keluar'!$C:$C,N23450))</f>
        <v>0</v>
      </c>
    </row>
    <row r="23451" spans="13:16">
      <c r="M23451" s="49">
        <f>IF($A$4+234&gt;$B$4,"",$A$4+234)</f>
        <v>46257</v>
      </c>
      <c r="N23451">
        <f>IF(M23451="","",'Master Barang'!A45)</f>
        <v>0</v>
      </c>
      <c r="O23451">
        <f>IF(N23451="","",'Master Barang'!B45)</f>
        <v>0</v>
      </c>
      <c r="P23451">
        <f>IF(OR(M23451="",N23451=""),"",SUMIFS('Barang Keluar'!$E:$E,'Barang Keluar'!$A:$A,M23451,'Barang Keluar'!$C:$C,N23451))</f>
        <v>0</v>
      </c>
    </row>
    <row r="23452" spans="13:16">
      <c r="M23452" s="49">
        <f>IF($A$4+234&gt;$B$4,"",$A$4+234)</f>
        <v>46257</v>
      </c>
      <c r="N23452">
        <f>IF(M23452="","",'Master Barang'!A46)</f>
        <v>0</v>
      </c>
      <c r="O23452">
        <f>IF(N23452="","",'Master Barang'!B46)</f>
        <v>0</v>
      </c>
      <c r="P23452">
        <f>IF(OR(M23452="",N23452=""),"",SUMIFS('Barang Keluar'!$E:$E,'Barang Keluar'!$A:$A,M23452,'Barang Keluar'!$C:$C,N23452))</f>
        <v>0</v>
      </c>
    </row>
    <row r="23453" spans="13:16">
      <c r="M23453" s="49">
        <f>IF($A$4+234&gt;$B$4,"",$A$4+234)</f>
        <v>46257</v>
      </c>
      <c r="N23453">
        <f>IF(M23453="","",'Master Barang'!A47)</f>
        <v>0</v>
      </c>
      <c r="O23453">
        <f>IF(N23453="","",'Master Barang'!B47)</f>
        <v>0</v>
      </c>
      <c r="P23453">
        <f>IF(OR(M23453="",N23453=""),"",SUMIFS('Barang Keluar'!$E:$E,'Barang Keluar'!$A:$A,M23453,'Barang Keluar'!$C:$C,N23453))</f>
        <v>0</v>
      </c>
    </row>
    <row r="23454" spans="13:16">
      <c r="M23454" s="49">
        <f>IF($A$4+234&gt;$B$4,"",$A$4+234)</f>
        <v>46257</v>
      </c>
      <c r="N23454">
        <f>IF(M23454="","",'Master Barang'!A48)</f>
        <v>0</v>
      </c>
      <c r="O23454">
        <f>IF(N23454="","",'Master Barang'!B48)</f>
        <v>0</v>
      </c>
      <c r="P23454">
        <f>IF(OR(M23454="",N23454=""),"",SUMIFS('Barang Keluar'!$E:$E,'Barang Keluar'!$A:$A,M23454,'Barang Keluar'!$C:$C,N23454))</f>
        <v>0</v>
      </c>
    </row>
    <row r="23455" spans="13:16">
      <c r="M23455" s="49">
        <f>IF($A$4+234&gt;$B$4,"",$A$4+234)</f>
        <v>46257</v>
      </c>
      <c r="N23455">
        <f>IF(M23455="","",'Master Barang'!A49)</f>
        <v>0</v>
      </c>
      <c r="O23455">
        <f>IF(N23455="","",'Master Barang'!B49)</f>
        <v>0</v>
      </c>
      <c r="P23455">
        <f>IF(OR(M23455="",N23455=""),"",SUMIFS('Barang Keluar'!$E:$E,'Barang Keluar'!$A:$A,M23455,'Barang Keluar'!$C:$C,N23455))</f>
        <v>0</v>
      </c>
    </row>
    <row r="23456" spans="13:16">
      <c r="M23456" s="49">
        <f>IF($A$4+234&gt;$B$4,"",$A$4+234)</f>
        <v>46257</v>
      </c>
      <c r="N23456">
        <f>IF(M23456="","",'Master Barang'!A50)</f>
        <v>0</v>
      </c>
      <c r="O23456">
        <f>IF(N23456="","",'Master Barang'!B50)</f>
        <v>0</v>
      </c>
      <c r="P23456">
        <f>IF(OR(M23456="",N23456=""),"",SUMIFS('Barang Keluar'!$E:$E,'Barang Keluar'!$A:$A,M23456,'Barang Keluar'!$C:$C,N23456))</f>
        <v>0</v>
      </c>
    </row>
    <row r="23457" spans="13:16">
      <c r="M23457" s="49">
        <f>IF($A$4+234&gt;$B$4,"",$A$4+234)</f>
        <v>46257</v>
      </c>
      <c r="N23457">
        <f>IF(M23457="","",'Master Barang'!A51)</f>
        <v>0</v>
      </c>
      <c r="O23457">
        <f>IF(N23457="","",'Master Barang'!B51)</f>
        <v>0</v>
      </c>
      <c r="P23457">
        <f>IF(OR(M23457="",N23457=""),"",SUMIFS('Barang Keluar'!$E:$E,'Barang Keluar'!$A:$A,M23457,'Barang Keluar'!$C:$C,N23457))</f>
        <v>0</v>
      </c>
    </row>
    <row r="23458" spans="13:16">
      <c r="M23458" s="49">
        <f>IF($A$4+234&gt;$B$4,"",$A$4+234)</f>
        <v>46257</v>
      </c>
      <c r="N23458">
        <f>IF(M23458="","",'Master Barang'!A52)</f>
        <v>0</v>
      </c>
      <c r="O23458">
        <f>IF(N23458="","",'Master Barang'!B52)</f>
        <v>0</v>
      </c>
      <c r="P23458">
        <f>IF(OR(M23458="",N23458=""),"",SUMIFS('Barang Keluar'!$E:$E,'Barang Keluar'!$A:$A,M23458,'Barang Keluar'!$C:$C,N23458))</f>
        <v>0</v>
      </c>
    </row>
    <row r="23459" spans="13:16">
      <c r="M23459" s="49">
        <f>IF($A$4+234&gt;$B$4,"",$A$4+234)</f>
        <v>46257</v>
      </c>
      <c r="N23459">
        <f>IF(M23459="","",'Master Barang'!A53)</f>
        <v>0</v>
      </c>
      <c r="O23459">
        <f>IF(N23459="","",'Master Barang'!B53)</f>
        <v>0</v>
      </c>
      <c r="P23459">
        <f>IF(OR(M23459="",N23459=""),"",SUMIFS('Barang Keluar'!$E:$E,'Barang Keluar'!$A:$A,M23459,'Barang Keluar'!$C:$C,N23459))</f>
        <v>0</v>
      </c>
    </row>
    <row r="23460" spans="13:16">
      <c r="M23460" s="49">
        <f>IF($A$4+234&gt;$B$4,"",$A$4+234)</f>
        <v>46257</v>
      </c>
      <c r="N23460">
        <f>IF(M23460="","",'Master Barang'!A54)</f>
        <v>0</v>
      </c>
      <c r="O23460">
        <f>IF(N23460="","",'Master Barang'!B54)</f>
        <v>0</v>
      </c>
      <c r="P23460">
        <f>IF(OR(M23460="",N23460=""),"",SUMIFS('Barang Keluar'!$E:$E,'Barang Keluar'!$A:$A,M23460,'Barang Keluar'!$C:$C,N23460))</f>
        <v>0</v>
      </c>
    </row>
    <row r="23461" spans="13:16">
      <c r="M23461" s="49">
        <f>IF($A$4+234&gt;$B$4,"",$A$4+234)</f>
        <v>46257</v>
      </c>
      <c r="N23461">
        <f>IF(M23461="","",'Master Barang'!A55)</f>
        <v>0</v>
      </c>
      <c r="O23461">
        <f>IF(N23461="","",'Master Barang'!B55)</f>
        <v>0</v>
      </c>
      <c r="P23461">
        <f>IF(OR(M23461="",N23461=""),"",SUMIFS('Barang Keluar'!$E:$E,'Barang Keluar'!$A:$A,M23461,'Barang Keluar'!$C:$C,N23461))</f>
        <v>0</v>
      </c>
    </row>
    <row r="23462" spans="13:16">
      <c r="M23462" s="49">
        <f>IF($A$4+234&gt;$B$4,"",$A$4+234)</f>
        <v>46257</v>
      </c>
      <c r="N23462">
        <f>IF(M23462="","",'Master Barang'!A56)</f>
        <v>0</v>
      </c>
      <c r="O23462">
        <f>IF(N23462="","",'Master Barang'!B56)</f>
        <v>0</v>
      </c>
      <c r="P23462">
        <f>IF(OR(M23462="",N23462=""),"",SUMIFS('Barang Keluar'!$E:$E,'Barang Keluar'!$A:$A,M23462,'Barang Keluar'!$C:$C,N23462))</f>
        <v>0</v>
      </c>
    </row>
    <row r="23463" spans="13:16">
      <c r="M23463" s="49">
        <f>IF($A$4+234&gt;$B$4,"",$A$4+234)</f>
        <v>46257</v>
      </c>
      <c r="N23463">
        <f>IF(M23463="","",'Master Barang'!A57)</f>
        <v>0</v>
      </c>
      <c r="O23463">
        <f>IF(N23463="","",'Master Barang'!B57)</f>
        <v>0</v>
      </c>
      <c r="P23463">
        <f>IF(OR(M23463="",N23463=""),"",SUMIFS('Barang Keluar'!$E:$E,'Barang Keluar'!$A:$A,M23463,'Barang Keluar'!$C:$C,N23463))</f>
        <v>0</v>
      </c>
    </row>
    <row r="23464" spans="13:16">
      <c r="M23464" s="49">
        <f>IF($A$4+234&gt;$B$4,"",$A$4+234)</f>
        <v>46257</v>
      </c>
      <c r="N23464">
        <f>IF(M23464="","",'Master Barang'!A58)</f>
        <v>0</v>
      </c>
      <c r="O23464">
        <f>IF(N23464="","",'Master Barang'!B58)</f>
        <v>0</v>
      </c>
      <c r="P23464">
        <f>IF(OR(M23464="",N23464=""),"",SUMIFS('Barang Keluar'!$E:$E,'Barang Keluar'!$A:$A,M23464,'Barang Keluar'!$C:$C,N23464))</f>
        <v>0</v>
      </c>
    </row>
    <row r="23465" spans="13:16">
      <c r="M23465" s="49">
        <f>IF($A$4+234&gt;$B$4,"",$A$4+234)</f>
        <v>46257</v>
      </c>
      <c r="N23465">
        <f>IF(M23465="","",'Master Barang'!A59)</f>
        <v>0</v>
      </c>
      <c r="O23465">
        <f>IF(N23465="","",'Master Barang'!B59)</f>
        <v>0</v>
      </c>
      <c r="P23465">
        <f>IF(OR(M23465="",N23465=""),"",SUMIFS('Barang Keluar'!$E:$E,'Barang Keluar'!$A:$A,M23465,'Barang Keluar'!$C:$C,N23465))</f>
        <v>0</v>
      </c>
    </row>
    <row r="23466" spans="13:16">
      <c r="M23466" s="49">
        <f>IF($A$4+234&gt;$B$4,"",$A$4+234)</f>
        <v>46257</v>
      </c>
      <c r="N23466">
        <f>IF(M23466="","",'Master Barang'!A60)</f>
        <v>0</v>
      </c>
      <c r="O23466">
        <f>IF(N23466="","",'Master Barang'!B60)</f>
        <v>0</v>
      </c>
      <c r="P23466">
        <f>IF(OR(M23466="",N23466=""),"",SUMIFS('Barang Keluar'!$E:$E,'Barang Keluar'!$A:$A,M23466,'Barang Keluar'!$C:$C,N23466))</f>
        <v>0</v>
      </c>
    </row>
    <row r="23467" spans="13:16">
      <c r="M23467" s="49">
        <f>IF($A$4+234&gt;$B$4,"",$A$4+234)</f>
        <v>46257</v>
      </c>
      <c r="N23467">
        <f>IF(M23467="","",'Master Barang'!A61)</f>
        <v>0</v>
      </c>
      <c r="O23467">
        <f>IF(N23467="","",'Master Barang'!B61)</f>
        <v>0</v>
      </c>
      <c r="P23467">
        <f>IF(OR(M23467="",N23467=""),"",SUMIFS('Barang Keluar'!$E:$E,'Barang Keluar'!$A:$A,M23467,'Barang Keluar'!$C:$C,N23467))</f>
        <v>0</v>
      </c>
    </row>
    <row r="23468" spans="13:16">
      <c r="M23468" s="49">
        <f>IF($A$4+234&gt;$B$4,"",$A$4+234)</f>
        <v>46257</v>
      </c>
      <c r="N23468">
        <f>IF(M23468="","",'Master Barang'!A62)</f>
        <v>0</v>
      </c>
      <c r="O23468">
        <f>IF(N23468="","",'Master Barang'!B62)</f>
        <v>0</v>
      </c>
      <c r="P23468">
        <f>IF(OR(M23468="",N23468=""),"",SUMIFS('Barang Keluar'!$E:$E,'Barang Keluar'!$A:$A,M23468,'Barang Keluar'!$C:$C,N23468))</f>
        <v>0</v>
      </c>
    </row>
    <row r="23469" spans="13:16">
      <c r="M23469" s="49">
        <f>IF($A$4+234&gt;$B$4,"",$A$4+234)</f>
        <v>46257</v>
      </c>
      <c r="N23469">
        <f>IF(M23469="","",'Master Barang'!A63)</f>
        <v>0</v>
      </c>
      <c r="O23469">
        <f>IF(N23469="","",'Master Barang'!B63)</f>
        <v>0</v>
      </c>
      <c r="P23469">
        <f>IF(OR(M23469="",N23469=""),"",SUMIFS('Barang Keluar'!$E:$E,'Barang Keluar'!$A:$A,M23469,'Barang Keluar'!$C:$C,N23469))</f>
        <v>0</v>
      </c>
    </row>
    <row r="23470" spans="13:16">
      <c r="M23470" s="49">
        <f>IF($A$4+234&gt;$B$4,"",$A$4+234)</f>
        <v>46257</v>
      </c>
      <c r="N23470">
        <f>IF(M23470="","",'Master Barang'!A64)</f>
        <v>0</v>
      </c>
      <c r="O23470">
        <f>IF(N23470="","",'Master Barang'!B64)</f>
        <v>0</v>
      </c>
      <c r="P23470">
        <f>IF(OR(M23470="",N23470=""),"",SUMIFS('Barang Keluar'!$E:$E,'Barang Keluar'!$A:$A,M23470,'Barang Keluar'!$C:$C,N23470))</f>
        <v>0</v>
      </c>
    </row>
    <row r="23471" spans="13:16">
      <c r="M23471" s="49">
        <f>IF($A$4+234&gt;$B$4,"",$A$4+234)</f>
        <v>46257</v>
      </c>
      <c r="N23471">
        <f>IF(M23471="","",'Master Barang'!A65)</f>
        <v>0</v>
      </c>
      <c r="O23471">
        <f>IF(N23471="","",'Master Barang'!B65)</f>
        <v>0</v>
      </c>
      <c r="P23471">
        <f>IF(OR(M23471="",N23471=""),"",SUMIFS('Barang Keluar'!$E:$E,'Barang Keluar'!$A:$A,M23471,'Barang Keluar'!$C:$C,N23471))</f>
        <v>0</v>
      </c>
    </row>
    <row r="23472" spans="13:16">
      <c r="M23472" s="49">
        <f>IF($A$4+234&gt;$B$4,"",$A$4+234)</f>
        <v>46257</v>
      </c>
      <c r="N23472">
        <f>IF(M23472="","",'Master Barang'!A66)</f>
        <v>0</v>
      </c>
      <c r="O23472">
        <f>IF(N23472="","",'Master Barang'!B66)</f>
        <v>0</v>
      </c>
      <c r="P23472">
        <f>IF(OR(M23472="",N23472=""),"",SUMIFS('Barang Keluar'!$E:$E,'Barang Keluar'!$A:$A,M23472,'Barang Keluar'!$C:$C,N23472))</f>
        <v>0</v>
      </c>
    </row>
    <row r="23473" spans="13:16">
      <c r="M23473" s="49">
        <f>IF($A$4+234&gt;$B$4,"",$A$4+234)</f>
        <v>46257</v>
      </c>
      <c r="N23473">
        <f>IF(M23473="","",'Master Barang'!A67)</f>
        <v>0</v>
      </c>
      <c r="O23473">
        <f>IF(N23473="","",'Master Barang'!B67)</f>
        <v>0</v>
      </c>
      <c r="P23473">
        <f>IF(OR(M23473="",N23473=""),"",SUMIFS('Barang Keluar'!$E:$E,'Barang Keluar'!$A:$A,M23473,'Barang Keluar'!$C:$C,N23473))</f>
        <v>0</v>
      </c>
    </row>
    <row r="23474" spans="13:16">
      <c r="M23474" s="49">
        <f>IF($A$4+234&gt;$B$4,"",$A$4+234)</f>
        <v>46257</v>
      </c>
      <c r="N23474">
        <f>IF(M23474="","",'Master Barang'!A68)</f>
        <v>0</v>
      </c>
      <c r="O23474">
        <f>IF(N23474="","",'Master Barang'!B68)</f>
        <v>0</v>
      </c>
      <c r="P23474">
        <f>IF(OR(M23474="",N23474=""),"",SUMIFS('Barang Keluar'!$E:$E,'Barang Keluar'!$A:$A,M23474,'Barang Keluar'!$C:$C,N23474))</f>
        <v>0</v>
      </c>
    </row>
    <row r="23475" spans="13:16">
      <c r="M23475" s="49">
        <f>IF($A$4+234&gt;$B$4,"",$A$4+234)</f>
        <v>46257</v>
      </c>
      <c r="N23475">
        <f>IF(M23475="","",'Master Barang'!A69)</f>
        <v>0</v>
      </c>
      <c r="O23475">
        <f>IF(N23475="","",'Master Barang'!B69)</f>
        <v>0</v>
      </c>
      <c r="P23475">
        <f>IF(OR(M23475="",N23475=""),"",SUMIFS('Barang Keluar'!$E:$E,'Barang Keluar'!$A:$A,M23475,'Barang Keluar'!$C:$C,N23475))</f>
        <v>0</v>
      </c>
    </row>
    <row r="23476" spans="13:16">
      <c r="M23476" s="49">
        <f>IF($A$4+234&gt;$B$4,"",$A$4+234)</f>
        <v>46257</v>
      </c>
      <c r="N23476">
        <f>IF(M23476="","",'Master Barang'!A70)</f>
        <v>0</v>
      </c>
      <c r="O23476">
        <f>IF(N23476="","",'Master Barang'!B70)</f>
        <v>0</v>
      </c>
      <c r="P23476">
        <f>IF(OR(M23476="",N23476=""),"",SUMIFS('Barang Keluar'!$E:$E,'Barang Keluar'!$A:$A,M23476,'Barang Keluar'!$C:$C,N23476))</f>
        <v>0</v>
      </c>
    </row>
    <row r="23477" spans="13:16">
      <c r="M23477" s="49">
        <f>IF($A$4+234&gt;$B$4,"",$A$4+234)</f>
        <v>46257</v>
      </c>
      <c r="N23477">
        <f>IF(M23477="","",'Master Barang'!A71)</f>
        <v>0</v>
      </c>
      <c r="O23477">
        <f>IF(N23477="","",'Master Barang'!B71)</f>
        <v>0</v>
      </c>
      <c r="P23477">
        <f>IF(OR(M23477="",N23477=""),"",SUMIFS('Barang Keluar'!$E:$E,'Barang Keluar'!$A:$A,M23477,'Barang Keluar'!$C:$C,N23477))</f>
        <v>0</v>
      </c>
    </row>
    <row r="23478" spans="13:16">
      <c r="M23478" s="49">
        <f>IF($A$4+234&gt;$B$4,"",$A$4+234)</f>
        <v>46257</v>
      </c>
      <c r="N23478">
        <f>IF(M23478="","",'Master Barang'!A72)</f>
        <v>0</v>
      </c>
      <c r="O23478">
        <f>IF(N23478="","",'Master Barang'!B72)</f>
        <v>0</v>
      </c>
      <c r="P23478">
        <f>IF(OR(M23478="",N23478=""),"",SUMIFS('Barang Keluar'!$E:$E,'Barang Keluar'!$A:$A,M23478,'Barang Keluar'!$C:$C,N23478))</f>
        <v>0</v>
      </c>
    </row>
    <row r="23479" spans="13:16">
      <c r="M23479" s="49">
        <f>IF($A$4+234&gt;$B$4,"",$A$4+234)</f>
        <v>46257</v>
      </c>
      <c r="N23479">
        <f>IF(M23479="","",'Master Barang'!A73)</f>
        <v>0</v>
      </c>
      <c r="O23479">
        <f>IF(N23479="","",'Master Barang'!B73)</f>
        <v>0</v>
      </c>
      <c r="P23479">
        <f>IF(OR(M23479="",N23479=""),"",SUMIFS('Barang Keluar'!$E:$E,'Barang Keluar'!$A:$A,M23479,'Barang Keluar'!$C:$C,N23479))</f>
        <v>0</v>
      </c>
    </row>
    <row r="23480" spans="13:16">
      <c r="M23480" s="49">
        <f>IF($A$4+234&gt;$B$4,"",$A$4+234)</f>
        <v>46257</v>
      </c>
      <c r="N23480">
        <f>IF(M23480="","",'Master Barang'!A74)</f>
        <v>0</v>
      </c>
      <c r="O23480">
        <f>IF(N23480="","",'Master Barang'!B74)</f>
        <v>0</v>
      </c>
      <c r="P23480">
        <f>IF(OR(M23480="",N23480=""),"",SUMIFS('Barang Keluar'!$E:$E,'Barang Keluar'!$A:$A,M23480,'Barang Keluar'!$C:$C,N23480))</f>
        <v>0</v>
      </c>
    </row>
    <row r="23481" spans="13:16">
      <c r="M23481" s="49">
        <f>IF($A$4+234&gt;$B$4,"",$A$4+234)</f>
        <v>46257</v>
      </c>
      <c r="N23481">
        <f>IF(M23481="","",'Master Barang'!A75)</f>
        <v>0</v>
      </c>
      <c r="O23481">
        <f>IF(N23481="","",'Master Barang'!B75)</f>
        <v>0</v>
      </c>
      <c r="P23481">
        <f>IF(OR(M23481="",N23481=""),"",SUMIFS('Barang Keluar'!$E:$E,'Barang Keluar'!$A:$A,M23481,'Barang Keluar'!$C:$C,N23481))</f>
        <v>0</v>
      </c>
    </row>
    <row r="23482" spans="13:16">
      <c r="M23482" s="49">
        <f>IF($A$4+234&gt;$B$4,"",$A$4+234)</f>
        <v>46257</v>
      </c>
      <c r="N23482">
        <f>IF(M23482="","",'Master Barang'!A76)</f>
        <v>0</v>
      </c>
      <c r="O23482">
        <f>IF(N23482="","",'Master Barang'!B76)</f>
        <v>0</v>
      </c>
      <c r="P23482">
        <f>IF(OR(M23482="",N23482=""),"",SUMIFS('Barang Keluar'!$E:$E,'Barang Keluar'!$A:$A,M23482,'Barang Keluar'!$C:$C,N23482))</f>
        <v>0</v>
      </c>
    </row>
    <row r="23483" spans="13:16">
      <c r="M23483" s="49">
        <f>IF($A$4+234&gt;$B$4,"",$A$4+234)</f>
        <v>46257</v>
      </c>
      <c r="N23483">
        <f>IF(M23483="","",'Master Barang'!A77)</f>
        <v>0</v>
      </c>
      <c r="O23483">
        <f>IF(N23483="","",'Master Barang'!B77)</f>
        <v>0</v>
      </c>
      <c r="P23483">
        <f>IF(OR(M23483="",N23483=""),"",SUMIFS('Barang Keluar'!$E:$E,'Barang Keluar'!$A:$A,M23483,'Barang Keluar'!$C:$C,N23483))</f>
        <v>0</v>
      </c>
    </row>
    <row r="23484" spans="13:16">
      <c r="M23484" s="49">
        <f>IF($A$4+234&gt;$B$4,"",$A$4+234)</f>
        <v>46257</v>
      </c>
      <c r="N23484">
        <f>IF(M23484="","",'Master Barang'!A78)</f>
        <v>0</v>
      </c>
      <c r="O23484">
        <f>IF(N23484="","",'Master Barang'!B78)</f>
        <v>0</v>
      </c>
      <c r="P23484">
        <f>IF(OR(M23484="",N23484=""),"",SUMIFS('Barang Keluar'!$E:$E,'Barang Keluar'!$A:$A,M23484,'Barang Keluar'!$C:$C,N23484))</f>
        <v>0</v>
      </c>
    </row>
    <row r="23485" spans="13:16">
      <c r="M23485" s="49">
        <f>IF($A$4+234&gt;$B$4,"",$A$4+234)</f>
        <v>46257</v>
      </c>
      <c r="N23485">
        <f>IF(M23485="","",'Master Barang'!A79)</f>
        <v>0</v>
      </c>
      <c r="O23485">
        <f>IF(N23485="","",'Master Barang'!B79)</f>
        <v>0</v>
      </c>
      <c r="P23485">
        <f>IF(OR(M23485="",N23485=""),"",SUMIFS('Barang Keluar'!$E:$E,'Barang Keluar'!$A:$A,M23485,'Barang Keluar'!$C:$C,N23485))</f>
        <v>0</v>
      </c>
    </row>
    <row r="23486" spans="13:16">
      <c r="M23486" s="49">
        <f>IF($A$4+234&gt;$B$4,"",$A$4+234)</f>
        <v>46257</v>
      </c>
      <c r="N23486">
        <f>IF(M23486="","",'Master Barang'!A80)</f>
        <v>0</v>
      </c>
      <c r="O23486">
        <f>IF(N23486="","",'Master Barang'!B80)</f>
        <v>0</v>
      </c>
      <c r="P23486">
        <f>IF(OR(M23486="",N23486=""),"",SUMIFS('Barang Keluar'!$E:$E,'Barang Keluar'!$A:$A,M23486,'Barang Keluar'!$C:$C,N23486))</f>
        <v>0</v>
      </c>
    </row>
    <row r="23487" spans="13:16">
      <c r="M23487" s="49">
        <f>IF($A$4+234&gt;$B$4,"",$A$4+234)</f>
        <v>46257</v>
      </c>
      <c r="N23487">
        <f>IF(M23487="","",'Master Barang'!A81)</f>
        <v>0</v>
      </c>
      <c r="O23487">
        <f>IF(N23487="","",'Master Barang'!B81)</f>
        <v>0</v>
      </c>
      <c r="P23487">
        <f>IF(OR(M23487="",N23487=""),"",SUMIFS('Barang Keluar'!$E:$E,'Barang Keluar'!$A:$A,M23487,'Barang Keluar'!$C:$C,N23487))</f>
        <v>0</v>
      </c>
    </row>
    <row r="23488" spans="13:16">
      <c r="M23488" s="49">
        <f>IF($A$4+234&gt;$B$4,"",$A$4+234)</f>
        <v>46257</v>
      </c>
      <c r="N23488">
        <f>IF(M23488="","",'Master Barang'!A82)</f>
        <v>0</v>
      </c>
      <c r="O23488">
        <f>IF(N23488="","",'Master Barang'!B82)</f>
        <v>0</v>
      </c>
      <c r="P23488">
        <f>IF(OR(M23488="",N23488=""),"",SUMIFS('Barang Keluar'!$E:$E,'Barang Keluar'!$A:$A,M23488,'Barang Keluar'!$C:$C,N23488))</f>
        <v>0</v>
      </c>
    </row>
    <row r="23489" spans="13:16">
      <c r="M23489" s="49">
        <f>IF($A$4+234&gt;$B$4,"",$A$4+234)</f>
        <v>46257</v>
      </c>
      <c r="N23489">
        <f>IF(M23489="","",'Master Barang'!A83)</f>
        <v>0</v>
      </c>
      <c r="O23489">
        <f>IF(N23489="","",'Master Barang'!B83)</f>
        <v>0</v>
      </c>
      <c r="P23489">
        <f>IF(OR(M23489="",N23489=""),"",SUMIFS('Barang Keluar'!$E:$E,'Barang Keluar'!$A:$A,M23489,'Barang Keluar'!$C:$C,N23489))</f>
        <v>0</v>
      </c>
    </row>
    <row r="23490" spans="13:16">
      <c r="M23490" s="49">
        <f>IF($A$4+234&gt;$B$4,"",$A$4+234)</f>
        <v>46257</v>
      </c>
      <c r="N23490">
        <f>IF(M23490="","",'Master Barang'!A84)</f>
        <v>0</v>
      </c>
      <c r="O23490">
        <f>IF(N23490="","",'Master Barang'!B84)</f>
        <v>0</v>
      </c>
      <c r="P23490">
        <f>IF(OR(M23490="",N23490=""),"",SUMIFS('Barang Keluar'!$E:$E,'Barang Keluar'!$A:$A,M23490,'Barang Keluar'!$C:$C,N23490))</f>
        <v>0</v>
      </c>
    </row>
    <row r="23491" spans="13:16">
      <c r="M23491" s="49">
        <f>IF($A$4+234&gt;$B$4,"",$A$4+234)</f>
        <v>46257</v>
      </c>
      <c r="N23491">
        <f>IF(M23491="","",'Master Barang'!A85)</f>
        <v>0</v>
      </c>
      <c r="O23491">
        <f>IF(N23491="","",'Master Barang'!B85)</f>
        <v>0</v>
      </c>
      <c r="P23491">
        <f>IF(OR(M23491="",N23491=""),"",SUMIFS('Barang Keluar'!$E:$E,'Barang Keluar'!$A:$A,M23491,'Barang Keluar'!$C:$C,N23491))</f>
        <v>0</v>
      </c>
    </row>
    <row r="23492" spans="13:16">
      <c r="M23492" s="49">
        <f>IF($A$4+234&gt;$B$4,"",$A$4+234)</f>
        <v>46257</v>
      </c>
      <c r="N23492">
        <f>IF(M23492="","",'Master Barang'!A86)</f>
        <v>0</v>
      </c>
      <c r="O23492">
        <f>IF(N23492="","",'Master Barang'!B86)</f>
        <v>0</v>
      </c>
      <c r="P23492">
        <f>IF(OR(M23492="",N23492=""),"",SUMIFS('Barang Keluar'!$E:$E,'Barang Keluar'!$A:$A,M23492,'Barang Keluar'!$C:$C,N23492))</f>
        <v>0</v>
      </c>
    </row>
    <row r="23493" spans="13:16">
      <c r="M23493" s="49">
        <f>IF($A$4+234&gt;$B$4,"",$A$4+234)</f>
        <v>46257</v>
      </c>
      <c r="N23493">
        <f>IF(M23493="","",'Master Barang'!A87)</f>
        <v>0</v>
      </c>
      <c r="O23493">
        <f>IF(N23493="","",'Master Barang'!B87)</f>
        <v>0</v>
      </c>
      <c r="P23493">
        <f>IF(OR(M23493="",N23493=""),"",SUMIFS('Barang Keluar'!$E:$E,'Barang Keluar'!$A:$A,M23493,'Barang Keluar'!$C:$C,N23493))</f>
        <v>0</v>
      </c>
    </row>
    <row r="23494" spans="13:16">
      <c r="M23494" s="49">
        <f>IF($A$4+234&gt;$B$4,"",$A$4+234)</f>
        <v>46257</v>
      </c>
      <c r="N23494">
        <f>IF(M23494="","",'Master Barang'!A88)</f>
        <v>0</v>
      </c>
      <c r="O23494">
        <f>IF(N23494="","",'Master Barang'!B88)</f>
        <v>0</v>
      </c>
      <c r="P23494">
        <f>IF(OR(M23494="",N23494=""),"",SUMIFS('Barang Keluar'!$E:$E,'Barang Keluar'!$A:$A,M23494,'Barang Keluar'!$C:$C,N23494))</f>
        <v>0</v>
      </c>
    </row>
    <row r="23495" spans="13:16">
      <c r="M23495" s="49">
        <f>IF($A$4+234&gt;$B$4,"",$A$4+234)</f>
        <v>46257</v>
      </c>
      <c r="N23495">
        <f>IF(M23495="","",'Master Barang'!A89)</f>
        <v>0</v>
      </c>
      <c r="O23495">
        <f>IF(N23495="","",'Master Barang'!B89)</f>
        <v>0</v>
      </c>
      <c r="P23495">
        <f>IF(OR(M23495="",N23495=""),"",SUMIFS('Barang Keluar'!$E:$E,'Barang Keluar'!$A:$A,M23495,'Barang Keluar'!$C:$C,N23495))</f>
        <v>0</v>
      </c>
    </row>
    <row r="23496" spans="13:16">
      <c r="M23496" s="49">
        <f>IF($A$4+234&gt;$B$4,"",$A$4+234)</f>
        <v>46257</v>
      </c>
      <c r="N23496">
        <f>IF(M23496="","",'Master Barang'!A90)</f>
        <v>0</v>
      </c>
      <c r="O23496">
        <f>IF(N23496="","",'Master Barang'!B90)</f>
        <v>0</v>
      </c>
      <c r="P23496">
        <f>IF(OR(M23496="",N23496=""),"",SUMIFS('Barang Keluar'!$E:$E,'Barang Keluar'!$A:$A,M23496,'Barang Keluar'!$C:$C,N23496))</f>
        <v>0</v>
      </c>
    </row>
    <row r="23497" spans="13:16">
      <c r="M23497" s="49">
        <f>IF($A$4+234&gt;$B$4,"",$A$4+234)</f>
        <v>46257</v>
      </c>
      <c r="N23497">
        <f>IF(M23497="","",'Master Barang'!A91)</f>
        <v>0</v>
      </c>
      <c r="O23497">
        <f>IF(N23497="","",'Master Barang'!B91)</f>
        <v>0</v>
      </c>
      <c r="P23497">
        <f>IF(OR(M23497="",N23497=""),"",SUMIFS('Barang Keluar'!$E:$E,'Barang Keluar'!$A:$A,M23497,'Barang Keluar'!$C:$C,N23497))</f>
        <v>0</v>
      </c>
    </row>
    <row r="23498" spans="13:16">
      <c r="M23498" s="49">
        <f>IF($A$4+234&gt;$B$4,"",$A$4+234)</f>
        <v>46257</v>
      </c>
      <c r="N23498">
        <f>IF(M23498="","",'Master Barang'!A92)</f>
        <v>0</v>
      </c>
      <c r="O23498">
        <f>IF(N23498="","",'Master Barang'!B92)</f>
        <v>0</v>
      </c>
      <c r="P23498">
        <f>IF(OR(M23498="",N23498=""),"",SUMIFS('Barang Keluar'!$E:$E,'Barang Keluar'!$A:$A,M23498,'Barang Keluar'!$C:$C,N23498))</f>
        <v>0</v>
      </c>
    </row>
    <row r="23499" spans="13:16">
      <c r="M23499" s="49">
        <f>IF($A$4+234&gt;$B$4,"",$A$4+234)</f>
        <v>46257</v>
      </c>
      <c r="N23499">
        <f>IF(M23499="","",'Master Barang'!A93)</f>
        <v>0</v>
      </c>
      <c r="O23499">
        <f>IF(N23499="","",'Master Barang'!B93)</f>
        <v>0</v>
      </c>
      <c r="P23499">
        <f>IF(OR(M23499="",N23499=""),"",SUMIFS('Barang Keluar'!$E:$E,'Barang Keluar'!$A:$A,M23499,'Barang Keluar'!$C:$C,N23499))</f>
        <v>0</v>
      </c>
    </row>
    <row r="23500" spans="13:16">
      <c r="M23500" s="49">
        <f>IF($A$4+234&gt;$B$4,"",$A$4+234)</f>
        <v>46257</v>
      </c>
      <c r="N23500">
        <f>IF(M23500="","",'Master Barang'!A94)</f>
        <v>0</v>
      </c>
      <c r="O23500">
        <f>IF(N23500="","",'Master Barang'!B94)</f>
        <v>0</v>
      </c>
      <c r="P23500">
        <f>IF(OR(M23500="",N23500=""),"",SUMIFS('Barang Keluar'!$E:$E,'Barang Keluar'!$A:$A,M23500,'Barang Keluar'!$C:$C,N23500))</f>
        <v>0</v>
      </c>
    </row>
    <row r="23501" spans="13:16">
      <c r="M23501" s="49">
        <f>IF($A$4+234&gt;$B$4,"",$A$4+234)</f>
        <v>46257</v>
      </c>
      <c r="N23501">
        <f>IF(M23501="","",'Master Barang'!A95)</f>
        <v>0</v>
      </c>
      <c r="O23501">
        <f>IF(N23501="","",'Master Barang'!B95)</f>
        <v>0</v>
      </c>
      <c r="P23501">
        <f>IF(OR(M23501="",N23501=""),"",SUMIFS('Barang Keluar'!$E:$E,'Barang Keluar'!$A:$A,M23501,'Barang Keluar'!$C:$C,N23501))</f>
        <v>0</v>
      </c>
    </row>
    <row r="23502" spans="13:16">
      <c r="M23502" s="49">
        <f>IF($A$4+234&gt;$B$4,"",$A$4+234)</f>
        <v>46257</v>
      </c>
      <c r="N23502">
        <f>IF(M23502="","",'Master Barang'!A96)</f>
        <v>0</v>
      </c>
      <c r="O23502">
        <f>IF(N23502="","",'Master Barang'!B96)</f>
        <v>0</v>
      </c>
      <c r="P23502">
        <f>IF(OR(M23502="",N23502=""),"",SUMIFS('Barang Keluar'!$E:$E,'Barang Keluar'!$A:$A,M23502,'Barang Keluar'!$C:$C,N23502))</f>
        <v>0</v>
      </c>
    </row>
    <row r="23503" spans="13:16">
      <c r="M23503" s="49">
        <f>IF($A$4+234&gt;$B$4,"",$A$4+234)</f>
        <v>46257</v>
      </c>
      <c r="N23503">
        <f>IF(M23503="","",'Master Barang'!A97)</f>
        <v>0</v>
      </c>
      <c r="O23503">
        <f>IF(N23503="","",'Master Barang'!B97)</f>
        <v>0</v>
      </c>
      <c r="P23503">
        <f>IF(OR(M23503="",N23503=""),"",SUMIFS('Barang Keluar'!$E:$E,'Barang Keluar'!$A:$A,M23503,'Barang Keluar'!$C:$C,N23503))</f>
        <v>0</v>
      </c>
    </row>
    <row r="23504" spans="13:16">
      <c r="M23504" s="49">
        <f>IF($A$4+234&gt;$B$4,"",$A$4+234)</f>
        <v>46257</v>
      </c>
      <c r="N23504">
        <f>IF(M23504="","",'Master Barang'!A98)</f>
        <v>0</v>
      </c>
      <c r="O23504">
        <f>IF(N23504="","",'Master Barang'!B98)</f>
        <v>0</v>
      </c>
      <c r="P23504">
        <f>IF(OR(M23504="",N23504=""),"",SUMIFS('Barang Keluar'!$E:$E,'Barang Keluar'!$A:$A,M23504,'Barang Keluar'!$C:$C,N23504))</f>
        <v>0</v>
      </c>
    </row>
    <row r="23505" spans="13:16">
      <c r="M23505" s="49">
        <f>IF($A$4+234&gt;$B$4,"",$A$4+234)</f>
        <v>46257</v>
      </c>
      <c r="N23505">
        <f>IF(M23505="","",'Master Barang'!A99)</f>
        <v>0</v>
      </c>
      <c r="O23505">
        <f>IF(N23505="","",'Master Barang'!B99)</f>
        <v>0</v>
      </c>
      <c r="P23505">
        <f>IF(OR(M23505="",N23505=""),"",SUMIFS('Barang Keluar'!$E:$E,'Barang Keluar'!$A:$A,M23505,'Barang Keluar'!$C:$C,N23505))</f>
        <v>0</v>
      </c>
    </row>
    <row r="23506" spans="13:16">
      <c r="M23506" s="49">
        <f>IF($A$4+234&gt;$B$4,"",$A$4+234)</f>
        <v>46257</v>
      </c>
      <c r="N23506">
        <f>IF(M23506="","",'Master Barang'!A100)</f>
        <v>0</v>
      </c>
      <c r="O23506">
        <f>IF(N23506="","",'Master Barang'!B100)</f>
        <v>0</v>
      </c>
      <c r="P23506">
        <f>IF(OR(M23506="",N23506=""),"",SUMIFS('Barang Keluar'!$E:$E,'Barang Keluar'!$A:$A,M23506,'Barang Keluar'!$C:$C,N23506))</f>
        <v>0</v>
      </c>
    </row>
    <row r="23507" spans="13:16">
      <c r="M23507" s="49">
        <f>IF($A$4+234&gt;$B$4,"",$A$4+234)</f>
        <v>46257</v>
      </c>
      <c r="N23507">
        <f>IF(M23507="","",'Master Barang'!A101)</f>
        <v>0</v>
      </c>
      <c r="O23507">
        <f>IF(N23507="","",'Master Barang'!B101)</f>
        <v>0</v>
      </c>
      <c r="P23507">
        <f>IF(OR(M23507="",N23507=""),"",SUMIFS('Barang Keluar'!$E:$E,'Barang Keluar'!$A:$A,M23507,'Barang Keluar'!$C:$C,N23507))</f>
        <v>0</v>
      </c>
    </row>
    <row r="23508" spans="13:16">
      <c r="M23508" s="49">
        <f>IF($A$4+235&gt;$B$4,"",$A$4+235)</f>
        <v>46258</v>
      </c>
      <c r="N23508" t="str">
        <f>IF(M23508="","",'Master Barang'!A2)</f>
        <v>PRL-001</v>
      </c>
      <c r="O23508" t="str">
        <f>IF(N23508="","",'Master Barang'!B2)</f>
        <v>natura desinfectant food grade 5l</v>
      </c>
      <c r="P23508">
        <f>IF(OR(M23508="",N23508=""),"",SUMIFS('Barang Keluar'!$E:$E,'Barang Keluar'!$A:$A,M23508,'Barang Keluar'!$C:$C,N23508))</f>
        <v>0</v>
      </c>
    </row>
    <row r="23509" spans="13:16">
      <c r="M23509" s="49">
        <f>IF($A$4+235&gt;$B$4,"",$A$4+235)</f>
        <v>46258</v>
      </c>
      <c r="N23509" t="str">
        <f>IF(M23509="","",'Master Barang'!A3)</f>
        <v>PRL-002</v>
      </c>
      <c r="O23509" t="str">
        <f>IF(N23509="","",'Master Barang'!B3)</f>
        <v>sunlight cairan pencuci piring 5l</v>
      </c>
      <c r="P23509">
        <f>IF(OR(M23509="",N23509=""),"",SUMIFS('Barang Keluar'!$E:$E,'Barang Keluar'!$A:$A,M23509,'Barang Keluar'!$C:$C,N23509))</f>
        <v>0</v>
      </c>
    </row>
    <row r="23510" spans="13:16">
      <c r="M23510" s="49">
        <f>IF($A$4+235&gt;$B$4,"",$A$4+235)</f>
        <v>46258</v>
      </c>
      <c r="N23510" t="str">
        <f>IF(M23510="","",'Master Barang'!A4)</f>
        <v>PRL-003</v>
      </c>
      <c r="O23510" t="str">
        <f>IF(N23510="","",'Master Barang'!B4)</f>
        <v>oixs cleaner 1l</v>
      </c>
      <c r="P23510">
        <f>IF(OR(M23510="",N23510=""),"",SUMIFS('Barang Keluar'!$E:$E,'Barang Keluar'!$A:$A,M23510,'Barang Keluar'!$C:$C,N23510))</f>
        <v>0</v>
      </c>
    </row>
    <row r="23511" spans="13:16">
      <c r="M23511" s="49">
        <f>IF($A$4+235&gt;$B$4,"",$A$4+235)</f>
        <v>46258</v>
      </c>
      <c r="N23511" t="str">
        <f>IF(M23511="","",'Master Barang'!A5)</f>
        <v>PRL-004</v>
      </c>
      <c r="O23511" t="str">
        <f>IF(N23511="","",'Master Barang'!B5)</f>
        <v>be clean tissue serbaguna</v>
      </c>
      <c r="P23511">
        <f>IF(OR(M23511="",N23511=""),"",SUMIFS('Barang Keluar'!$E:$E,'Barang Keluar'!$A:$A,M23511,'Barang Keluar'!$C:$C,N23511))</f>
        <v>0</v>
      </c>
    </row>
    <row r="23512" spans="13:16">
      <c r="M23512" s="49">
        <f>IF($A$4+235&gt;$B$4,"",$A$4+235)</f>
        <v>46258</v>
      </c>
      <c r="N23512" t="str">
        <f>IF(M23512="","",'Master Barang'!A6)</f>
        <v>PRL-005</v>
      </c>
      <c r="O23512" t="str">
        <f>IF(N23512="","",'Master Barang'!B6)</f>
        <v>spons cuci hijau</v>
      </c>
      <c r="P23512">
        <f>IF(OR(M23512="",N23512=""),"",SUMIFS('Barang Keluar'!$E:$E,'Barang Keluar'!$A:$A,M23512,'Barang Keluar'!$C:$C,N23512))</f>
        <v>0</v>
      </c>
    </row>
    <row r="23513" spans="13:16">
      <c r="M23513" s="49">
        <f>IF($A$4+235&gt;$B$4,"",$A$4+235)</f>
        <v>46258</v>
      </c>
      <c r="N23513" t="str">
        <f>IF(M23513="","",'Master Barang'!A7)</f>
        <v>PRL-006</v>
      </c>
      <c r="O23513" t="str">
        <f>IF(N23513="","",'Master Barang'!B7)</f>
        <v>sabut cuci stainless</v>
      </c>
      <c r="P23513">
        <f>IF(OR(M23513="",N23513=""),"",SUMIFS('Barang Keluar'!$E:$E,'Barang Keluar'!$A:$A,M23513,'Barang Keluar'!$C:$C,N23513))</f>
        <v>0</v>
      </c>
    </row>
    <row r="23514" spans="13:16">
      <c r="M23514" s="49">
        <f>IF($A$4+235&gt;$B$4,"",$A$4+235)</f>
        <v>46258</v>
      </c>
      <c r="N23514" t="str">
        <f>IF(M23514="","",'Master Barang'!A8)</f>
        <v>PRL-007</v>
      </c>
      <c r="O23514" t="str">
        <f>IF(N23514="","",'Master Barang'!B8)</f>
        <v>plastik kresek besar merah 50pc</v>
      </c>
      <c r="P23514">
        <f>IF(OR(M23514="",N23514=""),"",SUMIFS('Barang Keluar'!$E:$E,'Barang Keluar'!$A:$A,M23514,'Barang Keluar'!$C:$C,N23514))</f>
        <v>0</v>
      </c>
    </row>
    <row r="23515" spans="13:16">
      <c r="M23515" s="49">
        <f>IF($A$4+235&gt;$B$4,"",$A$4+235)</f>
        <v>46258</v>
      </c>
      <c r="N23515" t="str">
        <f>IF(M23515="","",'Master Barang'!A9)</f>
        <v>PRL-008</v>
      </c>
      <c r="O23515" t="str">
        <f>IF(N23515="","",'Master Barang'!B9)</f>
        <v>lap besar</v>
      </c>
      <c r="P23515">
        <f>IF(OR(M23515="",N23515=""),"",SUMIFS('Barang Keluar'!$E:$E,'Barang Keluar'!$A:$A,M23515,'Barang Keluar'!$C:$C,N23515))</f>
        <v>0</v>
      </c>
    </row>
    <row r="23516" spans="13:16">
      <c r="M23516" s="49">
        <f>IF($A$4+235&gt;$B$4,"",$A$4+235)</f>
        <v>46258</v>
      </c>
      <c r="N23516" t="str">
        <f>IF(M23516="","",'Master Barang'!A10)</f>
        <v>PRL-009</v>
      </c>
      <c r="O23516" t="str">
        <f>IF(N23516="","",'Master Barang'!B10)</f>
        <v>lap microfiber</v>
      </c>
      <c r="P23516">
        <f>IF(OR(M23516="",N23516=""),"",SUMIFS('Barang Keluar'!$E:$E,'Barang Keluar'!$A:$A,M23516,'Barang Keluar'!$C:$C,N23516))</f>
        <v>0</v>
      </c>
    </row>
    <row r="23517" spans="13:16">
      <c r="M23517" s="49">
        <f>IF($A$4+235&gt;$B$4,"",$A$4+235)</f>
        <v>46258</v>
      </c>
      <c r="N23517" t="str">
        <f>IF(M23517="","",'Master Barang'!A11)</f>
        <v>PRL-010</v>
      </c>
      <c r="O23517" t="str">
        <f>IF(N23517="","",'Master Barang'!B11)</f>
        <v>lap kecil</v>
      </c>
      <c r="P23517">
        <f>IF(OR(M23517="",N23517=""),"",SUMIFS('Barang Keluar'!$E:$E,'Barang Keluar'!$A:$A,M23517,'Barang Keluar'!$C:$C,N23517))</f>
        <v>0</v>
      </c>
    </row>
    <row r="23518" spans="13:16">
      <c r="M23518" s="49">
        <f>IF($A$4+235&gt;$B$4,"",$A$4+235)</f>
        <v>46258</v>
      </c>
      <c r="N23518" t="str">
        <f>IF(M23518="","",'Master Barang'!A12)</f>
        <v>PRL-011</v>
      </c>
      <c r="O23518" t="str">
        <f>IF(N23518="","",'Master Barang'!B12)</f>
        <v>kanebo kecil</v>
      </c>
      <c r="P23518">
        <f>IF(OR(M23518="",N23518=""),"",SUMIFS('Barang Keluar'!$E:$E,'Barang Keluar'!$A:$A,M23518,'Barang Keluar'!$C:$C,N23518))</f>
        <v>0</v>
      </c>
    </row>
    <row r="23519" spans="13:16">
      <c r="M23519" s="49">
        <f>IF($A$4+235&gt;$B$4,"",$A$4+235)</f>
        <v>46258</v>
      </c>
      <c r="N23519" t="str">
        <f>IF(M23519="","",'Master Barang'!A13)</f>
        <v>PRL-012</v>
      </c>
      <c r="O23519" t="str">
        <f>IF(N23519="","",'Master Barang'!B13)</f>
        <v>plastik 1/4kg joyoboyo 100 lembar</v>
      </c>
      <c r="P23519">
        <f>IF(OR(M23519="",N23519=""),"",SUMIFS('Barang Keluar'!$E:$E,'Barang Keluar'!$A:$A,M23519,'Barang Keluar'!$C:$C,N23519))</f>
        <v>0</v>
      </c>
    </row>
    <row r="23520" spans="13:16">
      <c r="M23520" s="49">
        <f>IF($A$4+235&gt;$B$4,"",$A$4+235)</f>
        <v>46258</v>
      </c>
      <c r="N23520" t="str">
        <f>IF(M23520="","",'Master Barang'!A14)</f>
        <v>PRL-013</v>
      </c>
      <c r="O23520" t="str">
        <f>IF(N23520="","",'Master Barang'!B14)</f>
        <v>sarung tangan plastik kaka 100 pcs</v>
      </c>
      <c r="P23520">
        <f>IF(OR(M23520="",N23520=""),"",SUMIFS('Barang Keluar'!$E:$E,'Barang Keluar'!$A:$A,M23520,'Barang Keluar'!$C:$C,N23520))</f>
        <v>0</v>
      </c>
    </row>
    <row r="23521" spans="13:16">
      <c r="M23521" s="49">
        <f>IF($A$4+235&gt;$B$4,"",$A$4+235)</f>
        <v>46258</v>
      </c>
      <c r="N23521" t="str">
        <f>IF(M23521="","",'Master Barang'!A15)</f>
        <v>PRL-014</v>
      </c>
      <c r="O23521" t="str">
        <f>IF(N23521="","",'Master Barang'!B15)</f>
        <v>optima trashbag 80x100</v>
      </c>
      <c r="P23521">
        <f>IF(OR(M23521="",N23521=""),"",SUMIFS('Barang Keluar'!$E:$E,'Barang Keluar'!$A:$A,M23521,'Barang Keluar'!$C:$C,N23521))</f>
        <v>0</v>
      </c>
    </row>
    <row r="23522" spans="13:16">
      <c r="M23522" s="49">
        <f>IF($A$4+235&gt;$B$4,"",$A$4+235)</f>
        <v>46258</v>
      </c>
      <c r="N23522" t="str">
        <f>IF(M23522="","",'Master Barang'!A16)</f>
        <v>PRL-015</v>
      </c>
      <c r="O23522" t="str">
        <f>IF(N23522="","",'Master Barang'!B16)</f>
        <v>optima trashbag 60x100</v>
      </c>
      <c r="P23522">
        <f>IF(OR(M23522="",N23522=""),"",SUMIFS('Barang Keluar'!$E:$E,'Barang Keluar'!$A:$A,M23522,'Barang Keluar'!$C:$C,N23522))</f>
        <v>0</v>
      </c>
    </row>
    <row r="23523" spans="13:16">
      <c r="M23523" s="49">
        <f>IF($A$4+235&gt;$B$4,"",$A$4+235)</f>
        <v>46258</v>
      </c>
      <c r="N23523" t="str">
        <f>IF(M23523="","",'Master Barang'!A17)</f>
        <v>PRL-016</v>
      </c>
      <c r="O23523" t="str">
        <f>IF(N23523="","",'Master Barang'!B17)</f>
        <v>rajawali trashbag 30x40</v>
      </c>
      <c r="P23523">
        <f>IF(OR(M23523="",N23523=""),"",SUMIFS('Barang Keluar'!$E:$E,'Barang Keluar'!$A:$A,M23523,'Barang Keluar'!$C:$C,N23523))</f>
        <v>0</v>
      </c>
    </row>
    <row r="23524" spans="13:16">
      <c r="M23524" s="49">
        <f>IF($A$4+235&gt;$B$4,"",$A$4+235)</f>
        <v>46258</v>
      </c>
      <c r="N23524" t="str">
        <f>IF(M23524="","",'Master Barang'!A18)</f>
        <v>PRL-017</v>
      </c>
      <c r="O23524" t="str">
        <f>IF(N23524="","",'Master Barang'!B18)</f>
        <v>onemed masker biru 3 play 50 pcs</v>
      </c>
      <c r="P23524">
        <f>IF(OR(M23524="",N23524=""),"",SUMIFS('Barang Keluar'!$E:$E,'Barang Keluar'!$A:$A,M23524,'Barang Keluar'!$C:$C,N23524))</f>
        <v>0</v>
      </c>
    </row>
    <row r="23525" spans="13:16">
      <c r="M23525" s="49">
        <f>IF($A$4+235&gt;$B$4,"",$A$4+235)</f>
        <v>46258</v>
      </c>
      <c r="N23525" t="str">
        <f>IF(M23525="","",'Master Barang'!A19)</f>
        <v>PRL-018</v>
      </c>
      <c r="O23525" t="str">
        <f>IF(N23525="","",'Master Barang'!B19)</f>
        <v>onemed masker biru 3 play hijab 50 pcs</v>
      </c>
      <c r="P23525">
        <f>IF(OR(M23525="",N23525=""),"",SUMIFS('Barang Keluar'!$E:$E,'Barang Keluar'!$A:$A,M23525,'Barang Keluar'!$C:$C,N23525))</f>
        <v>0</v>
      </c>
    </row>
    <row r="23526" spans="13:16">
      <c r="M23526" s="49">
        <f>IF($A$4+235&gt;$B$4,"",$A$4+235)</f>
        <v>46258</v>
      </c>
      <c r="N23526" t="str">
        <f>IF(M23526="","",'Master Barang'!A20)</f>
        <v>PRL-019</v>
      </c>
      <c r="O23526" t="str">
        <f>IF(N23526="","",'Master Barang'!B20)</f>
        <v>neo health masker biru 3 play 50 pcs</v>
      </c>
      <c r="P23526">
        <f>IF(OR(M23526="",N23526=""),"",SUMIFS('Barang Keluar'!$E:$E,'Barang Keluar'!$A:$A,M23526,'Barang Keluar'!$C:$C,N23526))</f>
        <v>0</v>
      </c>
    </row>
    <row r="23527" spans="13:16">
      <c r="M23527" s="49">
        <f>IF($A$4+235&gt;$B$4,"",$A$4+235)</f>
        <v>46258</v>
      </c>
      <c r="N23527" t="str">
        <f>IF(M23527="","",'Master Barang'!A21)</f>
        <v>PRL-020</v>
      </c>
      <c r="O23527" t="str">
        <f>IF(N23527="","",'Master Barang'!B21)</f>
        <v>baymed masker hijau 3 play hijau 50 pcs</v>
      </c>
      <c r="P23527">
        <f>IF(OR(M23527="",N23527=""),"",SUMIFS('Barang Keluar'!$E:$E,'Barang Keluar'!$A:$A,M23527,'Barang Keluar'!$C:$C,N23527))</f>
        <v>0</v>
      </c>
    </row>
    <row r="23528" spans="13:16">
      <c r="M23528" s="49">
        <f>IF($A$4+235&gt;$B$4,"",$A$4+235)</f>
        <v>46258</v>
      </c>
      <c r="N23528" t="str">
        <f>IF(M23528="","",'Master Barang'!A22)</f>
        <v>PRL-021</v>
      </c>
      <c r="O23528" t="str">
        <f>IF(N23528="","",'Master Barang'!B22)</f>
        <v>altamed nurse cap penutup kepala 100 pcs</v>
      </c>
      <c r="P23528">
        <f>IF(OR(M23528="",N23528=""),"",SUMIFS('Barang Keluar'!$E:$E,'Barang Keluar'!$A:$A,M23528,'Barang Keluar'!$C:$C,N23528))</f>
        <v>0</v>
      </c>
    </row>
    <row r="23529" spans="13:16">
      <c r="M23529" s="49">
        <f>IF($A$4+235&gt;$B$4,"",$A$4+235)</f>
        <v>46258</v>
      </c>
      <c r="N23529" t="str">
        <f>IF(M23529="","",'Master Barang'!A23)</f>
        <v>PRL-022</v>
      </c>
      <c r="O23529" t="str">
        <f>IF(N23529="","",'Master Barang'!B23)</f>
        <v>sabun cuci tangan</v>
      </c>
      <c r="P23529">
        <f>IF(OR(M23529="",N23529=""),"",SUMIFS('Barang Keluar'!$E:$E,'Barang Keluar'!$A:$A,M23529,'Barang Keluar'!$C:$C,N23529))</f>
        <v>0</v>
      </c>
    </row>
    <row r="23530" spans="13:16">
      <c r="M23530" s="49">
        <f>IF($A$4+235&gt;$B$4,"",$A$4+235)</f>
        <v>46258</v>
      </c>
      <c r="N23530" t="str">
        <f>IF(M23530="","",'Master Barang'!A24)</f>
        <v>PRL-023</v>
      </c>
      <c r="O23530" t="str">
        <f>IF(N23530="","",'Master Barang'!B24)</f>
        <v>gayung kecil</v>
      </c>
      <c r="P23530">
        <f>IF(OR(M23530="",N23530=""),"",SUMIFS('Barang Keluar'!$E:$E,'Barang Keluar'!$A:$A,M23530,'Barang Keluar'!$C:$C,N23530))</f>
        <v>0</v>
      </c>
    </row>
    <row r="23531" spans="13:16">
      <c r="M23531" s="49">
        <f>IF($A$4+235&gt;$B$4,"",$A$4+235)</f>
        <v>46258</v>
      </c>
      <c r="N23531" t="str">
        <f>IF(M23531="","",'Master Barang'!A25)</f>
        <v>PRL-024</v>
      </c>
      <c r="O23531" t="str">
        <f>IF(N23531="","",'Master Barang'!B25)</f>
        <v>cikrak kecil</v>
      </c>
      <c r="P23531">
        <f>IF(OR(M23531="",N23531=""),"",SUMIFS('Barang Keluar'!$E:$E,'Barang Keluar'!$A:$A,M23531,'Barang Keluar'!$C:$C,N23531))</f>
        <v>0</v>
      </c>
    </row>
    <row r="23532" spans="13:16">
      <c r="M23532" s="49">
        <f>IF($A$4+235&gt;$B$4,"",$A$4+235)</f>
        <v>46258</v>
      </c>
      <c r="N23532" t="str">
        <f>IF(M23532="","",'Master Barang'!A26)</f>
        <v>PRL-025</v>
      </c>
      <c r="O23532" t="str">
        <f>IF(N23532="","",'Master Barang'!B26)</f>
        <v>petromax plastik kecil 12x24 100 lembar</v>
      </c>
      <c r="P23532">
        <f>IF(OR(M23532="",N23532=""),"",SUMIFS('Barang Keluar'!$E:$E,'Barang Keluar'!$A:$A,M23532,'Barang Keluar'!$C:$C,N23532))</f>
        <v>0</v>
      </c>
    </row>
    <row r="23533" spans="13:16">
      <c r="M23533" s="49">
        <f>IF($A$4+235&gt;$B$4,"",$A$4+235)</f>
        <v>46258</v>
      </c>
      <c r="N23533" t="str">
        <f>IF(M23533="","",'Master Barang'!A27)</f>
        <v>PRL-026</v>
      </c>
      <c r="O23533" t="str">
        <f>IF(N23533="","",'Master Barang'!B27)</f>
        <v>lancar kresek kecil bening </v>
      </c>
      <c r="P23533">
        <f>IF(OR(M23533="",N23533=""),"",SUMIFS('Barang Keluar'!$E:$E,'Barang Keluar'!$A:$A,M23533,'Barang Keluar'!$C:$C,N23533))</f>
        <v>0</v>
      </c>
    </row>
    <row r="23534" spans="13:16">
      <c r="M23534" s="49">
        <f>IF($A$4+235&gt;$B$4,"",$A$4+235)</f>
        <v>46258</v>
      </c>
      <c r="N23534" t="str">
        <f>IF(M23534="","",'Master Barang'!A28)</f>
        <v>PRL-027</v>
      </c>
      <c r="O23534" t="str">
        <f>IF(N23534="","",'Master Barang'!B28)</f>
        <v>kresek klin warna warni kecil</v>
      </c>
      <c r="P23534">
        <f>IF(OR(M23534="",N23534=""),"",SUMIFS('Barang Keluar'!$E:$E,'Barang Keluar'!$A:$A,M23534,'Barang Keluar'!$C:$C,N23534))</f>
        <v>0</v>
      </c>
    </row>
    <row r="23535" spans="13:16">
      <c r="M23535" s="49">
        <f>IF($A$4+235&gt;$B$4,"",$A$4+235)</f>
        <v>46258</v>
      </c>
      <c r="N23535" t="str">
        <f>IF(M23535="","",'Master Barang'!A29)</f>
        <v>PRL-028</v>
      </c>
      <c r="O23535" t="str">
        <f>IF(N23535="","",'Master Barang'!B29)</f>
        <v>ctik plastik 7x10 100 pcs</v>
      </c>
      <c r="P23535">
        <f>IF(OR(M23535="",N23535=""),"",SUMIFS('Barang Keluar'!$E:$E,'Barang Keluar'!$A:$A,M23535,'Barang Keluar'!$C:$C,N23535))</f>
        <v>0</v>
      </c>
    </row>
    <row r="23536" spans="13:16">
      <c r="M23536" s="49">
        <f>IF($A$4+235&gt;$B$4,"",$A$4+235)</f>
        <v>46258</v>
      </c>
      <c r="N23536" t="str">
        <f>IF(M23536="","",'Master Barang'!A30)</f>
        <v>PRL-029</v>
      </c>
      <c r="O23536" t="str">
        <f>IF(N23536="","",'Master Barang'!B30)</f>
        <v>ctik plastik 6x10 100 pcs</v>
      </c>
      <c r="P23536">
        <f>IF(OR(M23536="",N23536=""),"",SUMIFS('Barang Keluar'!$E:$E,'Barang Keluar'!$A:$A,M23536,'Barang Keluar'!$C:$C,N23536))</f>
        <v>0</v>
      </c>
    </row>
    <row r="23537" spans="13:16">
      <c r="M23537" s="49">
        <f>IF($A$4+235&gt;$B$4,"",$A$4+235)</f>
        <v>46258</v>
      </c>
      <c r="N23537" t="str">
        <f>IF(M23537="","",'Master Barang'!A31)</f>
        <v>PRL-030</v>
      </c>
      <c r="O23537" t="str">
        <f>IF(N23537="","",'Master Barang'!B31)</f>
        <v>klip plastik 25x16 100 pcs</v>
      </c>
      <c r="P23537">
        <f>IF(OR(M23537="",N23537=""),"",SUMIFS('Barang Keluar'!$E:$E,'Barang Keluar'!$A:$A,M23537,'Barang Keluar'!$C:$C,N23537))</f>
        <v>0</v>
      </c>
    </row>
    <row r="23538" spans="13:16">
      <c r="M23538" s="49">
        <f>IF($A$4+235&gt;$B$4,"",$A$4+235)</f>
        <v>46258</v>
      </c>
      <c r="N23538" t="str">
        <f>IF(M23538="","",'Master Barang'!A32)</f>
        <v>PRL-031</v>
      </c>
      <c r="O23538" t="str">
        <f>IF(N23538="","",'Master Barang'!B32)</f>
        <v>tempat saus 20 ml</v>
      </c>
      <c r="P23538">
        <f>IF(OR(M23538="",N23538=""),"",SUMIFS('Barang Keluar'!$E:$E,'Barang Keluar'!$A:$A,M23538,'Barang Keluar'!$C:$C,N23538))</f>
        <v>0</v>
      </c>
    </row>
    <row r="23539" spans="13:16">
      <c r="M23539" s="49">
        <f>IF($A$4+235&gt;$B$4,"",$A$4+235)</f>
        <v>46258</v>
      </c>
      <c r="N23539" t="str">
        <f>IF(M23539="","",'Master Barang'!A33)</f>
        <v>PRL-032</v>
      </c>
      <c r="O23539" t="str">
        <f>IF(N23539="","",'Master Barang'!B33)</f>
        <v>plastik packaging ag box uk sedang</v>
      </c>
      <c r="P23539">
        <f>IF(OR(M23539="",N23539=""),"",SUMIFS('Barang Keluar'!$E:$E,'Barang Keluar'!$A:$A,M23539,'Barang Keluar'!$C:$C,N23539))</f>
        <v>0</v>
      </c>
    </row>
    <row r="23540" spans="13:16">
      <c r="M23540" s="49">
        <f>IF($A$4+235&gt;$B$4,"",$A$4+235)</f>
        <v>46258</v>
      </c>
      <c r="N23540" t="str">
        <f>IF(M23540="","",'Master Barang'!A34)</f>
        <v>PRL-033</v>
      </c>
      <c r="O23540">
        <f>IF(N23540="","",'Master Barang'!B34)</f>
        <v>0</v>
      </c>
      <c r="P23540">
        <f>IF(OR(M23540="",N23540=""),"",SUMIFS('Barang Keluar'!$E:$E,'Barang Keluar'!$A:$A,M23540,'Barang Keluar'!$C:$C,N23540))</f>
        <v>0</v>
      </c>
    </row>
    <row r="23541" spans="13:16">
      <c r="M23541" s="49">
        <f>IF($A$4+235&gt;$B$4,"",$A$4+235)</f>
        <v>46258</v>
      </c>
      <c r="N23541">
        <f>IF(M23541="","",'Master Barang'!A35)</f>
        <v>0</v>
      </c>
      <c r="O23541">
        <f>IF(N23541="","",'Master Barang'!B35)</f>
        <v>0</v>
      </c>
      <c r="P23541">
        <f>IF(OR(M23541="",N23541=""),"",SUMIFS('Barang Keluar'!$E:$E,'Barang Keluar'!$A:$A,M23541,'Barang Keluar'!$C:$C,N23541))</f>
        <v>0</v>
      </c>
    </row>
    <row r="23542" spans="13:16">
      <c r="M23542" s="49">
        <f>IF($A$4+235&gt;$B$4,"",$A$4+235)</f>
        <v>46258</v>
      </c>
      <c r="N23542">
        <f>IF(M23542="","",'Master Barang'!A36)</f>
        <v>0</v>
      </c>
      <c r="O23542">
        <f>IF(N23542="","",'Master Barang'!B36)</f>
        <v>0</v>
      </c>
      <c r="P23542">
        <f>IF(OR(M23542="",N23542=""),"",SUMIFS('Barang Keluar'!$E:$E,'Barang Keluar'!$A:$A,M23542,'Barang Keluar'!$C:$C,N23542))</f>
        <v>0</v>
      </c>
    </row>
    <row r="23543" spans="13:16">
      <c r="M23543" s="49">
        <f>IF($A$4+235&gt;$B$4,"",$A$4+235)</f>
        <v>46258</v>
      </c>
      <c r="N23543">
        <f>IF(M23543="","",'Master Barang'!A37)</f>
        <v>0</v>
      </c>
      <c r="O23543">
        <f>IF(N23543="","",'Master Barang'!B37)</f>
        <v>0</v>
      </c>
      <c r="P23543">
        <f>IF(OR(M23543="",N23543=""),"",SUMIFS('Barang Keluar'!$E:$E,'Barang Keluar'!$A:$A,M23543,'Barang Keluar'!$C:$C,N23543))</f>
        <v>0</v>
      </c>
    </row>
    <row r="23544" spans="13:16">
      <c r="M23544" s="49">
        <f>IF($A$4+235&gt;$B$4,"",$A$4+235)</f>
        <v>46258</v>
      </c>
      <c r="N23544">
        <f>IF(M23544="","",'Master Barang'!A38)</f>
        <v>0</v>
      </c>
      <c r="O23544">
        <f>IF(N23544="","",'Master Barang'!B38)</f>
        <v>0</v>
      </c>
      <c r="P23544">
        <f>IF(OR(M23544="",N23544=""),"",SUMIFS('Barang Keluar'!$E:$E,'Barang Keluar'!$A:$A,M23544,'Barang Keluar'!$C:$C,N23544))</f>
        <v>0</v>
      </c>
    </row>
    <row r="23545" spans="13:16">
      <c r="M23545" s="49">
        <f>IF($A$4+235&gt;$B$4,"",$A$4+235)</f>
        <v>46258</v>
      </c>
      <c r="N23545">
        <f>IF(M23545="","",'Master Barang'!A39)</f>
        <v>0</v>
      </c>
      <c r="O23545">
        <f>IF(N23545="","",'Master Barang'!B39)</f>
        <v>0</v>
      </c>
      <c r="P23545">
        <f>IF(OR(M23545="",N23545=""),"",SUMIFS('Barang Keluar'!$E:$E,'Barang Keluar'!$A:$A,M23545,'Barang Keluar'!$C:$C,N23545))</f>
        <v>0</v>
      </c>
    </row>
    <row r="23546" spans="13:16">
      <c r="M23546" s="49">
        <f>IF($A$4+235&gt;$B$4,"",$A$4+235)</f>
        <v>46258</v>
      </c>
      <c r="N23546">
        <f>IF(M23546="","",'Master Barang'!A40)</f>
        <v>0</v>
      </c>
      <c r="O23546">
        <f>IF(N23546="","",'Master Barang'!B40)</f>
        <v>0</v>
      </c>
      <c r="P23546">
        <f>IF(OR(M23546="",N23546=""),"",SUMIFS('Barang Keluar'!$E:$E,'Barang Keluar'!$A:$A,M23546,'Barang Keluar'!$C:$C,N23546))</f>
        <v>0</v>
      </c>
    </row>
    <row r="23547" spans="13:16">
      <c r="M23547" s="49">
        <f>IF($A$4+235&gt;$B$4,"",$A$4+235)</f>
        <v>46258</v>
      </c>
      <c r="N23547">
        <f>IF(M23547="","",'Master Barang'!A41)</f>
        <v>0</v>
      </c>
      <c r="O23547">
        <f>IF(N23547="","",'Master Barang'!B41)</f>
        <v>0</v>
      </c>
      <c r="P23547">
        <f>IF(OR(M23547="",N23547=""),"",SUMIFS('Barang Keluar'!$E:$E,'Barang Keluar'!$A:$A,M23547,'Barang Keluar'!$C:$C,N23547))</f>
        <v>0</v>
      </c>
    </row>
    <row r="23548" spans="13:16">
      <c r="M23548" s="49">
        <f>IF($A$4+235&gt;$B$4,"",$A$4+235)</f>
        <v>46258</v>
      </c>
      <c r="N23548">
        <f>IF(M23548="","",'Master Barang'!A42)</f>
        <v>0</v>
      </c>
      <c r="O23548">
        <f>IF(N23548="","",'Master Barang'!B42)</f>
        <v>0</v>
      </c>
      <c r="P23548">
        <f>IF(OR(M23548="",N23548=""),"",SUMIFS('Barang Keluar'!$E:$E,'Barang Keluar'!$A:$A,M23548,'Barang Keluar'!$C:$C,N23548))</f>
        <v>0</v>
      </c>
    </row>
    <row r="23549" spans="13:16">
      <c r="M23549" s="49">
        <f>IF($A$4+235&gt;$B$4,"",$A$4+235)</f>
        <v>46258</v>
      </c>
      <c r="N23549">
        <f>IF(M23549="","",'Master Barang'!A43)</f>
        <v>0</v>
      </c>
      <c r="O23549">
        <f>IF(N23549="","",'Master Barang'!B43)</f>
        <v>0</v>
      </c>
      <c r="P23549">
        <f>IF(OR(M23549="",N23549=""),"",SUMIFS('Barang Keluar'!$E:$E,'Barang Keluar'!$A:$A,M23549,'Barang Keluar'!$C:$C,N23549))</f>
        <v>0</v>
      </c>
    </row>
    <row r="23550" spans="13:16">
      <c r="M23550" s="49">
        <f>IF($A$4+235&gt;$B$4,"",$A$4+235)</f>
        <v>46258</v>
      </c>
      <c r="N23550">
        <f>IF(M23550="","",'Master Barang'!A44)</f>
        <v>0</v>
      </c>
      <c r="O23550">
        <f>IF(N23550="","",'Master Barang'!B44)</f>
        <v>0</v>
      </c>
      <c r="P23550">
        <f>IF(OR(M23550="",N23550=""),"",SUMIFS('Barang Keluar'!$E:$E,'Barang Keluar'!$A:$A,M23550,'Barang Keluar'!$C:$C,N23550))</f>
        <v>0</v>
      </c>
    </row>
    <row r="23551" spans="13:16">
      <c r="M23551" s="49">
        <f>IF($A$4+235&gt;$B$4,"",$A$4+235)</f>
        <v>46258</v>
      </c>
      <c r="N23551">
        <f>IF(M23551="","",'Master Barang'!A45)</f>
        <v>0</v>
      </c>
      <c r="O23551">
        <f>IF(N23551="","",'Master Barang'!B45)</f>
        <v>0</v>
      </c>
      <c r="P23551">
        <f>IF(OR(M23551="",N23551=""),"",SUMIFS('Barang Keluar'!$E:$E,'Barang Keluar'!$A:$A,M23551,'Barang Keluar'!$C:$C,N23551))</f>
        <v>0</v>
      </c>
    </row>
    <row r="23552" spans="13:16">
      <c r="M23552" s="49">
        <f>IF($A$4+235&gt;$B$4,"",$A$4+235)</f>
        <v>46258</v>
      </c>
      <c r="N23552">
        <f>IF(M23552="","",'Master Barang'!A46)</f>
        <v>0</v>
      </c>
      <c r="O23552">
        <f>IF(N23552="","",'Master Barang'!B46)</f>
        <v>0</v>
      </c>
      <c r="P23552">
        <f>IF(OR(M23552="",N23552=""),"",SUMIFS('Barang Keluar'!$E:$E,'Barang Keluar'!$A:$A,M23552,'Barang Keluar'!$C:$C,N23552))</f>
        <v>0</v>
      </c>
    </row>
    <row r="23553" spans="13:16">
      <c r="M23553" s="49">
        <f>IF($A$4+235&gt;$B$4,"",$A$4+235)</f>
        <v>46258</v>
      </c>
      <c r="N23553">
        <f>IF(M23553="","",'Master Barang'!A47)</f>
        <v>0</v>
      </c>
      <c r="O23553">
        <f>IF(N23553="","",'Master Barang'!B47)</f>
        <v>0</v>
      </c>
      <c r="P23553">
        <f>IF(OR(M23553="",N23553=""),"",SUMIFS('Barang Keluar'!$E:$E,'Barang Keluar'!$A:$A,M23553,'Barang Keluar'!$C:$C,N23553))</f>
        <v>0</v>
      </c>
    </row>
    <row r="23554" spans="13:16">
      <c r="M23554" s="49">
        <f>IF($A$4+235&gt;$B$4,"",$A$4+235)</f>
        <v>46258</v>
      </c>
      <c r="N23554">
        <f>IF(M23554="","",'Master Barang'!A48)</f>
        <v>0</v>
      </c>
      <c r="O23554">
        <f>IF(N23554="","",'Master Barang'!B48)</f>
        <v>0</v>
      </c>
      <c r="P23554">
        <f>IF(OR(M23554="",N23554=""),"",SUMIFS('Barang Keluar'!$E:$E,'Barang Keluar'!$A:$A,M23554,'Barang Keluar'!$C:$C,N23554))</f>
        <v>0</v>
      </c>
    </row>
    <row r="23555" spans="13:16">
      <c r="M23555" s="49">
        <f>IF($A$4+235&gt;$B$4,"",$A$4+235)</f>
        <v>46258</v>
      </c>
      <c r="N23555">
        <f>IF(M23555="","",'Master Barang'!A49)</f>
        <v>0</v>
      </c>
      <c r="O23555">
        <f>IF(N23555="","",'Master Barang'!B49)</f>
        <v>0</v>
      </c>
      <c r="P23555">
        <f>IF(OR(M23555="",N23555=""),"",SUMIFS('Barang Keluar'!$E:$E,'Barang Keluar'!$A:$A,M23555,'Barang Keluar'!$C:$C,N23555))</f>
        <v>0</v>
      </c>
    </row>
    <row r="23556" spans="13:16">
      <c r="M23556" s="49">
        <f>IF($A$4+235&gt;$B$4,"",$A$4+235)</f>
        <v>46258</v>
      </c>
      <c r="N23556">
        <f>IF(M23556="","",'Master Barang'!A50)</f>
        <v>0</v>
      </c>
      <c r="O23556">
        <f>IF(N23556="","",'Master Barang'!B50)</f>
        <v>0</v>
      </c>
      <c r="P23556">
        <f>IF(OR(M23556="",N23556=""),"",SUMIFS('Barang Keluar'!$E:$E,'Barang Keluar'!$A:$A,M23556,'Barang Keluar'!$C:$C,N23556))</f>
        <v>0</v>
      </c>
    </row>
    <row r="23557" spans="13:16">
      <c r="M23557" s="49">
        <f>IF($A$4+235&gt;$B$4,"",$A$4+235)</f>
        <v>46258</v>
      </c>
      <c r="N23557">
        <f>IF(M23557="","",'Master Barang'!A51)</f>
        <v>0</v>
      </c>
      <c r="O23557">
        <f>IF(N23557="","",'Master Barang'!B51)</f>
        <v>0</v>
      </c>
      <c r="P23557">
        <f>IF(OR(M23557="",N23557=""),"",SUMIFS('Barang Keluar'!$E:$E,'Barang Keluar'!$A:$A,M23557,'Barang Keluar'!$C:$C,N23557))</f>
        <v>0</v>
      </c>
    </row>
    <row r="23558" spans="13:16">
      <c r="M23558" s="49">
        <f>IF($A$4+235&gt;$B$4,"",$A$4+235)</f>
        <v>46258</v>
      </c>
      <c r="N23558">
        <f>IF(M23558="","",'Master Barang'!A52)</f>
        <v>0</v>
      </c>
      <c r="O23558">
        <f>IF(N23558="","",'Master Barang'!B52)</f>
        <v>0</v>
      </c>
      <c r="P23558">
        <f>IF(OR(M23558="",N23558=""),"",SUMIFS('Barang Keluar'!$E:$E,'Barang Keluar'!$A:$A,M23558,'Barang Keluar'!$C:$C,N23558))</f>
        <v>0</v>
      </c>
    </row>
    <row r="23559" spans="13:16">
      <c r="M23559" s="49">
        <f>IF($A$4+235&gt;$B$4,"",$A$4+235)</f>
        <v>46258</v>
      </c>
      <c r="N23559">
        <f>IF(M23559="","",'Master Barang'!A53)</f>
        <v>0</v>
      </c>
      <c r="O23559">
        <f>IF(N23559="","",'Master Barang'!B53)</f>
        <v>0</v>
      </c>
      <c r="P23559">
        <f>IF(OR(M23559="",N23559=""),"",SUMIFS('Barang Keluar'!$E:$E,'Barang Keluar'!$A:$A,M23559,'Barang Keluar'!$C:$C,N23559))</f>
        <v>0</v>
      </c>
    </row>
    <row r="23560" spans="13:16">
      <c r="M23560" s="49">
        <f>IF($A$4+235&gt;$B$4,"",$A$4+235)</f>
        <v>46258</v>
      </c>
      <c r="N23560">
        <f>IF(M23560="","",'Master Barang'!A54)</f>
        <v>0</v>
      </c>
      <c r="O23560">
        <f>IF(N23560="","",'Master Barang'!B54)</f>
        <v>0</v>
      </c>
      <c r="P23560">
        <f>IF(OR(M23560="",N23560=""),"",SUMIFS('Barang Keluar'!$E:$E,'Barang Keluar'!$A:$A,M23560,'Barang Keluar'!$C:$C,N23560))</f>
        <v>0</v>
      </c>
    </row>
    <row r="23561" spans="13:16">
      <c r="M23561" s="49">
        <f>IF($A$4+235&gt;$B$4,"",$A$4+235)</f>
        <v>46258</v>
      </c>
      <c r="N23561">
        <f>IF(M23561="","",'Master Barang'!A55)</f>
        <v>0</v>
      </c>
      <c r="O23561">
        <f>IF(N23561="","",'Master Barang'!B55)</f>
        <v>0</v>
      </c>
      <c r="P23561">
        <f>IF(OR(M23561="",N23561=""),"",SUMIFS('Barang Keluar'!$E:$E,'Barang Keluar'!$A:$A,M23561,'Barang Keluar'!$C:$C,N23561))</f>
        <v>0</v>
      </c>
    </row>
    <row r="23562" spans="13:16">
      <c r="M23562" s="49">
        <f>IF($A$4+235&gt;$B$4,"",$A$4+235)</f>
        <v>46258</v>
      </c>
      <c r="N23562">
        <f>IF(M23562="","",'Master Barang'!A56)</f>
        <v>0</v>
      </c>
      <c r="O23562">
        <f>IF(N23562="","",'Master Barang'!B56)</f>
        <v>0</v>
      </c>
      <c r="P23562">
        <f>IF(OR(M23562="",N23562=""),"",SUMIFS('Barang Keluar'!$E:$E,'Barang Keluar'!$A:$A,M23562,'Barang Keluar'!$C:$C,N23562))</f>
        <v>0</v>
      </c>
    </row>
    <row r="23563" spans="13:16">
      <c r="M23563" s="49">
        <f>IF($A$4+235&gt;$B$4,"",$A$4+235)</f>
        <v>46258</v>
      </c>
      <c r="N23563">
        <f>IF(M23563="","",'Master Barang'!A57)</f>
        <v>0</v>
      </c>
      <c r="O23563">
        <f>IF(N23563="","",'Master Barang'!B57)</f>
        <v>0</v>
      </c>
      <c r="P23563">
        <f>IF(OR(M23563="",N23563=""),"",SUMIFS('Barang Keluar'!$E:$E,'Barang Keluar'!$A:$A,M23563,'Barang Keluar'!$C:$C,N23563))</f>
        <v>0</v>
      </c>
    </row>
    <row r="23564" spans="13:16">
      <c r="M23564" s="49">
        <f>IF($A$4+235&gt;$B$4,"",$A$4+235)</f>
        <v>46258</v>
      </c>
      <c r="N23564">
        <f>IF(M23564="","",'Master Barang'!A58)</f>
        <v>0</v>
      </c>
      <c r="O23564">
        <f>IF(N23564="","",'Master Barang'!B58)</f>
        <v>0</v>
      </c>
      <c r="P23564">
        <f>IF(OR(M23564="",N23564=""),"",SUMIFS('Barang Keluar'!$E:$E,'Barang Keluar'!$A:$A,M23564,'Barang Keluar'!$C:$C,N23564))</f>
        <v>0</v>
      </c>
    </row>
    <row r="23565" spans="13:16">
      <c r="M23565" s="49">
        <f>IF($A$4+235&gt;$B$4,"",$A$4+235)</f>
        <v>46258</v>
      </c>
      <c r="N23565">
        <f>IF(M23565="","",'Master Barang'!A59)</f>
        <v>0</v>
      </c>
      <c r="O23565">
        <f>IF(N23565="","",'Master Barang'!B59)</f>
        <v>0</v>
      </c>
      <c r="P23565">
        <f>IF(OR(M23565="",N23565=""),"",SUMIFS('Barang Keluar'!$E:$E,'Barang Keluar'!$A:$A,M23565,'Barang Keluar'!$C:$C,N23565))</f>
        <v>0</v>
      </c>
    </row>
    <row r="23566" spans="13:16">
      <c r="M23566" s="49">
        <f>IF($A$4+235&gt;$B$4,"",$A$4+235)</f>
        <v>46258</v>
      </c>
      <c r="N23566">
        <f>IF(M23566="","",'Master Barang'!A60)</f>
        <v>0</v>
      </c>
      <c r="O23566">
        <f>IF(N23566="","",'Master Barang'!B60)</f>
        <v>0</v>
      </c>
      <c r="P23566">
        <f>IF(OR(M23566="",N23566=""),"",SUMIFS('Barang Keluar'!$E:$E,'Barang Keluar'!$A:$A,M23566,'Barang Keluar'!$C:$C,N23566))</f>
        <v>0</v>
      </c>
    </row>
    <row r="23567" spans="13:16">
      <c r="M23567" s="49">
        <f>IF($A$4+235&gt;$B$4,"",$A$4+235)</f>
        <v>46258</v>
      </c>
      <c r="N23567">
        <f>IF(M23567="","",'Master Barang'!A61)</f>
        <v>0</v>
      </c>
      <c r="O23567">
        <f>IF(N23567="","",'Master Barang'!B61)</f>
        <v>0</v>
      </c>
      <c r="P23567">
        <f>IF(OR(M23567="",N23567=""),"",SUMIFS('Barang Keluar'!$E:$E,'Barang Keluar'!$A:$A,M23567,'Barang Keluar'!$C:$C,N23567))</f>
        <v>0</v>
      </c>
    </row>
    <row r="23568" spans="13:16">
      <c r="M23568" s="49">
        <f>IF($A$4+235&gt;$B$4,"",$A$4+235)</f>
        <v>46258</v>
      </c>
      <c r="N23568">
        <f>IF(M23568="","",'Master Barang'!A62)</f>
        <v>0</v>
      </c>
      <c r="O23568">
        <f>IF(N23568="","",'Master Barang'!B62)</f>
        <v>0</v>
      </c>
      <c r="P23568">
        <f>IF(OR(M23568="",N23568=""),"",SUMIFS('Barang Keluar'!$E:$E,'Barang Keluar'!$A:$A,M23568,'Barang Keluar'!$C:$C,N23568))</f>
        <v>0</v>
      </c>
    </row>
    <row r="23569" spans="13:16">
      <c r="M23569" s="49">
        <f>IF($A$4+235&gt;$B$4,"",$A$4+235)</f>
        <v>46258</v>
      </c>
      <c r="N23569">
        <f>IF(M23569="","",'Master Barang'!A63)</f>
        <v>0</v>
      </c>
      <c r="O23569">
        <f>IF(N23569="","",'Master Barang'!B63)</f>
        <v>0</v>
      </c>
      <c r="P23569">
        <f>IF(OR(M23569="",N23569=""),"",SUMIFS('Barang Keluar'!$E:$E,'Barang Keluar'!$A:$A,M23569,'Barang Keluar'!$C:$C,N23569))</f>
        <v>0</v>
      </c>
    </row>
    <row r="23570" spans="13:16">
      <c r="M23570" s="49">
        <f>IF($A$4+235&gt;$B$4,"",$A$4+235)</f>
        <v>46258</v>
      </c>
      <c r="N23570">
        <f>IF(M23570="","",'Master Barang'!A64)</f>
        <v>0</v>
      </c>
      <c r="O23570">
        <f>IF(N23570="","",'Master Barang'!B64)</f>
        <v>0</v>
      </c>
      <c r="P23570">
        <f>IF(OR(M23570="",N23570=""),"",SUMIFS('Barang Keluar'!$E:$E,'Barang Keluar'!$A:$A,M23570,'Barang Keluar'!$C:$C,N23570))</f>
        <v>0</v>
      </c>
    </row>
    <row r="23571" spans="13:16">
      <c r="M23571" s="49">
        <f>IF($A$4+235&gt;$B$4,"",$A$4+235)</f>
        <v>46258</v>
      </c>
      <c r="N23571">
        <f>IF(M23571="","",'Master Barang'!A65)</f>
        <v>0</v>
      </c>
      <c r="O23571">
        <f>IF(N23571="","",'Master Barang'!B65)</f>
        <v>0</v>
      </c>
      <c r="P23571">
        <f>IF(OR(M23571="",N23571=""),"",SUMIFS('Barang Keluar'!$E:$E,'Barang Keluar'!$A:$A,M23571,'Barang Keluar'!$C:$C,N23571))</f>
        <v>0</v>
      </c>
    </row>
    <row r="23572" spans="13:16">
      <c r="M23572" s="49">
        <f>IF($A$4+235&gt;$B$4,"",$A$4+235)</f>
        <v>46258</v>
      </c>
      <c r="N23572">
        <f>IF(M23572="","",'Master Barang'!A66)</f>
        <v>0</v>
      </c>
      <c r="O23572">
        <f>IF(N23572="","",'Master Barang'!B66)</f>
        <v>0</v>
      </c>
      <c r="P23572">
        <f>IF(OR(M23572="",N23572=""),"",SUMIFS('Barang Keluar'!$E:$E,'Barang Keluar'!$A:$A,M23572,'Barang Keluar'!$C:$C,N23572))</f>
        <v>0</v>
      </c>
    </row>
    <row r="23573" spans="13:16">
      <c r="M23573" s="49">
        <f>IF($A$4+235&gt;$B$4,"",$A$4+235)</f>
        <v>46258</v>
      </c>
      <c r="N23573">
        <f>IF(M23573="","",'Master Barang'!A67)</f>
        <v>0</v>
      </c>
      <c r="O23573">
        <f>IF(N23573="","",'Master Barang'!B67)</f>
        <v>0</v>
      </c>
      <c r="P23573">
        <f>IF(OR(M23573="",N23573=""),"",SUMIFS('Barang Keluar'!$E:$E,'Barang Keluar'!$A:$A,M23573,'Barang Keluar'!$C:$C,N23573))</f>
        <v>0</v>
      </c>
    </row>
    <row r="23574" spans="13:16">
      <c r="M23574" s="49">
        <f>IF($A$4+235&gt;$B$4,"",$A$4+235)</f>
        <v>46258</v>
      </c>
      <c r="N23574">
        <f>IF(M23574="","",'Master Barang'!A68)</f>
        <v>0</v>
      </c>
      <c r="O23574">
        <f>IF(N23574="","",'Master Barang'!B68)</f>
        <v>0</v>
      </c>
      <c r="P23574">
        <f>IF(OR(M23574="",N23574=""),"",SUMIFS('Barang Keluar'!$E:$E,'Barang Keluar'!$A:$A,M23574,'Barang Keluar'!$C:$C,N23574))</f>
        <v>0</v>
      </c>
    </row>
    <row r="23575" spans="13:16">
      <c r="M23575" s="49">
        <f>IF($A$4+235&gt;$B$4,"",$A$4+235)</f>
        <v>46258</v>
      </c>
      <c r="N23575">
        <f>IF(M23575="","",'Master Barang'!A69)</f>
        <v>0</v>
      </c>
      <c r="O23575">
        <f>IF(N23575="","",'Master Barang'!B69)</f>
        <v>0</v>
      </c>
      <c r="P23575">
        <f>IF(OR(M23575="",N23575=""),"",SUMIFS('Barang Keluar'!$E:$E,'Barang Keluar'!$A:$A,M23575,'Barang Keluar'!$C:$C,N23575))</f>
        <v>0</v>
      </c>
    </row>
    <row r="23576" spans="13:16">
      <c r="M23576" s="49">
        <f>IF($A$4+235&gt;$B$4,"",$A$4+235)</f>
        <v>46258</v>
      </c>
      <c r="N23576">
        <f>IF(M23576="","",'Master Barang'!A70)</f>
        <v>0</v>
      </c>
      <c r="O23576">
        <f>IF(N23576="","",'Master Barang'!B70)</f>
        <v>0</v>
      </c>
      <c r="P23576">
        <f>IF(OR(M23576="",N23576=""),"",SUMIFS('Barang Keluar'!$E:$E,'Barang Keluar'!$A:$A,M23576,'Barang Keluar'!$C:$C,N23576))</f>
        <v>0</v>
      </c>
    </row>
    <row r="23577" spans="13:16">
      <c r="M23577" s="49">
        <f>IF($A$4+235&gt;$B$4,"",$A$4+235)</f>
        <v>46258</v>
      </c>
      <c r="N23577">
        <f>IF(M23577="","",'Master Barang'!A71)</f>
        <v>0</v>
      </c>
      <c r="O23577">
        <f>IF(N23577="","",'Master Barang'!B71)</f>
        <v>0</v>
      </c>
      <c r="P23577">
        <f>IF(OR(M23577="",N23577=""),"",SUMIFS('Barang Keluar'!$E:$E,'Barang Keluar'!$A:$A,M23577,'Barang Keluar'!$C:$C,N23577))</f>
        <v>0</v>
      </c>
    </row>
    <row r="23578" spans="13:16">
      <c r="M23578" s="49">
        <f>IF($A$4+235&gt;$B$4,"",$A$4+235)</f>
        <v>46258</v>
      </c>
      <c r="N23578">
        <f>IF(M23578="","",'Master Barang'!A72)</f>
        <v>0</v>
      </c>
      <c r="O23578">
        <f>IF(N23578="","",'Master Barang'!B72)</f>
        <v>0</v>
      </c>
      <c r="P23578">
        <f>IF(OR(M23578="",N23578=""),"",SUMIFS('Barang Keluar'!$E:$E,'Barang Keluar'!$A:$A,M23578,'Barang Keluar'!$C:$C,N23578))</f>
        <v>0</v>
      </c>
    </row>
    <row r="23579" spans="13:16">
      <c r="M23579" s="49">
        <f>IF($A$4+235&gt;$B$4,"",$A$4+235)</f>
        <v>46258</v>
      </c>
      <c r="N23579">
        <f>IF(M23579="","",'Master Barang'!A73)</f>
        <v>0</v>
      </c>
      <c r="O23579">
        <f>IF(N23579="","",'Master Barang'!B73)</f>
        <v>0</v>
      </c>
      <c r="P23579">
        <f>IF(OR(M23579="",N23579=""),"",SUMIFS('Barang Keluar'!$E:$E,'Barang Keluar'!$A:$A,M23579,'Barang Keluar'!$C:$C,N23579))</f>
        <v>0</v>
      </c>
    </row>
    <row r="23580" spans="13:16">
      <c r="M23580" s="49">
        <f>IF($A$4+235&gt;$B$4,"",$A$4+235)</f>
        <v>46258</v>
      </c>
      <c r="N23580">
        <f>IF(M23580="","",'Master Barang'!A74)</f>
        <v>0</v>
      </c>
      <c r="O23580">
        <f>IF(N23580="","",'Master Barang'!B74)</f>
        <v>0</v>
      </c>
      <c r="P23580">
        <f>IF(OR(M23580="",N23580=""),"",SUMIFS('Barang Keluar'!$E:$E,'Barang Keluar'!$A:$A,M23580,'Barang Keluar'!$C:$C,N23580))</f>
        <v>0</v>
      </c>
    </row>
    <row r="23581" spans="13:16">
      <c r="M23581" s="49">
        <f>IF($A$4+235&gt;$B$4,"",$A$4+235)</f>
        <v>46258</v>
      </c>
      <c r="N23581">
        <f>IF(M23581="","",'Master Barang'!A75)</f>
        <v>0</v>
      </c>
      <c r="O23581">
        <f>IF(N23581="","",'Master Barang'!B75)</f>
        <v>0</v>
      </c>
      <c r="P23581">
        <f>IF(OR(M23581="",N23581=""),"",SUMIFS('Barang Keluar'!$E:$E,'Barang Keluar'!$A:$A,M23581,'Barang Keluar'!$C:$C,N23581))</f>
        <v>0</v>
      </c>
    </row>
    <row r="23582" spans="13:16">
      <c r="M23582" s="49">
        <f>IF($A$4+235&gt;$B$4,"",$A$4+235)</f>
        <v>46258</v>
      </c>
      <c r="N23582">
        <f>IF(M23582="","",'Master Barang'!A76)</f>
        <v>0</v>
      </c>
      <c r="O23582">
        <f>IF(N23582="","",'Master Barang'!B76)</f>
        <v>0</v>
      </c>
      <c r="P23582">
        <f>IF(OR(M23582="",N23582=""),"",SUMIFS('Barang Keluar'!$E:$E,'Barang Keluar'!$A:$A,M23582,'Barang Keluar'!$C:$C,N23582))</f>
        <v>0</v>
      </c>
    </row>
    <row r="23583" spans="13:16">
      <c r="M23583" s="49">
        <f>IF($A$4+235&gt;$B$4,"",$A$4+235)</f>
        <v>46258</v>
      </c>
      <c r="N23583">
        <f>IF(M23583="","",'Master Barang'!A77)</f>
        <v>0</v>
      </c>
      <c r="O23583">
        <f>IF(N23583="","",'Master Barang'!B77)</f>
        <v>0</v>
      </c>
      <c r="P23583">
        <f>IF(OR(M23583="",N23583=""),"",SUMIFS('Barang Keluar'!$E:$E,'Barang Keluar'!$A:$A,M23583,'Barang Keluar'!$C:$C,N23583))</f>
        <v>0</v>
      </c>
    </row>
    <row r="23584" spans="13:16">
      <c r="M23584" s="49">
        <f>IF($A$4+235&gt;$B$4,"",$A$4+235)</f>
        <v>46258</v>
      </c>
      <c r="N23584">
        <f>IF(M23584="","",'Master Barang'!A78)</f>
        <v>0</v>
      </c>
      <c r="O23584">
        <f>IF(N23584="","",'Master Barang'!B78)</f>
        <v>0</v>
      </c>
      <c r="P23584">
        <f>IF(OR(M23584="",N23584=""),"",SUMIFS('Barang Keluar'!$E:$E,'Barang Keluar'!$A:$A,M23584,'Barang Keluar'!$C:$C,N23584))</f>
        <v>0</v>
      </c>
    </row>
    <row r="23585" spans="13:16">
      <c r="M23585" s="49">
        <f>IF($A$4+235&gt;$B$4,"",$A$4+235)</f>
        <v>46258</v>
      </c>
      <c r="N23585">
        <f>IF(M23585="","",'Master Barang'!A79)</f>
        <v>0</v>
      </c>
      <c r="O23585">
        <f>IF(N23585="","",'Master Barang'!B79)</f>
        <v>0</v>
      </c>
      <c r="P23585">
        <f>IF(OR(M23585="",N23585=""),"",SUMIFS('Barang Keluar'!$E:$E,'Barang Keluar'!$A:$A,M23585,'Barang Keluar'!$C:$C,N23585))</f>
        <v>0</v>
      </c>
    </row>
    <row r="23586" spans="13:16">
      <c r="M23586" s="49">
        <f>IF($A$4+235&gt;$B$4,"",$A$4+235)</f>
        <v>46258</v>
      </c>
      <c r="N23586">
        <f>IF(M23586="","",'Master Barang'!A80)</f>
        <v>0</v>
      </c>
      <c r="O23586">
        <f>IF(N23586="","",'Master Barang'!B80)</f>
        <v>0</v>
      </c>
      <c r="P23586">
        <f>IF(OR(M23586="",N23586=""),"",SUMIFS('Barang Keluar'!$E:$E,'Barang Keluar'!$A:$A,M23586,'Barang Keluar'!$C:$C,N23586))</f>
        <v>0</v>
      </c>
    </row>
    <row r="23587" spans="13:16">
      <c r="M23587" s="49">
        <f>IF($A$4+235&gt;$B$4,"",$A$4+235)</f>
        <v>46258</v>
      </c>
      <c r="N23587">
        <f>IF(M23587="","",'Master Barang'!A81)</f>
        <v>0</v>
      </c>
      <c r="O23587">
        <f>IF(N23587="","",'Master Barang'!B81)</f>
        <v>0</v>
      </c>
      <c r="P23587">
        <f>IF(OR(M23587="",N23587=""),"",SUMIFS('Barang Keluar'!$E:$E,'Barang Keluar'!$A:$A,M23587,'Barang Keluar'!$C:$C,N23587))</f>
        <v>0</v>
      </c>
    </row>
    <row r="23588" spans="13:16">
      <c r="M23588" s="49">
        <f>IF($A$4+235&gt;$B$4,"",$A$4+235)</f>
        <v>46258</v>
      </c>
      <c r="N23588">
        <f>IF(M23588="","",'Master Barang'!A82)</f>
        <v>0</v>
      </c>
      <c r="O23588">
        <f>IF(N23588="","",'Master Barang'!B82)</f>
        <v>0</v>
      </c>
      <c r="P23588">
        <f>IF(OR(M23588="",N23588=""),"",SUMIFS('Barang Keluar'!$E:$E,'Barang Keluar'!$A:$A,M23588,'Barang Keluar'!$C:$C,N23588))</f>
        <v>0</v>
      </c>
    </row>
    <row r="23589" spans="13:16">
      <c r="M23589" s="49">
        <f>IF($A$4+235&gt;$B$4,"",$A$4+235)</f>
        <v>46258</v>
      </c>
      <c r="N23589">
        <f>IF(M23589="","",'Master Barang'!A83)</f>
        <v>0</v>
      </c>
      <c r="O23589">
        <f>IF(N23589="","",'Master Barang'!B83)</f>
        <v>0</v>
      </c>
      <c r="P23589">
        <f>IF(OR(M23589="",N23589=""),"",SUMIFS('Barang Keluar'!$E:$E,'Barang Keluar'!$A:$A,M23589,'Barang Keluar'!$C:$C,N23589))</f>
        <v>0</v>
      </c>
    </row>
    <row r="23590" spans="13:16">
      <c r="M23590" s="49">
        <f>IF($A$4+235&gt;$B$4,"",$A$4+235)</f>
        <v>46258</v>
      </c>
      <c r="N23590">
        <f>IF(M23590="","",'Master Barang'!A84)</f>
        <v>0</v>
      </c>
      <c r="O23590">
        <f>IF(N23590="","",'Master Barang'!B84)</f>
        <v>0</v>
      </c>
      <c r="P23590">
        <f>IF(OR(M23590="",N23590=""),"",SUMIFS('Barang Keluar'!$E:$E,'Barang Keluar'!$A:$A,M23590,'Barang Keluar'!$C:$C,N23590))</f>
        <v>0</v>
      </c>
    </row>
    <row r="23591" spans="13:16">
      <c r="M23591" s="49">
        <f>IF($A$4+235&gt;$B$4,"",$A$4+235)</f>
        <v>46258</v>
      </c>
      <c r="N23591">
        <f>IF(M23591="","",'Master Barang'!A85)</f>
        <v>0</v>
      </c>
      <c r="O23591">
        <f>IF(N23591="","",'Master Barang'!B85)</f>
        <v>0</v>
      </c>
      <c r="P23591">
        <f>IF(OR(M23591="",N23591=""),"",SUMIFS('Barang Keluar'!$E:$E,'Barang Keluar'!$A:$A,M23591,'Barang Keluar'!$C:$C,N23591))</f>
        <v>0</v>
      </c>
    </row>
    <row r="23592" spans="13:16">
      <c r="M23592" s="49">
        <f>IF($A$4+235&gt;$B$4,"",$A$4+235)</f>
        <v>46258</v>
      </c>
      <c r="N23592">
        <f>IF(M23592="","",'Master Barang'!A86)</f>
        <v>0</v>
      </c>
      <c r="O23592">
        <f>IF(N23592="","",'Master Barang'!B86)</f>
        <v>0</v>
      </c>
      <c r="P23592">
        <f>IF(OR(M23592="",N23592=""),"",SUMIFS('Barang Keluar'!$E:$E,'Barang Keluar'!$A:$A,M23592,'Barang Keluar'!$C:$C,N23592))</f>
        <v>0</v>
      </c>
    </row>
    <row r="23593" spans="13:16">
      <c r="M23593" s="49">
        <f>IF($A$4+235&gt;$B$4,"",$A$4+235)</f>
        <v>46258</v>
      </c>
      <c r="N23593">
        <f>IF(M23593="","",'Master Barang'!A87)</f>
        <v>0</v>
      </c>
      <c r="O23593">
        <f>IF(N23593="","",'Master Barang'!B87)</f>
        <v>0</v>
      </c>
      <c r="P23593">
        <f>IF(OR(M23593="",N23593=""),"",SUMIFS('Barang Keluar'!$E:$E,'Barang Keluar'!$A:$A,M23593,'Barang Keluar'!$C:$C,N23593))</f>
        <v>0</v>
      </c>
    </row>
    <row r="23594" spans="13:16">
      <c r="M23594" s="49">
        <f>IF($A$4+235&gt;$B$4,"",$A$4+235)</f>
        <v>46258</v>
      </c>
      <c r="N23594">
        <f>IF(M23594="","",'Master Barang'!A88)</f>
        <v>0</v>
      </c>
      <c r="O23594">
        <f>IF(N23594="","",'Master Barang'!B88)</f>
        <v>0</v>
      </c>
      <c r="P23594">
        <f>IF(OR(M23594="",N23594=""),"",SUMIFS('Barang Keluar'!$E:$E,'Barang Keluar'!$A:$A,M23594,'Barang Keluar'!$C:$C,N23594))</f>
        <v>0</v>
      </c>
    </row>
    <row r="23595" spans="13:16">
      <c r="M23595" s="49">
        <f>IF($A$4+235&gt;$B$4,"",$A$4+235)</f>
        <v>46258</v>
      </c>
      <c r="N23595">
        <f>IF(M23595="","",'Master Barang'!A89)</f>
        <v>0</v>
      </c>
      <c r="O23595">
        <f>IF(N23595="","",'Master Barang'!B89)</f>
        <v>0</v>
      </c>
      <c r="P23595">
        <f>IF(OR(M23595="",N23595=""),"",SUMIFS('Barang Keluar'!$E:$E,'Barang Keluar'!$A:$A,M23595,'Barang Keluar'!$C:$C,N23595))</f>
        <v>0</v>
      </c>
    </row>
    <row r="23596" spans="13:16">
      <c r="M23596" s="49">
        <f>IF($A$4+235&gt;$B$4,"",$A$4+235)</f>
        <v>46258</v>
      </c>
      <c r="N23596">
        <f>IF(M23596="","",'Master Barang'!A90)</f>
        <v>0</v>
      </c>
      <c r="O23596">
        <f>IF(N23596="","",'Master Barang'!B90)</f>
        <v>0</v>
      </c>
      <c r="P23596">
        <f>IF(OR(M23596="",N23596=""),"",SUMIFS('Barang Keluar'!$E:$E,'Barang Keluar'!$A:$A,M23596,'Barang Keluar'!$C:$C,N23596))</f>
        <v>0</v>
      </c>
    </row>
    <row r="23597" spans="13:16">
      <c r="M23597" s="49">
        <f>IF($A$4+235&gt;$B$4,"",$A$4+235)</f>
        <v>46258</v>
      </c>
      <c r="N23597">
        <f>IF(M23597="","",'Master Barang'!A91)</f>
        <v>0</v>
      </c>
      <c r="O23597">
        <f>IF(N23597="","",'Master Barang'!B91)</f>
        <v>0</v>
      </c>
      <c r="P23597">
        <f>IF(OR(M23597="",N23597=""),"",SUMIFS('Barang Keluar'!$E:$E,'Barang Keluar'!$A:$A,M23597,'Barang Keluar'!$C:$C,N23597))</f>
        <v>0</v>
      </c>
    </row>
    <row r="23598" spans="13:16">
      <c r="M23598" s="49">
        <f>IF($A$4+235&gt;$B$4,"",$A$4+235)</f>
        <v>46258</v>
      </c>
      <c r="N23598">
        <f>IF(M23598="","",'Master Barang'!A92)</f>
        <v>0</v>
      </c>
      <c r="O23598">
        <f>IF(N23598="","",'Master Barang'!B92)</f>
        <v>0</v>
      </c>
      <c r="P23598">
        <f>IF(OR(M23598="",N23598=""),"",SUMIFS('Barang Keluar'!$E:$E,'Barang Keluar'!$A:$A,M23598,'Barang Keluar'!$C:$C,N23598))</f>
        <v>0</v>
      </c>
    </row>
    <row r="23599" spans="13:16">
      <c r="M23599" s="49">
        <f>IF($A$4+235&gt;$B$4,"",$A$4+235)</f>
        <v>46258</v>
      </c>
      <c r="N23599">
        <f>IF(M23599="","",'Master Barang'!A93)</f>
        <v>0</v>
      </c>
      <c r="O23599">
        <f>IF(N23599="","",'Master Barang'!B93)</f>
        <v>0</v>
      </c>
      <c r="P23599">
        <f>IF(OR(M23599="",N23599=""),"",SUMIFS('Barang Keluar'!$E:$E,'Barang Keluar'!$A:$A,M23599,'Barang Keluar'!$C:$C,N23599))</f>
        <v>0</v>
      </c>
    </row>
    <row r="23600" spans="13:16">
      <c r="M23600" s="49">
        <f>IF($A$4+235&gt;$B$4,"",$A$4+235)</f>
        <v>46258</v>
      </c>
      <c r="N23600">
        <f>IF(M23600="","",'Master Barang'!A94)</f>
        <v>0</v>
      </c>
      <c r="O23600">
        <f>IF(N23600="","",'Master Barang'!B94)</f>
        <v>0</v>
      </c>
      <c r="P23600">
        <f>IF(OR(M23600="",N23600=""),"",SUMIFS('Barang Keluar'!$E:$E,'Barang Keluar'!$A:$A,M23600,'Barang Keluar'!$C:$C,N23600))</f>
        <v>0</v>
      </c>
    </row>
    <row r="23601" spans="13:16">
      <c r="M23601" s="49">
        <f>IF($A$4+235&gt;$B$4,"",$A$4+235)</f>
        <v>46258</v>
      </c>
      <c r="N23601">
        <f>IF(M23601="","",'Master Barang'!A95)</f>
        <v>0</v>
      </c>
      <c r="O23601">
        <f>IF(N23601="","",'Master Barang'!B95)</f>
        <v>0</v>
      </c>
      <c r="P23601">
        <f>IF(OR(M23601="",N23601=""),"",SUMIFS('Barang Keluar'!$E:$E,'Barang Keluar'!$A:$A,M23601,'Barang Keluar'!$C:$C,N23601))</f>
        <v>0</v>
      </c>
    </row>
    <row r="23602" spans="13:16">
      <c r="M23602" s="49">
        <f>IF($A$4+235&gt;$B$4,"",$A$4+235)</f>
        <v>46258</v>
      </c>
      <c r="N23602">
        <f>IF(M23602="","",'Master Barang'!A96)</f>
        <v>0</v>
      </c>
      <c r="O23602">
        <f>IF(N23602="","",'Master Barang'!B96)</f>
        <v>0</v>
      </c>
      <c r="P23602">
        <f>IF(OR(M23602="",N23602=""),"",SUMIFS('Barang Keluar'!$E:$E,'Barang Keluar'!$A:$A,M23602,'Barang Keluar'!$C:$C,N23602))</f>
        <v>0</v>
      </c>
    </row>
    <row r="23603" spans="13:16">
      <c r="M23603" s="49">
        <f>IF($A$4+235&gt;$B$4,"",$A$4+235)</f>
        <v>46258</v>
      </c>
      <c r="N23603">
        <f>IF(M23603="","",'Master Barang'!A97)</f>
        <v>0</v>
      </c>
      <c r="O23603">
        <f>IF(N23603="","",'Master Barang'!B97)</f>
        <v>0</v>
      </c>
      <c r="P23603">
        <f>IF(OR(M23603="",N23603=""),"",SUMIFS('Barang Keluar'!$E:$E,'Barang Keluar'!$A:$A,M23603,'Barang Keluar'!$C:$C,N23603))</f>
        <v>0</v>
      </c>
    </row>
    <row r="23604" spans="13:16">
      <c r="M23604" s="49">
        <f>IF($A$4+235&gt;$B$4,"",$A$4+235)</f>
        <v>46258</v>
      </c>
      <c r="N23604">
        <f>IF(M23604="","",'Master Barang'!A98)</f>
        <v>0</v>
      </c>
      <c r="O23604">
        <f>IF(N23604="","",'Master Barang'!B98)</f>
        <v>0</v>
      </c>
      <c r="P23604">
        <f>IF(OR(M23604="",N23604=""),"",SUMIFS('Barang Keluar'!$E:$E,'Barang Keluar'!$A:$A,M23604,'Barang Keluar'!$C:$C,N23604))</f>
        <v>0</v>
      </c>
    </row>
    <row r="23605" spans="13:16">
      <c r="M23605" s="49">
        <f>IF($A$4+235&gt;$B$4,"",$A$4+235)</f>
        <v>46258</v>
      </c>
      <c r="N23605">
        <f>IF(M23605="","",'Master Barang'!A99)</f>
        <v>0</v>
      </c>
      <c r="O23605">
        <f>IF(N23605="","",'Master Barang'!B99)</f>
        <v>0</v>
      </c>
      <c r="P23605">
        <f>IF(OR(M23605="",N23605=""),"",SUMIFS('Barang Keluar'!$E:$E,'Barang Keluar'!$A:$A,M23605,'Barang Keluar'!$C:$C,N23605))</f>
        <v>0</v>
      </c>
    </row>
    <row r="23606" spans="13:16">
      <c r="M23606" s="49">
        <f>IF($A$4+235&gt;$B$4,"",$A$4+235)</f>
        <v>46258</v>
      </c>
      <c r="N23606">
        <f>IF(M23606="","",'Master Barang'!A100)</f>
        <v>0</v>
      </c>
      <c r="O23606">
        <f>IF(N23606="","",'Master Barang'!B100)</f>
        <v>0</v>
      </c>
      <c r="P23606">
        <f>IF(OR(M23606="",N23606=""),"",SUMIFS('Barang Keluar'!$E:$E,'Barang Keluar'!$A:$A,M23606,'Barang Keluar'!$C:$C,N23606))</f>
        <v>0</v>
      </c>
    </row>
    <row r="23607" spans="13:16">
      <c r="M23607" s="49">
        <f>IF($A$4+235&gt;$B$4,"",$A$4+235)</f>
        <v>46258</v>
      </c>
      <c r="N23607">
        <f>IF(M23607="","",'Master Barang'!A101)</f>
        <v>0</v>
      </c>
      <c r="O23607">
        <f>IF(N23607="","",'Master Barang'!B101)</f>
        <v>0</v>
      </c>
      <c r="P23607">
        <f>IF(OR(M23607="",N23607=""),"",SUMIFS('Barang Keluar'!$E:$E,'Barang Keluar'!$A:$A,M23607,'Barang Keluar'!$C:$C,N23607))</f>
        <v>0</v>
      </c>
    </row>
    <row r="23608" spans="13:16">
      <c r="M23608" s="49">
        <f>IF($A$4+236&gt;$B$4,"",$A$4+236)</f>
        <v>46259</v>
      </c>
      <c r="N23608" t="str">
        <f>IF(M23608="","",'Master Barang'!A2)</f>
        <v>PRL-001</v>
      </c>
      <c r="O23608" t="str">
        <f>IF(N23608="","",'Master Barang'!B2)</f>
        <v>natura desinfectant food grade 5l</v>
      </c>
      <c r="P23608">
        <f>IF(OR(M23608="",N23608=""),"",SUMIFS('Barang Keluar'!$E:$E,'Barang Keluar'!$A:$A,M23608,'Barang Keluar'!$C:$C,N23608))</f>
        <v>0</v>
      </c>
    </row>
    <row r="23609" spans="13:16">
      <c r="M23609" s="49">
        <f>IF($A$4+236&gt;$B$4,"",$A$4+236)</f>
        <v>46259</v>
      </c>
      <c r="N23609" t="str">
        <f>IF(M23609="","",'Master Barang'!A3)</f>
        <v>PRL-002</v>
      </c>
      <c r="O23609" t="str">
        <f>IF(N23609="","",'Master Barang'!B3)</f>
        <v>sunlight cairan pencuci piring 5l</v>
      </c>
      <c r="P23609">
        <f>IF(OR(M23609="",N23609=""),"",SUMIFS('Barang Keluar'!$E:$E,'Barang Keluar'!$A:$A,M23609,'Barang Keluar'!$C:$C,N23609))</f>
        <v>0</v>
      </c>
    </row>
    <row r="23610" spans="13:16">
      <c r="M23610" s="49">
        <f>IF($A$4+236&gt;$B$4,"",$A$4+236)</f>
        <v>46259</v>
      </c>
      <c r="N23610" t="str">
        <f>IF(M23610="","",'Master Barang'!A4)</f>
        <v>PRL-003</v>
      </c>
      <c r="O23610" t="str">
        <f>IF(N23610="","",'Master Barang'!B4)</f>
        <v>oixs cleaner 1l</v>
      </c>
      <c r="P23610">
        <f>IF(OR(M23610="",N23610=""),"",SUMIFS('Barang Keluar'!$E:$E,'Barang Keluar'!$A:$A,M23610,'Barang Keluar'!$C:$C,N23610))</f>
        <v>0</v>
      </c>
    </row>
    <row r="23611" spans="13:16">
      <c r="M23611" s="49">
        <f>IF($A$4+236&gt;$B$4,"",$A$4+236)</f>
        <v>46259</v>
      </c>
      <c r="N23611" t="str">
        <f>IF(M23611="","",'Master Barang'!A5)</f>
        <v>PRL-004</v>
      </c>
      <c r="O23611" t="str">
        <f>IF(N23611="","",'Master Barang'!B5)</f>
        <v>be clean tissue serbaguna</v>
      </c>
      <c r="P23611">
        <f>IF(OR(M23611="",N23611=""),"",SUMIFS('Barang Keluar'!$E:$E,'Barang Keluar'!$A:$A,M23611,'Barang Keluar'!$C:$C,N23611))</f>
        <v>0</v>
      </c>
    </row>
    <row r="23612" spans="13:16">
      <c r="M23612" s="49">
        <f>IF($A$4+236&gt;$B$4,"",$A$4+236)</f>
        <v>46259</v>
      </c>
      <c r="N23612" t="str">
        <f>IF(M23612="","",'Master Barang'!A6)</f>
        <v>PRL-005</v>
      </c>
      <c r="O23612" t="str">
        <f>IF(N23612="","",'Master Barang'!B6)</f>
        <v>spons cuci hijau</v>
      </c>
      <c r="P23612">
        <f>IF(OR(M23612="",N23612=""),"",SUMIFS('Barang Keluar'!$E:$E,'Barang Keluar'!$A:$A,M23612,'Barang Keluar'!$C:$C,N23612))</f>
        <v>0</v>
      </c>
    </row>
    <row r="23613" spans="13:16">
      <c r="M23613" s="49">
        <f>IF($A$4+236&gt;$B$4,"",$A$4+236)</f>
        <v>46259</v>
      </c>
      <c r="N23613" t="str">
        <f>IF(M23613="","",'Master Barang'!A7)</f>
        <v>PRL-006</v>
      </c>
      <c r="O23613" t="str">
        <f>IF(N23613="","",'Master Barang'!B7)</f>
        <v>sabut cuci stainless</v>
      </c>
      <c r="P23613">
        <f>IF(OR(M23613="",N23613=""),"",SUMIFS('Barang Keluar'!$E:$E,'Barang Keluar'!$A:$A,M23613,'Barang Keluar'!$C:$C,N23613))</f>
        <v>0</v>
      </c>
    </row>
    <row r="23614" spans="13:16">
      <c r="M23614" s="49">
        <f>IF($A$4+236&gt;$B$4,"",$A$4+236)</f>
        <v>46259</v>
      </c>
      <c r="N23614" t="str">
        <f>IF(M23614="","",'Master Barang'!A8)</f>
        <v>PRL-007</v>
      </c>
      <c r="O23614" t="str">
        <f>IF(N23614="","",'Master Barang'!B8)</f>
        <v>plastik kresek besar merah 50pc</v>
      </c>
      <c r="P23614">
        <f>IF(OR(M23614="",N23614=""),"",SUMIFS('Barang Keluar'!$E:$E,'Barang Keluar'!$A:$A,M23614,'Barang Keluar'!$C:$C,N23614))</f>
        <v>0</v>
      </c>
    </row>
    <row r="23615" spans="13:16">
      <c r="M23615" s="49">
        <f>IF($A$4+236&gt;$B$4,"",$A$4+236)</f>
        <v>46259</v>
      </c>
      <c r="N23615" t="str">
        <f>IF(M23615="","",'Master Barang'!A9)</f>
        <v>PRL-008</v>
      </c>
      <c r="O23615" t="str">
        <f>IF(N23615="","",'Master Barang'!B9)</f>
        <v>lap besar</v>
      </c>
      <c r="P23615">
        <f>IF(OR(M23615="",N23615=""),"",SUMIFS('Barang Keluar'!$E:$E,'Barang Keluar'!$A:$A,M23615,'Barang Keluar'!$C:$C,N23615))</f>
        <v>0</v>
      </c>
    </row>
    <row r="23616" spans="13:16">
      <c r="M23616" s="49">
        <f>IF($A$4+236&gt;$B$4,"",$A$4+236)</f>
        <v>46259</v>
      </c>
      <c r="N23616" t="str">
        <f>IF(M23616="","",'Master Barang'!A10)</f>
        <v>PRL-009</v>
      </c>
      <c r="O23616" t="str">
        <f>IF(N23616="","",'Master Barang'!B10)</f>
        <v>lap microfiber</v>
      </c>
      <c r="P23616">
        <f>IF(OR(M23616="",N23616=""),"",SUMIFS('Barang Keluar'!$E:$E,'Barang Keluar'!$A:$A,M23616,'Barang Keluar'!$C:$C,N23616))</f>
        <v>0</v>
      </c>
    </row>
    <row r="23617" spans="13:16">
      <c r="M23617" s="49">
        <f>IF($A$4+236&gt;$B$4,"",$A$4+236)</f>
        <v>46259</v>
      </c>
      <c r="N23617" t="str">
        <f>IF(M23617="","",'Master Barang'!A11)</f>
        <v>PRL-010</v>
      </c>
      <c r="O23617" t="str">
        <f>IF(N23617="","",'Master Barang'!B11)</f>
        <v>lap kecil</v>
      </c>
      <c r="P23617">
        <f>IF(OR(M23617="",N23617=""),"",SUMIFS('Barang Keluar'!$E:$E,'Barang Keluar'!$A:$A,M23617,'Barang Keluar'!$C:$C,N23617))</f>
        <v>0</v>
      </c>
    </row>
    <row r="23618" spans="13:16">
      <c r="M23618" s="49">
        <f>IF($A$4+236&gt;$B$4,"",$A$4+236)</f>
        <v>46259</v>
      </c>
      <c r="N23618" t="str">
        <f>IF(M23618="","",'Master Barang'!A12)</f>
        <v>PRL-011</v>
      </c>
      <c r="O23618" t="str">
        <f>IF(N23618="","",'Master Barang'!B12)</f>
        <v>kanebo kecil</v>
      </c>
      <c r="P23618">
        <f>IF(OR(M23618="",N23618=""),"",SUMIFS('Barang Keluar'!$E:$E,'Barang Keluar'!$A:$A,M23618,'Barang Keluar'!$C:$C,N23618))</f>
        <v>0</v>
      </c>
    </row>
    <row r="23619" spans="13:16">
      <c r="M23619" s="49">
        <f>IF($A$4+236&gt;$B$4,"",$A$4+236)</f>
        <v>46259</v>
      </c>
      <c r="N23619" t="str">
        <f>IF(M23619="","",'Master Barang'!A13)</f>
        <v>PRL-012</v>
      </c>
      <c r="O23619" t="str">
        <f>IF(N23619="","",'Master Barang'!B13)</f>
        <v>plastik 1/4kg joyoboyo 100 lembar</v>
      </c>
      <c r="P23619">
        <f>IF(OR(M23619="",N23619=""),"",SUMIFS('Barang Keluar'!$E:$E,'Barang Keluar'!$A:$A,M23619,'Barang Keluar'!$C:$C,N23619))</f>
        <v>0</v>
      </c>
    </row>
    <row r="23620" spans="13:16">
      <c r="M23620" s="49">
        <f>IF($A$4+236&gt;$B$4,"",$A$4+236)</f>
        <v>46259</v>
      </c>
      <c r="N23620" t="str">
        <f>IF(M23620="","",'Master Barang'!A14)</f>
        <v>PRL-013</v>
      </c>
      <c r="O23620" t="str">
        <f>IF(N23620="","",'Master Barang'!B14)</f>
        <v>sarung tangan plastik kaka 100 pcs</v>
      </c>
      <c r="P23620">
        <f>IF(OR(M23620="",N23620=""),"",SUMIFS('Barang Keluar'!$E:$E,'Barang Keluar'!$A:$A,M23620,'Barang Keluar'!$C:$C,N23620))</f>
        <v>0</v>
      </c>
    </row>
    <row r="23621" spans="13:16">
      <c r="M23621" s="49">
        <f>IF($A$4+236&gt;$B$4,"",$A$4+236)</f>
        <v>46259</v>
      </c>
      <c r="N23621" t="str">
        <f>IF(M23621="","",'Master Barang'!A15)</f>
        <v>PRL-014</v>
      </c>
      <c r="O23621" t="str">
        <f>IF(N23621="","",'Master Barang'!B15)</f>
        <v>optima trashbag 80x100</v>
      </c>
      <c r="P23621">
        <f>IF(OR(M23621="",N23621=""),"",SUMIFS('Barang Keluar'!$E:$E,'Barang Keluar'!$A:$A,M23621,'Barang Keluar'!$C:$C,N23621))</f>
        <v>0</v>
      </c>
    </row>
    <row r="23622" spans="13:16">
      <c r="M23622" s="49">
        <f>IF($A$4+236&gt;$B$4,"",$A$4+236)</f>
        <v>46259</v>
      </c>
      <c r="N23622" t="str">
        <f>IF(M23622="","",'Master Barang'!A16)</f>
        <v>PRL-015</v>
      </c>
      <c r="O23622" t="str">
        <f>IF(N23622="","",'Master Barang'!B16)</f>
        <v>optima trashbag 60x100</v>
      </c>
      <c r="P23622">
        <f>IF(OR(M23622="",N23622=""),"",SUMIFS('Barang Keluar'!$E:$E,'Barang Keluar'!$A:$A,M23622,'Barang Keluar'!$C:$C,N23622))</f>
        <v>0</v>
      </c>
    </row>
    <row r="23623" spans="13:16">
      <c r="M23623" s="49">
        <f>IF($A$4+236&gt;$B$4,"",$A$4+236)</f>
        <v>46259</v>
      </c>
      <c r="N23623" t="str">
        <f>IF(M23623="","",'Master Barang'!A17)</f>
        <v>PRL-016</v>
      </c>
      <c r="O23623" t="str">
        <f>IF(N23623="","",'Master Barang'!B17)</f>
        <v>rajawali trashbag 30x40</v>
      </c>
      <c r="P23623">
        <f>IF(OR(M23623="",N23623=""),"",SUMIFS('Barang Keluar'!$E:$E,'Barang Keluar'!$A:$A,M23623,'Barang Keluar'!$C:$C,N23623))</f>
        <v>0</v>
      </c>
    </row>
    <row r="23624" spans="13:16">
      <c r="M23624" s="49">
        <f>IF($A$4+236&gt;$B$4,"",$A$4+236)</f>
        <v>46259</v>
      </c>
      <c r="N23624" t="str">
        <f>IF(M23624="","",'Master Barang'!A18)</f>
        <v>PRL-017</v>
      </c>
      <c r="O23624" t="str">
        <f>IF(N23624="","",'Master Barang'!B18)</f>
        <v>onemed masker biru 3 play 50 pcs</v>
      </c>
      <c r="P23624">
        <f>IF(OR(M23624="",N23624=""),"",SUMIFS('Barang Keluar'!$E:$E,'Barang Keluar'!$A:$A,M23624,'Barang Keluar'!$C:$C,N23624))</f>
        <v>0</v>
      </c>
    </row>
    <row r="23625" spans="13:16">
      <c r="M23625" s="49">
        <f>IF($A$4+236&gt;$B$4,"",$A$4+236)</f>
        <v>46259</v>
      </c>
      <c r="N23625" t="str">
        <f>IF(M23625="","",'Master Barang'!A19)</f>
        <v>PRL-018</v>
      </c>
      <c r="O23625" t="str">
        <f>IF(N23625="","",'Master Barang'!B19)</f>
        <v>onemed masker biru 3 play hijab 50 pcs</v>
      </c>
      <c r="P23625">
        <f>IF(OR(M23625="",N23625=""),"",SUMIFS('Barang Keluar'!$E:$E,'Barang Keluar'!$A:$A,M23625,'Barang Keluar'!$C:$C,N23625))</f>
        <v>0</v>
      </c>
    </row>
    <row r="23626" spans="13:16">
      <c r="M23626" s="49">
        <f>IF($A$4+236&gt;$B$4,"",$A$4+236)</f>
        <v>46259</v>
      </c>
      <c r="N23626" t="str">
        <f>IF(M23626="","",'Master Barang'!A20)</f>
        <v>PRL-019</v>
      </c>
      <c r="O23626" t="str">
        <f>IF(N23626="","",'Master Barang'!B20)</f>
        <v>neo health masker biru 3 play 50 pcs</v>
      </c>
      <c r="P23626">
        <f>IF(OR(M23626="",N23626=""),"",SUMIFS('Barang Keluar'!$E:$E,'Barang Keluar'!$A:$A,M23626,'Barang Keluar'!$C:$C,N23626))</f>
        <v>0</v>
      </c>
    </row>
    <row r="23627" spans="13:16">
      <c r="M23627" s="49">
        <f>IF($A$4+236&gt;$B$4,"",$A$4+236)</f>
        <v>46259</v>
      </c>
      <c r="N23627" t="str">
        <f>IF(M23627="","",'Master Barang'!A21)</f>
        <v>PRL-020</v>
      </c>
      <c r="O23627" t="str">
        <f>IF(N23627="","",'Master Barang'!B21)</f>
        <v>baymed masker hijau 3 play hijau 50 pcs</v>
      </c>
      <c r="P23627">
        <f>IF(OR(M23627="",N23627=""),"",SUMIFS('Barang Keluar'!$E:$E,'Barang Keluar'!$A:$A,M23627,'Barang Keluar'!$C:$C,N23627))</f>
        <v>0</v>
      </c>
    </row>
    <row r="23628" spans="13:16">
      <c r="M23628" s="49">
        <f>IF($A$4+236&gt;$B$4,"",$A$4+236)</f>
        <v>46259</v>
      </c>
      <c r="N23628" t="str">
        <f>IF(M23628="","",'Master Barang'!A22)</f>
        <v>PRL-021</v>
      </c>
      <c r="O23628" t="str">
        <f>IF(N23628="","",'Master Barang'!B22)</f>
        <v>altamed nurse cap penutup kepala 100 pcs</v>
      </c>
      <c r="P23628">
        <f>IF(OR(M23628="",N23628=""),"",SUMIFS('Barang Keluar'!$E:$E,'Barang Keluar'!$A:$A,M23628,'Barang Keluar'!$C:$C,N23628))</f>
        <v>0</v>
      </c>
    </row>
    <row r="23629" spans="13:16">
      <c r="M23629" s="49">
        <f>IF($A$4+236&gt;$B$4,"",$A$4+236)</f>
        <v>46259</v>
      </c>
      <c r="N23629" t="str">
        <f>IF(M23629="","",'Master Barang'!A23)</f>
        <v>PRL-022</v>
      </c>
      <c r="O23629" t="str">
        <f>IF(N23629="","",'Master Barang'!B23)</f>
        <v>sabun cuci tangan</v>
      </c>
      <c r="P23629">
        <f>IF(OR(M23629="",N23629=""),"",SUMIFS('Barang Keluar'!$E:$E,'Barang Keluar'!$A:$A,M23629,'Barang Keluar'!$C:$C,N23629))</f>
        <v>0</v>
      </c>
    </row>
    <row r="23630" spans="13:16">
      <c r="M23630" s="49">
        <f>IF($A$4+236&gt;$B$4,"",$A$4+236)</f>
        <v>46259</v>
      </c>
      <c r="N23630" t="str">
        <f>IF(M23630="","",'Master Barang'!A24)</f>
        <v>PRL-023</v>
      </c>
      <c r="O23630" t="str">
        <f>IF(N23630="","",'Master Barang'!B24)</f>
        <v>gayung kecil</v>
      </c>
      <c r="P23630">
        <f>IF(OR(M23630="",N23630=""),"",SUMIFS('Barang Keluar'!$E:$E,'Barang Keluar'!$A:$A,M23630,'Barang Keluar'!$C:$C,N23630))</f>
        <v>0</v>
      </c>
    </row>
    <row r="23631" spans="13:16">
      <c r="M23631" s="49">
        <f>IF($A$4+236&gt;$B$4,"",$A$4+236)</f>
        <v>46259</v>
      </c>
      <c r="N23631" t="str">
        <f>IF(M23631="","",'Master Barang'!A25)</f>
        <v>PRL-024</v>
      </c>
      <c r="O23631" t="str">
        <f>IF(N23631="","",'Master Barang'!B25)</f>
        <v>cikrak kecil</v>
      </c>
      <c r="P23631">
        <f>IF(OR(M23631="",N23631=""),"",SUMIFS('Barang Keluar'!$E:$E,'Barang Keluar'!$A:$A,M23631,'Barang Keluar'!$C:$C,N23631))</f>
        <v>0</v>
      </c>
    </row>
    <row r="23632" spans="13:16">
      <c r="M23632" s="49">
        <f>IF($A$4+236&gt;$B$4,"",$A$4+236)</f>
        <v>46259</v>
      </c>
      <c r="N23632" t="str">
        <f>IF(M23632="","",'Master Barang'!A26)</f>
        <v>PRL-025</v>
      </c>
      <c r="O23632" t="str">
        <f>IF(N23632="","",'Master Barang'!B26)</f>
        <v>petromax plastik kecil 12x24 100 lembar</v>
      </c>
      <c r="P23632">
        <f>IF(OR(M23632="",N23632=""),"",SUMIFS('Barang Keluar'!$E:$E,'Barang Keluar'!$A:$A,M23632,'Barang Keluar'!$C:$C,N23632))</f>
        <v>0</v>
      </c>
    </row>
    <row r="23633" spans="13:16">
      <c r="M23633" s="49">
        <f>IF($A$4+236&gt;$B$4,"",$A$4+236)</f>
        <v>46259</v>
      </c>
      <c r="N23633" t="str">
        <f>IF(M23633="","",'Master Barang'!A27)</f>
        <v>PRL-026</v>
      </c>
      <c r="O23633" t="str">
        <f>IF(N23633="","",'Master Barang'!B27)</f>
        <v>lancar kresek kecil bening </v>
      </c>
      <c r="P23633">
        <f>IF(OR(M23633="",N23633=""),"",SUMIFS('Barang Keluar'!$E:$E,'Barang Keluar'!$A:$A,M23633,'Barang Keluar'!$C:$C,N23633))</f>
        <v>0</v>
      </c>
    </row>
    <row r="23634" spans="13:16">
      <c r="M23634" s="49">
        <f>IF($A$4+236&gt;$B$4,"",$A$4+236)</f>
        <v>46259</v>
      </c>
      <c r="N23634" t="str">
        <f>IF(M23634="","",'Master Barang'!A28)</f>
        <v>PRL-027</v>
      </c>
      <c r="O23634" t="str">
        <f>IF(N23634="","",'Master Barang'!B28)</f>
        <v>kresek klin warna warni kecil</v>
      </c>
      <c r="P23634">
        <f>IF(OR(M23634="",N23634=""),"",SUMIFS('Barang Keluar'!$E:$E,'Barang Keluar'!$A:$A,M23634,'Barang Keluar'!$C:$C,N23634))</f>
        <v>0</v>
      </c>
    </row>
    <row r="23635" spans="13:16">
      <c r="M23635" s="49">
        <f>IF($A$4+236&gt;$B$4,"",$A$4+236)</f>
        <v>46259</v>
      </c>
      <c r="N23635" t="str">
        <f>IF(M23635="","",'Master Barang'!A29)</f>
        <v>PRL-028</v>
      </c>
      <c r="O23635" t="str">
        <f>IF(N23635="","",'Master Barang'!B29)</f>
        <v>ctik plastik 7x10 100 pcs</v>
      </c>
      <c r="P23635">
        <f>IF(OR(M23635="",N23635=""),"",SUMIFS('Barang Keluar'!$E:$E,'Barang Keluar'!$A:$A,M23635,'Barang Keluar'!$C:$C,N23635))</f>
        <v>0</v>
      </c>
    </row>
    <row r="23636" spans="13:16">
      <c r="M23636" s="49">
        <f>IF($A$4+236&gt;$B$4,"",$A$4+236)</f>
        <v>46259</v>
      </c>
      <c r="N23636" t="str">
        <f>IF(M23636="","",'Master Barang'!A30)</f>
        <v>PRL-029</v>
      </c>
      <c r="O23636" t="str">
        <f>IF(N23636="","",'Master Barang'!B30)</f>
        <v>ctik plastik 6x10 100 pcs</v>
      </c>
      <c r="P23636">
        <f>IF(OR(M23636="",N23636=""),"",SUMIFS('Barang Keluar'!$E:$E,'Barang Keluar'!$A:$A,M23636,'Barang Keluar'!$C:$C,N23636))</f>
        <v>0</v>
      </c>
    </row>
    <row r="23637" spans="13:16">
      <c r="M23637" s="49">
        <f>IF($A$4+236&gt;$B$4,"",$A$4+236)</f>
        <v>46259</v>
      </c>
      <c r="N23637" t="str">
        <f>IF(M23637="","",'Master Barang'!A31)</f>
        <v>PRL-030</v>
      </c>
      <c r="O23637" t="str">
        <f>IF(N23637="","",'Master Barang'!B31)</f>
        <v>klip plastik 25x16 100 pcs</v>
      </c>
      <c r="P23637">
        <f>IF(OR(M23637="",N23637=""),"",SUMIFS('Barang Keluar'!$E:$E,'Barang Keluar'!$A:$A,M23637,'Barang Keluar'!$C:$C,N23637))</f>
        <v>0</v>
      </c>
    </row>
    <row r="23638" spans="13:16">
      <c r="M23638" s="49">
        <f>IF($A$4+236&gt;$B$4,"",$A$4+236)</f>
        <v>46259</v>
      </c>
      <c r="N23638" t="str">
        <f>IF(M23638="","",'Master Barang'!A32)</f>
        <v>PRL-031</v>
      </c>
      <c r="O23638" t="str">
        <f>IF(N23638="","",'Master Barang'!B32)</f>
        <v>tempat saus 20 ml</v>
      </c>
      <c r="P23638">
        <f>IF(OR(M23638="",N23638=""),"",SUMIFS('Barang Keluar'!$E:$E,'Barang Keluar'!$A:$A,M23638,'Barang Keluar'!$C:$C,N23638))</f>
        <v>0</v>
      </c>
    </row>
    <row r="23639" spans="13:16">
      <c r="M23639" s="49">
        <f>IF($A$4+236&gt;$B$4,"",$A$4+236)</f>
        <v>46259</v>
      </c>
      <c r="N23639" t="str">
        <f>IF(M23639="","",'Master Barang'!A33)</f>
        <v>PRL-032</v>
      </c>
      <c r="O23639" t="str">
        <f>IF(N23639="","",'Master Barang'!B33)</f>
        <v>plastik packaging ag box uk sedang</v>
      </c>
      <c r="P23639">
        <f>IF(OR(M23639="",N23639=""),"",SUMIFS('Barang Keluar'!$E:$E,'Barang Keluar'!$A:$A,M23639,'Barang Keluar'!$C:$C,N23639))</f>
        <v>0</v>
      </c>
    </row>
    <row r="23640" spans="13:16">
      <c r="M23640" s="49">
        <f>IF($A$4+236&gt;$B$4,"",$A$4+236)</f>
        <v>46259</v>
      </c>
      <c r="N23640" t="str">
        <f>IF(M23640="","",'Master Barang'!A34)</f>
        <v>PRL-033</v>
      </c>
      <c r="O23640">
        <f>IF(N23640="","",'Master Barang'!B34)</f>
        <v>0</v>
      </c>
      <c r="P23640">
        <f>IF(OR(M23640="",N23640=""),"",SUMIFS('Barang Keluar'!$E:$E,'Barang Keluar'!$A:$A,M23640,'Barang Keluar'!$C:$C,N23640))</f>
        <v>0</v>
      </c>
    </row>
    <row r="23641" spans="13:16">
      <c r="M23641" s="49">
        <f>IF($A$4+236&gt;$B$4,"",$A$4+236)</f>
        <v>46259</v>
      </c>
      <c r="N23641">
        <f>IF(M23641="","",'Master Barang'!A35)</f>
        <v>0</v>
      </c>
      <c r="O23641">
        <f>IF(N23641="","",'Master Barang'!B35)</f>
        <v>0</v>
      </c>
      <c r="P23641">
        <f>IF(OR(M23641="",N23641=""),"",SUMIFS('Barang Keluar'!$E:$E,'Barang Keluar'!$A:$A,M23641,'Barang Keluar'!$C:$C,N23641))</f>
        <v>0</v>
      </c>
    </row>
    <row r="23642" spans="13:16">
      <c r="M23642" s="49">
        <f>IF($A$4+236&gt;$B$4,"",$A$4+236)</f>
        <v>46259</v>
      </c>
      <c r="N23642">
        <f>IF(M23642="","",'Master Barang'!A36)</f>
        <v>0</v>
      </c>
      <c r="O23642">
        <f>IF(N23642="","",'Master Barang'!B36)</f>
        <v>0</v>
      </c>
      <c r="P23642">
        <f>IF(OR(M23642="",N23642=""),"",SUMIFS('Barang Keluar'!$E:$E,'Barang Keluar'!$A:$A,M23642,'Barang Keluar'!$C:$C,N23642))</f>
        <v>0</v>
      </c>
    </row>
    <row r="23643" spans="13:16">
      <c r="M23643" s="49">
        <f>IF($A$4+236&gt;$B$4,"",$A$4+236)</f>
        <v>46259</v>
      </c>
      <c r="N23643">
        <f>IF(M23643="","",'Master Barang'!A37)</f>
        <v>0</v>
      </c>
      <c r="O23643">
        <f>IF(N23643="","",'Master Barang'!B37)</f>
        <v>0</v>
      </c>
      <c r="P23643">
        <f>IF(OR(M23643="",N23643=""),"",SUMIFS('Barang Keluar'!$E:$E,'Barang Keluar'!$A:$A,M23643,'Barang Keluar'!$C:$C,N23643))</f>
        <v>0</v>
      </c>
    </row>
    <row r="23644" spans="13:16">
      <c r="M23644" s="49">
        <f>IF($A$4+236&gt;$B$4,"",$A$4+236)</f>
        <v>46259</v>
      </c>
      <c r="N23644">
        <f>IF(M23644="","",'Master Barang'!A38)</f>
        <v>0</v>
      </c>
      <c r="O23644">
        <f>IF(N23644="","",'Master Barang'!B38)</f>
        <v>0</v>
      </c>
      <c r="P23644">
        <f>IF(OR(M23644="",N23644=""),"",SUMIFS('Barang Keluar'!$E:$E,'Barang Keluar'!$A:$A,M23644,'Barang Keluar'!$C:$C,N23644))</f>
        <v>0</v>
      </c>
    </row>
    <row r="23645" spans="13:16">
      <c r="M23645" s="49">
        <f>IF($A$4+236&gt;$B$4,"",$A$4+236)</f>
        <v>46259</v>
      </c>
      <c r="N23645">
        <f>IF(M23645="","",'Master Barang'!A39)</f>
        <v>0</v>
      </c>
      <c r="O23645">
        <f>IF(N23645="","",'Master Barang'!B39)</f>
        <v>0</v>
      </c>
      <c r="P23645">
        <f>IF(OR(M23645="",N23645=""),"",SUMIFS('Barang Keluar'!$E:$E,'Barang Keluar'!$A:$A,M23645,'Barang Keluar'!$C:$C,N23645))</f>
        <v>0</v>
      </c>
    </row>
    <row r="23646" spans="13:16">
      <c r="M23646" s="49">
        <f>IF($A$4+236&gt;$B$4,"",$A$4+236)</f>
        <v>46259</v>
      </c>
      <c r="N23646">
        <f>IF(M23646="","",'Master Barang'!A40)</f>
        <v>0</v>
      </c>
      <c r="O23646">
        <f>IF(N23646="","",'Master Barang'!B40)</f>
        <v>0</v>
      </c>
      <c r="P23646">
        <f>IF(OR(M23646="",N23646=""),"",SUMIFS('Barang Keluar'!$E:$E,'Barang Keluar'!$A:$A,M23646,'Barang Keluar'!$C:$C,N23646))</f>
        <v>0</v>
      </c>
    </row>
    <row r="23647" spans="13:16">
      <c r="M23647" s="49">
        <f>IF($A$4+236&gt;$B$4,"",$A$4+236)</f>
        <v>46259</v>
      </c>
      <c r="N23647">
        <f>IF(M23647="","",'Master Barang'!A41)</f>
        <v>0</v>
      </c>
      <c r="O23647">
        <f>IF(N23647="","",'Master Barang'!B41)</f>
        <v>0</v>
      </c>
      <c r="P23647">
        <f>IF(OR(M23647="",N23647=""),"",SUMIFS('Barang Keluar'!$E:$E,'Barang Keluar'!$A:$A,M23647,'Barang Keluar'!$C:$C,N23647))</f>
        <v>0</v>
      </c>
    </row>
    <row r="23648" spans="13:16">
      <c r="M23648" s="49">
        <f>IF($A$4+236&gt;$B$4,"",$A$4+236)</f>
        <v>46259</v>
      </c>
      <c r="N23648">
        <f>IF(M23648="","",'Master Barang'!A42)</f>
        <v>0</v>
      </c>
      <c r="O23648">
        <f>IF(N23648="","",'Master Barang'!B42)</f>
        <v>0</v>
      </c>
      <c r="P23648">
        <f>IF(OR(M23648="",N23648=""),"",SUMIFS('Barang Keluar'!$E:$E,'Barang Keluar'!$A:$A,M23648,'Barang Keluar'!$C:$C,N23648))</f>
        <v>0</v>
      </c>
    </row>
    <row r="23649" spans="13:16">
      <c r="M23649" s="49">
        <f>IF($A$4+236&gt;$B$4,"",$A$4+236)</f>
        <v>46259</v>
      </c>
      <c r="N23649">
        <f>IF(M23649="","",'Master Barang'!A43)</f>
        <v>0</v>
      </c>
      <c r="O23649">
        <f>IF(N23649="","",'Master Barang'!B43)</f>
        <v>0</v>
      </c>
      <c r="P23649">
        <f>IF(OR(M23649="",N23649=""),"",SUMIFS('Barang Keluar'!$E:$E,'Barang Keluar'!$A:$A,M23649,'Barang Keluar'!$C:$C,N23649))</f>
        <v>0</v>
      </c>
    </row>
    <row r="23650" spans="13:16">
      <c r="M23650" s="49">
        <f>IF($A$4+236&gt;$B$4,"",$A$4+236)</f>
        <v>46259</v>
      </c>
      <c r="N23650">
        <f>IF(M23650="","",'Master Barang'!A44)</f>
        <v>0</v>
      </c>
      <c r="O23650">
        <f>IF(N23650="","",'Master Barang'!B44)</f>
        <v>0</v>
      </c>
      <c r="P23650">
        <f>IF(OR(M23650="",N23650=""),"",SUMIFS('Barang Keluar'!$E:$E,'Barang Keluar'!$A:$A,M23650,'Barang Keluar'!$C:$C,N23650))</f>
        <v>0</v>
      </c>
    </row>
    <row r="23651" spans="13:16">
      <c r="M23651" s="49">
        <f>IF($A$4+236&gt;$B$4,"",$A$4+236)</f>
        <v>46259</v>
      </c>
      <c r="N23651">
        <f>IF(M23651="","",'Master Barang'!A45)</f>
        <v>0</v>
      </c>
      <c r="O23651">
        <f>IF(N23651="","",'Master Barang'!B45)</f>
        <v>0</v>
      </c>
      <c r="P23651">
        <f>IF(OR(M23651="",N23651=""),"",SUMIFS('Barang Keluar'!$E:$E,'Barang Keluar'!$A:$A,M23651,'Barang Keluar'!$C:$C,N23651))</f>
        <v>0</v>
      </c>
    </row>
    <row r="23652" spans="13:16">
      <c r="M23652" s="49">
        <f>IF($A$4+236&gt;$B$4,"",$A$4+236)</f>
        <v>46259</v>
      </c>
      <c r="N23652">
        <f>IF(M23652="","",'Master Barang'!A46)</f>
        <v>0</v>
      </c>
      <c r="O23652">
        <f>IF(N23652="","",'Master Barang'!B46)</f>
        <v>0</v>
      </c>
      <c r="P23652">
        <f>IF(OR(M23652="",N23652=""),"",SUMIFS('Barang Keluar'!$E:$E,'Barang Keluar'!$A:$A,M23652,'Barang Keluar'!$C:$C,N23652))</f>
        <v>0</v>
      </c>
    </row>
    <row r="23653" spans="13:16">
      <c r="M23653" s="49">
        <f>IF($A$4+236&gt;$B$4,"",$A$4+236)</f>
        <v>46259</v>
      </c>
      <c r="N23653">
        <f>IF(M23653="","",'Master Barang'!A47)</f>
        <v>0</v>
      </c>
      <c r="O23653">
        <f>IF(N23653="","",'Master Barang'!B47)</f>
        <v>0</v>
      </c>
      <c r="P23653">
        <f>IF(OR(M23653="",N23653=""),"",SUMIFS('Barang Keluar'!$E:$E,'Barang Keluar'!$A:$A,M23653,'Barang Keluar'!$C:$C,N23653))</f>
        <v>0</v>
      </c>
    </row>
    <row r="23654" spans="13:16">
      <c r="M23654" s="49">
        <f>IF($A$4+236&gt;$B$4,"",$A$4+236)</f>
        <v>46259</v>
      </c>
      <c r="N23654">
        <f>IF(M23654="","",'Master Barang'!A48)</f>
        <v>0</v>
      </c>
      <c r="O23654">
        <f>IF(N23654="","",'Master Barang'!B48)</f>
        <v>0</v>
      </c>
      <c r="P23654">
        <f>IF(OR(M23654="",N23654=""),"",SUMIFS('Barang Keluar'!$E:$E,'Barang Keluar'!$A:$A,M23654,'Barang Keluar'!$C:$C,N23654))</f>
        <v>0</v>
      </c>
    </row>
    <row r="23655" spans="13:16">
      <c r="M23655" s="49">
        <f>IF($A$4+236&gt;$B$4,"",$A$4+236)</f>
        <v>46259</v>
      </c>
      <c r="N23655">
        <f>IF(M23655="","",'Master Barang'!A49)</f>
        <v>0</v>
      </c>
      <c r="O23655">
        <f>IF(N23655="","",'Master Barang'!B49)</f>
        <v>0</v>
      </c>
      <c r="P23655">
        <f>IF(OR(M23655="",N23655=""),"",SUMIFS('Barang Keluar'!$E:$E,'Barang Keluar'!$A:$A,M23655,'Barang Keluar'!$C:$C,N23655))</f>
        <v>0</v>
      </c>
    </row>
    <row r="23656" spans="13:16">
      <c r="M23656" s="49">
        <f>IF($A$4+236&gt;$B$4,"",$A$4+236)</f>
        <v>46259</v>
      </c>
      <c r="N23656">
        <f>IF(M23656="","",'Master Barang'!A50)</f>
        <v>0</v>
      </c>
      <c r="O23656">
        <f>IF(N23656="","",'Master Barang'!B50)</f>
        <v>0</v>
      </c>
      <c r="P23656">
        <f>IF(OR(M23656="",N23656=""),"",SUMIFS('Barang Keluar'!$E:$E,'Barang Keluar'!$A:$A,M23656,'Barang Keluar'!$C:$C,N23656))</f>
        <v>0</v>
      </c>
    </row>
    <row r="23657" spans="13:16">
      <c r="M23657" s="49">
        <f>IF($A$4+236&gt;$B$4,"",$A$4+236)</f>
        <v>46259</v>
      </c>
      <c r="N23657">
        <f>IF(M23657="","",'Master Barang'!A51)</f>
        <v>0</v>
      </c>
      <c r="O23657">
        <f>IF(N23657="","",'Master Barang'!B51)</f>
        <v>0</v>
      </c>
      <c r="P23657">
        <f>IF(OR(M23657="",N23657=""),"",SUMIFS('Barang Keluar'!$E:$E,'Barang Keluar'!$A:$A,M23657,'Barang Keluar'!$C:$C,N23657))</f>
        <v>0</v>
      </c>
    </row>
    <row r="23658" spans="13:16">
      <c r="M23658" s="49">
        <f>IF($A$4+236&gt;$B$4,"",$A$4+236)</f>
        <v>46259</v>
      </c>
      <c r="N23658">
        <f>IF(M23658="","",'Master Barang'!A52)</f>
        <v>0</v>
      </c>
      <c r="O23658">
        <f>IF(N23658="","",'Master Barang'!B52)</f>
        <v>0</v>
      </c>
      <c r="P23658">
        <f>IF(OR(M23658="",N23658=""),"",SUMIFS('Barang Keluar'!$E:$E,'Barang Keluar'!$A:$A,M23658,'Barang Keluar'!$C:$C,N23658))</f>
        <v>0</v>
      </c>
    </row>
    <row r="23659" spans="13:16">
      <c r="M23659" s="49">
        <f>IF($A$4+236&gt;$B$4,"",$A$4+236)</f>
        <v>46259</v>
      </c>
      <c r="N23659">
        <f>IF(M23659="","",'Master Barang'!A53)</f>
        <v>0</v>
      </c>
      <c r="O23659">
        <f>IF(N23659="","",'Master Barang'!B53)</f>
        <v>0</v>
      </c>
      <c r="P23659">
        <f>IF(OR(M23659="",N23659=""),"",SUMIFS('Barang Keluar'!$E:$E,'Barang Keluar'!$A:$A,M23659,'Barang Keluar'!$C:$C,N23659))</f>
        <v>0</v>
      </c>
    </row>
    <row r="23660" spans="13:16">
      <c r="M23660" s="49">
        <f>IF($A$4+236&gt;$B$4,"",$A$4+236)</f>
        <v>46259</v>
      </c>
      <c r="N23660">
        <f>IF(M23660="","",'Master Barang'!A54)</f>
        <v>0</v>
      </c>
      <c r="O23660">
        <f>IF(N23660="","",'Master Barang'!B54)</f>
        <v>0</v>
      </c>
      <c r="P23660">
        <f>IF(OR(M23660="",N23660=""),"",SUMIFS('Barang Keluar'!$E:$E,'Barang Keluar'!$A:$A,M23660,'Barang Keluar'!$C:$C,N23660))</f>
        <v>0</v>
      </c>
    </row>
    <row r="23661" spans="13:16">
      <c r="M23661" s="49">
        <f>IF($A$4+236&gt;$B$4,"",$A$4+236)</f>
        <v>46259</v>
      </c>
      <c r="N23661">
        <f>IF(M23661="","",'Master Barang'!A55)</f>
        <v>0</v>
      </c>
      <c r="O23661">
        <f>IF(N23661="","",'Master Barang'!B55)</f>
        <v>0</v>
      </c>
      <c r="P23661">
        <f>IF(OR(M23661="",N23661=""),"",SUMIFS('Barang Keluar'!$E:$E,'Barang Keluar'!$A:$A,M23661,'Barang Keluar'!$C:$C,N23661))</f>
        <v>0</v>
      </c>
    </row>
    <row r="23662" spans="13:16">
      <c r="M23662" s="49">
        <f>IF($A$4+236&gt;$B$4,"",$A$4+236)</f>
        <v>46259</v>
      </c>
      <c r="N23662">
        <f>IF(M23662="","",'Master Barang'!A56)</f>
        <v>0</v>
      </c>
      <c r="O23662">
        <f>IF(N23662="","",'Master Barang'!B56)</f>
        <v>0</v>
      </c>
      <c r="P23662">
        <f>IF(OR(M23662="",N23662=""),"",SUMIFS('Barang Keluar'!$E:$E,'Barang Keluar'!$A:$A,M23662,'Barang Keluar'!$C:$C,N23662))</f>
        <v>0</v>
      </c>
    </row>
    <row r="23663" spans="13:16">
      <c r="M23663" s="49">
        <f>IF($A$4+236&gt;$B$4,"",$A$4+236)</f>
        <v>46259</v>
      </c>
      <c r="N23663">
        <f>IF(M23663="","",'Master Barang'!A57)</f>
        <v>0</v>
      </c>
      <c r="O23663">
        <f>IF(N23663="","",'Master Barang'!B57)</f>
        <v>0</v>
      </c>
      <c r="P23663">
        <f>IF(OR(M23663="",N23663=""),"",SUMIFS('Barang Keluar'!$E:$E,'Barang Keluar'!$A:$A,M23663,'Barang Keluar'!$C:$C,N23663))</f>
        <v>0</v>
      </c>
    </row>
    <row r="23664" spans="13:16">
      <c r="M23664" s="49">
        <f>IF($A$4+236&gt;$B$4,"",$A$4+236)</f>
        <v>46259</v>
      </c>
      <c r="N23664">
        <f>IF(M23664="","",'Master Barang'!A58)</f>
        <v>0</v>
      </c>
      <c r="O23664">
        <f>IF(N23664="","",'Master Barang'!B58)</f>
        <v>0</v>
      </c>
      <c r="P23664">
        <f>IF(OR(M23664="",N23664=""),"",SUMIFS('Barang Keluar'!$E:$E,'Barang Keluar'!$A:$A,M23664,'Barang Keluar'!$C:$C,N23664))</f>
        <v>0</v>
      </c>
    </row>
    <row r="23665" spans="13:16">
      <c r="M23665" s="49">
        <f>IF($A$4+236&gt;$B$4,"",$A$4+236)</f>
        <v>46259</v>
      </c>
      <c r="N23665">
        <f>IF(M23665="","",'Master Barang'!A59)</f>
        <v>0</v>
      </c>
      <c r="O23665">
        <f>IF(N23665="","",'Master Barang'!B59)</f>
        <v>0</v>
      </c>
      <c r="P23665">
        <f>IF(OR(M23665="",N23665=""),"",SUMIFS('Barang Keluar'!$E:$E,'Barang Keluar'!$A:$A,M23665,'Barang Keluar'!$C:$C,N23665))</f>
        <v>0</v>
      </c>
    </row>
    <row r="23666" spans="13:16">
      <c r="M23666" s="49">
        <f>IF($A$4+236&gt;$B$4,"",$A$4+236)</f>
        <v>46259</v>
      </c>
      <c r="N23666">
        <f>IF(M23666="","",'Master Barang'!A60)</f>
        <v>0</v>
      </c>
      <c r="O23666">
        <f>IF(N23666="","",'Master Barang'!B60)</f>
        <v>0</v>
      </c>
      <c r="P23666">
        <f>IF(OR(M23666="",N23666=""),"",SUMIFS('Barang Keluar'!$E:$E,'Barang Keluar'!$A:$A,M23666,'Barang Keluar'!$C:$C,N23666))</f>
        <v>0</v>
      </c>
    </row>
    <row r="23667" spans="13:16">
      <c r="M23667" s="49">
        <f>IF($A$4+236&gt;$B$4,"",$A$4+236)</f>
        <v>46259</v>
      </c>
      <c r="N23667">
        <f>IF(M23667="","",'Master Barang'!A61)</f>
        <v>0</v>
      </c>
      <c r="O23667">
        <f>IF(N23667="","",'Master Barang'!B61)</f>
        <v>0</v>
      </c>
      <c r="P23667">
        <f>IF(OR(M23667="",N23667=""),"",SUMIFS('Barang Keluar'!$E:$E,'Barang Keluar'!$A:$A,M23667,'Barang Keluar'!$C:$C,N23667))</f>
        <v>0</v>
      </c>
    </row>
    <row r="23668" spans="13:16">
      <c r="M23668" s="49">
        <f>IF($A$4+236&gt;$B$4,"",$A$4+236)</f>
        <v>46259</v>
      </c>
      <c r="N23668">
        <f>IF(M23668="","",'Master Barang'!A62)</f>
        <v>0</v>
      </c>
      <c r="O23668">
        <f>IF(N23668="","",'Master Barang'!B62)</f>
        <v>0</v>
      </c>
      <c r="P23668">
        <f>IF(OR(M23668="",N23668=""),"",SUMIFS('Barang Keluar'!$E:$E,'Barang Keluar'!$A:$A,M23668,'Barang Keluar'!$C:$C,N23668))</f>
        <v>0</v>
      </c>
    </row>
    <row r="23669" spans="13:16">
      <c r="M23669" s="49">
        <f>IF($A$4+236&gt;$B$4,"",$A$4+236)</f>
        <v>46259</v>
      </c>
      <c r="N23669">
        <f>IF(M23669="","",'Master Barang'!A63)</f>
        <v>0</v>
      </c>
      <c r="O23669">
        <f>IF(N23669="","",'Master Barang'!B63)</f>
        <v>0</v>
      </c>
      <c r="P23669">
        <f>IF(OR(M23669="",N23669=""),"",SUMIFS('Barang Keluar'!$E:$E,'Barang Keluar'!$A:$A,M23669,'Barang Keluar'!$C:$C,N23669))</f>
        <v>0</v>
      </c>
    </row>
    <row r="23670" spans="13:16">
      <c r="M23670" s="49">
        <f>IF($A$4+236&gt;$B$4,"",$A$4+236)</f>
        <v>46259</v>
      </c>
      <c r="N23670">
        <f>IF(M23670="","",'Master Barang'!A64)</f>
        <v>0</v>
      </c>
      <c r="O23670">
        <f>IF(N23670="","",'Master Barang'!B64)</f>
        <v>0</v>
      </c>
      <c r="P23670">
        <f>IF(OR(M23670="",N23670=""),"",SUMIFS('Barang Keluar'!$E:$E,'Barang Keluar'!$A:$A,M23670,'Barang Keluar'!$C:$C,N23670))</f>
        <v>0</v>
      </c>
    </row>
    <row r="23671" spans="13:16">
      <c r="M23671" s="49">
        <f>IF($A$4+236&gt;$B$4,"",$A$4+236)</f>
        <v>46259</v>
      </c>
      <c r="N23671">
        <f>IF(M23671="","",'Master Barang'!A65)</f>
        <v>0</v>
      </c>
      <c r="O23671">
        <f>IF(N23671="","",'Master Barang'!B65)</f>
        <v>0</v>
      </c>
      <c r="P23671">
        <f>IF(OR(M23671="",N23671=""),"",SUMIFS('Barang Keluar'!$E:$E,'Barang Keluar'!$A:$A,M23671,'Barang Keluar'!$C:$C,N23671))</f>
        <v>0</v>
      </c>
    </row>
    <row r="23672" spans="13:16">
      <c r="M23672" s="49">
        <f>IF($A$4+236&gt;$B$4,"",$A$4+236)</f>
        <v>46259</v>
      </c>
      <c r="N23672">
        <f>IF(M23672="","",'Master Barang'!A66)</f>
        <v>0</v>
      </c>
      <c r="O23672">
        <f>IF(N23672="","",'Master Barang'!B66)</f>
        <v>0</v>
      </c>
      <c r="P23672">
        <f>IF(OR(M23672="",N23672=""),"",SUMIFS('Barang Keluar'!$E:$E,'Barang Keluar'!$A:$A,M23672,'Barang Keluar'!$C:$C,N23672))</f>
        <v>0</v>
      </c>
    </row>
    <row r="23673" spans="13:16">
      <c r="M23673" s="49">
        <f>IF($A$4+236&gt;$B$4,"",$A$4+236)</f>
        <v>46259</v>
      </c>
      <c r="N23673">
        <f>IF(M23673="","",'Master Barang'!A67)</f>
        <v>0</v>
      </c>
      <c r="O23673">
        <f>IF(N23673="","",'Master Barang'!B67)</f>
        <v>0</v>
      </c>
      <c r="P23673">
        <f>IF(OR(M23673="",N23673=""),"",SUMIFS('Barang Keluar'!$E:$E,'Barang Keluar'!$A:$A,M23673,'Barang Keluar'!$C:$C,N23673))</f>
        <v>0</v>
      </c>
    </row>
    <row r="23674" spans="13:16">
      <c r="M23674" s="49">
        <f>IF($A$4+236&gt;$B$4,"",$A$4+236)</f>
        <v>46259</v>
      </c>
      <c r="N23674">
        <f>IF(M23674="","",'Master Barang'!A68)</f>
        <v>0</v>
      </c>
      <c r="O23674">
        <f>IF(N23674="","",'Master Barang'!B68)</f>
        <v>0</v>
      </c>
      <c r="P23674">
        <f>IF(OR(M23674="",N23674=""),"",SUMIFS('Barang Keluar'!$E:$E,'Barang Keluar'!$A:$A,M23674,'Barang Keluar'!$C:$C,N23674))</f>
        <v>0</v>
      </c>
    </row>
    <row r="23675" spans="13:16">
      <c r="M23675" s="49">
        <f>IF($A$4+236&gt;$B$4,"",$A$4+236)</f>
        <v>46259</v>
      </c>
      <c r="N23675">
        <f>IF(M23675="","",'Master Barang'!A69)</f>
        <v>0</v>
      </c>
      <c r="O23675">
        <f>IF(N23675="","",'Master Barang'!B69)</f>
        <v>0</v>
      </c>
      <c r="P23675">
        <f>IF(OR(M23675="",N23675=""),"",SUMIFS('Barang Keluar'!$E:$E,'Barang Keluar'!$A:$A,M23675,'Barang Keluar'!$C:$C,N23675))</f>
        <v>0</v>
      </c>
    </row>
    <row r="23676" spans="13:16">
      <c r="M23676" s="49">
        <f>IF($A$4+236&gt;$B$4,"",$A$4+236)</f>
        <v>46259</v>
      </c>
      <c r="N23676">
        <f>IF(M23676="","",'Master Barang'!A70)</f>
        <v>0</v>
      </c>
      <c r="O23676">
        <f>IF(N23676="","",'Master Barang'!B70)</f>
        <v>0</v>
      </c>
      <c r="P23676">
        <f>IF(OR(M23676="",N23676=""),"",SUMIFS('Barang Keluar'!$E:$E,'Barang Keluar'!$A:$A,M23676,'Barang Keluar'!$C:$C,N23676))</f>
        <v>0</v>
      </c>
    </row>
    <row r="23677" spans="13:16">
      <c r="M23677" s="49">
        <f>IF($A$4+236&gt;$B$4,"",$A$4+236)</f>
        <v>46259</v>
      </c>
      <c r="N23677">
        <f>IF(M23677="","",'Master Barang'!A71)</f>
        <v>0</v>
      </c>
      <c r="O23677">
        <f>IF(N23677="","",'Master Barang'!B71)</f>
        <v>0</v>
      </c>
      <c r="P23677">
        <f>IF(OR(M23677="",N23677=""),"",SUMIFS('Barang Keluar'!$E:$E,'Barang Keluar'!$A:$A,M23677,'Barang Keluar'!$C:$C,N23677))</f>
        <v>0</v>
      </c>
    </row>
    <row r="23678" spans="13:16">
      <c r="M23678" s="49">
        <f>IF($A$4+236&gt;$B$4,"",$A$4+236)</f>
        <v>46259</v>
      </c>
      <c r="N23678">
        <f>IF(M23678="","",'Master Barang'!A72)</f>
        <v>0</v>
      </c>
      <c r="O23678">
        <f>IF(N23678="","",'Master Barang'!B72)</f>
        <v>0</v>
      </c>
      <c r="P23678">
        <f>IF(OR(M23678="",N23678=""),"",SUMIFS('Barang Keluar'!$E:$E,'Barang Keluar'!$A:$A,M23678,'Barang Keluar'!$C:$C,N23678))</f>
        <v>0</v>
      </c>
    </row>
    <row r="23679" spans="13:16">
      <c r="M23679" s="49">
        <f>IF($A$4+236&gt;$B$4,"",$A$4+236)</f>
        <v>46259</v>
      </c>
      <c r="N23679">
        <f>IF(M23679="","",'Master Barang'!A73)</f>
        <v>0</v>
      </c>
      <c r="O23679">
        <f>IF(N23679="","",'Master Barang'!B73)</f>
        <v>0</v>
      </c>
      <c r="P23679">
        <f>IF(OR(M23679="",N23679=""),"",SUMIFS('Barang Keluar'!$E:$E,'Barang Keluar'!$A:$A,M23679,'Barang Keluar'!$C:$C,N23679))</f>
        <v>0</v>
      </c>
    </row>
    <row r="23680" spans="13:16">
      <c r="M23680" s="49">
        <f>IF($A$4+236&gt;$B$4,"",$A$4+236)</f>
        <v>46259</v>
      </c>
      <c r="N23680">
        <f>IF(M23680="","",'Master Barang'!A74)</f>
        <v>0</v>
      </c>
      <c r="O23680">
        <f>IF(N23680="","",'Master Barang'!B74)</f>
        <v>0</v>
      </c>
      <c r="P23680">
        <f>IF(OR(M23680="",N23680=""),"",SUMIFS('Barang Keluar'!$E:$E,'Barang Keluar'!$A:$A,M23680,'Barang Keluar'!$C:$C,N23680))</f>
        <v>0</v>
      </c>
    </row>
    <row r="23681" spans="13:16">
      <c r="M23681" s="49">
        <f>IF($A$4+236&gt;$B$4,"",$A$4+236)</f>
        <v>46259</v>
      </c>
      <c r="N23681">
        <f>IF(M23681="","",'Master Barang'!A75)</f>
        <v>0</v>
      </c>
      <c r="O23681">
        <f>IF(N23681="","",'Master Barang'!B75)</f>
        <v>0</v>
      </c>
      <c r="P23681">
        <f>IF(OR(M23681="",N23681=""),"",SUMIFS('Barang Keluar'!$E:$E,'Barang Keluar'!$A:$A,M23681,'Barang Keluar'!$C:$C,N23681))</f>
        <v>0</v>
      </c>
    </row>
    <row r="23682" spans="13:16">
      <c r="M23682" s="49">
        <f>IF($A$4+236&gt;$B$4,"",$A$4+236)</f>
        <v>46259</v>
      </c>
      <c r="N23682">
        <f>IF(M23682="","",'Master Barang'!A76)</f>
        <v>0</v>
      </c>
      <c r="O23682">
        <f>IF(N23682="","",'Master Barang'!B76)</f>
        <v>0</v>
      </c>
      <c r="P23682">
        <f>IF(OR(M23682="",N23682=""),"",SUMIFS('Barang Keluar'!$E:$E,'Barang Keluar'!$A:$A,M23682,'Barang Keluar'!$C:$C,N23682))</f>
        <v>0</v>
      </c>
    </row>
    <row r="23683" spans="13:16">
      <c r="M23683" s="49">
        <f>IF($A$4+236&gt;$B$4,"",$A$4+236)</f>
        <v>46259</v>
      </c>
      <c r="N23683">
        <f>IF(M23683="","",'Master Barang'!A77)</f>
        <v>0</v>
      </c>
      <c r="O23683">
        <f>IF(N23683="","",'Master Barang'!B77)</f>
        <v>0</v>
      </c>
      <c r="P23683">
        <f>IF(OR(M23683="",N23683=""),"",SUMIFS('Barang Keluar'!$E:$E,'Barang Keluar'!$A:$A,M23683,'Barang Keluar'!$C:$C,N23683))</f>
        <v>0</v>
      </c>
    </row>
    <row r="23684" spans="13:16">
      <c r="M23684" s="49">
        <f>IF($A$4+236&gt;$B$4,"",$A$4+236)</f>
        <v>46259</v>
      </c>
      <c r="N23684">
        <f>IF(M23684="","",'Master Barang'!A78)</f>
        <v>0</v>
      </c>
      <c r="O23684">
        <f>IF(N23684="","",'Master Barang'!B78)</f>
        <v>0</v>
      </c>
      <c r="P23684">
        <f>IF(OR(M23684="",N23684=""),"",SUMIFS('Barang Keluar'!$E:$E,'Barang Keluar'!$A:$A,M23684,'Barang Keluar'!$C:$C,N23684))</f>
        <v>0</v>
      </c>
    </row>
    <row r="23685" spans="13:16">
      <c r="M23685" s="49">
        <f>IF($A$4+236&gt;$B$4,"",$A$4+236)</f>
        <v>46259</v>
      </c>
      <c r="N23685">
        <f>IF(M23685="","",'Master Barang'!A79)</f>
        <v>0</v>
      </c>
      <c r="O23685">
        <f>IF(N23685="","",'Master Barang'!B79)</f>
        <v>0</v>
      </c>
      <c r="P23685">
        <f>IF(OR(M23685="",N23685=""),"",SUMIFS('Barang Keluar'!$E:$E,'Barang Keluar'!$A:$A,M23685,'Barang Keluar'!$C:$C,N23685))</f>
        <v>0</v>
      </c>
    </row>
    <row r="23686" spans="13:16">
      <c r="M23686" s="49">
        <f>IF($A$4+236&gt;$B$4,"",$A$4+236)</f>
        <v>46259</v>
      </c>
      <c r="N23686">
        <f>IF(M23686="","",'Master Barang'!A80)</f>
        <v>0</v>
      </c>
      <c r="O23686">
        <f>IF(N23686="","",'Master Barang'!B80)</f>
        <v>0</v>
      </c>
      <c r="P23686">
        <f>IF(OR(M23686="",N23686=""),"",SUMIFS('Barang Keluar'!$E:$E,'Barang Keluar'!$A:$A,M23686,'Barang Keluar'!$C:$C,N23686))</f>
        <v>0</v>
      </c>
    </row>
    <row r="23687" spans="13:16">
      <c r="M23687" s="49">
        <f>IF($A$4+236&gt;$B$4,"",$A$4+236)</f>
        <v>46259</v>
      </c>
      <c r="N23687">
        <f>IF(M23687="","",'Master Barang'!A81)</f>
        <v>0</v>
      </c>
      <c r="O23687">
        <f>IF(N23687="","",'Master Barang'!B81)</f>
        <v>0</v>
      </c>
      <c r="P23687">
        <f>IF(OR(M23687="",N23687=""),"",SUMIFS('Barang Keluar'!$E:$E,'Barang Keluar'!$A:$A,M23687,'Barang Keluar'!$C:$C,N23687))</f>
        <v>0</v>
      </c>
    </row>
    <row r="23688" spans="13:16">
      <c r="M23688" s="49">
        <f>IF($A$4+236&gt;$B$4,"",$A$4+236)</f>
        <v>46259</v>
      </c>
      <c r="N23688">
        <f>IF(M23688="","",'Master Barang'!A82)</f>
        <v>0</v>
      </c>
      <c r="O23688">
        <f>IF(N23688="","",'Master Barang'!B82)</f>
        <v>0</v>
      </c>
      <c r="P23688">
        <f>IF(OR(M23688="",N23688=""),"",SUMIFS('Barang Keluar'!$E:$E,'Barang Keluar'!$A:$A,M23688,'Barang Keluar'!$C:$C,N23688))</f>
        <v>0</v>
      </c>
    </row>
    <row r="23689" spans="13:16">
      <c r="M23689" s="49">
        <f>IF($A$4+236&gt;$B$4,"",$A$4+236)</f>
        <v>46259</v>
      </c>
      <c r="N23689">
        <f>IF(M23689="","",'Master Barang'!A83)</f>
        <v>0</v>
      </c>
      <c r="O23689">
        <f>IF(N23689="","",'Master Barang'!B83)</f>
        <v>0</v>
      </c>
      <c r="P23689">
        <f>IF(OR(M23689="",N23689=""),"",SUMIFS('Barang Keluar'!$E:$E,'Barang Keluar'!$A:$A,M23689,'Barang Keluar'!$C:$C,N23689))</f>
        <v>0</v>
      </c>
    </row>
    <row r="23690" spans="13:16">
      <c r="M23690" s="49">
        <f>IF($A$4+236&gt;$B$4,"",$A$4+236)</f>
        <v>46259</v>
      </c>
      <c r="N23690">
        <f>IF(M23690="","",'Master Barang'!A84)</f>
        <v>0</v>
      </c>
      <c r="O23690">
        <f>IF(N23690="","",'Master Barang'!B84)</f>
        <v>0</v>
      </c>
      <c r="P23690">
        <f>IF(OR(M23690="",N23690=""),"",SUMIFS('Barang Keluar'!$E:$E,'Barang Keluar'!$A:$A,M23690,'Barang Keluar'!$C:$C,N23690))</f>
        <v>0</v>
      </c>
    </row>
    <row r="23691" spans="13:16">
      <c r="M23691" s="49">
        <f>IF($A$4+236&gt;$B$4,"",$A$4+236)</f>
        <v>46259</v>
      </c>
      <c r="N23691">
        <f>IF(M23691="","",'Master Barang'!A85)</f>
        <v>0</v>
      </c>
      <c r="O23691">
        <f>IF(N23691="","",'Master Barang'!B85)</f>
        <v>0</v>
      </c>
      <c r="P23691">
        <f>IF(OR(M23691="",N23691=""),"",SUMIFS('Barang Keluar'!$E:$E,'Barang Keluar'!$A:$A,M23691,'Barang Keluar'!$C:$C,N23691))</f>
        <v>0</v>
      </c>
    </row>
    <row r="23692" spans="13:16">
      <c r="M23692" s="49">
        <f>IF($A$4+236&gt;$B$4,"",$A$4+236)</f>
        <v>46259</v>
      </c>
      <c r="N23692">
        <f>IF(M23692="","",'Master Barang'!A86)</f>
        <v>0</v>
      </c>
      <c r="O23692">
        <f>IF(N23692="","",'Master Barang'!B86)</f>
        <v>0</v>
      </c>
      <c r="P23692">
        <f>IF(OR(M23692="",N23692=""),"",SUMIFS('Barang Keluar'!$E:$E,'Barang Keluar'!$A:$A,M23692,'Barang Keluar'!$C:$C,N23692))</f>
        <v>0</v>
      </c>
    </row>
    <row r="23693" spans="13:16">
      <c r="M23693" s="49">
        <f>IF($A$4+236&gt;$B$4,"",$A$4+236)</f>
        <v>46259</v>
      </c>
      <c r="N23693">
        <f>IF(M23693="","",'Master Barang'!A87)</f>
        <v>0</v>
      </c>
      <c r="O23693">
        <f>IF(N23693="","",'Master Barang'!B87)</f>
        <v>0</v>
      </c>
      <c r="P23693">
        <f>IF(OR(M23693="",N23693=""),"",SUMIFS('Barang Keluar'!$E:$E,'Barang Keluar'!$A:$A,M23693,'Barang Keluar'!$C:$C,N23693))</f>
        <v>0</v>
      </c>
    </row>
    <row r="23694" spans="13:16">
      <c r="M23694" s="49">
        <f>IF($A$4+236&gt;$B$4,"",$A$4+236)</f>
        <v>46259</v>
      </c>
      <c r="N23694">
        <f>IF(M23694="","",'Master Barang'!A88)</f>
        <v>0</v>
      </c>
      <c r="O23694">
        <f>IF(N23694="","",'Master Barang'!B88)</f>
        <v>0</v>
      </c>
      <c r="P23694">
        <f>IF(OR(M23694="",N23694=""),"",SUMIFS('Barang Keluar'!$E:$E,'Barang Keluar'!$A:$A,M23694,'Barang Keluar'!$C:$C,N23694))</f>
        <v>0</v>
      </c>
    </row>
    <row r="23695" spans="13:16">
      <c r="M23695" s="49">
        <f>IF($A$4+236&gt;$B$4,"",$A$4+236)</f>
        <v>46259</v>
      </c>
      <c r="N23695">
        <f>IF(M23695="","",'Master Barang'!A89)</f>
        <v>0</v>
      </c>
      <c r="O23695">
        <f>IF(N23695="","",'Master Barang'!B89)</f>
        <v>0</v>
      </c>
      <c r="P23695">
        <f>IF(OR(M23695="",N23695=""),"",SUMIFS('Barang Keluar'!$E:$E,'Barang Keluar'!$A:$A,M23695,'Barang Keluar'!$C:$C,N23695))</f>
        <v>0</v>
      </c>
    </row>
    <row r="23696" spans="13:16">
      <c r="M23696" s="49">
        <f>IF($A$4+236&gt;$B$4,"",$A$4+236)</f>
        <v>46259</v>
      </c>
      <c r="N23696">
        <f>IF(M23696="","",'Master Barang'!A90)</f>
        <v>0</v>
      </c>
      <c r="O23696">
        <f>IF(N23696="","",'Master Barang'!B90)</f>
        <v>0</v>
      </c>
      <c r="P23696">
        <f>IF(OR(M23696="",N23696=""),"",SUMIFS('Barang Keluar'!$E:$E,'Barang Keluar'!$A:$A,M23696,'Barang Keluar'!$C:$C,N23696))</f>
        <v>0</v>
      </c>
    </row>
    <row r="23697" spans="13:16">
      <c r="M23697" s="49">
        <f>IF($A$4+236&gt;$B$4,"",$A$4+236)</f>
        <v>46259</v>
      </c>
      <c r="N23697">
        <f>IF(M23697="","",'Master Barang'!A91)</f>
        <v>0</v>
      </c>
      <c r="O23697">
        <f>IF(N23697="","",'Master Barang'!B91)</f>
        <v>0</v>
      </c>
      <c r="P23697">
        <f>IF(OR(M23697="",N23697=""),"",SUMIFS('Barang Keluar'!$E:$E,'Barang Keluar'!$A:$A,M23697,'Barang Keluar'!$C:$C,N23697))</f>
        <v>0</v>
      </c>
    </row>
    <row r="23698" spans="13:16">
      <c r="M23698" s="49">
        <f>IF($A$4+236&gt;$B$4,"",$A$4+236)</f>
        <v>46259</v>
      </c>
      <c r="N23698">
        <f>IF(M23698="","",'Master Barang'!A92)</f>
        <v>0</v>
      </c>
      <c r="O23698">
        <f>IF(N23698="","",'Master Barang'!B92)</f>
        <v>0</v>
      </c>
      <c r="P23698">
        <f>IF(OR(M23698="",N23698=""),"",SUMIFS('Barang Keluar'!$E:$E,'Barang Keluar'!$A:$A,M23698,'Barang Keluar'!$C:$C,N23698))</f>
        <v>0</v>
      </c>
    </row>
    <row r="23699" spans="13:16">
      <c r="M23699" s="49">
        <f>IF($A$4+236&gt;$B$4,"",$A$4+236)</f>
        <v>46259</v>
      </c>
      <c r="N23699">
        <f>IF(M23699="","",'Master Barang'!A93)</f>
        <v>0</v>
      </c>
      <c r="O23699">
        <f>IF(N23699="","",'Master Barang'!B93)</f>
        <v>0</v>
      </c>
      <c r="P23699">
        <f>IF(OR(M23699="",N23699=""),"",SUMIFS('Barang Keluar'!$E:$E,'Barang Keluar'!$A:$A,M23699,'Barang Keluar'!$C:$C,N23699))</f>
        <v>0</v>
      </c>
    </row>
    <row r="23700" spans="13:16">
      <c r="M23700" s="49">
        <f>IF($A$4+236&gt;$B$4,"",$A$4+236)</f>
        <v>46259</v>
      </c>
      <c r="N23700">
        <f>IF(M23700="","",'Master Barang'!A94)</f>
        <v>0</v>
      </c>
      <c r="O23700">
        <f>IF(N23700="","",'Master Barang'!B94)</f>
        <v>0</v>
      </c>
      <c r="P23700">
        <f>IF(OR(M23700="",N23700=""),"",SUMIFS('Barang Keluar'!$E:$E,'Barang Keluar'!$A:$A,M23700,'Barang Keluar'!$C:$C,N23700))</f>
        <v>0</v>
      </c>
    </row>
    <row r="23701" spans="13:16">
      <c r="M23701" s="49">
        <f>IF($A$4+236&gt;$B$4,"",$A$4+236)</f>
        <v>46259</v>
      </c>
      <c r="N23701">
        <f>IF(M23701="","",'Master Barang'!A95)</f>
        <v>0</v>
      </c>
      <c r="O23701">
        <f>IF(N23701="","",'Master Barang'!B95)</f>
        <v>0</v>
      </c>
      <c r="P23701">
        <f>IF(OR(M23701="",N23701=""),"",SUMIFS('Barang Keluar'!$E:$E,'Barang Keluar'!$A:$A,M23701,'Barang Keluar'!$C:$C,N23701))</f>
        <v>0</v>
      </c>
    </row>
    <row r="23702" spans="13:16">
      <c r="M23702" s="49">
        <f>IF($A$4+236&gt;$B$4,"",$A$4+236)</f>
        <v>46259</v>
      </c>
      <c r="N23702">
        <f>IF(M23702="","",'Master Barang'!A96)</f>
        <v>0</v>
      </c>
      <c r="O23702">
        <f>IF(N23702="","",'Master Barang'!B96)</f>
        <v>0</v>
      </c>
      <c r="P23702">
        <f>IF(OR(M23702="",N23702=""),"",SUMIFS('Barang Keluar'!$E:$E,'Barang Keluar'!$A:$A,M23702,'Barang Keluar'!$C:$C,N23702))</f>
        <v>0</v>
      </c>
    </row>
    <row r="23703" spans="13:16">
      <c r="M23703" s="49">
        <f>IF($A$4+236&gt;$B$4,"",$A$4+236)</f>
        <v>46259</v>
      </c>
      <c r="N23703">
        <f>IF(M23703="","",'Master Barang'!A97)</f>
        <v>0</v>
      </c>
      <c r="O23703">
        <f>IF(N23703="","",'Master Barang'!B97)</f>
        <v>0</v>
      </c>
      <c r="P23703">
        <f>IF(OR(M23703="",N23703=""),"",SUMIFS('Barang Keluar'!$E:$E,'Barang Keluar'!$A:$A,M23703,'Barang Keluar'!$C:$C,N23703))</f>
        <v>0</v>
      </c>
    </row>
    <row r="23704" spans="13:16">
      <c r="M23704" s="49">
        <f>IF($A$4+236&gt;$B$4,"",$A$4+236)</f>
        <v>46259</v>
      </c>
      <c r="N23704">
        <f>IF(M23704="","",'Master Barang'!A98)</f>
        <v>0</v>
      </c>
      <c r="O23704">
        <f>IF(N23704="","",'Master Barang'!B98)</f>
        <v>0</v>
      </c>
      <c r="P23704">
        <f>IF(OR(M23704="",N23704=""),"",SUMIFS('Barang Keluar'!$E:$E,'Barang Keluar'!$A:$A,M23704,'Barang Keluar'!$C:$C,N23704))</f>
        <v>0</v>
      </c>
    </row>
    <row r="23705" spans="13:16">
      <c r="M23705" s="49">
        <f>IF($A$4+236&gt;$B$4,"",$A$4+236)</f>
        <v>46259</v>
      </c>
      <c r="N23705">
        <f>IF(M23705="","",'Master Barang'!A99)</f>
        <v>0</v>
      </c>
      <c r="O23705">
        <f>IF(N23705="","",'Master Barang'!B99)</f>
        <v>0</v>
      </c>
      <c r="P23705">
        <f>IF(OR(M23705="",N23705=""),"",SUMIFS('Barang Keluar'!$E:$E,'Barang Keluar'!$A:$A,M23705,'Barang Keluar'!$C:$C,N23705))</f>
        <v>0</v>
      </c>
    </row>
    <row r="23706" spans="13:16">
      <c r="M23706" s="49">
        <f>IF($A$4+236&gt;$B$4,"",$A$4+236)</f>
        <v>46259</v>
      </c>
      <c r="N23706">
        <f>IF(M23706="","",'Master Barang'!A100)</f>
        <v>0</v>
      </c>
      <c r="O23706">
        <f>IF(N23706="","",'Master Barang'!B100)</f>
        <v>0</v>
      </c>
      <c r="P23706">
        <f>IF(OR(M23706="",N23706=""),"",SUMIFS('Barang Keluar'!$E:$E,'Barang Keluar'!$A:$A,M23706,'Barang Keluar'!$C:$C,N23706))</f>
        <v>0</v>
      </c>
    </row>
    <row r="23707" spans="13:16">
      <c r="M23707" s="49">
        <f>IF($A$4+236&gt;$B$4,"",$A$4+236)</f>
        <v>46259</v>
      </c>
      <c r="N23707">
        <f>IF(M23707="","",'Master Barang'!A101)</f>
        <v>0</v>
      </c>
      <c r="O23707">
        <f>IF(N23707="","",'Master Barang'!B101)</f>
        <v>0</v>
      </c>
      <c r="P23707">
        <f>IF(OR(M23707="",N23707=""),"",SUMIFS('Barang Keluar'!$E:$E,'Barang Keluar'!$A:$A,M23707,'Barang Keluar'!$C:$C,N23707))</f>
        <v>0</v>
      </c>
    </row>
    <row r="23708" spans="13:16">
      <c r="M23708" s="49">
        <f>IF($A$4+237&gt;$B$4,"",$A$4+237)</f>
        <v>46260</v>
      </c>
      <c r="N23708" t="str">
        <f>IF(M23708="","",'Master Barang'!A2)</f>
        <v>PRL-001</v>
      </c>
      <c r="O23708" t="str">
        <f>IF(N23708="","",'Master Barang'!B2)</f>
        <v>natura desinfectant food grade 5l</v>
      </c>
      <c r="P23708">
        <f>IF(OR(M23708="",N23708=""),"",SUMIFS('Barang Keluar'!$E:$E,'Barang Keluar'!$A:$A,M23708,'Barang Keluar'!$C:$C,N23708))</f>
        <v>0</v>
      </c>
    </row>
    <row r="23709" spans="13:16">
      <c r="M23709" s="49">
        <f>IF($A$4+237&gt;$B$4,"",$A$4+237)</f>
        <v>46260</v>
      </c>
      <c r="N23709" t="str">
        <f>IF(M23709="","",'Master Barang'!A3)</f>
        <v>PRL-002</v>
      </c>
      <c r="O23709" t="str">
        <f>IF(N23709="","",'Master Barang'!B3)</f>
        <v>sunlight cairan pencuci piring 5l</v>
      </c>
      <c r="P23709">
        <f>IF(OR(M23709="",N23709=""),"",SUMIFS('Barang Keluar'!$E:$E,'Barang Keluar'!$A:$A,M23709,'Barang Keluar'!$C:$C,N23709))</f>
        <v>0</v>
      </c>
    </row>
    <row r="23710" spans="13:16">
      <c r="M23710" s="49">
        <f>IF($A$4+237&gt;$B$4,"",$A$4+237)</f>
        <v>46260</v>
      </c>
      <c r="N23710" t="str">
        <f>IF(M23710="","",'Master Barang'!A4)</f>
        <v>PRL-003</v>
      </c>
      <c r="O23710" t="str">
        <f>IF(N23710="","",'Master Barang'!B4)</f>
        <v>oixs cleaner 1l</v>
      </c>
      <c r="P23710">
        <f>IF(OR(M23710="",N23710=""),"",SUMIFS('Barang Keluar'!$E:$E,'Barang Keluar'!$A:$A,M23710,'Barang Keluar'!$C:$C,N23710))</f>
        <v>0</v>
      </c>
    </row>
    <row r="23711" spans="13:16">
      <c r="M23711" s="49">
        <f>IF($A$4+237&gt;$B$4,"",$A$4+237)</f>
        <v>46260</v>
      </c>
      <c r="N23711" t="str">
        <f>IF(M23711="","",'Master Barang'!A5)</f>
        <v>PRL-004</v>
      </c>
      <c r="O23711" t="str">
        <f>IF(N23711="","",'Master Barang'!B5)</f>
        <v>be clean tissue serbaguna</v>
      </c>
      <c r="P23711">
        <f>IF(OR(M23711="",N23711=""),"",SUMIFS('Barang Keluar'!$E:$E,'Barang Keluar'!$A:$A,M23711,'Barang Keluar'!$C:$C,N23711))</f>
        <v>0</v>
      </c>
    </row>
    <row r="23712" spans="13:16">
      <c r="M23712" s="49">
        <f>IF($A$4+237&gt;$B$4,"",$A$4+237)</f>
        <v>46260</v>
      </c>
      <c r="N23712" t="str">
        <f>IF(M23712="","",'Master Barang'!A6)</f>
        <v>PRL-005</v>
      </c>
      <c r="O23712" t="str">
        <f>IF(N23712="","",'Master Barang'!B6)</f>
        <v>spons cuci hijau</v>
      </c>
      <c r="P23712">
        <f>IF(OR(M23712="",N23712=""),"",SUMIFS('Barang Keluar'!$E:$E,'Barang Keluar'!$A:$A,M23712,'Barang Keluar'!$C:$C,N23712))</f>
        <v>0</v>
      </c>
    </row>
    <row r="23713" spans="13:16">
      <c r="M23713" s="49">
        <f>IF($A$4+237&gt;$B$4,"",$A$4+237)</f>
        <v>46260</v>
      </c>
      <c r="N23713" t="str">
        <f>IF(M23713="","",'Master Barang'!A7)</f>
        <v>PRL-006</v>
      </c>
      <c r="O23713" t="str">
        <f>IF(N23713="","",'Master Barang'!B7)</f>
        <v>sabut cuci stainless</v>
      </c>
      <c r="P23713">
        <f>IF(OR(M23713="",N23713=""),"",SUMIFS('Barang Keluar'!$E:$E,'Barang Keluar'!$A:$A,M23713,'Barang Keluar'!$C:$C,N23713))</f>
        <v>0</v>
      </c>
    </row>
    <row r="23714" spans="13:16">
      <c r="M23714" s="49">
        <f>IF($A$4+237&gt;$B$4,"",$A$4+237)</f>
        <v>46260</v>
      </c>
      <c r="N23714" t="str">
        <f>IF(M23714="","",'Master Barang'!A8)</f>
        <v>PRL-007</v>
      </c>
      <c r="O23714" t="str">
        <f>IF(N23714="","",'Master Barang'!B8)</f>
        <v>plastik kresek besar merah 50pc</v>
      </c>
      <c r="P23714">
        <f>IF(OR(M23714="",N23714=""),"",SUMIFS('Barang Keluar'!$E:$E,'Barang Keluar'!$A:$A,M23714,'Barang Keluar'!$C:$C,N23714))</f>
        <v>0</v>
      </c>
    </row>
    <row r="23715" spans="13:16">
      <c r="M23715" s="49">
        <f>IF($A$4+237&gt;$B$4,"",$A$4+237)</f>
        <v>46260</v>
      </c>
      <c r="N23715" t="str">
        <f>IF(M23715="","",'Master Barang'!A9)</f>
        <v>PRL-008</v>
      </c>
      <c r="O23715" t="str">
        <f>IF(N23715="","",'Master Barang'!B9)</f>
        <v>lap besar</v>
      </c>
      <c r="P23715">
        <f>IF(OR(M23715="",N23715=""),"",SUMIFS('Barang Keluar'!$E:$E,'Barang Keluar'!$A:$A,M23715,'Barang Keluar'!$C:$C,N23715))</f>
        <v>0</v>
      </c>
    </row>
    <row r="23716" spans="13:16">
      <c r="M23716" s="49">
        <f>IF($A$4+237&gt;$B$4,"",$A$4+237)</f>
        <v>46260</v>
      </c>
      <c r="N23716" t="str">
        <f>IF(M23716="","",'Master Barang'!A10)</f>
        <v>PRL-009</v>
      </c>
      <c r="O23716" t="str">
        <f>IF(N23716="","",'Master Barang'!B10)</f>
        <v>lap microfiber</v>
      </c>
      <c r="P23716">
        <f>IF(OR(M23716="",N23716=""),"",SUMIFS('Barang Keluar'!$E:$E,'Barang Keluar'!$A:$A,M23716,'Barang Keluar'!$C:$C,N23716))</f>
        <v>0</v>
      </c>
    </row>
    <row r="23717" spans="13:16">
      <c r="M23717" s="49">
        <f>IF($A$4+237&gt;$B$4,"",$A$4+237)</f>
        <v>46260</v>
      </c>
      <c r="N23717" t="str">
        <f>IF(M23717="","",'Master Barang'!A11)</f>
        <v>PRL-010</v>
      </c>
      <c r="O23717" t="str">
        <f>IF(N23717="","",'Master Barang'!B11)</f>
        <v>lap kecil</v>
      </c>
      <c r="P23717">
        <f>IF(OR(M23717="",N23717=""),"",SUMIFS('Barang Keluar'!$E:$E,'Barang Keluar'!$A:$A,M23717,'Barang Keluar'!$C:$C,N23717))</f>
        <v>0</v>
      </c>
    </row>
    <row r="23718" spans="13:16">
      <c r="M23718" s="49">
        <f>IF($A$4+237&gt;$B$4,"",$A$4+237)</f>
        <v>46260</v>
      </c>
      <c r="N23718" t="str">
        <f>IF(M23718="","",'Master Barang'!A12)</f>
        <v>PRL-011</v>
      </c>
      <c r="O23718" t="str">
        <f>IF(N23718="","",'Master Barang'!B12)</f>
        <v>kanebo kecil</v>
      </c>
      <c r="P23718">
        <f>IF(OR(M23718="",N23718=""),"",SUMIFS('Barang Keluar'!$E:$E,'Barang Keluar'!$A:$A,M23718,'Barang Keluar'!$C:$C,N23718))</f>
        <v>0</v>
      </c>
    </row>
    <row r="23719" spans="13:16">
      <c r="M23719" s="49">
        <f>IF($A$4+237&gt;$B$4,"",$A$4+237)</f>
        <v>46260</v>
      </c>
      <c r="N23719" t="str">
        <f>IF(M23719="","",'Master Barang'!A13)</f>
        <v>PRL-012</v>
      </c>
      <c r="O23719" t="str">
        <f>IF(N23719="","",'Master Barang'!B13)</f>
        <v>plastik 1/4kg joyoboyo 100 lembar</v>
      </c>
      <c r="P23719">
        <f>IF(OR(M23719="",N23719=""),"",SUMIFS('Barang Keluar'!$E:$E,'Barang Keluar'!$A:$A,M23719,'Barang Keluar'!$C:$C,N23719))</f>
        <v>0</v>
      </c>
    </row>
    <row r="23720" spans="13:16">
      <c r="M23720" s="49">
        <f>IF($A$4+237&gt;$B$4,"",$A$4+237)</f>
        <v>46260</v>
      </c>
      <c r="N23720" t="str">
        <f>IF(M23720="","",'Master Barang'!A14)</f>
        <v>PRL-013</v>
      </c>
      <c r="O23720" t="str">
        <f>IF(N23720="","",'Master Barang'!B14)</f>
        <v>sarung tangan plastik kaka 100 pcs</v>
      </c>
      <c r="P23720">
        <f>IF(OR(M23720="",N23720=""),"",SUMIFS('Barang Keluar'!$E:$E,'Barang Keluar'!$A:$A,M23720,'Barang Keluar'!$C:$C,N23720))</f>
        <v>0</v>
      </c>
    </row>
    <row r="23721" spans="13:16">
      <c r="M23721" s="49">
        <f>IF($A$4+237&gt;$B$4,"",$A$4+237)</f>
        <v>46260</v>
      </c>
      <c r="N23721" t="str">
        <f>IF(M23721="","",'Master Barang'!A15)</f>
        <v>PRL-014</v>
      </c>
      <c r="O23721" t="str">
        <f>IF(N23721="","",'Master Barang'!B15)</f>
        <v>optima trashbag 80x100</v>
      </c>
      <c r="P23721">
        <f>IF(OR(M23721="",N23721=""),"",SUMIFS('Barang Keluar'!$E:$E,'Barang Keluar'!$A:$A,M23721,'Barang Keluar'!$C:$C,N23721))</f>
        <v>0</v>
      </c>
    </row>
    <row r="23722" spans="13:16">
      <c r="M23722" s="49">
        <f>IF($A$4+237&gt;$B$4,"",$A$4+237)</f>
        <v>46260</v>
      </c>
      <c r="N23722" t="str">
        <f>IF(M23722="","",'Master Barang'!A16)</f>
        <v>PRL-015</v>
      </c>
      <c r="O23722" t="str">
        <f>IF(N23722="","",'Master Barang'!B16)</f>
        <v>optima trashbag 60x100</v>
      </c>
      <c r="P23722">
        <f>IF(OR(M23722="",N23722=""),"",SUMIFS('Barang Keluar'!$E:$E,'Barang Keluar'!$A:$A,M23722,'Barang Keluar'!$C:$C,N23722))</f>
        <v>0</v>
      </c>
    </row>
    <row r="23723" spans="13:16">
      <c r="M23723" s="49">
        <f>IF($A$4+237&gt;$B$4,"",$A$4+237)</f>
        <v>46260</v>
      </c>
      <c r="N23723" t="str">
        <f>IF(M23723="","",'Master Barang'!A17)</f>
        <v>PRL-016</v>
      </c>
      <c r="O23723" t="str">
        <f>IF(N23723="","",'Master Barang'!B17)</f>
        <v>rajawali trashbag 30x40</v>
      </c>
      <c r="P23723">
        <f>IF(OR(M23723="",N23723=""),"",SUMIFS('Barang Keluar'!$E:$E,'Barang Keluar'!$A:$A,M23723,'Barang Keluar'!$C:$C,N23723))</f>
        <v>0</v>
      </c>
    </row>
    <row r="23724" spans="13:16">
      <c r="M23724" s="49">
        <f>IF($A$4+237&gt;$B$4,"",$A$4+237)</f>
        <v>46260</v>
      </c>
      <c r="N23724" t="str">
        <f>IF(M23724="","",'Master Barang'!A18)</f>
        <v>PRL-017</v>
      </c>
      <c r="O23724" t="str">
        <f>IF(N23724="","",'Master Barang'!B18)</f>
        <v>onemed masker biru 3 play 50 pcs</v>
      </c>
      <c r="P23724">
        <f>IF(OR(M23724="",N23724=""),"",SUMIFS('Barang Keluar'!$E:$E,'Barang Keluar'!$A:$A,M23724,'Barang Keluar'!$C:$C,N23724))</f>
        <v>0</v>
      </c>
    </row>
    <row r="23725" spans="13:16">
      <c r="M23725" s="49">
        <f>IF($A$4+237&gt;$B$4,"",$A$4+237)</f>
        <v>46260</v>
      </c>
      <c r="N23725" t="str">
        <f>IF(M23725="","",'Master Barang'!A19)</f>
        <v>PRL-018</v>
      </c>
      <c r="O23725" t="str">
        <f>IF(N23725="","",'Master Barang'!B19)</f>
        <v>onemed masker biru 3 play hijab 50 pcs</v>
      </c>
      <c r="P23725">
        <f>IF(OR(M23725="",N23725=""),"",SUMIFS('Barang Keluar'!$E:$E,'Barang Keluar'!$A:$A,M23725,'Barang Keluar'!$C:$C,N23725))</f>
        <v>0</v>
      </c>
    </row>
    <row r="23726" spans="13:16">
      <c r="M23726" s="49">
        <f>IF($A$4+237&gt;$B$4,"",$A$4+237)</f>
        <v>46260</v>
      </c>
      <c r="N23726" t="str">
        <f>IF(M23726="","",'Master Barang'!A20)</f>
        <v>PRL-019</v>
      </c>
      <c r="O23726" t="str">
        <f>IF(N23726="","",'Master Barang'!B20)</f>
        <v>neo health masker biru 3 play 50 pcs</v>
      </c>
      <c r="P23726">
        <f>IF(OR(M23726="",N23726=""),"",SUMIFS('Barang Keluar'!$E:$E,'Barang Keluar'!$A:$A,M23726,'Barang Keluar'!$C:$C,N23726))</f>
        <v>0</v>
      </c>
    </row>
    <row r="23727" spans="13:16">
      <c r="M23727" s="49">
        <f>IF($A$4+237&gt;$B$4,"",$A$4+237)</f>
        <v>46260</v>
      </c>
      <c r="N23727" t="str">
        <f>IF(M23727="","",'Master Barang'!A21)</f>
        <v>PRL-020</v>
      </c>
      <c r="O23727" t="str">
        <f>IF(N23727="","",'Master Barang'!B21)</f>
        <v>baymed masker hijau 3 play hijau 50 pcs</v>
      </c>
      <c r="P23727">
        <f>IF(OR(M23727="",N23727=""),"",SUMIFS('Barang Keluar'!$E:$E,'Barang Keluar'!$A:$A,M23727,'Barang Keluar'!$C:$C,N23727))</f>
        <v>0</v>
      </c>
    </row>
    <row r="23728" spans="13:16">
      <c r="M23728" s="49">
        <f>IF($A$4+237&gt;$B$4,"",$A$4+237)</f>
        <v>46260</v>
      </c>
      <c r="N23728" t="str">
        <f>IF(M23728="","",'Master Barang'!A22)</f>
        <v>PRL-021</v>
      </c>
      <c r="O23728" t="str">
        <f>IF(N23728="","",'Master Barang'!B22)</f>
        <v>altamed nurse cap penutup kepala 100 pcs</v>
      </c>
      <c r="P23728">
        <f>IF(OR(M23728="",N23728=""),"",SUMIFS('Barang Keluar'!$E:$E,'Barang Keluar'!$A:$A,M23728,'Barang Keluar'!$C:$C,N23728))</f>
        <v>0</v>
      </c>
    </row>
    <row r="23729" spans="13:16">
      <c r="M23729" s="49">
        <f>IF($A$4+237&gt;$B$4,"",$A$4+237)</f>
        <v>46260</v>
      </c>
      <c r="N23729" t="str">
        <f>IF(M23729="","",'Master Barang'!A23)</f>
        <v>PRL-022</v>
      </c>
      <c r="O23729" t="str">
        <f>IF(N23729="","",'Master Barang'!B23)</f>
        <v>sabun cuci tangan</v>
      </c>
      <c r="P23729">
        <f>IF(OR(M23729="",N23729=""),"",SUMIFS('Barang Keluar'!$E:$E,'Barang Keluar'!$A:$A,M23729,'Barang Keluar'!$C:$C,N23729))</f>
        <v>0</v>
      </c>
    </row>
    <row r="23730" spans="13:16">
      <c r="M23730" s="49">
        <f>IF($A$4+237&gt;$B$4,"",$A$4+237)</f>
        <v>46260</v>
      </c>
      <c r="N23730" t="str">
        <f>IF(M23730="","",'Master Barang'!A24)</f>
        <v>PRL-023</v>
      </c>
      <c r="O23730" t="str">
        <f>IF(N23730="","",'Master Barang'!B24)</f>
        <v>gayung kecil</v>
      </c>
      <c r="P23730">
        <f>IF(OR(M23730="",N23730=""),"",SUMIFS('Barang Keluar'!$E:$E,'Barang Keluar'!$A:$A,M23730,'Barang Keluar'!$C:$C,N23730))</f>
        <v>0</v>
      </c>
    </row>
    <row r="23731" spans="13:16">
      <c r="M23731" s="49">
        <f>IF($A$4+237&gt;$B$4,"",$A$4+237)</f>
        <v>46260</v>
      </c>
      <c r="N23731" t="str">
        <f>IF(M23731="","",'Master Barang'!A25)</f>
        <v>PRL-024</v>
      </c>
      <c r="O23731" t="str">
        <f>IF(N23731="","",'Master Barang'!B25)</f>
        <v>cikrak kecil</v>
      </c>
      <c r="P23731">
        <f>IF(OR(M23731="",N23731=""),"",SUMIFS('Barang Keluar'!$E:$E,'Barang Keluar'!$A:$A,M23731,'Barang Keluar'!$C:$C,N23731))</f>
        <v>0</v>
      </c>
    </row>
    <row r="23732" spans="13:16">
      <c r="M23732" s="49">
        <f>IF($A$4+237&gt;$B$4,"",$A$4+237)</f>
        <v>46260</v>
      </c>
      <c r="N23732" t="str">
        <f>IF(M23732="","",'Master Barang'!A26)</f>
        <v>PRL-025</v>
      </c>
      <c r="O23732" t="str">
        <f>IF(N23732="","",'Master Barang'!B26)</f>
        <v>petromax plastik kecil 12x24 100 lembar</v>
      </c>
      <c r="P23732">
        <f>IF(OR(M23732="",N23732=""),"",SUMIFS('Barang Keluar'!$E:$E,'Barang Keluar'!$A:$A,M23732,'Barang Keluar'!$C:$C,N23732))</f>
        <v>0</v>
      </c>
    </row>
    <row r="23733" spans="13:16">
      <c r="M23733" s="49">
        <f>IF($A$4+237&gt;$B$4,"",$A$4+237)</f>
        <v>46260</v>
      </c>
      <c r="N23733" t="str">
        <f>IF(M23733="","",'Master Barang'!A27)</f>
        <v>PRL-026</v>
      </c>
      <c r="O23733" t="str">
        <f>IF(N23733="","",'Master Barang'!B27)</f>
        <v>lancar kresek kecil bening </v>
      </c>
      <c r="P23733">
        <f>IF(OR(M23733="",N23733=""),"",SUMIFS('Barang Keluar'!$E:$E,'Barang Keluar'!$A:$A,M23733,'Barang Keluar'!$C:$C,N23733))</f>
        <v>0</v>
      </c>
    </row>
    <row r="23734" spans="13:16">
      <c r="M23734" s="49">
        <f>IF($A$4+237&gt;$B$4,"",$A$4+237)</f>
        <v>46260</v>
      </c>
      <c r="N23734" t="str">
        <f>IF(M23734="","",'Master Barang'!A28)</f>
        <v>PRL-027</v>
      </c>
      <c r="O23734" t="str">
        <f>IF(N23734="","",'Master Barang'!B28)</f>
        <v>kresek klin warna warni kecil</v>
      </c>
      <c r="P23734">
        <f>IF(OR(M23734="",N23734=""),"",SUMIFS('Barang Keluar'!$E:$E,'Barang Keluar'!$A:$A,M23734,'Barang Keluar'!$C:$C,N23734))</f>
        <v>0</v>
      </c>
    </row>
    <row r="23735" spans="13:16">
      <c r="M23735" s="49">
        <f>IF($A$4+237&gt;$B$4,"",$A$4+237)</f>
        <v>46260</v>
      </c>
      <c r="N23735" t="str">
        <f>IF(M23735="","",'Master Barang'!A29)</f>
        <v>PRL-028</v>
      </c>
      <c r="O23735" t="str">
        <f>IF(N23735="","",'Master Barang'!B29)</f>
        <v>ctik plastik 7x10 100 pcs</v>
      </c>
      <c r="P23735">
        <f>IF(OR(M23735="",N23735=""),"",SUMIFS('Barang Keluar'!$E:$E,'Barang Keluar'!$A:$A,M23735,'Barang Keluar'!$C:$C,N23735))</f>
        <v>0</v>
      </c>
    </row>
    <row r="23736" spans="13:16">
      <c r="M23736" s="49">
        <f>IF($A$4+237&gt;$B$4,"",$A$4+237)</f>
        <v>46260</v>
      </c>
      <c r="N23736" t="str">
        <f>IF(M23736="","",'Master Barang'!A30)</f>
        <v>PRL-029</v>
      </c>
      <c r="O23736" t="str">
        <f>IF(N23736="","",'Master Barang'!B30)</f>
        <v>ctik plastik 6x10 100 pcs</v>
      </c>
      <c r="P23736">
        <f>IF(OR(M23736="",N23736=""),"",SUMIFS('Barang Keluar'!$E:$E,'Barang Keluar'!$A:$A,M23736,'Barang Keluar'!$C:$C,N23736))</f>
        <v>0</v>
      </c>
    </row>
    <row r="23737" spans="13:16">
      <c r="M23737" s="49">
        <f>IF($A$4+237&gt;$B$4,"",$A$4+237)</f>
        <v>46260</v>
      </c>
      <c r="N23737" t="str">
        <f>IF(M23737="","",'Master Barang'!A31)</f>
        <v>PRL-030</v>
      </c>
      <c r="O23737" t="str">
        <f>IF(N23737="","",'Master Barang'!B31)</f>
        <v>klip plastik 25x16 100 pcs</v>
      </c>
      <c r="P23737">
        <f>IF(OR(M23737="",N23737=""),"",SUMIFS('Barang Keluar'!$E:$E,'Barang Keluar'!$A:$A,M23737,'Barang Keluar'!$C:$C,N23737))</f>
        <v>0</v>
      </c>
    </row>
    <row r="23738" spans="13:16">
      <c r="M23738" s="49">
        <f>IF($A$4+237&gt;$B$4,"",$A$4+237)</f>
        <v>46260</v>
      </c>
      <c r="N23738" t="str">
        <f>IF(M23738="","",'Master Barang'!A32)</f>
        <v>PRL-031</v>
      </c>
      <c r="O23738" t="str">
        <f>IF(N23738="","",'Master Barang'!B32)</f>
        <v>tempat saus 20 ml</v>
      </c>
      <c r="P23738">
        <f>IF(OR(M23738="",N23738=""),"",SUMIFS('Barang Keluar'!$E:$E,'Barang Keluar'!$A:$A,M23738,'Barang Keluar'!$C:$C,N23738))</f>
        <v>0</v>
      </c>
    </row>
    <row r="23739" spans="13:16">
      <c r="M23739" s="49">
        <f>IF($A$4+237&gt;$B$4,"",$A$4+237)</f>
        <v>46260</v>
      </c>
      <c r="N23739" t="str">
        <f>IF(M23739="","",'Master Barang'!A33)</f>
        <v>PRL-032</v>
      </c>
      <c r="O23739" t="str">
        <f>IF(N23739="","",'Master Barang'!B33)</f>
        <v>plastik packaging ag box uk sedang</v>
      </c>
      <c r="P23739">
        <f>IF(OR(M23739="",N23739=""),"",SUMIFS('Barang Keluar'!$E:$E,'Barang Keluar'!$A:$A,M23739,'Barang Keluar'!$C:$C,N23739))</f>
        <v>0</v>
      </c>
    </row>
    <row r="23740" spans="13:16">
      <c r="M23740" s="49">
        <f>IF($A$4+237&gt;$B$4,"",$A$4+237)</f>
        <v>46260</v>
      </c>
      <c r="N23740" t="str">
        <f>IF(M23740="","",'Master Barang'!A34)</f>
        <v>PRL-033</v>
      </c>
      <c r="O23740">
        <f>IF(N23740="","",'Master Barang'!B34)</f>
        <v>0</v>
      </c>
      <c r="P23740">
        <f>IF(OR(M23740="",N23740=""),"",SUMIFS('Barang Keluar'!$E:$E,'Barang Keluar'!$A:$A,M23740,'Barang Keluar'!$C:$C,N23740))</f>
        <v>0</v>
      </c>
    </row>
    <row r="23741" spans="13:16">
      <c r="M23741" s="49">
        <f>IF($A$4+237&gt;$B$4,"",$A$4+237)</f>
        <v>46260</v>
      </c>
      <c r="N23741">
        <f>IF(M23741="","",'Master Barang'!A35)</f>
        <v>0</v>
      </c>
      <c r="O23741">
        <f>IF(N23741="","",'Master Barang'!B35)</f>
        <v>0</v>
      </c>
      <c r="P23741">
        <f>IF(OR(M23741="",N23741=""),"",SUMIFS('Barang Keluar'!$E:$E,'Barang Keluar'!$A:$A,M23741,'Barang Keluar'!$C:$C,N23741))</f>
        <v>0</v>
      </c>
    </row>
    <row r="23742" spans="13:16">
      <c r="M23742" s="49">
        <f>IF($A$4+237&gt;$B$4,"",$A$4+237)</f>
        <v>46260</v>
      </c>
      <c r="N23742">
        <f>IF(M23742="","",'Master Barang'!A36)</f>
        <v>0</v>
      </c>
      <c r="O23742">
        <f>IF(N23742="","",'Master Barang'!B36)</f>
        <v>0</v>
      </c>
      <c r="P23742">
        <f>IF(OR(M23742="",N23742=""),"",SUMIFS('Barang Keluar'!$E:$E,'Barang Keluar'!$A:$A,M23742,'Barang Keluar'!$C:$C,N23742))</f>
        <v>0</v>
      </c>
    </row>
    <row r="23743" spans="13:16">
      <c r="M23743" s="49">
        <f>IF($A$4+237&gt;$B$4,"",$A$4+237)</f>
        <v>46260</v>
      </c>
      <c r="N23743">
        <f>IF(M23743="","",'Master Barang'!A37)</f>
        <v>0</v>
      </c>
      <c r="O23743">
        <f>IF(N23743="","",'Master Barang'!B37)</f>
        <v>0</v>
      </c>
      <c r="P23743">
        <f>IF(OR(M23743="",N23743=""),"",SUMIFS('Barang Keluar'!$E:$E,'Barang Keluar'!$A:$A,M23743,'Barang Keluar'!$C:$C,N23743))</f>
        <v>0</v>
      </c>
    </row>
    <row r="23744" spans="13:16">
      <c r="M23744" s="49">
        <f>IF($A$4+237&gt;$B$4,"",$A$4+237)</f>
        <v>46260</v>
      </c>
      <c r="N23744">
        <f>IF(M23744="","",'Master Barang'!A38)</f>
        <v>0</v>
      </c>
      <c r="O23744">
        <f>IF(N23744="","",'Master Barang'!B38)</f>
        <v>0</v>
      </c>
      <c r="P23744">
        <f>IF(OR(M23744="",N23744=""),"",SUMIFS('Barang Keluar'!$E:$E,'Barang Keluar'!$A:$A,M23744,'Barang Keluar'!$C:$C,N23744))</f>
        <v>0</v>
      </c>
    </row>
    <row r="23745" spans="13:16">
      <c r="M23745" s="49">
        <f>IF($A$4+237&gt;$B$4,"",$A$4+237)</f>
        <v>46260</v>
      </c>
      <c r="N23745">
        <f>IF(M23745="","",'Master Barang'!A39)</f>
        <v>0</v>
      </c>
      <c r="O23745">
        <f>IF(N23745="","",'Master Barang'!B39)</f>
        <v>0</v>
      </c>
      <c r="P23745">
        <f>IF(OR(M23745="",N23745=""),"",SUMIFS('Barang Keluar'!$E:$E,'Barang Keluar'!$A:$A,M23745,'Barang Keluar'!$C:$C,N23745))</f>
        <v>0</v>
      </c>
    </row>
    <row r="23746" spans="13:16">
      <c r="M23746" s="49">
        <f>IF($A$4+237&gt;$B$4,"",$A$4+237)</f>
        <v>46260</v>
      </c>
      <c r="N23746">
        <f>IF(M23746="","",'Master Barang'!A40)</f>
        <v>0</v>
      </c>
      <c r="O23746">
        <f>IF(N23746="","",'Master Barang'!B40)</f>
        <v>0</v>
      </c>
      <c r="P23746">
        <f>IF(OR(M23746="",N23746=""),"",SUMIFS('Barang Keluar'!$E:$E,'Barang Keluar'!$A:$A,M23746,'Barang Keluar'!$C:$C,N23746))</f>
        <v>0</v>
      </c>
    </row>
    <row r="23747" spans="13:16">
      <c r="M23747" s="49">
        <f>IF($A$4+237&gt;$B$4,"",$A$4+237)</f>
        <v>46260</v>
      </c>
      <c r="N23747">
        <f>IF(M23747="","",'Master Barang'!A41)</f>
        <v>0</v>
      </c>
      <c r="O23747">
        <f>IF(N23747="","",'Master Barang'!B41)</f>
        <v>0</v>
      </c>
      <c r="P23747">
        <f>IF(OR(M23747="",N23747=""),"",SUMIFS('Barang Keluar'!$E:$E,'Barang Keluar'!$A:$A,M23747,'Barang Keluar'!$C:$C,N23747))</f>
        <v>0</v>
      </c>
    </row>
    <row r="23748" spans="13:16">
      <c r="M23748" s="49">
        <f>IF($A$4+237&gt;$B$4,"",$A$4+237)</f>
        <v>46260</v>
      </c>
      <c r="N23748">
        <f>IF(M23748="","",'Master Barang'!A42)</f>
        <v>0</v>
      </c>
      <c r="O23748">
        <f>IF(N23748="","",'Master Barang'!B42)</f>
        <v>0</v>
      </c>
      <c r="P23748">
        <f>IF(OR(M23748="",N23748=""),"",SUMIFS('Barang Keluar'!$E:$E,'Barang Keluar'!$A:$A,M23748,'Barang Keluar'!$C:$C,N23748))</f>
        <v>0</v>
      </c>
    </row>
    <row r="23749" spans="13:16">
      <c r="M23749" s="49">
        <f>IF($A$4+237&gt;$B$4,"",$A$4+237)</f>
        <v>46260</v>
      </c>
      <c r="N23749">
        <f>IF(M23749="","",'Master Barang'!A43)</f>
        <v>0</v>
      </c>
      <c r="O23749">
        <f>IF(N23749="","",'Master Barang'!B43)</f>
        <v>0</v>
      </c>
      <c r="P23749">
        <f>IF(OR(M23749="",N23749=""),"",SUMIFS('Barang Keluar'!$E:$E,'Barang Keluar'!$A:$A,M23749,'Barang Keluar'!$C:$C,N23749))</f>
        <v>0</v>
      </c>
    </row>
    <row r="23750" spans="13:16">
      <c r="M23750" s="49">
        <f>IF($A$4+237&gt;$B$4,"",$A$4+237)</f>
        <v>46260</v>
      </c>
      <c r="N23750">
        <f>IF(M23750="","",'Master Barang'!A44)</f>
        <v>0</v>
      </c>
      <c r="O23750">
        <f>IF(N23750="","",'Master Barang'!B44)</f>
        <v>0</v>
      </c>
      <c r="P23750">
        <f>IF(OR(M23750="",N23750=""),"",SUMIFS('Barang Keluar'!$E:$E,'Barang Keluar'!$A:$A,M23750,'Barang Keluar'!$C:$C,N23750))</f>
        <v>0</v>
      </c>
    </row>
    <row r="23751" spans="13:16">
      <c r="M23751" s="49">
        <f>IF($A$4+237&gt;$B$4,"",$A$4+237)</f>
        <v>46260</v>
      </c>
      <c r="N23751">
        <f>IF(M23751="","",'Master Barang'!A45)</f>
        <v>0</v>
      </c>
      <c r="O23751">
        <f>IF(N23751="","",'Master Barang'!B45)</f>
        <v>0</v>
      </c>
      <c r="P23751">
        <f>IF(OR(M23751="",N23751=""),"",SUMIFS('Barang Keluar'!$E:$E,'Barang Keluar'!$A:$A,M23751,'Barang Keluar'!$C:$C,N23751))</f>
        <v>0</v>
      </c>
    </row>
    <row r="23752" spans="13:16">
      <c r="M23752" s="49">
        <f>IF($A$4+237&gt;$B$4,"",$A$4+237)</f>
        <v>46260</v>
      </c>
      <c r="N23752">
        <f>IF(M23752="","",'Master Barang'!A46)</f>
        <v>0</v>
      </c>
      <c r="O23752">
        <f>IF(N23752="","",'Master Barang'!B46)</f>
        <v>0</v>
      </c>
      <c r="P23752">
        <f>IF(OR(M23752="",N23752=""),"",SUMIFS('Barang Keluar'!$E:$E,'Barang Keluar'!$A:$A,M23752,'Barang Keluar'!$C:$C,N23752))</f>
        <v>0</v>
      </c>
    </row>
    <row r="23753" spans="13:16">
      <c r="M23753" s="49">
        <f>IF($A$4+237&gt;$B$4,"",$A$4+237)</f>
        <v>46260</v>
      </c>
      <c r="N23753">
        <f>IF(M23753="","",'Master Barang'!A47)</f>
        <v>0</v>
      </c>
      <c r="O23753">
        <f>IF(N23753="","",'Master Barang'!B47)</f>
        <v>0</v>
      </c>
      <c r="P23753">
        <f>IF(OR(M23753="",N23753=""),"",SUMIFS('Barang Keluar'!$E:$E,'Barang Keluar'!$A:$A,M23753,'Barang Keluar'!$C:$C,N23753))</f>
        <v>0</v>
      </c>
    </row>
    <row r="23754" spans="13:16">
      <c r="M23754" s="49">
        <f>IF($A$4+237&gt;$B$4,"",$A$4+237)</f>
        <v>46260</v>
      </c>
      <c r="N23754">
        <f>IF(M23754="","",'Master Barang'!A48)</f>
        <v>0</v>
      </c>
      <c r="O23754">
        <f>IF(N23754="","",'Master Barang'!B48)</f>
        <v>0</v>
      </c>
      <c r="P23754">
        <f>IF(OR(M23754="",N23754=""),"",SUMIFS('Barang Keluar'!$E:$E,'Barang Keluar'!$A:$A,M23754,'Barang Keluar'!$C:$C,N23754))</f>
        <v>0</v>
      </c>
    </row>
    <row r="23755" spans="13:16">
      <c r="M23755" s="49">
        <f>IF($A$4+237&gt;$B$4,"",$A$4+237)</f>
        <v>46260</v>
      </c>
      <c r="N23755">
        <f>IF(M23755="","",'Master Barang'!A49)</f>
        <v>0</v>
      </c>
      <c r="O23755">
        <f>IF(N23755="","",'Master Barang'!B49)</f>
        <v>0</v>
      </c>
      <c r="P23755">
        <f>IF(OR(M23755="",N23755=""),"",SUMIFS('Barang Keluar'!$E:$E,'Barang Keluar'!$A:$A,M23755,'Barang Keluar'!$C:$C,N23755))</f>
        <v>0</v>
      </c>
    </row>
    <row r="23756" spans="13:16">
      <c r="M23756" s="49">
        <f>IF($A$4+237&gt;$B$4,"",$A$4+237)</f>
        <v>46260</v>
      </c>
      <c r="N23756">
        <f>IF(M23756="","",'Master Barang'!A50)</f>
        <v>0</v>
      </c>
      <c r="O23756">
        <f>IF(N23756="","",'Master Barang'!B50)</f>
        <v>0</v>
      </c>
      <c r="P23756">
        <f>IF(OR(M23756="",N23756=""),"",SUMIFS('Barang Keluar'!$E:$E,'Barang Keluar'!$A:$A,M23756,'Barang Keluar'!$C:$C,N23756))</f>
        <v>0</v>
      </c>
    </row>
    <row r="23757" spans="13:16">
      <c r="M23757" s="49">
        <f>IF($A$4+237&gt;$B$4,"",$A$4+237)</f>
        <v>46260</v>
      </c>
      <c r="N23757">
        <f>IF(M23757="","",'Master Barang'!A51)</f>
        <v>0</v>
      </c>
      <c r="O23757">
        <f>IF(N23757="","",'Master Barang'!B51)</f>
        <v>0</v>
      </c>
      <c r="P23757">
        <f>IF(OR(M23757="",N23757=""),"",SUMIFS('Barang Keluar'!$E:$E,'Barang Keluar'!$A:$A,M23757,'Barang Keluar'!$C:$C,N23757))</f>
        <v>0</v>
      </c>
    </row>
    <row r="23758" spans="13:16">
      <c r="M23758" s="49">
        <f>IF($A$4+237&gt;$B$4,"",$A$4+237)</f>
        <v>46260</v>
      </c>
      <c r="N23758">
        <f>IF(M23758="","",'Master Barang'!A52)</f>
        <v>0</v>
      </c>
      <c r="O23758">
        <f>IF(N23758="","",'Master Barang'!B52)</f>
        <v>0</v>
      </c>
      <c r="P23758">
        <f>IF(OR(M23758="",N23758=""),"",SUMIFS('Barang Keluar'!$E:$E,'Barang Keluar'!$A:$A,M23758,'Barang Keluar'!$C:$C,N23758))</f>
        <v>0</v>
      </c>
    </row>
    <row r="23759" spans="13:16">
      <c r="M23759" s="49">
        <f>IF($A$4+237&gt;$B$4,"",$A$4+237)</f>
        <v>46260</v>
      </c>
      <c r="N23759">
        <f>IF(M23759="","",'Master Barang'!A53)</f>
        <v>0</v>
      </c>
      <c r="O23759">
        <f>IF(N23759="","",'Master Barang'!B53)</f>
        <v>0</v>
      </c>
      <c r="P23759">
        <f>IF(OR(M23759="",N23759=""),"",SUMIFS('Barang Keluar'!$E:$E,'Barang Keluar'!$A:$A,M23759,'Barang Keluar'!$C:$C,N23759))</f>
        <v>0</v>
      </c>
    </row>
    <row r="23760" spans="13:16">
      <c r="M23760" s="49">
        <f>IF($A$4+237&gt;$B$4,"",$A$4+237)</f>
        <v>46260</v>
      </c>
      <c r="N23760">
        <f>IF(M23760="","",'Master Barang'!A54)</f>
        <v>0</v>
      </c>
      <c r="O23760">
        <f>IF(N23760="","",'Master Barang'!B54)</f>
        <v>0</v>
      </c>
      <c r="P23760">
        <f>IF(OR(M23760="",N23760=""),"",SUMIFS('Barang Keluar'!$E:$E,'Barang Keluar'!$A:$A,M23760,'Barang Keluar'!$C:$C,N23760))</f>
        <v>0</v>
      </c>
    </row>
    <row r="23761" spans="13:16">
      <c r="M23761" s="49">
        <f>IF($A$4+237&gt;$B$4,"",$A$4+237)</f>
        <v>46260</v>
      </c>
      <c r="N23761">
        <f>IF(M23761="","",'Master Barang'!A55)</f>
        <v>0</v>
      </c>
      <c r="O23761">
        <f>IF(N23761="","",'Master Barang'!B55)</f>
        <v>0</v>
      </c>
      <c r="P23761">
        <f>IF(OR(M23761="",N23761=""),"",SUMIFS('Barang Keluar'!$E:$E,'Barang Keluar'!$A:$A,M23761,'Barang Keluar'!$C:$C,N23761))</f>
        <v>0</v>
      </c>
    </row>
    <row r="23762" spans="13:16">
      <c r="M23762" s="49">
        <f>IF($A$4+237&gt;$B$4,"",$A$4+237)</f>
        <v>46260</v>
      </c>
      <c r="N23762">
        <f>IF(M23762="","",'Master Barang'!A56)</f>
        <v>0</v>
      </c>
      <c r="O23762">
        <f>IF(N23762="","",'Master Barang'!B56)</f>
        <v>0</v>
      </c>
      <c r="P23762">
        <f>IF(OR(M23762="",N23762=""),"",SUMIFS('Barang Keluar'!$E:$E,'Barang Keluar'!$A:$A,M23762,'Barang Keluar'!$C:$C,N23762))</f>
        <v>0</v>
      </c>
    </row>
    <row r="23763" spans="13:16">
      <c r="M23763" s="49">
        <f>IF($A$4+237&gt;$B$4,"",$A$4+237)</f>
        <v>46260</v>
      </c>
      <c r="N23763">
        <f>IF(M23763="","",'Master Barang'!A57)</f>
        <v>0</v>
      </c>
      <c r="O23763">
        <f>IF(N23763="","",'Master Barang'!B57)</f>
        <v>0</v>
      </c>
      <c r="P23763">
        <f>IF(OR(M23763="",N23763=""),"",SUMIFS('Barang Keluar'!$E:$E,'Barang Keluar'!$A:$A,M23763,'Barang Keluar'!$C:$C,N23763))</f>
        <v>0</v>
      </c>
    </row>
    <row r="23764" spans="13:16">
      <c r="M23764" s="49">
        <f>IF($A$4+237&gt;$B$4,"",$A$4+237)</f>
        <v>46260</v>
      </c>
      <c r="N23764">
        <f>IF(M23764="","",'Master Barang'!A58)</f>
        <v>0</v>
      </c>
      <c r="O23764">
        <f>IF(N23764="","",'Master Barang'!B58)</f>
        <v>0</v>
      </c>
      <c r="P23764">
        <f>IF(OR(M23764="",N23764=""),"",SUMIFS('Barang Keluar'!$E:$E,'Barang Keluar'!$A:$A,M23764,'Barang Keluar'!$C:$C,N23764))</f>
        <v>0</v>
      </c>
    </row>
    <row r="23765" spans="13:16">
      <c r="M23765" s="49">
        <f>IF($A$4+237&gt;$B$4,"",$A$4+237)</f>
        <v>46260</v>
      </c>
      <c r="N23765">
        <f>IF(M23765="","",'Master Barang'!A59)</f>
        <v>0</v>
      </c>
      <c r="O23765">
        <f>IF(N23765="","",'Master Barang'!B59)</f>
        <v>0</v>
      </c>
      <c r="P23765">
        <f>IF(OR(M23765="",N23765=""),"",SUMIFS('Barang Keluar'!$E:$E,'Barang Keluar'!$A:$A,M23765,'Barang Keluar'!$C:$C,N23765))</f>
        <v>0</v>
      </c>
    </row>
    <row r="23766" spans="13:16">
      <c r="M23766" s="49">
        <f>IF($A$4+237&gt;$B$4,"",$A$4+237)</f>
        <v>46260</v>
      </c>
      <c r="N23766">
        <f>IF(M23766="","",'Master Barang'!A60)</f>
        <v>0</v>
      </c>
      <c r="O23766">
        <f>IF(N23766="","",'Master Barang'!B60)</f>
        <v>0</v>
      </c>
      <c r="P23766">
        <f>IF(OR(M23766="",N23766=""),"",SUMIFS('Barang Keluar'!$E:$E,'Barang Keluar'!$A:$A,M23766,'Barang Keluar'!$C:$C,N23766))</f>
        <v>0</v>
      </c>
    </row>
    <row r="23767" spans="13:16">
      <c r="M23767" s="49">
        <f>IF($A$4+237&gt;$B$4,"",$A$4+237)</f>
        <v>46260</v>
      </c>
      <c r="N23767">
        <f>IF(M23767="","",'Master Barang'!A61)</f>
        <v>0</v>
      </c>
      <c r="O23767">
        <f>IF(N23767="","",'Master Barang'!B61)</f>
        <v>0</v>
      </c>
      <c r="P23767">
        <f>IF(OR(M23767="",N23767=""),"",SUMIFS('Barang Keluar'!$E:$E,'Barang Keluar'!$A:$A,M23767,'Barang Keluar'!$C:$C,N23767))</f>
        <v>0</v>
      </c>
    </row>
    <row r="23768" spans="13:16">
      <c r="M23768" s="49">
        <f>IF($A$4+237&gt;$B$4,"",$A$4+237)</f>
        <v>46260</v>
      </c>
      <c r="N23768">
        <f>IF(M23768="","",'Master Barang'!A62)</f>
        <v>0</v>
      </c>
      <c r="O23768">
        <f>IF(N23768="","",'Master Barang'!B62)</f>
        <v>0</v>
      </c>
      <c r="P23768">
        <f>IF(OR(M23768="",N23768=""),"",SUMIFS('Barang Keluar'!$E:$E,'Barang Keluar'!$A:$A,M23768,'Barang Keluar'!$C:$C,N23768))</f>
        <v>0</v>
      </c>
    </row>
    <row r="23769" spans="13:16">
      <c r="M23769" s="49">
        <f>IF($A$4+237&gt;$B$4,"",$A$4+237)</f>
        <v>46260</v>
      </c>
      <c r="N23769">
        <f>IF(M23769="","",'Master Barang'!A63)</f>
        <v>0</v>
      </c>
      <c r="O23769">
        <f>IF(N23769="","",'Master Barang'!B63)</f>
        <v>0</v>
      </c>
      <c r="P23769">
        <f>IF(OR(M23769="",N23769=""),"",SUMIFS('Barang Keluar'!$E:$E,'Barang Keluar'!$A:$A,M23769,'Barang Keluar'!$C:$C,N23769))</f>
        <v>0</v>
      </c>
    </row>
    <row r="23770" spans="13:16">
      <c r="M23770" s="49">
        <f>IF($A$4+237&gt;$B$4,"",$A$4+237)</f>
        <v>46260</v>
      </c>
      <c r="N23770">
        <f>IF(M23770="","",'Master Barang'!A64)</f>
        <v>0</v>
      </c>
      <c r="O23770">
        <f>IF(N23770="","",'Master Barang'!B64)</f>
        <v>0</v>
      </c>
      <c r="P23770">
        <f>IF(OR(M23770="",N23770=""),"",SUMIFS('Barang Keluar'!$E:$E,'Barang Keluar'!$A:$A,M23770,'Barang Keluar'!$C:$C,N23770))</f>
        <v>0</v>
      </c>
    </row>
    <row r="23771" spans="13:16">
      <c r="M23771" s="49">
        <f>IF($A$4+237&gt;$B$4,"",$A$4+237)</f>
        <v>46260</v>
      </c>
      <c r="N23771">
        <f>IF(M23771="","",'Master Barang'!A65)</f>
        <v>0</v>
      </c>
      <c r="O23771">
        <f>IF(N23771="","",'Master Barang'!B65)</f>
        <v>0</v>
      </c>
      <c r="P23771">
        <f>IF(OR(M23771="",N23771=""),"",SUMIFS('Barang Keluar'!$E:$E,'Barang Keluar'!$A:$A,M23771,'Barang Keluar'!$C:$C,N23771))</f>
        <v>0</v>
      </c>
    </row>
    <row r="23772" spans="13:16">
      <c r="M23772" s="49">
        <f>IF($A$4+237&gt;$B$4,"",$A$4+237)</f>
        <v>46260</v>
      </c>
      <c r="N23772">
        <f>IF(M23772="","",'Master Barang'!A66)</f>
        <v>0</v>
      </c>
      <c r="O23772">
        <f>IF(N23772="","",'Master Barang'!B66)</f>
        <v>0</v>
      </c>
      <c r="P23772">
        <f>IF(OR(M23772="",N23772=""),"",SUMIFS('Barang Keluar'!$E:$E,'Barang Keluar'!$A:$A,M23772,'Barang Keluar'!$C:$C,N23772))</f>
        <v>0</v>
      </c>
    </row>
    <row r="23773" spans="13:16">
      <c r="M23773" s="49">
        <f>IF($A$4+237&gt;$B$4,"",$A$4+237)</f>
        <v>46260</v>
      </c>
      <c r="N23773">
        <f>IF(M23773="","",'Master Barang'!A67)</f>
        <v>0</v>
      </c>
      <c r="O23773">
        <f>IF(N23773="","",'Master Barang'!B67)</f>
        <v>0</v>
      </c>
      <c r="P23773">
        <f>IF(OR(M23773="",N23773=""),"",SUMIFS('Barang Keluar'!$E:$E,'Barang Keluar'!$A:$A,M23773,'Barang Keluar'!$C:$C,N23773))</f>
        <v>0</v>
      </c>
    </row>
    <row r="23774" spans="13:16">
      <c r="M23774" s="49">
        <f>IF($A$4+237&gt;$B$4,"",$A$4+237)</f>
        <v>46260</v>
      </c>
      <c r="N23774">
        <f>IF(M23774="","",'Master Barang'!A68)</f>
        <v>0</v>
      </c>
      <c r="O23774">
        <f>IF(N23774="","",'Master Barang'!B68)</f>
        <v>0</v>
      </c>
      <c r="P23774">
        <f>IF(OR(M23774="",N23774=""),"",SUMIFS('Barang Keluar'!$E:$E,'Barang Keluar'!$A:$A,M23774,'Barang Keluar'!$C:$C,N23774))</f>
        <v>0</v>
      </c>
    </row>
    <row r="23775" spans="13:16">
      <c r="M23775" s="49">
        <f>IF($A$4+237&gt;$B$4,"",$A$4+237)</f>
        <v>46260</v>
      </c>
      <c r="N23775">
        <f>IF(M23775="","",'Master Barang'!A69)</f>
        <v>0</v>
      </c>
      <c r="O23775">
        <f>IF(N23775="","",'Master Barang'!B69)</f>
        <v>0</v>
      </c>
      <c r="P23775">
        <f>IF(OR(M23775="",N23775=""),"",SUMIFS('Barang Keluar'!$E:$E,'Barang Keluar'!$A:$A,M23775,'Barang Keluar'!$C:$C,N23775))</f>
        <v>0</v>
      </c>
    </row>
    <row r="23776" spans="13:16">
      <c r="M23776" s="49">
        <f>IF($A$4+237&gt;$B$4,"",$A$4+237)</f>
        <v>46260</v>
      </c>
      <c r="N23776">
        <f>IF(M23776="","",'Master Barang'!A70)</f>
        <v>0</v>
      </c>
      <c r="O23776">
        <f>IF(N23776="","",'Master Barang'!B70)</f>
        <v>0</v>
      </c>
      <c r="P23776">
        <f>IF(OR(M23776="",N23776=""),"",SUMIFS('Barang Keluar'!$E:$E,'Barang Keluar'!$A:$A,M23776,'Barang Keluar'!$C:$C,N23776))</f>
        <v>0</v>
      </c>
    </row>
    <row r="23777" spans="13:16">
      <c r="M23777" s="49">
        <f>IF($A$4+237&gt;$B$4,"",$A$4+237)</f>
        <v>46260</v>
      </c>
      <c r="N23777">
        <f>IF(M23777="","",'Master Barang'!A71)</f>
        <v>0</v>
      </c>
      <c r="O23777">
        <f>IF(N23777="","",'Master Barang'!B71)</f>
        <v>0</v>
      </c>
      <c r="P23777">
        <f>IF(OR(M23777="",N23777=""),"",SUMIFS('Barang Keluar'!$E:$E,'Barang Keluar'!$A:$A,M23777,'Barang Keluar'!$C:$C,N23777))</f>
        <v>0</v>
      </c>
    </row>
    <row r="23778" spans="13:16">
      <c r="M23778" s="49">
        <f>IF($A$4+237&gt;$B$4,"",$A$4+237)</f>
        <v>46260</v>
      </c>
      <c r="N23778">
        <f>IF(M23778="","",'Master Barang'!A72)</f>
        <v>0</v>
      </c>
      <c r="O23778">
        <f>IF(N23778="","",'Master Barang'!B72)</f>
        <v>0</v>
      </c>
      <c r="P23778">
        <f>IF(OR(M23778="",N23778=""),"",SUMIFS('Barang Keluar'!$E:$E,'Barang Keluar'!$A:$A,M23778,'Barang Keluar'!$C:$C,N23778))</f>
        <v>0</v>
      </c>
    </row>
    <row r="23779" spans="13:16">
      <c r="M23779" s="49">
        <f>IF($A$4+237&gt;$B$4,"",$A$4+237)</f>
        <v>46260</v>
      </c>
      <c r="N23779">
        <f>IF(M23779="","",'Master Barang'!A73)</f>
        <v>0</v>
      </c>
      <c r="O23779">
        <f>IF(N23779="","",'Master Barang'!B73)</f>
        <v>0</v>
      </c>
      <c r="P23779">
        <f>IF(OR(M23779="",N23779=""),"",SUMIFS('Barang Keluar'!$E:$E,'Barang Keluar'!$A:$A,M23779,'Barang Keluar'!$C:$C,N23779))</f>
        <v>0</v>
      </c>
    </row>
    <row r="23780" spans="13:16">
      <c r="M23780" s="49">
        <f>IF($A$4+237&gt;$B$4,"",$A$4+237)</f>
        <v>46260</v>
      </c>
      <c r="N23780">
        <f>IF(M23780="","",'Master Barang'!A74)</f>
        <v>0</v>
      </c>
      <c r="O23780">
        <f>IF(N23780="","",'Master Barang'!B74)</f>
        <v>0</v>
      </c>
      <c r="P23780">
        <f>IF(OR(M23780="",N23780=""),"",SUMIFS('Barang Keluar'!$E:$E,'Barang Keluar'!$A:$A,M23780,'Barang Keluar'!$C:$C,N23780))</f>
        <v>0</v>
      </c>
    </row>
    <row r="23781" spans="13:16">
      <c r="M23781" s="49">
        <f>IF($A$4+237&gt;$B$4,"",$A$4+237)</f>
        <v>46260</v>
      </c>
      <c r="N23781">
        <f>IF(M23781="","",'Master Barang'!A75)</f>
        <v>0</v>
      </c>
      <c r="O23781">
        <f>IF(N23781="","",'Master Barang'!B75)</f>
        <v>0</v>
      </c>
      <c r="P23781">
        <f>IF(OR(M23781="",N23781=""),"",SUMIFS('Barang Keluar'!$E:$E,'Barang Keluar'!$A:$A,M23781,'Barang Keluar'!$C:$C,N23781))</f>
        <v>0</v>
      </c>
    </row>
    <row r="23782" spans="13:16">
      <c r="M23782" s="49">
        <f>IF($A$4+237&gt;$B$4,"",$A$4+237)</f>
        <v>46260</v>
      </c>
      <c r="N23782">
        <f>IF(M23782="","",'Master Barang'!A76)</f>
        <v>0</v>
      </c>
      <c r="O23782">
        <f>IF(N23782="","",'Master Barang'!B76)</f>
        <v>0</v>
      </c>
      <c r="P23782">
        <f>IF(OR(M23782="",N23782=""),"",SUMIFS('Barang Keluar'!$E:$E,'Barang Keluar'!$A:$A,M23782,'Barang Keluar'!$C:$C,N23782))</f>
        <v>0</v>
      </c>
    </row>
    <row r="23783" spans="13:16">
      <c r="M23783" s="49">
        <f>IF($A$4+237&gt;$B$4,"",$A$4+237)</f>
        <v>46260</v>
      </c>
      <c r="N23783">
        <f>IF(M23783="","",'Master Barang'!A77)</f>
        <v>0</v>
      </c>
      <c r="O23783">
        <f>IF(N23783="","",'Master Barang'!B77)</f>
        <v>0</v>
      </c>
      <c r="P23783">
        <f>IF(OR(M23783="",N23783=""),"",SUMIFS('Barang Keluar'!$E:$E,'Barang Keluar'!$A:$A,M23783,'Barang Keluar'!$C:$C,N23783))</f>
        <v>0</v>
      </c>
    </row>
    <row r="23784" spans="13:16">
      <c r="M23784" s="49">
        <f>IF($A$4+237&gt;$B$4,"",$A$4+237)</f>
        <v>46260</v>
      </c>
      <c r="N23784">
        <f>IF(M23784="","",'Master Barang'!A78)</f>
        <v>0</v>
      </c>
      <c r="O23784">
        <f>IF(N23784="","",'Master Barang'!B78)</f>
        <v>0</v>
      </c>
      <c r="P23784">
        <f>IF(OR(M23784="",N23784=""),"",SUMIFS('Barang Keluar'!$E:$E,'Barang Keluar'!$A:$A,M23784,'Barang Keluar'!$C:$C,N23784))</f>
        <v>0</v>
      </c>
    </row>
    <row r="23785" spans="13:16">
      <c r="M23785" s="49">
        <f>IF($A$4+237&gt;$B$4,"",$A$4+237)</f>
        <v>46260</v>
      </c>
      <c r="N23785">
        <f>IF(M23785="","",'Master Barang'!A79)</f>
        <v>0</v>
      </c>
      <c r="O23785">
        <f>IF(N23785="","",'Master Barang'!B79)</f>
        <v>0</v>
      </c>
      <c r="P23785">
        <f>IF(OR(M23785="",N23785=""),"",SUMIFS('Barang Keluar'!$E:$E,'Barang Keluar'!$A:$A,M23785,'Barang Keluar'!$C:$C,N23785))</f>
        <v>0</v>
      </c>
    </row>
    <row r="23786" spans="13:16">
      <c r="M23786" s="49">
        <f>IF($A$4+237&gt;$B$4,"",$A$4+237)</f>
        <v>46260</v>
      </c>
      <c r="N23786">
        <f>IF(M23786="","",'Master Barang'!A80)</f>
        <v>0</v>
      </c>
      <c r="O23786">
        <f>IF(N23786="","",'Master Barang'!B80)</f>
        <v>0</v>
      </c>
      <c r="P23786">
        <f>IF(OR(M23786="",N23786=""),"",SUMIFS('Barang Keluar'!$E:$E,'Barang Keluar'!$A:$A,M23786,'Barang Keluar'!$C:$C,N23786))</f>
        <v>0</v>
      </c>
    </row>
    <row r="23787" spans="13:16">
      <c r="M23787" s="49">
        <f>IF($A$4+237&gt;$B$4,"",$A$4+237)</f>
        <v>46260</v>
      </c>
      <c r="N23787">
        <f>IF(M23787="","",'Master Barang'!A81)</f>
        <v>0</v>
      </c>
      <c r="O23787">
        <f>IF(N23787="","",'Master Barang'!B81)</f>
        <v>0</v>
      </c>
      <c r="P23787">
        <f>IF(OR(M23787="",N23787=""),"",SUMIFS('Barang Keluar'!$E:$E,'Barang Keluar'!$A:$A,M23787,'Barang Keluar'!$C:$C,N23787))</f>
        <v>0</v>
      </c>
    </row>
    <row r="23788" spans="13:16">
      <c r="M23788" s="49">
        <f>IF($A$4+237&gt;$B$4,"",$A$4+237)</f>
        <v>46260</v>
      </c>
      <c r="N23788">
        <f>IF(M23788="","",'Master Barang'!A82)</f>
        <v>0</v>
      </c>
      <c r="O23788">
        <f>IF(N23788="","",'Master Barang'!B82)</f>
        <v>0</v>
      </c>
      <c r="P23788">
        <f>IF(OR(M23788="",N23788=""),"",SUMIFS('Barang Keluar'!$E:$E,'Barang Keluar'!$A:$A,M23788,'Barang Keluar'!$C:$C,N23788))</f>
        <v>0</v>
      </c>
    </row>
    <row r="23789" spans="13:16">
      <c r="M23789" s="49">
        <f>IF($A$4+237&gt;$B$4,"",$A$4+237)</f>
        <v>46260</v>
      </c>
      <c r="N23789">
        <f>IF(M23789="","",'Master Barang'!A83)</f>
        <v>0</v>
      </c>
      <c r="O23789">
        <f>IF(N23789="","",'Master Barang'!B83)</f>
        <v>0</v>
      </c>
      <c r="P23789">
        <f>IF(OR(M23789="",N23789=""),"",SUMIFS('Barang Keluar'!$E:$E,'Barang Keluar'!$A:$A,M23789,'Barang Keluar'!$C:$C,N23789))</f>
        <v>0</v>
      </c>
    </row>
    <row r="23790" spans="13:16">
      <c r="M23790" s="49">
        <f>IF($A$4+237&gt;$B$4,"",$A$4+237)</f>
        <v>46260</v>
      </c>
      <c r="N23790">
        <f>IF(M23790="","",'Master Barang'!A84)</f>
        <v>0</v>
      </c>
      <c r="O23790">
        <f>IF(N23790="","",'Master Barang'!B84)</f>
        <v>0</v>
      </c>
      <c r="P23790">
        <f>IF(OR(M23790="",N23790=""),"",SUMIFS('Barang Keluar'!$E:$E,'Barang Keluar'!$A:$A,M23790,'Barang Keluar'!$C:$C,N23790))</f>
        <v>0</v>
      </c>
    </row>
    <row r="23791" spans="13:16">
      <c r="M23791" s="49">
        <f>IF($A$4+237&gt;$B$4,"",$A$4+237)</f>
        <v>46260</v>
      </c>
      <c r="N23791">
        <f>IF(M23791="","",'Master Barang'!A85)</f>
        <v>0</v>
      </c>
      <c r="O23791">
        <f>IF(N23791="","",'Master Barang'!B85)</f>
        <v>0</v>
      </c>
      <c r="P23791">
        <f>IF(OR(M23791="",N23791=""),"",SUMIFS('Barang Keluar'!$E:$E,'Barang Keluar'!$A:$A,M23791,'Barang Keluar'!$C:$C,N23791))</f>
        <v>0</v>
      </c>
    </row>
    <row r="23792" spans="13:16">
      <c r="M23792" s="49">
        <f>IF($A$4+237&gt;$B$4,"",$A$4+237)</f>
        <v>46260</v>
      </c>
      <c r="N23792">
        <f>IF(M23792="","",'Master Barang'!A86)</f>
        <v>0</v>
      </c>
      <c r="O23792">
        <f>IF(N23792="","",'Master Barang'!B86)</f>
        <v>0</v>
      </c>
      <c r="P23792">
        <f>IF(OR(M23792="",N23792=""),"",SUMIFS('Barang Keluar'!$E:$E,'Barang Keluar'!$A:$A,M23792,'Barang Keluar'!$C:$C,N23792))</f>
        <v>0</v>
      </c>
    </row>
    <row r="23793" spans="13:16">
      <c r="M23793" s="49">
        <f>IF($A$4+237&gt;$B$4,"",$A$4+237)</f>
        <v>46260</v>
      </c>
      <c r="N23793">
        <f>IF(M23793="","",'Master Barang'!A87)</f>
        <v>0</v>
      </c>
      <c r="O23793">
        <f>IF(N23793="","",'Master Barang'!B87)</f>
        <v>0</v>
      </c>
      <c r="P23793">
        <f>IF(OR(M23793="",N23793=""),"",SUMIFS('Barang Keluar'!$E:$E,'Barang Keluar'!$A:$A,M23793,'Barang Keluar'!$C:$C,N23793))</f>
        <v>0</v>
      </c>
    </row>
    <row r="23794" spans="13:16">
      <c r="M23794" s="49">
        <f>IF($A$4+237&gt;$B$4,"",$A$4+237)</f>
        <v>46260</v>
      </c>
      <c r="N23794">
        <f>IF(M23794="","",'Master Barang'!A88)</f>
        <v>0</v>
      </c>
      <c r="O23794">
        <f>IF(N23794="","",'Master Barang'!B88)</f>
        <v>0</v>
      </c>
      <c r="P23794">
        <f>IF(OR(M23794="",N23794=""),"",SUMIFS('Barang Keluar'!$E:$E,'Barang Keluar'!$A:$A,M23794,'Barang Keluar'!$C:$C,N23794))</f>
        <v>0</v>
      </c>
    </row>
    <row r="23795" spans="13:16">
      <c r="M23795" s="49">
        <f>IF($A$4+237&gt;$B$4,"",$A$4+237)</f>
        <v>46260</v>
      </c>
      <c r="N23795">
        <f>IF(M23795="","",'Master Barang'!A89)</f>
        <v>0</v>
      </c>
      <c r="O23795">
        <f>IF(N23795="","",'Master Barang'!B89)</f>
        <v>0</v>
      </c>
      <c r="P23795">
        <f>IF(OR(M23795="",N23795=""),"",SUMIFS('Barang Keluar'!$E:$E,'Barang Keluar'!$A:$A,M23795,'Barang Keluar'!$C:$C,N23795))</f>
        <v>0</v>
      </c>
    </row>
    <row r="23796" spans="13:16">
      <c r="M23796" s="49">
        <f>IF($A$4+237&gt;$B$4,"",$A$4+237)</f>
        <v>46260</v>
      </c>
      <c r="N23796">
        <f>IF(M23796="","",'Master Barang'!A90)</f>
        <v>0</v>
      </c>
      <c r="O23796">
        <f>IF(N23796="","",'Master Barang'!B90)</f>
        <v>0</v>
      </c>
      <c r="P23796">
        <f>IF(OR(M23796="",N23796=""),"",SUMIFS('Barang Keluar'!$E:$E,'Barang Keluar'!$A:$A,M23796,'Barang Keluar'!$C:$C,N23796))</f>
        <v>0</v>
      </c>
    </row>
    <row r="23797" spans="13:16">
      <c r="M23797" s="49">
        <f>IF($A$4+237&gt;$B$4,"",$A$4+237)</f>
        <v>46260</v>
      </c>
      <c r="N23797">
        <f>IF(M23797="","",'Master Barang'!A91)</f>
        <v>0</v>
      </c>
      <c r="O23797">
        <f>IF(N23797="","",'Master Barang'!B91)</f>
        <v>0</v>
      </c>
      <c r="P23797">
        <f>IF(OR(M23797="",N23797=""),"",SUMIFS('Barang Keluar'!$E:$E,'Barang Keluar'!$A:$A,M23797,'Barang Keluar'!$C:$C,N23797))</f>
        <v>0</v>
      </c>
    </row>
    <row r="23798" spans="13:16">
      <c r="M23798" s="49">
        <f>IF($A$4+237&gt;$B$4,"",$A$4+237)</f>
        <v>46260</v>
      </c>
      <c r="N23798">
        <f>IF(M23798="","",'Master Barang'!A92)</f>
        <v>0</v>
      </c>
      <c r="O23798">
        <f>IF(N23798="","",'Master Barang'!B92)</f>
        <v>0</v>
      </c>
      <c r="P23798">
        <f>IF(OR(M23798="",N23798=""),"",SUMIFS('Barang Keluar'!$E:$E,'Barang Keluar'!$A:$A,M23798,'Barang Keluar'!$C:$C,N23798))</f>
        <v>0</v>
      </c>
    </row>
    <row r="23799" spans="13:16">
      <c r="M23799" s="49">
        <f>IF($A$4+237&gt;$B$4,"",$A$4+237)</f>
        <v>46260</v>
      </c>
      <c r="N23799">
        <f>IF(M23799="","",'Master Barang'!A93)</f>
        <v>0</v>
      </c>
      <c r="O23799">
        <f>IF(N23799="","",'Master Barang'!B93)</f>
        <v>0</v>
      </c>
      <c r="P23799">
        <f>IF(OR(M23799="",N23799=""),"",SUMIFS('Barang Keluar'!$E:$E,'Barang Keluar'!$A:$A,M23799,'Barang Keluar'!$C:$C,N23799))</f>
        <v>0</v>
      </c>
    </row>
    <row r="23800" spans="13:16">
      <c r="M23800" s="49">
        <f>IF($A$4+237&gt;$B$4,"",$A$4+237)</f>
        <v>46260</v>
      </c>
      <c r="N23800">
        <f>IF(M23800="","",'Master Barang'!A94)</f>
        <v>0</v>
      </c>
      <c r="O23800">
        <f>IF(N23800="","",'Master Barang'!B94)</f>
        <v>0</v>
      </c>
      <c r="P23800">
        <f>IF(OR(M23800="",N23800=""),"",SUMIFS('Barang Keluar'!$E:$E,'Barang Keluar'!$A:$A,M23800,'Barang Keluar'!$C:$C,N23800))</f>
        <v>0</v>
      </c>
    </row>
    <row r="23801" spans="13:16">
      <c r="M23801" s="49">
        <f>IF($A$4+237&gt;$B$4,"",$A$4+237)</f>
        <v>46260</v>
      </c>
      <c r="N23801">
        <f>IF(M23801="","",'Master Barang'!A95)</f>
        <v>0</v>
      </c>
      <c r="O23801">
        <f>IF(N23801="","",'Master Barang'!B95)</f>
        <v>0</v>
      </c>
      <c r="P23801">
        <f>IF(OR(M23801="",N23801=""),"",SUMIFS('Barang Keluar'!$E:$E,'Barang Keluar'!$A:$A,M23801,'Barang Keluar'!$C:$C,N23801))</f>
        <v>0</v>
      </c>
    </row>
    <row r="23802" spans="13:16">
      <c r="M23802" s="49">
        <f>IF($A$4+237&gt;$B$4,"",$A$4+237)</f>
        <v>46260</v>
      </c>
      <c r="N23802">
        <f>IF(M23802="","",'Master Barang'!A96)</f>
        <v>0</v>
      </c>
      <c r="O23802">
        <f>IF(N23802="","",'Master Barang'!B96)</f>
        <v>0</v>
      </c>
      <c r="P23802">
        <f>IF(OR(M23802="",N23802=""),"",SUMIFS('Barang Keluar'!$E:$E,'Barang Keluar'!$A:$A,M23802,'Barang Keluar'!$C:$C,N23802))</f>
        <v>0</v>
      </c>
    </row>
    <row r="23803" spans="13:16">
      <c r="M23803" s="49">
        <f>IF($A$4+237&gt;$B$4,"",$A$4+237)</f>
        <v>46260</v>
      </c>
      <c r="N23803">
        <f>IF(M23803="","",'Master Barang'!A97)</f>
        <v>0</v>
      </c>
      <c r="O23803">
        <f>IF(N23803="","",'Master Barang'!B97)</f>
        <v>0</v>
      </c>
      <c r="P23803">
        <f>IF(OR(M23803="",N23803=""),"",SUMIFS('Barang Keluar'!$E:$E,'Barang Keluar'!$A:$A,M23803,'Barang Keluar'!$C:$C,N23803))</f>
        <v>0</v>
      </c>
    </row>
    <row r="23804" spans="13:16">
      <c r="M23804" s="49">
        <f>IF($A$4+237&gt;$B$4,"",$A$4+237)</f>
        <v>46260</v>
      </c>
      <c r="N23804">
        <f>IF(M23804="","",'Master Barang'!A98)</f>
        <v>0</v>
      </c>
      <c r="O23804">
        <f>IF(N23804="","",'Master Barang'!B98)</f>
        <v>0</v>
      </c>
      <c r="P23804">
        <f>IF(OR(M23804="",N23804=""),"",SUMIFS('Barang Keluar'!$E:$E,'Barang Keluar'!$A:$A,M23804,'Barang Keluar'!$C:$C,N23804))</f>
        <v>0</v>
      </c>
    </row>
    <row r="23805" spans="13:16">
      <c r="M23805" s="49">
        <f>IF($A$4+237&gt;$B$4,"",$A$4+237)</f>
        <v>46260</v>
      </c>
      <c r="N23805">
        <f>IF(M23805="","",'Master Barang'!A99)</f>
        <v>0</v>
      </c>
      <c r="O23805">
        <f>IF(N23805="","",'Master Barang'!B99)</f>
        <v>0</v>
      </c>
      <c r="P23805">
        <f>IF(OR(M23805="",N23805=""),"",SUMIFS('Barang Keluar'!$E:$E,'Barang Keluar'!$A:$A,M23805,'Barang Keluar'!$C:$C,N23805))</f>
        <v>0</v>
      </c>
    </row>
    <row r="23806" spans="13:16">
      <c r="M23806" s="49">
        <f>IF($A$4+237&gt;$B$4,"",$A$4+237)</f>
        <v>46260</v>
      </c>
      <c r="N23806">
        <f>IF(M23806="","",'Master Barang'!A100)</f>
        <v>0</v>
      </c>
      <c r="O23806">
        <f>IF(N23806="","",'Master Barang'!B100)</f>
        <v>0</v>
      </c>
      <c r="P23806">
        <f>IF(OR(M23806="",N23806=""),"",SUMIFS('Barang Keluar'!$E:$E,'Barang Keluar'!$A:$A,M23806,'Barang Keluar'!$C:$C,N23806))</f>
        <v>0</v>
      </c>
    </row>
    <row r="23807" spans="13:16">
      <c r="M23807" s="49">
        <f>IF($A$4+237&gt;$B$4,"",$A$4+237)</f>
        <v>46260</v>
      </c>
      <c r="N23807">
        <f>IF(M23807="","",'Master Barang'!A101)</f>
        <v>0</v>
      </c>
      <c r="O23807">
        <f>IF(N23807="","",'Master Barang'!B101)</f>
        <v>0</v>
      </c>
      <c r="P23807">
        <f>IF(OR(M23807="",N23807=""),"",SUMIFS('Barang Keluar'!$E:$E,'Barang Keluar'!$A:$A,M23807,'Barang Keluar'!$C:$C,N23807))</f>
        <v>0</v>
      </c>
    </row>
    <row r="23808" spans="13:16">
      <c r="M23808" s="49">
        <f>IF($A$4+238&gt;$B$4,"",$A$4+238)</f>
        <v>46261</v>
      </c>
      <c r="N23808" t="str">
        <f>IF(M23808="","",'Master Barang'!A2)</f>
        <v>PRL-001</v>
      </c>
      <c r="O23808" t="str">
        <f>IF(N23808="","",'Master Barang'!B2)</f>
        <v>natura desinfectant food grade 5l</v>
      </c>
      <c r="P23808">
        <f>IF(OR(M23808="",N23808=""),"",SUMIFS('Barang Keluar'!$E:$E,'Barang Keluar'!$A:$A,M23808,'Barang Keluar'!$C:$C,N23808))</f>
        <v>0</v>
      </c>
    </row>
    <row r="23809" spans="13:16">
      <c r="M23809" s="49">
        <f>IF($A$4+238&gt;$B$4,"",$A$4+238)</f>
        <v>46261</v>
      </c>
      <c r="N23809" t="str">
        <f>IF(M23809="","",'Master Barang'!A3)</f>
        <v>PRL-002</v>
      </c>
      <c r="O23809" t="str">
        <f>IF(N23809="","",'Master Barang'!B3)</f>
        <v>sunlight cairan pencuci piring 5l</v>
      </c>
      <c r="P23809">
        <f>IF(OR(M23809="",N23809=""),"",SUMIFS('Barang Keluar'!$E:$E,'Barang Keluar'!$A:$A,M23809,'Barang Keluar'!$C:$C,N23809))</f>
        <v>0</v>
      </c>
    </row>
    <row r="23810" spans="13:16">
      <c r="M23810" s="49">
        <f>IF($A$4+238&gt;$B$4,"",$A$4+238)</f>
        <v>46261</v>
      </c>
      <c r="N23810" t="str">
        <f>IF(M23810="","",'Master Barang'!A4)</f>
        <v>PRL-003</v>
      </c>
      <c r="O23810" t="str">
        <f>IF(N23810="","",'Master Barang'!B4)</f>
        <v>oixs cleaner 1l</v>
      </c>
      <c r="P23810">
        <f>IF(OR(M23810="",N23810=""),"",SUMIFS('Barang Keluar'!$E:$E,'Barang Keluar'!$A:$A,M23810,'Barang Keluar'!$C:$C,N23810))</f>
        <v>0</v>
      </c>
    </row>
    <row r="23811" spans="13:16">
      <c r="M23811" s="49">
        <f>IF($A$4+238&gt;$B$4,"",$A$4+238)</f>
        <v>46261</v>
      </c>
      <c r="N23811" t="str">
        <f>IF(M23811="","",'Master Barang'!A5)</f>
        <v>PRL-004</v>
      </c>
      <c r="O23811" t="str">
        <f>IF(N23811="","",'Master Barang'!B5)</f>
        <v>be clean tissue serbaguna</v>
      </c>
      <c r="P23811">
        <f>IF(OR(M23811="",N23811=""),"",SUMIFS('Barang Keluar'!$E:$E,'Barang Keluar'!$A:$A,M23811,'Barang Keluar'!$C:$C,N23811))</f>
        <v>0</v>
      </c>
    </row>
    <row r="23812" spans="13:16">
      <c r="M23812" s="49">
        <f>IF($A$4+238&gt;$B$4,"",$A$4+238)</f>
        <v>46261</v>
      </c>
      <c r="N23812" t="str">
        <f>IF(M23812="","",'Master Barang'!A6)</f>
        <v>PRL-005</v>
      </c>
      <c r="O23812" t="str">
        <f>IF(N23812="","",'Master Barang'!B6)</f>
        <v>spons cuci hijau</v>
      </c>
      <c r="P23812">
        <f>IF(OR(M23812="",N23812=""),"",SUMIFS('Barang Keluar'!$E:$E,'Barang Keluar'!$A:$A,M23812,'Barang Keluar'!$C:$C,N23812))</f>
        <v>0</v>
      </c>
    </row>
    <row r="23813" spans="13:16">
      <c r="M23813" s="49">
        <f>IF($A$4+238&gt;$B$4,"",$A$4+238)</f>
        <v>46261</v>
      </c>
      <c r="N23813" t="str">
        <f>IF(M23813="","",'Master Barang'!A7)</f>
        <v>PRL-006</v>
      </c>
      <c r="O23813" t="str">
        <f>IF(N23813="","",'Master Barang'!B7)</f>
        <v>sabut cuci stainless</v>
      </c>
      <c r="P23813">
        <f>IF(OR(M23813="",N23813=""),"",SUMIFS('Barang Keluar'!$E:$E,'Barang Keluar'!$A:$A,M23813,'Barang Keluar'!$C:$C,N23813))</f>
        <v>0</v>
      </c>
    </row>
    <row r="23814" spans="13:16">
      <c r="M23814" s="49">
        <f>IF($A$4+238&gt;$B$4,"",$A$4+238)</f>
        <v>46261</v>
      </c>
      <c r="N23814" t="str">
        <f>IF(M23814="","",'Master Barang'!A8)</f>
        <v>PRL-007</v>
      </c>
      <c r="O23814" t="str">
        <f>IF(N23814="","",'Master Barang'!B8)</f>
        <v>plastik kresek besar merah 50pc</v>
      </c>
      <c r="P23814">
        <f>IF(OR(M23814="",N23814=""),"",SUMIFS('Barang Keluar'!$E:$E,'Barang Keluar'!$A:$A,M23814,'Barang Keluar'!$C:$C,N23814))</f>
        <v>0</v>
      </c>
    </row>
    <row r="23815" spans="13:16">
      <c r="M23815" s="49">
        <f>IF($A$4+238&gt;$B$4,"",$A$4+238)</f>
        <v>46261</v>
      </c>
      <c r="N23815" t="str">
        <f>IF(M23815="","",'Master Barang'!A9)</f>
        <v>PRL-008</v>
      </c>
      <c r="O23815" t="str">
        <f>IF(N23815="","",'Master Barang'!B9)</f>
        <v>lap besar</v>
      </c>
      <c r="P23815">
        <f>IF(OR(M23815="",N23815=""),"",SUMIFS('Barang Keluar'!$E:$E,'Barang Keluar'!$A:$A,M23815,'Barang Keluar'!$C:$C,N23815))</f>
        <v>0</v>
      </c>
    </row>
    <row r="23816" spans="13:16">
      <c r="M23816" s="49">
        <f>IF($A$4+238&gt;$B$4,"",$A$4+238)</f>
        <v>46261</v>
      </c>
      <c r="N23816" t="str">
        <f>IF(M23816="","",'Master Barang'!A10)</f>
        <v>PRL-009</v>
      </c>
      <c r="O23816" t="str">
        <f>IF(N23816="","",'Master Barang'!B10)</f>
        <v>lap microfiber</v>
      </c>
      <c r="P23816">
        <f>IF(OR(M23816="",N23816=""),"",SUMIFS('Barang Keluar'!$E:$E,'Barang Keluar'!$A:$A,M23816,'Barang Keluar'!$C:$C,N23816))</f>
        <v>0</v>
      </c>
    </row>
    <row r="23817" spans="13:16">
      <c r="M23817" s="49">
        <f>IF($A$4+238&gt;$B$4,"",$A$4+238)</f>
        <v>46261</v>
      </c>
      <c r="N23817" t="str">
        <f>IF(M23817="","",'Master Barang'!A11)</f>
        <v>PRL-010</v>
      </c>
      <c r="O23817" t="str">
        <f>IF(N23817="","",'Master Barang'!B11)</f>
        <v>lap kecil</v>
      </c>
      <c r="P23817">
        <f>IF(OR(M23817="",N23817=""),"",SUMIFS('Barang Keluar'!$E:$E,'Barang Keluar'!$A:$A,M23817,'Barang Keluar'!$C:$C,N23817))</f>
        <v>0</v>
      </c>
    </row>
    <row r="23818" spans="13:16">
      <c r="M23818" s="49">
        <f>IF($A$4+238&gt;$B$4,"",$A$4+238)</f>
        <v>46261</v>
      </c>
      <c r="N23818" t="str">
        <f>IF(M23818="","",'Master Barang'!A12)</f>
        <v>PRL-011</v>
      </c>
      <c r="O23818" t="str">
        <f>IF(N23818="","",'Master Barang'!B12)</f>
        <v>kanebo kecil</v>
      </c>
      <c r="P23818">
        <f>IF(OR(M23818="",N23818=""),"",SUMIFS('Barang Keluar'!$E:$E,'Barang Keluar'!$A:$A,M23818,'Barang Keluar'!$C:$C,N23818))</f>
        <v>0</v>
      </c>
    </row>
    <row r="23819" spans="13:16">
      <c r="M23819" s="49">
        <f>IF($A$4+238&gt;$B$4,"",$A$4+238)</f>
        <v>46261</v>
      </c>
      <c r="N23819" t="str">
        <f>IF(M23819="","",'Master Barang'!A13)</f>
        <v>PRL-012</v>
      </c>
      <c r="O23819" t="str">
        <f>IF(N23819="","",'Master Barang'!B13)</f>
        <v>plastik 1/4kg joyoboyo 100 lembar</v>
      </c>
      <c r="P23819">
        <f>IF(OR(M23819="",N23819=""),"",SUMIFS('Barang Keluar'!$E:$E,'Barang Keluar'!$A:$A,M23819,'Barang Keluar'!$C:$C,N23819))</f>
        <v>0</v>
      </c>
    </row>
    <row r="23820" spans="13:16">
      <c r="M23820" s="49">
        <f>IF($A$4+238&gt;$B$4,"",$A$4+238)</f>
        <v>46261</v>
      </c>
      <c r="N23820" t="str">
        <f>IF(M23820="","",'Master Barang'!A14)</f>
        <v>PRL-013</v>
      </c>
      <c r="O23820" t="str">
        <f>IF(N23820="","",'Master Barang'!B14)</f>
        <v>sarung tangan plastik kaka 100 pcs</v>
      </c>
      <c r="P23820">
        <f>IF(OR(M23820="",N23820=""),"",SUMIFS('Barang Keluar'!$E:$E,'Barang Keluar'!$A:$A,M23820,'Barang Keluar'!$C:$C,N23820))</f>
        <v>0</v>
      </c>
    </row>
    <row r="23821" spans="13:16">
      <c r="M23821" s="49">
        <f>IF($A$4+238&gt;$B$4,"",$A$4+238)</f>
        <v>46261</v>
      </c>
      <c r="N23821" t="str">
        <f>IF(M23821="","",'Master Barang'!A15)</f>
        <v>PRL-014</v>
      </c>
      <c r="O23821" t="str">
        <f>IF(N23821="","",'Master Barang'!B15)</f>
        <v>optima trashbag 80x100</v>
      </c>
      <c r="P23821">
        <f>IF(OR(M23821="",N23821=""),"",SUMIFS('Barang Keluar'!$E:$E,'Barang Keluar'!$A:$A,M23821,'Barang Keluar'!$C:$C,N23821))</f>
        <v>0</v>
      </c>
    </row>
    <row r="23822" spans="13:16">
      <c r="M23822" s="49">
        <f>IF($A$4+238&gt;$B$4,"",$A$4+238)</f>
        <v>46261</v>
      </c>
      <c r="N23822" t="str">
        <f>IF(M23822="","",'Master Barang'!A16)</f>
        <v>PRL-015</v>
      </c>
      <c r="O23822" t="str">
        <f>IF(N23822="","",'Master Barang'!B16)</f>
        <v>optima trashbag 60x100</v>
      </c>
      <c r="P23822">
        <f>IF(OR(M23822="",N23822=""),"",SUMIFS('Barang Keluar'!$E:$E,'Barang Keluar'!$A:$A,M23822,'Barang Keluar'!$C:$C,N23822))</f>
        <v>0</v>
      </c>
    </row>
    <row r="23823" spans="13:16">
      <c r="M23823" s="49">
        <f>IF($A$4+238&gt;$B$4,"",$A$4+238)</f>
        <v>46261</v>
      </c>
      <c r="N23823" t="str">
        <f>IF(M23823="","",'Master Barang'!A17)</f>
        <v>PRL-016</v>
      </c>
      <c r="O23823" t="str">
        <f>IF(N23823="","",'Master Barang'!B17)</f>
        <v>rajawali trashbag 30x40</v>
      </c>
      <c r="P23823">
        <f>IF(OR(M23823="",N23823=""),"",SUMIFS('Barang Keluar'!$E:$E,'Barang Keluar'!$A:$A,M23823,'Barang Keluar'!$C:$C,N23823))</f>
        <v>0</v>
      </c>
    </row>
    <row r="23824" spans="13:16">
      <c r="M23824" s="49">
        <f>IF($A$4+238&gt;$B$4,"",$A$4+238)</f>
        <v>46261</v>
      </c>
      <c r="N23824" t="str">
        <f>IF(M23824="","",'Master Barang'!A18)</f>
        <v>PRL-017</v>
      </c>
      <c r="O23824" t="str">
        <f>IF(N23824="","",'Master Barang'!B18)</f>
        <v>onemed masker biru 3 play 50 pcs</v>
      </c>
      <c r="P23824">
        <f>IF(OR(M23824="",N23824=""),"",SUMIFS('Barang Keluar'!$E:$E,'Barang Keluar'!$A:$A,M23824,'Barang Keluar'!$C:$C,N23824))</f>
        <v>0</v>
      </c>
    </row>
    <row r="23825" spans="13:16">
      <c r="M23825" s="49">
        <f>IF($A$4+238&gt;$B$4,"",$A$4+238)</f>
        <v>46261</v>
      </c>
      <c r="N23825" t="str">
        <f>IF(M23825="","",'Master Barang'!A19)</f>
        <v>PRL-018</v>
      </c>
      <c r="O23825" t="str">
        <f>IF(N23825="","",'Master Barang'!B19)</f>
        <v>onemed masker biru 3 play hijab 50 pcs</v>
      </c>
      <c r="P23825">
        <f>IF(OR(M23825="",N23825=""),"",SUMIFS('Barang Keluar'!$E:$E,'Barang Keluar'!$A:$A,M23825,'Barang Keluar'!$C:$C,N23825))</f>
        <v>0</v>
      </c>
    </row>
    <row r="23826" spans="13:16">
      <c r="M23826" s="49">
        <f>IF($A$4+238&gt;$B$4,"",$A$4+238)</f>
        <v>46261</v>
      </c>
      <c r="N23826" t="str">
        <f>IF(M23826="","",'Master Barang'!A20)</f>
        <v>PRL-019</v>
      </c>
      <c r="O23826" t="str">
        <f>IF(N23826="","",'Master Barang'!B20)</f>
        <v>neo health masker biru 3 play 50 pcs</v>
      </c>
      <c r="P23826">
        <f>IF(OR(M23826="",N23826=""),"",SUMIFS('Barang Keluar'!$E:$E,'Barang Keluar'!$A:$A,M23826,'Barang Keluar'!$C:$C,N23826))</f>
        <v>0</v>
      </c>
    </row>
    <row r="23827" spans="13:16">
      <c r="M23827" s="49">
        <f>IF($A$4+238&gt;$B$4,"",$A$4+238)</f>
        <v>46261</v>
      </c>
      <c r="N23827" t="str">
        <f>IF(M23827="","",'Master Barang'!A21)</f>
        <v>PRL-020</v>
      </c>
      <c r="O23827" t="str">
        <f>IF(N23827="","",'Master Barang'!B21)</f>
        <v>baymed masker hijau 3 play hijau 50 pcs</v>
      </c>
      <c r="P23827">
        <f>IF(OR(M23827="",N23827=""),"",SUMIFS('Barang Keluar'!$E:$E,'Barang Keluar'!$A:$A,M23827,'Barang Keluar'!$C:$C,N23827))</f>
        <v>0</v>
      </c>
    </row>
    <row r="23828" spans="13:16">
      <c r="M23828" s="49">
        <f>IF($A$4+238&gt;$B$4,"",$A$4+238)</f>
        <v>46261</v>
      </c>
      <c r="N23828" t="str">
        <f>IF(M23828="","",'Master Barang'!A22)</f>
        <v>PRL-021</v>
      </c>
      <c r="O23828" t="str">
        <f>IF(N23828="","",'Master Barang'!B22)</f>
        <v>altamed nurse cap penutup kepala 100 pcs</v>
      </c>
      <c r="P23828">
        <f>IF(OR(M23828="",N23828=""),"",SUMIFS('Barang Keluar'!$E:$E,'Barang Keluar'!$A:$A,M23828,'Barang Keluar'!$C:$C,N23828))</f>
        <v>0</v>
      </c>
    </row>
    <row r="23829" spans="13:16">
      <c r="M23829" s="49">
        <f>IF($A$4+238&gt;$B$4,"",$A$4+238)</f>
        <v>46261</v>
      </c>
      <c r="N23829" t="str">
        <f>IF(M23829="","",'Master Barang'!A23)</f>
        <v>PRL-022</v>
      </c>
      <c r="O23829" t="str">
        <f>IF(N23829="","",'Master Barang'!B23)</f>
        <v>sabun cuci tangan</v>
      </c>
      <c r="P23829">
        <f>IF(OR(M23829="",N23829=""),"",SUMIFS('Barang Keluar'!$E:$E,'Barang Keluar'!$A:$A,M23829,'Barang Keluar'!$C:$C,N23829))</f>
        <v>0</v>
      </c>
    </row>
    <row r="23830" spans="13:16">
      <c r="M23830" s="49">
        <f>IF($A$4+238&gt;$B$4,"",$A$4+238)</f>
        <v>46261</v>
      </c>
      <c r="N23830" t="str">
        <f>IF(M23830="","",'Master Barang'!A24)</f>
        <v>PRL-023</v>
      </c>
      <c r="O23830" t="str">
        <f>IF(N23830="","",'Master Barang'!B24)</f>
        <v>gayung kecil</v>
      </c>
      <c r="P23830">
        <f>IF(OR(M23830="",N23830=""),"",SUMIFS('Barang Keluar'!$E:$E,'Barang Keluar'!$A:$A,M23830,'Barang Keluar'!$C:$C,N23830))</f>
        <v>0</v>
      </c>
    </row>
    <row r="23831" spans="13:16">
      <c r="M23831" s="49">
        <f>IF($A$4+238&gt;$B$4,"",$A$4+238)</f>
        <v>46261</v>
      </c>
      <c r="N23831" t="str">
        <f>IF(M23831="","",'Master Barang'!A25)</f>
        <v>PRL-024</v>
      </c>
      <c r="O23831" t="str">
        <f>IF(N23831="","",'Master Barang'!B25)</f>
        <v>cikrak kecil</v>
      </c>
      <c r="P23831">
        <f>IF(OR(M23831="",N23831=""),"",SUMIFS('Barang Keluar'!$E:$E,'Barang Keluar'!$A:$A,M23831,'Barang Keluar'!$C:$C,N23831))</f>
        <v>0</v>
      </c>
    </row>
    <row r="23832" spans="13:16">
      <c r="M23832" s="49">
        <f>IF($A$4+238&gt;$B$4,"",$A$4+238)</f>
        <v>46261</v>
      </c>
      <c r="N23832" t="str">
        <f>IF(M23832="","",'Master Barang'!A26)</f>
        <v>PRL-025</v>
      </c>
      <c r="O23832" t="str">
        <f>IF(N23832="","",'Master Barang'!B26)</f>
        <v>petromax plastik kecil 12x24 100 lembar</v>
      </c>
      <c r="P23832">
        <f>IF(OR(M23832="",N23832=""),"",SUMIFS('Barang Keluar'!$E:$E,'Barang Keluar'!$A:$A,M23832,'Barang Keluar'!$C:$C,N23832))</f>
        <v>0</v>
      </c>
    </row>
    <row r="23833" spans="13:16">
      <c r="M23833" s="49">
        <f>IF($A$4+238&gt;$B$4,"",$A$4+238)</f>
        <v>46261</v>
      </c>
      <c r="N23833" t="str">
        <f>IF(M23833="","",'Master Barang'!A27)</f>
        <v>PRL-026</v>
      </c>
      <c r="O23833" t="str">
        <f>IF(N23833="","",'Master Barang'!B27)</f>
        <v>lancar kresek kecil bening </v>
      </c>
      <c r="P23833">
        <f>IF(OR(M23833="",N23833=""),"",SUMIFS('Barang Keluar'!$E:$E,'Barang Keluar'!$A:$A,M23833,'Barang Keluar'!$C:$C,N23833))</f>
        <v>0</v>
      </c>
    </row>
    <row r="23834" spans="13:16">
      <c r="M23834" s="49">
        <f>IF($A$4+238&gt;$B$4,"",$A$4+238)</f>
        <v>46261</v>
      </c>
      <c r="N23834" t="str">
        <f>IF(M23834="","",'Master Barang'!A28)</f>
        <v>PRL-027</v>
      </c>
      <c r="O23834" t="str">
        <f>IF(N23834="","",'Master Barang'!B28)</f>
        <v>kresek klin warna warni kecil</v>
      </c>
      <c r="P23834">
        <f>IF(OR(M23834="",N23834=""),"",SUMIFS('Barang Keluar'!$E:$E,'Barang Keluar'!$A:$A,M23834,'Barang Keluar'!$C:$C,N23834))</f>
        <v>0</v>
      </c>
    </row>
    <row r="23835" spans="13:16">
      <c r="M23835" s="49">
        <f>IF($A$4+238&gt;$B$4,"",$A$4+238)</f>
        <v>46261</v>
      </c>
      <c r="N23835" t="str">
        <f>IF(M23835="","",'Master Barang'!A29)</f>
        <v>PRL-028</v>
      </c>
      <c r="O23835" t="str">
        <f>IF(N23835="","",'Master Barang'!B29)</f>
        <v>ctik plastik 7x10 100 pcs</v>
      </c>
      <c r="P23835">
        <f>IF(OR(M23835="",N23835=""),"",SUMIFS('Barang Keluar'!$E:$E,'Barang Keluar'!$A:$A,M23835,'Barang Keluar'!$C:$C,N23835))</f>
        <v>0</v>
      </c>
    </row>
    <row r="23836" spans="13:16">
      <c r="M23836" s="49">
        <f>IF($A$4+238&gt;$B$4,"",$A$4+238)</f>
        <v>46261</v>
      </c>
      <c r="N23836" t="str">
        <f>IF(M23836="","",'Master Barang'!A30)</f>
        <v>PRL-029</v>
      </c>
      <c r="O23836" t="str">
        <f>IF(N23836="","",'Master Barang'!B30)</f>
        <v>ctik plastik 6x10 100 pcs</v>
      </c>
      <c r="P23836">
        <f>IF(OR(M23836="",N23836=""),"",SUMIFS('Barang Keluar'!$E:$E,'Barang Keluar'!$A:$A,M23836,'Barang Keluar'!$C:$C,N23836))</f>
        <v>0</v>
      </c>
    </row>
    <row r="23837" spans="13:16">
      <c r="M23837" s="49">
        <f>IF($A$4+238&gt;$B$4,"",$A$4+238)</f>
        <v>46261</v>
      </c>
      <c r="N23837" t="str">
        <f>IF(M23837="","",'Master Barang'!A31)</f>
        <v>PRL-030</v>
      </c>
      <c r="O23837" t="str">
        <f>IF(N23837="","",'Master Barang'!B31)</f>
        <v>klip plastik 25x16 100 pcs</v>
      </c>
      <c r="P23837">
        <f>IF(OR(M23837="",N23837=""),"",SUMIFS('Barang Keluar'!$E:$E,'Barang Keluar'!$A:$A,M23837,'Barang Keluar'!$C:$C,N23837))</f>
        <v>0</v>
      </c>
    </row>
    <row r="23838" spans="13:16">
      <c r="M23838" s="49">
        <f>IF($A$4+238&gt;$B$4,"",$A$4+238)</f>
        <v>46261</v>
      </c>
      <c r="N23838" t="str">
        <f>IF(M23838="","",'Master Barang'!A32)</f>
        <v>PRL-031</v>
      </c>
      <c r="O23838" t="str">
        <f>IF(N23838="","",'Master Barang'!B32)</f>
        <v>tempat saus 20 ml</v>
      </c>
      <c r="P23838">
        <f>IF(OR(M23838="",N23838=""),"",SUMIFS('Barang Keluar'!$E:$E,'Barang Keluar'!$A:$A,M23838,'Barang Keluar'!$C:$C,N23838))</f>
        <v>0</v>
      </c>
    </row>
    <row r="23839" spans="13:16">
      <c r="M23839" s="49">
        <f>IF($A$4+238&gt;$B$4,"",$A$4+238)</f>
        <v>46261</v>
      </c>
      <c r="N23839" t="str">
        <f>IF(M23839="","",'Master Barang'!A33)</f>
        <v>PRL-032</v>
      </c>
      <c r="O23839" t="str">
        <f>IF(N23839="","",'Master Barang'!B33)</f>
        <v>plastik packaging ag box uk sedang</v>
      </c>
      <c r="P23839">
        <f>IF(OR(M23839="",N23839=""),"",SUMIFS('Barang Keluar'!$E:$E,'Barang Keluar'!$A:$A,M23839,'Barang Keluar'!$C:$C,N23839))</f>
        <v>0</v>
      </c>
    </row>
    <row r="23840" spans="13:16">
      <c r="M23840" s="49">
        <f>IF($A$4+238&gt;$B$4,"",$A$4+238)</f>
        <v>46261</v>
      </c>
      <c r="N23840" t="str">
        <f>IF(M23840="","",'Master Barang'!A34)</f>
        <v>PRL-033</v>
      </c>
      <c r="O23840">
        <f>IF(N23840="","",'Master Barang'!B34)</f>
        <v>0</v>
      </c>
      <c r="P23840">
        <f>IF(OR(M23840="",N23840=""),"",SUMIFS('Barang Keluar'!$E:$E,'Barang Keluar'!$A:$A,M23840,'Barang Keluar'!$C:$C,N23840))</f>
        <v>0</v>
      </c>
    </row>
    <row r="23841" spans="13:16">
      <c r="M23841" s="49">
        <f>IF($A$4+238&gt;$B$4,"",$A$4+238)</f>
        <v>46261</v>
      </c>
      <c r="N23841">
        <f>IF(M23841="","",'Master Barang'!A35)</f>
        <v>0</v>
      </c>
      <c r="O23841">
        <f>IF(N23841="","",'Master Barang'!B35)</f>
        <v>0</v>
      </c>
      <c r="P23841">
        <f>IF(OR(M23841="",N23841=""),"",SUMIFS('Barang Keluar'!$E:$E,'Barang Keluar'!$A:$A,M23841,'Barang Keluar'!$C:$C,N23841))</f>
        <v>0</v>
      </c>
    </row>
    <row r="23842" spans="13:16">
      <c r="M23842" s="49">
        <f>IF($A$4+238&gt;$B$4,"",$A$4+238)</f>
        <v>46261</v>
      </c>
      <c r="N23842">
        <f>IF(M23842="","",'Master Barang'!A36)</f>
        <v>0</v>
      </c>
      <c r="O23842">
        <f>IF(N23842="","",'Master Barang'!B36)</f>
        <v>0</v>
      </c>
      <c r="P23842">
        <f>IF(OR(M23842="",N23842=""),"",SUMIFS('Barang Keluar'!$E:$E,'Barang Keluar'!$A:$A,M23842,'Barang Keluar'!$C:$C,N23842))</f>
        <v>0</v>
      </c>
    </row>
    <row r="23843" spans="13:16">
      <c r="M23843" s="49">
        <f>IF($A$4+238&gt;$B$4,"",$A$4+238)</f>
        <v>46261</v>
      </c>
      <c r="N23843">
        <f>IF(M23843="","",'Master Barang'!A37)</f>
        <v>0</v>
      </c>
      <c r="O23843">
        <f>IF(N23843="","",'Master Barang'!B37)</f>
        <v>0</v>
      </c>
      <c r="P23843">
        <f>IF(OR(M23843="",N23843=""),"",SUMIFS('Barang Keluar'!$E:$E,'Barang Keluar'!$A:$A,M23843,'Barang Keluar'!$C:$C,N23843))</f>
        <v>0</v>
      </c>
    </row>
    <row r="23844" spans="13:16">
      <c r="M23844" s="49">
        <f>IF($A$4+238&gt;$B$4,"",$A$4+238)</f>
        <v>46261</v>
      </c>
      <c r="N23844">
        <f>IF(M23844="","",'Master Barang'!A38)</f>
        <v>0</v>
      </c>
      <c r="O23844">
        <f>IF(N23844="","",'Master Barang'!B38)</f>
        <v>0</v>
      </c>
      <c r="P23844">
        <f>IF(OR(M23844="",N23844=""),"",SUMIFS('Barang Keluar'!$E:$E,'Barang Keluar'!$A:$A,M23844,'Barang Keluar'!$C:$C,N23844))</f>
        <v>0</v>
      </c>
    </row>
    <row r="23845" spans="13:16">
      <c r="M23845" s="49">
        <f>IF($A$4+238&gt;$B$4,"",$A$4+238)</f>
        <v>46261</v>
      </c>
      <c r="N23845">
        <f>IF(M23845="","",'Master Barang'!A39)</f>
        <v>0</v>
      </c>
      <c r="O23845">
        <f>IF(N23845="","",'Master Barang'!B39)</f>
        <v>0</v>
      </c>
      <c r="P23845">
        <f>IF(OR(M23845="",N23845=""),"",SUMIFS('Barang Keluar'!$E:$E,'Barang Keluar'!$A:$A,M23845,'Barang Keluar'!$C:$C,N23845))</f>
        <v>0</v>
      </c>
    </row>
    <row r="23846" spans="13:16">
      <c r="M23846" s="49">
        <f>IF($A$4+238&gt;$B$4,"",$A$4+238)</f>
        <v>46261</v>
      </c>
      <c r="N23846">
        <f>IF(M23846="","",'Master Barang'!A40)</f>
        <v>0</v>
      </c>
      <c r="O23846">
        <f>IF(N23846="","",'Master Barang'!B40)</f>
        <v>0</v>
      </c>
      <c r="P23846">
        <f>IF(OR(M23846="",N23846=""),"",SUMIFS('Barang Keluar'!$E:$E,'Barang Keluar'!$A:$A,M23846,'Barang Keluar'!$C:$C,N23846))</f>
        <v>0</v>
      </c>
    </row>
    <row r="23847" spans="13:16">
      <c r="M23847" s="49">
        <f>IF($A$4+238&gt;$B$4,"",$A$4+238)</f>
        <v>46261</v>
      </c>
      <c r="N23847">
        <f>IF(M23847="","",'Master Barang'!A41)</f>
        <v>0</v>
      </c>
      <c r="O23847">
        <f>IF(N23847="","",'Master Barang'!B41)</f>
        <v>0</v>
      </c>
      <c r="P23847">
        <f>IF(OR(M23847="",N23847=""),"",SUMIFS('Barang Keluar'!$E:$E,'Barang Keluar'!$A:$A,M23847,'Barang Keluar'!$C:$C,N23847))</f>
        <v>0</v>
      </c>
    </row>
    <row r="23848" spans="13:16">
      <c r="M23848" s="49">
        <f>IF($A$4+238&gt;$B$4,"",$A$4+238)</f>
        <v>46261</v>
      </c>
      <c r="N23848">
        <f>IF(M23848="","",'Master Barang'!A42)</f>
        <v>0</v>
      </c>
      <c r="O23848">
        <f>IF(N23848="","",'Master Barang'!B42)</f>
        <v>0</v>
      </c>
      <c r="P23848">
        <f>IF(OR(M23848="",N23848=""),"",SUMIFS('Barang Keluar'!$E:$E,'Barang Keluar'!$A:$A,M23848,'Barang Keluar'!$C:$C,N23848))</f>
        <v>0</v>
      </c>
    </row>
    <row r="23849" spans="13:16">
      <c r="M23849" s="49">
        <f>IF($A$4+238&gt;$B$4,"",$A$4+238)</f>
        <v>46261</v>
      </c>
      <c r="N23849">
        <f>IF(M23849="","",'Master Barang'!A43)</f>
        <v>0</v>
      </c>
      <c r="O23849">
        <f>IF(N23849="","",'Master Barang'!B43)</f>
        <v>0</v>
      </c>
      <c r="P23849">
        <f>IF(OR(M23849="",N23849=""),"",SUMIFS('Barang Keluar'!$E:$E,'Barang Keluar'!$A:$A,M23849,'Barang Keluar'!$C:$C,N23849))</f>
        <v>0</v>
      </c>
    </row>
    <row r="23850" spans="13:16">
      <c r="M23850" s="49">
        <f>IF($A$4+238&gt;$B$4,"",$A$4+238)</f>
        <v>46261</v>
      </c>
      <c r="N23850">
        <f>IF(M23850="","",'Master Barang'!A44)</f>
        <v>0</v>
      </c>
      <c r="O23850">
        <f>IF(N23850="","",'Master Barang'!B44)</f>
        <v>0</v>
      </c>
      <c r="P23850">
        <f>IF(OR(M23850="",N23850=""),"",SUMIFS('Barang Keluar'!$E:$E,'Barang Keluar'!$A:$A,M23850,'Barang Keluar'!$C:$C,N23850))</f>
        <v>0</v>
      </c>
    </row>
    <row r="23851" spans="13:16">
      <c r="M23851" s="49">
        <f>IF($A$4+238&gt;$B$4,"",$A$4+238)</f>
        <v>46261</v>
      </c>
      <c r="N23851">
        <f>IF(M23851="","",'Master Barang'!A45)</f>
        <v>0</v>
      </c>
      <c r="O23851">
        <f>IF(N23851="","",'Master Barang'!B45)</f>
        <v>0</v>
      </c>
      <c r="P23851">
        <f>IF(OR(M23851="",N23851=""),"",SUMIFS('Barang Keluar'!$E:$E,'Barang Keluar'!$A:$A,M23851,'Barang Keluar'!$C:$C,N23851))</f>
        <v>0</v>
      </c>
    </row>
    <row r="23852" spans="13:16">
      <c r="M23852" s="49">
        <f>IF($A$4+238&gt;$B$4,"",$A$4+238)</f>
        <v>46261</v>
      </c>
      <c r="N23852">
        <f>IF(M23852="","",'Master Barang'!A46)</f>
        <v>0</v>
      </c>
      <c r="O23852">
        <f>IF(N23852="","",'Master Barang'!B46)</f>
        <v>0</v>
      </c>
      <c r="P23852">
        <f>IF(OR(M23852="",N23852=""),"",SUMIFS('Barang Keluar'!$E:$E,'Barang Keluar'!$A:$A,M23852,'Barang Keluar'!$C:$C,N23852))</f>
        <v>0</v>
      </c>
    </row>
    <row r="23853" spans="13:16">
      <c r="M23853" s="49">
        <f>IF($A$4+238&gt;$B$4,"",$A$4+238)</f>
        <v>46261</v>
      </c>
      <c r="N23853">
        <f>IF(M23853="","",'Master Barang'!A47)</f>
        <v>0</v>
      </c>
      <c r="O23853">
        <f>IF(N23853="","",'Master Barang'!B47)</f>
        <v>0</v>
      </c>
      <c r="P23853">
        <f>IF(OR(M23853="",N23853=""),"",SUMIFS('Barang Keluar'!$E:$E,'Barang Keluar'!$A:$A,M23853,'Barang Keluar'!$C:$C,N23853))</f>
        <v>0</v>
      </c>
    </row>
    <row r="23854" spans="13:16">
      <c r="M23854" s="49">
        <f>IF($A$4+238&gt;$B$4,"",$A$4+238)</f>
        <v>46261</v>
      </c>
      <c r="N23854">
        <f>IF(M23854="","",'Master Barang'!A48)</f>
        <v>0</v>
      </c>
      <c r="O23854">
        <f>IF(N23854="","",'Master Barang'!B48)</f>
        <v>0</v>
      </c>
      <c r="P23854">
        <f>IF(OR(M23854="",N23854=""),"",SUMIFS('Barang Keluar'!$E:$E,'Barang Keluar'!$A:$A,M23854,'Barang Keluar'!$C:$C,N23854))</f>
        <v>0</v>
      </c>
    </row>
    <row r="23855" spans="13:16">
      <c r="M23855" s="49">
        <f>IF($A$4+238&gt;$B$4,"",$A$4+238)</f>
        <v>46261</v>
      </c>
      <c r="N23855">
        <f>IF(M23855="","",'Master Barang'!A49)</f>
        <v>0</v>
      </c>
      <c r="O23855">
        <f>IF(N23855="","",'Master Barang'!B49)</f>
        <v>0</v>
      </c>
      <c r="P23855">
        <f>IF(OR(M23855="",N23855=""),"",SUMIFS('Barang Keluar'!$E:$E,'Barang Keluar'!$A:$A,M23855,'Barang Keluar'!$C:$C,N23855))</f>
        <v>0</v>
      </c>
    </row>
    <row r="23856" spans="13:16">
      <c r="M23856" s="49">
        <f>IF($A$4+238&gt;$B$4,"",$A$4+238)</f>
        <v>46261</v>
      </c>
      <c r="N23856">
        <f>IF(M23856="","",'Master Barang'!A50)</f>
        <v>0</v>
      </c>
      <c r="O23856">
        <f>IF(N23856="","",'Master Barang'!B50)</f>
        <v>0</v>
      </c>
      <c r="P23856">
        <f>IF(OR(M23856="",N23856=""),"",SUMIFS('Barang Keluar'!$E:$E,'Barang Keluar'!$A:$A,M23856,'Barang Keluar'!$C:$C,N23856))</f>
        <v>0</v>
      </c>
    </row>
    <row r="23857" spans="13:16">
      <c r="M23857" s="49">
        <f>IF($A$4+238&gt;$B$4,"",$A$4+238)</f>
        <v>46261</v>
      </c>
      <c r="N23857">
        <f>IF(M23857="","",'Master Barang'!A51)</f>
        <v>0</v>
      </c>
      <c r="O23857">
        <f>IF(N23857="","",'Master Barang'!B51)</f>
        <v>0</v>
      </c>
      <c r="P23857">
        <f>IF(OR(M23857="",N23857=""),"",SUMIFS('Barang Keluar'!$E:$E,'Barang Keluar'!$A:$A,M23857,'Barang Keluar'!$C:$C,N23857))</f>
        <v>0</v>
      </c>
    </row>
    <row r="23858" spans="13:16">
      <c r="M23858" s="49">
        <f>IF($A$4+238&gt;$B$4,"",$A$4+238)</f>
        <v>46261</v>
      </c>
      <c r="N23858">
        <f>IF(M23858="","",'Master Barang'!A52)</f>
        <v>0</v>
      </c>
      <c r="O23858">
        <f>IF(N23858="","",'Master Barang'!B52)</f>
        <v>0</v>
      </c>
      <c r="P23858">
        <f>IF(OR(M23858="",N23858=""),"",SUMIFS('Barang Keluar'!$E:$E,'Barang Keluar'!$A:$A,M23858,'Barang Keluar'!$C:$C,N23858))</f>
        <v>0</v>
      </c>
    </row>
    <row r="23859" spans="13:16">
      <c r="M23859" s="49">
        <f>IF($A$4+238&gt;$B$4,"",$A$4+238)</f>
        <v>46261</v>
      </c>
      <c r="N23859">
        <f>IF(M23859="","",'Master Barang'!A53)</f>
        <v>0</v>
      </c>
      <c r="O23859">
        <f>IF(N23859="","",'Master Barang'!B53)</f>
        <v>0</v>
      </c>
      <c r="P23859">
        <f>IF(OR(M23859="",N23859=""),"",SUMIFS('Barang Keluar'!$E:$E,'Barang Keluar'!$A:$A,M23859,'Barang Keluar'!$C:$C,N23859))</f>
        <v>0</v>
      </c>
    </row>
    <row r="23860" spans="13:16">
      <c r="M23860" s="49">
        <f>IF($A$4+238&gt;$B$4,"",$A$4+238)</f>
        <v>46261</v>
      </c>
      <c r="N23860">
        <f>IF(M23860="","",'Master Barang'!A54)</f>
        <v>0</v>
      </c>
      <c r="O23860">
        <f>IF(N23860="","",'Master Barang'!B54)</f>
        <v>0</v>
      </c>
      <c r="P23860">
        <f>IF(OR(M23860="",N23860=""),"",SUMIFS('Barang Keluar'!$E:$E,'Barang Keluar'!$A:$A,M23860,'Barang Keluar'!$C:$C,N23860))</f>
        <v>0</v>
      </c>
    </row>
    <row r="23861" spans="13:16">
      <c r="M23861" s="49">
        <f>IF($A$4+238&gt;$B$4,"",$A$4+238)</f>
        <v>46261</v>
      </c>
      <c r="N23861">
        <f>IF(M23861="","",'Master Barang'!A55)</f>
        <v>0</v>
      </c>
      <c r="O23861">
        <f>IF(N23861="","",'Master Barang'!B55)</f>
        <v>0</v>
      </c>
      <c r="P23861">
        <f>IF(OR(M23861="",N23861=""),"",SUMIFS('Barang Keluar'!$E:$E,'Barang Keluar'!$A:$A,M23861,'Barang Keluar'!$C:$C,N23861))</f>
        <v>0</v>
      </c>
    </row>
    <row r="23862" spans="13:16">
      <c r="M23862" s="49">
        <f>IF($A$4+238&gt;$B$4,"",$A$4+238)</f>
        <v>46261</v>
      </c>
      <c r="N23862">
        <f>IF(M23862="","",'Master Barang'!A56)</f>
        <v>0</v>
      </c>
      <c r="O23862">
        <f>IF(N23862="","",'Master Barang'!B56)</f>
        <v>0</v>
      </c>
      <c r="P23862">
        <f>IF(OR(M23862="",N23862=""),"",SUMIFS('Barang Keluar'!$E:$E,'Barang Keluar'!$A:$A,M23862,'Barang Keluar'!$C:$C,N23862))</f>
        <v>0</v>
      </c>
    </row>
    <row r="23863" spans="13:16">
      <c r="M23863" s="49">
        <f>IF($A$4+238&gt;$B$4,"",$A$4+238)</f>
        <v>46261</v>
      </c>
      <c r="N23863">
        <f>IF(M23863="","",'Master Barang'!A57)</f>
        <v>0</v>
      </c>
      <c r="O23863">
        <f>IF(N23863="","",'Master Barang'!B57)</f>
        <v>0</v>
      </c>
      <c r="P23863">
        <f>IF(OR(M23863="",N23863=""),"",SUMIFS('Barang Keluar'!$E:$E,'Barang Keluar'!$A:$A,M23863,'Barang Keluar'!$C:$C,N23863))</f>
        <v>0</v>
      </c>
    </row>
    <row r="23864" spans="13:16">
      <c r="M23864" s="49">
        <f>IF($A$4+238&gt;$B$4,"",$A$4+238)</f>
        <v>46261</v>
      </c>
      <c r="N23864">
        <f>IF(M23864="","",'Master Barang'!A58)</f>
        <v>0</v>
      </c>
      <c r="O23864">
        <f>IF(N23864="","",'Master Barang'!B58)</f>
        <v>0</v>
      </c>
      <c r="P23864">
        <f>IF(OR(M23864="",N23864=""),"",SUMIFS('Barang Keluar'!$E:$E,'Barang Keluar'!$A:$A,M23864,'Barang Keluar'!$C:$C,N23864))</f>
        <v>0</v>
      </c>
    </row>
    <row r="23865" spans="13:16">
      <c r="M23865" s="49">
        <f>IF($A$4+238&gt;$B$4,"",$A$4+238)</f>
        <v>46261</v>
      </c>
      <c r="N23865">
        <f>IF(M23865="","",'Master Barang'!A59)</f>
        <v>0</v>
      </c>
      <c r="O23865">
        <f>IF(N23865="","",'Master Barang'!B59)</f>
        <v>0</v>
      </c>
      <c r="P23865">
        <f>IF(OR(M23865="",N23865=""),"",SUMIFS('Barang Keluar'!$E:$E,'Barang Keluar'!$A:$A,M23865,'Barang Keluar'!$C:$C,N23865))</f>
        <v>0</v>
      </c>
    </row>
    <row r="23866" spans="13:16">
      <c r="M23866" s="49">
        <f>IF($A$4+238&gt;$B$4,"",$A$4+238)</f>
        <v>46261</v>
      </c>
      <c r="N23866">
        <f>IF(M23866="","",'Master Barang'!A60)</f>
        <v>0</v>
      </c>
      <c r="O23866">
        <f>IF(N23866="","",'Master Barang'!B60)</f>
        <v>0</v>
      </c>
      <c r="P23866">
        <f>IF(OR(M23866="",N23866=""),"",SUMIFS('Barang Keluar'!$E:$E,'Barang Keluar'!$A:$A,M23866,'Barang Keluar'!$C:$C,N23866))</f>
        <v>0</v>
      </c>
    </row>
    <row r="23867" spans="13:16">
      <c r="M23867" s="49">
        <f>IF($A$4+238&gt;$B$4,"",$A$4+238)</f>
        <v>46261</v>
      </c>
      <c r="N23867">
        <f>IF(M23867="","",'Master Barang'!A61)</f>
        <v>0</v>
      </c>
      <c r="O23867">
        <f>IF(N23867="","",'Master Barang'!B61)</f>
        <v>0</v>
      </c>
      <c r="P23867">
        <f>IF(OR(M23867="",N23867=""),"",SUMIFS('Barang Keluar'!$E:$E,'Barang Keluar'!$A:$A,M23867,'Barang Keluar'!$C:$C,N23867))</f>
        <v>0</v>
      </c>
    </row>
    <row r="23868" spans="13:16">
      <c r="M23868" s="49">
        <f>IF($A$4+238&gt;$B$4,"",$A$4+238)</f>
        <v>46261</v>
      </c>
      <c r="N23868">
        <f>IF(M23868="","",'Master Barang'!A62)</f>
        <v>0</v>
      </c>
      <c r="O23868">
        <f>IF(N23868="","",'Master Barang'!B62)</f>
        <v>0</v>
      </c>
      <c r="P23868">
        <f>IF(OR(M23868="",N23868=""),"",SUMIFS('Barang Keluar'!$E:$E,'Barang Keluar'!$A:$A,M23868,'Barang Keluar'!$C:$C,N23868))</f>
        <v>0</v>
      </c>
    </row>
    <row r="23869" spans="13:16">
      <c r="M23869" s="49">
        <f>IF($A$4+238&gt;$B$4,"",$A$4+238)</f>
        <v>46261</v>
      </c>
      <c r="N23869">
        <f>IF(M23869="","",'Master Barang'!A63)</f>
        <v>0</v>
      </c>
      <c r="O23869">
        <f>IF(N23869="","",'Master Barang'!B63)</f>
        <v>0</v>
      </c>
      <c r="P23869">
        <f>IF(OR(M23869="",N23869=""),"",SUMIFS('Barang Keluar'!$E:$E,'Barang Keluar'!$A:$A,M23869,'Barang Keluar'!$C:$C,N23869))</f>
        <v>0</v>
      </c>
    </row>
    <row r="23870" spans="13:16">
      <c r="M23870" s="49">
        <f>IF($A$4+238&gt;$B$4,"",$A$4+238)</f>
        <v>46261</v>
      </c>
      <c r="N23870">
        <f>IF(M23870="","",'Master Barang'!A64)</f>
        <v>0</v>
      </c>
      <c r="O23870">
        <f>IF(N23870="","",'Master Barang'!B64)</f>
        <v>0</v>
      </c>
      <c r="P23870">
        <f>IF(OR(M23870="",N23870=""),"",SUMIFS('Barang Keluar'!$E:$E,'Barang Keluar'!$A:$A,M23870,'Barang Keluar'!$C:$C,N23870))</f>
        <v>0</v>
      </c>
    </row>
    <row r="23871" spans="13:16">
      <c r="M23871" s="49">
        <f>IF($A$4+238&gt;$B$4,"",$A$4+238)</f>
        <v>46261</v>
      </c>
      <c r="N23871">
        <f>IF(M23871="","",'Master Barang'!A65)</f>
        <v>0</v>
      </c>
      <c r="O23871">
        <f>IF(N23871="","",'Master Barang'!B65)</f>
        <v>0</v>
      </c>
      <c r="P23871">
        <f>IF(OR(M23871="",N23871=""),"",SUMIFS('Barang Keluar'!$E:$E,'Barang Keluar'!$A:$A,M23871,'Barang Keluar'!$C:$C,N23871))</f>
        <v>0</v>
      </c>
    </row>
    <row r="23872" spans="13:16">
      <c r="M23872" s="49">
        <f>IF($A$4+238&gt;$B$4,"",$A$4+238)</f>
        <v>46261</v>
      </c>
      <c r="N23872">
        <f>IF(M23872="","",'Master Barang'!A66)</f>
        <v>0</v>
      </c>
      <c r="O23872">
        <f>IF(N23872="","",'Master Barang'!B66)</f>
        <v>0</v>
      </c>
      <c r="P23872">
        <f>IF(OR(M23872="",N23872=""),"",SUMIFS('Barang Keluar'!$E:$E,'Barang Keluar'!$A:$A,M23872,'Barang Keluar'!$C:$C,N23872))</f>
        <v>0</v>
      </c>
    </row>
    <row r="23873" spans="13:16">
      <c r="M23873" s="49">
        <f>IF($A$4+238&gt;$B$4,"",$A$4+238)</f>
        <v>46261</v>
      </c>
      <c r="N23873">
        <f>IF(M23873="","",'Master Barang'!A67)</f>
        <v>0</v>
      </c>
      <c r="O23873">
        <f>IF(N23873="","",'Master Barang'!B67)</f>
        <v>0</v>
      </c>
      <c r="P23873">
        <f>IF(OR(M23873="",N23873=""),"",SUMIFS('Barang Keluar'!$E:$E,'Barang Keluar'!$A:$A,M23873,'Barang Keluar'!$C:$C,N23873))</f>
        <v>0</v>
      </c>
    </row>
    <row r="23874" spans="13:16">
      <c r="M23874" s="49">
        <f>IF($A$4+238&gt;$B$4,"",$A$4+238)</f>
        <v>46261</v>
      </c>
      <c r="N23874">
        <f>IF(M23874="","",'Master Barang'!A68)</f>
        <v>0</v>
      </c>
      <c r="O23874">
        <f>IF(N23874="","",'Master Barang'!B68)</f>
        <v>0</v>
      </c>
      <c r="P23874">
        <f>IF(OR(M23874="",N23874=""),"",SUMIFS('Barang Keluar'!$E:$E,'Barang Keluar'!$A:$A,M23874,'Barang Keluar'!$C:$C,N23874))</f>
        <v>0</v>
      </c>
    </row>
    <row r="23875" spans="13:16">
      <c r="M23875" s="49">
        <f>IF($A$4+238&gt;$B$4,"",$A$4+238)</f>
        <v>46261</v>
      </c>
      <c r="N23875">
        <f>IF(M23875="","",'Master Barang'!A69)</f>
        <v>0</v>
      </c>
      <c r="O23875">
        <f>IF(N23875="","",'Master Barang'!B69)</f>
        <v>0</v>
      </c>
      <c r="P23875">
        <f>IF(OR(M23875="",N23875=""),"",SUMIFS('Barang Keluar'!$E:$E,'Barang Keluar'!$A:$A,M23875,'Barang Keluar'!$C:$C,N23875))</f>
        <v>0</v>
      </c>
    </row>
    <row r="23876" spans="13:16">
      <c r="M23876" s="49">
        <f>IF($A$4+238&gt;$B$4,"",$A$4+238)</f>
        <v>46261</v>
      </c>
      <c r="N23876">
        <f>IF(M23876="","",'Master Barang'!A70)</f>
        <v>0</v>
      </c>
      <c r="O23876">
        <f>IF(N23876="","",'Master Barang'!B70)</f>
        <v>0</v>
      </c>
      <c r="P23876">
        <f>IF(OR(M23876="",N23876=""),"",SUMIFS('Barang Keluar'!$E:$E,'Barang Keluar'!$A:$A,M23876,'Barang Keluar'!$C:$C,N23876))</f>
        <v>0</v>
      </c>
    </row>
    <row r="23877" spans="13:16">
      <c r="M23877" s="49">
        <f>IF($A$4+238&gt;$B$4,"",$A$4+238)</f>
        <v>46261</v>
      </c>
      <c r="N23877">
        <f>IF(M23877="","",'Master Barang'!A71)</f>
        <v>0</v>
      </c>
      <c r="O23877">
        <f>IF(N23877="","",'Master Barang'!B71)</f>
        <v>0</v>
      </c>
      <c r="P23877">
        <f>IF(OR(M23877="",N23877=""),"",SUMIFS('Barang Keluar'!$E:$E,'Barang Keluar'!$A:$A,M23877,'Barang Keluar'!$C:$C,N23877))</f>
        <v>0</v>
      </c>
    </row>
    <row r="23878" spans="13:16">
      <c r="M23878" s="49">
        <f>IF($A$4+238&gt;$B$4,"",$A$4+238)</f>
        <v>46261</v>
      </c>
      <c r="N23878">
        <f>IF(M23878="","",'Master Barang'!A72)</f>
        <v>0</v>
      </c>
      <c r="O23878">
        <f>IF(N23878="","",'Master Barang'!B72)</f>
        <v>0</v>
      </c>
      <c r="P23878">
        <f>IF(OR(M23878="",N23878=""),"",SUMIFS('Barang Keluar'!$E:$E,'Barang Keluar'!$A:$A,M23878,'Barang Keluar'!$C:$C,N23878))</f>
        <v>0</v>
      </c>
    </row>
    <row r="23879" spans="13:16">
      <c r="M23879" s="49">
        <f>IF($A$4+238&gt;$B$4,"",$A$4+238)</f>
        <v>46261</v>
      </c>
      <c r="N23879">
        <f>IF(M23879="","",'Master Barang'!A73)</f>
        <v>0</v>
      </c>
      <c r="O23879">
        <f>IF(N23879="","",'Master Barang'!B73)</f>
        <v>0</v>
      </c>
      <c r="P23879">
        <f>IF(OR(M23879="",N23879=""),"",SUMIFS('Barang Keluar'!$E:$E,'Barang Keluar'!$A:$A,M23879,'Barang Keluar'!$C:$C,N23879))</f>
        <v>0</v>
      </c>
    </row>
    <row r="23880" spans="13:16">
      <c r="M23880" s="49">
        <f>IF($A$4+238&gt;$B$4,"",$A$4+238)</f>
        <v>46261</v>
      </c>
      <c r="N23880">
        <f>IF(M23880="","",'Master Barang'!A74)</f>
        <v>0</v>
      </c>
      <c r="O23880">
        <f>IF(N23880="","",'Master Barang'!B74)</f>
        <v>0</v>
      </c>
      <c r="P23880">
        <f>IF(OR(M23880="",N23880=""),"",SUMIFS('Barang Keluar'!$E:$E,'Barang Keluar'!$A:$A,M23880,'Barang Keluar'!$C:$C,N23880))</f>
        <v>0</v>
      </c>
    </row>
    <row r="23881" spans="13:16">
      <c r="M23881" s="49">
        <f>IF($A$4+238&gt;$B$4,"",$A$4+238)</f>
        <v>46261</v>
      </c>
      <c r="N23881">
        <f>IF(M23881="","",'Master Barang'!A75)</f>
        <v>0</v>
      </c>
      <c r="O23881">
        <f>IF(N23881="","",'Master Barang'!B75)</f>
        <v>0</v>
      </c>
      <c r="P23881">
        <f>IF(OR(M23881="",N23881=""),"",SUMIFS('Barang Keluar'!$E:$E,'Barang Keluar'!$A:$A,M23881,'Barang Keluar'!$C:$C,N23881))</f>
        <v>0</v>
      </c>
    </row>
    <row r="23882" spans="13:16">
      <c r="M23882" s="49">
        <f>IF($A$4+238&gt;$B$4,"",$A$4+238)</f>
        <v>46261</v>
      </c>
      <c r="N23882">
        <f>IF(M23882="","",'Master Barang'!A76)</f>
        <v>0</v>
      </c>
      <c r="O23882">
        <f>IF(N23882="","",'Master Barang'!B76)</f>
        <v>0</v>
      </c>
      <c r="P23882">
        <f>IF(OR(M23882="",N23882=""),"",SUMIFS('Barang Keluar'!$E:$E,'Barang Keluar'!$A:$A,M23882,'Barang Keluar'!$C:$C,N23882))</f>
        <v>0</v>
      </c>
    </row>
    <row r="23883" spans="13:16">
      <c r="M23883" s="49">
        <f>IF($A$4+238&gt;$B$4,"",$A$4+238)</f>
        <v>46261</v>
      </c>
      <c r="N23883">
        <f>IF(M23883="","",'Master Barang'!A77)</f>
        <v>0</v>
      </c>
      <c r="O23883">
        <f>IF(N23883="","",'Master Barang'!B77)</f>
        <v>0</v>
      </c>
      <c r="P23883">
        <f>IF(OR(M23883="",N23883=""),"",SUMIFS('Barang Keluar'!$E:$E,'Barang Keluar'!$A:$A,M23883,'Barang Keluar'!$C:$C,N23883))</f>
        <v>0</v>
      </c>
    </row>
    <row r="23884" spans="13:16">
      <c r="M23884" s="49">
        <f>IF($A$4+238&gt;$B$4,"",$A$4+238)</f>
        <v>46261</v>
      </c>
      <c r="N23884">
        <f>IF(M23884="","",'Master Barang'!A78)</f>
        <v>0</v>
      </c>
      <c r="O23884">
        <f>IF(N23884="","",'Master Barang'!B78)</f>
        <v>0</v>
      </c>
      <c r="P23884">
        <f>IF(OR(M23884="",N23884=""),"",SUMIFS('Barang Keluar'!$E:$E,'Barang Keluar'!$A:$A,M23884,'Barang Keluar'!$C:$C,N23884))</f>
        <v>0</v>
      </c>
    </row>
    <row r="23885" spans="13:16">
      <c r="M23885" s="49">
        <f>IF($A$4+238&gt;$B$4,"",$A$4+238)</f>
        <v>46261</v>
      </c>
      <c r="N23885">
        <f>IF(M23885="","",'Master Barang'!A79)</f>
        <v>0</v>
      </c>
      <c r="O23885">
        <f>IF(N23885="","",'Master Barang'!B79)</f>
        <v>0</v>
      </c>
      <c r="P23885">
        <f>IF(OR(M23885="",N23885=""),"",SUMIFS('Barang Keluar'!$E:$E,'Barang Keluar'!$A:$A,M23885,'Barang Keluar'!$C:$C,N23885))</f>
        <v>0</v>
      </c>
    </row>
    <row r="23886" spans="13:16">
      <c r="M23886" s="49">
        <f>IF($A$4+238&gt;$B$4,"",$A$4+238)</f>
        <v>46261</v>
      </c>
      <c r="N23886">
        <f>IF(M23886="","",'Master Barang'!A80)</f>
        <v>0</v>
      </c>
      <c r="O23886">
        <f>IF(N23886="","",'Master Barang'!B80)</f>
        <v>0</v>
      </c>
      <c r="P23886">
        <f>IF(OR(M23886="",N23886=""),"",SUMIFS('Barang Keluar'!$E:$E,'Barang Keluar'!$A:$A,M23886,'Barang Keluar'!$C:$C,N23886))</f>
        <v>0</v>
      </c>
    </row>
    <row r="23887" spans="13:16">
      <c r="M23887" s="49">
        <f>IF($A$4+238&gt;$B$4,"",$A$4+238)</f>
        <v>46261</v>
      </c>
      <c r="N23887">
        <f>IF(M23887="","",'Master Barang'!A81)</f>
        <v>0</v>
      </c>
      <c r="O23887">
        <f>IF(N23887="","",'Master Barang'!B81)</f>
        <v>0</v>
      </c>
      <c r="P23887">
        <f>IF(OR(M23887="",N23887=""),"",SUMIFS('Barang Keluar'!$E:$E,'Barang Keluar'!$A:$A,M23887,'Barang Keluar'!$C:$C,N23887))</f>
        <v>0</v>
      </c>
    </row>
    <row r="23888" spans="13:16">
      <c r="M23888" s="49">
        <f>IF($A$4+238&gt;$B$4,"",$A$4+238)</f>
        <v>46261</v>
      </c>
      <c r="N23888">
        <f>IF(M23888="","",'Master Barang'!A82)</f>
        <v>0</v>
      </c>
      <c r="O23888">
        <f>IF(N23888="","",'Master Barang'!B82)</f>
        <v>0</v>
      </c>
      <c r="P23888">
        <f>IF(OR(M23888="",N23888=""),"",SUMIFS('Barang Keluar'!$E:$E,'Barang Keluar'!$A:$A,M23888,'Barang Keluar'!$C:$C,N23888))</f>
        <v>0</v>
      </c>
    </row>
    <row r="23889" spans="13:16">
      <c r="M23889" s="49">
        <f>IF($A$4+238&gt;$B$4,"",$A$4+238)</f>
        <v>46261</v>
      </c>
      <c r="N23889">
        <f>IF(M23889="","",'Master Barang'!A83)</f>
        <v>0</v>
      </c>
      <c r="O23889">
        <f>IF(N23889="","",'Master Barang'!B83)</f>
        <v>0</v>
      </c>
      <c r="P23889">
        <f>IF(OR(M23889="",N23889=""),"",SUMIFS('Barang Keluar'!$E:$E,'Barang Keluar'!$A:$A,M23889,'Barang Keluar'!$C:$C,N23889))</f>
        <v>0</v>
      </c>
    </row>
    <row r="23890" spans="13:16">
      <c r="M23890" s="49">
        <f>IF($A$4+238&gt;$B$4,"",$A$4+238)</f>
        <v>46261</v>
      </c>
      <c r="N23890">
        <f>IF(M23890="","",'Master Barang'!A84)</f>
        <v>0</v>
      </c>
      <c r="O23890">
        <f>IF(N23890="","",'Master Barang'!B84)</f>
        <v>0</v>
      </c>
      <c r="P23890">
        <f>IF(OR(M23890="",N23890=""),"",SUMIFS('Barang Keluar'!$E:$E,'Barang Keluar'!$A:$A,M23890,'Barang Keluar'!$C:$C,N23890))</f>
        <v>0</v>
      </c>
    </row>
    <row r="23891" spans="13:16">
      <c r="M23891" s="49">
        <f>IF($A$4+238&gt;$B$4,"",$A$4+238)</f>
        <v>46261</v>
      </c>
      <c r="N23891">
        <f>IF(M23891="","",'Master Barang'!A85)</f>
        <v>0</v>
      </c>
      <c r="O23891">
        <f>IF(N23891="","",'Master Barang'!B85)</f>
        <v>0</v>
      </c>
      <c r="P23891">
        <f>IF(OR(M23891="",N23891=""),"",SUMIFS('Barang Keluar'!$E:$E,'Barang Keluar'!$A:$A,M23891,'Barang Keluar'!$C:$C,N23891))</f>
        <v>0</v>
      </c>
    </row>
    <row r="23892" spans="13:16">
      <c r="M23892" s="49">
        <f>IF($A$4+238&gt;$B$4,"",$A$4+238)</f>
        <v>46261</v>
      </c>
      <c r="N23892">
        <f>IF(M23892="","",'Master Barang'!A86)</f>
        <v>0</v>
      </c>
      <c r="O23892">
        <f>IF(N23892="","",'Master Barang'!B86)</f>
        <v>0</v>
      </c>
      <c r="P23892">
        <f>IF(OR(M23892="",N23892=""),"",SUMIFS('Barang Keluar'!$E:$E,'Barang Keluar'!$A:$A,M23892,'Barang Keluar'!$C:$C,N23892))</f>
        <v>0</v>
      </c>
    </row>
    <row r="23893" spans="13:16">
      <c r="M23893" s="49">
        <f>IF($A$4+238&gt;$B$4,"",$A$4+238)</f>
        <v>46261</v>
      </c>
      <c r="N23893">
        <f>IF(M23893="","",'Master Barang'!A87)</f>
        <v>0</v>
      </c>
      <c r="O23893">
        <f>IF(N23893="","",'Master Barang'!B87)</f>
        <v>0</v>
      </c>
      <c r="P23893">
        <f>IF(OR(M23893="",N23893=""),"",SUMIFS('Barang Keluar'!$E:$E,'Barang Keluar'!$A:$A,M23893,'Barang Keluar'!$C:$C,N23893))</f>
        <v>0</v>
      </c>
    </row>
    <row r="23894" spans="13:16">
      <c r="M23894" s="49">
        <f>IF($A$4+238&gt;$B$4,"",$A$4+238)</f>
        <v>46261</v>
      </c>
      <c r="N23894">
        <f>IF(M23894="","",'Master Barang'!A88)</f>
        <v>0</v>
      </c>
      <c r="O23894">
        <f>IF(N23894="","",'Master Barang'!B88)</f>
        <v>0</v>
      </c>
      <c r="P23894">
        <f>IF(OR(M23894="",N23894=""),"",SUMIFS('Barang Keluar'!$E:$E,'Barang Keluar'!$A:$A,M23894,'Barang Keluar'!$C:$C,N23894))</f>
        <v>0</v>
      </c>
    </row>
    <row r="23895" spans="13:16">
      <c r="M23895" s="49">
        <f>IF($A$4+238&gt;$B$4,"",$A$4+238)</f>
        <v>46261</v>
      </c>
      <c r="N23895">
        <f>IF(M23895="","",'Master Barang'!A89)</f>
        <v>0</v>
      </c>
      <c r="O23895">
        <f>IF(N23895="","",'Master Barang'!B89)</f>
        <v>0</v>
      </c>
      <c r="P23895">
        <f>IF(OR(M23895="",N23895=""),"",SUMIFS('Barang Keluar'!$E:$E,'Barang Keluar'!$A:$A,M23895,'Barang Keluar'!$C:$C,N23895))</f>
        <v>0</v>
      </c>
    </row>
    <row r="23896" spans="13:16">
      <c r="M23896" s="49">
        <f>IF($A$4+238&gt;$B$4,"",$A$4+238)</f>
        <v>46261</v>
      </c>
      <c r="N23896">
        <f>IF(M23896="","",'Master Barang'!A90)</f>
        <v>0</v>
      </c>
      <c r="O23896">
        <f>IF(N23896="","",'Master Barang'!B90)</f>
        <v>0</v>
      </c>
      <c r="P23896">
        <f>IF(OR(M23896="",N23896=""),"",SUMIFS('Barang Keluar'!$E:$E,'Barang Keluar'!$A:$A,M23896,'Barang Keluar'!$C:$C,N23896))</f>
        <v>0</v>
      </c>
    </row>
    <row r="23897" spans="13:16">
      <c r="M23897" s="49">
        <f>IF($A$4+238&gt;$B$4,"",$A$4+238)</f>
        <v>46261</v>
      </c>
      <c r="N23897">
        <f>IF(M23897="","",'Master Barang'!A91)</f>
        <v>0</v>
      </c>
      <c r="O23897">
        <f>IF(N23897="","",'Master Barang'!B91)</f>
        <v>0</v>
      </c>
      <c r="P23897">
        <f>IF(OR(M23897="",N23897=""),"",SUMIFS('Barang Keluar'!$E:$E,'Barang Keluar'!$A:$A,M23897,'Barang Keluar'!$C:$C,N23897))</f>
        <v>0</v>
      </c>
    </row>
    <row r="23898" spans="13:16">
      <c r="M23898" s="49">
        <f>IF($A$4+238&gt;$B$4,"",$A$4+238)</f>
        <v>46261</v>
      </c>
      <c r="N23898">
        <f>IF(M23898="","",'Master Barang'!A92)</f>
        <v>0</v>
      </c>
      <c r="O23898">
        <f>IF(N23898="","",'Master Barang'!B92)</f>
        <v>0</v>
      </c>
      <c r="P23898">
        <f>IF(OR(M23898="",N23898=""),"",SUMIFS('Barang Keluar'!$E:$E,'Barang Keluar'!$A:$A,M23898,'Barang Keluar'!$C:$C,N23898))</f>
        <v>0</v>
      </c>
    </row>
    <row r="23899" spans="13:16">
      <c r="M23899" s="49">
        <f>IF($A$4+238&gt;$B$4,"",$A$4+238)</f>
        <v>46261</v>
      </c>
      <c r="N23899">
        <f>IF(M23899="","",'Master Barang'!A93)</f>
        <v>0</v>
      </c>
      <c r="O23899">
        <f>IF(N23899="","",'Master Barang'!B93)</f>
        <v>0</v>
      </c>
      <c r="P23899">
        <f>IF(OR(M23899="",N23899=""),"",SUMIFS('Barang Keluar'!$E:$E,'Barang Keluar'!$A:$A,M23899,'Barang Keluar'!$C:$C,N23899))</f>
        <v>0</v>
      </c>
    </row>
    <row r="23900" spans="13:16">
      <c r="M23900" s="49">
        <f>IF($A$4+238&gt;$B$4,"",$A$4+238)</f>
        <v>46261</v>
      </c>
      <c r="N23900">
        <f>IF(M23900="","",'Master Barang'!A94)</f>
        <v>0</v>
      </c>
      <c r="O23900">
        <f>IF(N23900="","",'Master Barang'!B94)</f>
        <v>0</v>
      </c>
      <c r="P23900">
        <f>IF(OR(M23900="",N23900=""),"",SUMIFS('Barang Keluar'!$E:$E,'Barang Keluar'!$A:$A,M23900,'Barang Keluar'!$C:$C,N23900))</f>
        <v>0</v>
      </c>
    </row>
    <row r="23901" spans="13:16">
      <c r="M23901" s="49">
        <f>IF($A$4+238&gt;$B$4,"",$A$4+238)</f>
        <v>46261</v>
      </c>
      <c r="N23901">
        <f>IF(M23901="","",'Master Barang'!A95)</f>
        <v>0</v>
      </c>
      <c r="O23901">
        <f>IF(N23901="","",'Master Barang'!B95)</f>
        <v>0</v>
      </c>
      <c r="P23901">
        <f>IF(OR(M23901="",N23901=""),"",SUMIFS('Barang Keluar'!$E:$E,'Barang Keluar'!$A:$A,M23901,'Barang Keluar'!$C:$C,N23901))</f>
        <v>0</v>
      </c>
    </row>
    <row r="23902" spans="13:16">
      <c r="M23902" s="49">
        <f>IF($A$4+238&gt;$B$4,"",$A$4+238)</f>
        <v>46261</v>
      </c>
      <c r="N23902">
        <f>IF(M23902="","",'Master Barang'!A96)</f>
        <v>0</v>
      </c>
      <c r="O23902">
        <f>IF(N23902="","",'Master Barang'!B96)</f>
        <v>0</v>
      </c>
      <c r="P23902">
        <f>IF(OR(M23902="",N23902=""),"",SUMIFS('Barang Keluar'!$E:$E,'Barang Keluar'!$A:$A,M23902,'Barang Keluar'!$C:$C,N23902))</f>
        <v>0</v>
      </c>
    </row>
    <row r="23903" spans="13:16">
      <c r="M23903" s="49">
        <f>IF($A$4+238&gt;$B$4,"",$A$4+238)</f>
        <v>46261</v>
      </c>
      <c r="N23903">
        <f>IF(M23903="","",'Master Barang'!A97)</f>
        <v>0</v>
      </c>
      <c r="O23903">
        <f>IF(N23903="","",'Master Barang'!B97)</f>
        <v>0</v>
      </c>
      <c r="P23903">
        <f>IF(OR(M23903="",N23903=""),"",SUMIFS('Barang Keluar'!$E:$E,'Barang Keluar'!$A:$A,M23903,'Barang Keluar'!$C:$C,N23903))</f>
        <v>0</v>
      </c>
    </row>
    <row r="23904" spans="13:16">
      <c r="M23904" s="49">
        <f>IF($A$4+238&gt;$B$4,"",$A$4+238)</f>
        <v>46261</v>
      </c>
      <c r="N23904">
        <f>IF(M23904="","",'Master Barang'!A98)</f>
        <v>0</v>
      </c>
      <c r="O23904">
        <f>IF(N23904="","",'Master Barang'!B98)</f>
        <v>0</v>
      </c>
      <c r="P23904">
        <f>IF(OR(M23904="",N23904=""),"",SUMIFS('Barang Keluar'!$E:$E,'Barang Keluar'!$A:$A,M23904,'Barang Keluar'!$C:$C,N23904))</f>
        <v>0</v>
      </c>
    </row>
    <row r="23905" spans="13:16">
      <c r="M23905" s="49">
        <f>IF($A$4+238&gt;$B$4,"",$A$4+238)</f>
        <v>46261</v>
      </c>
      <c r="N23905">
        <f>IF(M23905="","",'Master Barang'!A99)</f>
        <v>0</v>
      </c>
      <c r="O23905">
        <f>IF(N23905="","",'Master Barang'!B99)</f>
        <v>0</v>
      </c>
      <c r="P23905">
        <f>IF(OR(M23905="",N23905=""),"",SUMIFS('Barang Keluar'!$E:$E,'Barang Keluar'!$A:$A,M23905,'Barang Keluar'!$C:$C,N23905))</f>
        <v>0</v>
      </c>
    </row>
    <row r="23906" spans="13:16">
      <c r="M23906" s="49">
        <f>IF($A$4+238&gt;$B$4,"",$A$4+238)</f>
        <v>46261</v>
      </c>
      <c r="N23906">
        <f>IF(M23906="","",'Master Barang'!A100)</f>
        <v>0</v>
      </c>
      <c r="O23906">
        <f>IF(N23906="","",'Master Barang'!B100)</f>
        <v>0</v>
      </c>
      <c r="P23906">
        <f>IF(OR(M23906="",N23906=""),"",SUMIFS('Barang Keluar'!$E:$E,'Barang Keluar'!$A:$A,M23906,'Barang Keluar'!$C:$C,N23906))</f>
        <v>0</v>
      </c>
    </row>
    <row r="23907" spans="13:16">
      <c r="M23907" s="49">
        <f>IF($A$4+238&gt;$B$4,"",$A$4+238)</f>
        <v>46261</v>
      </c>
      <c r="N23907">
        <f>IF(M23907="","",'Master Barang'!A101)</f>
        <v>0</v>
      </c>
      <c r="O23907">
        <f>IF(N23907="","",'Master Barang'!B101)</f>
        <v>0</v>
      </c>
      <c r="P23907">
        <f>IF(OR(M23907="",N23907=""),"",SUMIFS('Barang Keluar'!$E:$E,'Barang Keluar'!$A:$A,M23907,'Barang Keluar'!$C:$C,N23907))</f>
        <v>0</v>
      </c>
    </row>
    <row r="23908" spans="13:16">
      <c r="M23908" s="49">
        <f>IF($A$4+239&gt;$B$4,"",$A$4+239)</f>
        <v>46262</v>
      </c>
      <c r="N23908" t="str">
        <f>IF(M23908="","",'Master Barang'!A2)</f>
        <v>PRL-001</v>
      </c>
      <c r="O23908" t="str">
        <f>IF(N23908="","",'Master Barang'!B2)</f>
        <v>natura desinfectant food grade 5l</v>
      </c>
      <c r="P23908">
        <f>IF(OR(M23908="",N23908=""),"",SUMIFS('Barang Keluar'!$E:$E,'Barang Keluar'!$A:$A,M23908,'Barang Keluar'!$C:$C,N23908))</f>
        <v>0</v>
      </c>
    </row>
    <row r="23909" spans="13:16">
      <c r="M23909" s="49">
        <f>IF($A$4+239&gt;$B$4,"",$A$4+239)</f>
        <v>46262</v>
      </c>
      <c r="N23909" t="str">
        <f>IF(M23909="","",'Master Barang'!A3)</f>
        <v>PRL-002</v>
      </c>
      <c r="O23909" t="str">
        <f>IF(N23909="","",'Master Barang'!B3)</f>
        <v>sunlight cairan pencuci piring 5l</v>
      </c>
      <c r="P23909">
        <f>IF(OR(M23909="",N23909=""),"",SUMIFS('Barang Keluar'!$E:$E,'Barang Keluar'!$A:$A,M23909,'Barang Keluar'!$C:$C,N23909))</f>
        <v>0</v>
      </c>
    </row>
    <row r="23910" spans="13:16">
      <c r="M23910" s="49">
        <f>IF($A$4+239&gt;$B$4,"",$A$4+239)</f>
        <v>46262</v>
      </c>
      <c r="N23910" t="str">
        <f>IF(M23910="","",'Master Barang'!A4)</f>
        <v>PRL-003</v>
      </c>
      <c r="O23910" t="str">
        <f>IF(N23910="","",'Master Barang'!B4)</f>
        <v>oixs cleaner 1l</v>
      </c>
      <c r="P23910">
        <f>IF(OR(M23910="",N23910=""),"",SUMIFS('Barang Keluar'!$E:$E,'Barang Keluar'!$A:$A,M23910,'Barang Keluar'!$C:$C,N23910))</f>
        <v>0</v>
      </c>
    </row>
    <row r="23911" spans="13:16">
      <c r="M23911" s="49">
        <f>IF($A$4+239&gt;$B$4,"",$A$4+239)</f>
        <v>46262</v>
      </c>
      <c r="N23911" t="str">
        <f>IF(M23911="","",'Master Barang'!A5)</f>
        <v>PRL-004</v>
      </c>
      <c r="O23911" t="str">
        <f>IF(N23911="","",'Master Barang'!B5)</f>
        <v>be clean tissue serbaguna</v>
      </c>
      <c r="P23911">
        <f>IF(OR(M23911="",N23911=""),"",SUMIFS('Barang Keluar'!$E:$E,'Barang Keluar'!$A:$A,M23911,'Barang Keluar'!$C:$C,N23911))</f>
        <v>0</v>
      </c>
    </row>
    <row r="23912" spans="13:16">
      <c r="M23912" s="49">
        <f>IF($A$4+239&gt;$B$4,"",$A$4+239)</f>
        <v>46262</v>
      </c>
      <c r="N23912" t="str">
        <f>IF(M23912="","",'Master Barang'!A6)</f>
        <v>PRL-005</v>
      </c>
      <c r="O23912" t="str">
        <f>IF(N23912="","",'Master Barang'!B6)</f>
        <v>spons cuci hijau</v>
      </c>
      <c r="P23912">
        <f>IF(OR(M23912="",N23912=""),"",SUMIFS('Barang Keluar'!$E:$E,'Barang Keluar'!$A:$A,M23912,'Barang Keluar'!$C:$C,N23912))</f>
        <v>0</v>
      </c>
    </row>
    <row r="23913" spans="13:16">
      <c r="M23913" s="49">
        <f>IF($A$4+239&gt;$B$4,"",$A$4+239)</f>
        <v>46262</v>
      </c>
      <c r="N23913" t="str">
        <f>IF(M23913="","",'Master Barang'!A7)</f>
        <v>PRL-006</v>
      </c>
      <c r="O23913" t="str">
        <f>IF(N23913="","",'Master Barang'!B7)</f>
        <v>sabut cuci stainless</v>
      </c>
      <c r="P23913">
        <f>IF(OR(M23913="",N23913=""),"",SUMIFS('Barang Keluar'!$E:$E,'Barang Keluar'!$A:$A,M23913,'Barang Keluar'!$C:$C,N23913))</f>
        <v>0</v>
      </c>
    </row>
    <row r="23914" spans="13:16">
      <c r="M23914" s="49">
        <f>IF($A$4+239&gt;$B$4,"",$A$4+239)</f>
        <v>46262</v>
      </c>
      <c r="N23914" t="str">
        <f>IF(M23914="","",'Master Barang'!A8)</f>
        <v>PRL-007</v>
      </c>
      <c r="O23914" t="str">
        <f>IF(N23914="","",'Master Barang'!B8)</f>
        <v>plastik kresek besar merah 50pc</v>
      </c>
      <c r="P23914">
        <f>IF(OR(M23914="",N23914=""),"",SUMIFS('Barang Keluar'!$E:$E,'Barang Keluar'!$A:$A,M23914,'Barang Keluar'!$C:$C,N23914))</f>
        <v>0</v>
      </c>
    </row>
    <row r="23915" spans="13:16">
      <c r="M23915" s="49">
        <f>IF($A$4+239&gt;$B$4,"",$A$4+239)</f>
        <v>46262</v>
      </c>
      <c r="N23915" t="str">
        <f>IF(M23915="","",'Master Barang'!A9)</f>
        <v>PRL-008</v>
      </c>
      <c r="O23915" t="str">
        <f>IF(N23915="","",'Master Barang'!B9)</f>
        <v>lap besar</v>
      </c>
      <c r="P23915">
        <f>IF(OR(M23915="",N23915=""),"",SUMIFS('Barang Keluar'!$E:$E,'Barang Keluar'!$A:$A,M23915,'Barang Keluar'!$C:$C,N23915))</f>
        <v>0</v>
      </c>
    </row>
    <row r="23916" spans="13:16">
      <c r="M23916" s="49">
        <f>IF($A$4+239&gt;$B$4,"",$A$4+239)</f>
        <v>46262</v>
      </c>
      <c r="N23916" t="str">
        <f>IF(M23916="","",'Master Barang'!A10)</f>
        <v>PRL-009</v>
      </c>
      <c r="O23916" t="str">
        <f>IF(N23916="","",'Master Barang'!B10)</f>
        <v>lap microfiber</v>
      </c>
      <c r="P23916">
        <f>IF(OR(M23916="",N23916=""),"",SUMIFS('Barang Keluar'!$E:$E,'Barang Keluar'!$A:$A,M23916,'Barang Keluar'!$C:$C,N23916))</f>
        <v>0</v>
      </c>
    </row>
    <row r="23917" spans="13:16">
      <c r="M23917" s="49">
        <f>IF($A$4+239&gt;$B$4,"",$A$4+239)</f>
        <v>46262</v>
      </c>
      <c r="N23917" t="str">
        <f>IF(M23917="","",'Master Barang'!A11)</f>
        <v>PRL-010</v>
      </c>
      <c r="O23917" t="str">
        <f>IF(N23917="","",'Master Barang'!B11)</f>
        <v>lap kecil</v>
      </c>
      <c r="P23917">
        <f>IF(OR(M23917="",N23917=""),"",SUMIFS('Barang Keluar'!$E:$E,'Barang Keluar'!$A:$A,M23917,'Barang Keluar'!$C:$C,N23917))</f>
        <v>0</v>
      </c>
    </row>
    <row r="23918" spans="13:16">
      <c r="M23918" s="49">
        <f>IF($A$4+239&gt;$B$4,"",$A$4+239)</f>
        <v>46262</v>
      </c>
      <c r="N23918" t="str">
        <f>IF(M23918="","",'Master Barang'!A12)</f>
        <v>PRL-011</v>
      </c>
      <c r="O23918" t="str">
        <f>IF(N23918="","",'Master Barang'!B12)</f>
        <v>kanebo kecil</v>
      </c>
      <c r="P23918">
        <f>IF(OR(M23918="",N23918=""),"",SUMIFS('Barang Keluar'!$E:$E,'Barang Keluar'!$A:$A,M23918,'Barang Keluar'!$C:$C,N23918))</f>
        <v>0</v>
      </c>
    </row>
    <row r="23919" spans="13:16">
      <c r="M23919" s="49">
        <f>IF($A$4+239&gt;$B$4,"",$A$4+239)</f>
        <v>46262</v>
      </c>
      <c r="N23919" t="str">
        <f>IF(M23919="","",'Master Barang'!A13)</f>
        <v>PRL-012</v>
      </c>
      <c r="O23919" t="str">
        <f>IF(N23919="","",'Master Barang'!B13)</f>
        <v>plastik 1/4kg joyoboyo 100 lembar</v>
      </c>
      <c r="P23919">
        <f>IF(OR(M23919="",N23919=""),"",SUMIFS('Barang Keluar'!$E:$E,'Barang Keluar'!$A:$A,M23919,'Barang Keluar'!$C:$C,N23919))</f>
        <v>0</v>
      </c>
    </row>
    <row r="23920" spans="13:16">
      <c r="M23920" s="49">
        <f>IF($A$4+239&gt;$B$4,"",$A$4+239)</f>
        <v>46262</v>
      </c>
      <c r="N23920" t="str">
        <f>IF(M23920="","",'Master Barang'!A14)</f>
        <v>PRL-013</v>
      </c>
      <c r="O23920" t="str">
        <f>IF(N23920="","",'Master Barang'!B14)</f>
        <v>sarung tangan plastik kaka 100 pcs</v>
      </c>
      <c r="P23920">
        <f>IF(OR(M23920="",N23920=""),"",SUMIFS('Barang Keluar'!$E:$E,'Barang Keluar'!$A:$A,M23920,'Barang Keluar'!$C:$C,N23920))</f>
        <v>0</v>
      </c>
    </row>
    <row r="23921" spans="13:16">
      <c r="M23921" s="49">
        <f>IF($A$4+239&gt;$B$4,"",$A$4+239)</f>
        <v>46262</v>
      </c>
      <c r="N23921" t="str">
        <f>IF(M23921="","",'Master Barang'!A15)</f>
        <v>PRL-014</v>
      </c>
      <c r="O23921" t="str">
        <f>IF(N23921="","",'Master Barang'!B15)</f>
        <v>optima trashbag 80x100</v>
      </c>
      <c r="P23921">
        <f>IF(OR(M23921="",N23921=""),"",SUMIFS('Barang Keluar'!$E:$E,'Barang Keluar'!$A:$A,M23921,'Barang Keluar'!$C:$C,N23921))</f>
        <v>0</v>
      </c>
    </row>
    <row r="23922" spans="13:16">
      <c r="M23922" s="49">
        <f>IF($A$4+239&gt;$B$4,"",$A$4+239)</f>
        <v>46262</v>
      </c>
      <c r="N23922" t="str">
        <f>IF(M23922="","",'Master Barang'!A16)</f>
        <v>PRL-015</v>
      </c>
      <c r="O23922" t="str">
        <f>IF(N23922="","",'Master Barang'!B16)</f>
        <v>optima trashbag 60x100</v>
      </c>
      <c r="P23922">
        <f>IF(OR(M23922="",N23922=""),"",SUMIFS('Barang Keluar'!$E:$E,'Barang Keluar'!$A:$A,M23922,'Barang Keluar'!$C:$C,N23922))</f>
        <v>0</v>
      </c>
    </row>
    <row r="23923" spans="13:16">
      <c r="M23923" s="49">
        <f>IF($A$4+239&gt;$B$4,"",$A$4+239)</f>
        <v>46262</v>
      </c>
      <c r="N23923" t="str">
        <f>IF(M23923="","",'Master Barang'!A17)</f>
        <v>PRL-016</v>
      </c>
      <c r="O23923" t="str">
        <f>IF(N23923="","",'Master Barang'!B17)</f>
        <v>rajawali trashbag 30x40</v>
      </c>
      <c r="P23923">
        <f>IF(OR(M23923="",N23923=""),"",SUMIFS('Barang Keluar'!$E:$E,'Barang Keluar'!$A:$A,M23923,'Barang Keluar'!$C:$C,N23923))</f>
        <v>0</v>
      </c>
    </row>
    <row r="23924" spans="13:16">
      <c r="M23924" s="49">
        <f>IF($A$4+239&gt;$B$4,"",$A$4+239)</f>
        <v>46262</v>
      </c>
      <c r="N23924" t="str">
        <f>IF(M23924="","",'Master Barang'!A18)</f>
        <v>PRL-017</v>
      </c>
      <c r="O23924" t="str">
        <f>IF(N23924="","",'Master Barang'!B18)</f>
        <v>onemed masker biru 3 play 50 pcs</v>
      </c>
      <c r="P23924">
        <f>IF(OR(M23924="",N23924=""),"",SUMIFS('Barang Keluar'!$E:$E,'Barang Keluar'!$A:$A,M23924,'Barang Keluar'!$C:$C,N23924))</f>
        <v>0</v>
      </c>
    </row>
    <row r="23925" spans="13:16">
      <c r="M23925" s="49">
        <f>IF($A$4+239&gt;$B$4,"",$A$4+239)</f>
        <v>46262</v>
      </c>
      <c r="N23925" t="str">
        <f>IF(M23925="","",'Master Barang'!A19)</f>
        <v>PRL-018</v>
      </c>
      <c r="O23925" t="str">
        <f>IF(N23925="","",'Master Barang'!B19)</f>
        <v>onemed masker biru 3 play hijab 50 pcs</v>
      </c>
      <c r="P23925">
        <f>IF(OR(M23925="",N23925=""),"",SUMIFS('Barang Keluar'!$E:$E,'Barang Keluar'!$A:$A,M23925,'Barang Keluar'!$C:$C,N23925))</f>
        <v>0</v>
      </c>
    </row>
    <row r="23926" spans="13:16">
      <c r="M23926" s="49">
        <f>IF($A$4+239&gt;$B$4,"",$A$4+239)</f>
        <v>46262</v>
      </c>
      <c r="N23926" t="str">
        <f>IF(M23926="","",'Master Barang'!A20)</f>
        <v>PRL-019</v>
      </c>
      <c r="O23926" t="str">
        <f>IF(N23926="","",'Master Barang'!B20)</f>
        <v>neo health masker biru 3 play 50 pcs</v>
      </c>
      <c r="P23926">
        <f>IF(OR(M23926="",N23926=""),"",SUMIFS('Barang Keluar'!$E:$E,'Barang Keluar'!$A:$A,M23926,'Barang Keluar'!$C:$C,N23926))</f>
        <v>0</v>
      </c>
    </row>
    <row r="23927" spans="13:16">
      <c r="M23927" s="49">
        <f>IF($A$4+239&gt;$B$4,"",$A$4+239)</f>
        <v>46262</v>
      </c>
      <c r="N23927" t="str">
        <f>IF(M23927="","",'Master Barang'!A21)</f>
        <v>PRL-020</v>
      </c>
      <c r="O23927" t="str">
        <f>IF(N23927="","",'Master Barang'!B21)</f>
        <v>baymed masker hijau 3 play hijau 50 pcs</v>
      </c>
      <c r="P23927">
        <f>IF(OR(M23927="",N23927=""),"",SUMIFS('Barang Keluar'!$E:$E,'Barang Keluar'!$A:$A,M23927,'Barang Keluar'!$C:$C,N23927))</f>
        <v>0</v>
      </c>
    </row>
    <row r="23928" spans="13:16">
      <c r="M23928" s="49">
        <f>IF($A$4+239&gt;$B$4,"",$A$4+239)</f>
        <v>46262</v>
      </c>
      <c r="N23928" t="str">
        <f>IF(M23928="","",'Master Barang'!A22)</f>
        <v>PRL-021</v>
      </c>
      <c r="O23928" t="str">
        <f>IF(N23928="","",'Master Barang'!B22)</f>
        <v>altamed nurse cap penutup kepala 100 pcs</v>
      </c>
      <c r="P23928">
        <f>IF(OR(M23928="",N23928=""),"",SUMIFS('Barang Keluar'!$E:$E,'Barang Keluar'!$A:$A,M23928,'Barang Keluar'!$C:$C,N23928))</f>
        <v>0</v>
      </c>
    </row>
    <row r="23929" spans="13:16">
      <c r="M23929" s="49">
        <f>IF($A$4+239&gt;$B$4,"",$A$4+239)</f>
        <v>46262</v>
      </c>
      <c r="N23929" t="str">
        <f>IF(M23929="","",'Master Barang'!A23)</f>
        <v>PRL-022</v>
      </c>
      <c r="O23929" t="str">
        <f>IF(N23929="","",'Master Barang'!B23)</f>
        <v>sabun cuci tangan</v>
      </c>
      <c r="P23929">
        <f>IF(OR(M23929="",N23929=""),"",SUMIFS('Barang Keluar'!$E:$E,'Barang Keluar'!$A:$A,M23929,'Barang Keluar'!$C:$C,N23929))</f>
        <v>0</v>
      </c>
    </row>
    <row r="23930" spans="13:16">
      <c r="M23930" s="49">
        <f>IF($A$4+239&gt;$B$4,"",$A$4+239)</f>
        <v>46262</v>
      </c>
      <c r="N23930" t="str">
        <f>IF(M23930="","",'Master Barang'!A24)</f>
        <v>PRL-023</v>
      </c>
      <c r="O23930" t="str">
        <f>IF(N23930="","",'Master Barang'!B24)</f>
        <v>gayung kecil</v>
      </c>
      <c r="P23930">
        <f>IF(OR(M23930="",N23930=""),"",SUMIFS('Barang Keluar'!$E:$E,'Barang Keluar'!$A:$A,M23930,'Barang Keluar'!$C:$C,N23930))</f>
        <v>0</v>
      </c>
    </row>
    <row r="23931" spans="13:16">
      <c r="M23931" s="49">
        <f>IF($A$4+239&gt;$B$4,"",$A$4+239)</f>
        <v>46262</v>
      </c>
      <c r="N23931" t="str">
        <f>IF(M23931="","",'Master Barang'!A25)</f>
        <v>PRL-024</v>
      </c>
      <c r="O23931" t="str">
        <f>IF(N23931="","",'Master Barang'!B25)</f>
        <v>cikrak kecil</v>
      </c>
      <c r="P23931">
        <f>IF(OR(M23931="",N23931=""),"",SUMIFS('Barang Keluar'!$E:$E,'Barang Keluar'!$A:$A,M23931,'Barang Keluar'!$C:$C,N23931))</f>
        <v>0</v>
      </c>
    </row>
    <row r="23932" spans="13:16">
      <c r="M23932" s="49">
        <f>IF($A$4+239&gt;$B$4,"",$A$4+239)</f>
        <v>46262</v>
      </c>
      <c r="N23932" t="str">
        <f>IF(M23932="","",'Master Barang'!A26)</f>
        <v>PRL-025</v>
      </c>
      <c r="O23932" t="str">
        <f>IF(N23932="","",'Master Barang'!B26)</f>
        <v>petromax plastik kecil 12x24 100 lembar</v>
      </c>
      <c r="P23932">
        <f>IF(OR(M23932="",N23932=""),"",SUMIFS('Barang Keluar'!$E:$E,'Barang Keluar'!$A:$A,M23932,'Barang Keluar'!$C:$C,N23932))</f>
        <v>0</v>
      </c>
    </row>
    <row r="23933" spans="13:16">
      <c r="M23933" s="49">
        <f>IF($A$4+239&gt;$B$4,"",$A$4+239)</f>
        <v>46262</v>
      </c>
      <c r="N23933" t="str">
        <f>IF(M23933="","",'Master Barang'!A27)</f>
        <v>PRL-026</v>
      </c>
      <c r="O23933" t="str">
        <f>IF(N23933="","",'Master Barang'!B27)</f>
        <v>lancar kresek kecil bening </v>
      </c>
      <c r="P23933">
        <f>IF(OR(M23933="",N23933=""),"",SUMIFS('Barang Keluar'!$E:$E,'Barang Keluar'!$A:$A,M23933,'Barang Keluar'!$C:$C,N23933))</f>
        <v>0</v>
      </c>
    </row>
    <row r="23934" spans="13:16">
      <c r="M23934" s="49">
        <f>IF($A$4+239&gt;$B$4,"",$A$4+239)</f>
        <v>46262</v>
      </c>
      <c r="N23934" t="str">
        <f>IF(M23934="","",'Master Barang'!A28)</f>
        <v>PRL-027</v>
      </c>
      <c r="O23934" t="str">
        <f>IF(N23934="","",'Master Barang'!B28)</f>
        <v>kresek klin warna warni kecil</v>
      </c>
      <c r="P23934">
        <f>IF(OR(M23934="",N23934=""),"",SUMIFS('Barang Keluar'!$E:$E,'Barang Keluar'!$A:$A,M23934,'Barang Keluar'!$C:$C,N23934))</f>
        <v>0</v>
      </c>
    </row>
    <row r="23935" spans="13:16">
      <c r="M23935" s="49">
        <f>IF($A$4+239&gt;$B$4,"",$A$4+239)</f>
        <v>46262</v>
      </c>
      <c r="N23935" t="str">
        <f>IF(M23935="","",'Master Barang'!A29)</f>
        <v>PRL-028</v>
      </c>
      <c r="O23935" t="str">
        <f>IF(N23935="","",'Master Barang'!B29)</f>
        <v>ctik plastik 7x10 100 pcs</v>
      </c>
      <c r="P23935">
        <f>IF(OR(M23935="",N23935=""),"",SUMIFS('Barang Keluar'!$E:$E,'Barang Keluar'!$A:$A,M23935,'Barang Keluar'!$C:$C,N23935))</f>
        <v>0</v>
      </c>
    </row>
    <row r="23936" spans="13:16">
      <c r="M23936" s="49">
        <f>IF($A$4+239&gt;$B$4,"",$A$4+239)</f>
        <v>46262</v>
      </c>
      <c r="N23936" t="str">
        <f>IF(M23936="","",'Master Barang'!A30)</f>
        <v>PRL-029</v>
      </c>
      <c r="O23936" t="str">
        <f>IF(N23936="","",'Master Barang'!B30)</f>
        <v>ctik plastik 6x10 100 pcs</v>
      </c>
      <c r="P23936">
        <f>IF(OR(M23936="",N23936=""),"",SUMIFS('Barang Keluar'!$E:$E,'Barang Keluar'!$A:$A,M23936,'Barang Keluar'!$C:$C,N23936))</f>
        <v>0</v>
      </c>
    </row>
    <row r="23937" spans="13:16">
      <c r="M23937" s="49">
        <f>IF($A$4+239&gt;$B$4,"",$A$4+239)</f>
        <v>46262</v>
      </c>
      <c r="N23937" t="str">
        <f>IF(M23937="","",'Master Barang'!A31)</f>
        <v>PRL-030</v>
      </c>
      <c r="O23937" t="str">
        <f>IF(N23937="","",'Master Barang'!B31)</f>
        <v>klip plastik 25x16 100 pcs</v>
      </c>
      <c r="P23937">
        <f>IF(OR(M23937="",N23937=""),"",SUMIFS('Barang Keluar'!$E:$E,'Barang Keluar'!$A:$A,M23937,'Barang Keluar'!$C:$C,N23937))</f>
        <v>0</v>
      </c>
    </row>
    <row r="23938" spans="13:16">
      <c r="M23938" s="49">
        <f>IF($A$4+239&gt;$B$4,"",$A$4+239)</f>
        <v>46262</v>
      </c>
      <c r="N23938" t="str">
        <f>IF(M23938="","",'Master Barang'!A32)</f>
        <v>PRL-031</v>
      </c>
      <c r="O23938" t="str">
        <f>IF(N23938="","",'Master Barang'!B32)</f>
        <v>tempat saus 20 ml</v>
      </c>
      <c r="P23938">
        <f>IF(OR(M23938="",N23938=""),"",SUMIFS('Barang Keluar'!$E:$E,'Barang Keluar'!$A:$A,M23938,'Barang Keluar'!$C:$C,N23938))</f>
        <v>0</v>
      </c>
    </row>
    <row r="23939" spans="13:16">
      <c r="M23939" s="49">
        <f>IF($A$4+239&gt;$B$4,"",$A$4+239)</f>
        <v>46262</v>
      </c>
      <c r="N23939" t="str">
        <f>IF(M23939="","",'Master Barang'!A33)</f>
        <v>PRL-032</v>
      </c>
      <c r="O23939" t="str">
        <f>IF(N23939="","",'Master Barang'!B33)</f>
        <v>plastik packaging ag box uk sedang</v>
      </c>
      <c r="P23939">
        <f>IF(OR(M23939="",N23939=""),"",SUMIFS('Barang Keluar'!$E:$E,'Barang Keluar'!$A:$A,M23939,'Barang Keluar'!$C:$C,N23939))</f>
        <v>0</v>
      </c>
    </row>
    <row r="23940" spans="13:16">
      <c r="M23940" s="49">
        <f>IF($A$4+239&gt;$B$4,"",$A$4+239)</f>
        <v>46262</v>
      </c>
      <c r="N23940" t="str">
        <f>IF(M23940="","",'Master Barang'!A34)</f>
        <v>PRL-033</v>
      </c>
      <c r="O23940">
        <f>IF(N23940="","",'Master Barang'!B34)</f>
        <v>0</v>
      </c>
      <c r="P23940">
        <f>IF(OR(M23940="",N23940=""),"",SUMIFS('Barang Keluar'!$E:$E,'Barang Keluar'!$A:$A,M23940,'Barang Keluar'!$C:$C,N23940))</f>
        <v>0</v>
      </c>
    </row>
    <row r="23941" spans="13:16">
      <c r="M23941" s="49">
        <f>IF($A$4+239&gt;$B$4,"",$A$4+239)</f>
        <v>46262</v>
      </c>
      <c r="N23941">
        <f>IF(M23941="","",'Master Barang'!A35)</f>
        <v>0</v>
      </c>
      <c r="O23941">
        <f>IF(N23941="","",'Master Barang'!B35)</f>
        <v>0</v>
      </c>
      <c r="P23941">
        <f>IF(OR(M23941="",N23941=""),"",SUMIFS('Barang Keluar'!$E:$E,'Barang Keluar'!$A:$A,M23941,'Barang Keluar'!$C:$C,N23941))</f>
        <v>0</v>
      </c>
    </row>
    <row r="23942" spans="13:16">
      <c r="M23942" s="49">
        <f>IF($A$4+239&gt;$B$4,"",$A$4+239)</f>
        <v>46262</v>
      </c>
      <c r="N23942">
        <f>IF(M23942="","",'Master Barang'!A36)</f>
        <v>0</v>
      </c>
      <c r="O23942">
        <f>IF(N23942="","",'Master Barang'!B36)</f>
        <v>0</v>
      </c>
      <c r="P23942">
        <f>IF(OR(M23942="",N23942=""),"",SUMIFS('Barang Keluar'!$E:$E,'Barang Keluar'!$A:$A,M23942,'Barang Keluar'!$C:$C,N23942))</f>
        <v>0</v>
      </c>
    </row>
    <row r="23943" spans="13:16">
      <c r="M23943" s="49">
        <f>IF($A$4+239&gt;$B$4,"",$A$4+239)</f>
        <v>46262</v>
      </c>
      <c r="N23943">
        <f>IF(M23943="","",'Master Barang'!A37)</f>
        <v>0</v>
      </c>
      <c r="O23943">
        <f>IF(N23943="","",'Master Barang'!B37)</f>
        <v>0</v>
      </c>
      <c r="P23943">
        <f>IF(OR(M23943="",N23943=""),"",SUMIFS('Barang Keluar'!$E:$E,'Barang Keluar'!$A:$A,M23943,'Barang Keluar'!$C:$C,N23943))</f>
        <v>0</v>
      </c>
    </row>
    <row r="23944" spans="13:16">
      <c r="M23944" s="49">
        <f>IF($A$4+239&gt;$B$4,"",$A$4+239)</f>
        <v>46262</v>
      </c>
      <c r="N23944">
        <f>IF(M23944="","",'Master Barang'!A38)</f>
        <v>0</v>
      </c>
      <c r="O23944">
        <f>IF(N23944="","",'Master Barang'!B38)</f>
        <v>0</v>
      </c>
      <c r="P23944">
        <f>IF(OR(M23944="",N23944=""),"",SUMIFS('Barang Keluar'!$E:$E,'Barang Keluar'!$A:$A,M23944,'Barang Keluar'!$C:$C,N23944))</f>
        <v>0</v>
      </c>
    </row>
    <row r="23945" spans="13:16">
      <c r="M23945" s="49">
        <f>IF($A$4+239&gt;$B$4,"",$A$4+239)</f>
        <v>46262</v>
      </c>
      <c r="N23945">
        <f>IF(M23945="","",'Master Barang'!A39)</f>
        <v>0</v>
      </c>
      <c r="O23945">
        <f>IF(N23945="","",'Master Barang'!B39)</f>
        <v>0</v>
      </c>
      <c r="P23945">
        <f>IF(OR(M23945="",N23945=""),"",SUMIFS('Barang Keluar'!$E:$E,'Barang Keluar'!$A:$A,M23945,'Barang Keluar'!$C:$C,N23945))</f>
        <v>0</v>
      </c>
    </row>
    <row r="23946" spans="13:16">
      <c r="M23946" s="49">
        <f>IF($A$4+239&gt;$B$4,"",$A$4+239)</f>
        <v>46262</v>
      </c>
      <c r="N23946">
        <f>IF(M23946="","",'Master Barang'!A40)</f>
        <v>0</v>
      </c>
      <c r="O23946">
        <f>IF(N23946="","",'Master Barang'!B40)</f>
        <v>0</v>
      </c>
      <c r="P23946">
        <f>IF(OR(M23946="",N23946=""),"",SUMIFS('Barang Keluar'!$E:$E,'Barang Keluar'!$A:$A,M23946,'Barang Keluar'!$C:$C,N23946))</f>
        <v>0</v>
      </c>
    </row>
    <row r="23947" spans="13:16">
      <c r="M23947" s="49">
        <f>IF($A$4+239&gt;$B$4,"",$A$4+239)</f>
        <v>46262</v>
      </c>
      <c r="N23947">
        <f>IF(M23947="","",'Master Barang'!A41)</f>
        <v>0</v>
      </c>
      <c r="O23947">
        <f>IF(N23947="","",'Master Barang'!B41)</f>
        <v>0</v>
      </c>
      <c r="P23947">
        <f>IF(OR(M23947="",N23947=""),"",SUMIFS('Barang Keluar'!$E:$E,'Barang Keluar'!$A:$A,M23947,'Barang Keluar'!$C:$C,N23947))</f>
        <v>0</v>
      </c>
    </row>
    <row r="23948" spans="13:16">
      <c r="M23948" s="49">
        <f>IF($A$4+239&gt;$B$4,"",$A$4+239)</f>
        <v>46262</v>
      </c>
      <c r="N23948">
        <f>IF(M23948="","",'Master Barang'!A42)</f>
        <v>0</v>
      </c>
      <c r="O23948">
        <f>IF(N23948="","",'Master Barang'!B42)</f>
        <v>0</v>
      </c>
      <c r="P23948">
        <f>IF(OR(M23948="",N23948=""),"",SUMIFS('Barang Keluar'!$E:$E,'Barang Keluar'!$A:$A,M23948,'Barang Keluar'!$C:$C,N23948))</f>
        <v>0</v>
      </c>
    </row>
    <row r="23949" spans="13:16">
      <c r="M23949" s="49">
        <f>IF($A$4+239&gt;$B$4,"",$A$4+239)</f>
        <v>46262</v>
      </c>
      <c r="N23949">
        <f>IF(M23949="","",'Master Barang'!A43)</f>
        <v>0</v>
      </c>
      <c r="O23949">
        <f>IF(N23949="","",'Master Barang'!B43)</f>
        <v>0</v>
      </c>
      <c r="P23949">
        <f>IF(OR(M23949="",N23949=""),"",SUMIFS('Barang Keluar'!$E:$E,'Barang Keluar'!$A:$A,M23949,'Barang Keluar'!$C:$C,N23949))</f>
        <v>0</v>
      </c>
    </row>
    <row r="23950" spans="13:16">
      <c r="M23950" s="49">
        <f>IF($A$4+239&gt;$B$4,"",$A$4+239)</f>
        <v>46262</v>
      </c>
      <c r="N23950">
        <f>IF(M23950="","",'Master Barang'!A44)</f>
        <v>0</v>
      </c>
      <c r="O23950">
        <f>IF(N23950="","",'Master Barang'!B44)</f>
        <v>0</v>
      </c>
      <c r="P23950">
        <f>IF(OR(M23950="",N23950=""),"",SUMIFS('Barang Keluar'!$E:$E,'Barang Keluar'!$A:$A,M23950,'Barang Keluar'!$C:$C,N23950))</f>
        <v>0</v>
      </c>
    </row>
    <row r="23951" spans="13:16">
      <c r="M23951" s="49">
        <f>IF($A$4+239&gt;$B$4,"",$A$4+239)</f>
        <v>46262</v>
      </c>
      <c r="N23951">
        <f>IF(M23951="","",'Master Barang'!A45)</f>
        <v>0</v>
      </c>
      <c r="O23951">
        <f>IF(N23951="","",'Master Barang'!B45)</f>
        <v>0</v>
      </c>
      <c r="P23951">
        <f>IF(OR(M23951="",N23951=""),"",SUMIFS('Barang Keluar'!$E:$E,'Barang Keluar'!$A:$A,M23951,'Barang Keluar'!$C:$C,N23951))</f>
        <v>0</v>
      </c>
    </row>
    <row r="23952" spans="13:16">
      <c r="M23952" s="49">
        <f>IF($A$4+239&gt;$B$4,"",$A$4+239)</f>
        <v>46262</v>
      </c>
      <c r="N23952">
        <f>IF(M23952="","",'Master Barang'!A46)</f>
        <v>0</v>
      </c>
      <c r="O23952">
        <f>IF(N23952="","",'Master Barang'!B46)</f>
        <v>0</v>
      </c>
      <c r="P23952">
        <f>IF(OR(M23952="",N23952=""),"",SUMIFS('Barang Keluar'!$E:$E,'Barang Keluar'!$A:$A,M23952,'Barang Keluar'!$C:$C,N23952))</f>
        <v>0</v>
      </c>
    </row>
    <row r="23953" spans="13:16">
      <c r="M23953" s="49">
        <f>IF($A$4+239&gt;$B$4,"",$A$4+239)</f>
        <v>46262</v>
      </c>
      <c r="N23953">
        <f>IF(M23953="","",'Master Barang'!A47)</f>
        <v>0</v>
      </c>
      <c r="O23953">
        <f>IF(N23953="","",'Master Barang'!B47)</f>
        <v>0</v>
      </c>
      <c r="P23953">
        <f>IF(OR(M23953="",N23953=""),"",SUMIFS('Barang Keluar'!$E:$E,'Barang Keluar'!$A:$A,M23953,'Barang Keluar'!$C:$C,N23953))</f>
        <v>0</v>
      </c>
    </row>
    <row r="23954" spans="13:16">
      <c r="M23954" s="49">
        <f>IF($A$4+239&gt;$B$4,"",$A$4+239)</f>
        <v>46262</v>
      </c>
      <c r="N23954">
        <f>IF(M23954="","",'Master Barang'!A48)</f>
        <v>0</v>
      </c>
      <c r="O23954">
        <f>IF(N23954="","",'Master Barang'!B48)</f>
        <v>0</v>
      </c>
      <c r="P23954">
        <f>IF(OR(M23954="",N23954=""),"",SUMIFS('Barang Keluar'!$E:$E,'Barang Keluar'!$A:$A,M23954,'Barang Keluar'!$C:$C,N23954))</f>
        <v>0</v>
      </c>
    </row>
    <row r="23955" spans="13:16">
      <c r="M23955" s="49">
        <f>IF($A$4+239&gt;$B$4,"",$A$4+239)</f>
        <v>46262</v>
      </c>
      <c r="N23955">
        <f>IF(M23955="","",'Master Barang'!A49)</f>
        <v>0</v>
      </c>
      <c r="O23955">
        <f>IF(N23955="","",'Master Barang'!B49)</f>
        <v>0</v>
      </c>
      <c r="P23955">
        <f>IF(OR(M23955="",N23955=""),"",SUMIFS('Barang Keluar'!$E:$E,'Barang Keluar'!$A:$A,M23955,'Barang Keluar'!$C:$C,N23955))</f>
        <v>0</v>
      </c>
    </row>
    <row r="23956" spans="13:16">
      <c r="M23956" s="49">
        <f>IF($A$4+239&gt;$B$4,"",$A$4+239)</f>
        <v>46262</v>
      </c>
      <c r="N23956">
        <f>IF(M23956="","",'Master Barang'!A50)</f>
        <v>0</v>
      </c>
      <c r="O23956">
        <f>IF(N23956="","",'Master Barang'!B50)</f>
        <v>0</v>
      </c>
      <c r="P23956">
        <f>IF(OR(M23956="",N23956=""),"",SUMIFS('Barang Keluar'!$E:$E,'Barang Keluar'!$A:$A,M23956,'Barang Keluar'!$C:$C,N23956))</f>
        <v>0</v>
      </c>
    </row>
    <row r="23957" spans="13:16">
      <c r="M23957" s="49">
        <f>IF($A$4+239&gt;$B$4,"",$A$4+239)</f>
        <v>46262</v>
      </c>
      <c r="N23957">
        <f>IF(M23957="","",'Master Barang'!A51)</f>
        <v>0</v>
      </c>
      <c r="O23957">
        <f>IF(N23957="","",'Master Barang'!B51)</f>
        <v>0</v>
      </c>
      <c r="P23957">
        <f>IF(OR(M23957="",N23957=""),"",SUMIFS('Barang Keluar'!$E:$E,'Barang Keluar'!$A:$A,M23957,'Barang Keluar'!$C:$C,N23957))</f>
        <v>0</v>
      </c>
    </row>
    <row r="23958" spans="13:16">
      <c r="M23958" s="49">
        <f>IF($A$4+239&gt;$B$4,"",$A$4+239)</f>
        <v>46262</v>
      </c>
      <c r="N23958">
        <f>IF(M23958="","",'Master Barang'!A52)</f>
        <v>0</v>
      </c>
      <c r="O23958">
        <f>IF(N23958="","",'Master Barang'!B52)</f>
        <v>0</v>
      </c>
      <c r="P23958">
        <f>IF(OR(M23958="",N23958=""),"",SUMIFS('Barang Keluar'!$E:$E,'Barang Keluar'!$A:$A,M23958,'Barang Keluar'!$C:$C,N23958))</f>
        <v>0</v>
      </c>
    </row>
    <row r="23959" spans="13:16">
      <c r="M23959" s="49">
        <f>IF($A$4+239&gt;$B$4,"",$A$4+239)</f>
        <v>46262</v>
      </c>
      <c r="N23959">
        <f>IF(M23959="","",'Master Barang'!A53)</f>
        <v>0</v>
      </c>
      <c r="O23959">
        <f>IF(N23959="","",'Master Barang'!B53)</f>
        <v>0</v>
      </c>
      <c r="P23959">
        <f>IF(OR(M23959="",N23959=""),"",SUMIFS('Barang Keluar'!$E:$E,'Barang Keluar'!$A:$A,M23959,'Barang Keluar'!$C:$C,N23959))</f>
        <v>0</v>
      </c>
    </row>
    <row r="23960" spans="13:16">
      <c r="M23960" s="49">
        <f>IF($A$4+239&gt;$B$4,"",$A$4+239)</f>
        <v>46262</v>
      </c>
      <c r="N23960">
        <f>IF(M23960="","",'Master Barang'!A54)</f>
        <v>0</v>
      </c>
      <c r="O23960">
        <f>IF(N23960="","",'Master Barang'!B54)</f>
        <v>0</v>
      </c>
      <c r="P23960">
        <f>IF(OR(M23960="",N23960=""),"",SUMIFS('Barang Keluar'!$E:$E,'Barang Keluar'!$A:$A,M23960,'Barang Keluar'!$C:$C,N23960))</f>
        <v>0</v>
      </c>
    </row>
    <row r="23961" spans="13:16">
      <c r="M23961" s="49">
        <f>IF($A$4+239&gt;$B$4,"",$A$4+239)</f>
        <v>46262</v>
      </c>
      <c r="N23961">
        <f>IF(M23961="","",'Master Barang'!A55)</f>
        <v>0</v>
      </c>
      <c r="O23961">
        <f>IF(N23961="","",'Master Barang'!B55)</f>
        <v>0</v>
      </c>
      <c r="P23961">
        <f>IF(OR(M23961="",N23961=""),"",SUMIFS('Barang Keluar'!$E:$E,'Barang Keluar'!$A:$A,M23961,'Barang Keluar'!$C:$C,N23961))</f>
        <v>0</v>
      </c>
    </row>
    <row r="23962" spans="13:16">
      <c r="M23962" s="49">
        <f>IF($A$4+239&gt;$B$4,"",$A$4+239)</f>
        <v>46262</v>
      </c>
      <c r="N23962">
        <f>IF(M23962="","",'Master Barang'!A56)</f>
        <v>0</v>
      </c>
      <c r="O23962">
        <f>IF(N23962="","",'Master Barang'!B56)</f>
        <v>0</v>
      </c>
      <c r="P23962">
        <f>IF(OR(M23962="",N23962=""),"",SUMIFS('Barang Keluar'!$E:$E,'Barang Keluar'!$A:$A,M23962,'Barang Keluar'!$C:$C,N23962))</f>
        <v>0</v>
      </c>
    </row>
    <row r="23963" spans="13:16">
      <c r="M23963" s="49">
        <f>IF($A$4+239&gt;$B$4,"",$A$4+239)</f>
        <v>46262</v>
      </c>
      <c r="N23963">
        <f>IF(M23963="","",'Master Barang'!A57)</f>
        <v>0</v>
      </c>
      <c r="O23963">
        <f>IF(N23963="","",'Master Barang'!B57)</f>
        <v>0</v>
      </c>
      <c r="P23963">
        <f>IF(OR(M23963="",N23963=""),"",SUMIFS('Barang Keluar'!$E:$E,'Barang Keluar'!$A:$A,M23963,'Barang Keluar'!$C:$C,N23963))</f>
        <v>0</v>
      </c>
    </row>
    <row r="23964" spans="13:16">
      <c r="M23964" s="49">
        <f>IF($A$4+239&gt;$B$4,"",$A$4+239)</f>
        <v>46262</v>
      </c>
      <c r="N23964">
        <f>IF(M23964="","",'Master Barang'!A58)</f>
        <v>0</v>
      </c>
      <c r="O23964">
        <f>IF(N23964="","",'Master Barang'!B58)</f>
        <v>0</v>
      </c>
      <c r="P23964">
        <f>IF(OR(M23964="",N23964=""),"",SUMIFS('Barang Keluar'!$E:$E,'Barang Keluar'!$A:$A,M23964,'Barang Keluar'!$C:$C,N23964))</f>
        <v>0</v>
      </c>
    </row>
    <row r="23965" spans="13:16">
      <c r="M23965" s="49">
        <f>IF($A$4+239&gt;$B$4,"",$A$4+239)</f>
        <v>46262</v>
      </c>
      <c r="N23965">
        <f>IF(M23965="","",'Master Barang'!A59)</f>
        <v>0</v>
      </c>
      <c r="O23965">
        <f>IF(N23965="","",'Master Barang'!B59)</f>
        <v>0</v>
      </c>
      <c r="P23965">
        <f>IF(OR(M23965="",N23965=""),"",SUMIFS('Barang Keluar'!$E:$E,'Barang Keluar'!$A:$A,M23965,'Barang Keluar'!$C:$C,N23965))</f>
        <v>0</v>
      </c>
    </row>
    <row r="23966" spans="13:16">
      <c r="M23966" s="49">
        <f>IF($A$4+239&gt;$B$4,"",$A$4+239)</f>
        <v>46262</v>
      </c>
      <c r="N23966">
        <f>IF(M23966="","",'Master Barang'!A60)</f>
        <v>0</v>
      </c>
      <c r="O23966">
        <f>IF(N23966="","",'Master Barang'!B60)</f>
        <v>0</v>
      </c>
      <c r="P23966">
        <f>IF(OR(M23966="",N23966=""),"",SUMIFS('Barang Keluar'!$E:$E,'Barang Keluar'!$A:$A,M23966,'Barang Keluar'!$C:$C,N23966))</f>
        <v>0</v>
      </c>
    </row>
    <row r="23967" spans="13:16">
      <c r="M23967" s="49">
        <f>IF($A$4+239&gt;$B$4,"",$A$4+239)</f>
        <v>46262</v>
      </c>
      <c r="N23967">
        <f>IF(M23967="","",'Master Barang'!A61)</f>
        <v>0</v>
      </c>
      <c r="O23967">
        <f>IF(N23967="","",'Master Barang'!B61)</f>
        <v>0</v>
      </c>
      <c r="P23967">
        <f>IF(OR(M23967="",N23967=""),"",SUMIFS('Barang Keluar'!$E:$E,'Barang Keluar'!$A:$A,M23967,'Barang Keluar'!$C:$C,N23967))</f>
        <v>0</v>
      </c>
    </row>
    <row r="23968" spans="13:16">
      <c r="M23968" s="49">
        <f>IF($A$4+239&gt;$B$4,"",$A$4+239)</f>
        <v>46262</v>
      </c>
      <c r="N23968">
        <f>IF(M23968="","",'Master Barang'!A62)</f>
        <v>0</v>
      </c>
      <c r="O23968">
        <f>IF(N23968="","",'Master Barang'!B62)</f>
        <v>0</v>
      </c>
      <c r="P23968">
        <f>IF(OR(M23968="",N23968=""),"",SUMIFS('Barang Keluar'!$E:$E,'Barang Keluar'!$A:$A,M23968,'Barang Keluar'!$C:$C,N23968))</f>
        <v>0</v>
      </c>
    </row>
    <row r="23969" spans="13:16">
      <c r="M23969" s="49">
        <f>IF($A$4+239&gt;$B$4,"",$A$4+239)</f>
        <v>46262</v>
      </c>
      <c r="N23969">
        <f>IF(M23969="","",'Master Barang'!A63)</f>
        <v>0</v>
      </c>
      <c r="O23969">
        <f>IF(N23969="","",'Master Barang'!B63)</f>
        <v>0</v>
      </c>
      <c r="P23969">
        <f>IF(OR(M23969="",N23969=""),"",SUMIFS('Barang Keluar'!$E:$E,'Barang Keluar'!$A:$A,M23969,'Barang Keluar'!$C:$C,N23969))</f>
        <v>0</v>
      </c>
    </row>
    <row r="23970" spans="13:16">
      <c r="M23970" s="49">
        <f>IF($A$4+239&gt;$B$4,"",$A$4+239)</f>
        <v>46262</v>
      </c>
      <c r="N23970">
        <f>IF(M23970="","",'Master Barang'!A64)</f>
        <v>0</v>
      </c>
      <c r="O23970">
        <f>IF(N23970="","",'Master Barang'!B64)</f>
        <v>0</v>
      </c>
      <c r="P23970">
        <f>IF(OR(M23970="",N23970=""),"",SUMIFS('Barang Keluar'!$E:$E,'Barang Keluar'!$A:$A,M23970,'Barang Keluar'!$C:$C,N23970))</f>
        <v>0</v>
      </c>
    </row>
    <row r="23971" spans="13:16">
      <c r="M23971" s="49">
        <f>IF($A$4+239&gt;$B$4,"",$A$4+239)</f>
        <v>46262</v>
      </c>
      <c r="N23971">
        <f>IF(M23971="","",'Master Barang'!A65)</f>
        <v>0</v>
      </c>
      <c r="O23971">
        <f>IF(N23971="","",'Master Barang'!B65)</f>
        <v>0</v>
      </c>
      <c r="P23971">
        <f>IF(OR(M23971="",N23971=""),"",SUMIFS('Barang Keluar'!$E:$E,'Barang Keluar'!$A:$A,M23971,'Barang Keluar'!$C:$C,N23971))</f>
        <v>0</v>
      </c>
    </row>
    <row r="23972" spans="13:16">
      <c r="M23972" s="49">
        <f>IF($A$4+239&gt;$B$4,"",$A$4+239)</f>
        <v>46262</v>
      </c>
      <c r="N23972">
        <f>IF(M23972="","",'Master Barang'!A66)</f>
        <v>0</v>
      </c>
      <c r="O23972">
        <f>IF(N23972="","",'Master Barang'!B66)</f>
        <v>0</v>
      </c>
      <c r="P23972">
        <f>IF(OR(M23972="",N23972=""),"",SUMIFS('Barang Keluar'!$E:$E,'Barang Keluar'!$A:$A,M23972,'Barang Keluar'!$C:$C,N23972))</f>
        <v>0</v>
      </c>
    </row>
    <row r="23973" spans="13:16">
      <c r="M23973" s="49">
        <f>IF($A$4+239&gt;$B$4,"",$A$4+239)</f>
        <v>46262</v>
      </c>
      <c r="N23973">
        <f>IF(M23973="","",'Master Barang'!A67)</f>
        <v>0</v>
      </c>
      <c r="O23973">
        <f>IF(N23973="","",'Master Barang'!B67)</f>
        <v>0</v>
      </c>
      <c r="P23973">
        <f>IF(OR(M23973="",N23973=""),"",SUMIFS('Barang Keluar'!$E:$E,'Barang Keluar'!$A:$A,M23973,'Barang Keluar'!$C:$C,N23973))</f>
        <v>0</v>
      </c>
    </row>
    <row r="23974" spans="13:16">
      <c r="M23974" s="49">
        <f>IF($A$4+239&gt;$B$4,"",$A$4+239)</f>
        <v>46262</v>
      </c>
      <c r="N23974">
        <f>IF(M23974="","",'Master Barang'!A68)</f>
        <v>0</v>
      </c>
      <c r="O23974">
        <f>IF(N23974="","",'Master Barang'!B68)</f>
        <v>0</v>
      </c>
      <c r="P23974">
        <f>IF(OR(M23974="",N23974=""),"",SUMIFS('Barang Keluar'!$E:$E,'Barang Keluar'!$A:$A,M23974,'Barang Keluar'!$C:$C,N23974))</f>
        <v>0</v>
      </c>
    </row>
    <row r="23975" spans="13:16">
      <c r="M23975" s="49">
        <f>IF($A$4+239&gt;$B$4,"",$A$4+239)</f>
        <v>46262</v>
      </c>
      <c r="N23975">
        <f>IF(M23975="","",'Master Barang'!A69)</f>
        <v>0</v>
      </c>
      <c r="O23975">
        <f>IF(N23975="","",'Master Barang'!B69)</f>
        <v>0</v>
      </c>
      <c r="P23975">
        <f>IF(OR(M23975="",N23975=""),"",SUMIFS('Barang Keluar'!$E:$E,'Barang Keluar'!$A:$A,M23975,'Barang Keluar'!$C:$C,N23975))</f>
        <v>0</v>
      </c>
    </row>
    <row r="23976" spans="13:16">
      <c r="M23976" s="49">
        <f>IF($A$4+239&gt;$B$4,"",$A$4+239)</f>
        <v>46262</v>
      </c>
      <c r="N23976">
        <f>IF(M23976="","",'Master Barang'!A70)</f>
        <v>0</v>
      </c>
      <c r="O23976">
        <f>IF(N23976="","",'Master Barang'!B70)</f>
        <v>0</v>
      </c>
      <c r="P23976">
        <f>IF(OR(M23976="",N23976=""),"",SUMIFS('Barang Keluar'!$E:$E,'Barang Keluar'!$A:$A,M23976,'Barang Keluar'!$C:$C,N23976))</f>
        <v>0</v>
      </c>
    </row>
    <row r="23977" spans="13:16">
      <c r="M23977" s="49">
        <f>IF($A$4+239&gt;$B$4,"",$A$4+239)</f>
        <v>46262</v>
      </c>
      <c r="N23977">
        <f>IF(M23977="","",'Master Barang'!A71)</f>
        <v>0</v>
      </c>
      <c r="O23977">
        <f>IF(N23977="","",'Master Barang'!B71)</f>
        <v>0</v>
      </c>
      <c r="P23977">
        <f>IF(OR(M23977="",N23977=""),"",SUMIFS('Barang Keluar'!$E:$E,'Barang Keluar'!$A:$A,M23977,'Barang Keluar'!$C:$C,N23977))</f>
        <v>0</v>
      </c>
    </row>
    <row r="23978" spans="13:16">
      <c r="M23978" s="49">
        <f>IF($A$4+239&gt;$B$4,"",$A$4+239)</f>
        <v>46262</v>
      </c>
      <c r="N23978">
        <f>IF(M23978="","",'Master Barang'!A72)</f>
        <v>0</v>
      </c>
      <c r="O23978">
        <f>IF(N23978="","",'Master Barang'!B72)</f>
        <v>0</v>
      </c>
      <c r="P23978">
        <f>IF(OR(M23978="",N23978=""),"",SUMIFS('Barang Keluar'!$E:$E,'Barang Keluar'!$A:$A,M23978,'Barang Keluar'!$C:$C,N23978))</f>
        <v>0</v>
      </c>
    </row>
    <row r="23979" spans="13:16">
      <c r="M23979" s="49">
        <f>IF($A$4+239&gt;$B$4,"",$A$4+239)</f>
        <v>46262</v>
      </c>
      <c r="N23979">
        <f>IF(M23979="","",'Master Barang'!A73)</f>
        <v>0</v>
      </c>
      <c r="O23979">
        <f>IF(N23979="","",'Master Barang'!B73)</f>
        <v>0</v>
      </c>
      <c r="P23979">
        <f>IF(OR(M23979="",N23979=""),"",SUMIFS('Barang Keluar'!$E:$E,'Barang Keluar'!$A:$A,M23979,'Barang Keluar'!$C:$C,N23979))</f>
        <v>0</v>
      </c>
    </row>
    <row r="23980" spans="13:16">
      <c r="M23980" s="49">
        <f>IF($A$4+239&gt;$B$4,"",$A$4+239)</f>
        <v>46262</v>
      </c>
      <c r="N23980">
        <f>IF(M23980="","",'Master Barang'!A74)</f>
        <v>0</v>
      </c>
      <c r="O23980">
        <f>IF(N23980="","",'Master Barang'!B74)</f>
        <v>0</v>
      </c>
      <c r="P23980">
        <f>IF(OR(M23980="",N23980=""),"",SUMIFS('Barang Keluar'!$E:$E,'Barang Keluar'!$A:$A,M23980,'Barang Keluar'!$C:$C,N23980))</f>
        <v>0</v>
      </c>
    </row>
    <row r="23981" spans="13:16">
      <c r="M23981" s="49">
        <f>IF($A$4+239&gt;$B$4,"",$A$4+239)</f>
        <v>46262</v>
      </c>
      <c r="N23981">
        <f>IF(M23981="","",'Master Barang'!A75)</f>
        <v>0</v>
      </c>
      <c r="O23981">
        <f>IF(N23981="","",'Master Barang'!B75)</f>
        <v>0</v>
      </c>
      <c r="P23981">
        <f>IF(OR(M23981="",N23981=""),"",SUMIFS('Barang Keluar'!$E:$E,'Barang Keluar'!$A:$A,M23981,'Barang Keluar'!$C:$C,N23981))</f>
        <v>0</v>
      </c>
    </row>
    <row r="23982" spans="13:16">
      <c r="M23982" s="49">
        <f>IF($A$4+239&gt;$B$4,"",$A$4+239)</f>
        <v>46262</v>
      </c>
      <c r="N23982">
        <f>IF(M23982="","",'Master Barang'!A76)</f>
        <v>0</v>
      </c>
      <c r="O23982">
        <f>IF(N23982="","",'Master Barang'!B76)</f>
        <v>0</v>
      </c>
      <c r="P23982">
        <f>IF(OR(M23982="",N23982=""),"",SUMIFS('Barang Keluar'!$E:$E,'Barang Keluar'!$A:$A,M23982,'Barang Keluar'!$C:$C,N23982))</f>
        <v>0</v>
      </c>
    </row>
    <row r="23983" spans="13:16">
      <c r="M23983" s="49">
        <f>IF($A$4+239&gt;$B$4,"",$A$4+239)</f>
        <v>46262</v>
      </c>
      <c r="N23983">
        <f>IF(M23983="","",'Master Barang'!A77)</f>
        <v>0</v>
      </c>
      <c r="O23983">
        <f>IF(N23983="","",'Master Barang'!B77)</f>
        <v>0</v>
      </c>
      <c r="P23983">
        <f>IF(OR(M23983="",N23983=""),"",SUMIFS('Barang Keluar'!$E:$E,'Barang Keluar'!$A:$A,M23983,'Barang Keluar'!$C:$C,N23983))</f>
        <v>0</v>
      </c>
    </row>
    <row r="23984" spans="13:16">
      <c r="M23984" s="49">
        <f>IF($A$4+239&gt;$B$4,"",$A$4+239)</f>
        <v>46262</v>
      </c>
      <c r="N23984">
        <f>IF(M23984="","",'Master Barang'!A78)</f>
        <v>0</v>
      </c>
      <c r="O23984">
        <f>IF(N23984="","",'Master Barang'!B78)</f>
        <v>0</v>
      </c>
      <c r="P23984">
        <f>IF(OR(M23984="",N23984=""),"",SUMIFS('Barang Keluar'!$E:$E,'Barang Keluar'!$A:$A,M23984,'Barang Keluar'!$C:$C,N23984))</f>
        <v>0</v>
      </c>
    </row>
    <row r="23985" spans="13:16">
      <c r="M23985" s="49">
        <f>IF($A$4+239&gt;$B$4,"",$A$4+239)</f>
        <v>46262</v>
      </c>
      <c r="N23985">
        <f>IF(M23985="","",'Master Barang'!A79)</f>
        <v>0</v>
      </c>
      <c r="O23985">
        <f>IF(N23985="","",'Master Barang'!B79)</f>
        <v>0</v>
      </c>
      <c r="P23985">
        <f>IF(OR(M23985="",N23985=""),"",SUMIFS('Barang Keluar'!$E:$E,'Barang Keluar'!$A:$A,M23985,'Barang Keluar'!$C:$C,N23985))</f>
        <v>0</v>
      </c>
    </row>
    <row r="23986" spans="13:16">
      <c r="M23986" s="49">
        <f>IF($A$4+239&gt;$B$4,"",$A$4+239)</f>
        <v>46262</v>
      </c>
      <c r="N23986">
        <f>IF(M23986="","",'Master Barang'!A80)</f>
        <v>0</v>
      </c>
      <c r="O23986">
        <f>IF(N23986="","",'Master Barang'!B80)</f>
        <v>0</v>
      </c>
      <c r="P23986">
        <f>IF(OR(M23986="",N23986=""),"",SUMIFS('Barang Keluar'!$E:$E,'Barang Keluar'!$A:$A,M23986,'Barang Keluar'!$C:$C,N23986))</f>
        <v>0</v>
      </c>
    </row>
    <row r="23987" spans="13:16">
      <c r="M23987" s="49">
        <f>IF($A$4+239&gt;$B$4,"",$A$4+239)</f>
        <v>46262</v>
      </c>
      <c r="N23987">
        <f>IF(M23987="","",'Master Barang'!A81)</f>
        <v>0</v>
      </c>
      <c r="O23987">
        <f>IF(N23987="","",'Master Barang'!B81)</f>
        <v>0</v>
      </c>
      <c r="P23987">
        <f>IF(OR(M23987="",N23987=""),"",SUMIFS('Barang Keluar'!$E:$E,'Barang Keluar'!$A:$A,M23987,'Barang Keluar'!$C:$C,N23987))</f>
        <v>0</v>
      </c>
    </row>
    <row r="23988" spans="13:16">
      <c r="M23988" s="49">
        <f>IF($A$4+239&gt;$B$4,"",$A$4+239)</f>
        <v>46262</v>
      </c>
      <c r="N23988">
        <f>IF(M23988="","",'Master Barang'!A82)</f>
        <v>0</v>
      </c>
      <c r="O23988">
        <f>IF(N23988="","",'Master Barang'!B82)</f>
        <v>0</v>
      </c>
      <c r="P23988">
        <f>IF(OR(M23988="",N23988=""),"",SUMIFS('Barang Keluar'!$E:$E,'Barang Keluar'!$A:$A,M23988,'Barang Keluar'!$C:$C,N23988))</f>
        <v>0</v>
      </c>
    </row>
    <row r="23989" spans="13:16">
      <c r="M23989" s="49">
        <f>IF($A$4+239&gt;$B$4,"",$A$4+239)</f>
        <v>46262</v>
      </c>
      <c r="N23989">
        <f>IF(M23989="","",'Master Barang'!A83)</f>
        <v>0</v>
      </c>
      <c r="O23989">
        <f>IF(N23989="","",'Master Barang'!B83)</f>
        <v>0</v>
      </c>
      <c r="P23989">
        <f>IF(OR(M23989="",N23989=""),"",SUMIFS('Barang Keluar'!$E:$E,'Barang Keluar'!$A:$A,M23989,'Barang Keluar'!$C:$C,N23989))</f>
        <v>0</v>
      </c>
    </row>
    <row r="23990" spans="13:16">
      <c r="M23990" s="49">
        <f>IF($A$4+239&gt;$B$4,"",$A$4+239)</f>
        <v>46262</v>
      </c>
      <c r="N23990">
        <f>IF(M23990="","",'Master Barang'!A84)</f>
        <v>0</v>
      </c>
      <c r="O23990">
        <f>IF(N23990="","",'Master Barang'!B84)</f>
        <v>0</v>
      </c>
      <c r="P23990">
        <f>IF(OR(M23990="",N23990=""),"",SUMIFS('Barang Keluar'!$E:$E,'Barang Keluar'!$A:$A,M23990,'Barang Keluar'!$C:$C,N23990))</f>
        <v>0</v>
      </c>
    </row>
    <row r="23991" spans="13:16">
      <c r="M23991" s="49">
        <f>IF($A$4+239&gt;$B$4,"",$A$4+239)</f>
        <v>46262</v>
      </c>
      <c r="N23991">
        <f>IF(M23991="","",'Master Barang'!A85)</f>
        <v>0</v>
      </c>
      <c r="O23991">
        <f>IF(N23991="","",'Master Barang'!B85)</f>
        <v>0</v>
      </c>
      <c r="P23991">
        <f>IF(OR(M23991="",N23991=""),"",SUMIFS('Barang Keluar'!$E:$E,'Barang Keluar'!$A:$A,M23991,'Barang Keluar'!$C:$C,N23991))</f>
        <v>0</v>
      </c>
    </row>
    <row r="23992" spans="13:16">
      <c r="M23992" s="49">
        <f>IF($A$4+239&gt;$B$4,"",$A$4+239)</f>
        <v>46262</v>
      </c>
      <c r="N23992">
        <f>IF(M23992="","",'Master Barang'!A86)</f>
        <v>0</v>
      </c>
      <c r="O23992">
        <f>IF(N23992="","",'Master Barang'!B86)</f>
        <v>0</v>
      </c>
      <c r="P23992">
        <f>IF(OR(M23992="",N23992=""),"",SUMIFS('Barang Keluar'!$E:$E,'Barang Keluar'!$A:$A,M23992,'Barang Keluar'!$C:$C,N23992))</f>
        <v>0</v>
      </c>
    </row>
    <row r="23993" spans="13:16">
      <c r="M23993" s="49">
        <f>IF($A$4+239&gt;$B$4,"",$A$4+239)</f>
        <v>46262</v>
      </c>
      <c r="N23993">
        <f>IF(M23993="","",'Master Barang'!A87)</f>
        <v>0</v>
      </c>
      <c r="O23993">
        <f>IF(N23993="","",'Master Barang'!B87)</f>
        <v>0</v>
      </c>
      <c r="P23993">
        <f>IF(OR(M23993="",N23993=""),"",SUMIFS('Barang Keluar'!$E:$E,'Barang Keluar'!$A:$A,M23993,'Barang Keluar'!$C:$C,N23993))</f>
        <v>0</v>
      </c>
    </row>
    <row r="23994" spans="13:16">
      <c r="M23994" s="49">
        <f>IF($A$4+239&gt;$B$4,"",$A$4+239)</f>
        <v>46262</v>
      </c>
      <c r="N23994">
        <f>IF(M23994="","",'Master Barang'!A88)</f>
        <v>0</v>
      </c>
      <c r="O23994">
        <f>IF(N23994="","",'Master Barang'!B88)</f>
        <v>0</v>
      </c>
      <c r="P23994">
        <f>IF(OR(M23994="",N23994=""),"",SUMIFS('Barang Keluar'!$E:$E,'Barang Keluar'!$A:$A,M23994,'Barang Keluar'!$C:$C,N23994))</f>
        <v>0</v>
      </c>
    </row>
    <row r="23995" spans="13:16">
      <c r="M23995" s="49">
        <f>IF($A$4+239&gt;$B$4,"",$A$4+239)</f>
        <v>46262</v>
      </c>
      <c r="N23995">
        <f>IF(M23995="","",'Master Barang'!A89)</f>
        <v>0</v>
      </c>
      <c r="O23995">
        <f>IF(N23995="","",'Master Barang'!B89)</f>
        <v>0</v>
      </c>
      <c r="P23995">
        <f>IF(OR(M23995="",N23995=""),"",SUMIFS('Barang Keluar'!$E:$E,'Barang Keluar'!$A:$A,M23995,'Barang Keluar'!$C:$C,N23995))</f>
        <v>0</v>
      </c>
    </row>
    <row r="23996" spans="13:16">
      <c r="M23996" s="49">
        <f>IF($A$4+239&gt;$B$4,"",$A$4+239)</f>
        <v>46262</v>
      </c>
      <c r="N23996">
        <f>IF(M23996="","",'Master Barang'!A90)</f>
        <v>0</v>
      </c>
      <c r="O23996">
        <f>IF(N23996="","",'Master Barang'!B90)</f>
        <v>0</v>
      </c>
      <c r="P23996">
        <f>IF(OR(M23996="",N23996=""),"",SUMIFS('Barang Keluar'!$E:$E,'Barang Keluar'!$A:$A,M23996,'Barang Keluar'!$C:$C,N23996))</f>
        <v>0</v>
      </c>
    </row>
    <row r="23997" spans="13:16">
      <c r="M23997" s="49">
        <f>IF($A$4+239&gt;$B$4,"",$A$4+239)</f>
        <v>46262</v>
      </c>
      <c r="N23997">
        <f>IF(M23997="","",'Master Barang'!A91)</f>
        <v>0</v>
      </c>
      <c r="O23997">
        <f>IF(N23997="","",'Master Barang'!B91)</f>
        <v>0</v>
      </c>
      <c r="P23997">
        <f>IF(OR(M23997="",N23997=""),"",SUMIFS('Barang Keluar'!$E:$E,'Barang Keluar'!$A:$A,M23997,'Barang Keluar'!$C:$C,N23997))</f>
        <v>0</v>
      </c>
    </row>
    <row r="23998" spans="13:16">
      <c r="M23998" s="49">
        <f>IF($A$4+239&gt;$B$4,"",$A$4+239)</f>
        <v>46262</v>
      </c>
      <c r="N23998">
        <f>IF(M23998="","",'Master Barang'!A92)</f>
        <v>0</v>
      </c>
      <c r="O23998">
        <f>IF(N23998="","",'Master Barang'!B92)</f>
        <v>0</v>
      </c>
      <c r="P23998">
        <f>IF(OR(M23998="",N23998=""),"",SUMIFS('Barang Keluar'!$E:$E,'Barang Keluar'!$A:$A,M23998,'Barang Keluar'!$C:$C,N23998))</f>
        <v>0</v>
      </c>
    </row>
    <row r="23999" spans="13:16">
      <c r="M23999" s="49">
        <f>IF($A$4+239&gt;$B$4,"",$A$4+239)</f>
        <v>46262</v>
      </c>
      <c r="N23999">
        <f>IF(M23999="","",'Master Barang'!A93)</f>
        <v>0</v>
      </c>
      <c r="O23999">
        <f>IF(N23999="","",'Master Barang'!B93)</f>
        <v>0</v>
      </c>
      <c r="P23999">
        <f>IF(OR(M23999="",N23999=""),"",SUMIFS('Barang Keluar'!$E:$E,'Barang Keluar'!$A:$A,M23999,'Barang Keluar'!$C:$C,N23999))</f>
        <v>0</v>
      </c>
    </row>
    <row r="24000" spans="13:16">
      <c r="M24000" s="49">
        <f>IF($A$4+239&gt;$B$4,"",$A$4+239)</f>
        <v>46262</v>
      </c>
      <c r="N24000">
        <f>IF(M24000="","",'Master Barang'!A94)</f>
        <v>0</v>
      </c>
      <c r="O24000">
        <f>IF(N24000="","",'Master Barang'!B94)</f>
        <v>0</v>
      </c>
      <c r="P24000">
        <f>IF(OR(M24000="",N24000=""),"",SUMIFS('Barang Keluar'!$E:$E,'Barang Keluar'!$A:$A,M24000,'Barang Keluar'!$C:$C,N24000))</f>
        <v>0</v>
      </c>
    </row>
    <row r="24001" spans="13:16">
      <c r="M24001" s="49">
        <f>IF($A$4+239&gt;$B$4,"",$A$4+239)</f>
        <v>46262</v>
      </c>
      <c r="N24001">
        <f>IF(M24001="","",'Master Barang'!A95)</f>
        <v>0</v>
      </c>
      <c r="O24001">
        <f>IF(N24001="","",'Master Barang'!B95)</f>
        <v>0</v>
      </c>
      <c r="P24001">
        <f>IF(OR(M24001="",N24001=""),"",SUMIFS('Barang Keluar'!$E:$E,'Barang Keluar'!$A:$A,M24001,'Barang Keluar'!$C:$C,N24001))</f>
        <v>0</v>
      </c>
    </row>
    <row r="24002" spans="13:16">
      <c r="M24002" s="49">
        <f>IF($A$4+239&gt;$B$4,"",$A$4+239)</f>
        <v>46262</v>
      </c>
      <c r="N24002">
        <f>IF(M24002="","",'Master Barang'!A96)</f>
        <v>0</v>
      </c>
      <c r="O24002">
        <f>IF(N24002="","",'Master Barang'!B96)</f>
        <v>0</v>
      </c>
      <c r="P24002">
        <f>IF(OR(M24002="",N24002=""),"",SUMIFS('Barang Keluar'!$E:$E,'Barang Keluar'!$A:$A,M24002,'Barang Keluar'!$C:$C,N24002))</f>
        <v>0</v>
      </c>
    </row>
    <row r="24003" spans="13:16">
      <c r="M24003" s="49">
        <f>IF($A$4+239&gt;$B$4,"",$A$4+239)</f>
        <v>46262</v>
      </c>
      <c r="N24003">
        <f>IF(M24003="","",'Master Barang'!A97)</f>
        <v>0</v>
      </c>
      <c r="O24003">
        <f>IF(N24003="","",'Master Barang'!B97)</f>
        <v>0</v>
      </c>
      <c r="P24003">
        <f>IF(OR(M24003="",N24003=""),"",SUMIFS('Barang Keluar'!$E:$E,'Barang Keluar'!$A:$A,M24003,'Barang Keluar'!$C:$C,N24003))</f>
        <v>0</v>
      </c>
    </row>
    <row r="24004" spans="13:16">
      <c r="M24004" s="49">
        <f>IF($A$4+239&gt;$B$4,"",$A$4+239)</f>
        <v>46262</v>
      </c>
      <c r="N24004">
        <f>IF(M24004="","",'Master Barang'!A98)</f>
        <v>0</v>
      </c>
      <c r="O24004">
        <f>IF(N24004="","",'Master Barang'!B98)</f>
        <v>0</v>
      </c>
      <c r="P24004">
        <f>IF(OR(M24004="",N24004=""),"",SUMIFS('Barang Keluar'!$E:$E,'Barang Keluar'!$A:$A,M24004,'Barang Keluar'!$C:$C,N24004))</f>
        <v>0</v>
      </c>
    </row>
    <row r="24005" spans="13:16">
      <c r="M24005" s="49">
        <f>IF($A$4+239&gt;$B$4,"",$A$4+239)</f>
        <v>46262</v>
      </c>
      <c r="N24005">
        <f>IF(M24005="","",'Master Barang'!A99)</f>
        <v>0</v>
      </c>
      <c r="O24005">
        <f>IF(N24005="","",'Master Barang'!B99)</f>
        <v>0</v>
      </c>
      <c r="P24005">
        <f>IF(OR(M24005="",N24005=""),"",SUMIFS('Barang Keluar'!$E:$E,'Barang Keluar'!$A:$A,M24005,'Barang Keluar'!$C:$C,N24005))</f>
        <v>0</v>
      </c>
    </row>
    <row r="24006" spans="13:16">
      <c r="M24006" s="49">
        <f>IF($A$4+239&gt;$B$4,"",$A$4+239)</f>
        <v>46262</v>
      </c>
      <c r="N24006">
        <f>IF(M24006="","",'Master Barang'!A100)</f>
        <v>0</v>
      </c>
      <c r="O24006">
        <f>IF(N24006="","",'Master Barang'!B100)</f>
        <v>0</v>
      </c>
      <c r="P24006">
        <f>IF(OR(M24006="",N24006=""),"",SUMIFS('Barang Keluar'!$E:$E,'Barang Keluar'!$A:$A,M24006,'Barang Keluar'!$C:$C,N24006))</f>
        <v>0</v>
      </c>
    </row>
    <row r="24007" spans="13:16">
      <c r="M24007" s="49">
        <f>IF($A$4+239&gt;$B$4,"",$A$4+239)</f>
        <v>46262</v>
      </c>
      <c r="N24007">
        <f>IF(M24007="","",'Master Barang'!A101)</f>
        <v>0</v>
      </c>
      <c r="O24007">
        <f>IF(N24007="","",'Master Barang'!B101)</f>
        <v>0</v>
      </c>
      <c r="P24007">
        <f>IF(OR(M24007="",N24007=""),"",SUMIFS('Barang Keluar'!$E:$E,'Barang Keluar'!$A:$A,M24007,'Barang Keluar'!$C:$C,N24007))</f>
        <v>0</v>
      </c>
    </row>
    <row r="24008" spans="13:16">
      <c r="M24008" s="49">
        <f>IF($A$4+240&gt;$B$4,"",$A$4+240)</f>
        <v>46263</v>
      </c>
      <c r="N24008" t="str">
        <f>IF(M24008="","",'Master Barang'!A2)</f>
        <v>PRL-001</v>
      </c>
      <c r="O24008" t="str">
        <f>IF(N24008="","",'Master Barang'!B2)</f>
        <v>natura desinfectant food grade 5l</v>
      </c>
      <c r="P24008">
        <f>IF(OR(M24008="",N24008=""),"",SUMIFS('Barang Keluar'!$E:$E,'Barang Keluar'!$A:$A,M24008,'Barang Keluar'!$C:$C,N24008))</f>
        <v>0</v>
      </c>
    </row>
    <row r="24009" spans="13:16">
      <c r="M24009" s="49">
        <f>IF($A$4+240&gt;$B$4,"",$A$4+240)</f>
        <v>46263</v>
      </c>
      <c r="N24009" t="str">
        <f>IF(M24009="","",'Master Barang'!A3)</f>
        <v>PRL-002</v>
      </c>
      <c r="O24009" t="str">
        <f>IF(N24009="","",'Master Barang'!B3)</f>
        <v>sunlight cairan pencuci piring 5l</v>
      </c>
      <c r="P24009">
        <f>IF(OR(M24009="",N24009=""),"",SUMIFS('Barang Keluar'!$E:$E,'Barang Keluar'!$A:$A,M24009,'Barang Keluar'!$C:$C,N24009))</f>
        <v>0</v>
      </c>
    </row>
    <row r="24010" spans="13:16">
      <c r="M24010" s="49">
        <f>IF($A$4+240&gt;$B$4,"",$A$4+240)</f>
        <v>46263</v>
      </c>
      <c r="N24010" t="str">
        <f>IF(M24010="","",'Master Barang'!A4)</f>
        <v>PRL-003</v>
      </c>
      <c r="O24010" t="str">
        <f>IF(N24010="","",'Master Barang'!B4)</f>
        <v>oixs cleaner 1l</v>
      </c>
      <c r="P24010">
        <f>IF(OR(M24010="",N24010=""),"",SUMIFS('Barang Keluar'!$E:$E,'Barang Keluar'!$A:$A,M24010,'Barang Keluar'!$C:$C,N24010))</f>
        <v>0</v>
      </c>
    </row>
    <row r="24011" spans="13:16">
      <c r="M24011" s="49">
        <f>IF($A$4+240&gt;$B$4,"",$A$4+240)</f>
        <v>46263</v>
      </c>
      <c r="N24011" t="str">
        <f>IF(M24011="","",'Master Barang'!A5)</f>
        <v>PRL-004</v>
      </c>
      <c r="O24011" t="str">
        <f>IF(N24011="","",'Master Barang'!B5)</f>
        <v>be clean tissue serbaguna</v>
      </c>
      <c r="P24011">
        <f>IF(OR(M24011="",N24011=""),"",SUMIFS('Barang Keluar'!$E:$E,'Barang Keluar'!$A:$A,M24011,'Barang Keluar'!$C:$C,N24011))</f>
        <v>0</v>
      </c>
    </row>
    <row r="24012" spans="13:16">
      <c r="M24012" s="49">
        <f>IF($A$4+240&gt;$B$4,"",$A$4+240)</f>
        <v>46263</v>
      </c>
      <c r="N24012" t="str">
        <f>IF(M24012="","",'Master Barang'!A6)</f>
        <v>PRL-005</v>
      </c>
      <c r="O24012" t="str">
        <f>IF(N24012="","",'Master Barang'!B6)</f>
        <v>spons cuci hijau</v>
      </c>
      <c r="P24012">
        <f>IF(OR(M24012="",N24012=""),"",SUMIFS('Barang Keluar'!$E:$E,'Barang Keluar'!$A:$A,M24012,'Barang Keluar'!$C:$C,N24012))</f>
        <v>0</v>
      </c>
    </row>
    <row r="24013" spans="13:16">
      <c r="M24013" s="49">
        <f>IF($A$4+240&gt;$B$4,"",$A$4+240)</f>
        <v>46263</v>
      </c>
      <c r="N24013" t="str">
        <f>IF(M24013="","",'Master Barang'!A7)</f>
        <v>PRL-006</v>
      </c>
      <c r="O24013" t="str">
        <f>IF(N24013="","",'Master Barang'!B7)</f>
        <v>sabut cuci stainless</v>
      </c>
      <c r="P24013">
        <f>IF(OR(M24013="",N24013=""),"",SUMIFS('Barang Keluar'!$E:$E,'Barang Keluar'!$A:$A,M24013,'Barang Keluar'!$C:$C,N24013))</f>
        <v>0</v>
      </c>
    </row>
    <row r="24014" spans="13:16">
      <c r="M24014" s="49">
        <f>IF($A$4+240&gt;$B$4,"",$A$4+240)</f>
        <v>46263</v>
      </c>
      <c r="N24014" t="str">
        <f>IF(M24014="","",'Master Barang'!A8)</f>
        <v>PRL-007</v>
      </c>
      <c r="O24014" t="str">
        <f>IF(N24014="","",'Master Barang'!B8)</f>
        <v>plastik kresek besar merah 50pc</v>
      </c>
      <c r="P24014">
        <f>IF(OR(M24014="",N24014=""),"",SUMIFS('Barang Keluar'!$E:$E,'Barang Keluar'!$A:$A,M24014,'Barang Keluar'!$C:$C,N24014))</f>
        <v>0</v>
      </c>
    </row>
    <row r="24015" spans="13:16">
      <c r="M24015" s="49">
        <f>IF($A$4+240&gt;$B$4,"",$A$4+240)</f>
        <v>46263</v>
      </c>
      <c r="N24015" t="str">
        <f>IF(M24015="","",'Master Barang'!A9)</f>
        <v>PRL-008</v>
      </c>
      <c r="O24015" t="str">
        <f>IF(N24015="","",'Master Barang'!B9)</f>
        <v>lap besar</v>
      </c>
      <c r="P24015">
        <f>IF(OR(M24015="",N24015=""),"",SUMIFS('Barang Keluar'!$E:$E,'Barang Keluar'!$A:$A,M24015,'Barang Keluar'!$C:$C,N24015))</f>
        <v>0</v>
      </c>
    </row>
    <row r="24016" spans="13:16">
      <c r="M24016" s="49">
        <f>IF($A$4+240&gt;$B$4,"",$A$4+240)</f>
        <v>46263</v>
      </c>
      <c r="N24016" t="str">
        <f>IF(M24016="","",'Master Barang'!A10)</f>
        <v>PRL-009</v>
      </c>
      <c r="O24016" t="str">
        <f>IF(N24016="","",'Master Barang'!B10)</f>
        <v>lap microfiber</v>
      </c>
      <c r="P24016">
        <f>IF(OR(M24016="",N24016=""),"",SUMIFS('Barang Keluar'!$E:$E,'Barang Keluar'!$A:$A,M24016,'Barang Keluar'!$C:$C,N24016))</f>
        <v>0</v>
      </c>
    </row>
    <row r="24017" spans="13:16">
      <c r="M24017" s="49">
        <f>IF($A$4+240&gt;$B$4,"",$A$4+240)</f>
        <v>46263</v>
      </c>
      <c r="N24017" t="str">
        <f>IF(M24017="","",'Master Barang'!A11)</f>
        <v>PRL-010</v>
      </c>
      <c r="O24017" t="str">
        <f>IF(N24017="","",'Master Barang'!B11)</f>
        <v>lap kecil</v>
      </c>
      <c r="P24017">
        <f>IF(OR(M24017="",N24017=""),"",SUMIFS('Barang Keluar'!$E:$E,'Barang Keluar'!$A:$A,M24017,'Barang Keluar'!$C:$C,N24017))</f>
        <v>0</v>
      </c>
    </row>
    <row r="24018" spans="13:16">
      <c r="M24018" s="49">
        <f>IF($A$4+240&gt;$B$4,"",$A$4+240)</f>
        <v>46263</v>
      </c>
      <c r="N24018" t="str">
        <f>IF(M24018="","",'Master Barang'!A12)</f>
        <v>PRL-011</v>
      </c>
      <c r="O24018" t="str">
        <f>IF(N24018="","",'Master Barang'!B12)</f>
        <v>kanebo kecil</v>
      </c>
      <c r="P24018">
        <f>IF(OR(M24018="",N24018=""),"",SUMIFS('Barang Keluar'!$E:$E,'Barang Keluar'!$A:$A,M24018,'Barang Keluar'!$C:$C,N24018))</f>
        <v>0</v>
      </c>
    </row>
    <row r="24019" spans="13:16">
      <c r="M24019" s="49">
        <f>IF($A$4+240&gt;$B$4,"",$A$4+240)</f>
        <v>46263</v>
      </c>
      <c r="N24019" t="str">
        <f>IF(M24019="","",'Master Barang'!A13)</f>
        <v>PRL-012</v>
      </c>
      <c r="O24019" t="str">
        <f>IF(N24019="","",'Master Barang'!B13)</f>
        <v>plastik 1/4kg joyoboyo 100 lembar</v>
      </c>
      <c r="P24019">
        <f>IF(OR(M24019="",N24019=""),"",SUMIFS('Barang Keluar'!$E:$E,'Barang Keluar'!$A:$A,M24019,'Barang Keluar'!$C:$C,N24019))</f>
        <v>0</v>
      </c>
    </row>
    <row r="24020" spans="13:16">
      <c r="M24020" s="49">
        <f>IF($A$4+240&gt;$B$4,"",$A$4+240)</f>
        <v>46263</v>
      </c>
      <c r="N24020" t="str">
        <f>IF(M24020="","",'Master Barang'!A14)</f>
        <v>PRL-013</v>
      </c>
      <c r="O24020" t="str">
        <f>IF(N24020="","",'Master Barang'!B14)</f>
        <v>sarung tangan plastik kaka 100 pcs</v>
      </c>
      <c r="P24020">
        <f>IF(OR(M24020="",N24020=""),"",SUMIFS('Barang Keluar'!$E:$E,'Barang Keluar'!$A:$A,M24020,'Barang Keluar'!$C:$C,N24020))</f>
        <v>0</v>
      </c>
    </row>
    <row r="24021" spans="13:16">
      <c r="M24021" s="49">
        <f>IF($A$4+240&gt;$B$4,"",$A$4+240)</f>
        <v>46263</v>
      </c>
      <c r="N24021" t="str">
        <f>IF(M24021="","",'Master Barang'!A15)</f>
        <v>PRL-014</v>
      </c>
      <c r="O24021" t="str">
        <f>IF(N24021="","",'Master Barang'!B15)</f>
        <v>optima trashbag 80x100</v>
      </c>
      <c r="P24021">
        <f>IF(OR(M24021="",N24021=""),"",SUMIFS('Barang Keluar'!$E:$E,'Barang Keluar'!$A:$A,M24021,'Barang Keluar'!$C:$C,N24021))</f>
        <v>0</v>
      </c>
    </row>
    <row r="24022" spans="13:16">
      <c r="M24022" s="49">
        <f>IF($A$4+240&gt;$B$4,"",$A$4+240)</f>
        <v>46263</v>
      </c>
      <c r="N24022" t="str">
        <f>IF(M24022="","",'Master Barang'!A16)</f>
        <v>PRL-015</v>
      </c>
      <c r="O24022" t="str">
        <f>IF(N24022="","",'Master Barang'!B16)</f>
        <v>optima trashbag 60x100</v>
      </c>
      <c r="P24022">
        <f>IF(OR(M24022="",N24022=""),"",SUMIFS('Barang Keluar'!$E:$E,'Barang Keluar'!$A:$A,M24022,'Barang Keluar'!$C:$C,N24022))</f>
        <v>0</v>
      </c>
    </row>
    <row r="24023" spans="13:16">
      <c r="M24023" s="49">
        <f>IF($A$4+240&gt;$B$4,"",$A$4+240)</f>
        <v>46263</v>
      </c>
      <c r="N24023" t="str">
        <f>IF(M24023="","",'Master Barang'!A17)</f>
        <v>PRL-016</v>
      </c>
      <c r="O24023" t="str">
        <f>IF(N24023="","",'Master Barang'!B17)</f>
        <v>rajawali trashbag 30x40</v>
      </c>
      <c r="P24023">
        <f>IF(OR(M24023="",N24023=""),"",SUMIFS('Barang Keluar'!$E:$E,'Barang Keluar'!$A:$A,M24023,'Barang Keluar'!$C:$C,N24023))</f>
        <v>0</v>
      </c>
    </row>
    <row r="24024" spans="13:16">
      <c r="M24024" s="49">
        <f>IF($A$4+240&gt;$B$4,"",$A$4+240)</f>
        <v>46263</v>
      </c>
      <c r="N24024" t="str">
        <f>IF(M24024="","",'Master Barang'!A18)</f>
        <v>PRL-017</v>
      </c>
      <c r="O24024" t="str">
        <f>IF(N24024="","",'Master Barang'!B18)</f>
        <v>onemed masker biru 3 play 50 pcs</v>
      </c>
      <c r="P24024">
        <f>IF(OR(M24024="",N24024=""),"",SUMIFS('Barang Keluar'!$E:$E,'Barang Keluar'!$A:$A,M24024,'Barang Keluar'!$C:$C,N24024))</f>
        <v>0</v>
      </c>
    </row>
    <row r="24025" spans="13:16">
      <c r="M24025" s="49">
        <f>IF($A$4+240&gt;$B$4,"",$A$4+240)</f>
        <v>46263</v>
      </c>
      <c r="N24025" t="str">
        <f>IF(M24025="","",'Master Barang'!A19)</f>
        <v>PRL-018</v>
      </c>
      <c r="O24025" t="str">
        <f>IF(N24025="","",'Master Barang'!B19)</f>
        <v>onemed masker biru 3 play hijab 50 pcs</v>
      </c>
      <c r="P24025">
        <f>IF(OR(M24025="",N24025=""),"",SUMIFS('Barang Keluar'!$E:$E,'Barang Keluar'!$A:$A,M24025,'Barang Keluar'!$C:$C,N24025))</f>
        <v>0</v>
      </c>
    </row>
    <row r="24026" spans="13:16">
      <c r="M24026" s="49">
        <f>IF($A$4+240&gt;$B$4,"",$A$4+240)</f>
        <v>46263</v>
      </c>
      <c r="N24026" t="str">
        <f>IF(M24026="","",'Master Barang'!A20)</f>
        <v>PRL-019</v>
      </c>
      <c r="O24026" t="str">
        <f>IF(N24026="","",'Master Barang'!B20)</f>
        <v>neo health masker biru 3 play 50 pcs</v>
      </c>
      <c r="P24026">
        <f>IF(OR(M24026="",N24026=""),"",SUMIFS('Barang Keluar'!$E:$E,'Barang Keluar'!$A:$A,M24026,'Barang Keluar'!$C:$C,N24026))</f>
        <v>0</v>
      </c>
    </row>
    <row r="24027" spans="13:16">
      <c r="M24027" s="49">
        <f>IF($A$4+240&gt;$B$4,"",$A$4+240)</f>
        <v>46263</v>
      </c>
      <c r="N24027" t="str">
        <f>IF(M24027="","",'Master Barang'!A21)</f>
        <v>PRL-020</v>
      </c>
      <c r="O24027" t="str">
        <f>IF(N24027="","",'Master Barang'!B21)</f>
        <v>baymed masker hijau 3 play hijau 50 pcs</v>
      </c>
      <c r="P24027">
        <f>IF(OR(M24027="",N24027=""),"",SUMIFS('Barang Keluar'!$E:$E,'Barang Keluar'!$A:$A,M24027,'Barang Keluar'!$C:$C,N24027))</f>
        <v>0</v>
      </c>
    </row>
    <row r="24028" spans="13:16">
      <c r="M24028" s="49">
        <f>IF($A$4+240&gt;$B$4,"",$A$4+240)</f>
        <v>46263</v>
      </c>
      <c r="N24028" t="str">
        <f>IF(M24028="","",'Master Barang'!A22)</f>
        <v>PRL-021</v>
      </c>
      <c r="O24028" t="str">
        <f>IF(N24028="","",'Master Barang'!B22)</f>
        <v>altamed nurse cap penutup kepala 100 pcs</v>
      </c>
      <c r="P24028">
        <f>IF(OR(M24028="",N24028=""),"",SUMIFS('Barang Keluar'!$E:$E,'Barang Keluar'!$A:$A,M24028,'Barang Keluar'!$C:$C,N24028))</f>
        <v>0</v>
      </c>
    </row>
    <row r="24029" spans="13:16">
      <c r="M24029" s="49">
        <f>IF($A$4+240&gt;$B$4,"",$A$4+240)</f>
        <v>46263</v>
      </c>
      <c r="N24029" t="str">
        <f>IF(M24029="","",'Master Barang'!A23)</f>
        <v>PRL-022</v>
      </c>
      <c r="O24029" t="str">
        <f>IF(N24029="","",'Master Barang'!B23)</f>
        <v>sabun cuci tangan</v>
      </c>
      <c r="P24029">
        <f>IF(OR(M24029="",N24029=""),"",SUMIFS('Barang Keluar'!$E:$E,'Barang Keluar'!$A:$A,M24029,'Barang Keluar'!$C:$C,N24029))</f>
        <v>0</v>
      </c>
    </row>
    <row r="24030" spans="13:16">
      <c r="M24030" s="49">
        <f>IF($A$4+240&gt;$B$4,"",$A$4+240)</f>
        <v>46263</v>
      </c>
      <c r="N24030" t="str">
        <f>IF(M24030="","",'Master Barang'!A24)</f>
        <v>PRL-023</v>
      </c>
      <c r="O24030" t="str">
        <f>IF(N24030="","",'Master Barang'!B24)</f>
        <v>gayung kecil</v>
      </c>
      <c r="P24030">
        <f>IF(OR(M24030="",N24030=""),"",SUMIFS('Barang Keluar'!$E:$E,'Barang Keluar'!$A:$A,M24030,'Barang Keluar'!$C:$C,N24030))</f>
        <v>0</v>
      </c>
    </row>
    <row r="24031" spans="13:16">
      <c r="M24031" s="49">
        <f>IF($A$4+240&gt;$B$4,"",$A$4+240)</f>
        <v>46263</v>
      </c>
      <c r="N24031" t="str">
        <f>IF(M24031="","",'Master Barang'!A25)</f>
        <v>PRL-024</v>
      </c>
      <c r="O24031" t="str">
        <f>IF(N24031="","",'Master Barang'!B25)</f>
        <v>cikrak kecil</v>
      </c>
      <c r="P24031">
        <f>IF(OR(M24031="",N24031=""),"",SUMIFS('Barang Keluar'!$E:$E,'Barang Keluar'!$A:$A,M24031,'Barang Keluar'!$C:$C,N24031))</f>
        <v>0</v>
      </c>
    </row>
    <row r="24032" spans="13:16">
      <c r="M24032" s="49">
        <f>IF($A$4+240&gt;$B$4,"",$A$4+240)</f>
        <v>46263</v>
      </c>
      <c r="N24032" t="str">
        <f>IF(M24032="","",'Master Barang'!A26)</f>
        <v>PRL-025</v>
      </c>
      <c r="O24032" t="str">
        <f>IF(N24032="","",'Master Barang'!B26)</f>
        <v>petromax plastik kecil 12x24 100 lembar</v>
      </c>
      <c r="P24032">
        <f>IF(OR(M24032="",N24032=""),"",SUMIFS('Barang Keluar'!$E:$E,'Barang Keluar'!$A:$A,M24032,'Barang Keluar'!$C:$C,N24032))</f>
        <v>0</v>
      </c>
    </row>
    <row r="24033" spans="13:16">
      <c r="M24033" s="49">
        <f>IF($A$4+240&gt;$B$4,"",$A$4+240)</f>
        <v>46263</v>
      </c>
      <c r="N24033" t="str">
        <f>IF(M24033="","",'Master Barang'!A27)</f>
        <v>PRL-026</v>
      </c>
      <c r="O24033" t="str">
        <f>IF(N24033="","",'Master Barang'!B27)</f>
        <v>lancar kresek kecil bening </v>
      </c>
      <c r="P24033">
        <f>IF(OR(M24033="",N24033=""),"",SUMIFS('Barang Keluar'!$E:$E,'Barang Keluar'!$A:$A,M24033,'Barang Keluar'!$C:$C,N24033))</f>
        <v>0</v>
      </c>
    </row>
    <row r="24034" spans="13:16">
      <c r="M24034" s="49">
        <f>IF($A$4+240&gt;$B$4,"",$A$4+240)</f>
        <v>46263</v>
      </c>
      <c r="N24034" t="str">
        <f>IF(M24034="","",'Master Barang'!A28)</f>
        <v>PRL-027</v>
      </c>
      <c r="O24034" t="str">
        <f>IF(N24034="","",'Master Barang'!B28)</f>
        <v>kresek klin warna warni kecil</v>
      </c>
      <c r="P24034">
        <f>IF(OR(M24034="",N24034=""),"",SUMIFS('Barang Keluar'!$E:$E,'Barang Keluar'!$A:$A,M24034,'Barang Keluar'!$C:$C,N24034))</f>
        <v>0</v>
      </c>
    </row>
    <row r="24035" spans="13:16">
      <c r="M24035" s="49">
        <f>IF($A$4+240&gt;$B$4,"",$A$4+240)</f>
        <v>46263</v>
      </c>
      <c r="N24035" t="str">
        <f>IF(M24035="","",'Master Barang'!A29)</f>
        <v>PRL-028</v>
      </c>
      <c r="O24035" t="str">
        <f>IF(N24035="","",'Master Barang'!B29)</f>
        <v>ctik plastik 7x10 100 pcs</v>
      </c>
      <c r="P24035">
        <f>IF(OR(M24035="",N24035=""),"",SUMIFS('Barang Keluar'!$E:$E,'Barang Keluar'!$A:$A,M24035,'Barang Keluar'!$C:$C,N24035))</f>
        <v>0</v>
      </c>
    </row>
    <row r="24036" spans="13:16">
      <c r="M24036" s="49">
        <f>IF($A$4+240&gt;$B$4,"",$A$4+240)</f>
        <v>46263</v>
      </c>
      <c r="N24036" t="str">
        <f>IF(M24036="","",'Master Barang'!A30)</f>
        <v>PRL-029</v>
      </c>
      <c r="O24036" t="str">
        <f>IF(N24036="","",'Master Barang'!B30)</f>
        <v>ctik plastik 6x10 100 pcs</v>
      </c>
      <c r="P24036">
        <f>IF(OR(M24036="",N24036=""),"",SUMIFS('Barang Keluar'!$E:$E,'Barang Keluar'!$A:$A,M24036,'Barang Keluar'!$C:$C,N24036))</f>
        <v>0</v>
      </c>
    </row>
    <row r="24037" spans="13:16">
      <c r="M24037" s="49">
        <f>IF($A$4+240&gt;$B$4,"",$A$4+240)</f>
        <v>46263</v>
      </c>
      <c r="N24037" t="str">
        <f>IF(M24037="","",'Master Barang'!A31)</f>
        <v>PRL-030</v>
      </c>
      <c r="O24037" t="str">
        <f>IF(N24037="","",'Master Barang'!B31)</f>
        <v>klip plastik 25x16 100 pcs</v>
      </c>
      <c r="P24037">
        <f>IF(OR(M24037="",N24037=""),"",SUMIFS('Barang Keluar'!$E:$E,'Barang Keluar'!$A:$A,M24037,'Barang Keluar'!$C:$C,N24037))</f>
        <v>0</v>
      </c>
    </row>
    <row r="24038" spans="13:16">
      <c r="M24038" s="49">
        <f>IF($A$4+240&gt;$B$4,"",$A$4+240)</f>
        <v>46263</v>
      </c>
      <c r="N24038" t="str">
        <f>IF(M24038="","",'Master Barang'!A32)</f>
        <v>PRL-031</v>
      </c>
      <c r="O24038" t="str">
        <f>IF(N24038="","",'Master Barang'!B32)</f>
        <v>tempat saus 20 ml</v>
      </c>
      <c r="P24038">
        <f>IF(OR(M24038="",N24038=""),"",SUMIFS('Barang Keluar'!$E:$E,'Barang Keluar'!$A:$A,M24038,'Barang Keluar'!$C:$C,N24038))</f>
        <v>0</v>
      </c>
    </row>
    <row r="24039" spans="13:16">
      <c r="M24039" s="49">
        <f>IF($A$4+240&gt;$B$4,"",$A$4+240)</f>
        <v>46263</v>
      </c>
      <c r="N24039" t="str">
        <f>IF(M24039="","",'Master Barang'!A33)</f>
        <v>PRL-032</v>
      </c>
      <c r="O24039" t="str">
        <f>IF(N24039="","",'Master Barang'!B33)</f>
        <v>plastik packaging ag box uk sedang</v>
      </c>
      <c r="P24039">
        <f>IF(OR(M24039="",N24039=""),"",SUMIFS('Barang Keluar'!$E:$E,'Barang Keluar'!$A:$A,M24039,'Barang Keluar'!$C:$C,N24039))</f>
        <v>0</v>
      </c>
    </row>
    <row r="24040" spans="13:16">
      <c r="M24040" s="49">
        <f>IF($A$4+240&gt;$B$4,"",$A$4+240)</f>
        <v>46263</v>
      </c>
      <c r="N24040" t="str">
        <f>IF(M24040="","",'Master Barang'!A34)</f>
        <v>PRL-033</v>
      </c>
      <c r="O24040">
        <f>IF(N24040="","",'Master Barang'!B34)</f>
        <v>0</v>
      </c>
      <c r="P24040">
        <f>IF(OR(M24040="",N24040=""),"",SUMIFS('Barang Keluar'!$E:$E,'Barang Keluar'!$A:$A,M24040,'Barang Keluar'!$C:$C,N24040))</f>
        <v>0</v>
      </c>
    </row>
    <row r="24041" spans="13:16">
      <c r="M24041" s="49">
        <f>IF($A$4+240&gt;$B$4,"",$A$4+240)</f>
        <v>46263</v>
      </c>
      <c r="N24041">
        <f>IF(M24041="","",'Master Barang'!A35)</f>
        <v>0</v>
      </c>
      <c r="O24041">
        <f>IF(N24041="","",'Master Barang'!B35)</f>
        <v>0</v>
      </c>
      <c r="P24041">
        <f>IF(OR(M24041="",N24041=""),"",SUMIFS('Barang Keluar'!$E:$E,'Barang Keluar'!$A:$A,M24041,'Barang Keluar'!$C:$C,N24041))</f>
        <v>0</v>
      </c>
    </row>
    <row r="24042" spans="13:16">
      <c r="M24042" s="49">
        <f>IF($A$4+240&gt;$B$4,"",$A$4+240)</f>
        <v>46263</v>
      </c>
      <c r="N24042">
        <f>IF(M24042="","",'Master Barang'!A36)</f>
        <v>0</v>
      </c>
      <c r="O24042">
        <f>IF(N24042="","",'Master Barang'!B36)</f>
        <v>0</v>
      </c>
      <c r="P24042">
        <f>IF(OR(M24042="",N24042=""),"",SUMIFS('Barang Keluar'!$E:$E,'Barang Keluar'!$A:$A,M24042,'Barang Keluar'!$C:$C,N24042))</f>
        <v>0</v>
      </c>
    </row>
    <row r="24043" spans="13:16">
      <c r="M24043" s="49">
        <f>IF($A$4+240&gt;$B$4,"",$A$4+240)</f>
        <v>46263</v>
      </c>
      <c r="N24043">
        <f>IF(M24043="","",'Master Barang'!A37)</f>
        <v>0</v>
      </c>
      <c r="O24043">
        <f>IF(N24043="","",'Master Barang'!B37)</f>
        <v>0</v>
      </c>
      <c r="P24043">
        <f>IF(OR(M24043="",N24043=""),"",SUMIFS('Barang Keluar'!$E:$E,'Barang Keluar'!$A:$A,M24043,'Barang Keluar'!$C:$C,N24043))</f>
        <v>0</v>
      </c>
    </row>
    <row r="24044" spans="13:16">
      <c r="M24044" s="49">
        <f>IF($A$4+240&gt;$B$4,"",$A$4+240)</f>
        <v>46263</v>
      </c>
      <c r="N24044">
        <f>IF(M24044="","",'Master Barang'!A38)</f>
        <v>0</v>
      </c>
      <c r="O24044">
        <f>IF(N24044="","",'Master Barang'!B38)</f>
        <v>0</v>
      </c>
      <c r="P24044">
        <f>IF(OR(M24044="",N24044=""),"",SUMIFS('Barang Keluar'!$E:$E,'Barang Keluar'!$A:$A,M24044,'Barang Keluar'!$C:$C,N24044))</f>
        <v>0</v>
      </c>
    </row>
    <row r="24045" spans="13:16">
      <c r="M24045" s="49">
        <f>IF($A$4+240&gt;$B$4,"",$A$4+240)</f>
        <v>46263</v>
      </c>
      <c r="N24045">
        <f>IF(M24045="","",'Master Barang'!A39)</f>
        <v>0</v>
      </c>
      <c r="O24045">
        <f>IF(N24045="","",'Master Barang'!B39)</f>
        <v>0</v>
      </c>
      <c r="P24045">
        <f>IF(OR(M24045="",N24045=""),"",SUMIFS('Barang Keluar'!$E:$E,'Barang Keluar'!$A:$A,M24045,'Barang Keluar'!$C:$C,N24045))</f>
        <v>0</v>
      </c>
    </row>
    <row r="24046" spans="13:16">
      <c r="M24046" s="49">
        <f>IF($A$4+240&gt;$B$4,"",$A$4+240)</f>
        <v>46263</v>
      </c>
      <c r="N24046">
        <f>IF(M24046="","",'Master Barang'!A40)</f>
        <v>0</v>
      </c>
      <c r="O24046">
        <f>IF(N24046="","",'Master Barang'!B40)</f>
        <v>0</v>
      </c>
      <c r="P24046">
        <f>IF(OR(M24046="",N24046=""),"",SUMIFS('Barang Keluar'!$E:$E,'Barang Keluar'!$A:$A,M24046,'Barang Keluar'!$C:$C,N24046))</f>
        <v>0</v>
      </c>
    </row>
    <row r="24047" spans="13:16">
      <c r="M24047" s="49">
        <f>IF($A$4+240&gt;$B$4,"",$A$4+240)</f>
        <v>46263</v>
      </c>
      <c r="N24047">
        <f>IF(M24047="","",'Master Barang'!A41)</f>
        <v>0</v>
      </c>
      <c r="O24047">
        <f>IF(N24047="","",'Master Barang'!B41)</f>
        <v>0</v>
      </c>
      <c r="P24047">
        <f>IF(OR(M24047="",N24047=""),"",SUMIFS('Barang Keluar'!$E:$E,'Barang Keluar'!$A:$A,M24047,'Barang Keluar'!$C:$C,N24047))</f>
        <v>0</v>
      </c>
    </row>
    <row r="24048" spans="13:16">
      <c r="M24048" s="49">
        <f>IF($A$4+240&gt;$B$4,"",$A$4+240)</f>
        <v>46263</v>
      </c>
      <c r="N24048">
        <f>IF(M24048="","",'Master Barang'!A42)</f>
        <v>0</v>
      </c>
      <c r="O24048">
        <f>IF(N24048="","",'Master Barang'!B42)</f>
        <v>0</v>
      </c>
      <c r="P24048">
        <f>IF(OR(M24048="",N24048=""),"",SUMIFS('Barang Keluar'!$E:$E,'Barang Keluar'!$A:$A,M24048,'Barang Keluar'!$C:$C,N24048))</f>
        <v>0</v>
      </c>
    </row>
    <row r="24049" spans="13:16">
      <c r="M24049" s="49">
        <f>IF($A$4+240&gt;$B$4,"",$A$4+240)</f>
        <v>46263</v>
      </c>
      <c r="N24049">
        <f>IF(M24049="","",'Master Barang'!A43)</f>
        <v>0</v>
      </c>
      <c r="O24049">
        <f>IF(N24049="","",'Master Barang'!B43)</f>
        <v>0</v>
      </c>
      <c r="P24049">
        <f>IF(OR(M24049="",N24049=""),"",SUMIFS('Barang Keluar'!$E:$E,'Barang Keluar'!$A:$A,M24049,'Barang Keluar'!$C:$C,N24049))</f>
        <v>0</v>
      </c>
    </row>
    <row r="24050" spans="13:16">
      <c r="M24050" s="49">
        <f>IF($A$4+240&gt;$B$4,"",$A$4+240)</f>
        <v>46263</v>
      </c>
      <c r="N24050">
        <f>IF(M24050="","",'Master Barang'!A44)</f>
        <v>0</v>
      </c>
      <c r="O24050">
        <f>IF(N24050="","",'Master Barang'!B44)</f>
        <v>0</v>
      </c>
      <c r="P24050">
        <f>IF(OR(M24050="",N24050=""),"",SUMIFS('Barang Keluar'!$E:$E,'Barang Keluar'!$A:$A,M24050,'Barang Keluar'!$C:$C,N24050))</f>
        <v>0</v>
      </c>
    </row>
    <row r="24051" spans="13:16">
      <c r="M24051" s="49">
        <f>IF($A$4+240&gt;$B$4,"",$A$4+240)</f>
        <v>46263</v>
      </c>
      <c r="N24051">
        <f>IF(M24051="","",'Master Barang'!A45)</f>
        <v>0</v>
      </c>
      <c r="O24051">
        <f>IF(N24051="","",'Master Barang'!B45)</f>
        <v>0</v>
      </c>
      <c r="P24051">
        <f>IF(OR(M24051="",N24051=""),"",SUMIFS('Barang Keluar'!$E:$E,'Barang Keluar'!$A:$A,M24051,'Barang Keluar'!$C:$C,N24051))</f>
        <v>0</v>
      </c>
    </row>
    <row r="24052" spans="13:16">
      <c r="M24052" s="49">
        <f>IF($A$4+240&gt;$B$4,"",$A$4+240)</f>
        <v>46263</v>
      </c>
      <c r="N24052">
        <f>IF(M24052="","",'Master Barang'!A46)</f>
        <v>0</v>
      </c>
      <c r="O24052">
        <f>IF(N24052="","",'Master Barang'!B46)</f>
        <v>0</v>
      </c>
      <c r="P24052">
        <f>IF(OR(M24052="",N24052=""),"",SUMIFS('Barang Keluar'!$E:$E,'Barang Keluar'!$A:$A,M24052,'Barang Keluar'!$C:$C,N24052))</f>
        <v>0</v>
      </c>
    </row>
    <row r="24053" spans="13:16">
      <c r="M24053" s="49">
        <f>IF($A$4+240&gt;$B$4,"",$A$4+240)</f>
        <v>46263</v>
      </c>
      <c r="N24053">
        <f>IF(M24053="","",'Master Barang'!A47)</f>
        <v>0</v>
      </c>
      <c r="O24053">
        <f>IF(N24053="","",'Master Barang'!B47)</f>
        <v>0</v>
      </c>
      <c r="P24053">
        <f>IF(OR(M24053="",N24053=""),"",SUMIFS('Barang Keluar'!$E:$E,'Barang Keluar'!$A:$A,M24053,'Barang Keluar'!$C:$C,N24053))</f>
        <v>0</v>
      </c>
    </row>
    <row r="24054" spans="13:16">
      <c r="M24054" s="49">
        <f>IF($A$4+240&gt;$B$4,"",$A$4+240)</f>
        <v>46263</v>
      </c>
      <c r="N24054">
        <f>IF(M24054="","",'Master Barang'!A48)</f>
        <v>0</v>
      </c>
      <c r="O24054">
        <f>IF(N24054="","",'Master Barang'!B48)</f>
        <v>0</v>
      </c>
      <c r="P24054">
        <f>IF(OR(M24054="",N24054=""),"",SUMIFS('Barang Keluar'!$E:$E,'Barang Keluar'!$A:$A,M24054,'Barang Keluar'!$C:$C,N24054))</f>
        <v>0</v>
      </c>
    </row>
    <row r="24055" spans="13:16">
      <c r="M24055" s="49">
        <f>IF($A$4+240&gt;$B$4,"",$A$4+240)</f>
        <v>46263</v>
      </c>
      <c r="N24055">
        <f>IF(M24055="","",'Master Barang'!A49)</f>
        <v>0</v>
      </c>
      <c r="O24055">
        <f>IF(N24055="","",'Master Barang'!B49)</f>
        <v>0</v>
      </c>
      <c r="P24055">
        <f>IF(OR(M24055="",N24055=""),"",SUMIFS('Barang Keluar'!$E:$E,'Barang Keluar'!$A:$A,M24055,'Barang Keluar'!$C:$C,N24055))</f>
        <v>0</v>
      </c>
    </row>
    <row r="24056" spans="13:16">
      <c r="M24056" s="49">
        <f>IF($A$4+240&gt;$B$4,"",$A$4+240)</f>
        <v>46263</v>
      </c>
      <c r="N24056">
        <f>IF(M24056="","",'Master Barang'!A50)</f>
        <v>0</v>
      </c>
      <c r="O24056">
        <f>IF(N24056="","",'Master Barang'!B50)</f>
        <v>0</v>
      </c>
      <c r="P24056">
        <f>IF(OR(M24056="",N24056=""),"",SUMIFS('Barang Keluar'!$E:$E,'Barang Keluar'!$A:$A,M24056,'Barang Keluar'!$C:$C,N24056))</f>
        <v>0</v>
      </c>
    </row>
    <row r="24057" spans="13:16">
      <c r="M24057" s="49">
        <f>IF($A$4+240&gt;$B$4,"",$A$4+240)</f>
        <v>46263</v>
      </c>
      <c r="N24057">
        <f>IF(M24057="","",'Master Barang'!A51)</f>
        <v>0</v>
      </c>
      <c r="O24057">
        <f>IF(N24057="","",'Master Barang'!B51)</f>
        <v>0</v>
      </c>
      <c r="P24057">
        <f>IF(OR(M24057="",N24057=""),"",SUMIFS('Barang Keluar'!$E:$E,'Barang Keluar'!$A:$A,M24057,'Barang Keluar'!$C:$C,N24057))</f>
        <v>0</v>
      </c>
    </row>
    <row r="24058" spans="13:16">
      <c r="M24058" s="49">
        <f>IF($A$4+240&gt;$B$4,"",$A$4+240)</f>
        <v>46263</v>
      </c>
      <c r="N24058">
        <f>IF(M24058="","",'Master Barang'!A52)</f>
        <v>0</v>
      </c>
      <c r="O24058">
        <f>IF(N24058="","",'Master Barang'!B52)</f>
        <v>0</v>
      </c>
      <c r="P24058">
        <f>IF(OR(M24058="",N24058=""),"",SUMIFS('Barang Keluar'!$E:$E,'Barang Keluar'!$A:$A,M24058,'Barang Keluar'!$C:$C,N24058))</f>
        <v>0</v>
      </c>
    </row>
    <row r="24059" spans="13:16">
      <c r="M24059" s="49">
        <f>IF($A$4+240&gt;$B$4,"",$A$4+240)</f>
        <v>46263</v>
      </c>
      <c r="N24059">
        <f>IF(M24059="","",'Master Barang'!A53)</f>
        <v>0</v>
      </c>
      <c r="O24059">
        <f>IF(N24059="","",'Master Barang'!B53)</f>
        <v>0</v>
      </c>
      <c r="P24059">
        <f>IF(OR(M24059="",N24059=""),"",SUMIFS('Barang Keluar'!$E:$E,'Barang Keluar'!$A:$A,M24059,'Barang Keluar'!$C:$C,N24059))</f>
        <v>0</v>
      </c>
    </row>
    <row r="24060" spans="13:16">
      <c r="M24060" s="49">
        <f>IF($A$4+240&gt;$B$4,"",$A$4+240)</f>
        <v>46263</v>
      </c>
      <c r="N24060">
        <f>IF(M24060="","",'Master Barang'!A54)</f>
        <v>0</v>
      </c>
      <c r="O24060">
        <f>IF(N24060="","",'Master Barang'!B54)</f>
        <v>0</v>
      </c>
      <c r="P24060">
        <f>IF(OR(M24060="",N24060=""),"",SUMIFS('Barang Keluar'!$E:$E,'Barang Keluar'!$A:$A,M24060,'Barang Keluar'!$C:$C,N24060))</f>
        <v>0</v>
      </c>
    </row>
    <row r="24061" spans="13:16">
      <c r="M24061" s="49">
        <f>IF($A$4+240&gt;$B$4,"",$A$4+240)</f>
        <v>46263</v>
      </c>
      <c r="N24061">
        <f>IF(M24061="","",'Master Barang'!A55)</f>
        <v>0</v>
      </c>
      <c r="O24061">
        <f>IF(N24061="","",'Master Barang'!B55)</f>
        <v>0</v>
      </c>
      <c r="P24061">
        <f>IF(OR(M24061="",N24061=""),"",SUMIFS('Barang Keluar'!$E:$E,'Barang Keluar'!$A:$A,M24061,'Barang Keluar'!$C:$C,N24061))</f>
        <v>0</v>
      </c>
    </row>
    <row r="24062" spans="13:16">
      <c r="M24062" s="49">
        <f>IF($A$4+240&gt;$B$4,"",$A$4+240)</f>
        <v>46263</v>
      </c>
      <c r="N24062">
        <f>IF(M24062="","",'Master Barang'!A56)</f>
        <v>0</v>
      </c>
      <c r="O24062">
        <f>IF(N24062="","",'Master Barang'!B56)</f>
        <v>0</v>
      </c>
      <c r="P24062">
        <f>IF(OR(M24062="",N24062=""),"",SUMIFS('Barang Keluar'!$E:$E,'Barang Keluar'!$A:$A,M24062,'Barang Keluar'!$C:$C,N24062))</f>
        <v>0</v>
      </c>
    </row>
    <row r="24063" spans="13:16">
      <c r="M24063" s="49">
        <f>IF($A$4+240&gt;$B$4,"",$A$4+240)</f>
        <v>46263</v>
      </c>
      <c r="N24063">
        <f>IF(M24063="","",'Master Barang'!A57)</f>
        <v>0</v>
      </c>
      <c r="O24063">
        <f>IF(N24063="","",'Master Barang'!B57)</f>
        <v>0</v>
      </c>
      <c r="P24063">
        <f>IF(OR(M24063="",N24063=""),"",SUMIFS('Barang Keluar'!$E:$E,'Barang Keluar'!$A:$A,M24063,'Barang Keluar'!$C:$C,N24063))</f>
        <v>0</v>
      </c>
    </row>
    <row r="24064" spans="13:16">
      <c r="M24064" s="49">
        <f>IF($A$4+240&gt;$B$4,"",$A$4+240)</f>
        <v>46263</v>
      </c>
      <c r="N24064">
        <f>IF(M24064="","",'Master Barang'!A58)</f>
        <v>0</v>
      </c>
      <c r="O24064">
        <f>IF(N24064="","",'Master Barang'!B58)</f>
        <v>0</v>
      </c>
      <c r="P24064">
        <f>IF(OR(M24064="",N24064=""),"",SUMIFS('Barang Keluar'!$E:$E,'Barang Keluar'!$A:$A,M24064,'Barang Keluar'!$C:$C,N24064))</f>
        <v>0</v>
      </c>
    </row>
    <row r="24065" spans="13:16">
      <c r="M24065" s="49">
        <f>IF($A$4+240&gt;$B$4,"",$A$4+240)</f>
        <v>46263</v>
      </c>
      <c r="N24065">
        <f>IF(M24065="","",'Master Barang'!A59)</f>
        <v>0</v>
      </c>
      <c r="O24065">
        <f>IF(N24065="","",'Master Barang'!B59)</f>
        <v>0</v>
      </c>
      <c r="P24065">
        <f>IF(OR(M24065="",N24065=""),"",SUMIFS('Barang Keluar'!$E:$E,'Barang Keluar'!$A:$A,M24065,'Barang Keluar'!$C:$C,N24065))</f>
        <v>0</v>
      </c>
    </row>
    <row r="24066" spans="13:16">
      <c r="M24066" s="49">
        <f>IF($A$4+240&gt;$B$4,"",$A$4+240)</f>
        <v>46263</v>
      </c>
      <c r="N24066">
        <f>IF(M24066="","",'Master Barang'!A60)</f>
        <v>0</v>
      </c>
      <c r="O24066">
        <f>IF(N24066="","",'Master Barang'!B60)</f>
        <v>0</v>
      </c>
      <c r="P24066">
        <f>IF(OR(M24066="",N24066=""),"",SUMIFS('Barang Keluar'!$E:$E,'Barang Keluar'!$A:$A,M24066,'Barang Keluar'!$C:$C,N24066))</f>
        <v>0</v>
      </c>
    </row>
    <row r="24067" spans="13:16">
      <c r="M24067" s="49">
        <f>IF($A$4+240&gt;$B$4,"",$A$4+240)</f>
        <v>46263</v>
      </c>
      <c r="N24067">
        <f>IF(M24067="","",'Master Barang'!A61)</f>
        <v>0</v>
      </c>
      <c r="O24067">
        <f>IF(N24067="","",'Master Barang'!B61)</f>
        <v>0</v>
      </c>
      <c r="P24067">
        <f>IF(OR(M24067="",N24067=""),"",SUMIFS('Barang Keluar'!$E:$E,'Barang Keluar'!$A:$A,M24067,'Barang Keluar'!$C:$C,N24067))</f>
        <v>0</v>
      </c>
    </row>
    <row r="24068" spans="13:16">
      <c r="M24068" s="49">
        <f>IF($A$4+240&gt;$B$4,"",$A$4+240)</f>
        <v>46263</v>
      </c>
      <c r="N24068">
        <f>IF(M24068="","",'Master Barang'!A62)</f>
        <v>0</v>
      </c>
      <c r="O24068">
        <f>IF(N24068="","",'Master Barang'!B62)</f>
        <v>0</v>
      </c>
      <c r="P24068">
        <f>IF(OR(M24068="",N24068=""),"",SUMIFS('Barang Keluar'!$E:$E,'Barang Keluar'!$A:$A,M24068,'Barang Keluar'!$C:$C,N24068))</f>
        <v>0</v>
      </c>
    </row>
    <row r="24069" spans="13:16">
      <c r="M24069" s="49">
        <f>IF($A$4+240&gt;$B$4,"",$A$4+240)</f>
        <v>46263</v>
      </c>
      <c r="N24069">
        <f>IF(M24069="","",'Master Barang'!A63)</f>
        <v>0</v>
      </c>
      <c r="O24069">
        <f>IF(N24069="","",'Master Barang'!B63)</f>
        <v>0</v>
      </c>
      <c r="P24069">
        <f>IF(OR(M24069="",N24069=""),"",SUMIFS('Barang Keluar'!$E:$E,'Barang Keluar'!$A:$A,M24069,'Barang Keluar'!$C:$C,N24069))</f>
        <v>0</v>
      </c>
    </row>
    <row r="24070" spans="13:16">
      <c r="M24070" s="49">
        <f>IF($A$4+240&gt;$B$4,"",$A$4+240)</f>
        <v>46263</v>
      </c>
      <c r="N24070">
        <f>IF(M24070="","",'Master Barang'!A64)</f>
        <v>0</v>
      </c>
      <c r="O24070">
        <f>IF(N24070="","",'Master Barang'!B64)</f>
        <v>0</v>
      </c>
      <c r="P24070">
        <f>IF(OR(M24070="",N24070=""),"",SUMIFS('Barang Keluar'!$E:$E,'Barang Keluar'!$A:$A,M24070,'Barang Keluar'!$C:$C,N24070))</f>
        <v>0</v>
      </c>
    </row>
    <row r="24071" spans="13:16">
      <c r="M24071" s="49">
        <f>IF($A$4+240&gt;$B$4,"",$A$4+240)</f>
        <v>46263</v>
      </c>
      <c r="N24071">
        <f>IF(M24071="","",'Master Barang'!A65)</f>
        <v>0</v>
      </c>
      <c r="O24071">
        <f>IF(N24071="","",'Master Barang'!B65)</f>
        <v>0</v>
      </c>
      <c r="P24071">
        <f>IF(OR(M24071="",N24071=""),"",SUMIFS('Barang Keluar'!$E:$E,'Barang Keluar'!$A:$A,M24071,'Barang Keluar'!$C:$C,N24071))</f>
        <v>0</v>
      </c>
    </row>
    <row r="24072" spans="13:16">
      <c r="M24072" s="49">
        <f>IF($A$4+240&gt;$B$4,"",$A$4+240)</f>
        <v>46263</v>
      </c>
      <c r="N24072">
        <f>IF(M24072="","",'Master Barang'!A66)</f>
        <v>0</v>
      </c>
      <c r="O24072">
        <f>IF(N24072="","",'Master Barang'!B66)</f>
        <v>0</v>
      </c>
      <c r="P24072">
        <f>IF(OR(M24072="",N24072=""),"",SUMIFS('Barang Keluar'!$E:$E,'Barang Keluar'!$A:$A,M24072,'Barang Keluar'!$C:$C,N24072))</f>
        <v>0</v>
      </c>
    </row>
    <row r="24073" spans="13:16">
      <c r="M24073" s="49">
        <f>IF($A$4+240&gt;$B$4,"",$A$4+240)</f>
        <v>46263</v>
      </c>
      <c r="N24073">
        <f>IF(M24073="","",'Master Barang'!A67)</f>
        <v>0</v>
      </c>
      <c r="O24073">
        <f>IF(N24073="","",'Master Barang'!B67)</f>
        <v>0</v>
      </c>
      <c r="P24073">
        <f>IF(OR(M24073="",N24073=""),"",SUMIFS('Barang Keluar'!$E:$E,'Barang Keluar'!$A:$A,M24073,'Barang Keluar'!$C:$C,N24073))</f>
        <v>0</v>
      </c>
    </row>
    <row r="24074" spans="13:16">
      <c r="M24074" s="49">
        <f>IF($A$4+240&gt;$B$4,"",$A$4+240)</f>
        <v>46263</v>
      </c>
      <c r="N24074">
        <f>IF(M24074="","",'Master Barang'!A68)</f>
        <v>0</v>
      </c>
      <c r="O24074">
        <f>IF(N24074="","",'Master Barang'!B68)</f>
        <v>0</v>
      </c>
      <c r="P24074">
        <f>IF(OR(M24074="",N24074=""),"",SUMIFS('Barang Keluar'!$E:$E,'Barang Keluar'!$A:$A,M24074,'Barang Keluar'!$C:$C,N24074))</f>
        <v>0</v>
      </c>
    </row>
    <row r="24075" spans="13:16">
      <c r="M24075" s="49">
        <f>IF($A$4+240&gt;$B$4,"",$A$4+240)</f>
        <v>46263</v>
      </c>
      <c r="N24075">
        <f>IF(M24075="","",'Master Barang'!A69)</f>
        <v>0</v>
      </c>
      <c r="O24075">
        <f>IF(N24075="","",'Master Barang'!B69)</f>
        <v>0</v>
      </c>
      <c r="P24075">
        <f>IF(OR(M24075="",N24075=""),"",SUMIFS('Barang Keluar'!$E:$E,'Barang Keluar'!$A:$A,M24075,'Barang Keluar'!$C:$C,N24075))</f>
        <v>0</v>
      </c>
    </row>
    <row r="24076" spans="13:16">
      <c r="M24076" s="49">
        <f>IF($A$4+240&gt;$B$4,"",$A$4+240)</f>
        <v>46263</v>
      </c>
      <c r="N24076">
        <f>IF(M24076="","",'Master Barang'!A70)</f>
        <v>0</v>
      </c>
      <c r="O24076">
        <f>IF(N24076="","",'Master Barang'!B70)</f>
        <v>0</v>
      </c>
      <c r="P24076">
        <f>IF(OR(M24076="",N24076=""),"",SUMIFS('Barang Keluar'!$E:$E,'Barang Keluar'!$A:$A,M24076,'Barang Keluar'!$C:$C,N24076))</f>
        <v>0</v>
      </c>
    </row>
    <row r="24077" spans="13:16">
      <c r="M24077" s="49">
        <f>IF($A$4+240&gt;$B$4,"",$A$4+240)</f>
        <v>46263</v>
      </c>
      <c r="N24077">
        <f>IF(M24077="","",'Master Barang'!A71)</f>
        <v>0</v>
      </c>
      <c r="O24077">
        <f>IF(N24077="","",'Master Barang'!B71)</f>
        <v>0</v>
      </c>
      <c r="P24077">
        <f>IF(OR(M24077="",N24077=""),"",SUMIFS('Barang Keluar'!$E:$E,'Barang Keluar'!$A:$A,M24077,'Barang Keluar'!$C:$C,N24077))</f>
        <v>0</v>
      </c>
    </row>
    <row r="24078" spans="13:16">
      <c r="M24078" s="49">
        <f>IF($A$4+240&gt;$B$4,"",$A$4+240)</f>
        <v>46263</v>
      </c>
      <c r="N24078">
        <f>IF(M24078="","",'Master Barang'!A72)</f>
        <v>0</v>
      </c>
      <c r="O24078">
        <f>IF(N24078="","",'Master Barang'!B72)</f>
        <v>0</v>
      </c>
      <c r="P24078">
        <f>IF(OR(M24078="",N24078=""),"",SUMIFS('Barang Keluar'!$E:$E,'Barang Keluar'!$A:$A,M24078,'Barang Keluar'!$C:$C,N24078))</f>
        <v>0</v>
      </c>
    </row>
    <row r="24079" spans="13:16">
      <c r="M24079" s="49">
        <f>IF($A$4+240&gt;$B$4,"",$A$4+240)</f>
        <v>46263</v>
      </c>
      <c r="N24079">
        <f>IF(M24079="","",'Master Barang'!A73)</f>
        <v>0</v>
      </c>
      <c r="O24079">
        <f>IF(N24079="","",'Master Barang'!B73)</f>
        <v>0</v>
      </c>
      <c r="P24079">
        <f>IF(OR(M24079="",N24079=""),"",SUMIFS('Barang Keluar'!$E:$E,'Barang Keluar'!$A:$A,M24079,'Barang Keluar'!$C:$C,N24079))</f>
        <v>0</v>
      </c>
    </row>
    <row r="24080" spans="13:16">
      <c r="M24080" s="49">
        <f>IF($A$4+240&gt;$B$4,"",$A$4+240)</f>
        <v>46263</v>
      </c>
      <c r="N24080">
        <f>IF(M24080="","",'Master Barang'!A74)</f>
        <v>0</v>
      </c>
      <c r="O24080">
        <f>IF(N24080="","",'Master Barang'!B74)</f>
        <v>0</v>
      </c>
      <c r="P24080">
        <f>IF(OR(M24080="",N24080=""),"",SUMIFS('Barang Keluar'!$E:$E,'Barang Keluar'!$A:$A,M24080,'Barang Keluar'!$C:$C,N24080))</f>
        <v>0</v>
      </c>
    </row>
    <row r="24081" spans="13:16">
      <c r="M24081" s="49">
        <f>IF($A$4+240&gt;$B$4,"",$A$4+240)</f>
        <v>46263</v>
      </c>
      <c r="N24081">
        <f>IF(M24081="","",'Master Barang'!A75)</f>
        <v>0</v>
      </c>
      <c r="O24081">
        <f>IF(N24081="","",'Master Barang'!B75)</f>
        <v>0</v>
      </c>
      <c r="P24081">
        <f>IF(OR(M24081="",N24081=""),"",SUMIFS('Barang Keluar'!$E:$E,'Barang Keluar'!$A:$A,M24081,'Barang Keluar'!$C:$C,N24081))</f>
        <v>0</v>
      </c>
    </row>
    <row r="24082" spans="13:16">
      <c r="M24082" s="49">
        <f>IF($A$4+240&gt;$B$4,"",$A$4+240)</f>
        <v>46263</v>
      </c>
      <c r="N24082">
        <f>IF(M24082="","",'Master Barang'!A76)</f>
        <v>0</v>
      </c>
      <c r="O24082">
        <f>IF(N24082="","",'Master Barang'!B76)</f>
        <v>0</v>
      </c>
      <c r="P24082">
        <f>IF(OR(M24082="",N24082=""),"",SUMIFS('Barang Keluar'!$E:$E,'Barang Keluar'!$A:$A,M24082,'Barang Keluar'!$C:$C,N24082))</f>
        <v>0</v>
      </c>
    </row>
    <row r="24083" spans="13:16">
      <c r="M24083" s="49">
        <f>IF($A$4+240&gt;$B$4,"",$A$4+240)</f>
        <v>46263</v>
      </c>
      <c r="N24083">
        <f>IF(M24083="","",'Master Barang'!A77)</f>
        <v>0</v>
      </c>
      <c r="O24083">
        <f>IF(N24083="","",'Master Barang'!B77)</f>
        <v>0</v>
      </c>
      <c r="P24083">
        <f>IF(OR(M24083="",N24083=""),"",SUMIFS('Barang Keluar'!$E:$E,'Barang Keluar'!$A:$A,M24083,'Barang Keluar'!$C:$C,N24083))</f>
        <v>0</v>
      </c>
    </row>
    <row r="24084" spans="13:16">
      <c r="M24084" s="49">
        <f>IF($A$4+240&gt;$B$4,"",$A$4+240)</f>
        <v>46263</v>
      </c>
      <c r="N24084">
        <f>IF(M24084="","",'Master Barang'!A78)</f>
        <v>0</v>
      </c>
      <c r="O24084">
        <f>IF(N24084="","",'Master Barang'!B78)</f>
        <v>0</v>
      </c>
      <c r="P24084">
        <f>IF(OR(M24084="",N24084=""),"",SUMIFS('Barang Keluar'!$E:$E,'Barang Keluar'!$A:$A,M24084,'Barang Keluar'!$C:$C,N24084))</f>
        <v>0</v>
      </c>
    </row>
    <row r="24085" spans="13:16">
      <c r="M24085" s="49">
        <f>IF($A$4+240&gt;$B$4,"",$A$4+240)</f>
        <v>46263</v>
      </c>
      <c r="N24085">
        <f>IF(M24085="","",'Master Barang'!A79)</f>
        <v>0</v>
      </c>
      <c r="O24085">
        <f>IF(N24085="","",'Master Barang'!B79)</f>
        <v>0</v>
      </c>
      <c r="P24085">
        <f>IF(OR(M24085="",N24085=""),"",SUMIFS('Barang Keluar'!$E:$E,'Barang Keluar'!$A:$A,M24085,'Barang Keluar'!$C:$C,N24085))</f>
        <v>0</v>
      </c>
    </row>
    <row r="24086" spans="13:16">
      <c r="M24086" s="49">
        <f>IF($A$4+240&gt;$B$4,"",$A$4+240)</f>
        <v>46263</v>
      </c>
      <c r="N24086">
        <f>IF(M24086="","",'Master Barang'!A80)</f>
        <v>0</v>
      </c>
      <c r="O24086">
        <f>IF(N24086="","",'Master Barang'!B80)</f>
        <v>0</v>
      </c>
      <c r="P24086">
        <f>IF(OR(M24086="",N24086=""),"",SUMIFS('Barang Keluar'!$E:$E,'Barang Keluar'!$A:$A,M24086,'Barang Keluar'!$C:$C,N24086))</f>
        <v>0</v>
      </c>
    </row>
    <row r="24087" spans="13:16">
      <c r="M24087" s="49">
        <f>IF($A$4+240&gt;$B$4,"",$A$4+240)</f>
        <v>46263</v>
      </c>
      <c r="N24087">
        <f>IF(M24087="","",'Master Barang'!A81)</f>
        <v>0</v>
      </c>
      <c r="O24087">
        <f>IF(N24087="","",'Master Barang'!B81)</f>
        <v>0</v>
      </c>
      <c r="P24087">
        <f>IF(OR(M24087="",N24087=""),"",SUMIFS('Barang Keluar'!$E:$E,'Barang Keluar'!$A:$A,M24087,'Barang Keluar'!$C:$C,N24087))</f>
        <v>0</v>
      </c>
    </row>
    <row r="24088" spans="13:16">
      <c r="M24088" s="49">
        <f>IF($A$4+240&gt;$B$4,"",$A$4+240)</f>
        <v>46263</v>
      </c>
      <c r="N24088">
        <f>IF(M24088="","",'Master Barang'!A82)</f>
        <v>0</v>
      </c>
      <c r="O24088">
        <f>IF(N24088="","",'Master Barang'!B82)</f>
        <v>0</v>
      </c>
      <c r="P24088">
        <f>IF(OR(M24088="",N24088=""),"",SUMIFS('Barang Keluar'!$E:$E,'Barang Keluar'!$A:$A,M24088,'Barang Keluar'!$C:$C,N24088))</f>
        <v>0</v>
      </c>
    </row>
    <row r="24089" spans="13:16">
      <c r="M24089" s="49">
        <f>IF($A$4+240&gt;$B$4,"",$A$4+240)</f>
        <v>46263</v>
      </c>
      <c r="N24089">
        <f>IF(M24089="","",'Master Barang'!A83)</f>
        <v>0</v>
      </c>
      <c r="O24089">
        <f>IF(N24089="","",'Master Barang'!B83)</f>
        <v>0</v>
      </c>
      <c r="P24089">
        <f>IF(OR(M24089="",N24089=""),"",SUMIFS('Barang Keluar'!$E:$E,'Barang Keluar'!$A:$A,M24089,'Barang Keluar'!$C:$C,N24089))</f>
        <v>0</v>
      </c>
    </row>
    <row r="24090" spans="13:16">
      <c r="M24090" s="49">
        <f>IF($A$4+240&gt;$B$4,"",$A$4+240)</f>
        <v>46263</v>
      </c>
      <c r="N24090">
        <f>IF(M24090="","",'Master Barang'!A84)</f>
        <v>0</v>
      </c>
      <c r="O24090">
        <f>IF(N24090="","",'Master Barang'!B84)</f>
        <v>0</v>
      </c>
      <c r="P24090">
        <f>IF(OR(M24090="",N24090=""),"",SUMIFS('Barang Keluar'!$E:$E,'Barang Keluar'!$A:$A,M24090,'Barang Keluar'!$C:$C,N24090))</f>
        <v>0</v>
      </c>
    </row>
    <row r="24091" spans="13:16">
      <c r="M24091" s="49">
        <f>IF($A$4+240&gt;$B$4,"",$A$4+240)</f>
        <v>46263</v>
      </c>
      <c r="N24091">
        <f>IF(M24091="","",'Master Barang'!A85)</f>
        <v>0</v>
      </c>
      <c r="O24091">
        <f>IF(N24091="","",'Master Barang'!B85)</f>
        <v>0</v>
      </c>
      <c r="P24091">
        <f>IF(OR(M24091="",N24091=""),"",SUMIFS('Barang Keluar'!$E:$E,'Barang Keluar'!$A:$A,M24091,'Barang Keluar'!$C:$C,N24091))</f>
        <v>0</v>
      </c>
    </row>
    <row r="24092" spans="13:16">
      <c r="M24092" s="49">
        <f>IF($A$4+240&gt;$B$4,"",$A$4+240)</f>
        <v>46263</v>
      </c>
      <c r="N24092">
        <f>IF(M24092="","",'Master Barang'!A86)</f>
        <v>0</v>
      </c>
      <c r="O24092">
        <f>IF(N24092="","",'Master Barang'!B86)</f>
        <v>0</v>
      </c>
      <c r="P24092">
        <f>IF(OR(M24092="",N24092=""),"",SUMIFS('Barang Keluar'!$E:$E,'Barang Keluar'!$A:$A,M24092,'Barang Keluar'!$C:$C,N24092))</f>
        <v>0</v>
      </c>
    </row>
    <row r="24093" spans="13:16">
      <c r="M24093" s="49">
        <f>IF($A$4+240&gt;$B$4,"",$A$4+240)</f>
        <v>46263</v>
      </c>
      <c r="N24093">
        <f>IF(M24093="","",'Master Barang'!A87)</f>
        <v>0</v>
      </c>
      <c r="O24093">
        <f>IF(N24093="","",'Master Barang'!B87)</f>
        <v>0</v>
      </c>
      <c r="P24093">
        <f>IF(OR(M24093="",N24093=""),"",SUMIFS('Barang Keluar'!$E:$E,'Barang Keluar'!$A:$A,M24093,'Barang Keluar'!$C:$C,N24093))</f>
        <v>0</v>
      </c>
    </row>
    <row r="24094" spans="13:16">
      <c r="M24094" s="49">
        <f>IF($A$4+240&gt;$B$4,"",$A$4+240)</f>
        <v>46263</v>
      </c>
      <c r="N24094">
        <f>IF(M24094="","",'Master Barang'!A88)</f>
        <v>0</v>
      </c>
      <c r="O24094">
        <f>IF(N24094="","",'Master Barang'!B88)</f>
        <v>0</v>
      </c>
      <c r="P24094">
        <f>IF(OR(M24094="",N24094=""),"",SUMIFS('Barang Keluar'!$E:$E,'Barang Keluar'!$A:$A,M24094,'Barang Keluar'!$C:$C,N24094))</f>
        <v>0</v>
      </c>
    </row>
    <row r="24095" spans="13:16">
      <c r="M24095" s="49">
        <f>IF($A$4+240&gt;$B$4,"",$A$4+240)</f>
        <v>46263</v>
      </c>
      <c r="N24095">
        <f>IF(M24095="","",'Master Barang'!A89)</f>
        <v>0</v>
      </c>
      <c r="O24095">
        <f>IF(N24095="","",'Master Barang'!B89)</f>
        <v>0</v>
      </c>
      <c r="P24095">
        <f>IF(OR(M24095="",N24095=""),"",SUMIFS('Barang Keluar'!$E:$E,'Barang Keluar'!$A:$A,M24095,'Barang Keluar'!$C:$C,N24095))</f>
        <v>0</v>
      </c>
    </row>
    <row r="24096" spans="13:16">
      <c r="M24096" s="49">
        <f>IF($A$4+240&gt;$B$4,"",$A$4+240)</f>
        <v>46263</v>
      </c>
      <c r="N24096">
        <f>IF(M24096="","",'Master Barang'!A90)</f>
        <v>0</v>
      </c>
      <c r="O24096">
        <f>IF(N24096="","",'Master Barang'!B90)</f>
        <v>0</v>
      </c>
      <c r="P24096">
        <f>IF(OR(M24096="",N24096=""),"",SUMIFS('Barang Keluar'!$E:$E,'Barang Keluar'!$A:$A,M24096,'Barang Keluar'!$C:$C,N24096))</f>
        <v>0</v>
      </c>
    </row>
    <row r="24097" spans="13:16">
      <c r="M24097" s="49">
        <f>IF($A$4+240&gt;$B$4,"",$A$4+240)</f>
        <v>46263</v>
      </c>
      <c r="N24097">
        <f>IF(M24097="","",'Master Barang'!A91)</f>
        <v>0</v>
      </c>
      <c r="O24097">
        <f>IF(N24097="","",'Master Barang'!B91)</f>
        <v>0</v>
      </c>
      <c r="P24097">
        <f>IF(OR(M24097="",N24097=""),"",SUMIFS('Barang Keluar'!$E:$E,'Barang Keluar'!$A:$A,M24097,'Barang Keluar'!$C:$C,N24097))</f>
        <v>0</v>
      </c>
    </row>
    <row r="24098" spans="13:16">
      <c r="M24098" s="49">
        <f>IF($A$4+240&gt;$B$4,"",$A$4+240)</f>
        <v>46263</v>
      </c>
      <c r="N24098">
        <f>IF(M24098="","",'Master Barang'!A92)</f>
        <v>0</v>
      </c>
      <c r="O24098">
        <f>IF(N24098="","",'Master Barang'!B92)</f>
        <v>0</v>
      </c>
      <c r="P24098">
        <f>IF(OR(M24098="",N24098=""),"",SUMIFS('Barang Keluar'!$E:$E,'Barang Keluar'!$A:$A,M24098,'Barang Keluar'!$C:$C,N24098))</f>
        <v>0</v>
      </c>
    </row>
    <row r="24099" spans="13:16">
      <c r="M24099" s="49">
        <f>IF($A$4+240&gt;$B$4,"",$A$4+240)</f>
        <v>46263</v>
      </c>
      <c r="N24099">
        <f>IF(M24099="","",'Master Barang'!A93)</f>
        <v>0</v>
      </c>
      <c r="O24099">
        <f>IF(N24099="","",'Master Barang'!B93)</f>
        <v>0</v>
      </c>
      <c r="P24099">
        <f>IF(OR(M24099="",N24099=""),"",SUMIFS('Barang Keluar'!$E:$E,'Barang Keluar'!$A:$A,M24099,'Barang Keluar'!$C:$C,N24099))</f>
        <v>0</v>
      </c>
    </row>
    <row r="24100" spans="13:16">
      <c r="M24100" s="49">
        <f>IF($A$4+240&gt;$B$4,"",$A$4+240)</f>
        <v>46263</v>
      </c>
      <c r="N24100">
        <f>IF(M24100="","",'Master Barang'!A94)</f>
        <v>0</v>
      </c>
      <c r="O24100">
        <f>IF(N24100="","",'Master Barang'!B94)</f>
        <v>0</v>
      </c>
      <c r="P24100">
        <f>IF(OR(M24100="",N24100=""),"",SUMIFS('Barang Keluar'!$E:$E,'Barang Keluar'!$A:$A,M24100,'Barang Keluar'!$C:$C,N24100))</f>
        <v>0</v>
      </c>
    </row>
    <row r="24101" spans="13:16">
      <c r="M24101" s="49">
        <f>IF($A$4+240&gt;$B$4,"",$A$4+240)</f>
        <v>46263</v>
      </c>
      <c r="N24101">
        <f>IF(M24101="","",'Master Barang'!A95)</f>
        <v>0</v>
      </c>
      <c r="O24101">
        <f>IF(N24101="","",'Master Barang'!B95)</f>
        <v>0</v>
      </c>
      <c r="P24101">
        <f>IF(OR(M24101="",N24101=""),"",SUMIFS('Barang Keluar'!$E:$E,'Barang Keluar'!$A:$A,M24101,'Barang Keluar'!$C:$C,N24101))</f>
        <v>0</v>
      </c>
    </row>
    <row r="24102" spans="13:16">
      <c r="M24102" s="49">
        <f>IF($A$4+240&gt;$B$4,"",$A$4+240)</f>
        <v>46263</v>
      </c>
      <c r="N24102">
        <f>IF(M24102="","",'Master Barang'!A96)</f>
        <v>0</v>
      </c>
      <c r="O24102">
        <f>IF(N24102="","",'Master Barang'!B96)</f>
        <v>0</v>
      </c>
      <c r="P24102">
        <f>IF(OR(M24102="",N24102=""),"",SUMIFS('Barang Keluar'!$E:$E,'Barang Keluar'!$A:$A,M24102,'Barang Keluar'!$C:$C,N24102))</f>
        <v>0</v>
      </c>
    </row>
    <row r="24103" spans="13:16">
      <c r="M24103" s="49">
        <f>IF($A$4+240&gt;$B$4,"",$A$4+240)</f>
        <v>46263</v>
      </c>
      <c r="N24103">
        <f>IF(M24103="","",'Master Barang'!A97)</f>
        <v>0</v>
      </c>
      <c r="O24103">
        <f>IF(N24103="","",'Master Barang'!B97)</f>
        <v>0</v>
      </c>
      <c r="P24103">
        <f>IF(OR(M24103="",N24103=""),"",SUMIFS('Barang Keluar'!$E:$E,'Barang Keluar'!$A:$A,M24103,'Barang Keluar'!$C:$C,N24103))</f>
        <v>0</v>
      </c>
    </row>
    <row r="24104" spans="13:16">
      <c r="M24104" s="49">
        <f>IF($A$4+240&gt;$B$4,"",$A$4+240)</f>
        <v>46263</v>
      </c>
      <c r="N24104">
        <f>IF(M24104="","",'Master Barang'!A98)</f>
        <v>0</v>
      </c>
      <c r="O24104">
        <f>IF(N24104="","",'Master Barang'!B98)</f>
        <v>0</v>
      </c>
      <c r="P24104">
        <f>IF(OR(M24104="",N24104=""),"",SUMIFS('Barang Keluar'!$E:$E,'Barang Keluar'!$A:$A,M24104,'Barang Keluar'!$C:$C,N24104))</f>
        <v>0</v>
      </c>
    </row>
    <row r="24105" spans="13:16">
      <c r="M24105" s="49">
        <f>IF($A$4+240&gt;$B$4,"",$A$4+240)</f>
        <v>46263</v>
      </c>
      <c r="N24105">
        <f>IF(M24105="","",'Master Barang'!A99)</f>
        <v>0</v>
      </c>
      <c r="O24105">
        <f>IF(N24105="","",'Master Barang'!B99)</f>
        <v>0</v>
      </c>
      <c r="P24105">
        <f>IF(OR(M24105="",N24105=""),"",SUMIFS('Barang Keluar'!$E:$E,'Barang Keluar'!$A:$A,M24105,'Barang Keluar'!$C:$C,N24105))</f>
        <v>0</v>
      </c>
    </row>
    <row r="24106" spans="13:16">
      <c r="M24106" s="49">
        <f>IF($A$4+240&gt;$B$4,"",$A$4+240)</f>
        <v>46263</v>
      </c>
      <c r="N24106">
        <f>IF(M24106="","",'Master Barang'!A100)</f>
        <v>0</v>
      </c>
      <c r="O24106">
        <f>IF(N24106="","",'Master Barang'!B100)</f>
        <v>0</v>
      </c>
      <c r="P24106">
        <f>IF(OR(M24106="",N24106=""),"",SUMIFS('Barang Keluar'!$E:$E,'Barang Keluar'!$A:$A,M24106,'Barang Keluar'!$C:$C,N24106))</f>
        <v>0</v>
      </c>
    </row>
    <row r="24107" spans="13:16">
      <c r="M24107" s="49">
        <f>IF($A$4+240&gt;$B$4,"",$A$4+240)</f>
        <v>46263</v>
      </c>
      <c r="N24107">
        <f>IF(M24107="","",'Master Barang'!A101)</f>
        <v>0</v>
      </c>
      <c r="O24107">
        <f>IF(N24107="","",'Master Barang'!B101)</f>
        <v>0</v>
      </c>
      <c r="P24107">
        <f>IF(OR(M24107="",N24107=""),"",SUMIFS('Barang Keluar'!$E:$E,'Barang Keluar'!$A:$A,M24107,'Barang Keluar'!$C:$C,N24107))</f>
        <v>0</v>
      </c>
    </row>
    <row r="24108" spans="13:16">
      <c r="M24108" s="49">
        <f>IF($A$4+241&gt;$B$4,"",$A$4+241)</f>
        <v>46264</v>
      </c>
      <c r="N24108" t="str">
        <f>IF(M24108="","",'Master Barang'!A2)</f>
        <v>PRL-001</v>
      </c>
      <c r="O24108" t="str">
        <f>IF(N24108="","",'Master Barang'!B2)</f>
        <v>natura desinfectant food grade 5l</v>
      </c>
      <c r="P24108">
        <f>IF(OR(M24108="",N24108=""),"",SUMIFS('Barang Keluar'!$E:$E,'Barang Keluar'!$A:$A,M24108,'Barang Keluar'!$C:$C,N24108))</f>
        <v>0</v>
      </c>
    </row>
    <row r="24109" spans="13:16">
      <c r="M24109" s="49">
        <f>IF($A$4+241&gt;$B$4,"",$A$4+241)</f>
        <v>46264</v>
      </c>
      <c r="N24109" t="str">
        <f>IF(M24109="","",'Master Barang'!A3)</f>
        <v>PRL-002</v>
      </c>
      <c r="O24109" t="str">
        <f>IF(N24109="","",'Master Barang'!B3)</f>
        <v>sunlight cairan pencuci piring 5l</v>
      </c>
      <c r="P24109">
        <f>IF(OR(M24109="",N24109=""),"",SUMIFS('Barang Keluar'!$E:$E,'Barang Keluar'!$A:$A,M24109,'Barang Keluar'!$C:$C,N24109))</f>
        <v>0</v>
      </c>
    </row>
    <row r="24110" spans="13:16">
      <c r="M24110" s="49">
        <f>IF($A$4+241&gt;$B$4,"",$A$4+241)</f>
        <v>46264</v>
      </c>
      <c r="N24110" t="str">
        <f>IF(M24110="","",'Master Barang'!A4)</f>
        <v>PRL-003</v>
      </c>
      <c r="O24110" t="str">
        <f>IF(N24110="","",'Master Barang'!B4)</f>
        <v>oixs cleaner 1l</v>
      </c>
      <c r="P24110">
        <f>IF(OR(M24110="",N24110=""),"",SUMIFS('Barang Keluar'!$E:$E,'Barang Keluar'!$A:$A,M24110,'Barang Keluar'!$C:$C,N24110))</f>
        <v>0</v>
      </c>
    </row>
    <row r="24111" spans="13:16">
      <c r="M24111" s="49">
        <f>IF($A$4+241&gt;$B$4,"",$A$4+241)</f>
        <v>46264</v>
      </c>
      <c r="N24111" t="str">
        <f>IF(M24111="","",'Master Barang'!A5)</f>
        <v>PRL-004</v>
      </c>
      <c r="O24111" t="str">
        <f>IF(N24111="","",'Master Barang'!B5)</f>
        <v>be clean tissue serbaguna</v>
      </c>
      <c r="P24111">
        <f>IF(OR(M24111="",N24111=""),"",SUMIFS('Barang Keluar'!$E:$E,'Barang Keluar'!$A:$A,M24111,'Barang Keluar'!$C:$C,N24111))</f>
        <v>0</v>
      </c>
    </row>
    <row r="24112" spans="13:16">
      <c r="M24112" s="49">
        <f>IF($A$4+241&gt;$B$4,"",$A$4+241)</f>
        <v>46264</v>
      </c>
      <c r="N24112" t="str">
        <f>IF(M24112="","",'Master Barang'!A6)</f>
        <v>PRL-005</v>
      </c>
      <c r="O24112" t="str">
        <f>IF(N24112="","",'Master Barang'!B6)</f>
        <v>spons cuci hijau</v>
      </c>
      <c r="P24112">
        <f>IF(OR(M24112="",N24112=""),"",SUMIFS('Barang Keluar'!$E:$E,'Barang Keluar'!$A:$A,M24112,'Barang Keluar'!$C:$C,N24112))</f>
        <v>0</v>
      </c>
    </row>
    <row r="24113" spans="13:16">
      <c r="M24113" s="49">
        <f>IF($A$4+241&gt;$B$4,"",$A$4+241)</f>
        <v>46264</v>
      </c>
      <c r="N24113" t="str">
        <f>IF(M24113="","",'Master Barang'!A7)</f>
        <v>PRL-006</v>
      </c>
      <c r="O24113" t="str">
        <f>IF(N24113="","",'Master Barang'!B7)</f>
        <v>sabut cuci stainless</v>
      </c>
      <c r="P24113">
        <f>IF(OR(M24113="",N24113=""),"",SUMIFS('Barang Keluar'!$E:$E,'Barang Keluar'!$A:$A,M24113,'Barang Keluar'!$C:$C,N24113))</f>
        <v>0</v>
      </c>
    </row>
    <row r="24114" spans="13:16">
      <c r="M24114" s="49">
        <f>IF($A$4+241&gt;$B$4,"",$A$4+241)</f>
        <v>46264</v>
      </c>
      <c r="N24114" t="str">
        <f>IF(M24114="","",'Master Barang'!A8)</f>
        <v>PRL-007</v>
      </c>
      <c r="O24114" t="str">
        <f>IF(N24114="","",'Master Barang'!B8)</f>
        <v>plastik kresek besar merah 50pc</v>
      </c>
      <c r="P24114">
        <f>IF(OR(M24114="",N24114=""),"",SUMIFS('Barang Keluar'!$E:$E,'Barang Keluar'!$A:$A,M24114,'Barang Keluar'!$C:$C,N24114))</f>
        <v>0</v>
      </c>
    </row>
    <row r="24115" spans="13:16">
      <c r="M24115" s="49">
        <f>IF($A$4+241&gt;$B$4,"",$A$4+241)</f>
        <v>46264</v>
      </c>
      <c r="N24115" t="str">
        <f>IF(M24115="","",'Master Barang'!A9)</f>
        <v>PRL-008</v>
      </c>
      <c r="O24115" t="str">
        <f>IF(N24115="","",'Master Barang'!B9)</f>
        <v>lap besar</v>
      </c>
      <c r="P24115">
        <f>IF(OR(M24115="",N24115=""),"",SUMIFS('Barang Keluar'!$E:$E,'Barang Keluar'!$A:$A,M24115,'Barang Keluar'!$C:$C,N24115))</f>
        <v>0</v>
      </c>
    </row>
    <row r="24116" spans="13:16">
      <c r="M24116" s="49">
        <f>IF($A$4+241&gt;$B$4,"",$A$4+241)</f>
        <v>46264</v>
      </c>
      <c r="N24116" t="str">
        <f>IF(M24116="","",'Master Barang'!A10)</f>
        <v>PRL-009</v>
      </c>
      <c r="O24116" t="str">
        <f>IF(N24116="","",'Master Barang'!B10)</f>
        <v>lap microfiber</v>
      </c>
      <c r="P24116">
        <f>IF(OR(M24116="",N24116=""),"",SUMIFS('Barang Keluar'!$E:$E,'Barang Keluar'!$A:$A,M24116,'Barang Keluar'!$C:$C,N24116))</f>
        <v>0</v>
      </c>
    </row>
    <row r="24117" spans="13:16">
      <c r="M24117" s="49">
        <f>IF($A$4+241&gt;$B$4,"",$A$4+241)</f>
        <v>46264</v>
      </c>
      <c r="N24117" t="str">
        <f>IF(M24117="","",'Master Barang'!A11)</f>
        <v>PRL-010</v>
      </c>
      <c r="O24117" t="str">
        <f>IF(N24117="","",'Master Barang'!B11)</f>
        <v>lap kecil</v>
      </c>
      <c r="P24117">
        <f>IF(OR(M24117="",N24117=""),"",SUMIFS('Barang Keluar'!$E:$E,'Barang Keluar'!$A:$A,M24117,'Barang Keluar'!$C:$C,N24117))</f>
        <v>0</v>
      </c>
    </row>
    <row r="24118" spans="13:16">
      <c r="M24118" s="49">
        <f>IF($A$4+241&gt;$B$4,"",$A$4+241)</f>
        <v>46264</v>
      </c>
      <c r="N24118" t="str">
        <f>IF(M24118="","",'Master Barang'!A12)</f>
        <v>PRL-011</v>
      </c>
      <c r="O24118" t="str">
        <f>IF(N24118="","",'Master Barang'!B12)</f>
        <v>kanebo kecil</v>
      </c>
      <c r="P24118">
        <f>IF(OR(M24118="",N24118=""),"",SUMIFS('Barang Keluar'!$E:$E,'Barang Keluar'!$A:$A,M24118,'Barang Keluar'!$C:$C,N24118))</f>
        <v>0</v>
      </c>
    </row>
    <row r="24119" spans="13:16">
      <c r="M24119" s="49">
        <f>IF($A$4+241&gt;$B$4,"",$A$4+241)</f>
        <v>46264</v>
      </c>
      <c r="N24119" t="str">
        <f>IF(M24119="","",'Master Barang'!A13)</f>
        <v>PRL-012</v>
      </c>
      <c r="O24119" t="str">
        <f>IF(N24119="","",'Master Barang'!B13)</f>
        <v>plastik 1/4kg joyoboyo 100 lembar</v>
      </c>
      <c r="P24119">
        <f>IF(OR(M24119="",N24119=""),"",SUMIFS('Barang Keluar'!$E:$E,'Barang Keluar'!$A:$A,M24119,'Barang Keluar'!$C:$C,N24119))</f>
        <v>0</v>
      </c>
    </row>
    <row r="24120" spans="13:16">
      <c r="M24120" s="49">
        <f>IF($A$4+241&gt;$B$4,"",$A$4+241)</f>
        <v>46264</v>
      </c>
      <c r="N24120" t="str">
        <f>IF(M24120="","",'Master Barang'!A14)</f>
        <v>PRL-013</v>
      </c>
      <c r="O24120" t="str">
        <f>IF(N24120="","",'Master Barang'!B14)</f>
        <v>sarung tangan plastik kaka 100 pcs</v>
      </c>
      <c r="P24120">
        <f>IF(OR(M24120="",N24120=""),"",SUMIFS('Barang Keluar'!$E:$E,'Barang Keluar'!$A:$A,M24120,'Barang Keluar'!$C:$C,N24120))</f>
        <v>0</v>
      </c>
    </row>
    <row r="24121" spans="13:16">
      <c r="M24121" s="49">
        <f>IF($A$4+241&gt;$B$4,"",$A$4+241)</f>
        <v>46264</v>
      </c>
      <c r="N24121" t="str">
        <f>IF(M24121="","",'Master Barang'!A15)</f>
        <v>PRL-014</v>
      </c>
      <c r="O24121" t="str">
        <f>IF(N24121="","",'Master Barang'!B15)</f>
        <v>optima trashbag 80x100</v>
      </c>
      <c r="P24121">
        <f>IF(OR(M24121="",N24121=""),"",SUMIFS('Barang Keluar'!$E:$E,'Barang Keluar'!$A:$A,M24121,'Barang Keluar'!$C:$C,N24121))</f>
        <v>0</v>
      </c>
    </row>
    <row r="24122" spans="13:16">
      <c r="M24122" s="49">
        <f>IF($A$4+241&gt;$B$4,"",$A$4+241)</f>
        <v>46264</v>
      </c>
      <c r="N24122" t="str">
        <f>IF(M24122="","",'Master Barang'!A16)</f>
        <v>PRL-015</v>
      </c>
      <c r="O24122" t="str">
        <f>IF(N24122="","",'Master Barang'!B16)</f>
        <v>optima trashbag 60x100</v>
      </c>
      <c r="P24122">
        <f>IF(OR(M24122="",N24122=""),"",SUMIFS('Barang Keluar'!$E:$E,'Barang Keluar'!$A:$A,M24122,'Barang Keluar'!$C:$C,N24122))</f>
        <v>0</v>
      </c>
    </row>
    <row r="24123" spans="13:16">
      <c r="M24123" s="49">
        <f>IF($A$4+241&gt;$B$4,"",$A$4+241)</f>
        <v>46264</v>
      </c>
      <c r="N24123" t="str">
        <f>IF(M24123="","",'Master Barang'!A17)</f>
        <v>PRL-016</v>
      </c>
      <c r="O24123" t="str">
        <f>IF(N24123="","",'Master Barang'!B17)</f>
        <v>rajawali trashbag 30x40</v>
      </c>
      <c r="P24123">
        <f>IF(OR(M24123="",N24123=""),"",SUMIFS('Barang Keluar'!$E:$E,'Barang Keluar'!$A:$A,M24123,'Barang Keluar'!$C:$C,N24123))</f>
        <v>0</v>
      </c>
    </row>
    <row r="24124" spans="13:16">
      <c r="M24124" s="49">
        <f>IF($A$4+241&gt;$B$4,"",$A$4+241)</f>
        <v>46264</v>
      </c>
      <c r="N24124" t="str">
        <f>IF(M24124="","",'Master Barang'!A18)</f>
        <v>PRL-017</v>
      </c>
      <c r="O24124" t="str">
        <f>IF(N24124="","",'Master Barang'!B18)</f>
        <v>onemed masker biru 3 play 50 pcs</v>
      </c>
      <c r="P24124">
        <f>IF(OR(M24124="",N24124=""),"",SUMIFS('Barang Keluar'!$E:$E,'Barang Keluar'!$A:$A,M24124,'Barang Keluar'!$C:$C,N24124))</f>
        <v>0</v>
      </c>
    </row>
    <row r="24125" spans="13:16">
      <c r="M24125" s="49">
        <f>IF($A$4+241&gt;$B$4,"",$A$4+241)</f>
        <v>46264</v>
      </c>
      <c r="N24125" t="str">
        <f>IF(M24125="","",'Master Barang'!A19)</f>
        <v>PRL-018</v>
      </c>
      <c r="O24125" t="str">
        <f>IF(N24125="","",'Master Barang'!B19)</f>
        <v>onemed masker biru 3 play hijab 50 pcs</v>
      </c>
      <c r="P24125">
        <f>IF(OR(M24125="",N24125=""),"",SUMIFS('Barang Keluar'!$E:$E,'Barang Keluar'!$A:$A,M24125,'Barang Keluar'!$C:$C,N24125))</f>
        <v>0</v>
      </c>
    </row>
    <row r="24126" spans="13:16">
      <c r="M24126" s="49">
        <f>IF($A$4+241&gt;$B$4,"",$A$4+241)</f>
        <v>46264</v>
      </c>
      <c r="N24126" t="str">
        <f>IF(M24126="","",'Master Barang'!A20)</f>
        <v>PRL-019</v>
      </c>
      <c r="O24126" t="str">
        <f>IF(N24126="","",'Master Barang'!B20)</f>
        <v>neo health masker biru 3 play 50 pcs</v>
      </c>
      <c r="P24126">
        <f>IF(OR(M24126="",N24126=""),"",SUMIFS('Barang Keluar'!$E:$E,'Barang Keluar'!$A:$A,M24126,'Barang Keluar'!$C:$C,N24126))</f>
        <v>0</v>
      </c>
    </row>
    <row r="24127" spans="13:16">
      <c r="M24127" s="49">
        <f>IF($A$4+241&gt;$B$4,"",$A$4+241)</f>
        <v>46264</v>
      </c>
      <c r="N24127" t="str">
        <f>IF(M24127="","",'Master Barang'!A21)</f>
        <v>PRL-020</v>
      </c>
      <c r="O24127" t="str">
        <f>IF(N24127="","",'Master Barang'!B21)</f>
        <v>baymed masker hijau 3 play hijau 50 pcs</v>
      </c>
      <c r="P24127">
        <f>IF(OR(M24127="",N24127=""),"",SUMIFS('Barang Keluar'!$E:$E,'Barang Keluar'!$A:$A,M24127,'Barang Keluar'!$C:$C,N24127))</f>
        <v>0</v>
      </c>
    </row>
    <row r="24128" spans="13:16">
      <c r="M24128" s="49">
        <f>IF($A$4+241&gt;$B$4,"",$A$4+241)</f>
        <v>46264</v>
      </c>
      <c r="N24128" t="str">
        <f>IF(M24128="","",'Master Barang'!A22)</f>
        <v>PRL-021</v>
      </c>
      <c r="O24128" t="str">
        <f>IF(N24128="","",'Master Barang'!B22)</f>
        <v>altamed nurse cap penutup kepala 100 pcs</v>
      </c>
      <c r="P24128">
        <f>IF(OR(M24128="",N24128=""),"",SUMIFS('Barang Keluar'!$E:$E,'Barang Keluar'!$A:$A,M24128,'Barang Keluar'!$C:$C,N24128))</f>
        <v>0</v>
      </c>
    </row>
    <row r="24129" spans="13:16">
      <c r="M24129" s="49">
        <f>IF($A$4+241&gt;$B$4,"",$A$4+241)</f>
        <v>46264</v>
      </c>
      <c r="N24129" t="str">
        <f>IF(M24129="","",'Master Barang'!A23)</f>
        <v>PRL-022</v>
      </c>
      <c r="O24129" t="str">
        <f>IF(N24129="","",'Master Barang'!B23)</f>
        <v>sabun cuci tangan</v>
      </c>
      <c r="P24129">
        <f>IF(OR(M24129="",N24129=""),"",SUMIFS('Barang Keluar'!$E:$E,'Barang Keluar'!$A:$A,M24129,'Barang Keluar'!$C:$C,N24129))</f>
        <v>0</v>
      </c>
    </row>
    <row r="24130" spans="13:16">
      <c r="M24130" s="49">
        <f>IF($A$4+241&gt;$B$4,"",$A$4+241)</f>
        <v>46264</v>
      </c>
      <c r="N24130" t="str">
        <f>IF(M24130="","",'Master Barang'!A24)</f>
        <v>PRL-023</v>
      </c>
      <c r="O24130" t="str">
        <f>IF(N24130="","",'Master Barang'!B24)</f>
        <v>gayung kecil</v>
      </c>
      <c r="P24130">
        <f>IF(OR(M24130="",N24130=""),"",SUMIFS('Barang Keluar'!$E:$E,'Barang Keluar'!$A:$A,M24130,'Barang Keluar'!$C:$C,N24130))</f>
        <v>0</v>
      </c>
    </row>
    <row r="24131" spans="13:16">
      <c r="M24131" s="49">
        <f>IF($A$4+241&gt;$B$4,"",$A$4+241)</f>
        <v>46264</v>
      </c>
      <c r="N24131" t="str">
        <f>IF(M24131="","",'Master Barang'!A25)</f>
        <v>PRL-024</v>
      </c>
      <c r="O24131" t="str">
        <f>IF(N24131="","",'Master Barang'!B25)</f>
        <v>cikrak kecil</v>
      </c>
      <c r="P24131">
        <f>IF(OR(M24131="",N24131=""),"",SUMIFS('Barang Keluar'!$E:$E,'Barang Keluar'!$A:$A,M24131,'Barang Keluar'!$C:$C,N24131))</f>
        <v>0</v>
      </c>
    </row>
    <row r="24132" spans="13:16">
      <c r="M24132" s="49">
        <f>IF($A$4+241&gt;$B$4,"",$A$4+241)</f>
        <v>46264</v>
      </c>
      <c r="N24132" t="str">
        <f>IF(M24132="","",'Master Barang'!A26)</f>
        <v>PRL-025</v>
      </c>
      <c r="O24132" t="str">
        <f>IF(N24132="","",'Master Barang'!B26)</f>
        <v>petromax plastik kecil 12x24 100 lembar</v>
      </c>
      <c r="P24132">
        <f>IF(OR(M24132="",N24132=""),"",SUMIFS('Barang Keluar'!$E:$E,'Barang Keluar'!$A:$A,M24132,'Barang Keluar'!$C:$C,N24132))</f>
        <v>0</v>
      </c>
    </row>
    <row r="24133" spans="13:16">
      <c r="M24133" s="49">
        <f>IF($A$4+241&gt;$B$4,"",$A$4+241)</f>
        <v>46264</v>
      </c>
      <c r="N24133" t="str">
        <f>IF(M24133="","",'Master Barang'!A27)</f>
        <v>PRL-026</v>
      </c>
      <c r="O24133" t="str">
        <f>IF(N24133="","",'Master Barang'!B27)</f>
        <v>lancar kresek kecil bening </v>
      </c>
      <c r="P24133">
        <f>IF(OR(M24133="",N24133=""),"",SUMIFS('Barang Keluar'!$E:$E,'Barang Keluar'!$A:$A,M24133,'Barang Keluar'!$C:$C,N24133))</f>
        <v>0</v>
      </c>
    </row>
    <row r="24134" spans="13:16">
      <c r="M24134" s="49">
        <f>IF($A$4+241&gt;$B$4,"",$A$4+241)</f>
        <v>46264</v>
      </c>
      <c r="N24134" t="str">
        <f>IF(M24134="","",'Master Barang'!A28)</f>
        <v>PRL-027</v>
      </c>
      <c r="O24134" t="str">
        <f>IF(N24134="","",'Master Barang'!B28)</f>
        <v>kresek klin warna warni kecil</v>
      </c>
      <c r="P24134">
        <f>IF(OR(M24134="",N24134=""),"",SUMIFS('Barang Keluar'!$E:$E,'Barang Keluar'!$A:$A,M24134,'Barang Keluar'!$C:$C,N24134))</f>
        <v>0</v>
      </c>
    </row>
    <row r="24135" spans="13:16">
      <c r="M24135" s="49">
        <f>IF($A$4+241&gt;$B$4,"",$A$4+241)</f>
        <v>46264</v>
      </c>
      <c r="N24135" t="str">
        <f>IF(M24135="","",'Master Barang'!A29)</f>
        <v>PRL-028</v>
      </c>
      <c r="O24135" t="str">
        <f>IF(N24135="","",'Master Barang'!B29)</f>
        <v>ctik plastik 7x10 100 pcs</v>
      </c>
      <c r="P24135">
        <f>IF(OR(M24135="",N24135=""),"",SUMIFS('Barang Keluar'!$E:$E,'Barang Keluar'!$A:$A,M24135,'Barang Keluar'!$C:$C,N24135))</f>
        <v>0</v>
      </c>
    </row>
    <row r="24136" spans="13:16">
      <c r="M24136" s="49">
        <f>IF($A$4+241&gt;$B$4,"",$A$4+241)</f>
        <v>46264</v>
      </c>
      <c r="N24136" t="str">
        <f>IF(M24136="","",'Master Barang'!A30)</f>
        <v>PRL-029</v>
      </c>
      <c r="O24136" t="str">
        <f>IF(N24136="","",'Master Barang'!B30)</f>
        <v>ctik plastik 6x10 100 pcs</v>
      </c>
      <c r="P24136">
        <f>IF(OR(M24136="",N24136=""),"",SUMIFS('Barang Keluar'!$E:$E,'Barang Keluar'!$A:$A,M24136,'Barang Keluar'!$C:$C,N24136))</f>
        <v>0</v>
      </c>
    </row>
    <row r="24137" spans="13:16">
      <c r="M24137" s="49">
        <f>IF($A$4+241&gt;$B$4,"",$A$4+241)</f>
        <v>46264</v>
      </c>
      <c r="N24137" t="str">
        <f>IF(M24137="","",'Master Barang'!A31)</f>
        <v>PRL-030</v>
      </c>
      <c r="O24137" t="str">
        <f>IF(N24137="","",'Master Barang'!B31)</f>
        <v>klip plastik 25x16 100 pcs</v>
      </c>
      <c r="P24137">
        <f>IF(OR(M24137="",N24137=""),"",SUMIFS('Barang Keluar'!$E:$E,'Barang Keluar'!$A:$A,M24137,'Barang Keluar'!$C:$C,N24137))</f>
        <v>0</v>
      </c>
    </row>
    <row r="24138" spans="13:16">
      <c r="M24138" s="49">
        <f>IF($A$4+241&gt;$B$4,"",$A$4+241)</f>
        <v>46264</v>
      </c>
      <c r="N24138" t="str">
        <f>IF(M24138="","",'Master Barang'!A32)</f>
        <v>PRL-031</v>
      </c>
      <c r="O24138" t="str">
        <f>IF(N24138="","",'Master Barang'!B32)</f>
        <v>tempat saus 20 ml</v>
      </c>
      <c r="P24138">
        <f>IF(OR(M24138="",N24138=""),"",SUMIFS('Barang Keluar'!$E:$E,'Barang Keluar'!$A:$A,M24138,'Barang Keluar'!$C:$C,N24138))</f>
        <v>0</v>
      </c>
    </row>
    <row r="24139" spans="13:16">
      <c r="M24139" s="49">
        <f>IF($A$4+241&gt;$B$4,"",$A$4+241)</f>
        <v>46264</v>
      </c>
      <c r="N24139" t="str">
        <f>IF(M24139="","",'Master Barang'!A33)</f>
        <v>PRL-032</v>
      </c>
      <c r="O24139" t="str">
        <f>IF(N24139="","",'Master Barang'!B33)</f>
        <v>plastik packaging ag box uk sedang</v>
      </c>
      <c r="P24139">
        <f>IF(OR(M24139="",N24139=""),"",SUMIFS('Barang Keluar'!$E:$E,'Barang Keluar'!$A:$A,M24139,'Barang Keluar'!$C:$C,N24139))</f>
        <v>0</v>
      </c>
    </row>
    <row r="24140" spans="13:16">
      <c r="M24140" s="49">
        <f>IF($A$4+241&gt;$B$4,"",$A$4+241)</f>
        <v>46264</v>
      </c>
      <c r="N24140" t="str">
        <f>IF(M24140="","",'Master Barang'!A34)</f>
        <v>PRL-033</v>
      </c>
      <c r="O24140">
        <f>IF(N24140="","",'Master Barang'!B34)</f>
        <v>0</v>
      </c>
      <c r="P24140">
        <f>IF(OR(M24140="",N24140=""),"",SUMIFS('Barang Keluar'!$E:$E,'Barang Keluar'!$A:$A,M24140,'Barang Keluar'!$C:$C,N24140))</f>
        <v>0</v>
      </c>
    </row>
    <row r="24141" spans="13:16">
      <c r="M24141" s="49">
        <f>IF($A$4+241&gt;$B$4,"",$A$4+241)</f>
        <v>46264</v>
      </c>
      <c r="N24141">
        <f>IF(M24141="","",'Master Barang'!A35)</f>
        <v>0</v>
      </c>
      <c r="O24141">
        <f>IF(N24141="","",'Master Barang'!B35)</f>
        <v>0</v>
      </c>
      <c r="P24141">
        <f>IF(OR(M24141="",N24141=""),"",SUMIFS('Barang Keluar'!$E:$E,'Barang Keluar'!$A:$A,M24141,'Barang Keluar'!$C:$C,N24141))</f>
        <v>0</v>
      </c>
    </row>
    <row r="24142" spans="13:16">
      <c r="M24142" s="49">
        <f>IF($A$4+241&gt;$B$4,"",$A$4+241)</f>
        <v>46264</v>
      </c>
      <c r="N24142">
        <f>IF(M24142="","",'Master Barang'!A36)</f>
        <v>0</v>
      </c>
      <c r="O24142">
        <f>IF(N24142="","",'Master Barang'!B36)</f>
        <v>0</v>
      </c>
      <c r="P24142">
        <f>IF(OR(M24142="",N24142=""),"",SUMIFS('Barang Keluar'!$E:$E,'Barang Keluar'!$A:$A,M24142,'Barang Keluar'!$C:$C,N24142))</f>
        <v>0</v>
      </c>
    </row>
    <row r="24143" spans="13:16">
      <c r="M24143" s="49">
        <f>IF($A$4+241&gt;$B$4,"",$A$4+241)</f>
        <v>46264</v>
      </c>
      <c r="N24143">
        <f>IF(M24143="","",'Master Barang'!A37)</f>
        <v>0</v>
      </c>
      <c r="O24143">
        <f>IF(N24143="","",'Master Barang'!B37)</f>
        <v>0</v>
      </c>
      <c r="P24143">
        <f>IF(OR(M24143="",N24143=""),"",SUMIFS('Barang Keluar'!$E:$E,'Barang Keluar'!$A:$A,M24143,'Barang Keluar'!$C:$C,N24143))</f>
        <v>0</v>
      </c>
    </row>
    <row r="24144" spans="13:16">
      <c r="M24144" s="49">
        <f>IF($A$4+241&gt;$B$4,"",$A$4+241)</f>
        <v>46264</v>
      </c>
      <c r="N24144">
        <f>IF(M24144="","",'Master Barang'!A38)</f>
        <v>0</v>
      </c>
      <c r="O24144">
        <f>IF(N24144="","",'Master Barang'!B38)</f>
        <v>0</v>
      </c>
      <c r="P24144">
        <f>IF(OR(M24144="",N24144=""),"",SUMIFS('Barang Keluar'!$E:$E,'Barang Keluar'!$A:$A,M24144,'Barang Keluar'!$C:$C,N24144))</f>
        <v>0</v>
      </c>
    </row>
    <row r="24145" spans="13:16">
      <c r="M24145" s="49">
        <f>IF($A$4+241&gt;$B$4,"",$A$4+241)</f>
        <v>46264</v>
      </c>
      <c r="N24145">
        <f>IF(M24145="","",'Master Barang'!A39)</f>
        <v>0</v>
      </c>
      <c r="O24145">
        <f>IF(N24145="","",'Master Barang'!B39)</f>
        <v>0</v>
      </c>
      <c r="P24145">
        <f>IF(OR(M24145="",N24145=""),"",SUMIFS('Barang Keluar'!$E:$E,'Barang Keluar'!$A:$A,M24145,'Barang Keluar'!$C:$C,N24145))</f>
        <v>0</v>
      </c>
    </row>
    <row r="24146" spans="13:16">
      <c r="M24146" s="49">
        <f>IF($A$4+241&gt;$B$4,"",$A$4+241)</f>
        <v>46264</v>
      </c>
      <c r="N24146">
        <f>IF(M24146="","",'Master Barang'!A40)</f>
        <v>0</v>
      </c>
      <c r="O24146">
        <f>IF(N24146="","",'Master Barang'!B40)</f>
        <v>0</v>
      </c>
      <c r="P24146">
        <f>IF(OR(M24146="",N24146=""),"",SUMIFS('Barang Keluar'!$E:$E,'Barang Keluar'!$A:$A,M24146,'Barang Keluar'!$C:$C,N24146))</f>
        <v>0</v>
      </c>
    </row>
    <row r="24147" spans="13:16">
      <c r="M24147" s="49">
        <f>IF($A$4+241&gt;$B$4,"",$A$4+241)</f>
        <v>46264</v>
      </c>
      <c r="N24147">
        <f>IF(M24147="","",'Master Barang'!A41)</f>
        <v>0</v>
      </c>
      <c r="O24147">
        <f>IF(N24147="","",'Master Barang'!B41)</f>
        <v>0</v>
      </c>
      <c r="P24147">
        <f>IF(OR(M24147="",N24147=""),"",SUMIFS('Barang Keluar'!$E:$E,'Barang Keluar'!$A:$A,M24147,'Barang Keluar'!$C:$C,N24147))</f>
        <v>0</v>
      </c>
    </row>
    <row r="24148" spans="13:16">
      <c r="M24148" s="49">
        <f>IF($A$4+241&gt;$B$4,"",$A$4+241)</f>
        <v>46264</v>
      </c>
      <c r="N24148">
        <f>IF(M24148="","",'Master Barang'!A42)</f>
        <v>0</v>
      </c>
      <c r="O24148">
        <f>IF(N24148="","",'Master Barang'!B42)</f>
        <v>0</v>
      </c>
      <c r="P24148">
        <f>IF(OR(M24148="",N24148=""),"",SUMIFS('Barang Keluar'!$E:$E,'Barang Keluar'!$A:$A,M24148,'Barang Keluar'!$C:$C,N24148))</f>
        <v>0</v>
      </c>
    </row>
    <row r="24149" spans="13:16">
      <c r="M24149" s="49">
        <f>IF($A$4+241&gt;$B$4,"",$A$4+241)</f>
        <v>46264</v>
      </c>
      <c r="N24149">
        <f>IF(M24149="","",'Master Barang'!A43)</f>
        <v>0</v>
      </c>
      <c r="O24149">
        <f>IF(N24149="","",'Master Barang'!B43)</f>
        <v>0</v>
      </c>
      <c r="P24149">
        <f>IF(OR(M24149="",N24149=""),"",SUMIFS('Barang Keluar'!$E:$E,'Barang Keluar'!$A:$A,M24149,'Barang Keluar'!$C:$C,N24149))</f>
        <v>0</v>
      </c>
    </row>
    <row r="24150" spans="13:16">
      <c r="M24150" s="49">
        <f>IF($A$4+241&gt;$B$4,"",$A$4+241)</f>
        <v>46264</v>
      </c>
      <c r="N24150">
        <f>IF(M24150="","",'Master Barang'!A44)</f>
        <v>0</v>
      </c>
      <c r="O24150">
        <f>IF(N24150="","",'Master Barang'!B44)</f>
        <v>0</v>
      </c>
      <c r="P24150">
        <f>IF(OR(M24150="",N24150=""),"",SUMIFS('Barang Keluar'!$E:$E,'Barang Keluar'!$A:$A,M24150,'Barang Keluar'!$C:$C,N24150))</f>
        <v>0</v>
      </c>
    </row>
    <row r="24151" spans="13:16">
      <c r="M24151" s="49">
        <f>IF($A$4+241&gt;$B$4,"",$A$4+241)</f>
        <v>46264</v>
      </c>
      <c r="N24151">
        <f>IF(M24151="","",'Master Barang'!A45)</f>
        <v>0</v>
      </c>
      <c r="O24151">
        <f>IF(N24151="","",'Master Barang'!B45)</f>
        <v>0</v>
      </c>
      <c r="P24151">
        <f>IF(OR(M24151="",N24151=""),"",SUMIFS('Barang Keluar'!$E:$E,'Barang Keluar'!$A:$A,M24151,'Barang Keluar'!$C:$C,N24151))</f>
        <v>0</v>
      </c>
    </row>
    <row r="24152" spans="13:16">
      <c r="M24152" s="49">
        <f>IF($A$4+241&gt;$B$4,"",$A$4+241)</f>
        <v>46264</v>
      </c>
      <c r="N24152">
        <f>IF(M24152="","",'Master Barang'!A46)</f>
        <v>0</v>
      </c>
      <c r="O24152">
        <f>IF(N24152="","",'Master Barang'!B46)</f>
        <v>0</v>
      </c>
      <c r="P24152">
        <f>IF(OR(M24152="",N24152=""),"",SUMIFS('Barang Keluar'!$E:$E,'Barang Keluar'!$A:$A,M24152,'Barang Keluar'!$C:$C,N24152))</f>
        <v>0</v>
      </c>
    </row>
    <row r="24153" spans="13:16">
      <c r="M24153" s="49">
        <f>IF($A$4+241&gt;$B$4,"",$A$4+241)</f>
        <v>46264</v>
      </c>
      <c r="N24153">
        <f>IF(M24153="","",'Master Barang'!A47)</f>
        <v>0</v>
      </c>
      <c r="O24153">
        <f>IF(N24153="","",'Master Barang'!B47)</f>
        <v>0</v>
      </c>
      <c r="P24153">
        <f>IF(OR(M24153="",N24153=""),"",SUMIFS('Barang Keluar'!$E:$E,'Barang Keluar'!$A:$A,M24153,'Barang Keluar'!$C:$C,N24153))</f>
        <v>0</v>
      </c>
    </row>
    <row r="24154" spans="13:16">
      <c r="M24154" s="49">
        <f>IF($A$4+241&gt;$B$4,"",$A$4+241)</f>
        <v>46264</v>
      </c>
      <c r="N24154">
        <f>IF(M24154="","",'Master Barang'!A48)</f>
        <v>0</v>
      </c>
      <c r="O24154">
        <f>IF(N24154="","",'Master Barang'!B48)</f>
        <v>0</v>
      </c>
      <c r="P24154">
        <f>IF(OR(M24154="",N24154=""),"",SUMIFS('Barang Keluar'!$E:$E,'Barang Keluar'!$A:$A,M24154,'Barang Keluar'!$C:$C,N24154))</f>
        <v>0</v>
      </c>
    </row>
    <row r="24155" spans="13:16">
      <c r="M24155" s="49">
        <f>IF($A$4+241&gt;$B$4,"",$A$4+241)</f>
        <v>46264</v>
      </c>
      <c r="N24155">
        <f>IF(M24155="","",'Master Barang'!A49)</f>
        <v>0</v>
      </c>
      <c r="O24155">
        <f>IF(N24155="","",'Master Barang'!B49)</f>
        <v>0</v>
      </c>
      <c r="P24155">
        <f>IF(OR(M24155="",N24155=""),"",SUMIFS('Barang Keluar'!$E:$E,'Barang Keluar'!$A:$A,M24155,'Barang Keluar'!$C:$C,N24155))</f>
        <v>0</v>
      </c>
    </row>
    <row r="24156" spans="13:16">
      <c r="M24156" s="49">
        <f>IF($A$4+241&gt;$B$4,"",$A$4+241)</f>
        <v>46264</v>
      </c>
      <c r="N24156">
        <f>IF(M24156="","",'Master Barang'!A50)</f>
        <v>0</v>
      </c>
      <c r="O24156">
        <f>IF(N24156="","",'Master Barang'!B50)</f>
        <v>0</v>
      </c>
      <c r="P24156">
        <f>IF(OR(M24156="",N24156=""),"",SUMIFS('Barang Keluar'!$E:$E,'Barang Keluar'!$A:$A,M24156,'Barang Keluar'!$C:$C,N24156))</f>
        <v>0</v>
      </c>
    </row>
    <row r="24157" spans="13:16">
      <c r="M24157" s="49">
        <f>IF($A$4+241&gt;$B$4,"",$A$4+241)</f>
        <v>46264</v>
      </c>
      <c r="N24157">
        <f>IF(M24157="","",'Master Barang'!A51)</f>
        <v>0</v>
      </c>
      <c r="O24157">
        <f>IF(N24157="","",'Master Barang'!B51)</f>
        <v>0</v>
      </c>
      <c r="P24157">
        <f>IF(OR(M24157="",N24157=""),"",SUMIFS('Barang Keluar'!$E:$E,'Barang Keluar'!$A:$A,M24157,'Barang Keluar'!$C:$C,N24157))</f>
        <v>0</v>
      </c>
    </row>
    <row r="24158" spans="13:16">
      <c r="M24158" s="49">
        <f>IF($A$4+241&gt;$B$4,"",$A$4+241)</f>
        <v>46264</v>
      </c>
      <c r="N24158">
        <f>IF(M24158="","",'Master Barang'!A52)</f>
        <v>0</v>
      </c>
      <c r="O24158">
        <f>IF(N24158="","",'Master Barang'!B52)</f>
        <v>0</v>
      </c>
      <c r="P24158">
        <f>IF(OR(M24158="",N24158=""),"",SUMIFS('Barang Keluar'!$E:$E,'Barang Keluar'!$A:$A,M24158,'Barang Keluar'!$C:$C,N24158))</f>
        <v>0</v>
      </c>
    </row>
    <row r="24159" spans="13:16">
      <c r="M24159" s="49">
        <f>IF($A$4+241&gt;$B$4,"",$A$4+241)</f>
        <v>46264</v>
      </c>
      <c r="N24159">
        <f>IF(M24159="","",'Master Barang'!A53)</f>
        <v>0</v>
      </c>
      <c r="O24159">
        <f>IF(N24159="","",'Master Barang'!B53)</f>
        <v>0</v>
      </c>
      <c r="P24159">
        <f>IF(OR(M24159="",N24159=""),"",SUMIFS('Barang Keluar'!$E:$E,'Barang Keluar'!$A:$A,M24159,'Barang Keluar'!$C:$C,N24159))</f>
        <v>0</v>
      </c>
    </row>
    <row r="24160" spans="13:16">
      <c r="M24160" s="49">
        <f>IF($A$4+241&gt;$B$4,"",$A$4+241)</f>
        <v>46264</v>
      </c>
      <c r="N24160">
        <f>IF(M24160="","",'Master Barang'!A54)</f>
        <v>0</v>
      </c>
      <c r="O24160">
        <f>IF(N24160="","",'Master Barang'!B54)</f>
        <v>0</v>
      </c>
      <c r="P24160">
        <f>IF(OR(M24160="",N24160=""),"",SUMIFS('Barang Keluar'!$E:$E,'Barang Keluar'!$A:$A,M24160,'Barang Keluar'!$C:$C,N24160))</f>
        <v>0</v>
      </c>
    </row>
    <row r="24161" spans="13:16">
      <c r="M24161" s="49">
        <f>IF($A$4+241&gt;$B$4,"",$A$4+241)</f>
        <v>46264</v>
      </c>
      <c r="N24161">
        <f>IF(M24161="","",'Master Barang'!A55)</f>
        <v>0</v>
      </c>
      <c r="O24161">
        <f>IF(N24161="","",'Master Barang'!B55)</f>
        <v>0</v>
      </c>
      <c r="P24161">
        <f>IF(OR(M24161="",N24161=""),"",SUMIFS('Barang Keluar'!$E:$E,'Barang Keluar'!$A:$A,M24161,'Barang Keluar'!$C:$C,N24161))</f>
        <v>0</v>
      </c>
    </row>
    <row r="24162" spans="13:16">
      <c r="M24162" s="49">
        <f>IF($A$4+241&gt;$B$4,"",$A$4+241)</f>
        <v>46264</v>
      </c>
      <c r="N24162">
        <f>IF(M24162="","",'Master Barang'!A56)</f>
        <v>0</v>
      </c>
      <c r="O24162">
        <f>IF(N24162="","",'Master Barang'!B56)</f>
        <v>0</v>
      </c>
      <c r="P24162">
        <f>IF(OR(M24162="",N24162=""),"",SUMIFS('Barang Keluar'!$E:$E,'Barang Keluar'!$A:$A,M24162,'Barang Keluar'!$C:$C,N24162))</f>
        <v>0</v>
      </c>
    </row>
    <row r="24163" spans="13:16">
      <c r="M24163" s="49">
        <f>IF($A$4+241&gt;$B$4,"",$A$4+241)</f>
        <v>46264</v>
      </c>
      <c r="N24163">
        <f>IF(M24163="","",'Master Barang'!A57)</f>
        <v>0</v>
      </c>
      <c r="O24163">
        <f>IF(N24163="","",'Master Barang'!B57)</f>
        <v>0</v>
      </c>
      <c r="P24163">
        <f>IF(OR(M24163="",N24163=""),"",SUMIFS('Barang Keluar'!$E:$E,'Barang Keluar'!$A:$A,M24163,'Barang Keluar'!$C:$C,N24163))</f>
        <v>0</v>
      </c>
    </row>
    <row r="24164" spans="13:16">
      <c r="M24164" s="49">
        <f>IF($A$4+241&gt;$B$4,"",$A$4+241)</f>
        <v>46264</v>
      </c>
      <c r="N24164">
        <f>IF(M24164="","",'Master Barang'!A58)</f>
        <v>0</v>
      </c>
      <c r="O24164">
        <f>IF(N24164="","",'Master Barang'!B58)</f>
        <v>0</v>
      </c>
      <c r="P24164">
        <f>IF(OR(M24164="",N24164=""),"",SUMIFS('Barang Keluar'!$E:$E,'Barang Keluar'!$A:$A,M24164,'Barang Keluar'!$C:$C,N24164))</f>
        <v>0</v>
      </c>
    </row>
    <row r="24165" spans="13:16">
      <c r="M24165" s="49">
        <f>IF($A$4+241&gt;$B$4,"",$A$4+241)</f>
        <v>46264</v>
      </c>
      <c r="N24165">
        <f>IF(M24165="","",'Master Barang'!A59)</f>
        <v>0</v>
      </c>
      <c r="O24165">
        <f>IF(N24165="","",'Master Barang'!B59)</f>
        <v>0</v>
      </c>
      <c r="P24165">
        <f>IF(OR(M24165="",N24165=""),"",SUMIFS('Barang Keluar'!$E:$E,'Barang Keluar'!$A:$A,M24165,'Barang Keluar'!$C:$C,N24165))</f>
        <v>0</v>
      </c>
    </row>
    <row r="24166" spans="13:16">
      <c r="M24166" s="49">
        <f>IF($A$4+241&gt;$B$4,"",$A$4+241)</f>
        <v>46264</v>
      </c>
      <c r="N24166">
        <f>IF(M24166="","",'Master Barang'!A60)</f>
        <v>0</v>
      </c>
      <c r="O24166">
        <f>IF(N24166="","",'Master Barang'!B60)</f>
        <v>0</v>
      </c>
      <c r="P24166">
        <f>IF(OR(M24166="",N24166=""),"",SUMIFS('Barang Keluar'!$E:$E,'Barang Keluar'!$A:$A,M24166,'Barang Keluar'!$C:$C,N24166))</f>
        <v>0</v>
      </c>
    </row>
    <row r="24167" spans="13:16">
      <c r="M24167" s="49">
        <f>IF($A$4+241&gt;$B$4,"",$A$4+241)</f>
        <v>46264</v>
      </c>
      <c r="N24167">
        <f>IF(M24167="","",'Master Barang'!A61)</f>
        <v>0</v>
      </c>
      <c r="O24167">
        <f>IF(N24167="","",'Master Barang'!B61)</f>
        <v>0</v>
      </c>
      <c r="P24167">
        <f>IF(OR(M24167="",N24167=""),"",SUMIFS('Barang Keluar'!$E:$E,'Barang Keluar'!$A:$A,M24167,'Barang Keluar'!$C:$C,N24167))</f>
        <v>0</v>
      </c>
    </row>
    <row r="24168" spans="13:16">
      <c r="M24168" s="49">
        <f>IF($A$4+241&gt;$B$4,"",$A$4+241)</f>
        <v>46264</v>
      </c>
      <c r="N24168">
        <f>IF(M24168="","",'Master Barang'!A62)</f>
        <v>0</v>
      </c>
      <c r="O24168">
        <f>IF(N24168="","",'Master Barang'!B62)</f>
        <v>0</v>
      </c>
      <c r="P24168">
        <f>IF(OR(M24168="",N24168=""),"",SUMIFS('Barang Keluar'!$E:$E,'Barang Keluar'!$A:$A,M24168,'Barang Keluar'!$C:$C,N24168))</f>
        <v>0</v>
      </c>
    </row>
    <row r="24169" spans="13:16">
      <c r="M24169" s="49">
        <f>IF($A$4+241&gt;$B$4,"",$A$4+241)</f>
        <v>46264</v>
      </c>
      <c r="N24169">
        <f>IF(M24169="","",'Master Barang'!A63)</f>
        <v>0</v>
      </c>
      <c r="O24169">
        <f>IF(N24169="","",'Master Barang'!B63)</f>
        <v>0</v>
      </c>
      <c r="P24169">
        <f>IF(OR(M24169="",N24169=""),"",SUMIFS('Barang Keluar'!$E:$E,'Barang Keluar'!$A:$A,M24169,'Barang Keluar'!$C:$C,N24169))</f>
        <v>0</v>
      </c>
    </row>
    <row r="24170" spans="13:16">
      <c r="M24170" s="49">
        <f>IF($A$4+241&gt;$B$4,"",$A$4+241)</f>
        <v>46264</v>
      </c>
      <c r="N24170">
        <f>IF(M24170="","",'Master Barang'!A64)</f>
        <v>0</v>
      </c>
      <c r="O24170">
        <f>IF(N24170="","",'Master Barang'!B64)</f>
        <v>0</v>
      </c>
      <c r="P24170">
        <f>IF(OR(M24170="",N24170=""),"",SUMIFS('Barang Keluar'!$E:$E,'Barang Keluar'!$A:$A,M24170,'Barang Keluar'!$C:$C,N24170))</f>
        <v>0</v>
      </c>
    </row>
    <row r="24171" spans="13:16">
      <c r="M24171" s="49">
        <f>IF($A$4+241&gt;$B$4,"",$A$4+241)</f>
        <v>46264</v>
      </c>
      <c r="N24171">
        <f>IF(M24171="","",'Master Barang'!A65)</f>
        <v>0</v>
      </c>
      <c r="O24171">
        <f>IF(N24171="","",'Master Barang'!B65)</f>
        <v>0</v>
      </c>
      <c r="P24171">
        <f>IF(OR(M24171="",N24171=""),"",SUMIFS('Barang Keluar'!$E:$E,'Barang Keluar'!$A:$A,M24171,'Barang Keluar'!$C:$C,N24171))</f>
        <v>0</v>
      </c>
    </row>
    <row r="24172" spans="13:16">
      <c r="M24172" s="49">
        <f>IF($A$4+241&gt;$B$4,"",$A$4+241)</f>
        <v>46264</v>
      </c>
      <c r="N24172">
        <f>IF(M24172="","",'Master Barang'!A66)</f>
        <v>0</v>
      </c>
      <c r="O24172">
        <f>IF(N24172="","",'Master Barang'!B66)</f>
        <v>0</v>
      </c>
      <c r="P24172">
        <f>IF(OR(M24172="",N24172=""),"",SUMIFS('Barang Keluar'!$E:$E,'Barang Keluar'!$A:$A,M24172,'Barang Keluar'!$C:$C,N24172))</f>
        <v>0</v>
      </c>
    </row>
    <row r="24173" spans="13:16">
      <c r="M24173" s="49">
        <f>IF($A$4+241&gt;$B$4,"",$A$4+241)</f>
        <v>46264</v>
      </c>
      <c r="N24173">
        <f>IF(M24173="","",'Master Barang'!A67)</f>
        <v>0</v>
      </c>
      <c r="O24173">
        <f>IF(N24173="","",'Master Barang'!B67)</f>
        <v>0</v>
      </c>
      <c r="P24173">
        <f>IF(OR(M24173="",N24173=""),"",SUMIFS('Barang Keluar'!$E:$E,'Barang Keluar'!$A:$A,M24173,'Barang Keluar'!$C:$C,N24173))</f>
        <v>0</v>
      </c>
    </row>
    <row r="24174" spans="13:16">
      <c r="M24174" s="49">
        <f>IF($A$4+241&gt;$B$4,"",$A$4+241)</f>
        <v>46264</v>
      </c>
      <c r="N24174">
        <f>IF(M24174="","",'Master Barang'!A68)</f>
        <v>0</v>
      </c>
      <c r="O24174">
        <f>IF(N24174="","",'Master Barang'!B68)</f>
        <v>0</v>
      </c>
      <c r="P24174">
        <f>IF(OR(M24174="",N24174=""),"",SUMIFS('Barang Keluar'!$E:$E,'Barang Keluar'!$A:$A,M24174,'Barang Keluar'!$C:$C,N24174))</f>
        <v>0</v>
      </c>
    </row>
    <row r="24175" spans="13:16">
      <c r="M24175" s="49">
        <f>IF($A$4+241&gt;$B$4,"",$A$4+241)</f>
        <v>46264</v>
      </c>
      <c r="N24175">
        <f>IF(M24175="","",'Master Barang'!A69)</f>
        <v>0</v>
      </c>
      <c r="O24175">
        <f>IF(N24175="","",'Master Barang'!B69)</f>
        <v>0</v>
      </c>
      <c r="P24175">
        <f>IF(OR(M24175="",N24175=""),"",SUMIFS('Barang Keluar'!$E:$E,'Barang Keluar'!$A:$A,M24175,'Barang Keluar'!$C:$C,N24175))</f>
        <v>0</v>
      </c>
    </row>
    <row r="24176" spans="13:16">
      <c r="M24176" s="49">
        <f>IF($A$4+241&gt;$B$4,"",$A$4+241)</f>
        <v>46264</v>
      </c>
      <c r="N24176">
        <f>IF(M24176="","",'Master Barang'!A70)</f>
        <v>0</v>
      </c>
      <c r="O24176">
        <f>IF(N24176="","",'Master Barang'!B70)</f>
        <v>0</v>
      </c>
      <c r="P24176">
        <f>IF(OR(M24176="",N24176=""),"",SUMIFS('Barang Keluar'!$E:$E,'Barang Keluar'!$A:$A,M24176,'Barang Keluar'!$C:$C,N24176))</f>
        <v>0</v>
      </c>
    </row>
    <row r="24177" spans="13:16">
      <c r="M24177" s="49">
        <f>IF($A$4+241&gt;$B$4,"",$A$4+241)</f>
        <v>46264</v>
      </c>
      <c r="N24177">
        <f>IF(M24177="","",'Master Barang'!A71)</f>
        <v>0</v>
      </c>
      <c r="O24177">
        <f>IF(N24177="","",'Master Barang'!B71)</f>
        <v>0</v>
      </c>
      <c r="P24177">
        <f>IF(OR(M24177="",N24177=""),"",SUMIFS('Barang Keluar'!$E:$E,'Barang Keluar'!$A:$A,M24177,'Barang Keluar'!$C:$C,N24177))</f>
        <v>0</v>
      </c>
    </row>
    <row r="24178" spans="13:16">
      <c r="M24178" s="49">
        <f>IF($A$4+241&gt;$B$4,"",$A$4+241)</f>
        <v>46264</v>
      </c>
      <c r="N24178">
        <f>IF(M24178="","",'Master Barang'!A72)</f>
        <v>0</v>
      </c>
      <c r="O24178">
        <f>IF(N24178="","",'Master Barang'!B72)</f>
        <v>0</v>
      </c>
      <c r="P24178">
        <f>IF(OR(M24178="",N24178=""),"",SUMIFS('Barang Keluar'!$E:$E,'Barang Keluar'!$A:$A,M24178,'Barang Keluar'!$C:$C,N24178))</f>
        <v>0</v>
      </c>
    </row>
    <row r="24179" spans="13:16">
      <c r="M24179" s="49">
        <f>IF($A$4+241&gt;$B$4,"",$A$4+241)</f>
        <v>46264</v>
      </c>
      <c r="N24179">
        <f>IF(M24179="","",'Master Barang'!A73)</f>
        <v>0</v>
      </c>
      <c r="O24179">
        <f>IF(N24179="","",'Master Barang'!B73)</f>
        <v>0</v>
      </c>
      <c r="P24179">
        <f>IF(OR(M24179="",N24179=""),"",SUMIFS('Barang Keluar'!$E:$E,'Barang Keluar'!$A:$A,M24179,'Barang Keluar'!$C:$C,N24179))</f>
        <v>0</v>
      </c>
    </row>
    <row r="24180" spans="13:16">
      <c r="M24180" s="49">
        <f>IF($A$4+241&gt;$B$4,"",$A$4+241)</f>
        <v>46264</v>
      </c>
      <c r="N24180">
        <f>IF(M24180="","",'Master Barang'!A74)</f>
        <v>0</v>
      </c>
      <c r="O24180">
        <f>IF(N24180="","",'Master Barang'!B74)</f>
        <v>0</v>
      </c>
      <c r="P24180">
        <f>IF(OR(M24180="",N24180=""),"",SUMIFS('Barang Keluar'!$E:$E,'Barang Keluar'!$A:$A,M24180,'Barang Keluar'!$C:$C,N24180))</f>
        <v>0</v>
      </c>
    </row>
    <row r="24181" spans="13:16">
      <c r="M24181" s="49">
        <f>IF($A$4+241&gt;$B$4,"",$A$4+241)</f>
        <v>46264</v>
      </c>
      <c r="N24181">
        <f>IF(M24181="","",'Master Barang'!A75)</f>
        <v>0</v>
      </c>
      <c r="O24181">
        <f>IF(N24181="","",'Master Barang'!B75)</f>
        <v>0</v>
      </c>
      <c r="P24181">
        <f>IF(OR(M24181="",N24181=""),"",SUMIFS('Barang Keluar'!$E:$E,'Barang Keluar'!$A:$A,M24181,'Barang Keluar'!$C:$C,N24181))</f>
        <v>0</v>
      </c>
    </row>
    <row r="24182" spans="13:16">
      <c r="M24182" s="49">
        <f>IF($A$4+241&gt;$B$4,"",$A$4+241)</f>
        <v>46264</v>
      </c>
      <c r="N24182">
        <f>IF(M24182="","",'Master Barang'!A76)</f>
        <v>0</v>
      </c>
      <c r="O24182">
        <f>IF(N24182="","",'Master Barang'!B76)</f>
        <v>0</v>
      </c>
      <c r="P24182">
        <f>IF(OR(M24182="",N24182=""),"",SUMIFS('Barang Keluar'!$E:$E,'Barang Keluar'!$A:$A,M24182,'Barang Keluar'!$C:$C,N24182))</f>
        <v>0</v>
      </c>
    </row>
    <row r="24183" spans="13:16">
      <c r="M24183" s="49">
        <f>IF($A$4+241&gt;$B$4,"",$A$4+241)</f>
        <v>46264</v>
      </c>
      <c r="N24183">
        <f>IF(M24183="","",'Master Barang'!A77)</f>
        <v>0</v>
      </c>
      <c r="O24183">
        <f>IF(N24183="","",'Master Barang'!B77)</f>
        <v>0</v>
      </c>
      <c r="P24183">
        <f>IF(OR(M24183="",N24183=""),"",SUMIFS('Barang Keluar'!$E:$E,'Barang Keluar'!$A:$A,M24183,'Barang Keluar'!$C:$C,N24183))</f>
        <v>0</v>
      </c>
    </row>
    <row r="24184" spans="13:16">
      <c r="M24184" s="49">
        <f>IF($A$4+241&gt;$B$4,"",$A$4+241)</f>
        <v>46264</v>
      </c>
      <c r="N24184">
        <f>IF(M24184="","",'Master Barang'!A78)</f>
        <v>0</v>
      </c>
      <c r="O24184">
        <f>IF(N24184="","",'Master Barang'!B78)</f>
        <v>0</v>
      </c>
      <c r="P24184">
        <f>IF(OR(M24184="",N24184=""),"",SUMIFS('Barang Keluar'!$E:$E,'Barang Keluar'!$A:$A,M24184,'Barang Keluar'!$C:$C,N24184))</f>
        <v>0</v>
      </c>
    </row>
    <row r="24185" spans="13:16">
      <c r="M24185" s="49">
        <f>IF($A$4+241&gt;$B$4,"",$A$4+241)</f>
        <v>46264</v>
      </c>
      <c r="N24185">
        <f>IF(M24185="","",'Master Barang'!A79)</f>
        <v>0</v>
      </c>
      <c r="O24185">
        <f>IF(N24185="","",'Master Barang'!B79)</f>
        <v>0</v>
      </c>
      <c r="P24185">
        <f>IF(OR(M24185="",N24185=""),"",SUMIFS('Barang Keluar'!$E:$E,'Barang Keluar'!$A:$A,M24185,'Barang Keluar'!$C:$C,N24185))</f>
        <v>0</v>
      </c>
    </row>
    <row r="24186" spans="13:16">
      <c r="M24186" s="49">
        <f>IF($A$4+241&gt;$B$4,"",$A$4+241)</f>
        <v>46264</v>
      </c>
      <c r="N24186">
        <f>IF(M24186="","",'Master Barang'!A80)</f>
        <v>0</v>
      </c>
      <c r="O24186">
        <f>IF(N24186="","",'Master Barang'!B80)</f>
        <v>0</v>
      </c>
      <c r="P24186">
        <f>IF(OR(M24186="",N24186=""),"",SUMIFS('Barang Keluar'!$E:$E,'Barang Keluar'!$A:$A,M24186,'Barang Keluar'!$C:$C,N24186))</f>
        <v>0</v>
      </c>
    </row>
    <row r="24187" spans="13:16">
      <c r="M24187" s="49">
        <f>IF($A$4+241&gt;$B$4,"",$A$4+241)</f>
        <v>46264</v>
      </c>
      <c r="N24187">
        <f>IF(M24187="","",'Master Barang'!A81)</f>
        <v>0</v>
      </c>
      <c r="O24187">
        <f>IF(N24187="","",'Master Barang'!B81)</f>
        <v>0</v>
      </c>
      <c r="P24187">
        <f>IF(OR(M24187="",N24187=""),"",SUMIFS('Barang Keluar'!$E:$E,'Barang Keluar'!$A:$A,M24187,'Barang Keluar'!$C:$C,N24187))</f>
        <v>0</v>
      </c>
    </row>
    <row r="24188" spans="13:16">
      <c r="M24188" s="49">
        <f>IF($A$4+241&gt;$B$4,"",$A$4+241)</f>
        <v>46264</v>
      </c>
      <c r="N24188">
        <f>IF(M24188="","",'Master Barang'!A82)</f>
        <v>0</v>
      </c>
      <c r="O24188">
        <f>IF(N24188="","",'Master Barang'!B82)</f>
        <v>0</v>
      </c>
      <c r="P24188">
        <f>IF(OR(M24188="",N24188=""),"",SUMIFS('Barang Keluar'!$E:$E,'Barang Keluar'!$A:$A,M24188,'Barang Keluar'!$C:$C,N24188))</f>
        <v>0</v>
      </c>
    </row>
    <row r="24189" spans="13:16">
      <c r="M24189" s="49">
        <f>IF($A$4+241&gt;$B$4,"",$A$4+241)</f>
        <v>46264</v>
      </c>
      <c r="N24189">
        <f>IF(M24189="","",'Master Barang'!A83)</f>
        <v>0</v>
      </c>
      <c r="O24189">
        <f>IF(N24189="","",'Master Barang'!B83)</f>
        <v>0</v>
      </c>
      <c r="P24189">
        <f>IF(OR(M24189="",N24189=""),"",SUMIFS('Barang Keluar'!$E:$E,'Barang Keluar'!$A:$A,M24189,'Barang Keluar'!$C:$C,N24189))</f>
        <v>0</v>
      </c>
    </row>
    <row r="24190" spans="13:16">
      <c r="M24190" s="49">
        <f>IF($A$4+241&gt;$B$4,"",$A$4+241)</f>
        <v>46264</v>
      </c>
      <c r="N24190">
        <f>IF(M24190="","",'Master Barang'!A84)</f>
        <v>0</v>
      </c>
      <c r="O24190">
        <f>IF(N24190="","",'Master Barang'!B84)</f>
        <v>0</v>
      </c>
      <c r="P24190">
        <f>IF(OR(M24190="",N24190=""),"",SUMIFS('Barang Keluar'!$E:$E,'Barang Keluar'!$A:$A,M24190,'Barang Keluar'!$C:$C,N24190))</f>
        <v>0</v>
      </c>
    </row>
    <row r="24191" spans="13:16">
      <c r="M24191" s="49">
        <f>IF($A$4+241&gt;$B$4,"",$A$4+241)</f>
        <v>46264</v>
      </c>
      <c r="N24191">
        <f>IF(M24191="","",'Master Barang'!A85)</f>
        <v>0</v>
      </c>
      <c r="O24191">
        <f>IF(N24191="","",'Master Barang'!B85)</f>
        <v>0</v>
      </c>
      <c r="P24191">
        <f>IF(OR(M24191="",N24191=""),"",SUMIFS('Barang Keluar'!$E:$E,'Barang Keluar'!$A:$A,M24191,'Barang Keluar'!$C:$C,N24191))</f>
        <v>0</v>
      </c>
    </row>
    <row r="24192" spans="13:16">
      <c r="M24192" s="49">
        <f>IF($A$4+241&gt;$B$4,"",$A$4+241)</f>
        <v>46264</v>
      </c>
      <c r="N24192">
        <f>IF(M24192="","",'Master Barang'!A86)</f>
        <v>0</v>
      </c>
      <c r="O24192">
        <f>IF(N24192="","",'Master Barang'!B86)</f>
        <v>0</v>
      </c>
      <c r="P24192">
        <f>IF(OR(M24192="",N24192=""),"",SUMIFS('Barang Keluar'!$E:$E,'Barang Keluar'!$A:$A,M24192,'Barang Keluar'!$C:$C,N24192))</f>
        <v>0</v>
      </c>
    </row>
    <row r="24193" spans="13:16">
      <c r="M24193" s="49">
        <f>IF($A$4+241&gt;$B$4,"",$A$4+241)</f>
        <v>46264</v>
      </c>
      <c r="N24193">
        <f>IF(M24193="","",'Master Barang'!A87)</f>
        <v>0</v>
      </c>
      <c r="O24193">
        <f>IF(N24193="","",'Master Barang'!B87)</f>
        <v>0</v>
      </c>
      <c r="P24193">
        <f>IF(OR(M24193="",N24193=""),"",SUMIFS('Barang Keluar'!$E:$E,'Barang Keluar'!$A:$A,M24193,'Barang Keluar'!$C:$C,N24193))</f>
        <v>0</v>
      </c>
    </row>
    <row r="24194" spans="13:16">
      <c r="M24194" s="49">
        <f>IF($A$4+241&gt;$B$4,"",$A$4+241)</f>
        <v>46264</v>
      </c>
      <c r="N24194">
        <f>IF(M24194="","",'Master Barang'!A88)</f>
        <v>0</v>
      </c>
      <c r="O24194">
        <f>IF(N24194="","",'Master Barang'!B88)</f>
        <v>0</v>
      </c>
      <c r="P24194">
        <f>IF(OR(M24194="",N24194=""),"",SUMIFS('Barang Keluar'!$E:$E,'Barang Keluar'!$A:$A,M24194,'Barang Keluar'!$C:$C,N24194))</f>
        <v>0</v>
      </c>
    </row>
    <row r="24195" spans="13:16">
      <c r="M24195" s="49">
        <f>IF($A$4+241&gt;$B$4,"",$A$4+241)</f>
        <v>46264</v>
      </c>
      <c r="N24195">
        <f>IF(M24195="","",'Master Barang'!A89)</f>
        <v>0</v>
      </c>
      <c r="O24195">
        <f>IF(N24195="","",'Master Barang'!B89)</f>
        <v>0</v>
      </c>
      <c r="P24195">
        <f>IF(OR(M24195="",N24195=""),"",SUMIFS('Barang Keluar'!$E:$E,'Barang Keluar'!$A:$A,M24195,'Barang Keluar'!$C:$C,N24195))</f>
        <v>0</v>
      </c>
    </row>
    <row r="24196" spans="13:16">
      <c r="M24196" s="49">
        <f>IF($A$4+241&gt;$B$4,"",$A$4+241)</f>
        <v>46264</v>
      </c>
      <c r="N24196">
        <f>IF(M24196="","",'Master Barang'!A90)</f>
        <v>0</v>
      </c>
      <c r="O24196">
        <f>IF(N24196="","",'Master Barang'!B90)</f>
        <v>0</v>
      </c>
      <c r="P24196">
        <f>IF(OR(M24196="",N24196=""),"",SUMIFS('Barang Keluar'!$E:$E,'Barang Keluar'!$A:$A,M24196,'Barang Keluar'!$C:$C,N24196))</f>
        <v>0</v>
      </c>
    </row>
    <row r="24197" spans="13:16">
      <c r="M24197" s="49">
        <f>IF($A$4+241&gt;$B$4,"",$A$4+241)</f>
        <v>46264</v>
      </c>
      <c r="N24197">
        <f>IF(M24197="","",'Master Barang'!A91)</f>
        <v>0</v>
      </c>
      <c r="O24197">
        <f>IF(N24197="","",'Master Barang'!B91)</f>
        <v>0</v>
      </c>
      <c r="P24197">
        <f>IF(OR(M24197="",N24197=""),"",SUMIFS('Barang Keluar'!$E:$E,'Barang Keluar'!$A:$A,M24197,'Barang Keluar'!$C:$C,N24197))</f>
        <v>0</v>
      </c>
    </row>
    <row r="24198" spans="13:16">
      <c r="M24198" s="49">
        <f>IF($A$4+241&gt;$B$4,"",$A$4+241)</f>
        <v>46264</v>
      </c>
      <c r="N24198">
        <f>IF(M24198="","",'Master Barang'!A92)</f>
        <v>0</v>
      </c>
      <c r="O24198">
        <f>IF(N24198="","",'Master Barang'!B92)</f>
        <v>0</v>
      </c>
      <c r="P24198">
        <f>IF(OR(M24198="",N24198=""),"",SUMIFS('Barang Keluar'!$E:$E,'Barang Keluar'!$A:$A,M24198,'Barang Keluar'!$C:$C,N24198))</f>
        <v>0</v>
      </c>
    </row>
    <row r="24199" spans="13:16">
      <c r="M24199" s="49">
        <f>IF($A$4+241&gt;$B$4,"",$A$4+241)</f>
        <v>46264</v>
      </c>
      <c r="N24199">
        <f>IF(M24199="","",'Master Barang'!A93)</f>
        <v>0</v>
      </c>
      <c r="O24199">
        <f>IF(N24199="","",'Master Barang'!B93)</f>
        <v>0</v>
      </c>
      <c r="P24199">
        <f>IF(OR(M24199="",N24199=""),"",SUMIFS('Barang Keluar'!$E:$E,'Barang Keluar'!$A:$A,M24199,'Barang Keluar'!$C:$C,N24199))</f>
        <v>0</v>
      </c>
    </row>
    <row r="24200" spans="13:16">
      <c r="M24200" s="49">
        <f>IF($A$4+241&gt;$B$4,"",$A$4+241)</f>
        <v>46264</v>
      </c>
      <c r="N24200">
        <f>IF(M24200="","",'Master Barang'!A94)</f>
        <v>0</v>
      </c>
      <c r="O24200">
        <f>IF(N24200="","",'Master Barang'!B94)</f>
        <v>0</v>
      </c>
      <c r="P24200">
        <f>IF(OR(M24200="",N24200=""),"",SUMIFS('Barang Keluar'!$E:$E,'Barang Keluar'!$A:$A,M24200,'Barang Keluar'!$C:$C,N24200))</f>
        <v>0</v>
      </c>
    </row>
    <row r="24201" spans="13:16">
      <c r="M24201" s="49">
        <f>IF($A$4+241&gt;$B$4,"",$A$4+241)</f>
        <v>46264</v>
      </c>
      <c r="N24201">
        <f>IF(M24201="","",'Master Barang'!A95)</f>
        <v>0</v>
      </c>
      <c r="O24201">
        <f>IF(N24201="","",'Master Barang'!B95)</f>
        <v>0</v>
      </c>
      <c r="P24201">
        <f>IF(OR(M24201="",N24201=""),"",SUMIFS('Barang Keluar'!$E:$E,'Barang Keluar'!$A:$A,M24201,'Barang Keluar'!$C:$C,N24201))</f>
        <v>0</v>
      </c>
    </row>
    <row r="24202" spans="13:16">
      <c r="M24202" s="49">
        <f>IF($A$4+241&gt;$B$4,"",$A$4+241)</f>
        <v>46264</v>
      </c>
      <c r="N24202">
        <f>IF(M24202="","",'Master Barang'!A96)</f>
        <v>0</v>
      </c>
      <c r="O24202">
        <f>IF(N24202="","",'Master Barang'!B96)</f>
        <v>0</v>
      </c>
      <c r="P24202">
        <f>IF(OR(M24202="",N24202=""),"",SUMIFS('Barang Keluar'!$E:$E,'Barang Keluar'!$A:$A,M24202,'Barang Keluar'!$C:$C,N24202))</f>
        <v>0</v>
      </c>
    </row>
    <row r="24203" spans="13:16">
      <c r="M24203" s="49">
        <f>IF($A$4+241&gt;$B$4,"",$A$4+241)</f>
        <v>46264</v>
      </c>
      <c r="N24203">
        <f>IF(M24203="","",'Master Barang'!A97)</f>
        <v>0</v>
      </c>
      <c r="O24203">
        <f>IF(N24203="","",'Master Barang'!B97)</f>
        <v>0</v>
      </c>
      <c r="P24203">
        <f>IF(OR(M24203="",N24203=""),"",SUMIFS('Barang Keluar'!$E:$E,'Barang Keluar'!$A:$A,M24203,'Barang Keluar'!$C:$C,N24203))</f>
        <v>0</v>
      </c>
    </row>
    <row r="24204" spans="13:16">
      <c r="M24204" s="49">
        <f>IF($A$4+241&gt;$B$4,"",$A$4+241)</f>
        <v>46264</v>
      </c>
      <c r="N24204">
        <f>IF(M24204="","",'Master Barang'!A98)</f>
        <v>0</v>
      </c>
      <c r="O24204">
        <f>IF(N24204="","",'Master Barang'!B98)</f>
        <v>0</v>
      </c>
      <c r="P24204">
        <f>IF(OR(M24204="",N24204=""),"",SUMIFS('Barang Keluar'!$E:$E,'Barang Keluar'!$A:$A,M24204,'Barang Keluar'!$C:$C,N24204))</f>
        <v>0</v>
      </c>
    </row>
    <row r="24205" spans="13:16">
      <c r="M24205" s="49">
        <f>IF($A$4+241&gt;$B$4,"",$A$4+241)</f>
        <v>46264</v>
      </c>
      <c r="N24205">
        <f>IF(M24205="","",'Master Barang'!A99)</f>
        <v>0</v>
      </c>
      <c r="O24205">
        <f>IF(N24205="","",'Master Barang'!B99)</f>
        <v>0</v>
      </c>
      <c r="P24205">
        <f>IF(OR(M24205="",N24205=""),"",SUMIFS('Barang Keluar'!$E:$E,'Barang Keluar'!$A:$A,M24205,'Barang Keluar'!$C:$C,N24205))</f>
        <v>0</v>
      </c>
    </row>
    <row r="24206" spans="13:16">
      <c r="M24206" s="49">
        <f>IF($A$4+241&gt;$B$4,"",$A$4+241)</f>
        <v>46264</v>
      </c>
      <c r="N24206">
        <f>IF(M24206="","",'Master Barang'!A100)</f>
        <v>0</v>
      </c>
      <c r="O24206">
        <f>IF(N24206="","",'Master Barang'!B100)</f>
        <v>0</v>
      </c>
      <c r="P24206">
        <f>IF(OR(M24206="",N24206=""),"",SUMIFS('Barang Keluar'!$E:$E,'Barang Keluar'!$A:$A,M24206,'Barang Keluar'!$C:$C,N24206))</f>
        <v>0</v>
      </c>
    </row>
    <row r="24207" spans="13:16">
      <c r="M24207" s="49">
        <f>IF($A$4+241&gt;$B$4,"",$A$4+241)</f>
        <v>46264</v>
      </c>
      <c r="N24207">
        <f>IF(M24207="","",'Master Barang'!A101)</f>
        <v>0</v>
      </c>
      <c r="O24207">
        <f>IF(N24207="","",'Master Barang'!B101)</f>
        <v>0</v>
      </c>
      <c r="P24207">
        <f>IF(OR(M24207="",N24207=""),"",SUMIFS('Barang Keluar'!$E:$E,'Barang Keluar'!$A:$A,M24207,'Barang Keluar'!$C:$C,N24207))</f>
        <v>0</v>
      </c>
    </row>
    <row r="24208" spans="13:16">
      <c r="M24208" s="49">
        <f>IF($A$4+242&gt;$B$4,"",$A$4+242)</f>
        <v>46265</v>
      </c>
      <c r="N24208" t="str">
        <f>IF(M24208="","",'Master Barang'!A2)</f>
        <v>PRL-001</v>
      </c>
      <c r="O24208" t="str">
        <f>IF(N24208="","",'Master Barang'!B2)</f>
        <v>natura desinfectant food grade 5l</v>
      </c>
      <c r="P24208">
        <f>IF(OR(M24208="",N24208=""),"",SUMIFS('Barang Keluar'!$E:$E,'Barang Keluar'!$A:$A,M24208,'Barang Keluar'!$C:$C,N24208))</f>
        <v>0</v>
      </c>
    </row>
    <row r="24209" spans="13:16">
      <c r="M24209" s="49">
        <f>IF($A$4+242&gt;$B$4,"",$A$4+242)</f>
        <v>46265</v>
      </c>
      <c r="N24209" t="str">
        <f>IF(M24209="","",'Master Barang'!A3)</f>
        <v>PRL-002</v>
      </c>
      <c r="O24209" t="str">
        <f>IF(N24209="","",'Master Barang'!B3)</f>
        <v>sunlight cairan pencuci piring 5l</v>
      </c>
      <c r="P24209">
        <f>IF(OR(M24209="",N24209=""),"",SUMIFS('Barang Keluar'!$E:$E,'Barang Keluar'!$A:$A,M24209,'Barang Keluar'!$C:$C,N24209))</f>
        <v>0</v>
      </c>
    </row>
    <row r="24210" spans="13:16">
      <c r="M24210" s="49">
        <f>IF($A$4+242&gt;$B$4,"",$A$4+242)</f>
        <v>46265</v>
      </c>
      <c r="N24210" t="str">
        <f>IF(M24210="","",'Master Barang'!A4)</f>
        <v>PRL-003</v>
      </c>
      <c r="O24210" t="str">
        <f>IF(N24210="","",'Master Barang'!B4)</f>
        <v>oixs cleaner 1l</v>
      </c>
      <c r="P24210">
        <f>IF(OR(M24210="",N24210=""),"",SUMIFS('Barang Keluar'!$E:$E,'Barang Keluar'!$A:$A,M24210,'Barang Keluar'!$C:$C,N24210))</f>
        <v>0</v>
      </c>
    </row>
    <row r="24211" spans="13:16">
      <c r="M24211" s="49">
        <f>IF($A$4+242&gt;$B$4,"",$A$4+242)</f>
        <v>46265</v>
      </c>
      <c r="N24211" t="str">
        <f>IF(M24211="","",'Master Barang'!A5)</f>
        <v>PRL-004</v>
      </c>
      <c r="O24211" t="str">
        <f>IF(N24211="","",'Master Barang'!B5)</f>
        <v>be clean tissue serbaguna</v>
      </c>
      <c r="P24211">
        <f>IF(OR(M24211="",N24211=""),"",SUMIFS('Barang Keluar'!$E:$E,'Barang Keluar'!$A:$A,M24211,'Barang Keluar'!$C:$C,N24211))</f>
        <v>0</v>
      </c>
    </row>
    <row r="24212" spans="13:16">
      <c r="M24212" s="49">
        <f>IF($A$4+242&gt;$B$4,"",$A$4+242)</f>
        <v>46265</v>
      </c>
      <c r="N24212" t="str">
        <f>IF(M24212="","",'Master Barang'!A6)</f>
        <v>PRL-005</v>
      </c>
      <c r="O24212" t="str">
        <f>IF(N24212="","",'Master Barang'!B6)</f>
        <v>spons cuci hijau</v>
      </c>
      <c r="P24212">
        <f>IF(OR(M24212="",N24212=""),"",SUMIFS('Barang Keluar'!$E:$E,'Barang Keluar'!$A:$A,M24212,'Barang Keluar'!$C:$C,N24212))</f>
        <v>0</v>
      </c>
    </row>
    <row r="24213" spans="13:16">
      <c r="M24213" s="49">
        <f>IF($A$4+242&gt;$B$4,"",$A$4+242)</f>
        <v>46265</v>
      </c>
      <c r="N24213" t="str">
        <f>IF(M24213="","",'Master Barang'!A7)</f>
        <v>PRL-006</v>
      </c>
      <c r="O24213" t="str">
        <f>IF(N24213="","",'Master Barang'!B7)</f>
        <v>sabut cuci stainless</v>
      </c>
      <c r="P24213">
        <f>IF(OR(M24213="",N24213=""),"",SUMIFS('Barang Keluar'!$E:$E,'Barang Keluar'!$A:$A,M24213,'Barang Keluar'!$C:$C,N24213))</f>
        <v>0</v>
      </c>
    </row>
    <row r="24214" spans="13:16">
      <c r="M24214" s="49">
        <f>IF($A$4+242&gt;$B$4,"",$A$4+242)</f>
        <v>46265</v>
      </c>
      <c r="N24214" t="str">
        <f>IF(M24214="","",'Master Barang'!A8)</f>
        <v>PRL-007</v>
      </c>
      <c r="O24214" t="str">
        <f>IF(N24214="","",'Master Barang'!B8)</f>
        <v>plastik kresek besar merah 50pc</v>
      </c>
      <c r="P24214">
        <f>IF(OR(M24214="",N24214=""),"",SUMIFS('Barang Keluar'!$E:$E,'Barang Keluar'!$A:$A,M24214,'Barang Keluar'!$C:$C,N24214))</f>
        <v>0</v>
      </c>
    </row>
    <row r="24215" spans="13:16">
      <c r="M24215" s="49">
        <f>IF($A$4+242&gt;$B$4,"",$A$4+242)</f>
        <v>46265</v>
      </c>
      <c r="N24215" t="str">
        <f>IF(M24215="","",'Master Barang'!A9)</f>
        <v>PRL-008</v>
      </c>
      <c r="O24215" t="str">
        <f>IF(N24215="","",'Master Barang'!B9)</f>
        <v>lap besar</v>
      </c>
      <c r="P24215">
        <f>IF(OR(M24215="",N24215=""),"",SUMIFS('Barang Keluar'!$E:$E,'Barang Keluar'!$A:$A,M24215,'Barang Keluar'!$C:$C,N24215))</f>
        <v>0</v>
      </c>
    </row>
    <row r="24216" spans="13:16">
      <c r="M24216" s="49">
        <f>IF($A$4+242&gt;$B$4,"",$A$4+242)</f>
        <v>46265</v>
      </c>
      <c r="N24216" t="str">
        <f>IF(M24216="","",'Master Barang'!A10)</f>
        <v>PRL-009</v>
      </c>
      <c r="O24216" t="str">
        <f>IF(N24216="","",'Master Barang'!B10)</f>
        <v>lap microfiber</v>
      </c>
      <c r="P24216">
        <f>IF(OR(M24216="",N24216=""),"",SUMIFS('Barang Keluar'!$E:$E,'Barang Keluar'!$A:$A,M24216,'Barang Keluar'!$C:$C,N24216))</f>
        <v>0</v>
      </c>
    </row>
    <row r="24217" spans="13:16">
      <c r="M24217" s="49">
        <f>IF($A$4+242&gt;$B$4,"",$A$4+242)</f>
        <v>46265</v>
      </c>
      <c r="N24217" t="str">
        <f>IF(M24217="","",'Master Barang'!A11)</f>
        <v>PRL-010</v>
      </c>
      <c r="O24217" t="str">
        <f>IF(N24217="","",'Master Barang'!B11)</f>
        <v>lap kecil</v>
      </c>
      <c r="P24217">
        <f>IF(OR(M24217="",N24217=""),"",SUMIFS('Barang Keluar'!$E:$E,'Barang Keluar'!$A:$A,M24217,'Barang Keluar'!$C:$C,N24217))</f>
        <v>0</v>
      </c>
    </row>
    <row r="24218" spans="13:16">
      <c r="M24218" s="49">
        <f>IF($A$4+242&gt;$B$4,"",$A$4+242)</f>
        <v>46265</v>
      </c>
      <c r="N24218" t="str">
        <f>IF(M24218="","",'Master Barang'!A12)</f>
        <v>PRL-011</v>
      </c>
      <c r="O24218" t="str">
        <f>IF(N24218="","",'Master Barang'!B12)</f>
        <v>kanebo kecil</v>
      </c>
      <c r="P24218">
        <f>IF(OR(M24218="",N24218=""),"",SUMIFS('Barang Keluar'!$E:$E,'Barang Keluar'!$A:$A,M24218,'Barang Keluar'!$C:$C,N24218))</f>
        <v>0</v>
      </c>
    </row>
    <row r="24219" spans="13:16">
      <c r="M24219" s="49">
        <f>IF($A$4+242&gt;$B$4,"",$A$4+242)</f>
        <v>46265</v>
      </c>
      <c r="N24219" t="str">
        <f>IF(M24219="","",'Master Barang'!A13)</f>
        <v>PRL-012</v>
      </c>
      <c r="O24219" t="str">
        <f>IF(N24219="","",'Master Barang'!B13)</f>
        <v>plastik 1/4kg joyoboyo 100 lembar</v>
      </c>
      <c r="P24219">
        <f>IF(OR(M24219="",N24219=""),"",SUMIFS('Barang Keluar'!$E:$E,'Barang Keluar'!$A:$A,M24219,'Barang Keluar'!$C:$C,N24219))</f>
        <v>0</v>
      </c>
    </row>
    <row r="24220" spans="13:16">
      <c r="M24220" s="49">
        <f>IF($A$4+242&gt;$B$4,"",$A$4+242)</f>
        <v>46265</v>
      </c>
      <c r="N24220" t="str">
        <f>IF(M24220="","",'Master Barang'!A14)</f>
        <v>PRL-013</v>
      </c>
      <c r="O24220" t="str">
        <f>IF(N24220="","",'Master Barang'!B14)</f>
        <v>sarung tangan plastik kaka 100 pcs</v>
      </c>
      <c r="P24220">
        <f>IF(OR(M24220="",N24220=""),"",SUMIFS('Barang Keluar'!$E:$E,'Barang Keluar'!$A:$A,M24220,'Barang Keluar'!$C:$C,N24220))</f>
        <v>0</v>
      </c>
    </row>
    <row r="24221" spans="13:16">
      <c r="M24221" s="49">
        <f>IF($A$4+242&gt;$B$4,"",$A$4+242)</f>
        <v>46265</v>
      </c>
      <c r="N24221" t="str">
        <f>IF(M24221="","",'Master Barang'!A15)</f>
        <v>PRL-014</v>
      </c>
      <c r="O24221" t="str">
        <f>IF(N24221="","",'Master Barang'!B15)</f>
        <v>optima trashbag 80x100</v>
      </c>
      <c r="P24221">
        <f>IF(OR(M24221="",N24221=""),"",SUMIFS('Barang Keluar'!$E:$E,'Barang Keluar'!$A:$A,M24221,'Barang Keluar'!$C:$C,N24221))</f>
        <v>0</v>
      </c>
    </row>
    <row r="24222" spans="13:16">
      <c r="M24222" s="49">
        <f>IF($A$4+242&gt;$B$4,"",$A$4+242)</f>
        <v>46265</v>
      </c>
      <c r="N24222" t="str">
        <f>IF(M24222="","",'Master Barang'!A16)</f>
        <v>PRL-015</v>
      </c>
      <c r="O24222" t="str">
        <f>IF(N24222="","",'Master Barang'!B16)</f>
        <v>optima trashbag 60x100</v>
      </c>
      <c r="P24222">
        <f>IF(OR(M24222="",N24222=""),"",SUMIFS('Barang Keluar'!$E:$E,'Barang Keluar'!$A:$A,M24222,'Barang Keluar'!$C:$C,N24222))</f>
        <v>0</v>
      </c>
    </row>
    <row r="24223" spans="13:16">
      <c r="M24223" s="49">
        <f>IF($A$4+242&gt;$B$4,"",$A$4+242)</f>
        <v>46265</v>
      </c>
      <c r="N24223" t="str">
        <f>IF(M24223="","",'Master Barang'!A17)</f>
        <v>PRL-016</v>
      </c>
      <c r="O24223" t="str">
        <f>IF(N24223="","",'Master Barang'!B17)</f>
        <v>rajawali trashbag 30x40</v>
      </c>
      <c r="P24223">
        <f>IF(OR(M24223="",N24223=""),"",SUMIFS('Barang Keluar'!$E:$E,'Barang Keluar'!$A:$A,M24223,'Barang Keluar'!$C:$C,N24223))</f>
        <v>0</v>
      </c>
    </row>
    <row r="24224" spans="13:16">
      <c r="M24224" s="49">
        <f>IF($A$4+242&gt;$B$4,"",$A$4+242)</f>
        <v>46265</v>
      </c>
      <c r="N24224" t="str">
        <f>IF(M24224="","",'Master Barang'!A18)</f>
        <v>PRL-017</v>
      </c>
      <c r="O24224" t="str">
        <f>IF(N24224="","",'Master Barang'!B18)</f>
        <v>onemed masker biru 3 play 50 pcs</v>
      </c>
      <c r="P24224">
        <f>IF(OR(M24224="",N24224=""),"",SUMIFS('Barang Keluar'!$E:$E,'Barang Keluar'!$A:$A,M24224,'Barang Keluar'!$C:$C,N24224))</f>
        <v>0</v>
      </c>
    </row>
    <row r="24225" spans="13:16">
      <c r="M24225" s="49">
        <f>IF($A$4+242&gt;$B$4,"",$A$4+242)</f>
        <v>46265</v>
      </c>
      <c r="N24225" t="str">
        <f>IF(M24225="","",'Master Barang'!A19)</f>
        <v>PRL-018</v>
      </c>
      <c r="O24225" t="str">
        <f>IF(N24225="","",'Master Barang'!B19)</f>
        <v>onemed masker biru 3 play hijab 50 pcs</v>
      </c>
      <c r="P24225">
        <f>IF(OR(M24225="",N24225=""),"",SUMIFS('Barang Keluar'!$E:$E,'Barang Keluar'!$A:$A,M24225,'Barang Keluar'!$C:$C,N24225))</f>
        <v>0</v>
      </c>
    </row>
    <row r="24226" spans="13:16">
      <c r="M24226" s="49">
        <f>IF($A$4+242&gt;$B$4,"",$A$4+242)</f>
        <v>46265</v>
      </c>
      <c r="N24226" t="str">
        <f>IF(M24226="","",'Master Barang'!A20)</f>
        <v>PRL-019</v>
      </c>
      <c r="O24226" t="str">
        <f>IF(N24226="","",'Master Barang'!B20)</f>
        <v>neo health masker biru 3 play 50 pcs</v>
      </c>
      <c r="P24226">
        <f>IF(OR(M24226="",N24226=""),"",SUMIFS('Barang Keluar'!$E:$E,'Barang Keluar'!$A:$A,M24226,'Barang Keluar'!$C:$C,N24226))</f>
        <v>0</v>
      </c>
    </row>
    <row r="24227" spans="13:16">
      <c r="M24227" s="49">
        <f>IF($A$4+242&gt;$B$4,"",$A$4+242)</f>
        <v>46265</v>
      </c>
      <c r="N24227" t="str">
        <f>IF(M24227="","",'Master Barang'!A21)</f>
        <v>PRL-020</v>
      </c>
      <c r="O24227" t="str">
        <f>IF(N24227="","",'Master Barang'!B21)</f>
        <v>baymed masker hijau 3 play hijau 50 pcs</v>
      </c>
      <c r="P24227">
        <f>IF(OR(M24227="",N24227=""),"",SUMIFS('Barang Keluar'!$E:$E,'Barang Keluar'!$A:$A,M24227,'Barang Keluar'!$C:$C,N24227))</f>
        <v>0</v>
      </c>
    </row>
    <row r="24228" spans="13:16">
      <c r="M24228" s="49">
        <f>IF($A$4+242&gt;$B$4,"",$A$4+242)</f>
        <v>46265</v>
      </c>
      <c r="N24228" t="str">
        <f>IF(M24228="","",'Master Barang'!A22)</f>
        <v>PRL-021</v>
      </c>
      <c r="O24228" t="str">
        <f>IF(N24228="","",'Master Barang'!B22)</f>
        <v>altamed nurse cap penutup kepala 100 pcs</v>
      </c>
      <c r="P24228">
        <f>IF(OR(M24228="",N24228=""),"",SUMIFS('Barang Keluar'!$E:$E,'Barang Keluar'!$A:$A,M24228,'Barang Keluar'!$C:$C,N24228))</f>
        <v>0</v>
      </c>
    </row>
    <row r="24229" spans="13:16">
      <c r="M24229" s="49">
        <f>IF($A$4+242&gt;$B$4,"",$A$4+242)</f>
        <v>46265</v>
      </c>
      <c r="N24229" t="str">
        <f>IF(M24229="","",'Master Barang'!A23)</f>
        <v>PRL-022</v>
      </c>
      <c r="O24229" t="str">
        <f>IF(N24229="","",'Master Barang'!B23)</f>
        <v>sabun cuci tangan</v>
      </c>
      <c r="P24229">
        <f>IF(OR(M24229="",N24229=""),"",SUMIFS('Barang Keluar'!$E:$E,'Barang Keluar'!$A:$A,M24229,'Barang Keluar'!$C:$C,N24229))</f>
        <v>0</v>
      </c>
    </row>
    <row r="24230" spans="13:16">
      <c r="M24230" s="49">
        <f>IF($A$4+242&gt;$B$4,"",$A$4+242)</f>
        <v>46265</v>
      </c>
      <c r="N24230" t="str">
        <f>IF(M24230="","",'Master Barang'!A24)</f>
        <v>PRL-023</v>
      </c>
      <c r="O24230" t="str">
        <f>IF(N24230="","",'Master Barang'!B24)</f>
        <v>gayung kecil</v>
      </c>
      <c r="P24230">
        <f>IF(OR(M24230="",N24230=""),"",SUMIFS('Barang Keluar'!$E:$E,'Barang Keluar'!$A:$A,M24230,'Barang Keluar'!$C:$C,N24230))</f>
        <v>0</v>
      </c>
    </row>
    <row r="24231" spans="13:16">
      <c r="M24231" s="49">
        <f>IF($A$4+242&gt;$B$4,"",$A$4+242)</f>
        <v>46265</v>
      </c>
      <c r="N24231" t="str">
        <f>IF(M24231="","",'Master Barang'!A25)</f>
        <v>PRL-024</v>
      </c>
      <c r="O24231" t="str">
        <f>IF(N24231="","",'Master Barang'!B25)</f>
        <v>cikrak kecil</v>
      </c>
      <c r="P24231">
        <f>IF(OR(M24231="",N24231=""),"",SUMIFS('Barang Keluar'!$E:$E,'Barang Keluar'!$A:$A,M24231,'Barang Keluar'!$C:$C,N24231))</f>
        <v>0</v>
      </c>
    </row>
    <row r="24232" spans="13:16">
      <c r="M24232" s="49">
        <f>IF($A$4+242&gt;$B$4,"",$A$4+242)</f>
        <v>46265</v>
      </c>
      <c r="N24232" t="str">
        <f>IF(M24232="","",'Master Barang'!A26)</f>
        <v>PRL-025</v>
      </c>
      <c r="O24232" t="str">
        <f>IF(N24232="","",'Master Barang'!B26)</f>
        <v>petromax plastik kecil 12x24 100 lembar</v>
      </c>
      <c r="P24232">
        <f>IF(OR(M24232="",N24232=""),"",SUMIFS('Barang Keluar'!$E:$E,'Barang Keluar'!$A:$A,M24232,'Barang Keluar'!$C:$C,N24232))</f>
        <v>0</v>
      </c>
    </row>
    <row r="24233" spans="13:16">
      <c r="M24233" s="49">
        <f>IF($A$4+242&gt;$B$4,"",$A$4+242)</f>
        <v>46265</v>
      </c>
      <c r="N24233" t="str">
        <f>IF(M24233="","",'Master Barang'!A27)</f>
        <v>PRL-026</v>
      </c>
      <c r="O24233" t="str">
        <f>IF(N24233="","",'Master Barang'!B27)</f>
        <v>lancar kresek kecil bening </v>
      </c>
      <c r="P24233">
        <f>IF(OR(M24233="",N24233=""),"",SUMIFS('Barang Keluar'!$E:$E,'Barang Keluar'!$A:$A,M24233,'Barang Keluar'!$C:$C,N24233))</f>
        <v>0</v>
      </c>
    </row>
    <row r="24234" spans="13:16">
      <c r="M24234" s="49">
        <f>IF($A$4+242&gt;$B$4,"",$A$4+242)</f>
        <v>46265</v>
      </c>
      <c r="N24234" t="str">
        <f>IF(M24234="","",'Master Barang'!A28)</f>
        <v>PRL-027</v>
      </c>
      <c r="O24234" t="str">
        <f>IF(N24234="","",'Master Barang'!B28)</f>
        <v>kresek klin warna warni kecil</v>
      </c>
      <c r="P24234">
        <f>IF(OR(M24234="",N24234=""),"",SUMIFS('Barang Keluar'!$E:$E,'Barang Keluar'!$A:$A,M24234,'Barang Keluar'!$C:$C,N24234))</f>
        <v>0</v>
      </c>
    </row>
    <row r="24235" spans="13:16">
      <c r="M24235" s="49">
        <f>IF($A$4+242&gt;$B$4,"",$A$4+242)</f>
        <v>46265</v>
      </c>
      <c r="N24235" t="str">
        <f>IF(M24235="","",'Master Barang'!A29)</f>
        <v>PRL-028</v>
      </c>
      <c r="O24235" t="str">
        <f>IF(N24235="","",'Master Barang'!B29)</f>
        <v>ctik plastik 7x10 100 pcs</v>
      </c>
      <c r="P24235">
        <f>IF(OR(M24235="",N24235=""),"",SUMIFS('Barang Keluar'!$E:$E,'Barang Keluar'!$A:$A,M24235,'Barang Keluar'!$C:$C,N24235))</f>
        <v>0</v>
      </c>
    </row>
    <row r="24236" spans="13:16">
      <c r="M24236" s="49">
        <f>IF($A$4+242&gt;$B$4,"",$A$4+242)</f>
        <v>46265</v>
      </c>
      <c r="N24236" t="str">
        <f>IF(M24236="","",'Master Barang'!A30)</f>
        <v>PRL-029</v>
      </c>
      <c r="O24236" t="str">
        <f>IF(N24236="","",'Master Barang'!B30)</f>
        <v>ctik plastik 6x10 100 pcs</v>
      </c>
      <c r="P24236">
        <f>IF(OR(M24236="",N24236=""),"",SUMIFS('Barang Keluar'!$E:$E,'Barang Keluar'!$A:$A,M24236,'Barang Keluar'!$C:$C,N24236))</f>
        <v>0</v>
      </c>
    </row>
    <row r="24237" spans="13:16">
      <c r="M24237" s="49">
        <f>IF($A$4+242&gt;$B$4,"",$A$4+242)</f>
        <v>46265</v>
      </c>
      <c r="N24237" t="str">
        <f>IF(M24237="","",'Master Barang'!A31)</f>
        <v>PRL-030</v>
      </c>
      <c r="O24237" t="str">
        <f>IF(N24237="","",'Master Barang'!B31)</f>
        <v>klip plastik 25x16 100 pcs</v>
      </c>
      <c r="P24237">
        <f>IF(OR(M24237="",N24237=""),"",SUMIFS('Barang Keluar'!$E:$E,'Barang Keluar'!$A:$A,M24237,'Barang Keluar'!$C:$C,N24237))</f>
        <v>0</v>
      </c>
    </row>
    <row r="24238" spans="13:16">
      <c r="M24238" s="49">
        <f>IF($A$4+242&gt;$B$4,"",$A$4+242)</f>
        <v>46265</v>
      </c>
      <c r="N24238" t="str">
        <f>IF(M24238="","",'Master Barang'!A32)</f>
        <v>PRL-031</v>
      </c>
      <c r="O24238" t="str">
        <f>IF(N24238="","",'Master Barang'!B32)</f>
        <v>tempat saus 20 ml</v>
      </c>
      <c r="P24238">
        <f>IF(OR(M24238="",N24238=""),"",SUMIFS('Barang Keluar'!$E:$E,'Barang Keluar'!$A:$A,M24238,'Barang Keluar'!$C:$C,N24238))</f>
        <v>0</v>
      </c>
    </row>
    <row r="24239" spans="13:16">
      <c r="M24239" s="49">
        <f>IF($A$4+242&gt;$B$4,"",$A$4+242)</f>
        <v>46265</v>
      </c>
      <c r="N24239" t="str">
        <f>IF(M24239="","",'Master Barang'!A33)</f>
        <v>PRL-032</v>
      </c>
      <c r="O24239" t="str">
        <f>IF(N24239="","",'Master Barang'!B33)</f>
        <v>plastik packaging ag box uk sedang</v>
      </c>
      <c r="P24239">
        <f>IF(OR(M24239="",N24239=""),"",SUMIFS('Barang Keluar'!$E:$E,'Barang Keluar'!$A:$A,M24239,'Barang Keluar'!$C:$C,N24239))</f>
        <v>0</v>
      </c>
    </row>
    <row r="24240" spans="13:16">
      <c r="M24240" s="49">
        <f>IF($A$4+242&gt;$B$4,"",$A$4+242)</f>
        <v>46265</v>
      </c>
      <c r="N24240" t="str">
        <f>IF(M24240="","",'Master Barang'!A34)</f>
        <v>PRL-033</v>
      </c>
      <c r="O24240">
        <f>IF(N24240="","",'Master Barang'!B34)</f>
        <v>0</v>
      </c>
      <c r="P24240">
        <f>IF(OR(M24240="",N24240=""),"",SUMIFS('Barang Keluar'!$E:$E,'Barang Keluar'!$A:$A,M24240,'Barang Keluar'!$C:$C,N24240))</f>
        <v>0</v>
      </c>
    </row>
    <row r="24241" spans="13:16">
      <c r="M24241" s="49">
        <f>IF($A$4+242&gt;$B$4,"",$A$4+242)</f>
        <v>46265</v>
      </c>
      <c r="N24241">
        <f>IF(M24241="","",'Master Barang'!A35)</f>
        <v>0</v>
      </c>
      <c r="O24241">
        <f>IF(N24241="","",'Master Barang'!B35)</f>
        <v>0</v>
      </c>
      <c r="P24241">
        <f>IF(OR(M24241="",N24241=""),"",SUMIFS('Barang Keluar'!$E:$E,'Barang Keluar'!$A:$A,M24241,'Barang Keluar'!$C:$C,N24241))</f>
        <v>0</v>
      </c>
    </row>
    <row r="24242" spans="13:16">
      <c r="M24242" s="49">
        <f>IF($A$4+242&gt;$B$4,"",$A$4+242)</f>
        <v>46265</v>
      </c>
      <c r="N24242">
        <f>IF(M24242="","",'Master Barang'!A36)</f>
        <v>0</v>
      </c>
      <c r="O24242">
        <f>IF(N24242="","",'Master Barang'!B36)</f>
        <v>0</v>
      </c>
      <c r="P24242">
        <f>IF(OR(M24242="",N24242=""),"",SUMIFS('Barang Keluar'!$E:$E,'Barang Keluar'!$A:$A,M24242,'Barang Keluar'!$C:$C,N24242))</f>
        <v>0</v>
      </c>
    </row>
    <row r="24243" spans="13:16">
      <c r="M24243" s="49">
        <f>IF($A$4+242&gt;$B$4,"",$A$4+242)</f>
        <v>46265</v>
      </c>
      <c r="N24243">
        <f>IF(M24243="","",'Master Barang'!A37)</f>
        <v>0</v>
      </c>
      <c r="O24243">
        <f>IF(N24243="","",'Master Barang'!B37)</f>
        <v>0</v>
      </c>
      <c r="P24243">
        <f>IF(OR(M24243="",N24243=""),"",SUMIFS('Barang Keluar'!$E:$E,'Barang Keluar'!$A:$A,M24243,'Barang Keluar'!$C:$C,N24243))</f>
        <v>0</v>
      </c>
    </row>
    <row r="24244" spans="13:16">
      <c r="M24244" s="49">
        <f>IF($A$4+242&gt;$B$4,"",$A$4+242)</f>
        <v>46265</v>
      </c>
      <c r="N24244">
        <f>IF(M24244="","",'Master Barang'!A38)</f>
        <v>0</v>
      </c>
      <c r="O24244">
        <f>IF(N24244="","",'Master Barang'!B38)</f>
        <v>0</v>
      </c>
      <c r="P24244">
        <f>IF(OR(M24244="",N24244=""),"",SUMIFS('Barang Keluar'!$E:$E,'Barang Keluar'!$A:$A,M24244,'Barang Keluar'!$C:$C,N24244))</f>
        <v>0</v>
      </c>
    </row>
    <row r="24245" spans="13:16">
      <c r="M24245" s="49">
        <f>IF($A$4+242&gt;$B$4,"",$A$4+242)</f>
        <v>46265</v>
      </c>
      <c r="N24245">
        <f>IF(M24245="","",'Master Barang'!A39)</f>
        <v>0</v>
      </c>
      <c r="O24245">
        <f>IF(N24245="","",'Master Barang'!B39)</f>
        <v>0</v>
      </c>
      <c r="P24245">
        <f>IF(OR(M24245="",N24245=""),"",SUMIFS('Barang Keluar'!$E:$E,'Barang Keluar'!$A:$A,M24245,'Barang Keluar'!$C:$C,N24245))</f>
        <v>0</v>
      </c>
    </row>
    <row r="24246" spans="13:16">
      <c r="M24246" s="49">
        <f>IF($A$4+242&gt;$B$4,"",$A$4+242)</f>
        <v>46265</v>
      </c>
      <c r="N24246">
        <f>IF(M24246="","",'Master Barang'!A40)</f>
        <v>0</v>
      </c>
      <c r="O24246">
        <f>IF(N24246="","",'Master Barang'!B40)</f>
        <v>0</v>
      </c>
      <c r="P24246">
        <f>IF(OR(M24246="",N24246=""),"",SUMIFS('Barang Keluar'!$E:$E,'Barang Keluar'!$A:$A,M24246,'Barang Keluar'!$C:$C,N24246))</f>
        <v>0</v>
      </c>
    </row>
    <row r="24247" spans="13:16">
      <c r="M24247" s="49">
        <f>IF($A$4+242&gt;$B$4,"",$A$4+242)</f>
        <v>46265</v>
      </c>
      <c r="N24247">
        <f>IF(M24247="","",'Master Barang'!A41)</f>
        <v>0</v>
      </c>
      <c r="O24247">
        <f>IF(N24247="","",'Master Barang'!B41)</f>
        <v>0</v>
      </c>
      <c r="P24247">
        <f>IF(OR(M24247="",N24247=""),"",SUMIFS('Barang Keluar'!$E:$E,'Barang Keluar'!$A:$A,M24247,'Barang Keluar'!$C:$C,N24247))</f>
        <v>0</v>
      </c>
    </row>
    <row r="24248" spans="13:16">
      <c r="M24248" s="49">
        <f>IF($A$4+242&gt;$B$4,"",$A$4+242)</f>
        <v>46265</v>
      </c>
      <c r="N24248">
        <f>IF(M24248="","",'Master Barang'!A42)</f>
        <v>0</v>
      </c>
      <c r="O24248">
        <f>IF(N24248="","",'Master Barang'!B42)</f>
        <v>0</v>
      </c>
      <c r="P24248">
        <f>IF(OR(M24248="",N24248=""),"",SUMIFS('Barang Keluar'!$E:$E,'Barang Keluar'!$A:$A,M24248,'Barang Keluar'!$C:$C,N24248))</f>
        <v>0</v>
      </c>
    </row>
    <row r="24249" spans="13:16">
      <c r="M24249" s="49">
        <f>IF($A$4+242&gt;$B$4,"",$A$4+242)</f>
        <v>46265</v>
      </c>
      <c r="N24249">
        <f>IF(M24249="","",'Master Barang'!A43)</f>
        <v>0</v>
      </c>
      <c r="O24249">
        <f>IF(N24249="","",'Master Barang'!B43)</f>
        <v>0</v>
      </c>
      <c r="P24249">
        <f>IF(OR(M24249="",N24249=""),"",SUMIFS('Barang Keluar'!$E:$E,'Barang Keluar'!$A:$A,M24249,'Barang Keluar'!$C:$C,N24249))</f>
        <v>0</v>
      </c>
    </row>
    <row r="24250" spans="13:16">
      <c r="M24250" s="49">
        <f>IF($A$4+242&gt;$B$4,"",$A$4+242)</f>
        <v>46265</v>
      </c>
      <c r="N24250">
        <f>IF(M24250="","",'Master Barang'!A44)</f>
        <v>0</v>
      </c>
      <c r="O24250">
        <f>IF(N24250="","",'Master Barang'!B44)</f>
        <v>0</v>
      </c>
      <c r="P24250">
        <f>IF(OR(M24250="",N24250=""),"",SUMIFS('Barang Keluar'!$E:$E,'Barang Keluar'!$A:$A,M24250,'Barang Keluar'!$C:$C,N24250))</f>
        <v>0</v>
      </c>
    </row>
    <row r="24251" spans="13:16">
      <c r="M24251" s="49">
        <f>IF($A$4+242&gt;$B$4,"",$A$4+242)</f>
        <v>46265</v>
      </c>
      <c r="N24251">
        <f>IF(M24251="","",'Master Barang'!A45)</f>
        <v>0</v>
      </c>
      <c r="O24251">
        <f>IF(N24251="","",'Master Barang'!B45)</f>
        <v>0</v>
      </c>
      <c r="P24251">
        <f>IF(OR(M24251="",N24251=""),"",SUMIFS('Barang Keluar'!$E:$E,'Barang Keluar'!$A:$A,M24251,'Barang Keluar'!$C:$C,N24251))</f>
        <v>0</v>
      </c>
    </row>
    <row r="24252" spans="13:16">
      <c r="M24252" s="49">
        <f>IF($A$4+242&gt;$B$4,"",$A$4+242)</f>
        <v>46265</v>
      </c>
      <c r="N24252">
        <f>IF(M24252="","",'Master Barang'!A46)</f>
        <v>0</v>
      </c>
      <c r="O24252">
        <f>IF(N24252="","",'Master Barang'!B46)</f>
        <v>0</v>
      </c>
      <c r="P24252">
        <f>IF(OR(M24252="",N24252=""),"",SUMIFS('Barang Keluar'!$E:$E,'Barang Keluar'!$A:$A,M24252,'Barang Keluar'!$C:$C,N24252))</f>
        <v>0</v>
      </c>
    </row>
    <row r="24253" spans="13:16">
      <c r="M24253" s="49">
        <f>IF($A$4+242&gt;$B$4,"",$A$4+242)</f>
        <v>46265</v>
      </c>
      <c r="N24253">
        <f>IF(M24253="","",'Master Barang'!A47)</f>
        <v>0</v>
      </c>
      <c r="O24253">
        <f>IF(N24253="","",'Master Barang'!B47)</f>
        <v>0</v>
      </c>
      <c r="P24253">
        <f>IF(OR(M24253="",N24253=""),"",SUMIFS('Barang Keluar'!$E:$E,'Barang Keluar'!$A:$A,M24253,'Barang Keluar'!$C:$C,N24253))</f>
        <v>0</v>
      </c>
    </row>
    <row r="24254" spans="13:16">
      <c r="M24254" s="49">
        <f>IF($A$4+242&gt;$B$4,"",$A$4+242)</f>
        <v>46265</v>
      </c>
      <c r="N24254">
        <f>IF(M24254="","",'Master Barang'!A48)</f>
        <v>0</v>
      </c>
      <c r="O24254">
        <f>IF(N24254="","",'Master Barang'!B48)</f>
        <v>0</v>
      </c>
      <c r="P24254">
        <f>IF(OR(M24254="",N24254=""),"",SUMIFS('Barang Keluar'!$E:$E,'Barang Keluar'!$A:$A,M24254,'Barang Keluar'!$C:$C,N24254))</f>
        <v>0</v>
      </c>
    </row>
    <row r="24255" spans="13:16">
      <c r="M24255" s="49">
        <f>IF($A$4+242&gt;$B$4,"",$A$4+242)</f>
        <v>46265</v>
      </c>
      <c r="N24255">
        <f>IF(M24255="","",'Master Barang'!A49)</f>
        <v>0</v>
      </c>
      <c r="O24255">
        <f>IF(N24255="","",'Master Barang'!B49)</f>
        <v>0</v>
      </c>
      <c r="P24255">
        <f>IF(OR(M24255="",N24255=""),"",SUMIFS('Barang Keluar'!$E:$E,'Barang Keluar'!$A:$A,M24255,'Barang Keluar'!$C:$C,N24255))</f>
        <v>0</v>
      </c>
    </row>
    <row r="24256" spans="13:16">
      <c r="M24256" s="49">
        <f>IF($A$4+242&gt;$B$4,"",$A$4+242)</f>
        <v>46265</v>
      </c>
      <c r="N24256">
        <f>IF(M24256="","",'Master Barang'!A50)</f>
        <v>0</v>
      </c>
      <c r="O24256">
        <f>IF(N24256="","",'Master Barang'!B50)</f>
        <v>0</v>
      </c>
      <c r="P24256">
        <f>IF(OR(M24256="",N24256=""),"",SUMIFS('Barang Keluar'!$E:$E,'Barang Keluar'!$A:$A,M24256,'Barang Keluar'!$C:$C,N24256))</f>
        <v>0</v>
      </c>
    </row>
    <row r="24257" spans="13:16">
      <c r="M24257" s="49">
        <f>IF($A$4+242&gt;$B$4,"",$A$4+242)</f>
        <v>46265</v>
      </c>
      <c r="N24257">
        <f>IF(M24257="","",'Master Barang'!A51)</f>
        <v>0</v>
      </c>
      <c r="O24257">
        <f>IF(N24257="","",'Master Barang'!B51)</f>
        <v>0</v>
      </c>
      <c r="P24257">
        <f>IF(OR(M24257="",N24257=""),"",SUMIFS('Barang Keluar'!$E:$E,'Barang Keluar'!$A:$A,M24257,'Barang Keluar'!$C:$C,N24257))</f>
        <v>0</v>
      </c>
    </row>
    <row r="24258" spans="13:16">
      <c r="M24258" s="49">
        <f>IF($A$4+242&gt;$B$4,"",$A$4+242)</f>
        <v>46265</v>
      </c>
      <c r="N24258">
        <f>IF(M24258="","",'Master Barang'!A52)</f>
        <v>0</v>
      </c>
      <c r="O24258">
        <f>IF(N24258="","",'Master Barang'!B52)</f>
        <v>0</v>
      </c>
      <c r="P24258">
        <f>IF(OR(M24258="",N24258=""),"",SUMIFS('Barang Keluar'!$E:$E,'Barang Keluar'!$A:$A,M24258,'Barang Keluar'!$C:$C,N24258))</f>
        <v>0</v>
      </c>
    </row>
    <row r="24259" spans="13:16">
      <c r="M24259" s="49">
        <f>IF($A$4+242&gt;$B$4,"",$A$4+242)</f>
        <v>46265</v>
      </c>
      <c r="N24259">
        <f>IF(M24259="","",'Master Barang'!A53)</f>
        <v>0</v>
      </c>
      <c r="O24259">
        <f>IF(N24259="","",'Master Barang'!B53)</f>
        <v>0</v>
      </c>
      <c r="P24259">
        <f>IF(OR(M24259="",N24259=""),"",SUMIFS('Barang Keluar'!$E:$E,'Barang Keluar'!$A:$A,M24259,'Barang Keluar'!$C:$C,N24259))</f>
        <v>0</v>
      </c>
    </row>
    <row r="24260" spans="13:16">
      <c r="M24260" s="49">
        <f>IF($A$4+242&gt;$B$4,"",$A$4+242)</f>
        <v>46265</v>
      </c>
      <c r="N24260">
        <f>IF(M24260="","",'Master Barang'!A54)</f>
        <v>0</v>
      </c>
      <c r="O24260">
        <f>IF(N24260="","",'Master Barang'!B54)</f>
        <v>0</v>
      </c>
      <c r="P24260">
        <f>IF(OR(M24260="",N24260=""),"",SUMIFS('Barang Keluar'!$E:$E,'Barang Keluar'!$A:$A,M24260,'Barang Keluar'!$C:$C,N24260))</f>
        <v>0</v>
      </c>
    </row>
    <row r="24261" spans="13:16">
      <c r="M24261" s="49">
        <f>IF($A$4+242&gt;$B$4,"",$A$4+242)</f>
        <v>46265</v>
      </c>
      <c r="N24261">
        <f>IF(M24261="","",'Master Barang'!A55)</f>
        <v>0</v>
      </c>
      <c r="O24261">
        <f>IF(N24261="","",'Master Barang'!B55)</f>
        <v>0</v>
      </c>
      <c r="P24261">
        <f>IF(OR(M24261="",N24261=""),"",SUMIFS('Barang Keluar'!$E:$E,'Barang Keluar'!$A:$A,M24261,'Barang Keluar'!$C:$C,N24261))</f>
        <v>0</v>
      </c>
    </row>
    <row r="24262" spans="13:16">
      <c r="M24262" s="49">
        <f>IF($A$4+242&gt;$B$4,"",$A$4+242)</f>
        <v>46265</v>
      </c>
      <c r="N24262">
        <f>IF(M24262="","",'Master Barang'!A56)</f>
        <v>0</v>
      </c>
      <c r="O24262">
        <f>IF(N24262="","",'Master Barang'!B56)</f>
        <v>0</v>
      </c>
      <c r="P24262">
        <f>IF(OR(M24262="",N24262=""),"",SUMIFS('Barang Keluar'!$E:$E,'Barang Keluar'!$A:$A,M24262,'Barang Keluar'!$C:$C,N24262))</f>
        <v>0</v>
      </c>
    </row>
    <row r="24263" spans="13:16">
      <c r="M24263" s="49">
        <f>IF($A$4+242&gt;$B$4,"",$A$4+242)</f>
        <v>46265</v>
      </c>
      <c r="N24263">
        <f>IF(M24263="","",'Master Barang'!A57)</f>
        <v>0</v>
      </c>
      <c r="O24263">
        <f>IF(N24263="","",'Master Barang'!B57)</f>
        <v>0</v>
      </c>
      <c r="P24263">
        <f>IF(OR(M24263="",N24263=""),"",SUMIFS('Barang Keluar'!$E:$E,'Barang Keluar'!$A:$A,M24263,'Barang Keluar'!$C:$C,N24263))</f>
        <v>0</v>
      </c>
    </row>
    <row r="24264" spans="13:16">
      <c r="M24264" s="49">
        <f>IF($A$4+242&gt;$B$4,"",$A$4+242)</f>
        <v>46265</v>
      </c>
      <c r="N24264">
        <f>IF(M24264="","",'Master Barang'!A58)</f>
        <v>0</v>
      </c>
      <c r="O24264">
        <f>IF(N24264="","",'Master Barang'!B58)</f>
        <v>0</v>
      </c>
      <c r="P24264">
        <f>IF(OR(M24264="",N24264=""),"",SUMIFS('Barang Keluar'!$E:$E,'Barang Keluar'!$A:$A,M24264,'Barang Keluar'!$C:$C,N24264))</f>
        <v>0</v>
      </c>
    </row>
    <row r="24265" spans="13:16">
      <c r="M24265" s="49">
        <f>IF($A$4+242&gt;$B$4,"",$A$4+242)</f>
        <v>46265</v>
      </c>
      <c r="N24265">
        <f>IF(M24265="","",'Master Barang'!A59)</f>
        <v>0</v>
      </c>
      <c r="O24265">
        <f>IF(N24265="","",'Master Barang'!B59)</f>
        <v>0</v>
      </c>
      <c r="P24265">
        <f>IF(OR(M24265="",N24265=""),"",SUMIFS('Barang Keluar'!$E:$E,'Barang Keluar'!$A:$A,M24265,'Barang Keluar'!$C:$C,N24265))</f>
        <v>0</v>
      </c>
    </row>
    <row r="24266" spans="13:16">
      <c r="M24266" s="49">
        <f>IF($A$4+242&gt;$B$4,"",$A$4+242)</f>
        <v>46265</v>
      </c>
      <c r="N24266">
        <f>IF(M24266="","",'Master Barang'!A60)</f>
        <v>0</v>
      </c>
      <c r="O24266">
        <f>IF(N24266="","",'Master Barang'!B60)</f>
        <v>0</v>
      </c>
      <c r="P24266">
        <f>IF(OR(M24266="",N24266=""),"",SUMIFS('Barang Keluar'!$E:$E,'Barang Keluar'!$A:$A,M24266,'Barang Keluar'!$C:$C,N24266))</f>
        <v>0</v>
      </c>
    </row>
    <row r="24267" spans="13:16">
      <c r="M24267" s="49">
        <f>IF($A$4+242&gt;$B$4,"",$A$4+242)</f>
        <v>46265</v>
      </c>
      <c r="N24267">
        <f>IF(M24267="","",'Master Barang'!A61)</f>
        <v>0</v>
      </c>
      <c r="O24267">
        <f>IF(N24267="","",'Master Barang'!B61)</f>
        <v>0</v>
      </c>
      <c r="P24267">
        <f>IF(OR(M24267="",N24267=""),"",SUMIFS('Barang Keluar'!$E:$E,'Barang Keluar'!$A:$A,M24267,'Barang Keluar'!$C:$C,N24267))</f>
        <v>0</v>
      </c>
    </row>
    <row r="24268" spans="13:16">
      <c r="M24268" s="49">
        <f>IF($A$4+242&gt;$B$4,"",$A$4+242)</f>
        <v>46265</v>
      </c>
      <c r="N24268">
        <f>IF(M24268="","",'Master Barang'!A62)</f>
        <v>0</v>
      </c>
      <c r="O24268">
        <f>IF(N24268="","",'Master Barang'!B62)</f>
        <v>0</v>
      </c>
      <c r="P24268">
        <f>IF(OR(M24268="",N24268=""),"",SUMIFS('Barang Keluar'!$E:$E,'Barang Keluar'!$A:$A,M24268,'Barang Keluar'!$C:$C,N24268))</f>
        <v>0</v>
      </c>
    </row>
    <row r="24269" spans="13:16">
      <c r="M24269" s="49">
        <f>IF($A$4+242&gt;$B$4,"",$A$4+242)</f>
        <v>46265</v>
      </c>
      <c r="N24269">
        <f>IF(M24269="","",'Master Barang'!A63)</f>
        <v>0</v>
      </c>
      <c r="O24269">
        <f>IF(N24269="","",'Master Barang'!B63)</f>
        <v>0</v>
      </c>
      <c r="P24269">
        <f>IF(OR(M24269="",N24269=""),"",SUMIFS('Barang Keluar'!$E:$E,'Barang Keluar'!$A:$A,M24269,'Barang Keluar'!$C:$C,N24269))</f>
        <v>0</v>
      </c>
    </row>
    <row r="24270" spans="13:16">
      <c r="M24270" s="49">
        <f>IF($A$4+242&gt;$B$4,"",$A$4+242)</f>
        <v>46265</v>
      </c>
      <c r="N24270">
        <f>IF(M24270="","",'Master Barang'!A64)</f>
        <v>0</v>
      </c>
      <c r="O24270">
        <f>IF(N24270="","",'Master Barang'!B64)</f>
        <v>0</v>
      </c>
      <c r="P24270">
        <f>IF(OR(M24270="",N24270=""),"",SUMIFS('Barang Keluar'!$E:$E,'Barang Keluar'!$A:$A,M24270,'Barang Keluar'!$C:$C,N24270))</f>
        <v>0</v>
      </c>
    </row>
    <row r="24271" spans="13:16">
      <c r="M24271" s="49">
        <f>IF($A$4+242&gt;$B$4,"",$A$4+242)</f>
        <v>46265</v>
      </c>
      <c r="N24271">
        <f>IF(M24271="","",'Master Barang'!A65)</f>
        <v>0</v>
      </c>
      <c r="O24271">
        <f>IF(N24271="","",'Master Barang'!B65)</f>
        <v>0</v>
      </c>
      <c r="P24271">
        <f>IF(OR(M24271="",N24271=""),"",SUMIFS('Barang Keluar'!$E:$E,'Barang Keluar'!$A:$A,M24271,'Barang Keluar'!$C:$C,N24271))</f>
        <v>0</v>
      </c>
    </row>
    <row r="24272" spans="13:16">
      <c r="M24272" s="49">
        <f>IF($A$4+242&gt;$B$4,"",$A$4+242)</f>
        <v>46265</v>
      </c>
      <c r="N24272">
        <f>IF(M24272="","",'Master Barang'!A66)</f>
        <v>0</v>
      </c>
      <c r="O24272">
        <f>IF(N24272="","",'Master Barang'!B66)</f>
        <v>0</v>
      </c>
      <c r="P24272">
        <f>IF(OR(M24272="",N24272=""),"",SUMIFS('Barang Keluar'!$E:$E,'Barang Keluar'!$A:$A,M24272,'Barang Keluar'!$C:$C,N24272))</f>
        <v>0</v>
      </c>
    </row>
    <row r="24273" spans="13:16">
      <c r="M24273" s="49">
        <f>IF($A$4+242&gt;$B$4,"",$A$4+242)</f>
        <v>46265</v>
      </c>
      <c r="N24273">
        <f>IF(M24273="","",'Master Barang'!A67)</f>
        <v>0</v>
      </c>
      <c r="O24273">
        <f>IF(N24273="","",'Master Barang'!B67)</f>
        <v>0</v>
      </c>
      <c r="P24273">
        <f>IF(OR(M24273="",N24273=""),"",SUMIFS('Barang Keluar'!$E:$E,'Barang Keluar'!$A:$A,M24273,'Barang Keluar'!$C:$C,N24273))</f>
        <v>0</v>
      </c>
    </row>
    <row r="24274" spans="13:16">
      <c r="M24274" s="49">
        <f>IF($A$4+242&gt;$B$4,"",$A$4+242)</f>
        <v>46265</v>
      </c>
      <c r="N24274">
        <f>IF(M24274="","",'Master Barang'!A68)</f>
        <v>0</v>
      </c>
      <c r="O24274">
        <f>IF(N24274="","",'Master Barang'!B68)</f>
        <v>0</v>
      </c>
      <c r="P24274">
        <f>IF(OR(M24274="",N24274=""),"",SUMIFS('Barang Keluar'!$E:$E,'Barang Keluar'!$A:$A,M24274,'Barang Keluar'!$C:$C,N24274))</f>
        <v>0</v>
      </c>
    </row>
    <row r="24275" spans="13:16">
      <c r="M24275" s="49">
        <f>IF($A$4+242&gt;$B$4,"",$A$4+242)</f>
        <v>46265</v>
      </c>
      <c r="N24275">
        <f>IF(M24275="","",'Master Barang'!A69)</f>
        <v>0</v>
      </c>
      <c r="O24275">
        <f>IF(N24275="","",'Master Barang'!B69)</f>
        <v>0</v>
      </c>
      <c r="P24275">
        <f>IF(OR(M24275="",N24275=""),"",SUMIFS('Barang Keluar'!$E:$E,'Barang Keluar'!$A:$A,M24275,'Barang Keluar'!$C:$C,N24275))</f>
        <v>0</v>
      </c>
    </row>
    <row r="24276" spans="13:16">
      <c r="M24276" s="49">
        <f>IF($A$4+242&gt;$B$4,"",$A$4+242)</f>
        <v>46265</v>
      </c>
      <c r="N24276">
        <f>IF(M24276="","",'Master Barang'!A70)</f>
        <v>0</v>
      </c>
      <c r="O24276">
        <f>IF(N24276="","",'Master Barang'!B70)</f>
        <v>0</v>
      </c>
      <c r="P24276">
        <f>IF(OR(M24276="",N24276=""),"",SUMIFS('Barang Keluar'!$E:$E,'Barang Keluar'!$A:$A,M24276,'Barang Keluar'!$C:$C,N24276))</f>
        <v>0</v>
      </c>
    </row>
    <row r="24277" spans="13:16">
      <c r="M24277" s="49">
        <f>IF($A$4+242&gt;$B$4,"",$A$4+242)</f>
        <v>46265</v>
      </c>
      <c r="N24277">
        <f>IF(M24277="","",'Master Barang'!A71)</f>
        <v>0</v>
      </c>
      <c r="O24277">
        <f>IF(N24277="","",'Master Barang'!B71)</f>
        <v>0</v>
      </c>
      <c r="P24277">
        <f>IF(OR(M24277="",N24277=""),"",SUMIFS('Barang Keluar'!$E:$E,'Barang Keluar'!$A:$A,M24277,'Barang Keluar'!$C:$C,N24277))</f>
        <v>0</v>
      </c>
    </row>
    <row r="24278" spans="13:16">
      <c r="M24278" s="49">
        <f>IF($A$4+242&gt;$B$4,"",$A$4+242)</f>
        <v>46265</v>
      </c>
      <c r="N24278">
        <f>IF(M24278="","",'Master Barang'!A72)</f>
        <v>0</v>
      </c>
      <c r="O24278">
        <f>IF(N24278="","",'Master Barang'!B72)</f>
        <v>0</v>
      </c>
      <c r="P24278">
        <f>IF(OR(M24278="",N24278=""),"",SUMIFS('Barang Keluar'!$E:$E,'Barang Keluar'!$A:$A,M24278,'Barang Keluar'!$C:$C,N24278))</f>
        <v>0</v>
      </c>
    </row>
    <row r="24279" spans="13:16">
      <c r="M24279" s="49">
        <f>IF($A$4+242&gt;$B$4,"",$A$4+242)</f>
        <v>46265</v>
      </c>
      <c r="N24279">
        <f>IF(M24279="","",'Master Barang'!A73)</f>
        <v>0</v>
      </c>
      <c r="O24279">
        <f>IF(N24279="","",'Master Barang'!B73)</f>
        <v>0</v>
      </c>
      <c r="P24279">
        <f>IF(OR(M24279="",N24279=""),"",SUMIFS('Barang Keluar'!$E:$E,'Barang Keluar'!$A:$A,M24279,'Barang Keluar'!$C:$C,N24279))</f>
        <v>0</v>
      </c>
    </row>
    <row r="24280" spans="13:16">
      <c r="M24280" s="49">
        <f>IF($A$4+242&gt;$B$4,"",$A$4+242)</f>
        <v>46265</v>
      </c>
      <c r="N24280">
        <f>IF(M24280="","",'Master Barang'!A74)</f>
        <v>0</v>
      </c>
      <c r="O24280">
        <f>IF(N24280="","",'Master Barang'!B74)</f>
        <v>0</v>
      </c>
      <c r="P24280">
        <f>IF(OR(M24280="",N24280=""),"",SUMIFS('Barang Keluar'!$E:$E,'Barang Keluar'!$A:$A,M24280,'Barang Keluar'!$C:$C,N24280))</f>
        <v>0</v>
      </c>
    </row>
    <row r="24281" spans="13:16">
      <c r="M24281" s="49">
        <f>IF($A$4+242&gt;$B$4,"",$A$4+242)</f>
        <v>46265</v>
      </c>
      <c r="N24281">
        <f>IF(M24281="","",'Master Barang'!A75)</f>
        <v>0</v>
      </c>
      <c r="O24281">
        <f>IF(N24281="","",'Master Barang'!B75)</f>
        <v>0</v>
      </c>
      <c r="P24281">
        <f>IF(OR(M24281="",N24281=""),"",SUMIFS('Barang Keluar'!$E:$E,'Barang Keluar'!$A:$A,M24281,'Barang Keluar'!$C:$C,N24281))</f>
        <v>0</v>
      </c>
    </row>
    <row r="24282" spans="13:16">
      <c r="M24282" s="49">
        <f>IF($A$4+242&gt;$B$4,"",$A$4+242)</f>
        <v>46265</v>
      </c>
      <c r="N24282">
        <f>IF(M24282="","",'Master Barang'!A76)</f>
        <v>0</v>
      </c>
      <c r="O24282">
        <f>IF(N24282="","",'Master Barang'!B76)</f>
        <v>0</v>
      </c>
      <c r="P24282">
        <f>IF(OR(M24282="",N24282=""),"",SUMIFS('Barang Keluar'!$E:$E,'Barang Keluar'!$A:$A,M24282,'Barang Keluar'!$C:$C,N24282))</f>
        <v>0</v>
      </c>
    </row>
    <row r="24283" spans="13:16">
      <c r="M24283" s="49">
        <f>IF($A$4+242&gt;$B$4,"",$A$4+242)</f>
        <v>46265</v>
      </c>
      <c r="N24283">
        <f>IF(M24283="","",'Master Barang'!A77)</f>
        <v>0</v>
      </c>
      <c r="O24283">
        <f>IF(N24283="","",'Master Barang'!B77)</f>
        <v>0</v>
      </c>
      <c r="P24283">
        <f>IF(OR(M24283="",N24283=""),"",SUMIFS('Barang Keluar'!$E:$E,'Barang Keluar'!$A:$A,M24283,'Barang Keluar'!$C:$C,N24283))</f>
        <v>0</v>
      </c>
    </row>
    <row r="24284" spans="13:16">
      <c r="M24284" s="49">
        <f>IF($A$4+242&gt;$B$4,"",$A$4+242)</f>
        <v>46265</v>
      </c>
      <c r="N24284">
        <f>IF(M24284="","",'Master Barang'!A78)</f>
        <v>0</v>
      </c>
      <c r="O24284">
        <f>IF(N24284="","",'Master Barang'!B78)</f>
        <v>0</v>
      </c>
      <c r="P24284">
        <f>IF(OR(M24284="",N24284=""),"",SUMIFS('Barang Keluar'!$E:$E,'Barang Keluar'!$A:$A,M24284,'Barang Keluar'!$C:$C,N24284))</f>
        <v>0</v>
      </c>
    </row>
    <row r="24285" spans="13:16">
      <c r="M24285" s="49">
        <f>IF($A$4+242&gt;$B$4,"",$A$4+242)</f>
        <v>46265</v>
      </c>
      <c r="N24285">
        <f>IF(M24285="","",'Master Barang'!A79)</f>
        <v>0</v>
      </c>
      <c r="O24285">
        <f>IF(N24285="","",'Master Barang'!B79)</f>
        <v>0</v>
      </c>
      <c r="P24285">
        <f>IF(OR(M24285="",N24285=""),"",SUMIFS('Barang Keluar'!$E:$E,'Barang Keluar'!$A:$A,M24285,'Barang Keluar'!$C:$C,N24285))</f>
        <v>0</v>
      </c>
    </row>
    <row r="24286" spans="13:16">
      <c r="M24286" s="49">
        <f>IF($A$4+242&gt;$B$4,"",$A$4+242)</f>
        <v>46265</v>
      </c>
      <c r="N24286">
        <f>IF(M24286="","",'Master Barang'!A80)</f>
        <v>0</v>
      </c>
      <c r="O24286">
        <f>IF(N24286="","",'Master Barang'!B80)</f>
        <v>0</v>
      </c>
      <c r="P24286">
        <f>IF(OR(M24286="",N24286=""),"",SUMIFS('Barang Keluar'!$E:$E,'Barang Keluar'!$A:$A,M24286,'Barang Keluar'!$C:$C,N24286))</f>
        <v>0</v>
      </c>
    </row>
    <row r="24287" spans="13:16">
      <c r="M24287" s="49">
        <f>IF($A$4+242&gt;$B$4,"",$A$4+242)</f>
        <v>46265</v>
      </c>
      <c r="N24287">
        <f>IF(M24287="","",'Master Barang'!A81)</f>
        <v>0</v>
      </c>
      <c r="O24287">
        <f>IF(N24287="","",'Master Barang'!B81)</f>
        <v>0</v>
      </c>
      <c r="P24287">
        <f>IF(OR(M24287="",N24287=""),"",SUMIFS('Barang Keluar'!$E:$E,'Barang Keluar'!$A:$A,M24287,'Barang Keluar'!$C:$C,N24287))</f>
        <v>0</v>
      </c>
    </row>
    <row r="24288" spans="13:16">
      <c r="M24288" s="49">
        <f>IF($A$4+242&gt;$B$4,"",$A$4+242)</f>
        <v>46265</v>
      </c>
      <c r="N24288">
        <f>IF(M24288="","",'Master Barang'!A82)</f>
        <v>0</v>
      </c>
      <c r="O24288">
        <f>IF(N24288="","",'Master Barang'!B82)</f>
        <v>0</v>
      </c>
      <c r="P24288">
        <f>IF(OR(M24288="",N24288=""),"",SUMIFS('Barang Keluar'!$E:$E,'Barang Keluar'!$A:$A,M24288,'Barang Keluar'!$C:$C,N24288))</f>
        <v>0</v>
      </c>
    </row>
    <row r="24289" spans="13:16">
      <c r="M24289" s="49">
        <f>IF($A$4+242&gt;$B$4,"",$A$4+242)</f>
        <v>46265</v>
      </c>
      <c r="N24289">
        <f>IF(M24289="","",'Master Barang'!A83)</f>
        <v>0</v>
      </c>
      <c r="O24289">
        <f>IF(N24289="","",'Master Barang'!B83)</f>
        <v>0</v>
      </c>
      <c r="P24289">
        <f>IF(OR(M24289="",N24289=""),"",SUMIFS('Barang Keluar'!$E:$E,'Barang Keluar'!$A:$A,M24289,'Barang Keluar'!$C:$C,N24289))</f>
        <v>0</v>
      </c>
    </row>
    <row r="24290" spans="13:16">
      <c r="M24290" s="49">
        <f>IF($A$4+242&gt;$B$4,"",$A$4+242)</f>
        <v>46265</v>
      </c>
      <c r="N24290">
        <f>IF(M24290="","",'Master Barang'!A84)</f>
        <v>0</v>
      </c>
      <c r="O24290">
        <f>IF(N24290="","",'Master Barang'!B84)</f>
        <v>0</v>
      </c>
      <c r="P24290">
        <f>IF(OR(M24290="",N24290=""),"",SUMIFS('Barang Keluar'!$E:$E,'Barang Keluar'!$A:$A,M24290,'Barang Keluar'!$C:$C,N24290))</f>
        <v>0</v>
      </c>
    </row>
    <row r="24291" spans="13:16">
      <c r="M24291" s="49">
        <f>IF($A$4+242&gt;$B$4,"",$A$4+242)</f>
        <v>46265</v>
      </c>
      <c r="N24291">
        <f>IF(M24291="","",'Master Barang'!A85)</f>
        <v>0</v>
      </c>
      <c r="O24291">
        <f>IF(N24291="","",'Master Barang'!B85)</f>
        <v>0</v>
      </c>
      <c r="P24291">
        <f>IF(OR(M24291="",N24291=""),"",SUMIFS('Barang Keluar'!$E:$E,'Barang Keluar'!$A:$A,M24291,'Barang Keluar'!$C:$C,N24291))</f>
        <v>0</v>
      </c>
    </row>
    <row r="24292" spans="13:16">
      <c r="M24292" s="49">
        <f>IF($A$4+242&gt;$B$4,"",$A$4+242)</f>
        <v>46265</v>
      </c>
      <c r="N24292">
        <f>IF(M24292="","",'Master Barang'!A86)</f>
        <v>0</v>
      </c>
      <c r="O24292">
        <f>IF(N24292="","",'Master Barang'!B86)</f>
        <v>0</v>
      </c>
      <c r="P24292">
        <f>IF(OR(M24292="",N24292=""),"",SUMIFS('Barang Keluar'!$E:$E,'Barang Keluar'!$A:$A,M24292,'Barang Keluar'!$C:$C,N24292))</f>
        <v>0</v>
      </c>
    </row>
    <row r="24293" spans="13:16">
      <c r="M24293" s="49">
        <f>IF($A$4+242&gt;$B$4,"",$A$4+242)</f>
        <v>46265</v>
      </c>
      <c r="N24293">
        <f>IF(M24293="","",'Master Barang'!A87)</f>
        <v>0</v>
      </c>
      <c r="O24293">
        <f>IF(N24293="","",'Master Barang'!B87)</f>
        <v>0</v>
      </c>
      <c r="P24293">
        <f>IF(OR(M24293="",N24293=""),"",SUMIFS('Barang Keluar'!$E:$E,'Barang Keluar'!$A:$A,M24293,'Barang Keluar'!$C:$C,N24293))</f>
        <v>0</v>
      </c>
    </row>
    <row r="24294" spans="13:16">
      <c r="M24294" s="49">
        <f>IF($A$4+242&gt;$B$4,"",$A$4+242)</f>
        <v>46265</v>
      </c>
      <c r="N24294">
        <f>IF(M24294="","",'Master Barang'!A88)</f>
        <v>0</v>
      </c>
      <c r="O24294">
        <f>IF(N24294="","",'Master Barang'!B88)</f>
        <v>0</v>
      </c>
      <c r="P24294">
        <f>IF(OR(M24294="",N24294=""),"",SUMIFS('Barang Keluar'!$E:$E,'Barang Keluar'!$A:$A,M24294,'Barang Keluar'!$C:$C,N24294))</f>
        <v>0</v>
      </c>
    </row>
    <row r="24295" spans="13:16">
      <c r="M24295" s="49">
        <f>IF($A$4+242&gt;$B$4,"",$A$4+242)</f>
        <v>46265</v>
      </c>
      <c r="N24295">
        <f>IF(M24295="","",'Master Barang'!A89)</f>
        <v>0</v>
      </c>
      <c r="O24295">
        <f>IF(N24295="","",'Master Barang'!B89)</f>
        <v>0</v>
      </c>
      <c r="P24295">
        <f>IF(OR(M24295="",N24295=""),"",SUMIFS('Barang Keluar'!$E:$E,'Barang Keluar'!$A:$A,M24295,'Barang Keluar'!$C:$C,N24295))</f>
        <v>0</v>
      </c>
    </row>
    <row r="24296" spans="13:16">
      <c r="M24296" s="49">
        <f>IF($A$4+242&gt;$B$4,"",$A$4+242)</f>
        <v>46265</v>
      </c>
      <c r="N24296">
        <f>IF(M24296="","",'Master Barang'!A90)</f>
        <v>0</v>
      </c>
      <c r="O24296">
        <f>IF(N24296="","",'Master Barang'!B90)</f>
        <v>0</v>
      </c>
      <c r="P24296">
        <f>IF(OR(M24296="",N24296=""),"",SUMIFS('Barang Keluar'!$E:$E,'Barang Keluar'!$A:$A,M24296,'Barang Keluar'!$C:$C,N24296))</f>
        <v>0</v>
      </c>
    </row>
    <row r="24297" spans="13:16">
      <c r="M24297" s="49">
        <f>IF($A$4+242&gt;$B$4,"",$A$4+242)</f>
        <v>46265</v>
      </c>
      <c r="N24297">
        <f>IF(M24297="","",'Master Barang'!A91)</f>
        <v>0</v>
      </c>
      <c r="O24297">
        <f>IF(N24297="","",'Master Barang'!B91)</f>
        <v>0</v>
      </c>
      <c r="P24297">
        <f>IF(OR(M24297="",N24297=""),"",SUMIFS('Barang Keluar'!$E:$E,'Barang Keluar'!$A:$A,M24297,'Barang Keluar'!$C:$C,N24297))</f>
        <v>0</v>
      </c>
    </row>
    <row r="24298" spans="13:16">
      <c r="M24298" s="49">
        <f>IF($A$4+242&gt;$B$4,"",$A$4+242)</f>
        <v>46265</v>
      </c>
      <c r="N24298">
        <f>IF(M24298="","",'Master Barang'!A92)</f>
        <v>0</v>
      </c>
      <c r="O24298">
        <f>IF(N24298="","",'Master Barang'!B92)</f>
        <v>0</v>
      </c>
      <c r="P24298">
        <f>IF(OR(M24298="",N24298=""),"",SUMIFS('Barang Keluar'!$E:$E,'Barang Keluar'!$A:$A,M24298,'Barang Keluar'!$C:$C,N24298))</f>
        <v>0</v>
      </c>
    </row>
    <row r="24299" spans="13:16">
      <c r="M24299" s="49">
        <f>IF($A$4+242&gt;$B$4,"",$A$4+242)</f>
        <v>46265</v>
      </c>
      <c r="N24299">
        <f>IF(M24299="","",'Master Barang'!A93)</f>
        <v>0</v>
      </c>
      <c r="O24299">
        <f>IF(N24299="","",'Master Barang'!B93)</f>
        <v>0</v>
      </c>
      <c r="P24299">
        <f>IF(OR(M24299="",N24299=""),"",SUMIFS('Barang Keluar'!$E:$E,'Barang Keluar'!$A:$A,M24299,'Barang Keluar'!$C:$C,N24299))</f>
        <v>0</v>
      </c>
    </row>
    <row r="24300" spans="13:16">
      <c r="M24300" s="49">
        <f>IF($A$4+242&gt;$B$4,"",$A$4+242)</f>
        <v>46265</v>
      </c>
      <c r="N24300">
        <f>IF(M24300="","",'Master Barang'!A94)</f>
        <v>0</v>
      </c>
      <c r="O24300">
        <f>IF(N24300="","",'Master Barang'!B94)</f>
        <v>0</v>
      </c>
      <c r="P24300">
        <f>IF(OR(M24300="",N24300=""),"",SUMIFS('Barang Keluar'!$E:$E,'Barang Keluar'!$A:$A,M24300,'Barang Keluar'!$C:$C,N24300))</f>
        <v>0</v>
      </c>
    </row>
    <row r="24301" spans="13:16">
      <c r="M24301" s="49">
        <f>IF($A$4+242&gt;$B$4,"",$A$4+242)</f>
        <v>46265</v>
      </c>
      <c r="N24301">
        <f>IF(M24301="","",'Master Barang'!A95)</f>
        <v>0</v>
      </c>
      <c r="O24301">
        <f>IF(N24301="","",'Master Barang'!B95)</f>
        <v>0</v>
      </c>
      <c r="P24301">
        <f>IF(OR(M24301="",N24301=""),"",SUMIFS('Barang Keluar'!$E:$E,'Barang Keluar'!$A:$A,M24301,'Barang Keluar'!$C:$C,N24301))</f>
        <v>0</v>
      </c>
    </row>
    <row r="24302" spans="13:16">
      <c r="M24302" s="49">
        <f>IF($A$4+242&gt;$B$4,"",$A$4+242)</f>
        <v>46265</v>
      </c>
      <c r="N24302">
        <f>IF(M24302="","",'Master Barang'!A96)</f>
        <v>0</v>
      </c>
      <c r="O24302">
        <f>IF(N24302="","",'Master Barang'!B96)</f>
        <v>0</v>
      </c>
      <c r="P24302">
        <f>IF(OR(M24302="",N24302=""),"",SUMIFS('Barang Keluar'!$E:$E,'Barang Keluar'!$A:$A,M24302,'Barang Keluar'!$C:$C,N24302))</f>
        <v>0</v>
      </c>
    </row>
    <row r="24303" spans="13:16">
      <c r="M24303" s="49">
        <f>IF($A$4+242&gt;$B$4,"",$A$4+242)</f>
        <v>46265</v>
      </c>
      <c r="N24303">
        <f>IF(M24303="","",'Master Barang'!A97)</f>
        <v>0</v>
      </c>
      <c r="O24303">
        <f>IF(N24303="","",'Master Barang'!B97)</f>
        <v>0</v>
      </c>
      <c r="P24303">
        <f>IF(OR(M24303="",N24303=""),"",SUMIFS('Barang Keluar'!$E:$E,'Barang Keluar'!$A:$A,M24303,'Barang Keluar'!$C:$C,N24303))</f>
        <v>0</v>
      </c>
    </row>
    <row r="24304" spans="13:16">
      <c r="M24304" s="49">
        <f>IF($A$4+242&gt;$B$4,"",$A$4+242)</f>
        <v>46265</v>
      </c>
      <c r="N24304">
        <f>IF(M24304="","",'Master Barang'!A98)</f>
        <v>0</v>
      </c>
      <c r="O24304">
        <f>IF(N24304="","",'Master Barang'!B98)</f>
        <v>0</v>
      </c>
      <c r="P24304">
        <f>IF(OR(M24304="",N24304=""),"",SUMIFS('Barang Keluar'!$E:$E,'Barang Keluar'!$A:$A,M24304,'Barang Keluar'!$C:$C,N24304))</f>
        <v>0</v>
      </c>
    </row>
    <row r="24305" spans="13:16">
      <c r="M24305" s="49">
        <f>IF($A$4+242&gt;$B$4,"",$A$4+242)</f>
        <v>46265</v>
      </c>
      <c r="N24305">
        <f>IF(M24305="","",'Master Barang'!A99)</f>
        <v>0</v>
      </c>
      <c r="O24305">
        <f>IF(N24305="","",'Master Barang'!B99)</f>
        <v>0</v>
      </c>
      <c r="P24305">
        <f>IF(OR(M24305="",N24305=""),"",SUMIFS('Barang Keluar'!$E:$E,'Barang Keluar'!$A:$A,M24305,'Barang Keluar'!$C:$C,N24305))</f>
        <v>0</v>
      </c>
    </row>
    <row r="24306" spans="13:16">
      <c r="M24306" s="49">
        <f>IF($A$4+242&gt;$B$4,"",$A$4+242)</f>
        <v>46265</v>
      </c>
      <c r="N24306">
        <f>IF(M24306="","",'Master Barang'!A100)</f>
        <v>0</v>
      </c>
      <c r="O24306">
        <f>IF(N24306="","",'Master Barang'!B100)</f>
        <v>0</v>
      </c>
      <c r="P24306">
        <f>IF(OR(M24306="",N24306=""),"",SUMIFS('Barang Keluar'!$E:$E,'Barang Keluar'!$A:$A,M24306,'Barang Keluar'!$C:$C,N24306))</f>
        <v>0</v>
      </c>
    </row>
    <row r="24307" spans="13:16">
      <c r="M24307" s="49">
        <f>IF($A$4+242&gt;$B$4,"",$A$4+242)</f>
        <v>46265</v>
      </c>
      <c r="N24307">
        <f>IF(M24307="","",'Master Barang'!A101)</f>
        <v>0</v>
      </c>
      <c r="O24307">
        <f>IF(N24307="","",'Master Barang'!B101)</f>
        <v>0</v>
      </c>
      <c r="P24307">
        <f>IF(OR(M24307="",N24307=""),"",SUMIFS('Barang Keluar'!$E:$E,'Barang Keluar'!$A:$A,M24307,'Barang Keluar'!$C:$C,N24307))</f>
        <v>0</v>
      </c>
    </row>
    <row r="24308" spans="13:16">
      <c r="M24308" s="49">
        <f>IF($A$4+243&gt;$B$4,"",$A$4+243)</f>
        <v>46266</v>
      </c>
      <c r="N24308" t="str">
        <f>IF(M24308="","",'Master Barang'!A2)</f>
        <v>PRL-001</v>
      </c>
      <c r="O24308" t="str">
        <f>IF(N24308="","",'Master Barang'!B2)</f>
        <v>natura desinfectant food grade 5l</v>
      </c>
      <c r="P24308">
        <f>IF(OR(M24308="",N24308=""),"",SUMIFS('Barang Keluar'!$E:$E,'Barang Keluar'!$A:$A,M24308,'Barang Keluar'!$C:$C,N24308))</f>
        <v>0</v>
      </c>
    </row>
    <row r="24309" spans="13:16">
      <c r="M24309" s="49">
        <f>IF($A$4+243&gt;$B$4,"",$A$4+243)</f>
        <v>46266</v>
      </c>
      <c r="N24309" t="str">
        <f>IF(M24309="","",'Master Barang'!A3)</f>
        <v>PRL-002</v>
      </c>
      <c r="O24309" t="str">
        <f>IF(N24309="","",'Master Barang'!B3)</f>
        <v>sunlight cairan pencuci piring 5l</v>
      </c>
      <c r="P24309">
        <f>IF(OR(M24309="",N24309=""),"",SUMIFS('Barang Keluar'!$E:$E,'Barang Keluar'!$A:$A,M24309,'Barang Keluar'!$C:$C,N24309))</f>
        <v>0</v>
      </c>
    </row>
    <row r="24310" spans="13:16">
      <c r="M24310" s="49">
        <f>IF($A$4+243&gt;$B$4,"",$A$4+243)</f>
        <v>46266</v>
      </c>
      <c r="N24310" t="str">
        <f>IF(M24310="","",'Master Barang'!A4)</f>
        <v>PRL-003</v>
      </c>
      <c r="O24310" t="str">
        <f>IF(N24310="","",'Master Barang'!B4)</f>
        <v>oixs cleaner 1l</v>
      </c>
      <c r="P24310">
        <f>IF(OR(M24310="",N24310=""),"",SUMIFS('Barang Keluar'!$E:$E,'Barang Keluar'!$A:$A,M24310,'Barang Keluar'!$C:$C,N24310))</f>
        <v>0</v>
      </c>
    </row>
    <row r="24311" spans="13:16">
      <c r="M24311" s="49">
        <f>IF($A$4+243&gt;$B$4,"",$A$4+243)</f>
        <v>46266</v>
      </c>
      <c r="N24311" t="str">
        <f>IF(M24311="","",'Master Barang'!A5)</f>
        <v>PRL-004</v>
      </c>
      <c r="O24311" t="str">
        <f>IF(N24311="","",'Master Barang'!B5)</f>
        <v>be clean tissue serbaguna</v>
      </c>
      <c r="P24311">
        <f>IF(OR(M24311="",N24311=""),"",SUMIFS('Barang Keluar'!$E:$E,'Barang Keluar'!$A:$A,M24311,'Barang Keluar'!$C:$C,N24311))</f>
        <v>0</v>
      </c>
    </row>
    <row r="24312" spans="13:16">
      <c r="M24312" s="49">
        <f>IF($A$4+243&gt;$B$4,"",$A$4+243)</f>
        <v>46266</v>
      </c>
      <c r="N24312" t="str">
        <f>IF(M24312="","",'Master Barang'!A6)</f>
        <v>PRL-005</v>
      </c>
      <c r="O24312" t="str">
        <f>IF(N24312="","",'Master Barang'!B6)</f>
        <v>spons cuci hijau</v>
      </c>
      <c r="P24312">
        <f>IF(OR(M24312="",N24312=""),"",SUMIFS('Barang Keluar'!$E:$E,'Barang Keluar'!$A:$A,M24312,'Barang Keluar'!$C:$C,N24312))</f>
        <v>0</v>
      </c>
    </row>
    <row r="24313" spans="13:16">
      <c r="M24313" s="49">
        <f>IF($A$4+243&gt;$B$4,"",$A$4+243)</f>
        <v>46266</v>
      </c>
      <c r="N24313" t="str">
        <f>IF(M24313="","",'Master Barang'!A7)</f>
        <v>PRL-006</v>
      </c>
      <c r="O24313" t="str">
        <f>IF(N24313="","",'Master Barang'!B7)</f>
        <v>sabut cuci stainless</v>
      </c>
      <c r="P24313">
        <f>IF(OR(M24313="",N24313=""),"",SUMIFS('Barang Keluar'!$E:$E,'Barang Keluar'!$A:$A,M24313,'Barang Keluar'!$C:$C,N24313))</f>
        <v>0</v>
      </c>
    </row>
    <row r="24314" spans="13:16">
      <c r="M24314" s="49">
        <f>IF($A$4+243&gt;$B$4,"",$A$4+243)</f>
        <v>46266</v>
      </c>
      <c r="N24314" t="str">
        <f>IF(M24314="","",'Master Barang'!A8)</f>
        <v>PRL-007</v>
      </c>
      <c r="O24314" t="str">
        <f>IF(N24314="","",'Master Barang'!B8)</f>
        <v>plastik kresek besar merah 50pc</v>
      </c>
      <c r="P24314">
        <f>IF(OR(M24314="",N24314=""),"",SUMIFS('Barang Keluar'!$E:$E,'Barang Keluar'!$A:$A,M24314,'Barang Keluar'!$C:$C,N24314))</f>
        <v>0</v>
      </c>
    </row>
    <row r="24315" spans="13:16">
      <c r="M24315" s="49">
        <f>IF($A$4+243&gt;$B$4,"",$A$4+243)</f>
        <v>46266</v>
      </c>
      <c r="N24315" t="str">
        <f>IF(M24315="","",'Master Barang'!A9)</f>
        <v>PRL-008</v>
      </c>
      <c r="O24315" t="str">
        <f>IF(N24315="","",'Master Barang'!B9)</f>
        <v>lap besar</v>
      </c>
      <c r="P24315">
        <f>IF(OR(M24315="",N24315=""),"",SUMIFS('Barang Keluar'!$E:$E,'Barang Keluar'!$A:$A,M24315,'Barang Keluar'!$C:$C,N24315))</f>
        <v>0</v>
      </c>
    </row>
    <row r="24316" spans="13:16">
      <c r="M24316" s="49">
        <f>IF($A$4+243&gt;$B$4,"",$A$4+243)</f>
        <v>46266</v>
      </c>
      <c r="N24316" t="str">
        <f>IF(M24316="","",'Master Barang'!A10)</f>
        <v>PRL-009</v>
      </c>
      <c r="O24316" t="str">
        <f>IF(N24316="","",'Master Barang'!B10)</f>
        <v>lap microfiber</v>
      </c>
      <c r="P24316">
        <f>IF(OR(M24316="",N24316=""),"",SUMIFS('Barang Keluar'!$E:$E,'Barang Keluar'!$A:$A,M24316,'Barang Keluar'!$C:$C,N24316))</f>
        <v>0</v>
      </c>
    </row>
    <row r="24317" spans="13:16">
      <c r="M24317" s="49">
        <f>IF($A$4+243&gt;$B$4,"",$A$4+243)</f>
        <v>46266</v>
      </c>
      <c r="N24317" t="str">
        <f>IF(M24317="","",'Master Barang'!A11)</f>
        <v>PRL-010</v>
      </c>
      <c r="O24317" t="str">
        <f>IF(N24317="","",'Master Barang'!B11)</f>
        <v>lap kecil</v>
      </c>
      <c r="P24317">
        <f>IF(OR(M24317="",N24317=""),"",SUMIFS('Barang Keluar'!$E:$E,'Barang Keluar'!$A:$A,M24317,'Barang Keluar'!$C:$C,N24317))</f>
        <v>0</v>
      </c>
    </row>
    <row r="24318" spans="13:16">
      <c r="M24318" s="49">
        <f>IF($A$4+243&gt;$B$4,"",$A$4+243)</f>
        <v>46266</v>
      </c>
      <c r="N24318" t="str">
        <f>IF(M24318="","",'Master Barang'!A12)</f>
        <v>PRL-011</v>
      </c>
      <c r="O24318" t="str">
        <f>IF(N24318="","",'Master Barang'!B12)</f>
        <v>kanebo kecil</v>
      </c>
      <c r="P24318">
        <f>IF(OR(M24318="",N24318=""),"",SUMIFS('Barang Keluar'!$E:$E,'Barang Keluar'!$A:$A,M24318,'Barang Keluar'!$C:$C,N24318))</f>
        <v>0</v>
      </c>
    </row>
    <row r="24319" spans="13:16">
      <c r="M24319" s="49">
        <f>IF($A$4+243&gt;$B$4,"",$A$4+243)</f>
        <v>46266</v>
      </c>
      <c r="N24319" t="str">
        <f>IF(M24319="","",'Master Barang'!A13)</f>
        <v>PRL-012</v>
      </c>
      <c r="O24319" t="str">
        <f>IF(N24319="","",'Master Barang'!B13)</f>
        <v>plastik 1/4kg joyoboyo 100 lembar</v>
      </c>
      <c r="P24319">
        <f>IF(OR(M24319="",N24319=""),"",SUMIFS('Barang Keluar'!$E:$E,'Barang Keluar'!$A:$A,M24319,'Barang Keluar'!$C:$C,N24319))</f>
        <v>0</v>
      </c>
    </row>
    <row r="24320" spans="13:16">
      <c r="M24320" s="49">
        <f>IF($A$4+243&gt;$B$4,"",$A$4+243)</f>
        <v>46266</v>
      </c>
      <c r="N24320" t="str">
        <f>IF(M24320="","",'Master Barang'!A14)</f>
        <v>PRL-013</v>
      </c>
      <c r="O24320" t="str">
        <f>IF(N24320="","",'Master Barang'!B14)</f>
        <v>sarung tangan plastik kaka 100 pcs</v>
      </c>
      <c r="P24320">
        <f>IF(OR(M24320="",N24320=""),"",SUMIFS('Barang Keluar'!$E:$E,'Barang Keluar'!$A:$A,M24320,'Barang Keluar'!$C:$C,N24320))</f>
        <v>0</v>
      </c>
    </row>
    <row r="24321" spans="13:16">
      <c r="M24321" s="49">
        <f>IF($A$4+243&gt;$B$4,"",$A$4+243)</f>
        <v>46266</v>
      </c>
      <c r="N24321" t="str">
        <f>IF(M24321="","",'Master Barang'!A15)</f>
        <v>PRL-014</v>
      </c>
      <c r="O24321" t="str">
        <f>IF(N24321="","",'Master Barang'!B15)</f>
        <v>optima trashbag 80x100</v>
      </c>
      <c r="P24321">
        <f>IF(OR(M24321="",N24321=""),"",SUMIFS('Barang Keluar'!$E:$E,'Barang Keluar'!$A:$A,M24321,'Barang Keluar'!$C:$C,N24321))</f>
        <v>0</v>
      </c>
    </row>
    <row r="24322" spans="13:16">
      <c r="M24322" s="49">
        <f>IF($A$4+243&gt;$B$4,"",$A$4+243)</f>
        <v>46266</v>
      </c>
      <c r="N24322" t="str">
        <f>IF(M24322="","",'Master Barang'!A16)</f>
        <v>PRL-015</v>
      </c>
      <c r="O24322" t="str">
        <f>IF(N24322="","",'Master Barang'!B16)</f>
        <v>optima trashbag 60x100</v>
      </c>
      <c r="P24322">
        <f>IF(OR(M24322="",N24322=""),"",SUMIFS('Barang Keluar'!$E:$E,'Barang Keluar'!$A:$A,M24322,'Barang Keluar'!$C:$C,N24322))</f>
        <v>0</v>
      </c>
    </row>
    <row r="24323" spans="13:16">
      <c r="M24323" s="49">
        <f>IF($A$4+243&gt;$B$4,"",$A$4+243)</f>
        <v>46266</v>
      </c>
      <c r="N24323" t="str">
        <f>IF(M24323="","",'Master Barang'!A17)</f>
        <v>PRL-016</v>
      </c>
      <c r="O24323" t="str">
        <f>IF(N24323="","",'Master Barang'!B17)</f>
        <v>rajawali trashbag 30x40</v>
      </c>
      <c r="P24323">
        <f>IF(OR(M24323="",N24323=""),"",SUMIFS('Barang Keluar'!$E:$E,'Barang Keluar'!$A:$A,M24323,'Barang Keluar'!$C:$C,N24323))</f>
        <v>0</v>
      </c>
    </row>
    <row r="24324" spans="13:16">
      <c r="M24324" s="49">
        <f>IF($A$4+243&gt;$B$4,"",$A$4+243)</f>
        <v>46266</v>
      </c>
      <c r="N24324" t="str">
        <f>IF(M24324="","",'Master Barang'!A18)</f>
        <v>PRL-017</v>
      </c>
      <c r="O24324" t="str">
        <f>IF(N24324="","",'Master Barang'!B18)</f>
        <v>onemed masker biru 3 play 50 pcs</v>
      </c>
      <c r="P24324">
        <f>IF(OR(M24324="",N24324=""),"",SUMIFS('Barang Keluar'!$E:$E,'Barang Keluar'!$A:$A,M24324,'Barang Keluar'!$C:$C,N24324))</f>
        <v>0</v>
      </c>
    </row>
    <row r="24325" spans="13:16">
      <c r="M24325" s="49">
        <f>IF($A$4+243&gt;$B$4,"",$A$4+243)</f>
        <v>46266</v>
      </c>
      <c r="N24325" t="str">
        <f>IF(M24325="","",'Master Barang'!A19)</f>
        <v>PRL-018</v>
      </c>
      <c r="O24325" t="str">
        <f>IF(N24325="","",'Master Barang'!B19)</f>
        <v>onemed masker biru 3 play hijab 50 pcs</v>
      </c>
      <c r="P24325">
        <f>IF(OR(M24325="",N24325=""),"",SUMIFS('Barang Keluar'!$E:$E,'Barang Keluar'!$A:$A,M24325,'Barang Keluar'!$C:$C,N24325))</f>
        <v>0</v>
      </c>
    </row>
    <row r="24326" spans="13:16">
      <c r="M24326" s="49">
        <f>IF($A$4+243&gt;$B$4,"",$A$4+243)</f>
        <v>46266</v>
      </c>
      <c r="N24326" t="str">
        <f>IF(M24326="","",'Master Barang'!A20)</f>
        <v>PRL-019</v>
      </c>
      <c r="O24326" t="str">
        <f>IF(N24326="","",'Master Barang'!B20)</f>
        <v>neo health masker biru 3 play 50 pcs</v>
      </c>
      <c r="P24326">
        <f>IF(OR(M24326="",N24326=""),"",SUMIFS('Barang Keluar'!$E:$E,'Barang Keluar'!$A:$A,M24326,'Barang Keluar'!$C:$C,N24326))</f>
        <v>0</v>
      </c>
    </row>
    <row r="24327" spans="13:16">
      <c r="M24327" s="49">
        <f>IF($A$4+243&gt;$B$4,"",$A$4+243)</f>
        <v>46266</v>
      </c>
      <c r="N24327" t="str">
        <f>IF(M24327="","",'Master Barang'!A21)</f>
        <v>PRL-020</v>
      </c>
      <c r="O24327" t="str">
        <f>IF(N24327="","",'Master Barang'!B21)</f>
        <v>baymed masker hijau 3 play hijau 50 pcs</v>
      </c>
      <c r="P24327">
        <f>IF(OR(M24327="",N24327=""),"",SUMIFS('Barang Keluar'!$E:$E,'Barang Keluar'!$A:$A,M24327,'Barang Keluar'!$C:$C,N24327))</f>
        <v>0</v>
      </c>
    </row>
    <row r="24328" spans="13:16">
      <c r="M24328" s="49">
        <f>IF($A$4+243&gt;$B$4,"",$A$4+243)</f>
        <v>46266</v>
      </c>
      <c r="N24328" t="str">
        <f>IF(M24328="","",'Master Barang'!A22)</f>
        <v>PRL-021</v>
      </c>
      <c r="O24328" t="str">
        <f>IF(N24328="","",'Master Barang'!B22)</f>
        <v>altamed nurse cap penutup kepala 100 pcs</v>
      </c>
      <c r="P24328">
        <f>IF(OR(M24328="",N24328=""),"",SUMIFS('Barang Keluar'!$E:$E,'Barang Keluar'!$A:$A,M24328,'Barang Keluar'!$C:$C,N24328))</f>
        <v>0</v>
      </c>
    </row>
    <row r="24329" spans="13:16">
      <c r="M24329" s="49">
        <f>IF($A$4+243&gt;$B$4,"",$A$4+243)</f>
        <v>46266</v>
      </c>
      <c r="N24329" t="str">
        <f>IF(M24329="","",'Master Barang'!A23)</f>
        <v>PRL-022</v>
      </c>
      <c r="O24329" t="str">
        <f>IF(N24329="","",'Master Barang'!B23)</f>
        <v>sabun cuci tangan</v>
      </c>
      <c r="P24329">
        <f>IF(OR(M24329="",N24329=""),"",SUMIFS('Barang Keluar'!$E:$E,'Barang Keluar'!$A:$A,M24329,'Barang Keluar'!$C:$C,N24329))</f>
        <v>0</v>
      </c>
    </row>
    <row r="24330" spans="13:16">
      <c r="M24330" s="49">
        <f>IF($A$4+243&gt;$B$4,"",$A$4+243)</f>
        <v>46266</v>
      </c>
      <c r="N24330" t="str">
        <f>IF(M24330="","",'Master Barang'!A24)</f>
        <v>PRL-023</v>
      </c>
      <c r="O24330" t="str">
        <f>IF(N24330="","",'Master Barang'!B24)</f>
        <v>gayung kecil</v>
      </c>
      <c r="P24330">
        <f>IF(OR(M24330="",N24330=""),"",SUMIFS('Barang Keluar'!$E:$E,'Barang Keluar'!$A:$A,M24330,'Barang Keluar'!$C:$C,N24330))</f>
        <v>0</v>
      </c>
    </row>
    <row r="24331" spans="13:16">
      <c r="M24331" s="49">
        <f>IF($A$4+243&gt;$B$4,"",$A$4+243)</f>
        <v>46266</v>
      </c>
      <c r="N24331" t="str">
        <f>IF(M24331="","",'Master Barang'!A25)</f>
        <v>PRL-024</v>
      </c>
      <c r="O24331" t="str">
        <f>IF(N24331="","",'Master Barang'!B25)</f>
        <v>cikrak kecil</v>
      </c>
      <c r="P24331">
        <f>IF(OR(M24331="",N24331=""),"",SUMIFS('Barang Keluar'!$E:$E,'Barang Keluar'!$A:$A,M24331,'Barang Keluar'!$C:$C,N24331))</f>
        <v>0</v>
      </c>
    </row>
    <row r="24332" spans="13:16">
      <c r="M24332" s="49">
        <f>IF($A$4+243&gt;$B$4,"",$A$4+243)</f>
        <v>46266</v>
      </c>
      <c r="N24332" t="str">
        <f>IF(M24332="","",'Master Barang'!A26)</f>
        <v>PRL-025</v>
      </c>
      <c r="O24332" t="str">
        <f>IF(N24332="","",'Master Barang'!B26)</f>
        <v>petromax plastik kecil 12x24 100 lembar</v>
      </c>
      <c r="P24332">
        <f>IF(OR(M24332="",N24332=""),"",SUMIFS('Barang Keluar'!$E:$E,'Barang Keluar'!$A:$A,M24332,'Barang Keluar'!$C:$C,N24332))</f>
        <v>0</v>
      </c>
    </row>
    <row r="24333" spans="13:16">
      <c r="M24333" s="49">
        <f>IF($A$4+243&gt;$B$4,"",$A$4+243)</f>
        <v>46266</v>
      </c>
      <c r="N24333" t="str">
        <f>IF(M24333="","",'Master Barang'!A27)</f>
        <v>PRL-026</v>
      </c>
      <c r="O24333" t="str">
        <f>IF(N24333="","",'Master Barang'!B27)</f>
        <v>lancar kresek kecil bening </v>
      </c>
      <c r="P24333">
        <f>IF(OR(M24333="",N24333=""),"",SUMIFS('Barang Keluar'!$E:$E,'Barang Keluar'!$A:$A,M24333,'Barang Keluar'!$C:$C,N24333))</f>
        <v>0</v>
      </c>
    </row>
    <row r="24334" spans="13:16">
      <c r="M24334" s="49">
        <f>IF($A$4+243&gt;$B$4,"",$A$4+243)</f>
        <v>46266</v>
      </c>
      <c r="N24334" t="str">
        <f>IF(M24334="","",'Master Barang'!A28)</f>
        <v>PRL-027</v>
      </c>
      <c r="O24334" t="str">
        <f>IF(N24334="","",'Master Barang'!B28)</f>
        <v>kresek klin warna warni kecil</v>
      </c>
      <c r="P24334">
        <f>IF(OR(M24334="",N24334=""),"",SUMIFS('Barang Keluar'!$E:$E,'Barang Keluar'!$A:$A,M24334,'Barang Keluar'!$C:$C,N24334))</f>
        <v>0</v>
      </c>
    </row>
    <row r="24335" spans="13:16">
      <c r="M24335" s="49">
        <f>IF($A$4+243&gt;$B$4,"",$A$4+243)</f>
        <v>46266</v>
      </c>
      <c r="N24335" t="str">
        <f>IF(M24335="","",'Master Barang'!A29)</f>
        <v>PRL-028</v>
      </c>
      <c r="O24335" t="str">
        <f>IF(N24335="","",'Master Barang'!B29)</f>
        <v>ctik plastik 7x10 100 pcs</v>
      </c>
      <c r="P24335">
        <f>IF(OR(M24335="",N24335=""),"",SUMIFS('Barang Keluar'!$E:$E,'Barang Keluar'!$A:$A,M24335,'Barang Keluar'!$C:$C,N24335))</f>
        <v>0</v>
      </c>
    </row>
    <row r="24336" spans="13:16">
      <c r="M24336" s="49">
        <f>IF($A$4+243&gt;$B$4,"",$A$4+243)</f>
        <v>46266</v>
      </c>
      <c r="N24336" t="str">
        <f>IF(M24336="","",'Master Barang'!A30)</f>
        <v>PRL-029</v>
      </c>
      <c r="O24336" t="str">
        <f>IF(N24336="","",'Master Barang'!B30)</f>
        <v>ctik plastik 6x10 100 pcs</v>
      </c>
      <c r="P24336">
        <f>IF(OR(M24336="",N24336=""),"",SUMIFS('Barang Keluar'!$E:$E,'Barang Keluar'!$A:$A,M24336,'Barang Keluar'!$C:$C,N24336))</f>
        <v>0</v>
      </c>
    </row>
    <row r="24337" spans="13:16">
      <c r="M24337" s="49">
        <f>IF($A$4+243&gt;$B$4,"",$A$4+243)</f>
        <v>46266</v>
      </c>
      <c r="N24337" t="str">
        <f>IF(M24337="","",'Master Barang'!A31)</f>
        <v>PRL-030</v>
      </c>
      <c r="O24337" t="str">
        <f>IF(N24337="","",'Master Barang'!B31)</f>
        <v>klip plastik 25x16 100 pcs</v>
      </c>
      <c r="P24337">
        <f>IF(OR(M24337="",N24337=""),"",SUMIFS('Barang Keluar'!$E:$E,'Barang Keluar'!$A:$A,M24337,'Barang Keluar'!$C:$C,N24337))</f>
        <v>0</v>
      </c>
    </row>
    <row r="24338" spans="13:16">
      <c r="M24338" s="49">
        <f>IF($A$4+243&gt;$B$4,"",$A$4+243)</f>
        <v>46266</v>
      </c>
      <c r="N24338" t="str">
        <f>IF(M24338="","",'Master Barang'!A32)</f>
        <v>PRL-031</v>
      </c>
      <c r="O24338" t="str">
        <f>IF(N24338="","",'Master Barang'!B32)</f>
        <v>tempat saus 20 ml</v>
      </c>
      <c r="P24338">
        <f>IF(OR(M24338="",N24338=""),"",SUMIFS('Barang Keluar'!$E:$E,'Barang Keluar'!$A:$A,M24338,'Barang Keluar'!$C:$C,N24338))</f>
        <v>0</v>
      </c>
    </row>
    <row r="24339" spans="13:16">
      <c r="M24339" s="49">
        <f>IF($A$4+243&gt;$B$4,"",$A$4+243)</f>
        <v>46266</v>
      </c>
      <c r="N24339" t="str">
        <f>IF(M24339="","",'Master Barang'!A33)</f>
        <v>PRL-032</v>
      </c>
      <c r="O24339" t="str">
        <f>IF(N24339="","",'Master Barang'!B33)</f>
        <v>plastik packaging ag box uk sedang</v>
      </c>
      <c r="P24339">
        <f>IF(OR(M24339="",N24339=""),"",SUMIFS('Barang Keluar'!$E:$E,'Barang Keluar'!$A:$A,M24339,'Barang Keluar'!$C:$C,N24339))</f>
        <v>0</v>
      </c>
    </row>
    <row r="24340" spans="13:16">
      <c r="M24340" s="49">
        <f>IF($A$4+243&gt;$B$4,"",$A$4+243)</f>
        <v>46266</v>
      </c>
      <c r="N24340" t="str">
        <f>IF(M24340="","",'Master Barang'!A34)</f>
        <v>PRL-033</v>
      </c>
      <c r="O24340">
        <f>IF(N24340="","",'Master Barang'!B34)</f>
        <v>0</v>
      </c>
      <c r="P24340">
        <f>IF(OR(M24340="",N24340=""),"",SUMIFS('Barang Keluar'!$E:$E,'Barang Keluar'!$A:$A,M24340,'Barang Keluar'!$C:$C,N24340))</f>
        <v>0</v>
      </c>
    </row>
    <row r="24341" spans="13:16">
      <c r="M24341" s="49">
        <f>IF($A$4+243&gt;$B$4,"",$A$4+243)</f>
        <v>46266</v>
      </c>
      <c r="N24341">
        <f>IF(M24341="","",'Master Barang'!A35)</f>
        <v>0</v>
      </c>
      <c r="O24341">
        <f>IF(N24341="","",'Master Barang'!B35)</f>
        <v>0</v>
      </c>
      <c r="P24341">
        <f>IF(OR(M24341="",N24341=""),"",SUMIFS('Barang Keluar'!$E:$E,'Barang Keluar'!$A:$A,M24341,'Barang Keluar'!$C:$C,N24341))</f>
        <v>0</v>
      </c>
    </row>
    <row r="24342" spans="13:16">
      <c r="M24342" s="49">
        <f>IF($A$4+243&gt;$B$4,"",$A$4+243)</f>
        <v>46266</v>
      </c>
      <c r="N24342">
        <f>IF(M24342="","",'Master Barang'!A36)</f>
        <v>0</v>
      </c>
      <c r="O24342">
        <f>IF(N24342="","",'Master Barang'!B36)</f>
        <v>0</v>
      </c>
      <c r="P24342">
        <f>IF(OR(M24342="",N24342=""),"",SUMIFS('Barang Keluar'!$E:$E,'Barang Keluar'!$A:$A,M24342,'Barang Keluar'!$C:$C,N24342))</f>
        <v>0</v>
      </c>
    </row>
    <row r="24343" spans="13:16">
      <c r="M24343" s="49">
        <f>IF($A$4+243&gt;$B$4,"",$A$4+243)</f>
        <v>46266</v>
      </c>
      <c r="N24343">
        <f>IF(M24343="","",'Master Barang'!A37)</f>
        <v>0</v>
      </c>
      <c r="O24343">
        <f>IF(N24343="","",'Master Barang'!B37)</f>
        <v>0</v>
      </c>
      <c r="P24343">
        <f>IF(OR(M24343="",N24343=""),"",SUMIFS('Barang Keluar'!$E:$E,'Barang Keluar'!$A:$A,M24343,'Barang Keluar'!$C:$C,N24343))</f>
        <v>0</v>
      </c>
    </row>
    <row r="24344" spans="13:16">
      <c r="M24344" s="49">
        <f>IF($A$4+243&gt;$B$4,"",$A$4+243)</f>
        <v>46266</v>
      </c>
      <c r="N24344">
        <f>IF(M24344="","",'Master Barang'!A38)</f>
        <v>0</v>
      </c>
      <c r="O24344">
        <f>IF(N24344="","",'Master Barang'!B38)</f>
        <v>0</v>
      </c>
      <c r="P24344">
        <f>IF(OR(M24344="",N24344=""),"",SUMIFS('Barang Keluar'!$E:$E,'Barang Keluar'!$A:$A,M24344,'Barang Keluar'!$C:$C,N24344))</f>
        <v>0</v>
      </c>
    </row>
    <row r="24345" spans="13:16">
      <c r="M24345" s="49">
        <f>IF($A$4+243&gt;$B$4,"",$A$4+243)</f>
        <v>46266</v>
      </c>
      <c r="N24345">
        <f>IF(M24345="","",'Master Barang'!A39)</f>
        <v>0</v>
      </c>
      <c r="O24345">
        <f>IF(N24345="","",'Master Barang'!B39)</f>
        <v>0</v>
      </c>
      <c r="P24345">
        <f>IF(OR(M24345="",N24345=""),"",SUMIFS('Barang Keluar'!$E:$E,'Barang Keluar'!$A:$A,M24345,'Barang Keluar'!$C:$C,N24345))</f>
        <v>0</v>
      </c>
    </row>
    <row r="24346" spans="13:16">
      <c r="M24346" s="49">
        <f>IF($A$4+243&gt;$B$4,"",$A$4+243)</f>
        <v>46266</v>
      </c>
      <c r="N24346">
        <f>IF(M24346="","",'Master Barang'!A40)</f>
        <v>0</v>
      </c>
      <c r="O24346">
        <f>IF(N24346="","",'Master Barang'!B40)</f>
        <v>0</v>
      </c>
      <c r="P24346">
        <f>IF(OR(M24346="",N24346=""),"",SUMIFS('Barang Keluar'!$E:$E,'Barang Keluar'!$A:$A,M24346,'Barang Keluar'!$C:$C,N24346))</f>
        <v>0</v>
      </c>
    </row>
    <row r="24347" spans="13:16">
      <c r="M24347" s="49">
        <f>IF($A$4+243&gt;$B$4,"",$A$4+243)</f>
        <v>46266</v>
      </c>
      <c r="N24347">
        <f>IF(M24347="","",'Master Barang'!A41)</f>
        <v>0</v>
      </c>
      <c r="O24347">
        <f>IF(N24347="","",'Master Barang'!B41)</f>
        <v>0</v>
      </c>
      <c r="P24347">
        <f>IF(OR(M24347="",N24347=""),"",SUMIFS('Barang Keluar'!$E:$E,'Barang Keluar'!$A:$A,M24347,'Barang Keluar'!$C:$C,N24347))</f>
        <v>0</v>
      </c>
    </row>
    <row r="24348" spans="13:16">
      <c r="M24348" s="49">
        <f>IF($A$4+243&gt;$B$4,"",$A$4+243)</f>
        <v>46266</v>
      </c>
      <c r="N24348">
        <f>IF(M24348="","",'Master Barang'!A42)</f>
        <v>0</v>
      </c>
      <c r="O24348">
        <f>IF(N24348="","",'Master Barang'!B42)</f>
        <v>0</v>
      </c>
      <c r="P24348">
        <f>IF(OR(M24348="",N24348=""),"",SUMIFS('Barang Keluar'!$E:$E,'Barang Keluar'!$A:$A,M24348,'Barang Keluar'!$C:$C,N24348))</f>
        <v>0</v>
      </c>
    </row>
    <row r="24349" spans="13:16">
      <c r="M24349" s="49">
        <f>IF($A$4+243&gt;$B$4,"",$A$4+243)</f>
        <v>46266</v>
      </c>
      <c r="N24349">
        <f>IF(M24349="","",'Master Barang'!A43)</f>
        <v>0</v>
      </c>
      <c r="O24349">
        <f>IF(N24349="","",'Master Barang'!B43)</f>
        <v>0</v>
      </c>
      <c r="P24349">
        <f>IF(OR(M24349="",N24349=""),"",SUMIFS('Barang Keluar'!$E:$E,'Barang Keluar'!$A:$A,M24349,'Barang Keluar'!$C:$C,N24349))</f>
        <v>0</v>
      </c>
    </row>
    <row r="24350" spans="13:16">
      <c r="M24350" s="49">
        <f>IF($A$4+243&gt;$B$4,"",$A$4+243)</f>
        <v>46266</v>
      </c>
      <c r="N24350">
        <f>IF(M24350="","",'Master Barang'!A44)</f>
        <v>0</v>
      </c>
      <c r="O24350">
        <f>IF(N24350="","",'Master Barang'!B44)</f>
        <v>0</v>
      </c>
      <c r="P24350">
        <f>IF(OR(M24350="",N24350=""),"",SUMIFS('Barang Keluar'!$E:$E,'Barang Keluar'!$A:$A,M24350,'Barang Keluar'!$C:$C,N24350))</f>
        <v>0</v>
      </c>
    </row>
    <row r="24351" spans="13:16">
      <c r="M24351" s="49">
        <f>IF($A$4+243&gt;$B$4,"",$A$4+243)</f>
        <v>46266</v>
      </c>
      <c r="N24351">
        <f>IF(M24351="","",'Master Barang'!A45)</f>
        <v>0</v>
      </c>
      <c r="O24351">
        <f>IF(N24351="","",'Master Barang'!B45)</f>
        <v>0</v>
      </c>
      <c r="P24351">
        <f>IF(OR(M24351="",N24351=""),"",SUMIFS('Barang Keluar'!$E:$E,'Barang Keluar'!$A:$A,M24351,'Barang Keluar'!$C:$C,N24351))</f>
        <v>0</v>
      </c>
    </row>
    <row r="24352" spans="13:16">
      <c r="M24352" s="49">
        <f>IF($A$4+243&gt;$B$4,"",$A$4+243)</f>
        <v>46266</v>
      </c>
      <c r="N24352">
        <f>IF(M24352="","",'Master Barang'!A46)</f>
        <v>0</v>
      </c>
      <c r="O24352">
        <f>IF(N24352="","",'Master Barang'!B46)</f>
        <v>0</v>
      </c>
      <c r="P24352">
        <f>IF(OR(M24352="",N24352=""),"",SUMIFS('Barang Keluar'!$E:$E,'Barang Keluar'!$A:$A,M24352,'Barang Keluar'!$C:$C,N24352))</f>
        <v>0</v>
      </c>
    </row>
    <row r="24353" spans="13:16">
      <c r="M24353" s="49">
        <f>IF($A$4+243&gt;$B$4,"",$A$4+243)</f>
        <v>46266</v>
      </c>
      <c r="N24353">
        <f>IF(M24353="","",'Master Barang'!A47)</f>
        <v>0</v>
      </c>
      <c r="O24353">
        <f>IF(N24353="","",'Master Barang'!B47)</f>
        <v>0</v>
      </c>
      <c r="P24353">
        <f>IF(OR(M24353="",N24353=""),"",SUMIFS('Barang Keluar'!$E:$E,'Barang Keluar'!$A:$A,M24353,'Barang Keluar'!$C:$C,N24353))</f>
        <v>0</v>
      </c>
    </row>
    <row r="24354" spans="13:16">
      <c r="M24354" s="49">
        <f>IF($A$4+243&gt;$B$4,"",$A$4+243)</f>
        <v>46266</v>
      </c>
      <c r="N24354">
        <f>IF(M24354="","",'Master Barang'!A48)</f>
        <v>0</v>
      </c>
      <c r="O24354">
        <f>IF(N24354="","",'Master Barang'!B48)</f>
        <v>0</v>
      </c>
      <c r="P24354">
        <f>IF(OR(M24354="",N24354=""),"",SUMIFS('Barang Keluar'!$E:$E,'Barang Keluar'!$A:$A,M24354,'Barang Keluar'!$C:$C,N24354))</f>
        <v>0</v>
      </c>
    </row>
    <row r="24355" spans="13:16">
      <c r="M24355" s="49">
        <f>IF($A$4+243&gt;$B$4,"",$A$4+243)</f>
        <v>46266</v>
      </c>
      <c r="N24355">
        <f>IF(M24355="","",'Master Barang'!A49)</f>
        <v>0</v>
      </c>
      <c r="O24355">
        <f>IF(N24355="","",'Master Barang'!B49)</f>
        <v>0</v>
      </c>
      <c r="P24355">
        <f>IF(OR(M24355="",N24355=""),"",SUMIFS('Barang Keluar'!$E:$E,'Barang Keluar'!$A:$A,M24355,'Barang Keluar'!$C:$C,N24355))</f>
        <v>0</v>
      </c>
    </row>
    <row r="24356" spans="13:16">
      <c r="M24356" s="49">
        <f>IF($A$4+243&gt;$B$4,"",$A$4+243)</f>
        <v>46266</v>
      </c>
      <c r="N24356">
        <f>IF(M24356="","",'Master Barang'!A50)</f>
        <v>0</v>
      </c>
      <c r="O24356">
        <f>IF(N24356="","",'Master Barang'!B50)</f>
        <v>0</v>
      </c>
      <c r="P24356">
        <f>IF(OR(M24356="",N24356=""),"",SUMIFS('Barang Keluar'!$E:$E,'Barang Keluar'!$A:$A,M24356,'Barang Keluar'!$C:$C,N24356))</f>
        <v>0</v>
      </c>
    </row>
    <row r="24357" spans="13:16">
      <c r="M24357" s="49">
        <f>IF($A$4+243&gt;$B$4,"",$A$4+243)</f>
        <v>46266</v>
      </c>
      <c r="N24357">
        <f>IF(M24357="","",'Master Barang'!A51)</f>
        <v>0</v>
      </c>
      <c r="O24357">
        <f>IF(N24357="","",'Master Barang'!B51)</f>
        <v>0</v>
      </c>
      <c r="P24357">
        <f>IF(OR(M24357="",N24357=""),"",SUMIFS('Barang Keluar'!$E:$E,'Barang Keluar'!$A:$A,M24357,'Barang Keluar'!$C:$C,N24357))</f>
        <v>0</v>
      </c>
    </row>
    <row r="24358" spans="13:16">
      <c r="M24358" s="49">
        <f>IF($A$4+243&gt;$B$4,"",$A$4+243)</f>
        <v>46266</v>
      </c>
      <c r="N24358">
        <f>IF(M24358="","",'Master Barang'!A52)</f>
        <v>0</v>
      </c>
      <c r="O24358">
        <f>IF(N24358="","",'Master Barang'!B52)</f>
        <v>0</v>
      </c>
      <c r="P24358">
        <f>IF(OR(M24358="",N24358=""),"",SUMIFS('Barang Keluar'!$E:$E,'Barang Keluar'!$A:$A,M24358,'Barang Keluar'!$C:$C,N24358))</f>
        <v>0</v>
      </c>
    </row>
    <row r="24359" spans="13:16">
      <c r="M24359" s="49">
        <f>IF($A$4+243&gt;$B$4,"",$A$4+243)</f>
        <v>46266</v>
      </c>
      <c r="N24359">
        <f>IF(M24359="","",'Master Barang'!A53)</f>
        <v>0</v>
      </c>
      <c r="O24359">
        <f>IF(N24359="","",'Master Barang'!B53)</f>
        <v>0</v>
      </c>
      <c r="P24359">
        <f>IF(OR(M24359="",N24359=""),"",SUMIFS('Barang Keluar'!$E:$E,'Barang Keluar'!$A:$A,M24359,'Barang Keluar'!$C:$C,N24359))</f>
        <v>0</v>
      </c>
    </row>
    <row r="24360" spans="13:16">
      <c r="M24360" s="49">
        <f>IF($A$4+243&gt;$B$4,"",$A$4+243)</f>
        <v>46266</v>
      </c>
      <c r="N24360">
        <f>IF(M24360="","",'Master Barang'!A54)</f>
        <v>0</v>
      </c>
      <c r="O24360">
        <f>IF(N24360="","",'Master Barang'!B54)</f>
        <v>0</v>
      </c>
      <c r="P24360">
        <f>IF(OR(M24360="",N24360=""),"",SUMIFS('Barang Keluar'!$E:$E,'Barang Keluar'!$A:$A,M24360,'Barang Keluar'!$C:$C,N24360))</f>
        <v>0</v>
      </c>
    </row>
    <row r="24361" spans="13:16">
      <c r="M24361" s="49">
        <f>IF($A$4+243&gt;$B$4,"",$A$4+243)</f>
        <v>46266</v>
      </c>
      <c r="N24361">
        <f>IF(M24361="","",'Master Barang'!A55)</f>
        <v>0</v>
      </c>
      <c r="O24361">
        <f>IF(N24361="","",'Master Barang'!B55)</f>
        <v>0</v>
      </c>
      <c r="P24361">
        <f>IF(OR(M24361="",N24361=""),"",SUMIFS('Barang Keluar'!$E:$E,'Barang Keluar'!$A:$A,M24361,'Barang Keluar'!$C:$C,N24361))</f>
        <v>0</v>
      </c>
    </row>
    <row r="24362" spans="13:16">
      <c r="M24362" s="49">
        <f>IF($A$4+243&gt;$B$4,"",$A$4+243)</f>
        <v>46266</v>
      </c>
      <c r="N24362">
        <f>IF(M24362="","",'Master Barang'!A56)</f>
        <v>0</v>
      </c>
      <c r="O24362">
        <f>IF(N24362="","",'Master Barang'!B56)</f>
        <v>0</v>
      </c>
      <c r="P24362">
        <f>IF(OR(M24362="",N24362=""),"",SUMIFS('Barang Keluar'!$E:$E,'Barang Keluar'!$A:$A,M24362,'Barang Keluar'!$C:$C,N24362))</f>
        <v>0</v>
      </c>
    </row>
    <row r="24363" spans="13:16">
      <c r="M24363" s="49">
        <f>IF($A$4+243&gt;$B$4,"",$A$4+243)</f>
        <v>46266</v>
      </c>
      <c r="N24363">
        <f>IF(M24363="","",'Master Barang'!A57)</f>
        <v>0</v>
      </c>
      <c r="O24363">
        <f>IF(N24363="","",'Master Barang'!B57)</f>
        <v>0</v>
      </c>
      <c r="P24363">
        <f>IF(OR(M24363="",N24363=""),"",SUMIFS('Barang Keluar'!$E:$E,'Barang Keluar'!$A:$A,M24363,'Barang Keluar'!$C:$C,N24363))</f>
        <v>0</v>
      </c>
    </row>
    <row r="24364" spans="13:16">
      <c r="M24364" s="49">
        <f>IF($A$4+243&gt;$B$4,"",$A$4+243)</f>
        <v>46266</v>
      </c>
      <c r="N24364">
        <f>IF(M24364="","",'Master Barang'!A58)</f>
        <v>0</v>
      </c>
      <c r="O24364">
        <f>IF(N24364="","",'Master Barang'!B58)</f>
        <v>0</v>
      </c>
      <c r="P24364">
        <f>IF(OR(M24364="",N24364=""),"",SUMIFS('Barang Keluar'!$E:$E,'Barang Keluar'!$A:$A,M24364,'Barang Keluar'!$C:$C,N24364))</f>
        <v>0</v>
      </c>
    </row>
    <row r="24365" spans="13:16">
      <c r="M24365" s="49">
        <f>IF($A$4+243&gt;$B$4,"",$A$4+243)</f>
        <v>46266</v>
      </c>
      <c r="N24365">
        <f>IF(M24365="","",'Master Barang'!A59)</f>
        <v>0</v>
      </c>
      <c r="O24365">
        <f>IF(N24365="","",'Master Barang'!B59)</f>
        <v>0</v>
      </c>
      <c r="P24365">
        <f>IF(OR(M24365="",N24365=""),"",SUMIFS('Barang Keluar'!$E:$E,'Barang Keluar'!$A:$A,M24365,'Barang Keluar'!$C:$C,N24365))</f>
        <v>0</v>
      </c>
    </row>
    <row r="24366" spans="13:16">
      <c r="M24366" s="49">
        <f>IF($A$4+243&gt;$B$4,"",$A$4+243)</f>
        <v>46266</v>
      </c>
      <c r="N24366">
        <f>IF(M24366="","",'Master Barang'!A60)</f>
        <v>0</v>
      </c>
      <c r="O24366">
        <f>IF(N24366="","",'Master Barang'!B60)</f>
        <v>0</v>
      </c>
      <c r="P24366">
        <f>IF(OR(M24366="",N24366=""),"",SUMIFS('Barang Keluar'!$E:$E,'Barang Keluar'!$A:$A,M24366,'Barang Keluar'!$C:$C,N24366))</f>
        <v>0</v>
      </c>
    </row>
    <row r="24367" spans="13:16">
      <c r="M24367" s="49">
        <f>IF($A$4+243&gt;$B$4,"",$A$4+243)</f>
        <v>46266</v>
      </c>
      <c r="N24367">
        <f>IF(M24367="","",'Master Barang'!A61)</f>
        <v>0</v>
      </c>
      <c r="O24367">
        <f>IF(N24367="","",'Master Barang'!B61)</f>
        <v>0</v>
      </c>
      <c r="P24367">
        <f>IF(OR(M24367="",N24367=""),"",SUMIFS('Barang Keluar'!$E:$E,'Barang Keluar'!$A:$A,M24367,'Barang Keluar'!$C:$C,N24367))</f>
        <v>0</v>
      </c>
    </row>
    <row r="24368" spans="13:16">
      <c r="M24368" s="49">
        <f>IF($A$4+243&gt;$B$4,"",$A$4+243)</f>
        <v>46266</v>
      </c>
      <c r="N24368">
        <f>IF(M24368="","",'Master Barang'!A62)</f>
        <v>0</v>
      </c>
      <c r="O24368">
        <f>IF(N24368="","",'Master Barang'!B62)</f>
        <v>0</v>
      </c>
      <c r="P24368">
        <f>IF(OR(M24368="",N24368=""),"",SUMIFS('Barang Keluar'!$E:$E,'Barang Keluar'!$A:$A,M24368,'Barang Keluar'!$C:$C,N24368))</f>
        <v>0</v>
      </c>
    </row>
    <row r="24369" spans="13:16">
      <c r="M24369" s="49">
        <f>IF($A$4+243&gt;$B$4,"",$A$4+243)</f>
        <v>46266</v>
      </c>
      <c r="N24369">
        <f>IF(M24369="","",'Master Barang'!A63)</f>
        <v>0</v>
      </c>
      <c r="O24369">
        <f>IF(N24369="","",'Master Barang'!B63)</f>
        <v>0</v>
      </c>
      <c r="P24369">
        <f>IF(OR(M24369="",N24369=""),"",SUMIFS('Barang Keluar'!$E:$E,'Barang Keluar'!$A:$A,M24369,'Barang Keluar'!$C:$C,N24369))</f>
        <v>0</v>
      </c>
    </row>
    <row r="24370" spans="13:16">
      <c r="M24370" s="49">
        <f>IF($A$4+243&gt;$B$4,"",$A$4+243)</f>
        <v>46266</v>
      </c>
      <c r="N24370">
        <f>IF(M24370="","",'Master Barang'!A64)</f>
        <v>0</v>
      </c>
      <c r="O24370">
        <f>IF(N24370="","",'Master Barang'!B64)</f>
        <v>0</v>
      </c>
      <c r="P24370">
        <f>IF(OR(M24370="",N24370=""),"",SUMIFS('Barang Keluar'!$E:$E,'Barang Keluar'!$A:$A,M24370,'Barang Keluar'!$C:$C,N24370))</f>
        <v>0</v>
      </c>
    </row>
    <row r="24371" spans="13:16">
      <c r="M24371" s="49">
        <f>IF($A$4+243&gt;$B$4,"",$A$4+243)</f>
        <v>46266</v>
      </c>
      <c r="N24371">
        <f>IF(M24371="","",'Master Barang'!A65)</f>
        <v>0</v>
      </c>
      <c r="O24371">
        <f>IF(N24371="","",'Master Barang'!B65)</f>
        <v>0</v>
      </c>
      <c r="P24371">
        <f>IF(OR(M24371="",N24371=""),"",SUMIFS('Barang Keluar'!$E:$E,'Barang Keluar'!$A:$A,M24371,'Barang Keluar'!$C:$C,N24371))</f>
        <v>0</v>
      </c>
    </row>
    <row r="24372" spans="13:16">
      <c r="M24372" s="49">
        <f>IF($A$4+243&gt;$B$4,"",$A$4+243)</f>
        <v>46266</v>
      </c>
      <c r="N24372">
        <f>IF(M24372="","",'Master Barang'!A66)</f>
        <v>0</v>
      </c>
      <c r="O24372">
        <f>IF(N24372="","",'Master Barang'!B66)</f>
        <v>0</v>
      </c>
      <c r="P24372">
        <f>IF(OR(M24372="",N24372=""),"",SUMIFS('Barang Keluar'!$E:$E,'Barang Keluar'!$A:$A,M24372,'Barang Keluar'!$C:$C,N24372))</f>
        <v>0</v>
      </c>
    </row>
    <row r="24373" spans="13:16">
      <c r="M24373" s="49">
        <f>IF($A$4+243&gt;$B$4,"",$A$4+243)</f>
        <v>46266</v>
      </c>
      <c r="N24373">
        <f>IF(M24373="","",'Master Barang'!A67)</f>
        <v>0</v>
      </c>
      <c r="O24373">
        <f>IF(N24373="","",'Master Barang'!B67)</f>
        <v>0</v>
      </c>
      <c r="P24373">
        <f>IF(OR(M24373="",N24373=""),"",SUMIFS('Barang Keluar'!$E:$E,'Barang Keluar'!$A:$A,M24373,'Barang Keluar'!$C:$C,N24373))</f>
        <v>0</v>
      </c>
    </row>
    <row r="24374" spans="13:16">
      <c r="M24374" s="49">
        <f>IF($A$4+243&gt;$B$4,"",$A$4+243)</f>
        <v>46266</v>
      </c>
      <c r="N24374">
        <f>IF(M24374="","",'Master Barang'!A68)</f>
        <v>0</v>
      </c>
      <c r="O24374">
        <f>IF(N24374="","",'Master Barang'!B68)</f>
        <v>0</v>
      </c>
      <c r="P24374">
        <f>IF(OR(M24374="",N24374=""),"",SUMIFS('Barang Keluar'!$E:$E,'Barang Keluar'!$A:$A,M24374,'Barang Keluar'!$C:$C,N24374))</f>
        <v>0</v>
      </c>
    </row>
    <row r="24375" spans="13:16">
      <c r="M24375" s="49">
        <f>IF($A$4+243&gt;$B$4,"",$A$4+243)</f>
        <v>46266</v>
      </c>
      <c r="N24375">
        <f>IF(M24375="","",'Master Barang'!A69)</f>
        <v>0</v>
      </c>
      <c r="O24375">
        <f>IF(N24375="","",'Master Barang'!B69)</f>
        <v>0</v>
      </c>
      <c r="P24375">
        <f>IF(OR(M24375="",N24375=""),"",SUMIFS('Barang Keluar'!$E:$E,'Barang Keluar'!$A:$A,M24375,'Barang Keluar'!$C:$C,N24375))</f>
        <v>0</v>
      </c>
    </row>
    <row r="24376" spans="13:16">
      <c r="M24376" s="49">
        <f>IF($A$4+243&gt;$B$4,"",$A$4+243)</f>
        <v>46266</v>
      </c>
      <c r="N24376">
        <f>IF(M24376="","",'Master Barang'!A70)</f>
        <v>0</v>
      </c>
      <c r="O24376">
        <f>IF(N24376="","",'Master Barang'!B70)</f>
        <v>0</v>
      </c>
      <c r="P24376">
        <f>IF(OR(M24376="",N24376=""),"",SUMIFS('Barang Keluar'!$E:$E,'Barang Keluar'!$A:$A,M24376,'Barang Keluar'!$C:$C,N24376))</f>
        <v>0</v>
      </c>
    </row>
    <row r="24377" spans="13:16">
      <c r="M24377" s="49">
        <f>IF($A$4+243&gt;$B$4,"",$A$4+243)</f>
        <v>46266</v>
      </c>
      <c r="N24377">
        <f>IF(M24377="","",'Master Barang'!A71)</f>
        <v>0</v>
      </c>
      <c r="O24377">
        <f>IF(N24377="","",'Master Barang'!B71)</f>
        <v>0</v>
      </c>
      <c r="P24377">
        <f>IF(OR(M24377="",N24377=""),"",SUMIFS('Barang Keluar'!$E:$E,'Barang Keluar'!$A:$A,M24377,'Barang Keluar'!$C:$C,N24377))</f>
        <v>0</v>
      </c>
    </row>
    <row r="24378" spans="13:16">
      <c r="M24378" s="49">
        <f>IF($A$4+243&gt;$B$4,"",$A$4+243)</f>
        <v>46266</v>
      </c>
      <c r="N24378">
        <f>IF(M24378="","",'Master Barang'!A72)</f>
        <v>0</v>
      </c>
      <c r="O24378">
        <f>IF(N24378="","",'Master Barang'!B72)</f>
        <v>0</v>
      </c>
      <c r="P24378">
        <f>IF(OR(M24378="",N24378=""),"",SUMIFS('Barang Keluar'!$E:$E,'Barang Keluar'!$A:$A,M24378,'Barang Keluar'!$C:$C,N24378))</f>
        <v>0</v>
      </c>
    </row>
    <row r="24379" spans="13:16">
      <c r="M24379" s="49">
        <f>IF($A$4+243&gt;$B$4,"",$A$4+243)</f>
        <v>46266</v>
      </c>
      <c r="N24379">
        <f>IF(M24379="","",'Master Barang'!A73)</f>
        <v>0</v>
      </c>
      <c r="O24379">
        <f>IF(N24379="","",'Master Barang'!B73)</f>
        <v>0</v>
      </c>
      <c r="P24379">
        <f>IF(OR(M24379="",N24379=""),"",SUMIFS('Barang Keluar'!$E:$E,'Barang Keluar'!$A:$A,M24379,'Barang Keluar'!$C:$C,N24379))</f>
        <v>0</v>
      </c>
    </row>
    <row r="24380" spans="13:16">
      <c r="M24380" s="49">
        <f>IF($A$4+243&gt;$B$4,"",$A$4+243)</f>
        <v>46266</v>
      </c>
      <c r="N24380">
        <f>IF(M24380="","",'Master Barang'!A74)</f>
        <v>0</v>
      </c>
      <c r="O24380">
        <f>IF(N24380="","",'Master Barang'!B74)</f>
        <v>0</v>
      </c>
      <c r="P24380">
        <f>IF(OR(M24380="",N24380=""),"",SUMIFS('Barang Keluar'!$E:$E,'Barang Keluar'!$A:$A,M24380,'Barang Keluar'!$C:$C,N24380))</f>
        <v>0</v>
      </c>
    </row>
    <row r="24381" spans="13:16">
      <c r="M24381" s="49">
        <f>IF($A$4+243&gt;$B$4,"",$A$4+243)</f>
        <v>46266</v>
      </c>
      <c r="N24381">
        <f>IF(M24381="","",'Master Barang'!A75)</f>
        <v>0</v>
      </c>
      <c r="O24381">
        <f>IF(N24381="","",'Master Barang'!B75)</f>
        <v>0</v>
      </c>
      <c r="P24381">
        <f>IF(OR(M24381="",N24381=""),"",SUMIFS('Barang Keluar'!$E:$E,'Barang Keluar'!$A:$A,M24381,'Barang Keluar'!$C:$C,N24381))</f>
        <v>0</v>
      </c>
    </row>
    <row r="24382" spans="13:16">
      <c r="M24382" s="49">
        <f>IF($A$4+243&gt;$B$4,"",$A$4+243)</f>
        <v>46266</v>
      </c>
      <c r="N24382">
        <f>IF(M24382="","",'Master Barang'!A76)</f>
        <v>0</v>
      </c>
      <c r="O24382">
        <f>IF(N24382="","",'Master Barang'!B76)</f>
        <v>0</v>
      </c>
      <c r="P24382">
        <f>IF(OR(M24382="",N24382=""),"",SUMIFS('Barang Keluar'!$E:$E,'Barang Keluar'!$A:$A,M24382,'Barang Keluar'!$C:$C,N24382))</f>
        <v>0</v>
      </c>
    </row>
    <row r="24383" spans="13:16">
      <c r="M24383" s="49">
        <f>IF($A$4+243&gt;$B$4,"",$A$4+243)</f>
        <v>46266</v>
      </c>
      <c r="N24383">
        <f>IF(M24383="","",'Master Barang'!A77)</f>
        <v>0</v>
      </c>
      <c r="O24383">
        <f>IF(N24383="","",'Master Barang'!B77)</f>
        <v>0</v>
      </c>
      <c r="P24383">
        <f>IF(OR(M24383="",N24383=""),"",SUMIFS('Barang Keluar'!$E:$E,'Barang Keluar'!$A:$A,M24383,'Barang Keluar'!$C:$C,N24383))</f>
        <v>0</v>
      </c>
    </row>
    <row r="24384" spans="13:16">
      <c r="M24384" s="49">
        <f>IF($A$4+243&gt;$B$4,"",$A$4+243)</f>
        <v>46266</v>
      </c>
      <c r="N24384">
        <f>IF(M24384="","",'Master Barang'!A78)</f>
        <v>0</v>
      </c>
      <c r="O24384">
        <f>IF(N24384="","",'Master Barang'!B78)</f>
        <v>0</v>
      </c>
      <c r="P24384">
        <f>IF(OR(M24384="",N24384=""),"",SUMIFS('Barang Keluar'!$E:$E,'Barang Keluar'!$A:$A,M24384,'Barang Keluar'!$C:$C,N24384))</f>
        <v>0</v>
      </c>
    </row>
    <row r="24385" spans="13:16">
      <c r="M24385" s="49">
        <f>IF($A$4+243&gt;$B$4,"",$A$4+243)</f>
        <v>46266</v>
      </c>
      <c r="N24385">
        <f>IF(M24385="","",'Master Barang'!A79)</f>
        <v>0</v>
      </c>
      <c r="O24385">
        <f>IF(N24385="","",'Master Barang'!B79)</f>
        <v>0</v>
      </c>
      <c r="P24385">
        <f>IF(OR(M24385="",N24385=""),"",SUMIFS('Barang Keluar'!$E:$E,'Barang Keluar'!$A:$A,M24385,'Barang Keluar'!$C:$C,N24385))</f>
        <v>0</v>
      </c>
    </row>
    <row r="24386" spans="13:16">
      <c r="M24386" s="49">
        <f>IF($A$4+243&gt;$B$4,"",$A$4+243)</f>
        <v>46266</v>
      </c>
      <c r="N24386">
        <f>IF(M24386="","",'Master Barang'!A80)</f>
        <v>0</v>
      </c>
      <c r="O24386">
        <f>IF(N24386="","",'Master Barang'!B80)</f>
        <v>0</v>
      </c>
      <c r="P24386">
        <f>IF(OR(M24386="",N24386=""),"",SUMIFS('Barang Keluar'!$E:$E,'Barang Keluar'!$A:$A,M24386,'Barang Keluar'!$C:$C,N24386))</f>
        <v>0</v>
      </c>
    </row>
    <row r="24387" spans="13:16">
      <c r="M24387" s="49">
        <f>IF($A$4+243&gt;$B$4,"",$A$4+243)</f>
        <v>46266</v>
      </c>
      <c r="N24387">
        <f>IF(M24387="","",'Master Barang'!A81)</f>
        <v>0</v>
      </c>
      <c r="O24387">
        <f>IF(N24387="","",'Master Barang'!B81)</f>
        <v>0</v>
      </c>
      <c r="P24387">
        <f>IF(OR(M24387="",N24387=""),"",SUMIFS('Barang Keluar'!$E:$E,'Barang Keluar'!$A:$A,M24387,'Barang Keluar'!$C:$C,N24387))</f>
        <v>0</v>
      </c>
    </row>
    <row r="24388" spans="13:16">
      <c r="M24388" s="49">
        <f>IF($A$4+243&gt;$B$4,"",$A$4+243)</f>
        <v>46266</v>
      </c>
      <c r="N24388">
        <f>IF(M24388="","",'Master Barang'!A82)</f>
        <v>0</v>
      </c>
      <c r="O24388">
        <f>IF(N24388="","",'Master Barang'!B82)</f>
        <v>0</v>
      </c>
      <c r="P24388">
        <f>IF(OR(M24388="",N24388=""),"",SUMIFS('Barang Keluar'!$E:$E,'Barang Keluar'!$A:$A,M24388,'Barang Keluar'!$C:$C,N24388))</f>
        <v>0</v>
      </c>
    </row>
    <row r="24389" spans="13:16">
      <c r="M24389" s="49">
        <f>IF($A$4+243&gt;$B$4,"",$A$4+243)</f>
        <v>46266</v>
      </c>
      <c r="N24389">
        <f>IF(M24389="","",'Master Barang'!A83)</f>
        <v>0</v>
      </c>
      <c r="O24389">
        <f>IF(N24389="","",'Master Barang'!B83)</f>
        <v>0</v>
      </c>
      <c r="P24389">
        <f>IF(OR(M24389="",N24389=""),"",SUMIFS('Barang Keluar'!$E:$E,'Barang Keluar'!$A:$A,M24389,'Barang Keluar'!$C:$C,N24389))</f>
        <v>0</v>
      </c>
    </row>
    <row r="24390" spans="13:16">
      <c r="M24390" s="49">
        <f>IF($A$4+243&gt;$B$4,"",$A$4+243)</f>
        <v>46266</v>
      </c>
      <c r="N24390">
        <f>IF(M24390="","",'Master Barang'!A84)</f>
        <v>0</v>
      </c>
      <c r="O24390">
        <f>IF(N24390="","",'Master Barang'!B84)</f>
        <v>0</v>
      </c>
      <c r="P24390">
        <f>IF(OR(M24390="",N24390=""),"",SUMIFS('Barang Keluar'!$E:$E,'Barang Keluar'!$A:$A,M24390,'Barang Keluar'!$C:$C,N24390))</f>
        <v>0</v>
      </c>
    </row>
    <row r="24391" spans="13:16">
      <c r="M24391" s="49">
        <f>IF($A$4+243&gt;$B$4,"",$A$4+243)</f>
        <v>46266</v>
      </c>
      <c r="N24391">
        <f>IF(M24391="","",'Master Barang'!A85)</f>
        <v>0</v>
      </c>
      <c r="O24391">
        <f>IF(N24391="","",'Master Barang'!B85)</f>
        <v>0</v>
      </c>
      <c r="P24391">
        <f>IF(OR(M24391="",N24391=""),"",SUMIFS('Barang Keluar'!$E:$E,'Barang Keluar'!$A:$A,M24391,'Barang Keluar'!$C:$C,N24391))</f>
        <v>0</v>
      </c>
    </row>
    <row r="24392" spans="13:16">
      <c r="M24392" s="49">
        <f>IF($A$4+243&gt;$B$4,"",$A$4+243)</f>
        <v>46266</v>
      </c>
      <c r="N24392">
        <f>IF(M24392="","",'Master Barang'!A86)</f>
        <v>0</v>
      </c>
      <c r="O24392">
        <f>IF(N24392="","",'Master Barang'!B86)</f>
        <v>0</v>
      </c>
      <c r="P24392">
        <f>IF(OR(M24392="",N24392=""),"",SUMIFS('Barang Keluar'!$E:$E,'Barang Keluar'!$A:$A,M24392,'Barang Keluar'!$C:$C,N24392))</f>
        <v>0</v>
      </c>
    </row>
    <row r="24393" spans="13:16">
      <c r="M24393" s="49">
        <f>IF($A$4+243&gt;$B$4,"",$A$4+243)</f>
        <v>46266</v>
      </c>
      <c r="N24393">
        <f>IF(M24393="","",'Master Barang'!A87)</f>
        <v>0</v>
      </c>
      <c r="O24393">
        <f>IF(N24393="","",'Master Barang'!B87)</f>
        <v>0</v>
      </c>
      <c r="P24393">
        <f>IF(OR(M24393="",N24393=""),"",SUMIFS('Barang Keluar'!$E:$E,'Barang Keluar'!$A:$A,M24393,'Barang Keluar'!$C:$C,N24393))</f>
        <v>0</v>
      </c>
    </row>
    <row r="24394" spans="13:16">
      <c r="M24394" s="49">
        <f>IF($A$4+243&gt;$B$4,"",$A$4+243)</f>
        <v>46266</v>
      </c>
      <c r="N24394">
        <f>IF(M24394="","",'Master Barang'!A88)</f>
        <v>0</v>
      </c>
      <c r="O24394">
        <f>IF(N24394="","",'Master Barang'!B88)</f>
        <v>0</v>
      </c>
      <c r="P24394">
        <f>IF(OR(M24394="",N24394=""),"",SUMIFS('Barang Keluar'!$E:$E,'Barang Keluar'!$A:$A,M24394,'Barang Keluar'!$C:$C,N24394))</f>
        <v>0</v>
      </c>
    </row>
    <row r="24395" spans="13:16">
      <c r="M24395" s="49">
        <f>IF($A$4+243&gt;$B$4,"",$A$4+243)</f>
        <v>46266</v>
      </c>
      <c r="N24395">
        <f>IF(M24395="","",'Master Barang'!A89)</f>
        <v>0</v>
      </c>
      <c r="O24395">
        <f>IF(N24395="","",'Master Barang'!B89)</f>
        <v>0</v>
      </c>
      <c r="P24395">
        <f>IF(OR(M24395="",N24395=""),"",SUMIFS('Barang Keluar'!$E:$E,'Barang Keluar'!$A:$A,M24395,'Barang Keluar'!$C:$C,N24395))</f>
        <v>0</v>
      </c>
    </row>
    <row r="24396" spans="13:16">
      <c r="M24396" s="49">
        <f>IF($A$4+243&gt;$B$4,"",$A$4+243)</f>
        <v>46266</v>
      </c>
      <c r="N24396">
        <f>IF(M24396="","",'Master Barang'!A90)</f>
        <v>0</v>
      </c>
      <c r="O24396">
        <f>IF(N24396="","",'Master Barang'!B90)</f>
        <v>0</v>
      </c>
      <c r="P24396">
        <f>IF(OR(M24396="",N24396=""),"",SUMIFS('Barang Keluar'!$E:$E,'Barang Keluar'!$A:$A,M24396,'Barang Keluar'!$C:$C,N24396))</f>
        <v>0</v>
      </c>
    </row>
    <row r="24397" spans="13:16">
      <c r="M24397" s="49">
        <f>IF($A$4+243&gt;$B$4,"",$A$4+243)</f>
        <v>46266</v>
      </c>
      <c r="N24397">
        <f>IF(M24397="","",'Master Barang'!A91)</f>
        <v>0</v>
      </c>
      <c r="O24397">
        <f>IF(N24397="","",'Master Barang'!B91)</f>
        <v>0</v>
      </c>
      <c r="P24397">
        <f>IF(OR(M24397="",N24397=""),"",SUMIFS('Barang Keluar'!$E:$E,'Barang Keluar'!$A:$A,M24397,'Barang Keluar'!$C:$C,N24397))</f>
        <v>0</v>
      </c>
    </row>
    <row r="24398" spans="13:16">
      <c r="M24398" s="49">
        <f>IF($A$4+243&gt;$B$4,"",$A$4+243)</f>
        <v>46266</v>
      </c>
      <c r="N24398">
        <f>IF(M24398="","",'Master Barang'!A92)</f>
        <v>0</v>
      </c>
      <c r="O24398">
        <f>IF(N24398="","",'Master Barang'!B92)</f>
        <v>0</v>
      </c>
      <c r="P24398">
        <f>IF(OR(M24398="",N24398=""),"",SUMIFS('Barang Keluar'!$E:$E,'Barang Keluar'!$A:$A,M24398,'Barang Keluar'!$C:$C,N24398))</f>
        <v>0</v>
      </c>
    </row>
    <row r="24399" spans="13:16">
      <c r="M24399" s="49">
        <f>IF($A$4+243&gt;$B$4,"",$A$4+243)</f>
        <v>46266</v>
      </c>
      <c r="N24399">
        <f>IF(M24399="","",'Master Barang'!A93)</f>
        <v>0</v>
      </c>
      <c r="O24399">
        <f>IF(N24399="","",'Master Barang'!B93)</f>
        <v>0</v>
      </c>
      <c r="P24399">
        <f>IF(OR(M24399="",N24399=""),"",SUMIFS('Barang Keluar'!$E:$E,'Barang Keluar'!$A:$A,M24399,'Barang Keluar'!$C:$C,N24399))</f>
        <v>0</v>
      </c>
    </row>
    <row r="24400" spans="13:16">
      <c r="M24400" s="49">
        <f>IF($A$4+243&gt;$B$4,"",$A$4+243)</f>
        <v>46266</v>
      </c>
      <c r="N24400">
        <f>IF(M24400="","",'Master Barang'!A94)</f>
        <v>0</v>
      </c>
      <c r="O24400">
        <f>IF(N24400="","",'Master Barang'!B94)</f>
        <v>0</v>
      </c>
      <c r="P24400">
        <f>IF(OR(M24400="",N24400=""),"",SUMIFS('Barang Keluar'!$E:$E,'Barang Keluar'!$A:$A,M24400,'Barang Keluar'!$C:$C,N24400))</f>
        <v>0</v>
      </c>
    </row>
    <row r="24401" spans="13:16">
      <c r="M24401" s="49">
        <f>IF($A$4+243&gt;$B$4,"",$A$4+243)</f>
        <v>46266</v>
      </c>
      <c r="N24401">
        <f>IF(M24401="","",'Master Barang'!A95)</f>
        <v>0</v>
      </c>
      <c r="O24401">
        <f>IF(N24401="","",'Master Barang'!B95)</f>
        <v>0</v>
      </c>
      <c r="P24401">
        <f>IF(OR(M24401="",N24401=""),"",SUMIFS('Barang Keluar'!$E:$E,'Barang Keluar'!$A:$A,M24401,'Barang Keluar'!$C:$C,N24401))</f>
        <v>0</v>
      </c>
    </row>
    <row r="24402" spans="13:16">
      <c r="M24402" s="49">
        <f>IF($A$4+243&gt;$B$4,"",$A$4+243)</f>
        <v>46266</v>
      </c>
      <c r="N24402">
        <f>IF(M24402="","",'Master Barang'!A96)</f>
        <v>0</v>
      </c>
      <c r="O24402">
        <f>IF(N24402="","",'Master Barang'!B96)</f>
        <v>0</v>
      </c>
      <c r="P24402">
        <f>IF(OR(M24402="",N24402=""),"",SUMIFS('Barang Keluar'!$E:$E,'Barang Keluar'!$A:$A,M24402,'Barang Keluar'!$C:$C,N24402))</f>
        <v>0</v>
      </c>
    </row>
    <row r="24403" spans="13:16">
      <c r="M24403" s="49">
        <f>IF($A$4+243&gt;$B$4,"",$A$4+243)</f>
        <v>46266</v>
      </c>
      <c r="N24403">
        <f>IF(M24403="","",'Master Barang'!A97)</f>
        <v>0</v>
      </c>
      <c r="O24403">
        <f>IF(N24403="","",'Master Barang'!B97)</f>
        <v>0</v>
      </c>
      <c r="P24403">
        <f>IF(OR(M24403="",N24403=""),"",SUMIFS('Barang Keluar'!$E:$E,'Barang Keluar'!$A:$A,M24403,'Barang Keluar'!$C:$C,N24403))</f>
        <v>0</v>
      </c>
    </row>
    <row r="24404" spans="13:16">
      <c r="M24404" s="49">
        <f>IF($A$4+243&gt;$B$4,"",$A$4+243)</f>
        <v>46266</v>
      </c>
      <c r="N24404">
        <f>IF(M24404="","",'Master Barang'!A98)</f>
        <v>0</v>
      </c>
      <c r="O24404">
        <f>IF(N24404="","",'Master Barang'!B98)</f>
        <v>0</v>
      </c>
      <c r="P24404">
        <f>IF(OR(M24404="",N24404=""),"",SUMIFS('Barang Keluar'!$E:$E,'Barang Keluar'!$A:$A,M24404,'Barang Keluar'!$C:$C,N24404))</f>
        <v>0</v>
      </c>
    </row>
    <row r="24405" spans="13:16">
      <c r="M24405" s="49">
        <f>IF($A$4+243&gt;$B$4,"",$A$4+243)</f>
        <v>46266</v>
      </c>
      <c r="N24405">
        <f>IF(M24405="","",'Master Barang'!A99)</f>
        <v>0</v>
      </c>
      <c r="O24405">
        <f>IF(N24405="","",'Master Barang'!B99)</f>
        <v>0</v>
      </c>
      <c r="P24405">
        <f>IF(OR(M24405="",N24405=""),"",SUMIFS('Barang Keluar'!$E:$E,'Barang Keluar'!$A:$A,M24405,'Barang Keluar'!$C:$C,N24405))</f>
        <v>0</v>
      </c>
    </row>
    <row r="24406" spans="13:16">
      <c r="M24406" s="49">
        <f>IF($A$4+243&gt;$B$4,"",$A$4+243)</f>
        <v>46266</v>
      </c>
      <c r="N24406">
        <f>IF(M24406="","",'Master Barang'!A100)</f>
        <v>0</v>
      </c>
      <c r="O24406">
        <f>IF(N24406="","",'Master Barang'!B100)</f>
        <v>0</v>
      </c>
      <c r="P24406">
        <f>IF(OR(M24406="",N24406=""),"",SUMIFS('Barang Keluar'!$E:$E,'Barang Keluar'!$A:$A,M24406,'Barang Keluar'!$C:$C,N24406))</f>
        <v>0</v>
      </c>
    </row>
    <row r="24407" spans="13:16">
      <c r="M24407" s="49">
        <f>IF($A$4+243&gt;$B$4,"",$A$4+243)</f>
        <v>46266</v>
      </c>
      <c r="N24407">
        <f>IF(M24407="","",'Master Barang'!A101)</f>
        <v>0</v>
      </c>
      <c r="O24407">
        <f>IF(N24407="","",'Master Barang'!B101)</f>
        <v>0</v>
      </c>
      <c r="P24407">
        <f>IF(OR(M24407="",N24407=""),"",SUMIFS('Barang Keluar'!$E:$E,'Barang Keluar'!$A:$A,M24407,'Barang Keluar'!$C:$C,N24407))</f>
        <v>0</v>
      </c>
    </row>
    <row r="24408" spans="13:16">
      <c r="M24408" s="49">
        <f>IF($A$4+244&gt;$B$4,"",$A$4+244)</f>
        <v>46267</v>
      </c>
      <c r="N24408" t="str">
        <f>IF(M24408="","",'Master Barang'!A2)</f>
        <v>PRL-001</v>
      </c>
      <c r="O24408" t="str">
        <f>IF(N24408="","",'Master Barang'!B2)</f>
        <v>natura desinfectant food grade 5l</v>
      </c>
      <c r="P24408">
        <f>IF(OR(M24408="",N24408=""),"",SUMIFS('Barang Keluar'!$E:$E,'Barang Keluar'!$A:$A,M24408,'Barang Keluar'!$C:$C,N24408))</f>
        <v>0</v>
      </c>
    </row>
    <row r="24409" spans="13:16">
      <c r="M24409" s="49">
        <f>IF($A$4+244&gt;$B$4,"",$A$4+244)</f>
        <v>46267</v>
      </c>
      <c r="N24409" t="str">
        <f>IF(M24409="","",'Master Barang'!A3)</f>
        <v>PRL-002</v>
      </c>
      <c r="O24409" t="str">
        <f>IF(N24409="","",'Master Barang'!B3)</f>
        <v>sunlight cairan pencuci piring 5l</v>
      </c>
      <c r="P24409">
        <f>IF(OR(M24409="",N24409=""),"",SUMIFS('Barang Keluar'!$E:$E,'Barang Keluar'!$A:$A,M24409,'Barang Keluar'!$C:$C,N24409))</f>
        <v>0</v>
      </c>
    </row>
    <row r="24410" spans="13:16">
      <c r="M24410" s="49">
        <f>IF($A$4+244&gt;$B$4,"",$A$4+244)</f>
        <v>46267</v>
      </c>
      <c r="N24410" t="str">
        <f>IF(M24410="","",'Master Barang'!A4)</f>
        <v>PRL-003</v>
      </c>
      <c r="O24410" t="str">
        <f>IF(N24410="","",'Master Barang'!B4)</f>
        <v>oixs cleaner 1l</v>
      </c>
      <c r="P24410">
        <f>IF(OR(M24410="",N24410=""),"",SUMIFS('Barang Keluar'!$E:$E,'Barang Keluar'!$A:$A,M24410,'Barang Keluar'!$C:$C,N24410))</f>
        <v>0</v>
      </c>
    </row>
    <row r="24411" spans="13:16">
      <c r="M24411" s="49">
        <f>IF($A$4+244&gt;$B$4,"",$A$4+244)</f>
        <v>46267</v>
      </c>
      <c r="N24411" t="str">
        <f>IF(M24411="","",'Master Barang'!A5)</f>
        <v>PRL-004</v>
      </c>
      <c r="O24411" t="str">
        <f>IF(N24411="","",'Master Barang'!B5)</f>
        <v>be clean tissue serbaguna</v>
      </c>
      <c r="P24411">
        <f>IF(OR(M24411="",N24411=""),"",SUMIFS('Barang Keluar'!$E:$E,'Barang Keluar'!$A:$A,M24411,'Barang Keluar'!$C:$C,N24411))</f>
        <v>0</v>
      </c>
    </row>
    <row r="24412" spans="13:16">
      <c r="M24412" s="49">
        <f>IF($A$4+244&gt;$B$4,"",$A$4+244)</f>
        <v>46267</v>
      </c>
      <c r="N24412" t="str">
        <f>IF(M24412="","",'Master Barang'!A6)</f>
        <v>PRL-005</v>
      </c>
      <c r="O24412" t="str">
        <f>IF(N24412="","",'Master Barang'!B6)</f>
        <v>spons cuci hijau</v>
      </c>
      <c r="P24412">
        <f>IF(OR(M24412="",N24412=""),"",SUMIFS('Barang Keluar'!$E:$E,'Barang Keluar'!$A:$A,M24412,'Barang Keluar'!$C:$C,N24412))</f>
        <v>0</v>
      </c>
    </row>
    <row r="24413" spans="13:16">
      <c r="M24413" s="49">
        <f>IF($A$4+244&gt;$B$4,"",$A$4+244)</f>
        <v>46267</v>
      </c>
      <c r="N24413" t="str">
        <f>IF(M24413="","",'Master Barang'!A7)</f>
        <v>PRL-006</v>
      </c>
      <c r="O24413" t="str">
        <f>IF(N24413="","",'Master Barang'!B7)</f>
        <v>sabut cuci stainless</v>
      </c>
      <c r="P24413">
        <f>IF(OR(M24413="",N24413=""),"",SUMIFS('Barang Keluar'!$E:$E,'Barang Keluar'!$A:$A,M24413,'Barang Keluar'!$C:$C,N24413))</f>
        <v>0</v>
      </c>
    </row>
    <row r="24414" spans="13:16">
      <c r="M24414" s="49">
        <f>IF($A$4+244&gt;$B$4,"",$A$4+244)</f>
        <v>46267</v>
      </c>
      <c r="N24414" t="str">
        <f>IF(M24414="","",'Master Barang'!A8)</f>
        <v>PRL-007</v>
      </c>
      <c r="O24414" t="str">
        <f>IF(N24414="","",'Master Barang'!B8)</f>
        <v>plastik kresek besar merah 50pc</v>
      </c>
      <c r="P24414">
        <f>IF(OR(M24414="",N24414=""),"",SUMIFS('Barang Keluar'!$E:$E,'Barang Keluar'!$A:$A,M24414,'Barang Keluar'!$C:$C,N24414))</f>
        <v>0</v>
      </c>
    </row>
    <row r="24415" spans="13:16">
      <c r="M24415" s="49">
        <f>IF($A$4+244&gt;$B$4,"",$A$4+244)</f>
        <v>46267</v>
      </c>
      <c r="N24415" t="str">
        <f>IF(M24415="","",'Master Barang'!A9)</f>
        <v>PRL-008</v>
      </c>
      <c r="O24415" t="str">
        <f>IF(N24415="","",'Master Barang'!B9)</f>
        <v>lap besar</v>
      </c>
      <c r="P24415">
        <f>IF(OR(M24415="",N24415=""),"",SUMIFS('Barang Keluar'!$E:$E,'Barang Keluar'!$A:$A,M24415,'Barang Keluar'!$C:$C,N24415))</f>
        <v>0</v>
      </c>
    </row>
    <row r="24416" spans="13:16">
      <c r="M24416" s="49">
        <f>IF($A$4+244&gt;$B$4,"",$A$4+244)</f>
        <v>46267</v>
      </c>
      <c r="N24416" t="str">
        <f>IF(M24416="","",'Master Barang'!A10)</f>
        <v>PRL-009</v>
      </c>
      <c r="O24416" t="str">
        <f>IF(N24416="","",'Master Barang'!B10)</f>
        <v>lap microfiber</v>
      </c>
      <c r="P24416">
        <f>IF(OR(M24416="",N24416=""),"",SUMIFS('Barang Keluar'!$E:$E,'Barang Keluar'!$A:$A,M24416,'Barang Keluar'!$C:$C,N24416))</f>
        <v>0</v>
      </c>
    </row>
    <row r="24417" spans="13:16">
      <c r="M24417" s="49">
        <f>IF($A$4+244&gt;$B$4,"",$A$4+244)</f>
        <v>46267</v>
      </c>
      <c r="N24417" t="str">
        <f>IF(M24417="","",'Master Barang'!A11)</f>
        <v>PRL-010</v>
      </c>
      <c r="O24417" t="str">
        <f>IF(N24417="","",'Master Barang'!B11)</f>
        <v>lap kecil</v>
      </c>
      <c r="P24417">
        <f>IF(OR(M24417="",N24417=""),"",SUMIFS('Barang Keluar'!$E:$E,'Barang Keluar'!$A:$A,M24417,'Barang Keluar'!$C:$C,N24417))</f>
        <v>0</v>
      </c>
    </row>
    <row r="24418" spans="13:16">
      <c r="M24418" s="49">
        <f>IF($A$4+244&gt;$B$4,"",$A$4+244)</f>
        <v>46267</v>
      </c>
      <c r="N24418" t="str">
        <f>IF(M24418="","",'Master Barang'!A12)</f>
        <v>PRL-011</v>
      </c>
      <c r="O24418" t="str">
        <f>IF(N24418="","",'Master Barang'!B12)</f>
        <v>kanebo kecil</v>
      </c>
      <c r="P24418">
        <f>IF(OR(M24418="",N24418=""),"",SUMIFS('Barang Keluar'!$E:$E,'Barang Keluar'!$A:$A,M24418,'Barang Keluar'!$C:$C,N24418))</f>
        <v>0</v>
      </c>
    </row>
    <row r="24419" spans="13:16">
      <c r="M24419" s="49">
        <f>IF($A$4+244&gt;$B$4,"",$A$4+244)</f>
        <v>46267</v>
      </c>
      <c r="N24419" t="str">
        <f>IF(M24419="","",'Master Barang'!A13)</f>
        <v>PRL-012</v>
      </c>
      <c r="O24419" t="str">
        <f>IF(N24419="","",'Master Barang'!B13)</f>
        <v>plastik 1/4kg joyoboyo 100 lembar</v>
      </c>
      <c r="P24419">
        <f>IF(OR(M24419="",N24419=""),"",SUMIFS('Barang Keluar'!$E:$E,'Barang Keluar'!$A:$A,M24419,'Barang Keluar'!$C:$C,N24419))</f>
        <v>0</v>
      </c>
    </row>
    <row r="24420" spans="13:16">
      <c r="M24420" s="49">
        <f>IF($A$4+244&gt;$B$4,"",$A$4+244)</f>
        <v>46267</v>
      </c>
      <c r="N24420" t="str">
        <f>IF(M24420="","",'Master Barang'!A14)</f>
        <v>PRL-013</v>
      </c>
      <c r="O24420" t="str">
        <f>IF(N24420="","",'Master Barang'!B14)</f>
        <v>sarung tangan plastik kaka 100 pcs</v>
      </c>
      <c r="P24420">
        <f>IF(OR(M24420="",N24420=""),"",SUMIFS('Barang Keluar'!$E:$E,'Barang Keluar'!$A:$A,M24420,'Barang Keluar'!$C:$C,N24420))</f>
        <v>0</v>
      </c>
    </row>
    <row r="24421" spans="13:16">
      <c r="M24421" s="49">
        <f>IF($A$4+244&gt;$B$4,"",$A$4+244)</f>
        <v>46267</v>
      </c>
      <c r="N24421" t="str">
        <f>IF(M24421="","",'Master Barang'!A15)</f>
        <v>PRL-014</v>
      </c>
      <c r="O24421" t="str">
        <f>IF(N24421="","",'Master Barang'!B15)</f>
        <v>optima trashbag 80x100</v>
      </c>
      <c r="P24421">
        <f>IF(OR(M24421="",N24421=""),"",SUMIFS('Barang Keluar'!$E:$E,'Barang Keluar'!$A:$A,M24421,'Barang Keluar'!$C:$C,N24421))</f>
        <v>0</v>
      </c>
    </row>
    <row r="24422" spans="13:16">
      <c r="M24422" s="49">
        <f>IF($A$4+244&gt;$B$4,"",$A$4+244)</f>
        <v>46267</v>
      </c>
      <c r="N24422" t="str">
        <f>IF(M24422="","",'Master Barang'!A16)</f>
        <v>PRL-015</v>
      </c>
      <c r="O24422" t="str">
        <f>IF(N24422="","",'Master Barang'!B16)</f>
        <v>optima trashbag 60x100</v>
      </c>
      <c r="P24422">
        <f>IF(OR(M24422="",N24422=""),"",SUMIFS('Barang Keluar'!$E:$E,'Barang Keluar'!$A:$A,M24422,'Barang Keluar'!$C:$C,N24422))</f>
        <v>0</v>
      </c>
    </row>
    <row r="24423" spans="13:16">
      <c r="M24423" s="49">
        <f>IF($A$4+244&gt;$B$4,"",$A$4+244)</f>
        <v>46267</v>
      </c>
      <c r="N24423" t="str">
        <f>IF(M24423="","",'Master Barang'!A17)</f>
        <v>PRL-016</v>
      </c>
      <c r="O24423" t="str">
        <f>IF(N24423="","",'Master Barang'!B17)</f>
        <v>rajawali trashbag 30x40</v>
      </c>
      <c r="P24423">
        <f>IF(OR(M24423="",N24423=""),"",SUMIFS('Barang Keluar'!$E:$E,'Barang Keluar'!$A:$A,M24423,'Barang Keluar'!$C:$C,N24423))</f>
        <v>0</v>
      </c>
    </row>
    <row r="24424" spans="13:16">
      <c r="M24424" s="49">
        <f>IF($A$4+244&gt;$B$4,"",$A$4+244)</f>
        <v>46267</v>
      </c>
      <c r="N24424" t="str">
        <f>IF(M24424="","",'Master Barang'!A18)</f>
        <v>PRL-017</v>
      </c>
      <c r="O24424" t="str">
        <f>IF(N24424="","",'Master Barang'!B18)</f>
        <v>onemed masker biru 3 play 50 pcs</v>
      </c>
      <c r="P24424">
        <f>IF(OR(M24424="",N24424=""),"",SUMIFS('Barang Keluar'!$E:$E,'Barang Keluar'!$A:$A,M24424,'Barang Keluar'!$C:$C,N24424))</f>
        <v>0</v>
      </c>
    </row>
    <row r="24425" spans="13:16">
      <c r="M24425" s="49">
        <f>IF($A$4+244&gt;$B$4,"",$A$4+244)</f>
        <v>46267</v>
      </c>
      <c r="N24425" t="str">
        <f>IF(M24425="","",'Master Barang'!A19)</f>
        <v>PRL-018</v>
      </c>
      <c r="O24425" t="str">
        <f>IF(N24425="","",'Master Barang'!B19)</f>
        <v>onemed masker biru 3 play hijab 50 pcs</v>
      </c>
      <c r="P24425">
        <f>IF(OR(M24425="",N24425=""),"",SUMIFS('Barang Keluar'!$E:$E,'Barang Keluar'!$A:$A,M24425,'Barang Keluar'!$C:$C,N24425))</f>
        <v>0</v>
      </c>
    </row>
    <row r="24426" spans="13:16">
      <c r="M24426" s="49">
        <f>IF($A$4+244&gt;$B$4,"",$A$4+244)</f>
        <v>46267</v>
      </c>
      <c r="N24426" t="str">
        <f>IF(M24426="","",'Master Barang'!A20)</f>
        <v>PRL-019</v>
      </c>
      <c r="O24426" t="str">
        <f>IF(N24426="","",'Master Barang'!B20)</f>
        <v>neo health masker biru 3 play 50 pcs</v>
      </c>
      <c r="P24426">
        <f>IF(OR(M24426="",N24426=""),"",SUMIFS('Barang Keluar'!$E:$E,'Barang Keluar'!$A:$A,M24426,'Barang Keluar'!$C:$C,N24426))</f>
        <v>0</v>
      </c>
    </row>
    <row r="24427" spans="13:16">
      <c r="M24427" s="49">
        <f>IF($A$4+244&gt;$B$4,"",$A$4+244)</f>
        <v>46267</v>
      </c>
      <c r="N24427" t="str">
        <f>IF(M24427="","",'Master Barang'!A21)</f>
        <v>PRL-020</v>
      </c>
      <c r="O24427" t="str">
        <f>IF(N24427="","",'Master Barang'!B21)</f>
        <v>baymed masker hijau 3 play hijau 50 pcs</v>
      </c>
      <c r="P24427">
        <f>IF(OR(M24427="",N24427=""),"",SUMIFS('Barang Keluar'!$E:$E,'Barang Keluar'!$A:$A,M24427,'Barang Keluar'!$C:$C,N24427))</f>
        <v>0</v>
      </c>
    </row>
    <row r="24428" spans="13:16">
      <c r="M24428" s="49">
        <f>IF($A$4+244&gt;$B$4,"",$A$4+244)</f>
        <v>46267</v>
      </c>
      <c r="N24428" t="str">
        <f>IF(M24428="","",'Master Barang'!A22)</f>
        <v>PRL-021</v>
      </c>
      <c r="O24428" t="str">
        <f>IF(N24428="","",'Master Barang'!B22)</f>
        <v>altamed nurse cap penutup kepala 100 pcs</v>
      </c>
      <c r="P24428">
        <f>IF(OR(M24428="",N24428=""),"",SUMIFS('Barang Keluar'!$E:$E,'Barang Keluar'!$A:$A,M24428,'Barang Keluar'!$C:$C,N24428))</f>
        <v>0</v>
      </c>
    </row>
    <row r="24429" spans="13:16">
      <c r="M24429" s="49">
        <f>IF($A$4+244&gt;$B$4,"",$A$4+244)</f>
        <v>46267</v>
      </c>
      <c r="N24429" t="str">
        <f>IF(M24429="","",'Master Barang'!A23)</f>
        <v>PRL-022</v>
      </c>
      <c r="O24429" t="str">
        <f>IF(N24429="","",'Master Barang'!B23)</f>
        <v>sabun cuci tangan</v>
      </c>
      <c r="P24429">
        <f>IF(OR(M24429="",N24429=""),"",SUMIFS('Barang Keluar'!$E:$E,'Barang Keluar'!$A:$A,M24429,'Barang Keluar'!$C:$C,N24429))</f>
        <v>0</v>
      </c>
    </row>
    <row r="24430" spans="13:16">
      <c r="M24430" s="49">
        <f>IF($A$4+244&gt;$B$4,"",$A$4+244)</f>
        <v>46267</v>
      </c>
      <c r="N24430" t="str">
        <f>IF(M24430="","",'Master Barang'!A24)</f>
        <v>PRL-023</v>
      </c>
      <c r="O24430" t="str">
        <f>IF(N24430="","",'Master Barang'!B24)</f>
        <v>gayung kecil</v>
      </c>
      <c r="P24430">
        <f>IF(OR(M24430="",N24430=""),"",SUMIFS('Barang Keluar'!$E:$E,'Barang Keluar'!$A:$A,M24430,'Barang Keluar'!$C:$C,N24430))</f>
        <v>0</v>
      </c>
    </row>
    <row r="24431" spans="13:16">
      <c r="M24431" s="49">
        <f>IF($A$4+244&gt;$B$4,"",$A$4+244)</f>
        <v>46267</v>
      </c>
      <c r="N24431" t="str">
        <f>IF(M24431="","",'Master Barang'!A25)</f>
        <v>PRL-024</v>
      </c>
      <c r="O24431" t="str">
        <f>IF(N24431="","",'Master Barang'!B25)</f>
        <v>cikrak kecil</v>
      </c>
      <c r="P24431">
        <f>IF(OR(M24431="",N24431=""),"",SUMIFS('Barang Keluar'!$E:$E,'Barang Keluar'!$A:$A,M24431,'Barang Keluar'!$C:$C,N24431))</f>
        <v>0</v>
      </c>
    </row>
    <row r="24432" spans="13:16">
      <c r="M24432" s="49">
        <f>IF($A$4+244&gt;$B$4,"",$A$4+244)</f>
        <v>46267</v>
      </c>
      <c r="N24432" t="str">
        <f>IF(M24432="","",'Master Barang'!A26)</f>
        <v>PRL-025</v>
      </c>
      <c r="O24432" t="str">
        <f>IF(N24432="","",'Master Barang'!B26)</f>
        <v>petromax plastik kecil 12x24 100 lembar</v>
      </c>
      <c r="P24432">
        <f>IF(OR(M24432="",N24432=""),"",SUMIFS('Barang Keluar'!$E:$E,'Barang Keluar'!$A:$A,M24432,'Barang Keluar'!$C:$C,N24432))</f>
        <v>0</v>
      </c>
    </row>
    <row r="24433" spans="13:16">
      <c r="M24433" s="49">
        <f>IF($A$4+244&gt;$B$4,"",$A$4+244)</f>
        <v>46267</v>
      </c>
      <c r="N24433" t="str">
        <f>IF(M24433="","",'Master Barang'!A27)</f>
        <v>PRL-026</v>
      </c>
      <c r="O24433" t="str">
        <f>IF(N24433="","",'Master Barang'!B27)</f>
        <v>lancar kresek kecil bening </v>
      </c>
      <c r="P24433">
        <f>IF(OR(M24433="",N24433=""),"",SUMIFS('Barang Keluar'!$E:$E,'Barang Keluar'!$A:$A,M24433,'Barang Keluar'!$C:$C,N24433))</f>
        <v>0</v>
      </c>
    </row>
    <row r="24434" spans="13:16">
      <c r="M24434" s="49">
        <f>IF($A$4+244&gt;$B$4,"",$A$4+244)</f>
        <v>46267</v>
      </c>
      <c r="N24434" t="str">
        <f>IF(M24434="","",'Master Barang'!A28)</f>
        <v>PRL-027</v>
      </c>
      <c r="O24434" t="str">
        <f>IF(N24434="","",'Master Barang'!B28)</f>
        <v>kresek klin warna warni kecil</v>
      </c>
      <c r="P24434">
        <f>IF(OR(M24434="",N24434=""),"",SUMIFS('Barang Keluar'!$E:$E,'Barang Keluar'!$A:$A,M24434,'Barang Keluar'!$C:$C,N24434))</f>
        <v>0</v>
      </c>
    </row>
    <row r="24435" spans="13:16">
      <c r="M24435" s="49">
        <f>IF($A$4+244&gt;$B$4,"",$A$4+244)</f>
        <v>46267</v>
      </c>
      <c r="N24435" t="str">
        <f>IF(M24435="","",'Master Barang'!A29)</f>
        <v>PRL-028</v>
      </c>
      <c r="O24435" t="str">
        <f>IF(N24435="","",'Master Barang'!B29)</f>
        <v>ctik plastik 7x10 100 pcs</v>
      </c>
      <c r="P24435">
        <f>IF(OR(M24435="",N24435=""),"",SUMIFS('Barang Keluar'!$E:$E,'Barang Keluar'!$A:$A,M24435,'Barang Keluar'!$C:$C,N24435))</f>
        <v>0</v>
      </c>
    </row>
    <row r="24436" spans="13:16">
      <c r="M24436" s="49">
        <f>IF($A$4+244&gt;$B$4,"",$A$4+244)</f>
        <v>46267</v>
      </c>
      <c r="N24436" t="str">
        <f>IF(M24436="","",'Master Barang'!A30)</f>
        <v>PRL-029</v>
      </c>
      <c r="O24436" t="str">
        <f>IF(N24436="","",'Master Barang'!B30)</f>
        <v>ctik plastik 6x10 100 pcs</v>
      </c>
      <c r="P24436">
        <f>IF(OR(M24436="",N24436=""),"",SUMIFS('Barang Keluar'!$E:$E,'Barang Keluar'!$A:$A,M24436,'Barang Keluar'!$C:$C,N24436))</f>
        <v>0</v>
      </c>
    </row>
    <row r="24437" spans="13:16">
      <c r="M24437" s="49">
        <f>IF($A$4+244&gt;$B$4,"",$A$4+244)</f>
        <v>46267</v>
      </c>
      <c r="N24437" t="str">
        <f>IF(M24437="","",'Master Barang'!A31)</f>
        <v>PRL-030</v>
      </c>
      <c r="O24437" t="str">
        <f>IF(N24437="","",'Master Barang'!B31)</f>
        <v>klip plastik 25x16 100 pcs</v>
      </c>
      <c r="P24437">
        <f>IF(OR(M24437="",N24437=""),"",SUMIFS('Barang Keluar'!$E:$E,'Barang Keluar'!$A:$A,M24437,'Barang Keluar'!$C:$C,N24437))</f>
        <v>0</v>
      </c>
    </row>
    <row r="24438" spans="13:16">
      <c r="M24438" s="49">
        <f>IF($A$4+244&gt;$B$4,"",$A$4+244)</f>
        <v>46267</v>
      </c>
      <c r="N24438" t="str">
        <f>IF(M24438="","",'Master Barang'!A32)</f>
        <v>PRL-031</v>
      </c>
      <c r="O24438" t="str">
        <f>IF(N24438="","",'Master Barang'!B32)</f>
        <v>tempat saus 20 ml</v>
      </c>
      <c r="P24438">
        <f>IF(OR(M24438="",N24438=""),"",SUMIFS('Barang Keluar'!$E:$E,'Barang Keluar'!$A:$A,M24438,'Barang Keluar'!$C:$C,N24438))</f>
        <v>0</v>
      </c>
    </row>
    <row r="24439" spans="13:16">
      <c r="M24439" s="49">
        <f>IF($A$4+244&gt;$B$4,"",$A$4+244)</f>
        <v>46267</v>
      </c>
      <c r="N24439" t="str">
        <f>IF(M24439="","",'Master Barang'!A33)</f>
        <v>PRL-032</v>
      </c>
      <c r="O24439" t="str">
        <f>IF(N24439="","",'Master Barang'!B33)</f>
        <v>plastik packaging ag box uk sedang</v>
      </c>
      <c r="P24439">
        <f>IF(OR(M24439="",N24439=""),"",SUMIFS('Barang Keluar'!$E:$E,'Barang Keluar'!$A:$A,M24439,'Barang Keluar'!$C:$C,N24439))</f>
        <v>0</v>
      </c>
    </row>
    <row r="24440" spans="13:16">
      <c r="M24440" s="49">
        <f>IF($A$4+244&gt;$B$4,"",$A$4+244)</f>
        <v>46267</v>
      </c>
      <c r="N24440" t="str">
        <f>IF(M24440="","",'Master Barang'!A34)</f>
        <v>PRL-033</v>
      </c>
      <c r="O24440">
        <f>IF(N24440="","",'Master Barang'!B34)</f>
        <v>0</v>
      </c>
      <c r="P24440">
        <f>IF(OR(M24440="",N24440=""),"",SUMIFS('Barang Keluar'!$E:$E,'Barang Keluar'!$A:$A,M24440,'Barang Keluar'!$C:$C,N24440))</f>
        <v>0</v>
      </c>
    </row>
    <row r="24441" spans="13:16">
      <c r="M24441" s="49">
        <f>IF($A$4+244&gt;$B$4,"",$A$4+244)</f>
        <v>46267</v>
      </c>
      <c r="N24441">
        <f>IF(M24441="","",'Master Barang'!A35)</f>
        <v>0</v>
      </c>
      <c r="O24441">
        <f>IF(N24441="","",'Master Barang'!B35)</f>
        <v>0</v>
      </c>
      <c r="P24441">
        <f>IF(OR(M24441="",N24441=""),"",SUMIFS('Barang Keluar'!$E:$E,'Barang Keluar'!$A:$A,M24441,'Barang Keluar'!$C:$C,N24441))</f>
        <v>0</v>
      </c>
    </row>
    <row r="24442" spans="13:16">
      <c r="M24442" s="49">
        <f>IF($A$4+244&gt;$B$4,"",$A$4+244)</f>
        <v>46267</v>
      </c>
      <c r="N24442">
        <f>IF(M24442="","",'Master Barang'!A36)</f>
        <v>0</v>
      </c>
      <c r="O24442">
        <f>IF(N24442="","",'Master Barang'!B36)</f>
        <v>0</v>
      </c>
      <c r="P24442">
        <f>IF(OR(M24442="",N24442=""),"",SUMIFS('Barang Keluar'!$E:$E,'Barang Keluar'!$A:$A,M24442,'Barang Keluar'!$C:$C,N24442))</f>
        <v>0</v>
      </c>
    </row>
    <row r="24443" spans="13:16">
      <c r="M24443" s="49">
        <f>IF($A$4+244&gt;$B$4,"",$A$4+244)</f>
        <v>46267</v>
      </c>
      <c r="N24443">
        <f>IF(M24443="","",'Master Barang'!A37)</f>
        <v>0</v>
      </c>
      <c r="O24443">
        <f>IF(N24443="","",'Master Barang'!B37)</f>
        <v>0</v>
      </c>
      <c r="P24443">
        <f>IF(OR(M24443="",N24443=""),"",SUMIFS('Barang Keluar'!$E:$E,'Barang Keluar'!$A:$A,M24443,'Barang Keluar'!$C:$C,N24443))</f>
        <v>0</v>
      </c>
    </row>
    <row r="24444" spans="13:16">
      <c r="M24444" s="49">
        <f>IF($A$4+244&gt;$B$4,"",$A$4+244)</f>
        <v>46267</v>
      </c>
      <c r="N24444">
        <f>IF(M24444="","",'Master Barang'!A38)</f>
        <v>0</v>
      </c>
      <c r="O24444">
        <f>IF(N24444="","",'Master Barang'!B38)</f>
        <v>0</v>
      </c>
      <c r="P24444">
        <f>IF(OR(M24444="",N24444=""),"",SUMIFS('Barang Keluar'!$E:$E,'Barang Keluar'!$A:$A,M24444,'Barang Keluar'!$C:$C,N24444))</f>
        <v>0</v>
      </c>
    </row>
    <row r="24445" spans="13:16">
      <c r="M24445" s="49">
        <f>IF($A$4+244&gt;$B$4,"",$A$4+244)</f>
        <v>46267</v>
      </c>
      <c r="N24445">
        <f>IF(M24445="","",'Master Barang'!A39)</f>
        <v>0</v>
      </c>
      <c r="O24445">
        <f>IF(N24445="","",'Master Barang'!B39)</f>
        <v>0</v>
      </c>
      <c r="P24445">
        <f>IF(OR(M24445="",N24445=""),"",SUMIFS('Barang Keluar'!$E:$E,'Barang Keluar'!$A:$A,M24445,'Barang Keluar'!$C:$C,N24445))</f>
        <v>0</v>
      </c>
    </row>
    <row r="24446" spans="13:16">
      <c r="M24446" s="49">
        <f>IF($A$4+244&gt;$B$4,"",$A$4+244)</f>
        <v>46267</v>
      </c>
      <c r="N24446">
        <f>IF(M24446="","",'Master Barang'!A40)</f>
        <v>0</v>
      </c>
      <c r="O24446">
        <f>IF(N24446="","",'Master Barang'!B40)</f>
        <v>0</v>
      </c>
      <c r="P24446">
        <f>IF(OR(M24446="",N24446=""),"",SUMIFS('Barang Keluar'!$E:$E,'Barang Keluar'!$A:$A,M24446,'Barang Keluar'!$C:$C,N24446))</f>
        <v>0</v>
      </c>
    </row>
    <row r="24447" spans="13:16">
      <c r="M24447" s="49">
        <f>IF($A$4+244&gt;$B$4,"",$A$4+244)</f>
        <v>46267</v>
      </c>
      <c r="N24447">
        <f>IF(M24447="","",'Master Barang'!A41)</f>
        <v>0</v>
      </c>
      <c r="O24447">
        <f>IF(N24447="","",'Master Barang'!B41)</f>
        <v>0</v>
      </c>
      <c r="P24447">
        <f>IF(OR(M24447="",N24447=""),"",SUMIFS('Barang Keluar'!$E:$E,'Barang Keluar'!$A:$A,M24447,'Barang Keluar'!$C:$C,N24447))</f>
        <v>0</v>
      </c>
    </row>
    <row r="24448" spans="13:16">
      <c r="M24448" s="49">
        <f>IF($A$4+244&gt;$B$4,"",$A$4+244)</f>
        <v>46267</v>
      </c>
      <c r="N24448">
        <f>IF(M24448="","",'Master Barang'!A42)</f>
        <v>0</v>
      </c>
      <c r="O24448">
        <f>IF(N24448="","",'Master Barang'!B42)</f>
        <v>0</v>
      </c>
      <c r="P24448">
        <f>IF(OR(M24448="",N24448=""),"",SUMIFS('Barang Keluar'!$E:$E,'Barang Keluar'!$A:$A,M24448,'Barang Keluar'!$C:$C,N24448))</f>
        <v>0</v>
      </c>
    </row>
    <row r="24449" spans="13:16">
      <c r="M24449" s="49">
        <f>IF($A$4+244&gt;$B$4,"",$A$4+244)</f>
        <v>46267</v>
      </c>
      <c r="N24449">
        <f>IF(M24449="","",'Master Barang'!A43)</f>
        <v>0</v>
      </c>
      <c r="O24449">
        <f>IF(N24449="","",'Master Barang'!B43)</f>
        <v>0</v>
      </c>
      <c r="P24449">
        <f>IF(OR(M24449="",N24449=""),"",SUMIFS('Barang Keluar'!$E:$E,'Barang Keluar'!$A:$A,M24449,'Barang Keluar'!$C:$C,N24449))</f>
        <v>0</v>
      </c>
    </row>
    <row r="24450" spans="13:16">
      <c r="M24450" s="49">
        <f>IF($A$4+244&gt;$B$4,"",$A$4+244)</f>
        <v>46267</v>
      </c>
      <c r="N24450">
        <f>IF(M24450="","",'Master Barang'!A44)</f>
        <v>0</v>
      </c>
      <c r="O24450">
        <f>IF(N24450="","",'Master Barang'!B44)</f>
        <v>0</v>
      </c>
      <c r="P24450">
        <f>IF(OR(M24450="",N24450=""),"",SUMIFS('Barang Keluar'!$E:$E,'Barang Keluar'!$A:$A,M24450,'Barang Keluar'!$C:$C,N24450))</f>
        <v>0</v>
      </c>
    </row>
    <row r="24451" spans="13:16">
      <c r="M24451" s="49">
        <f>IF($A$4+244&gt;$B$4,"",$A$4+244)</f>
        <v>46267</v>
      </c>
      <c r="N24451">
        <f>IF(M24451="","",'Master Barang'!A45)</f>
        <v>0</v>
      </c>
      <c r="O24451">
        <f>IF(N24451="","",'Master Barang'!B45)</f>
        <v>0</v>
      </c>
      <c r="P24451">
        <f>IF(OR(M24451="",N24451=""),"",SUMIFS('Barang Keluar'!$E:$E,'Barang Keluar'!$A:$A,M24451,'Barang Keluar'!$C:$C,N24451))</f>
        <v>0</v>
      </c>
    </row>
    <row r="24452" spans="13:16">
      <c r="M24452" s="49">
        <f>IF($A$4+244&gt;$B$4,"",$A$4+244)</f>
        <v>46267</v>
      </c>
      <c r="N24452">
        <f>IF(M24452="","",'Master Barang'!A46)</f>
        <v>0</v>
      </c>
      <c r="O24452">
        <f>IF(N24452="","",'Master Barang'!B46)</f>
        <v>0</v>
      </c>
      <c r="P24452">
        <f>IF(OR(M24452="",N24452=""),"",SUMIFS('Barang Keluar'!$E:$E,'Barang Keluar'!$A:$A,M24452,'Barang Keluar'!$C:$C,N24452))</f>
        <v>0</v>
      </c>
    </row>
    <row r="24453" spans="13:16">
      <c r="M24453" s="49">
        <f>IF($A$4+244&gt;$B$4,"",$A$4+244)</f>
        <v>46267</v>
      </c>
      <c r="N24453">
        <f>IF(M24453="","",'Master Barang'!A47)</f>
        <v>0</v>
      </c>
      <c r="O24453">
        <f>IF(N24453="","",'Master Barang'!B47)</f>
        <v>0</v>
      </c>
      <c r="P24453">
        <f>IF(OR(M24453="",N24453=""),"",SUMIFS('Barang Keluar'!$E:$E,'Barang Keluar'!$A:$A,M24453,'Barang Keluar'!$C:$C,N24453))</f>
        <v>0</v>
      </c>
    </row>
    <row r="24454" spans="13:16">
      <c r="M24454" s="49">
        <f>IF($A$4+244&gt;$B$4,"",$A$4+244)</f>
        <v>46267</v>
      </c>
      <c r="N24454">
        <f>IF(M24454="","",'Master Barang'!A48)</f>
        <v>0</v>
      </c>
      <c r="O24454">
        <f>IF(N24454="","",'Master Barang'!B48)</f>
        <v>0</v>
      </c>
      <c r="P24454">
        <f>IF(OR(M24454="",N24454=""),"",SUMIFS('Barang Keluar'!$E:$E,'Barang Keluar'!$A:$A,M24454,'Barang Keluar'!$C:$C,N24454))</f>
        <v>0</v>
      </c>
    </row>
    <row r="24455" spans="13:16">
      <c r="M24455" s="49">
        <f>IF($A$4+244&gt;$B$4,"",$A$4+244)</f>
        <v>46267</v>
      </c>
      <c r="N24455">
        <f>IF(M24455="","",'Master Barang'!A49)</f>
        <v>0</v>
      </c>
      <c r="O24455">
        <f>IF(N24455="","",'Master Barang'!B49)</f>
        <v>0</v>
      </c>
      <c r="P24455">
        <f>IF(OR(M24455="",N24455=""),"",SUMIFS('Barang Keluar'!$E:$E,'Barang Keluar'!$A:$A,M24455,'Barang Keluar'!$C:$C,N24455))</f>
        <v>0</v>
      </c>
    </row>
    <row r="24456" spans="13:16">
      <c r="M24456" s="49">
        <f>IF($A$4+244&gt;$B$4,"",$A$4+244)</f>
        <v>46267</v>
      </c>
      <c r="N24456">
        <f>IF(M24456="","",'Master Barang'!A50)</f>
        <v>0</v>
      </c>
      <c r="O24456">
        <f>IF(N24456="","",'Master Barang'!B50)</f>
        <v>0</v>
      </c>
      <c r="P24456">
        <f>IF(OR(M24456="",N24456=""),"",SUMIFS('Barang Keluar'!$E:$E,'Barang Keluar'!$A:$A,M24456,'Barang Keluar'!$C:$C,N24456))</f>
        <v>0</v>
      </c>
    </row>
    <row r="24457" spans="13:16">
      <c r="M24457" s="49">
        <f>IF($A$4+244&gt;$B$4,"",$A$4+244)</f>
        <v>46267</v>
      </c>
      <c r="N24457">
        <f>IF(M24457="","",'Master Barang'!A51)</f>
        <v>0</v>
      </c>
      <c r="O24457">
        <f>IF(N24457="","",'Master Barang'!B51)</f>
        <v>0</v>
      </c>
      <c r="P24457">
        <f>IF(OR(M24457="",N24457=""),"",SUMIFS('Barang Keluar'!$E:$E,'Barang Keluar'!$A:$A,M24457,'Barang Keluar'!$C:$C,N24457))</f>
        <v>0</v>
      </c>
    </row>
    <row r="24458" spans="13:16">
      <c r="M24458" s="49">
        <f>IF($A$4+244&gt;$B$4,"",$A$4+244)</f>
        <v>46267</v>
      </c>
      <c r="N24458">
        <f>IF(M24458="","",'Master Barang'!A52)</f>
        <v>0</v>
      </c>
      <c r="O24458">
        <f>IF(N24458="","",'Master Barang'!B52)</f>
        <v>0</v>
      </c>
      <c r="P24458">
        <f>IF(OR(M24458="",N24458=""),"",SUMIFS('Barang Keluar'!$E:$E,'Barang Keluar'!$A:$A,M24458,'Barang Keluar'!$C:$C,N24458))</f>
        <v>0</v>
      </c>
    </row>
    <row r="24459" spans="13:16">
      <c r="M24459" s="49">
        <f>IF($A$4+244&gt;$B$4,"",$A$4+244)</f>
        <v>46267</v>
      </c>
      <c r="N24459">
        <f>IF(M24459="","",'Master Barang'!A53)</f>
        <v>0</v>
      </c>
      <c r="O24459">
        <f>IF(N24459="","",'Master Barang'!B53)</f>
        <v>0</v>
      </c>
      <c r="P24459">
        <f>IF(OR(M24459="",N24459=""),"",SUMIFS('Barang Keluar'!$E:$E,'Barang Keluar'!$A:$A,M24459,'Barang Keluar'!$C:$C,N24459))</f>
        <v>0</v>
      </c>
    </row>
    <row r="24460" spans="13:16">
      <c r="M24460" s="49">
        <f>IF($A$4+244&gt;$B$4,"",$A$4+244)</f>
        <v>46267</v>
      </c>
      <c r="N24460">
        <f>IF(M24460="","",'Master Barang'!A54)</f>
        <v>0</v>
      </c>
      <c r="O24460">
        <f>IF(N24460="","",'Master Barang'!B54)</f>
        <v>0</v>
      </c>
      <c r="P24460">
        <f>IF(OR(M24460="",N24460=""),"",SUMIFS('Barang Keluar'!$E:$E,'Barang Keluar'!$A:$A,M24460,'Barang Keluar'!$C:$C,N24460))</f>
        <v>0</v>
      </c>
    </row>
    <row r="24461" spans="13:16">
      <c r="M24461" s="49">
        <f>IF($A$4+244&gt;$B$4,"",$A$4+244)</f>
        <v>46267</v>
      </c>
      <c r="N24461">
        <f>IF(M24461="","",'Master Barang'!A55)</f>
        <v>0</v>
      </c>
      <c r="O24461">
        <f>IF(N24461="","",'Master Barang'!B55)</f>
        <v>0</v>
      </c>
      <c r="P24461">
        <f>IF(OR(M24461="",N24461=""),"",SUMIFS('Barang Keluar'!$E:$E,'Barang Keluar'!$A:$A,M24461,'Barang Keluar'!$C:$C,N24461))</f>
        <v>0</v>
      </c>
    </row>
    <row r="24462" spans="13:16">
      <c r="M24462" s="49">
        <f>IF($A$4+244&gt;$B$4,"",$A$4+244)</f>
        <v>46267</v>
      </c>
      <c r="N24462">
        <f>IF(M24462="","",'Master Barang'!A56)</f>
        <v>0</v>
      </c>
      <c r="O24462">
        <f>IF(N24462="","",'Master Barang'!B56)</f>
        <v>0</v>
      </c>
      <c r="P24462">
        <f>IF(OR(M24462="",N24462=""),"",SUMIFS('Barang Keluar'!$E:$E,'Barang Keluar'!$A:$A,M24462,'Barang Keluar'!$C:$C,N24462))</f>
        <v>0</v>
      </c>
    </row>
    <row r="24463" spans="13:16">
      <c r="M24463" s="49">
        <f>IF($A$4+244&gt;$B$4,"",$A$4+244)</f>
        <v>46267</v>
      </c>
      <c r="N24463">
        <f>IF(M24463="","",'Master Barang'!A57)</f>
        <v>0</v>
      </c>
      <c r="O24463">
        <f>IF(N24463="","",'Master Barang'!B57)</f>
        <v>0</v>
      </c>
      <c r="P24463">
        <f>IF(OR(M24463="",N24463=""),"",SUMIFS('Barang Keluar'!$E:$E,'Barang Keluar'!$A:$A,M24463,'Barang Keluar'!$C:$C,N24463))</f>
        <v>0</v>
      </c>
    </row>
    <row r="24464" spans="13:16">
      <c r="M24464" s="49">
        <f>IF($A$4+244&gt;$B$4,"",$A$4+244)</f>
        <v>46267</v>
      </c>
      <c r="N24464">
        <f>IF(M24464="","",'Master Barang'!A58)</f>
        <v>0</v>
      </c>
      <c r="O24464">
        <f>IF(N24464="","",'Master Barang'!B58)</f>
        <v>0</v>
      </c>
      <c r="P24464">
        <f>IF(OR(M24464="",N24464=""),"",SUMIFS('Barang Keluar'!$E:$E,'Barang Keluar'!$A:$A,M24464,'Barang Keluar'!$C:$C,N24464))</f>
        <v>0</v>
      </c>
    </row>
    <row r="24465" spans="13:16">
      <c r="M24465" s="49">
        <f>IF($A$4+244&gt;$B$4,"",$A$4+244)</f>
        <v>46267</v>
      </c>
      <c r="N24465">
        <f>IF(M24465="","",'Master Barang'!A59)</f>
        <v>0</v>
      </c>
      <c r="O24465">
        <f>IF(N24465="","",'Master Barang'!B59)</f>
        <v>0</v>
      </c>
      <c r="P24465">
        <f>IF(OR(M24465="",N24465=""),"",SUMIFS('Barang Keluar'!$E:$E,'Barang Keluar'!$A:$A,M24465,'Barang Keluar'!$C:$C,N24465))</f>
        <v>0</v>
      </c>
    </row>
    <row r="24466" spans="13:16">
      <c r="M24466" s="49">
        <f>IF($A$4+244&gt;$B$4,"",$A$4+244)</f>
        <v>46267</v>
      </c>
      <c r="N24466">
        <f>IF(M24466="","",'Master Barang'!A60)</f>
        <v>0</v>
      </c>
      <c r="O24466">
        <f>IF(N24466="","",'Master Barang'!B60)</f>
        <v>0</v>
      </c>
      <c r="P24466">
        <f>IF(OR(M24466="",N24466=""),"",SUMIFS('Barang Keluar'!$E:$E,'Barang Keluar'!$A:$A,M24466,'Barang Keluar'!$C:$C,N24466))</f>
        <v>0</v>
      </c>
    </row>
    <row r="24467" spans="13:16">
      <c r="M24467" s="49">
        <f>IF($A$4+244&gt;$B$4,"",$A$4+244)</f>
        <v>46267</v>
      </c>
      <c r="N24467">
        <f>IF(M24467="","",'Master Barang'!A61)</f>
        <v>0</v>
      </c>
      <c r="O24467">
        <f>IF(N24467="","",'Master Barang'!B61)</f>
        <v>0</v>
      </c>
      <c r="P24467">
        <f>IF(OR(M24467="",N24467=""),"",SUMIFS('Barang Keluar'!$E:$E,'Barang Keluar'!$A:$A,M24467,'Barang Keluar'!$C:$C,N24467))</f>
        <v>0</v>
      </c>
    </row>
    <row r="24468" spans="13:16">
      <c r="M24468" s="49">
        <f>IF($A$4+244&gt;$B$4,"",$A$4+244)</f>
        <v>46267</v>
      </c>
      <c r="N24468">
        <f>IF(M24468="","",'Master Barang'!A62)</f>
        <v>0</v>
      </c>
      <c r="O24468">
        <f>IF(N24468="","",'Master Barang'!B62)</f>
        <v>0</v>
      </c>
      <c r="P24468">
        <f>IF(OR(M24468="",N24468=""),"",SUMIFS('Barang Keluar'!$E:$E,'Barang Keluar'!$A:$A,M24468,'Barang Keluar'!$C:$C,N24468))</f>
        <v>0</v>
      </c>
    </row>
    <row r="24469" spans="13:16">
      <c r="M24469" s="49">
        <f>IF($A$4+244&gt;$B$4,"",$A$4+244)</f>
        <v>46267</v>
      </c>
      <c r="N24469">
        <f>IF(M24469="","",'Master Barang'!A63)</f>
        <v>0</v>
      </c>
      <c r="O24469">
        <f>IF(N24469="","",'Master Barang'!B63)</f>
        <v>0</v>
      </c>
      <c r="P24469">
        <f>IF(OR(M24469="",N24469=""),"",SUMIFS('Barang Keluar'!$E:$E,'Barang Keluar'!$A:$A,M24469,'Barang Keluar'!$C:$C,N24469))</f>
        <v>0</v>
      </c>
    </row>
    <row r="24470" spans="13:16">
      <c r="M24470" s="49">
        <f>IF($A$4+244&gt;$B$4,"",$A$4+244)</f>
        <v>46267</v>
      </c>
      <c r="N24470">
        <f>IF(M24470="","",'Master Barang'!A64)</f>
        <v>0</v>
      </c>
      <c r="O24470">
        <f>IF(N24470="","",'Master Barang'!B64)</f>
        <v>0</v>
      </c>
      <c r="P24470">
        <f>IF(OR(M24470="",N24470=""),"",SUMIFS('Barang Keluar'!$E:$E,'Barang Keluar'!$A:$A,M24470,'Barang Keluar'!$C:$C,N24470))</f>
        <v>0</v>
      </c>
    </row>
    <row r="24471" spans="13:16">
      <c r="M24471" s="49">
        <f>IF($A$4+244&gt;$B$4,"",$A$4+244)</f>
        <v>46267</v>
      </c>
      <c r="N24471">
        <f>IF(M24471="","",'Master Barang'!A65)</f>
        <v>0</v>
      </c>
      <c r="O24471">
        <f>IF(N24471="","",'Master Barang'!B65)</f>
        <v>0</v>
      </c>
      <c r="P24471">
        <f>IF(OR(M24471="",N24471=""),"",SUMIFS('Barang Keluar'!$E:$E,'Barang Keluar'!$A:$A,M24471,'Barang Keluar'!$C:$C,N24471))</f>
        <v>0</v>
      </c>
    </row>
    <row r="24472" spans="13:16">
      <c r="M24472" s="49">
        <f>IF($A$4+244&gt;$B$4,"",$A$4+244)</f>
        <v>46267</v>
      </c>
      <c r="N24472">
        <f>IF(M24472="","",'Master Barang'!A66)</f>
        <v>0</v>
      </c>
      <c r="O24472">
        <f>IF(N24472="","",'Master Barang'!B66)</f>
        <v>0</v>
      </c>
      <c r="P24472">
        <f>IF(OR(M24472="",N24472=""),"",SUMIFS('Barang Keluar'!$E:$E,'Barang Keluar'!$A:$A,M24472,'Barang Keluar'!$C:$C,N24472))</f>
        <v>0</v>
      </c>
    </row>
    <row r="24473" spans="13:16">
      <c r="M24473" s="49">
        <f>IF($A$4+244&gt;$B$4,"",$A$4+244)</f>
        <v>46267</v>
      </c>
      <c r="N24473">
        <f>IF(M24473="","",'Master Barang'!A67)</f>
        <v>0</v>
      </c>
      <c r="O24473">
        <f>IF(N24473="","",'Master Barang'!B67)</f>
        <v>0</v>
      </c>
      <c r="P24473">
        <f>IF(OR(M24473="",N24473=""),"",SUMIFS('Barang Keluar'!$E:$E,'Barang Keluar'!$A:$A,M24473,'Barang Keluar'!$C:$C,N24473))</f>
        <v>0</v>
      </c>
    </row>
    <row r="24474" spans="13:16">
      <c r="M24474" s="49">
        <f>IF($A$4+244&gt;$B$4,"",$A$4+244)</f>
        <v>46267</v>
      </c>
      <c r="N24474">
        <f>IF(M24474="","",'Master Barang'!A68)</f>
        <v>0</v>
      </c>
      <c r="O24474">
        <f>IF(N24474="","",'Master Barang'!B68)</f>
        <v>0</v>
      </c>
      <c r="P24474">
        <f>IF(OR(M24474="",N24474=""),"",SUMIFS('Barang Keluar'!$E:$E,'Barang Keluar'!$A:$A,M24474,'Barang Keluar'!$C:$C,N24474))</f>
        <v>0</v>
      </c>
    </row>
    <row r="24475" spans="13:16">
      <c r="M24475" s="49">
        <f>IF($A$4+244&gt;$B$4,"",$A$4+244)</f>
        <v>46267</v>
      </c>
      <c r="N24475">
        <f>IF(M24475="","",'Master Barang'!A69)</f>
        <v>0</v>
      </c>
      <c r="O24475">
        <f>IF(N24475="","",'Master Barang'!B69)</f>
        <v>0</v>
      </c>
      <c r="P24475">
        <f>IF(OR(M24475="",N24475=""),"",SUMIFS('Barang Keluar'!$E:$E,'Barang Keluar'!$A:$A,M24475,'Barang Keluar'!$C:$C,N24475))</f>
        <v>0</v>
      </c>
    </row>
    <row r="24476" spans="13:16">
      <c r="M24476" s="49">
        <f>IF($A$4+244&gt;$B$4,"",$A$4+244)</f>
        <v>46267</v>
      </c>
      <c r="N24476">
        <f>IF(M24476="","",'Master Barang'!A70)</f>
        <v>0</v>
      </c>
      <c r="O24476">
        <f>IF(N24476="","",'Master Barang'!B70)</f>
        <v>0</v>
      </c>
      <c r="P24476">
        <f>IF(OR(M24476="",N24476=""),"",SUMIFS('Barang Keluar'!$E:$E,'Barang Keluar'!$A:$A,M24476,'Barang Keluar'!$C:$C,N24476))</f>
        <v>0</v>
      </c>
    </row>
    <row r="24477" spans="13:16">
      <c r="M24477" s="49">
        <f>IF($A$4+244&gt;$B$4,"",$A$4+244)</f>
        <v>46267</v>
      </c>
      <c r="N24477">
        <f>IF(M24477="","",'Master Barang'!A71)</f>
        <v>0</v>
      </c>
      <c r="O24477">
        <f>IF(N24477="","",'Master Barang'!B71)</f>
        <v>0</v>
      </c>
      <c r="P24477">
        <f>IF(OR(M24477="",N24477=""),"",SUMIFS('Barang Keluar'!$E:$E,'Barang Keluar'!$A:$A,M24477,'Barang Keluar'!$C:$C,N24477))</f>
        <v>0</v>
      </c>
    </row>
    <row r="24478" spans="13:16">
      <c r="M24478" s="49">
        <f>IF($A$4+244&gt;$B$4,"",$A$4+244)</f>
        <v>46267</v>
      </c>
      <c r="N24478">
        <f>IF(M24478="","",'Master Barang'!A72)</f>
        <v>0</v>
      </c>
      <c r="O24478">
        <f>IF(N24478="","",'Master Barang'!B72)</f>
        <v>0</v>
      </c>
      <c r="P24478">
        <f>IF(OR(M24478="",N24478=""),"",SUMIFS('Barang Keluar'!$E:$E,'Barang Keluar'!$A:$A,M24478,'Barang Keluar'!$C:$C,N24478))</f>
        <v>0</v>
      </c>
    </row>
    <row r="24479" spans="13:16">
      <c r="M24479" s="49">
        <f>IF($A$4+244&gt;$B$4,"",$A$4+244)</f>
        <v>46267</v>
      </c>
      <c r="N24479">
        <f>IF(M24479="","",'Master Barang'!A73)</f>
        <v>0</v>
      </c>
      <c r="O24479">
        <f>IF(N24479="","",'Master Barang'!B73)</f>
        <v>0</v>
      </c>
      <c r="P24479">
        <f>IF(OR(M24479="",N24479=""),"",SUMIFS('Barang Keluar'!$E:$E,'Barang Keluar'!$A:$A,M24479,'Barang Keluar'!$C:$C,N24479))</f>
        <v>0</v>
      </c>
    </row>
    <row r="24480" spans="13:16">
      <c r="M24480" s="49">
        <f>IF($A$4+244&gt;$B$4,"",$A$4+244)</f>
        <v>46267</v>
      </c>
      <c r="N24480">
        <f>IF(M24480="","",'Master Barang'!A74)</f>
        <v>0</v>
      </c>
      <c r="O24480">
        <f>IF(N24480="","",'Master Barang'!B74)</f>
        <v>0</v>
      </c>
      <c r="P24480">
        <f>IF(OR(M24480="",N24480=""),"",SUMIFS('Barang Keluar'!$E:$E,'Barang Keluar'!$A:$A,M24480,'Barang Keluar'!$C:$C,N24480))</f>
        <v>0</v>
      </c>
    </row>
    <row r="24481" spans="13:16">
      <c r="M24481" s="49">
        <f>IF($A$4+244&gt;$B$4,"",$A$4+244)</f>
        <v>46267</v>
      </c>
      <c r="N24481">
        <f>IF(M24481="","",'Master Barang'!A75)</f>
        <v>0</v>
      </c>
      <c r="O24481">
        <f>IF(N24481="","",'Master Barang'!B75)</f>
        <v>0</v>
      </c>
      <c r="P24481">
        <f>IF(OR(M24481="",N24481=""),"",SUMIFS('Barang Keluar'!$E:$E,'Barang Keluar'!$A:$A,M24481,'Barang Keluar'!$C:$C,N24481))</f>
        <v>0</v>
      </c>
    </row>
    <row r="24482" spans="13:16">
      <c r="M24482" s="49">
        <f>IF($A$4+244&gt;$B$4,"",$A$4+244)</f>
        <v>46267</v>
      </c>
      <c r="N24482">
        <f>IF(M24482="","",'Master Barang'!A76)</f>
        <v>0</v>
      </c>
      <c r="O24482">
        <f>IF(N24482="","",'Master Barang'!B76)</f>
        <v>0</v>
      </c>
      <c r="P24482">
        <f>IF(OR(M24482="",N24482=""),"",SUMIFS('Barang Keluar'!$E:$E,'Barang Keluar'!$A:$A,M24482,'Barang Keluar'!$C:$C,N24482))</f>
        <v>0</v>
      </c>
    </row>
    <row r="24483" spans="13:16">
      <c r="M24483" s="49">
        <f>IF($A$4+244&gt;$B$4,"",$A$4+244)</f>
        <v>46267</v>
      </c>
      <c r="N24483">
        <f>IF(M24483="","",'Master Barang'!A77)</f>
        <v>0</v>
      </c>
      <c r="O24483">
        <f>IF(N24483="","",'Master Barang'!B77)</f>
        <v>0</v>
      </c>
      <c r="P24483">
        <f>IF(OR(M24483="",N24483=""),"",SUMIFS('Barang Keluar'!$E:$E,'Barang Keluar'!$A:$A,M24483,'Barang Keluar'!$C:$C,N24483))</f>
        <v>0</v>
      </c>
    </row>
    <row r="24484" spans="13:16">
      <c r="M24484" s="49">
        <f>IF($A$4+244&gt;$B$4,"",$A$4+244)</f>
        <v>46267</v>
      </c>
      <c r="N24484">
        <f>IF(M24484="","",'Master Barang'!A78)</f>
        <v>0</v>
      </c>
      <c r="O24484">
        <f>IF(N24484="","",'Master Barang'!B78)</f>
        <v>0</v>
      </c>
      <c r="P24484">
        <f>IF(OR(M24484="",N24484=""),"",SUMIFS('Barang Keluar'!$E:$E,'Barang Keluar'!$A:$A,M24484,'Barang Keluar'!$C:$C,N24484))</f>
        <v>0</v>
      </c>
    </row>
    <row r="24485" spans="13:16">
      <c r="M24485" s="49">
        <f>IF($A$4+244&gt;$B$4,"",$A$4+244)</f>
        <v>46267</v>
      </c>
      <c r="N24485">
        <f>IF(M24485="","",'Master Barang'!A79)</f>
        <v>0</v>
      </c>
      <c r="O24485">
        <f>IF(N24485="","",'Master Barang'!B79)</f>
        <v>0</v>
      </c>
      <c r="P24485">
        <f>IF(OR(M24485="",N24485=""),"",SUMIFS('Barang Keluar'!$E:$E,'Barang Keluar'!$A:$A,M24485,'Barang Keluar'!$C:$C,N24485))</f>
        <v>0</v>
      </c>
    </row>
    <row r="24486" spans="13:16">
      <c r="M24486" s="49">
        <f>IF($A$4+244&gt;$B$4,"",$A$4+244)</f>
        <v>46267</v>
      </c>
      <c r="N24486">
        <f>IF(M24486="","",'Master Barang'!A80)</f>
        <v>0</v>
      </c>
      <c r="O24486">
        <f>IF(N24486="","",'Master Barang'!B80)</f>
        <v>0</v>
      </c>
      <c r="P24486">
        <f>IF(OR(M24486="",N24486=""),"",SUMIFS('Barang Keluar'!$E:$E,'Barang Keluar'!$A:$A,M24486,'Barang Keluar'!$C:$C,N24486))</f>
        <v>0</v>
      </c>
    </row>
    <row r="24487" spans="13:16">
      <c r="M24487" s="49">
        <f>IF($A$4+244&gt;$B$4,"",$A$4+244)</f>
        <v>46267</v>
      </c>
      <c r="N24487">
        <f>IF(M24487="","",'Master Barang'!A81)</f>
        <v>0</v>
      </c>
      <c r="O24487">
        <f>IF(N24487="","",'Master Barang'!B81)</f>
        <v>0</v>
      </c>
      <c r="P24487">
        <f>IF(OR(M24487="",N24487=""),"",SUMIFS('Barang Keluar'!$E:$E,'Barang Keluar'!$A:$A,M24487,'Barang Keluar'!$C:$C,N24487))</f>
        <v>0</v>
      </c>
    </row>
    <row r="24488" spans="13:16">
      <c r="M24488" s="49">
        <f>IF($A$4+244&gt;$B$4,"",$A$4+244)</f>
        <v>46267</v>
      </c>
      <c r="N24488">
        <f>IF(M24488="","",'Master Barang'!A82)</f>
        <v>0</v>
      </c>
      <c r="O24488">
        <f>IF(N24488="","",'Master Barang'!B82)</f>
        <v>0</v>
      </c>
      <c r="P24488">
        <f>IF(OR(M24488="",N24488=""),"",SUMIFS('Barang Keluar'!$E:$E,'Barang Keluar'!$A:$A,M24488,'Barang Keluar'!$C:$C,N24488))</f>
        <v>0</v>
      </c>
    </row>
    <row r="24489" spans="13:16">
      <c r="M24489" s="49">
        <f>IF($A$4+244&gt;$B$4,"",$A$4+244)</f>
        <v>46267</v>
      </c>
      <c r="N24489">
        <f>IF(M24489="","",'Master Barang'!A83)</f>
        <v>0</v>
      </c>
      <c r="O24489">
        <f>IF(N24489="","",'Master Barang'!B83)</f>
        <v>0</v>
      </c>
      <c r="P24489">
        <f>IF(OR(M24489="",N24489=""),"",SUMIFS('Barang Keluar'!$E:$E,'Barang Keluar'!$A:$A,M24489,'Barang Keluar'!$C:$C,N24489))</f>
        <v>0</v>
      </c>
    </row>
    <row r="24490" spans="13:16">
      <c r="M24490" s="49">
        <f>IF($A$4+244&gt;$B$4,"",$A$4+244)</f>
        <v>46267</v>
      </c>
      <c r="N24490">
        <f>IF(M24490="","",'Master Barang'!A84)</f>
        <v>0</v>
      </c>
      <c r="O24490">
        <f>IF(N24490="","",'Master Barang'!B84)</f>
        <v>0</v>
      </c>
      <c r="P24490">
        <f>IF(OR(M24490="",N24490=""),"",SUMIFS('Barang Keluar'!$E:$E,'Barang Keluar'!$A:$A,M24490,'Barang Keluar'!$C:$C,N24490))</f>
        <v>0</v>
      </c>
    </row>
    <row r="24491" spans="13:16">
      <c r="M24491" s="49">
        <f>IF($A$4+244&gt;$B$4,"",$A$4+244)</f>
        <v>46267</v>
      </c>
      <c r="N24491">
        <f>IF(M24491="","",'Master Barang'!A85)</f>
        <v>0</v>
      </c>
      <c r="O24491">
        <f>IF(N24491="","",'Master Barang'!B85)</f>
        <v>0</v>
      </c>
      <c r="P24491">
        <f>IF(OR(M24491="",N24491=""),"",SUMIFS('Barang Keluar'!$E:$E,'Barang Keluar'!$A:$A,M24491,'Barang Keluar'!$C:$C,N24491))</f>
        <v>0</v>
      </c>
    </row>
    <row r="24492" spans="13:16">
      <c r="M24492" s="49">
        <f>IF($A$4+244&gt;$B$4,"",$A$4+244)</f>
        <v>46267</v>
      </c>
      <c r="N24492">
        <f>IF(M24492="","",'Master Barang'!A86)</f>
        <v>0</v>
      </c>
      <c r="O24492">
        <f>IF(N24492="","",'Master Barang'!B86)</f>
        <v>0</v>
      </c>
      <c r="P24492">
        <f>IF(OR(M24492="",N24492=""),"",SUMIFS('Barang Keluar'!$E:$E,'Barang Keluar'!$A:$A,M24492,'Barang Keluar'!$C:$C,N24492))</f>
        <v>0</v>
      </c>
    </row>
    <row r="24493" spans="13:16">
      <c r="M24493" s="49">
        <f>IF($A$4+244&gt;$B$4,"",$A$4+244)</f>
        <v>46267</v>
      </c>
      <c r="N24493">
        <f>IF(M24493="","",'Master Barang'!A87)</f>
        <v>0</v>
      </c>
      <c r="O24493">
        <f>IF(N24493="","",'Master Barang'!B87)</f>
        <v>0</v>
      </c>
      <c r="P24493">
        <f>IF(OR(M24493="",N24493=""),"",SUMIFS('Barang Keluar'!$E:$E,'Barang Keluar'!$A:$A,M24493,'Barang Keluar'!$C:$C,N24493))</f>
        <v>0</v>
      </c>
    </row>
    <row r="24494" spans="13:16">
      <c r="M24494" s="49">
        <f>IF($A$4+244&gt;$B$4,"",$A$4+244)</f>
        <v>46267</v>
      </c>
      <c r="N24494">
        <f>IF(M24494="","",'Master Barang'!A88)</f>
        <v>0</v>
      </c>
      <c r="O24494">
        <f>IF(N24494="","",'Master Barang'!B88)</f>
        <v>0</v>
      </c>
      <c r="P24494">
        <f>IF(OR(M24494="",N24494=""),"",SUMIFS('Barang Keluar'!$E:$E,'Barang Keluar'!$A:$A,M24494,'Barang Keluar'!$C:$C,N24494))</f>
        <v>0</v>
      </c>
    </row>
    <row r="24495" spans="13:16">
      <c r="M24495" s="49">
        <f>IF($A$4+244&gt;$B$4,"",$A$4+244)</f>
        <v>46267</v>
      </c>
      <c r="N24495">
        <f>IF(M24495="","",'Master Barang'!A89)</f>
        <v>0</v>
      </c>
      <c r="O24495">
        <f>IF(N24495="","",'Master Barang'!B89)</f>
        <v>0</v>
      </c>
      <c r="P24495">
        <f>IF(OR(M24495="",N24495=""),"",SUMIFS('Barang Keluar'!$E:$E,'Barang Keluar'!$A:$A,M24495,'Barang Keluar'!$C:$C,N24495))</f>
        <v>0</v>
      </c>
    </row>
    <row r="24496" spans="13:16">
      <c r="M24496" s="49">
        <f>IF($A$4+244&gt;$B$4,"",$A$4+244)</f>
        <v>46267</v>
      </c>
      <c r="N24496">
        <f>IF(M24496="","",'Master Barang'!A90)</f>
        <v>0</v>
      </c>
      <c r="O24496">
        <f>IF(N24496="","",'Master Barang'!B90)</f>
        <v>0</v>
      </c>
      <c r="P24496">
        <f>IF(OR(M24496="",N24496=""),"",SUMIFS('Barang Keluar'!$E:$E,'Barang Keluar'!$A:$A,M24496,'Barang Keluar'!$C:$C,N24496))</f>
        <v>0</v>
      </c>
    </row>
    <row r="24497" spans="13:16">
      <c r="M24497" s="49">
        <f>IF($A$4+244&gt;$B$4,"",$A$4+244)</f>
        <v>46267</v>
      </c>
      <c r="N24497">
        <f>IF(M24497="","",'Master Barang'!A91)</f>
        <v>0</v>
      </c>
      <c r="O24497">
        <f>IF(N24497="","",'Master Barang'!B91)</f>
        <v>0</v>
      </c>
      <c r="P24497">
        <f>IF(OR(M24497="",N24497=""),"",SUMIFS('Barang Keluar'!$E:$E,'Barang Keluar'!$A:$A,M24497,'Barang Keluar'!$C:$C,N24497))</f>
        <v>0</v>
      </c>
    </row>
    <row r="24498" spans="13:16">
      <c r="M24498" s="49">
        <f>IF($A$4+244&gt;$B$4,"",$A$4+244)</f>
        <v>46267</v>
      </c>
      <c r="N24498">
        <f>IF(M24498="","",'Master Barang'!A92)</f>
        <v>0</v>
      </c>
      <c r="O24498">
        <f>IF(N24498="","",'Master Barang'!B92)</f>
        <v>0</v>
      </c>
      <c r="P24498">
        <f>IF(OR(M24498="",N24498=""),"",SUMIFS('Barang Keluar'!$E:$E,'Barang Keluar'!$A:$A,M24498,'Barang Keluar'!$C:$C,N24498))</f>
        <v>0</v>
      </c>
    </row>
    <row r="24499" spans="13:16">
      <c r="M24499" s="49">
        <f>IF($A$4+244&gt;$B$4,"",$A$4+244)</f>
        <v>46267</v>
      </c>
      <c r="N24499">
        <f>IF(M24499="","",'Master Barang'!A93)</f>
        <v>0</v>
      </c>
      <c r="O24499">
        <f>IF(N24499="","",'Master Barang'!B93)</f>
        <v>0</v>
      </c>
      <c r="P24499">
        <f>IF(OR(M24499="",N24499=""),"",SUMIFS('Barang Keluar'!$E:$E,'Barang Keluar'!$A:$A,M24499,'Barang Keluar'!$C:$C,N24499))</f>
        <v>0</v>
      </c>
    </row>
    <row r="24500" spans="13:16">
      <c r="M24500" s="49">
        <f>IF($A$4+244&gt;$B$4,"",$A$4+244)</f>
        <v>46267</v>
      </c>
      <c r="N24500">
        <f>IF(M24500="","",'Master Barang'!A94)</f>
        <v>0</v>
      </c>
      <c r="O24500">
        <f>IF(N24500="","",'Master Barang'!B94)</f>
        <v>0</v>
      </c>
      <c r="P24500">
        <f>IF(OR(M24500="",N24500=""),"",SUMIFS('Barang Keluar'!$E:$E,'Barang Keluar'!$A:$A,M24500,'Barang Keluar'!$C:$C,N24500))</f>
        <v>0</v>
      </c>
    </row>
    <row r="24501" spans="13:16">
      <c r="M24501" s="49">
        <f>IF($A$4+244&gt;$B$4,"",$A$4+244)</f>
        <v>46267</v>
      </c>
      <c r="N24501">
        <f>IF(M24501="","",'Master Barang'!A95)</f>
        <v>0</v>
      </c>
      <c r="O24501">
        <f>IF(N24501="","",'Master Barang'!B95)</f>
        <v>0</v>
      </c>
      <c r="P24501">
        <f>IF(OR(M24501="",N24501=""),"",SUMIFS('Barang Keluar'!$E:$E,'Barang Keluar'!$A:$A,M24501,'Barang Keluar'!$C:$C,N24501))</f>
        <v>0</v>
      </c>
    </row>
    <row r="24502" spans="13:16">
      <c r="M24502" s="49">
        <f>IF($A$4+244&gt;$B$4,"",$A$4+244)</f>
        <v>46267</v>
      </c>
      <c r="N24502">
        <f>IF(M24502="","",'Master Barang'!A96)</f>
        <v>0</v>
      </c>
      <c r="O24502">
        <f>IF(N24502="","",'Master Barang'!B96)</f>
        <v>0</v>
      </c>
      <c r="P24502">
        <f>IF(OR(M24502="",N24502=""),"",SUMIFS('Barang Keluar'!$E:$E,'Barang Keluar'!$A:$A,M24502,'Barang Keluar'!$C:$C,N24502))</f>
        <v>0</v>
      </c>
    </row>
    <row r="24503" spans="13:16">
      <c r="M24503" s="49">
        <f>IF($A$4+244&gt;$B$4,"",$A$4+244)</f>
        <v>46267</v>
      </c>
      <c r="N24503">
        <f>IF(M24503="","",'Master Barang'!A97)</f>
        <v>0</v>
      </c>
      <c r="O24503">
        <f>IF(N24503="","",'Master Barang'!B97)</f>
        <v>0</v>
      </c>
      <c r="P24503">
        <f>IF(OR(M24503="",N24503=""),"",SUMIFS('Barang Keluar'!$E:$E,'Barang Keluar'!$A:$A,M24503,'Barang Keluar'!$C:$C,N24503))</f>
        <v>0</v>
      </c>
    </row>
    <row r="24504" spans="13:16">
      <c r="M24504" s="49">
        <f>IF($A$4+244&gt;$B$4,"",$A$4+244)</f>
        <v>46267</v>
      </c>
      <c r="N24504">
        <f>IF(M24504="","",'Master Barang'!A98)</f>
        <v>0</v>
      </c>
      <c r="O24504">
        <f>IF(N24504="","",'Master Barang'!B98)</f>
        <v>0</v>
      </c>
      <c r="P24504">
        <f>IF(OR(M24504="",N24504=""),"",SUMIFS('Barang Keluar'!$E:$E,'Barang Keluar'!$A:$A,M24504,'Barang Keluar'!$C:$C,N24504))</f>
        <v>0</v>
      </c>
    </row>
    <row r="24505" spans="13:16">
      <c r="M24505" s="49">
        <f>IF($A$4+244&gt;$B$4,"",$A$4+244)</f>
        <v>46267</v>
      </c>
      <c r="N24505">
        <f>IF(M24505="","",'Master Barang'!A99)</f>
        <v>0</v>
      </c>
      <c r="O24505">
        <f>IF(N24505="","",'Master Barang'!B99)</f>
        <v>0</v>
      </c>
      <c r="P24505">
        <f>IF(OR(M24505="",N24505=""),"",SUMIFS('Barang Keluar'!$E:$E,'Barang Keluar'!$A:$A,M24505,'Barang Keluar'!$C:$C,N24505))</f>
        <v>0</v>
      </c>
    </row>
    <row r="24506" spans="13:16">
      <c r="M24506" s="49">
        <f>IF($A$4+244&gt;$B$4,"",$A$4+244)</f>
        <v>46267</v>
      </c>
      <c r="N24506">
        <f>IF(M24506="","",'Master Barang'!A100)</f>
        <v>0</v>
      </c>
      <c r="O24506">
        <f>IF(N24506="","",'Master Barang'!B100)</f>
        <v>0</v>
      </c>
      <c r="P24506">
        <f>IF(OR(M24506="",N24506=""),"",SUMIFS('Barang Keluar'!$E:$E,'Barang Keluar'!$A:$A,M24506,'Barang Keluar'!$C:$C,N24506))</f>
        <v>0</v>
      </c>
    </row>
    <row r="24507" spans="13:16">
      <c r="M24507" s="49">
        <f>IF($A$4+244&gt;$B$4,"",$A$4+244)</f>
        <v>46267</v>
      </c>
      <c r="N24507">
        <f>IF(M24507="","",'Master Barang'!A101)</f>
        <v>0</v>
      </c>
      <c r="O24507">
        <f>IF(N24507="","",'Master Barang'!B101)</f>
        <v>0</v>
      </c>
      <c r="P24507">
        <f>IF(OR(M24507="",N24507=""),"",SUMIFS('Barang Keluar'!$E:$E,'Barang Keluar'!$A:$A,M24507,'Barang Keluar'!$C:$C,N24507))</f>
        <v>0</v>
      </c>
    </row>
    <row r="24508" spans="13:16">
      <c r="M24508" s="49">
        <f>IF($A$4+245&gt;$B$4,"",$A$4+245)</f>
        <v>46268</v>
      </c>
      <c r="N24508" t="str">
        <f>IF(M24508="","",'Master Barang'!A2)</f>
        <v>PRL-001</v>
      </c>
      <c r="O24508" t="str">
        <f>IF(N24508="","",'Master Barang'!B2)</f>
        <v>natura desinfectant food grade 5l</v>
      </c>
      <c r="P24508">
        <f>IF(OR(M24508="",N24508=""),"",SUMIFS('Barang Keluar'!$E:$E,'Barang Keluar'!$A:$A,M24508,'Barang Keluar'!$C:$C,N24508))</f>
        <v>0</v>
      </c>
    </row>
    <row r="24509" spans="13:16">
      <c r="M24509" s="49">
        <f>IF($A$4+245&gt;$B$4,"",$A$4+245)</f>
        <v>46268</v>
      </c>
      <c r="N24509" t="str">
        <f>IF(M24509="","",'Master Barang'!A3)</f>
        <v>PRL-002</v>
      </c>
      <c r="O24509" t="str">
        <f>IF(N24509="","",'Master Barang'!B3)</f>
        <v>sunlight cairan pencuci piring 5l</v>
      </c>
      <c r="P24509">
        <f>IF(OR(M24509="",N24509=""),"",SUMIFS('Barang Keluar'!$E:$E,'Barang Keluar'!$A:$A,M24509,'Barang Keluar'!$C:$C,N24509))</f>
        <v>0</v>
      </c>
    </row>
    <row r="24510" spans="13:16">
      <c r="M24510" s="49">
        <f>IF($A$4+245&gt;$B$4,"",$A$4+245)</f>
        <v>46268</v>
      </c>
      <c r="N24510" t="str">
        <f>IF(M24510="","",'Master Barang'!A4)</f>
        <v>PRL-003</v>
      </c>
      <c r="O24510" t="str">
        <f>IF(N24510="","",'Master Barang'!B4)</f>
        <v>oixs cleaner 1l</v>
      </c>
      <c r="P24510">
        <f>IF(OR(M24510="",N24510=""),"",SUMIFS('Barang Keluar'!$E:$E,'Barang Keluar'!$A:$A,M24510,'Barang Keluar'!$C:$C,N24510))</f>
        <v>0</v>
      </c>
    </row>
    <row r="24511" spans="13:16">
      <c r="M24511" s="49">
        <f>IF($A$4+245&gt;$B$4,"",$A$4+245)</f>
        <v>46268</v>
      </c>
      <c r="N24511" t="str">
        <f>IF(M24511="","",'Master Barang'!A5)</f>
        <v>PRL-004</v>
      </c>
      <c r="O24511" t="str">
        <f>IF(N24511="","",'Master Barang'!B5)</f>
        <v>be clean tissue serbaguna</v>
      </c>
      <c r="P24511">
        <f>IF(OR(M24511="",N24511=""),"",SUMIFS('Barang Keluar'!$E:$E,'Barang Keluar'!$A:$A,M24511,'Barang Keluar'!$C:$C,N24511))</f>
        <v>0</v>
      </c>
    </row>
    <row r="24512" spans="13:16">
      <c r="M24512" s="49">
        <f>IF($A$4+245&gt;$B$4,"",$A$4+245)</f>
        <v>46268</v>
      </c>
      <c r="N24512" t="str">
        <f>IF(M24512="","",'Master Barang'!A6)</f>
        <v>PRL-005</v>
      </c>
      <c r="O24512" t="str">
        <f>IF(N24512="","",'Master Barang'!B6)</f>
        <v>spons cuci hijau</v>
      </c>
      <c r="P24512">
        <f>IF(OR(M24512="",N24512=""),"",SUMIFS('Barang Keluar'!$E:$E,'Barang Keluar'!$A:$A,M24512,'Barang Keluar'!$C:$C,N24512))</f>
        <v>0</v>
      </c>
    </row>
    <row r="24513" spans="13:16">
      <c r="M24513" s="49">
        <f>IF($A$4+245&gt;$B$4,"",$A$4+245)</f>
        <v>46268</v>
      </c>
      <c r="N24513" t="str">
        <f>IF(M24513="","",'Master Barang'!A7)</f>
        <v>PRL-006</v>
      </c>
      <c r="O24513" t="str">
        <f>IF(N24513="","",'Master Barang'!B7)</f>
        <v>sabut cuci stainless</v>
      </c>
      <c r="P24513">
        <f>IF(OR(M24513="",N24513=""),"",SUMIFS('Barang Keluar'!$E:$E,'Barang Keluar'!$A:$A,M24513,'Barang Keluar'!$C:$C,N24513))</f>
        <v>0</v>
      </c>
    </row>
    <row r="24514" spans="13:16">
      <c r="M24514" s="49">
        <f>IF($A$4+245&gt;$B$4,"",$A$4+245)</f>
        <v>46268</v>
      </c>
      <c r="N24514" t="str">
        <f>IF(M24514="","",'Master Barang'!A8)</f>
        <v>PRL-007</v>
      </c>
      <c r="O24514" t="str">
        <f>IF(N24514="","",'Master Barang'!B8)</f>
        <v>plastik kresek besar merah 50pc</v>
      </c>
      <c r="P24514">
        <f>IF(OR(M24514="",N24514=""),"",SUMIFS('Barang Keluar'!$E:$E,'Barang Keluar'!$A:$A,M24514,'Barang Keluar'!$C:$C,N24514))</f>
        <v>0</v>
      </c>
    </row>
    <row r="24515" spans="13:16">
      <c r="M24515" s="49">
        <f>IF($A$4+245&gt;$B$4,"",$A$4+245)</f>
        <v>46268</v>
      </c>
      <c r="N24515" t="str">
        <f>IF(M24515="","",'Master Barang'!A9)</f>
        <v>PRL-008</v>
      </c>
      <c r="O24515" t="str">
        <f>IF(N24515="","",'Master Barang'!B9)</f>
        <v>lap besar</v>
      </c>
      <c r="P24515">
        <f>IF(OR(M24515="",N24515=""),"",SUMIFS('Barang Keluar'!$E:$E,'Barang Keluar'!$A:$A,M24515,'Barang Keluar'!$C:$C,N24515))</f>
        <v>0</v>
      </c>
    </row>
    <row r="24516" spans="13:16">
      <c r="M24516" s="49">
        <f>IF($A$4+245&gt;$B$4,"",$A$4+245)</f>
        <v>46268</v>
      </c>
      <c r="N24516" t="str">
        <f>IF(M24516="","",'Master Barang'!A10)</f>
        <v>PRL-009</v>
      </c>
      <c r="O24516" t="str">
        <f>IF(N24516="","",'Master Barang'!B10)</f>
        <v>lap microfiber</v>
      </c>
      <c r="P24516">
        <f>IF(OR(M24516="",N24516=""),"",SUMIFS('Barang Keluar'!$E:$E,'Barang Keluar'!$A:$A,M24516,'Barang Keluar'!$C:$C,N24516))</f>
        <v>0</v>
      </c>
    </row>
    <row r="24517" spans="13:16">
      <c r="M24517" s="49">
        <f>IF($A$4+245&gt;$B$4,"",$A$4+245)</f>
        <v>46268</v>
      </c>
      <c r="N24517" t="str">
        <f>IF(M24517="","",'Master Barang'!A11)</f>
        <v>PRL-010</v>
      </c>
      <c r="O24517" t="str">
        <f>IF(N24517="","",'Master Barang'!B11)</f>
        <v>lap kecil</v>
      </c>
      <c r="P24517">
        <f>IF(OR(M24517="",N24517=""),"",SUMIFS('Barang Keluar'!$E:$E,'Barang Keluar'!$A:$A,M24517,'Barang Keluar'!$C:$C,N24517))</f>
        <v>0</v>
      </c>
    </row>
    <row r="24518" spans="13:16">
      <c r="M24518" s="49">
        <f>IF($A$4+245&gt;$B$4,"",$A$4+245)</f>
        <v>46268</v>
      </c>
      <c r="N24518" t="str">
        <f>IF(M24518="","",'Master Barang'!A12)</f>
        <v>PRL-011</v>
      </c>
      <c r="O24518" t="str">
        <f>IF(N24518="","",'Master Barang'!B12)</f>
        <v>kanebo kecil</v>
      </c>
      <c r="P24518">
        <f>IF(OR(M24518="",N24518=""),"",SUMIFS('Barang Keluar'!$E:$E,'Barang Keluar'!$A:$A,M24518,'Barang Keluar'!$C:$C,N24518))</f>
        <v>0</v>
      </c>
    </row>
    <row r="24519" spans="13:16">
      <c r="M24519" s="49">
        <f>IF($A$4+245&gt;$B$4,"",$A$4+245)</f>
        <v>46268</v>
      </c>
      <c r="N24519" t="str">
        <f>IF(M24519="","",'Master Barang'!A13)</f>
        <v>PRL-012</v>
      </c>
      <c r="O24519" t="str">
        <f>IF(N24519="","",'Master Barang'!B13)</f>
        <v>plastik 1/4kg joyoboyo 100 lembar</v>
      </c>
      <c r="P24519">
        <f>IF(OR(M24519="",N24519=""),"",SUMIFS('Barang Keluar'!$E:$E,'Barang Keluar'!$A:$A,M24519,'Barang Keluar'!$C:$C,N24519))</f>
        <v>0</v>
      </c>
    </row>
    <row r="24520" spans="13:16">
      <c r="M24520" s="49">
        <f>IF($A$4+245&gt;$B$4,"",$A$4+245)</f>
        <v>46268</v>
      </c>
      <c r="N24520" t="str">
        <f>IF(M24520="","",'Master Barang'!A14)</f>
        <v>PRL-013</v>
      </c>
      <c r="O24520" t="str">
        <f>IF(N24520="","",'Master Barang'!B14)</f>
        <v>sarung tangan plastik kaka 100 pcs</v>
      </c>
      <c r="P24520">
        <f>IF(OR(M24520="",N24520=""),"",SUMIFS('Barang Keluar'!$E:$E,'Barang Keluar'!$A:$A,M24520,'Barang Keluar'!$C:$C,N24520))</f>
        <v>0</v>
      </c>
    </row>
    <row r="24521" spans="13:16">
      <c r="M24521" s="49">
        <f>IF($A$4+245&gt;$B$4,"",$A$4+245)</f>
        <v>46268</v>
      </c>
      <c r="N24521" t="str">
        <f>IF(M24521="","",'Master Barang'!A15)</f>
        <v>PRL-014</v>
      </c>
      <c r="O24521" t="str">
        <f>IF(N24521="","",'Master Barang'!B15)</f>
        <v>optima trashbag 80x100</v>
      </c>
      <c r="P24521">
        <f>IF(OR(M24521="",N24521=""),"",SUMIFS('Barang Keluar'!$E:$E,'Barang Keluar'!$A:$A,M24521,'Barang Keluar'!$C:$C,N24521))</f>
        <v>0</v>
      </c>
    </row>
    <row r="24522" spans="13:16">
      <c r="M24522" s="49">
        <f>IF($A$4+245&gt;$B$4,"",$A$4+245)</f>
        <v>46268</v>
      </c>
      <c r="N24522" t="str">
        <f>IF(M24522="","",'Master Barang'!A16)</f>
        <v>PRL-015</v>
      </c>
      <c r="O24522" t="str">
        <f>IF(N24522="","",'Master Barang'!B16)</f>
        <v>optima trashbag 60x100</v>
      </c>
      <c r="P24522">
        <f>IF(OR(M24522="",N24522=""),"",SUMIFS('Barang Keluar'!$E:$E,'Barang Keluar'!$A:$A,M24522,'Barang Keluar'!$C:$C,N24522))</f>
        <v>0</v>
      </c>
    </row>
    <row r="24523" spans="13:16">
      <c r="M24523" s="49">
        <f>IF($A$4+245&gt;$B$4,"",$A$4+245)</f>
        <v>46268</v>
      </c>
      <c r="N24523" t="str">
        <f>IF(M24523="","",'Master Barang'!A17)</f>
        <v>PRL-016</v>
      </c>
      <c r="O24523" t="str">
        <f>IF(N24523="","",'Master Barang'!B17)</f>
        <v>rajawali trashbag 30x40</v>
      </c>
      <c r="P24523">
        <f>IF(OR(M24523="",N24523=""),"",SUMIFS('Barang Keluar'!$E:$E,'Barang Keluar'!$A:$A,M24523,'Barang Keluar'!$C:$C,N24523))</f>
        <v>0</v>
      </c>
    </row>
    <row r="24524" spans="13:16">
      <c r="M24524" s="49">
        <f>IF($A$4+245&gt;$B$4,"",$A$4+245)</f>
        <v>46268</v>
      </c>
      <c r="N24524" t="str">
        <f>IF(M24524="","",'Master Barang'!A18)</f>
        <v>PRL-017</v>
      </c>
      <c r="O24524" t="str">
        <f>IF(N24524="","",'Master Barang'!B18)</f>
        <v>onemed masker biru 3 play 50 pcs</v>
      </c>
      <c r="P24524">
        <f>IF(OR(M24524="",N24524=""),"",SUMIFS('Barang Keluar'!$E:$E,'Barang Keluar'!$A:$A,M24524,'Barang Keluar'!$C:$C,N24524))</f>
        <v>0</v>
      </c>
    </row>
    <row r="24525" spans="13:16">
      <c r="M24525" s="49">
        <f>IF($A$4+245&gt;$B$4,"",$A$4+245)</f>
        <v>46268</v>
      </c>
      <c r="N24525" t="str">
        <f>IF(M24525="","",'Master Barang'!A19)</f>
        <v>PRL-018</v>
      </c>
      <c r="O24525" t="str">
        <f>IF(N24525="","",'Master Barang'!B19)</f>
        <v>onemed masker biru 3 play hijab 50 pcs</v>
      </c>
      <c r="P24525">
        <f>IF(OR(M24525="",N24525=""),"",SUMIFS('Barang Keluar'!$E:$E,'Barang Keluar'!$A:$A,M24525,'Barang Keluar'!$C:$C,N24525))</f>
        <v>0</v>
      </c>
    </row>
    <row r="24526" spans="13:16">
      <c r="M24526" s="49">
        <f>IF($A$4+245&gt;$B$4,"",$A$4+245)</f>
        <v>46268</v>
      </c>
      <c r="N24526" t="str">
        <f>IF(M24526="","",'Master Barang'!A20)</f>
        <v>PRL-019</v>
      </c>
      <c r="O24526" t="str">
        <f>IF(N24526="","",'Master Barang'!B20)</f>
        <v>neo health masker biru 3 play 50 pcs</v>
      </c>
      <c r="P24526">
        <f>IF(OR(M24526="",N24526=""),"",SUMIFS('Barang Keluar'!$E:$E,'Barang Keluar'!$A:$A,M24526,'Barang Keluar'!$C:$C,N24526))</f>
        <v>0</v>
      </c>
    </row>
    <row r="24527" spans="13:16">
      <c r="M24527" s="49">
        <f>IF($A$4+245&gt;$B$4,"",$A$4+245)</f>
        <v>46268</v>
      </c>
      <c r="N24527" t="str">
        <f>IF(M24527="","",'Master Barang'!A21)</f>
        <v>PRL-020</v>
      </c>
      <c r="O24527" t="str">
        <f>IF(N24527="","",'Master Barang'!B21)</f>
        <v>baymed masker hijau 3 play hijau 50 pcs</v>
      </c>
      <c r="P24527">
        <f>IF(OR(M24527="",N24527=""),"",SUMIFS('Barang Keluar'!$E:$E,'Barang Keluar'!$A:$A,M24527,'Barang Keluar'!$C:$C,N24527))</f>
        <v>0</v>
      </c>
    </row>
    <row r="24528" spans="13:16">
      <c r="M24528" s="49">
        <f>IF($A$4+245&gt;$B$4,"",$A$4+245)</f>
        <v>46268</v>
      </c>
      <c r="N24528" t="str">
        <f>IF(M24528="","",'Master Barang'!A22)</f>
        <v>PRL-021</v>
      </c>
      <c r="O24528" t="str">
        <f>IF(N24528="","",'Master Barang'!B22)</f>
        <v>altamed nurse cap penutup kepala 100 pcs</v>
      </c>
      <c r="P24528">
        <f>IF(OR(M24528="",N24528=""),"",SUMIFS('Barang Keluar'!$E:$E,'Barang Keluar'!$A:$A,M24528,'Barang Keluar'!$C:$C,N24528))</f>
        <v>0</v>
      </c>
    </row>
    <row r="24529" spans="13:16">
      <c r="M24529" s="49">
        <f>IF($A$4+245&gt;$B$4,"",$A$4+245)</f>
        <v>46268</v>
      </c>
      <c r="N24529" t="str">
        <f>IF(M24529="","",'Master Barang'!A23)</f>
        <v>PRL-022</v>
      </c>
      <c r="O24529" t="str">
        <f>IF(N24529="","",'Master Barang'!B23)</f>
        <v>sabun cuci tangan</v>
      </c>
      <c r="P24529">
        <f>IF(OR(M24529="",N24529=""),"",SUMIFS('Barang Keluar'!$E:$E,'Barang Keluar'!$A:$A,M24529,'Barang Keluar'!$C:$C,N24529))</f>
        <v>0</v>
      </c>
    </row>
    <row r="24530" spans="13:16">
      <c r="M24530" s="49">
        <f>IF($A$4+245&gt;$B$4,"",$A$4+245)</f>
        <v>46268</v>
      </c>
      <c r="N24530" t="str">
        <f>IF(M24530="","",'Master Barang'!A24)</f>
        <v>PRL-023</v>
      </c>
      <c r="O24530" t="str">
        <f>IF(N24530="","",'Master Barang'!B24)</f>
        <v>gayung kecil</v>
      </c>
      <c r="P24530">
        <f>IF(OR(M24530="",N24530=""),"",SUMIFS('Barang Keluar'!$E:$E,'Barang Keluar'!$A:$A,M24530,'Barang Keluar'!$C:$C,N24530))</f>
        <v>0</v>
      </c>
    </row>
    <row r="24531" spans="13:16">
      <c r="M24531" s="49">
        <f>IF($A$4+245&gt;$B$4,"",$A$4+245)</f>
        <v>46268</v>
      </c>
      <c r="N24531" t="str">
        <f>IF(M24531="","",'Master Barang'!A25)</f>
        <v>PRL-024</v>
      </c>
      <c r="O24531" t="str">
        <f>IF(N24531="","",'Master Barang'!B25)</f>
        <v>cikrak kecil</v>
      </c>
      <c r="P24531">
        <f>IF(OR(M24531="",N24531=""),"",SUMIFS('Barang Keluar'!$E:$E,'Barang Keluar'!$A:$A,M24531,'Barang Keluar'!$C:$C,N24531))</f>
        <v>0</v>
      </c>
    </row>
    <row r="24532" spans="13:16">
      <c r="M24532" s="49">
        <f>IF($A$4+245&gt;$B$4,"",$A$4+245)</f>
        <v>46268</v>
      </c>
      <c r="N24532" t="str">
        <f>IF(M24532="","",'Master Barang'!A26)</f>
        <v>PRL-025</v>
      </c>
      <c r="O24532" t="str">
        <f>IF(N24532="","",'Master Barang'!B26)</f>
        <v>petromax plastik kecil 12x24 100 lembar</v>
      </c>
      <c r="P24532">
        <f>IF(OR(M24532="",N24532=""),"",SUMIFS('Barang Keluar'!$E:$E,'Barang Keluar'!$A:$A,M24532,'Barang Keluar'!$C:$C,N24532))</f>
        <v>0</v>
      </c>
    </row>
    <row r="24533" spans="13:16">
      <c r="M24533" s="49">
        <f>IF($A$4+245&gt;$B$4,"",$A$4+245)</f>
        <v>46268</v>
      </c>
      <c r="N24533" t="str">
        <f>IF(M24533="","",'Master Barang'!A27)</f>
        <v>PRL-026</v>
      </c>
      <c r="O24533" t="str">
        <f>IF(N24533="","",'Master Barang'!B27)</f>
        <v>lancar kresek kecil bening </v>
      </c>
      <c r="P24533">
        <f>IF(OR(M24533="",N24533=""),"",SUMIFS('Barang Keluar'!$E:$E,'Barang Keluar'!$A:$A,M24533,'Barang Keluar'!$C:$C,N24533))</f>
        <v>0</v>
      </c>
    </row>
    <row r="24534" spans="13:16">
      <c r="M24534" s="49">
        <f>IF($A$4+245&gt;$B$4,"",$A$4+245)</f>
        <v>46268</v>
      </c>
      <c r="N24534" t="str">
        <f>IF(M24534="","",'Master Barang'!A28)</f>
        <v>PRL-027</v>
      </c>
      <c r="O24534" t="str">
        <f>IF(N24534="","",'Master Barang'!B28)</f>
        <v>kresek klin warna warni kecil</v>
      </c>
      <c r="P24534">
        <f>IF(OR(M24534="",N24534=""),"",SUMIFS('Barang Keluar'!$E:$E,'Barang Keluar'!$A:$A,M24534,'Barang Keluar'!$C:$C,N24534))</f>
        <v>0</v>
      </c>
    </row>
    <row r="24535" spans="13:16">
      <c r="M24535" s="49">
        <f>IF($A$4+245&gt;$B$4,"",$A$4+245)</f>
        <v>46268</v>
      </c>
      <c r="N24535" t="str">
        <f>IF(M24535="","",'Master Barang'!A29)</f>
        <v>PRL-028</v>
      </c>
      <c r="O24535" t="str">
        <f>IF(N24535="","",'Master Barang'!B29)</f>
        <v>ctik plastik 7x10 100 pcs</v>
      </c>
      <c r="P24535">
        <f>IF(OR(M24535="",N24535=""),"",SUMIFS('Barang Keluar'!$E:$E,'Barang Keluar'!$A:$A,M24535,'Barang Keluar'!$C:$C,N24535))</f>
        <v>0</v>
      </c>
    </row>
    <row r="24536" spans="13:16">
      <c r="M24536" s="49">
        <f>IF($A$4+245&gt;$B$4,"",$A$4+245)</f>
        <v>46268</v>
      </c>
      <c r="N24536" t="str">
        <f>IF(M24536="","",'Master Barang'!A30)</f>
        <v>PRL-029</v>
      </c>
      <c r="O24536" t="str">
        <f>IF(N24536="","",'Master Barang'!B30)</f>
        <v>ctik plastik 6x10 100 pcs</v>
      </c>
      <c r="P24536">
        <f>IF(OR(M24536="",N24536=""),"",SUMIFS('Barang Keluar'!$E:$E,'Barang Keluar'!$A:$A,M24536,'Barang Keluar'!$C:$C,N24536))</f>
        <v>0</v>
      </c>
    </row>
    <row r="24537" spans="13:16">
      <c r="M24537" s="49">
        <f>IF($A$4+245&gt;$B$4,"",$A$4+245)</f>
        <v>46268</v>
      </c>
      <c r="N24537" t="str">
        <f>IF(M24537="","",'Master Barang'!A31)</f>
        <v>PRL-030</v>
      </c>
      <c r="O24537" t="str">
        <f>IF(N24537="","",'Master Barang'!B31)</f>
        <v>klip plastik 25x16 100 pcs</v>
      </c>
      <c r="P24537">
        <f>IF(OR(M24537="",N24537=""),"",SUMIFS('Barang Keluar'!$E:$E,'Barang Keluar'!$A:$A,M24537,'Barang Keluar'!$C:$C,N24537))</f>
        <v>0</v>
      </c>
    </row>
    <row r="24538" spans="13:16">
      <c r="M24538" s="49">
        <f>IF($A$4+245&gt;$B$4,"",$A$4+245)</f>
        <v>46268</v>
      </c>
      <c r="N24538" t="str">
        <f>IF(M24538="","",'Master Barang'!A32)</f>
        <v>PRL-031</v>
      </c>
      <c r="O24538" t="str">
        <f>IF(N24538="","",'Master Barang'!B32)</f>
        <v>tempat saus 20 ml</v>
      </c>
      <c r="P24538">
        <f>IF(OR(M24538="",N24538=""),"",SUMIFS('Barang Keluar'!$E:$E,'Barang Keluar'!$A:$A,M24538,'Barang Keluar'!$C:$C,N24538))</f>
        <v>0</v>
      </c>
    </row>
    <row r="24539" spans="13:16">
      <c r="M24539" s="49">
        <f>IF($A$4+245&gt;$B$4,"",$A$4+245)</f>
        <v>46268</v>
      </c>
      <c r="N24539" t="str">
        <f>IF(M24539="","",'Master Barang'!A33)</f>
        <v>PRL-032</v>
      </c>
      <c r="O24539" t="str">
        <f>IF(N24539="","",'Master Barang'!B33)</f>
        <v>plastik packaging ag box uk sedang</v>
      </c>
      <c r="P24539">
        <f>IF(OR(M24539="",N24539=""),"",SUMIFS('Barang Keluar'!$E:$E,'Barang Keluar'!$A:$A,M24539,'Barang Keluar'!$C:$C,N24539))</f>
        <v>0</v>
      </c>
    </row>
    <row r="24540" spans="13:16">
      <c r="M24540" s="49">
        <f>IF($A$4+245&gt;$B$4,"",$A$4+245)</f>
        <v>46268</v>
      </c>
      <c r="N24540" t="str">
        <f>IF(M24540="","",'Master Barang'!A34)</f>
        <v>PRL-033</v>
      </c>
      <c r="O24540">
        <f>IF(N24540="","",'Master Barang'!B34)</f>
        <v>0</v>
      </c>
      <c r="P24540">
        <f>IF(OR(M24540="",N24540=""),"",SUMIFS('Barang Keluar'!$E:$E,'Barang Keluar'!$A:$A,M24540,'Barang Keluar'!$C:$C,N24540))</f>
        <v>0</v>
      </c>
    </row>
    <row r="24541" spans="13:16">
      <c r="M24541" s="49">
        <f>IF($A$4+245&gt;$B$4,"",$A$4+245)</f>
        <v>46268</v>
      </c>
      <c r="N24541">
        <f>IF(M24541="","",'Master Barang'!A35)</f>
        <v>0</v>
      </c>
      <c r="O24541">
        <f>IF(N24541="","",'Master Barang'!B35)</f>
        <v>0</v>
      </c>
      <c r="P24541">
        <f>IF(OR(M24541="",N24541=""),"",SUMIFS('Barang Keluar'!$E:$E,'Barang Keluar'!$A:$A,M24541,'Barang Keluar'!$C:$C,N24541))</f>
        <v>0</v>
      </c>
    </row>
    <row r="24542" spans="13:16">
      <c r="M24542" s="49">
        <f>IF($A$4+245&gt;$B$4,"",$A$4+245)</f>
        <v>46268</v>
      </c>
      <c r="N24542">
        <f>IF(M24542="","",'Master Barang'!A36)</f>
        <v>0</v>
      </c>
      <c r="O24542">
        <f>IF(N24542="","",'Master Barang'!B36)</f>
        <v>0</v>
      </c>
      <c r="P24542">
        <f>IF(OR(M24542="",N24542=""),"",SUMIFS('Barang Keluar'!$E:$E,'Barang Keluar'!$A:$A,M24542,'Barang Keluar'!$C:$C,N24542))</f>
        <v>0</v>
      </c>
    </row>
    <row r="24543" spans="13:16">
      <c r="M24543" s="49">
        <f>IF($A$4+245&gt;$B$4,"",$A$4+245)</f>
        <v>46268</v>
      </c>
      <c r="N24543">
        <f>IF(M24543="","",'Master Barang'!A37)</f>
        <v>0</v>
      </c>
      <c r="O24543">
        <f>IF(N24543="","",'Master Barang'!B37)</f>
        <v>0</v>
      </c>
      <c r="P24543">
        <f>IF(OR(M24543="",N24543=""),"",SUMIFS('Barang Keluar'!$E:$E,'Barang Keluar'!$A:$A,M24543,'Barang Keluar'!$C:$C,N24543))</f>
        <v>0</v>
      </c>
    </row>
    <row r="24544" spans="13:16">
      <c r="M24544" s="49">
        <f>IF($A$4+245&gt;$B$4,"",$A$4+245)</f>
        <v>46268</v>
      </c>
      <c r="N24544">
        <f>IF(M24544="","",'Master Barang'!A38)</f>
        <v>0</v>
      </c>
      <c r="O24544">
        <f>IF(N24544="","",'Master Barang'!B38)</f>
        <v>0</v>
      </c>
      <c r="P24544">
        <f>IF(OR(M24544="",N24544=""),"",SUMIFS('Barang Keluar'!$E:$E,'Barang Keluar'!$A:$A,M24544,'Barang Keluar'!$C:$C,N24544))</f>
        <v>0</v>
      </c>
    </row>
    <row r="24545" spans="13:16">
      <c r="M24545" s="49">
        <f>IF($A$4+245&gt;$B$4,"",$A$4+245)</f>
        <v>46268</v>
      </c>
      <c r="N24545">
        <f>IF(M24545="","",'Master Barang'!A39)</f>
        <v>0</v>
      </c>
      <c r="O24545">
        <f>IF(N24545="","",'Master Barang'!B39)</f>
        <v>0</v>
      </c>
      <c r="P24545">
        <f>IF(OR(M24545="",N24545=""),"",SUMIFS('Barang Keluar'!$E:$E,'Barang Keluar'!$A:$A,M24545,'Barang Keluar'!$C:$C,N24545))</f>
        <v>0</v>
      </c>
    </row>
    <row r="24546" spans="13:16">
      <c r="M24546" s="49">
        <f>IF($A$4+245&gt;$B$4,"",$A$4+245)</f>
        <v>46268</v>
      </c>
      <c r="N24546">
        <f>IF(M24546="","",'Master Barang'!A40)</f>
        <v>0</v>
      </c>
      <c r="O24546">
        <f>IF(N24546="","",'Master Barang'!B40)</f>
        <v>0</v>
      </c>
      <c r="P24546">
        <f>IF(OR(M24546="",N24546=""),"",SUMIFS('Barang Keluar'!$E:$E,'Barang Keluar'!$A:$A,M24546,'Barang Keluar'!$C:$C,N24546))</f>
        <v>0</v>
      </c>
    </row>
    <row r="24547" spans="13:16">
      <c r="M24547" s="49">
        <f>IF($A$4+245&gt;$B$4,"",$A$4+245)</f>
        <v>46268</v>
      </c>
      <c r="N24547">
        <f>IF(M24547="","",'Master Barang'!A41)</f>
        <v>0</v>
      </c>
      <c r="O24547">
        <f>IF(N24547="","",'Master Barang'!B41)</f>
        <v>0</v>
      </c>
      <c r="P24547">
        <f>IF(OR(M24547="",N24547=""),"",SUMIFS('Barang Keluar'!$E:$E,'Barang Keluar'!$A:$A,M24547,'Barang Keluar'!$C:$C,N24547))</f>
        <v>0</v>
      </c>
    </row>
    <row r="24548" spans="13:16">
      <c r="M24548" s="49">
        <f>IF($A$4+245&gt;$B$4,"",$A$4+245)</f>
        <v>46268</v>
      </c>
      <c r="N24548">
        <f>IF(M24548="","",'Master Barang'!A42)</f>
        <v>0</v>
      </c>
      <c r="O24548">
        <f>IF(N24548="","",'Master Barang'!B42)</f>
        <v>0</v>
      </c>
      <c r="P24548">
        <f>IF(OR(M24548="",N24548=""),"",SUMIFS('Barang Keluar'!$E:$E,'Barang Keluar'!$A:$A,M24548,'Barang Keluar'!$C:$C,N24548))</f>
        <v>0</v>
      </c>
    </row>
    <row r="24549" spans="13:16">
      <c r="M24549" s="49">
        <f>IF($A$4+245&gt;$B$4,"",$A$4+245)</f>
        <v>46268</v>
      </c>
      <c r="N24549">
        <f>IF(M24549="","",'Master Barang'!A43)</f>
        <v>0</v>
      </c>
      <c r="O24549">
        <f>IF(N24549="","",'Master Barang'!B43)</f>
        <v>0</v>
      </c>
      <c r="P24549">
        <f>IF(OR(M24549="",N24549=""),"",SUMIFS('Barang Keluar'!$E:$E,'Barang Keluar'!$A:$A,M24549,'Barang Keluar'!$C:$C,N24549))</f>
        <v>0</v>
      </c>
    </row>
    <row r="24550" spans="13:16">
      <c r="M24550" s="49">
        <f>IF($A$4+245&gt;$B$4,"",$A$4+245)</f>
        <v>46268</v>
      </c>
      <c r="N24550">
        <f>IF(M24550="","",'Master Barang'!A44)</f>
        <v>0</v>
      </c>
      <c r="O24550">
        <f>IF(N24550="","",'Master Barang'!B44)</f>
        <v>0</v>
      </c>
      <c r="P24550">
        <f>IF(OR(M24550="",N24550=""),"",SUMIFS('Barang Keluar'!$E:$E,'Barang Keluar'!$A:$A,M24550,'Barang Keluar'!$C:$C,N24550))</f>
        <v>0</v>
      </c>
    </row>
    <row r="24551" spans="13:16">
      <c r="M24551" s="49">
        <f>IF($A$4+245&gt;$B$4,"",$A$4+245)</f>
        <v>46268</v>
      </c>
      <c r="N24551">
        <f>IF(M24551="","",'Master Barang'!A45)</f>
        <v>0</v>
      </c>
      <c r="O24551">
        <f>IF(N24551="","",'Master Barang'!B45)</f>
        <v>0</v>
      </c>
      <c r="P24551">
        <f>IF(OR(M24551="",N24551=""),"",SUMIFS('Barang Keluar'!$E:$E,'Barang Keluar'!$A:$A,M24551,'Barang Keluar'!$C:$C,N24551))</f>
        <v>0</v>
      </c>
    </row>
    <row r="24552" spans="13:16">
      <c r="M24552" s="49">
        <f>IF($A$4+245&gt;$B$4,"",$A$4+245)</f>
        <v>46268</v>
      </c>
      <c r="N24552">
        <f>IF(M24552="","",'Master Barang'!A46)</f>
        <v>0</v>
      </c>
      <c r="O24552">
        <f>IF(N24552="","",'Master Barang'!B46)</f>
        <v>0</v>
      </c>
      <c r="P24552">
        <f>IF(OR(M24552="",N24552=""),"",SUMIFS('Barang Keluar'!$E:$E,'Barang Keluar'!$A:$A,M24552,'Barang Keluar'!$C:$C,N24552))</f>
        <v>0</v>
      </c>
    </row>
    <row r="24553" spans="13:16">
      <c r="M24553" s="49">
        <f>IF($A$4+245&gt;$B$4,"",$A$4+245)</f>
        <v>46268</v>
      </c>
      <c r="N24553">
        <f>IF(M24553="","",'Master Barang'!A47)</f>
        <v>0</v>
      </c>
      <c r="O24553">
        <f>IF(N24553="","",'Master Barang'!B47)</f>
        <v>0</v>
      </c>
      <c r="P24553">
        <f>IF(OR(M24553="",N24553=""),"",SUMIFS('Barang Keluar'!$E:$E,'Barang Keluar'!$A:$A,M24553,'Barang Keluar'!$C:$C,N24553))</f>
        <v>0</v>
      </c>
    </row>
    <row r="24554" spans="13:16">
      <c r="M24554" s="49">
        <f>IF($A$4+245&gt;$B$4,"",$A$4+245)</f>
        <v>46268</v>
      </c>
      <c r="N24554">
        <f>IF(M24554="","",'Master Barang'!A48)</f>
        <v>0</v>
      </c>
      <c r="O24554">
        <f>IF(N24554="","",'Master Barang'!B48)</f>
        <v>0</v>
      </c>
      <c r="P24554">
        <f>IF(OR(M24554="",N24554=""),"",SUMIFS('Barang Keluar'!$E:$E,'Barang Keluar'!$A:$A,M24554,'Barang Keluar'!$C:$C,N24554))</f>
        <v>0</v>
      </c>
    </row>
    <row r="24555" spans="13:16">
      <c r="M24555" s="49">
        <f>IF($A$4+245&gt;$B$4,"",$A$4+245)</f>
        <v>46268</v>
      </c>
      <c r="N24555">
        <f>IF(M24555="","",'Master Barang'!A49)</f>
        <v>0</v>
      </c>
      <c r="O24555">
        <f>IF(N24555="","",'Master Barang'!B49)</f>
        <v>0</v>
      </c>
      <c r="P24555">
        <f>IF(OR(M24555="",N24555=""),"",SUMIFS('Barang Keluar'!$E:$E,'Barang Keluar'!$A:$A,M24555,'Barang Keluar'!$C:$C,N24555))</f>
        <v>0</v>
      </c>
    </row>
    <row r="24556" spans="13:16">
      <c r="M24556" s="49">
        <f>IF($A$4+245&gt;$B$4,"",$A$4+245)</f>
        <v>46268</v>
      </c>
      <c r="N24556">
        <f>IF(M24556="","",'Master Barang'!A50)</f>
        <v>0</v>
      </c>
      <c r="O24556">
        <f>IF(N24556="","",'Master Barang'!B50)</f>
        <v>0</v>
      </c>
      <c r="P24556">
        <f>IF(OR(M24556="",N24556=""),"",SUMIFS('Barang Keluar'!$E:$E,'Barang Keluar'!$A:$A,M24556,'Barang Keluar'!$C:$C,N24556))</f>
        <v>0</v>
      </c>
    </row>
    <row r="24557" spans="13:16">
      <c r="M24557" s="49">
        <f>IF($A$4+245&gt;$B$4,"",$A$4+245)</f>
        <v>46268</v>
      </c>
      <c r="N24557">
        <f>IF(M24557="","",'Master Barang'!A51)</f>
        <v>0</v>
      </c>
      <c r="O24557">
        <f>IF(N24557="","",'Master Barang'!B51)</f>
        <v>0</v>
      </c>
      <c r="P24557">
        <f>IF(OR(M24557="",N24557=""),"",SUMIFS('Barang Keluar'!$E:$E,'Barang Keluar'!$A:$A,M24557,'Barang Keluar'!$C:$C,N24557))</f>
        <v>0</v>
      </c>
    </row>
    <row r="24558" spans="13:16">
      <c r="M24558" s="49">
        <f>IF($A$4+245&gt;$B$4,"",$A$4+245)</f>
        <v>46268</v>
      </c>
      <c r="N24558">
        <f>IF(M24558="","",'Master Barang'!A52)</f>
        <v>0</v>
      </c>
      <c r="O24558">
        <f>IF(N24558="","",'Master Barang'!B52)</f>
        <v>0</v>
      </c>
      <c r="P24558">
        <f>IF(OR(M24558="",N24558=""),"",SUMIFS('Barang Keluar'!$E:$E,'Barang Keluar'!$A:$A,M24558,'Barang Keluar'!$C:$C,N24558))</f>
        <v>0</v>
      </c>
    </row>
    <row r="24559" spans="13:16">
      <c r="M24559" s="49">
        <f>IF($A$4+245&gt;$B$4,"",$A$4+245)</f>
        <v>46268</v>
      </c>
      <c r="N24559">
        <f>IF(M24559="","",'Master Barang'!A53)</f>
        <v>0</v>
      </c>
      <c r="O24559">
        <f>IF(N24559="","",'Master Barang'!B53)</f>
        <v>0</v>
      </c>
      <c r="P24559">
        <f>IF(OR(M24559="",N24559=""),"",SUMIFS('Barang Keluar'!$E:$E,'Barang Keluar'!$A:$A,M24559,'Barang Keluar'!$C:$C,N24559))</f>
        <v>0</v>
      </c>
    </row>
    <row r="24560" spans="13:16">
      <c r="M24560" s="49">
        <f>IF($A$4+245&gt;$B$4,"",$A$4+245)</f>
        <v>46268</v>
      </c>
      <c r="N24560">
        <f>IF(M24560="","",'Master Barang'!A54)</f>
        <v>0</v>
      </c>
      <c r="O24560">
        <f>IF(N24560="","",'Master Barang'!B54)</f>
        <v>0</v>
      </c>
      <c r="P24560">
        <f>IF(OR(M24560="",N24560=""),"",SUMIFS('Barang Keluar'!$E:$E,'Barang Keluar'!$A:$A,M24560,'Barang Keluar'!$C:$C,N24560))</f>
        <v>0</v>
      </c>
    </row>
    <row r="24561" spans="13:16">
      <c r="M24561" s="49">
        <f>IF($A$4+245&gt;$B$4,"",$A$4+245)</f>
        <v>46268</v>
      </c>
      <c r="N24561">
        <f>IF(M24561="","",'Master Barang'!A55)</f>
        <v>0</v>
      </c>
      <c r="O24561">
        <f>IF(N24561="","",'Master Barang'!B55)</f>
        <v>0</v>
      </c>
      <c r="P24561">
        <f>IF(OR(M24561="",N24561=""),"",SUMIFS('Barang Keluar'!$E:$E,'Barang Keluar'!$A:$A,M24561,'Barang Keluar'!$C:$C,N24561))</f>
        <v>0</v>
      </c>
    </row>
    <row r="24562" spans="13:16">
      <c r="M24562" s="49">
        <f>IF($A$4+245&gt;$B$4,"",$A$4+245)</f>
        <v>46268</v>
      </c>
      <c r="N24562">
        <f>IF(M24562="","",'Master Barang'!A56)</f>
        <v>0</v>
      </c>
      <c r="O24562">
        <f>IF(N24562="","",'Master Barang'!B56)</f>
        <v>0</v>
      </c>
      <c r="P24562">
        <f>IF(OR(M24562="",N24562=""),"",SUMIFS('Barang Keluar'!$E:$E,'Barang Keluar'!$A:$A,M24562,'Barang Keluar'!$C:$C,N24562))</f>
        <v>0</v>
      </c>
    </row>
    <row r="24563" spans="13:16">
      <c r="M24563" s="49">
        <f>IF($A$4+245&gt;$B$4,"",$A$4+245)</f>
        <v>46268</v>
      </c>
      <c r="N24563">
        <f>IF(M24563="","",'Master Barang'!A57)</f>
        <v>0</v>
      </c>
      <c r="O24563">
        <f>IF(N24563="","",'Master Barang'!B57)</f>
        <v>0</v>
      </c>
      <c r="P24563">
        <f>IF(OR(M24563="",N24563=""),"",SUMIFS('Barang Keluar'!$E:$E,'Barang Keluar'!$A:$A,M24563,'Barang Keluar'!$C:$C,N24563))</f>
        <v>0</v>
      </c>
    </row>
    <row r="24564" spans="13:16">
      <c r="M24564" s="49">
        <f>IF($A$4+245&gt;$B$4,"",$A$4+245)</f>
        <v>46268</v>
      </c>
      <c r="N24564">
        <f>IF(M24564="","",'Master Barang'!A58)</f>
        <v>0</v>
      </c>
      <c r="O24564">
        <f>IF(N24564="","",'Master Barang'!B58)</f>
        <v>0</v>
      </c>
      <c r="P24564">
        <f>IF(OR(M24564="",N24564=""),"",SUMIFS('Barang Keluar'!$E:$E,'Barang Keluar'!$A:$A,M24564,'Barang Keluar'!$C:$C,N24564))</f>
        <v>0</v>
      </c>
    </row>
    <row r="24565" spans="13:16">
      <c r="M24565" s="49">
        <f>IF($A$4+245&gt;$B$4,"",$A$4+245)</f>
        <v>46268</v>
      </c>
      <c r="N24565">
        <f>IF(M24565="","",'Master Barang'!A59)</f>
        <v>0</v>
      </c>
      <c r="O24565">
        <f>IF(N24565="","",'Master Barang'!B59)</f>
        <v>0</v>
      </c>
      <c r="P24565">
        <f>IF(OR(M24565="",N24565=""),"",SUMIFS('Barang Keluar'!$E:$E,'Barang Keluar'!$A:$A,M24565,'Barang Keluar'!$C:$C,N24565))</f>
        <v>0</v>
      </c>
    </row>
    <row r="24566" spans="13:16">
      <c r="M24566" s="49">
        <f>IF($A$4+245&gt;$B$4,"",$A$4+245)</f>
        <v>46268</v>
      </c>
      <c r="N24566">
        <f>IF(M24566="","",'Master Barang'!A60)</f>
        <v>0</v>
      </c>
      <c r="O24566">
        <f>IF(N24566="","",'Master Barang'!B60)</f>
        <v>0</v>
      </c>
      <c r="P24566">
        <f>IF(OR(M24566="",N24566=""),"",SUMIFS('Barang Keluar'!$E:$E,'Barang Keluar'!$A:$A,M24566,'Barang Keluar'!$C:$C,N24566))</f>
        <v>0</v>
      </c>
    </row>
    <row r="24567" spans="13:16">
      <c r="M24567" s="49">
        <f>IF($A$4+245&gt;$B$4,"",$A$4+245)</f>
        <v>46268</v>
      </c>
      <c r="N24567">
        <f>IF(M24567="","",'Master Barang'!A61)</f>
        <v>0</v>
      </c>
      <c r="O24567">
        <f>IF(N24567="","",'Master Barang'!B61)</f>
        <v>0</v>
      </c>
      <c r="P24567">
        <f>IF(OR(M24567="",N24567=""),"",SUMIFS('Barang Keluar'!$E:$E,'Barang Keluar'!$A:$A,M24567,'Barang Keluar'!$C:$C,N24567))</f>
        <v>0</v>
      </c>
    </row>
    <row r="24568" spans="13:16">
      <c r="M24568" s="49">
        <f>IF($A$4+245&gt;$B$4,"",$A$4+245)</f>
        <v>46268</v>
      </c>
      <c r="N24568">
        <f>IF(M24568="","",'Master Barang'!A62)</f>
        <v>0</v>
      </c>
      <c r="O24568">
        <f>IF(N24568="","",'Master Barang'!B62)</f>
        <v>0</v>
      </c>
      <c r="P24568">
        <f>IF(OR(M24568="",N24568=""),"",SUMIFS('Barang Keluar'!$E:$E,'Barang Keluar'!$A:$A,M24568,'Barang Keluar'!$C:$C,N24568))</f>
        <v>0</v>
      </c>
    </row>
    <row r="24569" spans="13:16">
      <c r="M24569" s="49">
        <f>IF($A$4+245&gt;$B$4,"",$A$4+245)</f>
        <v>46268</v>
      </c>
      <c r="N24569">
        <f>IF(M24569="","",'Master Barang'!A63)</f>
        <v>0</v>
      </c>
      <c r="O24569">
        <f>IF(N24569="","",'Master Barang'!B63)</f>
        <v>0</v>
      </c>
      <c r="P24569">
        <f>IF(OR(M24569="",N24569=""),"",SUMIFS('Barang Keluar'!$E:$E,'Barang Keluar'!$A:$A,M24569,'Barang Keluar'!$C:$C,N24569))</f>
        <v>0</v>
      </c>
    </row>
    <row r="24570" spans="13:16">
      <c r="M24570" s="49">
        <f>IF($A$4+245&gt;$B$4,"",$A$4+245)</f>
        <v>46268</v>
      </c>
      <c r="N24570">
        <f>IF(M24570="","",'Master Barang'!A64)</f>
        <v>0</v>
      </c>
      <c r="O24570">
        <f>IF(N24570="","",'Master Barang'!B64)</f>
        <v>0</v>
      </c>
      <c r="P24570">
        <f>IF(OR(M24570="",N24570=""),"",SUMIFS('Barang Keluar'!$E:$E,'Barang Keluar'!$A:$A,M24570,'Barang Keluar'!$C:$C,N24570))</f>
        <v>0</v>
      </c>
    </row>
    <row r="24571" spans="13:16">
      <c r="M24571" s="49">
        <f>IF($A$4+245&gt;$B$4,"",$A$4+245)</f>
        <v>46268</v>
      </c>
      <c r="N24571">
        <f>IF(M24571="","",'Master Barang'!A65)</f>
        <v>0</v>
      </c>
      <c r="O24571">
        <f>IF(N24571="","",'Master Barang'!B65)</f>
        <v>0</v>
      </c>
      <c r="P24571">
        <f>IF(OR(M24571="",N24571=""),"",SUMIFS('Barang Keluar'!$E:$E,'Barang Keluar'!$A:$A,M24571,'Barang Keluar'!$C:$C,N24571))</f>
        <v>0</v>
      </c>
    </row>
    <row r="24572" spans="13:16">
      <c r="M24572" s="49">
        <f>IF($A$4+245&gt;$B$4,"",$A$4+245)</f>
        <v>46268</v>
      </c>
      <c r="N24572">
        <f>IF(M24572="","",'Master Barang'!A66)</f>
        <v>0</v>
      </c>
      <c r="O24572">
        <f>IF(N24572="","",'Master Barang'!B66)</f>
        <v>0</v>
      </c>
      <c r="P24572">
        <f>IF(OR(M24572="",N24572=""),"",SUMIFS('Barang Keluar'!$E:$E,'Barang Keluar'!$A:$A,M24572,'Barang Keluar'!$C:$C,N24572))</f>
        <v>0</v>
      </c>
    </row>
    <row r="24573" spans="13:16">
      <c r="M24573" s="49">
        <f>IF($A$4+245&gt;$B$4,"",$A$4+245)</f>
        <v>46268</v>
      </c>
      <c r="N24573">
        <f>IF(M24573="","",'Master Barang'!A67)</f>
        <v>0</v>
      </c>
      <c r="O24573">
        <f>IF(N24573="","",'Master Barang'!B67)</f>
        <v>0</v>
      </c>
      <c r="P24573">
        <f>IF(OR(M24573="",N24573=""),"",SUMIFS('Barang Keluar'!$E:$E,'Barang Keluar'!$A:$A,M24573,'Barang Keluar'!$C:$C,N24573))</f>
        <v>0</v>
      </c>
    </row>
    <row r="24574" spans="13:16">
      <c r="M24574" s="49">
        <f>IF($A$4+245&gt;$B$4,"",$A$4+245)</f>
        <v>46268</v>
      </c>
      <c r="N24574">
        <f>IF(M24574="","",'Master Barang'!A68)</f>
        <v>0</v>
      </c>
      <c r="O24574">
        <f>IF(N24574="","",'Master Barang'!B68)</f>
        <v>0</v>
      </c>
      <c r="P24574">
        <f>IF(OR(M24574="",N24574=""),"",SUMIFS('Barang Keluar'!$E:$E,'Barang Keluar'!$A:$A,M24574,'Barang Keluar'!$C:$C,N24574))</f>
        <v>0</v>
      </c>
    </row>
    <row r="24575" spans="13:16">
      <c r="M24575" s="49">
        <f>IF($A$4+245&gt;$B$4,"",$A$4+245)</f>
        <v>46268</v>
      </c>
      <c r="N24575">
        <f>IF(M24575="","",'Master Barang'!A69)</f>
        <v>0</v>
      </c>
      <c r="O24575">
        <f>IF(N24575="","",'Master Barang'!B69)</f>
        <v>0</v>
      </c>
      <c r="P24575">
        <f>IF(OR(M24575="",N24575=""),"",SUMIFS('Barang Keluar'!$E:$E,'Barang Keluar'!$A:$A,M24575,'Barang Keluar'!$C:$C,N24575))</f>
        <v>0</v>
      </c>
    </row>
    <row r="24576" spans="13:16">
      <c r="M24576" s="49">
        <f>IF($A$4+245&gt;$B$4,"",$A$4+245)</f>
        <v>46268</v>
      </c>
      <c r="N24576">
        <f>IF(M24576="","",'Master Barang'!A70)</f>
        <v>0</v>
      </c>
      <c r="O24576">
        <f>IF(N24576="","",'Master Barang'!B70)</f>
        <v>0</v>
      </c>
      <c r="P24576">
        <f>IF(OR(M24576="",N24576=""),"",SUMIFS('Barang Keluar'!$E:$E,'Barang Keluar'!$A:$A,M24576,'Barang Keluar'!$C:$C,N24576))</f>
        <v>0</v>
      </c>
    </row>
    <row r="24577" spans="13:16">
      <c r="M24577" s="49">
        <f>IF($A$4+245&gt;$B$4,"",$A$4+245)</f>
        <v>46268</v>
      </c>
      <c r="N24577">
        <f>IF(M24577="","",'Master Barang'!A71)</f>
        <v>0</v>
      </c>
      <c r="O24577">
        <f>IF(N24577="","",'Master Barang'!B71)</f>
        <v>0</v>
      </c>
      <c r="P24577">
        <f>IF(OR(M24577="",N24577=""),"",SUMIFS('Barang Keluar'!$E:$E,'Barang Keluar'!$A:$A,M24577,'Barang Keluar'!$C:$C,N24577))</f>
        <v>0</v>
      </c>
    </row>
    <row r="24578" spans="13:16">
      <c r="M24578" s="49">
        <f>IF($A$4+245&gt;$B$4,"",$A$4+245)</f>
        <v>46268</v>
      </c>
      <c r="N24578">
        <f>IF(M24578="","",'Master Barang'!A72)</f>
        <v>0</v>
      </c>
      <c r="O24578">
        <f>IF(N24578="","",'Master Barang'!B72)</f>
        <v>0</v>
      </c>
      <c r="P24578">
        <f>IF(OR(M24578="",N24578=""),"",SUMIFS('Barang Keluar'!$E:$E,'Barang Keluar'!$A:$A,M24578,'Barang Keluar'!$C:$C,N24578))</f>
        <v>0</v>
      </c>
    </row>
    <row r="24579" spans="13:16">
      <c r="M24579" s="49">
        <f>IF($A$4+245&gt;$B$4,"",$A$4+245)</f>
        <v>46268</v>
      </c>
      <c r="N24579">
        <f>IF(M24579="","",'Master Barang'!A73)</f>
        <v>0</v>
      </c>
      <c r="O24579">
        <f>IF(N24579="","",'Master Barang'!B73)</f>
        <v>0</v>
      </c>
      <c r="P24579">
        <f>IF(OR(M24579="",N24579=""),"",SUMIFS('Barang Keluar'!$E:$E,'Barang Keluar'!$A:$A,M24579,'Barang Keluar'!$C:$C,N24579))</f>
        <v>0</v>
      </c>
    </row>
    <row r="24580" spans="13:16">
      <c r="M24580" s="49">
        <f>IF($A$4+245&gt;$B$4,"",$A$4+245)</f>
        <v>46268</v>
      </c>
      <c r="N24580">
        <f>IF(M24580="","",'Master Barang'!A74)</f>
        <v>0</v>
      </c>
      <c r="O24580">
        <f>IF(N24580="","",'Master Barang'!B74)</f>
        <v>0</v>
      </c>
      <c r="P24580">
        <f>IF(OR(M24580="",N24580=""),"",SUMIFS('Barang Keluar'!$E:$E,'Barang Keluar'!$A:$A,M24580,'Barang Keluar'!$C:$C,N24580))</f>
        <v>0</v>
      </c>
    </row>
    <row r="24581" spans="13:16">
      <c r="M24581" s="49">
        <f>IF($A$4+245&gt;$B$4,"",$A$4+245)</f>
        <v>46268</v>
      </c>
      <c r="N24581">
        <f>IF(M24581="","",'Master Barang'!A75)</f>
        <v>0</v>
      </c>
      <c r="O24581">
        <f>IF(N24581="","",'Master Barang'!B75)</f>
        <v>0</v>
      </c>
      <c r="P24581">
        <f>IF(OR(M24581="",N24581=""),"",SUMIFS('Barang Keluar'!$E:$E,'Barang Keluar'!$A:$A,M24581,'Barang Keluar'!$C:$C,N24581))</f>
        <v>0</v>
      </c>
    </row>
    <row r="24582" spans="13:16">
      <c r="M24582" s="49">
        <f>IF($A$4+245&gt;$B$4,"",$A$4+245)</f>
        <v>46268</v>
      </c>
      <c r="N24582">
        <f>IF(M24582="","",'Master Barang'!A76)</f>
        <v>0</v>
      </c>
      <c r="O24582">
        <f>IF(N24582="","",'Master Barang'!B76)</f>
        <v>0</v>
      </c>
      <c r="P24582">
        <f>IF(OR(M24582="",N24582=""),"",SUMIFS('Barang Keluar'!$E:$E,'Barang Keluar'!$A:$A,M24582,'Barang Keluar'!$C:$C,N24582))</f>
        <v>0</v>
      </c>
    </row>
    <row r="24583" spans="13:16">
      <c r="M24583" s="49">
        <f>IF($A$4+245&gt;$B$4,"",$A$4+245)</f>
        <v>46268</v>
      </c>
      <c r="N24583">
        <f>IF(M24583="","",'Master Barang'!A77)</f>
        <v>0</v>
      </c>
      <c r="O24583">
        <f>IF(N24583="","",'Master Barang'!B77)</f>
        <v>0</v>
      </c>
      <c r="P24583">
        <f>IF(OR(M24583="",N24583=""),"",SUMIFS('Barang Keluar'!$E:$E,'Barang Keluar'!$A:$A,M24583,'Barang Keluar'!$C:$C,N24583))</f>
        <v>0</v>
      </c>
    </row>
    <row r="24584" spans="13:16">
      <c r="M24584" s="49">
        <f>IF($A$4+245&gt;$B$4,"",$A$4+245)</f>
        <v>46268</v>
      </c>
      <c r="N24584">
        <f>IF(M24584="","",'Master Barang'!A78)</f>
        <v>0</v>
      </c>
      <c r="O24584">
        <f>IF(N24584="","",'Master Barang'!B78)</f>
        <v>0</v>
      </c>
      <c r="P24584">
        <f>IF(OR(M24584="",N24584=""),"",SUMIFS('Barang Keluar'!$E:$E,'Barang Keluar'!$A:$A,M24584,'Barang Keluar'!$C:$C,N24584))</f>
        <v>0</v>
      </c>
    </row>
    <row r="24585" spans="13:16">
      <c r="M24585" s="49">
        <f>IF($A$4+245&gt;$B$4,"",$A$4+245)</f>
        <v>46268</v>
      </c>
      <c r="N24585">
        <f>IF(M24585="","",'Master Barang'!A79)</f>
        <v>0</v>
      </c>
      <c r="O24585">
        <f>IF(N24585="","",'Master Barang'!B79)</f>
        <v>0</v>
      </c>
      <c r="P24585">
        <f>IF(OR(M24585="",N24585=""),"",SUMIFS('Barang Keluar'!$E:$E,'Barang Keluar'!$A:$A,M24585,'Barang Keluar'!$C:$C,N24585))</f>
        <v>0</v>
      </c>
    </row>
    <row r="24586" spans="13:16">
      <c r="M24586" s="49">
        <f>IF($A$4+245&gt;$B$4,"",$A$4+245)</f>
        <v>46268</v>
      </c>
      <c r="N24586">
        <f>IF(M24586="","",'Master Barang'!A80)</f>
        <v>0</v>
      </c>
      <c r="O24586">
        <f>IF(N24586="","",'Master Barang'!B80)</f>
        <v>0</v>
      </c>
      <c r="P24586">
        <f>IF(OR(M24586="",N24586=""),"",SUMIFS('Barang Keluar'!$E:$E,'Barang Keluar'!$A:$A,M24586,'Barang Keluar'!$C:$C,N24586))</f>
        <v>0</v>
      </c>
    </row>
    <row r="24587" spans="13:16">
      <c r="M24587" s="49">
        <f>IF($A$4+245&gt;$B$4,"",$A$4+245)</f>
        <v>46268</v>
      </c>
      <c r="N24587">
        <f>IF(M24587="","",'Master Barang'!A81)</f>
        <v>0</v>
      </c>
      <c r="O24587">
        <f>IF(N24587="","",'Master Barang'!B81)</f>
        <v>0</v>
      </c>
      <c r="P24587">
        <f>IF(OR(M24587="",N24587=""),"",SUMIFS('Barang Keluar'!$E:$E,'Barang Keluar'!$A:$A,M24587,'Barang Keluar'!$C:$C,N24587))</f>
        <v>0</v>
      </c>
    </row>
    <row r="24588" spans="13:16">
      <c r="M24588" s="49">
        <f>IF($A$4+245&gt;$B$4,"",$A$4+245)</f>
        <v>46268</v>
      </c>
      <c r="N24588">
        <f>IF(M24588="","",'Master Barang'!A82)</f>
        <v>0</v>
      </c>
      <c r="O24588">
        <f>IF(N24588="","",'Master Barang'!B82)</f>
        <v>0</v>
      </c>
      <c r="P24588">
        <f>IF(OR(M24588="",N24588=""),"",SUMIFS('Barang Keluar'!$E:$E,'Barang Keluar'!$A:$A,M24588,'Barang Keluar'!$C:$C,N24588))</f>
        <v>0</v>
      </c>
    </row>
    <row r="24589" spans="13:16">
      <c r="M24589" s="49">
        <f>IF($A$4+245&gt;$B$4,"",$A$4+245)</f>
        <v>46268</v>
      </c>
      <c r="N24589">
        <f>IF(M24589="","",'Master Barang'!A83)</f>
        <v>0</v>
      </c>
      <c r="O24589">
        <f>IF(N24589="","",'Master Barang'!B83)</f>
        <v>0</v>
      </c>
      <c r="P24589">
        <f>IF(OR(M24589="",N24589=""),"",SUMIFS('Barang Keluar'!$E:$E,'Barang Keluar'!$A:$A,M24589,'Barang Keluar'!$C:$C,N24589))</f>
        <v>0</v>
      </c>
    </row>
    <row r="24590" spans="13:16">
      <c r="M24590" s="49">
        <f>IF($A$4+245&gt;$B$4,"",$A$4+245)</f>
        <v>46268</v>
      </c>
      <c r="N24590">
        <f>IF(M24590="","",'Master Barang'!A84)</f>
        <v>0</v>
      </c>
      <c r="O24590">
        <f>IF(N24590="","",'Master Barang'!B84)</f>
        <v>0</v>
      </c>
      <c r="P24590">
        <f>IF(OR(M24590="",N24590=""),"",SUMIFS('Barang Keluar'!$E:$E,'Barang Keluar'!$A:$A,M24590,'Barang Keluar'!$C:$C,N24590))</f>
        <v>0</v>
      </c>
    </row>
    <row r="24591" spans="13:16">
      <c r="M24591" s="49">
        <f>IF($A$4+245&gt;$B$4,"",$A$4+245)</f>
        <v>46268</v>
      </c>
      <c r="N24591">
        <f>IF(M24591="","",'Master Barang'!A85)</f>
        <v>0</v>
      </c>
      <c r="O24591">
        <f>IF(N24591="","",'Master Barang'!B85)</f>
        <v>0</v>
      </c>
      <c r="P24591">
        <f>IF(OR(M24591="",N24591=""),"",SUMIFS('Barang Keluar'!$E:$E,'Barang Keluar'!$A:$A,M24591,'Barang Keluar'!$C:$C,N24591))</f>
        <v>0</v>
      </c>
    </row>
    <row r="24592" spans="13:16">
      <c r="M24592" s="49">
        <f>IF($A$4+245&gt;$B$4,"",$A$4+245)</f>
        <v>46268</v>
      </c>
      <c r="N24592">
        <f>IF(M24592="","",'Master Barang'!A86)</f>
        <v>0</v>
      </c>
      <c r="O24592">
        <f>IF(N24592="","",'Master Barang'!B86)</f>
        <v>0</v>
      </c>
      <c r="P24592">
        <f>IF(OR(M24592="",N24592=""),"",SUMIFS('Barang Keluar'!$E:$E,'Barang Keluar'!$A:$A,M24592,'Barang Keluar'!$C:$C,N24592))</f>
        <v>0</v>
      </c>
    </row>
    <row r="24593" spans="13:16">
      <c r="M24593" s="49">
        <f>IF($A$4+245&gt;$B$4,"",$A$4+245)</f>
        <v>46268</v>
      </c>
      <c r="N24593">
        <f>IF(M24593="","",'Master Barang'!A87)</f>
        <v>0</v>
      </c>
      <c r="O24593">
        <f>IF(N24593="","",'Master Barang'!B87)</f>
        <v>0</v>
      </c>
      <c r="P24593">
        <f>IF(OR(M24593="",N24593=""),"",SUMIFS('Barang Keluar'!$E:$E,'Barang Keluar'!$A:$A,M24593,'Barang Keluar'!$C:$C,N24593))</f>
        <v>0</v>
      </c>
    </row>
    <row r="24594" spans="13:16">
      <c r="M24594" s="49">
        <f>IF($A$4+245&gt;$B$4,"",$A$4+245)</f>
        <v>46268</v>
      </c>
      <c r="N24594">
        <f>IF(M24594="","",'Master Barang'!A88)</f>
        <v>0</v>
      </c>
      <c r="O24594">
        <f>IF(N24594="","",'Master Barang'!B88)</f>
        <v>0</v>
      </c>
      <c r="P24594">
        <f>IF(OR(M24594="",N24594=""),"",SUMIFS('Barang Keluar'!$E:$E,'Barang Keluar'!$A:$A,M24594,'Barang Keluar'!$C:$C,N24594))</f>
        <v>0</v>
      </c>
    </row>
    <row r="24595" spans="13:16">
      <c r="M24595" s="49">
        <f>IF($A$4+245&gt;$B$4,"",$A$4+245)</f>
        <v>46268</v>
      </c>
      <c r="N24595">
        <f>IF(M24595="","",'Master Barang'!A89)</f>
        <v>0</v>
      </c>
      <c r="O24595">
        <f>IF(N24595="","",'Master Barang'!B89)</f>
        <v>0</v>
      </c>
      <c r="P24595">
        <f>IF(OR(M24595="",N24595=""),"",SUMIFS('Barang Keluar'!$E:$E,'Barang Keluar'!$A:$A,M24595,'Barang Keluar'!$C:$C,N24595))</f>
        <v>0</v>
      </c>
    </row>
    <row r="24596" spans="13:16">
      <c r="M24596" s="49">
        <f>IF($A$4+245&gt;$B$4,"",$A$4+245)</f>
        <v>46268</v>
      </c>
      <c r="N24596">
        <f>IF(M24596="","",'Master Barang'!A90)</f>
        <v>0</v>
      </c>
      <c r="O24596">
        <f>IF(N24596="","",'Master Barang'!B90)</f>
        <v>0</v>
      </c>
      <c r="P24596">
        <f>IF(OR(M24596="",N24596=""),"",SUMIFS('Barang Keluar'!$E:$E,'Barang Keluar'!$A:$A,M24596,'Barang Keluar'!$C:$C,N24596))</f>
        <v>0</v>
      </c>
    </row>
    <row r="24597" spans="13:16">
      <c r="M24597" s="49">
        <f>IF($A$4+245&gt;$B$4,"",$A$4+245)</f>
        <v>46268</v>
      </c>
      <c r="N24597">
        <f>IF(M24597="","",'Master Barang'!A91)</f>
        <v>0</v>
      </c>
      <c r="O24597">
        <f>IF(N24597="","",'Master Barang'!B91)</f>
        <v>0</v>
      </c>
      <c r="P24597">
        <f>IF(OR(M24597="",N24597=""),"",SUMIFS('Barang Keluar'!$E:$E,'Barang Keluar'!$A:$A,M24597,'Barang Keluar'!$C:$C,N24597))</f>
        <v>0</v>
      </c>
    </row>
    <row r="24598" spans="13:16">
      <c r="M24598" s="49">
        <f>IF($A$4+245&gt;$B$4,"",$A$4+245)</f>
        <v>46268</v>
      </c>
      <c r="N24598">
        <f>IF(M24598="","",'Master Barang'!A92)</f>
        <v>0</v>
      </c>
      <c r="O24598">
        <f>IF(N24598="","",'Master Barang'!B92)</f>
        <v>0</v>
      </c>
      <c r="P24598">
        <f>IF(OR(M24598="",N24598=""),"",SUMIFS('Barang Keluar'!$E:$E,'Barang Keluar'!$A:$A,M24598,'Barang Keluar'!$C:$C,N24598))</f>
        <v>0</v>
      </c>
    </row>
    <row r="24599" spans="13:16">
      <c r="M24599" s="49">
        <f>IF($A$4+245&gt;$B$4,"",$A$4+245)</f>
        <v>46268</v>
      </c>
      <c r="N24599">
        <f>IF(M24599="","",'Master Barang'!A93)</f>
        <v>0</v>
      </c>
      <c r="O24599">
        <f>IF(N24599="","",'Master Barang'!B93)</f>
        <v>0</v>
      </c>
      <c r="P24599">
        <f>IF(OR(M24599="",N24599=""),"",SUMIFS('Barang Keluar'!$E:$E,'Barang Keluar'!$A:$A,M24599,'Barang Keluar'!$C:$C,N24599))</f>
        <v>0</v>
      </c>
    </row>
    <row r="24600" spans="13:16">
      <c r="M24600" s="49">
        <f>IF($A$4+245&gt;$B$4,"",$A$4+245)</f>
        <v>46268</v>
      </c>
      <c r="N24600">
        <f>IF(M24600="","",'Master Barang'!A94)</f>
        <v>0</v>
      </c>
      <c r="O24600">
        <f>IF(N24600="","",'Master Barang'!B94)</f>
        <v>0</v>
      </c>
      <c r="P24600">
        <f>IF(OR(M24600="",N24600=""),"",SUMIFS('Barang Keluar'!$E:$E,'Barang Keluar'!$A:$A,M24600,'Barang Keluar'!$C:$C,N24600))</f>
        <v>0</v>
      </c>
    </row>
    <row r="24601" spans="13:16">
      <c r="M24601" s="49">
        <f>IF($A$4+245&gt;$B$4,"",$A$4+245)</f>
        <v>46268</v>
      </c>
      <c r="N24601">
        <f>IF(M24601="","",'Master Barang'!A95)</f>
        <v>0</v>
      </c>
      <c r="O24601">
        <f>IF(N24601="","",'Master Barang'!B95)</f>
        <v>0</v>
      </c>
      <c r="P24601">
        <f>IF(OR(M24601="",N24601=""),"",SUMIFS('Barang Keluar'!$E:$E,'Barang Keluar'!$A:$A,M24601,'Barang Keluar'!$C:$C,N24601))</f>
        <v>0</v>
      </c>
    </row>
    <row r="24602" spans="13:16">
      <c r="M24602" s="49">
        <f>IF($A$4+245&gt;$B$4,"",$A$4+245)</f>
        <v>46268</v>
      </c>
      <c r="N24602">
        <f>IF(M24602="","",'Master Barang'!A96)</f>
        <v>0</v>
      </c>
      <c r="O24602">
        <f>IF(N24602="","",'Master Barang'!B96)</f>
        <v>0</v>
      </c>
      <c r="P24602">
        <f>IF(OR(M24602="",N24602=""),"",SUMIFS('Barang Keluar'!$E:$E,'Barang Keluar'!$A:$A,M24602,'Barang Keluar'!$C:$C,N24602))</f>
        <v>0</v>
      </c>
    </row>
    <row r="24603" spans="13:16">
      <c r="M24603" s="49">
        <f>IF($A$4+245&gt;$B$4,"",$A$4+245)</f>
        <v>46268</v>
      </c>
      <c r="N24603">
        <f>IF(M24603="","",'Master Barang'!A97)</f>
        <v>0</v>
      </c>
      <c r="O24603">
        <f>IF(N24603="","",'Master Barang'!B97)</f>
        <v>0</v>
      </c>
      <c r="P24603">
        <f>IF(OR(M24603="",N24603=""),"",SUMIFS('Barang Keluar'!$E:$E,'Barang Keluar'!$A:$A,M24603,'Barang Keluar'!$C:$C,N24603))</f>
        <v>0</v>
      </c>
    </row>
    <row r="24604" spans="13:16">
      <c r="M24604" s="49">
        <f>IF($A$4+245&gt;$B$4,"",$A$4+245)</f>
        <v>46268</v>
      </c>
      <c r="N24604">
        <f>IF(M24604="","",'Master Barang'!A98)</f>
        <v>0</v>
      </c>
      <c r="O24604">
        <f>IF(N24604="","",'Master Barang'!B98)</f>
        <v>0</v>
      </c>
      <c r="P24604">
        <f>IF(OR(M24604="",N24604=""),"",SUMIFS('Barang Keluar'!$E:$E,'Barang Keluar'!$A:$A,M24604,'Barang Keluar'!$C:$C,N24604))</f>
        <v>0</v>
      </c>
    </row>
    <row r="24605" spans="13:16">
      <c r="M24605" s="49">
        <f>IF($A$4+245&gt;$B$4,"",$A$4+245)</f>
        <v>46268</v>
      </c>
      <c r="N24605">
        <f>IF(M24605="","",'Master Barang'!A99)</f>
        <v>0</v>
      </c>
      <c r="O24605">
        <f>IF(N24605="","",'Master Barang'!B99)</f>
        <v>0</v>
      </c>
      <c r="P24605">
        <f>IF(OR(M24605="",N24605=""),"",SUMIFS('Barang Keluar'!$E:$E,'Barang Keluar'!$A:$A,M24605,'Barang Keluar'!$C:$C,N24605))</f>
        <v>0</v>
      </c>
    </row>
    <row r="24606" spans="13:16">
      <c r="M24606" s="49">
        <f>IF($A$4+245&gt;$B$4,"",$A$4+245)</f>
        <v>46268</v>
      </c>
      <c r="N24606">
        <f>IF(M24606="","",'Master Barang'!A100)</f>
        <v>0</v>
      </c>
      <c r="O24606">
        <f>IF(N24606="","",'Master Barang'!B100)</f>
        <v>0</v>
      </c>
      <c r="P24606">
        <f>IF(OR(M24606="",N24606=""),"",SUMIFS('Barang Keluar'!$E:$E,'Barang Keluar'!$A:$A,M24606,'Barang Keluar'!$C:$C,N24606))</f>
        <v>0</v>
      </c>
    </row>
    <row r="24607" spans="13:16">
      <c r="M24607" s="49">
        <f>IF($A$4+245&gt;$B$4,"",$A$4+245)</f>
        <v>46268</v>
      </c>
      <c r="N24607">
        <f>IF(M24607="","",'Master Barang'!A101)</f>
        <v>0</v>
      </c>
      <c r="O24607">
        <f>IF(N24607="","",'Master Barang'!B101)</f>
        <v>0</v>
      </c>
      <c r="P24607">
        <f>IF(OR(M24607="",N24607=""),"",SUMIFS('Barang Keluar'!$E:$E,'Barang Keluar'!$A:$A,M24607,'Barang Keluar'!$C:$C,N24607))</f>
        <v>0</v>
      </c>
    </row>
    <row r="24608" spans="13:16">
      <c r="M24608" s="49">
        <f>IF($A$4+246&gt;$B$4,"",$A$4+246)</f>
        <v>46269</v>
      </c>
      <c r="N24608" t="str">
        <f>IF(M24608="","",'Master Barang'!A2)</f>
        <v>PRL-001</v>
      </c>
      <c r="O24608" t="str">
        <f>IF(N24608="","",'Master Barang'!B2)</f>
        <v>natura desinfectant food grade 5l</v>
      </c>
      <c r="P24608">
        <f>IF(OR(M24608="",N24608=""),"",SUMIFS('Barang Keluar'!$E:$E,'Barang Keluar'!$A:$A,M24608,'Barang Keluar'!$C:$C,N24608))</f>
        <v>0</v>
      </c>
    </row>
    <row r="24609" spans="13:16">
      <c r="M24609" s="49">
        <f>IF($A$4+246&gt;$B$4,"",$A$4+246)</f>
        <v>46269</v>
      </c>
      <c r="N24609" t="str">
        <f>IF(M24609="","",'Master Barang'!A3)</f>
        <v>PRL-002</v>
      </c>
      <c r="O24609" t="str">
        <f>IF(N24609="","",'Master Barang'!B3)</f>
        <v>sunlight cairan pencuci piring 5l</v>
      </c>
      <c r="P24609">
        <f>IF(OR(M24609="",N24609=""),"",SUMIFS('Barang Keluar'!$E:$E,'Barang Keluar'!$A:$A,M24609,'Barang Keluar'!$C:$C,N24609))</f>
        <v>0</v>
      </c>
    </row>
    <row r="24610" spans="13:16">
      <c r="M24610" s="49">
        <f>IF($A$4+246&gt;$B$4,"",$A$4+246)</f>
        <v>46269</v>
      </c>
      <c r="N24610" t="str">
        <f>IF(M24610="","",'Master Barang'!A4)</f>
        <v>PRL-003</v>
      </c>
      <c r="O24610" t="str">
        <f>IF(N24610="","",'Master Barang'!B4)</f>
        <v>oixs cleaner 1l</v>
      </c>
      <c r="P24610">
        <f>IF(OR(M24610="",N24610=""),"",SUMIFS('Barang Keluar'!$E:$E,'Barang Keluar'!$A:$A,M24610,'Barang Keluar'!$C:$C,N24610))</f>
        <v>0</v>
      </c>
    </row>
    <row r="24611" spans="13:16">
      <c r="M24611" s="49">
        <f>IF($A$4+246&gt;$B$4,"",$A$4+246)</f>
        <v>46269</v>
      </c>
      <c r="N24611" t="str">
        <f>IF(M24611="","",'Master Barang'!A5)</f>
        <v>PRL-004</v>
      </c>
      <c r="O24611" t="str">
        <f>IF(N24611="","",'Master Barang'!B5)</f>
        <v>be clean tissue serbaguna</v>
      </c>
      <c r="P24611">
        <f>IF(OR(M24611="",N24611=""),"",SUMIFS('Barang Keluar'!$E:$E,'Barang Keluar'!$A:$A,M24611,'Barang Keluar'!$C:$C,N24611))</f>
        <v>0</v>
      </c>
    </row>
    <row r="24612" spans="13:16">
      <c r="M24612" s="49">
        <f>IF($A$4+246&gt;$B$4,"",$A$4+246)</f>
        <v>46269</v>
      </c>
      <c r="N24612" t="str">
        <f>IF(M24612="","",'Master Barang'!A6)</f>
        <v>PRL-005</v>
      </c>
      <c r="O24612" t="str">
        <f>IF(N24612="","",'Master Barang'!B6)</f>
        <v>spons cuci hijau</v>
      </c>
      <c r="P24612">
        <f>IF(OR(M24612="",N24612=""),"",SUMIFS('Barang Keluar'!$E:$E,'Barang Keluar'!$A:$A,M24612,'Barang Keluar'!$C:$C,N24612))</f>
        <v>0</v>
      </c>
    </row>
    <row r="24613" spans="13:16">
      <c r="M24613" s="49">
        <f>IF($A$4+246&gt;$B$4,"",$A$4+246)</f>
        <v>46269</v>
      </c>
      <c r="N24613" t="str">
        <f>IF(M24613="","",'Master Barang'!A7)</f>
        <v>PRL-006</v>
      </c>
      <c r="O24613" t="str">
        <f>IF(N24613="","",'Master Barang'!B7)</f>
        <v>sabut cuci stainless</v>
      </c>
      <c r="P24613">
        <f>IF(OR(M24613="",N24613=""),"",SUMIFS('Barang Keluar'!$E:$E,'Barang Keluar'!$A:$A,M24613,'Barang Keluar'!$C:$C,N24613))</f>
        <v>0</v>
      </c>
    </row>
    <row r="24614" spans="13:16">
      <c r="M24614" s="49">
        <f>IF($A$4+246&gt;$B$4,"",$A$4+246)</f>
        <v>46269</v>
      </c>
      <c r="N24614" t="str">
        <f>IF(M24614="","",'Master Barang'!A8)</f>
        <v>PRL-007</v>
      </c>
      <c r="O24614" t="str">
        <f>IF(N24614="","",'Master Barang'!B8)</f>
        <v>plastik kresek besar merah 50pc</v>
      </c>
      <c r="P24614">
        <f>IF(OR(M24614="",N24614=""),"",SUMIFS('Barang Keluar'!$E:$E,'Barang Keluar'!$A:$A,M24614,'Barang Keluar'!$C:$C,N24614))</f>
        <v>0</v>
      </c>
    </row>
    <row r="24615" spans="13:16">
      <c r="M24615" s="49">
        <f>IF($A$4+246&gt;$B$4,"",$A$4+246)</f>
        <v>46269</v>
      </c>
      <c r="N24615" t="str">
        <f>IF(M24615="","",'Master Barang'!A9)</f>
        <v>PRL-008</v>
      </c>
      <c r="O24615" t="str">
        <f>IF(N24615="","",'Master Barang'!B9)</f>
        <v>lap besar</v>
      </c>
      <c r="P24615">
        <f>IF(OR(M24615="",N24615=""),"",SUMIFS('Barang Keluar'!$E:$E,'Barang Keluar'!$A:$A,M24615,'Barang Keluar'!$C:$C,N24615))</f>
        <v>0</v>
      </c>
    </row>
    <row r="24616" spans="13:16">
      <c r="M24616" s="49">
        <f>IF($A$4+246&gt;$B$4,"",$A$4+246)</f>
        <v>46269</v>
      </c>
      <c r="N24616" t="str">
        <f>IF(M24616="","",'Master Barang'!A10)</f>
        <v>PRL-009</v>
      </c>
      <c r="O24616" t="str">
        <f>IF(N24616="","",'Master Barang'!B10)</f>
        <v>lap microfiber</v>
      </c>
      <c r="P24616">
        <f>IF(OR(M24616="",N24616=""),"",SUMIFS('Barang Keluar'!$E:$E,'Barang Keluar'!$A:$A,M24616,'Barang Keluar'!$C:$C,N24616))</f>
        <v>0</v>
      </c>
    </row>
    <row r="24617" spans="13:16">
      <c r="M24617" s="49">
        <f>IF($A$4+246&gt;$B$4,"",$A$4+246)</f>
        <v>46269</v>
      </c>
      <c r="N24617" t="str">
        <f>IF(M24617="","",'Master Barang'!A11)</f>
        <v>PRL-010</v>
      </c>
      <c r="O24617" t="str">
        <f>IF(N24617="","",'Master Barang'!B11)</f>
        <v>lap kecil</v>
      </c>
      <c r="P24617">
        <f>IF(OR(M24617="",N24617=""),"",SUMIFS('Barang Keluar'!$E:$E,'Barang Keluar'!$A:$A,M24617,'Barang Keluar'!$C:$C,N24617))</f>
        <v>0</v>
      </c>
    </row>
    <row r="24618" spans="13:16">
      <c r="M24618" s="49">
        <f>IF($A$4+246&gt;$B$4,"",$A$4+246)</f>
        <v>46269</v>
      </c>
      <c r="N24618" t="str">
        <f>IF(M24618="","",'Master Barang'!A12)</f>
        <v>PRL-011</v>
      </c>
      <c r="O24618" t="str">
        <f>IF(N24618="","",'Master Barang'!B12)</f>
        <v>kanebo kecil</v>
      </c>
      <c r="P24618">
        <f>IF(OR(M24618="",N24618=""),"",SUMIFS('Barang Keluar'!$E:$E,'Barang Keluar'!$A:$A,M24618,'Barang Keluar'!$C:$C,N24618))</f>
        <v>0</v>
      </c>
    </row>
    <row r="24619" spans="13:16">
      <c r="M24619" s="49">
        <f>IF($A$4+246&gt;$B$4,"",$A$4+246)</f>
        <v>46269</v>
      </c>
      <c r="N24619" t="str">
        <f>IF(M24619="","",'Master Barang'!A13)</f>
        <v>PRL-012</v>
      </c>
      <c r="O24619" t="str">
        <f>IF(N24619="","",'Master Barang'!B13)</f>
        <v>plastik 1/4kg joyoboyo 100 lembar</v>
      </c>
      <c r="P24619">
        <f>IF(OR(M24619="",N24619=""),"",SUMIFS('Barang Keluar'!$E:$E,'Barang Keluar'!$A:$A,M24619,'Barang Keluar'!$C:$C,N24619))</f>
        <v>0</v>
      </c>
    </row>
    <row r="24620" spans="13:16">
      <c r="M24620" s="49">
        <f>IF($A$4+246&gt;$B$4,"",$A$4+246)</f>
        <v>46269</v>
      </c>
      <c r="N24620" t="str">
        <f>IF(M24620="","",'Master Barang'!A14)</f>
        <v>PRL-013</v>
      </c>
      <c r="O24620" t="str">
        <f>IF(N24620="","",'Master Barang'!B14)</f>
        <v>sarung tangan plastik kaka 100 pcs</v>
      </c>
      <c r="P24620">
        <f>IF(OR(M24620="",N24620=""),"",SUMIFS('Barang Keluar'!$E:$E,'Barang Keluar'!$A:$A,M24620,'Barang Keluar'!$C:$C,N24620))</f>
        <v>0</v>
      </c>
    </row>
    <row r="24621" spans="13:16">
      <c r="M24621" s="49">
        <f>IF($A$4+246&gt;$B$4,"",$A$4+246)</f>
        <v>46269</v>
      </c>
      <c r="N24621" t="str">
        <f>IF(M24621="","",'Master Barang'!A15)</f>
        <v>PRL-014</v>
      </c>
      <c r="O24621" t="str">
        <f>IF(N24621="","",'Master Barang'!B15)</f>
        <v>optima trashbag 80x100</v>
      </c>
      <c r="P24621">
        <f>IF(OR(M24621="",N24621=""),"",SUMIFS('Barang Keluar'!$E:$E,'Barang Keluar'!$A:$A,M24621,'Barang Keluar'!$C:$C,N24621))</f>
        <v>0</v>
      </c>
    </row>
    <row r="24622" spans="13:16">
      <c r="M24622" s="49">
        <f>IF($A$4+246&gt;$B$4,"",$A$4+246)</f>
        <v>46269</v>
      </c>
      <c r="N24622" t="str">
        <f>IF(M24622="","",'Master Barang'!A16)</f>
        <v>PRL-015</v>
      </c>
      <c r="O24622" t="str">
        <f>IF(N24622="","",'Master Barang'!B16)</f>
        <v>optima trashbag 60x100</v>
      </c>
      <c r="P24622">
        <f>IF(OR(M24622="",N24622=""),"",SUMIFS('Barang Keluar'!$E:$E,'Barang Keluar'!$A:$A,M24622,'Barang Keluar'!$C:$C,N24622))</f>
        <v>0</v>
      </c>
    </row>
    <row r="24623" spans="13:16">
      <c r="M24623" s="49">
        <f>IF($A$4+246&gt;$B$4,"",$A$4+246)</f>
        <v>46269</v>
      </c>
      <c r="N24623" t="str">
        <f>IF(M24623="","",'Master Barang'!A17)</f>
        <v>PRL-016</v>
      </c>
      <c r="O24623" t="str">
        <f>IF(N24623="","",'Master Barang'!B17)</f>
        <v>rajawali trashbag 30x40</v>
      </c>
      <c r="P24623">
        <f>IF(OR(M24623="",N24623=""),"",SUMIFS('Barang Keluar'!$E:$E,'Barang Keluar'!$A:$A,M24623,'Barang Keluar'!$C:$C,N24623))</f>
        <v>0</v>
      </c>
    </row>
    <row r="24624" spans="13:16">
      <c r="M24624" s="49">
        <f>IF($A$4+246&gt;$B$4,"",$A$4+246)</f>
        <v>46269</v>
      </c>
      <c r="N24624" t="str">
        <f>IF(M24624="","",'Master Barang'!A18)</f>
        <v>PRL-017</v>
      </c>
      <c r="O24624" t="str">
        <f>IF(N24624="","",'Master Barang'!B18)</f>
        <v>onemed masker biru 3 play 50 pcs</v>
      </c>
      <c r="P24624">
        <f>IF(OR(M24624="",N24624=""),"",SUMIFS('Barang Keluar'!$E:$E,'Barang Keluar'!$A:$A,M24624,'Barang Keluar'!$C:$C,N24624))</f>
        <v>0</v>
      </c>
    </row>
    <row r="24625" spans="13:16">
      <c r="M24625" s="49">
        <f>IF($A$4+246&gt;$B$4,"",$A$4+246)</f>
        <v>46269</v>
      </c>
      <c r="N24625" t="str">
        <f>IF(M24625="","",'Master Barang'!A19)</f>
        <v>PRL-018</v>
      </c>
      <c r="O24625" t="str">
        <f>IF(N24625="","",'Master Barang'!B19)</f>
        <v>onemed masker biru 3 play hijab 50 pcs</v>
      </c>
      <c r="P24625">
        <f>IF(OR(M24625="",N24625=""),"",SUMIFS('Barang Keluar'!$E:$E,'Barang Keluar'!$A:$A,M24625,'Barang Keluar'!$C:$C,N24625))</f>
        <v>0</v>
      </c>
    </row>
    <row r="24626" spans="13:16">
      <c r="M24626" s="49">
        <f>IF($A$4+246&gt;$B$4,"",$A$4+246)</f>
        <v>46269</v>
      </c>
      <c r="N24626" t="str">
        <f>IF(M24626="","",'Master Barang'!A20)</f>
        <v>PRL-019</v>
      </c>
      <c r="O24626" t="str">
        <f>IF(N24626="","",'Master Barang'!B20)</f>
        <v>neo health masker biru 3 play 50 pcs</v>
      </c>
      <c r="P24626">
        <f>IF(OR(M24626="",N24626=""),"",SUMIFS('Barang Keluar'!$E:$E,'Barang Keluar'!$A:$A,M24626,'Barang Keluar'!$C:$C,N24626))</f>
        <v>0</v>
      </c>
    </row>
    <row r="24627" spans="13:16">
      <c r="M24627" s="49">
        <f>IF($A$4+246&gt;$B$4,"",$A$4+246)</f>
        <v>46269</v>
      </c>
      <c r="N24627" t="str">
        <f>IF(M24627="","",'Master Barang'!A21)</f>
        <v>PRL-020</v>
      </c>
      <c r="O24627" t="str">
        <f>IF(N24627="","",'Master Barang'!B21)</f>
        <v>baymed masker hijau 3 play hijau 50 pcs</v>
      </c>
      <c r="P24627">
        <f>IF(OR(M24627="",N24627=""),"",SUMIFS('Barang Keluar'!$E:$E,'Barang Keluar'!$A:$A,M24627,'Barang Keluar'!$C:$C,N24627))</f>
        <v>0</v>
      </c>
    </row>
    <row r="24628" spans="13:16">
      <c r="M24628" s="49">
        <f>IF($A$4+246&gt;$B$4,"",$A$4+246)</f>
        <v>46269</v>
      </c>
      <c r="N24628" t="str">
        <f>IF(M24628="","",'Master Barang'!A22)</f>
        <v>PRL-021</v>
      </c>
      <c r="O24628" t="str">
        <f>IF(N24628="","",'Master Barang'!B22)</f>
        <v>altamed nurse cap penutup kepala 100 pcs</v>
      </c>
      <c r="P24628">
        <f>IF(OR(M24628="",N24628=""),"",SUMIFS('Barang Keluar'!$E:$E,'Barang Keluar'!$A:$A,M24628,'Barang Keluar'!$C:$C,N24628))</f>
        <v>0</v>
      </c>
    </row>
    <row r="24629" spans="13:16">
      <c r="M24629" s="49">
        <f>IF($A$4+246&gt;$B$4,"",$A$4+246)</f>
        <v>46269</v>
      </c>
      <c r="N24629" t="str">
        <f>IF(M24629="","",'Master Barang'!A23)</f>
        <v>PRL-022</v>
      </c>
      <c r="O24629" t="str">
        <f>IF(N24629="","",'Master Barang'!B23)</f>
        <v>sabun cuci tangan</v>
      </c>
      <c r="P24629">
        <f>IF(OR(M24629="",N24629=""),"",SUMIFS('Barang Keluar'!$E:$E,'Barang Keluar'!$A:$A,M24629,'Barang Keluar'!$C:$C,N24629))</f>
        <v>0</v>
      </c>
    </row>
    <row r="24630" spans="13:16">
      <c r="M24630" s="49">
        <f>IF($A$4+246&gt;$B$4,"",$A$4+246)</f>
        <v>46269</v>
      </c>
      <c r="N24630" t="str">
        <f>IF(M24630="","",'Master Barang'!A24)</f>
        <v>PRL-023</v>
      </c>
      <c r="O24630" t="str">
        <f>IF(N24630="","",'Master Barang'!B24)</f>
        <v>gayung kecil</v>
      </c>
      <c r="P24630">
        <f>IF(OR(M24630="",N24630=""),"",SUMIFS('Barang Keluar'!$E:$E,'Barang Keluar'!$A:$A,M24630,'Barang Keluar'!$C:$C,N24630))</f>
        <v>0</v>
      </c>
    </row>
    <row r="24631" spans="13:16">
      <c r="M24631" s="49">
        <f>IF($A$4+246&gt;$B$4,"",$A$4+246)</f>
        <v>46269</v>
      </c>
      <c r="N24631" t="str">
        <f>IF(M24631="","",'Master Barang'!A25)</f>
        <v>PRL-024</v>
      </c>
      <c r="O24631" t="str">
        <f>IF(N24631="","",'Master Barang'!B25)</f>
        <v>cikrak kecil</v>
      </c>
      <c r="P24631">
        <f>IF(OR(M24631="",N24631=""),"",SUMIFS('Barang Keluar'!$E:$E,'Barang Keluar'!$A:$A,M24631,'Barang Keluar'!$C:$C,N24631))</f>
        <v>0</v>
      </c>
    </row>
    <row r="24632" spans="13:16">
      <c r="M24632" s="49">
        <f>IF($A$4+246&gt;$B$4,"",$A$4+246)</f>
        <v>46269</v>
      </c>
      <c r="N24632" t="str">
        <f>IF(M24632="","",'Master Barang'!A26)</f>
        <v>PRL-025</v>
      </c>
      <c r="O24632" t="str">
        <f>IF(N24632="","",'Master Barang'!B26)</f>
        <v>petromax plastik kecil 12x24 100 lembar</v>
      </c>
      <c r="P24632">
        <f>IF(OR(M24632="",N24632=""),"",SUMIFS('Barang Keluar'!$E:$E,'Barang Keluar'!$A:$A,M24632,'Barang Keluar'!$C:$C,N24632))</f>
        <v>0</v>
      </c>
    </row>
    <row r="24633" spans="13:16">
      <c r="M24633" s="49">
        <f>IF($A$4+246&gt;$B$4,"",$A$4+246)</f>
        <v>46269</v>
      </c>
      <c r="N24633" t="str">
        <f>IF(M24633="","",'Master Barang'!A27)</f>
        <v>PRL-026</v>
      </c>
      <c r="O24633" t="str">
        <f>IF(N24633="","",'Master Barang'!B27)</f>
        <v>lancar kresek kecil bening </v>
      </c>
      <c r="P24633">
        <f>IF(OR(M24633="",N24633=""),"",SUMIFS('Barang Keluar'!$E:$E,'Barang Keluar'!$A:$A,M24633,'Barang Keluar'!$C:$C,N24633))</f>
        <v>0</v>
      </c>
    </row>
    <row r="24634" spans="13:16">
      <c r="M24634" s="49">
        <f>IF($A$4+246&gt;$B$4,"",$A$4+246)</f>
        <v>46269</v>
      </c>
      <c r="N24634" t="str">
        <f>IF(M24634="","",'Master Barang'!A28)</f>
        <v>PRL-027</v>
      </c>
      <c r="O24634" t="str">
        <f>IF(N24634="","",'Master Barang'!B28)</f>
        <v>kresek klin warna warni kecil</v>
      </c>
      <c r="P24634">
        <f>IF(OR(M24634="",N24634=""),"",SUMIFS('Barang Keluar'!$E:$E,'Barang Keluar'!$A:$A,M24634,'Barang Keluar'!$C:$C,N24634))</f>
        <v>0</v>
      </c>
    </row>
    <row r="24635" spans="13:16">
      <c r="M24635" s="49">
        <f>IF($A$4+246&gt;$B$4,"",$A$4+246)</f>
        <v>46269</v>
      </c>
      <c r="N24635" t="str">
        <f>IF(M24635="","",'Master Barang'!A29)</f>
        <v>PRL-028</v>
      </c>
      <c r="O24635" t="str">
        <f>IF(N24635="","",'Master Barang'!B29)</f>
        <v>ctik plastik 7x10 100 pcs</v>
      </c>
      <c r="P24635">
        <f>IF(OR(M24635="",N24635=""),"",SUMIFS('Barang Keluar'!$E:$E,'Barang Keluar'!$A:$A,M24635,'Barang Keluar'!$C:$C,N24635))</f>
        <v>0</v>
      </c>
    </row>
    <row r="24636" spans="13:16">
      <c r="M24636" s="49">
        <f>IF($A$4+246&gt;$B$4,"",$A$4+246)</f>
        <v>46269</v>
      </c>
      <c r="N24636" t="str">
        <f>IF(M24636="","",'Master Barang'!A30)</f>
        <v>PRL-029</v>
      </c>
      <c r="O24636" t="str">
        <f>IF(N24636="","",'Master Barang'!B30)</f>
        <v>ctik plastik 6x10 100 pcs</v>
      </c>
      <c r="P24636">
        <f>IF(OR(M24636="",N24636=""),"",SUMIFS('Barang Keluar'!$E:$E,'Barang Keluar'!$A:$A,M24636,'Barang Keluar'!$C:$C,N24636))</f>
        <v>0</v>
      </c>
    </row>
    <row r="24637" spans="13:16">
      <c r="M24637" s="49">
        <f>IF($A$4+246&gt;$B$4,"",$A$4+246)</f>
        <v>46269</v>
      </c>
      <c r="N24637" t="str">
        <f>IF(M24637="","",'Master Barang'!A31)</f>
        <v>PRL-030</v>
      </c>
      <c r="O24637" t="str">
        <f>IF(N24637="","",'Master Barang'!B31)</f>
        <v>klip plastik 25x16 100 pcs</v>
      </c>
      <c r="P24637">
        <f>IF(OR(M24637="",N24637=""),"",SUMIFS('Barang Keluar'!$E:$E,'Barang Keluar'!$A:$A,M24637,'Barang Keluar'!$C:$C,N24637))</f>
        <v>0</v>
      </c>
    </row>
    <row r="24638" spans="13:16">
      <c r="M24638" s="49">
        <f>IF($A$4+246&gt;$B$4,"",$A$4+246)</f>
        <v>46269</v>
      </c>
      <c r="N24638" t="str">
        <f>IF(M24638="","",'Master Barang'!A32)</f>
        <v>PRL-031</v>
      </c>
      <c r="O24638" t="str">
        <f>IF(N24638="","",'Master Barang'!B32)</f>
        <v>tempat saus 20 ml</v>
      </c>
      <c r="P24638">
        <f>IF(OR(M24638="",N24638=""),"",SUMIFS('Barang Keluar'!$E:$E,'Barang Keluar'!$A:$A,M24638,'Barang Keluar'!$C:$C,N24638))</f>
        <v>0</v>
      </c>
    </row>
    <row r="24639" spans="13:16">
      <c r="M24639" s="49">
        <f>IF($A$4+246&gt;$B$4,"",$A$4+246)</f>
        <v>46269</v>
      </c>
      <c r="N24639" t="str">
        <f>IF(M24639="","",'Master Barang'!A33)</f>
        <v>PRL-032</v>
      </c>
      <c r="O24639" t="str">
        <f>IF(N24639="","",'Master Barang'!B33)</f>
        <v>plastik packaging ag box uk sedang</v>
      </c>
      <c r="P24639">
        <f>IF(OR(M24639="",N24639=""),"",SUMIFS('Barang Keluar'!$E:$E,'Barang Keluar'!$A:$A,M24639,'Barang Keluar'!$C:$C,N24639))</f>
        <v>0</v>
      </c>
    </row>
    <row r="24640" spans="13:16">
      <c r="M24640" s="49">
        <f>IF($A$4+246&gt;$B$4,"",$A$4+246)</f>
        <v>46269</v>
      </c>
      <c r="N24640" t="str">
        <f>IF(M24640="","",'Master Barang'!A34)</f>
        <v>PRL-033</v>
      </c>
      <c r="O24640">
        <f>IF(N24640="","",'Master Barang'!B34)</f>
        <v>0</v>
      </c>
      <c r="P24640">
        <f>IF(OR(M24640="",N24640=""),"",SUMIFS('Barang Keluar'!$E:$E,'Barang Keluar'!$A:$A,M24640,'Barang Keluar'!$C:$C,N24640))</f>
        <v>0</v>
      </c>
    </row>
    <row r="24641" spans="13:16">
      <c r="M24641" s="49">
        <f>IF($A$4+246&gt;$B$4,"",$A$4+246)</f>
        <v>46269</v>
      </c>
      <c r="N24641">
        <f>IF(M24641="","",'Master Barang'!A35)</f>
        <v>0</v>
      </c>
      <c r="O24641">
        <f>IF(N24641="","",'Master Barang'!B35)</f>
        <v>0</v>
      </c>
      <c r="P24641">
        <f>IF(OR(M24641="",N24641=""),"",SUMIFS('Barang Keluar'!$E:$E,'Barang Keluar'!$A:$A,M24641,'Barang Keluar'!$C:$C,N24641))</f>
        <v>0</v>
      </c>
    </row>
    <row r="24642" spans="13:16">
      <c r="M24642" s="49">
        <f>IF($A$4+246&gt;$B$4,"",$A$4+246)</f>
        <v>46269</v>
      </c>
      <c r="N24642">
        <f>IF(M24642="","",'Master Barang'!A36)</f>
        <v>0</v>
      </c>
      <c r="O24642">
        <f>IF(N24642="","",'Master Barang'!B36)</f>
        <v>0</v>
      </c>
      <c r="P24642">
        <f>IF(OR(M24642="",N24642=""),"",SUMIFS('Barang Keluar'!$E:$E,'Barang Keluar'!$A:$A,M24642,'Barang Keluar'!$C:$C,N24642))</f>
        <v>0</v>
      </c>
    </row>
    <row r="24643" spans="13:16">
      <c r="M24643" s="49">
        <f>IF($A$4+246&gt;$B$4,"",$A$4+246)</f>
        <v>46269</v>
      </c>
      <c r="N24643">
        <f>IF(M24643="","",'Master Barang'!A37)</f>
        <v>0</v>
      </c>
      <c r="O24643">
        <f>IF(N24643="","",'Master Barang'!B37)</f>
        <v>0</v>
      </c>
      <c r="P24643">
        <f>IF(OR(M24643="",N24643=""),"",SUMIFS('Barang Keluar'!$E:$E,'Barang Keluar'!$A:$A,M24643,'Barang Keluar'!$C:$C,N24643))</f>
        <v>0</v>
      </c>
    </row>
    <row r="24644" spans="13:16">
      <c r="M24644" s="49">
        <f>IF($A$4+246&gt;$B$4,"",$A$4+246)</f>
        <v>46269</v>
      </c>
      <c r="N24644">
        <f>IF(M24644="","",'Master Barang'!A38)</f>
        <v>0</v>
      </c>
      <c r="O24644">
        <f>IF(N24644="","",'Master Barang'!B38)</f>
        <v>0</v>
      </c>
      <c r="P24644">
        <f>IF(OR(M24644="",N24644=""),"",SUMIFS('Barang Keluar'!$E:$E,'Barang Keluar'!$A:$A,M24644,'Barang Keluar'!$C:$C,N24644))</f>
        <v>0</v>
      </c>
    </row>
    <row r="24645" spans="13:16">
      <c r="M24645" s="49">
        <f>IF($A$4+246&gt;$B$4,"",$A$4+246)</f>
        <v>46269</v>
      </c>
      <c r="N24645">
        <f>IF(M24645="","",'Master Barang'!A39)</f>
        <v>0</v>
      </c>
      <c r="O24645">
        <f>IF(N24645="","",'Master Barang'!B39)</f>
        <v>0</v>
      </c>
      <c r="P24645">
        <f>IF(OR(M24645="",N24645=""),"",SUMIFS('Barang Keluar'!$E:$E,'Barang Keluar'!$A:$A,M24645,'Barang Keluar'!$C:$C,N24645))</f>
        <v>0</v>
      </c>
    </row>
    <row r="24646" spans="13:16">
      <c r="M24646" s="49">
        <f>IF($A$4+246&gt;$B$4,"",$A$4+246)</f>
        <v>46269</v>
      </c>
      <c r="N24646">
        <f>IF(M24646="","",'Master Barang'!A40)</f>
        <v>0</v>
      </c>
      <c r="O24646">
        <f>IF(N24646="","",'Master Barang'!B40)</f>
        <v>0</v>
      </c>
      <c r="P24646">
        <f>IF(OR(M24646="",N24646=""),"",SUMIFS('Barang Keluar'!$E:$E,'Barang Keluar'!$A:$A,M24646,'Barang Keluar'!$C:$C,N24646))</f>
        <v>0</v>
      </c>
    </row>
    <row r="24647" spans="13:16">
      <c r="M24647" s="49">
        <f>IF($A$4+246&gt;$B$4,"",$A$4+246)</f>
        <v>46269</v>
      </c>
      <c r="N24647">
        <f>IF(M24647="","",'Master Barang'!A41)</f>
        <v>0</v>
      </c>
      <c r="O24647">
        <f>IF(N24647="","",'Master Barang'!B41)</f>
        <v>0</v>
      </c>
      <c r="P24647">
        <f>IF(OR(M24647="",N24647=""),"",SUMIFS('Barang Keluar'!$E:$E,'Barang Keluar'!$A:$A,M24647,'Barang Keluar'!$C:$C,N24647))</f>
        <v>0</v>
      </c>
    </row>
    <row r="24648" spans="13:16">
      <c r="M24648" s="49">
        <f>IF($A$4+246&gt;$B$4,"",$A$4+246)</f>
        <v>46269</v>
      </c>
      <c r="N24648">
        <f>IF(M24648="","",'Master Barang'!A42)</f>
        <v>0</v>
      </c>
      <c r="O24648">
        <f>IF(N24648="","",'Master Barang'!B42)</f>
        <v>0</v>
      </c>
      <c r="P24648">
        <f>IF(OR(M24648="",N24648=""),"",SUMIFS('Barang Keluar'!$E:$E,'Barang Keluar'!$A:$A,M24648,'Barang Keluar'!$C:$C,N24648))</f>
        <v>0</v>
      </c>
    </row>
    <row r="24649" spans="13:16">
      <c r="M24649" s="49">
        <f>IF($A$4+246&gt;$B$4,"",$A$4+246)</f>
        <v>46269</v>
      </c>
      <c r="N24649">
        <f>IF(M24649="","",'Master Barang'!A43)</f>
        <v>0</v>
      </c>
      <c r="O24649">
        <f>IF(N24649="","",'Master Barang'!B43)</f>
        <v>0</v>
      </c>
      <c r="P24649">
        <f>IF(OR(M24649="",N24649=""),"",SUMIFS('Barang Keluar'!$E:$E,'Barang Keluar'!$A:$A,M24649,'Barang Keluar'!$C:$C,N24649))</f>
        <v>0</v>
      </c>
    </row>
    <row r="24650" spans="13:16">
      <c r="M24650" s="49">
        <f>IF($A$4+246&gt;$B$4,"",$A$4+246)</f>
        <v>46269</v>
      </c>
      <c r="N24650">
        <f>IF(M24650="","",'Master Barang'!A44)</f>
        <v>0</v>
      </c>
      <c r="O24650">
        <f>IF(N24650="","",'Master Barang'!B44)</f>
        <v>0</v>
      </c>
      <c r="P24650">
        <f>IF(OR(M24650="",N24650=""),"",SUMIFS('Barang Keluar'!$E:$E,'Barang Keluar'!$A:$A,M24650,'Barang Keluar'!$C:$C,N24650))</f>
        <v>0</v>
      </c>
    </row>
    <row r="24651" spans="13:16">
      <c r="M24651" s="49">
        <f>IF($A$4+246&gt;$B$4,"",$A$4+246)</f>
        <v>46269</v>
      </c>
      <c r="N24651">
        <f>IF(M24651="","",'Master Barang'!A45)</f>
        <v>0</v>
      </c>
      <c r="O24651">
        <f>IF(N24651="","",'Master Barang'!B45)</f>
        <v>0</v>
      </c>
      <c r="P24651">
        <f>IF(OR(M24651="",N24651=""),"",SUMIFS('Barang Keluar'!$E:$E,'Barang Keluar'!$A:$A,M24651,'Barang Keluar'!$C:$C,N24651))</f>
        <v>0</v>
      </c>
    </row>
    <row r="24652" spans="13:16">
      <c r="M24652" s="49">
        <f>IF($A$4+246&gt;$B$4,"",$A$4+246)</f>
        <v>46269</v>
      </c>
      <c r="N24652">
        <f>IF(M24652="","",'Master Barang'!A46)</f>
        <v>0</v>
      </c>
      <c r="O24652">
        <f>IF(N24652="","",'Master Barang'!B46)</f>
        <v>0</v>
      </c>
      <c r="P24652">
        <f>IF(OR(M24652="",N24652=""),"",SUMIFS('Barang Keluar'!$E:$E,'Barang Keluar'!$A:$A,M24652,'Barang Keluar'!$C:$C,N24652))</f>
        <v>0</v>
      </c>
    </row>
    <row r="24653" spans="13:16">
      <c r="M24653" s="49">
        <f>IF($A$4+246&gt;$B$4,"",$A$4+246)</f>
        <v>46269</v>
      </c>
      <c r="N24653">
        <f>IF(M24653="","",'Master Barang'!A47)</f>
        <v>0</v>
      </c>
      <c r="O24653">
        <f>IF(N24653="","",'Master Barang'!B47)</f>
        <v>0</v>
      </c>
      <c r="P24653">
        <f>IF(OR(M24653="",N24653=""),"",SUMIFS('Barang Keluar'!$E:$E,'Barang Keluar'!$A:$A,M24653,'Barang Keluar'!$C:$C,N24653))</f>
        <v>0</v>
      </c>
    </row>
    <row r="24654" spans="13:16">
      <c r="M24654" s="49">
        <f>IF($A$4+246&gt;$B$4,"",$A$4+246)</f>
        <v>46269</v>
      </c>
      <c r="N24654">
        <f>IF(M24654="","",'Master Barang'!A48)</f>
        <v>0</v>
      </c>
      <c r="O24654">
        <f>IF(N24654="","",'Master Barang'!B48)</f>
        <v>0</v>
      </c>
      <c r="P24654">
        <f>IF(OR(M24654="",N24654=""),"",SUMIFS('Barang Keluar'!$E:$E,'Barang Keluar'!$A:$A,M24654,'Barang Keluar'!$C:$C,N24654))</f>
        <v>0</v>
      </c>
    </row>
    <row r="24655" spans="13:16">
      <c r="M24655" s="49">
        <f>IF($A$4+246&gt;$B$4,"",$A$4+246)</f>
        <v>46269</v>
      </c>
      <c r="N24655">
        <f>IF(M24655="","",'Master Barang'!A49)</f>
        <v>0</v>
      </c>
      <c r="O24655">
        <f>IF(N24655="","",'Master Barang'!B49)</f>
        <v>0</v>
      </c>
      <c r="P24655">
        <f>IF(OR(M24655="",N24655=""),"",SUMIFS('Barang Keluar'!$E:$E,'Barang Keluar'!$A:$A,M24655,'Barang Keluar'!$C:$C,N24655))</f>
        <v>0</v>
      </c>
    </row>
    <row r="24656" spans="13:16">
      <c r="M24656" s="49">
        <f>IF($A$4+246&gt;$B$4,"",$A$4+246)</f>
        <v>46269</v>
      </c>
      <c r="N24656">
        <f>IF(M24656="","",'Master Barang'!A50)</f>
        <v>0</v>
      </c>
      <c r="O24656">
        <f>IF(N24656="","",'Master Barang'!B50)</f>
        <v>0</v>
      </c>
      <c r="P24656">
        <f>IF(OR(M24656="",N24656=""),"",SUMIFS('Barang Keluar'!$E:$E,'Barang Keluar'!$A:$A,M24656,'Barang Keluar'!$C:$C,N24656))</f>
        <v>0</v>
      </c>
    </row>
    <row r="24657" spans="13:16">
      <c r="M24657" s="49">
        <f>IF($A$4+246&gt;$B$4,"",$A$4+246)</f>
        <v>46269</v>
      </c>
      <c r="N24657">
        <f>IF(M24657="","",'Master Barang'!A51)</f>
        <v>0</v>
      </c>
      <c r="O24657">
        <f>IF(N24657="","",'Master Barang'!B51)</f>
        <v>0</v>
      </c>
      <c r="P24657">
        <f>IF(OR(M24657="",N24657=""),"",SUMIFS('Barang Keluar'!$E:$E,'Barang Keluar'!$A:$A,M24657,'Barang Keluar'!$C:$C,N24657))</f>
        <v>0</v>
      </c>
    </row>
    <row r="24658" spans="13:16">
      <c r="M24658" s="49">
        <f>IF($A$4+246&gt;$B$4,"",$A$4+246)</f>
        <v>46269</v>
      </c>
      <c r="N24658">
        <f>IF(M24658="","",'Master Barang'!A52)</f>
        <v>0</v>
      </c>
      <c r="O24658">
        <f>IF(N24658="","",'Master Barang'!B52)</f>
        <v>0</v>
      </c>
      <c r="P24658">
        <f>IF(OR(M24658="",N24658=""),"",SUMIFS('Barang Keluar'!$E:$E,'Barang Keluar'!$A:$A,M24658,'Barang Keluar'!$C:$C,N24658))</f>
        <v>0</v>
      </c>
    </row>
    <row r="24659" spans="13:16">
      <c r="M24659" s="49">
        <f>IF($A$4+246&gt;$B$4,"",$A$4+246)</f>
        <v>46269</v>
      </c>
      <c r="N24659">
        <f>IF(M24659="","",'Master Barang'!A53)</f>
        <v>0</v>
      </c>
      <c r="O24659">
        <f>IF(N24659="","",'Master Barang'!B53)</f>
        <v>0</v>
      </c>
      <c r="P24659">
        <f>IF(OR(M24659="",N24659=""),"",SUMIFS('Barang Keluar'!$E:$E,'Barang Keluar'!$A:$A,M24659,'Barang Keluar'!$C:$C,N24659))</f>
        <v>0</v>
      </c>
    </row>
    <row r="24660" spans="13:16">
      <c r="M24660" s="49">
        <f>IF($A$4+246&gt;$B$4,"",$A$4+246)</f>
        <v>46269</v>
      </c>
      <c r="N24660">
        <f>IF(M24660="","",'Master Barang'!A54)</f>
        <v>0</v>
      </c>
      <c r="O24660">
        <f>IF(N24660="","",'Master Barang'!B54)</f>
        <v>0</v>
      </c>
      <c r="P24660">
        <f>IF(OR(M24660="",N24660=""),"",SUMIFS('Barang Keluar'!$E:$E,'Barang Keluar'!$A:$A,M24660,'Barang Keluar'!$C:$C,N24660))</f>
        <v>0</v>
      </c>
    </row>
    <row r="24661" spans="13:16">
      <c r="M24661" s="49">
        <f>IF($A$4+246&gt;$B$4,"",$A$4+246)</f>
        <v>46269</v>
      </c>
      <c r="N24661">
        <f>IF(M24661="","",'Master Barang'!A55)</f>
        <v>0</v>
      </c>
      <c r="O24661">
        <f>IF(N24661="","",'Master Barang'!B55)</f>
        <v>0</v>
      </c>
      <c r="P24661">
        <f>IF(OR(M24661="",N24661=""),"",SUMIFS('Barang Keluar'!$E:$E,'Barang Keluar'!$A:$A,M24661,'Barang Keluar'!$C:$C,N24661))</f>
        <v>0</v>
      </c>
    </row>
    <row r="24662" spans="13:16">
      <c r="M24662" s="49">
        <f>IF($A$4+246&gt;$B$4,"",$A$4+246)</f>
        <v>46269</v>
      </c>
      <c r="N24662">
        <f>IF(M24662="","",'Master Barang'!A56)</f>
        <v>0</v>
      </c>
      <c r="O24662">
        <f>IF(N24662="","",'Master Barang'!B56)</f>
        <v>0</v>
      </c>
      <c r="P24662">
        <f>IF(OR(M24662="",N24662=""),"",SUMIFS('Barang Keluar'!$E:$E,'Barang Keluar'!$A:$A,M24662,'Barang Keluar'!$C:$C,N24662))</f>
        <v>0</v>
      </c>
    </row>
    <row r="24663" spans="13:16">
      <c r="M24663" s="49">
        <f>IF($A$4+246&gt;$B$4,"",$A$4+246)</f>
        <v>46269</v>
      </c>
      <c r="N24663">
        <f>IF(M24663="","",'Master Barang'!A57)</f>
        <v>0</v>
      </c>
      <c r="O24663">
        <f>IF(N24663="","",'Master Barang'!B57)</f>
        <v>0</v>
      </c>
      <c r="P24663">
        <f>IF(OR(M24663="",N24663=""),"",SUMIFS('Barang Keluar'!$E:$E,'Barang Keluar'!$A:$A,M24663,'Barang Keluar'!$C:$C,N24663))</f>
        <v>0</v>
      </c>
    </row>
    <row r="24664" spans="13:16">
      <c r="M24664" s="49">
        <f>IF($A$4+246&gt;$B$4,"",$A$4+246)</f>
        <v>46269</v>
      </c>
      <c r="N24664">
        <f>IF(M24664="","",'Master Barang'!A58)</f>
        <v>0</v>
      </c>
      <c r="O24664">
        <f>IF(N24664="","",'Master Barang'!B58)</f>
        <v>0</v>
      </c>
      <c r="P24664">
        <f>IF(OR(M24664="",N24664=""),"",SUMIFS('Barang Keluar'!$E:$E,'Barang Keluar'!$A:$A,M24664,'Barang Keluar'!$C:$C,N24664))</f>
        <v>0</v>
      </c>
    </row>
    <row r="24665" spans="13:16">
      <c r="M24665" s="49">
        <f>IF($A$4+246&gt;$B$4,"",$A$4+246)</f>
        <v>46269</v>
      </c>
      <c r="N24665">
        <f>IF(M24665="","",'Master Barang'!A59)</f>
        <v>0</v>
      </c>
      <c r="O24665">
        <f>IF(N24665="","",'Master Barang'!B59)</f>
        <v>0</v>
      </c>
      <c r="P24665">
        <f>IF(OR(M24665="",N24665=""),"",SUMIFS('Barang Keluar'!$E:$E,'Barang Keluar'!$A:$A,M24665,'Barang Keluar'!$C:$C,N24665))</f>
        <v>0</v>
      </c>
    </row>
    <row r="24666" spans="13:16">
      <c r="M24666" s="49">
        <f>IF($A$4+246&gt;$B$4,"",$A$4+246)</f>
        <v>46269</v>
      </c>
      <c r="N24666">
        <f>IF(M24666="","",'Master Barang'!A60)</f>
        <v>0</v>
      </c>
      <c r="O24666">
        <f>IF(N24666="","",'Master Barang'!B60)</f>
        <v>0</v>
      </c>
      <c r="P24666">
        <f>IF(OR(M24666="",N24666=""),"",SUMIFS('Barang Keluar'!$E:$E,'Barang Keluar'!$A:$A,M24666,'Barang Keluar'!$C:$C,N24666))</f>
        <v>0</v>
      </c>
    </row>
    <row r="24667" spans="13:16">
      <c r="M24667" s="49">
        <f>IF($A$4+246&gt;$B$4,"",$A$4+246)</f>
        <v>46269</v>
      </c>
      <c r="N24667">
        <f>IF(M24667="","",'Master Barang'!A61)</f>
        <v>0</v>
      </c>
      <c r="O24667">
        <f>IF(N24667="","",'Master Barang'!B61)</f>
        <v>0</v>
      </c>
      <c r="P24667">
        <f>IF(OR(M24667="",N24667=""),"",SUMIFS('Barang Keluar'!$E:$E,'Barang Keluar'!$A:$A,M24667,'Barang Keluar'!$C:$C,N24667))</f>
        <v>0</v>
      </c>
    </row>
    <row r="24668" spans="13:16">
      <c r="M24668" s="49">
        <f>IF($A$4+246&gt;$B$4,"",$A$4+246)</f>
        <v>46269</v>
      </c>
      <c r="N24668">
        <f>IF(M24668="","",'Master Barang'!A62)</f>
        <v>0</v>
      </c>
      <c r="O24668">
        <f>IF(N24668="","",'Master Barang'!B62)</f>
        <v>0</v>
      </c>
      <c r="P24668">
        <f>IF(OR(M24668="",N24668=""),"",SUMIFS('Barang Keluar'!$E:$E,'Barang Keluar'!$A:$A,M24668,'Barang Keluar'!$C:$C,N24668))</f>
        <v>0</v>
      </c>
    </row>
    <row r="24669" spans="13:16">
      <c r="M24669" s="49">
        <f>IF($A$4+246&gt;$B$4,"",$A$4+246)</f>
        <v>46269</v>
      </c>
      <c r="N24669">
        <f>IF(M24669="","",'Master Barang'!A63)</f>
        <v>0</v>
      </c>
      <c r="O24669">
        <f>IF(N24669="","",'Master Barang'!B63)</f>
        <v>0</v>
      </c>
      <c r="P24669">
        <f>IF(OR(M24669="",N24669=""),"",SUMIFS('Barang Keluar'!$E:$E,'Barang Keluar'!$A:$A,M24669,'Barang Keluar'!$C:$C,N24669))</f>
        <v>0</v>
      </c>
    </row>
    <row r="24670" spans="13:16">
      <c r="M24670" s="49">
        <f>IF($A$4+246&gt;$B$4,"",$A$4+246)</f>
        <v>46269</v>
      </c>
      <c r="N24670">
        <f>IF(M24670="","",'Master Barang'!A64)</f>
        <v>0</v>
      </c>
      <c r="O24670">
        <f>IF(N24670="","",'Master Barang'!B64)</f>
        <v>0</v>
      </c>
      <c r="P24670">
        <f>IF(OR(M24670="",N24670=""),"",SUMIFS('Barang Keluar'!$E:$E,'Barang Keluar'!$A:$A,M24670,'Barang Keluar'!$C:$C,N24670))</f>
        <v>0</v>
      </c>
    </row>
    <row r="24671" spans="13:16">
      <c r="M24671" s="49">
        <f>IF($A$4+246&gt;$B$4,"",$A$4+246)</f>
        <v>46269</v>
      </c>
      <c r="N24671">
        <f>IF(M24671="","",'Master Barang'!A65)</f>
        <v>0</v>
      </c>
      <c r="O24671">
        <f>IF(N24671="","",'Master Barang'!B65)</f>
        <v>0</v>
      </c>
      <c r="P24671">
        <f>IF(OR(M24671="",N24671=""),"",SUMIFS('Barang Keluar'!$E:$E,'Barang Keluar'!$A:$A,M24671,'Barang Keluar'!$C:$C,N24671))</f>
        <v>0</v>
      </c>
    </row>
    <row r="24672" spans="13:16">
      <c r="M24672" s="49">
        <f>IF($A$4+246&gt;$B$4,"",$A$4+246)</f>
        <v>46269</v>
      </c>
      <c r="N24672">
        <f>IF(M24672="","",'Master Barang'!A66)</f>
        <v>0</v>
      </c>
      <c r="O24672">
        <f>IF(N24672="","",'Master Barang'!B66)</f>
        <v>0</v>
      </c>
      <c r="P24672">
        <f>IF(OR(M24672="",N24672=""),"",SUMIFS('Barang Keluar'!$E:$E,'Barang Keluar'!$A:$A,M24672,'Barang Keluar'!$C:$C,N24672))</f>
        <v>0</v>
      </c>
    </row>
    <row r="24673" spans="13:16">
      <c r="M24673" s="49">
        <f>IF($A$4+246&gt;$B$4,"",$A$4+246)</f>
        <v>46269</v>
      </c>
      <c r="N24673">
        <f>IF(M24673="","",'Master Barang'!A67)</f>
        <v>0</v>
      </c>
      <c r="O24673">
        <f>IF(N24673="","",'Master Barang'!B67)</f>
        <v>0</v>
      </c>
      <c r="P24673">
        <f>IF(OR(M24673="",N24673=""),"",SUMIFS('Barang Keluar'!$E:$E,'Barang Keluar'!$A:$A,M24673,'Barang Keluar'!$C:$C,N24673))</f>
        <v>0</v>
      </c>
    </row>
    <row r="24674" spans="13:16">
      <c r="M24674" s="49">
        <f>IF($A$4+246&gt;$B$4,"",$A$4+246)</f>
        <v>46269</v>
      </c>
      <c r="N24674">
        <f>IF(M24674="","",'Master Barang'!A68)</f>
        <v>0</v>
      </c>
      <c r="O24674">
        <f>IF(N24674="","",'Master Barang'!B68)</f>
        <v>0</v>
      </c>
      <c r="P24674">
        <f>IF(OR(M24674="",N24674=""),"",SUMIFS('Barang Keluar'!$E:$E,'Barang Keluar'!$A:$A,M24674,'Barang Keluar'!$C:$C,N24674))</f>
        <v>0</v>
      </c>
    </row>
    <row r="24675" spans="13:16">
      <c r="M24675" s="49">
        <f>IF($A$4+246&gt;$B$4,"",$A$4+246)</f>
        <v>46269</v>
      </c>
      <c r="N24675">
        <f>IF(M24675="","",'Master Barang'!A69)</f>
        <v>0</v>
      </c>
      <c r="O24675">
        <f>IF(N24675="","",'Master Barang'!B69)</f>
        <v>0</v>
      </c>
      <c r="P24675">
        <f>IF(OR(M24675="",N24675=""),"",SUMIFS('Barang Keluar'!$E:$E,'Barang Keluar'!$A:$A,M24675,'Barang Keluar'!$C:$C,N24675))</f>
        <v>0</v>
      </c>
    </row>
    <row r="24676" spans="13:16">
      <c r="M24676" s="49">
        <f>IF($A$4+246&gt;$B$4,"",$A$4+246)</f>
        <v>46269</v>
      </c>
      <c r="N24676">
        <f>IF(M24676="","",'Master Barang'!A70)</f>
        <v>0</v>
      </c>
      <c r="O24676">
        <f>IF(N24676="","",'Master Barang'!B70)</f>
        <v>0</v>
      </c>
      <c r="P24676">
        <f>IF(OR(M24676="",N24676=""),"",SUMIFS('Barang Keluar'!$E:$E,'Barang Keluar'!$A:$A,M24676,'Barang Keluar'!$C:$C,N24676))</f>
        <v>0</v>
      </c>
    </row>
    <row r="24677" spans="13:16">
      <c r="M24677" s="49">
        <f>IF($A$4+246&gt;$B$4,"",$A$4+246)</f>
        <v>46269</v>
      </c>
      <c r="N24677">
        <f>IF(M24677="","",'Master Barang'!A71)</f>
        <v>0</v>
      </c>
      <c r="O24677">
        <f>IF(N24677="","",'Master Barang'!B71)</f>
        <v>0</v>
      </c>
      <c r="P24677">
        <f>IF(OR(M24677="",N24677=""),"",SUMIFS('Barang Keluar'!$E:$E,'Barang Keluar'!$A:$A,M24677,'Barang Keluar'!$C:$C,N24677))</f>
        <v>0</v>
      </c>
    </row>
    <row r="24678" spans="13:16">
      <c r="M24678" s="49">
        <f>IF($A$4+246&gt;$B$4,"",$A$4+246)</f>
        <v>46269</v>
      </c>
      <c r="N24678">
        <f>IF(M24678="","",'Master Barang'!A72)</f>
        <v>0</v>
      </c>
      <c r="O24678">
        <f>IF(N24678="","",'Master Barang'!B72)</f>
        <v>0</v>
      </c>
      <c r="P24678">
        <f>IF(OR(M24678="",N24678=""),"",SUMIFS('Barang Keluar'!$E:$E,'Barang Keluar'!$A:$A,M24678,'Barang Keluar'!$C:$C,N24678))</f>
        <v>0</v>
      </c>
    </row>
    <row r="24679" spans="13:16">
      <c r="M24679" s="49">
        <f>IF($A$4+246&gt;$B$4,"",$A$4+246)</f>
        <v>46269</v>
      </c>
      <c r="N24679">
        <f>IF(M24679="","",'Master Barang'!A73)</f>
        <v>0</v>
      </c>
      <c r="O24679">
        <f>IF(N24679="","",'Master Barang'!B73)</f>
        <v>0</v>
      </c>
      <c r="P24679">
        <f>IF(OR(M24679="",N24679=""),"",SUMIFS('Barang Keluar'!$E:$E,'Barang Keluar'!$A:$A,M24679,'Barang Keluar'!$C:$C,N24679))</f>
        <v>0</v>
      </c>
    </row>
    <row r="24680" spans="13:16">
      <c r="M24680" s="49">
        <f>IF($A$4+246&gt;$B$4,"",$A$4+246)</f>
        <v>46269</v>
      </c>
      <c r="N24680">
        <f>IF(M24680="","",'Master Barang'!A74)</f>
        <v>0</v>
      </c>
      <c r="O24680">
        <f>IF(N24680="","",'Master Barang'!B74)</f>
        <v>0</v>
      </c>
      <c r="P24680">
        <f>IF(OR(M24680="",N24680=""),"",SUMIFS('Barang Keluar'!$E:$E,'Barang Keluar'!$A:$A,M24680,'Barang Keluar'!$C:$C,N24680))</f>
        <v>0</v>
      </c>
    </row>
    <row r="24681" spans="13:16">
      <c r="M24681" s="49">
        <f>IF($A$4+246&gt;$B$4,"",$A$4+246)</f>
        <v>46269</v>
      </c>
      <c r="N24681">
        <f>IF(M24681="","",'Master Barang'!A75)</f>
        <v>0</v>
      </c>
      <c r="O24681">
        <f>IF(N24681="","",'Master Barang'!B75)</f>
        <v>0</v>
      </c>
      <c r="P24681">
        <f>IF(OR(M24681="",N24681=""),"",SUMIFS('Barang Keluar'!$E:$E,'Barang Keluar'!$A:$A,M24681,'Barang Keluar'!$C:$C,N24681))</f>
        <v>0</v>
      </c>
    </row>
    <row r="24682" spans="13:16">
      <c r="M24682" s="49">
        <f>IF($A$4+246&gt;$B$4,"",$A$4+246)</f>
        <v>46269</v>
      </c>
      <c r="N24682">
        <f>IF(M24682="","",'Master Barang'!A76)</f>
        <v>0</v>
      </c>
      <c r="O24682">
        <f>IF(N24682="","",'Master Barang'!B76)</f>
        <v>0</v>
      </c>
      <c r="P24682">
        <f>IF(OR(M24682="",N24682=""),"",SUMIFS('Barang Keluar'!$E:$E,'Barang Keluar'!$A:$A,M24682,'Barang Keluar'!$C:$C,N24682))</f>
        <v>0</v>
      </c>
    </row>
    <row r="24683" spans="13:16">
      <c r="M24683" s="49">
        <f>IF($A$4+246&gt;$B$4,"",$A$4+246)</f>
        <v>46269</v>
      </c>
      <c r="N24683">
        <f>IF(M24683="","",'Master Barang'!A77)</f>
        <v>0</v>
      </c>
      <c r="O24683">
        <f>IF(N24683="","",'Master Barang'!B77)</f>
        <v>0</v>
      </c>
      <c r="P24683">
        <f>IF(OR(M24683="",N24683=""),"",SUMIFS('Barang Keluar'!$E:$E,'Barang Keluar'!$A:$A,M24683,'Barang Keluar'!$C:$C,N24683))</f>
        <v>0</v>
      </c>
    </row>
    <row r="24684" spans="13:16">
      <c r="M24684" s="49">
        <f>IF($A$4+246&gt;$B$4,"",$A$4+246)</f>
        <v>46269</v>
      </c>
      <c r="N24684">
        <f>IF(M24684="","",'Master Barang'!A78)</f>
        <v>0</v>
      </c>
      <c r="O24684">
        <f>IF(N24684="","",'Master Barang'!B78)</f>
        <v>0</v>
      </c>
      <c r="P24684">
        <f>IF(OR(M24684="",N24684=""),"",SUMIFS('Barang Keluar'!$E:$E,'Barang Keluar'!$A:$A,M24684,'Barang Keluar'!$C:$C,N24684))</f>
        <v>0</v>
      </c>
    </row>
    <row r="24685" spans="13:16">
      <c r="M24685" s="49">
        <f>IF($A$4+246&gt;$B$4,"",$A$4+246)</f>
        <v>46269</v>
      </c>
      <c r="N24685">
        <f>IF(M24685="","",'Master Barang'!A79)</f>
        <v>0</v>
      </c>
      <c r="O24685">
        <f>IF(N24685="","",'Master Barang'!B79)</f>
        <v>0</v>
      </c>
      <c r="P24685">
        <f>IF(OR(M24685="",N24685=""),"",SUMIFS('Barang Keluar'!$E:$E,'Barang Keluar'!$A:$A,M24685,'Barang Keluar'!$C:$C,N24685))</f>
        <v>0</v>
      </c>
    </row>
    <row r="24686" spans="13:16">
      <c r="M24686" s="49">
        <f>IF($A$4+246&gt;$B$4,"",$A$4+246)</f>
        <v>46269</v>
      </c>
      <c r="N24686">
        <f>IF(M24686="","",'Master Barang'!A80)</f>
        <v>0</v>
      </c>
      <c r="O24686">
        <f>IF(N24686="","",'Master Barang'!B80)</f>
        <v>0</v>
      </c>
      <c r="P24686">
        <f>IF(OR(M24686="",N24686=""),"",SUMIFS('Barang Keluar'!$E:$E,'Barang Keluar'!$A:$A,M24686,'Barang Keluar'!$C:$C,N24686))</f>
        <v>0</v>
      </c>
    </row>
    <row r="24687" spans="13:16">
      <c r="M24687" s="49">
        <f>IF($A$4+246&gt;$B$4,"",$A$4+246)</f>
        <v>46269</v>
      </c>
      <c r="N24687">
        <f>IF(M24687="","",'Master Barang'!A81)</f>
        <v>0</v>
      </c>
      <c r="O24687">
        <f>IF(N24687="","",'Master Barang'!B81)</f>
        <v>0</v>
      </c>
      <c r="P24687">
        <f>IF(OR(M24687="",N24687=""),"",SUMIFS('Barang Keluar'!$E:$E,'Barang Keluar'!$A:$A,M24687,'Barang Keluar'!$C:$C,N24687))</f>
        <v>0</v>
      </c>
    </row>
    <row r="24688" spans="13:16">
      <c r="M24688" s="49">
        <f>IF($A$4+246&gt;$B$4,"",$A$4+246)</f>
        <v>46269</v>
      </c>
      <c r="N24688">
        <f>IF(M24688="","",'Master Barang'!A82)</f>
        <v>0</v>
      </c>
      <c r="O24688">
        <f>IF(N24688="","",'Master Barang'!B82)</f>
        <v>0</v>
      </c>
      <c r="P24688">
        <f>IF(OR(M24688="",N24688=""),"",SUMIFS('Barang Keluar'!$E:$E,'Barang Keluar'!$A:$A,M24688,'Barang Keluar'!$C:$C,N24688))</f>
        <v>0</v>
      </c>
    </row>
    <row r="24689" spans="13:16">
      <c r="M24689" s="49">
        <f>IF($A$4+246&gt;$B$4,"",$A$4+246)</f>
        <v>46269</v>
      </c>
      <c r="N24689">
        <f>IF(M24689="","",'Master Barang'!A83)</f>
        <v>0</v>
      </c>
      <c r="O24689">
        <f>IF(N24689="","",'Master Barang'!B83)</f>
        <v>0</v>
      </c>
      <c r="P24689">
        <f>IF(OR(M24689="",N24689=""),"",SUMIFS('Barang Keluar'!$E:$E,'Barang Keluar'!$A:$A,M24689,'Barang Keluar'!$C:$C,N24689))</f>
        <v>0</v>
      </c>
    </row>
    <row r="24690" spans="13:16">
      <c r="M24690" s="49">
        <f>IF($A$4+246&gt;$B$4,"",$A$4+246)</f>
        <v>46269</v>
      </c>
      <c r="N24690">
        <f>IF(M24690="","",'Master Barang'!A84)</f>
        <v>0</v>
      </c>
      <c r="O24690">
        <f>IF(N24690="","",'Master Barang'!B84)</f>
        <v>0</v>
      </c>
      <c r="P24690">
        <f>IF(OR(M24690="",N24690=""),"",SUMIFS('Barang Keluar'!$E:$E,'Barang Keluar'!$A:$A,M24690,'Barang Keluar'!$C:$C,N24690))</f>
        <v>0</v>
      </c>
    </row>
    <row r="24691" spans="13:16">
      <c r="M24691" s="49">
        <f>IF($A$4+246&gt;$B$4,"",$A$4+246)</f>
        <v>46269</v>
      </c>
      <c r="N24691">
        <f>IF(M24691="","",'Master Barang'!A85)</f>
        <v>0</v>
      </c>
      <c r="O24691">
        <f>IF(N24691="","",'Master Barang'!B85)</f>
        <v>0</v>
      </c>
      <c r="P24691">
        <f>IF(OR(M24691="",N24691=""),"",SUMIFS('Barang Keluar'!$E:$E,'Barang Keluar'!$A:$A,M24691,'Barang Keluar'!$C:$C,N24691))</f>
        <v>0</v>
      </c>
    </row>
    <row r="24692" spans="13:16">
      <c r="M24692" s="49">
        <f>IF($A$4+246&gt;$B$4,"",$A$4+246)</f>
        <v>46269</v>
      </c>
      <c r="N24692">
        <f>IF(M24692="","",'Master Barang'!A86)</f>
        <v>0</v>
      </c>
      <c r="O24692">
        <f>IF(N24692="","",'Master Barang'!B86)</f>
        <v>0</v>
      </c>
      <c r="P24692">
        <f>IF(OR(M24692="",N24692=""),"",SUMIFS('Barang Keluar'!$E:$E,'Barang Keluar'!$A:$A,M24692,'Barang Keluar'!$C:$C,N24692))</f>
        <v>0</v>
      </c>
    </row>
    <row r="24693" spans="13:16">
      <c r="M24693" s="49">
        <f>IF($A$4+246&gt;$B$4,"",$A$4+246)</f>
        <v>46269</v>
      </c>
      <c r="N24693">
        <f>IF(M24693="","",'Master Barang'!A87)</f>
        <v>0</v>
      </c>
      <c r="O24693">
        <f>IF(N24693="","",'Master Barang'!B87)</f>
        <v>0</v>
      </c>
      <c r="P24693">
        <f>IF(OR(M24693="",N24693=""),"",SUMIFS('Barang Keluar'!$E:$E,'Barang Keluar'!$A:$A,M24693,'Barang Keluar'!$C:$C,N24693))</f>
        <v>0</v>
      </c>
    </row>
    <row r="24694" spans="13:16">
      <c r="M24694" s="49">
        <f>IF($A$4+246&gt;$B$4,"",$A$4+246)</f>
        <v>46269</v>
      </c>
      <c r="N24694">
        <f>IF(M24694="","",'Master Barang'!A88)</f>
        <v>0</v>
      </c>
      <c r="O24694">
        <f>IF(N24694="","",'Master Barang'!B88)</f>
        <v>0</v>
      </c>
      <c r="P24694">
        <f>IF(OR(M24694="",N24694=""),"",SUMIFS('Barang Keluar'!$E:$E,'Barang Keluar'!$A:$A,M24694,'Barang Keluar'!$C:$C,N24694))</f>
        <v>0</v>
      </c>
    </row>
    <row r="24695" spans="13:16">
      <c r="M24695" s="49">
        <f>IF($A$4+246&gt;$B$4,"",$A$4+246)</f>
        <v>46269</v>
      </c>
      <c r="N24695">
        <f>IF(M24695="","",'Master Barang'!A89)</f>
        <v>0</v>
      </c>
      <c r="O24695">
        <f>IF(N24695="","",'Master Barang'!B89)</f>
        <v>0</v>
      </c>
      <c r="P24695">
        <f>IF(OR(M24695="",N24695=""),"",SUMIFS('Barang Keluar'!$E:$E,'Barang Keluar'!$A:$A,M24695,'Barang Keluar'!$C:$C,N24695))</f>
        <v>0</v>
      </c>
    </row>
    <row r="24696" spans="13:16">
      <c r="M24696" s="49">
        <f>IF($A$4+246&gt;$B$4,"",$A$4+246)</f>
        <v>46269</v>
      </c>
      <c r="N24696">
        <f>IF(M24696="","",'Master Barang'!A90)</f>
        <v>0</v>
      </c>
      <c r="O24696">
        <f>IF(N24696="","",'Master Barang'!B90)</f>
        <v>0</v>
      </c>
      <c r="P24696">
        <f>IF(OR(M24696="",N24696=""),"",SUMIFS('Barang Keluar'!$E:$E,'Barang Keluar'!$A:$A,M24696,'Barang Keluar'!$C:$C,N24696))</f>
        <v>0</v>
      </c>
    </row>
    <row r="24697" spans="13:16">
      <c r="M24697" s="49">
        <f>IF($A$4+246&gt;$B$4,"",$A$4+246)</f>
        <v>46269</v>
      </c>
      <c r="N24697">
        <f>IF(M24697="","",'Master Barang'!A91)</f>
        <v>0</v>
      </c>
      <c r="O24697">
        <f>IF(N24697="","",'Master Barang'!B91)</f>
        <v>0</v>
      </c>
      <c r="P24697">
        <f>IF(OR(M24697="",N24697=""),"",SUMIFS('Barang Keluar'!$E:$E,'Barang Keluar'!$A:$A,M24697,'Barang Keluar'!$C:$C,N24697))</f>
        <v>0</v>
      </c>
    </row>
    <row r="24698" spans="13:16">
      <c r="M24698" s="49">
        <f>IF($A$4+246&gt;$B$4,"",$A$4+246)</f>
        <v>46269</v>
      </c>
      <c r="N24698">
        <f>IF(M24698="","",'Master Barang'!A92)</f>
        <v>0</v>
      </c>
      <c r="O24698">
        <f>IF(N24698="","",'Master Barang'!B92)</f>
        <v>0</v>
      </c>
      <c r="P24698">
        <f>IF(OR(M24698="",N24698=""),"",SUMIFS('Barang Keluar'!$E:$E,'Barang Keluar'!$A:$A,M24698,'Barang Keluar'!$C:$C,N24698))</f>
        <v>0</v>
      </c>
    </row>
    <row r="24699" spans="13:16">
      <c r="M24699" s="49">
        <f>IF($A$4+246&gt;$B$4,"",$A$4+246)</f>
        <v>46269</v>
      </c>
      <c r="N24699">
        <f>IF(M24699="","",'Master Barang'!A93)</f>
        <v>0</v>
      </c>
      <c r="O24699">
        <f>IF(N24699="","",'Master Barang'!B93)</f>
        <v>0</v>
      </c>
      <c r="P24699">
        <f>IF(OR(M24699="",N24699=""),"",SUMIFS('Barang Keluar'!$E:$E,'Barang Keluar'!$A:$A,M24699,'Barang Keluar'!$C:$C,N24699))</f>
        <v>0</v>
      </c>
    </row>
    <row r="24700" spans="13:16">
      <c r="M24700" s="49">
        <f>IF($A$4+246&gt;$B$4,"",$A$4+246)</f>
        <v>46269</v>
      </c>
      <c r="N24700">
        <f>IF(M24700="","",'Master Barang'!A94)</f>
        <v>0</v>
      </c>
      <c r="O24700">
        <f>IF(N24700="","",'Master Barang'!B94)</f>
        <v>0</v>
      </c>
      <c r="P24700">
        <f>IF(OR(M24700="",N24700=""),"",SUMIFS('Barang Keluar'!$E:$E,'Barang Keluar'!$A:$A,M24700,'Barang Keluar'!$C:$C,N24700))</f>
        <v>0</v>
      </c>
    </row>
    <row r="24701" spans="13:16">
      <c r="M24701" s="49">
        <f>IF($A$4+246&gt;$B$4,"",$A$4+246)</f>
        <v>46269</v>
      </c>
      <c r="N24701">
        <f>IF(M24701="","",'Master Barang'!A95)</f>
        <v>0</v>
      </c>
      <c r="O24701">
        <f>IF(N24701="","",'Master Barang'!B95)</f>
        <v>0</v>
      </c>
      <c r="P24701">
        <f>IF(OR(M24701="",N24701=""),"",SUMIFS('Barang Keluar'!$E:$E,'Barang Keluar'!$A:$A,M24701,'Barang Keluar'!$C:$C,N24701))</f>
        <v>0</v>
      </c>
    </row>
    <row r="24702" spans="13:16">
      <c r="M24702" s="49">
        <f>IF($A$4+246&gt;$B$4,"",$A$4+246)</f>
        <v>46269</v>
      </c>
      <c r="N24702">
        <f>IF(M24702="","",'Master Barang'!A96)</f>
        <v>0</v>
      </c>
      <c r="O24702">
        <f>IF(N24702="","",'Master Barang'!B96)</f>
        <v>0</v>
      </c>
      <c r="P24702">
        <f>IF(OR(M24702="",N24702=""),"",SUMIFS('Barang Keluar'!$E:$E,'Barang Keluar'!$A:$A,M24702,'Barang Keluar'!$C:$C,N24702))</f>
        <v>0</v>
      </c>
    </row>
    <row r="24703" spans="13:16">
      <c r="M24703" s="49">
        <f>IF($A$4+246&gt;$B$4,"",$A$4+246)</f>
        <v>46269</v>
      </c>
      <c r="N24703">
        <f>IF(M24703="","",'Master Barang'!A97)</f>
        <v>0</v>
      </c>
      <c r="O24703">
        <f>IF(N24703="","",'Master Barang'!B97)</f>
        <v>0</v>
      </c>
      <c r="P24703">
        <f>IF(OR(M24703="",N24703=""),"",SUMIFS('Barang Keluar'!$E:$E,'Barang Keluar'!$A:$A,M24703,'Barang Keluar'!$C:$C,N24703))</f>
        <v>0</v>
      </c>
    </row>
    <row r="24704" spans="13:16">
      <c r="M24704" s="49">
        <f>IF($A$4+246&gt;$B$4,"",$A$4+246)</f>
        <v>46269</v>
      </c>
      <c r="N24704">
        <f>IF(M24704="","",'Master Barang'!A98)</f>
        <v>0</v>
      </c>
      <c r="O24704">
        <f>IF(N24704="","",'Master Barang'!B98)</f>
        <v>0</v>
      </c>
      <c r="P24704">
        <f>IF(OR(M24704="",N24704=""),"",SUMIFS('Barang Keluar'!$E:$E,'Barang Keluar'!$A:$A,M24704,'Barang Keluar'!$C:$C,N24704))</f>
        <v>0</v>
      </c>
    </row>
    <row r="24705" spans="13:16">
      <c r="M24705" s="49">
        <f>IF($A$4+246&gt;$B$4,"",$A$4+246)</f>
        <v>46269</v>
      </c>
      <c r="N24705">
        <f>IF(M24705="","",'Master Barang'!A99)</f>
        <v>0</v>
      </c>
      <c r="O24705">
        <f>IF(N24705="","",'Master Barang'!B99)</f>
        <v>0</v>
      </c>
      <c r="P24705">
        <f>IF(OR(M24705="",N24705=""),"",SUMIFS('Barang Keluar'!$E:$E,'Barang Keluar'!$A:$A,M24705,'Barang Keluar'!$C:$C,N24705))</f>
        <v>0</v>
      </c>
    </row>
    <row r="24706" spans="13:16">
      <c r="M24706" s="49">
        <f>IF($A$4+246&gt;$B$4,"",$A$4+246)</f>
        <v>46269</v>
      </c>
      <c r="N24706">
        <f>IF(M24706="","",'Master Barang'!A100)</f>
        <v>0</v>
      </c>
      <c r="O24706">
        <f>IF(N24706="","",'Master Barang'!B100)</f>
        <v>0</v>
      </c>
      <c r="P24706">
        <f>IF(OR(M24706="",N24706=""),"",SUMIFS('Barang Keluar'!$E:$E,'Barang Keluar'!$A:$A,M24706,'Barang Keluar'!$C:$C,N24706))</f>
        <v>0</v>
      </c>
    </row>
    <row r="24707" spans="13:16">
      <c r="M24707" s="49">
        <f>IF($A$4+246&gt;$B$4,"",$A$4+246)</f>
        <v>46269</v>
      </c>
      <c r="N24707">
        <f>IF(M24707="","",'Master Barang'!A101)</f>
        <v>0</v>
      </c>
      <c r="O24707">
        <f>IF(N24707="","",'Master Barang'!B101)</f>
        <v>0</v>
      </c>
      <c r="P24707">
        <f>IF(OR(M24707="",N24707=""),"",SUMIFS('Barang Keluar'!$E:$E,'Barang Keluar'!$A:$A,M24707,'Barang Keluar'!$C:$C,N24707))</f>
        <v>0</v>
      </c>
    </row>
    <row r="24708" spans="13:16">
      <c r="M24708" s="49">
        <f>IF($A$4+247&gt;$B$4,"",$A$4+247)</f>
        <v>46270</v>
      </c>
      <c r="N24708" t="str">
        <f>IF(M24708="","",'Master Barang'!A2)</f>
        <v>PRL-001</v>
      </c>
      <c r="O24708" t="str">
        <f>IF(N24708="","",'Master Barang'!B2)</f>
        <v>natura desinfectant food grade 5l</v>
      </c>
      <c r="P24708">
        <f>IF(OR(M24708="",N24708=""),"",SUMIFS('Barang Keluar'!$E:$E,'Barang Keluar'!$A:$A,M24708,'Barang Keluar'!$C:$C,N24708))</f>
        <v>0</v>
      </c>
    </row>
    <row r="24709" spans="13:16">
      <c r="M24709" s="49">
        <f>IF($A$4+247&gt;$B$4,"",$A$4+247)</f>
        <v>46270</v>
      </c>
      <c r="N24709" t="str">
        <f>IF(M24709="","",'Master Barang'!A3)</f>
        <v>PRL-002</v>
      </c>
      <c r="O24709" t="str">
        <f>IF(N24709="","",'Master Barang'!B3)</f>
        <v>sunlight cairan pencuci piring 5l</v>
      </c>
      <c r="P24709">
        <f>IF(OR(M24709="",N24709=""),"",SUMIFS('Barang Keluar'!$E:$E,'Barang Keluar'!$A:$A,M24709,'Barang Keluar'!$C:$C,N24709))</f>
        <v>0</v>
      </c>
    </row>
    <row r="24710" spans="13:16">
      <c r="M24710" s="49">
        <f>IF($A$4+247&gt;$B$4,"",$A$4+247)</f>
        <v>46270</v>
      </c>
      <c r="N24710" t="str">
        <f>IF(M24710="","",'Master Barang'!A4)</f>
        <v>PRL-003</v>
      </c>
      <c r="O24710" t="str">
        <f>IF(N24710="","",'Master Barang'!B4)</f>
        <v>oixs cleaner 1l</v>
      </c>
      <c r="P24710">
        <f>IF(OR(M24710="",N24710=""),"",SUMIFS('Barang Keluar'!$E:$E,'Barang Keluar'!$A:$A,M24710,'Barang Keluar'!$C:$C,N24710))</f>
        <v>0</v>
      </c>
    </row>
    <row r="24711" spans="13:16">
      <c r="M24711" s="49">
        <f>IF($A$4+247&gt;$B$4,"",$A$4+247)</f>
        <v>46270</v>
      </c>
      <c r="N24711" t="str">
        <f>IF(M24711="","",'Master Barang'!A5)</f>
        <v>PRL-004</v>
      </c>
      <c r="O24711" t="str">
        <f>IF(N24711="","",'Master Barang'!B5)</f>
        <v>be clean tissue serbaguna</v>
      </c>
      <c r="P24711">
        <f>IF(OR(M24711="",N24711=""),"",SUMIFS('Barang Keluar'!$E:$E,'Barang Keluar'!$A:$A,M24711,'Barang Keluar'!$C:$C,N24711))</f>
        <v>0</v>
      </c>
    </row>
    <row r="24712" spans="13:16">
      <c r="M24712" s="49">
        <f>IF($A$4+247&gt;$B$4,"",$A$4+247)</f>
        <v>46270</v>
      </c>
      <c r="N24712" t="str">
        <f>IF(M24712="","",'Master Barang'!A6)</f>
        <v>PRL-005</v>
      </c>
      <c r="O24712" t="str">
        <f>IF(N24712="","",'Master Barang'!B6)</f>
        <v>spons cuci hijau</v>
      </c>
      <c r="P24712">
        <f>IF(OR(M24712="",N24712=""),"",SUMIFS('Barang Keluar'!$E:$E,'Barang Keluar'!$A:$A,M24712,'Barang Keluar'!$C:$C,N24712))</f>
        <v>0</v>
      </c>
    </row>
    <row r="24713" spans="13:16">
      <c r="M24713" s="49">
        <f>IF($A$4+247&gt;$B$4,"",$A$4+247)</f>
        <v>46270</v>
      </c>
      <c r="N24713" t="str">
        <f>IF(M24713="","",'Master Barang'!A7)</f>
        <v>PRL-006</v>
      </c>
      <c r="O24713" t="str">
        <f>IF(N24713="","",'Master Barang'!B7)</f>
        <v>sabut cuci stainless</v>
      </c>
      <c r="P24713">
        <f>IF(OR(M24713="",N24713=""),"",SUMIFS('Barang Keluar'!$E:$E,'Barang Keluar'!$A:$A,M24713,'Barang Keluar'!$C:$C,N24713))</f>
        <v>0</v>
      </c>
    </row>
    <row r="24714" spans="13:16">
      <c r="M24714" s="49">
        <f>IF($A$4+247&gt;$B$4,"",$A$4+247)</f>
        <v>46270</v>
      </c>
      <c r="N24714" t="str">
        <f>IF(M24714="","",'Master Barang'!A8)</f>
        <v>PRL-007</v>
      </c>
      <c r="O24714" t="str">
        <f>IF(N24714="","",'Master Barang'!B8)</f>
        <v>plastik kresek besar merah 50pc</v>
      </c>
      <c r="P24714">
        <f>IF(OR(M24714="",N24714=""),"",SUMIFS('Barang Keluar'!$E:$E,'Barang Keluar'!$A:$A,M24714,'Barang Keluar'!$C:$C,N24714))</f>
        <v>0</v>
      </c>
    </row>
    <row r="24715" spans="13:16">
      <c r="M24715" s="49">
        <f>IF($A$4+247&gt;$B$4,"",$A$4+247)</f>
        <v>46270</v>
      </c>
      <c r="N24715" t="str">
        <f>IF(M24715="","",'Master Barang'!A9)</f>
        <v>PRL-008</v>
      </c>
      <c r="O24715" t="str">
        <f>IF(N24715="","",'Master Barang'!B9)</f>
        <v>lap besar</v>
      </c>
      <c r="P24715">
        <f>IF(OR(M24715="",N24715=""),"",SUMIFS('Barang Keluar'!$E:$E,'Barang Keluar'!$A:$A,M24715,'Barang Keluar'!$C:$C,N24715))</f>
        <v>0</v>
      </c>
    </row>
    <row r="24716" spans="13:16">
      <c r="M24716" s="49">
        <f>IF($A$4+247&gt;$B$4,"",$A$4+247)</f>
        <v>46270</v>
      </c>
      <c r="N24716" t="str">
        <f>IF(M24716="","",'Master Barang'!A10)</f>
        <v>PRL-009</v>
      </c>
      <c r="O24716" t="str">
        <f>IF(N24716="","",'Master Barang'!B10)</f>
        <v>lap microfiber</v>
      </c>
      <c r="P24716">
        <f>IF(OR(M24716="",N24716=""),"",SUMIFS('Barang Keluar'!$E:$E,'Barang Keluar'!$A:$A,M24716,'Barang Keluar'!$C:$C,N24716))</f>
        <v>0</v>
      </c>
    </row>
    <row r="24717" spans="13:16">
      <c r="M24717" s="49">
        <f>IF($A$4+247&gt;$B$4,"",$A$4+247)</f>
        <v>46270</v>
      </c>
      <c r="N24717" t="str">
        <f>IF(M24717="","",'Master Barang'!A11)</f>
        <v>PRL-010</v>
      </c>
      <c r="O24717" t="str">
        <f>IF(N24717="","",'Master Barang'!B11)</f>
        <v>lap kecil</v>
      </c>
      <c r="P24717">
        <f>IF(OR(M24717="",N24717=""),"",SUMIFS('Barang Keluar'!$E:$E,'Barang Keluar'!$A:$A,M24717,'Barang Keluar'!$C:$C,N24717))</f>
        <v>0</v>
      </c>
    </row>
    <row r="24718" spans="13:16">
      <c r="M24718" s="49">
        <f>IF($A$4+247&gt;$B$4,"",$A$4+247)</f>
        <v>46270</v>
      </c>
      <c r="N24718" t="str">
        <f>IF(M24718="","",'Master Barang'!A12)</f>
        <v>PRL-011</v>
      </c>
      <c r="O24718" t="str">
        <f>IF(N24718="","",'Master Barang'!B12)</f>
        <v>kanebo kecil</v>
      </c>
      <c r="P24718">
        <f>IF(OR(M24718="",N24718=""),"",SUMIFS('Barang Keluar'!$E:$E,'Barang Keluar'!$A:$A,M24718,'Barang Keluar'!$C:$C,N24718))</f>
        <v>0</v>
      </c>
    </row>
    <row r="24719" spans="13:16">
      <c r="M24719" s="49">
        <f>IF($A$4+247&gt;$B$4,"",$A$4+247)</f>
        <v>46270</v>
      </c>
      <c r="N24719" t="str">
        <f>IF(M24719="","",'Master Barang'!A13)</f>
        <v>PRL-012</v>
      </c>
      <c r="O24719" t="str">
        <f>IF(N24719="","",'Master Barang'!B13)</f>
        <v>plastik 1/4kg joyoboyo 100 lembar</v>
      </c>
      <c r="P24719">
        <f>IF(OR(M24719="",N24719=""),"",SUMIFS('Barang Keluar'!$E:$E,'Barang Keluar'!$A:$A,M24719,'Barang Keluar'!$C:$C,N24719))</f>
        <v>0</v>
      </c>
    </row>
    <row r="24720" spans="13:16">
      <c r="M24720" s="49">
        <f>IF($A$4+247&gt;$B$4,"",$A$4+247)</f>
        <v>46270</v>
      </c>
      <c r="N24720" t="str">
        <f>IF(M24720="","",'Master Barang'!A14)</f>
        <v>PRL-013</v>
      </c>
      <c r="O24720" t="str">
        <f>IF(N24720="","",'Master Barang'!B14)</f>
        <v>sarung tangan plastik kaka 100 pcs</v>
      </c>
      <c r="P24720">
        <f>IF(OR(M24720="",N24720=""),"",SUMIFS('Barang Keluar'!$E:$E,'Barang Keluar'!$A:$A,M24720,'Barang Keluar'!$C:$C,N24720))</f>
        <v>0</v>
      </c>
    </row>
    <row r="24721" spans="13:16">
      <c r="M24721" s="49">
        <f>IF($A$4+247&gt;$B$4,"",$A$4+247)</f>
        <v>46270</v>
      </c>
      <c r="N24721" t="str">
        <f>IF(M24721="","",'Master Barang'!A15)</f>
        <v>PRL-014</v>
      </c>
      <c r="O24721" t="str">
        <f>IF(N24721="","",'Master Barang'!B15)</f>
        <v>optima trashbag 80x100</v>
      </c>
      <c r="P24721">
        <f>IF(OR(M24721="",N24721=""),"",SUMIFS('Barang Keluar'!$E:$E,'Barang Keluar'!$A:$A,M24721,'Barang Keluar'!$C:$C,N24721))</f>
        <v>0</v>
      </c>
    </row>
    <row r="24722" spans="13:16">
      <c r="M24722" s="49">
        <f>IF($A$4+247&gt;$B$4,"",$A$4+247)</f>
        <v>46270</v>
      </c>
      <c r="N24722" t="str">
        <f>IF(M24722="","",'Master Barang'!A16)</f>
        <v>PRL-015</v>
      </c>
      <c r="O24722" t="str">
        <f>IF(N24722="","",'Master Barang'!B16)</f>
        <v>optima trashbag 60x100</v>
      </c>
      <c r="P24722">
        <f>IF(OR(M24722="",N24722=""),"",SUMIFS('Barang Keluar'!$E:$E,'Barang Keluar'!$A:$A,M24722,'Barang Keluar'!$C:$C,N24722))</f>
        <v>0</v>
      </c>
    </row>
    <row r="24723" spans="13:16">
      <c r="M24723" s="49">
        <f>IF($A$4+247&gt;$B$4,"",$A$4+247)</f>
        <v>46270</v>
      </c>
      <c r="N24723" t="str">
        <f>IF(M24723="","",'Master Barang'!A17)</f>
        <v>PRL-016</v>
      </c>
      <c r="O24723" t="str">
        <f>IF(N24723="","",'Master Barang'!B17)</f>
        <v>rajawali trashbag 30x40</v>
      </c>
      <c r="P24723">
        <f>IF(OR(M24723="",N24723=""),"",SUMIFS('Barang Keluar'!$E:$E,'Barang Keluar'!$A:$A,M24723,'Barang Keluar'!$C:$C,N24723))</f>
        <v>0</v>
      </c>
    </row>
    <row r="24724" spans="13:16">
      <c r="M24724" s="49">
        <f>IF($A$4+247&gt;$B$4,"",$A$4+247)</f>
        <v>46270</v>
      </c>
      <c r="N24724" t="str">
        <f>IF(M24724="","",'Master Barang'!A18)</f>
        <v>PRL-017</v>
      </c>
      <c r="O24724" t="str">
        <f>IF(N24724="","",'Master Barang'!B18)</f>
        <v>onemed masker biru 3 play 50 pcs</v>
      </c>
      <c r="P24724">
        <f>IF(OR(M24724="",N24724=""),"",SUMIFS('Barang Keluar'!$E:$E,'Barang Keluar'!$A:$A,M24724,'Barang Keluar'!$C:$C,N24724))</f>
        <v>0</v>
      </c>
    </row>
    <row r="24725" spans="13:16">
      <c r="M24725" s="49">
        <f>IF($A$4+247&gt;$B$4,"",$A$4+247)</f>
        <v>46270</v>
      </c>
      <c r="N24725" t="str">
        <f>IF(M24725="","",'Master Barang'!A19)</f>
        <v>PRL-018</v>
      </c>
      <c r="O24725" t="str">
        <f>IF(N24725="","",'Master Barang'!B19)</f>
        <v>onemed masker biru 3 play hijab 50 pcs</v>
      </c>
      <c r="P24725">
        <f>IF(OR(M24725="",N24725=""),"",SUMIFS('Barang Keluar'!$E:$E,'Barang Keluar'!$A:$A,M24725,'Barang Keluar'!$C:$C,N24725))</f>
        <v>0</v>
      </c>
    </row>
    <row r="24726" spans="13:16">
      <c r="M24726" s="49">
        <f>IF($A$4+247&gt;$B$4,"",$A$4+247)</f>
        <v>46270</v>
      </c>
      <c r="N24726" t="str">
        <f>IF(M24726="","",'Master Barang'!A20)</f>
        <v>PRL-019</v>
      </c>
      <c r="O24726" t="str">
        <f>IF(N24726="","",'Master Barang'!B20)</f>
        <v>neo health masker biru 3 play 50 pcs</v>
      </c>
      <c r="P24726">
        <f>IF(OR(M24726="",N24726=""),"",SUMIFS('Barang Keluar'!$E:$E,'Barang Keluar'!$A:$A,M24726,'Barang Keluar'!$C:$C,N24726))</f>
        <v>0</v>
      </c>
    </row>
    <row r="24727" spans="13:16">
      <c r="M24727" s="49">
        <f>IF($A$4+247&gt;$B$4,"",$A$4+247)</f>
        <v>46270</v>
      </c>
      <c r="N24727" t="str">
        <f>IF(M24727="","",'Master Barang'!A21)</f>
        <v>PRL-020</v>
      </c>
      <c r="O24727" t="str">
        <f>IF(N24727="","",'Master Barang'!B21)</f>
        <v>baymed masker hijau 3 play hijau 50 pcs</v>
      </c>
      <c r="P24727">
        <f>IF(OR(M24727="",N24727=""),"",SUMIFS('Barang Keluar'!$E:$E,'Barang Keluar'!$A:$A,M24727,'Barang Keluar'!$C:$C,N24727))</f>
        <v>0</v>
      </c>
    </row>
    <row r="24728" spans="13:16">
      <c r="M24728" s="49">
        <f>IF($A$4+247&gt;$B$4,"",$A$4+247)</f>
        <v>46270</v>
      </c>
      <c r="N24728" t="str">
        <f>IF(M24728="","",'Master Barang'!A22)</f>
        <v>PRL-021</v>
      </c>
      <c r="O24728" t="str">
        <f>IF(N24728="","",'Master Barang'!B22)</f>
        <v>altamed nurse cap penutup kepala 100 pcs</v>
      </c>
      <c r="P24728">
        <f>IF(OR(M24728="",N24728=""),"",SUMIFS('Barang Keluar'!$E:$E,'Barang Keluar'!$A:$A,M24728,'Barang Keluar'!$C:$C,N24728))</f>
        <v>0</v>
      </c>
    </row>
    <row r="24729" spans="13:16">
      <c r="M24729" s="49">
        <f>IF($A$4+247&gt;$B$4,"",$A$4+247)</f>
        <v>46270</v>
      </c>
      <c r="N24729" t="str">
        <f>IF(M24729="","",'Master Barang'!A23)</f>
        <v>PRL-022</v>
      </c>
      <c r="O24729" t="str">
        <f>IF(N24729="","",'Master Barang'!B23)</f>
        <v>sabun cuci tangan</v>
      </c>
      <c r="P24729">
        <f>IF(OR(M24729="",N24729=""),"",SUMIFS('Barang Keluar'!$E:$E,'Barang Keluar'!$A:$A,M24729,'Barang Keluar'!$C:$C,N24729))</f>
        <v>0</v>
      </c>
    </row>
    <row r="24730" spans="13:16">
      <c r="M24730" s="49">
        <f>IF($A$4+247&gt;$B$4,"",$A$4+247)</f>
        <v>46270</v>
      </c>
      <c r="N24730" t="str">
        <f>IF(M24730="","",'Master Barang'!A24)</f>
        <v>PRL-023</v>
      </c>
      <c r="O24730" t="str">
        <f>IF(N24730="","",'Master Barang'!B24)</f>
        <v>gayung kecil</v>
      </c>
      <c r="P24730">
        <f>IF(OR(M24730="",N24730=""),"",SUMIFS('Barang Keluar'!$E:$E,'Barang Keluar'!$A:$A,M24730,'Barang Keluar'!$C:$C,N24730))</f>
        <v>0</v>
      </c>
    </row>
    <row r="24731" spans="13:16">
      <c r="M24731" s="49">
        <f>IF($A$4+247&gt;$B$4,"",$A$4+247)</f>
        <v>46270</v>
      </c>
      <c r="N24731" t="str">
        <f>IF(M24731="","",'Master Barang'!A25)</f>
        <v>PRL-024</v>
      </c>
      <c r="O24731" t="str">
        <f>IF(N24731="","",'Master Barang'!B25)</f>
        <v>cikrak kecil</v>
      </c>
      <c r="P24731">
        <f>IF(OR(M24731="",N24731=""),"",SUMIFS('Barang Keluar'!$E:$E,'Barang Keluar'!$A:$A,M24731,'Barang Keluar'!$C:$C,N24731))</f>
        <v>0</v>
      </c>
    </row>
    <row r="24732" spans="13:16">
      <c r="M24732" s="49">
        <f>IF($A$4+247&gt;$B$4,"",$A$4+247)</f>
        <v>46270</v>
      </c>
      <c r="N24732" t="str">
        <f>IF(M24732="","",'Master Barang'!A26)</f>
        <v>PRL-025</v>
      </c>
      <c r="O24732" t="str">
        <f>IF(N24732="","",'Master Barang'!B26)</f>
        <v>petromax plastik kecil 12x24 100 lembar</v>
      </c>
      <c r="P24732">
        <f>IF(OR(M24732="",N24732=""),"",SUMIFS('Barang Keluar'!$E:$E,'Barang Keluar'!$A:$A,M24732,'Barang Keluar'!$C:$C,N24732))</f>
        <v>0</v>
      </c>
    </row>
    <row r="24733" spans="13:16">
      <c r="M24733" s="49">
        <f>IF($A$4+247&gt;$B$4,"",$A$4+247)</f>
        <v>46270</v>
      </c>
      <c r="N24733" t="str">
        <f>IF(M24733="","",'Master Barang'!A27)</f>
        <v>PRL-026</v>
      </c>
      <c r="O24733" t="str">
        <f>IF(N24733="","",'Master Barang'!B27)</f>
        <v>lancar kresek kecil bening </v>
      </c>
      <c r="P24733">
        <f>IF(OR(M24733="",N24733=""),"",SUMIFS('Barang Keluar'!$E:$E,'Barang Keluar'!$A:$A,M24733,'Barang Keluar'!$C:$C,N24733))</f>
        <v>0</v>
      </c>
    </row>
    <row r="24734" spans="13:16">
      <c r="M24734" s="49">
        <f>IF($A$4+247&gt;$B$4,"",$A$4+247)</f>
        <v>46270</v>
      </c>
      <c r="N24734" t="str">
        <f>IF(M24734="","",'Master Barang'!A28)</f>
        <v>PRL-027</v>
      </c>
      <c r="O24734" t="str">
        <f>IF(N24734="","",'Master Barang'!B28)</f>
        <v>kresek klin warna warni kecil</v>
      </c>
      <c r="P24734">
        <f>IF(OR(M24734="",N24734=""),"",SUMIFS('Barang Keluar'!$E:$E,'Barang Keluar'!$A:$A,M24734,'Barang Keluar'!$C:$C,N24734))</f>
        <v>0</v>
      </c>
    </row>
    <row r="24735" spans="13:16">
      <c r="M24735" s="49">
        <f>IF($A$4+247&gt;$B$4,"",$A$4+247)</f>
        <v>46270</v>
      </c>
      <c r="N24735" t="str">
        <f>IF(M24735="","",'Master Barang'!A29)</f>
        <v>PRL-028</v>
      </c>
      <c r="O24735" t="str">
        <f>IF(N24735="","",'Master Barang'!B29)</f>
        <v>ctik plastik 7x10 100 pcs</v>
      </c>
      <c r="P24735">
        <f>IF(OR(M24735="",N24735=""),"",SUMIFS('Barang Keluar'!$E:$E,'Barang Keluar'!$A:$A,M24735,'Barang Keluar'!$C:$C,N24735))</f>
        <v>0</v>
      </c>
    </row>
    <row r="24736" spans="13:16">
      <c r="M24736" s="49">
        <f>IF($A$4+247&gt;$B$4,"",$A$4+247)</f>
        <v>46270</v>
      </c>
      <c r="N24736" t="str">
        <f>IF(M24736="","",'Master Barang'!A30)</f>
        <v>PRL-029</v>
      </c>
      <c r="O24736" t="str">
        <f>IF(N24736="","",'Master Barang'!B30)</f>
        <v>ctik plastik 6x10 100 pcs</v>
      </c>
      <c r="P24736">
        <f>IF(OR(M24736="",N24736=""),"",SUMIFS('Barang Keluar'!$E:$E,'Barang Keluar'!$A:$A,M24736,'Barang Keluar'!$C:$C,N24736))</f>
        <v>0</v>
      </c>
    </row>
    <row r="24737" spans="13:16">
      <c r="M24737" s="49">
        <f>IF($A$4+247&gt;$B$4,"",$A$4+247)</f>
        <v>46270</v>
      </c>
      <c r="N24737" t="str">
        <f>IF(M24737="","",'Master Barang'!A31)</f>
        <v>PRL-030</v>
      </c>
      <c r="O24737" t="str">
        <f>IF(N24737="","",'Master Barang'!B31)</f>
        <v>klip plastik 25x16 100 pcs</v>
      </c>
      <c r="P24737">
        <f>IF(OR(M24737="",N24737=""),"",SUMIFS('Barang Keluar'!$E:$E,'Barang Keluar'!$A:$A,M24737,'Barang Keluar'!$C:$C,N24737))</f>
        <v>0</v>
      </c>
    </row>
    <row r="24738" spans="13:16">
      <c r="M24738" s="49">
        <f>IF($A$4+247&gt;$B$4,"",$A$4+247)</f>
        <v>46270</v>
      </c>
      <c r="N24738" t="str">
        <f>IF(M24738="","",'Master Barang'!A32)</f>
        <v>PRL-031</v>
      </c>
      <c r="O24738" t="str">
        <f>IF(N24738="","",'Master Barang'!B32)</f>
        <v>tempat saus 20 ml</v>
      </c>
      <c r="P24738">
        <f>IF(OR(M24738="",N24738=""),"",SUMIFS('Barang Keluar'!$E:$E,'Barang Keluar'!$A:$A,M24738,'Barang Keluar'!$C:$C,N24738))</f>
        <v>0</v>
      </c>
    </row>
    <row r="24739" spans="13:16">
      <c r="M24739" s="49">
        <f>IF($A$4+247&gt;$B$4,"",$A$4+247)</f>
        <v>46270</v>
      </c>
      <c r="N24739" t="str">
        <f>IF(M24739="","",'Master Barang'!A33)</f>
        <v>PRL-032</v>
      </c>
      <c r="O24739" t="str">
        <f>IF(N24739="","",'Master Barang'!B33)</f>
        <v>plastik packaging ag box uk sedang</v>
      </c>
      <c r="P24739">
        <f>IF(OR(M24739="",N24739=""),"",SUMIFS('Barang Keluar'!$E:$E,'Barang Keluar'!$A:$A,M24739,'Barang Keluar'!$C:$C,N24739))</f>
        <v>0</v>
      </c>
    </row>
    <row r="24740" spans="13:16">
      <c r="M24740" s="49">
        <f>IF($A$4+247&gt;$B$4,"",$A$4+247)</f>
        <v>46270</v>
      </c>
      <c r="N24740" t="str">
        <f>IF(M24740="","",'Master Barang'!A34)</f>
        <v>PRL-033</v>
      </c>
      <c r="O24740">
        <f>IF(N24740="","",'Master Barang'!B34)</f>
        <v>0</v>
      </c>
      <c r="P24740">
        <f>IF(OR(M24740="",N24740=""),"",SUMIFS('Barang Keluar'!$E:$E,'Barang Keluar'!$A:$A,M24740,'Barang Keluar'!$C:$C,N24740))</f>
        <v>0</v>
      </c>
    </row>
    <row r="24741" spans="13:16">
      <c r="M24741" s="49">
        <f>IF($A$4+247&gt;$B$4,"",$A$4+247)</f>
        <v>46270</v>
      </c>
      <c r="N24741">
        <f>IF(M24741="","",'Master Barang'!A35)</f>
        <v>0</v>
      </c>
      <c r="O24741">
        <f>IF(N24741="","",'Master Barang'!B35)</f>
        <v>0</v>
      </c>
      <c r="P24741">
        <f>IF(OR(M24741="",N24741=""),"",SUMIFS('Barang Keluar'!$E:$E,'Barang Keluar'!$A:$A,M24741,'Barang Keluar'!$C:$C,N24741))</f>
        <v>0</v>
      </c>
    </row>
    <row r="24742" spans="13:16">
      <c r="M24742" s="49">
        <f>IF($A$4+247&gt;$B$4,"",$A$4+247)</f>
        <v>46270</v>
      </c>
      <c r="N24742">
        <f>IF(M24742="","",'Master Barang'!A36)</f>
        <v>0</v>
      </c>
      <c r="O24742">
        <f>IF(N24742="","",'Master Barang'!B36)</f>
        <v>0</v>
      </c>
      <c r="P24742">
        <f>IF(OR(M24742="",N24742=""),"",SUMIFS('Barang Keluar'!$E:$E,'Barang Keluar'!$A:$A,M24742,'Barang Keluar'!$C:$C,N24742))</f>
        <v>0</v>
      </c>
    </row>
    <row r="24743" spans="13:16">
      <c r="M24743" s="49">
        <f>IF($A$4+247&gt;$B$4,"",$A$4+247)</f>
        <v>46270</v>
      </c>
      <c r="N24743">
        <f>IF(M24743="","",'Master Barang'!A37)</f>
        <v>0</v>
      </c>
      <c r="O24743">
        <f>IF(N24743="","",'Master Barang'!B37)</f>
        <v>0</v>
      </c>
      <c r="P24743">
        <f>IF(OR(M24743="",N24743=""),"",SUMIFS('Barang Keluar'!$E:$E,'Barang Keluar'!$A:$A,M24743,'Barang Keluar'!$C:$C,N24743))</f>
        <v>0</v>
      </c>
    </row>
    <row r="24744" spans="13:16">
      <c r="M24744" s="49">
        <f>IF($A$4+247&gt;$B$4,"",$A$4+247)</f>
        <v>46270</v>
      </c>
      <c r="N24744">
        <f>IF(M24744="","",'Master Barang'!A38)</f>
        <v>0</v>
      </c>
      <c r="O24744">
        <f>IF(N24744="","",'Master Barang'!B38)</f>
        <v>0</v>
      </c>
      <c r="P24744">
        <f>IF(OR(M24744="",N24744=""),"",SUMIFS('Barang Keluar'!$E:$E,'Barang Keluar'!$A:$A,M24744,'Barang Keluar'!$C:$C,N24744))</f>
        <v>0</v>
      </c>
    </row>
    <row r="24745" spans="13:16">
      <c r="M24745" s="49">
        <f>IF($A$4+247&gt;$B$4,"",$A$4+247)</f>
        <v>46270</v>
      </c>
      <c r="N24745">
        <f>IF(M24745="","",'Master Barang'!A39)</f>
        <v>0</v>
      </c>
      <c r="O24745">
        <f>IF(N24745="","",'Master Barang'!B39)</f>
        <v>0</v>
      </c>
      <c r="P24745">
        <f>IF(OR(M24745="",N24745=""),"",SUMIFS('Barang Keluar'!$E:$E,'Barang Keluar'!$A:$A,M24745,'Barang Keluar'!$C:$C,N24745))</f>
        <v>0</v>
      </c>
    </row>
    <row r="24746" spans="13:16">
      <c r="M24746" s="49">
        <f>IF($A$4+247&gt;$B$4,"",$A$4+247)</f>
        <v>46270</v>
      </c>
      <c r="N24746">
        <f>IF(M24746="","",'Master Barang'!A40)</f>
        <v>0</v>
      </c>
      <c r="O24746">
        <f>IF(N24746="","",'Master Barang'!B40)</f>
        <v>0</v>
      </c>
      <c r="P24746">
        <f>IF(OR(M24746="",N24746=""),"",SUMIFS('Barang Keluar'!$E:$E,'Barang Keluar'!$A:$A,M24746,'Barang Keluar'!$C:$C,N24746))</f>
        <v>0</v>
      </c>
    </row>
    <row r="24747" spans="13:16">
      <c r="M24747" s="49">
        <f>IF($A$4+247&gt;$B$4,"",$A$4+247)</f>
        <v>46270</v>
      </c>
      <c r="N24747">
        <f>IF(M24747="","",'Master Barang'!A41)</f>
        <v>0</v>
      </c>
      <c r="O24747">
        <f>IF(N24747="","",'Master Barang'!B41)</f>
        <v>0</v>
      </c>
      <c r="P24747">
        <f>IF(OR(M24747="",N24747=""),"",SUMIFS('Barang Keluar'!$E:$E,'Barang Keluar'!$A:$A,M24747,'Barang Keluar'!$C:$C,N24747))</f>
        <v>0</v>
      </c>
    </row>
    <row r="24748" spans="13:16">
      <c r="M24748" s="49">
        <f>IF($A$4+247&gt;$B$4,"",$A$4+247)</f>
        <v>46270</v>
      </c>
      <c r="N24748">
        <f>IF(M24748="","",'Master Barang'!A42)</f>
        <v>0</v>
      </c>
      <c r="O24748">
        <f>IF(N24748="","",'Master Barang'!B42)</f>
        <v>0</v>
      </c>
      <c r="P24748">
        <f>IF(OR(M24748="",N24748=""),"",SUMIFS('Barang Keluar'!$E:$E,'Barang Keluar'!$A:$A,M24748,'Barang Keluar'!$C:$C,N24748))</f>
        <v>0</v>
      </c>
    </row>
    <row r="24749" spans="13:16">
      <c r="M24749" s="49">
        <f>IF($A$4+247&gt;$B$4,"",$A$4+247)</f>
        <v>46270</v>
      </c>
      <c r="N24749">
        <f>IF(M24749="","",'Master Barang'!A43)</f>
        <v>0</v>
      </c>
      <c r="O24749">
        <f>IF(N24749="","",'Master Barang'!B43)</f>
        <v>0</v>
      </c>
      <c r="P24749">
        <f>IF(OR(M24749="",N24749=""),"",SUMIFS('Barang Keluar'!$E:$E,'Barang Keluar'!$A:$A,M24749,'Barang Keluar'!$C:$C,N24749))</f>
        <v>0</v>
      </c>
    </row>
    <row r="24750" spans="13:16">
      <c r="M24750" s="49">
        <f>IF($A$4+247&gt;$B$4,"",$A$4+247)</f>
        <v>46270</v>
      </c>
      <c r="N24750">
        <f>IF(M24750="","",'Master Barang'!A44)</f>
        <v>0</v>
      </c>
      <c r="O24750">
        <f>IF(N24750="","",'Master Barang'!B44)</f>
        <v>0</v>
      </c>
      <c r="P24750">
        <f>IF(OR(M24750="",N24750=""),"",SUMIFS('Barang Keluar'!$E:$E,'Barang Keluar'!$A:$A,M24750,'Barang Keluar'!$C:$C,N24750))</f>
        <v>0</v>
      </c>
    </row>
    <row r="24751" spans="13:16">
      <c r="M24751" s="49">
        <f>IF($A$4+247&gt;$B$4,"",$A$4+247)</f>
        <v>46270</v>
      </c>
      <c r="N24751">
        <f>IF(M24751="","",'Master Barang'!A45)</f>
        <v>0</v>
      </c>
      <c r="O24751">
        <f>IF(N24751="","",'Master Barang'!B45)</f>
        <v>0</v>
      </c>
      <c r="P24751">
        <f>IF(OR(M24751="",N24751=""),"",SUMIFS('Barang Keluar'!$E:$E,'Barang Keluar'!$A:$A,M24751,'Barang Keluar'!$C:$C,N24751))</f>
        <v>0</v>
      </c>
    </row>
    <row r="24752" spans="13:16">
      <c r="M24752" s="49">
        <f>IF($A$4+247&gt;$B$4,"",$A$4+247)</f>
        <v>46270</v>
      </c>
      <c r="N24752">
        <f>IF(M24752="","",'Master Barang'!A46)</f>
        <v>0</v>
      </c>
      <c r="O24752">
        <f>IF(N24752="","",'Master Barang'!B46)</f>
        <v>0</v>
      </c>
      <c r="P24752">
        <f>IF(OR(M24752="",N24752=""),"",SUMIFS('Barang Keluar'!$E:$E,'Barang Keluar'!$A:$A,M24752,'Barang Keluar'!$C:$C,N24752))</f>
        <v>0</v>
      </c>
    </row>
    <row r="24753" spans="13:16">
      <c r="M24753" s="49">
        <f>IF($A$4+247&gt;$B$4,"",$A$4+247)</f>
        <v>46270</v>
      </c>
      <c r="N24753">
        <f>IF(M24753="","",'Master Barang'!A47)</f>
        <v>0</v>
      </c>
      <c r="O24753">
        <f>IF(N24753="","",'Master Barang'!B47)</f>
        <v>0</v>
      </c>
      <c r="P24753">
        <f>IF(OR(M24753="",N24753=""),"",SUMIFS('Barang Keluar'!$E:$E,'Barang Keluar'!$A:$A,M24753,'Barang Keluar'!$C:$C,N24753))</f>
        <v>0</v>
      </c>
    </row>
    <row r="24754" spans="13:16">
      <c r="M24754" s="49">
        <f>IF($A$4+247&gt;$B$4,"",$A$4+247)</f>
        <v>46270</v>
      </c>
      <c r="N24754">
        <f>IF(M24754="","",'Master Barang'!A48)</f>
        <v>0</v>
      </c>
      <c r="O24754">
        <f>IF(N24754="","",'Master Barang'!B48)</f>
        <v>0</v>
      </c>
      <c r="P24754">
        <f>IF(OR(M24754="",N24754=""),"",SUMIFS('Barang Keluar'!$E:$E,'Barang Keluar'!$A:$A,M24754,'Barang Keluar'!$C:$C,N24754))</f>
        <v>0</v>
      </c>
    </row>
    <row r="24755" spans="13:16">
      <c r="M24755" s="49">
        <f>IF($A$4+247&gt;$B$4,"",$A$4+247)</f>
        <v>46270</v>
      </c>
      <c r="N24755">
        <f>IF(M24755="","",'Master Barang'!A49)</f>
        <v>0</v>
      </c>
      <c r="O24755">
        <f>IF(N24755="","",'Master Barang'!B49)</f>
        <v>0</v>
      </c>
      <c r="P24755">
        <f>IF(OR(M24755="",N24755=""),"",SUMIFS('Barang Keluar'!$E:$E,'Barang Keluar'!$A:$A,M24755,'Barang Keluar'!$C:$C,N24755))</f>
        <v>0</v>
      </c>
    </row>
    <row r="24756" spans="13:16">
      <c r="M24756" s="49">
        <f>IF($A$4+247&gt;$B$4,"",$A$4+247)</f>
        <v>46270</v>
      </c>
      <c r="N24756">
        <f>IF(M24756="","",'Master Barang'!A50)</f>
        <v>0</v>
      </c>
      <c r="O24756">
        <f>IF(N24756="","",'Master Barang'!B50)</f>
        <v>0</v>
      </c>
      <c r="P24756">
        <f>IF(OR(M24756="",N24756=""),"",SUMIFS('Barang Keluar'!$E:$E,'Barang Keluar'!$A:$A,M24756,'Barang Keluar'!$C:$C,N24756))</f>
        <v>0</v>
      </c>
    </row>
    <row r="24757" spans="13:16">
      <c r="M24757" s="49">
        <f>IF($A$4+247&gt;$B$4,"",$A$4+247)</f>
        <v>46270</v>
      </c>
      <c r="N24757">
        <f>IF(M24757="","",'Master Barang'!A51)</f>
        <v>0</v>
      </c>
      <c r="O24757">
        <f>IF(N24757="","",'Master Barang'!B51)</f>
        <v>0</v>
      </c>
      <c r="P24757">
        <f>IF(OR(M24757="",N24757=""),"",SUMIFS('Barang Keluar'!$E:$E,'Barang Keluar'!$A:$A,M24757,'Barang Keluar'!$C:$C,N24757))</f>
        <v>0</v>
      </c>
    </row>
    <row r="24758" spans="13:16">
      <c r="M24758" s="49">
        <f>IF($A$4+247&gt;$B$4,"",$A$4+247)</f>
        <v>46270</v>
      </c>
      <c r="N24758">
        <f>IF(M24758="","",'Master Barang'!A52)</f>
        <v>0</v>
      </c>
      <c r="O24758">
        <f>IF(N24758="","",'Master Barang'!B52)</f>
        <v>0</v>
      </c>
      <c r="P24758">
        <f>IF(OR(M24758="",N24758=""),"",SUMIFS('Barang Keluar'!$E:$E,'Barang Keluar'!$A:$A,M24758,'Barang Keluar'!$C:$C,N24758))</f>
        <v>0</v>
      </c>
    </row>
    <row r="24759" spans="13:16">
      <c r="M24759" s="49">
        <f>IF($A$4+247&gt;$B$4,"",$A$4+247)</f>
        <v>46270</v>
      </c>
      <c r="N24759">
        <f>IF(M24759="","",'Master Barang'!A53)</f>
        <v>0</v>
      </c>
      <c r="O24759">
        <f>IF(N24759="","",'Master Barang'!B53)</f>
        <v>0</v>
      </c>
      <c r="P24759">
        <f>IF(OR(M24759="",N24759=""),"",SUMIFS('Barang Keluar'!$E:$E,'Barang Keluar'!$A:$A,M24759,'Barang Keluar'!$C:$C,N24759))</f>
        <v>0</v>
      </c>
    </row>
    <row r="24760" spans="13:16">
      <c r="M24760" s="49">
        <f>IF($A$4+247&gt;$B$4,"",$A$4+247)</f>
        <v>46270</v>
      </c>
      <c r="N24760">
        <f>IF(M24760="","",'Master Barang'!A54)</f>
        <v>0</v>
      </c>
      <c r="O24760">
        <f>IF(N24760="","",'Master Barang'!B54)</f>
        <v>0</v>
      </c>
      <c r="P24760">
        <f>IF(OR(M24760="",N24760=""),"",SUMIFS('Barang Keluar'!$E:$E,'Barang Keluar'!$A:$A,M24760,'Barang Keluar'!$C:$C,N24760))</f>
        <v>0</v>
      </c>
    </row>
    <row r="24761" spans="13:16">
      <c r="M24761" s="49">
        <f>IF($A$4+247&gt;$B$4,"",$A$4+247)</f>
        <v>46270</v>
      </c>
      <c r="N24761">
        <f>IF(M24761="","",'Master Barang'!A55)</f>
        <v>0</v>
      </c>
      <c r="O24761">
        <f>IF(N24761="","",'Master Barang'!B55)</f>
        <v>0</v>
      </c>
      <c r="P24761">
        <f>IF(OR(M24761="",N24761=""),"",SUMIFS('Barang Keluar'!$E:$E,'Barang Keluar'!$A:$A,M24761,'Barang Keluar'!$C:$C,N24761))</f>
        <v>0</v>
      </c>
    </row>
    <row r="24762" spans="13:16">
      <c r="M24762" s="49">
        <f>IF($A$4+247&gt;$B$4,"",$A$4+247)</f>
        <v>46270</v>
      </c>
      <c r="N24762">
        <f>IF(M24762="","",'Master Barang'!A56)</f>
        <v>0</v>
      </c>
      <c r="O24762">
        <f>IF(N24762="","",'Master Barang'!B56)</f>
        <v>0</v>
      </c>
      <c r="P24762">
        <f>IF(OR(M24762="",N24762=""),"",SUMIFS('Barang Keluar'!$E:$E,'Barang Keluar'!$A:$A,M24762,'Barang Keluar'!$C:$C,N24762))</f>
        <v>0</v>
      </c>
    </row>
    <row r="24763" spans="13:16">
      <c r="M24763" s="49">
        <f>IF($A$4+247&gt;$B$4,"",$A$4+247)</f>
        <v>46270</v>
      </c>
      <c r="N24763">
        <f>IF(M24763="","",'Master Barang'!A57)</f>
        <v>0</v>
      </c>
      <c r="O24763">
        <f>IF(N24763="","",'Master Barang'!B57)</f>
        <v>0</v>
      </c>
      <c r="P24763">
        <f>IF(OR(M24763="",N24763=""),"",SUMIFS('Barang Keluar'!$E:$E,'Barang Keluar'!$A:$A,M24763,'Barang Keluar'!$C:$C,N24763))</f>
        <v>0</v>
      </c>
    </row>
    <row r="24764" spans="13:16">
      <c r="M24764" s="49">
        <f>IF($A$4+247&gt;$B$4,"",$A$4+247)</f>
        <v>46270</v>
      </c>
      <c r="N24764">
        <f>IF(M24764="","",'Master Barang'!A58)</f>
        <v>0</v>
      </c>
      <c r="O24764">
        <f>IF(N24764="","",'Master Barang'!B58)</f>
        <v>0</v>
      </c>
      <c r="P24764">
        <f>IF(OR(M24764="",N24764=""),"",SUMIFS('Barang Keluar'!$E:$E,'Barang Keluar'!$A:$A,M24764,'Barang Keluar'!$C:$C,N24764))</f>
        <v>0</v>
      </c>
    </row>
    <row r="24765" spans="13:16">
      <c r="M24765" s="49">
        <f>IF($A$4+247&gt;$B$4,"",$A$4+247)</f>
        <v>46270</v>
      </c>
      <c r="N24765">
        <f>IF(M24765="","",'Master Barang'!A59)</f>
        <v>0</v>
      </c>
      <c r="O24765">
        <f>IF(N24765="","",'Master Barang'!B59)</f>
        <v>0</v>
      </c>
      <c r="P24765">
        <f>IF(OR(M24765="",N24765=""),"",SUMIFS('Barang Keluar'!$E:$E,'Barang Keluar'!$A:$A,M24765,'Barang Keluar'!$C:$C,N24765))</f>
        <v>0</v>
      </c>
    </row>
    <row r="24766" spans="13:16">
      <c r="M24766" s="49">
        <f>IF($A$4+247&gt;$B$4,"",$A$4+247)</f>
        <v>46270</v>
      </c>
      <c r="N24766">
        <f>IF(M24766="","",'Master Barang'!A60)</f>
        <v>0</v>
      </c>
      <c r="O24766">
        <f>IF(N24766="","",'Master Barang'!B60)</f>
        <v>0</v>
      </c>
      <c r="P24766">
        <f>IF(OR(M24766="",N24766=""),"",SUMIFS('Barang Keluar'!$E:$E,'Barang Keluar'!$A:$A,M24766,'Barang Keluar'!$C:$C,N24766))</f>
        <v>0</v>
      </c>
    </row>
    <row r="24767" spans="13:16">
      <c r="M24767" s="49">
        <f>IF($A$4+247&gt;$B$4,"",$A$4+247)</f>
        <v>46270</v>
      </c>
      <c r="N24767">
        <f>IF(M24767="","",'Master Barang'!A61)</f>
        <v>0</v>
      </c>
      <c r="O24767">
        <f>IF(N24767="","",'Master Barang'!B61)</f>
        <v>0</v>
      </c>
      <c r="P24767">
        <f>IF(OR(M24767="",N24767=""),"",SUMIFS('Barang Keluar'!$E:$E,'Barang Keluar'!$A:$A,M24767,'Barang Keluar'!$C:$C,N24767))</f>
        <v>0</v>
      </c>
    </row>
    <row r="24768" spans="13:16">
      <c r="M24768" s="49">
        <f>IF($A$4+247&gt;$B$4,"",$A$4+247)</f>
        <v>46270</v>
      </c>
      <c r="N24768">
        <f>IF(M24768="","",'Master Barang'!A62)</f>
        <v>0</v>
      </c>
      <c r="O24768">
        <f>IF(N24768="","",'Master Barang'!B62)</f>
        <v>0</v>
      </c>
      <c r="P24768">
        <f>IF(OR(M24768="",N24768=""),"",SUMIFS('Barang Keluar'!$E:$E,'Barang Keluar'!$A:$A,M24768,'Barang Keluar'!$C:$C,N24768))</f>
        <v>0</v>
      </c>
    </row>
    <row r="24769" spans="13:16">
      <c r="M24769" s="49">
        <f>IF($A$4+247&gt;$B$4,"",$A$4+247)</f>
        <v>46270</v>
      </c>
      <c r="N24769">
        <f>IF(M24769="","",'Master Barang'!A63)</f>
        <v>0</v>
      </c>
      <c r="O24769">
        <f>IF(N24769="","",'Master Barang'!B63)</f>
        <v>0</v>
      </c>
      <c r="P24769">
        <f>IF(OR(M24769="",N24769=""),"",SUMIFS('Barang Keluar'!$E:$E,'Barang Keluar'!$A:$A,M24769,'Barang Keluar'!$C:$C,N24769))</f>
        <v>0</v>
      </c>
    </row>
    <row r="24770" spans="13:16">
      <c r="M24770" s="49">
        <f>IF($A$4+247&gt;$B$4,"",$A$4+247)</f>
        <v>46270</v>
      </c>
      <c r="N24770">
        <f>IF(M24770="","",'Master Barang'!A64)</f>
        <v>0</v>
      </c>
      <c r="O24770">
        <f>IF(N24770="","",'Master Barang'!B64)</f>
        <v>0</v>
      </c>
      <c r="P24770">
        <f>IF(OR(M24770="",N24770=""),"",SUMIFS('Barang Keluar'!$E:$E,'Barang Keluar'!$A:$A,M24770,'Barang Keluar'!$C:$C,N24770))</f>
        <v>0</v>
      </c>
    </row>
    <row r="24771" spans="13:16">
      <c r="M24771" s="49">
        <f>IF($A$4+247&gt;$B$4,"",$A$4+247)</f>
        <v>46270</v>
      </c>
      <c r="N24771">
        <f>IF(M24771="","",'Master Barang'!A65)</f>
        <v>0</v>
      </c>
      <c r="O24771">
        <f>IF(N24771="","",'Master Barang'!B65)</f>
        <v>0</v>
      </c>
      <c r="P24771">
        <f>IF(OR(M24771="",N24771=""),"",SUMIFS('Barang Keluar'!$E:$E,'Barang Keluar'!$A:$A,M24771,'Barang Keluar'!$C:$C,N24771))</f>
        <v>0</v>
      </c>
    </row>
    <row r="24772" spans="13:16">
      <c r="M24772" s="49">
        <f>IF($A$4+247&gt;$B$4,"",$A$4+247)</f>
        <v>46270</v>
      </c>
      <c r="N24772">
        <f>IF(M24772="","",'Master Barang'!A66)</f>
        <v>0</v>
      </c>
      <c r="O24772">
        <f>IF(N24772="","",'Master Barang'!B66)</f>
        <v>0</v>
      </c>
      <c r="P24772">
        <f>IF(OR(M24772="",N24772=""),"",SUMIFS('Barang Keluar'!$E:$E,'Barang Keluar'!$A:$A,M24772,'Barang Keluar'!$C:$C,N24772))</f>
        <v>0</v>
      </c>
    </row>
    <row r="24773" spans="13:16">
      <c r="M24773" s="49">
        <f>IF($A$4+247&gt;$B$4,"",$A$4+247)</f>
        <v>46270</v>
      </c>
      <c r="N24773">
        <f>IF(M24773="","",'Master Barang'!A67)</f>
        <v>0</v>
      </c>
      <c r="O24773">
        <f>IF(N24773="","",'Master Barang'!B67)</f>
        <v>0</v>
      </c>
      <c r="P24773">
        <f>IF(OR(M24773="",N24773=""),"",SUMIFS('Barang Keluar'!$E:$E,'Barang Keluar'!$A:$A,M24773,'Barang Keluar'!$C:$C,N24773))</f>
        <v>0</v>
      </c>
    </row>
    <row r="24774" spans="13:16">
      <c r="M24774" s="49">
        <f>IF($A$4+247&gt;$B$4,"",$A$4+247)</f>
        <v>46270</v>
      </c>
      <c r="N24774">
        <f>IF(M24774="","",'Master Barang'!A68)</f>
        <v>0</v>
      </c>
      <c r="O24774">
        <f>IF(N24774="","",'Master Barang'!B68)</f>
        <v>0</v>
      </c>
      <c r="P24774">
        <f>IF(OR(M24774="",N24774=""),"",SUMIFS('Barang Keluar'!$E:$E,'Barang Keluar'!$A:$A,M24774,'Barang Keluar'!$C:$C,N24774))</f>
        <v>0</v>
      </c>
    </row>
    <row r="24775" spans="13:16">
      <c r="M24775" s="49">
        <f>IF($A$4+247&gt;$B$4,"",$A$4+247)</f>
        <v>46270</v>
      </c>
      <c r="N24775">
        <f>IF(M24775="","",'Master Barang'!A69)</f>
        <v>0</v>
      </c>
      <c r="O24775">
        <f>IF(N24775="","",'Master Barang'!B69)</f>
        <v>0</v>
      </c>
      <c r="P24775">
        <f>IF(OR(M24775="",N24775=""),"",SUMIFS('Barang Keluar'!$E:$E,'Barang Keluar'!$A:$A,M24775,'Barang Keluar'!$C:$C,N24775))</f>
        <v>0</v>
      </c>
    </row>
    <row r="24776" spans="13:16">
      <c r="M24776" s="49">
        <f>IF($A$4+247&gt;$B$4,"",$A$4+247)</f>
        <v>46270</v>
      </c>
      <c r="N24776">
        <f>IF(M24776="","",'Master Barang'!A70)</f>
        <v>0</v>
      </c>
      <c r="O24776">
        <f>IF(N24776="","",'Master Barang'!B70)</f>
        <v>0</v>
      </c>
      <c r="P24776">
        <f>IF(OR(M24776="",N24776=""),"",SUMIFS('Barang Keluar'!$E:$E,'Barang Keluar'!$A:$A,M24776,'Barang Keluar'!$C:$C,N24776))</f>
        <v>0</v>
      </c>
    </row>
    <row r="24777" spans="13:16">
      <c r="M24777" s="49">
        <f>IF($A$4+247&gt;$B$4,"",$A$4+247)</f>
        <v>46270</v>
      </c>
      <c r="N24777">
        <f>IF(M24777="","",'Master Barang'!A71)</f>
        <v>0</v>
      </c>
      <c r="O24777">
        <f>IF(N24777="","",'Master Barang'!B71)</f>
        <v>0</v>
      </c>
      <c r="P24777">
        <f>IF(OR(M24777="",N24777=""),"",SUMIFS('Barang Keluar'!$E:$E,'Barang Keluar'!$A:$A,M24777,'Barang Keluar'!$C:$C,N24777))</f>
        <v>0</v>
      </c>
    </row>
    <row r="24778" spans="13:16">
      <c r="M24778" s="49">
        <f>IF($A$4+247&gt;$B$4,"",$A$4+247)</f>
        <v>46270</v>
      </c>
      <c r="N24778">
        <f>IF(M24778="","",'Master Barang'!A72)</f>
        <v>0</v>
      </c>
      <c r="O24778">
        <f>IF(N24778="","",'Master Barang'!B72)</f>
        <v>0</v>
      </c>
      <c r="P24778">
        <f>IF(OR(M24778="",N24778=""),"",SUMIFS('Barang Keluar'!$E:$E,'Barang Keluar'!$A:$A,M24778,'Barang Keluar'!$C:$C,N24778))</f>
        <v>0</v>
      </c>
    </row>
    <row r="24779" spans="13:16">
      <c r="M24779" s="49">
        <f>IF($A$4+247&gt;$B$4,"",$A$4+247)</f>
        <v>46270</v>
      </c>
      <c r="N24779">
        <f>IF(M24779="","",'Master Barang'!A73)</f>
        <v>0</v>
      </c>
      <c r="O24779">
        <f>IF(N24779="","",'Master Barang'!B73)</f>
        <v>0</v>
      </c>
      <c r="P24779">
        <f>IF(OR(M24779="",N24779=""),"",SUMIFS('Barang Keluar'!$E:$E,'Barang Keluar'!$A:$A,M24779,'Barang Keluar'!$C:$C,N24779))</f>
        <v>0</v>
      </c>
    </row>
    <row r="24780" spans="13:16">
      <c r="M24780" s="49">
        <f>IF($A$4+247&gt;$B$4,"",$A$4+247)</f>
        <v>46270</v>
      </c>
      <c r="N24780">
        <f>IF(M24780="","",'Master Barang'!A74)</f>
        <v>0</v>
      </c>
      <c r="O24780">
        <f>IF(N24780="","",'Master Barang'!B74)</f>
        <v>0</v>
      </c>
      <c r="P24780">
        <f>IF(OR(M24780="",N24780=""),"",SUMIFS('Barang Keluar'!$E:$E,'Barang Keluar'!$A:$A,M24780,'Barang Keluar'!$C:$C,N24780))</f>
        <v>0</v>
      </c>
    </row>
    <row r="24781" spans="13:16">
      <c r="M24781" s="49">
        <f>IF($A$4+247&gt;$B$4,"",$A$4+247)</f>
        <v>46270</v>
      </c>
      <c r="N24781">
        <f>IF(M24781="","",'Master Barang'!A75)</f>
        <v>0</v>
      </c>
      <c r="O24781">
        <f>IF(N24781="","",'Master Barang'!B75)</f>
        <v>0</v>
      </c>
      <c r="P24781">
        <f>IF(OR(M24781="",N24781=""),"",SUMIFS('Barang Keluar'!$E:$E,'Barang Keluar'!$A:$A,M24781,'Barang Keluar'!$C:$C,N24781))</f>
        <v>0</v>
      </c>
    </row>
    <row r="24782" spans="13:16">
      <c r="M24782" s="49">
        <f>IF($A$4+247&gt;$B$4,"",$A$4+247)</f>
        <v>46270</v>
      </c>
      <c r="N24782">
        <f>IF(M24782="","",'Master Barang'!A76)</f>
        <v>0</v>
      </c>
      <c r="O24782">
        <f>IF(N24782="","",'Master Barang'!B76)</f>
        <v>0</v>
      </c>
      <c r="P24782">
        <f>IF(OR(M24782="",N24782=""),"",SUMIFS('Barang Keluar'!$E:$E,'Barang Keluar'!$A:$A,M24782,'Barang Keluar'!$C:$C,N24782))</f>
        <v>0</v>
      </c>
    </row>
    <row r="24783" spans="13:16">
      <c r="M24783" s="49">
        <f>IF($A$4+247&gt;$B$4,"",$A$4+247)</f>
        <v>46270</v>
      </c>
      <c r="N24783">
        <f>IF(M24783="","",'Master Barang'!A77)</f>
        <v>0</v>
      </c>
      <c r="O24783">
        <f>IF(N24783="","",'Master Barang'!B77)</f>
        <v>0</v>
      </c>
      <c r="P24783">
        <f>IF(OR(M24783="",N24783=""),"",SUMIFS('Barang Keluar'!$E:$E,'Barang Keluar'!$A:$A,M24783,'Barang Keluar'!$C:$C,N24783))</f>
        <v>0</v>
      </c>
    </row>
    <row r="24784" spans="13:16">
      <c r="M24784" s="49">
        <f>IF($A$4+247&gt;$B$4,"",$A$4+247)</f>
        <v>46270</v>
      </c>
      <c r="N24784">
        <f>IF(M24784="","",'Master Barang'!A78)</f>
        <v>0</v>
      </c>
      <c r="O24784">
        <f>IF(N24784="","",'Master Barang'!B78)</f>
        <v>0</v>
      </c>
      <c r="P24784">
        <f>IF(OR(M24784="",N24784=""),"",SUMIFS('Barang Keluar'!$E:$E,'Barang Keluar'!$A:$A,M24784,'Barang Keluar'!$C:$C,N24784))</f>
        <v>0</v>
      </c>
    </row>
    <row r="24785" spans="13:16">
      <c r="M24785" s="49">
        <f>IF($A$4+247&gt;$B$4,"",$A$4+247)</f>
        <v>46270</v>
      </c>
      <c r="N24785">
        <f>IF(M24785="","",'Master Barang'!A79)</f>
        <v>0</v>
      </c>
      <c r="O24785">
        <f>IF(N24785="","",'Master Barang'!B79)</f>
        <v>0</v>
      </c>
      <c r="P24785">
        <f>IF(OR(M24785="",N24785=""),"",SUMIFS('Barang Keluar'!$E:$E,'Barang Keluar'!$A:$A,M24785,'Barang Keluar'!$C:$C,N24785))</f>
        <v>0</v>
      </c>
    </row>
    <row r="24786" spans="13:16">
      <c r="M24786" s="49">
        <f>IF($A$4+247&gt;$B$4,"",$A$4+247)</f>
        <v>46270</v>
      </c>
      <c r="N24786">
        <f>IF(M24786="","",'Master Barang'!A80)</f>
        <v>0</v>
      </c>
      <c r="O24786">
        <f>IF(N24786="","",'Master Barang'!B80)</f>
        <v>0</v>
      </c>
      <c r="P24786">
        <f>IF(OR(M24786="",N24786=""),"",SUMIFS('Barang Keluar'!$E:$E,'Barang Keluar'!$A:$A,M24786,'Barang Keluar'!$C:$C,N24786))</f>
        <v>0</v>
      </c>
    </row>
    <row r="24787" spans="13:16">
      <c r="M24787" s="49">
        <f>IF($A$4+247&gt;$B$4,"",$A$4+247)</f>
        <v>46270</v>
      </c>
      <c r="N24787">
        <f>IF(M24787="","",'Master Barang'!A81)</f>
        <v>0</v>
      </c>
      <c r="O24787">
        <f>IF(N24787="","",'Master Barang'!B81)</f>
        <v>0</v>
      </c>
      <c r="P24787">
        <f>IF(OR(M24787="",N24787=""),"",SUMIFS('Barang Keluar'!$E:$E,'Barang Keluar'!$A:$A,M24787,'Barang Keluar'!$C:$C,N24787))</f>
        <v>0</v>
      </c>
    </row>
    <row r="24788" spans="13:16">
      <c r="M24788" s="49">
        <f>IF($A$4+247&gt;$B$4,"",$A$4+247)</f>
        <v>46270</v>
      </c>
      <c r="N24788">
        <f>IF(M24788="","",'Master Barang'!A82)</f>
        <v>0</v>
      </c>
      <c r="O24788">
        <f>IF(N24788="","",'Master Barang'!B82)</f>
        <v>0</v>
      </c>
      <c r="P24788">
        <f>IF(OR(M24788="",N24788=""),"",SUMIFS('Barang Keluar'!$E:$E,'Barang Keluar'!$A:$A,M24788,'Barang Keluar'!$C:$C,N24788))</f>
        <v>0</v>
      </c>
    </row>
    <row r="24789" spans="13:16">
      <c r="M24789" s="49">
        <f>IF($A$4+247&gt;$B$4,"",$A$4+247)</f>
        <v>46270</v>
      </c>
      <c r="N24789">
        <f>IF(M24789="","",'Master Barang'!A83)</f>
        <v>0</v>
      </c>
      <c r="O24789">
        <f>IF(N24789="","",'Master Barang'!B83)</f>
        <v>0</v>
      </c>
      <c r="P24789">
        <f>IF(OR(M24789="",N24789=""),"",SUMIFS('Barang Keluar'!$E:$E,'Barang Keluar'!$A:$A,M24789,'Barang Keluar'!$C:$C,N24789))</f>
        <v>0</v>
      </c>
    </row>
    <row r="24790" spans="13:16">
      <c r="M24790" s="49">
        <f>IF($A$4+247&gt;$B$4,"",$A$4+247)</f>
        <v>46270</v>
      </c>
      <c r="N24790">
        <f>IF(M24790="","",'Master Barang'!A84)</f>
        <v>0</v>
      </c>
      <c r="O24790">
        <f>IF(N24790="","",'Master Barang'!B84)</f>
        <v>0</v>
      </c>
      <c r="P24790">
        <f>IF(OR(M24790="",N24790=""),"",SUMIFS('Barang Keluar'!$E:$E,'Barang Keluar'!$A:$A,M24790,'Barang Keluar'!$C:$C,N24790))</f>
        <v>0</v>
      </c>
    </row>
    <row r="24791" spans="13:16">
      <c r="M24791" s="49">
        <f>IF($A$4+247&gt;$B$4,"",$A$4+247)</f>
        <v>46270</v>
      </c>
      <c r="N24791">
        <f>IF(M24791="","",'Master Barang'!A85)</f>
        <v>0</v>
      </c>
      <c r="O24791">
        <f>IF(N24791="","",'Master Barang'!B85)</f>
        <v>0</v>
      </c>
      <c r="P24791">
        <f>IF(OR(M24791="",N24791=""),"",SUMIFS('Barang Keluar'!$E:$E,'Barang Keluar'!$A:$A,M24791,'Barang Keluar'!$C:$C,N24791))</f>
        <v>0</v>
      </c>
    </row>
    <row r="24792" spans="13:16">
      <c r="M24792" s="49">
        <f>IF($A$4+247&gt;$B$4,"",$A$4+247)</f>
        <v>46270</v>
      </c>
      <c r="N24792">
        <f>IF(M24792="","",'Master Barang'!A86)</f>
        <v>0</v>
      </c>
      <c r="O24792">
        <f>IF(N24792="","",'Master Barang'!B86)</f>
        <v>0</v>
      </c>
      <c r="P24792">
        <f>IF(OR(M24792="",N24792=""),"",SUMIFS('Barang Keluar'!$E:$E,'Barang Keluar'!$A:$A,M24792,'Barang Keluar'!$C:$C,N24792))</f>
        <v>0</v>
      </c>
    </row>
    <row r="24793" spans="13:16">
      <c r="M24793" s="49">
        <f>IF($A$4+247&gt;$B$4,"",$A$4+247)</f>
        <v>46270</v>
      </c>
      <c r="N24793">
        <f>IF(M24793="","",'Master Barang'!A87)</f>
        <v>0</v>
      </c>
      <c r="O24793">
        <f>IF(N24793="","",'Master Barang'!B87)</f>
        <v>0</v>
      </c>
      <c r="P24793">
        <f>IF(OR(M24793="",N24793=""),"",SUMIFS('Barang Keluar'!$E:$E,'Barang Keluar'!$A:$A,M24793,'Barang Keluar'!$C:$C,N24793))</f>
        <v>0</v>
      </c>
    </row>
    <row r="24794" spans="13:16">
      <c r="M24794" s="49">
        <f>IF($A$4+247&gt;$B$4,"",$A$4+247)</f>
        <v>46270</v>
      </c>
      <c r="N24794">
        <f>IF(M24794="","",'Master Barang'!A88)</f>
        <v>0</v>
      </c>
      <c r="O24794">
        <f>IF(N24794="","",'Master Barang'!B88)</f>
        <v>0</v>
      </c>
      <c r="P24794">
        <f>IF(OR(M24794="",N24794=""),"",SUMIFS('Barang Keluar'!$E:$E,'Barang Keluar'!$A:$A,M24794,'Barang Keluar'!$C:$C,N24794))</f>
        <v>0</v>
      </c>
    </row>
    <row r="24795" spans="13:16">
      <c r="M24795" s="49">
        <f>IF($A$4+247&gt;$B$4,"",$A$4+247)</f>
        <v>46270</v>
      </c>
      <c r="N24795">
        <f>IF(M24795="","",'Master Barang'!A89)</f>
        <v>0</v>
      </c>
      <c r="O24795">
        <f>IF(N24795="","",'Master Barang'!B89)</f>
        <v>0</v>
      </c>
      <c r="P24795">
        <f>IF(OR(M24795="",N24795=""),"",SUMIFS('Barang Keluar'!$E:$E,'Barang Keluar'!$A:$A,M24795,'Barang Keluar'!$C:$C,N24795))</f>
        <v>0</v>
      </c>
    </row>
    <row r="24796" spans="13:16">
      <c r="M24796" s="49">
        <f>IF($A$4+247&gt;$B$4,"",$A$4+247)</f>
        <v>46270</v>
      </c>
      <c r="N24796">
        <f>IF(M24796="","",'Master Barang'!A90)</f>
        <v>0</v>
      </c>
      <c r="O24796">
        <f>IF(N24796="","",'Master Barang'!B90)</f>
        <v>0</v>
      </c>
      <c r="P24796">
        <f>IF(OR(M24796="",N24796=""),"",SUMIFS('Barang Keluar'!$E:$E,'Barang Keluar'!$A:$A,M24796,'Barang Keluar'!$C:$C,N24796))</f>
        <v>0</v>
      </c>
    </row>
    <row r="24797" spans="13:16">
      <c r="M24797" s="49">
        <f>IF($A$4+247&gt;$B$4,"",$A$4+247)</f>
        <v>46270</v>
      </c>
      <c r="N24797">
        <f>IF(M24797="","",'Master Barang'!A91)</f>
        <v>0</v>
      </c>
      <c r="O24797">
        <f>IF(N24797="","",'Master Barang'!B91)</f>
        <v>0</v>
      </c>
      <c r="P24797">
        <f>IF(OR(M24797="",N24797=""),"",SUMIFS('Barang Keluar'!$E:$E,'Barang Keluar'!$A:$A,M24797,'Barang Keluar'!$C:$C,N24797))</f>
        <v>0</v>
      </c>
    </row>
    <row r="24798" spans="13:16">
      <c r="M24798" s="49">
        <f>IF($A$4+247&gt;$B$4,"",$A$4+247)</f>
        <v>46270</v>
      </c>
      <c r="N24798">
        <f>IF(M24798="","",'Master Barang'!A92)</f>
        <v>0</v>
      </c>
      <c r="O24798">
        <f>IF(N24798="","",'Master Barang'!B92)</f>
        <v>0</v>
      </c>
      <c r="P24798">
        <f>IF(OR(M24798="",N24798=""),"",SUMIFS('Barang Keluar'!$E:$E,'Barang Keluar'!$A:$A,M24798,'Barang Keluar'!$C:$C,N24798))</f>
        <v>0</v>
      </c>
    </row>
    <row r="24799" spans="13:16">
      <c r="M24799" s="49">
        <f>IF($A$4+247&gt;$B$4,"",$A$4+247)</f>
        <v>46270</v>
      </c>
      <c r="N24799">
        <f>IF(M24799="","",'Master Barang'!A93)</f>
        <v>0</v>
      </c>
      <c r="O24799">
        <f>IF(N24799="","",'Master Barang'!B93)</f>
        <v>0</v>
      </c>
      <c r="P24799">
        <f>IF(OR(M24799="",N24799=""),"",SUMIFS('Barang Keluar'!$E:$E,'Barang Keluar'!$A:$A,M24799,'Barang Keluar'!$C:$C,N24799))</f>
        <v>0</v>
      </c>
    </row>
    <row r="24800" spans="13:16">
      <c r="M24800" s="49">
        <f>IF($A$4+247&gt;$B$4,"",$A$4+247)</f>
        <v>46270</v>
      </c>
      <c r="N24800">
        <f>IF(M24800="","",'Master Barang'!A94)</f>
        <v>0</v>
      </c>
      <c r="O24800">
        <f>IF(N24800="","",'Master Barang'!B94)</f>
        <v>0</v>
      </c>
      <c r="P24800">
        <f>IF(OR(M24800="",N24800=""),"",SUMIFS('Barang Keluar'!$E:$E,'Barang Keluar'!$A:$A,M24800,'Barang Keluar'!$C:$C,N24800))</f>
        <v>0</v>
      </c>
    </row>
    <row r="24801" spans="13:16">
      <c r="M24801" s="49">
        <f>IF($A$4+247&gt;$B$4,"",$A$4+247)</f>
        <v>46270</v>
      </c>
      <c r="N24801">
        <f>IF(M24801="","",'Master Barang'!A95)</f>
        <v>0</v>
      </c>
      <c r="O24801">
        <f>IF(N24801="","",'Master Barang'!B95)</f>
        <v>0</v>
      </c>
      <c r="P24801">
        <f>IF(OR(M24801="",N24801=""),"",SUMIFS('Barang Keluar'!$E:$E,'Barang Keluar'!$A:$A,M24801,'Barang Keluar'!$C:$C,N24801))</f>
        <v>0</v>
      </c>
    </row>
    <row r="24802" spans="13:16">
      <c r="M24802" s="49">
        <f>IF($A$4+247&gt;$B$4,"",$A$4+247)</f>
        <v>46270</v>
      </c>
      <c r="N24802">
        <f>IF(M24802="","",'Master Barang'!A96)</f>
        <v>0</v>
      </c>
      <c r="O24802">
        <f>IF(N24802="","",'Master Barang'!B96)</f>
        <v>0</v>
      </c>
      <c r="P24802">
        <f>IF(OR(M24802="",N24802=""),"",SUMIFS('Barang Keluar'!$E:$E,'Barang Keluar'!$A:$A,M24802,'Barang Keluar'!$C:$C,N24802))</f>
        <v>0</v>
      </c>
    </row>
    <row r="24803" spans="13:16">
      <c r="M24803" s="49">
        <f>IF($A$4+247&gt;$B$4,"",$A$4+247)</f>
        <v>46270</v>
      </c>
      <c r="N24803">
        <f>IF(M24803="","",'Master Barang'!A97)</f>
        <v>0</v>
      </c>
      <c r="O24803">
        <f>IF(N24803="","",'Master Barang'!B97)</f>
        <v>0</v>
      </c>
      <c r="P24803">
        <f>IF(OR(M24803="",N24803=""),"",SUMIFS('Barang Keluar'!$E:$E,'Barang Keluar'!$A:$A,M24803,'Barang Keluar'!$C:$C,N24803))</f>
        <v>0</v>
      </c>
    </row>
    <row r="24804" spans="13:16">
      <c r="M24804" s="49">
        <f>IF($A$4+247&gt;$B$4,"",$A$4+247)</f>
        <v>46270</v>
      </c>
      <c r="N24804">
        <f>IF(M24804="","",'Master Barang'!A98)</f>
        <v>0</v>
      </c>
      <c r="O24804">
        <f>IF(N24804="","",'Master Barang'!B98)</f>
        <v>0</v>
      </c>
      <c r="P24804">
        <f>IF(OR(M24804="",N24804=""),"",SUMIFS('Barang Keluar'!$E:$E,'Barang Keluar'!$A:$A,M24804,'Barang Keluar'!$C:$C,N24804))</f>
        <v>0</v>
      </c>
    </row>
    <row r="24805" spans="13:16">
      <c r="M24805" s="49">
        <f>IF($A$4+247&gt;$B$4,"",$A$4+247)</f>
        <v>46270</v>
      </c>
      <c r="N24805">
        <f>IF(M24805="","",'Master Barang'!A99)</f>
        <v>0</v>
      </c>
      <c r="O24805">
        <f>IF(N24805="","",'Master Barang'!B99)</f>
        <v>0</v>
      </c>
      <c r="P24805">
        <f>IF(OR(M24805="",N24805=""),"",SUMIFS('Barang Keluar'!$E:$E,'Barang Keluar'!$A:$A,M24805,'Barang Keluar'!$C:$C,N24805))</f>
        <v>0</v>
      </c>
    </row>
    <row r="24806" spans="13:16">
      <c r="M24806" s="49">
        <f>IF($A$4+247&gt;$B$4,"",$A$4+247)</f>
        <v>46270</v>
      </c>
      <c r="N24806">
        <f>IF(M24806="","",'Master Barang'!A100)</f>
        <v>0</v>
      </c>
      <c r="O24806">
        <f>IF(N24806="","",'Master Barang'!B100)</f>
        <v>0</v>
      </c>
      <c r="P24806">
        <f>IF(OR(M24806="",N24806=""),"",SUMIFS('Barang Keluar'!$E:$E,'Barang Keluar'!$A:$A,M24806,'Barang Keluar'!$C:$C,N24806))</f>
        <v>0</v>
      </c>
    </row>
    <row r="24807" spans="13:16">
      <c r="M24807" s="49">
        <f>IF($A$4+247&gt;$B$4,"",$A$4+247)</f>
        <v>46270</v>
      </c>
      <c r="N24807">
        <f>IF(M24807="","",'Master Barang'!A101)</f>
        <v>0</v>
      </c>
      <c r="O24807">
        <f>IF(N24807="","",'Master Barang'!B101)</f>
        <v>0</v>
      </c>
      <c r="P24807">
        <f>IF(OR(M24807="",N24807=""),"",SUMIFS('Barang Keluar'!$E:$E,'Barang Keluar'!$A:$A,M24807,'Barang Keluar'!$C:$C,N24807))</f>
        <v>0</v>
      </c>
    </row>
    <row r="24808" spans="13:16">
      <c r="M24808" s="49">
        <f>IF($A$4+248&gt;$B$4,"",$A$4+248)</f>
        <v>46271</v>
      </c>
      <c r="N24808" t="str">
        <f>IF(M24808="","",'Master Barang'!A2)</f>
        <v>PRL-001</v>
      </c>
      <c r="O24808" t="str">
        <f>IF(N24808="","",'Master Barang'!B2)</f>
        <v>natura desinfectant food grade 5l</v>
      </c>
      <c r="P24808">
        <f>IF(OR(M24808="",N24808=""),"",SUMIFS('Barang Keluar'!$E:$E,'Barang Keluar'!$A:$A,M24808,'Barang Keluar'!$C:$C,N24808))</f>
        <v>0</v>
      </c>
    </row>
    <row r="24809" spans="13:16">
      <c r="M24809" s="49">
        <f>IF($A$4+248&gt;$B$4,"",$A$4+248)</f>
        <v>46271</v>
      </c>
      <c r="N24809" t="str">
        <f>IF(M24809="","",'Master Barang'!A3)</f>
        <v>PRL-002</v>
      </c>
      <c r="O24809" t="str">
        <f>IF(N24809="","",'Master Barang'!B3)</f>
        <v>sunlight cairan pencuci piring 5l</v>
      </c>
      <c r="P24809">
        <f>IF(OR(M24809="",N24809=""),"",SUMIFS('Barang Keluar'!$E:$E,'Barang Keluar'!$A:$A,M24809,'Barang Keluar'!$C:$C,N24809))</f>
        <v>0</v>
      </c>
    </row>
    <row r="24810" spans="13:16">
      <c r="M24810" s="49">
        <f>IF($A$4+248&gt;$B$4,"",$A$4+248)</f>
        <v>46271</v>
      </c>
      <c r="N24810" t="str">
        <f>IF(M24810="","",'Master Barang'!A4)</f>
        <v>PRL-003</v>
      </c>
      <c r="O24810" t="str">
        <f>IF(N24810="","",'Master Barang'!B4)</f>
        <v>oixs cleaner 1l</v>
      </c>
      <c r="P24810">
        <f>IF(OR(M24810="",N24810=""),"",SUMIFS('Barang Keluar'!$E:$E,'Barang Keluar'!$A:$A,M24810,'Barang Keluar'!$C:$C,N24810))</f>
        <v>0</v>
      </c>
    </row>
    <row r="24811" spans="13:16">
      <c r="M24811" s="49">
        <f>IF($A$4+248&gt;$B$4,"",$A$4+248)</f>
        <v>46271</v>
      </c>
      <c r="N24811" t="str">
        <f>IF(M24811="","",'Master Barang'!A5)</f>
        <v>PRL-004</v>
      </c>
      <c r="O24811" t="str">
        <f>IF(N24811="","",'Master Barang'!B5)</f>
        <v>be clean tissue serbaguna</v>
      </c>
      <c r="P24811">
        <f>IF(OR(M24811="",N24811=""),"",SUMIFS('Barang Keluar'!$E:$E,'Barang Keluar'!$A:$A,M24811,'Barang Keluar'!$C:$C,N24811))</f>
        <v>0</v>
      </c>
    </row>
    <row r="24812" spans="13:16">
      <c r="M24812" s="49">
        <f>IF($A$4+248&gt;$B$4,"",$A$4+248)</f>
        <v>46271</v>
      </c>
      <c r="N24812" t="str">
        <f>IF(M24812="","",'Master Barang'!A6)</f>
        <v>PRL-005</v>
      </c>
      <c r="O24812" t="str">
        <f>IF(N24812="","",'Master Barang'!B6)</f>
        <v>spons cuci hijau</v>
      </c>
      <c r="P24812">
        <f>IF(OR(M24812="",N24812=""),"",SUMIFS('Barang Keluar'!$E:$E,'Barang Keluar'!$A:$A,M24812,'Barang Keluar'!$C:$C,N24812))</f>
        <v>0</v>
      </c>
    </row>
    <row r="24813" spans="13:16">
      <c r="M24813" s="49">
        <f>IF($A$4+248&gt;$B$4,"",$A$4+248)</f>
        <v>46271</v>
      </c>
      <c r="N24813" t="str">
        <f>IF(M24813="","",'Master Barang'!A7)</f>
        <v>PRL-006</v>
      </c>
      <c r="O24813" t="str">
        <f>IF(N24813="","",'Master Barang'!B7)</f>
        <v>sabut cuci stainless</v>
      </c>
      <c r="P24813">
        <f>IF(OR(M24813="",N24813=""),"",SUMIFS('Barang Keluar'!$E:$E,'Barang Keluar'!$A:$A,M24813,'Barang Keluar'!$C:$C,N24813))</f>
        <v>0</v>
      </c>
    </row>
    <row r="24814" spans="13:16">
      <c r="M24814" s="49">
        <f>IF($A$4+248&gt;$B$4,"",$A$4+248)</f>
        <v>46271</v>
      </c>
      <c r="N24814" t="str">
        <f>IF(M24814="","",'Master Barang'!A8)</f>
        <v>PRL-007</v>
      </c>
      <c r="O24814" t="str">
        <f>IF(N24814="","",'Master Barang'!B8)</f>
        <v>plastik kresek besar merah 50pc</v>
      </c>
      <c r="P24814">
        <f>IF(OR(M24814="",N24814=""),"",SUMIFS('Barang Keluar'!$E:$E,'Barang Keluar'!$A:$A,M24814,'Barang Keluar'!$C:$C,N24814))</f>
        <v>0</v>
      </c>
    </row>
    <row r="24815" spans="13:16">
      <c r="M24815" s="49">
        <f>IF($A$4+248&gt;$B$4,"",$A$4+248)</f>
        <v>46271</v>
      </c>
      <c r="N24815" t="str">
        <f>IF(M24815="","",'Master Barang'!A9)</f>
        <v>PRL-008</v>
      </c>
      <c r="O24815" t="str">
        <f>IF(N24815="","",'Master Barang'!B9)</f>
        <v>lap besar</v>
      </c>
      <c r="P24815">
        <f>IF(OR(M24815="",N24815=""),"",SUMIFS('Barang Keluar'!$E:$E,'Barang Keluar'!$A:$A,M24815,'Barang Keluar'!$C:$C,N24815))</f>
        <v>0</v>
      </c>
    </row>
    <row r="24816" spans="13:16">
      <c r="M24816" s="49">
        <f>IF($A$4+248&gt;$B$4,"",$A$4+248)</f>
        <v>46271</v>
      </c>
      <c r="N24816" t="str">
        <f>IF(M24816="","",'Master Barang'!A10)</f>
        <v>PRL-009</v>
      </c>
      <c r="O24816" t="str">
        <f>IF(N24816="","",'Master Barang'!B10)</f>
        <v>lap microfiber</v>
      </c>
      <c r="P24816">
        <f>IF(OR(M24816="",N24816=""),"",SUMIFS('Barang Keluar'!$E:$E,'Barang Keluar'!$A:$A,M24816,'Barang Keluar'!$C:$C,N24816))</f>
        <v>0</v>
      </c>
    </row>
    <row r="24817" spans="13:16">
      <c r="M24817" s="49">
        <f>IF($A$4+248&gt;$B$4,"",$A$4+248)</f>
        <v>46271</v>
      </c>
      <c r="N24817" t="str">
        <f>IF(M24817="","",'Master Barang'!A11)</f>
        <v>PRL-010</v>
      </c>
      <c r="O24817" t="str">
        <f>IF(N24817="","",'Master Barang'!B11)</f>
        <v>lap kecil</v>
      </c>
      <c r="P24817">
        <f>IF(OR(M24817="",N24817=""),"",SUMIFS('Barang Keluar'!$E:$E,'Barang Keluar'!$A:$A,M24817,'Barang Keluar'!$C:$C,N24817))</f>
        <v>0</v>
      </c>
    </row>
    <row r="24818" spans="13:16">
      <c r="M24818" s="49">
        <f>IF($A$4+248&gt;$B$4,"",$A$4+248)</f>
        <v>46271</v>
      </c>
      <c r="N24818" t="str">
        <f>IF(M24818="","",'Master Barang'!A12)</f>
        <v>PRL-011</v>
      </c>
      <c r="O24818" t="str">
        <f>IF(N24818="","",'Master Barang'!B12)</f>
        <v>kanebo kecil</v>
      </c>
      <c r="P24818">
        <f>IF(OR(M24818="",N24818=""),"",SUMIFS('Barang Keluar'!$E:$E,'Barang Keluar'!$A:$A,M24818,'Barang Keluar'!$C:$C,N24818))</f>
        <v>0</v>
      </c>
    </row>
    <row r="24819" spans="13:16">
      <c r="M24819" s="49">
        <f>IF($A$4+248&gt;$B$4,"",$A$4+248)</f>
        <v>46271</v>
      </c>
      <c r="N24819" t="str">
        <f>IF(M24819="","",'Master Barang'!A13)</f>
        <v>PRL-012</v>
      </c>
      <c r="O24819" t="str">
        <f>IF(N24819="","",'Master Barang'!B13)</f>
        <v>plastik 1/4kg joyoboyo 100 lembar</v>
      </c>
      <c r="P24819">
        <f>IF(OR(M24819="",N24819=""),"",SUMIFS('Barang Keluar'!$E:$E,'Barang Keluar'!$A:$A,M24819,'Barang Keluar'!$C:$C,N24819))</f>
        <v>0</v>
      </c>
    </row>
    <row r="24820" spans="13:16">
      <c r="M24820" s="49">
        <f>IF($A$4+248&gt;$B$4,"",$A$4+248)</f>
        <v>46271</v>
      </c>
      <c r="N24820" t="str">
        <f>IF(M24820="","",'Master Barang'!A14)</f>
        <v>PRL-013</v>
      </c>
      <c r="O24820" t="str">
        <f>IF(N24820="","",'Master Barang'!B14)</f>
        <v>sarung tangan plastik kaka 100 pcs</v>
      </c>
      <c r="P24820">
        <f>IF(OR(M24820="",N24820=""),"",SUMIFS('Barang Keluar'!$E:$E,'Barang Keluar'!$A:$A,M24820,'Barang Keluar'!$C:$C,N24820))</f>
        <v>0</v>
      </c>
    </row>
    <row r="24821" spans="13:16">
      <c r="M24821" s="49">
        <f>IF($A$4+248&gt;$B$4,"",$A$4+248)</f>
        <v>46271</v>
      </c>
      <c r="N24821" t="str">
        <f>IF(M24821="","",'Master Barang'!A15)</f>
        <v>PRL-014</v>
      </c>
      <c r="O24821" t="str">
        <f>IF(N24821="","",'Master Barang'!B15)</f>
        <v>optima trashbag 80x100</v>
      </c>
      <c r="P24821">
        <f>IF(OR(M24821="",N24821=""),"",SUMIFS('Barang Keluar'!$E:$E,'Barang Keluar'!$A:$A,M24821,'Barang Keluar'!$C:$C,N24821))</f>
        <v>0</v>
      </c>
    </row>
    <row r="24822" spans="13:16">
      <c r="M24822" s="49">
        <f>IF($A$4+248&gt;$B$4,"",$A$4+248)</f>
        <v>46271</v>
      </c>
      <c r="N24822" t="str">
        <f>IF(M24822="","",'Master Barang'!A16)</f>
        <v>PRL-015</v>
      </c>
      <c r="O24822" t="str">
        <f>IF(N24822="","",'Master Barang'!B16)</f>
        <v>optima trashbag 60x100</v>
      </c>
      <c r="P24822">
        <f>IF(OR(M24822="",N24822=""),"",SUMIFS('Barang Keluar'!$E:$E,'Barang Keluar'!$A:$A,M24822,'Barang Keluar'!$C:$C,N24822))</f>
        <v>0</v>
      </c>
    </row>
    <row r="24823" spans="13:16">
      <c r="M24823" s="49">
        <f>IF($A$4+248&gt;$B$4,"",$A$4+248)</f>
        <v>46271</v>
      </c>
      <c r="N24823" t="str">
        <f>IF(M24823="","",'Master Barang'!A17)</f>
        <v>PRL-016</v>
      </c>
      <c r="O24823" t="str">
        <f>IF(N24823="","",'Master Barang'!B17)</f>
        <v>rajawali trashbag 30x40</v>
      </c>
      <c r="P24823">
        <f>IF(OR(M24823="",N24823=""),"",SUMIFS('Barang Keluar'!$E:$E,'Barang Keluar'!$A:$A,M24823,'Barang Keluar'!$C:$C,N24823))</f>
        <v>0</v>
      </c>
    </row>
    <row r="24824" spans="13:16">
      <c r="M24824" s="49">
        <f>IF($A$4+248&gt;$B$4,"",$A$4+248)</f>
        <v>46271</v>
      </c>
      <c r="N24824" t="str">
        <f>IF(M24824="","",'Master Barang'!A18)</f>
        <v>PRL-017</v>
      </c>
      <c r="O24824" t="str">
        <f>IF(N24824="","",'Master Barang'!B18)</f>
        <v>onemed masker biru 3 play 50 pcs</v>
      </c>
      <c r="P24824">
        <f>IF(OR(M24824="",N24824=""),"",SUMIFS('Barang Keluar'!$E:$E,'Barang Keluar'!$A:$A,M24824,'Barang Keluar'!$C:$C,N24824))</f>
        <v>0</v>
      </c>
    </row>
    <row r="24825" spans="13:16">
      <c r="M24825" s="49">
        <f>IF($A$4+248&gt;$B$4,"",$A$4+248)</f>
        <v>46271</v>
      </c>
      <c r="N24825" t="str">
        <f>IF(M24825="","",'Master Barang'!A19)</f>
        <v>PRL-018</v>
      </c>
      <c r="O24825" t="str">
        <f>IF(N24825="","",'Master Barang'!B19)</f>
        <v>onemed masker biru 3 play hijab 50 pcs</v>
      </c>
      <c r="P24825">
        <f>IF(OR(M24825="",N24825=""),"",SUMIFS('Barang Keluar'!$E:$E,'Barang Keluar'!$A:$A,M24825,'Barang Keluar'!$C:$C,N24825))</f>
        <v>0</v>
      </c>
    </row>
    <row r="24826" spans="13:16">
      <c r="M24826" s="49">
        <f>IF($A$4+248&gt;$B$4,"",$A$4+248)</f>
        <v>46271</v>
      </c>
      <c r="N24826" t="str">
        <f>IF(M24826="","",'Master Barang'!A20)</f>
        <v>PRL-019</v>
      </c>
      <c r="O24826" t="str">
        <f>IF(N24826="","",'Master Barang'!B20)</f>
        <v>neo health masker biru 3 play 50 pcs</v>
      </c>
      <c r="P24826">
        <f>IF(OR(M24826="",N24826=""),"",SUMIFS('Barang Keluar'!$E:$E,'Barang Keluar'!$A:$A,M24826,'Barang Keluar'!$C:$C,N24826))</f>
        <v>0</v>
      </c>
    </row>
    <row r="24827" spans="13:16">
      <c r="M24827" s="49">
        <f>IF($A$4+248&gt;$B$4,"",$A$4+248)</f>
        <v>46271</v>
      </c>
      <c r="N24827" t="str">
        <f>IF(M24827="","",'Master Barang'!A21)</f>
        <v>PRL-020</v>
      </c>
      <c r="O24827" t="str">
        <f>IF(N24827="","",'Master Barang'!B21)</f>
        <v>baymed masker hijau 3 play hijau 50 pcs</v>
      </c>
      <c r="P24827">
        <f>IF(OR(M24827="",N24827=""),"",SUMIFS('Barang Keluar'!$E:$E,'Barang Keluar'!$A:$A,M24827,'Barang Keluar'!$C:$C,N24827))</f>
        <v>0</v>
      </c>
    </row>
    <row r="24828" spans="13:16">
      <c r="M24828" s="49">
        <f>IF($A$4+248&gt;$B$4,"",$A$4+248)</f>
        <v>46271</v>
      </c>
      <c r="N24828" t="str">
        <f>IF(M24828="","",'Master Barang'!A22)</f>
        <v>PRL-021</v>
      </c>
      <c r="O24828" t="str">
        <f>IF(N24828="","",'Master Barang'!B22)</f>
        <v>altamed nurse cap penutup kepala 100 pcs</v>
      </c>
      <c r="P24828">
        <f>IF(OR(M24828="",N24828=""),"",SUMIFS('Barang Keluar'!$E:$E,'Barang Keluar'!$A:$A,M24828,'Barang Keluar'!$C:$C,N24828))</f>
        <v>0</v>
      </c>
    </row>
    <row r="24829" spans="13:16">
      <c r="M24829" s="49">
        <f>IF($A$4+248&gt;$B$4,"",$A$4+248)</f>
        <v>46271</v>
      </c>
      <c r="N24829" t="str">
        <f>IF(M24829="","",'Master Barang'!A23)</f>
        <v>PRL-022</v>
      </c>
      <c r="O24829" t="str">
        <f>IF(N24829="","",'Master Barang'!B23)</f>
        <v>sabun cuci tangan</v>
      </c>
      <c r="P24829">
        <f>IF(OR(M24829="",N24829=""),"",SUMIFS('Barang Keluar'!$E:$E,'Barang Keluar'!$A:$A,M24829,'Barang Keluar'!$C:$C,N24829))</f>
        <v>0</v>
      </c>
    </row>
    <row r="24830" spans="13:16">
      <c r="M24830" s="49">
        <f>IF($A$4+248&gt;$B$4,"",$A$4+248)</f>
        <v>46271</v>
      </c>
      <c r="N24830" t="str">
        <f>IF(M24830="","",'Master Barang'!A24)</f>
        <v>PRL-023</v>
      </c>
      <c r="O24830" t="str">
        <f>IF(N24830="","",'Master Barang'!B24)</f>
        <v>gayung kecil</v>
      </c>
      <c r="P24830">
        <f>IF(OR(M24830="",N24830=""),"",SUMIFS('Barang Keluar'!$E:$E,'Barang Keluar'!$A:$A,M24830,'Barang Keluar'!$C:$C,N24830))</f>
        <v>0</v>
      </c>
    </row>
    <row r="24831" spans="13:16">
      <c r="M24831" s="49">
        <f>IF($A$4+248&gt;$B$4,"",$A$4+248)</f>
        <v>46271</v>
      </c>
      <c r="N24831" t="str">
        <f>IF(M24831="","",'Master Barang'!A25)</f>
        <v>PRL-024</v>
      </c>
      <c r="O24831" t="str">
        <f>IF(N24831="","",'Master Barang'!B25)</f>
        <v>cikrak kecil</v>
      </c>
      <c r="P24831">
        <f>IF(OR(M24831="",N24831=""),"",SUMIFS('Barang Keluar'!$E:$E,'Barang Keluar'!$A:$A,M24831,'Barang Keluar'!$C:$C,N24831))</f>
        <v>0</v>
      </c>
    </row>
    <row r="24832" spans="13:16">
      <c r="M24832" s="49">
        <f>IF($A$4+248&gt;$B$4,"",$A$4+248)</f>
        <v>46271</v>
      </c>
      <c r="N24832" t="str">
        <f>IF(M24832="","",'Master Barang'!A26)</f>
        <v>PRL-025</v>
      </c>
      <c r="O24832" t="str">
        <f>IF(N24832="","",'Master Barang'!B26)</f>
        <v>petromax plastik kecil 12x24 100 lembar</v>
      </c>
      <c r="P24832">
        <f>IF(OR(M24832="",N24832=""),"",SUMIFS('Barang Keluar'!$E:$E,'Barang Keluar'!$A:$A,M24832,'Barang Keluar'!$C:$C,N24832))</f>
        <v>0</v>
      </c>
    </row>
    <row r="24833" spans="13:16">
      <c r="M24833" s="49">
        <f>IF($A$4+248&gt;$B$4,"",$A$4+248)</f>
        <v>46271</v>
      </c>
      <c r="N24833" t="str">
        <f>IF(M24833="","",'Master Barang'!A27)</f>
        <v>PRL-026</v>
      </c>
      <c r="O24833" t="str">
        <f>IF(N24833="","",'Master Barang'!B27)</f>
        <v>lancar kresek kecil bening </v>
      </c>
      <c r="P24833">
        <f>IF(OR(M24833="",N24833=""),"",SUMIFS('Barang Keluar'!$E:$E,'Barang Keluar'!$A:$A,M24833,'Barang Keluar'!$C:$C,N24833))</f>
        <v>0</v>
      </c>
    </row>
    <row r="24834" spans="13:16">
      <c r="M24834" s="49">
        <f>IF($A$4+248&gt;$B$4,"",$A$4+248)</f>
        <v>46271</v>
      </c>
      <c r="N24834" t="str">
        <f>IF(M24834="","",'Master Barang'!A28)</f>
        <v>PRL-027</v>
      </c>
      <c r="O24834" t="str">
        <f>IF(N24834="","",'Master Barang'!B28)</f>
        <v>kresek klin warna warni kecil</v>
      </c>
      <c r="P24834">
        <f>IF(OR(M24834="",N24834=""),"",SUMIFS('Barang Keluar'!$E:$E,'Barang Keluar'!$A:$A,M24834,'Barang Keluar'!$C:$C,N24834))</f>
        <v>0</v>
      </c>
    </row>
    <row r="24835" spans="13:16">
      <c r="M24835" s="49">
        <f>IF($A$4+248&gt;$B$4,"",$A$4+248)</f>
        <v>46271</v>
      </c>
      <c r="N24835" t="str">
        <f>IF(M24835="","",'Master Barang'!A29)</f>
        <v>PRL-028</v>
      </c>
      <c r="O24835" t="str">
        <f>IF(N24835="","",'Master Barang'!B29)</f>
        <v>ctik plastik 7x10 100 pcs</v>
      </c>
      <c r="P24835">
        <f>IF(OR(M24835="",N24835=""),"",SUMIFS('Barang Keluar'!$E:$E,'Barang Keluar'!$A:$A,M24835,'Barang Keluar'!$C:$C,N24835))</f>
        <v>0</v>
      </c>
    </row>
    <row r="24836" spans="13:16">
      <c r="M24836" s="49">
        <f>IF($A$4+248&gt;$B$4,"",$A$4+248)</f>
        <v>46271</v>
      </c>
      <c r="N24836" t="str">
        <f>IF(M24836="","",'Master Barang'!A30)</f>
        <v>PRL-029</v>
      </c>
      <c r="O24836" t="str">
        <f>IF(N24836="","",'Master Barang'!B30)</f>
        <v>ctik plastik 6x10 100 pcs</v>
      </c>
      <c r="P24836">
        <f>IF(OR(M24836="",N24836=""),"",SUMIFS('Barang Keluar'!$E:$E,'Barang Keluar'!$A:$A,M24836,'Barang Keluar'!$C:$C,N24836))</f>
        <v>0</v>
      </c>
    </row>
    <row r="24837" spans="13:16">
      <c r="M24837" s="49">
        <f>IF($A$4+248&gt;$B$4,"",$A$4+248)</f>
        <v>46271</v>
      </c>
      <c r="N24837" t="str">
        <f>IF(M24837="","",'Master Barang'!A31)</f>
        <v>PRL-030</v>
      </c>
      <c r="O24837" t="str">
        <f>IF(N24837="","",'Master Barang'!B31)</f>
        <v>klip plastik 25x16 100 pcs</v>
      </c>
      <c r="P24837">
        <f>IF(OR(M24837="",N24837=""),"",SUMIFS('Barang Keluar'!$E:$E,'Barang Keluar'!$A:$A,M24837,'Barang Keluar'!$C:$C,N24837))</f>
        <v>0</v>
      </c>
    </row>
    <row r="24838" spans="13:16">
      <c r="M24838" s="49">
        <f>IF($A$4+248&gt;$B$4,"",$A$4+248)</f>
        <v>46271</v>
      </c>
      <c r="N24838" t="str">
        <f>IF(M24838="","",'Master Barang'!A32)</f>
        <v>PRL-031</v>
      </c>
      <c r="O24838" t="str">
        <f>IF(N24838="","",'Master Barang'!B32)</f>
        <v>tempat saus 20 ml</v>
      </c>
      <c r="P24838">
        <f>IF(OR(M24838="",N24838=""),"",SUMIFS('Barang Keluar'!$E:$E,'Barang Keluar'!$A:$A,M24838,'Barang Keluar'!$C:$C,N24838))</f>
        <v>0</v>
      </c>
    </row>
    <row r="24839" spans="13:16">
      <c r="M24839" s="49">
        <f>IF($A$4+248&gt;$B$4,"",$A$4+248)</f>
        <v>46271</v>
      </c>
      <c r="N24839" t="str">
        <f>IF(M24839="","",'Master Barang'!A33)</f>
        <v>PRL-032</v>
      </c>
      <c r="O24839" t="str">
        <f>IF(N24839="","",'Master Barang'!B33)</f>
        <v>plastik packaging ag box uk sedang</v>
      </c>
      <c r="P24839">
        <f>IF(OR(M24839="",N24839=""),"",SUMIFS('Barang Keluar'!$E:$E,'Barang Keluar'!$A:$A,M24839,'Barang Keluar'!$C:$C,N24839))</f>
        <v>0</v>
      </c>
    </row>
    <row r="24840" spans="13:16">
      <c r="M24840" s="49">
        <f>IF($A$4+248&gt;$B$4,"",$A$4+248)</f>
        <v>46271</v>
      </c>
      <c r="N24840" t="str">
        <f>IF(M24840="","",'Master Barang'!A34)</f>
        <v>PRL-033</v>
      </c>
      <c r="O24840">
        <f>IF(N24840="","",'Master Barang'!B34)</f>
        <v>0</v>
      </c>
      <c r="P24840">
        <f>IF(OR(M24840="",N24840=""),"",SUMIFS('Barang Keluar'!$E:$E,'Barang Keluar'!$A:$A,M24840,'Barang Keluar'!$C:$C,N24840))</f>
        <v>0</v>
      </c>
    </row>
    <row r="24841" spans="13:16">
      <c r="M24841" s="49">
        <f>IF($A$4+248&gt;$B$4,"",$A$4+248)</f>
        <v>46271</v>
      </c>
      <c r="N24841">
        <f>IF(M24841="","",'Master Barang'!A35)</f>
        <v>0</v>
      </c>
      <c r="O24841">
        <f>IF(N24841="","",'Master Barang'!B35)</f>
        <v>0</v>
      </c>
      <c r="P24841">
        <f>IF(OR(M24841="",N24841=""),"",SUMIFS('Barang Keluar'!$E:$E,'Barang Keluar'!$A:$A,M24841,'Barang Keluar'!$C:$C,N24841))</f>
        <v>0</v>
      </c>
    </row>
    <row r="24842" spans="13:16">
      <c r="M24842" s="49">
        <f>IF($A$4+248&gt;$B$4,"",$A$4+248)</f>
        <v>46271</v>
      </c>
      <c r="N24842">
        <f>IF(M24842="","",'Master Barang'!A36)</f>
        <v>0</v>
      </c>
      <c r="O24842">
        <f>IF(N24842="","",'Master Barang'!B36)</f>
        <v>0</v>
      </c>
      <c r="P24842">
        <f>IF(OR(M24842="",N24842=""),"",SUMIFS('Barang Keluar'!$E:$E,'Barang Keluar'!$A:$A,M24842,'Barang Keluar'!$C:$C,N24842))</f>
        <v>0</v>
      </c>
    </row>
    <row r="24843" spans="13:16">
      <c r="M24843" s="49">
        <f>IF($A$4+248&gt;$B$4,"",$A$4+248)</f>
        <v>46271</v>
      </c>
      <c r="N24843">
        <f>IF(M24843="","",'Master Barang'!A37)</f>
        <v>0</v>
      </c>
      <c r="O24843">
        <f>IF(N24843="","",'Master Barang'!B37)</f>
        <v>0</v>
      </c>
      <c r="P24843">
        <f>IF(OR(M24843="",N24843=""),"",SUMIFS('Barang Keluar'!$E:$E,'Barang Keluar'!$A:$A,M24843,'Barang Keluar'!$C:$C,N24843))</f>
        <v>0</v>
      </c>
    </row>
    <row r="24844" spans="13:16">
      <c r="M24844" s="49">
        <f>IF($A$4+248&gt;$B$4,"",$A$4+248)</f>
        <v>46271</v>
      </c>
      <c r="N24844">
        <f>IF(M24844="","",'Master Barang'!A38)</f>
        <v>0</v>
      </c>
      <c r="O24844">
        <f>IF(N24844="","",'Master Barang'!B38)</f>
        <v>0</v>
      </c>
      <c r="P24844">
        <f>IF(OR(M24844="",N24844=""),"",SUMIFS('Barang Keluar'!$E:$E,'Barang Keluar'!$A:$A,M24844,'Barang Keluar'!$C:$C,N24844))</f>
        <v>0</v>
      </c>
    </row>
    <row r="24845" spans="13:16">
      <c r="M24845" s="49">
        <f>IF($A$4+248&gt;$B$4,"",$A$4+248)</f>
        <v>46271</v>
      </c>
      <c r="N24845">
        <f>IF(M24845="","",'Master Barang'!A39)</f>
        <v>0</v>
      </c>
      <c r="O24845">
        <f>IF(N24845="","",'Master Barang'!B39)</f>
        <v>0</v>
      </c>
      <c r="P24845">
        <f>IF(OR(M24845="",N24845=""),"",SUMIFS('Barang Keluar'!$E:$E,'Barang Keluar'!$A:$A,M24845,'Barang Keluar'!$C:$C,N24845))</f>
        <v>0</v>
      </c>
    </row>
    <row r="24846" spans="13:16">
      <c r="M24846" s="49">
        <f>IF($A$4+248&gt;$B$4,"",$A$4+248)</f>
        <v>46271</v>
      </c>
      <c r="N24846">
        <f>IF(M24846="","",'Master Barang'!A40)</f>
        <v>0</v>
      </c>
      <c r="O24846">
        <f>IF(N24846="","",'Master Barang'!B40)</f>
        <v>0</v>
      </c>
      <c r="P24846">
        <f>IF(OR(M24846="",N24846=""),"",SUMIFS('Barang Keluar'!$E:$E,'Barang Keluar'!$A:$A,M24846,'Barang Keluar'!$C:$C,N24846))</f>
        <v>0</v>
      </c>
    </row>
    <row r="24847" spans="13:16">
      <c r="M24847" s="49">
        <f>IF($A$4+248&gt;$B$4,"",$A$4+248)</f>
        <v>46271</v>
      </c>
      <c r="N24847">
        <f>IF(M24847="","",'Master Barang'!A41)</f>
        <v>0</v>
      </c>
      <c r="O24847">
        <f>IF(N24847="","",'Master Barang'!B41)</f>
        <v>0</v>
      </c>
      <c r="P24847">
        <f>IF(OR(M24847="",N24847=""),"",SUMIFS('Barang Keluar'!$E:$E,'Barang Keluar'!$A:$A,M24847,'Barang Keluar'!$C:$C,N24847))</f>
        <v>0</v>
      </c>
    </row>
    <row r="24848" spans="13:16">
      <c r="M24848" s="49">
        <f>IF($A$4+248&gt;$B$4,"",$A$4+248)</f>
        <v>46271</v>
      </c>
      <c r="N24848">
        <f>IF(M24848="","",'Master Barang'!A42)</f>
        <v>0</v>
      </c>
      <c r="O24848">
        <f>IF(N24848="","",'Master Barang'!B42)</f>
        <v>0</v>
      </c>
      <c r="P24848">
        <f>IF(OR(M24848="",N24848=""),"",SUMIFS('Barang Keluar'!$E:$E,'Barang Keluar'!$A:$A,M24848,'Barang Keluar'!$C:$C,N24848))</f>
        <v>0</v>
      </c>
    </row>
    <row r="24849" spans="13:16">
      <c r="M24849" s="49">
        <f>IF($A$4+248&gt;$B$4,"",$A$4+248)</f>
        <v>46271</v>
      </c>
      <c r="N24849">
        <f>IF(M24849="","",'Master Barang'!A43)</f>
        <v>0</v>
      </c>
      <c r="O24849">
        <f>IF(N24849="","",'Master Barang'!B43)</f>
        <v>0</v>
      </c>
      <c r="P24849">
        <f>IF(OR(M24849="",N24849=""),"",SUMIFS('Barang Keluar'!$E:$E,'Barang Keluar'!$A:$A,M24849,'Barang Keluar'!$C:$C,N24849))</f>
        <v>0</v>
      </c>
    </row>
    <row r="24850" spans="13:16">
      <c r="M24850" s="49">
        <f>IF($A$4+248&gt;$B$4,"",$A$4+248)</f>
        <v>46271</v>
      </c>
      <c r="N24850">
        <f>IF(M24850="","",'Master Barang'!A44)</f>
        <v>0</v>
      </c>
      <c r="O24850">
        <f>IF(N24850="","",'Master Barang'!B44)</f>
        <v>0</v>
      </c>
      <c r="P24850">
        <f>IF(OR(M24850="",N24850=""),"",SUMIFS('Barang Keluar'!$E:$E,'Barang Keluar'!$A:$A,M24850,'Barang Keluar'!$C:$C,N24850))</f>
        <v>0</v>
      </c>
    </row>
    <row r="24851" spans="13:16">
      <c r="M24851" s="49">
        <f>IF($A$4+248&gt;$B$4,"",$A$4+248)</f>
        <v>46271</v>
      </c>
      <c r="N24851">
        <f>IF(M24851="","",'Master Barang'!A45)</f>
        <v>0</v>
      </c>
      <c r="O24851">
        <f>IF(N24851="","",'Master Barang'!B45)</f>
        <v>0</v>
      </c>
      <c r="P24851">
        <f>IF(OR(M24851="",N24851=""),"",SUMIFS('Barang Keluar'!$E:$E,'Barang Keluar'!$A:$A,M24851,'Barang Keluar'!$C:$C,N24851))</f>
        <v>0</v>
      </c>
    </row>
    <row r="24852" spans="13:16">
      <c r="M24852" s="49">
        <f>IF($A$4+248&gt;$B$4,"",$A$4+248)</f>
        <v>46271</v>
      </c>
      <c r="N24852">
        <f>IF(M24852="","",'Master Barang'!A46)</f>
        <v>0</v>
      </c>
      <c r="O24852">
        <f>IF(N24852="","",'Master Barang'!B46)</f>
        <v>0</v>
      </c>
      <c r="P24852">
        <f>IF(OR(M24852="",N24852=""),"",SUMIFS('Barang Keluar'!$E:$E,'Barang Keluar'!$A:$A,M24852,'Barang Keluar'!$C:$C,N24852))</f>
        <v>0</v>
      </c>
    </row>
    <row r="24853" spans="13:16">
      <c r="M24853" s="49">
        <f>IF($A$4+248&gt;$B$4,"",$A$4+248)</f>
        <v>46271</v>
      </c>
      <c r="N24853">
        <f>IF(M24853="","",'Master Barang'!A47)</f>
        <v>0</v>
      </c>
      <c r="O24853">
        <f>IF(N24853="","",'Master Barang'!B47)</f>
        <v>0</v>
      </c>
      <c r="P24853">
        <f>IF(OR(M24853="",N24853=""),"",SUMIFS('Barang Keluar'!$E:$E,'Barang Keluar'!$A:$A,M24853,'Barang Keluar'!$C:$C,N24853))</f>
        <v>0</v>
      </c>
    </row>
    <row r="24854" spans="13:16">
      <c r="M24854" s="49">
        <f>IF($A$4+248&gt;$B$4,"",$A$4+248)</f>
        <v>46271</v>
      </c>
      <c r="N24854">
        <f>IF(M24854="","",'Master Barang'!A48)</f>
        <v>0</v>
      </c>
      <c r="O24854">
        <f>IF(N24854="","",'Master Barang'!B48)</f>
        <v>0</v>
      </c>
      <c r="P24854">
        <f>IF(OR(M24854="",N24854=""),"",SUMIFS('Barang Keluar'!$E:$E,'Barang Keluar'!$A:$A,M24854,'Barang Keluar'!$C:$C,N24854))</f>
        <v>0</v>
      </c>
    </row>
    <row r="24855" spans="13:16">
      <c r="M24855" s="49">
        <f>IF($A$4+248&gt;$B$4,"",$A$4+248)</f>
        <v>46271</v>
      </c>
      <c r="N24855">
        <f>IF(M24855="","",'Master Barang'!A49)</f>
        <v>0</v>
      </c>
      <c r="O24855">
        <f>IF(N24855="","",'Master Barang'!B49)</f>
        <v>0</v>
      </c>
      <c r="P24855">
        <f>IF(OR(M24855="",N24855=""),"",SUMIFS('Barang Keluar'!$E:$E,'Barang Keluar'!$A:$A,M24855,'Barang Keluar'!$C:$C,N24855))</f>
        <v>0</v>
      </c>
    </row>
    <row r="24856" spans="13:16">
      <c r="M24856" s="49">
        <f>IF($A$4+248&gt;$B$4,"",$A$4+248)</f>
        <v>46271</v>
      </c>
      <c r="N24856">
        <f>IF(M24856="","",'Master Barang'!A50)</f>
        <v>0</v>
      </c>
      <c r="O24856">
        <f>IF(N24856="","",'Master Barang'!B50)</f>
        <v>0</v>
      </c>
      <c r="P24856">
        <f>IF(OR(M24856="",N24856=""),"",SUMIFS('Barang Keluar'!$E:$E,'Barang Keluar'!$A:$A,M24856,'Barang Keluar'!$C:$C,N24856))</f>
        <v>0</v>
      </c>
    </row>
    <row r="24857" spans="13:16">
      <c r="M24857" s="49">
        <f>IF($A$4+248&gt;$B$4,"",$A$4+248)</f>
        <v>46271</v>
      </c>
      <c r="N24857">
        <f>IF(M24857="","",'Master Barang'!A51)</f>
        <v>0</v>
      </c>
      <c r="O24857">
        <f>IF(N24857="","",'Master Barang'!B51)</f>
        <v>0</v>
      </c>
      <c r="P24857">
        <f>IF(OR(M24857="",N24857=""),"",SUMIFS('Barang Keluar'!$E:$E,'Barang Keluar'!$A:$A,M24857,'Barang Keluar'!$C:$C,N24857))</f>
        <v>0</v>
      </c>
    </row>
    <row r="24858" spans="13:16">
      <c r="M24858" s="49">
        <f>IF($A$4+248&gt;$B$4,"",$A$4+248)</f>
        <v>46271</v>
      </c>
      <c r="N24858">
        <f>IF(M24858="","",'Master Barang'!A52)</f>
        <v>0</v>
      </c>
      <c r="O24858">
        <f>IF(N24858="","",'Master Barang'!B52)</f>
        <v>0</v>
      </c>
      <c r="P24858">
        <f>IF(OR(M24858="",N24858=""),"",SUMIFS('Barang Keluar'!$E:$E,'Barang Keluar'!$A:$A,M24858,'Barang Keluar'!$C:$C,N24858))</f>
        <v>0</v>
      </c>
    </row>
    <row r="24859" spans="13:16">
      <c r="M24859" s="49">
        <f>IF($A$4+248&gt;$B$4,"",$A$4+248)</f>
        <v>46271</v>
      </c>
      <c r="N24859">
        <f>IF(M24859="","",'Master Barang'!A53)</f>
        <v>0</v>
      </c>
      <c r="O24859">
        <f>IF(N24859="","",'Master Barang'!B53)</f>
        <v>0</v>
      </c>
      <c r="P24859">
        <f>IF(OR(M24859="",N24859=""),"",SUMIFS('Barang Keluar'!$E:$E,'Barang Keluar'!$A:$A,M24859,'Barang Keluar'!$C:$C,N24859))</f>
        <v>0</v>
      </c>
    </row>
    <row r="24860" spans="13:16">
      <c r="M24860" s="49">
        <f>IF($A$4+248&gt;$B$4,"",$A$4+248)</f>
        <v>46271</v>
      </c>
      <c r="N24860">
        <f>IF(M24860="","",'Master Barang'!A54)</f>
        <v>0</v>
      </c>
      <c r="O24860">
        <f>IF(N24860="","",'Master Barang'!B54)</f>
        <v>0</v>
      </c>
      <c r="P24860">
        <f>IF(OR(M24860="",N24860=""),"",SUMIFS('Barang Keluar'!$E:$E,'Barang Keluar'!$A:$A,M24860,'Barang Keluar'!$C:$C,N24860))</f>
        <v>0</v>
      </c>
    </row>
    <row r="24861" spans="13:16">
      <c r="M24861" s="49">
        <f>IF($A$4+248&gt;$B$4,"",$A$4+248)</f>
        <v>46271</v>
      </c>
      <c r="N24861">
        <f>IF(M24861="","",'Master Barang'!A55)</f>
        <v>0</v>
      </c>
      <c r="O24861">
        <f>IF(N24861="","",'Master Barang'!B55)</f>
        <v>0</v>
      </c>
      <c r="P24861">
        <f>IF(OR(M24861="",N24861=""),"",SUMIFS('Barang Keluar'!$E:$E,'Barang Keluar'!$A:$A,M24861,'Barang Keluar'!$C:$C,N24861))</f>
        <v>0</v>
      </c>
    </row>
    <row r="24862" spans="13:16">
      <c r="M24862" s="49">
        <f>IF($A$4+248&gt;$B$4,"",$A$4+248)</f>
        <v>46271</v>
      </c>
      <c r="N24862">
        <f>IF(M24862="","",'Master Barang'!A56)</f>
        <v>0</v>
      </c>
      <c r="O24862">
        <f>IF(N24862="","",'Master Barang'!B56)</f>
        <v>0</v>
      </c>
      <c r="P24862">
        <f>IF(OR(M24862="",N24862=""),"",SUMIFS('Barang Keluar'!$E:$E,'Barang Keluar'!$A:$A,M24862,'Barang Keluar'!$C:$C,N24862))</f>
        <v>0</v>
      </c>
    </row>
    <row r="24863" spans="13:16">
      <c r="M24863" s="49">
        <f>IF($A$4+248&gt;$B$4,"",$A$4+248)</f>
        <v>46271</v>
      </c>
      <c r="N24863">
        <f>IF(M24863="","",'Master Barang'!A57)</f>
        <v>0</v>
      </c>
      <c r="O24863">
        <f>IF(N24863="","",'Master Barang'!B57)</f>
        <v>0</v>
      </c>
      <c r="P24863">
        <f>IF(OR(M24863="",N24863=""),"",SUMIFS('Barang Keluar'!$E:$E,'Barang Keluar'!$A:$A,M24863,'Barang Keluar'!$C:$C,N24863))</f>
        <v>0</v>
      </c>
    </row>
    <row r="24864" spans="13:16">
      <c r="M24864" s="49">
        <f>IF($A$4+248&gt;$B$4,"",$A$4+248)</f>
        <v>46271</v>
      </c>
      <c r="N24864">
        <f>IF(M24864="","",'Master Barang'!A58)</f>
        <v>0</v>
      </c>
      <c r="O24864">
        <f>IF(N24864="","",'Master Barang'!B58)</f>
        <v>0</v>
      </c>
      <c r="P24864">
        <f>IF(OR(M24864="",N24864=""),"",SUMIFS('Barang Keluar'!$E:$E,'Barang Keluar'!$A:$A,M24864,'Barang Keluar'!$C:$C,N24864))</f>
        <v>0</v>
      </c>
    </row>
    <row r="24865" spans="13:16">
      <c r="M24865" s="49">
        <f>IF($A$4+248&gt;$B$4,"",$A$4+248)</f>
        <v>46271</v>
      </c>
      <c r="N24865">
        <f>IF(M24865="","",'Master Barang'!A59)</f>
        <v>0</v>
      </c>
      <c r="O24865">
        <f>IF(N24865="","",'Master Barang'!B59)</f>
        <v>0</v>
      </c>
      <c r="P24865">
        <f>IF(OR(M24865="",N24865=""),"",SUMIFS('Barang Keluar'!$E:$E,'Barang Keluar'!$A:$A,M24865,'Barang Keluar'!$C:$C,N24865))</f>
        <v>0</v>
      </c>
    </row>
    <row r="24866" spans="13:16">
      <c r="M24866" s="49">
        <f>IF($A$4+248&gt;$B$4,"",$A$4+248)</f>
        <v>46271</v>
      </c>
      <c r="N24866">
        <f>IF(M24866="","",'Master Barang'!A60)</f>
        <v>0</v>
      </c>
      <c r="O24866">
        <f>IF(N24866="","",'Master Barang'!B60)</f>
        <v>0</v>
      </c>
      <c r="P24866">
        <f>IF(OR(M24866="",N24866=""),"",SUMIFS('Barang Keluar'!$E:$E,'Barang Keluar'!$A:$A,M24866,'Barang Keluar'!$C:$C,N24866))</f>
        <v>0</v>
      </c>
    </row>
    <row r="24867" spans="13:16">
      <c r="M24867" s="49">
        <f>IF($A$4+248&gt;$B$4,"",$A$4+248)</f>
        <v>46271</v>
      </c>
      <c r="N24867">
        <f>IF(M24867="","",'Master Barang'!A61)</f>
        <v>0</v>
      </c>
      <c r="O24867">
        <f>IF(N24867="","",'Master Barang'!B61)</f>
        <v>0</v>
      </c>
      <c r="P24867">
        <f>IF(OR(M24867="",N24867=""),"",SUMIFS('Barang Keluar'!$E:$E,'Barang Keluar'!$A:$A,M24867,'Barang Keluar'!$C:$C,N24867))</f>
        <v>0</v>
      </c>
    </row>
    <row r="24868" spans="13:16">
      <c r="M24868" s="49">
        <f>IF($A$4+248&gt;$B$4,"",$A$4+248)</f>
        <v>46271</v>
      </c>
      <c r="N24868">
        <f>IF(M24868="","",'Master Barang'!A62)</f>
        <v>0</v>
      </c>
      <c r="O24868">
        <f>IF(N24868="","",'Master Barang'!B62)</f>
        <v>0</v>
      </c>
      <c r="P24868">
        <f>IF(OR(M24868="",N24868=""),"",SUMIFS('Barang Keluar'!$E:$E,'Barang Keluar'!$A:$A,M24868,'Barang Keluar'!$C:$C,N24868))</f>
        <v>0</v>
      </c>
    </row>
    <row r="24869" spans="13:16">
      <c r="M24869" s="49">
        <f>IF($A$4+248&gt;$B$4,"",$A$4+248)</f>
        <v>46271</v>
      </c>
      <c r="N24869">
        <f>IF(M24869="","",'Master Barang'!A63)</f>
        <v>0</v>
      </c>
      <c r="O24869">
        <f>IF(N24869="","",'Master Barang'!B63)</f>
        <v>0</v>
      </c>
      <c r="P24869">
        <f>IF(OR(M24869="",N24869=""),"",SUMIFS('Barang Keluar'!$E:$E,'Barang Keluar'!$A:$A,M24869,'Barang Keluar'!$C:$C,N24869))</f>
        <v>0</v>
      </c>
    </row>
    <row r="24870" spans="13:16">
      <c r="M24870" s="49">
        <f>IF($A$4+248&gt;$B$4,"",$A$4+248)</f>
        <v>46271</v>
      </c>
      <c r="N24870">
        <f>IF(M24870="","",'Master Barang'!A64)</f>
        <v>0</v>
      </c>
      <c r="O24870">
        <f>IF(N24870="","",'Master Barang'!B64)</f>
        <v>0</v>
      </c>
      <c r="P24870">
        <f>IF(OR(M24870="",N24870=""),"",SUMIFS('Barang Keluar'!$E:$E,'Barang Keluar'!$A:$A,M24870,'Barang Keluar'!$C:$C,N24870))</f>
        <v>0</v>
      </c>
    </row>
    <row r="24871" spans="13:16">
      <c r="M24871" s="49">
        <f>IF($A$4+248&gt;$B$4,"",$A$4+248)</f>
        <v>46271</v>
      </c>
      <c r="N24871">
        <f>IF(M24871="","",'Master Barang'!A65)</f>
        <v>0</v>
      </c>
      <c r="O24871">
        <f>IF(N24871="","",'Master Barang'!B65)</f>
        <v>0</v>
      </c>
      <c r="P24871">
        <f>IF(OR(M24871="",N24871=""),"",SUMIFS('Barang Keluar'!$E:$E,'Barang Keluar'!$A:$A,M24871,'Barang Keluar'!$C:$C,N24871))</f>
        <v>0</v>
      </c>
    </row>
    <row r="24872" spans="13:16">
      <c r="M24872" s="49">
        <f>IF($A$4+248&gt;$B$4,"",$A$4+248)</f>
        <v>46271</v>
      </c>
      <c r="N24872">
        <f>IF(M24872="","",'Master Barang'!A66)</f>
        <v>0</v>
      </c>
      <c r="O24872">
        <f>IF(N24872="","",'Master Barang'!B66)</f>
        <v>0</v>
      </c>
      <c r="P24872">
        <f>IF(OR(M24872="",N24872=""),"",SUMIFS('Barang Keluar'!$E:$E,'Barang Keluar'!$A:$A,M24872,'Barang Keluar'!$C:$C,N24872))</f>
        <v>0</v>
      </c>
    </row>
    <row r="24873" spans="13:16">
      <c r="M24873" s="49">
        <f>IF($A$4+248&gt;$B$4,"",$A$4+248)</f>
        <v>46271</v>
      </c>
      <c r="N24873">
        <f>IF(M24873="","",'Master Barang'!A67)</f>
        <v>0</v>
      </c>
      <c r="O24873">
        <f>IF(N24873="","",'Master Barang'!B67)</f>
        <v>0</v>
      </c>
      <c r="P24873">
        <f>IF(OR(M24873="",N24873=""),"",SUMIFS('Barang Keluar'!$E:$E,'Barang Keluar'!$A:$A,M24873,'Barang Keluar'!$C:$C,N24873))</f>
        <v>0</v>
      </c>
    </row>
    <row r="24874" spans="13:16">
      <c r="M24874" s="49">
        <f>IF($A$4+248&gt;$B$4,"",$A$4+248)</f>
        <v>46271</v>
      </c>
      <c r="N24874">
        <f>IF(M24874="","",'Master Barang'!A68)</f>
        <v>0</v>
      </c>
      <c r="O24874">
        <f>IF(N24874="","",'Master Barang'!B68)</f>
        <v>0</v>
      </c>
      <c r="P24874">
        <f>IF(OR(M24874="",N24874=""),"",SUMIFS('Barang Keluar'!$E:$E,'Barang Keluar'!$A:$A,M24874,'Barang Keluar'!$C:$C,N24874))</f>
        <v>0</v>
      </c>
    </row>
    <row r="24875" spans="13:16">
      <c r="M24875" s="49">
        <f>IF($A$4+248&gt;$B$4,"",$A$4+248)</f>
        <v>46271</v>
      </c>
      <c r="N24875">
        <f>IF(M24875="","",'Master Barang'!A69)</f>
        <v>0</v>
      </c>
      <c r="O24875">
        <f>IF(N24875="","",'Master Barang'!B69)</f>
        <v>0</v>
      </c>
      <c r="P24875">
        <f>IF(OR(M24875="",N24875=""),"",SUMIFS('Barang Keluar'!$E:$E,'Barang Keluar'!$A:$A,M24875,'Barang Keluar'!$C:$C,N24875))</f>
        <v>0</v>
      </c>
    </row>
    <row r="24876" spans="13:16">
      <c r="M24876" s="49">
        <f>IF($A$4+248&gt;$B$4,"",$A$4+248)</f>
        <v>46271</v>
      </c>
      <c r="N24876">
        <f>IF(M24876="","",'Master Barang'!A70)</f>
        <v>0</v>
      </c>
      <c r="O24876">
        <f>IF(N24876="","",'Master Barang'!B70)</f>
        <v>0</v>
      </c>
      <c r="P24876">
        <f>IF(OR(M24876="",N24876=""),"",SUMIFS('Barang Keluar'!$E:$E,'Barang Keluar'!$A:$A,M24876,'Barang Keluar'!$C:$C,N24876))</f>
        <v>0</v>
      </c>
    </row>
    <row r="24877" spans="13:16">
      <c r="M24877" s="49">
        <f>IF($A$4+248&gt;$B$4,"",$A$4+248)</f>
        <v>46271</v>
      </c>
      <c r="N24877">
        <f>IF(M24877="","",'Master Barang'!A71)</f>
        <v>0</v>
      </c>
      <c r="O24877">
        <f>IF(N24877="","",'Master Barang'!B71)</f>
        <v>0</v>
      </c>
      <c r="P24877">
        <f>IF(OR(M24877="",N24877=""),"",SUMIFS('Barang Keluar'!$E:$E,'Barang Keluar'!$A:$A,M24877,'Barang Keluar'!$C:$C,N24877))</f>
        <v>0</v>
      </c>
    </row>
    <row r="24878" spans="13:16">
      <c r="M24878" s="49">
        <f>IF($A$4+248&gt;$B$4,"",$A$4+248)</f>
        <v>46271</v>
      </c>
      <c r="N24878">
        <f>IF(M24878="","",'Master Barang'!A72)</f>
        <v>0</v>
      </c>
      <c r="O24878">
        <f>IF(N24878="","",'Master Barang'!B72)</f>
        <v>0</v>
      </c>
      <c r="P24878">
        <f>IF(OR(M24878="",N24878=""),"",SUMIFS('Barang Keluar'!$E:$E,'Barang Keluar'!$A:$A,M24878,'Barang Keluar'!$C:$C,N24878))</f>
        <v>0</v>
      </c>
    </row>
    <row r="24879" spans="13:16">
      <c r="M24879" s="49">
        <f>IF($A$4+248&gt;$B$4,"",$A$4+248)</f>
        <v>46271</v>
      </c>
      <c r="N24879">
        <f>IF(M24879="","",'Master Barang'!A73)</f>
        <v>0</v>
      </c>
      <c r="O24879">
        <f>IF(N24879="","",'Master Barang'!B73)</f>
        <v>0</v>
      </c>
      <c r="P24879">
        <f>IF(OR(M24879="",N24879=""),"",SUMIFS('Barang Keluar'!$E:$E,'Barang Keluar'!$A:$A,M24879,'Barang Keluar'!$C:$C,N24879))</f>
        <v>0</v>
      </c>
    </row>
    <row r="24880" spans="13:16">
      <c r="M24880" s="49">
        <f>IF($A$4+248&gt;$B$4,"",$A$4+248)</f>
        <v>46271</v>
      </c>
      <c r="N24880">
        <f>IF(M24880="","",'Master Barang'!A74)</f>
        <v>0</v>
      </c>
      <c r="O24880">
        <f>IF(N24880="","",'Master Barang'!B74)</f>
        <v>0</v>
      </c>
      <c r="P24880">
        <f>IF(OR(M24880="",N24880=""),"",SUMIFS('Barang Keluar'!$E:$E,'Barang Keluar'!$A:$A,M24880,'Barang Keluar'!$C:$C,N24880))</f>
        <v>0</v>
      </c>
    </row>
    <row r="24881" spans="13:16">
      <c r="M24881" s="49">
        <f>IF($A$4+248&gt;$B$4,"",$A$4+248)</f>
        <v>46271</v>
      </c>
      <c r="N24881">
        <f>IF(M24881="","",'Master Barang'!A75)</f>
        <v>0</v>
      </c>
      <c r="O24881">
        <f>IF(N24881="","",'Master Barang'!B75)</f>
        <v>0</v>
      </c>
      <c r="P24881">
        <f>IF(OR(M24881="",N24881=""),"",SUMIFS('Barang Keluar'!$E:$E,'Barang Keluar'!$A:$A,M24881,'Barang Keluar'!$C:$C,N24881))</f>
        <v>0</v>
      </c>
    </row>
    <row r="24882" spans="13:16">
      <c r="M24882" s="49">
        <f>IF($A$4+248&gt;$B$4,"",$A$4+248)</f>
        <v>46271</v>
      </c>
      <c r="N24882">
        <f>IF(M24882="","",'Master Barang'!A76)</f>
        <v>0</v>
      </c>
      <c r="O24882">
        <f>IF(N24882="","",'Master Barang'!B76)</f>
        <v>0</v>
      </c>
      <c r="P24882">
        <f>IF(OR(M24882="",N24882=""),"",SUMIFS('Barang Keluar'!$E:$E,'Barang Keluar'!$A:$A,M24882,'Barang Keluar'!$C:$C,N24882))</f>
        <v>0</v>
      </c>
    </row>
    <row r="24883" spans="13:16">
      <c r="M24883" s="49">
        <f>IF($A$4+248&gt;$B$4,"",$A$4+248)</f>
        <v>46271</v>
      </c>
      <c r="N24883">
        <f>IF(M24883="","",'Master Barang'!A77)</f>
        <v>0</v>
      </c>
      <c r="O24883">
        <f>IF(N24883="","",'Master Barang'!B77)</f>
        <v>0</v>
      </c>
      <c r="P24883">
        <f>IF(OR(M24883="",N24883=""),"",SUMIFS('Barang Keluar'!$E:$E,'Barang Keluar'!$A:$A,M24883,'Barang Keluar'!$C:$C,N24883))</f>
        <v>0</v>
      </c>
    </row>
    <row r="24884" spans="13:16">
      <c r="M24884" s="49">
        <f>IF($A$4+248&gt;$B$4,"",$A$4+248)</f>
        <v>46271</v>
      </c>
      <c r="N24884">
        <f>IF(M24884="","",'Master Barang'!A78)</f>
        <v>0</v>
      </c>
      <c r="O24884">
        <f>IF(N24884="","",'Master Barang'!B78)</f>
        <v>0</v>
      </c>
      <c r="P24884">
        <f>IF(OR(M24884="",N24884=""),"",SUMIFS('Barang Keluar'!$E:$E,'Barang Keluar'!$A:$A,M24884,'Barang Keluar'!$C:$C,N24884))</f>
        <v>0</v>
      </c>
    </row>
    <row r="24885" spans="13:16">
      <c r="M24885" s="49">
        <f>IF($A$4+248&gt;$B$4,"",$A$4+248)</f>
        <v>46271</v>
      </c>
      <c r="N24885">
        <f>IF(M24885="","",'Master Barang'!A79)</f>
        <v>0</v>
      </c>
      <c r="O24885">
        <f>IF(N24885="","",'Master Barang'!B79)</f>
        <v>0</v>
      </c>
      <c r="P24885">
        <f>IF(OR(M24885="",N24885=""),"",SUMIFS('Barang Keluar'!$E:$E,'Barang Keluar'!$A:$A,M24885,'Barang Keluar'!$C:$C,N24885))</f>
        <v>0</v>
      </c>
    </row>
    <row r="24886" spans="13:16">
      <c r="M24886" s="49">
        <f>IF($A$4+248&gt;$B$4,"",$A$4+248)</f>
        <v>46271</v>
      </c>
      <c r="N24886">
        <f>IF(M24886="","",'Master Barang'!A80)</f>
        <v>0</v>
      </c>
      <c r="O24886">
        <f>IF(N24886="","",'Master Barang'!B80)</f>
        <v>0</v>
      </c>
      <c r="P24886">
        <f>IF(OR(M24886="",N24886=""),"",SUMIFS('Barang Keluar'!$E:$E,'Barang Keluar'!$A:$A,M24886,'Barang Keluar'!$C:$C,N24886))</f>
        <v>0</v>
      </c>
    </row>
    <row r="24887" spans="13:16">
      <c r="M24887" s="49">
        <f>IF($A$4+248&gt;$B$4,"",$A$4+248)</f>
        <v>46271</v>
      </c>
      <c r="N24887">
        <f>IF(M24887="","",'Master Barang'!A81)</f>
        <v>0</v>
      </c>
      <c r="O24887">
        <f>IF(N24887="","",'Master Barang'!B81)</f>
        <v>0</v>
      </c>
      <c r="P24887">
        <f>IF(OR(M24887="",N24887=""),"",SUMIFS('Barang Keluar'!$E:$E,'Barang Keluar'!$A:$A,M24887,'Barang Keluar'!$C:$C,N24887))</f>
        <v>0</v>
      </c>
    </row>
    <row r="24888" spans="13:16">
      <c r="M24888" s="49">
        <f>IF($A$4+248&gt;$B$4,"",$A$4+248)</f>
        <v>46271</v>
      </c>
      <c r="N24888">
        <f>IF(M24888="","",'Master Barang'!A82)</f>
        <v>0</v>
      </c>
      <c r="O24888">
        <f>IF(N24888="","",'Master Barang'!B82)</f>
        <v>0</v>
      </c>
      <c r="P24888">
        <f>IF(OR(M24888="",N24888=""),"",SUMIFS('Barang Keluar'!$E:$E,'Barang Keluar'!$A:$A,M24888,'Barang Keluar'!$C:$C,N24888))</f>
        <v>0</v>
      </c>
    </row>
    <row r="24889" spans="13:16">
      <c r="M24889" s="49">
        <f>IF($A$4+248&gt;$B$4,"",$A$4+248)</f>
        <v>46271</v>
      </c>
      <c r="N24889">
        <f>IF(M24889="","",'Master Barang'!A83)</f>
        <v>0</v>
      </c>
      <c r="O24889">
        <f>IF(N24889="","",'Master Barang'!B83)</f>
        <v>0</v>
      </c>
      <c r="P24889">
        <f>IF(OR(M24889="",N24889=""),"",SUMIFS('Barang Keluar'!$E:$E,'Barang Keluar'!$A:$A,M24889,'Barang Keluar'!$C:$C,N24889))</f>
        <v>0</v>
      </c>
    </row>
    <row r="24890" spans="13:16">
      <c r="M24890" s="49">
        <f>IF($A$4+248&gt;$B$4,"",$A$4+248)</f>
        <v>46271</v>
      </c>
      <c r="N24890">
        <f>IF(M24890="","",'Master Barang'!A84)</f>
        <v>0</v>
      </c>
      <c r="O24890">
        <f>IF(N24890="","",'Master Barang'!B84)</f>
        <v>0</v>
      </c>
      <c r="P24890">
        <f>IF(OR(M24890="",N24890=""),"",SUMIFS('Barang Keluar'!$E:$E,'Barang Keluar'!$A:$A,M24890,'Barang Keluar'!$C:$C,N24890))</f>
        <v>0</v>
      </c>
    </row>
    <row r="24891" spans="13:16">
      <c r="M24891" s="49">
        <f>IF($A$4+248&gt;$B$4,"",$A$4+248)</f>
        <v>46271</v>
      </c>
      <c r="N24891">
        <f>IF(M24891="","",'Master Barang'!A85)</f>
        <v>0</v>
      </c>
      <c r="O24891">
        <f>IF(N24891="","",'Master Barang'!B85)</f>
        <v>0</v>
      </c>
      <c r="P24891">
        <f>IF(OR(M24891="",N24891=""),"",SUMIFS('Barang Keluar'!$E:$E,'Barang Keluar'!$A:$A,M24891,'Barang Keluar'!$C:$C,N24891))</f>
        <v>0</v>
      </c>
    </row>
    <row r="24892" spans="13:16">
      <c r="M24892" s="49">
        <f>IF($A$4+248&gt;$B$4,"",$A$4+248)</f>
        <v>46271</v>
      </c>
      <c r="N24892">
        <f>IF(M24892="","",'Master Barang'!A86)</f>
        <v>0</v>
      </c>
      <c r="O24892">
        <f>IF(N24892="","",'Master Barang'!B86)</f>
        <v>0</v>
      </c>
      <c r="P24892">
        <f>IF(OR(M24892="",N24892=""),"",SUMIFS('Barang Keluar'!$E:$E,'Barang Keluar'!$A:$A,M24892,'Barang Keluar'!$C:$C,N24892))</f>
        <v>0</v>
      </c>
    </row>
    <row r="24893" spans="13:16">
      <c r="M24893" s="49">
        <f>IF($A$4+248&gt;$B$4,"",$A$4+248)</f>
        <v>46271</v>
      </c>
      <c r="N24893">
        <f>IF(M24893="","",'Master Barang'!A87)</f>
        <v>0</v>
      </c>
      <c r="O24893">
        <f>IF(N24893="","",'Master Barang'!B87)</f>
        <v>0</v>
      </c>
      <c r="P24893">
        <f>IF(OR(M24893="",N24893=""),"",SUMIFS('Barang Keluar'!$E:$E,'Barang Keluar'!$A:$A,M24893,'Barang Keluar'!$C:$C,N24893))</f>
        <v>0</v>
      </c>
    </row>
    <row r="24894" spans="13:16">
      <c r="M24894" s="49">
        <f>IF($A$4+248&gt;$B$4,"",$A$4+248)</f>
        <v>46271</v>
      </c>
      <c r="N24894">
        <f>IF(M24894="","",'Master Barang'!A88)</f>
        <v>0</v>
      </c>
      <c r="O24894">
        <f>IF(N24894="","",'Master Barang'!B88)</f>
        <v>0</v>
      </c>
      <c r="P24894">
        <f>IF(OR(M24894="",N24894=""),"",SUMIFS('Barang Keluar'!$E:$E,'Barang Keluar'!$A:$A,M24894,'Barang Keluar'!$C:$C,N24894))</f>
        <v>0</v>
      </c>
    </row>
    <row r="24895" spans="13:16">
      <c r="M24895" s="49">
        <f>IF($A$4+248&gt;$B$4,"",$A$4+248)</f>
        <v>46271</v>
      </c>
      <c r="N24895">
        <f>IF(M24895="","",'Master Barang'!A89)</f>
        <v>0</v>
      </c>
      <c r="O24895">
        <f>IF(N24895="","",'Master Barang'!B89)</f>
        <v>0</v>
      </c>
      <c r="P24895">
        <f>IF(OR(M24895="",N24895=""),"",SUMIFS('Barang Keluar'!$E:$E,'Barang Keluar'!$A:$A,M24895,'Barang Keluar'!$C:$C,N24895))</f>
        <v>0</v>
      </c>
    </row>
    <row r="24896" spans="13:16">
      <c r="M24896" s="49">
        <f>IF($A$4+248&gt;$B$4,"",$A$4+248)</f>
        <v>46271</v>
      </c>
      <c r="N24896">
        <f>IF(M24896="","",'Master Barang'!A90)</f>
        <v>0</v>
      </c>
      <c r="O24896">
        <f>IF(N24896="","",'Master Barang'!B90)</f>
        <v>0</v>
      </c>
      <c r="P24896">
        <f>IF(OR(M24896="",N24896=""),"",SUMIFS('Barang Keluar'!$E:$E,'Barang Keluar'!$A:$A,M24896,'Barang Keluar'!$C:$C,N24896))</f>
        <v>0</v>
      </c>
    </row>
    <row r="24897" spans="13:16">
      <c r="M24897" s="49">
        <f>IF($A$4+248&gt;$B$4,"",$A$4+248)</f>
        <v>46271</v>
      </c>
      <c r="N24897">
        <f>IF(M24897="","",'Master Barang'!A91)</f>
        <v>0</v>
      </c>
      <c r="O24897">
        <f>IF(N24897="","",'Master Barang'!B91)</f>
        <v>0</v>
      </c>
      <c r="P24897">
        <f>IF(OR(M24897="",N24897=""),"",SUMIFS('Barang Keluar'!$E:$E,'Barang Keluar'!$A:$A,M24897,'Barang Keluar'!$C:$C,N24897))</f>
        <v>0</v>
      </c>
    </row>
    <row r="24898" spans="13:16">
      <c r="M24898" s="49">
        <f>IF($A$4+248&gt;$B$4,"",$A$4+248)</f>
        <v>46271</v>
      </c>
      <c r="N24898">
        <f>IF(M24898="","",'Master Barang'!A92)</f>
        <v>0</v>
      </c>
      <c r="O24898">
        <f>IF(N24898="","",'Master Barang'!B92)</f>
        <v>0</v>
      </c>
      <c r="P24898">
        <f>IF(OR(M24898="",N24898=""),"",SUMIFS('Barang Keluar'!$E:$E,'Barang Keluar'!$A:$A,M24898,'Barang Keluar'!$C:$C,N24898))</f>
        <v>0</v>
      </c>
    </row>
    <row r="24899" spans="13:16">
      <c r="M24899" s="49">
        <f>IF($A$4+248&gt;$B$4,"",$A$4+248)</f>
        <v>46271</v>
      </c>
      <c r="N24899">
        <f>IF(M24899="","",'Master Barang'!A93)</f>
        <v>0</v>
      </c>
      <c r="O24899">
        <f>IF(N24899="","",'Master Barang'!B93)</f>
        <v>0</v>
      </c>
      <c r="P24899">
        <f>IF(OR(M24899="",N24899=""),"",SUMIFS('Barang Keluar'!$E:$E,'Barang Keluar'!$A:$A,M24899,'Barang Keluar'!$C:$C,N24899))</f>
        <v>0</v>
      </c>
    </row>
    <row r="24900" spans="13:16">
      <c r="M24900" s="49">
        <f>IF($A$4+248&gt;$B$4,"",$A$4+248)</f>
        <v>46271</v>
      </c>
      <c r="N24900">
        <f>IF(M24900="","",'Master Barang'!A94)</f>
        <v>0</v>
      </c>
      <c r="O24900">
        <f>IF(N24900="","",'Master Barang'!B94)</f>
        <v>0</v>
      </c>
      <c r="P24900">
        <f>IF(OR(M24900="",N24900=""),"",SUMIFS('Barang Keluar'!$E:$E,'Barang Keluar'!$A:$A,M24900,'Barang Keluar'!$C:$C,N24900))</f>
        <v>0</v>
      </c>
    </row>
    <row r="24901" spans="13:16">
      <c r="M24901" s="49">
        <f>IF($A$4+248&gt;$B$4,"",$A$4+248)</f>
        <v>46271</v>
      </c>
      <c r="N24901">
        <f>IF(M24901="","",'Master Barang'!A95)</f>
        <v>0</v>
      </c>
      <c r="O24901">
        <f>IF(N24901="","",'Master Barang'!B95)</f>
        <v>0</v>
      </c>
      <c r="P24901">
        <f>IF(OR(M24901="",N24901=""),"",SUMIFS('Barang Keluar'!$E:$E,'Barang Keluar'!$A:$A,M24901,'Barang Keluar'!$C:$C,N24901))</f>
        <v>0</v>
      </c>
    </row>
    <row r="24902" spans="13:16">
      <c r="M24902" s="49">
        <f>IF($A$4+248&gt;$B$4,"",$A$4+248)</f>
        <v>46271</v>
      </c>
      <c r="N24902">
        <f>IF(M24902="","",'Master Barang'!A96)</f>
        <v>0</v>
      </c>
      <c r="O24902">
        <f>IF(N24902="","",'Master Barang'!B96)</f>
        <v>0</v>
      </c>
      <c r="P24902">
        <f>IF(OR(M24902="",N24902=""),"",SUMIFS('Barang Keluar'!$E:$E,'Barang Keluar'!$A:$A,M24902,'Barang Keluar'!$C:$C,N24902))</f>
        <v>0</v>
      </c>
    </row>
    <row r="24903" spans="13:16">
      <c r="M24903" s="49">
        <f>IF($A$4+248&gt;$B$4,"",$A$4+248)</f>
        <v>46271</v>
      </c>
      <c r="N24903">
        <f>IF(M24903="","",'Master Barang'!A97)</f>
        <v>0</v>
      </c>
      <c r="O24903">
        <f>IF(N24903="","",'Master Barang'!B97)</f>
        <v>0</v>
      </c>
      <c r="P24903">
        <f>IF(OR(M24903="",N24903=""),"",SUMIFS('Barang Keluar'!$E:$E,'Barang Keluar'!$A:$A,M24903,'Barang Keluar'!$C:$C,N24903))</f>
        <v>0</v>
      </c>
    </row>
    <row r="24904" spans="13:16">
      <c r="M24904" s="49">
        <f>IF($A$4+248&gt;$B$4,"",$A$4+248)</f>
        <v>46271</v>
      </c>
      <c r="N24904">
        <f>IF(M24904="","",'Master Barang'!A98)</f>
        <v>0</v>
      </c>
      <c r="O24904">
        <f>IF(N24904="","",'Master Barang'!B98)</f>
        <v>0</v>
      </c>
      <c r="P24904">
        <f>IF(OR(M24904="",N24904=""),"",SUMIFS('Barang Keluar'!$E:$E,'Barang Keluar'!$A:$A,M24904,'Barang Keluar'!$C:$C,N24904))</f>
        <v>0</v>
      </c>
    </row>
    <row r="24905" spans="13:16">
      <c r="M24905" s="49">
        <f>IF($A$4+248&gt;$B$4,"",$A$4+248)</f>
        <v>46271</v>
      </c>
      <c r="N24905">
        <f>IF(M24905="","",'Master Barang'!A99)</f>
        <v>0</v>
      </c>
      <c r="O24905">
        <f>IF(N24905="","",'Master Barang'!B99)</f>
        <v>0</v>
      </c>
      <c r="P24905">
        <f>IF(OR(M24905="",N24905=""),"",SUMIFS('Barang Keluar'!$E:$E,'Barang Keluar'!$A:$A,M24905,'Barang Keluar'!$C:$C,N24905))</f>
        <v>0</v>
      </c>
    </row>
    <row r="24906" spans="13:16">
      <c r="M24906" s="49">
        <f>IF($A$4+248&gt;$B$4,"",$A$4+248)</f>
        <v>46271</v>
      </c>
      <c r="N24906">
        <f>IF(M24906="","",'Master Barang'!A100)</f>
        <v>0</v>
      </c>
      <c r="O24906">
        <f>IF(N24906="","",'Master Barang'!B100)</f>
        <v>0</v>
      </c>
      <c r="P24906">
        <f>IF(OR(M24906="",N24906=""),"",SUMIFS('Barang Keluar'!$E:$E,'Barang Keluar'!$A:$A,M24906,'Barang Keluar'!$C:$C,N24906))</f>
        <v>0</v>
      </c>
    </row>
    <row r="24907" spans="13:16">
      <c r="M24907" s="49">
        <f>IF($A$4+248&gt;$B$4,"",$A$4+248)</f>
        <v>46271</v>
      </c>
      <c r="N24907">
        <f>IF(M24907="","",'Master Barang'!A101)</f>
        <v>0</v>
      </c>
      <c r="O24907">
        <f>IF(N24907="","",'Master Barang'!B101)</f>
        <v>0</v>
      </c>
      <c r="P24907">
        <f>IF(OR(M24907="",N24907=""),"",SUMIFS('Barang Keluar'!$E:$E,'Barang Keluar'!$A:$A,M24907,'Barang Keluar'!$C:$C,N24907))</f>
        <v>0</v>
      </c>
    </row>
    <row r="24908" spans="13:16">
      <c r="M24908" s="49">
        <f>IF($A$4+249&gt;$B$4,"",$A$4+249)</f>
        <v>46272</v>
      </c>
      <c r="N24908" t="str">
        <f>IF(M24908="","",'Master Barang'!A2)</f>
        <v>PRL-001</v>
      </c>
      <c r="O24908" t="str">
        <f>IF(N24908="","",'Master Barang'!B2)</f>
        <v>natura desinfectant food grade 5l</v>
      </c>
      <c r="P24908">
        <f>IF(OR(M24908="",N24908=""),"",SUMIFS('Barang Keluar'!$E:$E,'Barang Keluar'!$A:$A,M24908,'Barang Keluar'!$C:$C,N24908))</f>
        <v>0</v>
      </c>
    </row>
    <row r="24909" spans="13:16">
      <c r="M24909" s="49">
        <f>IF($A$4+249&gt;$B$4,"",$A$4+249)</f>
        <v>46272</v>
      </c>
      <c r="N24909" t="str">
        <f>IF(M24909="","",'Master Barang'!A3)</f>
        <v>PRL-002</v>
      </c>
      <c r="O24909" t="str">
        <f>IF(N24909="","",'Master Barang'!B3)</f>
        <v>sunlight cairan pencuci piring 5l</v>
      </c>
      <c r="P24909">
        <f>IF(OR(M24909="",N24909=""),"",SUMIFS('Barang Keluar'!$E:$E,'Barang Keluar'!$A:$A,M24909,'Barang Keluar'!$C:$C,N24909))</f>
        <v>0</v>
      </c>
    </row>
    <row r="24910" spans="13:16">
      <c r="M24910" s="49">
        <f>IF($A$4+249&gt;$B$4,"",$A$4+249)</f>
        <v>46272</v>
      </c>
      <c r="N24910" t="str">
        <f>IF(M24910="","",'Master Barang'!A4)</f>
        <v>PRL-003</v>
      </c>
      <c r="O24910" t="str">
        <f>IF(N24910="","",'Master Barang'!B4)</f>
        <v>oixs cleaner 1l</v>
      </c>
      <c r="P24910">
        <f>IF(OR(M24910="",N24910=""),"",SUMIFS('Barang Keluar'!$E:$E,'Barang Keluar'!$A:$A,M24910,'Barang Keluar'!$C:$C,N24910))</f>
        <v>0</v>
      </c>
    </row>
    <row r="24911" spans="13:16">
      <c r="M24911" s="49">
        <f>IF($A$4+249&gt;$B$4,"",$A$4+249)</f>
        <v>46272</v>
      </c>
      <c r="N24911" t="str">
        <f>IF(M24911="","",'Master Barang'!A5)</f>
        <v>PRL-004</v>
      </c>
      <c r="O24911" t="str">
        <f>IF(N24911="","",'Master Barang'!B5)</f>
        <v>be clean tissue serbaguna</v>
      </c>
      <c r="P24911">
        <f>IF(OR(M24911="",N24911=""),"",SUMIFS('Barang Keluar'!$E:$E,'Barang Keluar'!$A:$A,M24911,'Barang Keluar'!$C:$C,N24911))</f>
        <v>0</v>
      </c>
    </row>
    <row r="24912" spans="13:16">
      <c r="M24912" s="49">
        <f>IF($A$4+249&gt;$B$4,"",$A$4+249)</f>
        <v>46272</v>
      </c>
      <c r="N24912" t="str">
        <f>IF(M24912="","",'Master Barang'!A6)</f>
        <v>PRL-005</v>
      </c>
      <c r="O24912" t="str">
        <f>IF(N24912="","",'Master Barang'!B6)</f>
        <v>spons cuci hijau</v>
      </c>
      <c r="P24912">
        <f>IF(OR(M24912="",N24912=""),"",SUMIFS('Barang Keluar'!$E:$E,'Barang Keluar'!$A:$A,M24912,'Barang Keluar'!$C:$C,N24912))</f>
        <v>0</v>
      </c>
    </row>
    <row r="24913" spans="13:16">
      <c r="M24913" s="49">
        <f>IF($A$4+249&gt;$B$4,"",$A$4+249)</f>
        <v>46272</v>
      </c>
      <c r="N24913" t="str">
        <f>IF(M24913="","",'Master Barang'!A7)</f>
        <v>PRL-006</v>
      </c>
      <c r="O24913" t="str">
        <f>IF(N24913="","",'Master Barang'!B7)</f>
        <v>sabut cuci stainless</v>
      </c>
      <c r="P24913">
        <f>IF(OR(M24913="",N24913=""),"",SUMIFS('Barang Keluar'!$E:$E,'Barang Keluar'!$A:$A,M24913,'Barang Keluar'!$C:$C,N24913))</f>
        <v>0</v>
      </c>
    </row>
    <row r="24914" spans="13:16">
      <c r="M24914" s="49">
        <f>IF($A$4+249&gt;$B$4,"",$A$4+249)</f>
        <v>46272</v>
      </c>
      <c r="N24914" t="str">
        <f>IF(M24914="","",'Master Barang'!A8)</f>
        <v>PRL-007</v>
      </c>
      <c r="O24914" t="str">
        <f>IF(N24914="","",'Master Barang'!B8)</f>
        <v>plastik kresek besar merah 50pc</v>
      </c>
      <c r="P24914">
        <f>IF(OR(M24914="",N24914=""),"",SUMIFS('Barang Keluar'!$E:$E,'Barang Keluar'!$A:$A,M24914,'Barang Keluar'!$C:$C,N24914))</f>
        <v>0</v>
      </c>
    </row>
    <row r="24915" spans="13:16">
      <c r="M24915" s="49">
        <f>IF($A$4+249&gt;$B$4,"",$A$4+249)</f>
        <v>46272</v>
      </c>
      <c r="N24915" t="str">
        <f>IF(M24915="","",'Master Barang'!A9)</f>
        <v>PRL-008</v>
      </c>
      <c r="O24915" t="str">
        <f>IF(N24915="","",'Master Barang'!B9)</f>
        <v>lap besar</v>
      </c>
      <c r="P24915">
        <f>IF(OR(M24915="",N24915=""),"",SUMIFS('Barang Keluar'!$E:$E,'Barang Keluar'!$A:$A,M24915,'Barang Keluar'!$C:$C,N24915))</f>
        <v>0</v>
      </c>
    </row>
    <row r="24916" spans="13:16">
      <c r="M24916" s="49">
        <f>IF($A$4+249&gt;$B$4,"",$A$4+249)</f>
        <v>46272</v>
      </c>
      <c r="N24916" t="str">
        <f>IF(M24916="","",'Master Barang'!A10)</f>
        <v>PRL-009</v>
      </c>
      <c r="O24916" t="str">
        <f>IF(N24916="","",'Master Barang'!B10)</f>
        <v>lap microfiber</v>
      </c>
      <c r="P24916">
        <f>IF(OR(M24916="",N24916=""),"",SUMIFS('Barang Keluar'!$E:$E,'Barang Keluar'!$A:$A,M24916,'Barang Keluar'!$C:$C,N24916))</f>
        <v>0</v>
      </c>
    </row>
    <row r="24917" spans="13:16">
      <c r="M24917" s="49">
        <f>IF($A$4+249&gt;$B$4,"",$A$4+249)</f>
        <v>46272</v>
      </c>
      <c r="N24917" t="str">
        <f>IF(M24917="","",'Master Barang'!A11)</f>
        <v>PRL-010</v>
      </c>
      <c r="O24917" t="str">
        <f>IF(N24917="","",'Master Barang'!B11)</f>
        <v>lap kecil</v>
      </c>
      <c r="P24917">
        <f>IF(OR(M24917="",N24917=""),"",SUMIFS('Barang Keluar'!$E:$E,'Barang Keluar'!$A:$A,M24917,'Barang Keluar'!$C:$C,N24917))</f>
        <v>0</v>
      </c>
    </row>
    <row r="24918" spans="13:16">
      <c r="M24918" s="49">
        <f>IF($A$4+249&gt;$B$4,"",$A$4+249)</f>
        <v>46272</v>
      </c>
      <c r="N24918" t="str">
        <f>IF(M24918="","",'Master Barang'!A12)</f>
        <v>PRL-011</v>
      </c>
      <c r="O24918" t="str">
        <f>IF(N24918="","",'Master Barang'!B12)</f>
        <v>kanebo kecil</v>
      </c>
      <c r="P24918">
        <f>IF(OR(M24918="",N24918=""),"",SUMIFS('Barang Keluar'!$E:$E,'Barang Keluar'!$A:$A,M24918,'Barang Keluar'!$C:$C,N24918))</f>
        <v>0</v>
      </c>
    </row>
    <row r="24919" spans="13:16">
      <c r="M24919" s="49">
        <f>IF($A$4+249&gt;$B$4,"",$A$4+249)</f>
        <v>46272</v>
      </c>
      <c r="N24919" t="str">
        <f>IF(M24919="","",'Master Barang'!A13)</f>
        <v>PRL-012</v>
      </c>
      <c r="O24919" t="str">
        <f>IF(N24919="","",'Master Barang'!B13)</f>
        <v>plastik 1/4kg joyoboyo 100 lembar</v>
      </c>
      <c r="P24919">
        <f>IF(OR(M24919="",N24919=""),"",SUMIFS('Barang Keluar'!$E:$E,'Barang Keluar'!$A:$A,M24919,'Barang Keluar'!$C:$C,N24919))</f>
        <v>0</v>
      </c>
    </row>
    <row r="24920" spans="13:16">
      <c r="M24920" s="49">
        <f>IF($A$4+249&gt;$B$4,"",$A$4+249)</f>
        <v>46272</v>
      </c>
      <c r="N24920" t="str">
        <f>IF(M24920="","",'Master Barang'!A14)</f>
        <v>PRL-013</v>
      </c>
      <c r="O24920" t="str">
        <f>IF(N24920="","",'Master Barang'!B14)</f>
        <v>sarung tangan plastik kaka 100 pcs</v>
      </c>
      <c r="P24920">
        <f>IF(OR(M24920="",N24920=""),"",SUMIFS('Barang Keluar'!$E:$E,'Barang Keluar'!$A:$A,M24920,'Barang Keluar'!$C:$C,N24920))</f>
        <v>0</v>
      </c>
    </row>
    <row r="24921" spans="13:16">
      <c r="M24921" s="49">
        <f>IF($A$4+249&gt;$B$4,"",$A$4+249)</f>
        <v>46272</v>
      </c>
      <c r="N24921" t="str">
        <f>IF(M24921="","",'Master Barang'!A15)</f>
        <v>PRL-014</v>
      </c>
      <c r="O24921" t="str">
        <f>IF(N24921="","",'Master Barang'!B15)</f>
        <v>optima trashbag 80x100</v>
      </c>
      <c r="P24921">
        <f>IF(OR(M24921="",N24921=""),"",SUMIFS('Barang Keluar'!$E:$E,'Barang Keluar'!$A:$A,M24921,'Barang Keluar'!$C:$C,N24921))</f>
        <v>0</v>
      </c>
    </row>
    <row r="24922" spans="13:16">
      <c r="M24922" s="49">
        <f>IF($A$4+249&gt;$B$4,"",$A$4+249)</f>
        <v>46272</v>
      </c>
      <c r="N24922" t="str">
        <f>IF(M24922="","",'Master Barang'!A16)</f>
        <v>PRL-015</v>
      </c>
      <c r="O24922" t="str">
        <f>IF(N24922="","",'Master Barang'!B16)</f>
        <v>optima trashbag 60x100</v>
      </c>
      <c r="P24922">
        <f>IF(OR(M24922="",N24922=""),"",SUMIFS('Barang Keluar'!$E:$E,'Barang Keluar'!$A:$A,M24922,'Barang Keluar'!$C:$C,N24922))</f>
        <v>0</v>
      </c>
    </row>
    <row r="24923" spans="13:16">
      <c r="M24923" s="49">
        <f>IF($A$4+249&gt;$B$4,"",$A$4+249)</f>
        <v>46272</v>
      </c>
      <c r="N24923" t="str">
        <f>IF(M24923="","",'Master Barang'!A17)</f>
        <v>PRL-016</v>
      </c>
      <c r="O24923" t="str">
        <f>IF(N24923="","",'Master Barang'!B17)</f>
        <v>rajawali trashbag 30x40</v>
      </c>
      <c r="P24923">
        <f>IF(OR(M24923="",N24923=""),"",SUMIFS('Barang Keluar'!$E:$E,'Barang Keluar'!$A:$A,M24923,'Barang Keluar'!$C:$C,N24923))</f>
        <v>0</v>
      </c>
    </row>
    <row r="24924" spans="13:16">
      <c r="M24924" s="49">
        <f>IF($A$4+249&gt;$B$4,"",$A$4+249)</f>
        <v>46272</v>
      </c>
      <c r="N24924" t="str">
        <f>IF(M24924="","",'Master Barang'!A18)</f>
        <v>PRL-017</v>
      </c>
      <c r="O24924" t="str">
        <f>IF(N24924="","",'Master Barang'!B18)</f>
        <v>onemed masker biru 3 play 50 pcs</v>
      </c>
      <c r="P24924">
        <f>IF(OR(M24924="",N24924=""),"",SUMIFS('Barang Keluar'!$E:$E,'Barang Keluar'!$A:$A,M24924,'Barang Keluar'!$C:$C,N24924))</f>
        <v>0</v>
      </c>
    </row>
    <row r="24925" spans="13:16">
      <c r="M24925" s="49">
        <f>IF($A$4+249&gt;$B$4,"",$A$4+249)</f>
        <v>46272</v>
      </c>
      <c r="N24925" t="str">
        <f>IF(M24925="","",'Master Barang'!A19)</f>
        <v>PRL-018</v>
      </c>
      <c r="O24925" t="str">
        <f>IF(N24925="","",'Master Barang'!B19)</f>
        <v>onemed masker biru 3 play hijab 50 pcs</v>
      </c>
      <c r="P24925">
        <f>IF(OR(M24925="",N24925=""),"",SUMIFS('Barang Keluar'!$E:$E,'Barang Keluar'!$A:$A,M24925,'Barang Keluar'!$C:$C,N24925))</f>
        <v>0</v>
      </c>
    </row>
    <row r="24926" spans="13:16">
      <c r="M24926" s="49">
        <f>IF($A$4+249&gt;$B$4,"",$A$4+249)</f>
        <v>46272</v>
      </c>
      <c r="N24926" t="str">
        <f>IF(M24926="","",'Master Barang'!A20)</f>
        <v>PRL-019</v>
      </c>
      <c r="O24926" t="str">
        <f>IF(N24926="","",'Master Barang'!B20)</f>
        <v>neo health masker biru 3 play 50 pcs</v>
      </c>
      <c r="P24926">
        <f>IF(OR(M24926="",N24926=""),"",SUMIFS('Barang Keluar'!$E:$E,'Barang Keluar'!$A:$A,M24926,'Barang Keluar'!$C:$C,N24926))</f>
        <v>0</v>
      </c>
    </row>
    <row r="24927" spans="13:16">
      <c r="M24927" s="49">
        <f>IF($A$4+249&gt;$B$4,"",$A$4+249)</f>
        <v>46272</v>
      </c>
      <c r="N24927" t="str">
        <f>IF(M24927="","",'Master Barang'!A21)</f>
        <v>PRL-020</v>
      </c>
      <c r="O24927" t="str">
        <f>IF(N24927="","",'Master Barang'!B21)</f>
        <v>baymed masker hijau 3 play hijau 50 pcs</v>
      </c>
      <c r="P24927">
        <f>IF(OR(M24927="",N24927=""),"",SUMIFS('Barang Keluar'!$E:$E,'Barang Keluar'!$A:$A,M24927,'Barang Keluar'!$C:$C,N24927))</f>
        <v>0</v>
      </c>
    </row>
    <row r="24928" spans="13:16">
      <c r="M24928" s="49">
        <f>IF($A$4+249&gt;$B$4,"",$A$4+249)</f>
        <v>46272</v>
      </c>
      <c r="N24928" t="str">
        <f>IF(M24928="","",'Master Barang'!A22)</f>
        <v>PRL-021</v>
      </c>
      <c r="O24928" t="str">
        <f>IF(N24928="","",'Master Barang'!B22)</f>
        <v>altamed nurse cap penutup kepala 100 pcs</v>
      </c>
      <c r="P24928">
        <f>IF(OR(M24928="",N24928=""),"",SUMIFS('Barang Keluar'!$E:$E,'Barang Keluar'!$A:$A,M24928,'Barang Keluar'!$C:$C,N24928))</f>
        <v>0</v>
      </c>
    </row>
    <row r="24929" spans="13:16">
      <c r="M24929" s="49">
        <f>IF($A$4+249&gt;$B$4,"",$A$4+249)</f>
        <v>46272</v>
      </c>
      <c r="N24929" t="str">
        <f>IF(M24929="","",'Master Barang'!A23)</f>
        <v>PRL-022</v>
      </c>
      <c r="O24929" t="str">
        <f>IF(N24929="","",'Master Barang'!B23)</f>
        <v>sabun cuci tangan</v>
      </c>
      <c r="P24929">
        <f>IF(OR(M24929="",N24929=""),"",SUMIFS('Barang Keluar'!$E:$E,'Barang Keluar'!$A:$A,M24929,'Barang Keluar'!$C:$C,N24929))</f>
        <v>0</v>
      </c>
    </row>
    <row r="24930" spans="13:16">
      <c r="M24930" s="49">
        <f>IF($A$4+249&gt;$B$4,"",$A$4+249)</f>
        <v>46272</v>
      </c>
      <c r="N24930" t="str">
        <f>IF(M24930="","",'Master Barang'!A24)</f>
        <v>PRL-023</v>
      </c>
      <c r="O24930" t="str">
        <f>IF(N24930="","",'Master Barang'!B24)</f>
        <v>gayung kecil</v>
      </c>
      <c r="P24930">
        <f>IF(OR(M24930="",N24930=""),"",SUMIFS('Barang Keluar'!$E:$E,'Barang Keluar'!$A:$A,M24930,'Barang Keluar'!$C:$C,N24930))</f>
        <v>0</v>
      </c>
    </row>
    <row r="24931" spans="13:16">
      <c r="M24931" s="49">
        <f>IF($A$4+249&gt;$B$4,"",$A$4+249)</f>
        <v>46272</v>
      </c>
      <c r="N24931" t="str">
        <f>IF(M24931="","",'Master Barang'!A25)</f>
        <v>PRL-024</v>
      </c>
      <c r="O24931" t="str">
        <f>IF(N24931="","",'Master Barang'!B25)</f>
        <v>cikrak kecil</v>
      </c>
      <c r="P24931">
        <f>IF(OR(M24931="",N24931=""),"",SUMIFS('Barang Keluar'!$E:$E,'Barang Keluar'!$A:$A,M24931,'Barang Keluar'!$C:$C,N24931))</f>
        <v>0</v>
      </c>
    </row>
    <row r="24932" spans="13:16">
      <c r="M24932" s="49">
        <f>IF($A$4+249&gt;$B$4,"",$A$4+249)</f>
        <v>46272</v>
      </c>
      <c r="N24932" t="str">
        <f>IF(M24932="","",'Master Barang'!A26)</f>
        <v>PRL-025</v>
      </c>
      <c r="O24932" t="str">
        <f>IF(N24932="","",'Master Barang'!B26)</f>
        <v>petromax plastik kecil 12x24 100 lembar</v>
      </c>
      <c r="P24932">
        <f>IF(OR(M24932="",N24932=""),"",SUMIFS('Barang Keluar'!$E:$E,'Barang Keluar'!$A:$A,M24932,'Barang Keluar'!$C:$C,N24932))</f>
        <v>0</v>
      </c>
    </row>
    <row r="24933" spans="13:16">
      <c r="M24933" s="49">
        <f>IF($A$4+249&gt;$B$4,"",$A$4+249)</f>
        <v>46272</v>
      </c>
      <c r="N24933" t="str">
        <f>IF(M24933="","",'Master Barang'!A27)</f>
        <v>PRL-026</v>
      </c>
      <c r="O24933" t="str">
        <f>IF(N24933="","",'Master Barang'!B27)</f>
        <v>lancar kresek kecil bening </v>
      </c>
      <c r="P24933">
        <f>IF(OR(M24933="",N24933=""),"",SUMIFS('Barang Keluar'!$E:$E,'Barang Keluar'!$A:$A,M24933,'Barang Keluar'!$C:$C,N24933))</f>
        <v>0</v>
      </c>
    </row>
    <row r="24934" spans="13:16">
      <c r="M24934" s="49">
        <f>IF($A$4+249&gt;$B$4,"",$A$4+249)</f>
        <v>46272</v>
      </c>
      <c r="N24934" t="str">
        <f>IF(M24934="","",'Master Barang'!A28)</f>
        <v>PRL-027</v>
      </c>
      <c r="O24934" t="str">
        <f>IF(N24934="","",'Master Barang'!B28)</f>
        <v>kresek klin warna warni kecil</v>
      </c>
      <c r="P24934">
        <f>IF(OR(M24934="",N24934=""),"",SUMIFS('Barang Keluar'!$E:$E,'Barang Keluar'!$A:$A,M24934,'Barang Keluar'!$C:$C,N24934))</f>
        <v>0</v>
      </c>
    </row>
    <row r="24935" spans="13:16">
      <c r="M24935" s="49">
        <f>IF($A$4+249&gt;$B$4,"",$A$4+249)</f>
        <v>46272</v>
      </c>
      <c r="N24935" t="str">
        <f>IF(M24935="","",'Master Barang'!A29)</f>
        <v>PRL-028</v>
      </c>
      <c r="O24935" t="str">
        <f>IF(N24935="","",'Master Barang'!B29)</f>
        <v>ctik plastik 7x10 100 pcs</v>
      </c>
      <c r="P24935">
        <f>IF(OR(M24935="",N24935=""),"",SUMIFS('Barang Keluar'!$E:$E,'Barang Keluar'!$A:$A,M24935,'Barang Keluar'!$C:$C,N24935))</f>
        <v>0</v>
      </c>
    </row>
    <row r="24936" spans="13:16">
      <c r="M24936" s="49">
        <f>IF($A$4+249&gt;$B$4,"",$A$4+249)</f>
        <v>46272</v>
      </c>
      <c r="N24936" t="str">
        <f>IF(M24936="","",'Master Barang'!A30)</f>
        <v>PRL-029</v>
      </c>
      <c r="O24936" t="str">
        <f>IF(N24936="","",'Master Barang'!B30)</f>
        <v>ctik plastik 6x10 100 pcs</v>
      </c>
      <c r="P24936">
        <f>IF(OR(M24936="",N24936=""),"",SUMIFS('Barang Keluar'!$E:$E,'Barang Keluar'!$A:$A,M24936,'Barang Keluar'!$C:$C,N24936))</f>
        <v>0</v>
      </c>
    </row>
    <row r="24937" spans="13:16">
      <c r="M24937" s="49">
        <f>IF($A$4+249&gt;$B$4,"",$A$4+249)</f>
        <v>46272</v>
      </c>
      <c r="N24937" t="str">
        <f>IF(M24937="","",'Master Barang'!A31)</f>
        <v>PRL-030</v>
      </c>
      <c r="O24937" t="str">
        <f>IF(N24937="","",'Master Barang'!B31)</f>
        <v>klip plastik 25x16 100 pcs</v>
      </c>
      <c r="P24937">
        <f>IF(OR(M24937="",N24937=""),"",SUMIFS('Barang Keluar'!$E:$E,'Barang Keluar'!$A:$A,M24937,'Barang Keluar'!$C:$C,N24937))</f>
        <v>0</v>
      </c>
    </row>
    <row r="24938" spans="13:16">
      <c r="M24938" s="49">
        <f>IF($A$4+249&gt;$B$4,"",$A$4+249)</f>
        <v>46272</v>
      </c>
      <c r="N24938" t="str">
        <f>IF(M24938="","",'Master Barang'!A32)</f>
        <v>PRL-031</v>
      </c>
      <c r="O24938" t="str">
        <f>IF(N24938="","",'Master Barang'!B32)</f>
        <v>tempat saus 20 ml</v>
      </c>
      <c r="P24938">
        <f>IF(OR(M24938="",N24938=""),"",SUMIFS('Barang Keluar'!$E:$E,'Barang Keluar'!$A:$A,M24938,'Barang Keluar'!$C:$C,N24938))</f>
        <v>0</v>
      </c>
    </row>
    <row r="24939" spans="13:16">
      <c r="M24939" s="49">
        <f>IF($A$4+249&gt;$B$4,"",$A$4+249)</f>
        <v>46272</v>
      </c>
      <c r="N24939" t="str">
        <f>IF(M24939="","",'Master Barang'!A33)</f>
        <v>PRL-032</v>
      </c>
      <c r="O24939" t="str">
        <f>IF(N24939="","",'Master Barang'!B33)</f>
        <v>plastik packaging ag box uk sedang</v>
      </c>
      <c r="P24939">
        <f>IF(OR(M24939="",N24939=""),"",SUMIFS('Barang Keluar'!$E:$E,'Barang Keluar'!$A:$A,M24939,'Barang Keluar'!$C:$C,N24939))</f>
        <v>0</v>
      </c>
    </row>
    <row r="24940" spans="13:16">
      <c r="M24940" s="49">
        <f>IF($A$4+249&gt;$B$4,"",$A$4+249)</f>
        <v>46272</v>
      </c>
      <c r="N24940" t="str">
        <f>IF(M24940="","",'Master Barang'!A34)</f>
        <v>PRL-033</v>
      </c>
      <c r="O24940">
        <f>IF(N24940="","",'Master Barang'!B34)</f>
        <v>0</v>
      </c>
      <c r="P24940">
        <f>IF(OR(M24940="",N24940=""),"",SUMIFS('Barang Keluar'!$E:$E,'Barang Keluar'!$A:$A,M24940,'Barang Keluar'!$C:$C,N24940))</f>
        <v>0</v>
      </c>
    </row>
    <row r="24941" spans="13:16">
      <c r="M24941" s="49">
        <f>IF($A$4+249&gt;$B$4,"",$A$4+249)</f>
        <v>46272</v>
      </c>
      <c r="N24941">
        <f>IF(M24941="","",'Master Barang'!A35)</f>
        <v>0</v>
      </c>
      <c r="O24941">
        <f>IF(N24941="","",'Master Barang'!B35)</f>
        <v>0</v>
      </c>
      <c r="P24941">
        <f>IF(OR(M24941="",N24941=""),"",SUMIFS('Barang Keluar'!$E:$E,'Barang Keluar'!$A:$A,M24941,'Barang Keluar'!$C:$C,N24941))</f>
        <v>0</v>
      </c>
    </row>
    <row r="24942" spans="13:16">
      <c r="M24942" s="49">
        <f>IF($A$4+249&gt;$B$4,"",$A$4+249)</f>
        <v>46272</v>
      </c>
      <c r="N24942">
        <f>IF(M24942="","",'Master Barang'!A36)</f>
        <v>0</v>
      </c>
      <c r="O24942">
        <f>IF(N24942="","",'Master Barang'!B36)</f>
        <v>0</v>
      </c>
      <c r="P24942">
        <f>IF(OR(M24942="",N24942=""),"",SUMIFS('Barang Keluar'!$E:$E,'Barang Keluar'!$A:$A,M24942,'Barang Keluar'!$C:$C,N24942))</f>
        <v>0</v>
      </c>
    </row>
    <row r="24943" spans="13:16">
      <c r="M24943" s="49">
        <f>IF($A$4+249&gt;$B$4,"",$A$4+249)</f>
        <v>46272</v>
      </c>
      <c r="N24943">
        <f>IF(M24943="","",'Master Barang'!A37)</f>
        <v>0</v>
      </c>
      <c r="O24943">
        <f>IF(N24943="","",'Master Barang'!B37)</f>
        <v>0</v>
      </c>
      <c r="P24943">
        <f>IF(OR(M24943="",N24943=""),"",SUMIFS('Barang Keluar'!$E:$E,'Barang Keluar'!$A:$A,M24943,'Barang Keluar'!$C:$C,N24943))</f>
        <v>0</v>
      </c>
    </row>
    <row r="24944" spans="13:16">
      <c r="M24944" s="49">
        <f>IF($A$4+249&gt;$B$4,"",$A$4+249)</f>
        <v>46272</v>
      </c>
      <c r="N24944">
        <f>IF(M24944="","",'Master Barang'!A38)</f>
        <v>0</v>
      </c>
      <c r="O24944">
        <f>IF(N24944="","",'Master Barang'!B38)</f>
        <v>0</v>
      </c>
      <c r="P24944">
        <f>IF(OR(M24944="",N24944=""),"",SUMIFS('Barang Keluar'!$E:$E,'Barang Keluar'!$A:$A,M24944,'Barang Keluar'!$C:$C,N24944))</f>
        <v>0</v>
      </c>
    </row>
    <row r="24945" spans="13:16">
      <c r="M24945" s="49">
        <f>IF($A$4+249&gt;$B$4,"",$A$4+249)</f>
        <v>46272</v>
      </c>
      <c r="N24945">
        <f>IF(M24945="","",'Master Barang'!A39)</f>
        <v>0</v>
      </c>
      <c r="O24945">
        <f>IF(N24945="","",'Master Barang'!B39)</f>
        <v>0</v>
      </c>
      <c r="P24945">
        <f>IF(OR(M24945="",N24945=""),"",SUMIFS('Barang Keluar'!$E:$E,'Barang Keluar'!$A:$A,M24945,'Barang Keluar'!$C:$C,N24945))</f>
        <v>0</v>
      </c>
    </row>
    <row r="24946" spans="13:16">
      <c r="M24946" s="49">
        <f>IF($A$4+249&gt;$B$4,"",$A$4+249)</f>
        <v>46272</v>
      </c>
      <c r="N24946">
        <f>IF(M24946="","",'Master Barang'!A40)</f>
        <v>0</v>
      </c>
      <c r="O24946">
        <f>IF(N24946="","",'Master Barang'!B40)</f>
        <v>0</v>
      </c>
      <c r="P24946">
        <f>IF(OR(M24946="",N24946=""),"",SUMIFS('Barang Keluar'!$E:$E,'Barang Keluar'!$A:$A,M24946,'Barang Keluar'!$C:$C,N24946))</f>
        <v>0</v>
      </c>
    </row>
    <row r="24947" spans="13:16">
      <c r="M24947" s="49">
        <f>IF($A$4+249&gt;$B$4,"",$A$4+249)</f>
        <v>46272</v>
      </c>
      <c r="N24947">
        <f>IF(M24947="","",'Master Barang'!A41)</f>
        <v>0</v>
      </c>
      <c r="O24947">
        <f>IF(N24947="","",'Master Barang'!B41)</f>
        <v>0</v>
      </c>
      <c r="P24947">
        <f>IF(OR(M24947="",N24947=""),"",SUMIFS('Barang Keluar'!$E:$E,'Barang Keluar'!$A:$A,M24947,'Barang Keluar'!$C:$C,N24947))</f>
        <v>0</v>
      </c>
    </row>
    <row r="24948" spans="13:16">
      <c r="M24948" s="49">
        <f>IF($A$4+249&gt;$B$4,"",$A$4+249)</f>
        <v>46272</v>
      </c>
      <c r="N24948">
        <f>IF(M24948="","",'Master Barang'!A42)</f>
        <v>0</v>
      </c>
      <c r="O24948">
        <f>IF(N24948="","",'Master Barang'!B42)</f>
        <v>0</v>
      </c>
      <c r="P24948">
        <f>IF(OR(M24948="",N24948=""),"",SUMIFS('Barang Keluar'!$E:$E,'Barang Keluar'!$A:$A,M24948,'Barang Keluar'!$C:$C,N24948))</f>
        <v>0</v>
      </c>
    </row>
    <row r="24949" spans="13:16">
      <c r="M24949" s="49">
        <f>IF($A$4+249&gt;$B$4,"",$A$4+249)</f>
        <v>46272</v>
      </c>
      <c r="N24949">
        <f>IF(M24949="","",'Master Barang'!A43)</f>
        <v>0</v>
      </c>
      <c r="O24949">
        <f>IF(N24949="","",'Master Barang'!B43)</f>
        <v>0</v>
      </c>
      <c r="P24949">
        <f>IF(OR(M24949="",N24949=""),"",SUMIFS('Barang Keluar'!$E:$E,'Barang Keluar'!$A:$A,M24949,'Barang Keluar'!$C:$C,N24949))</f>
        <v>0</v>
      </c>
    </row>
    <row r="24950" spans="13:16">
      <c r="M24950" s="49">
        <f>IF($A$4+249&gt;$B$4,"",$A$4+249)</f>
        <v>46272</v>
      </c>
      <c r="N24950">
        <f>IF(M24950="","",'Master Barang'!A44)</f>
        <v>0</v>
      </c>
      <c r="O24950">
        <f>IF(N24950="","",'Master Barang'!B44)</f>
        <v>0</v>
      </c>
      <c r="P24950">
        <f>IF(OR(M24950="",N24950=""),"",SUMIFS('Barang Keluar'!$E:$E,'Barang Keluar'!$A:$A,M24950,'Barang Keluar'!$C:$C,N24950))</f>
        <v>0</v>
      </c>
    </row>
    <row r="24951" spans="13:16">
      <c r="M24951" s="49">
        <f>IF($A$4+249&gt;$B$4,"",$A$4+249)</f>
        <v>46272</v>
      </c>
      <c r="N24951">
        <f>IF(M24951="","",'Master Barang'!A45)</f>
        <v>0</v>
      </c>
      <c r="O24951">
        <f>IF(N24951="","",'Master Barang'!B45)</f>
        <v>0</v>
      </c>
      <c r="P24951">
        <f>IF(OR(M24951="",N24951=""),"",SUMIFS('Barang Keluar'!$E:$E,'Barang Keluar'!$A:$A,M24951,'Barang Keluar'!$C:$C,N24951))</f>
        <v>0</v>
      </c>
    </row>
    <row r="24952" spans="13:16">
      <c r="M24952" s="49">
        <f>IF($A$4+249&gt;$B$4,"",$A$4+249)</f>
        <v>46272</v>
      </c>
      <c r="N24952">
        <f>IF(M24952="","",'Master Barang'!A46)</f>
        <v>0</v>
      </c>
      <c r="O24952">
        <f>IF(N24952="","",'Master Barang'!B46)</f>
        <v>0</v>
      </c>
      <c r="P24952">
        <f>IF(OR(M24952="",N24952=""),"",SUMIFS('Barang Keluar'!$E:$E,'Barang Keluar'!$A:$A,M24952,'Barang Keluar'!$C:$C,N24952))</f>
        <v>0</v>
      </c>
    </row>
    <row r="24953" spans="13:16">
      <c r="M24953" s="49">
        <f>IF($A$4+249&gt;$B$4,"",$A$4+249)</f>
        <v>46272</v>
      </c>
      <c r="N24953">
        <f>IF(M24953="","",'Master Barang'!A47)</f>
        <v>0</v>
      </c>
      <c r="O24953">
        <f>IF(N24953="","",'Master Barang'!B47)</f>
        <v>0</v>
      </c>
      <c r="P24953">
        <f>IF(OR(M24953="",N24953=""),"",SUMIFS('Barang Keluar'!$E:$E,'Barang Keluar'!$A:$A,M24953,'Barang Keluar'!$C:$C,N24953))</f>
        <v>0</v>
      </c>
    </row>
    <row r="24954" spans="13:16">
      <c r="M24954" s="49">
        <f>IF($A$4+249&gt;$B$4,"",$A$4+249)</f>
        <v>46272</v>
      </c>
      <c r="N24954">
        <f>IF(M24954="","",'Master Barang'!A48)</f>
        <v>0</v>
      </c>
      <c r="O24954">
        <f>IF(N24954="","",'Master Barang'!B48)</f>
        <v>0</v>
      </c>
      <c r="P24954">
        <f>IF(OR(M24954="",N24954=""),"",SUMIFS('Barang Keluar'!$E:$E,'Barang Keluar'!$A:$A,M24954,'Barang Keluar'!$C:$C,N24954))</f>
        <v>0</v>
      </c>
    </row>
    <row r="24955" spans="13:16">
      <c r="M24955" s="49">
        <f>IF($A$4+249&gt;$B$4,"",$A$4+249)</f>
        <v>46272</v>
      </c>
      <c r="N24955">
        <f>IF(M24955="","",'Master Barang'!A49)</f>
        <v>0</v>
      </c>
      <c r="O24955">
        <f>IF(N24955="","",'Master Barang'!B49)</f>
        <v>0</v>
      </c>
      <c r="P24955">
        <f>IF(OR(M24955="",N24955=""),"",SUMIFS('Barang Keluar'!$E:$E,'Barang Keluar'!$A:$A,M24955,'Barang Keluar'!$C:$C,N24955))</f>
        <v>0</v>
      </c>
    </row>
    <row r="24956" spans="13:16">
      <c r="M24956" s="49">
        <f>IF($A$4+249&gt;$B$4,"",$A$4+249)</f>
        <v>46272</v>
      </c>
      <c r="N24956">
        <f>IF(M24956="","",'Master Barang'!A50)</f>
        <v>0</v>
      </c>
      <c r="O24956">
        <f>IF(N24956="","",'Master Barang'!B50)</f>
        <v>0</v>
      </c>
      <c r="P24956">
        <f>IF(OR(M24956="",N24956=""),"",SUMIFS('Barang Keluar'!$E:$E,'Barang Keluar'!$A:$A,M24956,'Barang Keluar'!$C:$C,N24956))</f>
        <v>0</v>
      </c>
    </row>
    <row r="24957" spans="13:16">
      <c r="M24957" s="49">
        <f>IF($A$4+249&gt;$B$4,"",$A$4+249)</f>
        <v>46272</v>
      </c>
      <c r="N24957">
        <f>IF(M24957="","",'Master Barang'!A51)</f>
        <v>0</v>
      </c>
      <c r="O24957">
        <f>IF(N24957="","",'Master Barang'!B51)</f>
        <v>0</v>
      </c>
      <c r="P24957">
        <f>IF(OR(M24957="",N24957=""),"",SUMIFS('Barang Keluar'!$E:$E,'Barang Keluar'!$A:$A,M24957,'Barang Keluar'!$C:$C,N24957))</f>
        <v>0</v>
      </c>
    </row>
    <row r="24958" spans="13:16">
      <c r="M24958" s="49">
        <f>IF($A$4+249&gt;$B$4,"",$A$4+249)</f>
        <v>46272</v>
      </c>
      <c r="N24958">
        <f>IF(M24958="","",'Master Barang'!A52)</f>
        <v>0</v>
      </c>
      <c r="O24958">
        <f>IF(N24958="","",'Master Barang'!B52)</f>
        <v>0</v>
      </c>
      <c r="P24958">
        <f>IF(OR(M24958="",N24958=""),"",SUMIFS('Barang Keluar'!$E:$E,'Barang Keluar'!$A:$A,M24958,'Barang Keluar'!$C:$C,N24958))</f>
        <v>0</v>
      </c>
    </row>
    <row r="24959" spans="13:16">
      <c r="M24959" s="49">
        <f>IF($A$4+249&gt;$B$4,"",$A$4+249)</f>
        <v>46272</v>
      </c>
      <c r="N24959">
        <f>IF(M24959="","",'Master Barang'!A53)</f>
        <v>0</v>
      </c>
      <c r="O24959">
        <f>IF(N24959="","",'Master Barang'!B53)</f>
        <v>0</v>
      </c>
      <c r="P24959">
        <f>IF(OR(M24959="",N24959=""),"",SUMIFS('Barang Keluar'!$E:$E,'Barang Keluar'!$A:$A,M24959,'Barang Keluar'!$C:$C,N24959))</f>
        <v>0</v>
      </c>
    </row>
    <row r="24960" spans="13:16">
      <c r="M24960" s="49">
        <f>IF($A$4+249&gt;$B$4,"",$A$4+249)</f>
        <v>46272</v>
      </c>
      <c r="N24960">
        <f>IF(M24960="","",'Master Barang'!A54)</f>
        <v>0</v>
      </c>
      <c r="O24960">
        <f>IF(N24960="","",'Master Barang'!B54)</f>
        <v>0</v>
      </c>
      <c r="P24960">
        <f>IF(OR(M24960="",N24960=""),"",SUMIFS('Barang Keluar'!$E:$E,'Barang Keluar'!$A:$A,M24960,'Barang Keluar'!$C:$C,N24960))</f>
        <v>0</v>
      </c>
    </row>
    <row r="24961" spans="13:16">
      <c r="M24961" s="49">
        <f>IF($A$4+249&gt;$B$4,"",$A$4+249)</f>
        <v>46272</v>
      </c>
      <c r="N24961">
        <f>IF(M24961="","",'Master Barang'!A55)</f>
        <v>0</v>
      </c>
      <c r="O24961">
        <f>IF(N24961="","",'Master Barang'!B55)</f>
        <v>0</v>
      </c>
      <c r="P24961">
        <f>IF(OR(M24961="",N24961=""),"",SUMIFS('Barang Keluar'!$E:$E,'Barang Keluar'!$A:$A,M24961,'Barang Keluar'!$C:$C,N24961))</f>
        <v>0</v>
      </c>
    </row>
    <row r="24962" spans="13:16">
      <c r="M24962" s="49">
        <f>IF($A$4+249&gt;$B$4,"",$A$4+249)</f>
        <v>46272</v>
      </c>
      <c r="N24962">
        <f>IF(M24962="","",'Master Barang'!A56)</f>
        <v>0</v>
      </c>
      <c r="O24962">
        <f>IF(N24962="","",'Master Barang'!B56)</f>
        <v>0</v>
      </c>
      <c r="P24962">
        <f>IF(OR(M24962="",N24962=""),"",SUMIFS('Barang Keluar'!$E:$E,'Barang Keluar'!$A:$A,M24962,'Barang Keluar'!$C:$C,N24962))</f>
        <v>0</v>
      </c>
    </row>
    <row r="24963" spans="13:16">
      <c r="M24963" s="49">
        <f>IF($A$4+249&gt;$B$4,"",$A$4+249)</f>
        <v>46272</v>
      </c>
      <c r="N24963">
        <f>IF(M24963="","",'Master Barang'!A57)</f>
        <v>0</v>
      </c>
      <c r="O24963">
        <f>IF(N24963="","",'Master Barang'!B57)</f>
        <v>0</v>
      </c>
      <c r="P24963">
        <f>IF(OR(M24963="",N24963=""),"",SUMIFS('Barang Keluar'!$E:$E,'Barang Keluar'!$A:$A,M24963,'Barang Keluar'!$C:$C,N24963))</f>
        <v>0</v>
      </c>
    </row>
    <row r="24964" spans="13:16">
      <c r="M24964" s="49">
        <f>IF($A$4+249&gt;$B$4,"",$A$4+249)</f>
        <v>46272</v>
      </c>
      <c r="N24964">
        <f>IF(M24964="","",'Master Barang'!A58)</f>
        <v>0</v>
      </c>
      <c r="O24964">
        <f>IF(N24964="","",'Master Barang'!B58)</f>
        <v>0</v>
      </c>
      <c r="P24964">
        <f>IF(OR(M24964="",N24964=""),"",SUMIFS('Barang Keluar'!$E:$E,'Barang Keluar'!$A:$A,M24964,'Barang Keluar'!$C:$C,N24964))</f>
        <v>0</v>
      </c>
    </row>
    <row r="24965" spans="13:16">
      <c r="M24965" s="49">
        <f>IF($A$4+249&gt;$B$4,"",$A$4+249)</f>
        <v>46272</v>
      </c>
      <c r="N24965">
        <f>IF(M24965="","",'Master Barang'!A59)</f>
        <v>0</v>
      </c>
      <c r="O24965">
        <f>IF(N24965="","",'Master Barang'!B59)</f>
        <v>0</v>
      </c>
      <c r="P24965">
        <f>IF(OR(M24965="",N24965=""),"",SUMIFS('Barang Keluar'!$E:$E,'Barang Keluar'!$A:$A,M24965,'Barang Keluar'!$C:$C,N24965))</f>
        <v>0</v>
      </c>
    </row>
    <row r="24966" spans="13:16">
      <c r="M24966" s="49">
        <f>IF($A$4+249&gt;$B$4,"",$A$4+249)</f>
        <v>46272</v>
      </c>
      <c r="N24966">
        <f>IF(M24966="","",'Master Barang'!A60)</f>
        <v>0</v>
      </c>
      <c r="O24966">
        <f>IF(N24966="","",'Master Barang'!B60)</f>
        <v>0</v>
      </c>
      <c r="P24966">
        <f>IF(OR(M24966="",N24966=""),"",SUMIFS('Barang Keluar'!$E:$E,'Barang Keluar'!$A:$A,M24966,'Barang Keluar'!$C:$C,N24966))</f>
        <v>0</v>
      </c>
    </row>
    <row r="24967" spans="13:16">
      <c r="M24967" s="49">
        <f>IF($A$4+249&gt;$B$4,"",$A$4+249)</f>
        <v>46272</v>
      </c>
      <c r="N24967">
        <f>IF(M24967="","",'Master Barang'!A61)</f>
        <v>0</v>
      </c>
      <c r="O24967">
        <f>IF(N24967="","",'Master Barang'!B61)</f>
        <v>0</v>
      </c>
      <c r="P24967">
        <f>IF(OR(M24967="",N24967=""),"",SUMIFS('Barang Keluar'!$E:$E,'Barang Keluar'!$A:$A,M24967,'Barang Keluar'!$C:$C,N24967))</f>
        <v>0</v>
      </c>
    </row>
    <row r="24968" spans="13:16">
      <c r="M24968" s="49">
        <f>IF($A$4+249&gt;$B$4,"",$A$4+249)</f>
        <v>46272</v>
      </c>
      <c r="N24968">
        <f>IF(M24968="","",'Master Barang'!A62)</f>
        <v>0</v>
      </c>
      <c r="O24968">
        <f>IF(N24968="","",'Master Barang'!B62)</f>
        <v>0</v>
      </c>
      <c r="P24968">
        <f>IF(OR(M24968="",N24968=""),"",SUMIFS('Barang Keluar'!$E:$E,'Barang Keluar'!$A:$A,M24968,'Barang Keluar'!$C:$C,N24968))</f>
        <v>0</v>
      </c>
    </row>
    <row r="24969" spans="13:16">
      <c r="M24969" s="49">
        <f>IF($A$4+249&gt;$B$4,"",$A$4+249)</f>
        <v>46272</v>
      </c>
      <c r="N24969">
        <f>IF(M24969="","",'Master Barang'!A63)</f>
        <v>0</v>
      </c>
      <c r="O24969">
        <f>IF(N24969="","",'Master Barang'!B63)</f>
        <v>0</v>
      </c>
      <c r="P24969">
        <f>IF(OR(M24969="",N24969=""),"",SUMIFS('Barang Keluar'!$E:$E,'Barang Keluar'!$A:$A,M24969,'Barang Keluar'!$C:$C,N24969))</f>
        <v>0</v>
      </c>
    </row>
    <row r="24970" spans="13:16">
      <c r="M24970" s="49">
        <f>IF($A$4+249&gt;$B$4,"",$A$4+249)</f>
        <v>46272</v>
      </c>
      <c r="N24970">
        <f>IF(M24970="","",'Master Barang'!A64)</f>
        <v>0</v>
      </c>
      <c r="O24970">
        <f>IF(N24970="","",'Master Barang'!B64)</f>
        <v>0</v>
      </c>
      <c r="P24970">
        <f>IF(OR(M24970="",N24970=""),"",SUMIFS('Barang Keluar'!$E:$E,'Barang Keluar'!$A:$A,M24970,'Barang Keluar'!$C:$C,N24970))</f>
        <v>0</v>
      </c>
    </row>
    <row r="24971" spans="13:16">
      <c r="M24971" s="49">
        <f>IF($A$4+249&gt;$B$4,"",$A$4+249)</f>
        <v>46272</v>
      </c>
      <c r="N24971">
        <f>IF(M24971="","",'Master Barang'!A65)</f>
        <v>0</v>
      </c>
      <c r="O24971">
        <f>IF(N24971="","",'Master Barang'!B65)</f>
        <v>0</v>
      </c>
      <c r="P24971">
        <f>IF(OR(M24971="",N24971=""),"",SUMIFS('Barang Keluar'!$E:$E,'Barang Keluar'!$A:$A,M24971,'Barang Keluar'!$C:$C,N24971))</f>
        <v>0</v>
      </c>
    </row>
    <row r="24972" spans="13:16">
      <c r="M24972" s="49">
        <f>IF($A$4+249&gt;$B$4,"",$A$4+249)</f>
        <v>46272</v>
      </c>
      <c r="N24972">
        <f>IF(M24972="","",'Master Barang'!A66)</f>
        <v>0</v>
      </c>
      <c r="O24972">
        <f>IF(N24972="","",'Master Barang'!B66)</f>
        <v>0</v>
      </c>
      <c r="P24972">
        <f>IF(OR(M24972="",N24972=""),"",SUMIFS('Barang Keluar'!$E:$E,'Barang Keluar'!$A:$A,M24972,'Barang Keluar'!$C:$C,N24972))</f>
        <v>0</v>
      </c>
    </row>
    <row r="24973" spans="13:16">
      <c r="M24973" s="49">
        <f>IF($A$4+249&gt;$B$4,"",$A$4+249)</f>
        <v>46272</v>
      </c>
      <c r="N24973">
        <f>IF(M24973="","",'Master Barang'!A67)</f>
        <v>0</v>
      </c>
      <c r="O24973">
        <f>IF(N24973="","",'Master Barang'!B67)</f>
        <v>0</v>
      </c>
      <c r="P24973">
        <f>IF(OR(M24973="",N24973=""),"",SUMIFS('Barang Keluar'!$E:$E,'Barang Keluar'!$A:$A,M24973,'Barang Keluar'!$C:$C,N24973))</f>
        <v>0</v>
      </c>
    </row>
    <row r="24974" spans="13:16">
      <c r="M24974" s="49">
        <f>IF($A$4+249&gt;$B$4,"",$A$4+249)</f>
        <v>46272</v>
      </c>
      <c r="N24974">
        <f>IF(M24974="","",'Master Barang'!A68)</f>
        <v>0</v>
      </c>
      <c r="O24974">
        <f>IF(N24974="","",'Master Barang'!B68)</f>
        <v>0</v>
      </c>
      <c r="P24974">
        <f>IF(OR(M24974="",N24974=""),"",SUMIFS('Barang Keluar'!$E:$E,'Barang Keluar'!$A:$A,M24974,'Barang Keluar'!$C:$C,N24974))</f>
        <v>0</v>
      </c>
    </row>
    <row r="24975" spans="13:16">
      <c r="M24975" s="49">
        <f>IF($A$4+249&gt;$B$4,"",$A$4+249)</f>
        <v>46272</v>
      </c>
      <c r="N24975">
        <f>IF(M24975="","",'Master Barang'!A69)</f>
        <v>0</v>
      </c>
      <c r="O24975">
        <f>IF(N24975="","",'Master Barang'!B69)</f>
        <v>0</v>
      </c>
      <c r="P24975">
        <f>IF(OR(M24975="",N24975=""),"",SUMIFS('Barang Keluar'!$E:$E,'Barang Keluar'!$A:$A,M24975,'Barang Keluar'!$C:$C,N24975))</f>
        <v>0</v>
      </c>
    </row>
    <row r="24976" spans="13:16">
      <c r="M24976" s="49">
        <f>IF($A$4+249&gt;$B$4,"",$A$4+249)</f>
        <v>46272</v>
      </c>
      <c r="N24976">
        <f>IF(M24976="","",'Master Barang'!A70)</f>
        <v>0</v>
      </c>
      <c r="O24976">
        <f>IF(N24976="","",'Master Barang'!B70)</f>
        <v>0</v>
      </c>
      <c r="P24976">
        <f>IF(OR(M24976="",N24976=""),"",SUMIFS('Barang Keluar'!$E:$E,'Barang Keluar'!$A:$A,M24976,'Barang Keluar'!$C:$C,N24976))</f>
        <v>0</v>
      </c>
    </row>
    <row r="24977" spans="13:16">
      <c r="M24977" s="49">
        <f>IF($A$4+249&gt;$B$4,"",$A$4+249)</f>
        <v>46272</v>
      </c>
      <c r="N24977">
        <f>IF(M24977="","",'Master Barang'!A71)</f>
        <v>0</v>
      </c>
      <c r="O24977">
        <f>IF(N24977="","",'Master Barang'!B71)</f>
        <v>0</v>
      </c>
      <c r="P24977">
        <f>IF(OR(M24977="",N24977=""),"",SUMIFS('Barang Keluar'!$E:$E,'Barang Keluar'!$A:$A,M24977,'Barang Keluar'!$C:$C,N24977))</f>
        <v>0</v>
      </c>
    </row>
    <row r="24978" spans="13:16">
      <c r="M24978" s="49">
        <f>IF($A$4+249&gt;$B$4,"",$A$4+249)</f>
        <v>46272</v>
      </c>
      <c r="N24978">
        <f>IF(M24978="","",'Master Barang'!A72)</f>
        <v>0</v>
      </c>
      <c r="O24978">
        <f>IF(N24978="","",'Master Barang'!B72)</f>
        <v>0</v>
      </c>
      <c r="P24978">
        <f>IF(OR(M24978="",N24978=""),"",SUMIFS('Barang Keluar'!$E:$E,'Barang Keluar'!$A:$A,M24978,'Barang Keluar'!$C:$C,N24978))</f>
        <v>0</v>
      </c>
    </row>
    <row r="24979" spans="13:16">
      <c r="M24979" s="49">
        <f>IF($A$4+249&gt;$B$4,"",$A$4+249)</f>
        <v>46272</v>
      </c>
      <c r="N24979">
        <f>IF(M24979="","",'Master Barang'!A73)</f>
        <v>0</v>
      </c>
      <c r="O24979">
        <f>IF(N24979="","",'Master Barang'!B73)</f>
        <v>0</v>
      </c>
      <c r="P24979">
        <f>IF(OR(M24979="",N24979=""),"",SUMIFS('Barang Keluar'!$E:$E,'Barang Keluar'!$A:$A,M24979,'Barang Keluar'!$C:$C,N24979))</f>
        <v>0</v>
      </c>
    </row>
    <row r="24980" spans="13:16">
      <c r="M24980" s="49">
        <f>IF($A$4+249&gt;$B$4,"",$A$4+249)</f>
        <v>46272</v>
      </c>
      <c r="N24980">
        <f>IF(M24980="","",'Master Barang'!A74)</f>
        <v>0</v>
      </c>
      <c r="O24980">
        <f>IF(N24980="","",'Master Barang'!B74)</f>
        <v>0</v>
      </c>
      <c r="P24980">
        <f>IF(OR(M24980="",N24980=""),"",SUMIFS('Barang Keluar'!$E:$E,'Barang Keluar'!$A:$A,M24980,'Barang Keluar'!$C:$C,N24980))</f>
        <v>0</v>
      </c>
    </row>
    <row r="24981" spans="13:16">
      <c r="M24981" s="49">
        <f>IF($A$4+249&gt;$B$4,"",$A$4+249)</f>
        <v>46272</v>
      </c>
      <c r="N24981">
        <f>IF(M24981="","",'Master Barang'!A75)</f>
        <v>0</v>
      </c>
      <c r="O24981">
        <f>IF(N24981="","",'Master Barang'!B75)</f>
        <v>0</v>
      </c>
      <c r="P24981">
        <f>IF(OR(M24981="",N24981=""),"",SUMIFS('Barang Keluar'!$E:$E,'Barang Keluar'!$A:$A,M24981,'Barang Keluar'!$C:$C,N24981))</f>
        <v>0</v>
      </c>
    </row>
    <row r="24982" spans="13:16">
      <c r="M24982" s="49">
        <f>IF($A$4+249&gt;$B$4,"",$A$4+249)</f>
        <v>46272</v>
      </c>
      <c r="N24982">
        <f>IF(M24982="","",'Master Barang'!A76)</f>
        <v>0</v>
      </c>
      <c r="O24982">
        <f>IF(N24982="","",'Master Barang'!B76)</f>
        <v>0</v>
      </c>
      <c r="P24982">
        <f>IF(OR(M24982="",N24982=""),"",SUMIFS('Barang Keluar'!$E:$E,'Barang Keluar'!$A:$A,M24982,'Barang Keluar'!$C:$C,N24982))</f>
        <v>0</v>
      </c>
    </row>
    <row r="24983" spans="13:16">
      <c r="M24983" s="49">
        <f>IF($A$4+249&gt;$B$4,"",$A$4+249)</f>
        <v>46272</v>
      </c>
      <c r="N24983">
        <f>IF(M24983="","",'Master Barang'!A77)</f>
        <v>0</v>
      </c>
      <c r="O24983">
        <f>IF(N24983="","",'Master Barang'!B77)</f>
        <v>0</v>
      </c>
      <c r="P24983">
        <f>IF(OR(M24983="",N24983=""),"",SUMIFS('Barang Keluar'!$E:$E,'Barang Keluar'!$A:$A,M24983,'Barang Keluar'!$C:$C,N24983))</f>
        <v>0</v>
      </c>
    </row>
    <row r="24984" spans="13:16">
      <c r="M24984" s="49">
        <f>IF($A$4+249&gt;$B$4,"",$A$4+249)</f>
        <v>46272</v>
      </c>
      <c r="N24984">
        <f>IF(M24984="","",'Master Barang'!A78)</f>
        <v>0</v>
      </c>
      <c r="O24984">
        <f>IF(N24984="","",'Master Barang'!B78)</f>
        <v>0</v>
      </c>
      <c r="P24984">
        <f>IF(OR(M24984="",N24984=""),"",SUMIFS('Barang Keluar'!$E:$E,'Barang Keluar'!$A:$A,M24984,'Barang Keluar'!$C:$C,N24984))</f>
        <v>0</v>
      </c>
    </row>
    <row r="24985" spans="13:16">
      <c r="M24985" s="49">
        <f>IF($A$4+249&gt;$B$4,"",$A$4+249)</f>
        <v>46272</v>
      </c>
      <c r="N24985">
        <f>IF(M24985="","",'Master Barang'!A79)</f>
        <v>0</v>
      </c>
      <c r="O24985">
        <f>IF(N24985="","",'Master Barang'!B79)</f>
        <v>0</v>
      </c>
      <c r="P24985">
        <f>IF(OR(M24985="",N24985=""),"",SUMIFS('Barang Keluar'!$E:$E,'Barang Keluar'!$A:$A,M24985,'Barang Keluar'!$C:$C,N24985))</f>
        <v>0</v>
      </c>
    </row>
    <row r="24986" spans="13:16">
      <c r="M24986" s="49">
        <f>IF($A$4+249&gt;$B$4,"",$A$4+249)</f>
        <v>46272</v>
      </c>
      <c r="N24986">
        <f>IF(M24986="","",'Master Barang'!A80)</f>
        <v>0</v>
      </c>
      <c r="O24986">
        <f>IF(N24986="","",'Master Barang'!B80)</f>
        <v>0</v>
      </c>
      <c r="P24986">
        <f>IF(OR(M24986="",N24986=""),"",SUMIFS('Barang Keluar'!$E:$E,'Barang Keluar'!$A:$A,M24986,'Barang Keluar'!$C:$C,N24986))</f>
        <v>0</v>
      </c>
    </row>
    <row r="24987" spans="13:16">
      <c r="M24987" s="49">
        <f>IF($A$4+249&gt;$B$4,"",$A$4+249)</f>
        <v>46272</v>
      </c>
      <c r="N24987">
        <f>IF(M24987="","",'Master Barang'!A81)</f>
        <v>0</v>
      </c>
      <c r="O24987">
        <f>IF(N24987="","",'Master Barang'!B81)</f>
        <v>0</v>
      </c>
      <c r="P24987">
        <f>IF(OR(M24987="",N24987=""),"",SUMIFS('Barang Keluar'!$E:$E,'Barang Keluar'!$A:$A,M24987,'Barang Keluar'!$C:$C,N24987))</f>
        <v>0</v>
      </c>
    </row>
    <row r="24988" spans="13:16">
      <c r="M24988" s="49">
        <f>IF($A$4+249&gt;$B$4,"",$A$4+249)</f>
        <v>46272</v>
      </c>
      <c r="N24988">
        <f>IF(M24988="","",'Master Barang'!A82)</f>
        <v>0</v>
      </c>
      <c r="O24988">
        <f>IF(N24988="","",'Master Barang'!B82)</f>
        <v>0</v>
      </c>
      <c r="P24988">
        <f>IF(OR(M24988="",N24988=""),"",SUMIFS('Barang Keluar'!$E:$E,'Barang Keluar'!$A:$A,M24988,'Barang Keluar'!$C:$C,N24988))</f>
        <v>0</v>
      </c>
    </row>
    <row r="24989" spans="13:16">
      <c r="M24989" s="49">
        <f>IF($A$4+249&gt;$B$4,"",$A$4+249)</f>
        <v>46272</v>
      </c>
      <c r="N24989">
        <f>IF(M24989="","",'Master Barang'!A83)</f>
        <v>0</v>
      </c>
      <c r="O24989">
        <f>IF(N24989="","",'Master Barang'!B83)</f>
        <v>0</v>
      </c>
      <c r="P24989">
        <f>IF(OR(M24989="",N24989=""),"",SUMIFS('Barang Keluar'!$E:$E,'Barang Keluar'!$A:$A,M24989,'Barang Keluar'!$C:$C,N24989))</f>
        <v>0</v>
      </c>
    </row>
    <row r="24990" spans="13:16">
      <c r="M24990" s="49">
        <f>IF($A$4+249&gt;$B$4,"",$A$4+249)</f>
        <v>46272</v>
      </c>
      <c r="N24990">
        <f>IF(M24990="","",'Master Barang'!A84)</f>
        <v>0</v>
      </c>
      <c r="O24990">
        <f>IF(N24990="","",'Master Barang'!B84)</f>
        <v>0</v>
      </c>
      <c r="P24990">
        <f>IF(OR(M24990="",N24990=""),"",SUMIFS('Barang Keluar'!$E:$E,'Barang Keluar'!$A:$A,M24990,'Barang Keluar'!$C:$C,N24990))</f>
        <v>0</v>
      </c>
    </row>
    <row r="24991" spans="13:16">
      <c r="M24991" s="49">
        <f>IF($A$4+249&gt;$B$4,"",$A$4+249)</f>
        <v>46272</v>
      </c>
      <c r="N24991">
        <f>IF(M24991="","",'Master Barang'!A85)</f>
        <v>0</v>
      </c>
      <c r="O24991">
        <f>IF(N24991="","",'Master Barang'!B85)</f>
        <v>0</v>
      </c>
      <c r="P24991">
        <f>IF(OR(M24991="",N24991=""),"",SUMIFS('Barang Keluar'!$E:$E,'Barang Keluar'!$A:$A,M24991,'Barang Keluar'!$C:$C,N24991))</f>
        <v>0</v>
      </c>
    </row>
    <row r="24992" spans="13:16">
      <c r="M24992" s="49">
        <f>IF($A$4+249&gt;$B$4,"",$A$4+249)</f>
        <v>46272</v>
      </c>
      <c r="N24992">
        <f>IF(M24992="","",'Master Barang'!A86)</f>
        <v>0</v>
      </c>
      <c r="O24992">
        <f>IF(N24992="","",'Master Barang'!B86)</f>
        <v>0</v>
      </c>
      <c r="P24992">
        <f>IF(OR(M24992="",N24992=""),"",SUMIFS('Barang Keluar'!$E:$E,'Barang Keluar'!$A:$A,M24992,'Barang Keluar'!$C:$C,N24992))</f>
        <v>0</v>
      </c>
    </row>
    <row r="24993" spans="13:16">
      <c r="M24993" s="49">
        <f>IF($A$4+249&gt;$B$4,"",$A$4+249)</f>
        <v>46272</v>
      </c>
      <c r="N24993">
        <f>IF(M24993="","",'Master Barang'!A87)</f>
        <v>0</v>
      </c>
      <c r="O24993">
        <f>IF(N24993="","",'Master Barang'!B87)</f>
        <v>0</v>
      </c>
      <c r="P24993">
        <f>IF(OR(M24993="",N24993=""),"",SUMIFS('Barang Keluar'!$E:$E,'Barang Keluar'!$A:$A,M24993,'Barang Keluar'!$C:$C,N24993))</f>
        <v>0</v>
      </c>
    </row>
    <row r="24994" spans="13:16">
      <c r="M24994" s="49">
        <f>IF($A$4+249&gt;$B$4,"",$A$4+249)</f>
        <v>46272</v>
      </c>
      <c r="N24994">
        <f>IF(M24994="","",'Master Barang'!A88)</f>
        <v>0</v>
      </c>
      <c r="O24994">
        <f>IF(N24994="","",'Master Barang'!B88)</f>
        <v>0</v>
      </c>
      <c r="P24994">
        <f>IF(OR(M24994="",N24994=""),"",SUMIFS('Barang Keluar'!$E:$E,'Barang Keluar'!$A:$A,M24994,'Barang Keluar'!$C:$C,N24994))</f>
        <v>0</v>
      </c>
    </row>
    <row r="24995" spans="13:16">
      <c r="M24995" s="49">
        <f>IF($A$4+249&gt;$B$4,"",$A$4+249)</f>
        <v>46272</v>
      </c>
      <c r="N24995">
        <f>IF(M24995="","",'Master Barang'!A89)</f>
        <v>0</v>
      </c>
      <c r="O24995">
        <f>IF(N24995="","",'Master Barang'!B89)</f>
        <v>0</v>
      </c>
      <c r="P24995">
        <f>IF(OR(M24995="",N24995=""),"",SUMIFS('Barang Keluar'!$E:$E,'Barang Keluar'!$A:$A,M24995,'Barang Keluar'!$C:$C,N24995))</f>
        <v>0</v>
      </c>
    </row>
    <row r="24996" spans="13:16">
      <c r="M24996" s="49">
        <f>IF($A$4+249&gt;$B$4,"",$A$4+249)</f>
        <v>46272</v>
      </c>
      <c r="N24996">
        <f>IF(M24996="","",'Master Barang'!A90)</f>
        <v>0</v>
      </c>
      <c r="O24996">
        <f>IF(N24996="","",'Master Barang'!B90)</f>
        <v>0</v>
      </c>
      <c r="P24996">
        <f>IF(OR(M24996="",N24996=""),"",SUMIFS('Barang Keluar'!$E:$E,'Barang Keluar'!$A:$A,M24996,'Barang Keluar'!$C:$C,N24996))</f>
        <v>0</v>
      </c>
    </row>
    <row r="24997" spans="13:16">
      <c r="M24997" s="49">
        <f>IF($A$4+249&gt;$B$4,"",$A$4+249)</f>
        <v>46272</v>
      </c>
      <c r="N24997">
        <f>IF(M24997="","",'Master Barang'!A91)</f>
        <v>0</v>
      </c>
      <c r="O24997">
        <f>IF(N24997="","",'Master Barang'!B91)</f>
        <v>0</v>
      </c>
      <c r="P24997">
        <f>IF(OR(M24997="",N24997=""),"",SUMIFS('Barang Keluar'!$E:$E,'Barang Keluar'!$A:$A,M24997,'Barang Keluar'!$C:$C,N24997))</f>
        <v>0</v>
      </c>
    </row>
    <row r="24998" spans="13:16">
      <c r="M24998" s="49">
        <f>IF($A$4+249&gt;$B$4,"",$A$4+249)</f>
        <v>46272</v>
      </c>
      <c r="N24998">
        <f>IF(M24998="","",'Master Barang'!A92)</f>
        <v>0</v>
      </c>
      <c r="O24998">
        <f>IF(N24998="","",'Master Barang'!B92)</f>
        <v>0</v>
      </c>
      <c r="P24998">
        <f>IF(OR(M24998="",N24998=""),"",SUMIFS('Barang Keluar'!$E:$E,'Barang Keluar'!$A:$A,M24998,'Barang Keluar'!$C:$C,N24998))</f>
        <v>0</v>
      </c>
    </row>
    <row r="24999" spans="13:16">
      <c r="M24999" s="49">
        <f>IF($A$4+249&gt;$B$4,"",$A$4+249)</f>
        <v>46272</v>
      </c>
      <c r="N24999">
        <f>IF(M24999="","",'Master Barang'!A93)</f>
        <v>0</v>
      </c>
      <c r="O24999">
        <f>IF(N24999="","",'Master Barang'!B93)</f>
        <v>0</v>
      </c>
      <c r="P24999">
        <f>IF(OR(M24999="",N24999=""),"",SUMIFS('Barang Keluar'!$E:$E,'Barang Keluar'!$A:$A,M24999,'Barang Keluar'!$C:$C,N24999))</f>
        <v>0</v>
      </c>
    </row>
    <row r="25000" spans="13:16">
      <c r="M25000" s="49">
        <f>IF($A$4+249&gt;$B$4,"",$A$4+249)</f>
        <v>46272</v>
      </c>
      <c r="N25000">
        <f>IF(M25000="","",'Master Barang'!A94)</f>
        <v>0</v>
      </c>
      <c r="O25000">
        <f>IF(N25000="","",'Master Barang'!B94)</f>
        <v>0</v>
      </c>
      <c r="P25000">
        <f>IF(OR(M25000="",N25000=""),"",SUMIFS('Barang Keluar'!$E:$E,'Barang Keluar'!$A:$A,M25000,'Barang Keluar'!$C:$C,N25000))</f>
        <v>0</v>
      </c>
    </row>
    <row r="25001" spans="13:16">
      <c r="M25001" s="49">
        <f>IF($A$4+249&gt;$B$4,"",$A$4+249)</f>
        <v>46272</v>
      </c>
      <c r="N25001">
        <f>IF(M25001="","",'Master Barang'!A95)</f>
        <v>0</v>
      </c>
      <c r="O25001">
        <f>IF(N25001="","",'Master Barang'!B95)</f>
        <v>0</v>
      </c>
      <c r="P25001">
        <f>IF(OR(M25001="",N25001=""),"",SUMIFS('Barang Keluar'!$E:$E,'Barang Keluar'!$A:$A,M25001,'Barang Keluar'!$C:$C,N25001))</f>
        <v>0</v>
      </c>
    </row>
    <row r="25002" spans="13:16">
      <c r="M25002" s="49">
        <f>IF($A$4+249&gt;$B$4,"",$A$4+249)</f>
        <v>46272</v>
      </c>
      <c r="N25002">
        <f>IF(M25002="","",'Master Barang'!A96)</f>
        <v>0</v>
      </c>
      <c r="O25002">
        <f>IF(N25002="","",'Master Barang'!B96)</f>
        <v>0</v>
      </c>
      <c r="P25002">
        <f>IF(OR(M25002="",N25002=""),"",SUMIFS('Barang Keluar'!$E:$E,'Barang Keluar'!$A:$A,M25002,'Barang Keluar'!$C:$C,N25002))</f>
        <v>0</v>
      </c>
    </row>
    <row r="25003" spans="13:16">
      <c r="M25003" s="49">
        <f>IF($A$4+249&gt;$B$4,"",$A$4+249)</f>
        <v>46272</v>
      </c>
      <c r="N25003">
        <f>IF(M25003="","",'Master Barang'!A97)</f>
        <v>0</v>
      </c>
      <c r="O25003">
        <f>IF(N25003="","",'Master Barang'!B97)</f>
        <v>0</v>
      </c>
      <c r="P25003">
        <f>IF(OR(M25003="",N25003=""),"",SUMIFS('Barang Keluar'!$E:$E,'Barang Keluar'!$A:$A,M25003,'Barang Keluar'!$C:$C,N25003))</f>
        <v>0</v>
      </c>
    </row>
    <row r="25004" spans="13:16">
      <c r="M25004" s="49">
        <f>IF($A$4+249&gt;$B$4,"",$A$4+249)</f>
        <v>46272</v>
      </c>
      <c r="N25004">
        <f>IF(M25004="","",'Master Barang'!A98)</f>
        <v>0</v>
      </c>
      <c r="O25004">
        <f>IF(N25004="","",'Master Barang'!B98)</f>
        <v>0</v>
      </c>
      <c r="P25004">
        <f>IF(OR(M25004="",N25004=""),"",SUMIFS('Barang Keluar'!$E:$E,'Barang Keluar'!$A:$A,M25004,'Barang Keluar'!$C:$C,N25004))</f>
        <v>0</v>
      </c>
    </row>
    <row r="25005" spans="13:16">
      <c r="M25005" s="49">
        <f>IF($A$4+249&gt;$B$4,"",$A$4+249)</f>
        <v>46272</v>
      </c>
      <c r="N25005">
        <f>IF(M25005="","",'Master Barang'!A99)</f>
        <v>0</v>
      </c>
      <c r="O25005">
        <f>IF(N25005="","",'Master Barang'!B99)</f>
        <v>0</v>
      </c>
      <c r="P25005">
        <f>IF(OR(M25005="",N25005=""),"",SUMIFS('Barang Keluar'!$E:$E,'Barang Keluar'!$A:$A,M25005,'Barang Keluar'!$C:$C,N25005))</f>
        <v>0</v>
      </c>
    </row>
    <row r="25006" spans="13:16">
      <c r="M25006" s="49">
        <f>IF($A$4+249&gt;$B$4,"",$A$4+249)</f>
        <v>46272</v>
      </c>
      <c r="N25006">
        <f>IF(M25006="","",'Master Barang'!A100)</f>
        <v>0</v>
      </c>
      <c r="O25006">
        <f>IF(N25006="","",'Master Barang'!B100)</f>
        <v>0</v>
      </c>
      <c r="P25006">
        <f>IF(OR(M25006="",N25006=""),"",SUMIFS('Barang Keluar'!$E:$E,'Barang Keluar'!$A:$A,M25006,'Barang Keluar'!$C:$C,N25006))</f>
        <v>0</v>
      </c>
    </row>
    <row r="25007" spans="13:16">
      <c r="M25007" s="49">
        <f>IF($A$4+249&gt;$B$4,"",$A$4+249)</f>
        <v>46272</v>
      </c>
      <c r="N25007">
        <f>IF(M25007="","",'Master Barang'!A101)</f>
        <v>0</v>
      </c>
      <c r="O25007">
        <f>IF(N25007="","",'Master Barang'!B101)</f>
        <v>0</v>
      </c>
      <c r="P25007">
        <f>IF(OR(M25007="",N25007=""),"",SUMIFS('Barang Keluar'!$E:$E,'Barang Keluar'!$A:$A,M25007,'Barang Keluar'!$C:$C,N25007))</f>
        <v>0</v>
      </c>
    </row>
    <row r="25008" spans="13:16">
      <c r="M25008" s="49">
        <f>IF($A$4+250&gt;$B$4,"",$A$4+250)</f>
        <v>46273</v>
      </c>
      <c r="N25008" t="str">
        <f>IF(M25008="","",'Master Barang'!A2)</f>
        <v>PRL-001</v>
      </c>
      <c r="O25008" t="str">
        <f>IF(N25008="","",'Master Barang'!B2)</f>
        <v>natura desinfectant food grade 5l</v>
      </c>
      <c r="P25008">
        <f>IF(OR(M25008="",N25008=""),"",SUMIFS('Barang Keluar'!$E:$E,'Barang Keluar'!$A:$A,M25008,'Barang Keluar'!$C:$C,N25008))</f>
        <v>0</v>
      </c>
    </row>
    <row r="25009" spans="13:16">
      <c r="M25009" s="49">
        <f>IF($A$4+250&gt;$B$4,"",$A$4+250)</f>
        <v>46273</v>
      </c>
      <c r="N25009" t="str">
        <f>IF(M25009="","",'Master Barang'!A3)</f>
        <v>PRL-002</v>
      </c>
      <c r="O25009" t="str">
        <f>IF(N25009="","",'Master Barang'!B3)</f>
        <v>sunlight cairan pencuci piring 5l</v>
      </c>
      <c r="P25009">
        <f>IF(OR(M25009="",N25009=""),"",SUMIFS('Barang Keluar'!$E:$E,'Barang Keluar'!$A:$A,M25009,'Barang Keluar'!$C:$C,N25009))</f>
        <v>0</v>
      </c>
    </row>
    <row r="25010" spans="13:16">
      <c r="M25010" s="49">
        <f>IF($A$4+250&gt;$B$4,"",$A$4+250)</f>
        <v>46273</v>
      </c>
      <c r="N25010" t="str">
        <f>IF(M25010="","",'Master Barang'!A4)</f>
        <v>PRL-003</v>
      </c>
      <c r="O25010" t="str">
        <f>IF(N25010="","",'Master Barang'!B4)</f>
        <v>oixs cleaner 1l</v>
      </c>
      <c r="P25010">
        <f>IF(OR(M25010="",N25010=""),"",SUMIFS('Barang Keluar'!$E:$E,'Barang Keluar'!$A:$A,M25010,'Barang Keluar'!$C:$C,N25010))</f>
        <v>0</v>
      </c>
    </row>
    <row r="25011" spans="13:16">
      <c r="M25011" s="49">
        <f>IF($A$4+250&gt;$B$4,"",$A$4+250)</f>
        <v>46273</v>
      </c>
      <c r="N25011" t="str">
        <f>IF(M25011="","",'Master Barang'!A5)</f>
        <v>PRL-004</v>
      </c>
      <c r="O25011" t="str">
        <f>IF(N25011="","",'Master Barang'!B5)</f>
        <v>be clean tissue serbaguna</v>
      </c>
      <c r="P25011">
        <f>IF(OR(M25011="",N25011=""),"",SUMIFS('Barang Keluar'!$E:$E,'Barang Keluar'!$A:$A,M25011,'Barang Keluar'!$C:$C,N25011))</f>
        <v>0</v>
      </c>
    </row>
    <row r="25012" spans="13:16">
      <c r="M25012" s="49">
        <f>IF($A$4+250&gt;$B$4,"",$A$4+250)</f>
        <v>46273</v>
      </c>
      <c r="N25012" t="str">
        <f>IF(M25012="","",'Master Barang'!A6)</f>
        <v>PRL-005</v>
      </c>
      <c r="O25012" t="str">
        <f>IF(N25012="","",'Master Barang'!B6)</f>
        <v>spons cuci hijau</v>
      </c>
      <c r="P25012">
        <f>IF(OR(M25012="",N25012=""),"",SUMIFS('Barang Keluar'!$E:$E,'Barang Keluar'!$A:$A,M25012,'Barang Keluar'!$C:$C,N25012))</f>
        <v>0</v>
      </c>
    </row>
    <row r="25013" spans="13:16">
      <c r="M25013" s="49">
        <f>IF($A$4+250&gt;$B$4,"",$A$4+250)</f>
        <v>46273</v>
      </c>
      <c r="N25013" t="str">
        <f>IF(M25013="","",'Master Barang'!A7)</f>
        <v>PRL-006</v>
      </c>
      <c r="O25013" t="str">
        <f>IF(N25013="","",'Master Barang'!B7)</f>
        <v>sabut cuci stainless</v>
      </c>
      <c r="P25013">
        <f>IF(OR(M25013="",N25013=""),"",SUMIFS('Barang Keluar'!$E:$E,'Barang Keluar'!$A:$A,M25013,'Barang Keluar'!$C:$C,N25013))</f>
        <v>0</v>
      </c>
    </row>
    <row r="25014" spans="13:16">
      <c r="M25014" s="49">
        <f>IF($A$4+250&gt;$B$4,"",$A$4+250)</f>
        <v>46273</v>
      </c>
      <c r="N25014" t="str">
        <f>IF(M25014="","",'Master Barang'!A8)</f>
        <v>PRL-007</v>
      </c>
      <c r="O25014" t="str">
        <f>IF(N25014="","",'Master Barang'!B8)</f>
        <v>plastik kresek besar merah 50pc</v>
      </c>
      <c r="P25014">
        <f>IF(OR(M25014="",N25014=""),"",SUMIFS('Barang Keluar'!$E:$E,'Barang Keluar'!$A:$A,M25014,'Barang Keluar'!$C:$C,N25014))</f>
        <v>0</v>
      </c>
    </row>
    <row r="25015" spans="13:16">
      <c r="M25015" s="49">
        <f>IF($A$4+250&gt;$B$4,"",$A$4+250)</f>
        <v>46273</v>
      </c>
      <c r="N25015" t="str">
        <f>IF(M25015="","",'Master Barang'!A9)</f>
        <v>PRL-008</v>
      </c>
      <c r="O25015" t="str">
        <f>IF(N25015="","",'Master Barang'!B9)</f>
        <v>lap besar</v>
      </c>
      <c r="P25015">
        <f>IF(OR(M25015="",N25015=""),"",SUMIFS('Barang Keluar'!$E:$E,'Barang Keluar'!$A:$A,M25015,'Barang Keluar'!$C:$C,N25015))</f>
        <v>0</v>
      </c>
    </row>
    <row r="25016" spans="13:16">
      <c r="M25016" s="49">
        <f>IF($A$4+250&gt;$B$4,"",$A$4+250)</f>
        <v>46273</v>
      </c>
      <c r="N25016" t="str">
        <f>IF(M25016="","",'Master Barang'!A10)</f>
        <v>PRL-009</v>
      </c>
      <c r="O25016" t="str">
        <f>IF(N25016="","",'Master Barang'!B10)</f>
        <v>lap microfiber</v>
      </c>
      <c r="P25016">
        <f>IF(OR(M25016="",N25016=""),"",SUMIFS('Barang Keluar'!$E:$E,'Barang Keluar'!$A:$A,M25016,'Barang Keluar'!$C:$C,N25016))</f>
        <v>0</v>
      </c>
    </row>
    <row r="25017" spans="13:16">
      <c r="M25017" s="49">
        <f>IF($A$4+250&gt;$B$4,"",$A$4+250)</f>
        <v>46273</v>
      </c>
      <c r="N25017" t="str">
        <f>IF(M25017="","",'Master Barang'!A11)</f>
        <v>PRL-010</v>
      </c>
      <c r="O25017" t="str">
        <f>IF(N25017="","",'Master Barang'!B11)</f>
        <v>lap kecil</v>
      </c>
      <c r="P25017">
        <f>IF(OR(M25017="",N25017=""),"",SUMIFS('Barang Keluar'!$E:$E,'Barang Keluar'!$A:$A,M25017,'Barang Keluar'!$C:$C,N25017))</f>
        <v>0</v>
      </c>
    </row>
    <row r="25018" spans="13:16">
      <c r="M25018" s="49">
        <f>IF($A$4+250&gt;$B$4,"",$A$4+250)</f>
        <v>46273</v>
      </c>
      <c r="N25018" t="str">
        <f>IF(M25018="","",'Master Barang'!A12)</f>
        <v>PRL-011</v>
      </c>
      <c r="O25018" t="str">
        <f>IF(N25018="","",'Master Barang'!B12)</f>
        <v>kanebo kecil</v>
      </c>
      <c r="P25018">
        <f>IF(OR(M25018="",N25018=""),"",SUMIFS('Barang Keluar'!$E:$E,'Barang Keluar'!$A:$A,M25018,'Barang Keluar'!$C:$C,N25018))</f>
        <v>0</v>
      </c>
    </row>
    <row r="25019" spans="13:16">
      <c r="M25019" s="49">
        <f>IF($A$4+250&gt;$B$4,"",$A$4+250)</f>
        <v>46273</v>
      </c>
      <c r="N25019" t="str">
        <f>IF(M25019="","",'Master Barang'!A13)</f>
        <v>PRL-012</v>
      </c>
      <c r="O25019" t="str">
        <f>IF(N25019="","",'Master Barang'!B13)</f>
        <v>plastik 1/4kg joyoboyo 100 lembar</v>
      </c>
      <c r="P25019">
        <f>IF(OR(M25019="",N25019=""),"",SUMIFS('Barang Keluar'!$E:$E,'Barang Keluar'!$A:$A,M25019,'Barang Keluar'!$C:$C,N25019))</f>
        <v>0</v>
      </c>
    </row>
    <row r="25020" spans="13:16">
      <c r="M25020" s="49">
        <f>IF($A$4+250&gt;$B$4,"",$A$4+250)</f>
        <v>46273</v>
      </c>
      <c r="N25020" t="str">
        <f>IF(M25020="","",'Master Barang'!A14)</f>
        <v>PRL-013</v>
      </c>
      <c r="O25020" t="str">
        <f>IF(N25020="","",'Master Barang'!B14)</f>
        <v>sarung tangan plastik kaka 100 pcs</v>
      </c>
      <c r="P25020">
        <f>IF(OR(M25020="",N25020=""),"",SUMIFS('Barang Keluar'!$E:$E,'Barang Keluar'!$A:$A,M25020,'Barang Keluar'!$C:$C,N25020))</f>
        <v>0</v>
      </c>
    </row>
    <row r="25021" spans="13:16">
      <c r="M25021" s="49">
        <f>IF($A$4+250&gt;$B$4,"",$A$4+250)</f>
        <v>46273</v>
      </c>
      <c r="N25021" t="str">
        <f>IF(M25021="","",'Master Barang'!A15)</f>
        <v>PRL-014</v>
      </c>
      <c r="O25021" t="str">
        <f>IF(N25021="","",'Master Barang'!B15)</f>
        <v>optima trashbag 80x100</v>
      </c>
      <c r="P25021">
        <f>IF(OR(M25021="",N25021=""),"",SUMIFS('Barang Keluar'!$E:$E,'Barang Keluar'!$A:$A,M25021,'Barang Keluar'!$C:$C,N25021))</f>
        <v>0</v>
      </c>
    </row>
    <row r="25022" spans="13:16">
      <c r="M25022" s="49">
        <f>IF($A$4+250&gt;$B$4,"",$A$4+250)</f>
        <v>46273</v>
      </c>
      <c r="N25022" t="str">
        <f>IF(M25022="","",'Master Barang'!A16)</f>
        <v>PRL-015</v>
      </c>
      <c r="O25022" t="str">
        <f>IF(N25022="","",'Master Barang'!B16)</f>
        <v>optima trashbag 60x100</v>
      </c>
      <c r="P25022">
        <f>IF(OR(M25022="",N25022=""),"",SUMIFS('Barang Keluar'!$E:$E,'Barang Keluar'!$A:$A,M25022,'Barang Keluar'!$C:$C,N25022))</f>
        <v>0</v>
      </c>
    </row>
    <row r="25023" spans="13:16">
      <c r="M25023" s="49">
        <f>IF($A$4+250&gt;$B$4,"",$A$4+250)</f>
        <v>46273</v>
      </c>
      <c r="N25023" t="str">
        <f>IF(M25023="","",'Master Barang'!A17)</f>
        <v>PRL-016</v>
      </c>
      <c r="O25023" t="str">
        <f>IF(N25023="","",'Master Barang'!B17)</f>
        <v>rajawali trashbag 30x40</v>
      </c>
      <c r="P25023">
        <f>IF(OR(M25023="",N25023=""),"",SUMIFS('Barang Keluar'!$E:$E,'Barang Keluar'!$A:$A,M25023,'Barang Keluar'!$C:$C,N25023))</f>
        <v>0</v>
      </c>
    </row>
    <row r="25024" spans="13:16">
      <c r="M25024" s="49">
        <f>IF($A$4+250&gt;$B$4,"",$A$4+250)</f>
        <v>46273</v>
      </c>
      <c r="N25024" t="str">
        <f>IF(M25024="","",'Master Barang'!A18)</f>
        <v>PRL-017</v>
      </c>
      <c r="O25024" t="str">
        <f>IF(N25024="","",'Master Barang'!B18)</f>
        <v>onemed masker biru 3 play 50 pcs</v>
      </c>
      <c r="P25024">
        <f>IF(OR(M25024="",N25024=""),"",SUMIFS('Barang Keluar'!$E:$E,'Barang Keluar'!$A:$A,M25024,'Barang Keluar'!$C:$C,N25024))</f>
        <v>0</v>
      </c>
    </row>
    <row r="25025" spans="13:16">
      <c r="M25025" s="49">
        <f>IF($A$4+250&gt;$B$4,"",$A$4+250)</f>
        <v>46273</v>
      </c>
      <c r="N25025" t="str">
        <f>IF(M25025="","",'Master Barang'!A19)</f>
        <v>PRL-018</v>
      </c>
      <c r="O25025" t="str">
        <f>IF(N25025="","",'Master Barang'!B19)</f>
        <v>onemed masker biru 3 play hijab 50 pcs</v>
      </c>
      <c r="P25025">
        <f>IF(OR(M25025="",N25025=""),"",SUMIFS('Barang Keluar'!$E:$E,'Barang Keluar'!$A:$A,M25025,'Barang Keluar'!$C:$C,N25025))</f>
        <v>0</v>
      </c>
    </row>
    <row r="25026" spans="13:16">
      <c r="M25026" s="49">
        <f>IF($A$4+250&gt;$B$4,"",$A$4+250)</f>
        <v>46273</v>
      </c>
      <c r="N25026" t="str">
        <f>IF(M25026="","",'Master Barang'!A20)</f>
        <v>PRL-019</v>
      </c>
      <c r="O25026" t="str">
        <f>IF(N25026="","",'Master Barang'!B20)</f>
        <v>neo health masker biru 3 play 50 pcs</v>
      </c>
      <c r="P25026">
        <f>IF(OR(M25026="",N25026=""),"",SUMIFS('Barang Keluar'!$E:$E,'Barang Keluar'!$A:$A,M25026,'Barang Keluar'!$C:$C,N25026))</f>
        <v>0</v>
      </c>
    </row>
    <row r="25027" spans="13:16">
      <c r="M25027" s="49">
        <f>IF($A$4+250&gt;$B$4,"",$A$4+250)</f>
        <v>46273</v>
      </c>
      <c r="N25027" t="str">
        <f>IF(M25027="","",'Master Barang'!A21)</f>
        <v>PRL-020</v>
      </c>
      <c r="O25027" t="str">
        <f>IF(N25027="","",'Master Barang'!B21)</f>
        <v>baymed masker hijau 3 play hijau 50 pcs</v>
      </c>
      <c r="P25027">
        <f>IF(OR(M25027="",N25027=""),"",SUMIFS('Barang Keluar'!$E:$E,'Barang Keluar'!$A:$A,M25027,'Barang Keluar'!$C:$C,N25027))</f>
        <v>0</v>
      </c>
    </row>
    <row r="25028" spans="13:16">
      <c r="M25028" s="49">
        <f>IF($A$4+250&gt;$B$4,"",$A$4+250)</f>
        <v>46273</v>
      </c>
      <c r="N25028" t="str">
        <f>IF(M25028="","",'Master Barang'!A22)</f>
        <v>PRL-021</v>
      </c>
      <c r="O25028" t="str">
        <f>IF(N25028="","",'Master Barang'!B22)</f>
        <v>altamed nurse cap penutup kepala 100 pcs</v>
      </c>
      <c r="P25028">
        <f>IF(OR(M25028="",N25028=""),"",SUMIFS('Barang Keluar'!$E:$E,'Barang Keluar'!$A:$A,M25028,'Barang Keluar'!$C:$C,N25028))</f>
        <v>0</v>
      </c>
    </row>
    <row r="25029" spans="13:16">
      <c r="M25029" s="49">
        <f>IF($A$4+250&gt;$B$4,"",$A$4+250)</f>
        <v>46273</v>
      </c>
      <c r="N25029" t="str">
        <f>IF(M25029="","",'Master Barang'!A23)</f>
        <v>PRL-022</v>
      </c>
      <c r="O25029" t="str">
        <f>IF(N25029="","",'Master Barang'!B23)</f>
        <v>sabun cuci tangan</v>
      </c>
      <c r="P25029">
        <f>IF(OR(M25029="",N25029=""),"",SUMIFS('Barang Keluar'!$E:$E,'Barang Keluar'!$A:$A,M25029,'Barang Keluar'!$C:$C,N25029))</f>
        <v>0</v>
      </c>
    </row>
    <row r="25030" spans="13:16">
      <c r="M25030" s="49">
        <f>IF($A$4+250&gt;$B$4,"",$A$4+250)</f>
        <v>46273</v>
      </c>
      <c r="N25030" t="str">
        <f>IF(M25030="","",'Master Barang'!A24)</f>
        <v>PRL-023</v>
      </c>
      <c r="O25030" t="str">
        <f>IF(N25030="","",'Master Barang'!B24)</f>
        <v>gayung kecil</v>
      </c>
      <c r="P25030">
        <f>IF(OR(M25030="",N25030=""),"",SUMIFS('Barang Keluar'!$E:$E,'Barang Keluar'!$A:$A,M25030,'Barang Keluar'!$C:$C,N25030))</f>
        <v>0</v>
      </c>
    </row>
    <row r="25031" spans="13:16">
      <c r="M25031" s="49">
        <f>IF($A$4+250&gt;$B$4,"",$A$4+250)</f>
        <v>46273</v>
      </c>
      <c r="N25031" t="str">
        <f>IF(M25031="","",'Master Barang'!A25)</f>
        <v>PRL-024</v>
      </c>
      <c r="O25031" t="str">
        <f>IF(N25031="","",'Master Barang'!B25)</f>
        <v>cikrak kecil</v>
      </c>
      <c r="P25031">
        <f>IF(OR(M25031="",N25031=""),"",SUMIFS('Barang Keluar'!$E:$E,'Barang Keluar'!$A:$A,M25031,'Barang Keluar'!$C:$C,N25031))</f>
        <v>0</v>
      </c>
    </row>
    <row r="25032" spans="13:16">
      <c r="M25032" s="49">
        <f>IF($A$4+250&gt;$B$4,"",$A$4+250)</f>
        <v>46273</v>
      </c>
      <c r="N25032" t="str">
        <f>IF(M25032="","",'Master Barang'!A26)</f>
        <v>PRL-025</v>
      </c>
      <c r="O25032" t="str">
        <f>IF(N25032="","",'Master Barang'!B26)</f>
        <v>petromax plastik kecil 12x24 100 lembar</v>
      </c>
      <c r="P25032">
        <f>IF(OR(M25032="",N25032=""),"",SUMIFS('Barang Keluar'!$E:$E,'Barang Keluar'!$A:$A,M25032,'Barang Keluar'!$C:$C,N25032))</f>
        <v>0</v>
      </c>
    </row>
    <row r="25033" spans="13:16">
      <c r="M25033" s="49">
        <f>IF($A$4+250&gt;$B$4,"",$A$4+250)</f>
        <v>46273</v>
      </c>
      <c r="N25033" t="str">
        <f>IF(M25033="","",'Master Barang'!A27)</f>
        <v>PRL-026</v>
      </c>
      <c r="O25033" t="str">
        <f>IF(N25033="","",'Master Barang'!B27)</f>
        <v>lancar kresek kecil bening </v>
      </c>
      <c r="P25033">
        <f>IF(OR(M25033="",N25033=""),"",SUMIFS('Barang Keluar'!$E:$E,'Barang Keluar'!$A:$A,M25033,'Barang Keluar'!$C:$C,N25033))</f>
        <v>0</v>
      </c>
    </row>
    <row r="25034" spans="13:16">
      <c r="M25034" s="49">
        <f>IF($A$4+250&gt;$B$4,"",$A$4+250)</f>
        <v>46273</v>
      </c>
      <c r="N25034" t="str">
        <f>IF(M25034="","",'Master Barang'!A28)</f>
        <v>PRL-027</v>
      </c>
      <c r="O25034" t="str">
        <f>IF(N25034="","",'Master Barang'!B28)</f>
        <v>kresek klin warna warni kecil</v>
      </c>
      <c r="P25034">
        <f>IF(OR(M25034="",N25034=""),"",SUMIFS('Barang Keluar'!$E:$E,'Barang Keluar'!$A:$A,M25034,'Barang Keluar'!$C:$C,N25034))</f>
        <v>0</v>
      </c>
    </row>
    <row r="25035" spans="13:16">
      <c r="M25035" s="49">
        <f>IF($A$4+250&gt;$B$4,"",$A$4+250)</f>
        <v>46273</v>
      </c>
      <c r="N25035" t="str">
        <f>IF(M25035="","",'Master Barang'!A29)</f>
        <v>PRL-028</v>
      </c>
      <c r="O25035" t="str">
        <f>IF(N25035="","",'Master Barang'!B29)</f>
        <v>ctik plastik 7x10 100 pcs</v>
      </c>
      <c r="P25035">
        <f>IF(OR(M25035="",N25035=""),"",SUMIFS('Barang Keluar'!$E:$E,'Barang Keluar'!$A:$A,M25035,'Barang Keluar'!$C:$C,N25035))</f>
        <v>0</v>
      </c>
    </row>
    <row r="25036" spans="13:16">
      <c r="M25036" s="49">
        <f>IF($A$4+250&gt;$B$4,"",$A$4+250)</f>
        <v>46273</v>
      </c>
      <c r="N25036" t="str">
        <f>IF(M25036="","",'Master Barang'!A30)</f>
        <v>PRL-029</v>
      </c>
      <c r="O25036" t="str">
        <f>IF(N25036="","",'Master Barang'!B30)</f>
        <v>ctik plastik 6x10 100 pcs</v>
      </c>
      <c r="P25036">
        <f>IF(OR(M25036="",N25036=""),"",SUMIFS('Barang Keluar'!$E:$E,'Barang Keluar'!$A:$A,M25036,'Barang Keluar'!$C:$C,N25036))</f>
        <v>0</v>
      </c>
    </row>
    <row r="25037" spans="13:16">
      <c r="M25037" s="49">
        <f>IF($A$4+250&gt;$B$4,"",$A$4+250)</f>
        <v>46273</v>
      </c>
      <c r="N25037" t="str">
        <f>IF(M25037="","",'Master Barang'!A31)</f>
        <v>PRL-030</v>
      </c>
      <c r="O25037" t="str">
        <f>IF(N25037="","",'Master Barang'!B31)</f>
        <v>klip plastik 25x16 100 pcs</v>
      </c>
      <c r="P25037">
        <f>IF(OR(M25037="",N25037=""),"",SUMIFS('Barang Keluar'!$E:$E,'Barang Keluar'!$A:$A,M25037,'Barang Keluar'!$C:$C,N25037))</f>
        <v>0</v>
      </c>
    </row>
    <row r="25038" spans="13:16">
      <c r="M25038" s="49">
        <f>IF($A$4+250&gt;$B$4,"",$A$4+250)</f>
        <v>46273</v>
      </c>
      <c r="N25038" t="str">
        <f>IF(M25038="","",'Master Barang'!A32)</f>
        <v>PRL-031</v>
      </c>
      <c r="O25038" t="str">
        <f>IF(N25038="","",'Master Barang'!B32)</f>
        <v>tempat saus 20 ml</v>
      </c>
      <c r="P25038">
        <f>IF(OR(M25038="",N25038=""),"",SUMIFS('Barang Keluar'!$E:$E,'Barang Keluar'!$A:$A,M25038,'Barang Keluar'!$C:$C,N25038))</f>
        <v>0</v>
      </c>
    </row>
    <row r="25039" spans="13:16">
      <c r="M25039" s="49">
        <f>IF($A$4+250&gt;$B$4,"",$A$4+250)</f>
        <v>46273</v>
      </c>
      <c r="N25039" t="str">
        <f>IF(M25039="","",'Master Barang'!A33)</f>
        <v>PRL-032</v>
      </c>
      <c r="O25039" t="str">
        <f>IF(N25039="","",'Master Barang'!B33)</f>
        <v>plastik packaging ag box uk sedang</v>
      </c>
      <c r="P25039">
        <f>IF(OR(M25039="",N25039=""),"",SUMIFS('Barang Keluar'!$E:$E,'Barang Keluar'!$A:$A,M25039,'Barang Keluar'!$C:$C,N25039))</f>
        <v>0</v>
      </c>
    </row>
    <row r="25040" spans="13:16">
      <c r="M25040" s="49">
        <f>IF($A$4+250&gt;$B$4,"",$A$4+250)</f>
        <v>46273</v>
      </c>
      <c r="N25040" t="str">
        <f>IF(M25040="","",'Master Barang'!A34)</f>
        <v>PRL-033</v>
      </c>
      <c r="O25040">
        <f>IF(N25040="","",'Master Barang'!B34)</f>
        <v>0</v>
      </c>
      <c r="P25040">
        <f>IF(OR(M25040="",N25040=""),"",SUMIFS('Barang Keluar'!$E:$E,'Barang Keluar'!$A:$A,M25040,'Barang Keluar'!$C:$C,N25040))</f>
        <v>0</v>
      </c>
    </row>
    <row r="25041" spans="13:16">
      <c r="M25041" s="49">
        <f>IF($A$4+250&gt;$B$4,"",$A$4+250)</f>
        <v>46273</v>
      </c>
      <c r="N25041">
        <f>IF(M25041="","",'Master Barang'!A35)</f>
        <v>0</v>
      </c>
      <c r="O25041">
        <f>IF(N25041="","",'Master Barang'!B35)</f>
        <v>0</v>
      </c>
      <c r="P25041">
        <f>IF(OR(M25041="",N25041=""),"",SUMIFS('Barang Keluar'!$E:$E,'Barang Keluar'!$A:$A,M25041,'Barang Keluar'!$C:$C,N25041))</f>
        <v>0</v>
      </c>
    </row>
    <row r="25042" spans="13:16">
      <c r="M25042" s="49">
        <f>IF($A$4+250&gt;$B$4,"",$A$4+250)</f>
        <v>46273</v>
      </c>
      <c r="N25042">
        <f>IF(M25042="","",'Master Barang'!A36)</f>
        <v>0</v>
      </c>
      <c r="O25042">
        <f>IF(N25042="","",'Master Barang'!B36)</f>
        <v>0</v>
      </c>
      <c r="P25042">
        <f>IF(OR(M25042="",N25042=""),"",SUMIFS('Barang Keluar'!$E:$E,'Barang Keluar'!$A:$A,M25042,'Barang Keluar'!$C:$C,N25042))</f>
        <v>0</v>
      </c>
    </row>
    <row r="25043" spans="13:16">
      <c r="M25043" s="49">
        <f>IF($A$4+250&gt;$B$4,"",$A$4+250)</f>
        <v>46273</v>
      </c>
      <c r="N25043">
        <f>IF(M25043="","",'Master Barang'!A37)</f>
        <v>0</v>
      </c>
      <c r="O25043">
        <f>IF(N25043="","",'Master Barang'!B37)</f>
        <v>0</v>
      </c>
      <c r="P25043">
        <f>IF(OR(M25043="",N25043=""),"",SUMIFS('Barang Keluar'!$E:$E,'Barang Keluar'!$A:$A,M25043,'Barang Keluar'!$C:$C,N25043))</f>
        <v>0</v>
      </c>
    </row>
    <row r="25044" spans="13:16">
      <c r="M25044" s="49">
        <f>IF($A$4+250&gt;$B$4,"",$A$4+250)</f>
        <v>46273</v>
      </c>
      <c r="N25044">
        <f>IF(M25044="","",'Master Barang'!A38)</f>
        <v>0</v>
      </c>
      <c r="O25044">
        <f>IF(N25044="","",'Master Barang'!B38)</f>
        <v>0</v>
      </c>
      <c r="P25044">
        <f>IF(OR(M25044="",N25044=""),"",SUMIFS('Barang Keluar'!$E:$E,'Barang Keluar'!$A:$A,M25044,'Barang Keluar'!$C:$C,N25044))</f>
        <v>0</v>
      </c>
    </row>
    <row r="25045" spans="13:16">
      <c r="M25045" s="49">
        <f>IF($A$4+250&gt;$B$4,"",$A$4+250)</f>
        <v>46273</v>
      </c>
      <c r="N25045">
        <f>IF(M25045="","",'Master Barang'!A39)</f>
        <v>0</v>
      </c>
      <c r="O25045">
        <f>IF(N25045="","",'Master Barang'!B39)</f>
        <v>0</v>
      </c>
      <c r="P25045">
        <f>IF(OR(M25045="",N25045=""),"",SUMIFS('Barang Keluar'!$E:$E,'Barang Keluar'!$A:$A,M25045,'Barang Keluar'!$C:$C,N25045))</f>
        <v>0</v>
      </c>
    </row>
    <row r="25046" spans="13:16">
      <c r="M25046" s="49">
        <f>IF($A$4+250&gt;$B$4,"",$A$4+250)</f>
        <v>46273</v>
      </c>
      <c r="N25046">
        <f>IF(M25046="","",'Master Barang'!A40)</f>
        <v>0</v>
      </c>
      <c r="O25046">
        <f>IF(N25046="","",'Master Barang'!B40)</f>
        <v>0</v>
      </c>
      <c r="P25046">
        <f>IF(OR(M25046="",N25046=""),"",SUMIFS('Barang Keluar'!$E:$E,'Barang Keluar'!$A:$A,M25046,'Barang Keluar'!$C:$C,N25046))</f>
        <v>0</v>
      </c>
    </row>
    <row r="25047" spans="13:16">
      <c r="M25047" s="49">
        <f>IF($A$4+250&gt;$B$4,"",$A$4+250)</f>
        <v>46273</v>
      </c>
      <c r="N25047">
        <f>IF(M25047="","",'Master Barang'!A41)</f>
        <v>0</v>
      </c>
      <c r="O25047">
        <f>IF(N25047="","",'Master Barang'!B41)</f>
        <v>0</v>
      </c>
      <c r="P25047">
        <f>IF(OR(M25047="",N25047=""),"",SUMIFS('Barang Keluar'!$E:$E,'Barang Keluar'!$A:$A,M25047,'Barang Keluar'!$C:$C,N25047))</f>
        <v>0</v>
      </c>
    </row>
    <row r="25048" spans="13:16">
      <c r="M25048" s="49">
        <f>IF($A$4+250&gt;$B$4,"",$A$4+250)</f>
        <v>46273</v>
      </c>
      <c r="N25048">
        <f>IF(M25048="","",'Master Barang'!A42)</f>
        <v>0</v>
      </c>
      <c r="O25048">
        <f>IF(N25048="","",'Master Barang'!B42)</f>
        <v>0</v>
      </c>
      <c r="P25048">
        <f>IF(OR(M25048="",N25048=""),"",SUMIFS('Barang Keluar'!$E:$E,'Barang Keluar'!$A:$A,M25048,'Barang Keluar'!$C:$C,N25048))</f>
        <v>0</v>
      </c>
    </row>
    <row r="25049" spans="13:16">
      <c r="M25049" s="49">
        <f>IF($A$4+250&gt;$B$4,"",$A$4+250)</f>
        <v>46273</v>
      </c>
      <c r="N25049">
        <f>IF(M25049="","",'Master Barang'!A43)</f>
        <v>0</v>
      </c>
      <c r="O25049">
        <f>IF(N25049="","",'Master Barang'!B43)</f>
        <v>0</v>
      </c>
      <c r="P25049">
        <f>IF(OR(M25049="",N25049=""),"",SUMIFS('Barang Keluar'!$E:$E,'Barang Keluar'!$A:$A,M25049,'Barang Keluar'!$C:$C,N25049))</f>
        <v>0</v>
      </c>
    </row>
    <row r="25050" spans="13:16">
      <c r="M25050" s="49">
        <f>IF($A$4+250&gt;$B$4,"",$A$4+250)</f>
        <v>46273</v>
      </c>
      <c r="N25050">
        <f>IF(M25050="","",'Master Barang'!A44)</f>
        <v>0</v>
      </c>
      <c r="O25050">
        <f>IF(N25050="","",'Master Barang'!B44)</f>
        <v>0</v>
      </c>
      <c r="P25050">
        <f>IF(OR(M25050="",N25050=""),"",SUMIFS('Barang Keluar'!$E:$E,'Barang Keluar'!$A:$A,M25050,'Barang Keluar'!$C:$C,N25050))</f>
        <v>0</v>
      </c>
    </row>
    <row r="25051" spans="13:16">
      <c r="M25051" s="49">
        <f>IF($A$4+250&gt;$B$4,"",$A$4+250)</f>
        <v>46273</v>
      </c>
      <c r="N25051">
        <f>IF(M25051="","",'Master Barang'!A45)</f>
        <v>0</v>
      </c>
      <c r="O25051">
        <f>IF(N25051="","",'Master Barang'!B45)</f>
        <v>0</v>
      </c>
      <c r="P25051">
        <f>IF(OR(M25051="",N25051=""),"",SUMIFS('Barang Keluar'!$E:$E,'Barang Keluar'!$A:$A,M25051,'Barang Keluar'!$C:$C,N25051))</f>
        <v>0</v>
      </c>
    </row>
    <row r="25052" spans="13:16">
      <c r="M25052" s="49">
        <f>IF($A$4+250&gt;$B$4,"",$A$4+250)</f>
        <v>46273</v>
      </c>
      <c r="N25052">
        <f>IF(M25052="","",'Master Barang'!A46)</f>
        <v>0</v>
      </c>
      <c r="O25052">
        <f>IF(N25052="","",'Master Barang'!B46)</f>
        <v>0</v>
      </c>
      <c r="P25052">
        <f>IF(OR(M25052="",N25052=""),"",SUMIFS('Barang Keluar'!$E:$E,'Barang Keluar'!$A:$A,M25052,'Barang Keluar'!$C:$C,N25052))</f>
        <v>0</v>
      </c>
    </row>
    <row r="25053" spans="13:16">
      <c r="M25053" s="49">
        <f>IF($A$4+250&gt;$B$4,"",$A$4+250)</f>
        <v>46273</v>
      </c>
      <c r="N25053">
        <f>IF(M25053="","",'Master Barang'!A47)</f>
        <v>0</v>
      </c>
      <c r="O25053">
        <f>IF(N25053="","",'Master Barang'!B47)</f>
        <v>0</v>
      </c>
      <c r="P25053">
        <f>IF(OR(M25053="",N25053=""),"",SUMIFS('Barang Keluar'!$E:$E,'Barang Keluar'!$A:$A,M25053,'Barang Keluar'!$C:$C,N25053))</f>
        <v>0</v>
      </c>
    </row>
    <row r="25054" spans="13:16">
      <c r="M25054" s="49">
        <f>IF($A$4+250&gt;$B$4,"",$A$4+250)</f>
        <v>46273</v>
      </c>
      <c r="N25054">
        <f>IF(M25054="","",'Master Barang'!A48)</f>
        <v>0</v>
      </c>
      <c r="O25054">
        <f>IF(N25054="","",'Master Barang'!B48)</f>
        <v>0</v>
      </c>
      <c r="P25054">
        <f>IF(OR(M25054="",N25054=""),"",SUMIFS('Barang Keluar'!$E:$E,'Barang Keluar'!$A:$A,M25054,'Barang Keluar'!$C:$C,N25054))</f>
        <v>0</v>
      </c>
    </row>
    <row r="25055" spans="13:16">
      <c r="M25055" s="49">
        <f>IF($A$4+250&gt;$B$4,"",$A$4+250)</f>
        <v>46273</v>
      </c>
      <c r="N25055">
        <f>IF(M25055="","",'Master Barang'!A49)</f>
        <v>0</v>
      </c>
      <c r="O25055">
        <f>IF(N25055="","",'Master Barang'!B49)</f>
        <v>0</v>
      </c>
      <c r="P25055">
        <f>IF(OR(M25055="",N25055=""),"",SUMIFS('Barang Keluar'!$E:$E,'Barang Keluar'!$A:$A,M25055,'Barang Keluar'!$C:$C,N25055))</f>
        <v>0</v>
      </c>
    </row>
    <row r="25056" spans="13:16">
      <c r="M25056" s="49">
        <f>IF($A$4+250&gt;$B$4,"",$A$4+250)</f>
        <v>46273</v>
      </c>
      <c r="N25056">
        <f>IF(M25056="","",'Master Barang'!A50)</f>
        <v>0</v>
      </c>
      <c r="O25056">
        <f>IF(N25056="","",'Master Barang'!B50)</f>
        <v>0</v>
      </c>
      <c r="P25056">
        <f>IF(OR(M25056="",N25056=""),"",SUMIFS('Barang Keluar'!$E:$E,'Barang Keluar'!$A:$A,M25056,'Barang Keluar'!$C:$C,N25056))</f>
        <v>0</v>
      </c>
    </row>
    <row r="25057" spans="13:16">
      <c r="M25057" s="49">
        <f>IF($A$4+250&gt;$B$4,"",$A$4+250)</f>
        <v>46273</v>
      </c>
      <c r="N25057">
        <f>IF(M25057="","",'Master Barang'!A51)</f>
        <v>0</v>
      </c>
      <c r="O25057">
        <f>IF(N25057="","",'Master Barang'!B51)</f>
        <v>0</v>
      </c>
      <c r="P25057">
        <f>IF(OR(M25057="",N25057=""),"",SUMIFS('Barang Keluar'!$E:$E,'Barang Keluar'!$A:$A,M25057,'Barang Keluar'!$C:$C,N25057))</f>
        <v>0</v>
      </c>
    </row>
    <row r="25058" spans="13:16">
      <c r="M25058" s="49">
        <f>IF($A$4+250&gt;$B$4,"",$A$4+250)</f>
        <v>46273</v>
      </c>
      <c r="N25058">
        <f>IF(M25058="","",'Master Barang'!A52)</f>
        <v>0</v>
      </c>
      <c r="O25058">
        <f>IF(N25058="","",'Master Barang'!B52)</f>
        <v>0</v>
      </c>
      <c r="P25058">
        <f>IF(OR(M25058="",N25058=""),"",SUMIFS('Barang Keluar'!$E:$E,'Barang Keluar'!$A:$A,M25058,'Barang Keluar'!$C:$C,N25058))</f>
        <v>0</v>
      </c>
    </row>
    <row r="25059" spans="13:16">
      <c r="M25059" s="49">
        <f>IF($A$4+250&gt;$B$4,"",$A$4+250)</f>
        <v>46273</v>
      </c>
      <c r="N25059">
        <f>IF(M25059="","",'Master Barang'!A53)</f>
        <v>0</v>
      </c>
      <c r="O25059">
        <f>IF(N25059="","",'Master Barang'!B53)</f>
        <v>0</v>
      </c>
      <c r="P25059">
        <f>IF(OR(M25059="",N25059=""),"",SUMIFS('Barang Keluar'!$E:$E,'Barang Keluar'!$A:$A,M25059,'Barang Keluar'!$C:$C,N25059))</f>
        <v>0</v>
      </c>
    </row>
    <row r="25060" spans="13:16">
      <c r="M25060" s="49">
        <f>IF($A$4+250&gt;$B$4,"",$A$4+250)</f>
        <v>46273</v>
      </c>
      <c r="N25060">
        <f>IF(M25060="","",'Master Barang'!A54)</f>
        <v>0</v>
      </c>
      <c r="O25060">
        <f>IF(N25060="","",'Master Barang'!B54)</f>
        <v>0</v>
      </c>
      <c r="P25060">
        <f>IF(OR(M25060="",N25060=""),"",SUMIFS('Barang Keluar'!$E:$E,'Barang Keluar'!$A:$A,M25060,'Barang Keluar'!$C:$C,N25060))</f>
        <v>0</v>
      </c>
    </row>
    <row r="25061" spans="13:16">
      <c r="M25061" s="49">
        <f>IF($A$4+250&gt;$B$4,"",$A$4+250)</f>
        <v>46273</v>
      </c>
      <c r="N25061">
        <f>IF(M25061="","",'Master Barang'!A55)</f>
        <v>0</v>
      </c>
      <c r="O25061">
        <f>IF(N25061="","",'Master Barang'!B55)</f>
        <v>0</v>
      </c>
      <c r="P25061">
        <f>IF(OR(M25061="",N25061=""),"",SUMIFS('Barang Keluar'!$E:$E,'Barang Keluar'!$A:$A,M25061,'Barang Keluar'!$C:$C,N25061))</f>
        <v>0</v>
      </c>
    </row>
    <row r="25062" spans="13:16">
      <c r="M25062" s="49">
        <f>IF($A$4+250&gt;$B$4,"",$A$4+250)</f>
        <v>46273</v>
      </c>
      <c r="N25062">
        <f>IF(M25062="","",'Master Barang'!A56)</f>
        <v>0</v>
      </c>
      <c r="O25062">
        <f>IF(N25062="","",'Master Barang'!B56)</f>
        <v>0</v>
      </c>
      <c r="P25062">
        <f>IF(OR(M25062="",N25062=""),"",SUMIFS('Barang Keluar'!$E:$E,'Barang Keluar'!$A:$A,M25062,'Barang Keluar'!$C:$C,N25062))</f>
        <v>0</v>
      </c>
    </row>
    <row r="25063" spans="13:16">
      <c r="M25063" s="49">
        <f>IF($A$4+250&gt;$B$4,"",$A$4+250)</f>
        <v>46273</v>
      </c>
      <c r="N25063">
        <f>IF(M25063="","",'Master Barang'!A57)</f>
        <v>0</v>
      </c>
      <c r="O25063">
        <f>IF(N25063="","",'Master Barang'!B57)</f>
        <v>0</v>
      </c>
      <c r="P25063">
        <f>IF(OR(M25063="",N25063=""),"",SUMIFS('Barang Keluar'!$E:$E,'Barang Keluar'!$A:$A,M25063,'Barang Keluar'!$C:$C,N25063))</f>
        <v>0</v>
      </c>
    </row>
    <row r="25064" spans="13:16">
      <c r="M25064" s="49">
        <f>IF($A$4+250&gt;$B$4,"",$A$4+250)</f>
        <v>46273</v>
      </c>
      <c r="N25064">
        <f>IF(M25064="","",'Master Barang'!A58)</f>
        <v>0</v>
      </c>
      <c r="O25064">
        <f>IF(N25064="","",'Master Barang'!B58)</f>
        <v>0</v>
      </c>
      <c r="P25064">
        <f>IF(OR(M25064="",N25064=""),"",SUMIFS('Barang Keluar'!$E:$E,'Barang Keluar'!$A:$A,M25064,'Barang Keluar'!$C:$C,N25064))</f>
        <v>0</v>
      </c>
    </row>
    <row r="25065" spans="13:16">
      <c r="M25065" s="49">
        <f>IF($A$4+250&gt;$B$4,"",$A$4+250)</f>
        <v>46273</v>
      </c>
      <c r="N25065">
        <f>IF(M25065="","",'Master Barang'!A59)</f>
        <v>0</v>
      </c>
      <c r="O25065">
        <f>IF(N25065="","",'Master Barang'!B59)</f>
        <v>0</v>
      </c>
      <c r="P25065">
        <f>IF(OR(M25065="",N25065=""),"",SUMIFS('Barang Keluar'!$E:$E,'Barang Keluar'!$A:$A,M25065,'Barang Keluar'!$C:$C,N25065))</f>
        <v>0</v>
      </c>
    </row>
    <row r="25066" spans="13:16">
      <c r="M25066" s="49">
        <f>IF($A$4+250&gt;$B$4,"",$A$4+250)</f>
        <v>46273</v>
      </c>
      <c r="N25066">
        <f>IF(M25066="","",'Master Barang'!A60)</f>
        <v>0</v>
      </c>
      <c r="O25066">
        <f>IF(N25066="","",'Master Barang'!B60)</f>
        <v>0</v>
      </c>
      <c r="P25066">
        <f>IF(OR(M25066="",N25066=""),"",SUMIFS('Barang Keluar'!$E:$E,'Barang Keluar'!$A:$A,M25066,'Barang Keluar'!$C:$C,N25066))</f>
        <v>0</v>
      </c>
    </row>
    <row r="25067" spans="13:16">
      <c r="M25067" s="49">
        <f>IF($A$4+250&gt;$B$4,"",$A$4+250)</f>
        <v>46273</v>
      </c>
      <c r="N25067">
        <f>IF(M25067="","",'Master Barang'!A61)</f>
        <v>0</v>
      </c>
      <c r="O25067">
        <f>IF(N25067="","",'Master Barang'!B61)</f>
        <v>0</v>
      </c>
      <c r="P25067">
        <f>IF(OR(M25067="",N25067=""),"",SUMIFS('Barang Keluar'!$E:$E,'Barang Keluar'!$A:$A,M25067,'Barang Keluar'!$C:$C,N25067))</f>
        <v>0</v>
      </c>
    </row>
    <row r="25068" spans="13:16">
      <c r="M25068" s="49">
        <f>IF($A$4+250&gt;$B$4,"",$A$4+250)</f>
        <v>46273</v>
      </c>
      <c r="N25068">
        <f>IF(M25068="","",'Master Barang'!A62)</f>
        <v>0</v>
      </c>
      <c r="O25068">
        <f>IF(N25068="","",'Master Barang'!B62)</f>
        <v>0</v>
      </c>
      <c r="P25068">
        <f>IF(OR(M25068="",N25068=""),"",SUMIFS('Barang Keluar'!$E:$E,'Barang Keluar'!$A:$A,M25068,'Barang Keluar'!$C:$C,N25068))</f>
        <v>0</v>
      </c>
    </row>
    <row r="25069" spans="13:16">
      <c r="M25069" s="49">
        <f>IF($A$4+250&gt;$B$4,"",$A$4+250)</f>
        <v>46273</v>
      </c>
      <c r="N25069">
        <f>IF(M25069="","",'Master Barang'!A63)</f>
        <v>0</v>
      </c>
      <c r="O25069">
        <f>IF(N25069="","",'Master Barang'!B63)</f>
        <v>0</v>
      </c>
      <c r="P25069">
        <f>IF(OR(M25069="",N25069=""),"",SUMIFS('Barang Keluar'!$E:$E,'Barang Keluar'!$A:$A,M25069,'Barang Keluar'!$C:$C,N25069))</f>
        <v>0</v>
      </c>
    </row>
    <row r="25070" spans="13:16">
      <c r="M25070" s="49">
        <f>IF($A$4+250&gt;$B$4,"",$A$4+250)</f>
        <v>46273</v>
      </c>
      <c r="N25070">
        <f>IF(M25070="","",'Master Barang'!A64)</f>
        <v>0</v>
      </c>
      <c r="O25070">
        <f>IF(N25070="","",'Master Barang'!B64)</f>
        <v>0</v>
      </c>
      <c r="P25070">
        <f>IF(OR(M25070="",N25070=""),"",SUMIFS('Barang Keluar'!$E:$E,'Barang Keluar'!$A:$A,M25070,'Barang Keluar'!$C:$C,N25070))</f>
        <v>0</v>
      </c>
    </row>
    <row r="25071" spans="13:16">
      <c r="M25071" s="49">
        <f>IF($A$4+250&gt;$B$4,"",$A$4+250)</f>
        <v>46273</v>
      </c>
      <c r="N25071">
        <f>IF(M25071="","",'Master Barang'!A65)</f>
        <v>0</v>
      </c>
      <c r="O25071">
        <f>IF(N25071="","",'Master Barang'!B65)</f>
        <v>0</v>
      </c>
      <c r="P25071">
        <f>IF(OR(M25071="",N25071=""),"",SUMIFS('Barang Keluar'!$E:$E,'Barang Keluar'!$A:$A,M25071,'Barang Keluar'!$C:$C,N25071))</f>
        <v>0</v>
      </c>
    </row>
    <row r="25072" spans="13:16">
      <c r="M25072" s="49">
        <f>IF($A$4+250&gt;$B$4,"",$A$4+250)</f>
        <v>46273</v>
      </c>
      <c r="N25072">
        <f>IF(M25072="","",'Master Barang'!A66)</f>
        <v>0</v>
      </c>
      <c r="O25072">
        <f>IF(N25072="","",'Master Barang'!B66)</f>
        <v>0</v>
      </c>
      <c r="P25072">
        <f>IF(OR(M25072="",N25072=""),"",SUMIFS('Barang Keluar'!$E:$E,'Barang Keluar'!$A:$A,M25072,'Barang Keluar'!$C:$C,N25072))</f>
        <v>0</v>
      </c>
    </row>
    <row r="25073" spans="13:16">
      <c r="M25073" s="49">
        <f>IF($A$4+250&gt;$B$4,"",$A$4+250)</f>
        <v>46273</v>
      </c>
      <c r="N25073">
        <f>IF(M25073="","",'Master Barang'!A67)</f>
        <v>0</v>
      </c>
      <c r="O25073">
        <f>IF(N25073="","",'Master Barang'!B67)</f>
        <v>0</v>
      </c>
      <c r="P25073">
        <f>IF(OR(M25073="",N25073=""),"",SUMIFS('Barang Keluar'!$E:$E,'Barang Keluar'!$A:$A,M25073,'Barang Keluar'!$C:$C,N25073))</f>
        <v>0</v>
      </c>
    </row>
    <row r="25074" spans="13:16">
      <c r="M25074" s="49">
        <f>IF($A$4+250&gt;$B$4,"",$A$4+250)</f>
        <v>46273</v>
      </c>
      <c r="N25074">
        <f>IF(M25074="","",'Master Barang'!A68)</f>
        <v>0</v>
      </c>
      <c r="O25074">
        <f>IF(N25074="","",'Master Barang'!B68)</f>
        <v>0</v>
      </c>
      <c r="P25074">
        <f>IF(OR(M25074="",N25074=""),"",SUMIFS('Barang Keluar'!$E:$E,'Barang Keluar'!$A:$A,M25074,'Barang Keluar'!$C:$C,N25074))</f>
        <v>0</v>
      </c>
    </row>
    <row r="25075" spans="13:16">
      <c r="M25075" s="49">
        <f>IF($A$4+250&gt;$B$4,"",$A$4+250)</f>
        <v>46273</v>
      </c>
      <c r="N25075">
        <f>IF(M25075="","",'Master Barang'!A69)</f>
        <v>0</v>
      </c>
      <c r="O25075">
        <f>IF(N25075="","",'Master Barang'!B69)</f>
        <v>0</v>
      </c>
      <c r="P25075">
        <f>IF(OR(M25075="",N25075=""),"",SUMIFS('Barang Keluar'!$E:$E,'Barang Keluar'!$A:$A,M25075,'Barang Keluar'!$C:$C,N25075))</f>
        <v>0</v>
      </c>
    </row>
    <row r="25076" spans="13:16">
      <c r="M25076" s="49">
        <f>IF($A$4+250&gt;$B$4,"",$A$4+250)</f>
        <v>46273</v>
      </c>
      <c r="N25076">
        <f>IF(M25076="","",'Master Barang'!A70)</f>
        <v>0</v>
      </c>
      <c r="O25076">
        <f>IF(N25076="","",'Master Barang'!B70)</f>
        <v>0</v>
      </c>
      <c r="P25076">
        <f>IF(OR(M25076="",N25076=""),"",SUMIFS('Barang Keluar'!$E:$E,'Barang Keluar'!$A:$A,M25076,'Barang Keluar'!$C:$C,N25076))</f>
        <v>0</v>
      </c>
    </row>
    <row r="25077" spans="13:16">
      <c r="M25077" s="49">
        <f>IF($A$4+250&gt;$B$4,"",$A$4+250)</f>
        <v>46273</v>
      </c>
      <c r="N25077">
        <f>IF(M25077="","",'Master Barang'!A71)</f>
        <v>0</v>
      </c>
      <c r="O25077">
        <f>IF(N25077="","",'Master Barang'!B71)</f>
        <v>0</v>
      </c>
      <c r="P25077">
        <f>IF(OR(M25077="",N25077=""),"",SUMIFS('Barang Keluar'!$E:$E,'Barang Keluar'!$A:$A,M25077,'Barang Keluar'!$C:$C,N25077))</f>
        <v>0</v>
      </c>
    </row>
    <row r="25078" spans="13:16">
      <c r="M25078" s="49">
        <f>IF($A$4+250&gt;$B$4,"",$A$4+250)</f>
        <v>46273</v>
      </c>
      <c r="N25078">
        <f>IF(M25078="","",'Master Barang'!A72)</f>
        <v>0</v>
      </c>
      <c r="O25078">
        <f>IF(N25078="","",'Master Barang'!B72)</f>
        <v>0</v>
      </c>
      <c r="P25078">
        <f>IF(OR(M25078="",N25078=""),"",SUMIFS('Barang Keluar'!$E:$E,'Barang Keluar'!$A:$A,M25078,'Barang Keluar'!$C:$C,N25078))</f>
        <v>0</v>
      </c>
    </row>
    <row r="25079" spans="13:16">
      <c r="M25079" s="49">
        <f>IF($A$4+250&gt;$B$4,"",$A$4+250)</f>
        <v>46273</v>
      </c>
      <c r="N25079">
        <f>IF(M25079="","",'Master Barang'!A73)</f>
        <v>0</v>
      </c>
      <c r="O25079">
        <f>IF(N25079="","",'Master Barang'!B73)</f>
        <v>0</v>
      </c>
      <c r="P25079">
        <f>IF(OR(M25079="",N25079=""),"",SUMIFS('Barang Keluar'!$E:$E,'Barang Keluar'!$A:$A,M25079,'Barang Keluar'!$C:$C,N25079))</f>
        <v>0</v>
      </c>
    </row>
    <row r="25080" spans="13:16">
      <c r="M25080" s="49">
        <f>IF($A$4+250&gt;$B$4,"",$A$4+250)</f>
        <v>46273</v>
      </c>
      <c r="N25080">
        <f>IF(M25080="","",'Master Barang'!A74)</f>
        <v>0</v>
      </c>
      <c r="O25080">
        <f>IF(N25080="","",'Master Barang'!B74)</f>
        <v>0</v>
      </c>
      <c r="P25080">
        <f>IF(OR(M25080="",N25080=""),"",SUMIFS('Barang Keluar'!$E:$E,'Barang Keluar'!$A:$A,M25080,'Barang Keluar'!$C:$C,N25080))</f>
        <v>0</v>
      </c>
    </row>
    <row r="25081" spans="13:16">
      <c r="M25081" s="49">
        <f>IF($A$4+250&gt;$B$4,"",$A$4+250)</f>
        <v>46273</v>
      </c>
      <c r="N25081">
        <f>IF(M25081="","",'Master Barang'!A75)</f>
        <v>0</v>
      </c>
      <c r="O25081">
        <f>IF(N25081="","",'Master Barang'!B75)</f>
        <v>0</v>
      </c>
      <c r="P25081">
        <f>IF(OR(M25081="",N25081=""),"",SUMIFS('Barang Keluar'!$E:$E,'Barang Keluar'!$A:$A,M25081,'Barang Keluar'!$C:$C,N25081))</f>
        <v>0</v>
      </c>
    </row>
    <row r="25082" spans="13:16">
      <c r="M25082" s="49">
        <f>IF($A$4+250&gt;$B$4,"",$A$4+250)</f>
        <v>46273</v>
      </c>
      <c r="N25082">
        <f>IF(M25082="","",'Master Barang'!A76)</f>
        <v>0</v>
      </c>
      <c r="O25082">
        <f>IF(N25082="","",'Master Barang'!B76)</f>
        <v>0</v>
      </c>
      <c r="P25082">
        <f>IF(OR(M25082="",N25082=""),"",SUMIFS('Barang Keluar'!$E:$E,'Barang Keluar'!$A:$A,M25082,'Barang Keluar'!$C:$C,N25082))</f>
        <v>0</v>
      </c>
    </row>
    <row r="25083" spans="13:16">
      <c r="M25083" s="49">
        <f>IF($A$4+250&gt;$B$4,"",$A$4+250)</f>
        <v>46273</v>
      </c>
      <c r="N25083">
        <f>IF(M25083="","",'Master Barang'!A77)</f>
        <v>0</v>
      </c>
      <c r="O25083">
        <f>IF(N25083="","",'Master Barang'!B77)</f>
        <v>0</v>
      </c>
      <c r="P25083">
        <f>IF(OR(M25083="",N25083=""),"",SUMIFS('Barang Keluar'!$E:$E,'Barang Keluar'!$A:$A,M25083,'Barang Keluar'!$C:$C,N25083))</f>
        <v>0</v>
      </c>
    </row>
    <row r="25084" spans="13:16">
      <c r="M25084" s="49">
        <f>IF($A$4+250&gt;$B$4,"",$A$4+250)</f>
        <v>46273</v>
      </c>
      <c r="N25084">
        <f>IF(M25084="","",'Master Barang'!A78)</f>
        <v>0</v>
      </c>
      <c r="O25084">
        <f>IF(N25084="","",'Master Barang'!B78)</f>
        <v>0</v>
      </c>
      <c r="P25084">
        <f>IF(OR(M25084="",N25084=""),"",SUMIFS('Barang Keluar'!$E:$E,'Barang Keluar'!$A:$A,M25084,'Barang Keluar'!$C:$C,N25084))</f>
        <v>0</v>
      </c>
    </row>
    <row r="25085" spans="13:16">
      <c r="M25085" s="49">
        <f>IF($A$4+250&gt;$B$4,"",$A$4+250)</f>
        <v>46273</v>
      </c>
      <c r="N25085">
        <f>IF(M25085="","",'Master Barang'!A79)</f>
        <v>0</v>
      </c>
      <c r="O25085">
        <f>IF(N25085="","",'Master Barang'!B79)</f>
        <v>0</v>
      </c>
      <c r="P25085">
        <f>IF(OR(M25085="",N25085=""),"",SUMIFS('Barang Keluar'!$E:$E,'Barang Keluar'!$A:$A,M25085,'Barang Keluar'!$C:$C,N25085))</f>
        <v>0</v>
      </c>
    </row>
    <row r="25086" spans="13:16">
      <c r="M25086" s="49">
        <f>IF($A$4+250&gt;$B$4,"",$A$4+250)</f>
        <v>46273</v>
      </c>
      <c r="N25086">
        <f>IF(M25086="","",'Master Barang'!A80)</f>
        <v>0</v>
      </c>
      <c r="O25086">
        <f>IF(N25086="","",'Master Barang'!B80)</f>
        <v>0</v>
      </c>
      <c r="P25086">
        <f>IF(OR(M25086="",N25086=""),"",SUMIFS('Barang Keluar'!$E:$E,'Barang Keluar'!$A:$A,M25086,'Barang Keluar'!$C:$C,N25086))</f>
        <v>0</v>
      </c>
    </row>
    <row r="25087" spans="13:16">
      <c r="M25087" s="49">
        <f>IF($A$4+250&gt;$B$4,"",$A$4+250)</f>
        <v>46273</v>
      </c>
      <c r="N25087">
        <f>IF(M25087="","",'Master Barang'!A81)</f>
        <v>0</v>
      </c>
      <c r="O25087">
        <f>IF(N25087="","",'Master Barang'!B81)</f>
        <v>0</v>
      </c>
      <c r="P25087">
        <f>IF(OR(M25087="",N25087=""),"",SUMIFS('Barang Keluar'!$E:$E,'Barang Keluar'!$A:$A,M25087,'Barang Keluar'!$C:$C,N25087))</f>
        <v>0</v>
      </c>
    </row>
    <row r="25088" spans="13:16">
      <c r="M25088" s="49">
        <f>IF($A$4+250&gt;$B$4,"",$A$4+250)</f>
        <v>46273</v>
      </c>
      <c r="N25088">
        <f>IF(M25088="","",'Master Barang'!A82)</f>
        <v>0</v>
      </c>
      <c r="O25088">
        <f>IF(N25088="","",'Master Barang'!B82)</f>
        <v>0</v>
      </c>
      <c r="P25088">
        <f>IF(OR(M25088="",N25088=""),"",SUMIFS('Barang Keluar'!$E:$E,'Barang Keluar'!$A:$A,M25088,'Barang Keluar'!$C:$C,N25088))</f>
        <v>0</v>
      </c>
    </row>
    <row r="25089" spans="13:16">
      <c r="M25089" s="49">
        <f>IF($A$4+250&gt;$B$4,"",$A$4+250)</f>
        <v>46273</v>
      </c>
      <c r="N25089">
        <f>IF(M25089="","",'Master Barang'!A83)</f>
        <v>0</v>
      </c>
      <c r="O25089">
        <f>IF(N25089="","",'Master Barang'!B83)</f>
        <v>0</v>
      </c>
      <c r="P25089">
        <f>IF(OR(M25089="",N25089=""),"",SUMIFS('Barang Keluar'!$E:$E,'Barang Keluar'!$A:$A,M25089,'Barang Keluar'!$C:$C,N25089))</f>
        <v>0</v>
      </c>
    </row>
    <row r="25090" spans="13:16">
      <c r="M25090" s="49">
        <f>IF($A$4+250&gt;$B$4,"",$A$4+250)</f>
        <v>46273</v>
      </c>
      <c r="N25090">
        <f>IF(M25090="","",'Master Barang'!A84)</f>
        <v>0</v>
      </c>
      <c r="O25090">
        <f>IF(N25090="","",'Master Barang'!B84)</f>
        <v>0</v>
      </c>
      <c r="P25090">
        <f>IF(OR(M25090="",N25090=""),"",SUMIFS('Barang Keluar'!$E:$E,'Barang Keluar'!$A:$A,M25090,'Barang Keluar'!$C:$C,N25090))</f>
        <v>0</v>
      </c>
    </row>
    <row r="25091" spans="13:16">
      <c r="M25091" s="49">
        <f>IF($A$4+250&gt;$B$4,"",$A$4+250)</f>
        <v>46273</v>
      </c>
      <c r="N25091">
        <f>IF(M25091="","",'Master Barang'!A85)</f>
        <v>0</v>
      </c>
      <c r="O25091">
        <f>IF(N25091="","",'Master Barang'!B85)</f>
        <v>0</v>
      </c>
      <c r="P25091">
        <f>IF(OR(M25091="",N25091=""),"",SUMIFS('Barang Keluar'!$E:$E,'Barang Keluar'!$A:$A,M25091,'Barang Keluar'!$C:$C,N25091))</f>
        <v>0</v>
      </c>
    </row>
    <row r="25092" spans="13:16">
      <c r="M25092" s="49">
        <f>IF($A$4+250&gt;$B$4,"",$A$4+250)</f>
        <v>46273</v>
      </c>
      <c r="N25092">
        <f>IF(M25092="","",'Master Barang'!A86)</f>
        <v>0</v>
      </c>
      <c r="O25092">
        <f>IF(N25092="","",'Master Barang'!B86)</f>
        <v>0</v>
      </c>
      <c r="P25092">
        <f>IF(OR(M25092="",N25092=""),"",SUMIFS('Barang Keluar'!$E:$E,'Barang Keluar'!$A:$A,M25092,'Barang Keluar'!$C:$C,N25092))</f>
        <v>0</v>
      </c>
    </row>
    <row r="25093" spans="13:16">
      <c r="M25093" s="49">
        <f>IF($A$4+250&gt;$B$4,"",$A$4+250)</f>
        <v>46273</v>
      </c>
      <c r="N25093">
        <f>IF(M25093="","",'Master Barang'!A87)</f>
        <v>0</v>
      </c>
      <c r="O25093">
        <f>IF(N25093="","",'Master Barang'!B87)</f>
        <v>0</v>
      </c>
      <c r="P25093">
        <f>IF(OR(M25093="",N25093=""),"",SUMIFS('Barang Keluar'!$E:$E,'Barang Keluar'!$A:$A,M25093,'Barang Keluar'!$C:$C,N25093))</f>
        <v>0</v>
      </c>
    </row>
    <row r="25094" spans="13:16">
      <c r="M25094" s="49">
        <f>IF($A$4+250&gt;$B$4,"",$A$4+250)</f>
        <v>46273</v>
      </c>
      <c r="N25094">
        <f>IF(M25094="","",'Master Barang'!A88)</f>
        <v>0</v>
      </c>
      <c r="O25094">
        <f>IF(N25094="","",'Master Barang'!B88)</f>
        <v>0</v>
      </c>
      <c r="P25094">
        <f>IF(OR(M25094="",N25094=""),"",SUMIFS('Barang Keluar'!$E:$E,'Barang Keluar'!$A:$A,M25094,'Barang Keluar'!$C:$C,N25094))</f>
        <v>0</v>
      </c>
    </row>
    <row r="25095" spans="13:16">
      <c r="M25095" s="49">
        <f>IF($A$4+250&gt;$B$4,"",$A$4+250)</f>
        <v>46273</v>
      </c>
      <c r="N25095">
        <f>IF(M25095="","",'Master Barang'!A89)</f>
        <v>0</v>
      </c>
      <c r="O25095">
        <f>IF(N25095="","",'Master Barang'!B89)</f>
        <v>0</v>
      </c>
      <c r="P25095">
        <f>IF(OR(M25095="",N25095=""),"",SUMIFS('Barang Keluar'!$E:$E,'Barang Keluar'!$A:$A,M25095,'Barang Keluar'!$C:$C,N25095))</f>
        <v>0</v>
      </c>
    </row>
    <row r="25096" spans="13:16">
      <c r="M25096" s="49">
        <f>IF($A$4+250&gt;$B$4,"",$A$4+250)</f>
        <v>46273</v>
      </c>
      <c r="N25096">
        <f>IF(M25096="","",'Master Barang'!A90)</f>
        <v>0</v>
      </c>
      <c r="O25096">
        <f>IF(N25096="","",'Master Barang'!B90)</f>
        <v>0</v>
      </c>
      <c r="P25096">
        <f>IF(OR(M25096="",N25096=""),"",SUMIFS('Barang Keluar'!$E:$E,'Barang Keluar'!$A:$A,M25096,'Barang Keluar'!$C:$C,N25096))</f>
        <v>0</v>
      </c>
    </row>
    <row r="25097" spans="13:16">
      <c r="M25097" s="49">
        <f>IF($A$4+250&gt;$B$4,"",$A$4+250)</f>
        <v>46273</v>
      </c>
      <c r="N25097">
        <f>IF(M25097="","",'Master Barang'!A91)</f>
        <v>0</v>
      </c>
      <c r="O25097">
        <f>IF(N25097="","",'Master Barang'!B91)</f>
        <v>0</v>
      </c>
      <c r="P25097">
        <f>IF(OR(M25097="",N25097=""),"",SUMIFS('Barang Keluar'!$E:$E,'Barang Keluar'!$A:$A,M25097,'Barang Keluar'!$C:$C,N25097))</f>
        <v>0</v>
      </c>
    </row>
    <row r="25098" spans="13:16">
      <c r="M25098" s="49">
        <f>IF($A$4+250&gt;$B$4,"",$A$4+250)</f>
        <v>46273</v>
      </c>
      <c r="N25098">
        <f>IF(M25098="","",'Master Barang'!A92)</f>
        <v>0</v>
      </c>
      <c r="O25098">
        <f>IF(N25098="","",'Master Barang'!B92)</f>
        <v>0</v>
      </c>
      <c r="P25098">
        <f>IF(OR(M25098="",N25098=""),"",SUMIFS('Barang Keluar'!$E:$E,'Barang Keluar'!$A:$A,M25098,'Barang Keluar'!$C:$C,N25098))</f>
        <v>0</v>
      </c>
    </row>
    <row r="25099" spans="13:16">
      <c r="M25099" s="49">
        <f>IF($A$4+250&gt;$B$4,"",$A$4+250)</f>
        <v>46273</v>
      </c>
      <c r="N25099">
        <f>IF(M25099="","",'Master Barang'!A93)</f>
        <v>0</v>
      </c>
      <c r="O25099">
        <f>IF(N25099="","",'Master Barang'!B93)</f>
        <v>0</v>
      </c>
      <c r="P25099">
        <f>IF(OR(M25099="",N25099=""),"",SUMIFS('Barang Keluar'!$E:$E,'Barang Keluar'!$A:$A,M25099,'Barang Keluar'!$C:$C,N25099))</f>
        <v>0</v>
      </c>
    </row>
    <row r="25100" spans="13:16">
      <c r="M25100" s="49">
        <f>IF($A$4+250&gt;$B$4,"",$A$4+250)</f>
        <v>46273</v>
      </c>
      <c r="N25100">
        <f>IF(M25100="","",'Master Barang'!A94)</f>
        <v>0</v>
      </c>
      <c r="O25100">
        <f>IF(N25100="","",'Master Barang'!B94)</f>
        <v>0</v>
      </c>
      <c r="P25100">
        <f>IF(OR(M25100="",N25100=""),"",SUMIFS('Barang Keluar'!$E:$E,'Barang Keluar'!$A:$A,M25100,'Barang Keluar'!$C:$C,N25100))</f>
        <v>0</v>
      </c>
    </row>
    <row r="25101" spans="13:16">
      <c r="M25101" s="49">
        <f>IF($A$4+250&gt;$B$4,"",$A$4+250)</f>
        <v>46273</v>
      </c>
      <c r="N25101">
        <f>IF(M25101="","",'Master Barang'!A95)</f>
        <v>0</v>
      </c>
      <c r="O25101">
        <f>IF(N25101="","",'Master Barang'!B95)</f>
        <v>0</v>
      </c>
      <c r="P25101">
        <f>IF(OR(M25101="",N25101=""),"",SUMIFS('Barang Keluar'!$E:$E,'Barang Keluar'!$A:$A,M25101,'Barang Keluar'!$C:$C,N25101))</f>
        <v>0</v>
      </c>
    </row>
    <row r="25102" spans="13:16">
      <c r="M25102" s="49">
        <f>IF($A$4+250&gt;$B$4,"",$A$4+250)</f>
        <v>46273</v>
      </c>
      <c r="N25102">
        <f>IF(M25102="","",'Master Barang'!A96)</f>
        <v>0</v>
      </c>
      <c r="O25102">
        <f>IF(N25102="","",'Master Barang'!B96)</f>
        <v>0</v>
      </c>
      <c r="P25102">
        <f>IF(OR(M25102="",N25102=""),"",SUMIFS('Barang Keluar'!$E:$E,'Barang Keluar'!$A:$A,M25102,'Barang Keluar'!$C:$C,N25102))</f>
        <v>0</v>
      </c>
    </row>
    <row r="25103" spans="13:16">
      <c r="M25103" s="49">
        <f>IF($A$4+250&gt;$B$4,"",$A$4+250)</f>
        <v>46273</v>
      </c>
      <c r="N25103">
        <f>IF(M25103="","",'Master Barang'!A97)</f>
        <v>0</v>
      </c>
      <c r="O25103">
        <f>IF(N25103="","",'Master Barang'!B97)</f>
        <v>0</v>
      </c>
      <c r="P25103">
        <f>IF(OR(M25103="",N25103=""),"",SUMIFS('Barang Keluar'!$E:$E,'Barang Keluar'!$A:$A,M25103,'Barang Keluar'!$C:$C,N25103))</f>
        <v>0</v>
      </c>
    </row>
    <row r="25104" spans="13:16">
      <c r="M25104" s="49">
        <f>IF($A$4+250&gt;$B$4,"",$A$4+250)</f>
        <v>46273</v>
      </c>
      <c r="N25104">
        <f>IF(M25104="","",'Master Barang'!A98)</f>
        <v>0</v>
      </c>
      <c r="O25104">
        <f>IF(N25104="","",'Master Barang'!B98)</f>
        <v>0</v>
      </c>
      <c r="P25104">
        <f>IF(OR(M25104="",N25104=""),"",SUMIFS('Barang Keluar'!$E:$E,'Barang Keluar'!$A:$A,M25104,'Barang Keluar'!$C:$C,N25104))</f>
        <v>0</v>
      </c>
    </row>
    <row r="25105" spans="13:16">
      <c r="M25105" s="49">
        <f>IF($A$4+250&gt;$B$4,"",$A$4+250)</f>
        <v>46273</v>
      </c>
      <c r="N25105">
        <f>IF(M25105="","",'Master Barang'!A99)</f>
        <v>0</v>
      </c>
      <c r="O25105">
        <f>IF(N25105="","",'Master Barang'!B99)</f>
        <v>0</v>
      </c>
      <c r="P25105">
        <f>IF(OR(M25105="",N25105=""),"",SUMIFS('Barang Keluar'!$E:$E,'Barang Keluar'!$A:$A,M25105,'Barang Keluar'!$C:$C,N25105))</f>
        <v>0</v>
      </c>
    </row>
    <row r="25106" spans="13:16">
      <c r="M25106" s="49">
        <f>IF($A$4+250&gt;$B$4,"",$A$4+250)</f>
        <v>46273</v>
      </c>
      <c r="N25106">
        <f>IF(M25106="","",'Master Barang'!A100)</f>
        <v>0</v>
      </c>
      <c r="O25106">
        <f>IF(N25106="","",'Master Barang'!B100)</f>
        <v>0</v>
      </c>
      <c r="P25106">
        <f>IF(OR(M25106="",N25106=""),"",SUMIFS('Barang Keluar'!$E:$E,'Barang Keluar'!$A:$A,M25106,'Barang Keluar'!$C:$C,N25106))</f>
        <v>0</v>
      </c>
    </row>
    <row r="25107" spans="13:16">
      <c r="M25107" s="49">
        <f>IF($A$4+250&gt;$B$4,"",$A$4+250)</f>
        <v>46273</v>
      </c>
      <c r="N25107">
        <f>IF(M25107="","",'Master Barang'!A101)</f>
        <v>0</v>
      </c>
      <c r="O25107">
        <f>IF(N25107="","",'Master Barang'!B101)</f>
        <v>0</v>
      </c>
      <c r="P25107">
        <f>IF(OR(M25107="",N25107=""),"",SUMIFS('Barang Keluar'!$E:$E,'Barang Keluar'!$A:$A,M25107,'Barang Keluar'!$C:$C,N25107))</f>
        <v>0</v>
      </c>
    </row>
    <row r="25108" spans="13:16">
      <c r="M25108" s="49">
        <f>IF($A$4+251&gt;$B$4,"",$A$4+251)</f>
        <v>46274</v>
      </c>
      <c r="N25108" t="str">
        <f>IF(M25108="","",'Master Barang'!A2)</f>
        <v>PRL-001</v>
      </c>
      <c r="O25108" t="str">
        <f>IF(N25108="","",'Master Barang'!B2)</f>
        <v>natura desinfectant food grade 5l</v>
      </c>
      <c r="P25108">
        <f>IF(OR(M25108="",N25108=""),"",SUMIFS('Barang Keluar'!$E:$E,'Barang Keluar'!$A:$A,M25108,'Barang Keluar'!$C:$C,N25108))</f>
        <v>0</v>
      </c>
    </row>
    <row r="25109" spans="13:16">
      <c r="M25109" s="49">
        <f>IF($A$4+251&gt;$B$4,"",$A$4+251)</f>
        <v>46274</v>
      </c>
      <c r="N25109" t="str">
        <f>IF(M25109="","",'Master Barang'!A3)</f>
        <v>PRL-002</v>
      </c>
      <c r="O25109" t="str">
        <f>IF(N25109="","",'Master Barang'!B3)</f>
        <v>sunlight cairan pencuci piring 5l</v>
      </c>
      <c r="P25109">
        <f>IF(OR(M25109="",N25109=""),"",SUMIFS('Barang Keluar'!$E:$E,'Barang Keluar'!$A:$A,M25109,'Barang Keluar'!$C:$C,N25109))</f>
        <v>0</v>
      </c>
    </row>
    <row r="25110" spans="13:16">
      <c r="M25110" s="49">
        <f>IF($A$4+251&gt;$B$4,"",$A$4+251)</f>
        <v>46274</v>
      </c>
      <c r="N25110" t="str">
        <f>IF(M25110="","",'Master Barang'!A4)</f>
        <v>PRL-003</v>
      </c>
      <c r="O25110" t="str">
        <f>IF(N25110="","",'Master Barang'!B4)</f>
        <v>oixs cleaner 1l</v>
      </c>
      <c r="P25110">
        <f>IF(OR(M25110="",N25110=""),"",SUMIFS('Barang Keluar'!$E:$E,'Barang Keluar'!$A:$A,M25110,'Barang Keluar'!$C:$C,N25110))</f>
        <v>0</v>
      </c>
    </row>
    <row r="25111" spans="13:16">
      <c r="M25111" s="49">
        <f>IF($A$4+251&gt;$B$4,"",$A$4+251)</f>
        <v>46274</v>
      </c>
      <c r="N25111" t="str">
        <f>IF(M25111="","",'Master Barang'!A5)</f>
        <v>PRL-004</v>
      </c>
      <c r="O25111" t="str">
        <f>IF(N25111="","",'Master Barang'!B5)</f>
        <v>be clean tissue serbaguna</v>
      </c>
      <c r="P25111">
        <f>IF(OR(M25111="",N25111=""),"",SUMIFS('Barang Keluar'!$E:$E,'Barang Keluar'!$A:$A,M25111,'Barang Keluar'!$C:$C,N25111))</f>
        <v>0</v>
      </c>
    </row>
    <row r="25112" spans="13:16">
      <c r="M25112" s="49">
        <f>IF($A$4+251&gt;$B$4,"",$A$4+251)</f>
        <v>46274</v>
      </c>
      <c r="N25112" t="str">
        <f>IF(M25112="","",'Master Barang'!A6)</f>
        <v>PRL-005</v>
      </c>
      <c r="O25112" t="str">
        <f>IF(N25112="","",'Master Barang'!B6)</f>
        <v>spons cuci hijau</v>
      </c>
      <c r="P25112">
        <f>IF(OR(M25112="",N25112=""),"",SUMIFS('Barang Keluar'!$E:$E,'Barang Keluar'!$A:$A,M25112,'Barang Keluar'!$C:$C,N25112))</f>
        <v>0</v>
      </c>
    </row>
    <row r="25113" spans="13:16">
      <c r="M25113" s="49">
        <f>IF($A$4+251&gt;$B$4,"",$A$4+251)</f>
        <v>46274</v>
      </c>
      <c r="N25113" t="str">
        <f>IF(M25113="","",'Master Barang'!A7)</f>
        <v>PRL-006</v>
      </c>
      <c r="O25113" t="str">
        <f>IF(N25113="","",'Master Barang'!B7)</f>
        <v>sabut cuci stainless</v>
      </c>
      <c r="P25113">
        <f>IF(OR(M25113="",N25113=""),"",SUMIFS('Barang Keluar'!$E:$E,'Barang Keluar'!$A:$A,M25113,'Barang Keluar'!$C:$C,N25113))</f>
        <v>0</v>
      </c>
    </row>
    <row r="25114" spans="13:16">
      <c r="M25114" s="49">
        <f>IF($A$4+251&gt;$B$4,"",$A$4+251)</f>
        <v>46274</v>
      </c>
      <c r="N25114" t="str">
        <f>IF(M25114="","",'Master Barang'!A8)</f>
        <v>PRL-007</v>
      </c>
      <c r="O25114" t="str">
        <f>IF(N25114="","",'Master Barang'!B8)</f>
        <v>plastik kresek besar merah 50pc</v>
      </c>
      <c r="P25114">
        <f>IF(OR(M25114="",N25114=""),"",SUMIFS('Barang Keluar'!$E:$E,'Barang Keluar'!$A:$A,M25114,'Barang Keluar'!$C:$C,N25114))</f>
        <v>0</v>
      </c>
    </row>
    <row r="25115" spans="13:16">
      <c r="M25115" s="49">
        <f>IF($A$4+251&gt;$B$4,"",$A$4+251)</f>
        <v>46274</v>
      </c>
      <c r="N25115" t="str">
        <f>IF(M25115="","",'Master Barang'!A9)</f>
        <v>PRL-008</v>
      </c>
      <c r="O25115" t="str">
        <f>IF(N25115="","",'Master Barang'!B9)</f>
        <v>lap besar</v>
      </c>
      <c r="P25115">
        <f>IF(OR(M25115="",N25115=""),"",SUMIFS('Barang Keluar'!$E:$E,'Barang Keluar'!$A:$A,M25115,'Barang Keluar'!$C:$C,N25115))</f>
        <v>0</v>
      </c>
    </row>
    <row r="25116" spans="13:16">
      <c r="M25116" s="49">
        <f>IF($A$4+251&gt;$B$4,"",$A$4+251)</f>
        <v>46274</v>
      </c>
      <c r="N25116" t="str">
        <f>IF(M25116="","",'Master Barang'!A10)</f>
        <v>PRL-009</v>
      </c>
      <c r="O25116" t="str">
        <f>IF(N25116="","",'Master Barang'!B10)</f>
        <v>lap microfiber</v>
      </c>
      <c r="P25116">
        <f>IF(OR(M25116="",N25116=""),"",SUMIFS('Barang Keluar'!$E:$E,'Barang Keluar'!$A:$A,M25116,'Barang Keluar'!$C:$C,N25116))</f>
        <v>0</v>
      </c>
    </row>
    <row r="25117" spans="13:16">
      <c r="M25117" s="49">
        <f>IF($A$4+251&gt;$B$4,"",$A$4+251)</f>
        <v>46274</v>
      </c>
      <c r="N25117" t="str">
        <f>IF(M25117="","",'Master Barang'!A11)</f>
        <v>PRL-010</v>
      </c>
      <c r="O25117" t="str">
        <f>IF(N25117="","",'Master Barang'!B11)</f>
        <v>lap kecil</v>
      </c>
      <c r="P25117">
        <f>IF(OR(M25117="",N25117=""),"",SUMIFS('Barang Keluar'!$E:$E,'Barang Keluar'!$A:$A,M25117,'Barang Keluar'!$C:$C,N25117))</f>
        <v>0</v>
      </c>
    </row>
    <row r="25118" spans="13:16">
      <c r="M25118" s="49">
        <f>IF($A$4+251&gt;$B$4,"",$A$4+251)</f>
        <v>46274</v>
      </c>
      <c r="N25118" t="str">
        <f>IF(M25118="","",'Master Barang'!A12)</f>
        <v>PRL-011</v>
      </c>
      <c r="O25118" t="str">
        <f>IF(N25118="","",'Master Barang'!B12)</f>
        <v>kanebo kecil</v>
      </c>
      <c r="P25118">
        <f>IF(OR(M25118="",N25118=""),"",SUMIFS('Barang Keluar'!$E:$E,'Barang Keluar'!$A:$A,M25118,'Barang Keluar'!$C:$C,N25118))</f>
        <v>0</v>
      </c>
    </row>
    <row r="25119" spans="13:16">
      <c r="M25119" s="49">
        <f>IF($A$4+251&gt;$B$4,"",$A$4+251)</f>
        <v>46274</v>
      </c>
      <c r="N25119" t="str">
        <f>IF(M25119="","",'Master Barang'!A13)</f>
        <v>PRL-012</v>
      </c>
      <c r="O25119" t="str">
        <f>IF(N25119="","",'Master Barang'!B13)</f>
        <v>plastik 1/4kg joyoboyo 100 lembar</v>
      </c>
      <c r="P25119">
        <f>IF(OR(M25119="",N25119=""),"",SUMIFS('Barang Keluar'!$E:$E,'Barang Keluar'!$A:$A,M25119,'Barang Keluar'!$C:$C,N25119))</f>
        <v>0</v>
      </c>
    </row>
    <row r="25120" spans="13:16">
      <c r="M25120" s="49">
        <f>IF($A$4+251&gt;$B$4,"",$A$4+251)</f>
        <v>46274</v>
      </c>
      <c r="N25120" t="str">
        <f>IF(M25120="","",'Master Barang'!A14)</f>
        <v>PRL-013</v>
      </c>
      <c r="O25120" t="str">
        <f>IF(N25120="","",'Master Barang'!B14)</f>
        <v>sarung tangan plastik kaka 100 pcs</v>
      </c>
      <c r="P25120">
        <f>IF(OR(M25120="",N25120=""),"",SUMIFS('Barang Keluar'!$E:$E,'Barang Keluar'!$A:$A,M25120,'Barang Keluar'!$C:$C,N25120))</f>
        <v>0</v>
      </c>
    </row>
    <row r="25121" spans="13:16">
      <c r="M25121" s="49">
        <f>IF($A$4+251&gt;$B$4,"",$A$4+251)</f>
        <v>46274</v>
      </c>
      <c r="N25121" t="str">
        <f>IF(M25121="","",'Master Barang'!A15)</f>
        <v>PRL-014</v>
      </c>
      <c r="O25121" t="str">
        <f>IF(N25121="","",'Master Barang'!B15)</f>
        <v>optima trashbag 80x100</v>
      </c>
      <c r="P25121">
        <f>IF(OR(M25121="",N25121=""),"",SUMIFS('Barang Keluar'!$E:$E,'Barang Keluar'!$A:$A,M25121,'Barang Keluar'!$C:$C,N25121))</f>
        <v>0</v>
      </c>
    </row>
    <row r="25122" spans="13:16">
      <c r="M25122" s="49">
        <f>IF($A$4+251&gt;$B$4,"",$A$4+251)</f>
        <v>46274</v>
      </c>
      <c r="N25122" t="str">
        <f>IF(M25122="","",'Master Barang'!A16)</f>
        <v>PRL-015</v>
      </c>
      <c r="O25122" t="str">
        <f>IF(N25122="","",'Master Barang'!B16)</f>
        <v>optima trashbag 60x100</v>
      </c>
      <c r="P25122">
        <f>IF(OR(M25122="",N25122=""),"",SUMIFS('Barang Keluar'!$E:$E,'Barang Keluar'!$A:$A,M25122,'Barang Keluar'!$C:$C,N25122))</f>
        <v>0</v>
      </c>
    </row>
    <row r="25123" spans="13:16">
      <c r="M25123" s="49">
        <f>IF($A$4+251&gt;$B$4,"",$A$4+251)</f>
        <v>46274</v>
      </c>
      <c r="N25123" t="str">
        <f>IF(M25123="","",'Master Barang'!A17)</f>
        <v>PRL-016</v>
      </c>
      <c r="O25123" t="str">
        <f>IF(N25123="","",'Master Barang'!B17)</f>
        <v>rajawali trashbag 30x40</v>
      </c>
      <c r="P25123">
        <f>IF(OR(M25123="",N25123=""),"",SUMIFS('Barang Keluar'!$E:$E,'Barang Keluar'!$A:$A,M25123,'Barang Keluar'!$C:$C,N25123))</f>
        <v>0</v>
      </c>
    </row>
    <row r="25124" spans="13:16">
      <c r="M25124" s="49">
        <f>IF($A$4+251&gt;$B$4,"",$A$4+251)</f>
        <v>46274</v>
      </c>
      <c r="N25124" t="str">
        <f>IF(M25124="","",'Master Barang'!A18)</f>
        <v>PRL-017</v>
      </c>
      <c r="O25124" t="str">
        <f>IF(N25124="","",'Master Barang'!B18)</f>
        <v>onemed masker biru 3 play 50 pcs</v>
      </c>
      <c r="P25124">
        <f>IF(OR(M25124="",N25124=""),"",SUMIFS('Barang Keluar'!$E:$E,'Barang Keluar'!$A:$A,M25124,'Barang Keluar'!$C:$C,N25124))</f>
        <v>0</v>
      </c>
    </row>
    <row r="25125" spans="13:16">
      <c r="M25125" s="49">
        <f>IF($A$4+251&gt;$B$4,"",$A$4+251)</f>
        <v>46274</v>
      </c>
      <c r="N25125" t="str">
        <f>IF(M25125="","",'Master Barang'!A19)</f>
        <v>PRL-018</v>
      </c>
      <c r="O25125" t="str">
        <f>IF(N25125="","",'Master Barang'!B19)</f>
        <v>onemed masker biru 3 play hijab 50 pcs</v>
      </c>
      <c r="P25125">
        <f>IF(OR(M25125="",N25125=""),"",SUMIFS('Barang Keluar'!$E:$E,'Barang Keluar'!$A:$A,M25125,'Barang Keluar'!$C:$C,N25125))</f>
        <v>0</v>
      </c>
    </row>
    <row r="25126" spans="13:16">
      <c r="M25126" s="49">
        <f>IF($A$4+251&gt;$B$4,"",$A$4+251)</f>
        <v>46274</v>
      </c>
      <c r="N25126" t="str">
        <f>IF(M25126="","",'Master Barang'!A20)</f>
        <v>PRL-019</v>
      </c>
      <c r="O25126" t="str">
        <f>IF(N25126="","",'Master Barang'!B20)</f>
        <v>neo health masker biru 3 play 50 pcs</v>
      </c>
      <c r="P25126">
        <f>IF(OR(M25126="",N25126=""),"",SUMIFS('Barang Keluar'!$E:$E,'Barang Keluar'!$A:$A,M25126,'Barang Keluar'!$C:$C,N25126))</f>
        <v>0</v>
      </c>
    </row>
    <row r="25127" spans="13:16">
      <c r="M25127" s="49">
        <f>IF($A$4+251&gt;$B$4,"",$A$4+251)</f>
        <v>46274</v>
      </c>
      <c r="N25127" t="str">
        <f>IF(M25127="","",'Master Barang'!A21)</f>
        <v>PRL-020</v>
      </c>
      <c r="O25127" t="str">
        <f>IF(N25127="","",'Master Barang'!B21)</f>
        <v>baymed masker hijau 3 play hijau 50 pcs</v>
      </c>
      <c r="P25127">
        <f>IF(OR(M25127="",N25127=""),"",SUMIFS('Barang Keluar'!$E:$E,'Barang Keluar'!$A:$A,M25127,'Barang Keluar'!$C:$C,N25127))</f>
        <v>0</v>
      </c>
    </row>
    <row r="25128" spans="13:16">
      <c r="M25128" s="49">
        <f>IF($A$4+251&gt;$B$4,"",$A$4+251)</f>
        <v>46274</v>
      </c>
      <c r="N25128" t="str">
        <f>IF(M25128="","",'Master Barang'!A22)</f>
        <v>PRL-021</v>
      </c>
      <c r="O25128" t="str">
        <f>IF(N25128="","",'Master Barang'!B22)</f>
        <v>altamed nurse cap penutup kepala 100 pcs</v>
      </c>
      <c r="P25128">
        <f>IF(OR(M25128="",N25128=""),"",SUMIFS('Barang Keluar'!$E:$E,'Barang Keluar'!$A:$A,M25128,'Barang Keluar'!$C:$C,N25128))</f>
        <v>0</v>
      </c>
    </row>
    <row r="25129" spans="13:16">
      <c r="M25129" s="49">
        <f>IF($A$4+251&gt;$B$4,"",$A$4+251)</f>
        <v>46274</v>
      </c>
      <c r="N25129" t="str">
        <f>IF(M25129="","",'Master Barang'!A23)</f>
        <v>PRL-022</v>
      </c>
      <c r="O25129" t="str">
        <f>IF(N25129="","",'Master Barang'!B23)</f>
        <v>sabun cuci tangan</v>
      </c>
      <c r="P25129">
        <f>IF(OR(M25129="",N25129=""),"",SUMIFS('Barang Keluar'!$E:$E,'Barang Keluar'!$A:$A,M25129,'Barang Keluar'!$C:$C,N25129))</f>
        <v>0</v>
      </c>
    </row>
    <row r="25130" spans="13:16">
      <c r="M25130" s="49">
        <f>IF($A$4+251&gt;$B$4,"",$A$4+251)</f>
        <v>46274</v>
      </c>
      <c r="N25130" t="str">
        <f>IF(M25130="","",'Master Barang'!A24)</f>
        <v>PRL-023</v>
      </c>
      <c r="O25130" t="str">
        <f>IF(N25130="","",'Master Barang'!B24)</f>
        <v>gayung kecil</v>
      </c>
      <c r="P25130">
        <f>IF(OR(M25130="",N25130=""),"",SUMIFS('Barang Keluar'!$E:$E,'Barang Keluar'!$A:$A,M25130,'Barang Keluar'!$C:$C,N25130))</f>
        <v>0</v>
      </c>
    </row>
    <row r="25131" spans="13:16">
      <c r="M25131" s="49">
        <f>IF($A$4+251&gt;$B$4,"",$A$4+251)</f>
        <v>46274</v>
      </c>
      <c r="N25131" t="str">
        <f>IF(M25131="","",'Master Barang'!A25)</f>
        <v>PRL-024</v>
      </c>
      <c r="O25131" t="str">
        <f>IF(N25131="","",'Master Barang'!B25)</f>
        <v>cikrak kecil</v>
      </c>
      <c r="P25131">
        <f>IF(OR(M25131="",N25131=""),"",SUMIFS('Barang Keluar'!$E:$E,'Barang Keluar'!$A:$A,M25131,'Barang Keluar'!$C:$C,N25131))</f>
        <v>0</v>
      </c>
    </row>
    <row r="25132" spans="13:16">
      <c r="M25132" s="49">
        <f>IF($A$4+251&gt;$B$4,"",$A$4+251)</f>
        <v>46274</v>
      </c>
      <c r="N25132" t="str">
        <f>IF(M25132="","",'Master Barang'!A26)</f>
        <v>PRL-025</v>
      </c>
      <c r="O25132" t="str">
        <f>IF(N25132="","",'Master Barang'!B26)</f>
        <v>petromax plastik kecil 12x24 100 lembar</v>
      </c>
      <c r="P25132">
        <f>IF(OR(M25132="",N25132=""),"",SUMIFS('Barang Keluar'!$E:$E,'Barang Keluar'!$A:$A,M25132,'Barang Keluar'!$C:$C,N25132))</f>
        <v>0</v>
      </c>
    </row>
    <row r="25133" spans="13:16">
      <c r="M25133" s="49">
        <f>IF($A$4+251&gt;$B$4,"",$A$4+251)</f>
        <v>46274</v>
      </c>
      <c r="N25133" t="str">
        <f>IF(M25133="","",'Master Barang'!A27)</f>
        <v>PRL-026</v>
      </c>
      <c r="O25133" t="str">
        <f>IF(N25133="","",'Master Barang'!B27)</f>
        <v>lancar kresek kecil bening </v>
      </c>
      <c r="P25133">
        <f>IF(OR(M25133="",N25133=""),"",SUMIFS('Barang Keluar'!$E:$E,'Barang Keluar'!$A:$A,M25133,'Barang Keluar'!$C:$C,N25133))</f>
        <v>0</v>
      </c>
    </row>
    <row r="25134" spans="13:16">
      <c r="M25134" s="49">
        <f>IF($A$4+251&gt;$B$4,"",$A$4+251)</f>
        <v>46274</v>
      </c>
      <c r="N25134" t="str">
        <f>IF(M25134="","",'Master Barang'!A28)</f>
        <v>PRL-027</v>
      </c>
      <c r="O25134" t="str">
        <f>IF(N25134="","",'Master Barang'!B28)</f>
        <v>kresek klin warna warni kecil</v>
      </c>
      <c r="P25134">
        <f>IF(OR(M25134="",N25134=""),"",SUMIFS('Barang Keluar'!$E:$E,'Barang Keluar'!$A:$A,M25134,'Barang Keluar'!$C:$C,N25134))</f>
        <v>0</v>
      </c>
    </row>
    <row r="25135" spans="13:16">
      <c r="M25135" s="49">
        <f>IF($A$4+251&gt;$B$4,"",$A$4+251)</f>
        <v>46274</v>
      </c>
      <c r="N25135" t="str">
        <f>IF(M25135="","",'Master Barang'!A29)</f>
        <v>PRL-028</v>
      </c>
      <c r="O25135" t="str">
        <f>IF(N25135="","",'Master Barang'!B29)</f>
        <v>ctik plastik 7x10 100 pcs</v>
      </c>
      <c r="P25135">
        <f>IF(OR(M25135="",N25135=""),"",SUMIFS('Barang Keluar'!$E:$E,'Barang Keluar'!$A:$A,M25135,'Barang Keluar'!$C:$C,N25135))</f>
        <v>0</v>
      </c>
    </row>
    <row r="25136" spans="13:16">
      <c r="M25136" s="49">
        <f>IF($A$4+251&gt;$B$4,"",$A$4+251)</f>
        <v>46274</v>
      </c>
      <c r="N25136" t="str">
        <f>IF(M25136="","",'Master Barang'!A30)</f>
        <v>PRL-029</v>
      </c>
      <c r="O25136" t="str">
        <f>IF(N25136="","",'Master Barang'!B30)</f>
        <v>ctik plastik 6x10 100 pcs</v>
      </c>
      <c r="P25136">
        <f>IF(OR(M25136="",N25136=""),"",SUMIFS('Barang Keluar'!$E:$E,'Barang Keluar'!$A:$A,M25136,'Barang Keluar'!$C:$C,N25136))</f>
        <v>0</v>
      </c>
    </row>
    <row r="25137" spans="13:16">
      <c r="M25137" s="49">
        <f>IF($A$4+251&gt;$B$4,"",$A$4+251)</f>
        <v>46274</v>
      </c>
      <c r="N25137" t="str">
        <f>IF(M25137="","",'Master Barang'!A31)</f>
        <v>PRL-030</v>
      </c>
      <c r="O25137" t="str">
        <f>IF(N25137="","",'Master Barang'!B31)</f>
        <v>klip plastik 25x16 100 pcs</v>
      </c>
      <c r="P25137">
        <f>IF(OR(M25137="",N25137=""),"",SUMIFS('Barang Keluar'!$E:$E,'Barang Keluar'!$A:$A,M25137,'Barang Keluar'!$C:$C,N25137))</f>
        <v>0</v>
      </c>
    </row>
    <row r="25138" spans="13:16">
      <c r="M25138" s="49">
        <f>IF($A$4+251&gt;$B$4,"",$A$4+251)</f>
        <v>46274</v>
      </c>
      <c r="N25138" t="str">
        <f>IF(M25138="","",'Master Barang'!A32)</f>
        <v>PRL-031</v>
      </c>
      <c r="O25138" t="str">
        <f>IF(N25138="","",'Master Barang'!B32)</f>
        <v>tempat saus 20 ml</v>
      </c>
      <c r="P25138">
        <f>IF(OR(M25138="",N25138=""),"",SUMIFS('Barang Keluar'!$E:$E,'Barang Keluar'!$A:$A,M25138,'Barang Keluar'!$C:$C,N25138))</f>
        <v>0</v>
      </c>
    </row>
    <row r="25139" spans="13:16">
      <c r="M25139" s="49">
        <f>IF($A$4+251&gt;$B$4,"",$A$4+251)</f>
        <v>46274</v>
      </c>
      <c r="N25139" t="str">
        <f>IF(M25139="","",'Master Barang'!A33)</f>
        <v>PRL-032</v>
      </c>
      <c r="O25139" t="str">
        <f>IF(N25139="","",'Master Barang'!B33)</f>
        <v>plastik packaging ag box uk sedang</v>
      </c>
      <c r="P25139">
        <f>IF(OR(M25139="",N25139=""),"",SUMIFS('Barang Keluar'!$E:$E,'Barang Keluar'!$A:$A,M25139,'Barang Keluar'!$C:$C,N25139))</f>
        <v>0</v>
      </c>
    </row>
    <row r="25140" spans="13:16">
      <c r="M25140" s="49">
        <f>IF($A$4+251&gt;$B$4,"",$A$4+251)</f>
        <v>46274</v>
      </c>
      <c r="N25140" t="str">
        <f>IF(M25140="","",'Master Barang'!A34)</f>
        <v>PRL-033</v>
      </c>
      <c r="O25140">
        <f>IF(N25140="","",'Master Barang'!B34)</f>
        <v>0</v>
      </c>
      <c r="P25140">
        <f>IF(OR(M25140="",N25140=""),"",SUMIFS('Barang Keluar'!$E:$E,'Barang Keluar'!$A:$A,M25140,'Barang Keluar'!$C:$C,N25140))</f>
        <v>0</v>
      </c>
    </row>
    <row r="25141" spans="13:16">
      <c r="M25141" s="49">
        <f>IF($A$4+251&gt;$B$4,"",$A$4+251)</f>
        <v>46274</v>
      </c>
      <c r="N25141">
        <f>IF(M25141="","",'Master Barang'!A35)</f>
        <v>0</v>
      </c>
      <c r="O25141">
        <f>IF(N25141="","",'Master Barang'!B35)</f>
        <v>0</v>
      </c>
      <c r="P25141">
        <f>IF(OR(M25141="",N25141=""),"",SUMIFS('Barang Keluar'!$E:$E,'Barang Keluar'!$A:$A,M25141,'Barang Keluar'!$C:$C,N25141))</f>
        <v>0</v>
      </c>
    </row>
    <row r="25142" spans="13:16">
      <c r="M25142" s="49">
        <f>IF($A$4+251&gt;$B$4,"",$A$4+251)</f>
        <v>46274</v>
      </c>
      <c r="N25142">
        <f>IF(M25142="","",'Master Barang'!A36)</f>
        <v>0</v>
      </c>
      <c r="O25142">
        <f>IF(N25142="","",'Master Barang'!B36)</f>
        <v>0</v>
      </c>
      <c r="P25142">
        <f>IF(OR(M25142="",N25142=""),"",SUMIFS('Barang Keluar'!$E:$E,'Barang Keluar'!$A:$A,M25142,'Barang Keluar'!$C:$C,N25142))</f>
        <v>0</v>
      </c>
    </row>
    <row r="25143" spans="13:16">
      <c r="M25143" s="49">
        <f>IF($A$4+251&gt;$B$4,"",$A$4+251)</f>
        <v>46274</v>
      </c>
      <c r="N25143">
        <f>IF(M25143="","",'Master Barang'!A37)</f>
        <v>0</v>
      </c>
      <c r="O25143">
        <f>IF(N25143="","",'Master Barang'!B37)</f>
        <v>0</v>
      </c>
      <c r="P25143">
        <f>IF(OR(M25143="",N25143=""),"",SUMIFS('Barang Keluar'!$E:$E,'Barang Keluar'!$A:$A,M25143,'Barang Keluar'!$C:$C,N25143))</f>
        <v>0</v>
      </c>
    </row>
    <row r="25144" spans="13:16">
      <c r="M25144" s="49">
        <f>IF($A$4+251&gt;$B$4,"",$A$4+251)</f>
        <v>46274</v>
      </c>
      <c r="N25144">
        <f>IF(M25144="","",'Master Barang'!A38)</f>
        <v>0</v>
      </c>
      <c r="O25144">
        <f>IF(N25144="","",'Master Barang'!B38)</f>
        <v>0</v>
      </c>
      <c r="P25144">
        <f>IF(OR(M25144="",N25144=""),"",SUMIFS('Barang Keluar'!$E:$E,'Barang Keluar'!$A:$A,M25144,'Barang Keluar'!$C:$C,N25144))</f>
        <v>0</v>
      </c>
    </row>
    <row r="25145" spans="13:16">
      <c r="M25145" s="49">
        <f>IF($A$4+251&gt;$B$4,"",$A$4+251)</f>
        <v>46274</v>
      </c>
      <c r="N25145">
        <f>IF(M25145="","",'Master Barang'!A39)</f>
        <v>0</v>
      </c>
      <c r="O25145">
        <f>IF(N25145="","",'Master Barang'!B39)</f>
        <v>0</v>
      </c>
      <c r="P25145">
        <f>IF(OR(M25145="",N25145=""),"",SUMIFS('Barang Keluar'!$E:$E,'Barang Keluar'!$A:$A,M25145,'Barang Keluar'!$C:$C,N25145))</f>
        <v>0</v>
      </c>
    </row>
    <row r="25146" spans="13:16">
      <c r="M25146" s="49">
        <f>IF($A$4+251&gt;$B$4,"",$A$4+251)</f>
        <v>46274</v>
      </c>
      <c r="N25146">
        <f>IF(M25146="","",'Master Barang'!A40)</f>
        <v>0</v>
      </c>
      <c r="O25146">
        <f>IF(N25146="","",'Master Barang'!B40)</f>
        <v>0</v>
      </c>
      <c r="P25146">
        <f>IF(OR(M25146="",N25146=""),"",SUMIFS('Barang Keluar'!$E:$E,'Barang Keluar'!$A:$A,M25146,'Barang Keluar'!$C:$C,N25146))</f>
        <v>0</v>
      </c>
    </row>
    <row r="25147" spans="13:16">
      <c r="M25147" s="49">
        <f>IF($A$4+251&gt;$B$4,"",$A$4+251)</f>
        <v>46274</v>
      </c>
      <c r="N25147">
        <f>IF(M25147="","",'Master Barang'!A41)</f>
        <v>0</v>
      </c>
      <c r="O25147">
        <f>IF(N25147="","",'Master Barang'!B41)</f>
        <v>0</v>
      </c>
      <c r="P25147">
        <f>IF(OR(M25147="",N25147=""),"",SUMIFS('Barang Keluar'!$E:$E,'Barang Keluar'!$A:$A,M25147,'Barang Keluar'!$C:$C,N25147))</f>
        <v>0</v>
      </c>
    </row>
    <row r="25148" spans="13:16">
      <c r="M25148" s="49">
        <f>IF($A$4+251&gt;$B$4,"",$A$4+251)</f>
        <v>46274</v>
      </c>
      <c r="N25148">
        <f>IF(M25148="","",'Master Barang'!A42)</f>
        <v>0</v>
      </c>
      <c r="O25148">
        <f>IF(N25148="","",'Master Barang'!B42)</f>
        <v>0</v>
      </c>
      <c r="P25148">
        <f>IF(OR(M25148="",N25148=""),"",SUMIFS('Barang Keluar'!$E:$E,'Barang Keluar'!$A:$A,M25148,'Barang Keluar'!$C:$C,N25148))</f>
        <v>0</v>
      </c>
    </row>
    <row r="25149" spans="13:16">
      <c r="M25149" s="49">
        <f>IF($A$4+251&gt;$B$4,"",$A$4+251)</f>
        <v>46274</v>
      </c>
      <c r="N25149">
        <f>IF(M25149="","",'Master Barang'!A43)</f>
        <v>0</v>
      </c>
      <c r="O25149">
        <f>IF(N25149="","",'Master Barang'!B43)</f>
        <v>0</v>
      </c>
      <c r="P25149">
        <f>IF(OR(M25149="",N25149=""),"",SUMIFS('Barang Keluar'!$E:$E,'Barang Keluar'!$A:$A,M25149,'Barang Keluar'!$C:$C,N25149))</f>
        <v>0</v>
      </c>
    </row>
    <row r="25150" spans="13:16">
      <c r="M25150" s="49">
        <f>IF($A$4+251&gt;$B$4,"",$A$4+251)</f>
        <v>46274</v>
      </c>
      <c r="N25150">
        <f>IF(M25150="","",'Master Barang'!A44)</f>
        <v>0</v>
      </c>
      <c r="O25150">
        <f>IF(N25150="","",'Master Barang'!B44)</f>
        <v>0</v>
      </c>
      <c r="P25150">
        <f>IF(OR(M25150="",N25150=""),"",SUMIFS('Barang Keluar'!$E:$E,'Barang Keluar'!$A:$A,M25150,'Barang Keluar'!$C:$C,N25150))</f>
        <v>0</v>
      </c>
    </row>
    <row r="25151" spans="13:16">
      <c r="M25151" s="49">
        <f>IF($A$4+251&gt;$B$4,"",$A$4+251)</f>
        <v>46274</v>
      </c>
      <c r="N25151">
        <f>IF(M25151="","",'Master Barang'!A45)</f>
        <v>0</v>
      </c>
      <c r="O25151">
        <f>IF(N25151="","",'Master Barang'!B45)</f>
        <v>0</v>
      </c>
      <c r="P25151">
        <f>IF(OR(M25151="",N25151=""),"",SUMIFS('Barang Keluar'!$E:$E,'Barang Keluar'!$A:$A,M25151,'Barang Keluar'!$C:$C,N25151))</f>
        <v>0</v>
      </c>
    </row>
    <row r="25152" spans="13:16">
      <c r="M25152" s="49">
        <f>IF($A$4+251&gt;$B$4,"",$A$4+251)</f>
        <v>46274</v>
      </c>
      <c r="N25152">
        <f>IF(M25152="","",'Master Barang'!A46)</f>
        <v>0</v>
      </c>
      <c r="O25152">
        <f>IF(N25152="","",'Master Barang'!B46)</f>
        <v>0</v>
      </c>
      <c r="P25152">
        <f>IF(OR(M25152="",N25152=""),"",SUMIFS('Barang Keluar'!$E:$E,'Barang Keluar'!$A:$A,M25152,'Barang Keluar'!$C:$C,N25152))</f>
        <v>0</v>
      </c>
    </row>
    <row r="25153" spans="13:16">
      <c r="M25153" s="49">
        <f>IF($A$4+251&gt;$B$4,"",$A$4+251)</f>
        <v>46274</v>
      </c>
      <c r="N25153">
        <f>IF(M25153="","",'Master Barang'!A47)</f>
        <v>0</v>
      </c>
      <c r="O25153">
        <f>IF(N25153="","",'Master Barang'!B47)</f>
        <v>0</v>
      </c>
      <c r="P25153">
        <f>IF(OR(M25153="",N25153=""),"",SUMIFS('Barang Keluar'!$E:$E,'Barang Keluar'!$A:$A,M25153,'Barang Keluar'!$C:$C,N25153))</f>
        <v>0</v>
      </c>
    </row>
    <row r="25154" spans="13:16">
      <c r="M25154" s="49">
        <f>IF($A$4+251&gt;$B$4,"",$A$4+251)</f>
        <v>46274</v>
      </c>
      <c r="N25154">
        <f>IF(M25154="","",'Master Barang'!A48)</f>
        <v>0</v>
      </c>
      <c r="O25154">
        <f>IF(N25154="","",'Master Barang'!B48)</f>
        <v>0</v>
      </c>
      <c r="P25154">
        <f>IF(OR(M25154="",N25154=""),"",SUMIFS('Barang Keluar'!$E:$E,'Barang Keluar'!$A:$A,M25154,'Barang Keluar'!$C:$C,N25154))</f>
        <v>0</v>
      </c>
    </row>
    <row r="25155" spans="13:16">
      <c r="M25155" s="49">
        <f>IF($A$4+251&gt;$B$4,"",$A$4+251)</f>
        <v>46274</v>
      </c>
      <c r="N25155">
        <f>IF(M25155="","",'Master Barang'!A49)</f>
        <v>0</v>
      </c>
      <c r="O25155">
        <f>IF(N25155="","",'Master Barang'!B49)</f>
        <v>0</v>
      </c>
      <c r="P25155">
        <f>IF(OR(M25155="",N25155=""),"",SUMIFS('Barang Keluar'!$E:$E,'Barang Keluar'!$A:$A,M25155,'Barang Keluar'!$C:$C,N25155))</f>
        <v>0</v>
      </c>
    </row>
    <row r="25156" spans="13:16">
      <c r="M25156" s="49">
        <f>IF($A$4+251&gt;$B$4,"",$A$4+251)</f>
        <v>46274</v>
      </c>
      <c r="N25156">
        <f>IF(M25156="","",'Master Barang'!A50)</f>
        <v>0</v>
      </c>
      <c r="O25156">
        <f>IF(N25156="","",'Master Barang'!B50)</f>
        <v>0</v>
      </c>
      <c r="P25156">
        <f>IF(OR(M25156="",N25156=""),"",SUMIFS('Barang Keluar'!$E:$E,'Barang Keluar'!$A:$A,M25156,'Barang Keluar'!$C:$C,N25156))</f>
        <v>0</v>
      </c>
    </row>
    <row r="25157" spans="13:16">
      <c r="M25157" s="49">
        <f>IF($A$4+251&gt;$B$4,"",$A$4+251)</f>
        <v>46274</v>
      </c>
      <c r="N25157">
        <f>IF(M25157="","",'Master Barang'!A51)</f>
        <v>0</v>
      </c>
      <c r="O25157">
        <f>IF(N25157="","",'Master Barang'!B51)</f>
        <v>0</v>
      </c>
      <c r="P25157">
        <f>IF(OR(M25157="",N25157=""),"",SUMIFS('Barang Keluar'!$E:$E,'Barang Keluar'!$A:$A,M25157,'Barang Keluar'!$C:$C,N25157))</f>
        <v>0</v>
      </c>
    </row>
    <row r="25158" spans="13:16">
      <c r="M25158" s="49">
        <f>IF($A$4+251&gt;$B$4,"",$A$4+251)</f>
        <v>46274</v>
      </c>
      <c r="N25158">
        <f>IF(M25158="","",'Master Barang'!A52)</f>
        <v>0</v>
      </c>
      <c r="O25158">
        <f>IF(N25158="","",'Master Barang'!B52)</f>
        <v>0</v>
      </c>
      <c r="P25158">
        <f>IF(OR(M25158="",N25158=""),"",SUMIFS('Barang Keluar'!$E:$E,'Barang Keluar'!$A:$A,M25158,'Barang Keluar'!$C:$C,N25158))</f>
        <v>0</v>
      </c>
    </row>
    <row r="25159" spans="13:16">
      <c r="M25159" s="49">
        <f>IF($A$4+251&gt;$B$4,"",$A$4+251)</f>
        <v>46274</v>
      </c>
      <c r="N25159">
        <f>IF(M25159="","",'Master Barang'!A53)</f>
        <v>0</v>
      </c>
      <c r="O25159">
        <f>IF(N25159="","",'Master Barang'!B53)</f>
        <v>0</v>
      </c>
      <c r="P25159">
        <f>IF(OR(M25159="",N25159=""),"",SUMIFS('Barang Keluar'!$E:$E,'Barang Keluar'!$A:$A,M25159,'Barang Keluar'!$C:$C,N25159))</f>
        <v>0</v>
      </c>
    </row>
    <row r="25160" spans="13:16">
      <c r="M25160" s="49">
        <f>IF($A$4+251&gt;$B$4,"",$A$4+251)</f>
        <v>46274</v>
      </c>
      <c r="N25160">
        <f>IF(M25160="","",'Master Barang'!A54)</f>
        <v>0</v>
      </c>
      <c r="O25160">
        <f>IF(N25160="","",'Master Barang'!B54)</f>
        <v>0</v>
      </c>
      <c r="P25160">
        <f>IF(OR(M25160="",N25160=""),"",SUMIFS('Barang Keluar'!$E:$E,'Barang Keluar'!$A:$A,M25160,'Barang Keluar'!$C:$C,N25160))</f>
        <v>0</v>
      </c>
    </row>
    <row r="25161" spans="13:16">
      <c r="M25161" s="49">
        <f>IF($A$4+251&gt;$B$4,"",$A$4+251)</f>
        <v>46274</v>
      </c>
      <c r="N25161">
        <f>IF(M25161="","",'Master Barang'!A55)</f>
        <v>0</v>
      </c>
      <c r="O25161">
        <f>IF(N25161="","",'Master Barang'!B55)</f>
        <v>0</v>
      </c>
      <c r="P25161">
        <f>IF(OR(M25161="",N25161=""),"",SUMIFS('Barang Keluar'!$E:$E,'Barang Keluar'!$A:$A,M25161,'Barang Keluar'!$C:$C,N25161))</f>
        <v>0</v>
      </c>
    </row>
    <row r="25162" spans="13:16">
      <c r="M25162" s="49">
        <f>IF($A$4+251&gt;$B$4,"",$A$4+251)</f>
        <v>46274</v>
      </c>
      <c r="N25162">
        <f>IF(M25162="","",'Master Barang'!A56)</f>
        <v>0</v>
      </c>
      <c r="O25162">
        <f>IF(N25162="","",'Master Barang'!B56)</f>
        <v>0</v>
      </c>
      <c r="P25162">
        <f>IF(OR(M25162="",N25162=""),"",SUMIFS('Barang Keluar'!$E:$E,'Barang Keluar'!$A:$A,M25162,'Barang Keluar'!$C:$C,N25162))</f>
        <v>0</v>
      </c>
    </row>
    <row r="25163" spans="13:16">
      <c r="M25163" s="49">
        <f>IF($A$4+251&gt;$B$4,"",$A$4+251)</f>
        <v>46274</v>
      </c>
      <c r="N25163">
        <f>IF(M25163="","",'Master Barang'!A57)</f>
        <v>0</v>
      </c>
      <c r="O25163">
        <f>IF(N25163="","",'Master Barang'!B57)</f>
        <v>0</v>
      </c>
      <c r="P25163">
        <f>IF(OR(M25163="",N25163=""),"",SUMIFS('Barang Keluar'!$E:$E,'Barang Keluar'!$A:$A,M25163,'Barang Keluar'!$C:$C,N25163))</f>
        <v>0</v>
      </c>
    </row>
    <row r="25164" spans="13:16">
      <c r="M25164" s="49">
        <f>IF($A$4+251&gt;$B$4,"",$A$4+251)</f>
        <v>46274</v>
      </c>
      <c r="N25164">
        <f>IF(M25164="","",'Master Barang'!A58)</f>
        <v>0</v>
      </c>
      <c r="O25164">
        <f>IF(N25164="","",'Master Barang'!B58)</f>
        <v>0</v>
      </c>
      <c r="P25164">
        <f>IF(OR(M25164="",N25164=""),"",SUMIFS('Barang Keluar'!$E:$E,'Barang Keluar'!$A:$A,M25164,'Barang Keluar'!$C:$C,N25164))</f>
        <v>0</v>
      </c>
    </row>
    <row r="25165" spans="13:16">
      <c r="M25165" s="49">
        <f>IF($A$4+251&gt;$B$4,"",$A$4+251)</f>
        <v>46274</v>
      </c>
      <c r="N25165">
        <f>IF(M25165="","",'Master Barang'!A59)</f>
        <v>0</v>
      </c>
      <c r="O25165">
        <f>IF(N25165="","",'Master Barang'!B59)</f>
        <v>0</v>
      </c>
      <c r="P25165">
        <f>IF(OR(M25165="",N25165=""),"",SUMIFS('Barang Keluar'!$E:$E,'Barang Keluar'!$A:$A,M25165,'Barang Keluar'!$C:$C,N25165))</f>
        <v>0</v>
      </c>
    </row>
    <row r="25166" spans="13:16">
      <c r="M25166" s="49">
        <f>IF($A$4+251&gt;$B$4,"",$A$4+251)</f>
        <v>46274</v>
      </c>
      <c r="N25166">
        <f>IF(M25166="","",'Master Barang'!A60)</f>
        <v>0</v>
      </c>
      <c r="O25166">
        <f>IF(N25166="","",'Master Barang'!B60)</f>
        <v>0</v>
      </c>
      <c r="P25166">
        <f>IF(OR(M25166="",N25166=""),"",SUMIFS('Barang Keluar'!$E:$E,'Barang Keluar'!$A:$A,M25166,'Barang Keluar'!$C:$C,N25166))</f>
        <v>0</v>
      </c>
    </row>
    <row r="25167" spans="13:16">
      <c r="M25167" s="49">
        <f>IF($A$4+251&gt;$B$4,"",$A$4+251)</f>
        <v>46274</v>
      </c>
      <c r="N25167">
        <f>IF(M25167="","",'Master Barang'!A61)</f>
        <v>0</v>
      </c>
      <c r="O25167">
        <f>IF(N25167="","",'Master Barang'!B61)</f>
        <v>0</v>
      </c>
      <c r="P25167">
        <f>IF(OR(M25167="",N25167=""),"",SUMIFS('Barang Keluar'!$E:$E,'Barang Keluar'!$A:$A,M25167,'Barang Keluar'!$C:$C,N25167))</f>
        <v>0</v>
      </c>
    </row>
    <row r="25168" spans="13:16">
      <c r="M25168" s="49">
        <f>IF($A$4+251&gt;$B$4,"",$A$4+251)</f>
        <v>46274</v>
      </c>
      <c r="N25168">
        <f>IF(M25168="","",'Master Barang'!A62)</f>
        <v>0</v>
      </c>
      <c r="O25168">
        <f>IF(N25168="","",'Master Barang'!B62)</f>
        <v>0</v>
      </c>
      <c r="P25168">
        <f>IF(OR(M25168="",N25168=""),"",SUMIFS('Barang Keluar'!$E:$E,'Barang Keluar'!$A:$A,M25168,'Barang Keluar'!$C:$C,N25168))</f>
        <v>0</v>
      </c>
    </row>
    <row r="25169" spans="13:16">
      <c r="M25169" s="49">
        <f>IF($A$4+251&gt;$B$4,"",$A$4+251)</f>
        <v>46274</v>
      </c>
      <c r="N25169">
        <f>IF(M25169="","",'Master Barang'!A63)</f>
        <v>0</v>
      </c>
      <c r="O25169">
        <f>IF(N25169="","",'Master Barang'!B63)</f>
        <v>0</v>
      </c>
      <c r="P25169">
        <f>IF(OR(M25169="",N25169=""),"",SUMIFS('Barang Keluar'!$E:$E,'Barang Keluar'!$A:$A,M25169,'Barang Keluar'!$C:$C,N25169))</f>
        <v>0</v>
      </c>
    </row>
    <row r="25170" spans="13:16">
      <c r="M25170" s="49">
        <f>IF($A$4+251&gt;$B$4,"",$A$4+251)</f>
        <v>46274</v>
      </c>
      <c r="N25170">
        <f>IF(M25170="","",'Master Barang'!A64)</f>
        <v>0</v>
      </c>
      <c r="O25170">
        <f>IF(N25170="","",'Master Barang'!B64)</f>
        <v>0</v>
      </c>
      <c r="P25170">
        <f>IF(OR(M25170="",N25170=""),"",SUMIFS('Barang Keluar'!$E:$E,'Barang Keluar'!$A:$A,M25170,'Barang Keluar'!$C:$C,N25170))</f>
        <v>0</v>
      </c>
    </row>
    <row r="25171" spans="13:16">
      <c r="M25171" s="49">
        <f>IF($A$4+251&gt;$B$4,"",$A$4+251)</f>
        <v>46274</v>
      </c>
      <c r="N25171">
        <f>IF(M25171="","",'Master Barang'!A65)</f>
        <v>0</v>
      </c>
      <c r="O25171">
        <f>IF(N25171="","",'Master Barang'!B65)</f>
        <v>0</v>
      </c>
      <c r="P25171">
        <f>IF(OR(M25171="",N25171=""),"",SUMIFS('Barang Keluar'!$E:$E,'Barang Keluar'!$A:$A,M25171,'Barang Keluar'!$C:$C,N25171))</f>
        <v>0</v>
      </c>
    </row>
    <row r="25172" spans="13:16">
      <c r="M25172" s="49">
        <f>IF($A$4+251&gt;$B$4,"",$A$4+251)</f>
        <v>46274</v>
      </c>
      <c r="N25172">
        <f>IF(M25172="","",'Master Barang'!A66)</f>
        <v>0</v>
      </c>
      <c r="O25172">
        <f>IF(N25172="","",'Master Barang'!B66)</f>
        <v>0</v>
      </c>
      <c r="P25172">
        <f>IF(OR(M25172="",N25172=""),"",SUMIFS('Barang Keluar'!$E:$E,'Barang Keluar'!$A:$A,M25172,'Barang Keluar'!$C:$C,N25172))</f>
        <v>0</v>
      </c>
    </row>
    <row r="25173" spans="13:16">
      <c r="M25173" s="49">
        <f>IF($A$4+251&gt;$B$4,"",$A$4+251)</f>
        <v>46274</v>
      </c>
      <c r="N25173">
        <f>IF(M25173="","",'Master Barang'!A67)</f>
        <v>0</v>
      </c>
      <c r="O25173">
        <f>IF(N25173="","",'Master Barang'!B67)</f>
        <v>0</v>
      </c>
      <c r="P25173">
        <f>IF(OR(M25173="",N25173=""),"",SUMIFS('Barang Keluar'!$E:$E,'Barang Keluar'!$A:$A,M25173,'Barang Keluar'!$C:$C,N25173))</f>
        <v>0</v>
      </c>
    </row>
    <row r="25174" spans="13:16">
      <c r="M25174" s="49">
        <f>IF($A$4+251&gt;$B$4,"",$A$4+251)</f>
        <v>46274</v>
      </c>
      <c r="N25174">
        <f>IF(M25174="","",'Master Barang'!A68)</f>
        <v>0</v>
      </c>
      <c r="O25174">
        <f>IF(N25174="","",'Master Barang'!B68)</f>
        <v>0</v>
      </c>
      <c r="P25174">
        <f>IF(OR(M25174="",N25174=""),"",SUMIFS('Barang Keluar'!$E:$E,'Barang Keluar'!$A:$A,M25174,'Barang Keluar'!$C:$C,N25174))</f>
        <v>0</v>
      </c>
    </row>
    <row r="25175" spans="13:16">
      <c r="M25175" s="49">
        <f>IF($A$4+251&gt;$B$4,"",$A$4+251)</f>
        <v>46274</v>
      </c>
      <c r="N25175">
        <f>IF(M25175="","",'Master Barang'!A69)</f>
        <v>0</v>
      </c>
      <c r="O25175">
        <f>IF(N25175="","",'Master Barang'!B69)</f>
        <v>0</v>
      </c>
      <c r="P25175">
        <f>IF(OR(M25175="",N25175=""),"",SUMIFS('Barang Keluar'!$E:$E,'Barang Keluar'!$A:$A,M25175,'Barang Keluar'!$C:$C,N25175))</f>
        <v>0</v>
      </c>
    </row>
    <row r="25176" spans="13:16">
      <c r="M25176" s="49">
        <f>IF($A$4+251&gt;$B$4,"",$A$4+251)</f>
        <v>46274</v>
      </c>
      <c r="N25176">
        <f>IF(M25176="","",'Master Barang'!A70)</f>
        <v>0</v>
      </c>
      <c r="O25176">
        <f>IF(N25176="","",'Master Barang'!B70)</f>
        <v>0</v>
      </c>
      <c r="P25176">
        <f>IF(OR(M25176="",N25176=""),"",SUMIFS('Barang Keluar'!$E:$E,'Barang Keluar'!$A:$A,M25176,'Barang Keluar'!$C:$C,N25176))</f>
        <v>0</v>
      </c>
    </row>
    <row r="25177" spans="13:16">
      <c r="M25177" s="49">
        <f>IF($A$4+251&gt;$B$4,"",$A$4+251)</f>
        <v>46274</v>
      </c>
      <c r="N25177">
        <f>IF(M25177="","",'Master Barang'!A71)</f>
        <v>0</v>
      </c>
      <c r="O25177">
        <f>IF(N25177="","",'Master Barang'!B71)</f>
        <v>0</v>
      </c>
      <c r="P25177">
        <f>IF(OR(M25177="",N25177=""),"",SUMIFS('Barang Keluar'!$E:$E,'Barang Keluar'!$A:$A,M25177,'Barang Keluar'!$C:$C,N25177))</f>
        <v>0</v>
      </c>
    </row>
    <row r="25178" spans="13:16">
      <c r="M25178" s="49">
        <f>IF($A$4+251&gt;$B$4,"",$A$4+251)</f>
        <v>46274</v>
      </c>
      <c r="N25178">
        <f>IF(M25178="","",'Master Barang'!A72)</f>
        <v>0</v>
      </c>
      <c r="O25178">
        <f>IF(N25178="","",'Master Barang'!B72)</f>
        <v>0</v>
      </c>
      <c r="P25178">
        <f>IF(OR(M25178="",N25178=""),"",SUMIFS('Barang Keluar'!$E:$E,'Barang Keluar'!$A:$A,M25178,'Barang Keluar'!$C:$C,N25178))</f>
        <v>0</v>
      </c>
    </row>
    <row r="25179" spans="13:16">
      <c r="M25179" s="49">
        <f>IF($A$4+251&gt;$B$4,"",$A$4+251)</f>
        <v>46274</v>
      </c>
      <c r="N25179">
        <f>IF(M25179="","",'Master Barang'!A73)</f>
        <v>0</v>
      </c>
      <c r="O25179">
        <f>IF(N25179="","",'Master Barang'!B73)</f>
        <v>0</v>
      </c>
      <c r="P25179">
        <f>IF(OR(M25179="",N25179=""),"",SUMIFS('Barang Keluar'!$E:$E,'Barang Keluar'!$A:$A,M25179,'Barang Keluar'!$C:$C,N25179))</f>
        <v>0</v>
      </c>
    </row>
    <row r="25180" spans="13:16">
      <c r="M25180" s="49">
        <f>IF($A$4+251&gt;$B$4,"",$A$4+251)</f>
        <v>46274</v>
      </c>
      <c r="N25180">
        <f>IF(M25180="","",'Master Barang'!A74)</f>
        <v>0</v>
      </c>
      <c r="O25180">
        <f>IF(N25180="","",'Master Barang'!B74)</f>
        <v>0</v>
      </c>
      <c r="P25180">
        <f>IF(OR(M25180="",N25180=""),"",SUMIFS('Barang Keluar'!$E:$E,'Barang Keluar'!$A:$A,M25180,'Barang Keluar'!$C:$C,N25180))</f>
        <v>0</v>
      </c>
    </row>
    <row r="25181" spans="13:16">
      <c r="M25181" s="49">
        <f>IF($A$4+251&gt;$B$4,"",$A$4+251)</f>
        <v>46274</v>
      </c>
      <c r="N25181">
        <f>IF(M25181="","",'Master Barang'!A75)</f>
        <v>0</v>
      </c>
      <c r="O25181">
        <f>IF(N25181="","",'Master Barang'!B75)</f>
        <v>0</v>
      </c>
      <c r="P25181">
        <f>IF(OR(M25181="",N25181=""),"",SUMIFS('Barang Keluar'!$E:$E,'Barang Keluar'!$A:$A,M25181,'Barang Keluar'!$C:$C,N25181))</f>
        <v>0</v>
      </c>
    </row>
    <row r="25182" spans="13:16">
      <c r="M25182" s="49">
        <f>IF($A$4+251&gt;$B$4,"",$A$4+251)</f>
        <v>46274</v>
      </c>
      <c r="N25182">
        <f>IF(M25182="","",'Master Barang'!A76)</f>
        <v>0</v>
      </c>
      <c r="O25182">
        <f>IF(N25182="","",'Master Barang'!B76)</f>
        <v>0</v>
      </c>
      <c r="P25182">
        <f>IF(OR(M25182="",N25182=""),"",SUMIFS('Barang Keluar'!$E:$E,'Barang Keluar'!$A:$A,M25182,'Barang Keluar'!$C:$C,N25182))</f>
        <v>0</v>
      </c>
    </row>
    <row r="25183" spans="13:16">
      <c r="M25183" s="49">
        <f>IF($A$4+251&gt;$B$4,"",$A$4+251)</f>
        <v>46274</v>
      </c>
      <c r="N25183">
        <f>IF(M25183="","",'Master Barang'!A77)</f>
        <v>0</v>
      </c>
      <c r="O25183">
        <f>IF(N25183="","",'Master Barang'!B77)</f>
        <v>0</v>
      </c>
      <c r="P25183">
        <f>IF(OR(M25183="",N25183=""),"",SUMIFS('Barang Keluar'!$E:$E,'Barang Keluar'!$A:$A,M25183,'Barang Keluar'!$C:$C,N25183))</f>
        <v>0</v>
      </c>
    </row>
    <row r="25184" spans="13:16">
      <c r="M25184" s="49">
        <f>IF($A$4+251&gt;$B$4,"",$A$4+251)</f>
        <v>46274</v>
      </c>
      <c r="N25184">
        <f>IF(M25184="","",'Master Barang'!A78)</f>
        <v>0</v>
      </c>
      <c r="O25184">
        <f>IF(N25184="","",'Master Barang'!B78)</f>
        <v>0</v>
      </c>
      <c r="P25184">
        <f>IF(OR(M25184="",N25184=""),"",SUMIFS('Barang Keluar'!$E:$E,'Barang Keluar'!$A:$A,M25184,'Barang Keluar'!$C:$C,N25184))</f>
        <v>0</v>
      </c>
    </row>
    <row r="25185" spans="13:16">
      <c r="M25185" s="49">
        <f>IF($A$4+251&gt;$B$4,"",$A$4+251)</f>
        <v>46274</v>
      </c>
      <c r="N25185">
        <f>IF(M25185="","",'Master Barang'!A79)</f>
        <v>0</v>
      </c>
      <c r="O25185">
        <f>IF(N25185="","",'Master Barang'!B79)</f>
        <v>0</v>
      </c>
      <c r="P25185">
        <f>IF(OR(M25185="",N25185=""),"",SUMIFS('Barang Keluar'!$E:$E,'Barang Keluar'!$A:$A,M25185,'Barang Keluar'!$C:$C,N25185))</f>
        <v>0</v>
      </c>
    </row>
    <row r="25186" spans="13:16">
      <c r="M25186" s="49">
        <f>IF($A$4+251&gt;$B$4,"",$A$4+251)</f>
        <v>46274</v>
      </c>
      <c r="N25186">
        <f>IF(M25186="","",'Master Barang'!A80)</f>
        <v>0</v>
      </c>
      <c r="O25186">
        <f>IF(N25186="","",'Master Barang'!B80)</f>
        <v>0</v>
      </c>
      <c r="P25186">
        <f>IF(OR(M25186="",N25186=""),"",SUMIFS('Barang Keluar'!$E:$E,'Barang Keluar'!$A:$A,M25186,'Barang Keluar'!$C:$C,N25186))</f>
        <v>0</v>
      </c>
    </row>
    <row r="25187" spans="13:16">
      <c r="M25187" s="49">
        <f>IF($A$4+251&gt;$B$4,"",$A$4+251)</f>
        <v>46274</v>
      </c>
      <c r="N25187">
        <f>IF(M25187="","",'Master Barang'!A81)</f>
        <v>0</v>
      </c>
      <c r="O25187">
        <f>IF(N25187="","",'Master Barang'!B81)</f>
        <v>0</v>
      </c>
      <c r="P25187">
        <f>IF(OR(M25187="",N25187=""),"",SUMIFS('Barang Keluar'!$E:$E,'Barang Keluar'!$A:$A,M25187,'Barang Keluar'!$C:$C,N25187))</f>
        <v>0</v>
      </c>
    </row>
    <row r="25188" spans="13:16">
      <c r="M25188" s="49">
        <f>IF($A$4+251&gt;$B$4,"",$A$4+251)</f>
        <v>46274</v>
      </c>
      <c r="N25188">
        <f>IF(M25188="","",'Master Barang'!A82)</f>
        <v>0</v>
      </c>
      <c r="O25188">
        <f>IF(N25188="","",'Master Barang'!B82)</f>
        <v>0</v>
      </c>
      <c r="P25188">
        <f>IF(OR(M25188="",N25188=""),"",SUMIFS('Barang Keluar'!$E:$E,'Barang Keluar'!$A:$A,M25188,'Barang Keluar'!$C:$C,N25188))</f>
        <v>0</v>
      </c>
    </row>
    <row r="25189" spans="13:16">
      <c r="M25189" s="49">
        <f>IF($A$4+251&gt;$B$4,"",$A$4+251)</f>
        <v>46274</v>
      </c>
      <c r="N25189">
        <f>IF(M25189="","",'Master Barang'!A83)</f>
        <v>0</v>
      </c>
      <c r="O25189">
        <f>IF(N25189="","",'Master Barang'!B83)</f>
        <v>0</v>
      </c>
      <c r="P25189">
        <f>IF(OR(M25189="",N25189=""),"",SUMIFS('Barang Keluar'!$E:$E,'Barang Keluar'!$A:$A,M25189,'Barang Keluar'!$C:$C,N25189))</f>
        <v>0</v>
      </c>
    </row>
    <row r="25190" spans="13:16">
      <c r="M25190" s="49">
        <f>IF($A$4+251&gt;$B$4,"",$A$4+251)</f>
        <v>46274</v>
      </c>
      <c r="N25190">
        <f>IF(M25190="","",'Master Barang'!A84)</f>
        <v>0</v>
      </c>
      <c r="O25190">
        <f>IF(N25190="","",'Master Barang'!B84)</f>
        <v>0</v>
      </c>
      <c r="P25190">
        <f>IF(OR(M25190="",N25190=""),"",SUMIFS('Barang Keluar'!$E:$E,'Barang Keluar'!$A:$A,M25190,'Barang Keluar'!$C:$C,N25190))</f>
        <v>0</v>
      </c>
    </row>
    <row r="25191" spans="13:16">
      <c r="M25191" s="49">
        <f>IF($A$4+251&gt;$B$4,"",$A$4+251)</f>
        <v>46274</v>
      </c>
      <c r="N25191">
        <f>IF(M25191="","",'Master Barang'!A85)</f>
        <v>0</v>
      </c>
      <c r="O25191">
        <f>IF(N25191="","",'Master Barang'!B85)</f>
        <v>0</v>
      </c>
      <c r="P25191">
        <f>IF(OR(M25191="",N25191=""),"",SUMIFS('Barang Keluar'!$E:$E,'Barang Keluar'!$A:$A,M25191,'Barang Keluar'!$C:$C,N25191))</f>
        <v>0</v>
      </c>
    </row>
    <row r="25192" spans="13:16">
      <c r="M25192" s="49">
        <f>IF($A$4+251&gt;$B$4,"",$A$4+251)</f>
        <v>46274</v>
      </c>
      <c r="N25192">
        <f>IF(M25192="","",'Master Barang'!A86)</f>
        <v>0</v>
      </c>
      <c r="O25192">
        <f>IF(N25192="","",'Master Barang'!B86)</f>
        <v>0</v>
      </c>
      <c r="P25192">
        <f>IF(OR(M25192="",N25192=""),"",SUMIFS('Barang Keluar'!$E:$E,'Barang Keluar'!$A:$A,M25192,'Barang Keluar'!$C:$C,N25192))</f>
        <v>0</v>
      </c>
    </row>
    <row r="25193" spans="13:16">
      <c r="M25193" s="49">
        <f>IF($A$4+251&gt;$B$4,"",$A$4+251)</f>
        <v>46274</v>
      </c>
      <c r="N25193">
        <f>IF(M25193="","",'Master Barang'!A87)</f>
        <v>0</v>
      </c>
      <c r="O25193">
        <f>IF(N25193="","",'Master Barang'!B87)</f>
        <v>0</v>
      </c>
      <c r="P25193">
        <f>IF(OR(M25193="",N25193=""),"",SUMIFS('Barang Keluar'!$E:$E,'Barang Keluar'!$A:$A,M25193,'Barang Keluar'!$C:$C,N25193))</f>
        <v>0</v>
      </c>
    </row>
    <row r="25194" spans="13:16">
      <c r="M25194" s="49">
        <f>IF($A$4+251&gt;$B$4,"",$A$4+251)</f>
        <v>46274</v>
      </c>
      <c r="N25194">
        <f>IF(M25194="","",'Master Barang'!A88)</f>
        <v>0</v>
      </c>
      <c r="O25194">
        <f>IF(N25194="","",'Master Barang'!B88)</f>
        <v>0</v>
      </c>
      <c r="P25194">
        <f>IF(OR(M25194="",N25194=""),"",SUMIFS('Barang Keluar'!$E:$E,'Barang Keluar'!$A:$A,M25194,'Barang Keluar'!$C:$C,N25194))</f>
        <v>0</v>
      </c>
    </row>
    <row r="25195" spans="13:16">
      <c r="M25195" s="49">
        <f>IF($A$4+251&gt;$B$4,"",$A$4+251)</f>
        <v>46274</v>
      </c>
      <c r="N25195">
        <f>IF(M25195="","",'Master Barang'!A89)</f>
        <v>0</v>
      </c>
      <c r="O25195">
        <f>IF(N25195="","",'Master Barang'!B89)</f>
        <v>0</v>
      </c>
      <c r="P25195">
        <f>IF(OR(M25195="",N25195=""),"",SUMIFS('Barang Keluar'!$E:$E,'Barang Keluar'!$A:$A,M25195,'Barang Keluar'!$C:$C,N25195))</f>
        <v>0</v>
      </c>
    </row>
    <row r="25196" spans="13:16">
      <c r="M25196" s="49">
        <f>IF($A$4+251&gt;$B$4,"",$A$4+251)</f>
        <v>46274</v>
      </c>
      <c r="N25196">
        <f>IF(M25196="","",'Master Barang'!A90)</f>
        <v>0</v>
      </c>
      <c r="O25196">
        <f>IF(N25196="","",'Master Barang'!B90)</f>
        <v>0</v>
      </c>
      <c r="P25196">
        <f>IF(OR(M25196="",N25196=""),"",SUMIFS('Barang Keluar'!$E:$E,'Barang Keluar'!$A:$A,M25196,'Barang Keluar'!$C:$C,N25196))</f>
        <v>0</v>
      </c>
    </row>
    <row r="25197" spans="13:16">
      <c r="M25197" s="49">
        <f>IF($A$4+251&gt;$B$4,"",$A$4+251)</f>
        <v>46274</v>
      </c>
      <c r="N25197">
        <f>IF(M25197="","",'Master Barang'!A91)</f>
        <v>0</v>
      </c>
      <c r="O25197">
        <f>IF(N25197="","",'Master Barang'!B91)</f>
        <v>0</v>
      </c>
      <c r="P25197">
        <f>IF(OR(M25197="",N25197=""),"",SUMIFS('Barang Keluar'!$E:$E,'Barang Keluar'!$A:$A,M25197,'Barang Keluar'!$C:$C,N25197))</f>
        <v>0</v>
      </c>
    </row>
    <row r="25198" spans="13:16">
      <c r="M25198" s="49">
        <f>IF($A$4+251&gt;$B$4,"",$A$4+251)</f>
        <v>46274</v>
      </c>
      <c r="N25198">
        <f>IF(M25198="","",'Master Barang'!A92)</f>
        <v>0</v>
      </c>
      <c r="O25198">
        <f>IF(N25198="","",'Master Barang'!B92)</f>
        <v>0</v>
      </c>
      <c r="P25198">
        <f>IF(OR(M25198="",N25198=""),"",SUMIFS('Barang Keluar'!$E:$E,'Barang Keluar'!$A:$A,M25198,'Barang Keluar'!$C:$C,N25198))</f>
        <v>0</v>
      </c>
    </row>
    <row r="25199" spans="13:16">
      <c r="M25199" s="49">
        <f>IF($A$4+251&gt;$B$4,"",$A$4+251)</f>
        <v>46274</v>
      </c>
      <c r="N25199">
        <f>IF(M25199="","",'Master Barang'!A93)</f>
        <v>0</v>
      </c>
      <c r="O25199">
        <f>IF(N25199="","",'Master Barang'!B93)</f>
        <v>0</v>
      </c>
      <c r="P25199">
        <f>IF(OR(M25199="",N25199=""),"",SUMIFS('Barang Keluar'!$E:$E,'Barang Keluar'!$A:$A,M25199,'Barang Keluar'!$C:$C,N25199))</f>
        <v>0</v>
      </c>
    </row>
    <row r="25200" spans="13:16">
      <c r="M25200" s="49">
        <f>IF($A$4+251&gt;$B$4,"",$A$4+251)</f>
        <v>46274</v>
      </c>
      <c r="N25200">
        <f>IF(M25200="","",'Master Barang'!A94)</f>
        <v>0</v>
      </c>
      <c r="O25200">
        <f>IF(N25200="","",'Master Barang'!B94)</f>
        <v>0</v>
      </c>
      <c r="P25200">
        <f>IF(OR(M25200="",N25200=""),"",SUMIFS('Barang Keluar'!$E:$E,'Barang Keluar'!$A:$A,M25200,'Barang Keluar'!$C:$C,N25200))</f>
        <v>0</v>
      </c>
    </row>
    <row r="25201" spans="13:16">
      <c r="M25201" s="49">
        <f>IF($A$4+251&gt;$B$4,"",$A$4+251)</f>
        <v>46274</v>
      </c>
      <c r="N25201">
        <f>IF(M25201="","",'Master Barang'!A95)</f>
        <v>0</v>
      </c>
      <c r="O25201">
        <f>IF(N25201="","",'Master Barang'!B95)</f>
        <v>0</v>
      </c>
      <c r="P25201">
        <f>IF(OR(M25201="",N25201=""),"",SUMIFS('Barang Keluar'!$E:$E,'Barang Keluar'!$A:$A,M25201,'Barang Keluar'!$C:$C,N25201))</f>
        <v>0</v>
      </c>
    </row>
    <row r="25202" spans="13:16">
      <c r="M25202" s="49">
        <f>IF($A$4+251&gt;$B$4,"",$A$4+251)</f>
        <v>46274</v>
      </c>
      <c r="N25202">
        <f>IF(M25202="","",'Master Barang'!A96)</f>
        <v>0</v>
      </c>
      <c r="O25202">
        <f>IF(N25202="","",'Master Barang'!B96)</f>
        <v>0</v>
      </c>
      <c r="P25202">
        <f>IF(OR(M25202="",N25202=""),"",SUMIFS('Barang Keluar'!$E:$E,'Barang Keluar'!$A:$A,M25202,'Barang Keluar'!$C:$C,N25202))</f>
        <v>0</v>
      </c>
    </row>
    <row r="25203" spans="13:16">
      <c r="M25203" s="49">
        <f>IF($A$4+251&gt;$B$4,"",$A$4+251)</f>
        <v>46274</v>
      </c>
      <c r="N25203">
        <f>IF(M25203="","",'Master Barang'!A97)</f>
        <v>0</v>
      </c>
      <c r="O25203">
        <f>IF(N25203="","",'Master Barang'!B97)</f>
        <v>0</v>
      </c>
      <c r="P25203">
        <f>IF(OR(M25203="",N25203=""),"",SUMIFS('Barang Keluar'!$E:$E,'Barang Keluar'!$A:$A,M25203,'Barang Keluar'!$C:$C,N25203))</f>
        <v>0</v>
      </c>
    </row>
    <row r="25204" spans="13:16">
      <c r="M25204" s="49">
        <f>IF($A$4+251&gt;$B$4,"",$A$4+251)</f>
        <v>46274</v>
      </c>
      <c r="N25204">
        <f>IF(M25204="","",'Master Barang'!A98)</f>
        <v>0</v>
      </c>
      <c r="O25204">
        <f>IF(N25204="","",'Master Barang'!B98)</f>
        <v>0</v>
      </c>
      <c r="P25204">
        <f>IF(OR(M25204="",N25204=""),"",SUMIFS('Barang Keluar'!$E:$E,'Barang Keluar'!$A:$A,M25204,'Barang Keluar'!$C:$C,N25204))</f>
        <v>0</v>
      </c>
    </row>
    <row r="25205" spans="13:16">
      <c r="M25205" s="49">
        <f>IF($A$4+251&gt;$B$4,"",$A$4+251)</f>
        <v>46274</v>
      </c>
      <c r="N25205">
        <f>IF(M25205="","",'Master Barang'!A99)</f>
        <v>0</v>
      </c>
      <c r="O25205">
        <f>IF(N25205="","",'Master Barang'!B99)</f>
        <v>0</v>
      </c>
      <c r="P25205">
        <f>IF(OR(M25205="",N25205=""),"",SUMIFS('Barang Keluar'!$E:$E,'Barang Keluar'!$A:$A,M25205,'Barang Keluar'!$C:$C,N25205))</f>
        <v>0</v>
      </c>
    </row>
    <row r="25206" spans="13:16">
      <c r="M25206" s="49">
        <f>IF($A$4+251&gt;$B$4,"",$A$4+251)</f>
        <v>46274</v>
      </c>
      <c r="N25206">
        <f>IF(M25206="","",'Master Barang'!A100)</f>
        <v>0</v>
      </c>
      <c r="O25206">
        <f>IF(N25206="","",'Master Barang'!B100)</f>
        <v>0</v>
      </c>
      <c r="P25206">
        <f>IF(OR(M25206="",N25206=""),"",SUMIFS('Barang Keluar'!$E:$E,'Barang Keluar'!$A:$A,M25206,'Barang Keluar'!$C:$C,N25206))</f>
        <v>0</v>
      </c>
    </row>
    <row r="25207" spans="13:16">
      <c r="M25207" s="49">
        <f>IF($A$4+251&gt;$B$4,"",$A$4+251)</f>
        <v>46274</v>
      </c>
      <c r="N25207">
        <f>IF(M25207="","",'Master Barang'!A101)</f>
        <v>0</v>
      </c>
      <c r="O25207">
        <f>IF(N25207="","",'Master Barang'!B101)</f>
        <v>0</v>
      </c>
      <c r="P25207">
        <f>IF(OR(M25207="",N25207=""),"",SUMIFS('Barang Keluar'!$E:$E,'Barang Keluar'!$A:$A,M25207,'Barang Keluar'!$C:$C,N25207))</f>
        <v>0</v>
      </c>
    </row>
    <row r="25208" spans="13:16">
      <c r="M25208" s="49">
        <f>IF($A$4+252&gt;$B$4,"",$A$4+252)</f>
        <v>46275</v>
      </c>
      <c r="N25208" t="str">
        <f>IF(M25208="","",'Master Barang'!A2)</f>
        <v>PRL-001</v>
      </c>
      <c r="O25208" t="str">
        <f>IF(N25208="","",'Master Barang'!B2)</f>
        <v>natura desinfectant food grade 5l</v>
      </c>
      <c r="P25208">
        <f>IF(OR(M25208="",N25208=""),"",SUMIFS('Barang Keluar'!$E:$E,'Barang Keluar'!$A:$A,M25208,'Barang Keluar'!$C:$C,N25208))</f>
        <v>0</v>
      </c>
    </row>
    <row r="25209" spans="13:16">
      <c r="M25209" s="49">
        <f>IF($A$4+252&gt;$B$4,"",$A$4+252)</f>
        <v>46275</v>
      </c>
      <c r="N25209" t="str">
        <f>IF(M25209="","",'Master Barang'!A3)</f>
        <v>PRL-002</v>
      </c>
      <c r="O25209" t="str">
        <f>IF(N25209="","",'Master Barang'!B3)</f>
        <v>sunlight cairan pencuci piring 5l</v>
      </c>
      <c r="P25209">
        <f>IF(OR(M25209="",N25209=""),"",SUMIFS('Barang Keluar'!$E:$E,'Barang Keluar'!$A:$A,M25209,'Barang Keluar'!$C:$C,N25209))</f>
        <v>0</v>
      </c>
    </row>
    <row r="25210" spans="13:16">
      <c r="M25210" s="49">
        <f>IF($A$4+252&gt;$B$4,"",$A$4+252)</f>
        <v>46275</v>
      </c>
      <c r="N25210" t="str">
        <f>IF(M25210="","",'Master Barang'!A4)</f>
        <v>PRL-003</v>
      </c>
      <c r="O25210" t="str">
        <f>IF(N25210="","",'Master Barang'!B4)</f>
        <v>oixs cleaner 1l</v>
      </c>
      <c r="P25210">
        <f>IF(OR(M25210="",N25210=""),"",SUMIFS('Barang Keluar'!$E:$E,'Barang Keluar'!$A:$A,M25210,'Barang Keluar'!$C:$C,N25210))</f>
        <v>0</v>
      </c>
    </row>
    <row r="25211" spans="13:16">
      <c r="M25211" s="49">
        <f>IF($A$4+252&gt;$B$4,"",$A$4+252)</f>
        <v>46275</v>
      </c>
      <c r="N25211" t="str">
        <f>IF(M25211="","",'Master Barang'!A5)</f>
        <v>PRL-004</v>
      </c>
      <c r="O25211" t="str">
        <f>IF(N25211="","",'Master Barang'!B5)</f>
        <v>be clean tissue serbaguna</v>
      </c>
      <c r="P25211">
        <f>IF(OR(M25211="",N25211=""),"",SUMIFS('Barang Keluar'!$E:$E,'Barang Keluar'!$A:$A,M25211,'Barang Keluar'!$C:$C,N25211))</f>
        <v>0</v>
      </c>
    </row>
    <row r="25212" spans="13:16">
      <c r="M25212" s="49">
        <f>IF($A$4+252&gt;$B$4,"",$A$4+252)</f>
        <v>46275</v>
      </c>
      <c r="N25212" t="str">
        <f>IF(M25212="","",'Master Barang'!A6)</f>
        <v>PRL-005</v>
      </c>
      <c r="O25212" t="str">
        <f>IF(N25212="","",'Master Barang'!B6)</f>
        <v>spons cuci hijau</v>
      </c>
      <c r="P25212">
        <f>IF(OR(M25212="",N25212=""),"",SUMIFS('Barang Keluar'!$E:$E,'Barang Keluar'!$A:$A,M25212,'Barang Keluar'!$C:$C,N25212))</f>
        <v>0</v>
      </c>
    </row>
    <row r="25213" spans="13:16">
      <c r="M25213" s="49">
        <f>IF($A$4+252&gt;$B$4,"",$A$4+252)</f>
        <v>46275</v>
      </c>
      <c r="N25213" t="str">
        <f>IF(M25213="","",'Master Barang'!A7)</f>
        <v>PRL-006</v>
      </c>
      <c r="O25213" t="str">
        <f>IF(N25213="","",'Master Barang'!B7)</f>
        <v>sabut cuci stainless</v>
      </c>
      <c r="P25213">
        <f>IF(OR(M25213="",N25213=""),"",SUMIFS('Barang Keluar'!$E:$E,'Barang Keluar'!$A:$A,M25213,'Barang Keluar'!$C:$C,N25213))</f>
        <v>0</v>
      </c>
    </row>
    <row r="25214" spans="13:16">
      <c r="M25214" s="49">
        <f>IF($A$4+252&gt;$B$4,"",$A$4+252)</f>
        <v>46275</v>
      </c>
      <c r="N25214" t="str">
        <f>IF(M25214="","",'Master Barang'!A8)</f>
        <v>PRL-007</v>
      </c>
      <c r="O25214" t="str">
        <f>IF(N25214="","",'Master Barang'!B8)</f>
        <v>plastik kresek besar merah 50pc</v>
      </c>
      <c r="P25214">
        <f>IF(OR(M25214="",N25214=""),"",SUMIFS('Barang Keluar'!$E:$E,'Barang Keluar'!$A:$A,M25214,'Barang Keluar'!$C:$C,N25214))</f>
        <v>0</v>
      </c>
    </row>
    <row r="25215" spans="13:16">
      <c r="M25215" s="49">
        <f>IF($A$4+252&gt;$B$4,"",$A$4+252)</f>
        <v>46275</v>
      </c>
      <c r="N25215" t="str">
        <f>IF(M25215="","",'Master Barang'!A9)</f>
        <v>PRL-008</v>
      </c>
      <c r="O25215" t="str">
        <f>IF(N25215="","",'Master Barang'!B9)</f>
        <v>lap besar</v>
      </c>
      <c r="P25215">
        <f>IF(OR(M25215="",N25215=""),"",SUMIFS('Barang Keluar'!$E:$E,'Barang Keluar'!$A:$A,M25215,'Barang Keluar'!$C:$C,N25215))</f>
        <v>0</v>
      </c>
    </row>
    <row r="25216" spans="13:16">
      <c r="M25216" s="49">
        <f>IF($A$4+252&gt;$B$4,"",$A$4+252)</f>
        <v>46275</v>
      </c>
      <c r="N25216" t="str">
        <f>IF(M25216="","",'Master Barang'!A10)</f>
        <v>PRL-009</v>
      </c>
      <c r="O25216" t="str">
        <f>IF(N25216="","",'Master Barang'!B10)</f>
        <v>lap microfiber</v>
      </c>
      <c r="P25216">
        <f>IF(OR(M25216="",N25216=""),"",SUMIFS('Barang Keluar'!$E:$E,'Barang Keluar'!$A:$A,M25216,'Barang Keluar'!$C:$C,N25216))</f>
        <v>0</v>
      </c>
    </row>
    <row r="25217" spans="13:16">
      <c r="M25217" s="49">
        <f>IF($A$4+252&gt;$B$4,"",$A$4+252)</f>
        <v>46275</v>
      </c>
      <c r="N25217" t="str">
        <f>IF(M25217="","",'Master Barang'!A11)</f>
        <v>PRL-010</v>
      </c>
      <c r="O25217" t="str">
        <f>IF(N25217="","",'Master Barang'!B11)</f>
        <v>lap kecil</v>
      </c>
      <c r="P25217">
        <f>IF(OR(M25217="",N25217=""),"",SUMIFS('Barang Keluar'!$E:$E,'Barang Keluar'!$A:$A,M25217,'Barang Keluar'!$C:$C,N25217))</f>
        <v>0</v>
      </c>
    </row>
    <row r="25218" spans="13:16">
      <c r="M25218" s="49">
        <f>IF($A$4+252&gt;$B$4,"",$A$4+252)</f>
        <v>46275</v>
      </c>
      <c r="N25218" t="str">
        <f>IF(M25218="","",'Master Barang'!A12)</f>
        <v>PRL-011</v>
      </c>
      <c r="O25218" t="str">
        <f>IF(N25218="","",'Master Barang'!B12)</f>
        <v>kanebo kecil</v>
      </c>
      <c r="P25218">
        <f>IF(OR(M25218="",N25218=""),"",SUMIFS('Barang Keluar'!$E:$E,'Barang Keluar'!$A:$A,M25218,'Barang Keluar'!$C:$C,N25218))</f>
        <v>0</v>
      </c>
    </row>
    <row r="25219" spans="13:16">
      <c r="M25219" s="49">
        <f>IF($A$4+252&gt;$B$4,"",$A$4+252)</f>
        <v>46275</v>
      </c>
      <c r="N25219" t="str">
        <f>IF(M25219="","",'Master Barang'!A13)</f>
        <v>PRL-012</v>
      </c>
      <c r="O25219" t="str">
        <f>IF(N25219="","",'Master Barang'!B13)</f>
        <v>plastik 1/4kg joyoboyo 100 lembar</v>
      </c>
      <c r="P25219">
        <f>IF(OR(M25219="",N25219=""),"",SUMIFS('Barang Keluar'!$E:$E,'Barang Keluar'!$A:$A,M25219,'Barang Keluar'!$C:$C,N25219))</f>
        <v>0</v>
      </c>
    </row>
    <row r="25220" spans="13:16">
      <c r="M25220" s="49">
        <f>IF($A$4+252&gt;$B$4,"",$A$4+252)</f>
        <v>46275</v>
      </c>
      <c r="N25220" t="str">
        <f>IF(M25220="","",'Master Barang'!A14)</f>
        <v>PRL-013</v>
      </c>
      <c r="O25220" t="str">
        <f>IF(N25220="","",'Master Barang'!B14)</f>
        <v>sarung tangan plastik kaka 100 pcs</v>
      </c>
      <c r="P25220">
        <f>IF(OR(M25220="",N25220=""),"",SUMIFS('Barang Keluar'!$E:$E,'Barang Keluar'!$A:$A,M25220,'Barang Keluar'!$C:$C,N25220))</f>
        <v>0</v>
      </c>
    </row>
    <row r="25221" spans="13:16">
      <c r="M25221" s="49">
        <f>IF($A$4+252&gt;$B$4,"",$A$4+252)</f>
        <v>46275</v>
      </c>
      <c r="N25221" t="str">
        <f>IF(M25221="","",'Master Barang'!A15)</f>
        <v>PRL-014</v>
      </c>
      <c r="O25221" t="str">
        <f>IF(N25221="","",'Master Barang'!B15)</f>
        <v>optima trashbag 80x100</v>
      </c>
      <c r="P25221">
        <f>IF(OR(M25221="",N25221=""),"",SUMIFS('Barang Keluar'!$E:$E,'Barang Keluar'!$A:$A,M25221,'Barang Keluar'!$C:$C,N25221))</f>
        <v>0</v>
      </c>
    </row>
    <row r="25222" spans="13:16">
      <c r="M25222" s="49">
        <f>IF($A$4+252&gt;$B$4,"",$A$4+252)</f>
        <v>46275</v>
      </c>
      <c r="N25222" t="str">
        <f>IF(M25222="","",'Master Barang'!A16)</f>
        <v>PRL-015</v>
      </c>
      <c r="O25222" t="str">
        <f>IF(N25222="","",'Master Barang'!B16)</f>
        <v>optima trashbag 60x100</v>
      </c>
      <c r="P25222">
        <f>IF(OR(M25222="",N25222=""),"",SUMIFS('Barang Keluar'!$E:$E,'Barang Keluar'!$A:$A,M25222,'Barang Keluar'!$C:$C,N25222))</f>
        <v>0</v>
      </c>
    </row>
    <row r="25223" spans="13:16">
      <c r="M25223" s="49">
        <f>IF($A$4+252&gt;$B$4,"",$A$4+252)</f>
        <v>46275</v>
      </c>
      <c r="N25223" t="str">
        <f>IF(M25223="","",'Master Barang'!A17)</f>
        <v>PRL-016</v>
      </c>
      <c r="O25223" t="str">
        <f>IF(N25223="","",'Master Barang'!B17)</f>
        <v>rajawali trashbag 30x40</v>
      </c>
      <c r="P25223">
        <f>IF(OR(M25223="",N25223=""),"",SUMIFS('Barang Keluar'!$E:$E,'Barang Keluar'!$A:$A,M25223,'Barang Keluar'!$C:$C,N25223))</f>
        <v>0</v>
      </c>
    </row>
    <row r="25224" spans="13:16">
      <c r="M25224" s="49">
        <f>IF($A$4+252&gt;$B$4,"",$A$4+252)</f>
        <v>46275</v>
      </c>
      <c r="N25224" t="str">
        <f>IF(M25224="","",'Master Barang'!A18)</f>
        <v>PRL-017</v>
      </c>
      <c r="O25224" t="str">
        <f>IF(N25224="","",'Master Barang'!B18)</f>
        <v>onemed masker biru 3 play 50 pcs</v>
      </c>
      <c r="P25224">
        <f>IF(OR(M25224="",N25224=""),"",SUMIFS('Barang Keluar'!$E:$E,'Barang Keluar'!$A:$A,M25224,'Barang Keluar'!$C:$C,N25224))</f>
        <v>0</v>
      </c>
    </row>
    <row r="25225" spans="13:16">
      <c r="M25225" s="49">
        <f>IF($A$4+252&gt;$B$4,"",$A$4+252)</f>
        <v>46275</v>
      </c>
      <c r="N25225" t="str">
        <f>IF(M25225="","",'Master Barang'!A19)</f>
        <v>PRL-018</v>
      </c>
      <c r="O25225" t="str">
        <f>IF(N25225="","",'Master Barang'!B19)</f>
        <v>onemed masker biru 3 play hijab 50 pcs</v>
      </c>
      <c r="P25225">
        <f>IF(OR(M25225="",N25225=""),"",SUMIFS('Barang Keluar'!$E:$E,'Barang Keluar'!$A:$A,M25225,'Barang Keluar'!$C:$C,N25225))</f>
        <v>0</v>
      </c>
    </row>
    <row r="25226" spans="13:16">
      <c r="M25226" s="49">
        <f>IF($A$4+252&gt;$B$4,"",$A$4+252)</f>
        <v>46275</v>
      </c>
      <c r="N25226" t="str">
        <f>IF(M25226="","",'Master Barang'!A20)</f>
        <v>PRL-019</v>
      </c>
      <c r="O25226" t="str">
        <f>IF(N25226="","",'Master Barang'!B20)</f>
        <v>neo health masker biru 3 play 50 pcs</v>
      </c>
      <c r="P25226">
        <f>IF(OR(M25226="",N25226=""),"",SUMIFS('Barang Keluar'!$E:$E,'Barang Keluar'!$A:$A,M25226,'Barang Keluar'!$C:$C,N25226))</f>
        <v>0</v>
      </c>
    </row>
    <row r="25227" spans="13:16">
      <c r="M25227" s="49">
        <f>IF($A$4+252&gt;$B$4,"",$A$4+252)</f>
        <v>46275</v>
      </c>
      <c r="N25227" t="str">
        <f>IF(M25227="","",'Master Barang'!A21)</f>
        <v>PRL-020</v>
      </c>
      <c r="O25227" t="str">
        <f>IF(N25227="","",'Master Barang'!B21)</f>
        <v>baymed masker hijau 3 play hijau 50 pcs</v>
      </c>
      <c r="P25227">
        <f>IF(OR(M25227="",N25227=""),"",SUMIFS('Barang Keluar'!$E:$E,'Barang Keluar'!$A:$A,M25227,'Barang Keluar'!$C:$C,N25227))</f>
        <v>0</v>
      </c>
    </row>
    <row r="25228" spans="13:16">
      <c r="M25228" s="49">
        <f>IF($A$4+252&gt;$B$4,"",$A$4+252)</f>
        <v>46275</v>
      </c>
      <c r="N25228" t="str">
        <f>IF(M25228="","",'Master Barang'!A22)</f>
        <v>PRL-021</v>
      </c>
      <c r="O25228" t="str">
        <f>IF(N25228="","",'Master Barang'!B22)</f>
        <v>altamed nurse cap penutup kepala 100 pcs</v>
      </c>
      <c r="P25228">
        <f>IF(OR(M25228="",N25228=""),"",SUMIFS('Barang Keluar'!$E:$E,'Barang Keluar'!$A:$A,M25228,'Barang Keluar'!$C:$C,N25228))</f>
        <v>0</v>
      </c>
    </row>
    <row r="25229" spans="13:16">
      <c r="M25229" s="49">
        <f>IF($A$4+252&gt;$B$4,"",$A$4+252)</f>
        <v>46275</v>
      </c>
      <c r="N25229" t="str">
        <f>IF(M25229="","",'Master Barang'!A23)</f>
        <v>PRL-022</v>
      </c>
      <c r="O25229" t="str">
        <f>IF(N25229="","",'Master Barang'!B23)</f>
        <v>sabun cuci tangan</v>
      </c>
      <c r="P25229">
        <f>IF(OR(M25229="",N25229=""),"",SUMIFS('Barang Keluar'!$E:$E,'Barang Keluar'!$A:$A,M25229,'Barang Keluar'!$C:$C,N25229))</f>
        <v>0</v>
      </c>
    </row>
    <row r="25230" spans="13:16">
      <c r="M25230" s="49">
        <f>IF($A$4+252&gt;$B$4,"",$A$4+252)</f>
        <v>46275</v>
      </c>
      <c r="N25230" t="str">
        <f>IF(M25230="","",'Master Barang'!A24)</f>
        <v>PRL-023</v>
      </c>
      <c r="O25230" t="str">
        <f>IF(N25230="","",'Master Barang'!B24)</f>
        <v>gayung kecil</v>
      </c>
      <c r="P25230">
        <f>IF(OR(M25230="",N25230=""),"",SUMIFS('Barang Keluar'!$E:$E,'Barang Keluar'!$A:$A,M25230,'Barang Keluar'!$C:$C,N25230))</f>
        <v>0</v>
      </c>
    </row>
    <row r="25231" spans="13:16">
      <c r="M25231" s="49">
        <f>IF($A$4+252&gt;$B$4,"",$A$4+252)</f>
        <v>46275</v>
      </c>
      <c r="N25231" t="str">
        <f>IF(M25231="","",'Master Barang'!A25)</f>
        <v>PRL-024</v>
      </c>
      <c r="O25231" t="str">
        <f>IF(N25231="","",'Master Barang'!B25)</f>
        <v>cikrak kecil</v>
      </c>
      <c r="P25231">
        <f>IF(OR(M25231="",N25231=""),"",SUMIFS('Barang Keluar'!$E:$E,'Barang Keluar'!$A:$A,M25231,'Barang Keluar'!$C:$C,N25231))</f>
        <v>0</v>
      </c>
    </row>
    <row r="25232" spans="13:16">
      <c r="M25232" s="49">
        <f>IF($A$4+252&gt;$B$4,"",$A$4+252)</f>
        <v>46275</v>
      </c>
      <c r="N25232" t="str">
        <f>IF(M25232="","",'Master Barang'!A26)</f>
        <v>PRL-025</v>
      </c>
      <c r="O25232" t="str">
        <f>IF(N25232="","",'Master Barang'!B26)</f>
        <v>petromax plastik kecil 12x24 100 lembar</v>
      </c>
      <c r="P25232">
        <f>IF(OR(M25232="",N25232=""),"",SUMIFS('Barang Keluar'!$E:$E,'Barang Keluar'!$A:$A,M25232,'Barang Keluar'!$C:$C,N25232))</f>
        <v>0</v>
      </c>
    </row>
    <row r="25233" spans="13:16">
      <c r="M25233" s="49">
        <f>IF($A$4+252&gt;$B$4,"",$A$4+252)</f>
        <v>46275</v>
      </c>
      <c r="N25233" t="str">
        <f>IF(M25233="","",'Master Barang'!A27)</f>
        <v>PRL-026</v>
      </c>
      <c r="O25233" t="str">
        <f>IF(N25233="","",'Master Barang'!B27)</f>
        <v>lancar kresek kecil bening </v>
      </c>
      <c r="P25233">
        <f>IF(OR(M25233="",N25233=""),"",SUMIFS('Barang Keluar'!$E:$E,'Barang Keluar'!$A:$A,M25233,'Barang Keluar'!$C:$C,N25233))</f>
        <v>0</v>
      </c>
    </row>
    <row r="25234" spans="13:16">
      <c r="M25234" s="49">
        <f>IF($A$4+252&gt;$B$4,"",$A$4+252)</f>
        <v>46275</v>
      </c>
      <c r="N25234" t="str">
        <f>IF(M25234="","",'Master Barang'!A28)</f>
        <v>PRL-027</v>
      </c>
      <c r="O25234" t="str">
        <f>IF(N25234="","",'Master Barang'!B28)</f>
        <v>kresek klin warna warni kecil</v>
      </c>
      <c r="P25234">
        <f>IF(OR(M25234="",N25234=""),"",SUMIFS('Barang Keluar'!$E:$E,'Barang Keluar'!$A:$A,M25234,'Barang Keluar'!$C:$C,N25234))</f>
        <v>0</v>
      </c>
    </row>
    <row r="25235" spans="13:16">
      <c r="M25235" s="49">
        <f>IF($A$4+252&gt;$B$4,"",$A$4+252)</f>
        <v>46275</v>
      </c>
      <c r="N25235" t="str">
        <f>IF(M25235="","",'Master Barang'!A29)</f>
        <v>PRL-028</v>
      </c>
      <c r="O25235" t="str">
        <f>IF(N25235="","",'Master Barang'!B29)</f>
        <v>ctik plastik 7x10 100 pcs</v>
      </c>
      <c r="P25235">
        <f>IF(OR(M25235="",N25235=""),"",SUMIFS('Barang Keluar'!$E:$E,'Barang Keluar'!$A:$A,M25235,'Barang Keluar'!$C:$C,N25235))</f>
        <v>0</v>
      </c>
    </row>
    <row r="25236" spans="13:16">
      <c r="M25236" s="49">
        <f>IF($A$4+252&gt;$B$4,"",$A$4+252)</f>
        <v>46275</v>
      </c>
      <c r="N25236" t="str">
        <f>IF(M25236="","",'Master Barang'!A30)</f>
        <v>PRL-029</v>
      </c>
      <c r="O25236" t="str">
        <f>IF(N25236="","",'Master Barang'!B30)</f>
        <v>ctik plastik 6x10 100 pcs</v>
      </c>
      <c r="P25236">
        <f>IF(OR(M25236="",N25236=""),"",SUMIFS('Barang Keluar'!$E:$E,'Barang Keluar'!$A:$A,M25236,'Barang Keluar'!$C:$C,N25236))</f>
        <v>0</v>
      </c>
    </row>
    <row r="25237" spans="13:16">
      <c r="M25237" s="49">
        <f>IF($A$4+252&gt;$B$4,"",$A$4+252)</f>
        <v>46275</v>
      </c>
      <c r="N25237" t="str">
        <f>IF(M25237="","",'Master Barang'!A31)</f>
        <v>PRL-030</v>
      </c>
      <c r="O25237" t="str">
        <f>IF(N25237="","",'Master Barang'!B31)</f>
        <v>klip plastik 25x16 100 pcs</v>
      </c>
      <c r="P25237">
        <f>IF(OR(M25237="",N25237=""),"",SUMIFS('Barang Keluar'!$E:$E,'Barang Keluar'!$A:$A,M25237,'Barang Keluar'!$C:$C,N25237))</f>
        <v>0</v>
      </c>
    </row>
    <row r="25238" spans="13:16">
      <c r="M25238" s="49">
        <f>IF($A$4+252&gt;$B$4,"",$A$4+252)</f>
        <v>46275</v>
      </c>
      <c r="N25238" t="str">
        <f>IF(M25238="","",'Master Barang'!A32)</f>
        <v>PRL-031</v>
      </c>
      <c r="O25238" t="str">
        <f>IF(N25238="","",'Master Barang'!B32)</f>
        <v>tempat saus 20 ml</v>
      </c>
      <c r="P25238">
        <f>IF(OR(M25238="",N25238=""),"",SUMIFS('Barang Keluar'!$E:$E,'Barang Keluar'!$A:$A,M25238,'Barang Keluar'!$C:$C,N25238))</f>
        <v>0</v>
      </c>
    </row>
    <row r="25239" spans="13:16">
      <c r="M25239" s="49">
        <f>IF($A$4+252&gt;$B$4,"",$A$4+252)</f>
        <v>46275</v>
      </c>
      <c r="N25239" t="str">
        <f>IF(M25239="","",'Master Barang'!A33)</f>
        <v>PRL-032</v>
      </c>
      <c r="O25239" t="str">
        <f>IF(N25239="","",'Master Barang'!B33)</f>
        <v>plastik packaging ag box uk sedang</v>
      </c>
      <c r="P25239">
        <f>IF(OR(M25239="",N25239=""),"",SUMIFS('Barang Keluar'!$E:$E,'Barang Keluar'!$A:$A,M25239,'Barang Keluar'!$C:$C,N25239))</f>
        <v>0</v>
      </c>
    </row>
    <row r="25240" spans="13:16">
      <c r="M25240" s="49">
        <f>IF($A$4+252&gt;$B$4,"",$A$4+252)</f>
        <v>46275</v>
      </c>
      <c r="N25240" t="str">
        <f>IF(M25240="","",'Master Barang'!A34)</f>
        <v>PRL-033</v>
      </c>
      <c r="O25240">
        <f>IF(N25240="","",'Master Barang'!B34)</f>
        <v>0</v>
      </c>
      <c r="P25240">
        <f>IF(OR(M25240="",N25240=""),"",SUMIFS('Barang Keluar'!$E:$E,'Barang Keluar'!$A:$A,M25240,'Barang Keluar'!$C:$C,N25240))</f>
        <v>0</v>
      </c>
    </row>
    <row r="25241" spans="13:16">
      <c r="M25241" s="49">
        <f>IF($A$4+252&gt;$B$4,"",$A$4+252)</f>
        <v>46275</v>
      </c>
      <c r="N25241">
        <f>IF(M25241="","",'Master Barang'!A35)</f>
        <v>0</v>
      </c>
      <c r="O25241">
        <f>IF(N25241="","",'Master Barang'!B35)</f>
        <v>0</v>
      </c>
      <c r="P25241">
        <f>IF(OR(M25241="",N25241=""),"",SUMIFS('Barang Keluar'!$E:$E,'Barang Keluar'!$A:$A,M25241,'Barang Keluar'!$C:$C,N25241))</f>
        <v>0</v>
      </c>
    </row>
    <row r="25242" spans="13:16">
      <c r="M25242" s="49">
        <f>IF($A$4+252&gt;$B$4,"",$A$4+252)</f>
        <v>46275</v>
      </c>
      <c r="N25242">
        <f>IF(M25242="","",'Master Barang'!A36)</f>
        <v>0</v>
      </c>
      <c r="O25242">
        <f>IF(N25242="","",'Master Barang'!B36)</f>
        <v>0</v>
      </c>
      <c r="P25242">
        <f>IF(OR(M25242="",N25242=""),"",SUMIFS('Barang Keluar'!$E:$E,'Barang Keluar'!$A:$A,M25242,'Barang Keluar'!$C:$C,N25242))</f>
        <v>0</v>
      </c>
    </row>
    <row r="25243" spans="13:16">
      <c r="M25243" s="49">
        <f>IF($A$4+252&gt;$B$4,"",$A$4+252)</f>
        <v>46275</v>
      </c>
      <c r="N25243">
        <f>IF(M25243="","",'Master Barang'!A37)</f>
        <v>0</v>
      </c>
      <c r="O25243">
        <f>IF(N25243="","",'Master Barang'!B37)</f>
        <v>0</v>
      </c>
      <c r="P25243">
        <f>IF(OR(M25243="",N25243=""),"",SUMIFS('Barang Keluar'!$E:$E,'Barang Keluar'!$A:$A,M25243,'Barang Keluar'!$C:$C,N25243))</f>
        <v>0</v>
      </c>
    </row>
    <row r="25244" spans="13:16">
      <c r="M25244" s="49">
        <f>IF($A$4+252&gt;$B$4,"",$A$4+252)</f>
        <v>46275</v>
      </c>
      <c r="N25244">
        <f>IF(M25244="","",'Master Barang'!A38)</f>
        <v>0</v>
      </c>
      <c r="O25244">
        <f>IF(N25244="","",'Master Barang'!B38)</f>
        <v>0</v>
      </c>
      <c r="P25244">
        <f>IF(OR(M25244="",N25244=""),"",SUMIFS('Barang Keluar'!$E:$E,'Barang Keluar'!$A:$A,M25244,'Barang Keluar'!$C:$C,N25244))</f>
        <v>0</v>
      </c>
    </row>
    <row r="25245" spans="13:16">
      <c r="M25245" s="49">
        <f>IF($A$4+252&gt;$B$4,"",$A$4+252)</f>
        <v>46275</v>
      </c>
      <c r="N25245">
        <f>IF(M25245="","",'Master Barang'!A39)</f>
        <v>0</v>
      </c>
      <c r="O25245">
        <f>IF(N25245="","",'Master Barang'!B39)</f>
        <v>0</v>
      </c>
      <c r="P25245">
        <f>IF(OR(M25245="",N25245=""),"",SUMIFS('Barang Keluar'!$E:$E,'Barang Keluar'!$A:$A,M25245,'Barang Keluar'!$C:$C,N25245))</f>
        <v>0</v>
      </c>
    </row>
    <row r="25246" spans="13:16">
      <c r="M25246" s="49">
        <f>IF($A$4+252&gt;$B$4,"",$A$4+252)</f>
        <v>46275</v>
      </c>
      <c r="N25246">
        <f>IF(M25246="","",'Master Barang'!A40)</f>
        <v>0</v>
      </c>
      <c r="O25246">
        <f>IF(N25246="","",'Master Barang'!B40)</f>
        <v>0</v>
      </c>
      <c r="P25246">
        <f>IF(OR(M25246="",N25246=""),"",SUMIFS('Barang Keluar'!$E:$E,'Barang Keluar'!$A:$A,M25246,'Barang Keluar'!$C:$C,N25246))</f>
        <v>0</v>
      </c>
    </row>
    <row r="25247" spans="13:16">
      <c r="M25247" s="49">
        <f>IF($A$4+252&gt;$B$4,"",$A$4+252)</f>
        <v>46275</v>
      </c>
      <c r="N25247">
        <f>IF(M25247="","",'Master Barang'!A41)</f>
        <v>0</v>
      </c>
      <c r="O25247">
        <f>IF(N25247="","",'Master Barang'!B41)</f>
        <v>0</v>
      </c>
      <c r="P25247">
        <f>IF(OR(M25247="",N25247=""),"",SUMIFS('Barang Keluar'!$E:$E,'Barang Keluar'!$A:$A,M25247,'Barang Keluar'!$C:$C,N25247))</f>
        <v>0</v>
      </c>
    </row>
    <row r="25248" spans="13:16">
      <c r="M25248" s="49">
        <f>IF($A$4+252&gt;$B$4,"",$A$4+252)</f>
        <v>46275</v>
      </c>
      <c r="N25248">
        <f>IF(M25248="","",'Master Barang'!A42)</f>
        <v>0</v>
      </c>
      <c r="O25248">
        <f>IF(N25248="","",'Master Barang'!B42)</f>
        <v>0</v>
      </c>
      <c r="P25248">
        <f>IF(OR(M25248="",N25248=""),"",SUMIFS('Barang Keluar'!$E:$E,'Barang Keluar'!$A:$A,M25248,'Barang Keluar'!$C:$C,N25248))</f>
        <v>0</v>
      </c>
    </row>
    <row r="25249" spans="13:16">
      <c r="M25249" s="49">
        <f>IF($A$4+252&gt;$B$4,"",$A$4+252)</f>
        <v>46275</v>
      </c>
      <c r="N25249">
        <f>IF(M25249="","",'Master Barang'!A43)</f>
        <v>0</v>
      </c>
      <c r="O25249">
        <f>IF(N25249="","",'Master Barang'!B43)</f>
        <v>0</v>
      </c>
      <c r="P25249">
        <f>IF(OR(M25249="",N25249=""),"",SUMIFS('Barang Keluar'!$E:$E,'Barang Keluar'!$A:$A,M25249,'Barang Keluar'!$C:$C,N25249))</f>
        <v>0</v>
      </c>
    </row>
    <row r="25250" spans="13:16">
      <c r="M25250" s="49">
        <f>IF($A$4+252&gt;$B$4,"",$A$4+252)</f>
        <v>46275</v>
      </c>
      <c r="N25250">
        <f>IF(M25250="","",'Master Barang'!A44)</f>
        <v>0</v>
      </c>
      <c r="O25250">
        <f>IF(N25250="","",'Master Barang'!B44)</f>
        <v>0</v>
      </c>
      <c r="P25250">
        <f>IF(OR(M25250="",N25250=""),"",SUMIFS('Barang Keluar'!$E:$E,'Barang Keluar'!$A:$A,M25250,'Barang Keluar'!$C:$C,N25250))</f>
        <v>0</v>
      </c>
    </row>
    <row r="25251" spans="13:16">
      <c r="M25251" s="49">
        <f>IF($A$4+252&gt;$B$4,"",$A$4+252)</f>
        <v>46275</v>
      </c>
      <c r="N25251">
        <f>IF(M25251="","",'Master Barang'!A45)</f>
        <v>0</v>
      </c>
      <c r="O25251">
        <f>IF(N25251="","",'Master Barang'!B45)</f>
        <v>0</v>
      </c>
      <c r="P25251">
        <f>IF(OR(M25251="",N25251=""),"",SUMIFS('Barang Keluar'!$E:$E,'Barang Keluar'!$A:$A,M25251,'Barang Keluar'!$C:$C,N25251))</f>
        <v>0</v>
      </c>
    </row>
    <row r="25252" spans="13:16">
      <c r="M25252" s="49">
        <f>IF($A$4+252&gt;$B$4,"",$A$4+252)</f>
        <v>46275</v>
      </c>
      <c r="N25252">
        <f>IF(M25252="","",'Master Barang'!A46)</f>
        <v>0</v>
      </c>
      <c r="O25252">
        <f>IF(N25252="","",'Master Barang'!B46)</f>
        <v>0</v>
      </c>
      <c r="P25252">
        <f>IF(OR(M25252="",N25252=""),"",SUMIFS('Barang Keluar'!$E:$E,'Barang Keluar'!$A:$A,M25252,'Barang Keluar'!$C:$C,N25252))</f>
        <v>0</v>
      </c>
    </row>
    <row r="25253" spans="13:16">
      <c r="M25253" s="49">
        <f>IF($A$4+252&gt;$B$4,"",$A$4+252)</f>
        <v>46275</v>
      </c>
      <c r="N25253">
        <f>IF(M25253="","",'Master Barang'!A47)</f>
        <v>0</v>
      </c>
      <c r="O25253">
        <f>IF(N25253="","",'Master Barang'!B47)</f>
        <v>0</v>
      </c>
      <c r="P25253">
        <f>IF(OR(M25253="",N25253=""),"",SUMIFS('Barang Keluar'!$E:$E,'Barang Keluar'!$A:$A,M25253,'Barang Keluar'!$C:$C,N25253))</f>
        <v>0</v>
      </c>
    </row>
    <row r="25254" spans="13:16">
      <c r="M25254" s="49">
        <f>IF($A$4+252&gt;$B$4,"",$A$4+252)</f>
        <v>46275</v>
      </c>
      <c r="N25254">
        <f>IF(M25254="","",'Master Barang'!A48)</f>
        <v>0</v>
      </c>
      <c r="O25254">
        <f>IF(N25254="","",'Master Barang'!B48)</f>
        <v>0</v>
      </c>
      <c r="P25254">
        <f>IF(OR(M25254="",N25254=""),"",SUMIFS('Barang Keluar'!$E:$E,'Barang Keluar'!$A:$A,M25254,'Barang Keluar'!$C:$C,N25254))</f>
        <v>0</v>
      </c>
    </row>
    <row r="25255" spans="13:16">
      <c r="M25255" s="49">
        <f>IF($A$4+252&gt;$B$4,"",$A$4+252)</f>
        <v>46275</v>
      </c>
      <c r="N25255">
        <f>IF(M25255="","",'Master Barang'!A49)</f>
        <v>0</v>
      </c>
      <c r="O25255">
        <f>IF(N25255="","",'Master Barang'!B49)</f>
        <v>0</v>
      </c>
      <c r="P25255">
        <f>IF(OR(M25255="",N25255=""),"",SUMIFS('Barang Keluar'!$E:$E,'Barang Keluar'!$A:$A,M25255,'Barang Keluar'!$C:$C,N25255))</f>
        <v>0</v>
      </c>
    </row>
    <row r="25256" spans="13:16">
      <c r="M25256" s="49">
        <f>IF($A$4+252&gt;$B$4,"",$A$4+252)</f>
        <v>46275</v>
      </c>
      <c r="N25256">
        <f>IF(M25256="","",'Master Barang'!A50)</f>
        <v>0</v>
      </c>
      <c r="O25256">
        <f>IF(N25256="","",'Master Barang'!B50)</f>
        <v>0</v>
      </c>
      <c r="P25256">
        <f>IF(OR(M25256="",N25256=""),"",SUMIFS('Barang Keluar'!$E:$E,'Barang Keluar'!$A:$A,M25256,'Barang Keluar'!$C:$C,N25256))</f>
        <v>0</v>
      </c>
    </row>
    <row r="25257" spans="13:16">
      <c r="M25257" s="49">
        <f>IF($A$4+252&gt;$B$4,"",$A$4+252)</f>
        <v>46275</v>
      </c>
      <c r="N25257">
        <f>IF(M25257="","",'Master Barang'!A51)</f>
        <v>0</v>
      </c>
      <c r="O25257">
        <f>IF(N25257="","",'Master Barang'!B51)</f>
        <v>0</v>
      </c>
      <c r="P25257">
        <f>IF(OR(M25257="",N25257=""),"",SUMIFS('Barang Keluar'!$E:$E,'Barang Keluar'!$A:$A,M25257,'Barang Keluar'!$C:$C,N25257))</f>
        <v>0</v>
      </c>
    </row>
    <row r="25258" spans="13:16">
      <c r="M25258" s="49">
        <f>IF($A$4+252&gt;$B$4,"",$A$4+252)</f>
        <v>46275</v>
      </c>
      <c r="N25258">
        <f>IF(M25258="","",'Master Barang'!A52)</f>
        <v>0</v>
      </c>
      <c r="O25258">
        <f>IF(N25258="","",'Master Barang'!B52)</f>
        <v>0</v>
      </c>
      <c r="P25258">
        <f>IF(OR(M25258="",N25258=""),"",SUMIFS('Barang Keluar'!$E:$E,'Barang Keluar'!$A:$A,M25258,'Barang Keluar'!$C:$C,N25258))</f>
        <v>0</v>
      </c>
    </row>
    <row r="25259" spans="13:16">
      <c r="M25259" s="49">
        <f>IF($A$4+252&gt;$B$4,"",$A$4+252)</f>
        <v>46275</v>
      </c>
      <c r="N25259">
        <f>IF(M25259="","",'Master Barang'!A53)</f>
        <v>0</v>
      </c>
      <c r="O25259">
        <f>IF(N25259="","",'Master Barang'!B53)</f>
        <v>0</v>
      </c>
      <c r="P25259">
        <f>IF(OR(M25259="",N25259=""),"",SUMIFS('Barang Keluar'!$E:$E,'Barang Keluar'!$A:$A,M25259,'Barang Keluar'!$C:$C,N25259))</f>
        <v>0</v>
      </c>
    </row>
    <row r="25260" spans="13:16">
      <c r="M25260" s="49">
        <f>IF($A$4+252&gt;$B$4,"",$A$4+252)</f>
        <v>46275</v>
      </c>
      <c r="N25260">
        <f>IF(M25260="","",'Master Barang'!A54)</f>
        <v>0</v>
      </c>
      <c r="O25260">
        <f>IF(N25260="","",'Master Barang'!B54)</f>
        <v>0</v>
      </c>
      <c r="P25260">
        <f>IF(OR(M25260="",N25260=""),"",SUMIFS('Barang Keluar'!$E:$E,'Barang Keluar'!$A:$A,M25260,'Barang Keluar'!$C:$C,N25260))</f>
        <v>0</v>
      </c>
    </row>
    <row r="25261" spans="13:16">
      <c r="M25261" s="49">
        <f>IF($A$4+252&gt;$B$4,"",$A$4+252)</f>
        <v>46275</v>
      </c>
      <c r="N25261">
        <f>IF(M25261="","",'Master Barang'!A55)</f>
        <v>0</v>
      </c>
      <c r="O25261">
        <f>IF(N25261="","",'Master Barang'!B55)</f>
        <v>0</v>
      </c>
      <c r="P25261">
        <f>IF(OR(M25261="",N25261=""),"",SUMIFS('Barang Keluar'!$E:$E,'Barang Keluar'!$A:$A,M25261,'Barang Keluar'!$C:$C,N25261))</f>
        <v>0</v>
      </c>
    </row>
    <row r="25262" spans="13:16">
      <c r="M25262" s="49">
        <f>IF($A$4+252&gt;$B$4,"",$A$4+252)</f>
        <v>46275</v>
      </c>
      <c r="N25262">
        <f>IF(M25262="","",'Master Barang'!A56)</f>
        <v>0</v>
      </c>
      <c r="O25262">
        <f>IF(N25262="","",'Master Barang'!B56)</f>
        <v>0</v>
      </c>
      <c r="P25262">
        <f>IF(OR(M25262="",N25262=""),"",SUMIFS('Barang Keluar'!$E:$E,'Barang Keluar'!$A:$A,M25262,'Barang Keluar'!$C:$C,N25262))</f>
        <v>0</v>
      </c>
    </row>
    <row r="25263" spans="13:16">
      <c r="M25263" s="49">
        <f>IF($A$4+252&gt;$B$4,"",$A$4+252)</f>
        <v>46275</v>
      </c>
      <c r="N25263">
        <f>IF(M25263="","",'Master Barang'!A57)</f>
        <v>0</v>
      </c>
      <c r="O25263">
        <f>IF(N25263="","",'Master Barang'!B57)</f>
        <v>0</v>
      </c>
      <c r="P25263">
        <f>IF(OR(M25263="",N25263=""),"",SUMIFS('Barang Keluar'!$E:$E,'Barang Keluar'!$A:$A,M25263,'Barang Keluar'!$C:$C,N25263))</f>
        <v>0</v>
      </c>
    </row>
    <row r="25264" spans="13:16">
      <c r="M25264" s="49">
        <f>IF($A$4+252&gt;$B$4,"",$A$4+252)</f>
        <v>46275</v>
      </c>
      <c r="N25264">
        <f>IF(M25264="","",'Master Barang'!A58)</f>
        <v>0</v>
      </c>
      <c r="O25264">
        <f>IF(N25264="","",'Master Barang'!B58)</f>
        <v>0</v>
      </c>
      <c r="P25264">
        <f>IF(OR(M25264="",N25264=""),"",SUMIFS('Barang Keluar'!$E:$E,'Barang Keluar'!$A:$A,M25264,'Barang Keluar'!$C:$C,N25264))</f>
        <v>0</v>
      </c>
    </row>
    <row r="25265" spans="13:16">
      <c r="M25265" s="49">
        <f>IF($A$4+252&gt;$B$4,"",$A$4+252)</f>
        <v>46275</v>
      </c>
      <c r="N25265">
        <f>IF(M25265="","",'Master Barang'!A59)</f>
        <v>0</v>
      </c>
      <c r="O25265">
        <f>IF(N25265="","",'Master Barang'!B59)</f>
        <v>0</v>
      </c>
      <c r="P25265">
        <f>IF(OR(M25265="",N25265=""),"",SUMIFS('Barang Keluar'!$E:$E,'Barang Keluar'!$A:$A,M25265,'Barang Keluar'!$C:$C,N25265))</f>
        <v>0</v>
      </c>
    </row>
    <row r="25266" spans="13:16">
      <c r="M25266" s="49">
        <f>IF($A$4+252&gt;$B$4,"",$A$4+252)</f>
        <v>46275</v>
      </c>
      <c r="N25266">
        <f>IF(M25266="","",'Master Barang'!A60)</f>
        <v>0</v>
      </c>
      <c r="O25266">
        <f>IF(N25266="","",'Master Barang'!B60)</f>
        <v>0</v>
      </c>
      <c r="P25266">
        <f>IF(OR(M25266="",N25266=""),"",SUMIFS('Barang Keluar'!$E:$E,'Barang Keluar'!$A:$A,M25266,'Barang Keluar'!$C:$C,N25266))</f>
        <v>0</v>
      </c>
    </row>
    <row r="25267" spans="13:16">
      <c r="M25267" s="49">
        <f>IF($A$4+252&gt;$B$4,"",$A$4+252)</f>
        <v>46275</v>
      </c>
      <c r="N25267">
        <f>IF(M25267="","",'Master Barang'!A61)</f>
        <v>0</v>
      </c>
      <c r="O25267">
        <f>IF(N25267="","",'Master Barang'!B61)</f>
        <v>0</v>
      </c>
      <c r="P25267">
        <f>IF(OR(M25267="",N25267=""),"",SUMIFS('Barang Keluar'!$E:$E,'Barang Keluar'!$A:$A,M25267,'Barang Keluar'!$C:$C,N25267))</f>
        <v>0</v>
      </c>
    </row>
    <row r="25268" spans="13:16">
      <c r="M25268" s="49">
        <f>IF($A$4+252&gt;$B$4,"",$A$4+252)</f>
        <v>46275</v>
      </c>
      <c r="N25268">
        <f>IF(M25268="","",'Master Barang'!A62)</f>
        <v>0</v>
      </c>
      <c r="O25268">
        <f>IF(N25268="","",'Master Barang'!B62)</f>
        <v>0</v>
      </c>
      <c r="P25268">
        <f>IF(OR(M25268="",N25268=""),"",SUMIFS('Barang Keluar'!$E:$E,'Barang Keluar'!$A:$A,M25268,'Barang Keluar'!$C:$C,N25268))</f>
        <v>0</v>
      </c>
    </row>
    <row r="25269" spans="13:16">
      <c r="M25269" s="49">
        <f>IF($A$4+252&gt;$B$4,"",$A$4+252)</f>
        <v>46275</v>
      </c>
      <c r="N25269">
        <f>IF(M25269="","",'Master Barang'!A63)</f>
        <v>0</v>
      </c>
      <c r="O25269">
        <f>IF(N25269="","",'Master Barang'!B63)</f>
        <v>0</v>
      </c>
      <c r="P25269">
        <f>IF(OR(M25269="",N25269=""),"",SUMIFS('Barang Keluar'!$E:$E,'Barang Keluar'!$A:$A,M25269,'Barang Keluar'!$C:$C,N25269))</f>
        <v>0</v>
      </c>
    </row>
    <row r="25270" spans="13:16">
      <c r="M25270" s="49">
        <f>IF($A$4+252&gt;$B$4,"",$A$4+252)</f>
        <v>46275</v>
      </c>
      <c r="N25270">
        <f>IF(M25270="","",'Master Barang'!A64)</f>
        <v>0</v>
      </c>
      <c r="O25270">
        <f>IF(N25270="","",'Master Barang'!B64)</f>
        <v>0</v>
      </c>
      <c r="P25270">
        <f>IF(OR(M25270="",N25270=""),"",SUMIFS('Barang Keluar'!$E:$E,'Barang Keluar'!$A:$A,M25270,'Barang Keluar'!$C:$C,N25270))</f>
        <v>0</v>
      </c>
    </row>
    <row r="25271" spans="13:16">
      <c r="M25271" s="49">
        <f>IF($A$4+252&gt;$B$4,"",$A$4+252)</f>
        <v>46275</v>
      </c>
      <c r="N25271">
        <f>IF(M25271="","",'Master Barang'!A65)</f>
        <v>0</v>
      </c>
      <c r="O25271">
        <f>IF(N25271="","",'Master Barang'!B65)</f>
        <v>0</v>
      </c>
      <c r="P25271">
        <f>IF(OR(M25271="",N25271=""),"",SUMIFS('Barang Keluar'!$E:$E,'Barang Keluar'!$A:$A,M25271,'Barang Keluar'!$C:$C,N25271))</f>
        <v>0</v>
      </c>
    </row>
    <row r="25272" spans="13:16">
      <c r="M25272" s="49">
        <f>IF($A$4+252&gt;$B$4,"",$A$4+252)</f>
        <v>46275</v>
      </c>
      <c r="N25272">
        <f>IF(M25272="","",'Master Barang'!A66)</f>
        <v>0</v>
      </c>
      <c r="O25272">
        <f>IF(N25272="","",'Master Barang'!B66)</f>
        <v>0</v>
      </c>
      <c r="P25272">
        <f>IF(OR(M25272="",N25272=""),"",SUMIFS('Barang Keluar'!$E:$E,'Barang Keluar'!$A:$A,M25272,'Barang Keluar'!$C:$C,N25272))</f>
        <v>0</v>
      </c>
    </row>
    <row r="25273" spans="13:16">
      <c r="M25273" s="49">
        <f>IF($A$4+252&gt;$B$4,"",$A$4+252)</f>
        <v>46275</v>
      </c>
      <c r="N25273">
        <f>IF(M25273="","",'Master Barang'!A67)</f>
        <v>0</v>
      </c>
      <c r="O25273">
        <f>IF(N25273="","",'Master Barang'!B67)</f>
        <v>0</v>
      </c>
      <c r="P25273">
        <f>IF(OR(M25273="",N25273=""),"",SUMIFS('Barang Keluar'!$E:$E,'Barang Keluar'!$A:$A,M25273,'Barang Keluar'!$C:$C,N25273))</f>
        <v>0</v>
      </c>
    </row>
    <row r="25274" spans="13:16">
      <c r="M25274" s="49">
        <f>IF($A$4+252&gt;$B$4,"",$A$4+252)</f>
        <v>46275</v>
      </c>
      <c r="N25274">
        <f>IF(M25274="","",'Master Barang'!A68)</f>
        <v>0</v>
      </c>
      <c r="O25274">
        <f>IF(N25274="","",'Master Barang'!B68)</f>
        <v>0</v>
      </c>
      <c r="P25274">
        <f>IF(OR(M25274="",N25274=""),"",SUMIFS('Barang Keluar'!$E:$E,'Barang Keluar'!$A:$A,M25274,'Barang Keluar'!$C:$C,N25274))</f>
        <v>0</v>
      </c>
    </row>
    <row r="25275" spans="13:16">
      <c r="M25275" s="49">
        <f>IF($A$4+252&gt;$B$4,"",$A$4+252)</f>
        <v>46275</v>
      </c>
      <c r="N25275">
        <f>IF(M25275="","",'Master Barang'!A69)</f>
        <v>0</v>
      </c>
      <c r="O25275">
        <f>IF(N25275="","",'Master Barang'!B69)</f>
        <v>0</v>
      </c>
      <c r="P25275">
        <f>IF(OR(M25275="",N25275=""),"",SUMIFS('Barang Keluar'!$E:$E,'Barang Keluar'!$A:$A,M25275,'Barang Keluar'!$C:$C,N25275))</f>
        <v>0</v>
      </c>
    </row>
    <row r="25276" spans="13:16">
      <c r="M25276" s="49">
        <f>IF($A$4+252&gt;$B$4,"",$A$4+252)</f>
        <v>46275</v>
      </c>
      <c r="N25276">
        <f>IF(M25276="","",'Master Barang'!A70)</f>
        <v>0</v>
      </c>
      <c r="O25276">
        <f>IF(N25276="","",'Master Barang'!B70)</f>
        <v>0</v>
      </c>
      <c r="P25276">
        <f>IF(OR(M25276="",N25276=""),"",SUMIFS('Barang Keluar'!$E:$E,'Barang Keluar'!$A:$A,M25276,'Barang Keluar'!$C:$C,N25276))</f>
        <v>0</v>
      </c>
    </row>
    <row r="25277" spans="13:16">
      <c r="M25277" s="49">
        <f>IF($A$4+252&gt;$B$4,"",$A$4+252)</f>
        <v>46275</v>
      </c>
      <c r="N25277">
        <f>IF(M25277="","",'Master Barang'!A71)</f>
        <v>0</v>
      </c>
      <c r="O25277">
        <f>IF(N25277="","",'Master Barang'!B71)</f>
        <v>0</v>
      </c>
      <c r="P25277">
        <f>IF(OR(M25277="",N25277=""),"",SUMIFS('Barang Keluar'!$E:$E,'Barang Keluar'!$A:$A,M25277,'Barang Keluar'!$C:$C,N25277))</f>
        <v>0</v>
      </c>
    </row>
    <row r="25278" spans="13:16">
      <c r="M25278" s="49">
        <f>IF($A$4+252&gt;$B$4,"",$A$4+252)</f>
        <v>46275</v>
      </c>
      <c r="N25278">
        <f>IF(M25278="","",'Master Barang'!A72)</f>
        <v>0</v>
      </c>
      <c r="O25278">
        <f>IF(N25278="","",'Master Barang'!B72)</f>
        <v>0</v>
      </c>
      <c r="P25278">
        <f>IF(OR(M25278="",N25278=""),"",SUMIFS('Barang Keluar'!$E:$E,'Barang Keluar'!$A:$A,M25278,'Barang Keluar'!$C:$C,N25278))</f>
        <v>0</v>
      </c>
    </row>
    <row r="25279" spans="13:16">
      <c r="M25279" s="49">
        <f>IF($A$4+252&gt;$B$4,"",$A$4+252)</f>
        <v>46275</v>
      </c>
      <c r="N25279">
        <f>IF(M25279="","",'Master Barang'!A73)</f>
        <v>0</v>
      </c>
      <c r="O25279">
        <f>IF(N25279="","",'Master Barang'!B73)</f>
        <v>0</v>
      </c>
      <c r="P25279">
        <f>IF(OR(M25279="",N25279=""),"",SUMIFS('Barang Keluar'!$E:$E,'Barang Keluar'!$A:$A,M25279,'Barang Keluar'!$C:$C,N25279))</f>
        <v>0</v>
      </c>
    </row>
    <row r="25280" spans="13:16">
      <c r="M25280" s="49">
        <f>IF($A$4+252&gt;$B$4,"",$A$4+252)</f>
        <v>46275</v>
      </c>
      <c r="N25280">
        <f>IF(M25280="","",'Master Barang'!A74)</f>
        <v>0</v>
      </c>
      <c r="O25280">
        <f>IF(N25280="","",'Master Barang'!B74)</f>
        <v>0</v>
      </c>
      <c r="P25280">
        <f>IF(OR(M25280="",N25280=""),"",SUMIFS('Barang Keluar'!$E:$E,'Barang Keluar'!$A:$A,M25280,'Barang Keluar'!$C:$C,N25280))</f>
        <v>0</v>
      </c>
    </row>
    <row r="25281" spans="13:16">
      <c r="M25281" s="49">
        <f>IF($A$4+252&gt;$B$4,"",$A$4+252)</f>
        <v>46275</v>
      </c>
      <c r="N25281">
        <f>IF(M25281="","",'Master Barang'!A75)</f>
        <v>0</v>
      </c>
      <c r="O25281">
        <f>IF(N25281="","",'Master Barang'!B75)</f>
        <v>0</v>
      </c>
      <c r="P25281">
        <f>IF(OR(M25281="",N25281=""),"",SUMIFS('Barang Keluar'!$E:$E,'Barang Keluar'!$A:$A,M25281,'Barang Keluar'!$C:$C,N25281))</f>
        <v>0</v>
      </c>
    </row>
    <row r="25282" spans="13:16">
      <c r="M25282" s="49">
        <f>IF($A$4+252&gt;$B$4,"",$A$4+252)</f>
        <v>46275</v>
      </c>
      <c r="N25282">
        <f>IF(M25282="","",'Master Barang'!A76)</f>
        <v>0</v>
      </c>
      <c r="O25282">
        <f>IF(N25282="","",'Master Barang'!B76)</f>
        <v>0</v>
      </c>
      <c r="P25282">
        <f>IF(OR(M25282="",N25282=""),"",SUMIFS('Barang Keluar'!$E:$E,'Barang Keluar'!$A:$A,M25282,'Barang Keluar'!$C:$C,N25282))</f>
        <v>0</v>
      </c>
    </row>
    <row r="25283" spans="13:16">
      <c r="M25283" s="49">
        <f>IF($A$4+252&gt;$B$4,"",$A$4+252)</f>
        <v>46275</v>
      </c>
      <c r="N25283">
        <f>IF(M25283="","",'Master Barang'!A77)</f>
        <v>0</v>
      </c>
      <c r="O25283">
        <f>IF(N25283="","",'Master Barang'!B77)</f>
        <v>0</v>
      </c>
      <c r="P25283">
        <f>IF(OR(M25283="",N25283=""),"",SUMIFS('Barang Keluar'!$E:$E,'Barang Keluar'!$A:$A,M25283,'Barang Keluar'!$C:$C,N25283))</f>
        <v>0</v>
      </c>
    </row>
    <row r="25284" spans="13:16">
      <c r="M25284" s="49">
        <f>IF($A$4+252&gt;$B$4,"",$A$4+252)</f>
        <v>46275</v>
      </c>
      <c r="N25284">
        <f>IF(M25284="","",'Master Barang'!A78)</f>
        <v>0</v>
      </c>
      <c r="O25284">
        <f>IF(N25284="","",'Master Barang'!B78)</f>
        <v>0</v>
      </c>
      <c r="P25284">
        <f>IF(OR(M25284="",N25284=""),"",SUMIFS('Barang Keluar'!$E:$E,'Barang Keluar'!$A:$A,M25284,'Barang Keluar'!$C:$C,N25284))</f>
        <v>0</v>
      </c>
    </row>
    <row r="25285" spans="13:16">
      <c r="M25285" s="49">
        <f>IF($A$4+252&gt;$B$4,"",$A$4+252)</f>
        <v>46275</v>
      </c>
      <c r="N25285">
        <f>IF(M25285="","",'Master Barang'!A79)</f>
        <v>0</v>
      </c>
      <c r="O25285">
        <f>IF(N25285="","",'Master Barang'!B79)</f>
        <v>0</v>
      </c>
      <c r="P25285">
        <f>IF(OR(M25285="",N25285=""),"",SUMIFS('Barang Keluar'!$E:$E,'Barang Keluar'!$A:$A,M25285,'Barang Keluar'!$C:$C,N25285))</f>
        <v>0</v>
      </c>
    </row>
    <row r="25286" spans="13:16">
      <c r="M25286" s="49">
        <f>IF($A$4+252&gt;$B$4,"",$A$4+252)</f>
        <v>46275</v>
      </c>
      <c r="N25286">
        <f>IF(M25286="","",'Master Barang'!A80)</f>
        <v>0</v>
      </c>
      <c r="O25286">
        <f>IF(N25286="","",'Master Barang'!B80)</f>
        <v>0</v>
      </c>
      <c r="P25286">
        <f>IF(OR(M25286="",N25286=""),"",SUMIFS('Barang Keluar'!$E:$E,'Barang Keluar'!$A:$A,M25286,'Barang Keluar'!$C:$C,N25286))</f>
        <v>0</v>
      </c>
    </row>
    <row r="25287" spans="13:16">
      <c r="M25287" s="49">
        <f>IF($A$4+252&gt;$B$4,"",$A$4+252)</f>
        <v>46275</v>
      </c>
      <c r="N25287">
        <f>IF(M25287="","",'Master Barang'!A81)</f>
        <v>0</v>
      </c>
      <c r="O25287">
        <f>IF(N25287="","",'Master Barang'!B81)</f>
        <v>0</v>
      </c>
      <c r="P25287">
        <f>IF(OR(M25287="",N25287=""),"",SUMIFS('Barang Keluar'!$E:$E,'Barang Keluar'!$A:$A,M25287,'Barang Keluar'!$C:$C,N25287))</f>
        <v>0</v>
      </c>
    </row>
    <row r="25288" spans="13:16">
      <c r="M25288" s="49">
        <f>IF($A$4+252&gt;$B$4,"",$A$4+252)</f>
        <v>46275</v>
      </c>
      <c r="N25288">
        <f>IF(M25288="","",'Master Barang'!A82)</f>
        <v>0</v>
      </c>
      <c r="O25288">
        <f>IF(N25288="","",'Master Barang'!B82)</f>
        <v>0</v>
      </c>
      <c r="P25288">
        <f>IF(OR(M25288="",N25288=""),"",SUMIFS('Barang Keluar'!$E:$E,'Barang Keluar'!$A:$A,M25288,'Barang Keluar'!$C:$C,N25288))</f>
        <v>0</v>
      </c>
    </row>
    <row r="25289" spans="13:16">
      <c r="M25289" s="49">
        <f>IF($A$4+252&gt;$B$4,"",$A$4+252)</f>
        <v>46275</v>
      </c>
      <c r="N25289">
        <f>IF(M25289="","",'Master Barang'!A83)</f>
        <v>0</v>
      </c>
      <c r="O25289">
        <f>IF(N25289="","",'Master Barang'!B83)</f>
        <v>0</v>
      </c>
      <c r="P25289">
        <f>IF(OR(M25289="",N25289=""),"",SUMIFS('Barang Keluar'!$E:$E,'Barang Keluar'!$A:$A,M25289,'Barang Keluar'!$C:$C,N25289))</f>
        <v>0</v>
      </c>
    </row>
    <row r="25290" spans="13:16">
      <c r="M25290" s="49">
        <f>IF($A$4+252&gt;$B$4,"",$A$4+252)</f>
        <v>46275</v>
      </c>
      <c r="N25290">
        <f>IF(M25290="","",'Master Barang'!A84)</f>
        <v>0</v>
      </c>
      <c r="O25290">
        <f>IF(N25290="","",'Master Barang'!B84)</f>
        <v>0</v>
      </c>
      <c r="P25290">
        <f>IF(OR(M25290="",N25290=""),"",SUMIFS('Barang Keluar'!$E:$E,'Barang Keluar'!$A:$A,M25290,'Barang Keluar'!$C:$C,N25290))</f>
        <v>0</v>
      </c>
    </row>
    <row r="25291" spans="13:16">
      <c r="M25291" s="49">
        <f>IF($A$4+252&gt;$B$4,"",$A$4+252)</f>
        <v>46275</v>
      </c>
      <c r="N25291">
        <f>IF(M25291="","",'Master Barang'!A85)</f>
        <v>0</v>
      </c>
      <c r="O25291">
        <f>IF(N25291="","",'Master Barang'!B85)</f>
        <v>0</v>
      </c>
      <c r="P25291">
        <f>IF(OR(M25291="",N25291=""),"",SUMIFS('Barang Keluar'!$E:$E,'Barang Keluar'!$A:$A,M25291,'Barang Keluar'!$C:$C,N25291))</f>
        <v>0</v>
      </c>
    </row>
    <row r="25292" spans="13:16">
      <c r="M25292" s="49">
        <f>IF($A$4+252&gt;$B$4,"",$A$4+252)</f>
        <v>46275</v>
      </c>
      <c r="N25292">
        <f>IF(M25292="","",'Master Barang'!A86)</f>
        <v>0</v>
      </c>
      <c r="O25292">
        <f>IF(N25292="","",'Master Barang'!B86)</f>
        <v>0</v>
      </c>
      <c r="P25292">
        <f>IF(OR(M25292="",N25292=""),"",SUMIFS('Barang Keluar'!$E:$E,'Barang Keluar'!$A:$A,M25292,'Barang Keluar'!$C:$C,N25292))</f>
        <v>0</v>
      </c>
    </row>
    <row r="25293" spans="13:16">
      <c r="M25293" s="49">
        <f>IF($A$4+252&gt;$B$4,"",$A$4+252)</f>
        <v>46275</v>
      </c>
      <c r="N25293">
        <f>IF(M25293="","",'Master Barang'!A87)</f>
        <v>0</v>
      </c>
      <c r="O25293">
        <f>IF(N25293="","",'Master Barang'!B87)</f>
        <v>0</v>
      </c>
      <c r="P25293">
        <f>IF(OR(M25293="",N25293=""),"",SUMIFS('Barang Keluar'!$E:$E,'Barang Keluar'!$A:$A,M25293,'Barang Keluar'!$C:$C,N25293))</f>
        <v>0</v>
      </c>
    </row>
    <row r="25294" spans="13:16">
      <c r="M25294" s="49">
        <f>IF($A$4+252&gt;$B$4,"",$A$4+252)</f>
        <v>46275</v>
      </c>
      <c r="N25294">
        <f>IF(M25294="","",'Master Barang'!A88)</f>
        <v>0</v>
      </c>
      <c r="O25294">
        <f>IF(N25294="","",'Master Barang'!B88)</f>
        <v>0</v>
      </c>
      <c r="P25294">
        <f>IF(OR(M25294="",N25294=""),"",SUMIFS('Barang Keluar'!$E:$E,'Barang Keluar'!$A:$A,M25294,'Barang Keluar'!$C:$C,N25294))</f>
        <v>0</v>
      </c>
    </row>
    <row r="25295" spans="13:16">
      <c r="M25295" s="49">
        <f>IF($A$4+252&gt;$B$4,"",$A$4+252)</f>
        <v>46275</v>
      </c>
      <c r="N25295">
        <f>IF(M25295="","",'Master Barang'!A89)</f>
        <v>0</v>
      </c>
      <c r="O25295">
        <f>IF(N25295="","",'Master Barang'!B89)</f>
        <v>0</v>
      </c>
      <c r="P25295">
        <f>IF(OR(M25295="",N25295=""),"",SUMIFS('Barang Keluar'!$E:$E,'Barang Keluar'!$A:$A,M25295,'Barang Keluar'!$C:$C,N25295))</f>
        <v>0</v>
      </c>
    </row>
    <row r="25296" spans="13:16">
      <c r="M25296" s="49">
        <f>IF($A$4+252&gt;$B$4,"",$A$4+252)</f>
        <v>46275</v>
      </c>
      <c r="N25296">
        <f>IF(M25296="","",'Master Barang'!A90)</f>
        <v>0</v>
      </c>
      <c r="O25296">
        <f>IF(N25296="","",'Master Barang'!B90)</f>
        <v>0</v>
      </c>
      <c r="P25296">
        <f>IF(OR(M25296="",N25296=""),"",SUMIFS('Barang Keluar'!$E:$E,'Barang Keluar'!$A:$A,M25296,'Barang Keluar'!$C:$C,N25296))</f>
        <v>0</v>
      </c>
    </row>
    <row r="25297" spans="13:16">
      <c r="M25297" s="49">
        <f>IF($A$4+252&gt;$B$4,"",$A$4+252)</f>
        <v>46275</v>
      </c>
      <c r="N25297">
        <f>IF(M25297="","",'Master Barang'!A91)</f>
        <v>0</v>
      </c>
      <c r="O25297">
        <f>IF(N25297="","",'Master Barang'!B91)</f>
        <v>0</v>
      </c>
      <c r="P25297">
        <f>IF(OR(M25297="",N25297=""),"",SUMIFS('Barang Keluar'!$E:$E,'Barang Keluar'!$A:$A,M25297,'Barang Keluar'!$C:$C,N25297))</f>
        <v>0</v>
      </c>
    </row>
    <row r="25298" spans="13:16">
      <c r="M25298" s="49">
        <f>IF($A$4+252&gt;$B$4,"",$A$4+252)</f>
        <v>46275</v>
      </c>
      <c r="N25298">
        <f>IF(M25298="","",'Master Barang'!A92)</f>
        <v>0</v>
      </c>
      <c r="O25298">
        <f>IF(N25298="","",'Master Barang'!B92)</f>
        <v>0</v>
      </c>
      <c r="P25298">
        <f>IF(OR(M25298="",N25298=""),"",SUMIFS('Barang Keluar'!$E:$E,'Barang Keluar'!$A:$A,M25298,'Barang Keluar'!$C:$C,N25298))</f>
        <v>0</v>
      </c>
    </row>
    <row r="25299" spans="13:16">
      <c r="M25299" s="49">
        <f>IF($A$4+252&gt;$B$4,"",$A$4+252)</f>
        <v>46275</v>
      </c>
      <c r="N25299">
        <f>IF(M25299="","",'Master Barang'!A93)</f>
        <v>0</v>
      </c>
      <c r="O25299">
        <f>IF(N25299="","",'Master Barang'!B93)</f>
        <v>0</v>
      </c>
      <c r="P25299">
        <f>IF(OR(M25299="",N25299=""),"",SUMIFS('Barang Keluar'!$E:$E,'Barang Keluar'!$A:$A,M25299,'Barang Keluar'!$C:$C,N25299))</f>
        <v>0</v>
      </c>
    </row>
    <row r="25300" spans="13:16">
      <c r="M25300" s="49">
        <f>IF($A$4+252&gt;$B$4,"",$A$4+252)</f>
        <v>46275</v>
      </c>
      <c r="N25300">
        <f>IF(M25300="","",'Master Barang'!A94)</f>
        <v>0</v>
      </c>
      <c r="O25300">
        <f>IF(N25300="","",'Master Barang'!B94)</f>
        <v>0</v>
      </c>
      <c r="P25300">
        <f>IF(OR(M25300="",N25300=""),"",SUMIFS('Barang Keluar'!$E:$E,'Barang Keluar'!$A:$A,M25300,'Barang Keluar'!$C:$C,N25300))</f>
        <v>0</v>
      </c>
    </row>
    <row r="25301" spans="13:16">
      <c r="M25301" s="49">
        <f>IF($A$4+252&gt;$B$4,"",$A$4+252)</f>
        <v>46275</v>
      </c>
      <c r="N25301">
        <f>IF(M25301="","",'Master Barang'!A95)</f>
        <v>0</v>
      </c>
      <c r="O25301">
        <f>IF(N25301="","",'Master Barang'!B95)</f>
        <v>0</v>
      </c>
      <c r="P25301">
        <f>IF(OR(M25301="",N25301=""),"",SUMIFS('Barang Keluar'!$E:$E,'Barang Keluar'!$A:$A,M25301,'Barang Keluar'!$C:$C,N25301))</f>
        <v>0</v>
      </c>
    </row>
    <row r="25302" spans="13:16">
      <c r="M25302" s="49">
        <f>IF($A$4+252&gt;$B$4,"",$A$4+252)</f>
        <v>46275</v>
      </c>
      <c r="N25302">
        <f>IF(M25302="","",'Master Barang'!A96)</f>
        <v>0</v>
      </c>
      <c r="O25302">
        <f>IF(N25302="","",'Master Barang'!B96)</f>
        <v>0</v>
      </c>
      <c r="P25302">
        <f>IF(OR(M25302="",N25302=""),"",SUMIFS('Barang Keluar'!$E:$E,'Barang Keluar'!$A:$A,M25302,'Barang Keluar'!$C:$C,N25302))</f>
        <v>0</v>
      </c>
    </row>
    <row r="25303" spans="13:16">
      <c r="M25303" s="49">
        <f>IF($A$4+252&gt;$B$4,"",$A$4+252)</f>
        <v>46275</v>
      </c>
      <c r="N25303">
        <f>IF(M25303="","",'Master Barang'!A97)</f>
        <v>0</v>
      </c>
      <c r="O25303">
        <f>IF(N25303="","",'Master Barang'!B97)</f>
        <v>0</v>
      </c>
      <c r="P25303">
        <f>IF(OR(M25303="",N25303=""),"",SUMIFS('Barang Keluar'!$E:$E,'Barang Keluar'!$A:$A,M25303,'Barang Keluar'!$C:$C,N25303))</f>
        <v>0</v>
      </c>
    </row>
    <row r="25304" spans="13:16">
      <c r="M25304" s="49">
        <f>IF($A$4+252&gt;$B$4,"",$A$4+252)</f>
        <v>46275</v>
      </c>
      <c r="N25304">
        <f>IF(M25304="","",'Master Barang'!A98)</f>
        <v>0</v>
      </c>
      <c r="O25304">
        <f>IF(N25304="","",'Master Barang'!B98)</f>
        <v>0</v>
      </c>
      <c r="P25304">
        <f>IF(OR(M25304="",N25304=""),"",SUMIFS('Barang Keluar'!$E:$E,'Barang Keluar'!$A:$A,M25304,'Barang Keluar'!$C:$C,N25304))</f>
        <v>0</v>
      </c>
    </row>
    <row r="25305" spans="13:16">
      <c r="M25305" s="49">
        <f>IF($A$4+252&gt;$B$4,"",$A$4+252)</f>
        <v>46275</v>
      </c>
      <c r="N25305">
        <f>IF(M25305="","",'Master Barang'!A99)</f>
        <v>0</v>
      </c>
      <c r="O25305">
        <f>IF(N25305="","",'Master Barang'!B99)</f>
        <v>0</v>
      </c>
      <c r="P25305">
        <f>IF(OR(M25305="",N25305=""),"",SUMIFS('Barang Keluar'!$E:$E,'Barang Keluar'!$A:$A,M25305,'Barang Keluar'!$C:$C,N25305))</f>
        <v>0</v>
      </c>
    </row>
    <row r="25306" spans="13:16">
      <c r="M25306" s="49">
        <f>IF($A$4+252&gt;$B$4,"",$A$4+252)</f>
        <v>46275</v>
      </c>
      <c r="N25306">
        <f>IF(M25306="","",'Master Barang'!A100)</f>
        <v>0</v>
      </c>
      <c r="O25306">
        <f>IF(N25306="","",'Master Barang'!B100)</f>
        <v>0</v>
      </c>
      <c r="P25306">
        <f>IF(OR(M25306="",N25306=""),"",SUMIFS('Barang Keluar'!$E:$E,'Barang Keluar'!$A:$A,M25306,'Barang Keluar'!$C:$C,N25306))</f>
        <v>0</v>
      </c>
    </row>
    <row r="25307" spans="13:16">
      <c r="M25307" s="49">
        <f>IF($A$4+252&gt;$B$4,"",$A$4+252)</f>
        <v>46275</v>
      </c>
      <c r="N25307">
        <f>IF(M25307="","",'Master Barang'!A101)</f>
        <v>0</v>
      </c>
      <c r="O25307">
        <f>IF(N25307="","",'Master Barang'!B101)</f>
        <v>0</v>
      </c>
      <c r="P25307">
        <f>IF(OR(M25307="",N25307=""),"",SUMIFS('Barang Keluar'!$E:$E,'Barang Keluar'!$A:$A,M25307,'Barang Keluar'!$C:$C,N25307))</f>
        <v>0</v>
      </c>
    </row>
    <row r="25308" spans="13:16">
      <c r="M25308" s="49">
        <f>IF($A$4+253&gt;$B$4,"",$A$4+253)</f>
        <v>46276</v>
      </c>
      <c r="N25308" t="str">
        <f>IF(M25308="","",'Master Barang'!A2)</f>
        <v>PRL-001</v>
      </c>
      <c r="O25308" t="str">
        <f>IF(N25308="","",'Master Barang'!B2)</f>
        <v>natura desinfectant food grade 5l</v>
      </c>
      <c r="P25308">
        <f>IF(OR(M25308="",N25308=""),"",SUMIFS('Barang Keluar'!$E:$E,'Barang Keluar'!$A:$A,M25308,'Barang Keluar'!$C:$C,N25308))</f>
        <v>0</v>
      </c>
    </row>
    <row r="25309" spans="13:16">
      <c r="M25309" s="49">
        <f>IF($A$4+253&gt;$B$4,"",$A$4+253)</f>
        <v>46276</v>
      </c>
      <c r="N25309" t="str">
        <f>IF(M25309="","",'Master Barang'!A3)</f>
        <v>PRL-002</v>
      </c>
      <c r="O25309" t="str">
        <f>IF(N25309="","",'Master Barang'!B3)</f>
        <v>sunlight cairan pencuci piring 5l</v>
      </c>
      <c r="P25309">
        <f>IF(OR(M25309="",N25309=""),"",SUMIFS('Barang Keluar'!$E:$E,'Barang Keluar'!$A:$A,M25309,'Barang Keluar'!$C:$C,N25309))</f>
        <v>0</v>
      </c>
    </row>
    <row r="25310" spans="13:16">
      <c r="M25310" s="49">
        <f>IF($A$4+253&gt;$B$4,"",$A$4+253)</f>
        <v>46276</v>
      </c>
      <c r="N25310" t="str">
        <f>IF(M25310="","",'Master Barang'!A4)</f>
        <v>PRL-003</v>
      </c>
      <c r="O25310" t="str">
        <f>IF(N25310="","",'Master Barang'!B4)</f>
        <v>oixs cleaner 1l</v>
      </c>
      <c r="P25310">
        <f>IF(OR(M25310="",N25310=""),"",SUMIFS('Barang Keluar'!$E:$E,'Barang Keluar'!$A:$A,M25310,'Barang Keluar'!$C:$C,N25310))</f>
        <v>0</v>
      </c>
    </row>
    <row r="25311" spans="13:16">
      <c r="M25311" s="49">
        <f>IF($A$4+253&gt;$B$4,"",$A$4+253)</f>
        <v>46276</v>
      </c>
      <c r="N25311" t="str">
        <f>IF(M25311="","",'Master Barang'!A5)</f>
        <v>PRL-004</v>
      </c>
      <c r="O25311" t="str">
        <f>IF(N25311="","",'Master Barang'!B5)</f>
        <v>be clean tissue serbaguna</v>
      </c>
      <c r="P25311">
        <f>IF(OR(M25311="",N25311=""),"",SUMIFS('Barang Keluar'!$E:$E,'Barang Keluar'!$A:$A,M25311,'Barang Keluar'!$C:$C,N25311))</f>
        <v>0</v>
      </c>
    </row>
    <row r="25312" spans="13:16">
      <c r="M25312" s="49">
        <f>IF($A$4+253&gt;$B$4,"",$A$4+253)</f>
        <v>46276</v>
      </c>
      <c r="N25312" t="str">
        <f>IF(M25312="","",'Master Barang'!A6)</f>
        <v>PRL-005</v>
      </c>
      <c r="O25312" t="str">
        <f>IF(N25312="","",'Master Barang'!B6)</f>
        <v>spons cuci hijau</v>
      </c>
      <c r="P25312">
        <f>IF(OR(M25312="",N25312=""),"",SUMIFS('Barang Keluar'!$E:$E,'Barang Keluar'!$A:$A,M25312,'Barang Keluar'!$C:$C,N25312))</f>
        <v>0</v>
      </c>
    </row>
    <row r="25313" spans="13:16">
      <c r="M25313" s="49">
        <f>IF($A$4+253&gt;$B$4,"",$A$4+253)</f>
        <v>46276</v>
      </c>
      <c r="N25313" t="str">
        <f>IF(M25313="","",'Master Barang'!A7)</f>
        <v>PRL-006</v>
      </c>
      <c r="O25313" t="str">
        <f>IF(N25313="","",'Master Barang'!B7)</f>
        <v>sabut cuci stainless</v>
      </c>
      <c r="P25313">
        <f>IF(OR(M25313="",N25313=""),"",SUMIFS('Barang Keluar'!$E:$E,'Barang Keluar'!$A:$A,M25313,'Barang Keluar'!$C:$C,N25313))</f>
        <v>0</v>
      </c>
    </row>
    <row r="25314" spans="13:16">
      <c r="M25314" s="49">
        <f>IF($A$4+253&gt;$B$4,"",$A$4+253)</f>
        <v>46276</v>
      </c>
      <c r="N25314" t="str">
        <f>IF(M25314="","",'Master Barang'!A8)</f>
        <v>PRL-007</v>
      </c>
      <c r="O25314" t="str">
        <f>IF(N25314="","",'Master Barang'!B8)</f>
        <v>plastik kresek besar merah 50pc</v>
      </c>
      <c r="P25314">
        <f>IF(OR(M25314="",N25314=""),"",SUMIFS('Barang Keluar'!$E:$E,'Barang Keluar'!$A:$A,M25314,'Barang Keluar'!$C:$C,N25314))</f>
        <v>0</v>
      </c>
    </row>
    <row r="25315" spans="13:16">
      <c r="M25315" s="49">
        <f>IF($A$4+253&gt;$B$4,"",$A$4+253)</f>
        <v>46276</v>
      </c>
      <c r="N25315" t="str">
        <f>IF(M25315="","",'Master Barang'!A9)</f>
        <v>PRL-008</v>
      </c>
      <c r="O25315" t="str">
        <f>IF(N25315="","",'Master Barang'!B9)</f>
        <v>lap besar</v>
      </c>
      <c r="P25315">
        <f>IF(OR(M25315="",N25315=""),"",SUMIFS('Barang Keluar'!$E:$E,'Barang Keluar'!$A:$A,M25315,'Barang Keluar'!$C:$C,N25315))</f>
        <v>0</v>
      </c>
    </row>
    <row r="25316" spans="13:16">
      <c r="M25316" s="49">
        <f>IF($A$4+253&gt;$B$4,"",$A$4+253)</f>
        <v>46276</v>
      </c>
      <c r="N25316" t="str">
        <f>IF(M25316="","",'Master Barang'!A10)</f>
        <v>PRL-009</v>
      </c>
      <c r="O25316" t="str">
        <f>IF(N25316="","",'Master Barang'!B10)</f>
        <v>lap microfiber</v>
      </c>
      <c r="P25316">
        <f>IF(OR(M25316="",N25316=""),"",SUMIFS('Barang Keluar'!$E:$E,'Barang Keluar'!$A:$A,M25316,'Barang Keluar'!$C:$C,N25316))</f>
        <v>0</v>
      </c>
    </row>
    <row r="25317" spans="13:16">
      <c r="M25317" s="49">
        <f>IF($A$4+253&gt;$B$4,"",$A$4+253)</f>
        <v>46276</v>
      </c>
      <c r="N25317" t="str">
        <f>IF(M25317="","",'Master Barang'!A11)</f>
        <v>PRL-010</v>
      </c>
      <c r="O25317" t="str">
        <f>IF(N25317="","",'Master Barang'!B11)</f>
        <v>lap kecil</v>
      </c>
      <c r="P25317">
        <f>IF(OR(M25317="",N25317=""),"",SUMIFS('Barang Keluar'!$E:$E,'Barang Keluar'!$A:$A,M25317,'Barang Keluar'!$C:$C,N25317))</f>
        <v>0</v>
      </c>
    </row>
    <row r="25318" spans="13:16">
      <c r="M25318" s="49">
        <f>IF($A$4+253&gt;$B$4,"",$A$4+253)</f>
        <v>46276</v>
      </c>
      <c r="N25318" t="str">
        <f>IF(M25318="","",'Master Barang'!A12)</f>
        <v>PRL-011</v>
      </c>
      <c r="O25318" t="str">
        <f>IF(N25318="","",'Master Barang'!B12)</f>
        <v>kanebo kecil</v>
      </c>
      <c r="P25318">
        <f>IF(OR(M25318="",N25318=""),"",SUMIFS('Barang Keluar'!$E:$E,'Barang Keluar'!$A:$A,M25318,'Barang Keluar'!$C:$C,N25318))</f>
        <v>0</v>
      </c>
    </row>
    <row r="25319" spans="13:16">
      <c r="M25319" s="49">
        <f>IF($A$4+253&gt;$B$4,"",$A$4+253)</f>
        <v>46276</v>
      </c>
      <c r="N25319" t="str">
        <f>IF(M25319="","",'Master Barang'!A13)</f>
        <v>PRL-012</v>
      </c>
      <c r="O25319" t="str">
        <f>IF(N25319="","",'Master Barang'!B13)</f>
        <v>plastik 1/4kg joyoboyo 100 lembar</v>
      </c>
      <c r="P25319">
        <f>IF(OR(M25319="",N25319=""),"",SUMIFS('Barang Keluar'!$E:$E,'Barang Keluar'!$A:$A,M25319,'Barang Keluar'!$C:$C,N25319))</f>
        <v>0</v>
      </c>
    </row>
    <row r="25320" spans="13:16">
      <c r="M25320" s="49">
        <f>IF($A$4+253&gt;$B$4,"",$A$4+253)</f>
        <v>46276</v>
      </c>
      <c r="N25320" t="str">
        <f>IF(M25320="","",'Master Barang'!A14)</f>
        <v>PRL-013</v>
      </c>
      <c r="O25320" t="str">
        <f>IF(N25320="","",'Master Barang'!B14)</f>
        <v>sarung tangan plastik kaka 100 pcs</v>
      </c>
      <c r="P25320">
        <f>IF(OR(M25320="",N25320=""),"",SUMIFS('Barang Keluar'!$E:$E,'Barang Keluar'!$A:$A,M25320,'Barang Keluar'!$C:$C,N25320))</f>
        <v>0</v>
      </c>
    </row>
    <row r="25321" spans="13:16">
      <c r="M25321" s="49">
        <f>IF($A$4+253&gt;$B$4,"",$A$4+253)</f>
        <v>46276</v>
      </c>
      <c r="N25321" t="str">
        <f>IF(M25321="","",'Master Barang'!A15)</f>
        <v>PRL-014</v>
      </c>
      <c r="O25321" t="str">
        <f>IF(N25321="","",'Master Barang'!B15)</f>
        <v>optima trashbag 80x100</v>
      </c>
      <c r="P25321">
        <f>IF(OR(M25321="",N25321=""),"",SUMIFS('Barang Keluar'!$E:$E,'Barang Keluar'!$A:$A,M25321,'Barang Keluar'!$C:$C,N25321))</f>
        <v>0</v>
      </c>
    </row>
    <row r="25322" spans="13:16">
      <c r="M25322" s="49">
        <f>IF($A$4+253&gt;$B$4,"",$A$4+253)</f>
        <v>46276</v>
      </c>
      <c r="N25322" t="str">
        <f>IF(M25322="","",'Master Barang'!A16)</f>
        <v>PRL-015</v>
      </c>
      <c r="O25322" t="str">
        <f>IF(N25322="","",'Master Barang'!B16)</f>
        <v>optima trashbag 60x100</v>
      </c>
      <c r="P25322">
        <f>IF(OR(M25322="",N25322=""),"",SUMIFS('Barang Keluar'!$E:$E,'Barang Keluar'!$A:$A,M25322,'Barang Keluar'!$C:$C,N25322))</f>
        <v>0</v>
      </c>
    </row>
    <row r="25323" spans="13:16">
      <c r="M25323" s="49">
        <f>IF($A$4+253&gt;$B$4,"",$A$4+253)</f>
        <v>46276</v>
      </c>
      <c r="N25323" t="str">
        <f>IF(M25323="","",'Master Barang'!A17)</f>
        <v>PRL-016</v>
      </c>
      <c r="O25323" t="str">
        <f>IF(N25323="","",'Master Barang'!B17)</f>
        <v>rajawali trashbag 30x40</v>
      </c>
      <c r="P25323">
        <f>IF(OR(M25323="",N25323=""),"",SUMIFS('Barang Keluar'!$E:$E,'Barang Keluar'!$A:$A,M25323,'Barang Keluar'!$C:$C,N25323))</f>
        <v>0</v>
      </c>
    </row>
    <row r="25324" spans="13:16">
      <c r="M25324" s="49">
        <f>IF($A$4+253&gt;$B$4,"",$A$4+253)</f>
        <v>46276</v>
      </c>
      <c r="N25324" t="str">
        <f>IF(M25324="","",'Master Barang'!A18)</f>
        <v>PRL-017</v>
      </c>
      <c r="O25324" t="str">
        <f>IF(N25324="","",'Master Barang'!B18)</f>
        <v>onemed masker biru 3 play 50 pcs</v>
      </c>
      <c r="P25324">
        <f>IF(OR(M25324="",N25324=""),"",SUMIFS('Barang Keluar'!$E:$E,'Barang Keluar'!$A:$A,M25324,'Barang Keluar'!$C:$C,N25324))</f>
        <v>0</v>
      </c>
    </row>
    <row r="25325" spans="13:16">
      <c r="M25325" s="49">
        <f>IF($A$4+253&gt;$B$4,"",$A$4+253)</f>
        <v>46276</v>
      </c>
      <c r="N25325" t="str">
        <f>IF(M25325="","",'Master Barang'!A19)</f>
        <v>PRL-018</v>
      </c>
      <c r="O25325" t="str">
        <f>IF(N25325="","",'Master Barang'!B19)</f>
        <v>onemed masker biru 3 play hijab 50 pcs</v>
      </c>
      <c r="P25325">
        <f>IF(OR(M25325="",N25325=""),"",SUMIFS('Barang Keluar'!$E:$E,'Barang Keluar'!$A:$A,M25325,'Barang Keluar'!$C:$C,N25325))</f>
        <v>0</v>
      </c>
    </row>
    <row r="25326" spans="13:16">
      <c r="M25326" s="49">
        <f>IF($A$4+253&gt;$B$4,"",$A$4+253)</f>
        <v>46276</v>
      </c>
      <c r="N25326" t="str">
        <f>IF(M25326="","",'Master Barang'!A20)</f>
        <v>PRL-019</v>
      </c>
      <c r="O25326" t="str">
        <f>IF(N25326="","",'Master Barang'!B20)</f>
        <v>neo health masker biru 3 play 50 pcs</v>
      </c>
      <c r="P25326">
        <f>IF(OR(M25326="",N25326=""),"",SUMIFS('Barang Keluar'!$E:$E,'Barang Keluar'!$A:$A,M25326,'Barang Keluar'!$C:$C,N25326))</f>
        <v>0</v>
      </c>
    </row>
    <row r="25327" spans="13:16">
      <c r="M25327" s="49">
        <f>IF($A$4+253&gt;$B$4,"",$A$4+253)</f>
        <v>46276</v>
      </c>
      <c r="N25327" t="str">
        <f>IF(M25327="","",'Master Barang'!A21)</f>
        <v>PRL-020</v>
      </c>
      <c r="O25327" t="str">
        <f>IF(N25327="","",'Master Barang'!B21)</f>
        <v>baymed masker hijau 3 play hijau 50 pcs</v>
      </c>
      <c r="P25327">
        <f>IF(OR(M25327="",N25327=""),"",SUMIFS('Barang Keluar'!$E:$E,'Barang Keluar'!$A:$A,M25327,'Barang Keluar'!$C:$C,N25327))</f>
        <v>0</v>
      </c>
    </row>
    <row r="25328" spans="13:16">
      <c r="M25328" s="49">
        <f>IF($A$4+253&gt;$B$4,"",$A$4+253)</f>
        <v>46276</v>
      </c>
      <c r="N25328" t="str">
        <f>IF(M25328="","",'Master Barang'!A22)</f>
        <v>PRL-021</v>
      </c>
      <c r="O25328" t="str">
        <f>IF(N25328="","",'Master Barang'!B22)</f>
        <v>altamed nurse cap penutup kepala 100 pcs</v>
      </c>
      <c r="P25328">
        <f>IF(OR(M25328="",N25328=""),"",SUMIFS('Barang Keluar'!$E:$E,'Barang Keluar'!$A:$A,M25328,'Barang Keluar'!$C:$C,N25328))</f>
        <v>0</v>
      </c>
    </row>
    <row r="25329" spans="13:16">
      <c r="M25329" s="49">
        <f>IF($A$4+253&gt;$B$4,"",$A$4+253)</f>
        <v>46276</v>
      </c>
      <c r="N25329" t="str">
        <f>IF(M25329="","",'Master Barang'!A23)</f>
        <v>PRL-022</v>
      </c>
      <c r="O25329" t="str">
        <f>IF(N25329="","",'Master Barang'!B23)</f>
        <v>sabun cuci tangan</v>
      </c>
      <c r="P25329">
        <f>IF(OR(M25329="",N25329=""),"",SUMIFS('Barang Keluar'!$E:$E,'Barang Keluar'!$A:$A,M25329,'Barang Keluar'!$C:$C,N25329))</f>
        <v>0</v>
      </c>
    </row>
    <row r="25330" spans="13:16">
      <c r="M25330" s="49">
        <f>IF($A$4+253&gt;$B$4,"",$A$4+253)</f>
        <v>46276</v>
      </c>
      <c r="N25330" t="str">
        <f>IF(M25330="","",'Master Barang'!A24)</f>
        <v>PRL-023</v>
      </c>
      <c r="O25330" t="str">
        <f>IF(N25330="","",'Master Barang'!B24)</f>
        <v>gayung kecil</v>
      </c>
      <c r="P25330">
        <f>IF(OR(M25330="",N25330=""),"",SUMIFS('Barang Keluar'!$E:$E,'Barang Keluar'!$A:$A,M25330,'Barang Keluar'!$C:$C,N25330))</f>
        <v>0</v>
      </c>
    </row>
    <row r="25331" spans="13:16">
      <c r="M25331" s="49">
        <f>IF($A$4+253&gt;$B$4,"",$A$4+253)</f>
        <v>46276</v>
      </c>
      <c r="N25331" t="str">
        <f>IF(M25331="","",'Master Barang'!A25)</f>
        <v>PRL-024</v>
      </c>
      <c r="O25331" t="str">
        <f>IF(N25331="","",'Master Barang'!B25)</f>
        <v>cikrak kecil</v>
      </c>
      <c r="P25331">
        <f>IF(OR(M25331="",N25331=""),"",SUMIFS('Barang Keluar'!$E:$E,'Barang Keluar'!$A:$A,M25331,'Barang Keluar'!$C:$C,N25331))</f>
        <v>0</v>
      </c>
    </row>
    <row r="25332" spans="13:16">
      <c r="M25332" s="49">
        <f>IF($A$4+253&gt;$B$4,"",$A$4+253)</f>
        <v>46276</v>
      </c>
      <c r="N25332" t="str">
        <f>IF(M25332="","",'Master Barang'!A26)</f>
        <v>PRL-025</v>
      </c>
      <c r="O25332" t="str">
        <f>IF(N25332="","",'Master Barang'!B26)</f>
        <v>petromax plastik kecil 12x24 100 lembar</v>
      </c>
      <c r="P25332">
        <f>IF(OR(M25332="",N25332=""),"",SUMIFS('Barang Keluar'!$E:$E,'Barang Keluar'!$A:$A,M25332,'Barang Keluar'!$C:$C,N25332))</f>
        <v>0</v>
      </c>
    </row>
    <row r="25333" spans="13:16">
      <c r="M25333" s="49">
        <f>IF($A$4+253&gt;$B$4,"",$A$4+253)</f>
        <v>46276</v>
      </c>
      <c r="N25333" t="str">
        <f>IF(M25333="","",'Master Barang'!A27)</f>
        <v>PRL-026</v>
      </c>
      <c r="O25333" t="str">
        <f>IF(N25333="","",'Master Barang'!B27)</f>
        <v>lancar kresek kecil bening </v>
      </c>
      <c r="P25333">
        <f>IF(OR(M25333="",N25333=""),"",SUMIFS('Barang Keluar'!$E:$E,'Barang Keluar'!$A:$A,M25333,'Barang Keluar'!$C:$C,N25333))</f>
        <v>0</v>
      </c>
    </row>
    <row r="25334" spans="13:16">
      <c r="M25334" s="49">
        <f>IF($A$4+253&gt;$B$4,"",$A$4+253)</f>
        <v>46276</v>
      </c>
      <c r="N25334" t="str">
        <f>IF(M25334="","",'Master Barang'!A28)</f>
        <v>PRL-027</v>
      </c>
      <c r="O25334" t="str">
        <f>IF(N25334="","",'Master Barang'!B28)</f>
        <v>kresek klin warna warni kecil</v>
      </c>
      <c r="P25334">
        <f>IF(OR(M25334="",N25334=""),"",SUMIFS('Barang Keluar'!$E:$E,'Barang Keluar'!$A:$A,M25334,'Barang Keluar'!$C:$C,N25334))</f>
        <v>0</v>
      </c>
    </row>
    <row r="25335" spans="13:16">
      <c r="M25335" s="49">
        <f>IF($A$4+253&gt;$B$4,"",$A$4+253)</f>
        <v>46276</v>
      </c>
      <c r="N25335" t="str">
        <f>IF(M25335="","",'Master Barang'!A29)</f>
        <v>PRL-028</v>
      </c>
      <c r="O25335" t="str">
        <f>IF(N25335="","",'Master Barang'!B29)</f>
        <v>ctik plastik 7x10 100 pcs</v>
      </c>
      <c r="P25335">
        <f>IF(OR(M25335="",N25335=""),"",SUMIFS('Barang Keluar'!$E:$E,'Barang Keluar'!$A:$A,M25335,'Barang Keluar'!$C:$C,N25335))</f>
        <v>0</v>
      </c>
    </row>
    <row r="25336" spans="13:16">
      <c r="M25336" s="49">
        <f>IF($A$4+253&gt;$B$4,"",$A$4+253)</f>
        <v>46276</v>
      </c>
      <c r="N25336" t="str">
        <f>IF(M25336="","",'Master Barang'!A30)</f>
        <v>PRL-029</v>
      </c>
      <c r="O25336" t="str">
        <f>IF(N25336="","",'Master Barang'!B30)</f>
        <v>ctik plastik 6x10 100 pcs</v>
      </c>
      <c r="P25336">
        <f>IF(OR(M25336="",N25336=""),"",SUMIFS('Barang Keluar'!$E:$E,'Barang Keluar'!$A:$A,M25336,'Barang Keluar'!$C:$C,N25336))</f>
        <v>0</v>
      </c>
    </row>
    <row r="25337" spans="13:16">
      <c r="M25337" s="49">
        <f>IF($A$4+253&gt;$B$4,"",$A$4+253)</f>
        <v>46276</v>
      </c>
      <c r="N25337" t="str">
        <f>IF(M25337="","",'Master Barang'!A31)</f>
        <v>PRL-030</v>
      </c>
      <c r="O25337" t="str">
        <f>IF(N25337="","",'Master Barang'!B31)</f>
        <v>klip plastik 25x16 100 pcs</v>
      </c>
      <c r="P25337">
        <f>IF(OR(M25337="",N25337=""),"",SUMIFS('Barang Keluar'!$E:$E,'Barang Keluar'!$A:$A,M25337,'Barang Keluar'!$C:$C,N25337))</f>
        <v>0</v>
      </c>
    </row>
    <row r="25338" spans="13:16">
      <c r="M25338" s="49">
        <f>IF($A$4+253&gt;$B$4,"",$A$4+253)</f>
        <v>46276</v>
      </c>
      <c r="N25338" t="str">
        <f>IF(M25338="","",'Master Barang'!A32)</f>
        <v>PRL-031</v>
      </c>
      <c r="O25338" t="str">
        <f>IF(N25338="","",'Master Barang'!B32)</f>
        <v>tempat saus 20 ml</v>
      </c>
      <c r="P25338">
        <f>IF(OR(M25338="",N25338=""),"",SUMIFS('Barang Keluar'!$E:$E,'Barang Keluar'!$A:$A,M25338,'Barang Keluar'!$C:$C,N25338))</f>
        <v>0</v>
      </c>
    </row>
    <row r="25339" spans="13:16">
      <c r="M25339" s="49">
        <f>IF($A$4+253&gt;$B$4,"",$A$4+253)</f>
        <v>46276</v>
      </c>
      <c r="N25339" t="str">
        <f>IF(M25339="","",'Master Barang'!A33)</f>
        <v>PRL-032</v>
      </c>
      <c r="O25339" t="str">
        <f>IF(N25339="","",'Master Barang'!B33)</f>
        <v>plastik packaging ag box uk sedang</v>
      </c>
      <c r="P25339">
        <f>IF(OR(M25339="",N25339=""),"",SUMIFS('Barang Keluar'!$E:$E,'Barang Keluar'!$A:$A,M25339,'Barang Keluar'!$C:$C,N25339))</f>
        <v>0</v>
      </c>
    </row>
    <row r="25340" spans="13:16">
      <c r="M25340" s="49">
        <f>IF($A$4+253&gt;$B$4,"",$A$4+253)</f>
        <v>46276</v>
      </c>
      <c r="N25340" t="str">
        <f>IF(M25340="","",'Master Barang'!A34)</f>
        <v>PRL-033</v>
      </c>
      <c r="O25340">
        <f>IF(N25340="","",'Master Barang'!B34)</f>
        <v>0</v>
      </c>
      <c r="P25340">
        <f>IF(OR(M25340="",N25340=""),"",SUMIFS('Barang Keluar'!$E:$E,'Barang Keluar'!$A:$A,M25340,'Barang Keluar'!$C:$C,N25340))</f>
        <v>0</v>
      </c>
    </row>
    <row r="25341" spans="13:16">
      <c r="M25341" s="49">
        <f>IF($A$4+253&gt;$B$4,"",$A$4+253)</f>
        <v>46276</v>
      </c>
      <c r="N25341">
        <f>IF(M25341="","",'Master Barang'!A35)</f>
        <v>0</v>
      </c>
      <c r="O25341">
        <f>IF(N25341="","",'Master Barang'!B35)</f>
        <v>0</v>
      </c>
      <c r="P25341">
        <f>IF(OR(M25341="",N25341=""),"",SUMIFS('Barang Keluar'!$E:$E,'Barang Keluar'!$A:$A,M25341,'Barang Keluar'!$C:$C,N25341))</f>
        <v>0</v>
      </c>
    </row>
    <row r="25342" spans="13:16">
      <c r="M25342" s="49">
        <f>IF($A$4+253&gt;$B$4,"",$A$4+253)</f>
        <v>46276</v>
      </c>
      <c r="N25342">
        <f>IF(M25342="","",'Master Barang'!A36)</f>
        <v>0</v>
      </c>
      <c r="O25342">
        <f>IF(N25342="","",'Master Barang'!B36)</f>
        <v>0</v>
      </c>
      <c r="P25342">
        <f>IF(OR(M25342="",N25342=""),"",SUMIFS('Barang Keluar'!$E:$E,'Barang Keluar'!$A:$A,M25342,'Barang Keluar'!$C:$C,N25342))</f>
        <v>0</v>
      </c>
    </row>
    <row r="25343" spans="13:16">
      <c r="M25343" s="49">
        <f>IF($A$4+253&gt;$B$4,"",$A$4+253)</f>
        <v>46276</v>
      </c>
      <c r="N25343">
        <f>IF(M25343="","",'Master Barang'!A37)</f>
        <v>0</v>
      </c>
      <c r="O25343">
        <f>IF(N25343="","",'Master Barang'!B37)</f>
        <v>0</v>
      </c>
      <c r="P25343">
        <f>IF(OR(M25343="",N25343=""),"",SUMIFS('Barang Keluar'!$E:$E,'Barang Keluar'!$A:$A,M25343,'Barang Keluar'!$C:$C,N25343))</f>
        <v>0</v>
      </c>
    </row>
    <row r="25344" spans="13:16">
      <c r="M25344" s="49">
        <f>IF($A$4+253&gt;$B$4,"",$A$4+253)</f>
        <v>46276</v>
      </c>
      <c r="N25344">
        <f>IF(M25344="","",'Master Barang'!A38)</f>
        <v>0</v>
      </c>
      <c r="O25344">
        <f>IF(N25344="","",'Master Barang'!B38)</f>
        <v>0</v>
      </c>
      <c r="P25344">
        <f>IF(OR(M25344="",N25344=""),"",SUMIFS('Barang Keluar'!$E:$E,'Barang Keluar'!$A:$A,M25344,'Barang Keluar'!$C:$C,N25344))</f>
        <v>0</v>
      </c>
    </row>
    <row r="25345" spans="13:16">
      <c r="M25345" s="49">
        <f>IF($A$4+253&gt;$B$4,"",$A$4+253)</f>
        <v>46276</v>
      </c>
      <c r="N25345">
        <f>IF(M25345="","",'Master Barang'!A39)</f>
        <v>0</v>
      </c>
      <c r="O25345">
        <f>IF(N25345="","",'Master Barang'!B39)</f>
        <v>0</v>
      </c>
      <c r="P25345">
        <f>IF(OR(M25345="",N25345=""),"",SUMIFS('Barang Keluar'!$E:$E,'Barang Keluar'!$A:$A,M25345,'Barang Keluar'!$C:$C,N25345))</f>
        <v>0</v>
      </c>
    </row>
    <row r="25346" spans="13:16">
      <c r="M25346" s="49">
        <f>IF($A$4+253&gt;$B$4,"",$A$4+253)</f>
        <v>46276</v>
      </c>
      <c r="N25346">
        <f>IF(M25346="","",'Master Barang'!A40)</f>
        <v>0</v>
      </c>
      <c r="O25346">
        <f>IF(N25346="","",'Master Barang'!B40)</f>
        <v>0</v>
      </c>
      <c r="P25346">
        <f>IF(OR(M25346="",N25346=""),"",SUMIFS('Barang Keluar'!$E:$E,'Barang Keluar'!$A:$A,M25346,'Barang Keluar'!$C:$C,N25346))</f>
        <v>0</v>
      </c>
    </row>
    <row r="25347" spans="13:16">
      <c r="M25347" s="49">
        <f>IF($A$4+253&gt;$B$4,"",$A$4+253)</f>
        <v>46276</v>
      </c>
      <c r="N25347">
        <f>IF(M25347="","",'Master Barang'!A41)</f>
        <v>0</v>
      </c>
      <c r="O25347">
        <f>IF(N25347="","",'Master Barang'!B41)</f>
        <v>0</v>
      </c>
      <c r="P25347">
        <f>IF(OR(M25347="",N25347=""),"",SUMIFS('Barang Keluar'!$E:$E,'Barang Keluar'!$A:$A,M25347,'Barang Keluar'!$C:$C,N25347))</f>
        <v>0</v>
      </c>
    </row>
    <row r="25348" spans="13:16">
      <c r="M25348" s="49">
        <f>IF($A$4+253&gt;$B$4,"",$A$4+253)</f>
        <v>46276</v>
      </c>
      <c r="N25348">
        <f>IF(M25348="","",'Master Barang'!A42)</f>
        <v>0</v>
      </c>
      <c r="O25348">
        <f>IF(N25348="","",'Master Barang'!B42)</f>
        <v>0</v>
      </c>
      <c r="P25348">
        <f>IF(OR(M25348="",N25348=""),"",SUMIFS('Barang Keluar'!$E:$E,'Barang Keluar'!$A:$A,M25348,'Barang Keluar'!$C:$C,N25348))</f>
        <v>0</v>
      </c>
    </row>
    <row r="25349" spans="13:16">
      <c r="M25349" s="49">
        <f>IF($A$4+253&gt;$B$4,"",$A$4+253)</f>
        <v>46276</v>
      </c>
      <c r="N25349">
        <f>IF(M25349="","",'Master Barang'!A43)</f>
        <v>0</v>
      </c>
      <c r="O25349">
        <f>IF(N25349="","",'Master Barang'!B43)</f>
        <v>0</v>
      </c>
      <c r="P25349">
        <f>IF(OR(M25349="",N25349=""),"",SUMIFS('Barang Keluar'!$E:$E,'Barang Keluar'!$A:$A,M25349,'Barang Keluar'!$C:$C,N25349))</f>
        <v>0</v>
      </c>
    </row>
    <row r="25350" spans="13:16">
      <c r="M25350" s="49">
        <f>IF($A$4+253&gt;$B$4,"",$A$4+253)</f>
        <v>46276</v>
      </c>
      <c r="N25350">
        <f>IF(M25350="","",'Master Barang'!A44)</f>
        <v>0</v>
      </c>
      <c r="O25350">
        <f>IF(N25350="","",'Master Barang'!B44)</f>
        <v>0</v>
      </c>
      <c r="P25350">
        <f>IF(OR(M25350="",N25350=""),"",SUMIFS('Barang Keluar'!$E:$E,'Barang Keluar'!$A:$A,M25350,'Barang Keluar'!$C:$C,N25350))</f>
        <v>0</v>
      </c>
    </row>
    <row r="25351" spans="13:16">
      <c r="M25351" s="49">
        <f>IF($A$4+253&gt;$B$4,"",$A$4+253)</f>
        <v>46276</v>
      </c>
      <c r="N25351">
        <f>IF(M25351="","",'Master Barang'!A45)</f>
        <v>0</v>
      </c>
      <c r="O25351">
        <f>IF(N25351="","",'Master Barang'!B45)</f>
        <v>0</v>
      </c>
      <c r="P25351">
        <f>IF(OR(M25351="",N25351=""),"",SUMIFS('Barang Keluar'!$E:$E,'Barang Keluar'!$A:$A,M25351,'Barang Keluar'!$C:$C,N25351))</f>
        <v>0</v>
      </c>
    </row>
    <row r="25352" spans="13:16">
      <c r="M25352" s="49">
        <f>IF($A$4+253&gt;$B$4,"",$A$4+253)</f>
        <v>46276</v>
      </c>
      <c r="N25352">
        <f>IF(M25352="","",'Master Barang'!A46)</f>
        <v>0</v>
      </c>
      <c r="O25352">
        <f>IF(N25352="","",'Master Barang'!B46)</f>
        <v>0</v>
      </c>
      <c r="P25352">
        <f>IF(OR(M25352="",N25352=""),"",SUMIFS('Barang Keluar'!$E:$E,'Barang Keluar'!$A:$A,M25352,'Barang Keluar'!$C:$C,N25352))</f>
        <v>0</v>
      </c>
    </row>
    <row r="25353" spans="13:16">
      <c r="M25353" s="49">
        <f>IF($A$4+253&gt;$B$4,"",$A$4+253)</f>
        <v>46276</v>
      </c>
      <c r="N25353">
        <f>IF(M25353="","",'Master Barang'!A47)</f>
        <v>0</v>
      </c>
      <c r="O25353">
        <f>IF(N25353="","",'Master Barang'!B47)</f>
        <v>0</v>
      </c>
      <c r="P25353">
        <f>IF(OR(M25353="",N25353=""),"",SUMIFS('Barang Keluar'!$E:$E,'Barang Keluar'!$A:$A,M25353,'Barang Keluar'!$C:$C,N25353))</f>
        <v>0</v>
      </c>
    </row>
    <row r="25354" spans="13:16">
      <c r="M25354" s="49">
        <f>IF($A$4+253&gt;$B$4,"",$A$4+253)</f>
        <v>46276</v>
      </c>
      <c r="N25354">
        <f>IF(M25354="","",'Master Barang'!A48)</f>
        <v>0</v>
      </c>
      <c r="O25354">
        <f>IF(N25354="","",'Master Barang'!B48)</f>
        <v>0</v>
      </c>
      <c r="P25354">
        <f>IF(OR(M25354="",N25354=""),"",SUMIFS('Barang Keluar'!$E:$E,'Barang Keluar'!$A:$A,M25354,'Barang Keluar'!$C:$C,N25354))</f>
        <v>0</v>
      </c>
    </row>
    <row r="25355" spans="13:16">
      <c r="M25355" s="49">
        <f>IF($A$4+253&gt;$B$4,"",$A$4+253)</f>
        <v>46276</v>
      </c>
      <c r="N25355">
        <f>IF(M25355="","",'Master Barang'!A49)</f>
        <v>0</v>
      </c>
      <c r="O25355">
        <f>IF(N25355="","",'Master Barang'!B49)</f>
        <v>0</v>
      </c>
      <c r="P25355">
        <f>IF(OR(M25355="",N25355=""),"",SUMIFS('Barang Keluar'!$E:$E,'Barang Keluar'!$A:$A,M25355,'Barang Keluar'!$C:$C,N25355))</f>
        <v>0</v>
      </c>
    </row>
    <row r="25356" spans="13:16">
      <c r="M25356" s="49">
        <f>IF($A$4+253&gt;$B$4,"",$A$4+253)</f>
        <v>46276</v>
      </c>
      <c r="N25356">
        <f>IF(M25356="","",'Master Barang'!A50)</f>
        <v>0</v>
      </c>
      <c r="O25356">
        <f>IF(N25356="","",'Master Barang'!B50)</f>
        <v>0</v>
      </c>
      <c r="P25356">
        <f>IF(OR(M25356="",N25356=""),"",SUMIFS('Barang Keluar'!$E:$E,'Barang Keluar'!$A:$A,M25356,'Barang Keluar'!$C:$C,N25356))</f>
        <v>0</v>
      </c>
    </row>
    <row r="25357" spans="13:16">
      <c r="M25357" s="49">
        <f>IF($A$4+253&gt;$B$4,"",$A$4+253)</f>
        <v>46276</v>
      </c>
      <c r="N25357">
        <f>IF(M25357="","",'Master Barang'!A51)</f>
        <v>0</v>
      </c>
      <c r="O25357">
        <f>IF(N25357="","",'Master Barang'!B51)</f>
        <v>0</v>
      </c>
      <c r="P25357">
        <f>IF(OR(M25357="",N25357=""),"",SUMIFS('Barang Keluar'!$E:$E,'Barang Keluar'!$A:$A,M25357,'Barang Keluar'!$C:$C,N25357))</f>
        <v>0</v>
      </c>
    </row>
    <row r="25358" spans="13:16">
      <c r="M25358" s="49">
        <f>IF($A$4+253&gt;$B$4,"",$A$4+253)</f>
        <v>46276</v>
      </c>
      <c r="N25358">
        <f>IF(M25358="","",'Master Barang'!A52)</f>
        <v>0</v>
      </c>
      <c r="O25358">
        <f>IF(N25358="","",'Master Barang'!B52)</f>
        <v>0</v>
      </c>
      <c r="P25358">
        <f>IF(OR(M25358="",N25358=""),"",SUMIFS('Barang Keluar'!$E:$E,'Barang Keluar'!$A:$A,M25358,'Barang Keluar'!$C:$C,N25358))</f>
        <v>0</v>
      </c>
    </row>
    <row r="25359" spans="13:16">
      <c r="M25359" s="49">
        <f>IF($A$4+253&gt;$B$4,"",$A$4+253)</f>
        <v>46276</v>
      </c>
      <c r="N25359">
        <f>IF(M25359="","",'Master Barang'!A53)</f>
        <v>0</v>
      </c>
      <c r="O25359">
        <f>IF(N25359="","",'Master Barang'!B53)</f>
        <v>0</v>
      </c>
      <c r="P25359">
        <f>IF(OR(M25359="",N25359=""),"",SUMIFS('Barang Keluar'!$E:$E,'Barang Keluar'!$A:$A,M25359,'Barang Keluar'!$C:$C,N25359))</f>
        <v>0</v>
      </c>
    </row>
    <row r="25360" spans="13:16">
      <c r="M25360" s="49">
        <f>IF($A$4+253&gt;$B$4,"",$A$4+253)</f>
        <v>46276</v>
      </c>
      <c r="N25360">
        <f>IF(M25360="","",'Master Barang'!A54)</f>
        <v>0</v>
      </c>
      <c r="O25360">
        <f>IF(N25360="","",'Master Barang'!B54)</f>
        <v>0</v>
      </c>
      <c r="P25360">
        <f>IF(OR(M25360="",N25360=""),"",SUMIFS('Barang Keluar'!$E:$E,'Barang Keluar'!$A:$A,M25360,'Barang Keluar'!$C:$C,N25360))</f>
        <v>0</v>
      </c>
    </row>
    <row r="25361" spans="13:16">
      <c r="M25361" s="49">
        <f>IF($A$4+253&gt;$B$4,"",$A$4+253)</f>
        <v>46276</v>
      </c>
      <c r="N25361">
        <f>IF(M25361="","",'Master Barang'!A55)</f>
        <v>0</v>
      </c>
      <c r="O25361">
        <f>IF(N25361="","",'Master Barang'!B55)</f>
        <v>0</v>
      </c>
      <c r="P25361">
        <f>IF(OR(M25361="",N25361=""),"",SUMIFS('Barang Keluar'!$E:$E,'Barang Keluar'!$A:$A,M25361,'Barang Keluar'!$C:$C,N25361))</f>
        <v>0</v>
      </c>
    </row>
    <row r="25362" spans="13:16">
      <c r="M25362" s="49">
        <f>IF($A$4+253&gt;$B$4,"",$A$4+253)</f>
        <v>46276</v>
      </c>
      <c r="N25362">
        <f>IF(M25362="","",'Master Barang'!A56)</f>
        <v>0</v>
      </c>
      <c r="O25362">
        <f>IF(N25362="","",'Master Barang'!B56)</f>
        <v>0</v>
      </c>
      <c r="P25362">
        <f>IF(OR(M25362="",N25362=""),"",SUMIFS('Barang Keluar'!$E:$E,'Barang Keluar'!$A:$A,M25362,'Barang Keluar'!$C:$C,N25362))</f>
        <v>0</v>
      </c>
    </row>
    <row r="25363" spans="13:16">
      <c r="M25363" s="49">
        <f>IF($A$4+253&gt;$B$4,"",$A$4+253)</f>
        <v>46276</v>
      </c>
      <c r="N25363">
        <f>IF(M25363="","",'Master Barang'!A57)</f>
        <v>0</v>
      </c>
      <c r="O25363">
        <f>IF(N25363="","",'Master Barang'!B57)</f>
        <v>0</v>
      </c>
      <c r="P25363">
        <f>IF(OR(M25363="",N25363=""),"",SUMIFS('Barang Keluar'!$E:$E,'Barang Keluar'!$A:$A,M25363,'Barang Keluar'!$C:$C,N25363))</f>
        <v>0</v>
      </c>
    </row>
    <row r="25364" spans="13:16">
      <c r="M25364" s="49">
        <f>IF($A$4+253&gt;$B$4,"",$A$4+253)</f>
        <v>46276</v>
      </c>
      <c r="N25364">
        <f>IF(M25364="","",'Master Barang'!A58)</f>
        <v>0</v>
      </c>
      <c r="O25364">
        <f>IF(N25364="","",'Master Barang'!B58)</f>
        <v>0</v>
      </c>
      <c r="P25364">
        <f>IF(OR(M25364="",N25364=""),"",SUMIFS('Barang Keluar'!$E:$E,'Barang Keluar'!$A:$A,M25364,'Barang Keluar'!$C:$C,N25364))</f>
        <v>0</v>
      </c>
    </row>
    <row r="25365" spans="13:16">
      <c r="M25365" s="49">
        <f>IF($A$4+253&gt;$B$4,"",$A$4+253)</f>
        <v>46276</v>
      </c>
      <c r="N25365">
        <f>IF(M25365="","",'Master Barang'!A59)</f>
        <v>0</v>
      </c>
      <c r="O25365">
        <f>IF(N25365="","",'Master Barang'!B59)</f>
        <v>0</v>
      </c>
      <c r="P25365">
        <f>IF(OR(M25365="",N25365=""),"",SUMIFS('Barang Keluar'!$E:$E,'Barang Keluar'!$A:$A,M25365,'Barang Keluar'!$C:$C,N25365))</f>
        <v>0</v>
      </c>
    </row>
    <row r="25366" spans="13:16">
      <c r="M25366" s="49">
        <f>IF($A$4+253&gt;$B$4,"",$A$4+253)</f>
        <v>46276</v>
      </c>
      <c r="N25366">
        <f>IF(M25366="","",'Master Barang'!A60)</f>
        <v>0</v>
      </c>
      <c r="O25366">
        <f>IF(N25366="","",'Master Barang'!B60)</f>
        <v>0</v>
      </c>
      <c r="P25366">
        <f>IF(OR(M25366="",N25366=""),"",SUMIFS('Barang Keluar'!$E:$E,'Barang Keluar'!$A:$A,M25366,'Barang Keluar'!$C:$C,N25366))</f>
        <v>0</v>
      </c>
    </row>
    <row r="25367" spans="13:16">
      <c r="M25367" s="49">
        <f>IF($A$4+253&gt;$B$4,"",$A$4+253)</f>
        <v>46276</v>
      </c>
      <c r="N25367">
        <f>IF(M25367="","",'Master Barang'!A61)</f>
        <v>0</v>
      </c>
      <c r="O25367">
        <f>IF(N25367="","",'Master Barang'!B61)</f>
        <v>0</v>
      </c>
      <c r="P25367">
        <f>IF(OR(M25367="",N25367=""),"",SUMIFS('Barang Keluar'!$E:$E,'Barang Keluar'!$A:$A,M25367,'Barang Keluar'!$C:$C,N25367))</f>
        <v>0</v>
      </c>
    </row>
    <row r="25368" spans="13:16">
      <c r="M25368" s="49">
        <f>IF($A$4+253&gt;$B$4,"",$A$4+253)</f>
        <v>46276</v>
      </c>
      <c r="N25368">
        <f>IF(M25368="","",'Master Barang'!A62)</f>
        <v>0</v>
      </c>
      <c r="O25368">
        <f>IF(N25368="","",'Master Barang'!B62)</f>
        <v>0</v>
      </c>
      <c r="P25368">
        <f>IF(OR(M25368="",N25368=""),"",SUMIFS('Barang Keluar'!$E:$E,'Barang Keluar'!$A:$A,M25368,'Barang Keluar'!$C:$C,N25368))</f>
        <v>0</v>
      </c>
    </row>
    <row r="25369" spans="13:16">
      <c r="M25369" s="49">
        <f>IF($A$4+253&gt;$B$4,"",$A$4+253)</f>
        <v>46276</v>
      </c>
      <c r="N25369">
        <f>IF(M25369="","",'Master Barang'!A63)</f>
        <v>0</v>
      </c>
      <c r="O25369">
        <f>IF(N25369="","",'Master Barang'!B63)</f>
        <v>0</v>
      </c>
      <c r="P25369">
        <f>IF(OR(M25369="",N25369=""),"",SUMIFS('Barang Keluar'!$E:$E,'Barang Keluar'!$A:$A,M25369,'Barang Keluar'!$C:$C,N25369))</f>
        <v>0</v>
      </c>
    </row>
    <row r="25370" spans="13:16">
      <c r="M25370" s="49">
        <f>IF($A$4+253&gt;$B$4,"",$A$4+253)</f>
        <v>46276</v>
      </c>
      <c r="N25370">
        <f>IF(M25370="","",'Master Barang'!A64)</f>
        <v>0</v>
      </c>
      <c r="O25370">
        <f>IF(N25370="","",'Master Barang'!B64)</f>
        <v>0</v>
      </c>
      <c r="P25370">
        <f>IF(OR(M25370="",N25370=""),"",SUMIFS('Barang Keluar'!$E:$E,'Barang Keluar'!$A:$A,M25370,'Barang Keluar'!$C:$C,N25370))</f>
        <v>0</v>
      </c>
    </row>
    <row r="25371" spans="13:16">
      <c r="M25371" s="49">
        <f>IF($A$4+253&gt;$B$4,"",$A$4+253)</f>
        <v>46276</v>
      </c>
      <c r="N25371">
        <f>IF(M25371="","",'Master Barang'!A65)</f>
        <v>0</v>
      </c>
      <c r="O25371">
        <f>IF(N25371="","",'Master Barang'!B65)</f>
        <v>0</v>
      </c>
      <c r="P25371">
        <f>IF(OR(M25371="",N25371=""),"",SUMIFS('Barang Keluar'!$E:$E,'Barang Keluar'!$A:$A,M25371,'Barang Keluar'!$C:$C,N25371))</f>
        <v>0</v>
      </c>
    </row>
    <row r="25372" spans="13:16">
      <c r="M25372" s="49">
        <f>IF($A$4+253&gt;$B$4,"",$A$4+253)</f>
        <v>46276</v>
      </c>
      <c r="N25372">
        <f>IF(M25372="","",'Master Barang'!A66)</f>
        <v>0</v>
      </c>
      <c r="O25372">
        <f>IF(N25372="","",'Master Barang'!B66)</f>
        <v>0</v>
      </c>
      <c r="P25372">
        <f>IF(OR(M25372="",N25372=""),"",SUMIFS('Barang Keluar'!$E:$E,'Barang Keluar'!$A:$A,M25372,'Barang Keluar'!$C:$C,N25372))</f>
        <v>0</v>
      </c>
    </row>
    <row r="25373" spans="13:16">
      <c r="M25373" s="49">
        <f>IF($A$4+253&gt;$B$4,"",$A$4+253)</f>
        <v>46276</v>
      </c>
      <c r="N25373">
        <f>IF(M25373="","",'Master Barang'!A67)</f>
        <v>0</v>
      </c>
      <c r="O25373">
        <f>IF(N25373="","",'Master Barang'!B67)</f>
        <v>0</v>
      </c>
      <c r="P25373">
        <f>IF(OR(M25373="",N25373=""),"",SUMIFS('Barang Keluar'!$E:$E,'Barang Keluar'!$A:$A,M25373,'Barang Keluar'!$C:$C,N25373))</f>
        <v>0</v>
      </c>
    </row>
    <row r="25374" spans="13:16">
      <c r="M25374" s="49">
        <f>IF($A$4+253&gt;$B$4,"",$A$4+253)</f>
        <v>46276</v>
      </c>
      <c r="N25374">
        <f>IF(M25374="","",'Master Barang'!A68)</f>
        <v>0</v>
      </c>
      <c r="O25374">
        <f>IF(N25374="","",'Master Barang'!B68)</f>
        <v>0</v>
      </c>
      <c r="P25374">
        <f>IF(OR(M25374="",N25374=""),"",SUMIFS('Barang Keluar'!$E:$E,'Barang Keluar'!$A:$A,M25374,'Barang Keluar'!$C:$C,N25374))</f>
        <v>0</v>
      </c>
    </row>
    <row r="25375" spans="13:16">
      <c r="M25375" s="49">
        <f>IF($A$4+253&gt;$B$4,"",$A$4+253)</f>
        <v>46276</v>
      </c>
      <c r="N25375">
        <f>IF(M25375="","",'Master Barang'!A69)</f>
        <v>0</v>
      </c>
      <c r="O25375">
        <f>IF(N25375="","",'Master Barang'!B69)</f>
        <v>0</v>
      </c>
      <c r="P25375">
        <f>IF(OR(M25375="",N25375=""),"",SUMIFS('Barang Keluar'!$E:$E,'Barang Keluar'!$A:$A,M25375,'Barang Keluar'!$C:$C,N25375))</f>
        <v>0</v>
      </c>
    </row>
    <row r="25376" spans="13:16">
      <c r="M25376" s="49">
        <f>IF($A$4+253&gt;$B$4,"",$A$4+253)</f>
        <v>46276</v>
      </c>
      <c r="N25376">
        <f>IF(M25376="","",'Master Barang'!A70)</f>
        <v>0</v>
      </c>
      <c r="O25376">
        <f>IF(N25376="","",'Master Barang'!B70)</f>
        <v>0</v>
      </c>
      <c r="P25376">
        <f>IF(OR(M25376="",N25376=""),"",SUMIFS('Barang Keluar'!$E:$E,'Barang Keluar'!$A:$A,M25376,'Barang Keluar'!$C:$C,N25376))</f>
        <v>0</v>
      </c>
    </row>
    <row r="25377" spans="13:16">
      <c r="M25377" s="49">
        <f>IF($A$4+253&gt;$B$4,"",$A$4+253)</f>
        <v>46276</v>
      </c>
      <c r="N25377">
        <f>IF(M25377="","",'Master Barang'!A71)</f>
        <v>0</v>
      </c>
      <c r="O25377">
        <f>IF(N25377="","",'Master Barang'!B71)</f>
        <v>0</v>
      </c>
      <c r="P25377">
        <f>IF(OR(M25377="",N25377=""),"",SUMIFS('Barang Keluar'!$E:$E,'Barang Keluar'!$A:$A,M25377,'Barang Keluar'!$C:$C,N25377))</f>
        <v>0</v>
      </c>
    </row>
    <row r="25378" spans="13:16">
      <c r="M25378" s="49">
        <f>IF($A$4+253&gt;$B$4,"",$A$4+253)</f>
        <v>46276</v>
      </c>
      <c r="N25378">
        <f>IF(M25378="","",'Master Barang'!A72)</f>
        <v>0</v>
      </c>
      <c r="O25378">
        <f>IF(N25378="","",'Master Barang'!B72)</f>
        <v>0</v>
      </c>
      <c r="P25378">
        <f>IF(OR(M25378="",N25378=""),"",SUMIFS('Barang Keluar'!$E:$E,'Barang Keluar'!$A:$A,M25378,'Barang Keluar'!$C:$C,N25378))</f>
        <v>0</v>
      </c>
    </row>
    <row r="25379" spans="13:16">
      <c r="M25379" s="49">
        <f>IF($A$4+253&gt;$B$4,"",$A$4+253)</f>
        <v>46276</v>
      </c>
      <c r="N25379">
        <f>IF(M25379="","",'Master Barang'!A73)</f>
        <v>0</v>
      </c>
      <c r="O25379">
        <f>IF(N25379="","",'Master Barang'!B73)</f>
        <v>0</v>
      </c>
      <c r="P25379">
        <f>IF(OR(M25379="",N25379=""),"",SUMIFS('Barang Keluar'!$E:$E,'Barang Keluar'!$A:$A,M25379,'Barang Keluar'!$C:$C,N25379))</f>
        <v>0</v>
      </c>
    </row>
    <row r="25380" spans="13:16">
      <c r="M25380" s="49">
        <f>IF($A$4+253&gt;$B$4,"",$A$4+253)</f>
        <v>46276</v>
      </c>
      <c r="N25380">
        <f>IF(M25380="","",'Master Barang'!A74)</f>
        <v>0</v>
      </c>
      <c r="O25380">
        <f>IF(N25380="","",'Master Barang'!B74)</f>
        <v>0</v>
      </c>
      <c r="P25380">
        <f>IF(OR(M25380="",N25380=""),"",SUMIFS('Barang Keluar'!$E:$E,'Barang Keluar'!$A:$A,M25380,'Barang Keluar'!$C:$C,N25380))</f>
        <v>0</v>
      </c>
    </row>
    <row r="25381" spans="13:16">
      <c r="M25381" s="49">
        <f>IF($A$4+253&gt;$B$4,"",$A$4+253)</f>
        <v>46276</v>
      </c>
      <c r="N25381">
        <f>IF(M25381="","",'Master Barang'!A75)</f>
        <v>0</v>
      </c>
      <c r="O25381">
        <f>IF(N25381="","",'Master Barang'!B75)</f>
        <v>0</v>
      </c>
      <c r="P25381">
        <f>IF(OR(M25381="",N25381=""),"",SUMIFS('Barang Keluar'!$E:$E,'Barang Keluar'!$A:$A,M25381,'Barang Keluar'!$C:$C,N25381))</f>
        <v>0</v>
      </c>
    </row>
    <row r="25382" spans="13:16">
      <c r="M25382" s="49">
        <f>IF($A$4+253&gt;$B$4,"",$A$4+253)</f>
        <v>46276</v>
      </c>
      <c r="N25382">
        <f>IF(M25382="","",'Master Barang'!A76)</f>
        <v>0</v>
      </c>
      <c r="O25382">
        <f>IF(N25382="","",'Master Barang'!B76)</f>
        <v>0</v>
      </c>
      <c r="P25382">
        <f>IF(OR(M25382="",N25382=""),"",SUMIFS('Barang Keluar'!$E:$E,'Barang Keluar'!$A:$A,M25382,'Barang Keluar'!$C:$C,N25382))</f>
        <v>0</v>
      </c>
    </row>
    <row r="25383" spans="13:16">
      <c r="M25383" s="49">
        <f>IF($A$4+253&gt;$B$4,"",$A$4+253)</f>
        <v>46276</v>
      </c>
      <c r="N25383">
        <f>IF(M25383="","",'Master Barang'!A77)</f>
        <v>0</v>
      </c>
      <c r="O25383">
        <f>IF(N25383="","",'Master Barang'!B77)</f>
        <v>0</v>
      </c>
      <c r="P25383">
        <f>IF(OR(M25383="",N25383=""),"",SUMIFS('Barang Keluar'!$E:$E,'Barang Keluar'!$A:$A,M25383,'Barang Keluar'!$C:$C,N25383))</f>
        <v>0</v>
      </c>
    </row>
    <row r="25384" spans="13:16">
      <c r="M25384" s="49">
        <f>IF($A$4+253&gt;$B$4,"",$A$4+253)</f>
        <v>46276</v>
      </c>
      <c r="N25384">
        <f>IF(M25384="","",'Master Barang'!A78)</f>
        <v>0</v>
      </c>
      <c r="O25384">
        <f>IF(N25384="","",'Master Barang'!B78)</f>
        <v>0</v>
      </c>
      <c r="P25384">
        <f>IF(OR(M25384="",N25384=""),"",SUMIFS('Barang Keluar'!$E:$E,'Barang Keluar'!$A:$A,M25384,'Barang Keluar'!$C:$C,N25384))</f>
        <v>0</v>
      </c>
    </row>
    <row r="25385" spans="13:16">
      <c r="M25385" s="49">
        <f>IF($A$4+253&gt;$B$4,"",$A$4+253)</f>
        <v>46276</v>
      </c>
      <c r="N25385">
        <f>IF(M25385="","",'Master Barang'!A79)</f>
        <v>0</v>
      </c>
      <c r="O25385">
        <f>IF(N25385="","",'Master Barang'!B79)</f>
        <v>0</v>
      </c>
      <c r="P25385">
        <f>IF(OR(M25385="",N25385=""),"",SUMIFS('Barang Keluar'!$E:$E,'Barang Keluar'!$A:$A,M25385,'Barang Keluar'!$C:$C,N25385))</f>
        <v>0</v>
      </c>
    </row>
    <row r="25386" spans="13:16">
      <c r="M25386" s="49">
        <f>IF($A$4+253&gt;$B$4,"",$A$4+253)</f>
        <v>46276</v>
      </c>
      <c r="N25386">
        <f>IF(M25386="","",'Master Barang'!A80)</f>
        <v>0</v>
      </c>
      <c r="O25386">
        <f>IF(N25386="","",'Master Barang'!B80)</f>
        <v>0</v>
      </c>
      <c r="P25386">
        <f>IF(OR(M25386="",N25386=""),"",SUMIFS('Barang Keluar'!$E:$E,'Barang Keluar'!$A:$A,M25386,'Barang Keluar'!$C:$C,N25386))</f>
        <v>0</v>
      </c>
    </row>
    <row r="25387" spans="13:16">
      <c r="M25387" s="49">
        <f>IF($A$4+253&gt;$B$4,"",$A$4+253)</f>
        <v>46276</v>
      </c>
      <c r="N25387">
        <f>IF(M25387="","",'Master Barang'!A81)</f>
        <v>0</v>
      </c>
      <c r="O25387">
        <f>IF(N25387="","",'Master Barang'!B81)</f>
        <v>0</v>
      </c>
      <c r="P25387">
        <f>IF(OR(M25387="",N25387=""),"",SUMIFS('Barang Keluar'!$E:$E,'Barang Keluar'!$A:$A,M25387,'Barang Keluar'!$C:$C,N25387))</f>
        <v>0</v>
      </c>
    </row>
    <row r="25388" spans="13:16">
      <c r="M25388" s="49">
        <f>IF($A$4+253&gt;$B$4,"",$A$4+253)</f>
        <v>46276</v>
      </c>
      <c r="N25388">
        <f>IF(M25388="","",'Master Barang'!A82)</f>
        <v>0</v>
      </c>
      <c r="O25388">
        <f>IF(N25388="","",'Master Barang'!B82)</f>
        <v>0</v>
      </c>
      <c r="P25388">
        <f>IF(OR(M25388="",N25388=""),"",SUMIFS('Barang Keluar'!$E:$E,'Barang Keluar'!$A:$A,M25388,'Barang Keluar'!$C:$C,N25388))</f>
        <v>0</v>
      </c>
    </row>
    <row r="25389" spans="13:16">
      <c r="M25389" s="49">
        <f>IF($A$4+253&gt;$B$4,"",$A$4+253)</f>
        <v>46276</v>
      </c>
      <c r="N25389">
        <f>IF(M25389="","",'Master Barang'!A83)</f>
        <v>0</v>
      </c>
      <c r="O25389">
        <f>IF(N25389="","",'Master Barang'!B83)</f>
        <v>0</v>
      </c>
      <c r="P25389">
        <f>IF(OR(M25389="",N25389=""),"",SUMIFS('Barang Keluar'!$E:$E,'Barang Keluar'!$A:$A,M25389,'Barang Keluar'!$C:$C,N25389))</f>
        <v>0</v>
      </c>
    </row>
    <row r="25390" spans="13:16">
      <c r="M25390" s="49">
        <f>IF($A$4+253&gt;$B$4,"",$A$4+253)</f>
        <v>46276</v>
      </c>
      <c r="N25390">
        <f>IF(M25390="","",'Master Barang'!A84)</f>
        <v>0</v>
      </c>
      <c r="O25390">
        <f>IF(N25390="","",'Master Barang'!B84)</f>
        <v>0</v>
      </c>
      <c r="P25390">
        <f>IF(OR(M25390="",N25390=""),"",SUMIFS('Barang Keluar'!$E:$E,'Barang Keluar'!$A:$A,M25390,'Barang Keluar'!$C:$C,N25390))</f>
        <v>0</v>
      </c>
    </row>
    <row r="25391" spans="13:16">
      <c r="M25391" s="49">
        <f>IF($A$4+253&gt;$B$4,"",$A$4+253)</f>
        <v>46276</v>
      </c>
      <c r="N25391">
        <f>IF(M25391="","",'Master Barang'!A85)</f>
        <v>0</v>
      </c>
      <c r="O25391">
        <f>IF(N25391="","",'Master Barang'!B85)</f>
        <v>0</v>
      </c>
      <c r="P25391">
        <f>IF(OR(M25391="",N25391=""),"",SUMIFS('Barang Keluar'!$E:$E,'Barang Keluar'!$A:$A,M25391,'Barang Keluar'!$C:$C,N25391))</f>
        <v>0</v>
      </c>
    </row>
    <row r="25392" spans="13:16">
      <c r="M25392" s="49">
        <f>IF($A$4+253&gt;$B$4,"",$A$4+253)</f>
        <v>46276</v>
      </c>
      <c r="N25392">
        <f>IF(M25392="","",'Master Barang'!A86)</f>
        <v>0</v>
      </c>
      <c r="O25392">
        <f>IF(N25392="","",'Master Barang'!B86)</f>
        <v>0</v>
      </c>
      <c r="P25392">
        <f>IF(OR(M25392="",N25392=""),"",SUMIFS('Barang Keluar'!$E:$E,'Barang Keluar'!$A:$A,M25392,'Barang Keluar'!$C:$C,N25392))</f>
        <v>0</v>
      </c>
    </row>
    <row r="25393" spans="13:16">
      <c r="M25393" s="49">
        <f>IF($A$4+253&gt;$B$4,"",$A$4+253)</f>
        <v>46276</v>
      </c>
      <c r="N25393">
        <f>IF(M25393="","",'Master Barang'!A87)</f>
        <v>0</v>
      </c>
      <c r="O25393">
        <f>IF(N25393="","",'Master Barang'!B87)</f>
        <v>0</v>
      </c>
      <c r="P25393">
        <f>IF(OR(M25393="",N25393=""),"",SUMIFS('Barang Keluar'!$E:$E,'Barang Keluar'!$A:$A,M25393,'Barang Keluar'!$C:$C,N25393))</f>
        <v>0</v>
      </c>
    </row>
    <row r="25394" spans="13:16">
      <c r="M25394" s="49">
        <f>IF($A$4+253&gt;$B$4,"",$A$4+253)</f>
        <v>46276</v>
      </c>
      <c r="N25394">
        <f>IF(M25394="","",'Master Barang'!A88)</f>
        <v>0</v>
      </c>
      <c r="O25394">
        <f>IF(N25394="","",'Master Barang'!B88)</f>
        <v>0</v>
      </c>
      <c r="P25394">
        <f>IF(OR(M25394="",N25394=""),"",SUMIFS('Barang Keluar'!$E:$E,'Barang Keluar'!$A:$A,M25394,'Barang Keluar'!$C:$C,N25394))</f>
        <v>0</v>
      </c>
    </row>
    <row r="25395" spans="13:16">
      <c r="M25395" s="49">
        <f>IF($A$4+253&gt;$B$4,"",$A$4+253)</f>
        <v>46276</v>
      </c>
      <c r="N25395">
        <f>IF(M25395="","",'Master Barang'!A89)</f>
        <v>0</v>
      </c>
      <c r="O25395">
        <f>IF(N25395="","",'Master Barang'!B89)</f>
        <v>0</v>
      </c>
      <c r="P25395">
        <f>IF(OR(M25395="",N25395=""),"",SUMIFS('Barang Keluar'!$E:$E,'Barang Keluar'!$A:$A,M25395,'Barang Keluar'!$C:$C,N25395))</f>
        <v>0</v>
      </c>
    </row>
    <row r="25396" spans="13:16">
      <c r="M25396" s="49">
        <f>IF($A$4+253&gt;$B$4,"",$A$4+253)</f>
        <v>46276</v>
      </c>
      <c r="N25396">
        <f>IF(M25396="","",'Master Barang'!A90)</f>
        <v>0</v>
      </c>
      <c r="O25396">
        <f>IF(N25396="","",'Master Barang'!B90)</f>
        <v>0</v>
      </c>
      <c r="P25396">
        <f>IF(OR(M25396="",N25396=""),"",SUMIFS('Barang Keluar'!$E:$E,'Barang Keluar'!$A:$A,M25396,'Barang Keluar'!$C:$C,N25396))</f>
        <v>0</v>
      </c>
    </row>
    <row r="25397" spans="13:16">
      <c r="M25397" s="49">
        <f>IF($A$4+253&gt;$B$4,"",$A$4+253)</f>
        <v>46276</v>
      </c>
      <c r="N25397">
        <f>IF(M25397="","",'Master Barang'!A91)</f>
        <v>0</v>
      </c>
      <c r="O25397">
        <f>IF(N25397="","",'Master Barang'!B91)</f>
        <v>0</v>
      </c>
      <c r="P25397">
        <f>IF(OR(M25397="",N25397=""),"",SUMIFS('Barang Keluar'!$E:$E,'Barang Keluar'!$A:$A,M25397,'Barang Keluar'!$C:$C,N25397))</f>
        <v>0</v>
      </c>
    </row>
    <row r="25398" spans="13:16">
      <c r="M25398" s="49">
        <f>IF($A$4+253&gt;$B$4,"",$A$4+253)</f>
        <v>46276</v>
      </c>
      <c r="N25398">
        <f>IF(M25398="","",'Master Barang'!A92)</f>
        <v>0</v>
      </c>
      <c r="O25398">
        <f>IF(N25398="","",'Master Barang'!B92)</f>
        <v>0</v>
      </c>
      <c r="P25398">
        <f>IF(OR(M25398="",N25398=""),"",SUMIFS('Barang Keluar'!$E:$E,'Barang Keluar'!$A:$A,M25398,'Barang Keluar'!$C:$C,N25398))</f>
        <v>0</v>
      </c>
    </row>
    <row r="25399" spans="13:16">
      <c r="M25399" s="49">
        <f>IF($A$4+253&gt;$B$4,"",$A$4+253)</f>
        <v>46276</v>
      </c>
      <c r="N25399">
        <f>IF(M25399="","",'Master Barang'!A93)</f>
        <v>0</v>
      </c>
      <c r="O25399">
        <f>IF(N25399="","",'Master Barang'!B93)</f>
        <v>0</v>
      </c>
      <c r="P25399">
        <f>IF(OR(M25399="",N25399=""),"",SUMIFS('Barang Keluar'!$E:$E,'Barang Keluar'!$A:$A,M25399,'Barang Keluar'!$C:$C,N25399))</f>
        <v>0</v>
      </c>
    </row>
    <row r="25400" spans="13:16">
      <c r="M25400" s="49">
        <f>IF($A$4+253&gt;$B$4,"",$A$4+253)</f>
        <v>46276</v>
      </c>
      <c r="N25400">
        <f>IF(M25400="","",'Master Barang'!A94)</f>
        <v>0</v>
      </c>
      <c r="O25400">
        <f>IF(N25400="","",'Master Barang'!B94)</f>
        <v>0</v>
      </c>
      <c r="P25400">
        <f>IF(OR(M25400="",N25400=""),"",SUMIFS('Barang Keluar'!$E:$E,'Barang Keluar'!$A:$A,M25400,'Barang Keluar'!$C:$C,N25400))</f>
        <v>0</v>
      </c>
    </row>
    <row r="25401" spans="13:16">
      <c r="M25401" s="49">
        <f>IF($A$4+253&gt;$B$4,"",$A$4+253)</f>
        <v>46276</v>
      </c>
      <c r="N25401">
        <f>IF(M25401="","",'Master Barang'!A95)</f>
        <v>0</v>
      </c>
      <c r="O25401">
        <f>IF(N25401="","",'Master Barang'!B95)</f>
        <v>0</v>
      </c>
      <c r="P25401">
        <f>IF(OR(M25401="",N25401=""),"",SUMIFS('Barang Keluar'!$E:$E,'Barang Keluar'!$A:$A,M25401,'Barang Keluar'!$C:$C,N25401))</f>
        <v>0</v>
      </c>
    </row>
    <row r="25402" spans="13:16">
      <c r="M25402" s="49">
        <f>IF($A$4+253&gt;$B$4,"",$A$4+253)</f>
        <v>46276</v>
      </c>
      <c r="N25402">
        <f>IF(M25402="","",'Master Barang'!A96)</f>
        <v>0</v>
      </c>
      <c r="O25402">
        <f>IF(N25402="","",'Master Barang'!B96)</f>
        <v>0</v>
      </c>
      <c r="P25402">
        <f>IF(OR(M25402="",N25402=""),"",SUMIFS('Barang Keluar'!$E:$E,'Barang Keluar'!$A:$A,M25402,'Barang Keluar'!$C:$C,N25402))</f>
        <v>0</v>
      </c>
    </row>
    <row r="25403" spans="13:16">
      <c r="M25403" s="49">
        <f>IF($A$4+253&gt;$B$4,"",$A$4+253)</f>
        <v>46276</v>
      </c>
      <c r="N25403">
        <f>IF(M25403="","",'Master Barang'!A97)</f>
        <v>0</v>
      </c>
      <c r="O25403">
        <f>IF(N25403="","",'Master Barang'!B97)</f>
        <v>0</v>
      </c>
      <c r="P25403">
        <f>IF(OR(M25403="",N25403=""),"",SUMIFS('Barang Keluar'!$E:$E,'Barang Keluar'!$A:$A,M25403,'Barang Keluar'!$C:$C,N25403))</f>
        <v>0</v>
      </c>
    </row>
    <row r="25404" spans="13:16">
      <c r="M25404" s="49">
        <f>IF($A$4+253&gt;$B$4,"",$A$4+253)</f>
        <v>46276</v>
      </c>
      <c r="N25404">
        <f>IF(M25404="","",'Master Barang'!A98)</f>
        <v>0</v>
      </c>
      <c r="O25404">
        <f>IF(N25404="","",'Master Barang'!B98)</f>
        <v>0</v>
      </c>
      <c r="P25404">
        <f>IF(OR(M25404="",N25404=""),"",SUMIFS('Barang Keluar'!$E:$E,'Barang Keluar'!$A:$A,M25404,'Barang Keluar'!$C:$C,N25404))</f>
        <v>0</v>
      </c>
    </row>
    <row r="25405" spans="13:16">
      <c r="M25405" s="49">
        <f>IF($A$4+253&gt;$B$4,"",$A$4+253)</f>
        <v>46276</v>
      </c>
      <c r="N25405">
        <f>IF(M25405="","",'Master Barang'!A99)</f>
        <v>0</v>
      </c>
      <c r="O25405">
        <f>IF(N25405="","",'Master Barang'!B99)</f>
        <v>0</v>
      </c>
      <c r="P25405">
        <f>IF(OR(M25405="",N25405=""),"",SUMIFS('Barang Keluar'!$E:$E,'Barang Keluar'!$A:$A,M25405,'Barang Keluar'!$C:$C,N25405))</f>
        <v>0</v>
      </c>
    </row>
    <row r="25406" spans="13:16">
      <c r="M25406" s="49">
        <f>IF($A$4+253&gt;$B$4,"",$A$4+253)</f>
        <v>46276</v>
      </c>
      <c r="N25406">
        <f>IF(M25406="","",'Master Barang'!A100)</f>
        <v>0</v>
      </c>
      <c r="O25406">
        <f>IF(N25406="","",'Master Barang'!B100)</f>
        <v>0</v>
      </c>
      <c r="P25406">
        <f>IF(OR(M25406="",N25406=""),"",SUMIFS('Barang Keluar'!$E:$E,'Barang Keluar'!$A:$A,M25406,'Barang Keluar'!$C:$C,N25406))</f>
        <v>0</v>
      </c>
    </row>
    <row r="25407" spans="13:16">
      <c r="M25407" s="49">
        <f>IF($A$4+253&gt;$B$4,"",$A$4+253)</f>
        <v>46276</v>
      </c>
      <c r="N25407">
        <f>IF(M25407="","",'Master Barang'!A101)</f>
        <v>0</v>
      </c>
      <c r="O25407">
        <f>IF(N25407="","",'Master Barang'!B101)</f>
        <v>0</v>
      </c>
      <c r="P25407">
        <f>IF(OR(M25407="",N25407=""),"",SUMIFS('Barang Keluar'!$E:$E,'Barang Keluar'!$A:$A,M25407,'Barang Keluar'!$C:$C,N25407))</f>
        <v>0</v>
      </c>
    </row>
    <row r="25408" spans="13:16">
      <c r="M25408" s="49">
        <f>IF($A$4+254&gt;$B$4,"",$A$4+254)</f>
        <v>46277</v>
      </c>
      <c r="N25408" t="str">
        <f>IF(M25408="","",'Master Barang'!A2)</f>
        <v>PRL-001</v>
      </c>
      <c r="O25408" t="str">
        <f>IF(N25408="","",'Master Barang'!B2)</f>
        <v>natura desinfectant food grade 5l</v>
      </c>
      <c r="P25408">
        <f>IF(OR(M25408="",N25408=""),"",SUMIFS('Barang Keluar'!$E:$E,'Barang Keluar'!$A:$A,M25408,'Barang Keluar'!$C:$C,N25408))</f>
        <v>0</v>
      </c>
    </row>
    <row r="25409" spans="13:16">
      <c r="M25409" s="49">
        <f>IF($A$4+254&gt;$B$4,"",$A$4+254)</f>
        <v>46277</v>
      </c>
      <c r="N25409" t="str">
        <f>IF(M25409="","",'Master Barang'!A3)</f>
        <v>PRL-002</v>
      </c>
      <c r="O25409" t="str">
        <f>IF(N25409="","",'Master Barang'!B3)</f>
        <v>sunlight cairan pencuci piring 5l</v>
      </c>
      <c r="P25409">
        <f>IF(OR(M25409="",N25409=""),"",SUMIFS('Barang Keluar'!$E:$E,'Barang Keluar'!$A:$A,M25409,'Barang Keluar'!$C:$C,N25409))</f>
        <v>0</v>
      </c>
    </row>
    <row r="25410" spans="13:16">
      <c r="M25410" s="49">
        <f>IF($A$4+254&gt;$B$4,"",$A$4+254)</f>
        <v>46277</v>
      </c>
      <c r="N25410" t="str">
        <f>IF(M25410="","",'Master Barang'!A4)</f>
        <v>PRL-003</v>
      </c>
      <c r="O25410" t="str">
        <f>IF(N25410="","",'Master Barang'!B4)</f>
        <v>oixs cleaner 1l</v>
      </c>
      <c r="P25410">
        <f>IF(OR(M25410="",N25410=""),"",SUMIFS('Barang Keluar'!$E:$E,'Barang Keluar'!$A:$A,M25410,'Barang Keluar'!$C:$C,N25410))</f>
        <v>0</v>
      </c>
    </row>
    <row r="25411" spans="13:16">
      <c r="M25411" s="49">
        <f>IF($A$4+254&gt;$B$4,"",$A$4+254)</f>
        <v>46277</v>
      </c>
      <c r="N25411" t="str">
        <f>IF(M25411="","",'Master Barang'!A5)</f>
        <v>PRL-004</v>
      </c>
      <c r="O25411" t="str">
        <f>IF(N25411="","",'Master Barang'!B5)</f>
        <v>be clean tissue serbaguna</v>
      </c>
      <c r="P25411">
        <f>IF(OR(M25411="",N25411=""),"",SUMIFS('Barang Keluar'!$E:$E,'Barang Keluar'!$A:$A,M25411,'Barang Keluar'!$C:$C,N25411))</f>
        <v>0</v>
      </c>
    </row>
    <row r="25412" spans="13:16">
      <c r="M25412" s="49">
        <f>IF($A$4+254&gt;$B$4,"",$A$4+254)</f>
        <v>46277</v>
      </c>
      <c r="N25412" t="str">
        <f>IF(M25412="","",'Master Barang'!A6)</f>
        <v>PRL-005</v>
      </c>
      <c r="O25412" t="str">
        <f>IF(N25412="","",'Master Barang'!B6)</f>
        <v>spons cuci hijau</v>
      </c>
      <c r="P25412">
        <f>IF(OR(M25412="",N25412=""),"",SUMIFS('Barang Keluar'!$E:$E,'Barang Keluar'!$A:$A,M25412,'Barang Keluar'!$C:$C,N25412))</f>
        <v>0</v>
      </c>
    </row>
    <row r="25413" spans="13:16">
      <c r="M25413" s="49">
        <f>IF($A$4+254&gt;$B$4,"",$A$4+254)</f>
        <v>46277</v>
      </c>
      <c r="N25413" t="str">
        <f>IF(M25413="","",'Master Barang'!A7)</f>
        <v>PRL-006</v>
      </c>
      <c r="O25413" t="str">
        <f>IF(N25413="","",'Master Barang'!B7)</f>
        <v>sabut cuci stainless</v>
      </c>
      <c r="P25413">
        <f>IF(OR(M25413="",N25413=""),"",SUMIFS('Barang Keluar'!$E:$E,'Barang Keluar'!$A:$A,M25413,'Barang Keluar'!$C:$C,N25413))</f>
        <v>0</v>
      </c>
    </row>
    <row r="25414" spans="13:16">
      <c r="M25414" s="49">
        <f>IF($A$4+254&gt;$B$4,"",$A$4+254)</f>
        <v>46277</v>
      </c>
      <c r="N25414" t="str">
        <f>IF(M25414="","",'Master Barang'!A8)</f>
        <v>PRL-007</v>
      </c>
      <c r="O25414" t="str">
        <f>IF(N25414="","",'Master Barang'!B8)</f>
        <v>plastik kresek besar merah 50pc</v>
      </c>
      <c r="P25414">
        <f>IF(OR(M25414="",N25414=""),"",SUMIFS('Barang Keluar'!$E:$E,'Barang Keluar'!$A:$A,M25414,'Barang Keluar'!$C:$C,N25414))</f>
        <v>0</v>
      </c>
    </row>
    <row r="25415" spans="13:16">
      <c r="M25415" s="49">
        <f>IF($A$4+254&gt;$B$4,"",$A$4+254)</f>
        <v>46277</v>
      </c>
      <c r="N25415" t="str">
        <f>IF(M25415="","",'Master Barang'!A9)</f>
        <v>PRL-008</v>
      </c>
      <c r="O25415" t="str">
        <f>IF(N25415="","",'Master Barang'!B9)</f>
        <v>lap besar</v>
      </c>
      <c r="P25415">
        <f>IF(OR(M25415="",N25415=""),"",SUMIFS('Barang Keluar'!$E:$E,'Barang Keluar'!$A:$A,M25415,'Barang Keluar'!$C:$C,N25415))</f>
        <v>0</v>
      </c>
    </row>
    <row r="25416" spans="13:16">
      <c r="M25416" s="49">
        <f>IF($A$4+254&gt;$B$4,"",$A$4+254)</f>
        <v>46277</v>
      </c>
      <c r="N25416" t="str">
        <f>IF(M25416="","",'Master Barang'!A10)</f>
        <v>PRL-009</v>
      </c>
      <c r="O25416" t="str">
        <f>IF(N25416="","",'Master Barang'!B10)</f>
        <v>lap microfiber</v>
      </c>
      <c r="P25416">
        <f>IF(OR(M25416="",N25416=""),"",SUMIFS('Barang Keluar'!$E:$E,'Barang Keluar'!$A:$A,M25416,'Barang Keluar'!$C:$C,N25416))</f>
        <v>0</v>
      </c>
    </row>
    <row r="25417" spans="13:16">
      <c r="M25417" s="49">
        <f>IF($A$4+254&gt;$B$4,"",$A$4+254)</f>
        <v>46277</v>
      </c>
      <c r="N25417" t="str">
        <f>IF(M25417="","",'Master Barang'!A11)</f>
        <v>PRL-010</v>
      </c>
      <c r="O25417" t="str">
        <f>IF(N25417="","",'Master Barang'!B11)</f>
        <v>lap kecil</v>
      </c>
      <c r="P25417">
        <f>IF(OR(M25417="",N25417=""),"",SUMIFS('Barang Keluar'!$E:$E,'Barang Keluar'!$A:$A,M25417,'Barang Keluar'!$C:$C,N25417))</f>
        <v>0</v>
      </c>
    </row>
    <row r="25418" spans="13:16">
      <c r="M25418" s="49">
        <f>IF($A$4+254&gt;$B$4,"",$A$4+254)</f>
        <v>46277</v>
      </c>
      <c r="N25418" t="str">
        <f>IF(M25418="","",'Master Barang'!A12)</f>
        <v>PRL-011</v>
      </c>
      <c r="O25418" t="str">
        <f>IF(N25418="","",'Master Barang'!B12)</f>
        <v>kanebo kecil</v>
      </c>
      <c r="P25418">
        <f>IF(OR(M25418="",N25418=""),"",SUMIFS('Barang Keluar'!$E:$E,'Barang Keluar'!$A:$A,M25418,'Barang Keluar'!$C:$C,N25418))</f>
        <v>0</v>
      </c>
    </row>
    <row r="25419" spans="13:16">
      <c r="M25419" s="49">
        <f>IF($A$4+254&gt;$B$4,"",$A$4+254)</f>
        <v>46277</v>
      </c>
      <c r="N25419" t="str">
        <f>IF(M25419="","",'Master Barang'!A13)</f>
        <v>PRL-012</v>
      </c>
      <c r="O25419" t="str">
        <f>IF(N25419="","",'Master Barang'!B13)</f>
        <v>plastik 1/4kg joyoboyo 100 lembar</v>
      </c>
      <c r="P25419">
        <f>IF(OR(M25419="",N25419=""),"",SUMIFS('Barang Keluar'!$E:$E,'Barang Keluar'!$A:$A,M25419,'Barang Keluar'!$C:$C,N25419))</f>
        <v>0</v>
      </c>
    </row>
    <row r="25420" spans="13:16">
      <c r="M25420" s="49">
        <f>IF($A$4+254&gt;$B$4,"",$A$4+254)</f>
        <v>46277</v>
      </c>
      <c r="N25420" t="str">
        <f>IF(M25420="","",'Master Barang'!A14)</f>
        <v>PRL-013</v>
      </c>
      <c r="O25420" t="str">
        <f>IF(N25420="","",'Master Barang'!B14)</f>
        <v>sarung tangan plastik kaka 100 pcs</v>
      </c>
      <c r="P25420">
        <f>IF(OR(M25420="",N25420=""),"",SUMIFS('Barang Keluar'!$E:$E,'Barang Keluar'!$A:$A,M25420,'Barang Keluar'!$C:$C,N25420))</f>
        <v>0</v>
      </c>
    </row>
    <row r="25421" spans="13:16">
      <c r="M25421" s="49">
        <f>IF($A$4+254&gt;$B$4,"",$A$4+254)</f>
        <v>46277</v>
      </c>
      <c r="N25421" t="str">
        <f>IF(M25421="","",'Master Barang'!A15)</f>
        <v>PRL-014</v>
      </c>
      <c r="O25421" t="str">
        <f>IF(N25421="","",'Master Barang'!B15)</f>
        <v>optima trashbag 80x100</v>
      </c>
      <c r="P25421">
        <f>IF(OR(M25421="",N25421=""),"",SUMIFS('Barang Keluar'!$E:$E,'Barang Keluar'!$A:$A,M25421,'Barang Keluar'!$C:$C,N25421))</f>
        <v>0</v>
      </c>
    </row>
    <row r="25422" spans="13:16">
      <c r="M25422" s="49">
        <f>IF($A$4+254&gt;$B$4,"",$A$4+254)</f>
        <v>46277</v>
      </c>
      <c r="N25422" t="str">
        <f>IF(M25422="","",'Master Barang'!A16)</f>
        <v>PRL-015</v>
      </c>
      <c r="O25422" t="str">
        <f>IF(N25422="","",'Master Barang'!B16)</f>
        <v>optima trashbag 60x100</v>
      </c>
      <c r="P25422">
        <f>IF(OR(M25422="",N25422=""),"",SUMIFS('Barang Keluar'!$E:$E,'Barang Keluar'!$A:$A,M25422,'Barang Keluar'!$C:$C,N25422))</f>
        <v>0</v>
      </c>
    </row>
    <row r="25423" spans="13:16">
      <c r="M25423" s="49">
        <f>IF($A$4+254&gt;$B$4,"",$A$4+254)</f>
        <v>46277</v>
      </c>
      <c r="N25423" t="str">
        <f>IF(M25423="","",'Master Barang'!A17)</f>
        <v>PRL-016</v>
      </c>
      <c r="O25423" t="str">
        <f>IF(N25423="","",'Master Barang'!B17)</f>
        <v>rajawali trashbag 30x40</v>
      </c>
      <c r="P25423">
        <f>IF(OR(M25423="",N25423=""),"",SUMIFS('Barang Keluar'!$E:$E,'Barang Keluar'!$A:$A,M25423,'Barang Keluar'!$C:$C,N25423))</f>
        <v>0</v>
      </c>
    </row>
    <row r="25424" spans="13:16">
      <c r="M25424" s="49">
        <f>IF($A$4+254&gt;$B$4,"",$A$4+254)</f>
        <v>46277</v>
      </c>
      <c r="N25424" t="str">
        <f>IF(M25424="","",'Master Barang'!A18)</f>
        <v>PRL-017</v>
      </c>
      <c r="O25424" t="str">
        <f>IF(N25424="","",'Master Barang'!B18)</f>
        <v>onemed masker biru 3 play 50 pcs</v>
      </c>
      <c r="P25424">
        <f>IF(OR(M25424="",N25424=""),"",SUMIFS('Barang Keluar'!$E:$E,'Barang Keluar'!$A:$A,M25424,'Barang Keluar'!$C:$C,N25424))</f>
        <v>0</v>
      </c>
    </row>
    <row r="25425" spans="13:16">
      <c r="M25425" s="49">
        <f>IF($A$4+254&gt;$B$4,"",$A$4+254)</f>
        <v>46277</v>
      </c>
      <c r="N25425" t="str">
        <f>IF(M25425="","",'Master Barang'!A19)</f>
        <v>PRL-018</v>
      </c>
      <c r="O25425" t="str">
        <f>IF(N25425="","",'Master Barang'!B19)</f>
        <v>onemed masker biru 3 play hijab 50 pcs</v>
      </c>
      <c r="P25425">
        <f>IF(OR(M25425="",N25425=""),"",SUMIFS('Barang Keluar'!$E:$E,'Barang Keluar'!$A:$A,M25425,'Barang Keluar'!$C:$C,N25425))</f>
        <v>0</v>
      </c>
    </row>
    <row r="25426" spans="13:16">
      <c r="M25426" s="49">
        <f>IF($A$4+254&gt;$B$4,"",$A$4+254)</f>
        <v>46277</v>
      </c>
      <c r="N25426" t="str">
        <f>IF(M25426="","",'Master Barang'!A20)</f>
        <v>PRL-019</v>
      </c>
      <c r="O25426" t="str">
        <f>IF(N25426="","",'Master Barang'!B20)</f>
        <v>neo health masker biru 3 play 50 pcs</v>
      </c>
      <c r="P25426">
        <f>IF(OR(M25426="",N25426=""),"",SUMIFS('Barang Keluar'!$E:$E,'Barang Keluar'!$A:$A,M25426,'Barang Keluar'!$C:$C,N25426))</f>
        <v>0</v>
      </c>
    </row>
    <row r="25427" spans="13:16">
      <c r="M25427" s="49">
        <f>IF($A$4+254&gt;$B$4,"",$A$4+254)</f>
        <v>46277</v>
      </c>
      <c r="N25427" t="str">
        <f>IF(M25427="","",'Master Barang'!A21)</f>
        <v>PRL-020</v>
      </c>
      <c r="O25427" t="str">
        <f>IF(N25427="","",'Master Barang'!B21)</f>
        <v>baymed masker hijau 3 play hijau 50 pcs</v>
      </c>
      <c r="P25427">
        <f>IF(OR(M25427="",N25427=""),"",SUMIFS('Barang Keluar'!$E:$E,'Barang Keluar'!$A:$A,M25427,'Barang Keluar'!$C:$C,N25427))</f>
        <v>0</v>
      </c>
    </row>
    <row r="25428" spans="13:16">
      <c r="M25428" s="49">
        <f>IF($A$4+254&gt;$B$4,"",$A$4+254)</f>
        <v>46277</v>
      </c>
      <c r="N25428" t="str">
        <f>IF(M25428="","",'Master Barang'!A22)</f>
        <v>PRL-021</v>
      </c>
      <c r="O25428" t="str">
        <f>IF(N25428="","",'Master Barang'!B22)</f>
        <v>altamed nurse cap penutup kepala 100 pcs</v>
      </c>
      <c r="P25428">
        <f>IF(OR(M25428="",N25428=""),"",SUMIFS('Barang Keluar'!$E:$E,'Barang Keluar'!$A:$A,M25428,'Barang Keluar'!$C:$C,N25428))</f>
        <v>0</v>
      </c>
    </row>
    <row r="25429" spans="13:16">
      <c r="M25429" s="49">
        <f>IF($A$4+254&gt;$B$4,"",$A$4+254)</f>
        <v>46277</v>
      </c>
      <c r="N25429" t="str">
        <f>IF(M25429="","",'Master Barang'!A23)</f>
        <v>PRL-022</v>
      </c>
      <c r="O25429" t="str">
        <f>IF(N25429="","",'Master Barang'!B23)</f>
        <v>sabun cuci tangan</v>
      </c>
      <c r="P25429">
        <f>IF(OR(M25429="",N25429=""),"",SUMIFS('Barang Keluar'!$E:$E,'Barang Keluar'!$A:$A,M25429,'Barang Keluar'!$C:$C,N25429))</f>
        <v>0</v>
      </c>
    </row>
    <row r="25430" spans="13:16">
      <c r="M25430" s="49">
        <f>IF($A$4+254&gt;$B$4,"",$A$4+254)</f>
        <v>46277</v>
      </c>
      <c r="N25430" t="str">
        <f>IF(M25430="","",'Master Barang'!A24)</f>
        <v>PRL-023</v>
      </c>
      <c r="O25430" t="str">
        <f>IF(N25430="","",'Master Barang'!B24)</f>
        <v>gayung kecil</v>
      </c>
      <c r="P25430">
        <f>IF(OR(M25430="",N25430=""),"",SUMIFS('Barang Keluar'!$E:$E,'Barang Keluar'!$A:$A,M25430,'Barang Keluar'!$C:$C,N25430))</f>
        <v>0</v>
      </c>
    </row>
    <row r="25431" spans="13:16">
      <c r="M25431" s="49">
        <f>IF($A$4+254&gt;$B$4,"",$A$4+254)</f>
        <v>46277</v>
      </c>
      <c r="N25431" t="str">
        <f>IF(M25431="","",'Master Barang'!A25)</f>
        <v>PRL-024</v>
      </c>
      <c r="O25431" t="str">
        <f>IF(N25431="","",'Master Barang'!B25)</f>
        <v>cikrak kecil</v>
      </c>
      <c r="P25431">
        <f>IF(OR(M25431="",N25431=""),"",SUMIFS('Barang Keluar'!$E:$E,'Barang Keluar'!$A:$A,M25431,'Barang Keluar'!$C:$C,N25431))</f>
        <v>0</v>
      </c>
    </row>
    <row r="25432" spans="13:16">
      <c r="M25432" s="49">
        <f>IF($A$4+254&gt;$B$4,"",$A$4+254)</f>
        <v>46277</v>
      </c>
      <c r="N25432" t="str">
        <f>IF(M25432="","",'Master Barang'!A26)</f>
        <v>PRL-025</v>
      </c>
      <c r="O25432" t="str">
        <f>IF(N25432="","",'Master Barang'!B26)</f>
        <v>petromax plastik kecil 12x24 100 lembar</v>
      </c>
      <c r="P25432">
        <f>IF(OR(M25432="",N25432=""),"",SUMIFS('Barang Keluar'!$E:$E,'Barang Keluar'!$A:$A,M25432,'Barang Keluar'!$C:$C,N25432))</f>
        <v>0</v>
      </c>
    </row>
    <row r="25433" spans="13:16">
      <c r="M25433" s="49">
        <f>IF($A$4+254&gt;$B$4,"",$A$4+254)</f>
        <v>46277</v>
      </c>
      <c r="N25433" t="str">
        <f>IF(M25433="","",'Master Barang'!A27)</f>
        <v>PRL-026</v>
      </c>
      <c r="O25433" t="str">
        <f>IF(N25433="","",'Master Barang'!B27)</f>
        <v>lancar kresek kecil bening </v>
      </c>
      <c r="P25433">
        <f>IF(OR(M25433="",N25433=""),"",SUMIFS('Barang Keluar'!$E:$E,'Barang Keluar'!$A:$A,M25433,'Barang Keluar'!$C:$C,N25433))</f>
        <v>0</v>
      </c>
    </row>
    <row r="25434" spans="13:16">
      <c r="M25434" s="49">
        <f>IF($A$4+254&gt;$B$4,"",$A$4+254)</f>
        <v>46277</v>
      </c>
      <c r="N25434" t="str">
        <f>IF(M25434="","",'Master Barang'!A28)</f>
        <v>PRL-027</v>
      </c>
      <c r="O25434" t="str">
        <f>IF(N25434="","",'Master Barang'!B28)</f>
        <v>kresek klin warna warni kecil</v>
      </c>
      <c r="P25434">
        <f>IF(OR(M25434="",N25434=""),"",SUMIFS('Barang Keluar'!$E:$E,'Barang Keluar'!$A:$A,M25434,'Barang Keluar'!$C:$C,N25434))</f>
        <v>0</v>
      </c>
    </row>
    <row r="25435" spans="13:16">
      <c r="M25435" s="49">
        <f>IF($A$4+254&gt;$B$4,"",$A$4+254)</f>
        <v>46277</v>
      </c>
      <c r="N25435" t="str">
        <f>IF(M25435="","",'Master Barang'!A29)</f>
        <v>PRL-028</v>
      </c>
      <c r="O25435" t="str">
        <f>IF(N25435="","",'Master Barang'!B29)</f>
        <v>ctik plastik 7x10 100 pcs</v>
      </c>
      <c r="P25435">
        <f>IF(OR(M25435="",N25435=""),"",SUMIFS('Barang Keluar'!$E:$E,'Barang Keluar'!$A:$A,M25435,'Barang Keluar'!$C:$C,N25435))</f>
        <v>0</v>
      </c>
    </row>
    <row r="25436" spans="13:16">
      <c r="M25436" s="49">
        <f>IF($A$4+254&gt;$B$4,"",$A$4+254)</f>
        <v>46277</v>
      </c>
      <c r="N25436" t="str">
        <f>IF(M25436="","",'Master Barang'!A30)</f>
        <v>PRL-029</v>
      </c>
      <c r="O25436" t="str">
        <f>IF(N25436="","",'Master Barang'!B30)</f>
        <v>ctik plastik 6x10 100 pcs</v>
      </c>
      <c r="P25436">
        <f>IF(OR(M25436="",N25436=""),"",SUMIFS('Barang Keluar'!$E:$E,'Barang Keluar'!$A:$A,M25436,'Barang Keluar'!$C:$C,N25436))</f>
        <v>0</v>
      </c>
    </row>
    <row r="25437" spans="13:16">
      <c r="M25437" s="49">
        <f>IF($A$4+254&gt;$B$4,"",$A$4+254)</f>
        <v>46277</v>
      </c>
      <c r="N25437" t="str">
        <f>IF(M25437="","",'Master Barang'!A31)</f>
        <v>PRL-030</v>
      </c>
      <c r="O25437" t="str">
        <f>IF(N25437="","",'Master Barang'!B31)</f>
        <v>klip plastik 25x16 100 pcs</v>
      </c>
      <c r="P25437">
        <f>IF(OR(M25437="",N25437=""),"",SUMIFS('Barang Keluar'!$E:$E,'Barang Keluar'!$A:$A,M25437,'Barang Keluar'!$C:$C,N25437))</f>
        <v>0</v>
      </c>
    </row>
    <row r="25438" spans="13:16">
      <c r="M25438" s="49">
        <f>IF($A$4+254&gt;$B$4,"",$A$4+254)</f>
        <v>46277</v>
      </c>
      <c r="N25438" t="str">
        <f>IF(M25438="","",'Master Barang'!A32)</f>
        <v>PRL-031</v>
      </c>
      <c r="O25438" t="str">
        <f>IF(N25438="","",'Master Barang'!B32)</f>
        <v>tempat saus 20 ml</v>
      </c>
      <c r="P25438">
        <f>IF(OR(M25438="",N25438=""),"",SUMIFS('Barang Keluar'!$E:$E,'Barang Keluar'!$A:$A,M25438,'Barang Keluar'!$C:$C,N25438))</f>
        <v>0</v>
      </c>
    </row>
    <row r="25439" spans="13:16">
      <c r="M25439" s="49">
        <f>IF($A$4+254&gt;$B$4,"",$A$4+254)</f>
        <v>46277</v>
      </c>
      <c r="N25439" t="str">
        <f>IF(M25439="","",'Master Barang'!A33)</f>
        <v>PRL-032</v>
      </c>
      <c r="O25439" t="str">
        <f>IF(N25439="","",'Master Barang'!B33)</f>
        <v>plastik packaging ag box uk sedang</v>
      </c>
      <c r="P25439">
        <f>IF(OR(M25439="",N25439=""),"",SUMIFS('Barang Keluar'!$E:$E,'Barang Keluar'!$A:$A,M25439,'Barang Keluar'!$C:$C,N25439))</f>
        <v>0</v>
      </c>
    </row>
    <row r="25440" spans="13:16">
      <c r="M25440" s="49">
        <f>IF($A$4+254&gt;$B$4,"",$A$4+254)</f>
        <v>46277</v>
      </c>
      <c r="N25440" t="str">
        <f>IF(M25440="","",'Master Barang'!A34)</f>
        <v>PRL-033</v>
      </c>
      <c r="O25440">
        <f>IF(N25440="","",'Master Barang'!B34)</f>
        <v>0</v>
      </c>
      <c r="P25440">
        <f>IF(OR(M25440="",N25440=""),"",SUMIFS('Barang Keluar'!$E:$E,'Barang Keluar'!$A:$A,M25440,'Barang Keluar'!$C:$C,N25440))</f>
        <v>0</v>
      </c>
    </row>
    <row r="25441" spans="13:16">
      <c r="M25441" s="49">
        <f>IF($A$4+254&gt;$B$4,"",$A$4+254)</f>
        <v>46277</v>
      </c>
      <c r="N25441">
        <f>IF(M25441="","",'Master Barang'!A35)</f>
        <v>0</v>
      </c>
      <c r="O25441">
        <f>IF(N25441="","",'Master Barang'!B35)</f>
        <v>0</v>
      </c>
      <c r="P25441">
        <f>IF(OR(M25441="",N25441=""),"",SUMIFS('Barang Keluar'!$E:$E,'Barang Keluar'!$A:$A,M25441,'Barang Keluar'!$C:$C,N25441))</f>
        <v>0</v>
      </c>
    </row>
    <row r="25442" spans="13:16">
      <c r="M25442" s="49">
        <f>IF($A$4+254&gt;$B$4,"",$A$4+254)</f>
        <v>46277</v>
      </c>
      <c r="N25442">
        <f>IF(M25442="","",'Master Barang'!A36)</f>
        <v>0</v>
      </c>
      <c r="O25442">
        <f>IF(N25442="","",'Master Barang'!B36)</f>
        <v>0</v>
      </c>
      <c r="P25442">
        <f>IF(OR(M25442="",N25442=""),"",SUMIFS('Barang Keluar'!$E:$E,'Barang Keluar'!$A:$A,M25442,'Barang Keluar'!$C:$C,N25442))</f>
        <v>0</v>
      </c>
    </row>
    <row r="25443" spans="13:16">
      <c r="M25443" s="49">
        <f>IF($A$4+254&gt;$B$4,"",$A$4+254)</f>
        <v>46277</v>
      </c>
      <c r="N25443">
        <f>IF(M25443="","",'Master Barang'!A37)</f>
        <v>0</v>
      </c>
      <c r="O25443">
        <f>IF(N25443="","",'Master Barang'!B37)</f>
        <v>0</v>
      </c>
      <c r="P25443">
        <f>IF(OR(M25443="",N25443=""),"",SUMIFS('Barang Keluar'!$E:$E,'Barang Keluar'!$A:$A,M25443,'Barang Keluar'!$C:$C,N25443))</f>
        <v>0</v>
      </c>
    </row>
    <row r="25444" spans="13:16">
      <c r="M25444" s="49">
        <f>IF($A$4+254&gt;$B$4,"",$A$4+254)</f>
        <v>46277</v>
      </c>
      <c r="N25444">
        <f>IF(M25444="","",'Master Barang'!A38)</f>
        <v>0</v>
      </c>
      <c r="O25444">
        <f>IF(N25444="","",'Master Barang'!B38)</f>
        <v>0</v>
      </c>
      <c r="P25444">
        <f>IF(OR(M25444="",N25444=""),"",SUMIFS('Barang Keluar'!$E:$E,'Barang Keluar'!$A:$A,M25444,'Barang Keluar'!$C:$C,N25444))</f>
        <v>0</v>
      </c>
    </row>
    <row r="25445" spans="13:16">
      <c r="M25445" s="49">
        <f>IF($A$4+254&gt;$B$4,"",$A$4+254)</f>
        <v>46277</v>
      </c>
      <c r="N25445">
        <f>IF(M25445="","",'Master Barang'!A39)</f>
        <v>0</v>
      </c>
      <c r="O25445">
        <f>IF(N25445="","",'Master Barang'!B39)</f>
        <v>0</v>
      </c>
      <c r="P25445">
        <f>IF(OR(M25445="",N25445=""),"",SUMIFS('Barang Keluar'!$E:$E,'Barang Keluar'!$A:$A,M25445,'Barang Keluar'!$C:$C,N25445))</f>
        <v>0</v>
      </c>
    </row>
    <row r="25446" spans="13:16">
      <c r="M25446" s="49">
        <f>IF($A$4+254&gt;$B$4,"",$A$4+254)</f>
        <v>46277</v>
      </c>
      <c r="N25446">
        <f>IF(M25446="","",'Master Barang'!A40)</f>
        <v>0</v>
      </c>
      <c r="O25446">
        <f>IF(N25446="","",'Master Barang'!B40)</f>
        <v>0</v>
      </c>
      <c r="P25446">
        <f>IF(OR(M25446="",N25446=""),"",SUMIFS('Barang Keluar'!$E:$E,'Barang Keluar'!$A:$A,M25446,'Barang Keluar'!$C:$C,N25446))</f>
        <v>0</v>
      </c>
    </row>
    <row r="25447" spans="13:16">
      <c r="M25447" s="49">
        <f>IF($A$4+254&gt;$B$4,"",$A$4+254)</f>
        <v>46277</v>
      </c>
      <c r="N25447">
        <f>IF(M25447="","",'Master Barang'!A41)</f>
        <v>0</v>
      </c>
      <c r="O25447">
        <f>IF(N25447="","",'Master Barang'!B41)</f>
        <v>0</v>
      </c>
      <c r="P25447">
        <f>IF(OR(M25447="",N25447=""),"",SUMIFS('Barang Keluar'!$E:$E,'Barang Keluar'!$A:$A,M25447,'Barang Keluar'!$C:$C,N25447))</f>
        <v>0</v>
      </c>
    </row>
    <row r="25448" spans="13:16">
      <c r="M25448" s="49">
        <f>IF($A$4+254&gt;$B$4,"",$A$4+254)</f>
        <v>46277</v>
      </c>
      <c r="N25448">
        <f>IF(M25448="","",'Master Barang'!A42)</f>
        <v>0</v>
      </c>
      <c r="O25448">
        <f>IF(N25448="","",'Master Barang'!B42)</f>
        <v>0</v>
      </c>
      <c r="P25448">
        <f>IF(OR(M25448="",N25448=""),"",SUMIFS('Barang Keluar'!$E:$E,'Barang Keluar'!$A:$A,M25448,'Barang Keluar'!$C:$C,N25448))</f>
        <v>0</v>
      </c>
    </row>
    <row r="25449" spans="13:16">
      <c r="M25449" s="49">
        <f>IF($A$4+254&gt;$B$4,"",$A$4+254)</f>
        <v>46277</v>
      </c>
      <c r="N25449">
        <f>IF(M25449="","",'Master Barang'!A43)</f>
        <v>0</v>
      </c>
      <c r="O25449">
        <f>IF(N25449="","",'Master Barang'!B43)</f>
        <v>0</v>
      </c>
      <c r="P25449">
        <f>IF(OR(M25449="",N25449=""),"",SUMIFS('Barang Keluar'!$E:$E,'Barang Keluar'!$A:$A,M25449,'Barang Keluar'!$C:$C,N25449))</f>
        <v>0</v>
      </c>
    </row>
    <row r="25450" spans="13:16">
      <c r="M25450" s="49">
        <f>IF($A$4+254&gt;$B$4,"",$A$4+254)</f>
        <v>46277</v>
      </c>
      <c r="N25450">
        <f>IF(M25450="","",'Master Barang'!A44)</f>
        <v>0</v>
      </c>
      <c r="O25450">
        <f>IF(N25450="","",'Master Barang'!B44)</f>
        <v>0</v>
      </c>
      <c r="P25450">
        <f>IF(OR(M25450="",N25450=""),"",SUMIFS('Barang Keluar'!$E:$E,'Barang Keluar'!$A:$A,M25450,'Barang Keluar'!$C:$C,N25450))</f>
        <v>0</v>
      </c>
    </row>
    <row r="25451" spans="13:16">
      <c r="M25451" s="49">
        <f>IF($A$4+254&gt;$B$4,"",$A$4+254)</f>
        <v>46277</v>
      </c>
      <c r="N25451">
        <f>IF(M25451="","",'Master Barang'!A45)</f>
        <v>0</v>
      </c>
      <c r="O25451">
        <f>IF(N25451="","",'Master Barang'!B45)</f>
        <v>0</v>
      </c>
      <c r="P25451">
        <f>IF(OR(M25451="",N25451=""),"",SUMIFS('Barang Keluar'!$E:$E,'Barang Keluar'!$A:$A,M25451,'Barang Keluar'!$C:$C,N25451))</f>
        <v>0</v>
      </c>
    </row>
    <row r="25452" spans="13:16">
      <c r="M25452" s="49">
        <f>IF($A$4+254&gt;$B$4,"",$A$4+254)</f>
        <v>46277</v>
      </c>
      <c r="N25452">
        <f>IF(M25452="","",'Master Barang'!A46)</f>
        <v>0</v>
      </c>
      <c r="O25452">
        <f>IF(N25452="","",'Master Barang'!B46)</f>
        <v>0</v>
      </c>
      <c r="P25452">
        <f>IF(OR(M25452="",N25452=""),"",SUMIFS('Barang Keluar'!$E:$E,'Barang Keluar'!$A:$A,M25452,'Barang Keluar'!$C:$C,N25452))</f>
        <v>0</v>
      </c>
    </row>
    <row r="25453" spans="13:16">
      <c r="M25453" s="49">
        <f>IF($A$4+254&gt;$B$4,"",$A$4+254)</f>
        <v>46277</v>
      </c>
      <c r="N25453">
        <f>IF(M25453="","",'Master Barang'!A47)</f>
        <v>0</v>
      </c>
      <c r="O25453">
        <f>IF(N25453="","",'Master Barang'!B47)</f>
        <v>0</v>
      </c>
      <c r="P25453">
        <f>IF(OR(M25453="",N25453=""),"",SUMIFS('Barang Keluar'!$E:$E,'Barang Keluar'!$A:$A,M25453,'Barang Keluar'!$C:$C,N25453))</f>
        <v>0</v>
      </c>
    </row>
    <row r="25454" spans="13:16">
      <c r="M25454" s="49">
        <f>IF($A$4+254&gt;$B$4,"",$A$4+254)</f>
        <v>46277</v>
      </c>
      <c r="N25454">
        <f>IF(M25454="","",'Master Barang'!A48)</f>
        <v>0</v>
      </c>
      <c r="O25454">
        <f>IF(N25454="","",'Master Barang'!B48)</f>
        <v>0</v>
      </c>
      <c r="P25454">
        <f>IF(OR(M25454="",N25454=""),"",SUMIFS('Barang Keluar'!$E:$E,'Barang Keluar'!$A:$A,M25454,'Barang Keluar'!$C:$C,N25454))</f>
        <v>0</v>
      </c>
    </row>
    <row r="25455" spans="13:16">
      <c r="M25455" s="49">
        <f>IF($A$4+254&gt;$B$4,"",$A$4+254)</f>
        <v>46277</v>
      </c>
      <c r="N25455">
        <f>IF(M25455="","",'Master Barang'!A49)</f>
        <v>0</v>
      </c>
      <c r="O25455">
        <f>IF(N25455="","",'Master Barang'!B49)</f>
        <v>0</v>
      </c>
      <c r="P25455">
        <f>IF(OR(M25455="",N25455=""),"",SUMIFS('Barang Keluar'!$E:$E,'Barang Keluar'!$A:$A,M25455,'Barang Keluar'!$C:$C,N25455))</f>
        <v>0</v>
      </c>
    </row>
    <row r="25456" spans="13:16">
      <c r="M25456" s="49">
        <f>IF($A$4+254&gt;$B$4,"",$A$4+254)</f>
        <v>46277</v>
      </c>
      <c r="N25456">
        <f>IF(M25456="","",'Master Barang'!A50)</f>
        <v>0</v>
      </c>
      <c r="O25456">
        <f>IF(N25456="","",'Master Barang'!B50)</f>
        <v>0</v>
      </c>
      <c r="P25456">
        <f>IF(OR(M25456="",N25456=""),"",SUMIFS('Barang Keluar'!$E:$E,'Barang Keluar'!$A:$A,M25456,'Barang Keluar'!$C:$C,N25456))</f>
        <v>0</v>
      </c>
    </row>
    <row r="25457" spans="13:16">
      <c r="M25457" s="49">
        <f>IF($A$4+254&gt;$B$4,"",$A$4+254)</f>
        <v>46277</v>
      </c>
      <c r="N25457">
        <f>IF(M25457="","",'Master Barang'!A51)</f>
        <v>0</v>
      </c>
      <c r="O25457">
        <f>IF(N25457="","",'Master Barang'!B51)</f>
        <v>0</v>
      </c>
      <c r="P25457">
        <f>IF(OR(M25457="",N25457=""),"",SUMIFS('Barang Keluar'!$E:$E,'Barang Keluar'!$A:$A,M25457,'Barang Keluar'!$C:$C,N25457))</f>
        <v>0</v>
      </c>
    </row>
    <row r="25458" spans="13:16">
      <c r="M25458" s="49">
        <f>IF($A$4+254&gt;$B$4,"",$A$4+254)</f>
        <v>46277</v>
      </c>
      <c r="N25458">
        <f>IF(M25458="","",'Master Barang'!A52)</f>
        <v>0</v>
      </c>
      <c r="O25458">
        <f>IF(N25458="","",'Master Barang'!B52)</f>
        <v>0</v>
      </c>
      <c r="P25458">
        <f>IF(OR(M25458="",N25458=""),"",SUMIFS('Barang Keluar'!$E:$E,'Barang Keluar'!$A:$A,M25458,'Barang Keluar'!$C:$C,N25458))</f>
        <v>0</v>
      </c>
    </row>
    <row r="25459" spans="13:16">
      <c r="M25459" s="49">
        <f>IF($A$4+254&gt;$B$4,"",$A$4+254)</f>
        <v>46277</v>
      </c>
      <c r="N25459">
        <f>IF(M25459="","",'Master Barang'!A53)</f>
        <v>0</v>
      </c>
      <c r="O25459">
        <f>IF(N25459="","",'Master Barang'!B53)</f>
        <v>0</v>
      </c>
      <c r="P25459">
        <f>IF(OR(M25459="",N25459=""),"",SUMIFS('Barang Keluar'!$E:$E,'Barang Keluar'!$A:$A,M25459,'Barang Keluar'!$C:$C,N25459))</f>
        <v>0</v>
      </c>
    </row>
    <row r="25460" spans="13:16">
      <c r="M25460" s="49">
        <f>IF($A$4+254&gt;$B$4,"",$A$4+254)</f>
        <v>46277</v>
      </c>
      <c r="N25460">
        <f>IF(M25460="","",'Master Barang'!A54)</f>
        <v>0</v>
      </c>
      <c r="O25460">
        <f>IF(N25460="","",'Master Barang'!B54)</f>
        <v>0</v>
      </c>
      <c r="P25460">
        <f>IF(OR(M25460="",N25460=""),"",SUMIFS('Barang Keluar'!$E:$E,'Barang Keluar'!$A:$A,M25460,'Barang Keluar'!$C:$C,N25460))</f>
        <v>0</v>
      </c>
    </row>
    <row r="25461" spans="13:16">
      <c r="M25461" s="49">
        <f>IF($A$4+254&gt;$B$4,"",$A$4+254)</f>
        <v>46277</v>
      </c>
      <c r="N25461">
        <f>IF(M25461="","",'Master Barang'!A55)</f>
        <v>0</v>
      </c>
      <c r="O25461">
        <f>IF(N25461="","",'Master Barang'!B55)</f>
        <v>0</v>
      </c>
      <c r="P25461">
        <f>IF(OR(M25461="",N25461=""),"",SUMIFS('Barang Keluar'!$E:$E,'Barang Keluar'!$A:$A,M25461,'Barang Keluar'!$C:$C,N25461))</f>
        <v>0</v>
      </c>
    </row>
    <row r="25462" spans="13:16">
      <c r="M25462" s="49">
        <f>IF($A$4+254&gt;$B$4,"",$A$4+254)</f>
        <v>46277</v>
      </c>
      <c r="N25462">
        <f>IF(M25462="","",'Master Barang'!A56)</f>
        <v>0</v>
      </c>
      <c r="O25462">
        <f>IF(N25462="","",'Master Barang'!B56)</f>
        <v>0</v>
      </c>
      <c r="P25462">
        <f>IF(OR(M25462="",N25462=""),"",SUMIFS('Barang Keluar'!$E:$E,'Barang Keluar'!$A:$A,M25462,'Barang Keluar'!$C:$C,N25462))</f>
        <v>0</v>
      </c>
    </row>
    <row r="25463" spans="13:16">
      <c r="M25463" s="49">
        <f>IF($A$4+254&gt;$B$4,"",$A$4+254)</f>
        <v>46277</v>
      </c>
      <c r="N25463">
        <f>IF(M25463="","",'Master Barang'!A57)</f>
        <v>0</v>
      </c>
      <c r="O25463">
        <f>IF(N25463="","",'Master Barang'!B57)</f>
        <v>0</v>
      </c>
      <c r="P25463">
        <f>IF(OR(M25463="",N25463=""),"",SUMIFS('Barang Keluar'!$E:$E,'Barang Keluar'!$A:$A,M25463,'Barang Keluar'!$C:$C,N25463))</f>
        <v>0</v>
      </c>
    </row>
    <row r="25464" spans="13:16">
      <c r="M25464" s="49">
        <f>IF($A$4+254&gt;$B$4,"",$A$4+254)</f>
        <v>46277</v>
      </c>
      <c r="N25464">
        <f>IF(M25464="","",'Master Barang'!A58)</f>
        <v>0</v>
      </c>
      <c r="O25464">
        <f>IF(N25464="","",'Master Barang'!B58)</f>
        <v>0</v>
      </c>
      <c r="P25464">
        <f>IF(OR(M25464="",N25464=""),"",SUMIFS('Barang Keluar'!$E:$E,'Barang Keluar'!$A:$A,M25464,'Barang Keluar'!$C:$C,N25464))</f>
        <v>0</v>
      </c>
    </row>
    <row r="25465" spans="13:16">
      <c r="M25465" s="49">
        <f>IF($A$4+254&gt;$B$4,"",$A$4+254)</f>
        <v>46277</v>
      </c>
      <c r="N25465">
        <f>IF(M25465="","",'Master Barang'!A59)</f>
        <v>0</v>
      </c>
      <c r="O25465">
        <f>IF(N25465="","",'Master Barang'!B59)</f>
        <v>0</v>
      </c>
      <c r="P25465">
        <f>IF(OR(M25465="",N25465=""),"",SUMIFS('Barang Keluar'!$E:$E,'Barang Keluar'!$A:$A,M25465,'Barang Keluar'!$C:$C,N25465))</f>
        <v>0</v>
      </c>
    </row>
    <row r="25466" spans="13:16">
      <c r="M25466" s="49">
        <f>IF($A$4+254&gt;$B$4,"",$A$4+254)</f>
        <v>46277</v>
      </c>
      <c r="N25466">
        <f>IF(M25466="","",'Master Barang'!A60)</f>
        <v>0</v>
      </c>
      <c r="O25466">
        <f>IF(N25466="","",'Master Barang'!B60)</f>
        <v>0</v>
      </c>
      <c r="P25466">
        <f>IF(OR(M25466="",N25466=""),"",SUMIFS('Barang Keluar'!$E:$E,'Barang Keluar'!$A:$A,M25466,'Barang Keluar'!$C:$C,N25466))</f>
        <v>0</v>
      </c>
    </row>
    <row r="25467" spans="13:16">
      <c r="M25467" s="49">
        <f>IF($A$4+254&gt;$B$4,"",$A$4+254)</f>
        <v>46277</v>
      </c>
      <c r="N25467">
        <f>IF(M25467="","",'Master Barang'!A61)</f>
        <v>0</v>
      </c>
      <c r="O25467">
        <f>IF(N25467="","",'Master Barang'!B61)</f>
        <v>0</v>
      </c>
      <c r="P25467">
        <f>IF(OR(M25467="",N25467=""),"",SUMIFS('Barang Keluar'!$E:$E,'Barang Keluar'!$A:$A,M25467,'Barang Keluar'!$C:$C,N25467))</f>
        <v>0</v>
      </c>
    </row>
    <row r="25468" spans="13:16">
      <c r="M25468" s="49">
        <f>IF($A$4+254&gt;$B$4,"",$A$4+254)</f>
        <v>46277</v>
      </c>
      <c r="N25468">
        <f>IF(M25468="","",'Master Barang'!A62)</f>
        <v>0</v>
      </c>
      <c r="O25468">
        <f>IF(N25468="","",'Master Barang'!B62)</f>
        <v>0</v>
      </c>
      <c r="P25468">
        <f>IF(OR(M25468="",N25468=""),"",SUMIFS('Barang Keluar'!$E:$E,'Barang Keluar'!$A:$A,M25468,'Barang Keluar'!$C:$C,N25468))</f>
        <v>0</v>
      </c>
    </row>
    <row r="25469" spans="13:16">
      <c r="M25469" s="49">
        <f>IF($A$4+254&gt;$B$4,"",$A$4+254)</f>
        <v>46277</v>
      </c>
      <c r="N25469">
        <f>IF(M25469="","",'Master Barang'!A63)</f>
        <v>0</v>
      </c>
      <c r="O25469">
        <f>IF(N25469="","",'Master Barang'!B63)</f>
        <v>0</v>
      </c>
      <c r="P25469">
        <f>IF(OR(M25469="",N25469=""),"",SUMIFS('Barang Keluar'!$E:$E,'Barang Keluar'!$A:$A,M25469,'Barang Keluar'!$C:$C,N25469))</f>
        <v>0</v>
      </c>
    </row>
    <row r="25470" spans="13:16">
      <c r="M25470" s="49">
        <f>IF($A$4+254&gt;$B$4,"",$A$4+254)</f>
        <v>46277</v>
      </c>
      <c r="N25470">
        <f>IF(M25470="","",'Master Barang'!A64)</f>
        <v>0</v>
      </c>
      <c r="O25470">
        <f>IF(N25470="","",'Master Barang'!B64)</f>
        <v>0</v>
      </c>
      <c r="P25470">
        <f>IF(OR(M25470="",N25470=""),"",SUMIFS('Barang Keluar'!$E:$E,'Barang Keluar'!$A:$A,M25470,'Barang Keluar'!$C:$C,N25470))</f>
        <v>0</v>
      </c>
    </row>
    <row r="25471" spans="13:16">
      <c r="M25471" s="49">
        <f>IF($A$4+254&gt;$B$4,"",$A$4+254)</f>
        <v>46277</v>
      </c>
      <c r="N25471">
        <f>IF(M25471="","",'Master Barang'!A65)</f>
        <v>0</v>
      </c>
      <c r="O25471">
        <f>IF(N25471="","",'Master Barang'!B65)</f>
        <v>0</v>
      </c>
      <c r="P25471">
        <f>IF(OR(M25471="",N25471=""),"",SUMIFS('Barang Keluar'!$E:$E,'Barang Keluar'!$A:$A,M25471,'Barang Keluar'!$C:$C,N25471))</f>
        <v>0</v>
      </c>
    </row>
    <row r="25472" spans="13:16">
      <c r="M25472" s="49">
        <f>IF($A$4+254&gt;$B$4,"",$A$4+254)</f>
        <v>46277</v>
      </c>
      <c r="N25472">
        <f>IF(M25472="","",'Master Barang'!A66)</f>
        <v>0</v>
      </c>
      <c r="O25472">
        <f>IF(N25472="","",'Master Barang'!B66)</f>
        <v>0</v>
      </c>
      <c r="P25472">
        <f>IF(OR(M25472="",N25472=""),"",SUMIFS('Barang Keluar'!$E:$E,'Barang Keluar'!$A:$A,M25472,'Barang Keluar'!$C:$C,N25472))</f>
        <v>0</v>
      </c>
    </row>
    <row r="25473" spans="13:16">
      <c r="M25473" s="49">
        <f>IF($A$4+254&gt;$B$4,"",$A$4+254)</f>
        <v>46277</v>
      </c>
      <c r="N25473">
        <f>IF(M25473="","",'Master Barang'!A67)</f>
        <v>0</v>
      </c>
      <c r="O25473">
        <f>IF(N25473="","",'Master Barang'!B67)</f>
        <v>0</v>
      </c>
      <c r="P25473">
        <f>IF(OR(M25473="",N25473=""),"",SUMIFS('Barang Keluar'!$E:$E,'Barang Keluar'!$A:$A,M25473,'Barang Keluar'!$C:$C,N25473))</f>
        <v>0</v>
      </c>
    </row>
    <row r="25474" spans="13:16">
      <c r="M25474" s="49">
        <f>IF($A$4+254&gt;$B$4,"",$A$4+254)</f>
        <v>46277</v>
      </c>
      <c r="N25474">
        <f>IF(M25474="","",'Master Barang'!A68)</f>
        <v>0</v>
      </c>
      <c r="O25474">
        <f>IF(N25474="","",'Master Barang'!B68)</f>
        <v>0</v>
      </c>
      <c r="P25474">
        <f>IF(OR(M25474="",N25474=""),"",SUMIFS('Barang Keluar'!$E:$E,'Barang Keluar'!$A:$A,M25474,'Barang Keluar'!$C:$C,N25474))</f>
        <v>0</v>
      </c>
    </row>
    <row r="25475" spans="13:16">
      <c r="M25475" s="49">
        <f>IF($A$4+254&gt;$B$4,"",$A$4+254)</f>
        <v>46277</v>
      </c>
      <c r="N25475">
        <f>IF(M25475="","",'Master Barang'!A69)</f>
        <v>0</v>
      </c>
      <c r="O25475">
        <f>IF(N25475="","",'Master Barang'!B69)</f>
        <v>0</v>
      </c>
      <c r="P25475">
        <f>IF(OR(M25475="",N25475=""),"",SUMIFS('Barang Keluar'!$E:$E,'Barang Keluar'!$A:$A,M25475,'Barang Keluar'!$C:$C,N25475))</f>
        <v>0</v>
      </c>
    </row>
    <row r="25476" spans="13:16">
      <c r="M25476" s="49">
        <f>IF($A$4+254&gt;$B$4,"",$A$4+254)</f>
        <v>46277</v>
      </c>
      <c r="N25476">
        <f>IF(M25476="","",'Master Barang'!A70)</f>
        <v>0</v>
      </c>
      <c r="O25476">
        <f>IF(N25476="","",'Master Barang'!B70)</f>
        <v>0</v>
      </c>
      <c r="P25476">
        <f>IF(OR(M25476="",N25476=""),"",SUMIFS('Barang Keluar'!$E:$E,'Barang Keluar'!$A:$A,M25476,'Barang Keluar'!$C:$C,N25476))</f>
        <v>0</v>
      </c>
    </row>
    <row r="25477" spans="13:16">
      <c r="M25477" s="49">
        <f>IF($A$4+254&gt;$B$4,"",$A$4+254)</f>
        <v>46277</v>
      </c>
      <c r="N25477">
        <f>IF(M25477="","",'Master Barang'!A71)</f>
        <v>0</v>
      </c>
      <c r="O25477">
        <f>IF(N25477="","",'Master Barang'!B71)</f>
        <v>0</v>
      </c>
      <c r="P25477">
        <f>IF(OR(M25477="",N25477=""),"",SUMIFS('Barang Keluar'!$E:$E,'Barang Keluar'!$A:$A,M25477,'Barang Keluar'!$C:$C,N25477))</f>
        <v>0</v>
      </c>
    </row>
    <row r="25478" spans="13:16">
      <c r="M25478" s="49">
        <f>IF($A$4+254&gt;$B$4,"",$A$4+254)</f>
        <v>46277</v>
      </c>
      <c r="N25478">
        <f>IF(M25478="","",'Master Barang'!A72)</f>
        <v>0</v>
      </c>
      <c r="O25478">
        <f>IF(N25478="","",'Master Barang'!B72)</f>
        <v>0</v>
      </c>
      <c r="P25478">
        <f>IF(OR(M25478="",N25478=""),"",SUMIFS('Barang Keluar'!$E:$E,'Barang Keluar'!$A:$A,M25478,'Barang Keluar'!$C:$C,N25478))</f>
        <v>0</v>
      </c>
    </row>
    <row r="25479" spans="13:16">
      <c r="M25479" s="49">
        <f>IF($A$4+254&gt;$B$4,"",$A$4+254)</f>
        <v>46277</v>
      </c>
      <c r="N25479">
        <f>IF(M25479="","",'Master Barang'!A73)</f>
        <v>0</v>
      </c>
      <c r="O25479">
        <f>IF(N25479="","",'Master Barang'!B73)</f>
        <v>0</v>
      </c>
      <c r="P25479">
        <f>IF(OR(M25479="",N25479=""),"",SUMIFS('Barang Keluar'!$E:$E,'Barang Keluar'!$A:$A,M25479,'Barang Keluar'!$C:$C,N25479))</f>
        <v>0</v>
      </c>
    </row>
    <row r="25480" spans="13:16">
      <c r="M25480" s="49">
        <f>IF($A$4+254&gt;$B$4,"",$A$4+254)</f>
        <v>46277</v>
      </c>
      <c r="N25480">
        <f>IF(M25480="","",'Master Barang'!A74)</f>
        <v>0</v>
      </c>
      <c r="O25480">
        <f>IF(N25480="","",'Master Barang'!B74)</f>
        <v>0</v>
      </c>
      <c r="P25480">
        <f>IF(OR(M25480="",N25480=""),"",SUMIFS('Barang Keluar'!$E:$E,'Barang Keluar'!$A:$A,M25480,'Barang Keluar'!$C:$C,N25480))</f>
        <v>0</v>
      </c>
    </row>
    <row r="25481" spans="13:16">
      <c r="M25481" s="49">
        <f>IF($A$4+254&gt;$B$4,"",$A$4+254)</f>
        <v>46277</v>
      </c>
      <c r="N25481">
        <f>IF(M25481="","",'Master Barang'!A75)</f>
        <v>0</v>
      </c>
      <c r="O25481">
        <f>IF(N25481="","",'Master Barang'!B75)</f>
        <v>0</v>
      </c>
      <c r="P25481">
        <f>IF(OR(M25481="",N25481=""),"",SUMIFS('Barang Keluar'!$E:$E,'Barang Keluar'!$A:$A,M25481,'Barang Keluar'!$C:$C,N25481))</f>
        <v>0</v>
      </c>
    </row>
    <row r="25482" spans="13:16">
      <c r="M25482" s="49">
        <f>IF($A$4+254&gt;$B$4,"",$A$4+254)</f>
        <v>46277</v>
      </c>
      <c r="N25482">
        <f>IF(M25482="","",'Master Barang'!A76)</f>
        <v>0</v>
      </c>
      <c r="O25482">
        <f>IF(N25482="","",'Master Barang'!B76)</f>
        <v>0</v>
      </c>
      <c r="P25482">
        <f>IF(OR(M25482="",N25482=""),"",SUMIFS('Barang Keluar'!$E:$E,'Barang Keluar'!$A:$A,M25482,'Barang Keluar'!$C:$C,N25482))</f>
        <v>0</v>
      </c>
    </row>
    <row r="25483" spans="13:16">
      <c r="M25483" s="49">
        <f>IF($A$4+254&gt;$B$4,"",$A$4+254)</f>
        <v>46277</v>
      </c>
      <c r="N25483">
        <f>IF(M25483="","",'Master Barang'!A77)</f>
        <v>0</v>
      </c>
      <c r="O25483">
        <f>IF(N25483="","",'Master Barang'!B77)</f>
        <v>0</v>
      </c>
      <c r="P25483">
        <f>IF(OR(M25483="",N25483=""),"",SUMIFS('Barang Keluar'!$E:$E,'Barang Keluar'!$A:$A,M25483,'Barang Keluar'!$C:$C,N25483))</f>
        <v>0</v>
      </c>
    </row>
    <row r="25484" spans="13:16">
      <c r="M25484" s="49">
        <f>IF($A$4+254&gt;$B$4,"",$A$4+254)</f>
        <v>46277</v>
      </c>
      <c r="N25484">
        <f>IF(M25484="","",'Master Barang'!A78)</f>
        <v>0</v>
      </c>
      <c r="O25484">
        <f>IF(N25484="","",'Master Barang'!B78)</f>
        <v>0</v>
      </c>
      <c r="P25484">
        <f>IF(OR(M25484="",N25484=""),"",SUMIFS('Barang Keluar'!$E:$E,'Barang Keluar'!$A:$A,M25484,'Barang Keluar'!$C:$C,N25484))</f>
        <v>0</v>
      </c>
    </row>
    <row r="25485" spans="13:16">
      <c r="M25485" s="49">
        <f>IF($A$4+254&gt;$B$4,"",$A$4+254)</f>
        <v>46277</v>
      </c>
      <c r="N25485">
        <f>IF(M25485="","",'Master Barang'!A79)</f>
        <v>0</v>
      </c>
      <c r="O25485">
        <f>IF(N25485="","",'Master Barang'!B79)</f>
        <v>0</v>
      </c>
      <c r="P25485">
        <f>IF(OR(M25485="",N25485=""),"",SUMIFS('Barang Keluar'!$E:$E,'Barang Keluar'!$A:$A,M25485,'Barang Keluar'!$C:$C,N25485))</f>
        <v>0</v>
      </c>
    </row>
    <row r="25486" spans="13:16">
      <c r="M25486" s="49">
        <f>IF($A$4+254&gt;$B$4,"",$A$4+254)</f>
        <v>46277</v>
      </c>
      <c r="N25486">
        <f>IF(M25486="","",'Master Barang'!A80)</f>
        <v>0</v>
      </c>
      <c r="O25486">
        <f>IF(N25486="","",'Master Barang'!B80)</f>
        <v>0</v>
      </c>
      <c r="P25486">
        <f>IF(OR(M25486="",N25486=""),"",SUMIFS('Barang Keluar'!$E:$E,'Barang Keluar'!$A:$A,M25486,'Barang Keluar'!$C:$C,N25486))</f>
        <v>0</v>
      </c>
    </row>
    <row r="25487" spans="13:16">
      <c r="M25487" s="49">
        <f>IF($A$4+254&gt;$B$4,"",$A$4+254)</f>
        <v>46277</v>
      </c>
      <c r="N25487">
        <f>IF(M25487="","",'Master Barang'!A81)</f>
        <v>0</v>
      </c>
      <c r="O25487">
        <f>IF(N25487="","",'Master Barang'!B81)</f>
        <v>0</v>
      </c>
      <c r="P25487">
        <f>IF(OR(M25487="",N25487=""),"",SUMIFS('Barang Keluar'!$E:$E,'Barang Keluar'!$A:$A,M25487,'Barang Keluar'!$C:$C,N25487))</f>
        <v>0</v>
      </c>
    </row>
    <row r="25488" spans="13:16">
      <c r="M25488" s="49">
        <f>IF($A$4+254&gt;$B$4,"",$A$4+254)</f>
        <v>46277</v>
      </c>
      <c r="N25488">
        <f>IF(M25488="","",'Master Barang'!A82)</f>
        <v>0</v>
      </c>
      <c r="O25488">
        <f>IF(N25488="","",'Master Barang'!B82)</f>
        <v>0</v>
      </c>
      <c r="P25488">
        <f>IF(OR(M25488="",N25488=""),"",SUMIFS('Barang Keluar'!$E:$E,'Barang Keluar'!$A:$A,M25488,'Barang Keluar'!$C:$C,N25488))</f>
        <v>0</v>
      </c>
    </row>
    <row r="25489" spans="13:16">
      <c r="M25489" s="49">
        <f>IF($A$4+254&gt;$B$4,"",$A$4+254)</f>
        <v>46277</v>
      </c>
      <c r="N25489">
        <f>IF(M25489="","",'Master Barang'!A83)</f>
        <v>0</v>
      </c>
      <c r="O25489">
        <f>IF(N25489="","",'Master Barang'!B83)</f>
        <v>0</v>
      </c>
      <c r="P25489">
        <f>IF(OR(M25489="",N25489=""),"",SUMIFS('Barang Keluar'!$E:$E,'Barang Keluar'!$A:$A,M25489,'Barang Keluar'!$C:$C,N25489))</f>
        <v>0</v>
      </c>
    </row>
    <row r="25490" spans="13:16">
      <c r="M25490" s="49">
        <f>IF($A$4+254&gt;$B$4,"",$A$4+254)</f>
        <v>46277</v>
      </c>
      <c r="N25490">
        <f>IF(M25490="","",'Master Barang'!A84)</f>
        <v>0</v>
      </c>
      <c r="O25490">
        <f>IF(N25490="","",'Master Barang'!B84)</f>
        <v>0</v>
      </c>
      <c r="P25490">
        <f>IF(OR(M25490="",N25490=""),"",SUMIFS('Barang Keluar'!$E:$E,'Barang Keluar'!$A:$A,M25490,'Barang Keluar'!$C:$C,N25490))</f>
        <v>0</v>
      </c>
    </row>
    <row r="25491" spans="13:16">
      <c r="M25491" s="49">
        <f>IF($A$4+254&gt;$B$4,"",$A$4+254)</f>
        <v>46277</v>
      </c>
      <c r="N25491">
        <f>IF(M25491="","",'Master Barang'!A85)</f>
        <v>0</v>
      </c>
      <c r="O25491">
        <f>IF(N25491="","",'Master Barang'!B85)</f>
        <v>0</v>
      </c>
      <c r="P25491">
        <f>IF(OR(M25491="",N25491=""),"",SUMIFS('Barang Keluar'!$E:$E,'Barang Keluar'!$A:$A,M25491,'Barang Keluar'!$C:$C,N25491))</f>
        <v>0</v>
      </c>
    </row>
    <row r="25492" spans="13:16">
      <c r="M25492" s="49">
        <f>IF($A$4+254&gt;$B$4,"",$A$4+254)</f>
        <v>46277</v>
      </c>
      <c r="N25492">
        <f>IF(M25492="","",'Master Barang'!A86)</f>
        <v>0</v>
      </c>
      <c r="O25492">
        <f>IF(N25492="","",'Master Barang'!B86)</f>
        <v>0</v>
      </c>
      <c r="P25492">
        <f>IF(OR(M25492="",N25492=""),"",SUMIFS('Barang Keluar'!$E:$E,'Barang Keluar'!$A:$A,M25492,'Barang Keluar'!$C:$C,N25492))</f>
        <v>0</v>
      </c>
    </row>
    <row r="25493" spans="13:16">
      <c r="M25493" s="49">
        <f>IF($A$4+254&gt;$B$4,"",$A$4+254)</f>
        <v>46277</v>
      </c>
      <c r="N25493">
        <f>IF(M25493="","",'Master Barang'!A87)</f>
        <v>0</v>
      </c>
      <c r="O25493">
        <f>IF(N25493="","",'Master Barang'!B87)</f>
        <v>0</v>
      </c>
      <c r="P25493">
        <f>IF(OR(M25493="",N25493=""),"",SUMIFS('Barang Keluar'!$E:$E,'Barang Keluar'!$A:$A,M25493,'Barang Keluar'!$C:$C,N25493))</f>
        <v>0</v>
      </c>
    </row>
    <row r="25494" spans="13:16">
      <c r="M25494" s="49">
        <f>IF($A$4+254&gt;$B$4,"",$A$4+254)</f>
        <v>46277</v>
      </c>
      <c r="N25494">
        <f>IF(M25494="","",'Master Barang'!A88)</f>
        <v>0</v>
      </c>
      <c r="O25494">
        <f>IF(N25494="","",'Master Barang'!B88)</f>
        <v>0</v>
      </c>
      <c r="P25494">
        <f>IF(OR(M25494="",N25494=""),"",SUMIFS('Barang Keluar'!$E:$E,'Barang Keluar'!$A:$A,M25494,'Barang Keluar'!$C:$C,N25494))</f>
        <v>0</v>
      </c>
    </row>
    <row r="25495" spans="13:16">
      <c r="M25495" s="49">
        <f>IF($A$4+254&gt;$B$4,"",$A$4+254)</f>
        <v>46277</v>
      </c>
      <c r="N25495">
        <f>IF(M25495="","",'Master Barang'!A89)</f>
        <v>0</v>
      </c>
      <c r="O25495">
        <f>IF(N25495="","",'Master Barang'!B89)</f>
        <v>0</v>
      </c>
      <c r="P25495">
        <f>IF(OR(M25495="",N25495=""),"",SUMIFS('Barang Keluar'!$E:$E,'Barang Keluar'!$A:$A,M25495,'Barang Keluar'!$C:$C,N25495))</f>
        <v>0</v>
      </c>
    </row>
    <row r="25496" spans="13:16">
      <c r="M25496" s="49">
        <f>IF($A$4+254&gt;$B$4,"",$A$4+254)</f>
        <v>46277</v>
      </c>
      <c r="N25496">
        <f>IF(M25496="","",'Master Barang'!A90)</f>
        <v>0</v>
      </c>
      <c r="O25496">
        <f>IF(N25496="","",'Master Barang'!B90)</f>
        <v>0</v>
      </c>
      <c r="P25496">
        <f>IF(OR(M25496="",N25496=""),"",SUMIFS('Barang Keluar'!$E:$E,'Barang Keluar'!$A:$A,M25496,'Barang Keluar'!$C:$C,N25496))</f>
        <v>0</v>
      </c>
    </row>
    <row r="25497" spans="13:16">
      <c r="M25497" s="49">
        <f>IF($A$4+254&gt;$B$4,"",$A$4+254)</f>
        <v>46277</v>
      </c>
      <c r="N25497">
        <f>IF(M25497="","",'Master Barang'!A91)</f>
        <v>0</v>
      </c>
      <c r="O25497">
        <f>IF(N25497="","",'Master Barang'!B91)</f>
        <v>0</v>
      </c>
      <c r="P25497">
        <f>IF(OR(M25497="",N25497=""),"",SUMIFS('Barang Keluar'!$E:$E,'Barang Keluar'!$A:$A,M25497,'Barang Keluar'!$C:$C,N25497))</f>
        <v>0</v>
      </c>
    </row>
    <row r="25498" spans="13:16">
      <c r="M25498" s="49">
        <f>IF($A$4+254&gt;$B$4,"",$A$4+254)</f>
        <v>46277</v>
      </c>
      <c r="N25498">
        <f>IF(M25498="","",'Master Barang'!A92)</f>
        <v>0</v>
      </c>
      <c r="O25498">
        <f>IF(N25498="","",'Master Barang'!B92)</f>
        <v>0</v>
      </c>
      <c r="P25498">
        <f>IF(OR(M25498="",N25498=""),"",SUMIFS('Barang Keluar'!$E:$E,'Barang Keluar'!$A:$A,M25498,'Barang Keluar'!$C:$C,N25498))</f>
        <v>0</v>
      </c>
    </row>
    <row r="25499" spans="13:16">
      <c r="M25499" s="49">
        <f>IF($A$4+254&gt;$B$4,"",$A$4+254)</f>
        <v>46277</v>
      </c>
      <c r="N25499">
        <f>IF(M25499="","",'Master Barang'!A93)</f>
        <v>0</v>
      </c>
      <c r="O25499">
        <f>IF(N25499="","",'Master Barang'!B93)</f>
        <v>0</v>
      </c>
      <c r="P25499">
        <f>IF(OR(M25499="",N25499=""),"",SUMIFS('Barang Keluar'!$E:$E,'Barang Keluar'!$A:$A,M25499,'Barang Keluar'!$C:$C,N25499))</f>
        <v>0</v>
      </c>
    </row>
    <row r="25500" spans="13:16">
      <c r="M25500" s="49">
        <f>IF($A$4+254&gt;$B$4,"",$A$4+254)</f>
        <v>46277</v>
      </c>
      <c r="N25500">
        <f>IF(M25500="","",'Master Barang'!A94)</f>
        <v>0</v>
      </c>
      <c r="O25500">
        <f>IF(N25500="","",'Master Barang'!B94)</f>
        <v>0</v>
      </c>
      <c r="P25500">
        <f>IF(OR(M25500="",N25500=""),"",SUMIFS('Barang Keluar'!$E:$E,'Barang Keluar'!$A:$A,M25500,'Barang Keluar'!$C:$C,N25500))</f>
        <v>0</v>
      </c>
    </row>
    <row r="25501" spans="13:16">
      <c r="M25501" s="49">
        <f>IF($A$4+254&gt;$B$4,"",$A$4+254)</f>
        <v>46277</v>
      </c>
      <c r="N25501">
        <f>IF(M25501="","",'Master Barang'!A95)</f>
        <v>0</v>
      </c>
      <c r="O25501">
        <f>IF(N25501="","",'Master Barang'!B95)</f>
        <v>0</v>
      </c>
      <c r="P25501">
        <f>IF(OR(M25501="",N25501=""),"",SUMIFS('Barang Keluar'!$E:$E,'Barang Keluar'!$A:$A,M25501,'Barang Keluar'!$C:$C,N25501))</f>
        <v>0</v>
      </c>
    </row>
    <row r="25502" spans="13:16">
      <c r="M25502" s="49">
        <f>IF($A$4+254&gt;$B$4,"",$A$4+254)</f>
        <v>46277</v>
      </c>
      <c r="N25502">
        <f>IF(M25502="","",'Master Barang'!A96)</f>
        <v>0</v>
      </c>
      <c r="O25502">
        <f>IF(N25502="","",'Master Barang'!B96)</f>
        <v>0</v>
      </c>
      <c r="P25502">
        <f>IF(OR(M25502="",N25502=""),"",SUMIFS('Barang Keluar'!$E:$E,'Barang Keluar'!$A:$A,M25502,'Barang Keluar'!$C:$C,N25502))</f>
        <v>0</v>
      </c>
    </row>
    <row r="25503" spans="13:16">
      <c r="M25503" s="49">
        <f>IF($A$4+254&gt;$B$4,"",$A$4+254)</f>
        <v>46277</v>
      </c>
      <c r="N25503">
        <f>IF(M25503="","",'Master Barang'!A97)</f>
        <v>0</v>
      </c>
      <c r="O25503">
        <f>IF(N25503="","",'Master Barang'!B97)</f>
        <v>0</v>
      </c>
      <c r="P25503">
        <f>IF(OR(M25503="",N25503=""),"",SUMIFS('Barang Keluar'!$E:$E,'Barang Keluar'!$A:$A,M25503,'Barang Keluar'!$C:$C,N25503))</f>
        <v>0</v>
      </c>
    </row>
    <row r="25504" spans="13:16">
      <c r="M25504" s="49">
        <f>IF($A$4+254&gt;$B$4,"",$A$4+254)</f>
        <v>46277</v>
      </c>
      <c r="N25504">
        <f>IF(M25504="","",'Master Barang'!A98)</f>
        <v>0</v>
      </c>
      <c r="O25504">
        <f>IF(N25504="","",'Master Barang'!B98)</f>
        <v>0</v>
      </c>
      <c r="P25504">
        <f>IF(OR(M25504="",N25504=""),"",SUMIFS('Barang Keluar'!$E:$E,'Barang Keluar'!$A:$A,M25504,'Barang Keluar'!$C:$C,N25504))</f>
        <v>0</v>
      </c>
    </row>
    <row r="25505" spans="13:16">
      <c r="M25505" s="49">
        <f>IF($A$4+254&gt;$B$4,"",$A$4+254)</f>
        <v>46277</v>
      </c>
      <c r="N25505">
        <f>IF(M25505="","",'Master Barang'!A99)</f>
        <v>0</v>
      </c>
      <c r="O25505">
        <f>IF(N25505="","",'Master Barang'!B99)</f>
        <v>0</v>
      </c>
      <c r="P25505">
        <f>IF(OR(M25505="",N25505=""),"",SUMIFS('Barang Keluar'!$E:$E,'Barang Keluar'!$A:$A,M25505,'Barang Keluar'!$C:$C,N25505))</f>
        <v>0</v>
      </c>
    </row>
    <row r="25506" spans="13:16">
      <c r="M25506" s="49">
        <f>IF($A$4+254&gt;$B$4,"",$A$4+254)</f>
        <v>46277</v>
      </c>
      <c r="N25506">
        <f>IF(M25506="","",'Master Barang'!A100)</f>
        <v>0</v>
      </c>
      <c r="O25506">
        <f>IF(N25506="","",'Master Barang'!B100)</f>
        <v>0</v>
      </c>
      <c r="P25506">
        <f>IF(OR(M25506="",N25506=""),"",SUMIFS('Barang Keluar'!$E:$E,'Barang Keluar'!$A:$A,M25506,'Barang Keluar'!$C:$C,N25506))</f>
        <v>0</v>
      </c>
    </row>
    <row r="25507" spans="13:16">
      <c r="M25507" s="49">
        <f>IF($A$4+254&gt;$B$4,"",$A$4+254)</f>
        <v>46277</v>
      </c>
      <c r="N25507">
        <f>IF(M25507="","",'Master Barang'!A101)</f>
        <v>0</v>
      </c>
      <c r="O25507">
        <f>IF(N25507="","",'Master Barang'!B101)</f>
        <v>0</v>
      </c>
      <c r="P25507">
        <f>IF(OR(M25507="",N25507=""),"",SUMIFS('Barang Keluar'!$E:$E,'Barang Keluar'!$A:$A,M25507,'Barang Keluar'!$C:$C,N25507))</f>
        <v>0</v>
      </c>
    </row>
    <row r="25508" spans="13:16">
      <c r="M25508" s="49">
        <f>IF($A$4+255&gt;$B$4,"",$A$4+255)</f>
        <v>46278</v>
      </c>
      <c r="N25508" t="str">
        <f>IF(M25508="","",'Master Barang'!A2)</f>
        <v>PRL-001</v>
      </c>
      <c r="O25508" t="str">
        <f>IF(N25508="","",'Master Barang'!B2)</f>
        <v>natura desinfectant food grade 5l</v>
      </c>
      <c r="P25508">
        <f>IF(OR(M25508="",N25508=""),"",SUMIFS('Barang Keluar'!$E:$E,'Barang Keluar'!$A:$A,M25508,'Barang Keluar'!$C:$C,N25508))</f>
        <v>0</v>
      </c>
    </row>
    <row r="25509" spans="13:16">
      <c r="M25509" s="49">
        <f>IF($A$4+255&gt;$B$4,"",$A$4+255)</f>
        <v>46278</v>
      </c>
      <c r="N25509" t="str">
        <f>IF(M25509="","",'Master Barang'!A3)</f>
        <v>PRL-002</v>
      </c>
      <c r="O25509" t="str">
        <f>IF(N25509="","",'Master Barang'!B3)</f>
        <v>sunlight cairan pencuci piring 5l</v>
      </c>
      <c r="P25509">
        <f>IF(OR(M25509="",N25509=""),"",SUMIFS('Barang Keluar'!$E:$E,'Barang Keluar'!$A:$A,M25509,'Barang Keluar'!$C:$C,N25509))</f>
        <v>0</v>
      </c>
    </row>
    <row r="25510" spans="13:16">
      <c r="M25510" s="49">
        <f>IF($A$4+255&gt;$B$4,"",$A$4+255)</f>
        <v>46278</v>
      </c>
      <c r="N25510" t="str">
        <f>IF(M25510="","",'Master Barang'!A4)</f>
        <v>PRL-003</v>
      </c>
      <c r="O25510" t="str">
        <f>IF(N25510="","",'Master Barang'!B4)</f>
        <v>oixs cleaner 1l</v>
      </c>
      <c r="P25510">
        <f>IF(OR(M25510="",N25510=""),"",SUMIFS('Barang Keluar'!$E:$E,'Barang Keluar'!$A:$A,M25510,'Barang Keluar'!$C:$C,N25510))</f>
        <v>0</v>
      </c>
    </row>
    <row r="25511" spans="13:16">
      <c r="M25511" s="49">
        <f>IF($A$4+255&gt;$B$4,"",$A$4+255)</f>
        <v>46278</v>
      </c>
      <c r="N25511" t="str">
        <f>IF(M25511="","",'Master Barang'!A5)</f>
        <v>PRL-004</v>
      </c>
      <c r="O25511" t="str">
        <f>IF(N25511="","",'Master Barang'!B5)</f>
        <v>be clean tissue serbaguna</v>
      </c>
      <c r="P25511">
        <f>IF(OR(M25511="",N25511=""),"",SUMIFS('Barang Keluar'!$E:$E,'Barang Keluar'!$A:$A,M25511,'Barang Keluar'!$C:$C,N25511))</f>
        <v>0</v>
      </c>
    </row>
    <row r="25512" spans="13:16">
      <c r="M25512" s="49">
        <f>IF($A$4+255&gt;$B$4,"",$A$4+255)</f>
        <v>46278</v>
      </c>
      <c r="N25512" t="str">
        <f>IF(M25512="","",'Master Barang'!A6)</f>
        <v>PRL-005</v>
      </c>
      <c r="O25512" t="str">
        <f>IF(N25512="","",'Master Barang'!B6)</f>
        <v>spons cuci hijau</v>
      </c>
      <c r="P25512">
        <f>IF(OR(M25512="",N25512=""),"",SUMIFS('Barang Keluar'!$E:$E,'Barang Keluar'!$A:$A,M25512,'Barang Keluar'!$C:$C,N25512))</f>
        <v>0</v>
      </c>
    </row>
    <row r="25513" spans="13:16">
      <c r="M25513" s="49">
        <f>IF($A$4+255&gt;$B$4,"",$A$4+255)</f>
        <v>46278</v>
      </c>
      <c r="N25513" t="str">
        <f>IF(M25513="","",'Master Barang'!A7)</f>
        <v>PRL-006</v>
      </c>
      <c r="O25513" t="str">
        <f>IF(N25513="","",'Master Barang'!B7)</f>
        <v>sabut cuci stainless</v>
      </c>
      <c r="P25513">
        <f>IF(OR(M25513="",N25513=""),"",SUMIFS('Barang Keluar'!$E:$E,'Barang Keluar'!$A:$A,M25513,'Barang Keluar'!$C:$C,N25513))</f>
        <v>0</v>
      </c>
    </row>
    <row r="25514" spans="13:16">
      <c r="M25514" s="49">
        <f>IF($A$4+255&gt;$B$4,"",$A$4+255)</f>
        <v>46278</v>
      </c>
      <c r="N25514" t="str">
        <f>IF(M25514="","",'Master Barang'!A8)</f>
        <v>PRL-007</v>
      </c>
      <c r="O25514" t="str">
        <f>IF(N25514="","",'Master Barang'!B8)</f>
        <v>plastik kresek besar merah 50pc</v>
      </c>
      <c r="P25514">
        <f>IF(OR(M25514="",N25514=""),"",SUMIFS('Barang Keluar'!$E:$E,'Barang Keluar'!$A:$A,M25514,'Barang Keluar'!$C:$C,N25514))</f>
        <v>0</v>
      </c>
    </row>
    <row r="25515" spans="13:16">
      <c r="M25515" s="49">
        <f>IF($A$4+255&gt;$B$4,"",$A$4+255)</f>
        <v>46278</v>
      </c>
      <c r="N25515" t="str">
        <f>IF(M25515="","",'Master Barang'!A9)</f>
        <v>PRL-008</v>
      </c>
      <c r="O25515" t="str">
        <f>IF(N25515="","",'Master Barang'!B9)</f>
        <v>lap besar</v>
      </c>
      <c r="P25515">
        <f>IF(OR(M25515="",N25515=""),"",SUMIFS('Barang Keluar'!$E:$E,'Barang Keluar'!$A:$A,M25515,'Barang Keluar'!$C:$C,N25515))</f>
        <v>0</v>
      </c>
    </row>
    <row r="25516" spans="13:16">
      <c r="M25516" s="49">
        <f>IF($A$4+255&gt;$B$4,"",$A$4+255)</f>
        <v>46278</v>
      </c>
      <c r="N25516" t="str">
        <f>IF(M25516="","",'Master Barang'!A10)</f>
        <v>PRL-009</v>
      </c>
      <c r="O25516" t="str">
        <f>IF(N25516="","",'Master Barang'!B10)</f>
        <v>lap microfiber</v>
      </c>
      <c r="P25516">
        <f>IF(OR(M25516="",N25516=""),"",SUMIFS('Barang Keluar'!$E:$E,'Barang Keluar'!$A:$A,M25516,'Barang Keluar'!$C:$C,N25516))</f>
        <v>0</v>
      </c>
    </row>
    <row r="25517" spans="13:16">
      <c r="M25517" s="49">
        <f>IF($A$4+255&gt;$B$4,"",$A$4+255)</f>
        <v>46278</v>
      </c>
      <c r="N25517" t="str">
        <f>IF(M25517="","",'Master Barang'!A11)</f>
        <v>PRL-010</v>
      </c>
      <c r="O25517" t="str">
        <f>IF(N25517="","",'Master Barang'!B11)</f>
        <v>lap kecil</v>
      </c>
      <c r="P25517">
        <f>IF(OR(M25517="",N25517=""),"",SUMIFS('Barang Keluar'!$E:$E,'Barang Keluar'!$A:$A,M25517,'Barang Keluar'!$C:$C,N25517))</f>
        <v>0</v>
      </c>
    </row>
    <row r="25518" spans="13:16">
      <c r="M25518" s="49">
        <f>IF($A$4+255&gt;$B$4,"",$A$4+255)</f>
        <v>46278</v>
      </c>
      <c r="N25518" t="str">
        <f>IF(M25518="","",'Master Barang'!A12)</f>
        <v>PRL-011</v>
      </c>
      <c r="O25518" t="str">
        <f>IF(N25518="","",'Master Barang'!B12)</f>
        <v>kanebo kecil</v>
      </c>
      <c r="P25518">
        <f>IF(OR(M25518="",N25518=""),"",SUMIFS('Barang Keluar'!$E:$E,'Barang Keluar'!$A:$A,M25518,'Barang Keluar'!$C:$C,N25518))</f>
        <v>0</v>
      </c>
    </row>
    <row r="25519" spans="13:16">
      <c r="M25519" s="49">
        <f>IF($A$4+255&gt;$B$4,"",$A$4+255)</f>
        <v>46278</v>
      </c>
      <c r="N25519" t="str">
        <f>IF(M25519="","",'Master Barang'!A13)</f>
        <v>PRL-012</v>
      </c>
      <c r="O25519" t="str">
        <f>IF(N25519="","",'Master Barang'!B13)</f>
        <v>plastik 1/4kg joyoboyo 100 lembar</v>
      </c>
      <c r="P25519">
        <f>IF(OR(M25519="",N25519=""),"",SUMIFS('Barang Keluar'!$E:$E,'Barang Keluar'!$A:$A,M25519,'Barang Keluar'!$C:$C,N25519))</f>
        <v>0</v>
      </c>
    </row>
    <row r="25520" spans="13:16">
      <c r="M25520" s="49">
        <f>IF($A$4+255&gt;$B$4,"",$A$4+255)</f>
        <v>46278</v>
      </c>
      <c r="N25520" t="str">
        <f>IF(M25520="","",'Master Barang'!A14)</f>
        <v>PRL-013</v>
      </c>
      <c r="O25520" t="str">
        <f>IF(N25520="","",'Master Barang'!B14)</f>
        <v>sarung tangan plastik kaka 100 pcs</v>
      </c>
      <c r="P25520">
        <f>IF(OR(M25520="",N25520=""),"",SUMIFS('Barang Keluar'!$E:$E,'Barang Keluar'!$A:$A,M25520,'Barang Keluar'!$C:$C,N25520))</f>
        <v>0</v>
      </c>
    </row>
    <row r="25521" spans="13:16">
      <c r="M25521" s="49">
        <f>IF($A$4+255&gt;$B$4,"",$A$4+255)</f>
        <v>46278</v>
      </c>
      <c r="N25521" t="str">
        <f>IF(M25521="","",'Master Barang'!A15)</f>
        <v>PRL-014</v>
      </c>
      <c r="O25521" t="str">
        <f>IF(N25521="","",'Master Barang'!B15)</f>
        <v>optima trashbag 80x100</v>
      </c>
      <c r="P25521">
        <f>IF(OR(M25521="",N25521=""),"",SUMIFS('Barang Keluar'!$E:$E,'Barang Keluar'!$A:$A,M25521,'Barang Keluar'!$C:$C,N25521))</f>
        <v>0</v>
      </c>
    </row>
    <row r="25522" spans="13:16">
      <c r="M25522" s="49">
        <f>IF($A$4+255&gt;$B$4,"",$A$4+255)</f>
        <v>46278</v>
      </c>
      <c r="N25522" t="str">
        <f>IF(M25522="","",'Master Barang'!A16)</f>
        <v>PRL-015</v>
      </c>
      <c r="O25522" t="str">
        <f>IF(N25522="","",'Master Barang'!B16)</f>
        <v>optima trashbag 60x100</v>
      </c>
      <c r="P25522">
        <f>IF(OR(M25522="",N25522=""),"",SUMIFS('Barang Keluar'!$E:$E,'Barang Keluar'!$A:$A,M25522,'Barang Keluar'!$C:$C,N25522))</f>
        <v>0</v>
      </c>
    </row>
    <row r="25523" spans="13:16">
      <c r="M25523" s="49">
        <f>IF($A$4+255&gt;$B$4,"",$A$4+255)</f>
        <v>46278</v>
      </c>
      <c r="N25523" t="str">
        <f>IF(M25523="","",'Master Barang'!A17)</f>
        <v>PRL-016</v>
      </c>
      <c r="O25523" t="str">
        <f>IF(N25523="","",'Master Barang'!B17)</f>
        <v>rajawali trashbag 30x40</v>
      </c>
      <c r="P25523">
        <f>IF(OR(M25523="",N25523=""),"",SUMIFS('Barang Keluar'!$E:$E,'Barang Keluar'!$A:$A,M25523,'Barang Keluar'!$C:$C,N25523))</f>
        <v>0</v>
      </c>
    </row>
    <row r="25524" spans="13:16">
      <c r="M25524" s="49">
        <f>IF($A$4+255&gt;$B$4,"",$A$4+255)</f>
        <v>46278</v>
      </c>
      <c r="N25524" t="str">
        <f>IF(M25524="","",'Master Barang'!A18)</f>
        <v>PRL-017</v>
      </c>
      <c r="O25524" t="str">
        <f>IF(N25524="","",'Master Barang'!B18)</f>
        <v>onemed masker biru 3 play 50 pcs</v>
      </c>
      <c r="P25524">
        <f>IF(OR(M25524="",N25524=""),"",SUMIFS('Barang Keluar'!$E:$E,'Barang Keluar'!$A:$A,M25524,'Barang Keluar'!$C:$C,N25524))</f>
        <v>0</v>
      </c>
    </row>
    <row r="25525" spans="13:16">
      <c r="M25525" s="49">
        <f>IF($A$4+255&gt;$B$4,"",$A$4+255)</f>
        <v>46278</v>
      </c>
      <c r="N25525" t="str">
        <f>IF(M25525="","",'Master Barang'!A19)</f>
        <v>PRL-018</v>
      </c>
      <c r="O25525" t="str">
        <f>IF(N25525="","",'Master Barang'!B19)</f>
        <v>onemed masker biru 3 play hijab 50 pcs</v>
      </c>
      <c r="P25525">
        <f>IF(OR(M25525="",N25525=""),"",SUMIFS('Barang Keluar'!$E:$E,'Barang Keluar'!$A:$A,M25525,'Barang Keluar'!$C:$C,N25525))</f>
        <v>0</v>
      </c>
    </row>
    <row r="25526" spans="13:16">
      <c r="M25526" s="49">
        <f>IF($A$4+255&gt;$B$4,"",$A$4+255)</f>
        <v>46278</v>
      </c>
      <c r="N25526" t="str">
        <f>IF(M25526="","",'Master Barang'!A20)</f>
        <v>PRL-019</v>
      </c>
      <c r="O25526" t="str">
        <f>IF(N25526="","",'Master Barang'!B20)</f>
        <v>neo health masker biru 3 play 50 pcs</v>
      </c>
      <c r="P25526">
        <f>IF(OR(M25526="",N25526=""),"",SUMIFS('Barang Keluar'!$E:$E,'Barang Keluar'!$A:$A,M25526,'Barang Keluar'!$C:$C,N25526))</f>
        <v>0</v>
      </c>
    </row>
    <row r="25527" spans="13:16">
      <c r="M25527" s="49">
        <f>IF($A$4+255&gt;$B$4,"",$A$4+255)</f>
        <v>46278</v>
      </c>
      <c r="N25527" t="str">
        <f>IF(M25527="","",'Master Barang'!A21)</f>
        <v>PRL-020</v>
      </c>
      <c r="O25527" t="str">
        <f>IF(N25527="","",'Master Barang'!B21)</f>
        <v>baymed masker hijau 3 play hijau 50 pcs</v>
      </c>
      <c r="P25527">
        <f>IF(OR(M25527="",N25527=""),"",SUMIFS('Barang Keluar'!$E:$E,'Barang Keluar'!$A:$A,M25527,'Barang Keluar'!$C:$C,N25527))</f>
        <v>0</v>
      </c>
    </row>
    <row r="25528" spans="13:16">
      <c r="M25528" s="49">
        <f>IF($A$4+255&gt;$B$4,"",$A$4+255)</f>
        <v>46278</v>
      </c>
      <c r="N25528" t="str">
        <f>IF(M25528="","",'Master Barang'!A22)</f>
        <v>PRL-021</v>
      </c>
      <c r="O25528" t="str">
        <f>IF(N25528="","",'Master Barang'!B22)</f>
        <v>altamed nurse cap penutup kepala 100 pcs</v>
      </c>
      <c r="P25528">
        <f>IF(OR(M25528="",N25528=""),"",SUMIFS('Barang Keluar'!$E:$E,'Barang Keluar'!$A:$A,M25528,'Barang Keluar'!$C:$C,N25528))</f>
        <v>0</v>
      </c>
    </row>
    <row r="25529" spans="13:16">
      <c r="M25529" s="49">
        <f>IF($A$4+255&gt;$B$4,"",$A$4+255)</f>
        <v>46278</v>
      </c>
      <c r="N25529" t="str">
        <f>IF(M25529="","",'Master Barang'!A23)</f>
        <v>PRL-022</v>
      </c>
      <c r="O25529" t="str">
        <f>IF(N25529="","",'Master Barang'!B23)</f>
        <v>sabun cuci tangan</v>
      </c>
      <c r="P25529">
        <f>IF(OR(M25529="",N25529=""),"",SUMIFS('Barang Keluar'!$E:$E,'Barang Keluar'!$A:$A,M25529,'Barang Keluar'!$C:$C,N25529))</f>
        <v>0</v>
      </c>
    </row>
    <row r="25530" spans="13:16">
      <c r="M25530" s="49">
        <f>IF($A$4+255&gt;$B$4,"",$A$4+255)</f>
        <v>46278</v>
      </c>
      <c r="N25530" t="str">
        <f>IF(M25530="","",'Master Barang'!A24)</f>
        <v>PRL-023</v>
      </c>
      <c r="O25530" t="str">
        <f>IF(N25530="","",'Master Barang'!B24)</f>
        <v>gayung kecil</v>
      </c>
      <c r="P25530">
        <f>IF(OR(M25530="",N25530=""),"",SUMIFS('Barang Keluar'!$E:$E,'Barang Keluar'!$A:$A,M25530,'Barang Keluar'!$C:$C,N25530))</f>
        <v>0</v>
      </c>
    </row>
    <row r="25531" spans="13:16">
      <c r="M25531" s="49">
        <f>IF($A$4+255&gt;$B$4,"",$A$4+255)</f>
        <v>46278</v>
      </c>
      <c r="N25531" t="str">
        <f>IF(M25531="","",'Master Barang'!A25)</f>
        <v>PRL-024</v>
      </c>
      <c r="O25531" t="str">
        <f>IF(N25531="","",'Master Barang'!B25)</f>
        <v>cikrak kecil</v>
      </c>
      <c r="P25531">
        <f>IF(OR(M25531="",N25531=""),"",SUMIFS('Barang Keluar'!$E:$E,'Barang Keluar'!$A:$A,M25531,'Barang Keluar'!$C:$C,N25531))</f>
        <v>0</v>
      </c>
    </row>
    <row r="25532" spans="13:16">
      <c r="M25532" s="49">
        <f>IF($A$4+255&gt;$B$4,"",$A$4+255)</f>
        <v>46278</v>
      </c>
      <c r="N25532" t="str">
        <f>IF(M25532="","",'Master Barang'!A26)</f>
        <v>PRL-025</v>
      </c>
      <c r="O25532" t="str">
        <f>IF(N25532="","",'Master Barang'!B26)</f>
        <v>petromax plastik kecil 12x24 100 lembar</v>
      </c>
      <c r="P25532">
        <f>IF(OR(M25532="",N25532=""),"",SUMIFS('Barang Keluar'!$E:$E,'Barang Keluar'!$A:$A,M25532,'Barang Keluar'!$C:$C,N25532))</f>
        <v>0</v>
      </c>
    </row>
    <row r="25533" spans="13:16">
      <c r="M25533" s="49">
        <f>IF($A$4+255&gt;$B$4,"",$A$4+255)</f>
        <v>46278</v>
      </c>
      <c r="N25533" t="str">
        <f>IF(M25533="","",'Master Barang'!A27)</f>
        <v>PRL-026</v>
      </c>
      <c r="O25533" t="str">
        <f>IF(N25533="","",'Master Barang'!B27)</f>
        <v>lancar kresek kecil bening </v>
      </c>
      <c r="P25533">
        <f>IF(OR(M25533="",N25533=""),"",SUMIFS('Barang Keluar'!$E:$E,'Barang Keluar'!$A:$A,M25533,'Barang Keluar'!$C:$C,N25533))</f>
        <v>0</v>
      </c>
    </row>
    <row r="25534" spans="13:16">
      <c r="M25534" s="49">
        <f>IF($A$4+255&gt;$B$4,"",$A$4+255)</f>
        <v>46278</v>
      </c>
      <c r="N25534" t="str">
        <f>IF(M25534="","",'Master Barang'!A28)</f>
        <v>PRL-027</v>
      </c>
      <c r="O25534" t="str">
        <f>IF(N25534="","",'Master Barang'!B28)</f>
        <v>kresek klin warna warni kecil</v>
      </c>
      <c r="P25534">
        <f>IF(OR(M25534="",N25534=""),"",SUMIFS('Barang Keluar'!$E:$E,'Barang Keluar'!$A:$A,M25534,'Barang Keluar'!$C:$C,N25534))</f>
        <v>0</v>
      </c>
    </row>
    <row r="25535" spans="13:16">
      <c r="M25535" s="49">
        <f>IF($A$4+255&gt;$B$4,"",$A$4+255)</f>
        <v>46278</v>
      </c>
      <c r="N25535" t="str">
        <f>IF(M25535="","",'Master Barang'!A29)</f>
        <v>PRL-028</v>
      </c>
      <c r="O25535" t="str">
        <f>IF(N25535="","",'Master Barang'!B29)</f>
        <v>ctik plastik 7x10 100 pcs</v>
      </c>
      <c r="P25535">
        <f>IF(OR(M25535="",N25535=""),"",SUMIFS('Barang Keluar'!$E:$E,'Barang Keluar'!$A:$A,M25535,'Barang Keluar'!$C:$C,N25535))</f>
        <v>0</v>
      </c>
    </row>
    <row r="25536" spans="13:16">
      <c r="M25536" s="49">
        <f>IF($A$4+255&gt;$B$4,"",$A$4+255)</f>
        <v>46278</v>
      </c>
      <c r="N25536" t="str">
        <f>IF(M25536="","",'Master Barang'!A30)</f>
        <v>PRL-029</v>
      </c>
      <c r="O25536" t="str">
        <f>IF(N25536="","",'Master Barang'!B30)</f>
        <v>ctik plastik 6x10 100 pcs</v>
      </c>
      <c r="P25536">
        <f>IF(OR(M25536="",N25536=""),"",SUMIFS('Barang Keluar'!$E:$E,'Barang Keluar'!$A:$A,M25536,'Barang Keluar'!$C:$C,N25536))</f>
        <v>0</v>
      </c>
    </row>
    <row r="25537" spans="13:16">
      <c r="M25537" s="49">
        <f>IF($A$4+255&gt;$B$4,"",$A$4+255)</f>
        <v>46278</v>
      </c>
      <c r="N25537" t="str">
        <f>IF(M25537="","",'Master Barang'!A31)</f>
        <v>PRL-030</v>
      </c>
      <c r="O25537" t="str">
        <f>IF(N25537="","",'Master Barang'!B31)</f>
        <v>klip plastik 25x16 100 pcs</v>
      </c>
      <c r="P25537">
        <f>IF(OR(M25537="",N25537=""),"",SUMIFS('Barang Keluar'!$E:$E,'Barang Keluar'!$A:$A,M25537,'Barang Keluar'!$C:$C,N25537))</f>
        <v>0</v>
      </c>
    </row>
    <row r="25538" spans="13:16">
      <c r="M25538" s="49">
        <f>IF($A$4+255&gt;$B$4,"",$A$4+255)</f>
        <v>46278</v>
      </c>
      <c r="N25538" t="str">
        <f>IF(M25538="","",'Master Barang'!A32)</f>
        <v>PRL-031</v>
      </c>
      <c r="O25538" t="str">
        <f>IF(N25538="","",'Master Barang'!B32)</f>
        <v>tempat saus 20 ml</v>
      </c>
      <c r="P25538">
        <f>IF(OR(M25538="",N25538=""),"",SUMIFS('Barang Keluar'!$E:$E,'Barang Keluar'!$A:$A,M25538,'Barang Keluar'!$C:$C,N25538))</f>
        <v>0</v>
      </c>
    </row>
    <row r="25539" spans="13:16">
      <c r="M25539" s="49">
        <f>IF($A$4+255&gt;$B$4,"",$A$4+255)</f>
        <v>46278</v>
      </c>
      <c r="N25539" t="str">
        <f>IF(M25539="","",'Master Barang'!A33)</f>
        <v>PRL-032</v>
      </c>
      <c r="O25539" t="str">
        <f>IF(N25539="","",'Master Barang'!B33)</f>
        <v>plastik packaging ag box uk sedang</v>
      </c>
      <c r="P25539">
        <f>IF(OR(M25539="",N25539=""),"",SUMIFS('Barang Keluar'!$E:$E,'Barang Keluar'!$A:$A,M25539,'Barang Keluar'!$C:$C,N25539))</f>
        <v>0</v>
      </c>
    </row>
    <row r="25540" spans="13:16">
      <c r="M25540" s="49">
        <f>IF($A$4+255&gt;$B$4,"",$A$4+255)</f>
        <v>46278</v>
      </c>
      <c r="N25540" t="str">
        <f>IF(M25540="","",'Master Barang'!A34)</f>
        <v>PRL-033</v>
      </c>
      <c r="O25540">
        <f>IF(N25540="","",'Master Barang'!B34)</f>
        <v>0</v>
      </c>
      <c r="P25540">
        <f>IF(OR(M25540="",N25540=""),"",SUMIFS('Barang Keluar'!$E:$E,'Barang Keluar'!$A:$A,M25540,'Barang Keluar'!$C:$C,N25540))</f>
        <v>0</v>
      </c>
    </row>
    <row r="25541" spans="13:16">
      <c r="M25541" s="49">
        <f>IF($A$4+255&gt;$B$4,"",$A$4+255)</f>
        <v>46278</v>
      </c>
      <c r="N25541">
        <f>IF(M25541="","",'Master Barang'!A35)</f>
        <v>0</v>
      </c>
      <c r="O25541">
        <f>IF(N25541="","",'Master Barang'!B35)</f>
        <v>0</v>
      </c>
      <c r="P25541">
        <f>IF(OR(M25541="",N25541=""),"",SUMIFS('Barang Keluar'!$E:$E,'Barang Keluar'!$A:$A,M25541,'Barang Keluar'!$C:$C,N25541))</f>
        <v>0</v>
      </c>
    </row>
    <row r="25542" spans="13:16">
      <c r="M25542" s="49">
        <f>IF($A$4+255&gt;$B$4,"",$A$4+255)</f>
        <v>46278</v>
      </c>
      <c r="N25542">
        <f>IF(M25542="","",'Master Barang'!A36)</f>
        <v>0</v>
      </c>
      <c r="O25542">
        <f>IF(N25542="","",'Master Barang'!B36)</f>
        <v>0</v>
      </c>
      <c r="P25542">
        <f>IF(OR(M25542="",N25542=""),"",SUMIFS('Barang Keluar'!$E:$E,'Barang Keluar'!$A:$A,M25542,'Barang Keluar'!$C:$C,N25542))</f>
        <v>0</v>
      </c>
    </row>
    <row r="25543" spans="13:16">
      <c r="M25543" s="49">
        <f>IF($A$4+255&gt;$B$4,"",$A$4+255)</f>
        <v>46278</v>
      </c>
      <c r="N25543">
        <f>IF(M25543="","",'Master Barang'!A37)</f>
        <v>0</v>
      </c>
      <c r="O25543">
        <f>IF(N25543="","",'Master Barang'!B37)</f>
        <v>0</v>
      </c>
      <c r="P25543">
        <f>IF(OR(M25543="",N25543=""),"",SUMIFS('Barang Keluar'!$E:$E,'Barang Keluar'!$A:$A,M25543,'Barang Keluar'!$C:$C,N25543))</f>
        <v>0</v>
      </c>
    </row>
    <row r="25544" spans="13:16">
      <c r="M25544" s="49">
        <f>IF($A$4+255&gt;$B$4,"",$A$4+255)</f>
        <v>46278</v>
      </c>
      <c r="N25544">
        <f>IF(M25544="","",'Master Barang'!A38)</f>
        <v>0</v>
      </c>
      <c r="O25544">
        <f>IF(N25544="","",'Master Barang'!B38)</f>
        <v>0</v>
      </c>
      <c r="P25544">
        <f>IF(OR(M25544="",N25544=""),"",SUMIFS('Barang Keluar'!$E:$E,'Barang Keluar'!$A:$A,M25544,'Barang Keluar'!$C:$C,N25544))</f>
        <v>0</v>
      </c>
    </row>
    <row r="25545" spans="13:16">
      <c r="M25545" s="49">
        <f>IF($A$4+255&gt;$B$4,"",$A$4+255)</f>
        <v>46278</v>
      </c>
      <c r="N25545">
        <f>IF(M25545="","",'Master Barang'!A39)</f>
        <v>0</v>
      </c>
      <c r="O25545">
        <f>IF(N25545="","",'Master Barang'!B39)</f>
        <v>0</v>
      </c>
      <c r="P25545">
        <f>IF(OR(M25545="",N25545=""),"",SUMIFS('Barang Keluar'!$E:$E,'Barang Keluar'!$A:$A,M25545,'Barang Keluar'!$C:$C,N25545))</f>
        <v>0</v>
      </c>
    </row>
    <row r="25546" spans="13:16">
      <c r="M25546" s="49">
        <f>IF($A$4+255&gt;$B$4,"",$A$4+255)</f>
        <v>46278</v>
      </c>
      <c r="N25546">
        <f>IF(M25546="","",'Master Barang'!A40)</f>
        <v>0</v>
      </c>
      <c r="O25546">
        <f>IF(N25546="","",'Master Barang'!B40)</f>
        <v>0</v>
      </c>
      <c r="P25546">
        <f>IF(OR(M25546="",N25546=""),"",SUMIFS('Barang Keluar'!$E:$E,'Barang Keluar'!$A:$A,M25546,'Barang Keluar'!$C:$C,N25546))</f>
        <v>0</v>
      </c>
    </row>
    <row r="25547" spans="13:16">
      <c r="M25547" s="49">
        <f>IF($A$4+255&gt;$B$4,"",$A$4+255)</f>
        <v>46278</v>
      </c>
      <c r="N25547">
        <f>IF(M25547="","",'Master Barang'!A41)</f>
        <v>0</v>
      </c>
      <c r="O25547">
        <f>IF(N25547="","",'Master Barang'!B41)</f>
        <v>0</v>
      </c>
      <c r="P25547">
        <f>IF(OR(M25547="",N25547=""),"",SUMIFS('Barang Keluar'!$E:$E,'Barang Keluar'!$A:$A,M25547,'Barang Keluar'!$C:$C,N25547))</f>
        <v>0</v>
      </c>
    </row>
    <row r="25548" spans="13:16">
      <c r="M25548" s="49">
        <f>IF($A$4+255&gt;$B$4,"",$A$4+255)</f>
        <v>46278</v>
      </c>
      <c r="N25548">
        <f>IF(M25548="","",'Master Barang'!A42)</f>
        <v>0</v>
      </c>
      <c r="O25548">
        <f>IF(N25548="","",'Master Barang'!B42)</f>
        <v>0</v>
      </c>
      <c r="P25548">
        <f>IF(OR(M25548="",N25548=""),"",SUMIFS('Barang Keluar'!$E:$E,'Barang Keluar'!$A:$A,M25548,'Barang Keluar'!$C:$C,N25548))</f>
        <v>0</v>
      </c>
    </row>
    <row r="25549" spans="13:16">
      <c r="M25549" s="49">
        <f>IF($A$4+255&gt;$B$4,"",$A$4+255)</f>
        <v>46278</v>
      </c>
      <c r="N25549">
        <f>IF(M25549="","",'Master Barang'!A43)</f>
        <v>0</v>
      </c>
      <c r="O25549">
        <f>IF(N25549="","",'Master Barang'!B43)</f>
        <v>0</v>
      </c>
      <c r="P25549">
        <f>IF(OR(M25549="",N25549=""),"",SUMIFS('Barang Keluar'!$E:$E,'Barang Keluar'!$A:$A,M25549,'Barang Keluar'!$C:$C,N25549))</f>
        <v>0</v>
      </c>
    </row>
    <row r="25550" spans="13:16">
      <c r="M25550" s="49">
        <f>IF($A$4+255&gt;$B$4,"",$A$4+255)</f>
        <v>46278</v>
      </c>
      <c r="N25550">
        <f>IF(M25550="","",'Master Barang'!A44)</f>
        <v>0</v>
      </c>
      <c r="O25550">
        <f>IF(N25550="","",'Master Barang'!B44)</f>
        <v>0</v>
      </c>
      <c r="P25550">
        <f>IF(OR(M25550="",N25550=""),"",SUMIFS('Barang Keluar'!$E:$E,'Barang Keluar'!$A:$A,M25550,'Barang Keluar'!$C:$C,N25550))</f>
        <v>0</v>
      </c>
    </row>
    <row r="25551" spans="13:16">
      <c r="M25551" s="49">
        <f>IF($A$4+255&gt;$B$4,"",$A$4+255)</f>
        <v>46278</v>
      </c>
      <c r="N25551">
        <f>IF(M25551="","",'Master Barang'!A45)</f>
        <v>0</v>
      </c>
      <c r="O25551">
        <f>IF(N25551="","",'Master Barang'!B45)</f>
        <v>0</v>
      </c>
      <c r="P25551">
        <f>IF(OR(M25551="",N25551=""),"",SUMIFS('Barang Keluar'!$E:$E,'Barang Keluar'!$A:$A,M25551,'Barang Keluar'!$C:$C,N25551))</f>
        <v>0</v>
      </c>
    </row>
    <row r="25552" spans="13:16">
      <c r="M25552" s="49">
        <f>IF($A$4+255&gt;$B$4,"",$A$4+255)</f>
        <v>46278</v>
      </c>
      <c r="N25552">
        <f>IF(M25552="","",'Master Barang'!A46)</f>
        <v>0</v>
      </c>
      <c r="O25552">
        <f>IF(N25552="","",'Master Barang'!B46)</f>
        <v>0</v>
      </c>
      <c r="P25552">
        <f>IF(OR(M25552="",N25552=""),"",SUMIFS('Barang Keluar'!$E:$E,'Barang Keluar'!$A:$A,M25552,'Barang Keluar'!$C:$C,N25552))</f>
        <v>0</v>
      </c>
    </row>
    <row r="25553" spans="13:16">
      <c r="M25553" s="49">
        <f>IF($A$4+255&gt;$B$4,"",$A$4+255)</f>
        <v>46278</v>
      </c>
      <c r="N25553">
        <f>IF(M25553="","",'Master Barang'!A47)</f>
        <v>0</v>
      </c>
      <c r="O25553">
        <f>IF(N25553="","",'Master Barang'!B47)</f>
        <v>0</v>
      </c>
      <c r="P25553">
        <f>IF(OR(M25553="",N25553=""),"",SUMIFS('Barang Keluar'!$E:$E,'Barang Keluar'!$A:$A,M25553,'Barang Keluar'!$C:$C,N25553))</f>
        <v>0</v>
      </c>
    </row>
    <row r="25554" spans="13:16">
      <c r="M25554" s="49">
        <f>IF($A$4+255&gt;$B$4,"",$A$4+255)</f>
        <v>46278</v>
      </c>
      <c r="N25554">
        <f>IF(M25554="","",'Master Barang'!A48)</f>
        <v>0</v>
      </c>
      <c r="O25554">
        <f>IF(N25554="","",'Master Barang'!B48)</f>
        <v>0</v>
      </c>
      <c r="P25554">
        <f>IF(OR(M25554="",N25554=""),"",SUMIFS('Barang Keluar'!$E:$E,'Barang Keluar'!$A:$A,M25554,'Barang Keluar'!$C:$C,N25554))</f>
        <v>0</v>
      </c>
    </row>
    <row r="25555" spans="13:16">
      <c r="M25555" s="49">
        <f>IF($A$4+255&gt;$B$4,"",$A$4+255)</f>
        <v>46278</v>
      </c>
      <c r="N25555">
        <f>IF(M25555="","",'Master Barang'!A49)</f>
        <v>0</v>
      </c>
      <c r="O25555">
        <f>IF(N25555="","",'Master Barang'!B49)</f>
        <v>0</v>
      </c>
      <c r="P25555">
        <f>IF(OR(M25555="",N25555=""),"",SUMIFS('Barang Keluar'!$E:$E,'Barang Keluar'!$A:$A,M25555,'Barang Keluar'!$C:$C,N25555))</f>
        <v>0</v>
      </c>
    </row>
    <row r="25556" spans="13:16">
      <c r="M25556" s="49">
        <f>IF($A$4+255&gt;$B$4,"",$A$4+255)</f>
        <v>46278</v>
      </c>
      <c r="N25556">
        <f>IF(M25556="","",'Master Barang'!A50)</f>
        <v>0</v>
      </c>
      <c r="O25556">
        <f>IF(N25556="","",'Master Barang'!B50)</f>
        <v>0</v>
      </c>
      <c r="P25556">
        <f>IF(OR(M25556="",N25556=""),"",SUMIFS('Barang Keluar'!$E:$E,'Barang Keluar'!$A:$A,M25556,'Barang Keluar'!$C:$C,N25556))</f>
        <v>0</v>
      </c>
    </row>
    <row r="25557" spans="13:16">
      <c r="M25557" s="49">
        <f>IF($A$4+255&gt;$B$4,"",$A$4+255)</f>
        <v>46278</v>
      </c>
      <c r="N25557">
        <f>IF(M25557="","",'Master Barang'!A51)</f>
        <v>0</v>
      </c>
      <c r="O25557">
        <f>IF(N25557="","",'Master Barang'!B51)</f>
        <v>0</v>
      </c>
      <c r="P25557">
        <f>IF(OR(M25557="",N25557=""),"",SUMIFS('Barang Keluar'!$E:$E,'Barang Keluar'!$A:$A,M25557,'Barang Keluar'!$C:$C,N25557))</f>
        <v>0</v>
      </c>
    </row>
    <row r="25558" spans="13:16">
      <c r="M25558" s="49">
        <f>IF($A$4+255&gt;$B$4,"",$A$4+255)</f>
        <v>46278</v>
      </c>
      <c r="N25558">
        <f>IF(M25558="","",'Master Barang'!A52)</f>
        <v>0</v>
      </c>
      <c r="O25558">
        <f>IF(N25558="","",'Master Barang'!B52)</f>
        <v>0</v>
      </c>
      <c r="P25558">
        <f>IF(OR(M25558="",N25558=""),"",SUMIFS('Barang Keluar'!$E:$E,'Barang Keluar'!$A:$A,M25558,'Barang Keluar'!$C:$C,N25558))</f>
        <v>0</v>
      </c>
    </row>
    <row r="25559" spans="13:16">
      <c r="M25559" s="49">
        <f>IF($A$4+255&gt;$B$4,"",$A$4+255)</f>
        <v>46278</v>
      </c>
      <c r="N25559">
        <f>IF(M25559="","",'Master Barang'!A53)</f>
        <v>0</v>
      </c>
      <c r="O25559">
        <f>IF(N25559="","",'Master Barang'!B53)</f>
        <v>0</v>
      </c>
      <c r="P25559">
        <f>IF(OR(M25559="",N25559=""),"",SUMIFS('Barang Keluar'!$E:$E,'Barang Keluar'!$A:$A,M25559,'Barang Keluar'!$C:$C,N25559))</f>
        <v>0</v>
      </c>
    </row>
    <row r="25560" spans="13:16">
      <c r="M25560" s="49">
        <f>IF($A$4+255&gt;$B$4,"",$A$4+255)</f>
        <v>46278</v>
      </c>
      <c r="N25560">
        <f>IF(M25560="","",'Master Barang'!A54)</f>
        <v>0</v>
      </c>
      <c r="O25560">
        <f>IF(N25560="","",'Master Barang'!B54)</f>
        <v>0</v>
      </c>
      <c r="P25560">
        <f>IF(OR(M25560="",N25560=""),"",SUMIFS('Barang Keluar'!$E:$E,'Barang Keluar'!$A:$A,M25560,'Barang Keluar'!$C:$C,N25560))</f>
        <v>0</v>
      </c>
    </row>
    <row r="25561" spans="13:16">
      <c r="M25561" s="49">
        <f>IF($A$4+255&gt;$B$4,"",$A$4+255)</f>
        <v>46278</v>
      </c>
      <c r="N25561">
        <f>IF(M25561="","",'Master Barang'!A55)</f>
        <v>0</v>
      </c>
      <c r="O25561">
        <f>IF(N25561="","",'Master Barang'!B55)</f>
        <v>0</v>
      </c>
      <c r="P25561">
        <f>IF(OR(M25561="",N25561=""),"",SUMIFS('Barang Keluar'!$E:$E,'Barang Keluar'!$A:$A,M25561,'Barang Keluar'!$C:$C,N25561))</f>
        <v>0</v>
      </c>
    </row>
    <row r="25562" spans="13:16">
      <c r="M25562" s="49">
        <f>IF($A$4+255&gt;$B$4,"",$A$4+255)</f>
        <v>46278</v>
      </c>
      <c r="N25562">
        <f>IF(M25562="","",'Master Barang'!A56)</f>
        <v>0</v>
      </c>
      <c r="O25562">
        <f>IF(N25562="","",'Master Barang'!B56)</f>
        <v>0</v>
      </c>
      <c r="P25562">
        <f>IF(OR(M25562="",N25562=""),"",SUMIFS('Barang Keluar'!$E:$E,'Barang Keluar'!$A:$A,M25562,'Barang Keluar'!$C:$C,N25562))</f>
        <v>0</v>
      </c>
    </row>
    <row r="25563" spans="13:16">
      <c r="M25563" s="49">
        <f>IF($A$4+255&gt;$B$4,"",$A$4+255)</f>
        <v>46278</v>
      </c>
      <c r="N25563">
        <f>IF(M25563="","",'Master Barang'!A57)</f>
        <v>0</v>
      </c>
      <c r="O25563">
        <f>IF(N25563="","",'Master Barang'!B57)</f>
        <v>0</v>
      </c>
      <c r="P25563">
        <f>IF(OR(M25563="",N25563=""),"",SUMIFS('Barang Keluar'!$E:$E,'Barang Keluar'!$A:$A,M25563,'Barang Keluar'!$C:$C,N25563))</f>
        <v>0</v>
      </c>
    </row>
    <row r="25564" spans="13:16">
      <c r="M25564" s="49">
        <f>IF($A$4+255&gt;$B$4,"",$A$4+255)</f>
        <v>46278</v>
      </c>
      <c r="N25564">
        <f>IF(M25564="","",'Master Barang'!A58)</f>
        <v>0</v>
      </c>
      <c r="O25564">
        <f>IF(N25564="","",'Master Barang'!B58)</f>
        <v>0</v>
      </c>
      <c r="P25564">
        <f>IF(OR(M25564="",N25564=""),"",SUMIFS('Barang Keluar'!$E:$E,'Barang Keluar'!$A:$A,M25564,'Barang Keluar'!$C:$C,N25564))</f>
        <v>0</v>
      </c>
    </row>
    <row r="25565" spans="13:16">
      <c r="M25565" s="49">
        <f>IF($A$4+255&gt;$B$4,"",$A$4+255)</f>
        <v>46278</v>
      </c>
      <c r="N25565">
        <f>IF(M25565="","",'Master Barang'!A59)</f>
        <v>0</v>
      </c>
      <c r="O25565">
        <f>IF(N25565="","",'Master Barang'!B59)</f>
        <v>0</v>
      </c>
      <c r="P25565">
        <f>IF(OR(M25565="",N25565=""),"",SUMIFS('Barang Keluar'!$E:$E,'Barang Keluar'!$A:$A,M25565,'Barang Keluar'!$C:$C,N25565))</f>
        <v>0</v>
      </c>
    </row>
    <row r="25566" spans="13:16">
      <c r="M25566" s="49">
        <f>IF($A$4+255&gt;$B$4,"",$A$4+255)</f>
        <v>46278</v>
      </c>
      <c r="N25566">
        <f>IF(M25566="","",'Master Barang'!A60)</f>
        <v>0</v>
      </c>
      <c r="O25566">
        <f>IF(N25566="","",'Master Barang'!B60)</f>
        <v>0</v>
      </c>
      <c r="P25566">
        <f>IF(OR(M25566="",N25566=""),"",SUMIFS('Barang Keluar'!$E:$E,'Barang Keluar'!$A:$A,M25566,'Barang Keluar'!$C:$C,N25566))</f>
        <v>0</v>
      </c>
    </row>
    <row r="25567" spans="13:16">
      <c r="M25567" s="49">
        <f>IF($A$4+255&gt;$B$4,"",$A$4+255)</f>
        <v>46278</v>
      </c>
      <c r="N25567">
        <f>IF(M25567="","",'Master Barang'!A61)</f>
        <v>0</v>
      </c>
      <c r="O25567">
        <f>IF(N25567="","",'Master Barang'!B61)</f>
        <v>0</v>
      </c>
      <c r="P25567">
        <f>IF(OR(M25567="",N25567=""),"",SUMIFS('Barang Keluar'!$E:$E,'Barang Keluar'!$A:$A,M25567,'Barang Keluar'!$C:$C,N25567))</f>
        <v>0</v>
      </c>
    </row>
    <row r="25568" spans="13:16">
      <c r="M25568" s="49">
        <f>IF($A$4+255&gt;$B$4,"",$A$4+255)</f>
        <v>46278</v>
      </c>
      <c r="N25568">
        <f>IF(M25568="","",'Master Barang'!A62)</f>
        <v>0</v>
      </c>
      <c r="O25568">
        <f>IF(N25568="","",'Master Barang'!B62)</f>
        <v>0</v>
      </c>
      <c r="P25568">
        <f>IF(OR(M25568="",N25568=""),"",SUMIFS('Barang Keluar'!$E:$E,'Barang Keluar'!$A:$A,M25568,'Barang Keluar'!$C:$C,N25568))</f>
        <v>0</v>
      </c>
    </row>
    <row r="25569" spans="13:16">
      <c r="M25569" s="49">
        <f>IF($A$4+255&gt;$B$4,"",$A$4+255)</f>
        <v>46278</v>
      </c>
      <c r="N25569">
        <f>IF(M25569="","",'Master Barang'!A63)</f>
        <v>0</v>
      </c>
      <c r="O25569">
        <f>IF(N25569="","",'Master Barang'!B63)</f>
        <v>0</v>
      </c>
      <c r="P25569">
        <f>IF(OR(M25569="",N25569=""),"",SUMIFS('Barang Keluar'!$E:$E,'Barang Keluar'!$A:$A,M25569,'Barang Keluar'!$C:$C,N25569))</f>
        <v>0</v>
      </c>
    </row>
    <row r="25570" spans="13:16">
      <c r="M25570" s="49">
        <f>IF($A$4+255&gt;$B$4,"",$A$4+255)</f>
        <v>46278</v>
      </c>
      <c r="N25570">
        <f>IF(M25570="","",'Master Barang'!A64)</f>
        <v>0</v>
      </c>
      <c r="O25570">
        <f>IF(N25570="","",'Master Barang'!B64)</f>
        <v>0</v>
      </c>
      <c r="P25570">
        <f>IF(OR(M25570="",N25570=""),"",SUMIFS('Barang Keluar'!$E:$E,'Barang Keluar'!$A:$A,M25570,'Barang Keluar'!$C:$C,N25570))</f>
        <v>0</v>
      </c>
    </row>
    <row r="25571" spans="13:16">
      <c r="M25571" s="49">
        <f>IF($A$4+255&gt;$B$4,"",$A$4+255)</f>
        <v>46278</v>
      </c>
      <c r="N25571">
        <f>IF(M25571="","",'Master Barang'!A65)</f>
        <v>0</v>
      </c>
      <c r="O25571">
        <f>IF(N25571="","",'Master Barang'!B65)</f>
        <v>0</v>
      </c>
      <c r="P25571">
        <f>IF(OR(M25571="",N25571=""),"",SUMIFS('Barang Keluar'!$E:$E,'Barang Keluar'!$A:$A,M25571,'Barang Keluar'!$C:$C,N25571))</f>
        <v>0</v>
      </c>
    </row>
    <row r="25572" spans="13:16">
      <c r="M25572" s="49">
        <f>IF($A$4+255&gt;$B$4,"",$A$4+255)</f>
        <v>46278</v>
      </c>
      <c r="N25572">
        <f>IF(M25572="","",'Master Barang'!A66)</f>
        <v>0</v>
      </c>
      <c r="O25572">
        <f>IF(N25572="","",'Master Barang'!B66)</f>
        <v>0</v>
      </c>
      <c r="P25572">
        <f>IF(OR(M25572="",N25572=""),"",SUMIFS('Barang Keluar'!$E:$E,'Barang Keluar'!$A:$A,M25572,'Barang Keluar'!$C:$C,N25572))</f>
        <v>0</v>
      </c>
    </row>
    <row r="25573" spans="13:16">
      <c r="M25573" s="49">
        <f>IF($A$4+255&gt;$B$4,"",$A$4+255)</f>
        <v>46278</v>
      </c>
      <c r="N25573">
        <f>IF(M25573="","",'Master Barang'!A67)</f>
        <v>0</v>
      </c>
      <c r="O25573">
        <f>IF(N25573="","",'Master Barang'!B67)</f>
        <v>0</v>
      </c>
      <c r="P25573">
        <f>IF(OR(M25573="",N25573=""),"",SUMIFS('Barang Keluar'!$E:$E,'Barang Keluar'!$A:$A,M25573,'Barang Keluar'!$C:$C,N25573))</f>
        <v>0</v>
      </c>
    </row>
    <row r="25574" spans="13:16">
      <c r="M25574" s="49">
        <f>IF($A$4+255&gt;$B$4,"",$A$4+255)</f>
        <v>46278</v>
      </c>
      <c r="N25574">
        <f>IF(M25574="","",'Master Barang'!A68)</f>
        <v>0</v>
      </c>
      <c r="O25574">
        <f>IF(N25574="","",'Master Barang'!B68)</f>
        <v>0</v>
      </c>
      <c r="P25574">
        <f>IF(OR(M25574="",N25574=""),"",SUMIFS('Barang Keluar'!$E:$E,'Barang Keluar'!$A:$A,M25574,'Barang Keluar'!$C:$C,N25574))</f>
        <v>0</v>
      </c>
    </row>
    <row r="25575" spans="13:16">
      <c r="M25575" s="49">
        <f>IF($A$4+255&gt;$B$4,"",$A$4+255)</f>
        <v>46278</v>
      </c>
      <c r="N25575">
        <f>IF(M25575="","",'Master Barang'!A69)</f>
        <v>0</v>
      </c>
      <c r="O25575">
        <f>IF(N25575="","",'Master Barang'!B69)</f>
        <v>0</v>
      </c>
      <c r="P25575">
        <f>IF(OR(M25575="",N25575=""),"",SUMIFS('Barang Keluar'!$E:$E,'Barang Keluar'!$A:$A,M25575,'Barang Keluar'!$C:$C,N25575))</f>
        <v>0</v>
      </c>
    </row>
    <row r="25576" spans="13:16">
      <c r="M25576" s="49">
        <f>IF($A$4+255&gt;$B$4,"",$A$4+255)</f>
        <v>46278</v>
      </c>
      <c r="N25576">
        <f>IF(M25576="","",'Master Barang'!A70)</f>
        <v>0</v>
      </c>
      <c r="O25576">
        <f>IF(N25576="","",'Master Barang'!B70)</f>
        <v>0</v>
      </c>
      <c r="P25576">
        <f>IF(OR(M25576="",N25576=""),"",SUMIFS('Barang Keluar'!$E:$E,'Barang Keluar'!$A:$A,M25576,'Barang Keluar'!$C:$C,N25576))</f>
        <v>0</v>
      </c>
    </row>
    <row r="25577" spans="13:16">
      <c r="M25577" s="49">
        <f>IF($A$4+255&gt;$B$4,"",$A$4+255)</f>
        <v>46278</v>
      </c>
      <c r="N25577">
        <f>IF(M25577="","",'Master Barang'!A71)</f>
        <v>0</v>
      </c>
      <c r="O25577">
        <f>IF(N25577="","",'Master Barang'!B71)</f>
        <v>0</v>
      </c>
      <c r="P25577">
        <f>IF(OR(M25577="",N25577=""),"",SUMIFS('Barang Keluar'!$E:$E,'Barang Keluar'!$A:$A,M25577,'Barang Keluar'!$C:$C,N25577))</f>
        <v>0</v>
      </c>
    </row>
    <row r="25578" spans="13:16">
      <c r="M25578" s="49">
        <f>IF($A$4+255&gt;$B$4,"",$A$4+255)</f>
        <v>46278</v>
      </c>
      <c r="N25578">
        <f>IF(M25578="","",'Master Barang'!A72)</f>
        <v>0</v>
      </c>
      <c r="O25578">
        <f>IF(N25578="","",'Master Barang'!B72)</f>
        <v>0</v>
      </c>
      <c r="P25578">
        <f>IF(OR(M25578="",N25578=""),"",SUMIFS('Barang Keluar'!$E:$E,'Barang Keluar'!$A:$A,M25578,'Barang Keluar'!$C:$C,N25578))</f>
        <v>0</v>
      </c>
    </row>
    <row r="25579" spans="13:16">
      <c r="M25579" s="49">
        <f>IF($A$4+255&gt;$B$4,"",$A$4+255)</f>
        <v>46278</v>
      </c>
      <c r="N25579">
        <f>IF(M25579="","",'Master Barang'!A73)</f>
        <v>0</v>
      </c>
      <c r="O25579">
        <f>IF(N25579="","",'Master Barang'!B73)</f>
        <v>0</v>
      </c>
      <c r="P25579">
        <f>IF(OR(M25579="",N25579=""),"",SUMIFS('Barang Keluar'!$E:$E,'Barang Keluar'!$A:$A,M25579,'Barang Keluar'!$C:$C,N25579))</f>
        <v>0</v>
      </c>
    </row>
    <row r="25580" spans="13:16">
      <c r="M25580" s="49">
        <f>IF($A$4+255&gt;$B$4,"",$A$4+255)</f>
        <v>46278</v>
      </c>
      <c r="N25580">
        <f>IF(M25580="","",'Master Barang'!A74)</f>
        <v>0</v>
      </c>
      <c r="O25580">
        <f>IF(N25580="","",'Master Barang'!B74)</f>
        <v>0</v>
      </c>
      <c r="P25580">
        <f>IF(OR(M25580="",N25580=""),"",SUMIFS('Barang Keluar'!$E:$E,'Barang Keluar'!$A:$A,M25580,'Barang Keluar'!$C:$C,N25580))</f>
        <v>0</v>
      </c>
    </row>
    <row r="25581" spans="13:16">
      <c r="M25581" s="49">
        <f>IF($A$4+255&gt;$B$4,"",$A$4+255)</f>
        <v>46278</v>
      </c>
      <c r="N25581">
        <f>IF(M25581="","",'Master Barang'!A75)</f>
        <v>0</v>
      </c>
      <c r="O25581">
        <f>IF(N25581="","",'Master Barang'!B75)</f>
        <v>0</v>
      </c>
      <c r="P25581">
        <f>IF(OR(M25581="",N25581=""),"",SUMIFS('Barang Keluar'!$E:$E,'Barang Keluar'!$A:$A,M25581,'Barang Keluar'!$C:$C,N25581))</f>
        <v>0</v>
      </c>
    </row>
    <row r="25582" spans="13:16">
      <c r="M25582" s="49">
        <f>IF($A$4+255&gt;$B$4,"",$A$4+255)</f>
        <v>46278</v>
      </c>
      <c r="N25582">
        <f>IF(M25582="","",'Master Barang'!A76)</f>
        <v>0</v>
      </c>
      <c r="O25582">
        <f>IF(N25582="","",'Master Barang'!B76)</f>
        <v>0</v>
      </c>
      <c r="P25582">
        <f>IF(OR(M25582="",N25582=""),"",SUMIFS('Barang Keluar'!$E:$E,'Barang Keluar'!$A:$A,M25582,'Barang Keluar'!$C:$C,N25582))</f>
        <v>0</v>
      </c>
    </row>
    <row r="25583" spans="13:16">
      <c r="M25583" s="49">
        <f>IF($A$4+255&gt;$B$4,"",$A$4+255)</f>
        <v>46278</v>
      </c>
      <c r="N25583">
        <f>IF(M25583="","",'Master Barang'!A77)</f>
        <v>0</v>
      </c>
      <c r="O25583">
        <f>IF(N25583="","",'Master Barang'!B77)</f>
        <v>0</v>
      </c>
      <c r="P25583">
        <f>IF(OR(M25583="",N25583=""),"",SUMIFS('Barang Keluar'!$E:$E,'Barang Keluar'!$A:$A,M25583,'Barang Keluar'!$C:$C,N25583))</f>
        <v>0</v>
      </c>
    </row>
    <row r="25584" spans="13:16">
      <c r="M25584" s="49">
        <f>IF($A$4+255&gt;$B$4,"",$A$4+255)</f>
        <v>46278</v>
      </c>
      <c r="N25584">
        <f>IF(M25584="","",'Master Barang'!A78)</f>
        <v>0</v>
      </c>
      <c r="O25584">
        <f>IF(N25584="","",'Master Barang'!B78)</f>
        <v>0</v>
      </c>
      <c r="P25584">
        <f>IF(OR(M25584="",N25584=""),"",SUMIFS('Barang Keluar'!$E:$E,'Barang Keluar'!$A:$A,M25584,'Barang Keluar'!$C:$C,N25584))</f>
        <v>0</v>
      </c>
    </row>
    <row r="25585" spans="13:16">
      <c r="M25585" s="49">
        <f>IF($A$4+255&gt;$B$4,"",$A$4+255)</f>
        <v>46278</v>
      </c>
      <c r="N25585">
        <f>IF(M25585="","",'Master Barang'!A79)</f>
        <v>0</v>
      </c>
      <c r="O25585">
        <f>IF(N25585="","",'Master Barang'!B79)</f>
        <v>0</v>
      </c>
      <c r="P25585">
        <f>IF(OR(M25585="",N25585=""),"",SUMIFS('Barang Keluar'!$E:$E,'Barang Keluar'!$A:$A,M25585,'Barang Keluar'!$C:$C,N25585))</f>
        <v>0</v>
      </c>
    </row>
    <row r="25586" spans="13:16">
      <c r="M25586" s="49">
        <f>IF($A$4+255&gt;$B$4,"",$A$4+255)</f>
        <v>46278</v>
      </c>
      <c r="N25586">
        <f>IF(M25586="","",'Master Barang'!A80)</f>
        <v>0</v>
      </c>
      <c r="O25586">
        <f>IF(N25586="","",'Master Barang'!B80)</f>
        <v>0</v>
      </c>
      <c r="P25586">
        <f>IF(OR(M25586="",N25586=""),"",SUMIFS('Barang Keluar'!$E:$E,'Barang Keluar'!$A:$A,M25586,'Barang Keluar'!$C:$C,N25586))</f>
        <v>0</v>
      </c>
    </row>
    <row r="25587" spans="13:16">
      <c r="M25587" s="49">
        <f>IF($A$4+255&gt;$B$4,"",$A$4+255)</f>
        <v>46278</v>
      </c>
      <c r="N25587">
        <f>IF(M25587="","",'Master Barang'!A81)</f>
        <v>0</v>
      </c>
      <c r="O25587">
        <f>IF(N25587="","",'Master Barang'!B81)</f>
        <v>0</v>
      </c>
      <c r="P25587">
        <f>IF(OR(M25587="",N25587=""),"",SUMIFS('Barang Keluar'!$E:$E,'Barang Keluar'!$A:$A,M25587,'Barang Keluar'!$C:$C,N25587))</f>
        <v>0</v>
      </c>
    </row>
    <row r="25588" spans="13:16">
      <c r="M25588" s="49">
        <f>IF($A$4+255&gt;$B$4,"",$A$4+255)</f>
        <v>46278</v>
      </c>
      <c r="N25588">
        <f>IF(M25588="","",'Master Barang'!A82)</f>
        <v>0</v>
      </c>
      <c r="O25588">
        <f>IF(N25588="","",'Master Barang'!B82)</f>
        <v>0</v>
      </c>
      <c r="P25588">
        <f>IF(OR(M25588="",N25588=""),"",SUMIFS('Barang Keluar'!$E:$E,'Barang Keluar'!$A:$A,M25588,'Barang Keluar'!$C:$C,N25588))</f>
        <v>0</v>
      </c>
    </row>
    <row r="25589" spans="13:16">
      <c r="M25589" s="49">
        <f>IF($A$4+255&gt;$B$4,"",$A$4+255)</f>
        <v>46278</v>
      </c>
      <c r="N25589">
        <f>IF(M25589="","",'Master Barang'!A83)</f>
        <v>0</v>
      </c>
      <c r="O25589">
        <f>IF(N25589="","",'Master Barang'!B83)</f>
        <v>0</v>
      </c>
      <c r="P25589">
        <f>IF(OR(M25589="",N25589=""),"",SUMIFS('Barang Keluar'!$E:$E,'Barang Keluar'!$A:$A,M25589,'Barang Keluar'!$C:$C,N25589))</f>
        <v>0</v>
      </c>
    </row>
    <row r="25590" spans="13:16">
      <c r="M25590" s="49">
        <f>IF($A$4+255&gt;$B$4,"",$A$4+255)</f>
        <v>46278</v>
      </c>
      <c r="N25590">
        <f>IF(M25590="","",'Master Barang'!A84)</f>
        <v>0</v>
      </c>
      <c r="O25590">
        <f>IF(N25590="","",'Master Barang'!B84)</f>
        <v>0</v>
      </c>
      <c r="P25590">
        <f>IF(OR(M25590="",N25590=""),"",SUMIFS('Barang Keluar'!$E:$E,'Barang Keluar'!$A:$A,M25590,'Barang Keluar'!$C:$C,N25590))</f>
        <v>0</v>
      </c>
    </row>
    <row r="25591" spans="13:16">
      <c r="M25591" s="49">
        <f>IF($A$4+255&gt;$B$4,"",$A$4+255)</f>
        <v>46278</v>
      </c>
      <c r="N25591">
        <f>IF(M25591="","",'Master Barang'!A85)</f>
        <v>0</v>
      </c>
      <c r="O25591">
        <f>IF(N25591="","",'Master Barang'!B85)</f>
        <v>0</v>
      </c>
      <c r="P25591">
        <f>IF(OR(M25591="",N25591=""),"",SUMIFS('Barang Keluar'!$E:$E,'Barang Keluar'!$A:$A,M25591,'Barang Keluar'!$C:$C,N25591))</f>
        <v>0</v>
      </c>
    </row>
    <row r="25592" spans="13:16">
      <c r="M25592" s="49">
        <f>IF($A$4+255&gt;$B$4,"",$A$4+255)</f>
        <v>46278</v>
      </c>
      <c r="N25592">
        <f>IF(M25592="","",'Master Barang'!A86)</f>
        <v>0</v>
      </c>
      <c r="O25592">
        <f>IF(N25592="","",'Master Barang'!B86)</f>
        <v>0</v>
      </c>
      <c r="P25592">
        <f>IF(OR(M25592="",N25592=""),"",SUMIFS('Barang Keluar'!$E:$E,'Barang Keluar'!$A:$A,M25592,'Barang Keluar'!$C:$C,N25592))</f>
        <v>0</v>
      </c>
    </row>
    <row r="25593" spans="13:16">
      <c r="M25593" s="49">
        <f>IF($A$4+255&gt;$B$4,"",$A$4+255)</f>
        <v>46278</v>
      </c>
      <c r="N25593">
        <f>IF(M25593="","",'Master Barang'!A87)</f>
        <v>0</v>
      </c>
      <c r="O25593">
        <f>IF(N25593="","",'Master Barang'!B87)</f>
        <v>0</v>
      </c>
      <c r="P25593">
        <f>IF(OR(M25593="",N25593=""),"",SUMIFS('Barang Keluar'!$E:$E,'Barang Keluar'!$A:$A,M25593,'Barang Keluar'!$C:$C,N25593))</f>
        <v>0</v>
      </c>
    </row>
    <row r="25594" spans="13:16">
      <c r="M25594" s="49">
        <f>IF($A$4+255&gt;$B$4,"",$A$4+255)</f>
        <v>46278</v>
      </c>
      <c r="N25594">
        <f>IF(M25594="","",'Master Barang'!A88)</f>
        <v>0</v>
      </c>
      <c r="O25594">
        <f>IF(N25594="","",'Master Barang'!B88)</f>
        <v>0</v>
      </c>
      <c r="P25594">
        <f>IF(OR(M25594="",N25594=""),"",SUMIFS('Barang Keluar'!$E:$E,'Barang Keluar'!$A:$A,M25594,'Barang Keluar'!$C:$C,N25594))</f>
        <v>0</v>
      </c>
    </row>
    <row r="25595" spans="13:16">
      <c r="M25595" s="49">
        <f>IF($A$4+255&gt;$B$4,"",$A$4+255)</f>
        <v>46278</v>
      </c>
      <c r="N25595">
        <f>IF(M25595="","",'Master Barang'!A89)</f>
        <v>0</v>
      </c>
      <c r="O25595">
        <f>IF(N25595="","",'Master Barang'!B89)</f>
        <v>0</v>
      </c>
      <c r="P25595">
        <f>IF(OR(M25595="",N25595=""),"",SUMIFS('Barang Keluar'!$E:$E,'Barang Keluar'!$A:$A,M25595,'Barang Keluar'!$C:$C,N25595))</f>
        <v>0</v>
      </c>
    </row>
    <row r="25596" spans="13:16">
      <c r="M25596" s="49">
        <f>IF($A$4+255&gt;$B$4,"",$A$4+255)</f>
        <v>46278</v>
      </c>
      <c r="N25596">
        <f>IF(M25596="","",'Master Barang'!A90)</f>
        <v>0</v>
      </c>
      <c r="O25596">
        <f>IF(N25596="","",'Master Barang'!B90)</f>
        <v>0</v>
      </c>
      <c r="P25596">
        <f>IF(OR(M25596="",N25596=""),"",SUMIFS('Barang Keluar'!$E:$E,'Barang Keluar'!$A:$A,M25596,'Barang Keluar'!$C:$C,N25596))</f>
        <v>0</v>
      </c>
    </row>
    <row r="25597" spans="13:16">
      <c r="M25597" s="49">
        <f>IF($A$4+255&gt;$B$4,"",$A$4+255)</f>
        <v>46278</v>
      </c>
      <c r="N25597">
        <f>IF(M25597="","",'Master Barang'!A91)</f>
        <v>0</v>
      </c>
      <c r="O25597">
        <f>IF(N25597="","",'Master Barang'!B91)</f>
        <v>0</v>
      </c>
      <c r="P25597">
        <f>IF(OR(M25597="",N25597=""),"",SUMIFS('Barang Keluar'!$E:$E,'Barang Keluar'!$A:$A,M25597,'Barang Keluar'!$C:$C,N25597))</f>
        <v>0</v>
      </c>
    </row>
    <row r="25598" spans="13:16">
      <c r="M25598" s="49">
        <f>IF($A$4+255&gt;$B$4,"",$A$4+255)</f>
        <v>46278</v>
      </c>
      <c r="N25598">
        <f>IF(M25598="","",'Master Barang'!A92)</f>
        <v>0</v>
      </c>
      <c r="O25598">
        <f>IF(N25598="","",'Master Barang'!B92)</f>
        <v>0</v>
      </c>
      <c r="P25598">
        <f>IF(OR(M25598="",N25598=""),"",SUMIFS('Barang Keluar'!$E:$E,'Barang Keluar'!$A:$A,M25598,'Barang Keluar'!$C:$C,N25598))</f>
        <v>0</v>
      </c>
    </row>
    <row r="25599" spans="13:16">
      <c r="M25599" s="49">
        <f>IF($A$4+255&gt;$B$4,"",$A$4+255)</f>
        <v>46278</v>
      </c>
      <c r="N25599">
        <f>IF(M25599="","",'Master Barang'!A93)</f>
        <v>0</v>
      </c>
      <c r="O25599">
        <f>IF(N25599="","",'Master Barang'!B93)</f>
        <v>0</v>
      </c>
      <c r="P25599">
        <f>IF(OR(M25599="",N25599=""),"",SUMIFS('Barang Keluar'!$E:$E,'Barang Keluar'!$A:$A,M25599,'Barang Keluar'!$C:$C,N25599))</f>
        <v>0</v>
      </c>
    </row>
    <row r="25600" spans="13:16">
      <c r="M25600" s="49">
        <f>IF($A$4+255&gt;$B$4,"",$A$4+255)</f>
        <v>46278</v>
      </c>
      <c r="N25600">
        <f>IF(M25600="","",'Master Barang'!A94)</f>
        <v>0</v>
      </c>
      <c r="O25600">
        <f>IF(N25600="","",'Master Barang'!B94)</f>
        <v>0</v>
      </c>
      <c r="P25600">
        <f>IF(OR(M25600="",N25600=""),"",SUMIFS('Barang Keluar'!$E:$E,'Barang Keluar'!$A:$A,M25600,'Barang Keluar'!$C:$C,N25600))</f>
        <v>0</v>
      </c>
    </row>
    <row r="25601" spans="13:16">
      <c r="M25601" s="49">
        <f>IF($A$4+255&gt;$B$4,"",$A$4+255)</f>
        <v>46278</v>
      </c>
      <c r="N25601">
        <f>IF(M25601="","",'Master Barang'!A95)</f>
        <v>0</v>
      </c>
      <c r="O25601">
        <f>IF(N25601="","",'Master Barang'!B95)</f>
        <v>0</v>
      </c>
      <c r="P25601">
        <f>IF(OR(M25601="",N25601=""),"",SUMIFS('Barang Keluar'!$E:$E,'Barang Keluar'!$A:$A,M25601,'Barang Keluar'!$C:$C,N25601))</f>
        <v>0</v>
      </c>
    </row>
    <row r="25602" spans="13:16">
      <c r="M25602" s="49">
        <f>IF($A$4+255&gt;$B$4,"",$A$4+255)</f>
        <v>46278</v>
      </c>
      <c r="N25602">
        <f>IF(M25602="","",'Master Barang'!A96)</f>
        <v>0</v>
      </c>
      <c r="O25602">
        <f>IF(N25602="","",'Master Barang'!B96)</f>
        <v>0</v>
      </c>
      <c r="P25602">
        <f>IF(OR(M25602="",N25602=""),"",SUMIFS('Barang Keluar'!$E:$E,'Barang Keluar'!$A:$A,M25602,'Barang Keluar'!$C:$C,N25602))</f>
        <v>0</v>
      </c>
    </row>
    <row r="25603" spans="13:16">
      <c r="M25603" s="49">
        <f>IF($A$4+255&gt;$B$4,"",$A$4+255)</f>
        <v>46278</v>
      </c>
      <c r="N25603">
        <f>IF(M25603="","",'Master Barang'!A97)</f>
        <v>0</v>
      </c>
      <c r="O25603">
        <f>IF(N25603="","",'Master Barang'!B97)</f>
        <v>0</v>
      </c>
      <c r="P25603">
        <f>IF(OR(M25603="",N25603=""),"",SUMIFS('Barang Keluar'!$E:$E,'Barang Keluar'!$A:$A,M25603,'Barang Keluar'!$C:$C,N25603))</f>
        <v>0</v>
      </c>
    </row>
    <row r="25604" spans="13:16">
      <c r="M25604" s="49">
        <f>IF($A$4+255&gt;$B$4,"",$A$4+255)</f>
        <v>46278</v>
      </c>
      <c r="N25604">
        <f>IF(M25604="","",'Master Barang'!A98)</f>
        <v>0</v>
      </c>
      <c r="O25604">
        <f>IF(N25604="","",'Master Barang'!B98)</f>
        <v>0</v>
      </c>
      <c r="P25604">
        <f>IF(OR(M25604="",N25604=""),"",SUMIFS('Barang Keluar'!$E:$E,'Barang Keluar'!$A:$A,M25604,'Barang Keluar'!$C:$C,N25604))</f>
        <v>0</v>
      </c>
    </row>
    <row r="25605" spans="13:16">
      <c r="M25605" s="49">
        <f>IF($A$4+255&gt;$B$4,"",$A$4+255)</f>
        <v>46278</v>
      </c>
      <c r="N25605">
        <f>IF(M25605="","",'Master Barang'!A99)</f>
        <v>0</v>
      </c>
      <c r="O25605">
        <f>IF(N25605="","",'Master Barang'!B99)</f>
        <v>0</v>
      </c>
      <c r="P25605">
        <f>IF(OR(M25605="",N25605=""),"",SUMIFS('Barang Keluar'!$E:$E,'Barang Keluar'!$A:$A,M25605,'Barang Keluar'!$C:$C,N25605))</f>
        <v>0</v>
      </c>
    </row>
    <row r="25606" spans="13:16">
      <c r="M25606" s="49">
        <f>IF($A$4+255&gt;$B$4,"",$A$4+255)</f>
        <v>46278</v>
      </c>
      <c r="N25606">
        <f>IF(M25606="","",'Master Barang'!A100)</f>
        <v>0</v>
      </c>
      <c r="O25606">
        <f>IF(N25606="","",'Master Barang'!B100)</f>
        <v>0</v>
      </c>
      <c r="P25606">
        <f>IF(OR(M25606="",N25606=""),"",SUMIFS('Barang Keluar'!$E:$E,'Barang Keluar'!$A:$A,M25606,'Barang Keluar'!$C:$C,N25606))</f>
        <v>0</v>
      </c>
    </row>
    <row r="25607" spans="13:16">
      <c r="M25607" s="49">
        <f>IF($A$4+255&gt;$B$4,"",$A$4+255)</f>
        <v>46278</v>
      </c>
      <c r="N25607">
        <f>IF(M25607="","",'Master Barang'!A101)</f>
        <v>0</v>
      </c>
      <c r="O25607">
        <f>IF(N25607="","",'Master Barang'!B101)</f>
        <v>0</v>
      </c>
      <c r="P25607">
        <f>IF(OR(M25607="",N25607=""),"",SUMIFS('Barang Keluar'!$E:$E,'Barang Keluar'!$A:$A,M25607,'Barang Keluar'!$C:$C,N25607))</f>
        <v>0</v>
      </c>
    </row>
    <row r="25608" spans="13:16">
      <c r="M25608" s="49">
        <f>IF($A$4+256&gt;$B$4,"",$A$4+256)</f>
        <v>46279</v>
      </c>
      <c r="N25608" t="str">
        <f>IF(M25608="","",'Master Barang'!A2)</f>
        <v>PRL-001</v>
      </c>
      <c r="O25608" t="str">
        <f>IF(N25608="","",'Master Barang'!B2)</f>
        <v>natura desinfectant food grade 5l</v>
      </c>
      <c r="P25608">
        <f>IF(OR(M25608="",N25608=""),"",SUMIFS('Barang Keluar'!$E:$E,'Barang Keluar'!$A:$A,M25608,'Barang Keluar'!$C:$C,N25608))</f>
        <v>0</v>
      </c>
    </row>
    <row r="25609" spans="13:16">
      <c r="M25609" s="49">
        <f>IF($A$4+256&gt;$B$4,"",$A$4+256)</f>
        <v>46279</v>
      </c>
      <c r="N25609" t="str">
        <f>IF(M25609="","",'Master Barang'!A3)</f>
        <v>PRL-002</v>
      </c>
      <c r="O25609" t="str">
        <f>IF(N25609="","",'Master Barang'!B3)</f>
        <v>sunlight cairan pencuci piring 5l</v>
      </c>
      <c r="P25609">
        <f>IF(OR(M25609="",N25609=""),"",SUMIFS('Barang Keluar'!$E:$E,'Barang Keluar'!$A:$A,M25609,'Barang Keluar'!$C:$C,N25609))</f>
        <v>0</v>
      </c>
    </row>
    <row r="25610" spans="13:16">
      <c r="M25610" s="49">
        <f>IF($A$4+256&gt;$B$4,"",$A$4+256)</f>
        <v>46279</v>
      </c>
      <c r="N25610" t="str">
        <f>IF(M25610="","",'Master Barang'!A4)</f>
        <v>PRL-003</v>
      </c>
      <c r="O25610" t="str">
        <f>IF(N25610="","",'Master Barang'!B4)</f>
        <v>oixs cleaner 1l</v>
      </c>
      <c r="P25610">
        <f>IF(OR(M25610="",N25610=""),"",SUMIFS('Barang Keluar'!$E:$E,'Barang Keluar'!$A:$A,M25610,'Barang Keluar'!$C:$C,N25610))</f>
        <v>0</v>
      </c>
    </row>
    <row r="25611" spans="13:16">
      <c r="M25611" s="49">
        <f>IF($A$4+256&gt;$B$4,"",$A$4+256)</f>
        <v>46279</v>
      </c>
      <c r="N25611" t="str">
        <f>IF(M25611="","",'Master Barang'!A5)</f>
        <v>PRL-004</v>
      </c>
      <c r="O25611" t="str">
        <f>IF(N25611="","",'Master Barang'!B5)</f>
        <v>be clean tissue serbaguna</v>
      </c>
      <c r="P25611">
        <f>IF(OR(M25611="",N25611=""),"",SUMIFS('Barang Keluar'!$E:$E,'Barang Keluar'!$A:$A,M25611,'Barang Keluar'!$C:$C,N25611))</f>
        <v>0</v>
      </c>
    </row>
    <row r="25612" spans="13:16">
      <c r="M25612" s="49">
        <f>IF($A$4+256&gt;$B$4,"",$A$4+256)</f>
        <v>46279</v>
      </c>
      <c r="N25612" t="str">
        <f>IF(M25612="","",'Master Barang'!A6)</f>
        <v>PRL-005</v>
      </c>
      <c r="O25612" t="str">
        <f>IF(N25612="","",'Master Barang'!B6)</f>
        <v>spons cuci hijau</v>
      </c>
      <c r="P25612">
        <f>IF(OR(M25612="",N25612=""),"",SUMIFS('Barang Keluar'!$E:$E,'Barang Keluar'!$A:$A,M25612,'Barang Keluar'!$C:$C,N25612))</f>
        <v>0</v>
      </c>
    </row>
    <row r="25613" spans="13:16">
      <c r="M25613" s="49">
        <f>IF($A$4+256&gt;$B$4,"",$A$4+256)</f>
        <v>46279</v>
      </c>
      <c r="N25613" t="str">
        <f>IF(M25613="","",'Master Barang'!A7)</f>
        <v>PRL-006</v>
      </c>
      <c r="O25613" t="str">
        <f>IF(N25613="","",'Master Barang'!B7)</f>
        <v>sabut cuci stainless</v>
      </c>
      <c r="P25613">
        <f>IF(OR(M25613="",N25613=""),"",SUMIFS('Barang Keluar'!$E:$E,'Barang Keluar'!$A:$A,M25613,'Barang Keluar'!$C:$C,N25613))</f>
        <v>0</v>
      </c>
    </row>
    <row r="25614" spans="13:16">
      <c r="M25614" s="49">
        <f>IF($A$4+256&gt;$B$4,"",$A$4+256)</f>
        <v>46279</v>
      </c>
      <c r="N25614" t="str">
        <f>IF(M25614="","",'Master Barang'!A8)</f>
        <v>PRL-007</v>
      </c>
      <c r="O25614" t="str">
        <f>IF(N25614="","",'Master Barang'!B8)</f>
        <v>plastik kresek besar merah 50pc</v>
      </c>
      <c r="P25614">
        <f>IF(OR(M25614="",N25614=""),"",SUMIFS('Barang Keluar'!$E:$E,'Barang Keluar'!$A:$A,M25614,'Barang Keluar'!$C:$C,N25614))</f>
        <v>0</v>
      </c>
    </row>
    <row r="25615" spans="13:16">
      <c r="M25615" s="49">
        <f>IF($A$4+256&gt;$B$4,"",$A$4+256)</f>
        <v>46279</v>
      </c>
      <c r="N25615" t="str">
        <f>IF(M25615="","",'Master Barang'!A9)</f>
        <v>PRL-008</v>
      </c>
      <c r="O25615" t="str">
        <f>IF(N25615="","",'Master Barang'!B9)</f>
        <v>lap besar</v>
      </c>
      <c r="P25615">
        <f>IF(OR(M25615="",N25615=""),"",SUMIFS('Barang Keluar'!$E:$E,'Barang Keluar'!$A:$A,M25615,'Barang Keluar'!$C:$C,N25615))</f>
        <v>0</v>
      </c>
    </row>
    <row r="25616" spans="13:16">
      <c r="M25616" s="49">
        <f>IF($A$4+256&gt;$B$4,"",$A$4+256)</f>
        <v>46279</v>
      </c>
      <c r="N25616" t="str">
        <f>IF(M25616="","",'Master Barang'!A10)</f>
        <v>PRL-009</v>
      </c>
      <c r="O25616" t="str">
        <f>IF(N25616="","",'Master Barang'!B10)</f>
        <v>lap microfiber</v>
      </c>
      <c r="P25616">
        <f>IF(OR(M25616="",N25616=""),"",SUMIFS('Barang Keluar'!$E:$E,'Barang Keluar'!$A:$A,M25616,'Barang Keluar'!$C:$C,N25616))</f>
        <v>0</v>
      </c>
    </row>
    <row r="25617" spans="13:16">
      <c r="M25617" s="49">
        <f>IF($A$4+256&gt;$B$4,"",$A$4+256)</f>
        <v>46279</v>
      </c>
      <c r="N25617" t="str">
        <f>IF(M25617="","",'Master Barang'!A11)</f>
        <v>PRL-010</v>
      </c>
      <c r="O25617" t="str">
        <f>IF(N25617="","",'Master Barang'!B11)</f>
        <v>lap kecil</v>
      </c>
      <c r="P25617">
        <f>IF(OR(M25617="",N25617=""),"",SUMIFS('Barang Keluar'!$E:$E,'Barang Keluar'!$A:$A,M25617,'Barang Keluar'!$C:$C,N25617))</f>
        <v>0</v>
      </c>
    </row>
    <row r="25618" spans="13:16">
      <c r="M25618" s="49">
        <f>IF($A$4+256&gt;$B$4,"",$A$4+256)</f>
        <v>46279</v>
      </c>
      <c r="N25618" t="str">
        <f>IF(M25618="","",'Master Barang'!A12)</f>
        <v>PRL-011</v>
      </c>
      <c r="O25618" t="str">
        <f>IF(N25618="","",'Master Barang'!B12)</f>
        <v>kanebo kecil</v>
      </c>
      <c r="P25618">
        <f>IF(OR(M25618="",N25618=""),"",SUMIFS('Barang Keluar'!$E:$E,'Barang Keluar'!$A:$A,M25618,'Barang Keluar'!$C:$C,N25618))</f>
        <v>0</v>
      </c>
    </row>
    <row r="25619" spans="13:16">
      <c r="M25619" s="49">
        <f>IF($A$4+256&gt;$B$4,"",$A$4+256)</f>
        <v>46279</v>
      </c>
      <c r="N25619" t="str">
        <f>IF(M25619="","",'Master Barang'!A13)</f>
        <v>PRL-012</v>
      </c>
      <c r="O25619" t="str">
        <f>IF(N25619="","",'Master Barang'!B13)</f>
        <v>plastik 1/4kg joyoboyo 100 lembar</v>
      </c>
      <c r="P25619">
        <f>IF(OR(M25619="",N25619=""),"",SUMIFS('Barang Keluar'!$E:$E,'Barang Keluar'!$A:$A,M25619,'Barang Keluar'!$C:$C,N25619))</f>
        <v>0</v>
      </c>
    </row>
    <row r="25620" spans="13:16">
      <c r="M25620" s="49">
        <f>IF($A$4+256&gt;$B$4,"",$A$4+256)</f>
        <v>46279</v>
      </c>
      <c r="N25620" t="str">
        <f>IF(M25620="","",'Master Barang'!A14)</f>
        <v>PRL-013</v>
      </c>
      <c r="O25620" t="str">
        <f>IF(N25620="","",'Master Barang'!B14)</f>
        <v>sarung tangan plastik kaka 100 pcs</v>
      </c>
      <c r="P25620">
        <f>IF(OR(M25620="",N25620=""),"",SUMIFS('Barang Keluar'!$E:$E,'Barang Keluar'!$A:$A,M25620,'Barang Keluar'!$C:$C,N25620))</f>
        <v>0</v>
      </c>
    </row>
    <row r="25621" spans="13:16">
      <c r="M25621" s="49">
        <f>IF($A$4+256&gt;$B$4,"",$A$4+256)</f>
        <v>46279</v>
      </c>
      <c r="N25621" t="str">
        <f>IF(M25621="","",'Master Barang'!A15)</f>
        <v>PRL-014</v>
      </c>
      <c r="O25621" t="str">
        <f>IF(N25621="","",'Master Barang'!B15)</f>
        <v>optima trashbag 80x100</v>
      </c>
      <c r="P25621">
        <f>IF(OR(M25621="",N25621=""),"",SUMIFS('Barang Keluar'!$E:$E,'Barang Keluar'!$A:$A,M25621,'Barang Keluar'!$C:$C,N25621))</f>
        <v>0</v>
      </c>
    </row>
    <row r="25622" spans="13:16">
      <c r="M25622" s="49">
        <f>IF($A$4+256&gt;$B$4,"",$A$4+256)</f>
        <v>46279</v>
      </c>
      <c r="N25622" t="str">
        <f>IF(M25622="","",'Master Barang'!A16)</f>
        <v>PRL-015</v>
      </c>
      <c r="O25622" t="str">
        <f>IF(N25622="","",'Master Barang'!B16)</f>
        <v>optima trashbag 60x100</v>
      </c>
      <c r="P25622">
        <f>IF(OR(M25622="",N25622=""),"",SUMIFS('Barang Keluar'!$E:$E,'Barang Keluar'!$A:$A,M25622,'Barang Keluar'!$C:$C,N25622))</f>
        <v>0</v>
      </c>
    </row>
    <row r="25623" spans="13:16">
      <c r="M25623" s="49">
        <f>IF($A$4+256&gt;$B$4,"",$A$4+256)</f>
        <v>46279</v>
      </c>
      <c r="N25623" t="str">
        <f>IF(M25623="","",'Master Barang'!A17)</f>
        <v>PRL-016</v>
      </c>
      <c r="O25623" t="str">
        <f>IF(N25623="","",'Master Barang'!B17)</f>
        <v>rajawali trashbag 30x40</v>
      </c>
      <c r="P25623">
        <f>IF(OR(M25623="",N25623=""),"",SUMIFS('Barang Keluar'!$E:$E,'Barang Keluar'!$A:$A,M25623,'Barang Keluar'!$C:$C,N25623))</f>
        <v>0</v>
      </c>
    </row>
    <row r="25624" spans="13:16">
      <c r="M25624" s="49">
        <f>IF($A$4+256&gt;$B$4,"",$A$4+256)</f>
        <v>46279</v>
      </c>
      <c r="N25624" t="str">
        <f>IF(M25624="","",'Master Barang'!A18)</f>
        <v>PRL-017</v>
      </c>
      <c r="O25624" t="str">
        <f>IF(N25624="","",'Master Barang'!B18)</f>
        <v>onemed masker biru 3 play 50 pcs</v>
      </c>
      <c r="P25624">
        <f>IF(OR(M25624="",N25624=""),"",SUMIFS('Barang Keluar'!$E:$E,'Barang Keluar'!$A:$A,M25624,'Barang Keluar'!$C:$C,N25624))</f>
        <v>0</v>
      </c>
    </row>
    <row r="25625" spans="13:16">
      <c r="M25625" s="49">
        <f>IF($A$4+256&gt;$B$4,"",$A$4+256)</f>
        <v>46279</v>
      </c>
      <c r="N25625" t="str">
        <f>IF(M25625="","",'Master Barang'!A19)</f>
        <v>PRL-018</v>
      </c>
      <c r="O25625" t="str">
        <f>IF(N25625="","",'Master Barang'!B19)</f>
        <v>onemed masker biru 3 play hijab 50 pcs</v>
      </c>
      <c r="P25625">
        <f>IF(OR(M25625="",N25625=""),"",SUMIFS('Barang Keluar'!$E:$E,'Barang Keluar'!$A:$A,M25625,'Barang Keluar'!$C:$C,N25625))</f>
        <v>0</v>
      </c>
    </row>
    <row r="25626" spans="13:16">
      <c r="M25626" s="49">
        <f>IF($A$4+256&gt;$B$4,"",$A$4+256)</f>
        <v>46279</v>
      </c>
      <c r="N25626" t="str">
        <f>IF(M25626="","",'Master Barang'!A20)</f>
        <v>PRL-019</v>
      </c>
      <c r="O25626" t="str">
        <f>IF(N25626="","",'Master Barang'!B20)</f>
        <v>neo health masker biru 3 play 50 pcs</v>
      </c>
      <c r="P25626">
        <f>IF(OR(M25626="",N25626=""),"",SUMIFS('Barang Keluar'!$E:$E,'Barang Keluar'!$A:$A,M25626,'Barang Keluar'!$C:$C,N25626))</f>
        <v>0</v>
      </c>
    </row>
    <row r="25627" spans="13:16">
      <c r="M25627" s="49">
        <f>IF($A$4+256&gt;$B$4,"",$A$4+256)</f>
        <v>46279</v>
      </c>
      <c r="N25627" t="str">
        <f>IF(M25627="","",'Master Barang'!A21)</f>
        <v>PRL-020</v>
      </c>
      <c r="O25627" t="str">
        <f>IF(N25627="","",'Master Barang'!B21)</f>
        <v>baymed masker hijau 3 play hijau 50 pcs</v>
      </c>
      <c r="P25627">
        <f>IF(OR(M25627="",N25627=""),"",SUMIFS('Barang Keluar'!$E:$E,'Barang Keluar'!$A:$A,M25627,'Barang Keluar'!$C:$C,N25627))</f>
        <v>0</v>
      </c>
    </row>
    <row r="25628" spans="13:16">
      <c r="M25628" s="49">
        <f>IF($A$4+256&gt;$B$4,"",$A$4+256)</f>
        <v>46279</v>
      </c>
      <c r="N25628" t="str">
        <f>IF(M25628="","",'Master Barang'!A22)</f>
        <v>PRL-021</v>
      </c>
      <c r="O25628" t="str">
        <f>IF(N25628="","",'Master Barang'!B22)</f>
        <v>altamed nurse cap penutup kepala 100 pcs</v>
      </c>
      <c r="P25628">
        <f>IF(OR(M25628="",N25628=""),"",SUMIFS('Barang Keluar'!$E:$E,'Barang Keluar'!$A:$A,M25628,'Barang Keluar'!$C:$C,N25628))</f>
        <v>0</v>
      </c>
    </row>
    <row r="25629" spans="13:16">
      <c r="M25629" s="49">
        <f>IF($A$4+256&gt;$B$4,"",$A$4+256)</f>
        <v>46279</v>
      </c>
      <c r="N25629" t="str">
        <f>IF(M25629="","",'Master Barang'!A23)</f>
        <v>PRL-022</v>
      </c>
      <c r="O25629" t="str">
        <f>IF(N25629="","",'Master Barang'!B23)</f>
        <v>sabun cuci tangan</v>
      </c>
      <c r="P25629">
        <f>IF(OR(M25629="",N25629=""),"",SUMIFS('Barang Keluar'!$E:$E,'Barang Keluar'!$A:$A,M25629,'Barang Keluar'!$C:$C,N25629))</f>
        <v>0</v>
      </c>
    </row>
    <row r="25630" spans="13:16">
      <c r="M25630" s="49">
        <f>IF($A$4+256&gt;$B$4,"",$A$4+256)</f>
        <v>46279</v>
      </c>
      <c r="N25630" t="str">
        <f>IF(M25630="","",'Master Barang'!A24)</f>
        <v>PRL-023</v>
      </c>
      <c r="O25630" t="str">
        <f>IF(N25630="","",'Master Barang'!B24)</f>
        <v>gayung kecil</v>
      </c>
      <c r="P25630">
        <f>IF(OR(M25630="",N25630=""),"",SUMIFS('Barang Keluar'!$E:$E,'Barang Keluar'!$A:$A,M25630,'Barang Keluar'!$C:$C,N25630))</f>
        <v>0</v>
      </c>
    </row>
    <row r="25631" spans="13:16">
      <c r="M25631" s="49">
        <f>IF($A$4+256&gt;$B$4,"",$A$4+256)</f>
        <v>46279</v>
      </c>
      <c r="N25631" t="str">
        <f>IF(M25631="","",'Master Barang'!A25)</f>
        <v>PRL-024</v>
      </c>
      <c r="O25631" t="str">
        <f>IF(N25631="","",'Master Barang'!B25)</f>
        <v>cikrak kecil</v>
      </c>
      <c r="P25631">
        <f>IF(OR(M25631="",N25631=""),"",SUMIFS('Barang Keluar'!$E:$E,'Barang Keluar'!$A:$A,M25631,'Barang Keluar'!$C:$C,N25631))</f>
        <v>0</v>
      </c>
    </row>
    <row r="25632" spans="13:16">
      <c r="M25632" s="49">
        <f>IF($A$4+256&gt;$B$4,"",$A$4+256)</f>
        <v>46279</v>
      </c>
      <c r="N25632" t="str">
        <f>IF(M25632="","",'Master Barang'!A26)</f>
        <v>PRL-025</v>
      </c>
      <c r="O25632" t="str">
        <f>IF(N25632="","",'Master Barang'!B26)</f>
        <v>petromax plastik kecil 12x24 100 lembar</v>
      </c>
      <c r="P25632">
        <f>IF(OR(M25632="",N25632=""),"",SUMIFS('Barang Keluar'!$E:$E,'Barang Keluar'!$A:$A,M25632,'Barang Keluar'!$C:$C,N25632))</f>
        <v>0</v>
      </c>
    </row>
    <row r="25633" spans="13:16">
      <c r="M25633" s="49">
        <f>IF($A$4+256&gt;$B$4,"",$A$4+256)</f>
        <v>46279</v>
      </c>
      <c r="N25633" t="str">
        <f>IF(M25633="","",'Master Barang'!A27)</f>
        <v>PRL-026</v>
      </c>
      <c r="O25633" t="str">
        <f>IF(N25633="","",'Master Barang'!B27)</f>
        <v>lancar kresek kecil bening </v>
      </c>
      <c r="P25633">
        <f>IF(OR(M25633="",N25633=""),"",SUMIFS('Barang Keluar'!$E:$E,'Barang Keluar'!$A:$A,M25633,'Barang Keluar'!$C:$C,N25633))</f>
        <v>0</v>
      </c>
    </row>
    <row r="25634" spans="13:16">
      <c r="M25634" s="49">
        <f>IF($A$4+256&gt;$B$4,"",$A$4+256)</f>
        <v>46279</v>
      </c>
      <c r="N25634" t="str">
        <f>IF(M25634="","",'Master Barang'!A28)</f>
        <v>PRL-027</v>
      </c>
      <c r="O25634" t="str">
        <f>IF(N25634="","",'Master Barang'!B28)</f>
        <v>kresek klin warna warni kecil</v>
      </c>
      <c r="P25634">
        <f>IF(OR(M25634="",N25634=""),"",SUMIFS('Barang Keluar'!$E:$E,'Barang Keluar'!$A:$A,M25634,'Barang Keluar'!$C:$C,N25634))</f>
        <v>0</v>
      </c>
    </row>
    <row r="25635" spans="13:16">
      <c r="M25635" s="49">
        <f>IF($A$4+256&gt;$B$4,"",$A$4+256)</f>
        <v>46279</v>
      </c>
      <c r="N25635" t="str">
        <f>IF(M25635="","",'Master Barang'!A29)</f>
        <v>PRL-028</v>
      </c>
      <c r="O25635" t="str">
        <f>IF(N25635="","",'Master Barang'!B29)</f>
        <v>ctik plastik 7x10 100 pcs</v>
      </c>
      <c r="P25635">
        <f>IF(OR(M25635="",N25635=""),"",SUMIFS('Barang Keluar'!$E:$E,'Barang Keluar'!$A:$A,M25635,'Barang Keluar'!$C:$C,N25635))</f>
        <v>0</v>
      </c>
    </row>
    <row r="25636" spans="13:16">
      <c r="M25636" s="49">
        <f>IF($A$4+256&gt;$B$4,"",$A$4+256)</f>
        <v>46279</v>
      </c>
      <c r="N25636" t="str">
        <f>IF(M25636="","",'Master Barang'!A30)</f>
        <v>PRL-029</v>
      </c>
      <c r="O25636" t="str">
        <f>IF(N25636="","",'Master Barang'!B30)</f>
        <v>ctik plastik 6x10 100 pcs</v>
      </c>
      <c r="P25636">
        <f>IF(OR(M25636="",N25636=""),"",SUMIFS('Barang Keluar'!$E:$E,'Barang Keluar'!$A:$A,M25636,'Barang Keluar'!$C:$C,N25636))</f>
        <v>0</v>
      </c>
    </row>
    <row r="25637" spans="13:16">
      <c r="M25637" s="49">
        <f>IF($A$4+256&gt;$B$4,"",$A$4+256)</f>
        <v>46279</v>
      </c>
      <c r="N25637" t="str">
        <f>IF(M25637="","",'Master Barang'!A31)</f>
        <v>PRL-030</v>
      </c>
      <c r="O25637" t="str">
        <f>IF(N25637="","",'Master Barang'!B31)</f>
        <v>klip plastik 25x16 100 pcs</v>
      </c>
      <c r="P25637">
        <f>IF(OR(M25637="",N25637=""),"",SUMIFS('Barang Keluar'!$E:$E,'Barang Keluar'!$A:$A,M25637,'Barang Keluar'!$C:$C,N25637))</f>
        <v>0</v>
      </c>
    </row>
    <row r="25638" spans="13:16">
      <c r="M25638" s="49">
        <f>IF($A$4+256&gt;$B$4,"",$A$4+256)</f>
        <v>46279</v>
      </c>
      <c r="N25638" t="str">
        <f>IF(M25638="","",'Master Barang'!A32)</f>
        <v>PRL-031</v>
      </c>
      <c r="O25638" t="str">
        <f>IF(N25638="","",'Master Barang'!B32)</f>
        <v>tempat saus 20 ml</v>
      </c>
      <c r="P25638">
        <f>IF(OR(M25638="",N25638=""),"",SUMIFS('Barang Keluar'!$E:$E,'Barang Keluar'!$A:$A,M25638,'Barang Keluar'!$C:$C,N25638))</f>
        <v>0</v>
      </c>
    </row>
    <row r="25639" spans="13:16">
      <c r="M25639" s="49">
        <f>IF($A$4+256&gt;$B$4,"",$A$4+256)</f>
        <v>46279</v>
      </c>
      <c r="N25639" t="str">
        <f>IF(M25639="","",'Master Barang'!A33)</f>
        <v>PRL-032</v>
      </c>
      <c r="O25639" t="str">
        <f>IF(N25639="","",'Master Barang'!B33)</f>
        <v>plastik packaging ag box uk sedang</v>
      </c>
      <c r="P25639">
        <f>IF(OR(M25639="",N25639=""),"",SUMIFS('Barang Keluar'!$E:$E,'Barang Keluar'!$A:$A,M25639,'Barang Keluar'!$C:$C,N25639))</f>
        <v>0</v>
      </c>
    </row>
    <row r="25640" spans="13:16">
      <c r="M25640" s="49">
        <f>IF($A$4+256&gt;$B$4,"",$A$4+256)</f>
        <v>46279</v>
      </c>
      <c r="N25640" t="str">
        <f>IF(M25640="","",'Master Barang'!A34)</f>
        <v>PRL-033</v>
      </c>
      <c r="O25640">
        <f>IF(N25640="","",'Master Barang'!B34)</f>
        <v>0</v>
      </c>
      <c r="P25640">
        <f>IF(OR(M25640="",N25640=""),"",SUMIFS('Barang Keluar'!$E:$E,'Barang Keluar'!$A:$A,M25640,'Barang Keluar'!$C:$C,N25640))</f>
        <v>0</v>
      </c>
    </row>
    <row r="25641" spans="13:16">
      <c r="M25641" s="49">
        <f>IF($A$4+256&gt;$B$4,"",$A$4+256)</f>
        <v>46279</v>
      </c>
      <c r="N25641">
        <f>IF(M25641="","",'Master Barang'!A35)</f>
        <v>0</v>
      </c>
      <c r="O25641">
        <f>IF(N25641="","",'Master Barang'!B35)</f>
        <v>0</v>
      </c>
      <c r="P25641">
        <f>IF(OR(M25641="",N25641=""),"",SUMIFS('Barang Keluar'!$E:$E,'Barang Keluar'!$A:$A,M25641,'Barang Keluar'!$C:$C,N25641))</f>
        <v>0</v>
      </c>
    </row>
    <row r="25642" spans="13:16">
      <c r="M25642" s="49">
        <f>IF($A$4+256&gt;$B$4,"",$A$4+256)</f>
        <v>46279</v>
      </c>
      <c r="N25642">
        <f>IF(M25642="","",'Master Barang'!A36)</f>
        <v>0</v>
      </c>
      <c r="O25642">
        <f>IF(N25642="","",'Master Barang'!B36)</f>
        <v>0</v>
      </c>
      <c r="P25642">
        <f>IF(OR(M25642="",N25642=""),"",SUMIFS('Barang Keluar'!$E:$E,'Barang Keluar'!$A:$A,M25642,'Barang Keluar'!$C:$C,N25642))</f>
        <v>0</v>
      </c>
    </row>
    <row r="25643" spans="13:16">
      <c r="M25643" s="49">
        <f>IF($A$4+256&gt;$B$4,"",$A$4+256)</f>
        <v>46279</v>
      </c>
      <c r="N25643">
        <f>IF(M25643="","",'Master Barang'!A37)</f>
        <v>0</v>
      </c>
      <c r="O25643">
        <f>IF(N25643="","",'Master Barang'!B37)</f>
        <v>0</v>
      </c>
      <c r="P25643">
        <f>IF(OR(M25643="",N25643=""),"",SUMIFS('Barang Keluar'!$E:$E,'Barang Keluar'!$A:$A,M25643,'Barang Keluar'!$C:$C,N25643))</f>
        <v>0</v>
      </c>
    </row>
    <row r="25644" spans="13:16">
      <c r="M25644" s="49">
        <f>IF($A$4+256&gt;$B$4,"",$A$4+256)</f>
        <v>46279</v>
      </c>
      <c r="N25644">
        <f>IF(M25644="","",'Master Barang'!A38)</f>
        <v>0</v>
      </c>
      <c r="O25644">
        <f>IF(N25644="","",'Master Barang'!B38)</f>
        <v>0</v>
      </c>
      <c r="P25644">
        <f>IF(OR(M25644="",N25644=""),"",SUMIFS('Barang Keluar'!$E:$E,'Barang Keluar'!$A:$A,M25644,'Barang Keluar'!$C:$C,N25644))</f>
        <v>0</v>
      </c>
    </row>
    <row r="25645" spans="13:16">
      <c r="M25645" s="49">
        <f>IF($A$4+256&gt;$B$4,"",$A$4+256)</f>
        <v>46279</v>
      </c>
      <c r="N25645">
        <f>IF(M25645="","",'Master Barang'!A39)</f>
        <v>0</v>
      </c>
      <c r="O25645">
        <f>IF(N25645="","",'Master Barang'!B39)</f>
        <v>0</v>
      </c>
      <c r="P25645">
        <f>IF(OR(M25645="",N25645=""),"",SUMIFS('Barang Keluar'!$E:$E,'Barang Keluar'!$A:$A,M25645,'Barang Keluar'!$C:$C,N25645))</f>
        <v>0</v>
      </c>
    </row>
    <row r="25646" spans="13:16">
      <c r="M25646" s="49">
        <f>IF($A$4+256&gt;$B$4,"",$A$4+256)</f>
        <v>46279</v>
      </c>
      <c r="N25646">
        <f>IF(M25646="","",'Master Barang'!A40)</f>
        <v>0</v>
      </c>
      <c r="O25646">
        <f>IF(N25646="","",'Master Barang'!B40)</f>
        <v>0</v>
      </c>
      <c r="P25646">
        <f>IF(OR(M25646="",N25646=""),"",SUMIFS('Barang Keluar'!$E:$E,'Barang Keluar'!$A:$A,M25646,'Barang Keluar'!$C:$C,N25646))</f>
        <v>0</v>
      </c>
    </row>
    <row r="25647" spans="13:16">
      <c r="M25647" s="49">
        <f>IF($A$4+256&gt;$B$4,"",$A$4+256)</f>
        <v>46279</v>
      </c>
      <c r="N25647">
        <f>IF(M25647="","",'Master Barang'!A41)</f>
        <v>0</v>
      </c>
      <c r="O25647">
        <f>IF(N25647="","",'Master Barang'!B41)</f>
        <v>0</v>
      </c>
      <c r="P25647">
        <f>IF(OR(M25647="",N25647=""),"",SUMIFS('Barang Keluar'!$E:$E,'Barang Keluar'!$A:$A,M25647,'Barang Keluar'!$C:$C,N25647))</f>
        <v>0</v>
      </c>
    </row>
    <row r="25648" spans="13:16">
      <c r="M25648" s="49">
        <f>IF($A$4+256&gt;$B$4,"",$A$4+256)</f>
        <v>46279</v>
      </c>
      <c r="N25648">
        <f>IF(M25648="","",'Master Barang'!A42)</f>
        <v>0</v>
      </c>
      <c r="O25648">
        <f>IF(N25648="","",'Master Barang'!B42)</f>
        <v>0</v>
      </c>
      <c r="P25648">
        <f>IF(OR(M25648="",N25648=""),"",SUMIFS('Barang Keluar'!$E:$E,'Barang Keluar'!$A:$A,M25648,'Barang Keluar'!$C:$C,N25648))</f>
        <v>0</v>
      </c>
    </row>
    <row r="25649" spans="13:16">
      <c r="M25649" s="49">
        <f>IF($A$4+256&gt;$B$4,"",$A$4+256)</f>
        <v>46279</v>
      </c>
      <c r="N25649">
        <f>IF(M25649="","",'Master Barang'!A43)</f>
        <v>0</v>
      </c>
      <c r="O25649">
        <f>IF(N25649="","",'Master Barang'!B43)</f>
        <v>0</v>
      </c>
      <c r="P25649">
        <f>IF(OR(M25649="",N25649=""),"",SUMIFS('Barang Keluar'!$E:$E,'Barang Keluar'!$A:$A,M25649,'Barang Keluar'!$C:$C,N25649))</f>
        <v>0</v>
      </c>
    </row>
    <row r="25650" spans="13:16">
      <c r="M25650" s="49">
        <f>IF($A$4+256&gt;$B$4,"",$A$4+256)</f>
        <v>46279</v>
      </c>
      <c r="N25650">
        <f>IF(M25650="","",'Master Barang'!A44)</f>
        <v>0</v>
      </c>
      <c r="O25650">
        <f>IF(N25650="","",'Master Barang'!B44)</f>
        <v>0</v>
      </c>
      <c r="P25650">
        <f>IF(OR(M25650="",N25650=""),"",SUMIFS('Barang Keluar'!$E:$E,'Barang Keluar'!$A:$A,M25650,'Barang Keluar'!$C:$C,N25650))</f>
        <v>0</v>
      </c>
    </row>
    <row r="25651" spans="13:16">
      <c r="M25651" s="49">
        <f>IF($A$4+256&gt;$B$4,"",$A$4+256)</f>
        <v>46279</v>
      </c>
      <c r="N25651">
        <f>IF(M25651="","",'Master Barang'!A45)</f>
        <v>0</v>
      </c>
      <c r="O25651">
        <f>IF(N25651="","",'Master Barang'!B45)</f>
        <v>0</v>
      </c>
      <c r="P25651">
        <f>IF(OR(M25651="",N25651=""),"",SUMIFS('Barang Keluar'!$E:$E,'Barang Keluar'!$A:$A,M25651,'Barang Keluar'!$C:$C,N25651))</f>
        <v>0</v>
      </c>
    </row>
    <row r="25652" spans="13:16">
      <c r="M25652" s="49">
        <f>IF($A$4+256&gt;$B$4,"",$A$4+256)</f>
        <v>46279</v>
      </c>
      <c r="N25652">
        <f>IF(M25652="","",'Master Barang'!A46)</f>
        <v>0</v>
      </c>
      <c r="O25652">
        <f>IF(N25652="","",'Master Barang'!B46)</f>
        <v>0</v>
      </c>
      <c r="P25652">
        <f>IF(OR(M25652="",N25652=""),"",SUMIFS('Barang Keluar'!$E:$E,'Barang Keluar'!$A:$A,M25652,'Barang Keluar'!$C:$C,N25652))</f>
        <v>0</v>
      </c>
    </row>
    <row r="25653" spans="13:16">
      <c r="M25653" s="49">
        <f>IF($A$4+256&gt;$B$4,"",$A$4+256)</f>
        <v>46279</v>
      </c>
      <c r="N25653">
        <f>IF(M25653="","",'Master Barang'!A47)</f>
        <v>0</v>
      </c>
      <c r="O25653">
        <f>IF(N25653="","",'Master Barang'!B47)</f>
        <v>0</v>
      </c>
      <c r="P25653">
        <f>IF(OR(M25653="",N25653=""),"",SUMIFS('Barang Keluar'!$E:$E,'Barang Keluar'!$A:$A,M25653,'Barang Keluar'!$C:$C,N25653))</f>
        <v>0</v>
      </c>
    </row>
    <row r="25654" spans="13:16">
      <c r="M25654" s="49">
        <f>IF($A$4+256&gt;$B$4,"",$A$4+256)</f>
        <v>46279</v>
      </c>
      <c r="N25654">
        <f>IF(M25654="","",'Master Barang'!A48)</f>
        <v>0</v>
      </c>
      <c r="O25654">
        <f>IF(N25654="","",'Master Barang'!B48)</f>
        <v>0</v>
      </c>
      <c r="P25654">
        <f>IF(OR(M25654="",N25654=""),"",SUMIFS('Barang Keluar'!$E:$E,'Barang Keluar'!$A:$A,M25654,'Barang Keluar'!$C:$C,N25654))</f>
        <v>0</v>
      </c>
    </row>
    <row r="25655" spans="13:16">
      <c r="M25655" s="49">
        <f>IF($A$4+256&gt;$B$4,"",$A$4+256)</f>
        <v>46279</v>
      </c>
      <c r="N25655">
        <f>IF(M25655="","",'Master Barang'!A49)</f>
        <v>0</v>
      </c>
      <c r="O25655">
        <f>IF(N25655="","",'Master Barang'!B49)</f>
        <v>0</v>
      </c>
      <c r="P25655">
        <f>IF(OR(M25655="",N25655=""),"",SUMIFS('Barang Keluar'!$E:$E,'Barang Keluar'!$A:$A,M25655,'Barang Keluar'!$C:$C,N25655))</f>
        <v>0</v>
      </c>
    </row>
    <row r="25656" spans="13:16">
      <c r="M25656" s="49">
        <f>IF($A$4+256&gt;$B$4,"",$A$4+256)</f>
        <v>46279</v>
      </c>
      <c r="N25656">
        <f>IF(M25656="","",'Master Barang'!A50)</f>
        <v>0</v>
      </c>
      <c r="O25656">
        <f>IF(N25656="","",'Master Barang'!B50)</f>
        <v>0</v>
      </c>
      <c r="P25656">
        <f>IF(OR(M25656="",N25656=""),"",SUMIFS('Barang Keluar'!$E:$E,'Barang Keluar'!$A:$A,M25656,'Barang Keluar'!$C:$C,N25656))</f>
        <v>0</v>
      </c>
    </row>
    <row r="25657" spans="13:16">
      <c r="M25657" s="49">
        <f>IF($A$4+256&gt;$B$4,"",$A$4+256)</f>
        <v>46279</v>
      </c>
      <c r="N25657">
        <f>IF(M25657="","",'Master Barang'!A51)</f>
        <v>0</v>
      </c>
      <c r="O25657">
        <f>IF(N25657="","",'Master Barang'!B51)</f>
        <v>0</v>
      </c>
      <c r="P25657">
        <f>IF(OR(M25657="",N25657=""),"",SUMIFS('Barang Keluar'!$E:$E,'Barang Keluar'!$A:$A,M25657,'Barang Keluar'!$C:$C,N25657))</f>
        <v>0</v>
      </c>
    </row>
    <row r="25658" spans="13:16">
      <c r="M25658" s="49">
        <f>IF($A$4+256&gt;$B$4,"",$A$4+256)</f>
        <v>46279</v>
      </c>
      <c r="N25658">
        <f>IF(M25658="","",'Master Barang'!A52)</f>
        <v>0</v>
      </c>
      <c r="O25658">
        <f>IF(N25658="","",'Master Barang'!B52)</f>
        <v>0</v>
      </c>
      <c r="P25658">
        <f>IF(OR(M25658="",N25658=""),"",SUMIFS('Barang Keluar'!$E:$E,'Barang Keluar'!$A:$A,M25658,'Barang Keluar'!$C:$C,N25658))</f>
        <v>0</v>
      </c>
    </row>
    <row r="25659" spans="13:16">
      <c r="M25659" s="49">
        <f>IF($A$4+256&gt;$B$4,"",$A$4+256)</f>
        <v>46279</v>
      </c>
      <c r="N25659">
        <f>IF(M25659="","",'Master Barang'!A53)</f>
        <v>0</v>
      </c>
      <c r="O25659">
        <f>IF(N25659="","",'Master Barang'!B53)</f>
        <v>0</v>
      </c>
      <c r="P25659">
        <f>IF(OR(M25659="",N25659=""),"",SUMIFS('Barang Keluar'!$E:$E,'Barang Keluar'!$A:$A,M25659,'Barang Keluar'!$C:$C,N25659))</f>
        <v>0</v>
      </c>
    </row>
    <row r="25660" spans="13:16">
      <c r="M25660" s="49">
        <f>IF($A$4+256&gt;$B$4,"",$A$4+256)</f>
        <v>46279</v>
      </c>
      <c r="N25660">
        <f>IF(M25660="","",'Master Barang'!A54)</f>
        <v>0</v>
      </c>
      <c r="O25660">
        <f>IF(N25660="","",'Master Barang'!B54)</f>
        <v>0</v>
      </c>
      <c r="P25660">
        <f>IF(OR(M25660="",N25660=""),"",SUMIFS('Barang Keluar'!$E:$E,'Barang Keluar'!$A:$A,M25660,'Barang Keluar'!$C:$C,N25660))</f>
        <v>0</v>
      </c>
    </row>
    <row r="25661" spans="13:16">
      <c r="M25661" s="49">
        <f>IF($A$4+256&gt;$B$4,"",$A$4+256)</f>
        <v>46279</v>
      </c>
      <c r="N25661">
        <f>IF(M25661="","",'Master Barang'!A55)</f>
        <v>0</v>
      </c>
      <c r="O25661">
        <f>IF(N25661="","",'Master Barang'!B55)</f>
        <v>0</v>
      </c>
      <c r="P25661">
        <f>IF(OR(M25661="",N25661=""),"",SUMIFS('Barang Keluar'!$E:$E,'Barang Keluar'!$A:$A,M25661,'Barang Keluar'!$C:$C,N25661))</f>
        <v>0</v>
      </c>
    </row>
    <row r="25662" spans="13:16">
      <c r="M25662" s="49">
        <f>IF($A$4+256&gt;$B$4,"",$A$4+256)</f>
        <v>46279</v>
      </c>
      <c r="N25662">
        <f>IF(M25662="","",'Master Barang'!A56)</f>
        <v>0</v>
      </c>
      <c r="O25662">
        <f>IF(N25662="","",'Master Barang'!B56)</f>
        <v>0</v>
      </c>
      <c r="P25662">
        <f>IF(OR(M25662="",N25662=""),"",SUMIFS('Barang Keluar'!$E:$E,'Barang Keluar'!$A:$A,M25662,'Barang Keluar'!$C:$C,N25662))</f>
        <v>0</v>
      </c>
    </row>
    <row r="25663" spans="13:16">
      <c r="M25663" s="49">
        <f>IF($A$4+256&gt;$B$4,"",$A$4+256)</f>
        <v>46279</v>
      </c>
      <c r="N25663">
        <f>IF(M25663="","",'Master Barang'!A57)</f>
        <v>0</v>
      </c>
      <c r="O25663">
        <f>IF(N25663="","",'Master Barang'!B57)</f>
        <v>0</v>
      </c>
      <c r="P25663">
        <f>IF(OR(M25663="",N25663=""),"",SUMIFS('Barang Keluar'!$E:$E,'Barang Keluar'!$A:$A,M25663,'Barang Keluar'!$C:$C,N25663))</f>
        <v>0</v>
      </c>
    </row>
    <row r="25664" spans="13:16">
      <c r="M25664" s="49">
        <f>IF($A$4+256&gt;$B$4,"",$A$4+256)</f>
        <v>46279</v>
      </c>
      <c r="N25664">
        <f>IF(M25664="","",'Master Barang'!A58)</f>
        <v>0</v>
      </c>
      <c r="O25664">
        <f>IF(N25664="","",'Master Barang'!B58)</f>
        <v>0</v>
      </c>
      <c r="P25664">
        <f>IF(OR(M25664="",N25664=""),"",SUMIFS('Barang Keluar'!$E:$E,'Barang Keluar'!$A:$A,M25664,'Barang Keluar'!$C:$C,N25664))</f>
        <v>0</v>
      </c>
    </row>
    <row r="25665" spans="13:16">
      <c r="M25665" s="49">
        <f>IF($A$4+256&gt;$B$4,"",$A$4+256)</f>
        <v>46279</v>
      </c>
      <c r="N25665">
        <f>IF(M25665="","",'Master Barang'!A59)</f>
        <v>0</v>
      </c>
      <c r="O25665">
        <f>IF(N25665="","",'Master Barang'!B59)</f>
        <v>0</v>
      </c>
      <c r="P25665">
        <f>IF(OR(M25665="",N25665=""),"",SUMIFS('Barang Keluar'!$E:$E,'Barang Keluar'!$A:$A,M25665,'Barang Keluar'!$C:$C,N25665))</f>
        <v>0</v>
      </c>
    </row>
    <row r="25666" spans="13:16">
      <c r="M25666" s="49">
        <f>IF($A$4+256&gt;$B$4,"",$A$4+256)</f>
        <v>46279</v>
      </c>
      <c r="N25666">
        <f>IF(M25666="","",'Master Barang'!A60)</f>
        <v>0</v>
      </c>
      <c r="O25666">
        <f>IF(N25666="","",'Master Barang'!B60)</f>
        <v>0</v>
      </c>
      <c r="P25666">
        <f>IF(OR(M25666="",N25666=""),"",SUMIFS('Barang Keluar'!$E:$E,'Barang Keluar'!$A:$A,M25666,'Barang Keluar'!$C:$C,N25666))</f>
        <v>0</v>
      </c>
    </row>
    <row r="25667" spans="13:16">
      <c r="M25667" s="49">
        <f>IF($A$4+256&gt;$B$4,"",$A$4+256)</f>
        <v>46279</v>
      </c>
      <c r="N25667">
        <f>IF(M25667="","",'Master Barang'!A61)</f>
        <v>0</v>
      </c>
      <c r="O25667">
        <f>IF(N25667="","",'Master Barang'!B61)</f>
        <v>0</v>
      </c>
      <c r="P25667">
        <f>IF(OR(M25667="",N25667=""),"",SUMIFS('Barang Keluar'!$E:$E,'Barang Keluar'!$A:$A,M25667,'Barang Keluar'!$C:$C,N25667))</f>
        <v>0</v>
      </c>
    </row>
    <row r="25668" spans="13:16">
      <c r="M25668" s="49">
        <f>IF($A$4+256&gt;$B$4,"",$A$4+256)</f>
        <v>46279</v>
      </c>
      <c r="N25668">
        <f>IF(M25668="","",'Master Barang'!A62)</f>
        <v>0</v>
      </c>
      <c r="O25668">
        <f>IF(N25668="","",'Master Barang'!B62)</f>
        <v>0</v>
      </c>
      <c r="P25668">
        <f>IF(OR(M25668="",N25668=""),"",SUMIFS('Barang Keluar'!$E:$E,'Barang Keluar'!$A:$A,M25668,'Barang Keluar'!$C:$C,N25668))</f>
        <v>0</v>
      </c>
    </row>
    <row r="25669" spans="13:16">
      <c r="M25669" s="49">
        <f>IF($A$4+256&gt;$B$4,"",$A$4+256)</f>
        <v>46279</v>
      </c>
      <c r="N25669">
        <f>IF(M25669="","",'Master Barang'!A63)</f>
        <v>0</v>
      </c>
      <c r="O25669">
        <f>IF(N25669="","",'Master Barang'!B63)</f>
        <v>0</v>
      </c>
      <c r="P25669">
        <f>IF(OR(M25669="",N25669=""),"",SUMIFS('Barang Keluar'!$E:$E,'Barang Keluar'!$A:$A,M25669,'Barang Keluar'!$C:$C,N25669))</f>
        <v>0</v>
      </c>
    </row>
    <row r="25670" spans="13:16">
      <c r="M25670" s="49">
        <f>IF($A$4+256&gt;$B$4,"",$A$4+256)</f>
        <v>46279</v>
      </c>
      <c r="N25670">
        <f>IF(M25670="","",'Master Barang'!A64)</f>
        <v>0</v>
      </c>
      <c r="O25670">
        <f>IF(N25670="","",'Master Barang'!B64)</f>
        <v>0</v>
      </c>
      <c r="P25670">
        <f>IF(OR(M25670="",N25670=""),"",SUMIFS('Barang Keluar'!$E:$E,'Barang Keluar'!$A:$A,M25670,'Barang Keluar'!$C:$C,N25670))</f>
        <v>0</v>
      </c>
    </row>
    <row r="25671" spans="13:16">
      <c r="M25671" s="49">
        <f>IF($A$4+256&gt;$B$4,"",$A$4+256)</f>
        <v>46279</v>
      </c>
      <c r="N25671">
        <f>IF(M25671="","",'Master Barang'!A65)</f>
        <v>0</v>
      </c>
      <c r="O25671">
        <f>IF(N25671="","",'Master Barang'!B65)</f>
        <v>0</v>
      </c>
      <c r="P25671">
        <f>IF(OR(M25671="",N25671=""),"",SUMIFS('Barang Keluar'!$E:$E,'Barang Keluar'!$A:$A,M25671,'Barang Keluar'!$C:$C,N25671))</f>
        <v>0</v>
      </c>
    </row>
    <row r="25672" spans="13:16">
      <c r="M25672" s="49">
        <f>IF($A$4+256&gt;$B$4,"",$A$4+256)</f>
        <v>46279</v>
      </c>
      <c r="N25672">
        <f>IF(M25672="","",'Master Barang'!A66)</f>
        <v>0</v>
      </c>
      <c r="O25672">
        <f>IF(N25672="","",'Master Barang'!B66)</f>
        <v>0</v>
      </c>
      <c r="P25672">
        <f>IF(OR(M25672="",N25672=""),"",SUMIFS('Barang Keluar'!$E:$E,'Barang Keluar'!$A:$A,M25672,'Barang Keluar'!$C:$C,N25672))</f>
        <v>0</v>
      </c>
    </row>
    <row r="25673" spans="13:16">
      <c r="M25673" s="49">
        <f>IF($A$4+256&gt;$B$4,"",$A$4+256)</f>
        <v>46279</v>
      </c>
      <c r="N25673">
        <f>IF(M25673="","",'Master Barang'!A67)</f>
        <v>0</v>
      </c>
      <c r="O25673">
        <f>IF(N25673="","",'Master Barang'!B67)</f>
        <v>0</v>
      </c>
      <c r="P25673">
        <f>IF(OR(M25673="",N25673=""),"",SUMIFS('Barang Keluar'!$E:$E,'Barang Keluar'!$A:$A,M25673,'Barang Keluar'!$C:$C,N25673))</f>
        <v>0</v>
      </c>
    </row>
    <row r="25674" spans="13:16">
      <c r="M25674" s="49">
        <f>IF($A$4+256&gt;$B$4,"",$A$4+256)</f>
        <v>46279</v>
      </c>
      <c r="N25674">
        <f>IF(M25674="","",'Master Barang'!A68)</f>
        <v>0</v>
      </c>
      <c r="O25674">
        <f>IF(N25674="","",'Master Barang'!B68)</f>
        <v>0</v>
      </c>
      <c r="P25674">
        <f>IF(OR(M25674="",N25674=""),"",SUMIFS('Barang Keluar'!$E:$E,'Barang Keluar'!$A:$A,M25674,'Barang Keluar'!$C:$C,N25674))</f>
        <v>0</v>
      </c>
    </row>
    <row r="25675" spans="13:16">
      <c r="M25675" s="49">
        <f>IF($A$4+256&gt;$B$4,"",$A$4+256)</f>
        <v>46279</v>
      </c>
      <c r="N25675">
        <f>IF(M25675="","",'Master Barang'!A69)</f>
        <v>0</v>
      </c>
      <c r="O25675">
        <f>IF(N25675="","",'Master Barang'!B69)</f>
        <v>0</v>
      </c>
      <c r="P25675">
        <f>IF(OR(M25675="",N25675=""),"",SUMIFS('Barang Keluar'!$E:$E,'Barang Keluar'!$A:$A,M25675,'Barang Keluar'!$C:$C,N25675))</f>
        <v>0</v>
      </c>
    </row>
    <row r="25676" spans="13:16">
      <c r="M25676" s="49">
        <f>IF($A$4+256&gt;$B$4,"",$A$4+256)</f>
        <v>46279</v>
      </c>
      <c r="N25676">
        <f>IF(M25676="","",'Master Barang'!A70)</f>
        <v>0</v>
      </c>
      <c r="O25676">
        <f>IF(N25676="","",'Master Barang'!B70)</f>
        <v>0</v>
      </c>
      <c r="P25676">
        <f>IF(OR(M25676="",N25676=""),"",SUMIFS('Barang Keluar'!$E:$E,'Barang Keluar'!$A:$A,M25676,'Barang Keluar'!$C:$C,N25676))</f>
        <v>0</v>
      </c>
    </row>
    <row r="25677" spans="13:16">
      <c r="M25677" s="49">
        <f>IF($A$4+256&gt;$B$4,"",$A$4+256)</f>
        <v>46279</v>
      </c>
      <c r="N25677">
        <f>IF(M25677="","",'Master Barang'!A71)</f>
        <v>0</v>
      </c>
      <c r="O25677">
        <f>IF(N25677="","",'Master Barang'!B71)</f>
        <v>0</v>
      </c>
      <c r="P25677">
        <f>IF(OR(M25677="",N25677=""),"",SUMIFS('Barang Keluar'!$E:$E,'Barang Keluar'!$A:$A,M25677,'Barang Keluar'!$C:$C,N25677))</f>
        <v>0</v>
      </c>
    </row>
    <row r="25678" spans="13:16">
      <c r="M25678" s="49">
        <f>IF($A$4+256&gt;$B$4,"",$A$4+256)</f>
        <v>46279</v>
      </c>
      <c r="N25678">
        <f>IF(M25678="","",'Master Barang'!A72)</f>
        <v>0</v>
      </c>
      <c r="O25678">
        <f>IF(N25678="","",'Master Barang'!B72)</f>
        <v>0</v>
      </c>
      <c r="P25678">
        <f>IF(OR(M25678="",N25678=""),"",SUMIFS('Barang Keluar'!$E:$E,'Barang Keluar'!$A:$A,M25678,'Barang Keluar'!$C:$C,N25678))</f>
        <v>0</v>
      </c>
    </row>
    <row r="25679" spans="13:16">
      <c r="M25679" s="49">
        <f>IF($A$4+256&gt;$B$4,"",$A$4+256)</f>
        <v>46279</v>
      </c>
      <c r="N25679">
        <f>IF(M25679="","",'Master Barang'!A73)</f>
        <v>0</v>
      </c>
      <c r="O25679">
        <f>IF(N25679="","",'Master Barang'!B73)</f>
        <v>0</v>
      </c>
      <c r="P25679">
        <f>IF(OR(M25679="",N25679=""),"",SUMIFS('Barang Keluar'!$E:$E,'Barang Keluar'!$A:$A,M25679,'Barang Keluar'!$C:$C,N25679))</f>
        <v>0</v>
      </c>
    </row>
    <row r="25680" spans="13:16">
      <c r="M25680" s="49">
        <f>IF($A$4+256&gt;$B$4,"",$A$4+256)</f>
        <v>46279</v>
      </c>
      <c r="N25680">
        <f>IF(M25680="","",'Master Barang'!A74)</f>
        <v>0</v>
      </c>
      <c r="O25680">
        <f>IF(N25680="","",'Master Barang'!B74)</f>
        <v>0</v>
      </c>
      <c r="P25680">
        <f>IF(OR(M25680="",N25680=""),"",SUMIFS('Barang Keluar'!$E:$E,'Barang Keluar'!$A:$A,M25680,'Barang Keluar'!$C:$C,N25680))</f>
        <v>0</v>
      </c>
    </row>
    <row r="25681" spans="13:16">
      <c r="M25681" s="49">
        <f>IF($A$4+256&gt;$B$4,"",$A$4+256)</f>
        <v>46279</v>
      </c>
      <c r="N25681">
        <f>IF(M25681="","",'Master Barang'!A75)</f>
        <v>0</v>
      </c>
      <c r="O25681">
        <f>IF(N25681="","",'Master Barang'!B75)</f>
        <v>0</v>
      </c>
      <c r="P25681">
        <f>IF(OR(M25681="",N25681=""),"",SUMIFS('Barang Keluar'!$E:$E,'Barang Keluar'!$A:$A,M25681,'Barang Keluar'!$C:$C,N25681))</f>
        <v>0</v>
      </c>
    </row>
    <row r="25682" spans="13:16">
      <c r="M25682" s="49">
        <f>IF($A$4+256&gt;$B$4,"",$A$4+256)</f>
        <v>46279</v>
      </c>
      <c r="N25682">
        <f>IF(M25682="","",'Master Barang'!A76)</f>
        <v>0</v>
      </c>
      <c r="O25682">
        <f>IF(N25682="","",'Master Barang'!B76)</f>
        <v>0</v>
      </c>
      <c r="P25682">
        <f>IF(OR(M25682="",N25682=""),"",SUMIFS('Barang Keluar'!$E:$E,'Barang Keluar'!$A:$A,M25682,'Barang Keluar'!$C:$C,N25682))</f>
        <v>0</v>
      </c>
    </row>
    <row r="25683" spans="13:16">
      <c r="M25683" s="49">
        <f>IF($A$4+256&gt;$B$4,"",$A$4+256)</f>
        <v>46279</v>
      </c>
      <c r="N25683">
        <f>IF(M25683="","",'Master Barang'!A77)</f>
        <v>0</v>
      </c>
      <c r="O25683">
        <f>IF(N25683="","",'Master Barang'!B77)</f>
        <v>0</v>
      </c>
      <c r="P25683">
        <f>IF(OR(M25683="",N25683=""),"",SUMIFS('Barang Keluar'!$E:$E,'Barang Keluar'!$A:$A,M25683,'Barang Keluar'!$C:$C,N25683))</f>
        <v>0</v>
      </c>
    </row>
    <row r="25684" spans="13:16">
      <c r="M25684" s="49">
        <f>IF($A$4+256&gt;$B$4,"",$A$4+256)</f>
        <v>46279</v>
      </c>
      <c r="N25684">
        <f>IF(M25684="","",'Master Barang'!A78)</f>
        <v>0</v>
      </c>
      <c r="O25684">
        <f>IF(N25684="","",'Master Barang'!B78)</f>
        <v>0</v>
      </c>
      <c r="P25684">
        <f>IF(OR(M25684="",N25684=""),"",SUMIFS('Barang Keluar'!$E:$E,'Barang Keluar'!$A:$A,M25684,'Barang Keluar'!$C:$C,N25684))</f>
        <v>0</v>
      </c>
    </row>
    <row r="25685" spans="13:16">
      <c r="M25685" s="49">
        <f>IF($A$4+256&gt;$B$4,"",$A$4+256)</f>
        <v>46279</v>
      </c>
      <c r="N25685">
        <f>IF(M25685="","",'Master Barang'!A79)</f>
        <v>0</v>
      </c>
      <c r="O25685">
        <f>IF(N25685="","",'Master Barang'!B79)</f>
        <v>0</v>
      </c>
      <c r="P25685">
        <f>IF(OR(M25685="",N25685=""),"",SUMIFS('Barang Keluar'!$E:$E,'Barang Keluar'!$A:$A,M25685,'Barang Keluar'!$C:$C,N25685))</f>
        <v>0</v>
      </c>
    </row>
    <row r="25686" spans="13:16">
      <c r="M25686" s="49">
        <f>IF($A$4+256&gt;$B$4,"",$A$4+256)</f>
        <v>46279</v>
      </c>
      <c r="N25686">
        <f>IF(M25686="","",'Master Barang'!A80)</f>
        <v>0</v>
      </c>
      <c r="O25686">
        <f>IF(N25686="","",'Master Barang'!B80)</f>
        <v>0</v>
      </c>
      <c r="P25686">
        <f>IF(OR(M25686="",N25686=""),"",SUMIFS('Barang Keluar'!$E:$E,'Barang Keluar'!$A:$A,M25686,'Barang Keluar'!$C:$C,N25686))</f>
        <v>0</v>
      </c>
    </row>
    <row r="25687" spans="13:16">
      <c r="M25687" s="49">
        <f>IF($A$4+256&gt;$B$4,"",$A$4+256)</f>
        <v>46279</v>
      </c>
      <c r="N25687">
        <f>IF(M25687="","",'Master Barang'!A81)</f>
        <v>0</v>
      </c>
      <c r="O25687">
        <f>IF(N25687="","",'Master Barang'!B81)</f>
        <v>0</v>
      </c>
      <c r="P25687">
        <f>IF(OR(M25687="",N25687=""),"",SUMIFS('Barang Keluar'!$E:$E,'Barang Keluar'!$A:$A,M25687,'Barang Keluar'!$C:$C,N25687))</f>
        <v>0</v>
      </c>
    </row>
    <row r="25688" spans="13:16">
      <c r="M25688" s="49">
        <f>IF($A$4+256&gt;$B$4,"",$A$4+256)</f>
        <v>46279</v>
      </c>
      <c r="N25688">
        <f>IF(M25688="","",'Master Barang'!A82)</f>
        <v>0</v>
      </c>
      <c r="O25688">
        <f>IF(N25688="","",'Master Barang'!B82)</f>
        <v>0</v>
      </c>
      <c r="P25688">
        <f>IF(OR(M25688="",N25688=""),"",SUMIFS('Barang Keluar'!$E:$E,'Barang Keluar'!$A:$A,M25688,'Barang Keluar'!$C:$C,N25688))</f>
        <v>0</v>
      </c>
    </row>
    <row r="25689" spans="13:16">
      <c r="M25689" s="49">
        <f>IF($A$4+256&gt;$B$4,"",$A$4+256)</f>
        <v>46279</v>
      </c>
      <c r="N25689">
        <f>IF(M25689="","",'Master Barang'!A83)</f>
        <v>0</v>
      </c>
      <c r="O25689">
        <f>IF(N25689="","",'Master Barang'!B83)</f>
        <v>0</v>
      </c>
      <c r="P25689">
        <f>IF(OR(M25689="",N25689=""),"",SUMIFS('Barang Keluar'!$E:$E,'Barang Keluar'!$A:$A,M25689,'Barang Keluar'!$C:$C,N25689))</f>
        <v>0</v>
      </c>
    </row>
    <row r="25690" spans="13:16">
      <c r="M25690" s="49">
        <f>IF($A$4+256&gt;$B$4,"",$A$4+256)</f>
        <v>46279</v>
      </c>
      <c r="N25690">
        <f>IF(M25690="","",'Master Barang'!A84)</f>
        <v>0</v>
      </c>
      <c r="O25690">
        <f>IF(N25690="","",'Master Barang'!B84)</f>
        <v>0</v>
      </c>
      <c r="P25690">
        <f>IF(OR(M25690="",N25690=""),"",SUMIFS('Barang Keluar'!$E:$E,'Barang Keluar'!$A:$A,M25690,'Barang Keluar'!$C:$C,N25690))</f>
        <v>0</v>
      </c>
    </row>
    <row r="25691" spans="13:16">
      <c r="M25691" s="49">
        <f>IF($A$4+256&gt;$B$4,"",$A$4+256)</f>
        <v>46279</v>
      </c>
      <c r="N25691">
        <f>IF(M25691="","",'Master Barang'!A85)</f>
        <v>0</v>
      </c>
      <c r="O25691">
        <f>IF(N25691="","",'Master Barang'!B85)</f>
        <v>0</v>
      </c>
      <c r="P25691">
        <f>IF(OR(M25691="",N25691=""),"",SUMIFS('Barang Keluar'!$E:$E,'Barang Keluar'!$A:$A,M25691,'Barang Keluar'!$C:$C,N25691))</f>
        <v>0</v>
      </c>
    </row>
    <row r="25692" spans="13:16">
      <c r="M25692" s="49">
        <f>IF($A$4+256&gt;$B$4,"",$A$4+256)</f>
        <v>46279</v>
      </c>
      <c r="N25692">
        <f>IF(M25692="","",'Master Barang'!A86)</f>
        <v>0</v>
      </c>
      <c r="O25692">
        <f>IF(N25692="","",'Master Barang'!B86)</f>
        <v>0</v>
      </c>
      <c r="P25692">
        <f>IF(OR(M25692="",N25692=""),"",SUMIFS('Barang Keluar'!$E:$E,'Barang Keluar'!$A:$A,M25692,'Barang Keluar'!$C:$C,N25692))</f>
        <v>0</v>
      </c>
    </row>
    <row r="25693" spans="13:16">
      <c r="M25693" s="49">
        <f>IF($A$4+256&gt;$B$4,"",$A$4+256)</f>
        <v>46279</v>
      </c>
      <c r="N25693">
        <f>IF(M25693="","",'Master Barang'!A87)</f>
        <v>0</v>
      </c>
      <c r="O25693">
        <f>IF(N25693="","",'Master Barang'!B87)</f>
        <v>0</v>
      </c>
      <c r="P25693">
        <f>IF(OR(M25693="",N25693=""),"",SUMIFS('Barang Keluar'!$E:$E,'Barang Keluar'!$A:$A,M25693,'Barang Keluar'!$C:$C,N25693))</f>
        <v>0</v>
      </c>
    </row>
    <row r="25694" spans="13:16">
      <c r="M25694" s="49">
        <f>IF($A$4+256&gt;$B$4,"",$A$4+256)</f>
        <v>46279</v>
      </c>
      <c r="N25694">
        <f>IF(M25694="","",'Master Barang'!A88)</f>
        <v>0</v>
      </c>
      <c r="O25694">
        <f>IF(N25694="","",'Master Barang'!B88)</f>
        <v>0</v>
      </c>
      <c r="P25694">
        <f>IF(OR(M25694="",N25694=""),"",SUMIFS('Barang Keluar'!$E:$E,'Barang Keluar'!$A:$A,M25694,'Barang Keluar'!$C:$C,N25694))</f>
        <v>0</v>
      </c>
    </row>
    <row r="25695" spans="13:16">
      <c r="M25695" s="49">
        <f>IF($A$4+256&gt;$B$4,"",$A$4+256)</f>
        <v>46279</v>
      </c>
      <c r="N25695">
        <f>IF(M25695="","",'Master Barang'!A89)</f>
        <v>0</v>
      </c>
      <c r="O25695">
        <f>IF(N25695="","",'Master Barang'!B89)</f>
        <v>0</v>
      </c>
      <c r="P25695">
        <f>IF(OR(M25695="",N25695=""),"",SUMIFS('Barang Keluar'!$E:$E,'Barang Keluar'!$A:$A,M25695,'Barang Keluar'!$C:$C,N25695))</f>
        <v>0</v>
      </c>
    </row>
    <row r="25696" spans="13:16">
      <c r="M25696" s="49">
        <f>IF($A$4+256&gt;$B$4,"",$A$4+256)</f>
        <v>46279</v>
      </c>
      <c r="N25696">
        <f>IF(M25696="","",'Master Barang'!A90)</f>
        <v>0</v>
      </c>
      <c r="O25696">
        <f>IF(N25696="","",'Master Barang'!B90)</f>
        <v>0</v>
      </c>
      <c r="P25696">
        <f>IF(OR(M25696="",N25696=""),"",SUMIFS('Barang Keluar'!$E:$E,'Barang Keluar'!$A:$A,M25696,'Barang Keluar'!$C:$C,N25696))</f>
        <v>0</v>
      </c>
    </row>
    <row r="25697" spans="13:16">
      <c r="M25697" s="49">
        <f>IF($A$4+256&gt;$B$4,"",$A$4+256)</f>
        <v>46279</v>
      </c>
      <c r="N25697">
        <f>IF(M25697="","",'Master Barang'!A91)</f>
        <v>0</v>
      </c>
      <c r="O25697">
        <f>IF(N25697="","",'Master Barang'!B91)</f>
        <v>0</v>
      </c>
      <c r="P25697">
        <f>IF(OR(M25697="",N25697=""),"",SUMIFS('Barang Keluar'!$E:$E,'Barang Keluar'!$A:$A,M25697,'Barang Keluar'!$C:$C,N25697))</f>
        <v>0</v>
      </c>
    </row>
    <row r="25698" spans="13:16">
      <c r="M25698" s="49">
        <f>IF($A$4+256&gt;$B$4,"",$A$4+256)</f>
        <v>46279</v>
      </c>
      <c r="N25698">
        <f>IF(M25698="","",'Master Barang'!A92)</f>
        <v>0</v>
      </c>
      <c r="O25698">
        <f>IF(N25698="","",'Master Barang'!B92)</f>
        <v>0</v>
      </c>
      <c r="P25698">
        <f>IF(OR(M25698="",N25698=""),"",SUMIFS('Barang Keluar'!$E:$E,'Barang Keluar'!$A:$A,M25698,'Barang Keluar'!$C:$C,N25698))</f>
        <v>0</v>
      </c>
    </row>
    <row r="25699" spans="13:16">
      <c r="M25699" s="49">
        <f>IF($A$4+256&gt;$B$4,"",$A$4+256)</f>
        <v>46279</v>
      </c>
      <c r="N25699">
        <f>IF(M25699="","",'Master Barang'!A93)</f>
        <v>0</v>
      </c>
      <c r="O25699">
        <f>IF(N25699="","",'Master Barang'!B93)</f>
        <v>0</v>
      </c>
      <c r="P25699">
        <f>IF(OR(M25699="",N25699=""),"",SUMIFS('Barang Keluar'!$E:$E,'Barang Keluar'!$A:$A,M25699,'Barang Keluar'!$C:$C,N25699))</f>
        <v>0</v>
      </c>
    </row>
    <row r="25700" spans="13:16">
      <c r="M25700" s="49">
        <f>IF($A$4+256&gt;$B$4,"",$A$4+256)</f>
        <v>46279</v>
      </c>
      <c r="N25700">
        <f>IF(M25700="","",'Master Barang'!A94)</f>
        <v>0</v>
      </c>
      <c r="O25700">
        <f>IF(N25700="","",'Master Barang'!B94)</f>
        <v>0</v>
      </c>
      <c r="P25700">
        <f>IF(OR(M25700="",N25700=""),"",SUMIFS('Barang Keluar'!$E:$E,'Barang Keluar'!$A:$A,M25700,'Barang Keluar'!$C:$C,N25700))</f>
        <v>0</v>
      </c>
    </row>
    <row r="25701" spans="13:16">
      <c r="M25701" s="49">
        <f>IF($A$4+256&gt;$B$4,"",$A$4+256)</f>
        <v>46279</v>
      </c>
      <c r="N25701">
        <f>IF(M25701="","",'Master Barang'!A95)</f>
        <v>0</v>
      </c>
      <c r="O25701">
        <f>IF(N25701="","",'Master Barang'!B95)</f>
        <v>0</v>
      </c>
      <c r="P25701">
        <f>IF(OR(M25701="",N25701=""),"",SUMIFS('Barang Keluar'!$E:$E,'Barang Keluar'!$A:$A,M25701,'Barang Keluar'!$C:$C,N25701))</f>
        <v>0</v>
      </c>
    </row>
    <row r="25702" spans="13:16">
      <c r="M25702" s="49">
        <f>IF($A$4+256&gt;$B$4,"",$A$4+256)</f>
        <v>46279</v>
      </c>
      <c r="N25702">
        <f>IF(M25702="","",'Master Barang'!A96)</f>
        <v>0</v>
      </c>
      <c r="O25702">
        <f>IF(N25702="","",'Master Barang'!B96)</f>
        <v>0</v>
      </c>
      <c r="P25702">
        <f>IF(OR(M25702="",N25702=""),"",SUMIFS('Barang Keluar'!$E:$E,'Barang Keluar'!$A:$A,M25702,'Barang Keluar'!$C:$C,N25702))</f>
        <v>0</v>
      </c>
    </row>
    <row r="25703" spans="13:16">
      <c r="M25703" s="49">
        <f>IF($A$4+256&gt;$B$4,"",$A$4+256)</f>
        <v>46279</v>
      </c>
      <c r="N25703">
        <f>IF(M25703="","",'Master Barang'!A97)</f>
        <v>0</v>
      </c>
      <c r="O25703">
        <f>IF(N25703="","",'Master Barang'!B97)</f>
        <v>0</v>
      </c>
      <c r="P25703">
        <f>IF(OR(M25703="",N25703=""),"",SUMIFS('Barang Keluar'!$E:$E,'Barang Keluar'!$A:$A,M25703,'Barang Keluar'!$C:$C,N25703))</f>
        <v>0</v>
      </c>
    </row>
    <row r="25704" spans="13:16">
      <c r="M25704" s="49">
        <f>IF($A$4+256&gt;$B$4,"",$A$4+256)</f>
        <v>46279</v>
      </c>
      <c r="N25704">
        <f>IF(M25704="","",'Master Barang'!A98)</f>
        <v>0</v>
      </c>
      <c r="O25704">
        <f>IF(N25704="","",'Master Barang'!B98)</f>
        <v>0</v>
      </c>
      <c r="P25704">
        <f>IF(OR(M25704="",N25704=""),"",SUMIFS('Barang Keluar'!$E:$E,'Barang Keluar'!$A:$A,M25704,'Barang Keluar'!$C:$C,N25704))</f>
        <v>0</v>
      </c>
    </row>
    <row r="25705" spans="13:16">
      <c r="M25705" s="49">
        <f>IF($A$4+256&gt;$B$4,"",$A$4+256)</f>
        <v>46279</v>
      </c>
      <c r="N25705">
        <f>IF(M25705="","",'Master Barang'!A99)</f>
        <v>0</v>
      </c>
      <c r="O25705">
        <f>IF(N25705="","",'Master Barang'!B99)</f>
        <v>0</v>
      </c>
      <c r="P25705">
        <f>IF(OR(M25705="",N25705=""),"",SUMIFS('Barang Keluar'!$E:$E,'Barang Keluar'!$A:$A,M25705,'Barang Keluar'!$C:$C,N25705))</f>
        <v>0</v>
      </c>
    </row>
    <row r="25706" spans="13:16">
      <c r="M25706" s="49">
        <f>IF($A$4+256&gt;$B$4,"",$A$4+256)</f>
        <v>46279</v>
      </c>
      <c r="N25706">
        <f>IF(M25706="","",'Master Barang'!A100)</f>
        <v>0</v>
      </c>
      <c r="O25706">
        <f>IF(N25706="","",'Master Barang'!B100)</f>
        <v>0</v>
      </c>
      <c r="P25706">
        <f>IF(OR(M25706="",N25706=""),"",SUMIFS('Barang Keluar'!$E:$E,'Barang Keluar'!$A:$A,M25706,'Barang Keluar'!$C:$C,N25706))</f>
        <v>0</v>
      </c>
    </row>
    <row r="25707" spans="13:16">
      <c r="M25707" s="49">
        <f>IF($A$4+256&gt;$B$4,"",$A$4+256)</f>
        <v>46279</v>
      </c>
      <c r="N25707">
        <f>IF(M25707="","",'Master Barang'!A101)</f>
        <v>0</v>
      </c>
      <c r="O25707">
        <f>IF(N25707="","",'Master Barang'!B101)</f>
        <v>0</v>
      </c>
      <c r="P25707">
        <f>IF(OR(M25707="",N25707=""),"",SUMIFS('Barang Keluar'!$E:$E,'Barang Keluar'!$A:$A,M25707,'Barang Keluar'!$C:$C,N25707))</f>
        <v>0</v>
      </c>
    </row>
    <row r="25708" spans="13:16">
      <c r="M25708" s="49">
        <f>IF($A$4+257&gt;$B$4,"",$A$4+257)</f>
        <v>46280</v>
      </c>
      <c r="N25708" t="str">
        <f>IF(M25708="","",'Master Barang'!A2)</f>
        <v>PRL-001</v>
      </c>
      <c r="O25708" t="str">
        <f>IF(N25708="","",'Master Barang'!B2)</f>
        <v>natura desinfectant food grade 5l</v>
      </c>
      <c r="P25708">
        <f>IF(OR(M25708="",N25708=""),"",SUMIFS('Barang Keluar'!$E:$E,'Barang Keluar'!$A:$A,M25708,'Barang Keluar'!$C:$C,N25708))</f>
        <v>0</v>
      </c>
    </row>
    <row r="25709" spans="13:16">
      <c r="M25709" s="49">
        <f>IF($A$4+257&gt;$B$4,"",$A$4+257)</f>
        <v>46280</v>
      </c>
      <c r="N25709" t="str">
        <f>IF(M25709="","",'Master Barang'!A3)</f>
        <v>PRL-002</v>
      </c>
      <c r="O25709" t="str">
        <f>IF(N25709="","",'Master Barang'!B3)</f>
        <v>sunlight cairan pencuci piring 5l</v>
      </c>
      <c r="P25709">
        <f>IF(OR(M25709="",N25709=""),"",SUMIFS('Barang Keluar'!$E:$E,'Barang Keluar'!$A:$A,M25709,'Barang Keluar'!$C:$C,N25709))</f>
        <v>0</v>
      </c>
    </row>
    <row r="25710" spans="13:16">
      <c r="M25710" s="49">
        <f>IF($A$4+257&gt;$B$4,"",$A$4+257)</f>
        <v>46280</v>
      </c>
      <c r="N25710" t="str">
        <f>IF(M25710="","",'Master Barang'!A4)</f>
        <v>PRL-003</v>
      </c>
      <c r="O25710" t="str">
        <f>IF(N25710="","",'Master Barang'!B4)</f>
        <v>oixs cleaner 1l</v>
      </c>
      <c r="P25710">
        <f>IF(OR(M25710="",N25710=""),"",SUMIFS('Barang Keluar'!$E:$E,'Barang Keluar'!$A:$A,M25710,'Barang Keluar'!$C:$C,N25710))</f>
        <v>0</v>
      </c>
    </row>
    <row r="25711" spans="13:16">
      <c r="M25711" s="49">
        <f>IF($A$4+257&gt;$B$4,"",$A$4+257)</f>
        <v>46280</v>
      </c>
      <c r="N25711" t="str">
        <f>IF(M25711="","",'Master Barang'!A5)</f>
        <v>PRL-004</v>
      </c>
      <c r="O25711" t="str">
        <f>IF(N25711="","",'Master Barang'!B5)</f>
        <v>be clean tissue serbaguna</v>
      </c>
      <c r="P25711">
        <f>IF(OR(M25711="",N25711=""),"",SUMIFS('Barang Keluar'!$E:$E,'Barang Keluar'!$A:$A,M25711,'Barang Keluar'!$C:$C,N25711))</f>
        <v>0</v>
      </c>
    </row>
    <row r="25712" spans="13:16">
      <c r="M25712" s="49">
        <f>IF($A$4+257&gt;$B$4,"",$A$4+257)</f>
        <v>46280</v>
      </c>
      <c r="N25712" t="str">
        <f>IF(M25712="","",'Master Barang'!A6)</f>
        <v>PRL-005</v>
      </c>
      <c r="O25712" t="str">
        <f>IF(N25712="","",'Master Barang'!B6)</f>
        <v>spons cuci hijau</v>
      </c>
      <c r="P25712">
        <f>IF(OR(M25712="",N25712=""),"",SUMIFS('Barang Keluar'!$E:$E,'Barang Keluar'!$A:$A,M25712,'Barang Keluar'!$C:$C,N25712))</f>
        <v>0</v>
      </c>
    </row>
    <row r="25713" spans="13:16">
      <c r="M25713" s="49">
        <f>IF($A$4+257&gt;$B$4,"",$A$4+257)</f>
        <v>46280</v>
      </c>
      <c r="N25713" t="str">
        <f>IF(M25713="","",'Master Barang'!A7)</f>
        <v>PRL-006</v>
      </c>
      <c r="O25713" t="str">
        <f>IF(N25713="","",'Master Barang'!B7)</f>
        <v>sabut cuci stainless</v>
      </c>
      <c r="P25713">
        <f>IF(OR(M25713="",N25713=""),"",SUMIFS('Barang Keluar'!$E:$E,'Barang Keluar'!$A:$A,M25713,'Barang Keluar'!$C:$C,N25713))</f>
        <v>0</v>
      </c>
    </row>
    <row r="25714" spans="13:16">
      <c r="M25714" s="49">
        <f>IF($A$4+257&gt;$B$4,"",$A$4+257)</f>
        <v>46280</v>
      </c>
      <c r="N25714" t="str">
        <f>IF(M25714="","",'Master Barang'!A8)</f>
        <v>PRL-007</v>
      </c>
      <c r="O25714" t="str">
        <f>IF(N25714="","",'Master Barang'!B8)</f>
        <v>plastik kresek besar merah 50pc</v>
      </c>
      <c r="P25714">
        <f>IF(OR(M25714="",N25714=""),"",SUMIFS('Barang Keluar'!$E:$E,'Barang Keluar'!$A:$A,M25714,'Barang Keluar'!$C:$C,N25714))</f>
        <v>0</v>
      </c>
    </row>
    <row r="25715" spans="13:16">
      <c r="M25715" s="49">
        <f>IF($A$4+257&gt;$B$4,"",$A$4+257)</f>
        <v>46280</v>
      </c>
      <c r="N25715" t="str">
        <f>IF(M25715="","",'Master Barang'!A9)</f>
        <v>PRL-008</v>
      </c>
      <c r="O25715" t="str">
        <f>IF(N25715="","",'Master Barang'!B9)</f>
        <v>lap besar</v>
      </c>
      <c r="P25715">
        <f>IF(OR(M25715="",N25715=""),"",SUMIFS('Barang Keluar'!$E:$E,'Barang Keluar'!$A:$A,M25715,'Barang Keluar'!$C:$C,N25715))</f>
        <v>0</v>
      </c>
    </row>
    <row r="25716" spans="13:16">
      <c r="M25716" s="49">
        <f>IF($A$4+257&gt;$B$4,"",$A$4+257)</f>
        <v>46280</v>
      </c>
      <c r="N25716" t="str">
        <f>IF(M25716="","",'Master Barang'!A10)</f>
        <v>PRL-009</v>
      </c>
      <c r="O25716" t="str">
        <f>IF(N25716="","",'Master Barang'!B10)</f>
        <v>lap microfiber</v>
      </c>
      <c r="P25716">
        <f>IF(OR(M25716="",N25716=""),"",SUMIFS('Barang Keluar'!$E:$E,'Barang Keluar'!$A:$A,M25716,'Barang Keluar'!$C:$C,N25716))</f>
        <v>0</v>
      </c>
    </row>
    <row r="25717" spans="13:16">
      <c r="M25717" s="49">
        <f>IF($A$4+257&gt;$B$4,"",$A$4+257)</f>
        <v>46280</v>
      </c>
      <c r="N25717" t="str">
        <f>IF(M25717="","",'Master Barang'!A11)</f>
        <v>PRL-010</v>
      </c>
      <c r="O25717" t="str">
        <f>IF(N25717="","",'Master Barang'!B11)</f>
        <v>lap kecil</v>
      </c>
      <c r="P25717">
        <f>IF(OR(M25717="",N25717=""),"",SUMIFS('Barang Keluar'!$E:$E,'Barang Keluar'!$A:$A,M25717,'Barang Keluar'!$C:$C,N25717))</f>
        <v>0</v>
      </c>
    </row>
    <row r="25718" spans="13:16">
      <c r="M25718" s="49">
        <f>IF($A$4+257&gt;$B$4,"",$A$4+257)</f>
        <v>46280</v>
      </c>
      <c r="N25718" t="str">
        <f>IF(M25718="","",'Master Barang'!A12)</f>
        <v>PRL-011</v>
      </c>
      <c r="O25718" t="str">
        <f>IF(N25718="","",'Master Barang'!B12)</f>
        <v>kanebo kecil</v>
      </c>
      <c r="P25718">
        <f>IF(OR(M25718="",N25718=""),"",SUMIFS('Barang Keluar'!$E:$E,'Barang Keluar'!$A:$A,M25718,'Barang Keluar'!$C:$C,N25718))</f>
        <v>0</v>
      </c>
    </row>
    <row r="25719" spans="13:16">
      <c r="M25719" s="49">
        <f>IF($A$4+257&gt;$B$4,"",$A$4+257)</f>
        <v>46280</v>
      </c>
      <c r="N25719" t="str">
        <f>IF(M25719="","",'Master Barang'!A13)</f>
        <v>PRL-012</v>
      </c>
      <c r="O25719" t="str">
        <f>IF(N25719="","",'Master Barang'!B13)</f>
        <v>plastik 1/4kg joyoboyo 100 lembar</v>
      </c>
      <c r="P25719">
        <f>IF(OR(M25719="",N25719=""),"",SUMIFS('Barang Keluar'!$E:$E,'Barang Keluar'!$A:$A,M25719,'Barang Keluar'!$C:$C,N25719))</f>
        <v>0</v>
      </c>
    </row>
    <row r="25720" spans="13:16">
      <c r="M25720" s="49">
        <f>IF($A$4+257&gt;$B$4,"",$A$4+257)</f>
        <v>46280</v>
      </c>
      <c r="N25720" t="str">
        <f>IF(M25720="","",'Master Barang'!A14)</f>
        <v>PRL-013</v>
      </c>
      <c r="O25720" t="str">
        <f>IF(N25720="","",'Master Barang'!B14)</f>
        <v>sarung tangan plastik kaka 100 pcs</v>
      </c>
      <c r="P25720">
        <f>IF(OR(M25720="",N25720=""),"",SUMIFS('Barang Keluar'!$E:$E,'Barang Keluar'!$A:$A,M25720,'Barang Keluar'!$C:$C,N25720))</f>
        <v>0</v>
      </c>
    </row>
    <row r="25721" spans="13:16">
      <c r="M25721" s="49">
        <f>IF($A$4+257&gt;$B$4,"",$A$4+257)</f>
        <v>46280</v>
      </c>
      <c r="N25721" t="str">
        <f>IF(M25721="","",'Master Barang'!A15)</f>
        <v>PRL-014</v>
      </c>
      <c r="O25721" t="str">
        <f>IF(N25721="","",'Master Barang'!B15)</f>
        <v>optima trashbag 80x100</v>
      </c>
      <c r="P25721">
        <f>IF(OR(M25721="",N25721=""),"",SUMIFS('Barang Keluar'!$E:$E,'Barang Keluar'!$A:$A,M25721,'Barang Keluar'!$C:$C,N25721))</f>
        <v>0</v>
      </c>
    </row>
    <row r="25722" spans="13:16">
      <c r="M25722" s="49">
        <f>IF($A$4+257&gt;$B$4,"",$A$4+257)</f>
        <v>46280</v>
      </c>
      <c r="N25722" t="str">
        <f>IF(M25722="","",'Master Barang'!A16)</f>
        <v>PRL-015</v>
      </c>
      <c r="O25722" t="str">
        <f>IF(N25722="","",'Master Barang'!B16)</f>
        <v>optima trashbag 60x100</v>
      </c>
      <c r="P25722">
        <f>IF(OR(M25722="",N25722=""),"",SUMIFS('Barang Keluar'!$E:$E,'Barang Keluar'!$A:$A,M25722,'Barang Keluar'!$C:$C,N25722))</f>
        <v>0</v>
      </c>
    </row>
    <row r="25723" spans="13:16">
      <c r="M25723" s="49">
        <f>IF($A$4+257&gt;$B$4,"",$A$4+257)</f>
        <v>46280</v>
      </c>
      <c r="N25723" t="str">
        <f>IF(M25723="","",'Master Barang'!A17)</f>
        <v>PRL-016</v>
      </c>
      <c r="O25723" t="str">
        <f>IF(N25723="","",'Master Barang'!B17)</f>
        <v>rajawali trashbag 30x40</v>
      </c>
      <c r="P25723">
        <f>IF(OR(M25723="",N25723=""),"",SUMIFS('Barang Keluar'!$E:$E,'Barang Keluar'!$A:$A,M25723,'Barang Keluar'!$C:$C,N25723))</f>
        <v>0</v>
      </c>
    </row>
    <row r="25724" spans="13:16">
      <c r="M25724" s="49">
        <f>IF($A$4+257&gt;$B$4,"",$A$4+257)</f>
        <v>46280</v>
      </c>
      <c r="N25724" t="str">
        <f>IF(M25724="","",'Master Barang'!A18)</f>
        <v>PRL-017</v>
      </c>
      <c r="O25724" t="str">
        <f>IF(N25724="","",'Master Barang'!B18)</f>
        <v>onemed masker biru 3 play 50 pcs</v>
      </c>
      <c r="P25724">
        <f>IF(OR(M25724="",N25724=""),"",SUMIFS('Barang Keluar'!$E:$E,'Barang Keluar'!$A:$A,M25724,'Barang Keluar'!$C:$C,N25724))</f>
        <v>0</v>
      </c>
    </row>
    <row r="25725" spans="13:16">
      <c r="M25725" s="49">
        <f>IF($A$4+257&gt;$B$4,"",$A$4+257)</f>
        <v>46280</v>
      </c>
      <c r="N25725" t="str">
        <f>IF(M25725="","",'Master Barang'!A19)</f>
        <v>PRL-018</v>
      </c>
      <c r="O25725" t="str">
        <f>IF(N25725="","",'Master Barang'!B19)</f>
        <v>onemed masker biru 3 play hijab 50 pcs</v>
      </c>
      <c r="P25725">
        <f>IF(OR(M25725="",N25725=""),"",SUMIFS('Barang Keluar'!$E:$E,'Barang Keluar'!$A:$A,M25725,'Barang Keluar'!$C:$C,N25725))</f>
        <v>0</v>
      </c>
    </row>
    <row r="25726" spans="13:16">
      <c r="M25726" s="49">
        <f>IF($A$4+257&gt;$B$4,"",$A$4+257)</f>
        <v>46280</v>
      </c>
      <c r="N25726" t="str">
        <f>IF(M25726="","",'Master Barang'!A20)</f>
        <v>PRL-019</v>
      </c>
      <c r="O25726" t="str">
        <f>IF(N25726="","",'Master Barang'!B20)</f>
        <v>neo health masker biru 3 play 50 pcs</v>
      </c>
      <c r="P25726">
        <f>IF(OR(M25726="",N25726=""),"",SUMIFS('Barang Keluar'!$E:$E,'Barang Keluar'!$A:$A,M25726,'Barang Keluar'!$C:$C,N25726))</f>
        <v>0</v>
      </c>
    </row>
    <row r="25727" spans="13:16">
      <c r="M25727" s="49">
        <f>IF($A$4+257&gt;$B$4,"",$A$4+257)</f>
        <v>46280</v>
      </c>
      <c r="N25727" t="str">
        <f>IF(M25727="","",'Master Barang'!A21)</f>
        <v>PRL-020</v>
      </c>
      <c r="O25727" t="str">
        <f>IF(N25727="","",'Master Barang'!B21)</f>
        <v>baymed masker hijau 3 play hijau 50 pcs</v>
      </c>
      <c r="P25727">
        <f>IF(OR(M25727="",N25727=""),"",SUMIFS('Barang Keluar'!$E:$E,'Barang Keluar'!$A:$A,M25727,'Barang Keluar'!$C:$C,N25727))</f>
        <v>0</v>
      </c>
    </row>
    <row r="25728" spans="13:16">
      <c r="M25728" s="49">
        <f>IF($A$4+257&gt;$B$4,"",$A$4+257)</f>
        <v>46280</v>
      </c>
      <c r="N25728" t="str">
        <f>IF(M25728="","",'Master Barang'!A22)</f>
        <v>PRL-021</v>
      </c>
      <c r="O25728" t="str">
        <f>IF(N25728="","",'Master Barang'!B22)</f>
        <v>altamed nurse cap penutup kepala 100 pcs</v>
      </c>
      <c r="P25728">
        <f>IF(OR(M25728="",N25728=""),"",SUMIFS('Barang Keluar'!$E:$E,'Barang Keluar'!$A:$A,M25728,'Barang Keluar'!$C:$C,N25728))</f>
        <v>0</v>
      </c>
    </row>
    <row r="25729" spans="13:16">
      <c r="M25729" s="49">
        <f>IF($A$4+257&gt;$B$4,"",$A$4+257)</f>
        <v>46280</v>
      </c>
      <c r="N25729" t="str">
        <f>IF(M25729="","",'Master Barang'!A23)</f>
        <v>PRL-022</v>
      </c>
      <c r="O25729" t="str">
        <f>IF(N25729="","",'Master Barang'!B23)</f>
        <v>sabun cuci tangan</v>
      </c>
      <c r="P25729">
        <f>IF(OR(M25729="",N25729=""),"",SUMIFS('Barang Keluar'!$E:$E,'Barang Keluar'!$A:$A,M25729,'Barang Keluar'!$C:$C,N25729))</f>
        <v>0</v>
      </c>
    </row>
    <row r="25730" spans="13:16">
      <c r="M25730" s="49">
        <f>IF($A$4+257&gt;$B$4,"",$A$4+257)</f>
        <v>46280</v>
      </c>
      <c r="N25730" t="str">
        <f>IF(M25730="","",'Master Barang'!A24)</f>
        <v>PRL-023</v>
      </c>
      <c r="O25730" t="str">
        <f>IF(N25730="","",'Master Barang'!B24)</f>
        <v>gayung kecil</v>
      </c>
      <c r="P25730">
        <f>IF(OR(M25730="",N25730=""),"",SUMIFS('Barang Keluar'!$E:$E,'Barang Keluar'!$A:$A,M25730,'Barang Keluar'!$C:$C,N25730))</f>
        <v>0</v>
      </c>
    </row>
    <row r="25731" spans="13:16">
      <c r="M25731" s="49">
        <f>IF($A$4+257&gt;$B$4,"",$A$4+257)</f>
        <v>46280</v>
      </c>
      <c r="N25731" t="str">
        <f>IF(M25731="","",'Master Barang'!A25)</f>
        <v>PRL-024</v>
      </c>
      <c r="O25731" t="str">
        <f>IF(N25731="","",'Master Barang'!B25)</f>
        <v>cikrak kecil</v>
      </c>
      <c r="P25731">
        <f>IF(OR(M25731="",N25731=""),"",SUMIFS('Barang Keluar'!$E:$E,'Barang Keluar'!$A:$A,M25731,'Barang Keluar'!$C:$C,N25731))</f>
        <v>0</v>
      </c>
    </row>
    <row r="25732" spans="13:16">
      <c r="M25732" s="49">
        <f>IF($A$4+257&gt;$B$4,"",$A$4+257)</f>
        <v>46280</v>
      </c>
      <c r="N25732" t="str">
        <f>IF(M25732="","",'Master Barang'!A26)</f>
        <v>PRL-025</v>
      </c>
      <c r="O25732" t="str">
        <f>IF(N25732="","",'Master Barang'!B26)</f>
        <v>petromax plastik kecil 12x24 100 lembar</v>
      </c>
      <c r="P25732">
        <f>IF(OR(M25732="",N25732=""),"",SUMIFS('Barang Keluar'!$E:$E,'Barang Keluar'!$A:$A,M25732,'Barang Keluar'!$C:$C,N25732))</f>
        <v>0</v>
      </c>
    </row>
    <row r="25733" spans="13:16">
      <c r="M25733" s="49">
        <f>IF($A$4+257&gt;$B$4,"",$A$4+257)</f>
        <v>46280</v>
      </c>
      <c r="N25733" t="str">
        <f>IF(M25733="","",'Master Barang'!A27)</f>
        <v>PRL-026</v>
      </c>
      <c r="O25733" t="str">
        <f>IF(N25733="","",'Master Barang'!B27)</f>
        <v>lancar kresek kecil bening </v>
      </c>
      <c r="P25733">
        <f>IF(OR(M25733="",N25733=""),"",SUMIFS('Barang Keluar'!$E:$E,'Barang Keluar'!$A:$A,M25733,'Barang Keluar'!$C:$C,N25733))</f>
        <v>0</v>
      </c>
    </row>
    <row r="25734" spans="13:16">
      <c r="M25734" s="49">
        <f>IF($A$4+257&gt;$B$4,"",$A$4+257)</f>
        <v>46280</v>
      </c>
      <c r="N25734" t="str">
        <f>IF(M25734="","",'Master Barang'!A28)</f>
        <v>PRL-027</v>
      </c>
      <c r="O25734" t="str">
        <f>IF(N25734="","",'Master Barang'!B28)</f>
        <v>kresek klin warna warni kecil</v>
      </c>
      <c r="P25734">
        <f>IF(OR(M25734="",N25734=""),"",SUMIFS('Barang Keluar'!$E:$E,'Barang Keluar'!$A:$A,M25734,'Barang Keluar'!$C:$C,N25734))</f>
        <v>0</v>
      </c>
    </row>
    <row r="25735" spans="13:16">
      <c r="M25735" s="49">
        <f>IF($A$4+257&gt;$B$4,"",$A$4+257)</f>
        <v>46280</v>
      </c>
      <c r="N25735" t="str">
        <f>IF(M25735="","",'Master Barang'!A29)</f>
        <v>PRL-028</v>
      </c>
      <c r="O25735" t="str">
        <f>IF(N25735="","",'Master Barang'!B29)</f>
        <v>ctik plastik 7x10 100 pcs</v>
      </c>
      <c r="P25735">
        <f>IF(OR(M25735="",N25735=""),"",SUMIFS('Barang Keluar'!$E:$E,'Barang Keluar'!$A:$A,M25735,'Barang Keluar'!$C:$C,N25735))</f>
        <v>0</v>
      </c>
    </row>
    <row r="25736" spans="13:16">
      <c r="M25736" s="49">
        <f>IF($A$4+257&gt;$B$4,"",$A$4+257)</f>
        <v>46280</v>
      </c>
      <c r="N25736" t="str">
        <f>IF(M25736="","",'Master Barang'!A30)</f>
        <v>PRL-029</v>
      </c>
      <c r="O25736" t="str">
        <f>IF(N25736="","",'Master Barang'!B30)</f>
        <v>ctik plastik 6x10 100 pcs</v>
      </c>
      <c r="P25736">
        <f>IF(OR(M25736="",N25736=""),"",SUMIFS('Barang Keluar'!$E:$E,'Barang Keluar'!$A:$A,M25736,'Barang Keluar'!$C:$C,N25736))</f>
        <v>0</v>
      </c>
    </row>
    <row r="25737" spans="13:16">
      <c r="M25737" s="49">
        <f>IF($A$4+257&gt;$B$4,"",$A$4+257)</f>
        <v>46280</v>
      </c>
      <c r="N25737" t="str">
        <f>IF(M25737="","",'Master Barang'!A31)</f>
        <v>PRL-030</v>
      </c>
      <c r="O25737" t="str">
        <f>IF(N25737="","",'Master Barang'!B31)</f>
        <v>klip plastik 25x16 100 pcs</v>
      </c>
      <c r="P25737">
        <f>IF(OR(M25737="",N25737=""),"",SUMIFS('Barang Keluar'!$E:$E,'Barang Keluar'!$A:$A,M25737,'Barang Keluar'!$C:$C,N25737))</f>
        <v>0</v>
      </c>
    </row>
    <row r="25738" spans="13:16">
      <c r="M25738" s="49">
        <f>IF($A$4+257&gt;$B$4,"",$A$4+257)</f>
        <v>46280</v>
      </c>
      <c r="N25738" t="str">
        <f>IF(M25738="","",'Master Barang'!A32)</f>
        <v>PRL-031</v>
      </c>
      <c r="O25738" t="str">
        <f>IF(N25738="","",'Master Barang'!B32)</f>
        <v>tempat saus 20 ml</v>
      </c>
      <c r="P25738">
        <f>IF(OR(M25738="",N25738=""),"",SUMIFS('Barang Keluar'!$E:$E,'Barang Keluar'!$A:$A,M25738,'Barang Keluar'!$C:$C,N25738))</f>
        <v>0</v>
      </c>
    </row>
    <row r="25739" spans="13:16">
      <c r="M25739" s="49">
        <f>IF($A$4+257&gt;$B$4,"",$A$4+257)</f>
        <v>46280</v>
      </c>
      <c r="N25739" t="str">
        <f>IF(M25739="","",'Master Barang'!A33)</f>
        <v>PRL-032</v>
      </c>
      <c r="O25739" t="str">
        <f>IF(N25739="","",'Master Barang'!B33)</f>
        <v>plastik packaging ag box uk sedang</v>
      </c>
      <c r="P25739">
        <f>IF(OR(M25739="",N25739=""),"",SUMIFS('Barang Keluar'!$E:$E,'Barang Keluar'!$A:$A,M25739,'Barang Keluar'!$C:$C,N25739))</f>
        <v>0</v>
      </c>
    </row>
    <row r="25740" spans="13:16">
      <c r="M25740" s="49">
        <f>IF($A$4+257&gt;$B$4,"",$A$4+257)</f>
        <v>46280</v>
      </c>
      <c r="N25740" t="str">
        <f>IF(M25740="","",'Master Barang'!A34)</f>
        <v>PRL-033</v>
      </c>
      <c r="O25740">
        <f>IF(N25740="","",'Master Barang'!B34)</f>
        <v>0</v>
      </c>
      <c r="P25740">
        <f>IF(OR(M25740="",N25740=""),"",SUMIFS('Barang Keluar'!$E:$E,'Barang Keluar'!$A:$A,M25740,'Barang Keluar'!$C:$C,N25740))</f>
        <v>0</v>
      </c>
    </row>
    <row r="25741" spans="13:16">
      <c r="M25741" s="49">
        <f>IF($A$4+257&gt;$B$4,"",$A$4+257)</f>
        <v>46280</v>
      </c>
      <c r="N25741">
        <f>IF(M25741="","",'Master Barang'!A35)</f>
        <v>0</v>
      </c>
      <c r="O25741">
        <f>IF(N25741="","",'Master Barang'!B35)</f>
        <v>0</v>
      </c>
      <c r="P25741">
        <f>IF(OR(M25741="",N25741=""),"",SUMIFS('Barang Keluar'!$E:$E,'Barang Keluar'!$A:$A,M25741,'Barang Keluar'!$C:$C,N25741))</f>
        <v>0</v>
      </c>
    </row>
    <row r="25742" spans="13:16">
      <c r="M25742" s="49">
        <f>IF($A$4+257&gt;$B$4,"",$A$4+257)</f>
        <v>46280</v>
      </c>
      <c r="N25742">
        <f>IF(M25742="","",'Master Barang'!A36)</f>
        <v>0</v>
      </c>
      <c r="O25742">
        <f>IF(N25742="","",'Master Barang'!B36)</f>
        <v>0</v>
      </c>
      <c r="P25742">
        <f>IF(OR(M25742="",N25742=""),"",SUMIFS('Barang Keluar'!$E:$E,'Barang Keluar'!$A:$A,M25742,'Barang Keluar'!$C:$C,N25742))</f>
        <v>0</v>
      </c>
    </row>
    <row r="25743" spans="13:16">
      <c r="M25743" s="49">
        <f>IF($A$4+257&gt;$B$4,"",$A$4+257)</f>
        <v>46280</v>
      </c>
      <c r="N25743">
        <f>IF(M25743="","",'Master Barang'!A37)</f>
        <v>0</v>
      </c>
      <c r="O25743">
        <f>IF(N25743="","",'Master Barang'!B37)</f>
        <v>0</v>
      </c>
      <c r="P25743">
        <f>IF(OR(M25743="",N25743=""),"",SUMIFS('Barang Keluar'!$E:$E,'Barang Keluar'!$A:$A,M25743,'Barang Keluar'!$C:$C,N25743))</f>
        <v>0</v>
      </c>
    </row>
    <row r="25744" spans="13:16">
      <c r="M25744" s="49">
        <f>IF($A$4+257&gt;$B$4,"",$A$4+257)</f>
        <v>46280</v>
      </c>
      <c r="N25744">
        <f>IF(M25744="","",'Master Barang'!A38)</f>
        <v>0</v>
      </c>
      <c r="O25744">
        <f>IF(N25744="","",'Master Barang'!B38)</f>
        <v>0</v>
      </c>
      <c r="P25744">
        <f>IF(OR(M25744="",N25744=""),"",SUMIFS('Barang Keluar'!$E:$E,'Barang Keluar'!$A:$A,M25744,'Barang Keluar'!$C:$C,N25744))</f>
        <v>0</v>
      </c>
    </row>
    <row r="25745" spans="13:16">
      <c r="M25745" s="49">
        <f>IF($A$4+257&gt;$B$4,"",$A$4+257)</f>
        <v>46280</v>
      </c>
      <c r="N25745">
        <f>IF(M25745="","",'Master Barang'!A39)</f>
        <v>0</v>
      </c>
      <c r="O25745">
        <f>IF(N25745="","",'Master Barang'!B39)</f>
        <v>0</v>
      </c>
      <c r="P25745">
        <f>IF(OR(M25745="",N25745=""),"",SUMIFS('Barang Keluar'!$E:$E,'Barang Keluar'!$A:$A,M25745,'Barang Keluar'!$C:$C,N25745))</f>
        <v>0</v>
      </c>
    </row>
    <row r="25746" spans="13:16">
      <c r="M25746" s="49">
        <f>IF($A$4+257&gt;$B$4,"",$A$4+257)</f>
        <v>46280</v>
      </c>
      <c r="N25746">
        <f>IF(M25746="","",'Master Barang'!A40)</f>
        <v>0</v>
      </c>
      <c r="O25746">
        <f>IF(N25746="","",'Master Barang'!B40)</f>
        <v>0</v>
      </c>
      <c r="P25746">
        <f>IF(OR(M25746="",N25746=""),"",SUMIFS('Barang Keluar'!$E:$E,'Barang Keluar'!$A:$A,M25746,'Barang Keluar'!$C:$C,N25746))</f>
        <v>0</v>
      </c>
    </row>
    <row r="25747" spans="13:16">
      <c r="M25747" s="49">
        <f>IF($A$4+257&gt;$B$4,"",$A$4+257)</f>
        <v>46280</v>
      </c>
      <c r="N25747">
        <f>IF(M25747="","",'Master Barang'!A41)</f>
        <v>0</v>
      </c>
      <c r="O25747">
        <f>IF(N25747="","",'Master Barang'!B41)</f>
        <v>0</v>
      </c>
      <c r="P25747">
        <f>IF(OR(M25747="",N25747=""),"",SUMIFS('Barang Keluar'!$E:$E,'Barang Keluar'!$A:$A,M25747,'Barang Keluar'!$C:$C,N25747))</f>
        <v>0</v>
      </c>
    </row>
    <row r="25748" spans="13:16">
      <c r="M25748" s="49">
        <f>IF($A$4+257&gt;$B$4,"",$A$4+257)</f>
        <v>46280</v>
      </c>
      <c r="N25748">
        <f>IF(M25748="","",'Master Barang'!A42)</f>
        <v>0</v>
      </c>
      <c r="O25748">
        <f>IF(N25748="","",'Master Barang'!B42)</f>
        <v>0</v>
      </c>
      <c r="P25748">
        <f>IF(OR(M25748="",N25748=""),"",SUMIFS('Barang Keluar'!$E:$E,'Barang Keluar'!$A:$A,M25748,'Barang Keluar'!$C:$C,N25748))</f>
        <v>0</v>
      </c>
    </row>
    <row r="25749" spans="13:16">
      <c r="M25749" s="49">
        <f>IF($A$4+257&gt;$B$4,"",$A$4+257)</f>
        <v>46280</v>
      </c>
      <c r="N25749">
        <f>IF(M25749="","",'Master Barang'!A43)</f>
        <v>0</v>
      </c>
      <c r="O25749">
        <f>IF(N25749="","",'Master Barang'!B43)</f>
        <v>0</v>
      </c>
      <c r="P25749">
        <f>IF(OR(M25749="",N25749=""),"",SUMIFS('Barang Keluar'!$E:$E,'Barang Keluar'!$A:$A,M25749,'Barang Keluar'!$C:$C,N25749))</f>
        <v>0</v>
      </c>
    </row>
    <row r="25750" spans="13:16">
      <c r="M25750" s="49">
        <f>IF($A$4+257&gt;$B$4,"",$A$4+257)</f>
        <v>46280</v>
      </c>
      <c r="N25750">
        <f>IF(M25750="","",'Master Barang'!A44)</f>
        <v>0</v>
      </c>
      <c r="O25750">
        <f>IF(N25750="","",'Master Barang'!B44)</f>
        <v>0</v>
      </c>
      <c r="P25750">
        <f>IF(OR(M25750="",N25750=""),"",SUMIFS('Barang Keluar'!$E:$E,'Barang Keluar'!$A:$A,M25750,'Barang Keluar'!$C:$C,N25750))</f>
        <v>0</v>
      </c>
    </row>
    <row r="25751" spans="13:16">
      <c r="M25751" s="49">
        <f>IF($A$4+257&gt;$B$4,"",$A$4+257)</f>
        <v>46280</v>
      </c>
      <c r="N25751">
        <f>IF(M25751="","",'Master Barang'!A45)</f>
        <v>0</v>
      </c>
      <c r="O25751">
        <f>IF(N25751="","",'Master Barang'!B45)</f>
        <v>0</v>
      </c>
      <c r="P25751">
        <f>IF(OR(M25751="",N25751=""),"",SUMIFS('Barang Keluar'!$E:$E,'Barang Keluar'!$A:$A,M25751,'Barang Keluar'!$C:$C,N25751))</f>
        <v>0</v>
      </c>
    </row>
    <row r="25752" spans="13:16">
      <c r="M25752" s="49">
        <f>IF($A$4+257&gt;$B$4,"",$A$4+257)</f>
        <v>46280</v>
      </c>
      <c r="N25752">
        <f>IF(M25752="","",'Master Barang'!A46)</f>
        <v>0</v>
      </c>
      <c r="O25752">
        <f>IF(N25752="","",'Master Barang'!B46)</f>
        <v>0</v>
      </c>
      <c r="P25752">
        <f>IF(OR(M25752="",N25752=""),"",SUMIFS('Barang Keluar'!$E:$E,'Barang Keluar'!$A:$A,M25752,'Barang Keluar'!$C:$C,N25752))</f>
        <v>0</v>
      </c>
    </row>
    <row r="25753" spans="13:16">
      <c r="M25753" s="49">
        <f>IF($A$4+257&gt;$B$4,"",$A$4+257)</f>
        <v>46280</v>
      </c>
      <c r="N25753">
        <f>IF(M25753="","",'Master Barang'!A47)</f>
        <v>0</v>
      </c>
      <c r="O25753">
        <f>IF(N25753="","",'Master Barang'!B47)</f>
        <v>0</v>
      </c>
      <c r="P25753">
        <f>IF(OR(M25753="",N25753=""),"",SUMIFS('Barang Keluar'!$E:$E,'Barang Keluar'!$A:$A,M25753,'Barang Keluar'!$C:$C,N25753))</f>
        <v>0</v>
      </c>
    </row>
    <row r="25754" spans="13:16">
      <c r="M25754" s="49">
        <f>IF($A$4+257&gt;$B$4,"",$A$4+257)</f>
        <v>46280</v>
      </c>
      <c r="N25754">
        <f>IF(M25754="","",'Master Barang'!A48)</f>
        <v>0</v>
      </c>
      <c r="O25754">
        <f>IF(N25754="","",'Master Barang'!B48)</f>
        <v>0</v>
      </c>
      <c r="P25754">
        <f>IF(OR(M25754="",N25754=""),"",SUMIFS('Barang Keluar'!$E:$E,'Barang Keluar'!$A:$A,M25754,'Barang Keluar'!$C:$C,N25754))</f>
        <v>0</v>
      </c>
    </row>
    <row r="25755" spans="13:16">
      <c r="M25755" s="49">
        <f>IF($A$4+257&gt;$B$4,"",$A$4+257)</f>
        <v>46280</v>
      </c>
      <c r="N25755">
        <f>IF(M25755="","",'Master Barang'!A49)</f>
        <v>0</v>
      </c>
      <c r="O25755">
        <f>IF(N25755="","",'Master Barang'!B49)</f>
        <v>0</v>
      </c>
      <c r="P25755">
        <f>IF(OR(M25755="",N25755=""),"",SUMIFS('Barang Keluar'!$E:$E,'Barang Keluar'!$A:$A,M25755,'Barang Keluar'!$C:$C,N25755))</f>
        <v>0</v>
      </c>
    </row>
    <row r="25756" spans="13:16">
      <c r="M25756" s="49">
        <f>IF($A$4+257&gt;$B$4,"",$A$4+257)</f>
        <v>46280</v>
      </c>
      <c r="N25756">
        <f>IF(M25756="","",'Master Barang'!A50)</f>
        <v>0</v>
      </c>
      <c r="O25756">
        <f>IF(N25756="","",'Master Barang'!B50)</f>
        <v>0</v>
      </c>
      <c r="P25756">
        <f>IF(OR(M25756="",N25756=""),"",SUMIFS('Barang Keluar'!$E:$E,'Barang Keluar'!$A:$A,M25756,'Barang Keluar'!$C:$C,N25756))</f>
        <v>0</v>
      </c>
    </row>
    <row r="25757" spans="13:16">
      <c r="M25757" s="49">
        <f>IF($A$4+257&gt;$B$4,"",$A$4+257)</f>
        <v>46280</v>
      </c>
      <c r="N25757">
        <f>IF(M25757="","",'Master Barang'!A51)</f>
        <v>0</v>
      </c>
      <c r="O25757">
        <f>IF(N25757="","",'Master Barang'!B51)</f>
        <v>0</v>
      </c>
      <c r="P25757">
        <f>IF(OR(M25757="",N25757=""),"",SUMIFS('Barang Keluar'!$E:$E,'Barang Keluar'!$A:$A,M25757,'Barang Keluar'!$C:$C,N25757))</f>
        <v>0</v>
      </c>
    </row>
    <row r="25758" spans="13:16">
      <c r="M25758" s="49">
        <f>IF($A$4+257&gt;$B$4,"",$A$4+257)</f>
        <v>46280</v>
      </c>
      <c r="N25758">
        <f>IF(M25758="","",'Master Barang'!A52)</f>
        <v>0</v>
      </c>
      <c r="O25758">
        <f>IF(N25758="","",'Master Barang'!B52)</f>
        <v>0</v>
      </c>
      <c r="P25758">
        <f>IF(OR(M25758="",N25758=""),"",SUMIFS('Barang Keluar'!$E:$E,'Barang Keluar'!$A:$A,M25758,'Barang Keluar'!$C:$C,N25758))</f>
        <v>0</v>
      </c>
    </row>
    <row r="25759" spans="13:16">
      <c r="M25759" s="49">
        <f>IF($A$4+257&gt;$B$4,"",$A$4+257)</f>
        <v>46280</v>
      </c>
      <c r="N25759">
        <f>IF(M25759="","",'Master Barang'!A53)</f>
        <v>0</v>
      </c>
      <c r="O25759">
        <f>IF(N25759="","",'Master Barang'!B53)</f>
        <v>0</v>
      </c>
      <c r="P25759">
        <f>IF(OR(M25759="",N25759=""),"",SUMIFS('Barang Keluar'!$E:$E,'Barang Keluar'!$A:$A,M25759,'Barang Keluar'!$C:$C,N25759))</f>
        <v>0</v>
      </c>
    </row>
    <row r="25760" spans="13:16">
      <c r="M25760" s="49">
        <f>IF($A$4+257&gt;$B$4,"",$A$4+257)</f>
        <v>46280</v>
      </c>
      <c r="N25760">
        <f>IF(M25760="","",'Master Barang'!A54)</f>
        <v>0</v>
      </c>
      <c r="O25760">
        <f>IF(N25760="","",'Master Barang'!B54)</f>
        <v>0</v>
      </c>
      <c r="P25760">
        <f>IF(OR(M25760="",N25760=""),"",SUMIFS('Barang Keluar'!$E:$E,'Barang Keluar'!$A:$A,M25760,'Barang Keluar'!$C:$C,N25760))</f>
        <v>0</v>
      </c>
    </row>
    <row r="25761" spans="13:16">
      <c r="M25761" s="49">
        <f>IF($A$4+257&gt;$B$4,"",$A$4+257)</f>
        <v>46280</v>
      </c>
      <c r="N25761">
        <f>IF(M25761="","",'Master Barang'!A55)</f>
        <v>0</v>
      </c>
      <c r="O25761">
        <f>IF(N25761="","",'Master Barang'!B55)</f>
        <v>0</v>
      </c>
      <c r="P25761">
        <f>IF(OR(M25761="",N25761=""),"",SUMIFS('Barang Keluar'!$E:$E,'Barang Keluar'!$A:$A,M25761,'Barang Keluar'!$C:$C,N25761))</f>
        <v>0</v>
      </c>
    </row>
    <row r="25762" spans="13:16">
      <c r="M25762" s="49">
        <f>IF($A$4+257&gt;$B$4,"",$A$4+257)</f>
        <v>46280</v>
      </c>
      <c r="N25762">
        <f>IF(M25762="","",'Master Barang'!A56)</f>
        <v>0</v>
      </c>
      <c r="O25762">
        <f>IF(N25762="","",'Master Barang'!B56)</f>
        <v>0</v>
      </c>
      <c r="P25762">
        <f>IF(OR(M25762="",N25762=""),"",SUMIFS('Barang Keluar'!$E:$E,'Barang Keluar'!$A:$A,M25762,'Barang Keluar'!$C:$C,N25762))</f>
        <v>0</v>
      </c>
    </row>
    <row r="25763" spans="13:16">
      <c r="M25763" s="49">
        <f>IF($A$4+257&gt;$B$4,"",$A$4+257)</f>
        <v>46280</v>
      </c>
      <c r="N25763">
        <f>IF(M25763="","",'Master Barang'!A57)</f>
        <v>0</v>
      </c>
      <c r="O25763">
        <f>IF(N25763="","",'Master Barang'!B57)</f>
        <v>0</v>
      </c>
      <c r="P25763">
        <f>IF(OR(M25763="",N25763=""),"",SUMIFS('Barang Keluar'!$E:$E,'Barang Keluar'!$A:$A,M25763,'Barang Keluar'!$C:$C,N25763))</f>
        <v>0</v>
      </c>
    </row>
    <row r="25764" spans="13:16">
      <c r="M25764" s="49">
        <f>IF($A$4+257&gt;$B$4,"",$A$4+257)</f>
        <v>46280</v>
      </c>
      <c r="N25764">
        <f>IF(M25764="","",'Master Barang'!A58)</f>
        <v>0</v>
      </c>
      <c r="O25764">
        <f>IF(N25764="","",'Master Barang'!B58)</f>
        <v>0</v>
      </c>
      <c r="P25764">
        <f>IF(OR(M25764="",N25764=""),"",SUMIFS('Barang Keluar'!$E:$E,'Barang Keluar'!$A:$A,M25764,'Barang Keluar'!$C:$C,N25764))</f>
        <v>0</v>
      </c>
    </row>
    <row r="25765" spans="13:16">
      <c r="M25765" s="49">
        <f>IF($A$4+257&gt;$B$4,"",$A$4+257)</f>
        <v>46280</v>
      </c>
      <c r="N25765">
        <f>IF(M25765="","",'Master Barang'!A59)</f>
        <v>0</v>
      </c>
      <c r="O25765">
        <f>IF(N25765="","",'Master Barang'!B59)</f>
        <v>0</v>
      </c>
      <c r="P25765">
        <f>IF(OR(M25765="",N25765=""),"",SUMIFS('Barang Keluar'!$E:$E,'Barang Keluar'!$A:$A,M25765,'Barang Keluar'!$C:$C,N25765))</f>
        <v>0</v>
      </c>
    </row>
    <row r="25766" spans="13:16">
      <c r="M25766" s="49">
        <f>IF($A$4+257&gt;$B$4,"",$A$4+257)</f>
        <v>46280</v>
      </c>
      <c r="N25766">
        <f>IF(M25766="","",'Master Barang'!A60)</f>
        <v>0</v>
      </c>
      <c r="O25766">
        <f>IF(N25766="","",'Master Barang'!B60)</f>
        <v>0</v>
      </c>
      <c r="P25766">
        <f>IF(OR(M25766="",N25766=""),"",SUMIFS('Barang Keluar'!$E:$E,'Barang Keluar'!$A:$A,M25766,'Barang Keluar'!$C:$C,N25766))</f>
        <v>0</v>
      </c>
    </row>
    <row r="25767" spans="13:16">
      <c r="M25767" s="49">
        <f>IF($A$4+257&gt;$B$4,"",$A$4+257)</f>
        <v>46280</v>
      </c>
      <c r="N25767">
        <f>IF(M25767="","",'Master Barang'!A61)</f>
        <v>0</v>
      </c>
      <c r="O25767">
        <f>IF(N25767="","",'Master Barang'!B61)</f>
        <v>0</v>
      </c>
      <c r="P25767">
        <f>IF(OR(M25767="",N25767=""),"",SUMIFS('Barang Keluar'!$E:$E,'Barang Keluar'!$A:$A,M25767,'Barang Keluar'!$C:$C,N25767))</f>
        <v>0</v>
      </c>
    </row>
    <row r="25768" spans="13:16">
      <c r="M25768" s="49">
        <f>IF($A$4+257&gt;$B$4,"",$A$4+257)</f>
        <v>46280</v>
      </c>
      <c r="N25768">
        <f>IF(M25768="","",'Master Barang'!A62)</f>
        <v>0</v>
      </c>
      <c r="O25768">
        <f>IF(N25768="","",'Master Barang'!B62)</f>
        <v>0</v>
      </c>
      <c r="P25768">
        <f>IF(OR(M25768="",N25768=""),"",SUMIFS('Barang Keluar'!$E:$E,'Barang Keluar'!$A:$A,M25768,'Barang Keluar'!$C:$C,N25768))</f>
        <v>0</v>
      </c>
    </row>
    <row r="25769" spans="13:16">
      <c r="M25769" s="49">
        <f>IF($A$4+257&gt;$B$4,"",$A$4+257)</f>
        <v>46280</v>
      </c>
      <c r="N25769">
        <f>IF(M25769="","",'Master Barang'!A63)</f>
        <v>0</v>
      </c>
      <c r="O25769">
        <f>IF(N25769="","",'Master Barang'!B63)</f>
        <v>0</v>
      </c>
      <c r="P25769">
        <f>IF(OR(M25769="",N25769=""),"",SUMIFS('Barang Keluar'!$E:$E,'Barang Keluar'!$A:$A,M25769,'Barang Keluar'!$C:$C,N25769))</f>
        <v>0</v>
      </c>
    </row>
    <row r="25770" spans="13:16">
      <c r="M25770" s="49">
        <f>IF($A$4+257&gt;$B$4,"",$A$4+257)</f>
        <v>46280</v>
      </c>
      <c r="N25770">
        <f>IF(M25770="","",'Master Barang'!A64)</f>
        <v>0</v>
      </c>
      <c r="O25770">
        <f>IF(N25770="","",'Master Barang'!B64)</f>
        <v>0</v>
      </c>
      <c r="P25770">
        <f>IF(OR(M25770="",N25770=""),"",SUMIFS('Barang Keluar'!$E:$E,'Barang Keluar'!$A:$A,M25770,'Barang Keluar'!$C:$C,N25770))</f>
        <v>0</v>
      </c>
    </row>
    <row r="25771" spans="13:16">
      <c r="M25771" s="49">
        <f>IF($A$4+257&gt;$B$4,"",$A$4+257)</f>
        <v>46280</v>
      </c>
      <c r="N25771">
        <f>IF(M25771="","",'Master Barang'!A65)</f>
        <v>0</v>
      </c>
      <c r="O25771">
        <f>IF(N25771="","",'Master Barang'!B65)</f>
        <v>0</v>
      </c>
      <c r="P25771">
        <f>IF(OR(M25771="",N25771=""),"",SUMIFS('Barang Keluar'!$E:$E,'Barang Keluar'!$A:$A,M25771,'Barang Keluar'!$C:$C,N25771))</f>
        <v>0</v>
      </c>
    </row>
    <row r="25772" spans="13:16">
      <c r="M25772" s="49">
        <f>IF($A$4+257&gt;$B$4,"",$A$4+257)</f>
        <v>46280</v>
      </c>
      <c r="N25772">
        <f>IF(M25772="","",'Master Barang'!A66)</f>
        <v>0</v>
      </c>
      <c r="O25772">
        <f>IF(N25772="","",'Master Barang'!B66)</f>
        <v>0</v>
      </c>
      <c r="P25772">
        <f>IF(OR(M25772="",N25772=""),"",SUMIFS('Barang Keluar'!$E:$E,'Barang Keluar'!$A:$A,M25772,'Barang Keluar'!$C:$C,N25772))</f>
        <v>0</v>
      </c>
    </row>
    <row r="25773" spans="13:16">
      <c r="M25773" s="49">
        <f>IF($A$4+257&gt;$B$4,"",$A$4+257)</f>
        <v>46280</v>
      </c>
      <c r="N25773">
        <f>IF(M25773="","",'Master Barang'!A67)</f>
        <v>0</v>
      </c>
      <c r="O25773">
        <f>IF(N25773="","",'Master Barang'!B67)</f>
        <v>0</v>
      </c>
      <c r="P25773">
        <f>IF(OR(M25773="",N25773=""),"",SUMIFS('Barang Keluar'!$E:$E,'Barang Keluar'!$A:$A,M25773,'Barang Keluar'!$C:$C,N25773))</f>
        <v>0</v>
      </c>
    </row>
    <row r="25774" spans="13:16">
      <c r="M25774" s="49">
        <f>IF($A$4+257&gt;$B$4,"",$A$4+257)</f>
        <v>46280</v>
      </c>
      <c r="N25774">
        <f>IF(M25774="","",'Master Barang'!A68)</f>
        <v>0</v>
      </c>
      <c r="O25774">
        <f>IF(N25774="","",'Master Barang'!B68)</f>
        <v>0</v>
      </c>
      <c r="P25774">
        <f>IF(OR(M25774="",N25774=""),"",SUMIFS('Barang Keluar'!$E:$E,'Barang Keluar'!$A:$A,M25774,'Barang Keluar'!$C:$C,N25774))</f>
        <v>0</v>
      </c>
    </row>
    <row r="25775" spans="13:16">
      <c r="M25775" s="49">
        <f>IF($A$4+257&gt;$B$4,"",$A$4+257)</f>
        <v>46280</v>
      </c>
      <c r="N25775">
        <f>IF(M25775="","",'Master Barang'!A69)</f>
        <v>0</v>
      </c>
      <c r="O25775">
        <f>IF(N25775="","",'Master Barang'!B69)</f>
        <v>0</v>
      </c>
      <c r="P25775">
        <f>IF(OR(M25775="",N25775=""),"",SUMIFS('Barang Keluar'!$E:$E,'Barang Keluar'!$A:$A,M25775,'Barang Keluar'!$C:$C,N25775))</f>
        <v>0</v>
      </c>
    </row>
    <row r="25776" spans="13:16">
      <c r="M25776" s="49">
        <f>IF($A$4+257&gt;$B$4,"",$A$4+257)</f>
        <v>46280</v>
      </c>
      <c r="N25776">
        <f>IF(M25776="","",'Master Barang'!A70)</f>
        <v>0</v>
      </c>
      <c r="O25776">
        <f>IF(N25776="","",'Master Barang'!B70)</f>
        <v>0</v>
      </c>
      <c r="P25776">
        <f>IF(OR(M25776="",N25776=""),"",SUMIFS('Barang Keluar'!$E:$E,'Barang Keluar'!$A:$A,M25776,'Barang Keluar'!$C:$C,N25776))</f>
        <v>0</v>
      </c>
    </row>
    <row r="25777" spans="13:16">
      <c r="M25777" s="49">
        <f>IF($A$4+257&gt;$B$4,"",$A$4+257)</f>
        <v>46280</v>
      </c>
      <c r="N25777">
        <f>IF(M25777="","",'Master Barang'!A71)</f>
        <v>0</v>
      </c>
      <c r="O25777">
        <f>IF(N25777="","",'Master Barang'!B71)</f>
        <v>0</v>
      </c>
      <c r="P25777">
        <f>IF(OR(M25777="",N25777=""),"",SUMIFS('Barang Keluar'!$E:$E,'Barang Keluar'!$A:$A,M25777,'Barang Keluar'!$C:$C,N25777))</f>
        <v>0</v>
      </c>
    </row>
    <row r="25778" spans="13:16">
      <c r="M25778" s="49">
        <f>IF($A$4+257&gt;$B$4,"",$A$4+257)</f>
        <v>46280</v>
      </c>
      <c r="N25778">
        <f>IF(M25778="","",'Master Barang'!A72)</f>
        <v>0</v>
      </c>
      <c r="O25778">
        <f>IF(N25778="","",'Master Barang'!B72)</f>
        <v>0</v>
      </c>
      <c r="P25778">
        <f>IF(OR(M25778="",N25778=""),"",SUMIFS('Barang Keluar'!$E:$E,'Barang Keluar'!$A:$A,M25778,'Barang Keluar'!$C:$C,N25778))</f>
        <v>0</v>
      </c>
    </row>
    <row r="25779" spans="13:16">
      <c r="M25779" s="49">
        <f>IF($A$4+257&gt;$B$4,"",$A$4+257)</f>
        <v>46280</v>
      </c>
      <c r="N25779">
        <f>IF(M25779="","",'Master Barang'!A73)</f>
        <v>0</v>
      </c>
      <c r="O25779">
        <f>IF(N25779="","",'Master Barang'!B73)</f>
        <v>0</v>
      </c>
      <c r="P25779">
        <f>IF(OR(M25779="",N25779=""),"",SUMIFS('Barang Keluar'!$E:$E,'Barang Keluar'!$A:$A,M25779,'Barang Keluar'!$C:$C,N25779))</f>
        <v>0</v>
      </c>
    </row>
    <row r="25780" spans="13:16">
      <c r="M25780" s="49">
        <f>IF($A$4+257&gt;$B$4,"",$A$4+257)</f>
        <v>46280</v>
      </c>
      <c r="N25780">
        <f>IF(M25780="","",'Master Barang'!A74)</f>
        <v>0</v>
      </c>
      <c r="O25780">
        <f>IF(N25780="","",'Master Barang'!B74)</f>
        <v>0</v>
      </c>
      <c r="P25780">
        <f>IF(OR(M25780="",N25780=""),"",SUMIFS('Barang Keluar'!$E:$E,'Barang Keluar'!$A:$A,M25780,'Barang Keluar'!$C:$C,N25780))</f>
        <v>0</v>
      </c>
    </row>
    <row r="25781" spans="13:16">
      <c r="M25781" s="49">
        <f>IF($A$4+257&gt;$B$4,"",$A$4+257)</f>
        <v>46280</v>
      </c>
      <c r="N25781">
        <f>IF(M25781="","",'Master Barang'!A75)</f>
        <v>0</v>
      </c>
      <c r="O25781">
        <f>IF(N25781="","",'Master Barang'!B75)</f>
        <v>0</v>
      </c>
      <c r="P25781">
        <f>IF(OR(M25781="",N25781=""),"",SUMIFS('Barang Keluar'!$E:$E,'Barang Keluar'!$A:$A,M25781,'Barang Keluar'!$C:$C,N25781))</f>
        <v>0</v>
      </c>
    </row>
    <row r="25782" spans="13:16">
      <c r="M25782" s="49">
        <f>IF($A$4+257&gt;$B$4,"",$A$4+257)</f>
        <v>46280</v>
      </c>
      <c r="N25782">
        <f>IF(M25782="","",'Master Barang'!A76)</f>
        <v>0</v>
      </c>
      <c r="O25782">
        <f>IF(N25782="","",'Master Barang'!B76)</f>
        <v>0</v>
      </c>
      <c r="P25782">
        <f>IF(OR(M25782="",N25782=""),"",SUMIFS('Barang Keluar'!$E:$E,'Barang Keluar'!$A:$A,M25782,'Barang Keluar'!$C:$C,N25782))</f>
        <v>0</v>
      </c>
    </row>
    <row r="25783" spans="13:16">
      <c r="M25783" s="49">
        <f>IF($A$4+257&gt;$B$4,"",$A$4+257)</f>
        <v>46280</v>
      </c>
      <c r="N25783">
        <f>IF(M25783="","",'Master Barang'!A77)</f>
        <v>0</v>
      </c>
      <c r="O25783">
        <f>IF(N25783="","",'Master Barang'!B77)</f>
        <v>0</v>
      </c>
      <c r="P25783">
        <f>IF(OR(M25783="",N25783=""),"",SUMIFS('Barang Keluar'!$E:$E,'Barang Keluar'!$A:$A,M25783,'Barang Keluar'!$C:$C,N25783))</f>
        <v>0</v>
      </c>
    </row>
    <row r="25784" spans="13:16">
      <c r="M25784" s="49">
        <f>IF($A$4+257&gt;$B$4,"",$A$4+257)</f>
        <v>46280</v>
      </c>
      <c r="N25784">
        <f>IF(M25784="","",'Master Barang'!A78)</f>
        <v>0</v>
      </c>
      <c r="O25784">
        <f>IF(N25784="","",'Master Barang'!B78)</f>
        <v>0</v>
      </c>
      <c r="P25784">
        <f>IF(OR(M25784="",N25784=""),"",SUMIFS('Barang Keluar'!$E:$E,'Barang Keluar'!$A:$A,M25784,'Barang Keluar'!$C:$C,N25784))</f>
        <v>0</v>
      </c>
    </row>
    <row r="25785" spans="13:16">
      <c r="M25785" s="49">
        <f>IF($A$4+257&gt;$B$4,"",$A$4+257)</f>
        <v>46280</v>
      </c>
      <c r="N25785">
        <f>IF(M25785="","",'Master Barang'!A79)</f>
        <v>0</v>
      </c>
      <c r="O25785">
        <f>IF(N25785="","",'Master Barang'!B79)</f>
        <v>0</v>
      </c>
      <c r="P25785">
        <f>IF(OR(M25785="",N25785=""),"",SUMIFS('Barang Keluar'!$E:$E,'Barang Keluar'!$A:$A,M25785,'Barang Keluar'!$C:$C,N25785))</f>
        <v>0</v>
      </c>
    </row>
    <row r="25786" spans="13:16">
      <c r="M25786" s="49">
        <f>IF($A$4+257&gt;$B$4,"",$A$4+257)</f>
        <v>46280</v>
      </c>
      <c r="N25786">
        <f>IF(M25786="","",'Master Barang'!A80)</f>
        <v>0</v>
      </c>
      <c r="O25786">
        <f>IF(N25786="","",'Master Barang'!B80)</f>
        <v>0</v>
      </c>
      <c r="P25786">
        <f>IF(OR(M25786="",N25786=""),"",SUMIFS('Barang Keluar'!$E:$E,'Barang Keluar'!$A:$A,M25786,'Barang Keluar'!$C:$C,N25786))</f>
        <v>0</v>
      </c>
    </row>
    <row r="25787" spans="13:16">
      <c r="M25787" s="49">
        <f>IF($A$4+257&gt;$B$4,"",$A$4+257)</f>
        <v>46280</v>
      </c>
      <c r="N25787">
        <f>IF(M25787="","",'Master Barang'!A81)</f>
        <v>0</v>
      </c>
      <c r="O25787">
        <f>IF(N25787="","",'Master Barang'!B81)</f>
        <v>0</v>
      </c>
      <c r="P25787">
        <f>IF(OR(M25787="",N25787=""),"",SUMIFS('Barang Keluar'!$E:$E,'Barang Keluar'!$A:$A,M25787,'Barang Keluar'!$C:$C,N25787))</f>
        <v>0</v>
      </c>
    </row>
    <row r="25788" spans="13:16">
      <c r="M25788" s="49">
        <f>IF($A$4+257&gt;$B$4,"",$A$4+257)</f>
        <v>46280</v>
      </c>
      <c r="N25788">
        <f>IF(M25788="","",'Master Barang'!A82)</f>
        <v>0</v>
      </c>
      <c r="O25788">
        <f>IF(N25788="","",'Master Barang'!B82)</f>
        <v>0</v>
      </c>
      <c r="P25788">
        <f>IF(OR(M25788="",N25788=""),"",SUMIFS('Barang Keluar'!$E:$E,'Barang Keluar'!$A:$A,M25788,'Barang Keluar'!$C:$C,N25788))</f>
        <v>0</v>
      </c>
    </row>
    <row r="25789" spans="13:16">
      <c r="M25789" s="49">
        <f>IF($A$4+257&gt;$B$4,"",$A$4+257)</f>
        <v>46280</v>
      </c>
      <c r="N25789">
        <f>IF(M25789="","",'Master Barang'!A83)</f>
        <v>0</v>
      </c>
      <c r="O25789">
        <f>IF(N25789="","",'Master Barang'!B83)</f>
        <v>0</v>
      </c>
      <c r="P25789">
        <f>IF(OR(M25789="",N25789=""),"",SUMIFS('Barang Keluar'!$E:$E,'Barang Keluar'!$A:$A,M25789,'Barang Keluar'!$C:$C,N25789))</f>
        <v>0</v>
      </c>
    </row>
    <row r="25790" spans="13:16">
      <c r="M25790" s="49">
        <f>IF($A$4+257&gt;$B$4,"",$A$4+257)</f>
        <v>46280</v>
      </c>
      <c r="N25790">
        <f>IF(M25790="","",'Master Barang'!A84)</f>
        <v>0</v>
      </c>
      <c r="O25790">
        <f>IF(N25790="","",'Master Barang'!B84)</f>
        <v>0</v>
      </c>
      <c r="P25790">
        <f>IF(OR(M25790="",N25790=""),"",SUMIFS('Barang Keluar'!$E:$E,'Barang Keluar'!$A:$A,M25790,'Barang Keluar'!$C:$C,N25790))</f>
        <v>0</v>
      </c>
    </row>
    <row r="25791" spans="13:16">
      <c r="M25791" s="49">
        <f>IF($A$4+257&gt;$B$4,"",$A$4+257)</f>
        <v>46280</v>
      </c>
      <c r="N25791">
        <f>IF(M25791="","",'Master Barang'!A85)</f>
        <v>0</v>
      </c>
      <c r="O25791">
        <f>IF(N25791="","",'Master Barang'!B85)</f>
        <v>0</v>
      </c>
      <c r="P25791">
        <f>IF(OR(M25791="",N25791=""),"",SUMIFS('Barang Keluar'!$E:$E,'Barang Keluar'!$A:$A,M25791,'Barang Keluar'!$C:$C,N25791))</f>
        <v>0</v>
      </c>
    </row>
    <row r="25792" spans="13:16">
      <c r="M25792" s="49">
        <f>IF($A$4+257&gt;$B$4,"",$A$4+257)</f>
        <v>46280</v>
      </c>
      <c r="N25792">
        <f>IF(M25792="","",'Master Barang'!A86)</f>
        <v>0</v>
      </c>
      <c r="O25792">
        <f>IF(N25792="","",'Master Barang'!B86)</f>
        <v>0</v>
      </c>
      <c r="P25792">
        <f>IF(OR(M25792="",N25792=""),"",SUMIFS('Barang Keluar'!$E:$E,'Barang Keluar'!$A:$A,M25792,'Barang Keluar'!$C:$C,N25792))</f>
        <v>0</v>
      </c>
    </row>
    <row r="25793" spans="13:16">
      <c r="M25793" s="49">
        <f>IF($A$4+257&gt;$B$4,"",$A$4+257)</f>
        <v>46280</v>
      </c>
      <c r="N25793">
        <f>IF(M25793="","",'Master Barang'!A87)</f>
        <v>0</v>
      </c>
      <c r="O25793">
        <f>IF(N25793="","",'Master Barang'!B87)</f>
        <v>0</v>
      </c>
      <c r="P25793">
        <f>IF(OR(M25793="",N25793=""),"",SUMIFS('Barang Keluar'!$E:$E,'Barang Keluar'!$A:$A,M25793,'Barang Keluar'!$C:$C,N25793))</f>
        <v>0</v>
      </c>
    </row>
    <row r="25794" spans="13:16">
      <c r="M25794" s="49">
        <f>IF($A$4+257&gt;$B$4,"",$A$4+257)</f>
        <v>46280</v>
      </c>
      <c r="N25794">
        <f>IF(M25794="","",'Master Barang'!A88)</f>
        <v>0</v>
      </c>
      <c r="O25794">
        <f>IF(N25794="","",'Master Barang'!B88)</f>
        <v>0</v>
      </c>
      <c r="P25794">
        <f>IF(OR(M25794="",N25794=""),"",SUMIFS('Barang Keluar'!$E:$E,'Barang Keluar'!$A:$A,M25794,'Barang Keluar'!$C:$C,N25794))</f>
        <v>0</v>
      </c>
    </row>
    <row r="25795" spans="13:16">
      <c r="M25795" s="49">
        <f>IF($A$4+257&gt;$B$4,"",$A$4+257)</f>
        <v>46280</v>
      </c>
      <c r="N25795">
        <f>IF(M25795="","",'Master Barang'!A89)</f>
        <v>0</v>
      </c>
      <c r="O25795">
        <f>IF(N25795="","",'Master Barang'!B89)</f>
        <v>0</v>
      </c>
      <c r="P25795">
        <f>IF(OR(M25795="",N25795=""),"",SUMIFS('Barang Keluar'!$E:$E,'Barang Keluar'!$A:$A,M25795,'Barang Keluar'!$C:$C,N25795))</f>
        <v>0</v>
      </c>
    </row>
    <row r="25796" spans="13:16">
      <c r="M25796" s="49">
        <f>IF($A$4+257&gt;$B$4,"",$A$4+257)</f>
        <v>46280</v>
      </c>
      <c r="N25796">
        <f>IF(M25796="","",'Master Barang'!A90)</f>
        <v>0</v>
      </c>
      <c r="O25796">
        <f>IF(N25796="","",'Master Barang'!B90)</f>
        <v>0</v>
      </c>
      <c r="P25796">
        <f>IF(OR(M25796="",N25796=""),"",SUMIFS('Barang Keluar'!$E:$E,'Barang Keluar'!$A:$A,M25796,'Barang Keluar'!$C:$C,N25796))</f>
        <v>0</v>
      </c>
    </row>
    <row r="25797" spans="13:16">
      <c r="M25797" s="49">
        <f>IF($A$4+257&gt;$B$4,"",$A$4+257)</f>
        <v>46280</v>
      </c>
      <c r="N25797">
        <f>IF(M25797="","",'Master Barang'!A91)</f>
        <v>0</v>
      </c>
      <c r="O25797">
        <f>IF(N25797="","",'Master Barang'!B91)</f>
        <v>0</v>
      </c>
      <c r="P25797">
        <f>IF(OR(M25797="",N25797=""),"",SUMIFS('Barang Keluar'!$E:$E,'Barang Keluar'!$A:$A,M25797,'Barang Keluar'!$C:$C,N25797))</f>
        <v>0</v>
      </c>
    </row>
    <row r="25798" spans="13:16">
      <c r="M25798" s="49">
        <f>IF($A$4+257&gt;$B$4,"",$A$4+257)</f>
        <v>46280</v>
      </c>
      <c r="N25798">
        <f>IF(M25798="","",'Master Barang'!A92)</f>
        <v>0</v>
      </c>
      <c r="O25798">
        <f>IF(N25798="","",'Master Barang'!B92)</f>
        <v>0</v>
      </c>
      <c r="P25798">
        <f>IF(OR(M25798="",N25798=""),"",SUMIFS('Barang Keluar'!$E:$E,'Barang Keluar'!$A:$A,M25798,'Barang Keluar'!$C:$C,N25798))</f>
        <v>0</v>
      </c>
    </row>
    <row r="25799" spans="13:16">
      <c r="M25799" s="49">
        <f>IF($A$4+257&gt;$B$4,"",$A$4+257)</f>
        <v>46280</v>
      </c>
      <c r="N25799">
        <f>IF(M25799="","",'Master Barang'!A93)</f>
        <v>0</v>
      </c>
      <c r="O25799">
        <f>IF(N25799="","",'Master Barang'!B93)</f>
        <v>0</v>
      </c>
      <c r="P25799">
        <f>IF(OR(M25799="",N25799=""),"",SUMIFS('Barang Keluar'!$E:$E,'Barang Keluar'!$A:$A,M25799,'Barang Keluar'!$C:$C,N25799))</f>
        <v>0</v>
      </c>
    </row>
    <row r="25800" spans="13:16">
      <c r="M25800" s="49">
        <f>IF($A$4+257&gt;$B$4,"",$A$4+257)</f>
        <v>46280</v>
      </c>
      <c r="N25800">
        <f>IF(M25800="","",'Master Barang'!A94)</f>
        <v>0</v>
      </c>
      <c r="O25800">
        <f>IF(N25800="","",'Master Barang'!B94)</f>
        <v>0</v>
      </c>
      <c r="P25800">
        <f>IF(OR(M25800="",N25800=""),"",SUMIFS('Barang Keluar'!$E:$E,'Barang Keluar'!$A:$A,M25800,'Barang Keluar'!$C:$C,N25800))</f>
        <v>0</v>
      </c>
    </row>
    <row r="25801" spans="13:16">
      <c r="M25801" s="49">
        <f>IF($A$4+257&gt;$B$4,"",$A$4+257)</f>
        <v>46280</v>
      </c>
      <c r="N25801">
        <f>IF(M25801="","",'Master Barang'!A95)</f>
        <v>0</v>
      </c>
      <c r="O25801">
        <f>IF(N25801="","",'Master Barang'!B95)</f>
        <v>0</v>
      </c>
      <c r="P25801">
        <f>IF(OR(M25801="",N25801=""),"",SUMIFS('Barang Keluar'!$E:$E,'Barang Keluar'!$A:$A,M25801,'Barang Keluar'!$C:$C,N25801))</f>
        <v>0</v>
      </c>
    </row>
    <row r="25802" spans="13:16">
      <c r="M25802" s="49">
        <f>IF($A$4+257&gt;$B$4,"",$A$4+257)</f>
        <v>46280</v>
      </c>
      <c r="N25802">
        <f>IF(M25802="","",'Master Barang'!A96)</f>
        <v>0</v>
      </c>
      <c r="O25802">
        <f>IF(N25802="","",'Master Barang'!B96)</f>
        <v>0</v>
      </c>
      <c r="P25802">
        <f>IF(OR(M25802="",N25802=""),"",SUMIFS('Barang Keluar'!$E:$E,'Barang Keluar'!$A:$A,M25802,'Barang Keluar'!$C:$C,N25802))</f>
        <v>0</v>
      </c>
    </row>
    <row r="25803" spans="13:16">
      <c r="M25803" s="49">
        <f>IF($A$4+257&gt;$B$4,"",$A$4+257)</f>
        <v>46280</v>
      </c>
      <c r="N25803">
        <f>IF(M25803="","",'Master Barang'!A97)</f>
        <v>0</v>
      </c>
      <c r="O25803">
        <f>IF(N25803="","",'Master Barang'!B97)</f>
        <v>0</v>
      </c>
      <c r="P25803">
        <f>IF(OR(M25803="",N25803=""),"",SUMIFS('Barang Keluar'!$E:$E,'Barang Keluar'!$A:$A,M25803,'Barang Keluar'!$C:$C,N25803))</f>
        <v>0</v>
      </c>
    </row>
    <row r="25804" spans="13:16">
      <c r="M25804" s="49">
        <f>IF($A$4+257&gt;$B$4,"",$A$4+257)</f>
        <v>46280</v>
      </c>
      <c r="N25804">
        <f>IF(M25804="","",'Master Barang'!A98)</f>
        <v>0</v>
      </c>
      <c r="O25804">
        <f>IF(N25804="","",'Master Barang'!B98)</f>
        <v>0</v>
      </c>
      <c r="P25804">
        <f>IF(OR(M25804="",N25804=""),"",SUMIFS('Barang Keluar'!$E:$E,'Barang Keluar'!$A:$A,M25804,'Barang Keluar'!$C:$C,N25804))</f>
        <v>0</v>
      </c>
    </row>
    <row r="25805" spans="13:16">
      <c r="M25805" s="49">
        <f>IF($A$4+257&gt;$B$4,"",$A$4+257)</f>
        <v>46280</v>
      </c>
      <c r="N25805">
        <f>IF(M25805="","",'Master Barang'!A99)</f>
        <v>0</v>
      </c>
      <c r="O25805">
        <f>IF(N25805="","",'Master Barang'!B99)</f>
        <v>0</v>
      </c>
      <c r="P25805">
        <f>IF(OR(M25805="",N25805=""),"",SUMIFS('Barang Keluar'!$E:$E,'Barang Keluar'!$A:$A,M25805,'Barang Keluar'!$C:$C,N25805))</f>
        <v>0</v>
      </c>
    </row>
    <row r="25806" spans="13:16">
      <c r="M25806" s="49">
        <f>IF($A$4+257&gt;$B$4,"",$A$4+257)</f>
        <v>46280</v>
      </c>
      <c r="N25806">
        <f>IF(M25806="","",'Master Barang'!A100)</f>
        <v>0</v>
      </c>
      <c r="O25806">
        <f>IF(N25806="","",'Master Barang'!B100)</f>
        <v>0</v>
      </c>
      <c r="P25806">
        <f>IF(OR(M25806="",N25806=""),"",SUMIFS('Barang Keluar'!$E:$E,'Barang Keluar'!$A:$A,M25806,'Barang Keluar'!$C:$C,N25806))</f>
        <v>0</v>
      </c>
    </row>
    <row r="25807" spans="13:16">
      <c r="M25807" s="49">
        <f>IF($A$4+257&gt;$B$4,"",$A$4+257)</f>
        <v>46280</v>
      </c>
      <c r="N25807">
        <f>IF(M25807="","",'Master Barang'!A101)</f>
        <v>0</v>
      </c>
      <c r="O25807">
        <f>IF(N25807="","",'Master Barang'!B101)</f>
        <v>0</v>
      </c>
      <c r="P25807">
        <f>IF(OR(M25807="",N25807=""),"",SUMIFS('Barang Keluar'!$E:$E,'Barang Keluar'!$A:$A,M25807,'Barang Keluar'!$C:$C,N25807))</f>
        <v>0</v>
      </c>
    </row>
    <row r="25808" spans="13:16">
      <c r="M25808" s="49">
        <f>IF($A$4+258&gt;$B$4,"",$A$4+258)</f>
        <v>46281</v>
      </c>
      <c r="N25808" t="str">
        <f>IF(M25808="","",'Master Barang'!A2)</f>
        <v>PRL-001</v>
      </c>
      <c r="O25808" t="str">
        <f>IF(N25808="","",'Master Barang'!B2)</f>
        <v>natura desinfectant food grade 5l</v>
      </c>
      <c r="P25808">
        <f>IF(OR(M25808="",N25808=""),"",SUMIFS('Barang Keluar'!$E:$E,'Barang Keluar'!$A:$A,M25808,'Barang Keluar'!$C:$C,N25808))</f>
        <v>0</v>
      </c>
    </row>
    <row r="25809" spans="13:16">
      <c r="M25809" s="49">
        <f>IF($A$4+258&gt;$B$4,"",$A$4+258)</f>
        <v>46281</v>
      </c>
      <c r="N25809" t="str">
        <f>IF(M25809="","",'Master Barang'!A3)</f>
        <v>PRL-002</v>
      </c>
      <c r="O25809" t="str">
        <f>IF(N25809="","",'Master Barang'!B3)</f>
        <v>sunlight cairan pencuci piring 5l</v>
      </c>
      <c r="P25809">
        <f>IF(OR(M25809="",N25809=""),"",SUMIFS('Barang Keluar'!$E:$E,'Barang Keluar'!$A:$A,M25809,'Barang Keluar'!$C:$C,N25809))</f>
        <v>0</v>
      </c>
    </row>
    <row r="25810" spans="13:16">
      <c r="M25810" s="49">
        <f>IF($A$4+258&gt;$B$4,"",$A$4+258)</f>
        <v>46281</v>
      </c>
      <c r="N25810" t="str">
        <f>IF(M25810="","",'Master Barang'!A4)</f>
        <v>PRL-003</v>
      </c>
      <c r="O25810" t="str">
        <f>IF(N25810="","",'Master Barang'!B4)</f>
        <v>oixs cleaner 1l</v>
      </c>
      <c r="P25810">
        <f>IF(OR(M25810="",N25810=""),"",SUMIFS('Barang Keluar'!$E:$E,'Barang Keluar'!$A:$A,M25810,'Barang Keluar'!$C:$C,N25810))</f>
        <v>0</v>
      </c>
    </row>
    <row r="25811" spans="13:16">
      <c r="M25811" s="49">
        <f>IF($A$4+258&gt;$B$4,"",$A$4+258)</f>
        <v>46281</v>
      </c>
      <c r="N25811" t="str">
        <f>IF(M25811="","",'Master Barang'!A5)</f>
        <v>PRL-004</v>
      </c>
      <c r="O25811" t="str">
        <f>IF(N25811="","",'Master Barang'!B5)</f>
        <v>be clean tissue serbaguna</v>
      </c>
      <c r="P25811">
        <f>IF(OR(M25811="",N25811=""),"",SUMIFS('Barang Keluar'!$E:$E,'Barang Keluar'!$A:$A,M25811,'Barang Keluar'!$C:$C,N25811))</f>
        <v>0</v>
      </c>
    </row>
    <row r="25812" spans="13:16">
      <c r="M25812" s="49">
        <f>IF($A$4+258&gt;$B$4,"",$A$4+258)</f>
        <v>46281</v>
      </c>
      <c r="N25812" t="str">
        <f>IF(M25812="","",'Master Barang'!A6)</f>
        <v>PRL-005</v>
      </c>
      <c r="O25812" t="str">
        <f>IF(N25812="","",'Master Barang'!B6)</f>
        <v>spons cuci hijau</v>
      </c>
      <c r="P25812">
        <f>IF(OR(M25812="",N25812=""),"",SUMIFS('Barang Keluar'!$E:$E,'Barang Keluar'!$A:$A,M25812,'Barang Keluar'!$C:$C,N25812))</f>
        <v>0</v>
      </c>
    </row>
    <row r="25813" spans="13:16">
      <c r="M25813" s="49">
        <f>IF($A$4+258&gt;$B$4,"",$A$4+258)</f>
        <v>46281</v>
      </c>
      <c r="N25813" t="str">
        <f>IF(M25813="","",'Master Barang'!A7)</f>
        <v>PRL-006</v>
      </c>
      <c r="O25813" t="str">
        <f>IF(N25813="","",'Master Barang'!B7)</f>
        <v>sabut cuci stainless</v>
      </c>
      <c r="P25813">
        <f>IF(OR(M25813="",N25813=""),"",SUMIFS('Barang Keluar'!$E:$E,'Barang Keluar'!$A:$A,M25813,'Barang Keluar'!$C:$C,N25813))</f>
        <v>0</v>
      </c>
    </row>
    <row r="25814" spans="13:16">
      <c r="M25814" s="49">
        <f>IF($A$4+258&gt;$B$4,"",$A$4+258)</f>
        <v>46281</v>
      </c>
      <c r="N25814" t="str">
        <f>IF(M25814="","",'Master Barang'!A8)</f>
        <v>PRL-007</v>
      </c>
      <c r="O25814" t="str">
        <f>IF(N25814="","",'Master Barang'!B8)</f>
        <v>plastik kresek besar merah 50pc</v>
      </c>
      <c r="P25814">
        <f>IF(OR(M25814="",N25814=""),"",SUMIFS('Barang Keluar'!$E:$E,'Barang Keluar'!$A:$A,M25814,'Barang Keluar'!$C:$C,N25814))</f>
        <v>0</v>
      </c>
    </row>
    <row r="25815" spans="13:16">
      <c r="M25815" s="49">
        <f>IF($A$4+258&gt;$B$4,"",$A$4+258)</f>
        <v>46281</v>
      </c>
      <c r="N25815" t="str">
        <f>IF(M25815="","",'Master Barang'!A9)</f>
        <v>PRL-008</v>
      </c>
      <c r="O25815" t="str">
        <f>IF(N25815="","",'Master Barang'!B9)</f>
        <v>lap besar</v>
      </c>
      <c r="P25815">
        <f>IF(OR(M25815="",N25815=""),"",SUMIFS('Barang Keluar'!$E:$E,'Barang Keluar'!$A:$A,M25815,'Barang Keluar'!$C:$C,N25815))</f>
        <v>0</v>
      </c>
    </row>
    <row r="25816" spans="13:16">
      <c r="M25816" s="49">
        <f>IF($A$4+258&gt;$B$4,"",$A$4+258)</f>
        <v>46281</v>
      </c>
      <c r="N25816" t="str">
        <f>IF(M25816="","",'Master Barang'!A10)</f>
        <v>PRL-009</v>
      </c>
      <c r="O25816" t="str">
        <f>IF(N25816="","",'Master Barang'!B10)</f>
        <v>lap microfiber</v>
      </c>
      <c r="P25816">
        <f>IF(OR(M25816="",N25816=""),"",SUMIFS('Barang Keluar'!$E:$E,'Barang Keluar'!$A:$A,M25816,'Barang Keluar'!$C:$C,N25816))</f>
        <v>0</v>
      </c>
    </row>
    <row r="25817" spans="13:16">
      <c r="M25817" s="49">
        <f>IF($A$4+258&gt;$B$4,"",$A$4+258)</f>
        <v>46281</v>
      </c>
      <c r="N25817" t="str">
        <f>IF(M25817="","",'Master Barang'!A11)</f>
        <v>PRL-010</v>
      </c>
      <c r="O25817" t="str">
        <f>IF(N25817="","",'Master Barang'!B11)</f>
        <v>lap kecil</v>
      </c>
      <c r="P25817">
        <f>IF(OR(M25817="",N25817=""),"",SUMIFS('Barang Keluar'!$E:$E,'Barang Keluar'!$A:$A,M25817,'Barang Keluar'!$C:$C,N25817))</f>
        <v>0</v>
      </c>
    </row>
    <row r="25818" spans="13:16">
      <c r="M25818" s="49">
        <f>IF($A$4+258&gt;$B$4,"",$A$4+258)</f>
        <v>46281</v>
      </c>
      <c r="N25818" t="str">
        <f>IF(M25818="","",'Master Barang'!A12)</f>
        <v>PRL-011</v>
      </c>
      <c r="O25818" t="str">
        <f>IF(N25818="","",'Master Barang'!B12)</f>
        <v>kanebo kecil</v>
      </c>
      <c r="P25818">
        <f>IF(OR(M25818="",N25818=""),"",SUMIFS('Barang Keluar'!$E:$E,'Barang Keluar'!$A:$A,M25818,'Barang Keluar'!$C:$C,N25818))</f>
        <v>0</v>
      </c>
    </row>
    <row r="25819" spans="13:16">
      <c r="M25819" s="49">
        <f>IF($A$4+258&gt;$B$4,"",$A$4+258)</f>
        <v>46281</v>
      </c>
      <c r="N25819" t="str">
        <f>IF(M25819="","",'Master Barang'!A13)</f>
        <v>PRL-012</v>
      </c>
      <c r="O25819" t="str">
        <f>IF(N25819="","",'Master Barang'!B13)</f>
        <v>plastik 1/4kg joyoboyo 100 lembar</v>
      </c>
      <c r="P25819">
        <f>IF(OR(M25819="",N25819=""),"",SUMIFS('Barang Keluar'!$E:$E,'Barang Keluar'!$A:$A,M25819,'Barang Keluar'!$C:$C,N25819))</f>
        <v>0</v>
      </c>
    </row>
    <row r="25820" spans="13:16">
      <c r="M25820" s="49">
        <f>IF($A$4+258&gt;$B$4,"",$A$4+258)</f>
        <v>46281</v>
      </c>
      <c r="N25820" t="str">
        <f>IF(M25820="","",'Master Barang'!A14)</f>
        <v>PRL-013</v>
      </c>
      <c r="O25820" t="str">
        <f>IF(N25820="","",'Master Barang'!B14)</f>
        <v>sarung tangan plastik kaka 100 pcs</v>
      </c>
      <c r="P25820">
        <f>IF(OR(M25820="",N25820=""),"",SUMIFS('Barang Keluar'!$E:$E,'Barang Keluar'!$A:$A,M25820,'Barang Keluar'!$C:$C,N25820))</f>
        <v>0</v>
      </c>
    </row>
    <row r="25821" spans="13:16">
      <c r="M25821" s="49">
        <f>IF($A$4+258&gt;$B$4,"",$A$4+258)</f>
        <v>46281</v>
      </c>
      <c r="N25821" t="str">
        <f>IF(M25821="","",'Master Barang'!A15)</f>
        <v>PRL-014</v>
      </c>
      <c r="O25821" t="str">
        <f>IF(N25821="","",'Master Barang'!B15)</f>
        <v>optima trashbag 80x100</v>
      </c>
      <c r="P25821">
        <f>IF(OR(M25821="",N25821=""),"",SUMIFS('Barang Keluar'!$E:$E,'Barang Keluar'!$A:$A,M25821,'Barang Keluar'!$C:$C,N25821))</f>
        <v>0</v>
      </c>
    </row>
    <row r="25822" spans="13:16">
      <c r="M25822" s="49">
        <f>IF($A$4+258&gt;$B$4,"",$A$4+258)</f>
        <v>46281</v>
      </c>
      <c r="N25822" t="str">
        <f>IF(M25822="","",'Master Barang'!A16)</f>
        <v>PRL-015</v>
      </c>
      <c r="O25822" t="str">
        <f>IF(N25822="","",'Master Barang'!B16)</f>
        <v>optima trashbag 60x100</v>
      </c>
      <c r="P25822">
        <f>IF(OR(M25822="",N25822=""),"",SUMIFS('Barang Keluar'!$E:$E,'Barang Keluar'!$A:$A,M25822,'Barang Keluar'!$C:$C,N25822))</f>
        <v>0</v>
      </c>
    </row>
    <row r="25823" spans="13:16">
      <c r="M25823" s="49">
        <f>IF($A$4+258&gt;$B$4,"",$A$4+258)</f>
        <v>46281</v>
      </c>
      <c r="N25823" t="str">
        <f>IF(M25823="","",'Master Barang'!A17)</f>
        <v>PRL-016</v>
      </c>
      <c r="O25823" t="str">
        <f>IF(N25823="","",'Master Barang'!B17)</f>
        <v>rajawali trashbag 30x40</v>
      </c>
      <c r="P25823">
        <f>IF(OR(M25823="",N25823=""),"",SUMIFS('Barang Keluar'!$E:$E,'Barang Keluar'!$A:$A,M25823,'Barang Keluar'!$C:$C,N25823))</f>
        <v>0</v>
      </c>
    </row>
    <row r="25824" spans="13:16">
      <c r="M25824" s="49">
        <f>IF($A$4+258&gt;$B$4,"",$A$4+258)</f>
        <v>46281</v>
      </c>
      <c r="N25824" t="str">
        <f>IF(M25824="","",'Master Barang'!A18)</f>
        <v>PRL-017</v>
      </c>
      <c r="O25824" t="str">
        <f>IF(N25824="","",'Master Barang'!B18)</f>
        <v>onemed masker biru 3 play 50 pcs</v>
      </c>
      <c r="P25824">
        <f>IF(OR(M25824="",N25824=""),"",SUMIFS('Barang Keluar'!$E:$E,'Barang Keluar'!$A:$A,M25824,'Barang Keluar'!$C:$C,N25824))</f>
        <v>0</v>
      </c>
    </row>
    <row r="25825" spans="13:16">
      <c r="M25825" s="49">
        <f>IF($A$4+258&gt;$B$4,"",$A$4+258)</f>
        <v>46281</v>
      </c>
      <c r="N25825" t="str">
        <f>IF(M25825="","",'Master Barang'!A19)</f>
        <v>PRL-018</v>
      </c>
      <c r="O25825" t="str">
        <f>IF(N25825="","",'Master Barang'!B19)</f>
        <v>onemed masker biru 3 play hijab 50 pcs</v>
      </c>
      <c r="P25825">
        <f>IF(OR(M25825="",N25825=""),"",SUMIFS('Barang Keluar'!$E:$E,'Barang Keluar'!$A:$A,M25825,'Barang Keluar'!$C:$C,N25825))</f>
        <v>0</v>
      </c>
    </row>
    <row r="25826" spans="13:16">
      <c r="M25826" s="49">
        <f>IF($A$4+258&gt;$B$4,"",$A$4+258)</f>
        <v>46281</v>
      </c>
      <c r="N25826" t="str">
        <f>IF(M25826="","",'Master Barang'!A20)</f>
        <v>PRL-019</v>
      </c>
      <c r="O25826" t="str">
        <f>IF(N25826="","",'Master Barang'!B20)</f>
        <v>neo health masker biru 3 play 50 pcs</v>
      </c>
      <c r="P25826">
        <f>IF(OR(M25826="",N25826=""),"",SUMIFS('Barang Keluar'!$E:$E,'Barang Keluar'!$A:$A,M25826,'Barang Keluar'!$C:$C,N25826))</f>
        <v>0</v>
      </c>
    </row>
    <row r="25827" spans="13:16">
      <c r="M25827" s="49">
        <f>IF($A$4+258&gt;$B$4,"",$A$4+258)</f>
        <v>46281</v>
      </c>
      <c r="N25827" t="str">
        <f>IF(M25827="","",'Master Barang'!A21)</f>
        <v>PRL-020</v>
      </c>
      <c r="O25827" t="str">
        <f>IF(N25827="","",'Master Barang'!B21)</f>
        <v>baymed masker hijau 3 play hijau 50 pcs</v>
      </c>
      <c r="P25827">
        <f>IF(OR(M25827="",N25827=""),"",SUMIFS('Barang Keluar'!$E:$E,'Barang Keluar'!$A:$A,M25827,'Barang Keluar'!$C:$C,N25827))</f>
        <v>0</v>
      </c>
    </row>
    <row r="25828" spans="13:16">
      <c r="M25828" s="49">
        <f>IF($A$4+258&gt;$B$4,"",$A$4+258)</f>
        <v>46281</v>
      </c>
      <c r="N25828" t="str">
        <f>IF(M25828="","",'Master Barang'!A22)</f>
        <v>PRL-021</v>
      </c>
      <c r="O25828" t="str">
        <f>IF(N25828="","",'Master Barang'!B22)</f>
        <v>altamed nurse cap penutup kepala 100 pcs</v>
      </c>
      <c r="P25828">
        <f>IF(OR(M25828="",N25828=""),"",SUMIFS('Barang Keluar'!$E:$E,'Barang Keluar'!$A:$A,M25828,'Barang Keluar'!$C:$C,N25828))</f>
        <v>0</v>
      </c>
    </row>
    <row r="25829" spans="13:16">
      <c r="M25829" s="49">
        <f>IF($A$4+258&gt;$B$4,"",$A$4+258)</f>
        <v>46281</v>
      </c>
      <c r="N25829" t="str">
        <f>IF(M25829="","",'Master Barang'!A23)</f>
        <v>PRL-022</v>
      </c>
      <c r="O25829" t="str">
        <f>IF(N25829="","",'Master Barang'!B23)</f>
        <v>sabun cuci tangan</v>
      </c>
      <c r="P25829">
        <f>IF(OR(M25829="",N25829=""),"",SUMIFS('Barang Keluar'!$E:$E,'Barang Keluar'!$A:$A,M25829,'Barang Keluar'!$C:$C,N25829))</f>
        <v>0</v>
      </c>
    </row>
    <row r="25830" spans="13:16">
      <c r="M25830" s="49">
        <f>IF($A$4+258&gt;$B$4,"",$A$4+258)</f>
        <v>46281</v>
      </c>
      <c r="N25830" t="str">
        <f>IF(M25830="","",'Master Barang'!A24)</f>
        <v>PRL-023</v>
      </c>
      <c r="O25830" t="str">
        <f>IF(N25830="","",'Master Barang'!B24)</f>
        <v>gayung kecil</v>
      </c>
      <c r="P25830">
        <f>IF(OR(M25830="",N25830=""),"",SUMIFS('Barang Keluar'!$E:$E,'Barang Keluar'!$A:$A,M25830,'Barang Keluar'!$C:$C,N25830))</f>
        <v>0</v>
      </c>
    </row>
    <row r="25831" spans="13:16">
      <c r="M25831" s="49">
        <f>IF($A$4+258&gt;$B$4,"",$A$4+258)</f>
        <v>46281</v>
      </c>
      <c r="N25831" t="str">
        <f>IF(M25831="","",'Master Barang'!A25)</f>
        <v>PRL-024</v>
      </c>
      <c r="O25831" t="str">
        <f>IF(N25831="","",'Master Barang'!B25)</f>
        <v>cikrak kecil</v>
      </c>
      <c r="P25831">
        <f>IF(OR(M25831="",N25831=""),"",SUMIFS('Barang Keluar'!$E:$E,'Barang Keluar'!$A:$A,M25831,'Barang Keluar'!$C:$C,N25831))</f>
        <v>0</v>
      </c>
    </row>
    <row r="25832" spans="13:16">
      <c r="M25832" s="49">
        <f>IF($A$4+258&gt;$B$4,"",$A$4+258)</f>
        <v>46281</v>
      </c>
      <c r="N25832" t="str">
        <f>IF(M25832="","",'Master Barang'!A26)</f>
        <v>PRL-025</v>
      </c>
      <c r="O25832" t="str">
        <f>IF(N25832="","",'Master Barang'!B26)</f>
        <v>petromax plastik kecil 12x24 100 lembar</v>
      </c>
      <c r="P25832">
        <f>IF(OR(M25832="",N25832=""),"",SUMIFS('Barang Keluar'!$E:$E,'Barang Keluar'!$A:$A,M25832,'Barang Keluar'!$C:$C,N25832))</f>
        <v>0</v>
      </c>
    </row>
    <row r="25833" spans="13:16">
      <c r="M25833" s="49">
        <f>IF($A$4+258&gt;$B$4,"",$A$4+258)</f>
        <v>46281</v>
      </c>
      <c r="N25833" t="str">
        <f>IF(M25833="","",'Master Barang'!A27)</f>
        <v>PRL-026</v>
      </c>
      <c r="O25833" t="str">
        <f>IF(N25833="","",'Master Barang'!B27)</f>
        <v>lancar kresek kecil bening </v>
      </c>
      <c r="P25833">
        <f>IF(OR(M25833="",N25833=""),"",SUMIFS('Barang Keluar'!$E:$E,'Barang Keluar'!$A:$A,M25833,'Barang Keluar'!$C:$C,N25833))</f>
        <v>0</v>
      </c>
    </row>
    <row r="25834" spans="13:16">
      <c r="M25834" s="49">
        <f>IF($A$4+258&gt;$B$4,"",$A$4+258)</f>
        <v>46281</v>
      </c>
      <c r="N25834" t="str">
        <f>IF(M25834="","",'Master Barang'!A28)</f>
        <v>PRL-027</v>
      </c>
      <c r="O25834" t="str">
        <f>IF(N25834="","",'Master Barang'!B28)</f>
        <v>kresek klin warna warni kecil</v>
      </c>
      <c r="P25834">
        <f>IF(OR(M25834="",N25834=""),"",SUMIFS('Barang Keluar'!$E:$E,'Barang Keluar'!$A:$A,M25834,'Barang Keluar'!$C:$C,N25834))</f>
        <v>0</v>
      </c>
    </row>
    <row r="25835" spans="13:16">
      <c r="M25835" s="49">
        <f>IF($A$4+258&gt;$B$4,"",$A$4+258)</f>
        <v>46281</v>
      </c>
      <c r="N25835" t="str">
        <f>IF(M25835="","",'Master Barang'!A29)</f>
        <v>PRL-028</v>
      </c>
      <c r="O25835" t="str">
        <f>IF(N25835="","",'Master Barang'!B29)</f>
        <v>ctik plastik 7x10 100 pcs</v>
      </c>
      <c r="P25835">
        <f>IF(OR(M25835="",N25835=""),"",SUMIFS('Barang Keluar'!$E:$E,'Barang Keluar'!$A:$A,M25835,'Barang Keluar'!$C:$C,N25835))</f>
        <v>0</v>
      </c>
    </row>
    <row r="25836" spans="13:16">
      <c r="M25836" s="49">
        <f>IF($A$4+258&gt;$B$4,"",$A$4+258)</f>
        <v>46281</v>
      </c>
      <c r="N25836" t="str">
        <f>IF(M25836="","",'Master Barang'!A30)</f>
        <v>PRL-029</v>
      </c>
      <c r="O25836" t="str">
        <f>IF(N25836="","",'Master Barang'!B30)</f>
        <v>ctik plastik 6x10 100 pcs</v>
      </c>
      <c r="P25836">
        <f>IF(OR(M25836="",N25836=""),"",SUMIFS('Barang Keluar'!$E:$E,'Barang Keluar'!$A:$A,M25836,'Barang Keluar'!$C:$C,N25836))</f>
        <v>0</v>
      </c>
    </row>
    <row r="25837" spans="13:16">
      <c r="M25837" s="49">
        <f>IF($A$4+258&gt;$B$4,"",$A$4+258)</f>
        <v>46281</v>
      </c>
      <c r="N25837" t="str">
        <f>IF(M25837="","",'Master Barang'!A31)</f>
        <v>PRL-030</v>
      </c>
      <c r="O25837" t="str">
        <f>IF(N25837="","",'Master Barang'!B31)</f>
        <v>klip plastik 25x16 100 pcs</v>
      </c>
      <c r="P25837">
        <f>IF(OR(M25837="",N25837=""),"",SUMIFS('Barang Keluar'!$E:$E,'Barang Keluar'!$A:$A,M25837,'Barang Keluar'!$C:$C,N25837))</f>
        <v>0</v>
      </c>
    </row>
    <row r="25838" spans="13:16">
      <c r="M25838" s="49">
        <f>IF($A$4+258&gt;$B$4,"",$A$4+258)</f>
        <v>46281</v>
      </c>
      <c r="N25838" t="str">
        <f>IF(M25838="","",'Master Barang'!A32)</f>
        <v>PRL-031</v>
      </c>
      <c r="O25838" t="str">
        <f>IF(N25838="","",'Master Barang'!B32)</f>
        <v>tempat saus 20 ml</v>
      </c>
      <c r="P25838">
        <f>IF(OR(M25838="",N25838=""),"",SUMIFS('Barang Keluar'!$E:$E,'Barang Keluar'!$A:$A,M25838,'Barang Keluar'!$C:$C,N25838))</f>
        <v>0</v>
      </c>
    </row>
    <row r="25839" spans="13:16">
      <c r="M25839" s="49">
        <f>IF($A$4+258&gt;$B$4,"",$A$4+258)</f>
        <v>46281</v>
      </c>
      <c r="N25839" t="str">
        <f>IF(M25839="","",'Master Barang'!A33)</f>
        <v>PRL-032</v>
      </c>
      <c r="O25839" t="str">
        <f>IF(N25839="","",'Master Barang'!B33)</f>
        <v>plastik packaging ag box uk sedang</v>
      </c>
      <c r="P25839">
        <f>IF(OR(M25839="",N25839=""),"",SUMIFS('Barang Keluar'!$E:$E,'Barang Keluar'!$A:$A,M25839,'Barang Keluar'!$C:$C,N25839))</f>
        <v>0</v>
      </c>
    </row>
    <row r="25840" spans="13:16">
      <c r="M25840" s="49">
        <f>IF($A$4+258&gt;$B$4,"",$A$4+258)</f>
        <v>46281</v>
      </c>
      <c r="N25840" t="str">
        <f>IF(M25840="","",'Master Barang'!A34)</f>
        <v>PRL-033</v>
      </c>
      <c r="O25840">
        <f>IF(N25840="","",'Master Barang'!B34)</f>
        <v>0</v>
      </c>
      <c r="P25840">
        <f>IF(OR(M25840="",N25840=""),"",SUMIFS('Barang Keluar'!$E:$E,'Barang Keluar'!$A:$A,M25840,'Barang Keluar'!$C:$C,N25840))</f>
        <v>0</v>
      </c>
    </row>
    <row r="25841" spans="13:16">
      <c r="M25841" s="49">
        <f>IF($A$4+258&gt;$B$4,"",$A$4+258)</f>
        <v>46281</v>
      </c>
      <c r="N25841">
        <f>IF(M25841="","",'Master Barang'!A35)</f>
        <v>0</v>
      </c>
      <c r="O25841">
        <f>IF(N25841="","",'Master Barang'!B35)</f>
        <v>0</v>
      </c>
      <c r="P25841">
        <f>IF(OR(M25841="",N25841=""),"",SUMIFS('Barang Keluar'!$E:$E,'Barang Keluar'!$A:$A,M25841,'Barang Keluar'!$C:$C,N25841))</f>
        <v>0</v>
      </c>
    </row>
    <row r="25842" spans="13:16">
      <c r="M25842" s="49">
        <f>IF($A$4+258&gt;$B$4,"",$A$4+258)</f>
        <v>46281</v>
      </c>
      <c r="N25842">
        <f>IF(M25842="","",'Master Barang'!A36)</f>
        <v>0</v>
      </c>
      <c r="O25842">
        <f>IF(N25842="","",'Master Barang'!B36)</f>
        <v>0</v>
      </c>
      <c r="P25842">
        <f>IF(OR(M25842="",N25842=""),"",SUMIFS('Barang Keluar'!$E:$E,'Barang Keluar'!$A:$A,M25842,'Barang Keluar'!$C:$C,N25842))</f>
        <v>0</v>
      </c>
    </row>
    <row r="25843" spans="13:16">
      <c r="M25843" s="49">
        <f>IF($A$4+258&gt;$B$4,"",$A$4+258)</f>
        <v>46281</v>
      </c>
      <c r="N25843">
        <f>IF(M25843="","",'Master Barang'!A37)</f>
        <v>0</v>
      </c>
      <c r="O25843">
        <f>IF(N25843="","",'Master Barang'!B37)</f>
        <v>0</v>
      </c>
      <c r="P25843">
        <f>IF(OR(M25843="",N25843=""),"",SUMIFS('Barang Keluar'!$E:$E,'Barang Keluar'!$A:$A,M25843,'Barang Keluar'!$C:$C,N25843))</f>
        <v>0</v>
      </c>
    </row>
    <row r="25844" spans="13:16">
      <c r="M25844" s="49">
        <f>IF($A$4+258&gt;$B$4,"",$A$4+258)</f>
        <v>46281</v>
      </c>
      <c r="N25844">
        <f>IF(M25844="","",'Master Barang'!A38)</f>
        <v>0</v>
      </c>
      <c r="O25844">
        <f>IF(N25844="","",'Master Barang'!B38)</f>
        <v>0</v>
      </c>
      <c r="P25844">
        <f>IF(OR(M25844="",N25844=""),"",SUMIFS('Barang Keluar'!$E:$E,'Barang Keluar'!$A:$A,M25844,'Barang Keluar'!$C:$C,N25844))</f>
        <v>0</v>
      </c>
    </row>
    <row r="25845" spans="13:16">
      <c r="M25845" s="49">
        <f>IF($A$4+258&gt;$B$4,"",$A$4+258)</f>
        <v>46281</v>
      </c>
      <c r="N25845">
        <f>IF(M25845="","",'Master Barang'!A39)</f>
        <v>0</v>
      </c>
      <c r="O25845">
        <f>IF(N25845="","",'Master Barang'!B39)</f>
        <v>0</v>
      </c>
      <c r="P25845">
        <f>IF(OR(M25845="",N25845=""),"",SUMIFS('Barang Keluar'!$E:$E,'Barang Keluar'!$A:$A,M25845,'Barang Keluar'!$C:$C,N25845))</f>
        <v>0</v>
      </c>
    </row>
    <row r="25846" spans="13:16">
      <c r="M25846" s="49">
        <f>IF($A$4+258&gt;$B$4,"",$A$4+258)</f>
        <v>46281</v>
      </c>
      <c r="N25846">
        <f>IF(M25846="","",'Master Barang'!A40)</f>
        <v>0</v>
      </c>
      <c r="O25846">
        <f>IF(N25846="","",'Master Barang'!B40)</f>
        <v>0</v>
      </c>
      <c r="P25846">
        <f>IF(OR(M25846="",N25846=""),"",SUMIFS('Barang Keluar'!$E:$E,'Barang Keluar'!$A:$A,M25846,'Barang Keluar'!$C:$C,N25846))</f>
        <v>0</v>
      </c>
    </row>
    <row r="25847" spans="13:16">
      <c r="M25847" s="49">
        <f>IF($A$4+258&gt;$B$4,"",$A$4+258)</f>
        <v>46281</v>
      </c>
      <c r="N25847">
        <f>IF(M25847="","",'Master Barang'!A41)</f>
        <v>0</v>
      </c>
      <c r="O25847">
        <f>IF(N25847="","",'Master Barang'!B41)</f>
        <v>0</v>
      </c>
      <c r="P25847">
        <f>IF(OR(M25847="",N25847=""),"",SUMIFS('Barang Keluar'!$E:$E,'Barang Keluar'!$A:$A,M25847,'Barang Keluar'!$C:$C,N25847))</f>
        <v>0</v>
      </c>
    </row>
    <row r="25848" spans="13:16">
      <c r="M25848" s="49">
        <f>IF($A$4+258&gt;$B$4,"",$A$4+258)</f>
        <v>46281</v>
      </c>
      <c r="N25848">
        <f>IF(M25848="","",'Master Barang'!A42)</f>
        <v>0</v>
      </c>
      <c r="O25848">
        <f>IF(N25848="","",'Master Barang'!B42)</f>
        <v>0</v>
      </c>
      <c r="P25848">
        <f>IF(OR(M25848="",N25848=""),"",SUMIFS('Barang Keluar'!$E:$E,'Barang Keluar'!$A:$A,M25848,'Barang Keluar'!$C:$C,N25848))</f>
        <v>0</v>
      </c>
    </row>
    <row r="25849" spans="13:16">
      <c r="M25849" s="49">
        <f>IF($A$4+258&gt;$B$4,"",$A$4+258)</f>
        <v>46281</v>
      </c>
      <c r="N25849">
        <f>IF(M25849="","",'Master Barang'!A43)</f>
        <v>0</v>
      </c>
      <c r="O25849">
        <f>IF(N25849="","",'Master Barang'!B43)</f>
        <v>0</v>
      </c>
      <c r="P25849">
        <f>IF(OR(M25849="",N25849=""),"",SUMIFS('Barang Keluar'!$E:$E,'Barang Keluar'!$A:$A,M25849,'Barang Keluar'!$C:$C,N25849))</f>
        <v>0</v>
      </c>
    </row>
    <row r="25850" spans="13:16">
      <c r="M25850" s="49">
        <f>IF($A$4+258&gt;$B$4,"",$A$4+258)</f>
        <v>46281</v>
      </c>
      <c r="N25850">
        <f>IF(M25850="","",'Master Barang'!A44)</f>
        <v>0</v>
      </c>
      <c r="O25850">
        <f>IF(N25850="","",'Master Barang'!B44)</f>
        <v>0</v>
      </c>
      <c r="P25850">
        <f>IF(OR(M25850="",N25850=""),"",SUMIFS('Barang Keluar'!$E:$E,'Barang Keluar'!$A:$A,M25850,'Barang Keluar'!$C:$C,N25850))</f>
        <v>0</v>
      </c>
    </row>
    <row r="25851" spans="13:16">
      <c r="M25851" s="49">
        <f>IF($A$4+258&gt;$B$4,"",$A$4+258)</f>
        <v>46281</v>
      </c>
      <c r="N25851">
        <f>IF(M25851="","",'Master Barang'!A45)</f>
        <v>0</v>
      </c>
      <c r="O25851">
        <f>IF(N25851="","",'Master Barang'!B45)</f>
        <v>0</v>
      </c>
      <c r="P25851">
        <f>IF(OR(M25851="",N25851=""),"",SUMIFS('Barang Keluar'!$E:$E,'Barang Keluar'!$A:$A,M25851,'Barang Keluar'!$C:$C,N25851))</f>
        <v>0</v>
      </c>
    </row>
    <row r="25852" spans="13:16">
      <c r="M25852" s="49">
        <f>IF($A$4+258&gt;$B$4,"",$A$4+258)</f>
        <v>46281</v>
      </c>
      <c r="N25852">
        <f>IF(M25852="","",'Master Barang'!A46)</f>
        <v>0</v>
      </c>
      <c r="O25852">
        <f>IF(N25852="","",'Master Barang'!B46)</f>
        <v>0</v>
      </c>
      <c r="P25852">
        <f>IF(OR(M25852="",N25852=""),"",SUMIFS('Barang Keluar'!$E:$E,'Barang Keluar'!$A:$A,M25852,'Barang Keluar'!$C:$C,N25852))</f>
        <v>0</v>
      </c>
    </row>
    <row r="25853" spans="13:16">
      <c r="M25853" s="49">
        <f>IF($A$4+258&gt;$B$4,"",$A$4+258)</f>
        <v>46281</v>
      </c>
      <c r="N25853">
        <f>IF(M25853="","",'Master Barang'!A47)</f>
        <v>0</v>
      </c>
      <c r="O25853">
        <f>IF(N25853="","",'Master Barang'!B47)</f>
        <v>0</v>
      </c>
      <c r="P25853">
        <f>IF(OR(M25853="",N25853=""),"",SUMIFS('Barang Keluar'!$E:$E,'Barang Keluar'!$A:$A,M25853,'Barang Keluar'!$C:$C,N25853))</f>
        <v>0</v>
      </c>
    </row>
    <row r="25854" spans="13:16">
      <c r="M25854" s="49">
        <f>IF($A$4+258&gt;$B$4,"",$A$4+258)</f>
        <v>46281</v>
      </c>
      <c r="N25854">
        <f>IF(M25854="","",'Master Barang'!A48)</f>
        <v>0</v>
      </c>
      <c r="O25854">
        <f>IF(N25854="","",'Master Barang'!B48)</f>
        <v>0</v>
      </c>
      <c r="P25854">
        <f>IF(OR(M25854="",N25854=""),"",SUMIFS('Barang Keluar'!$E:$E,'Barang Keluar'!$A:$A,M25854,'Barang Keluar'!$C:$C,N25854))</f>
        <v>0</v>
      </c>
    </row>
    <row r="25855" spans="13:16">
      <c r="M25855" s="49">
        <f>IF($A$4+258&gt;$B$4,"",$A$4+258)</f>
        <v>46281</v>
      </c>
      <c r="N25855">
        <f>IF(M25855="","",'Master Barang'!A49)</f>
        <v>0</v>
      </c>
      <c r="O25855">
        <f>IF(N25855="","",'Master Barang'!B49)</f>
        <v>0</v>
      </c>
      <c r="P25855">
        <f>IF(OR(M25855="",N25855=""),"",SUMIFS('Barang Keluar'!$E:$E,'Barang Keluar'!$A:$A,M25855,'Barang Keluar'!$C:$C,N25855))</f>
        <v>0</v>
      </c>
    </row>
    <row r="25856" spans="13:16">
      <c r="M25856" s="49">
        <f>IF($A$4+258&gt;$B$4,"",$A$4+258)</f>
        <v>46281</v>
      </c>
      <c r="N25856">
        <f>IF(M25856="","",'Master Barang'!A50)</f>
        <v>0</v>
      </c>
      <c r="O25856">
        <f>IF(N25856="","",'Master Barang'!B50)</f>
        <v>0</v>
      </c>
      <c r="P25856">
        <f>IF(OR(M25856="",N25856=""),"",SUMIFS('Barang Keluar'!$E:$E,'Barang Keluar'!$A:$A,M25856,'Barang Keluar'!$C:$C,N25856))</f>
        <v>0</v>
      </c>
    </row>
    <row r="25857" spans="13:16">
      <c r="M25857" s="49">
        <f>IF($A$4+258&gt;$B$4,"",$A$4+258)</f>
        <v>46281</v>
      </c>
      <c r="N25857">
        <f>IF(M25857="","",'Master Barang'!A51)</f>
        <v>0</v>
      </c>
      <c r="O25857">
        <f>IF(N25857="","",'Master Barang'!B51)</f>
        <v>0</v>
      </c>
      <c r="P25857">
        <f>IF(OR(M25857="",N25857=""),"",SUMIFS('Barang Keluar'!$E:$E,'Barang Keluar'!$A:$A,M25857,'Barang Keluar'!$C:$C,N25857))</f>
        <v>0</v>
      </c>
    </row>
    <row r="25858" spans="13:16">
      <c r="M25858" s="49">
        <f>IF($A$4+258&gt;$B$4,"",$A$4+258)</f>
        <v>46281</v>
      </c>
      <c r="N25858">
        <f>IF(M25858="","",'Master Barang'!A52)</f>
        <v>0</v>
      </c>
      <c r="O25858">
        <f>IF(N25858="","",'Master Barang'!B52)</f>
        <v>0</v>
      </c>
      <c r="P25858">
        <f>IF(OR(M25858="",N25858=""),"",SUMIFS('Barang Keluar'!$E:$E,'Barang Keluar'!$A:$A,M25858,'Barang Keluar'!$C:$C,N25858))</f>
        <v>0</v>
      </c>
    </row>
    <row r="25859" spans="13:16">
      <c r="M25859" s="49">
        <f>IF($A$4+258&gt;$B$4,"",$A$4+258)</f>
        <v>46281</v>
      </c>
      <c r="N25859">
        <f>IF(M25859="","",'Master Barang'!A53)</f>
        <v>0</v>
      </c>
      <c r="O25859">
        <f>IF(N25859="","",'Master Barang'!B53)</f>
        <v>0</v>
      </c>
      <c r="P25859">
        <f>IF(OR(M25859="",N25859=""),"",SUMIFS('Barang Keluar'!$E:$E,'Barang Keluar'!$A:$A,M25859,'Barang Keluar'!$C:$C,N25859))</f>
        <v>0</v>
      </c>
    </row>
    <row r="25860" spans="13:16">
      <c r="M25860" s="49">
        <f>IF($A$4+258&gt;$B$4,"",$A$4+258)</f>
        <v>46281</v>
      </c>
      <c r="N25860">
        <f>IF(M25860="","",'Master Barang'!A54)</f>
        <v>0</v>
      </c>
      <c r="O25860">
        <f>IF(N25860="","",'Master Barang'!B54)</f>
        <v>0</v>
      </c>
      <c r="P25860">
        <f>IF(OR(M25860="",N25860=""),"",SUMIFS('Barang Keluar'!$E:$E,'Barang Keluar'!$A:$A,M25860,'Barang Keluar'!$C:$C,N25860))</f>
        <v>0</v>
      </c>
    </row>
    <row r="25861" spans="13:16">
      <c r="M25861" s="49">
        <f>IF($A$4+258&gt;$B$4,"",$A$4+258)</f>
        <v>46281</v>
      </c>
      <c r="N25861">
        <f>IF(M25861="","",'Master Barang'!A55)</f>
        <v>0</v>
      </c>
      <c r="O25861">
        <f>IF(N25861="","",'Master Barang'!B55)</f>
        <v>0</v>
      </c>
      <c r="P25861">
        <f>IF(OR(M25861="",N25861=""),"",SUMIFS('Barang Keluar'!$E:$E,'Barang Keluar'!$A:$A,M25861,'Barang Keluar'!$C:$C,N25861))</f>
        <v>0</v>
      </c>
    </row>
    <row r="25862" spans="13:16">
      <c r="M25862" s="49">
        <f>IF($A$4+258&gt;$B$4,"",$A$4+258)</f>
        <v>46281</v>
      </c>
      <c r="N25862">
        <f>IF(M25862="","",'Master Barang'!A56)</f>
        <v>0</v>
      </c>
      <c r="O25862">
        <f>IF(N25862="","",'Master Barang'!B56)</f>
        <v>0</v>
      </c>
      <c r="P25862">
        <f>IF(OR(M25862="",N25862=""),"",SUMIFS('Barang Keluar'!$E:$E,'Barang Keluar'!$A:$A,M25862,'Barang Keluar'!$C:$C,N25862))</f>
        <v>0</v>
      </c>
    </row>
    <row r="25863" spans="13:16">
      <c r="M25863" s="49">
        <f>IF($A$4+258&gt;$B$4,"",$A$4+258)</f>
        <v>46281</v>
      </c>
      <c r="N25863">
        <f>IF(M25863="","",'Master Barang'!A57)</f>
        <v>0</v>
      </c>
      <c r="O25863">
        <f>IF(N25863="","",'Master Barang'!B57)</f>
        <v>0</v>
      </c>
      <c r="P25863">
        <f>IF(OR(M25863="",N25863=""),"",SUMIFS('Barang Keluar'!$E:$E,'Barang Keluar'!$A:$A,M25863,'Barang Keluar'!$C:$C,N25863))</f>
        <v>0</v>
      </c>
    </row>
    <row r="25864" spans="13:16">
      <c r="M25864" s="49">
        <f>IF($A$4+258&gt;$B$4,"",$A$4+258)</f>
        <v>46281</v>
      </c>
      <c r="N25864">
        <f>IF(M25864="","",'Master Barang'!A58)</f>
        <v>0</v>
      </c>
      <c r="O25864">
        <f>IF(N25864="","",'Master Barang'!B58)</f>
        <v>0</v>
      </c>
      <c r="P25864">
        <f>IF(OR(M25864="",N25864=""),"",SUMIFS('Barang Keluar'!$E:$E,'Barang Keluar'!$A:$A,M25864,'Barang Keluar'!$C:$C,N25864))</f>
        <v>0</v>
      </c>
    </row>
    <row r="25865" spans="13:16">
      <c r="M25865" s="49">
        <f>IF($A$4+258&gt;$B$4,"",$A$4+258)</f>
        <v>46281</v>
      </c>
      <c r="N25865">
        <f>IF(M25865="","",'Master Barang'!A59)</f>
        <v>0</v>
      </c>
      <c r="O25865">
        <f>IF(N25865="","",'Master Barang'!B59)</f>
        <v>0</v>
      </c>
      <c r="P25865">
        <f>IF(OR(M25865="",N25865=""),"",SUMIFS('Barang Keluar'!$E:$E,'Barang Keluar'!$A:$A,M25865,'Barang Keluar'!$C:$C,N25865))</f>
        <v>0</v>
      </c>
    </row>
    <row r="25866" spans="13:16">
      <c r="M25866" s="49">
        <f>IF($A$4+258&gt;$B$4,"",$A$4+258)</f>
        <v>46281</v>
      </c>
      <c r="N25866">
        <f>IF(M25866="","",'Master Barang'!A60)</f>
        <v>0</v>
      </c>
      <c r="O25866">
        <f>IF(N25866="","",'Master Barang'!B60)</f>
        <v>0</v>
      </c>
      <c r="P25866">
        <f>IF(OR(M25866="",N25866=""),"",SUMIFS('Barang Keluar'!$E:$E,'Barang Keluar'!$A:$A,M25866,'Barang Keluar'!$C:$C,N25866))</f>
        <v>0</v>
      </c>
    </row>
    <row r="25867" spans="13:16">
      <c r="M25867" s="49">
        <f>IF($A$4+258&gt;$B$4,"",$A$4+258)</f>
        <v>46281</v>
      </c>
      <c r="N25867">
        <f>IF(M25867="","",'Master Barang'!A61)</f>
        <v>0</v>
      </c>
      <c r="O25867">
        <f>IF(N25867="","",'Master Barang'!B61)</f>
        <v>0</v>
      </c>
      <c r="P25867">
        <f>IF(OR(M25867="",N25867=""),"",SUMIFS('Barang Keluar'!$E:$E,'Barang Keluar'!$A:$A,M25867,'Barang Keluar'!$C:$C,N25867))</f>
        <v>0</v>
      </c>
    </row>
    <row r="25868" spans="13:16">
      <c r="M25868" s="49">
        <f>IF($A$4+258&gt;$B$4,"",$A$4+258)</f>
        <v>46281</v>
      </c>
      <c r="N25868">
        <f>IF(M25868="","",'Master Barang'!A62)</f>
        <v>0</v>
      </c>
      <c r="O25868">
        <f>IF(N25868="","",'Master Barang'!B62)</f>
        <v>0</v>
      </c>
      <c r="P25868">
        <f>IF(OR(M25868="",N25868=""),"",SUMIFS('Barang Keluar'!$E:$E,'Barang Keluar'!$A:$A,M25868,'Barang Keluar'!$C:$C,N25868))</f>
        <v>0</v>
      </c>
    </row>
    <row r="25869" spans="13:16">
      <c r="M25869" s="49">
        <f>IF($A$4+258&gt;$B$4,"",$A$4+258)</f>
        <v>46281</v>
      </c>
      <c r="N25869">
        <f>IF(M25869="","",'Master Barang'!A63)</f>
        <v>0</v>
      </c>
      <c r="O25869">
        <f>IF(N25869="","",'Master Barang'!B63)</f>
        <v>0</v>
      </c>
      <c r="P25869">
        <f>IF(OR(M25869="",N25869=""),"",SUMIFS('Barang Keluar'!$E:$E,'Barang Keluar'!$A:$A,M25869,'Barang Keluar'!$C:$C,N25869))</f>
        <v>0</v>
      </c>
    </row>
    <row r="25870" spans="13:16">
      <c r="M25870" s="49">
        <f>IF($A$4+258&gt;$B$4,"",$A$4+258)</f>
        <v>46281</v>
      </c>
      <c r="N25870">
        <f>IF(M25870="","",'Master Barang'!A64)</f>
        <v>0</v>
      </c>
      <c r="O25870">
        <f>IF(N25870="","",'Master Barang'!B64)</f>
        <v>0</v>
      </c>
      <c r="P25870">
        <f>IF(OR(M25870="",N25870=""),"",SUMIFS('Barang Keluar'!$E:$E,'Barang Keluar'!$A:$A,M25870,'Barang Keluar'!$C:$C,N25870))</f>
        <v>0</v>
      </c>
    </row>
    <row r="25871" spans="13:16">
      <c r="M25871" s="49">
        <f>IF($A$4+258&gt;$B$4,"",$A$4+258)</f>
        <v>46281</v>
      </c>
      <c r="N25871">
        <f>IF(M25871="","",'Master Barang'!A65)</f>
        <v>0</v>
      </c>
      <c r="O25871">
        <f>IF(N25871="","",'Master Barang'!B65)</f>
        <v>0</v>
      </c>
      <c r="P25871">
        <f>IF(OR(M25871="",N25871=""),"",SUMIFS('Barang Keluar'!$E:$E,'Barang Keluar'!$A:$A,M25871,'Barang Keluar'!$C:$C,N25871))</f>
        <v>0</v>
      </c>
    </row>
    <row r="25872" spans="13:16">
      <c r="M25872" s="49">
        <f>IF($A$4+258&gt;$B$4,"",$A$4+258)</f>
        <v>46281</v>
      </c>
      <c r="N25872">
        <f>IF(M25872="","",'Master Barang'!A66)</f>
        <v>0</v>
      </c>
      <c r="O25872">
        <f>IF(N25872="","",'Master Barang'!B66)</f>
        <v>0</v>
      </c>
      <c r="P25872">
        <f>IF(OR(M25872="",N25872=""),"",SUMIFS('Barang Keluar'!$E:$E,'Barang Keluar'!$A:$A,M25872,'Barang Keluar'!$C:$C,N25872))</f>
        <v>0</v>
      </c>
    </row>
    <row r="25873" spans="13:16">
      <c r="M25873" s="49">
        <f>IF($A$4+258&gt;$B$4,"",$A$4+258)</f>
        <v>46281</v>
      </c>
      <c r="N25873">
        <f>IF(M25873="","",'Master Barang'!A67)</f>
        <v>0</v>
      </c>
      <c r="O25873">
        <f>IF(N25873="","",'Master Barang'!B67)</f>
        <v>0</v>
      </c>
      <c r="P25873">
        <f>IF(OR(M25873="",N25873=""),"",SUMIFS('Barang Keluar'!$E:$E,'Barang Keluar'!$A:$A,M25873,'Barang Keluar'!$C:$C,N25873))</f>
        <v>0</v>
      </c>
    </row>
    <row r="25874" spans="13:16">
      <c r="M25874" s="49">
        <f>IF($A$4+258&gt;$B$4,"",$A$4+258)</f>
        <v>46281</v>
      </c>
      <c r="N25874">
        <f>IF(M25874="","",'Master Barang'!A68)</f>
        <v>0</v>
      </c>
      <c r="O25874">
        <f>IF(N25874="","",'Master Barang'!B68)</f>
        <v>0</v>
      </c>
      <c r="P25874">
        <f>IF(OR(M25874="",N25874=""),"",SUMIFS('Barang Keluar'!$E:$E,'Barang Keluar'!$A:$A,M25874,'Barang Keluar'!$C:$C,N25874))</f>
        <v>0</v>
      </c>
    </row>
    <row r="25875" spans="13:16">
      <c r="M25875" s="49">
        <f>IF($A$4+258&gt;$B$4,"",$A$4+258)</f>
        <v>46281</v>
      </c>
      <c r="N25875">
        <f>IF(M25875="","",'Master Barang'!A69)</f>
        <v>0</v>
      </c>
      <c r="O25875">
        <f>IF(N25875="","",'Master Barang'!B69)</f>
        <v>0</v>
      </c>
      <c r="P25875">
        <f>IF(OR(M25875="",N25875=""),"",SUMIFS('Barang Keluar'!$E:$E,'Barang Keluar'!$A:$A,M25875,'Barang Keluar'!$C:$C,N25875))</f>
        <v>0</v>
      </c>
    </row>
    <row r="25876" spans="13:16">
      <c r="M25876" s="49">
        <f>IF($A$4+258&gt;$B$4,"",$A$4+258)</f>
        <v>46281</v>
      </c>
      <c r="N25876">
        <f>IF(M25876="","",'Master Barang'!A70)</f>
        <v>0</v>
      </c>
      <c r="O25876">
        <f>IF(N25876="","",'Master Barang'!B70)</f>
        <v>0</v>
      </c>
      <c r="P25876">
        <f>IF(OR(M25876="",N25876=""),"",SUMIFS('Barang Keluar'!$E:$E,'Barang Keluar'!$A:$A,M25876,'Barang Keluar'!$C:$C,N25876))</f>
        <v>0</v>
      </c>
    </row>
    <row r="25877" spans="13:16">
      <c r="M25877" s="49">
        <f>IF($A$4+258&gt;$B$4,"",$A$4+258)</f>
        <v>46281</v>
      </c>
      <c r="N25877">
        <f>IF(M25877="","",'Master Barang'!A71)</f>
        <v>0</v>
      </c>
      <c r="O25877">
        <f>IF(N25877="","",'Master Barang'!B71)</f>
        <v>0</v>
      </c>
      <c r="P25877">
        <f>IF(OR(M25877="",N25877=""),"",SUMIFS('Barang Keluar'!$E:$E,'Barang Keluar'!$A:$A,M25877,'Barang Keluar'!$C:$C,N25877))</f>
        <v>0</v>
      </c>
    </row>
    <row r="25878" spans="13:16">
      <c r="M25878" s="49">
        <f>IF($A$4+258&gt;$B$4,"",$A$4+258)</f>
        <v>46281</v>
      </c>
      <c r="N25878">
        <f>IF(M25878="","",'Master Barang'!A72)</f>
        <v>0</v>
      </c>
      <c r="O25878">
        <f>IF(N25878="","",'Master Barang'!B72)</f>
        <v>0</v>
      </c>
      <c r="P25878">
        <f>IF(OR(M25878="",N25878=""),"",SUMIFS('Barang Keluar'!$E:$E,'Barang Keluar'!$A:$A,M25878,'Barang Keluar'!$C:$C,N25878))</f>
        <v>0</v>
      </c>
    </row>
    <row r="25879" spans="13:16">
      <c r="M25879" s="49">
        <f>IF($A$4+258&gt;$B$4,"",$A$4+258)</f>
        <v>46281</v>
      </c>
      <c r="N25879">
        <f>IF(M25879="","",'Master Barang'!A73)</f>
        <v>0</v>
      </c>
      <c r="O25879">
        <f>IF(N25879="","",'Master Barang'!B73)</f>
        <v>0</v>
      </c>
      <c r="P25879">
        <f>IF(OR(M25879="",N25879=""),"",SUMIFS('Barang Keluar'!$E:$E,'Barang Keluar'!$A:$A,M25879,'Barang Keluar'!$C:$C,N25879))</f>
        <v>0</v>
      </c>
    </row>
    <row r="25880" spans="13:16">
      <c r="M25880" s="49">
        <f>IF($A$4+258&gt;$B$4,"",$A$4+258)</f>
        <v>46281</v>
      </c>
      <c r="N25880">
        <f>IF(M25880="","",'Master Barang'!A74)</f>
        <v>0</v>
      </c>
      <c r="O25880">
        <f>IF(N25880="","",'Master Barang'!B74)</f>
        <v>0</v>
      </c>
      <c r="P25880">
        <f>IF(OR(M25880="",N25880=""),"",SUMIFS('Barang Keluar'!$E:$E,'Barang Keluar'!$A:$A,M25880,'Barang Keluar'!$C:$C,N25880))</f>
        <v>0</v>
      </c>
    </row>
    <row r="25881" spans="13:16">
      <c r="M25881" s="49">
        <f>IF($A$4+258&gt;$B$4,"",$A$4+258)</f>
        <v>46281</v>
      </c>
      <c r="N25881">
        <f>IF(M25881="","",'Master Barang'!A75)</f>
        <v>0</v>
      </c>
      <c r="O25881">
        <f>IF(N25881="","",'Master Barang'!B75)</f>
        <v>0</v>
      </c>
      <c r="P25881">
        <f>IF(OR(M25881="",N25881=""),"",SUMIFS('Barang Keluar'!$E:$E,'Barang Keluar'!$A:$A,M25881,'Barang Keluar'!$C:$C,N25881))</f>
        <v>0</v>
      </c>
    </row>
    <row r="25882" spans="13:16">
      <c r="M25882" s="49">
        <f>IF($A$4+258&gt;$B$4,"",$A$4+258)</f>
        <v>46281</v>
      </c>
      <c r="N25882">
        <f>IF(M25882="","",'Master Barang'!A76)</f>
        <v>0</v>
      </c>
      <c r="O25882">
        <f>IF(N25882="","",'Master Barang'!B76)</f>
        <v>0</v>
      </c>
      <c r="P25882">
        <f>IF(OR(M25882="",N25882=""),"",SUMIFS('Barang Keluar'!$E:$E,'Barang Keluar'!$A:$A,M25882,'Barang Keluar'!$C:$C,N25882))</f>
        <v>0</v>
      </c>
    </row>
    <row r="25883" spans="13:16">
      <c r="M25883" s="49">
        <f>IF($A$4+258&gt;$B$4,"",$A$4+258)</f>
        <v>46281</v>
      </c>
      <c r="N25883">
        <f>IF(M25883="","",'Master Barang'!A77)</f>
        <v>0</v>
      </c>
      <c r="O25883">
        <f>IF(N25883="","",'Master Barang'!B77)</f>
        <v>0</v>
      </c>
      <c r="P25883">
        <f>IF(OR(M25883="",N25883=""),"",SUMIFS('Barang Keluar'!$E:$E,'Barang Keluar'!$A:$A,M25883,'Barang Keluar'!$C:$C,N25883))</f>
        <v>0</v>
      </c>
    </row>
    <row r="25884" spans="13:16">
      <c r="M25884" s="49">
        <f>IF($A$4+258&gt;$B$4,"",$A$4+258)</f>
        <v>46281</v>
      </c>
      <c r="N25884">
        <f>IF(M25884="","",'Master Barang'!A78)</f>
        <v>0</v>
      </c>
      <c r="O25884">
        <f>IF(N25884="","",'Master Barang'!B78)</f>
        <v>0</v>
      </c>
      <c r="P25884">
        <f>IF(OR(M25884="",N25884=""),"",SUMIFS('Barang Keluar'!$E:$E,'Barang Keluar'!$A:$A,M25884,'Barang Keluar'!$C:$C,N25884))</f>
        <v>0</v>
      </c>
    </row>
    <row r="25885" spans="13:16">
      <c r="M25885" s="49">
        <f>IF($A$4+258&gt;$B$4,"",$A$4+258)</f>
        <v>46281</v>
      </c>
      <c r="N25885">
        <f>IF(M25885="","",'Master Barang'!A79)</f>
        <v>0</v>
      </c>
      <c r="O25885">
        <f>IF(N25885="","",'Master Barang'!B79)</f>
        <v>0</v>
      </c>
      <c r="P25885">
        <f>IF(OR(M25885="",N25885=""),"",SUMIFS('Barang Keluar'!$E:$E,'Barang Keluar'!$A:$A,M25885,'Barang Keluar'!$C:$C,N25885))</f>
        <v>0</v>
      </c>
    </row>
    <row r="25886" spans="13:16">
      <c r="M25886" s="49">
        <f>IF($A$4+258&gt;$B$4,"",$A$4+258)</f>
        <v>46281</v>
      </c>
      <c r="N25886">
        <f>IF(M25886="","",'Master Barang'!A80)</f>
        <v>0</v>
      </c>
      <c r="O25886">
        <f>IF(N25886="","",'Master Barang'!B80)</f>
        <v>0</v>
      </c>
      <c r="P25886">
        <f>IF(OR(M25886="",N25886=""),"",SUMIFS('Barang Keluar'!$E:$E,'Barang Keluar'!$A:$A,M25886,'Barang Keluar'!$C:$C,N25886))</f>
        <v>0</v>
      </c>
    </row>
    <row r="25887" spans="13:16">
      <c r="M25887" s="49">
        <f>IF($A$4+258&gt;$B$4,"",$A$4+258)</f>
        <v>46281</v>
      </c>
      <c r="N25887">
        <f>IF(M25887="","",'Master Barang'!A81)</f>
        <v>0</v>
      </c>
      <c r="O25887">
        <f>IF(N25887="","",'Master Barang'!B81)</f>
        <v>0</v>
      </c>
      <c r="P25887">
        <f>IF(OR(M25887="",N25887=""),"",SUMIFS('Barang Keluar'!$E:$E,'Barang Keluar'!$A:$A,M25887,'Barang Keluar'!$C:$C,N25887))</f>
        <v>0</v>
      </c>
    </row>
    <row r="25888" spans="13:16">
      <c r="M25888" s="49">
        <f>IF($A$4+258&gt;$B$4,"",$A$4+258)</f>
        <v>46281</v>
      </c>
      <c r="N25888">
        <f>IF(M25888="","",'Master Barang'!A82)</f>
        <v>0</v>
      </c>
      <c r="O25888">
        <f>IF(N25888="","",'Master Barang'!B82)</f>
        <v>0</v>
      </c>
      <c r="P25888">
        <f>IF(OR(M25888="",N25888=""),"",SUMIFS('Barang Keluar'!$E:$E,'Barang Keluar'!$A:$A,M25888,'Barang Keluar'!$C:$C,N25888))</f>
        <v>0</v>
      </c>
    </row>
    <row r="25889" spans="13:16">
      <c r="M25889" s="49">
        <f>IF($A$4+258&gt;$B$4,"",$A$4+258)</f>
        <v>46281</v>
      </c>
      <c r="N25889">
        <f>IF(M25889="","",'Master Barang'!A83)</f>
        <v>0</v>
      </c>
      <c r="O25889">
        <f>IF(N25889="","",'Master Barang'!B83)</f>
        <v>0</v>
      </c>
      <c r="P25889">
        <f>IF(OR(M25889="",N25889=""),"",SUMIFS('Barang Keluar'!$E:$E,'Barang Keluar'!$A:$A,M25889,'Barang Keluar'!$C:$C,N25889))</f>
        <v>0</v>
      </c>
    </row>
    <row r="25890" spans="13:16">
      <c r="M25890" s="49">
        <f>IF($A$4+258&gt;$B$4,"",$A$4+258)</f>
        <v>46281</v>
      </c>
      <c r="N25890">
        <f>IF(M25890="","",'Master Barang'!A84)</f>
        <v>0</v>
      </c>
      <c r="O25890">
        <f>IF(N25890="","",'Master Barang'!B84)</f>
        <v>0</v>
      </c>
      <c r="P25890">
        <f>IF(OR(M25890="",N25890=""),"",SUMIFS('Barang Keluar'!$E:$E,'Barang Keluar'!$A:$A,M25890,'Barang Keluar'!$C:$C,N25890))</f>
        <v>0</v>
      </c>
    </row>
    <row r="25891" spans="13:16">
      <c r="M25891" s="49">
        <f>IF($A$4+258&gt;$B$4,"",$A$4+258)</f>
        <v>46281</v>
      </c>
      <c r="N25891">
        <f>IF(M25891="","",'Master Barang'!A85)</f>
        <v>0</v>
      </c>
      <c r="O25891">
        <f>IF(N25891="","",'Master Barang'!B85)</f>
        <v>0</v>
      </c>
      <c r="P25891">
        <f>IF(OR(M25891="",N25891=""),"",SUMIFS('Barang Keluar'!$E:$E,'Barang Keluar'!$A:$A,M25891,'Barang Keluar'!$C:$C,N25891))</f>
        <v>0</v>
      </c>
    </row>
    <row r="25892" spans="13:16">
      <c r="M25892" s="49">
        <f>IF($A$4+258&gt;$B$4,"",$A$4+258)</f>
        <v>46281</v>
      </c>
      <c r="N25892">
        <f>IF(M25892="","",'Master Barang'!A86)</f>
        <v>0</v>
      </c>
      <c r="O25892">
        <f>IF(N25892="","",'Master Barang'!B86)</f>
        <v>0</v>
      </c>
      <c r="P25892">
        <f>IF(OR(M25892="",N25892=""),"",SUMIFS('Barang Keluar'!$E:$E,'Barang Keluar'!$A:$A,M25892,'Barang Keluar'!$C:$C,N25892))</f>
        <v>0</v>
      </c>
    </row>
    <row r="25893" spans="13:16">
      <c r="M25893" s="49">
        <f>IF($A$4+258&gt;$B$4,"",$A$4+258)</f>
        <v>46281</v>
      </c>
      <c r="N25893">
        <f>IF(M25893="","",'Master Barang'!A87)</f>
        <v>0</v>
      </c>
      <c r="O25893">
        <f>IF(N25893="","",'Master Barang'!B87)</f>
        <v>0</v>
      </c>
      <c r="P25893">
        <f>IF(OR(M25893="",N25893=""),"",SUMIFS('Barang Keluar'!$E:$E,'Barang Keluar'!$A:$A,M25893,'Barang Keluar'!$C:$C,N25893))</f>
        <v>0</v>
      </c>
    </row>
    <row r="25894" spans="13:16">
      <c r="M25894" s="49">
        <f>IF($A$4+258&gt;$B$4,"",$A$4+258)</f>
        <v>46281</v>
      </c>
      <c r="N25894">
        <f>IF(M25894="","",'Master Barang'!A88)</f>
        <v>0</v>
      </c>
      <c r="O25894">
        <f>IF(N25894="","",'Master Barang'!B88)</f>
        <v>0</v>
      </c>
      <c r="P25894">
        <f>IF(OR(M25894="",N25894=""),"",SUMIFS('Barang Keluar'!$E:$E,'Barang Keluar'!$A:$A,M25894,'Barang Keluar'!$C:$C,N25894))</f>
        <v>0</v>
      </c>
    </row>
    <row r="25895" spans="13:16">
      <c r="M25895" s="49">
        <f>IF($A$4+258&gt;$B$4,"",$A$4+258)</f>
        <v>46281</v>
      </c>
      <c r="N25895">
        <f>IF(M25895="","",'Master Barang'!A89)</f>
        <v>0</v>
      </c>
      <c r="O25895">
        <f>IF(N25895="","",'Master Barang'!B89)</f>
        <v>0</v>
      </c>
      <c r="P25895">
        <f>IF(OR(M25895="",N25895=""),"",SUMIFS('Barang Keluar'!$E:$E,'Barang Keluar'!$A:$A,M25895,'Barang Keluar'!$C:$C,N25895))</f>
        <v>0</v>
      </c>
    </row>
    <row r="25896" spans="13:16">
      <c r="M25896" s="49">
        <f>IF($A$4+258&gt;$B$4,"",$A$4+258)</f>
        <v>46281</v>
      </c>
      <c r="N25896">
        <f>IF(M25896="","",'Master Barang'!A90)</f>
        <v>0</v>
      </c>
      <c r="O25896">
        <f>IF(N25896="","",'Master Barang'!B90)</f>
        <v>0</v>
      </c>
      <c r="P25896">
        <f>IF(OR(M25896="",N25896=""),"",SUMIFS('Barang Keluar'!$E:$E,'Barang Keluar'!$A:$A,M25896,'Barang Keluar'!$C:$C,N25896))</f>
        <v>0</v>
      </c>
    </row>
    <row r="25897" spans="13:16">
      <c r="M25897" s="49">
        <f>IF($A$4+258&gt;$B$4,"",$A$4+258)</f>
        <v>46281</v>
      </c>
      <c r="N25897">
        <f>IF(M25897="","",'Master Barang'!A91)</f>
        <v>0</v>
      </c>
      <c r="O25897">
        <f>IF(N25897="","",'Master Barang'!B91)</f>
        <v>0</v>
      </c>
      <c r="P25897">
        <f>IF(OR(M25897="",N25897=""),"",SUMIFS('Barang Keluar'!$E:$E,'Barang Keluar'!$A:$A,M25897,'Barang Keluar'!$C:$C,N25897))</f>
        <v>0</v>
      </c>
    </row>
    <row r="25898" spans="13:16">
      <c r="M25898" s="49">
        <f>IF($A$4+258&gt;$B$4,"",$A$4+258)</f>
        <v>46281</v>
      </c>
      <c r="N25898">
        <f>IF(M25898="","",'Master Barang'!A92)</f>
        <v>0</v>
      </c>
      <c r="O25898">
        <f>IF(N25898="","",'Master Barang'!B92)</f>
        <v>0</v>
      </c>
      <c r="P25898">
        <f>IF(OR(M25898="",N25898=""),"",SUMIFS('Barang Keluar'!$E:$E,'Barang Keluar'!$A:$A,M25898,'Barang Keluar'!$C:$C,N25898))</f>
        <v>0</v>
      </c>
    </row>
    <row r="25899" spans="13:16">
      <c r="M25899" s="49">
        <f>IF($A$4+258&gt;$B$4,"",$A$4+258)</f>
        <v>46281</v>
      </c>
      <c r="N25899">
        <f>IF(M25899="","",'Master Barang'!A93)</f>
        <v>0</v>
      </c>
      <c r="O25899">
        <f>IF(N25899="","",'Master Barang'!B93)</f>
        <v>0</v>
      </c>
      <c r="P25899">
        <f>IF(OR(M25899="",N25899=""),"",SUMIFS('Barang Keluar'!$E:$E,'Barang Keluar'!$A:$A,M25899,'Barang Keluar'!$C:$C,N25899))</f>
        <v>0</v>
      </c>
    </row>
    <row r="25900" spans="13:16">
      <c r="M25900" s="49">
        <f>IF($A$4+258&gt;$B$4,"",$A$4+258)</f>
        <v>46281</v>
      </c>
      <c r="N25900">
        <f>IF(M25900="","",'Master Barang'!A94)</f>
        <v>0</v>
      </c>
      <c r="O25900">
        <f>IF(N25900="","",'Master Barang'!B94)</f>
        <v>0</v>
      </c>
      <c r="P25900">
        <f>IF(OR(M25900="",N25900=""),"",SUMIFS('Barang Keluar'!$E:$E,'Barang Keluar'!$A:$A,M25900,'Barang Keluar'!$C:$C,N25900))</f>
        <v>0</v>
      </c>
    </row>
    <row r="25901" spans="13:16">
      <c r="M25901" s="49">
        <f>IF($A$4+258&gt;$B$4,"",$A$4+258)</f>
        <v>46281</v>
      </c>
      <c r="N25901">
        <f>IF(M25901="","",'Master Barang'!A95)</f>
        <v>0</v>
      </c>
      <c r="O25901">
        <f>IF(N25901="","",'Master Barang'!B95)</f>
        <v>0</v>
      </c>
      <c r="P25901">
        <f>IF(OR(M25901="",N25901=""),"",SUMIFS('Barang Keluar'!$E:$E,'Barang Keluar'!$A:$A,M25901,'Barang Keluar'!$C:$C,N25901))</f>
        <v>0</v>
      </c>
    </row>
    <row r="25902" spans="13:16">
      <c r="M25902" s="49">
        <f>IF($A$4+258&gt;$B$4,"",$A$4+258)</f>
        <v>46281</v>
      </c>
      <c r="N25902">
        <f>IF(M25902="","",'Master Barang'!A96)</f>
        <v>0</v>
      </c>
      <c r="O25902">
        <f>IF(N25902="","",'Master Barang'!B96)</f>
        <v>0</v>
      </c>
      <c r="P25902">
        <f>IF(OR(M25902="",N25902=""),"",SUMIFS('Barang Keluar'!$E:$E,'Barang Keluar'!$A:$A,M25902,'Barang Keluar'!$C:$C,N25902))</f>
        <v>0</v>
      </c>
    </row>
    <row r="25903" spans="13:16">
      <c r="M25903" s="49">
        <f>IF($A$4+258&gt;$B$4,"",$A$4+258)</f>
        <v>46281</v>
      </c>
      <c r="N25903">
        <f>IF(M25903="","",'Master Barang'!A97)</f>
        <v>0</v>
      </c>
      <c r="O25903">
        <f>IF(N25903="","",'Master Barang'!B97)</f>
        <v>0</v>
      </c>
      <c r="P25903">
        <f>IF(OR(M25903="",N25903=""),"",SUMIFS('Barang Keluar'!$E:$E,'Barang Keluar'!$A:$A,M25903,'Barang Keluar'!$C:$C,N25903))</f>
        <v>0</v>
      </c>
    </row>
    <row r="25904" spans="13:16">
      <c r="M25904" s="49">
        <f>IF($A$4+258&gt;$B$4,"",$A$4+258)</f>
        <v>46281</v>
      </c>
      <c r="N25904">
        <f>IF(M25904="","",'Master Barang'!A98)</f>
        <v>0</v>
      </c>
      <c r="O25904">
        <f>IF(N25904="","",'Master Barang'!B98)</f>
        <v>0</v>
      </c>
      <c r="P25904">
        <f>IF(OR(M25904="",N25904=""),"",SUMIFS('Barang Keluar'!$E:$E,'Barang Keluar'!$A:$A,M25904,'Barang Keluar'!$C:$C,N25904))</f>
        <v>0</v>
      </c>
    </row>
    <row r="25905" spans="13:16">
      <c r="M25905" s="49">
        <f>IF($A$4+258&gt;$B$4,"",$A$4+258)</f>
        <v>46281</v>
      </c>
      <c r="N25905">
        <f>IF(M25905="","",'Master Barang'!A99)</f>
        <v>0</v>
      </c>
      <c r="O25905">
        <f>IF(N25905="","",'Master Barang'!B99)</f>
        <v>0</v>
      </c>
      <c r="P25905">
        <f>IF(OR(M25905="",N25905=""),"",SUMIFS('Barang Keluar'!$E:$E,'Barang Keluar'!$A:$A,M25905,'Barang Keluar'!$C:$C,N25905))</f>
        <v>0</v>
      </c>
    </row>
    <row r="25906" spans="13:16">
      <c r="M25906" s="49">
        <f>IF($A$4+258&gt;$B$4,"",$A$4+258)</f>
        <v>46281</v>
      </c>
      <c r="N25906">
        <f>IF(M25906="","",'Master Barang'!A100)</f>
        <v>0</v>
      </c>
      <c r="O25906">
        <f>IF(N25906="","",'Master Barang'!B100)</f>
        <v>0</v>
      </c>
      <c r="P25906">
        <f>IF(OR(M25906="",N25906=""),"",SUMIFS('Barang Keluar'!$E:$E,'Barang Keluar'!$A:$A,M25906,'Barang Keluar'!$C:$C,N25906))</f>
        <v>0</v>
      </c>
    </row>
    <row r="25907" spans="13:16">
      <c r="M25907" s="49">
        <f>IF($A$4+258&gt;$B$4,"",$A$4+258)</f>
        <v>46281</v>
      </c>
      <c r="N25907">
        <f>IF(M25907="","",'Master Barang'!A101)</f>
        <v>0</v>
      </c>
      <c r="O25907">
        <f>IF(N25907="","",'Master Barang'!B101)</f>
        <v>0</v>
      </c>
      <c r="P25907">
        <f>IF(OR(M25907="",N25907=""),"",SUMIFS('Barang Keluar'!$E:$E,'Barang Keluar'!$A:$A,M25907,'Barang Keluar'!$C:$C,N25907))</f>
        <v>0</v>
      </c>
    </row>
    <row r="25908" spans="13:16">
      <c r="M25908" s="49">
        <f>IF($A$4+259&gt;$B$4,"",$A$4+259)</f>
        <v>46282</v>
      </c>
      <c r="N25908" t="str">
        <f>IF(M25908="","",'Master Barang'!A2)</f>
        <v>PRL-001</v>
      </c>
      <c r="O25908" t="str">
        <f>IF(N25908="","",'Master Barang'!B2)</f>
        <v>natura desinfectant food grade 5l</v>
      </c>
      <c r="P25908">
        <f>IF(OR(M25908="",N25908=""),"",SUMIFS('Barang Keluar'!$E:$E,'Barang Keluar'!$A:$A,M25908,'Barang Keluar'!$C:$C,N25908))</f>
        <v>0</v>
      </c>
    </row>
    <row r="25909" spans="13:16">
      <c r="M25909" s="49">
        <f>IF($A$4+259&gt;$B$4,"",$A$4+259)</f>
        <v>46282</v>
      </c>
      <c r="N25909" t="str">
        <f>IF(M25909="","",'Master Barang'!A3)</f>
        <v>PRL-002</v>
      </c>
      <c r="O25909" t="str">
        <f>IF(N25909="","",'Master Barang'!B3)</f>
        <v>sunlight cairan pencuci piring 5l</v>
      </c>
      <c r="P25909">
        <f>IF(OR(M25909="",N25909=""),"",SUMIFS('Barang Keluar'!$E:$E,'Barang Keluar'!$A:$A,M25909,'Barang Keluar'!$C:$C,N25909))</f>
        <v>0</v>
      </c>
    </row>
    <row r="25910" spans="13:16">
      <c r="M25910" s="49">
        <f>IF($A$4+259&gt;$B$4,"",$A$4+259)</f>
        <v>46282</v>
      </c>
      <c r="N25910" t="str">
        <f>IF(M25910="","",'Master Barang'!A4)</f>
        <v>PRL-003</v>
      </c>
      <c r="O25910" t="str">
        <f>IF(N25910="","",'Master Barang'!B4)</f>
        <v>oixs cleaner 1l</v>
      </c>
      <c r="P25910">
        <f>IF(OR(M25910="",N25910=""),"",SUMIFS('Barang Keluar'!$E:$E,'Barang Keluar'!$A:$A,M25910,'Barang Keluar'!$C:$C,N25910))</f>
        <v>0</v>
      </c>
    </row>
    <row r="25911" spans="13:16">
      <c r="M25911" s="49">
        <f>IF($A$4+259&gt;$B$4,"",$A$4+259)</f>
        <v>46282</v>
      </c>
      <c r="N25911" t="str">
        <f>IF(M25911="","",'Master Barang'!A5)</f>
        <v>PRL-004</v>
      </c>
      <c r="O25911" t="str">
        <f>IF(N25911="","",'Master Barang'!B5)</f>
        <v>be clean tissue serbaguna</v>
      </c>
      <c r="P25911">
        <f>IF(OR(M25911="",N25911=""),"",SUMIFS('Barang Keluar'!$E:$E,'Barang Keluar'!$A:$A,M25911,'Barang Keluar'!$C:$C,N25911))</f>
        <v>0</v>
      </c>
    </row>
    <row r="25912" spans="13:16">
      <c r="M25912" s="49">
        <f>IF($A$4+259&gt;$B$4,"",$A$4+259)</f>
        <v>46282</v>
      </c>
      <c r="N25912" t="str">
        <f>IF(M25912="","",'Master Barang'!A6)</f>
        <v>PRL-005</v>
      </c>
      <c r="O25912" t="str">
        <f>IF(N25912="","",'Master Barang'!B6)</f>
        <v>spons cuci hijau</v>
      </c>
      <c r="P25912">
        <f>IF(OR(M25912="",N25912=""),"",SUMIFS('Barang Keluar'!$E:$E,'Barang Keluar'!$A:$A,M25912,'Barang Keluar'!$C:$C,N25912))</f>
        <v>0</v>
      </c>
    </row>
    <row r="25913" spans="13:16">
      <c r="M25913" s="49">
        <f>IF($A$4+259&gt;$B$4,"",$A$4+259)</f>
        <v>46282</v>
      </c>
      <c r="N25913" t="str">
        <f>IF(M25913="","",'Master Barang'!A7)</f>
        <v>PRL-006</v>
      </c>
      <c r="O25913" t="str">
        <f>IF(N25913="","",'Master Barang'!B7)</f>
        <v>sabut cuci stainless</v>
      </c>
      <c r="P25913">
        <f>IF(OR(M25913="",N25913=""),"",SUMIFS('Barang Keluar'!$E:$E,'Barang Keluar'!$A:$A,M25913,'Barang Keluar'!$C:$C,N25913))</f>
        <v>0</v>
      </c>
    </row>
    <row r="25914" spans="13:16">
      <c r="M25914" s="49">
        <f>IF($A$4+259&gt;$B$4,"",$A$4+259)</f>
        <v>46282</v>
      </c>
      <c r="N25914" t="str">
        <f>IF(M25914="","",'Master Barang'!A8)</f>
        <v>PRL-007</v>
      </c>
      <c r="O25914" t="str">
        <f>IF(N25914="","",'Master Barang'!B8)</f>
        <v>plastik kresek besar merah 50pc</v>
      </c>
      <c r="P25914">
        <f>IF(OR(M25914="",N25914=""),"",SUMIFS('Barang Keluar'!$E:$E,'Barang Keluar'!$A:$A,M25914,'Barang Keluar'!$C:$C,N25914))</f>
        <v>0</v>
      </c>
    </row>
    <row r="25915" spans="13:16">
      <c r="M25915" s="49">
        <f>IF($A$4+259&gt;$B$4,"",$A$4+259)</f>
        <v>46282</v>
      </c>
      <c r="N25915" t="str">
        <f>IF(M25915="","",'Master Barang'!A9)</f>
        <v>PRL-008</v>
      </c>
      <c r="O25915" t="str">
        <f>IF(N25915="","",'Master Barang'!B9)</f>
        <v>lap besar</v>
      </c>
      <c r="P25915">
        <f>IF(OR(M25915="",N25915=""),"",SUMIFS('Barang Keluar'!$E:$E,'Barang Keluar'!$A:$A,M25915,'Barang Keluar'!$C:$C,N25915))</f>
        <v>0</v>
      </c>
    </row>
    <row r="25916" spans="13:16">
      <c r="M25916" s="49">
        <f>IF($A$4+259&gt;$B$4,"",$A$4+259)</f>
        <v>46282</v>
      </c>
      <c r="N25916" t="str">
        <f>IF(M25916="","",'Master Barang'!A10)</f>
        <v>PRL-009</v>
      </c>
      <c r="O25916" t="str">
        <f>IF(N25916="","",'Master Barang'!B10)</f>
        <v>lap microfiber</v>
      </c>
      <c r="P25916">
        <f>IF(OR(M25916="",N25916=""),"",SUMIFS('Barang Keluar'!$E:$E,'Barang Keluar'!$A:$A,M25916,'Barang Keluar'!$C:$C,N25916))</f>
        <v>0</v>
      </c>
    </row>
    <row r="25917" spans="13:16">
      <c r="M25917" s="49">
        <f>IF($A$4+259&gt;$B$4,"",$A$4+259)</f>
        <v>46282</v>
      </c>
      <c r="N25917" t="str">
        <f>IF(M25917="","",'Master Barang'!A11)</f>
        <v>PRL-010</v>
      </c>
      <c r="O25917" t="str">
        <f>IF(N25917="","",'Master Barang'!B11)</f>
        <v>lap kecil</v>
      </c>
      <c r="P25917">
        <f>IF(OR(M25917="",N25917=""),"",SUMIFS('Barang Keluar'!$E:$E,'Barang Keluar'!$A:$A,M25917,'Barang Keluar'!$C:$C,N25917))</f>
        <v>0</v>
      </c>
    </row>
    <row r="25918" spans="13:16">
      <c r="M25918" s="49">
        <f>IF($A$4+259&gt;$B$4,"",$A$4+259)</f>
        <v>46282</v>
      </c>
      <c r="N25918" t="str">
        <f>IF(M25918="","",'Master Barang'!A12)</f>
        <v>PRL-011</v>
      </c>
      <c r="O25918" t="str">
        <f>IF(N25918="","",'Master Barang'!B12)</f>
        <v>kanebo kecil</v>
      </c>
      <c r="P25918">
        <f>IF(OR(M25918="",N25918=""),"",SUMIFS('Barang Keluar'!$E:$E,'Barang Keluar'!$A:$A,M25918,'Barang Keluar'!$C:$C,N25918))</f>
        <v>0</v>
      </c>
    </row>
    <row r="25919" spans="13:16">
      <c r="M25919" s="49">
        <f>IF($A$4+259&gt;$B$4,"",$A$4+259)</f>
        <v>46282</v>
      </c>
      <c r="N25919" t="str">
        <f>IF(M25919="","",'Master Barang'!A13)</f>
        <v>PRL-012</v>
      </c>
      <c r="O25919" t="str">
        <f>IF(N25919="","",'Master Barang'!B13)</f>
        <v>plastik 1/4kg joyoboyo 100 lembar</v>
      </c>
      <c r="P25919">
        <f>IF(OR(M25919="",N25919=""),"",SUMIFS('Barang Keluar'!$E:$E,'Barang Keluar'!$A:$A,M25919,'Barang Keluar'!$C:$C,N25919))</f>
        <v>0</v>
      </c>
    </row>
    <row r="25920" spans="13:16">
      <c r="M25920" s="49">
        <f>IF($A$4+259&gt;$B$4,"",$A$4+259)</f>
        <v>46282</v>
      </c>
      <c r="N25920" t="str">
        <f>IF(M25920="","",'Master Barang'!A14)</f>
        <v>PRL-013</v>
      </c>
      <c r="O25920" t="str">
        <f>IF(N25920="","",'Master Barang'!B14)</f>
        <v>sarung tangan plastik kaka 100 pcs</v>
      </c>
      <c r="P25920">
        <f>IF(OR(M25920="",N25920=""),"",SUMIFS('Barang Keluar'!$E:$E,'Barang Keluar'!$A:$A,M25920,'Barang Keluar'!$C:$C,N25920))</f>
        <v>0</v>
      </c>
    </row>
    <row r="25921" spans="13:16">
      <c r="M25921" s="49">
        <f>IF($A$4+259&gt;$B$4,"",$A$4+259)</f>
        <v>46282</v>
      </c>
      <c r="N25921" t="str">
        <f>IF(M25921="","",'Master Barang'!A15)</f>
        <v>PRL-014</v>
      </c>
      <c r="O25921" t="str">
        <f>IF(N25921="","",'Master Barang'!B15)</f>
        <v>optima trashbag 80x100</v>
      </c>
      <c r="P25921">
        <f>IF(OR(M25921="",N25921=""),"",SUMIFS('Barang Keluar'!$E:$E,'Barang Keluar'!$A:$A,M25921,'Barang Keluar'!$C:$C,N25921))</f>
        <v>0</v>
      </c>
    </row>
    <row r="25922" spans="13:16">
      <c r="M25922" s="49">
        <f>IF($A$4+259&gt;$B$4,"",$A$4+259)</f>
        <v>46282</v>
      </c>
      <c r="N25922" t="str">
        <f>IF(M25922="","",'Master Barang'!A16)</f>
        <v>PRL-015</v>
      </c>
      <c r="O25922" t="str">
        <f>IF(N25922="","",'Master Barang'!B16)</f>
        <v>optima trashbag 60x100</v>
      </c>
      <c r="P25922">
        <f>IF(OR(M25922="",N25922=""),"",SUMIFS('Barang Keluar'!$E:$E,'Barang Keluar'!$A:$A,M25922,'Barang Keluar'!$C:$C,N25922))</f>
        <v>0</v>
      </c>
    </row>
    <row r="25923" spans="13:16">
      <c r="M25923" s="49">
        <f>IF($A$4+259&gt;$B$4,"",$A$4+259)</f>
        <v>46282</v>
      </c>
      <c r="N25923" t="str">
        <f>IF(M25923="","",'Master Barang'!A17)</f>
        <v>PRL-016</v>
      </c>
      <c r="O25923" t="str">
        <f>IF(N25923="","",'Master Barang'!B17)</f>
        <v>rajawali trashbag 30x40</v>
      </c>
      <c r="P25923">
        <f>IF(OR(M25923="",N25923=""),"",SUMIFS('Barang Keluar'!$E:$E,'Barang Keluar'!$A:$A,M25923,'Barang Keluar'!$C:$C,N25923))</f>
        <v>0</v>
      </c>
    </row>
    <row r="25924" spans="13:16">
      <c r="M25924" s="49">
        <f>IF($A$4+259&gt;$B$4,"",$A$4+259)</f>
        <v>46282</v>
      </c>
      <c r="N25924" t="str">
        <f>IF(M25924="","",'Master Barang'!A18)</f>
        <v>PRL-017</v>
      </c>
      <c r="O25924" t="str">
        <f>IF(N25924="","",'Master Barang'!B18)</f>
        <v>onemed masker biru 3 play 50 pcs</v>
      </c>
      <c r="P25924">
        <f>IF(OR(M25924="",N25924=""),"",SUMIFS('Barang Keluar'!$E:$E,'Barang Keluar'!$A:$A,M25924,'Barang Keluar'!$C:$C,N25924))</f>
        <v>0</v>
      </c>
    </row>
    <row r="25925" spans="13:16">
      <c r="M25925" s="49">
        <f>IF($A$4+259&gt;$B$4,"",$A$4+259)</f>
        <v>46282</v>
      </c>
      <c r="N25925" t="str">
        <f>IF(M25925="","",'Master Barang'!A19)</f>
        <v>PRL-018</v>
      </c>
      <c r="O25925" t="str">
        <f>IF(N25925="","",'Master Barang'!B19)</f>
        <v>onemed masker biru 3 play hijab 50 pcs</v>
      </c>
      <c r="P25925">
        <f>IF(OR(M25925="",N25925=""),"",SUMIFS('Barang Keluar'!$E:$E,'Barang Keluar'!$A:$A,M25925,'Barang Keluar'!$C:$C,N25925))</f>
        <v>0</v>
      </c>
    </row>
    <row r="25926" spans="13:16">
      <c r="M25926" s="49">
        <f>IF($A$4+259&gt;$B$4,"",$A$4+259)</f>
        <v>46282</v>
      </c>
      <c r="N25926" t="str">
        <f>IF(M25926="","",'Master Barang'!A20)</f>
        <v>PRL-019</v>
      </c>
      <c r="O25926" t="str">
        <f>IF(N25926="","",'Master Barang'!B20)</f>
        <v>neo health masker biru 3 play 50 pcs</v>
      </c>
      <c r="P25926">
        <f>IF(OR(M25926="",N25926=""),"",SUMIFS('Barang Keluar'!$E:$E,'Barang Keluar'!$A:$A,M25926,'Barang Keluar'!$C:$C,N25926))</f>
        <v>0</v>
      </c>
    </row>
    <row r="25927" spans="13:16">
      <c r="M25927" s="49">
        <f>IF($A$4+259&gt;$B$4,"",$A$4+259)</f>
        <v>46282</v>
      </c>
      <c r="N25927" t="str">
        <f>IF(M25927="","",'Master Barang'!A21)</f>
        <v>PRL-020</v>
      </c>
      <c r="O25927" t="str">
        <f>IF(N25927="","",'Master Barang'!B21)</f>
        <v>baymed masker hijau 3 play hijau 50 pcs</v>
      </c>
      <c r="P25927">
        <f>IF(OR(M25927="",N25927=""),"",SUMIFS('Barang Keluar'!$E:$E,'Barang Keluar'!$A:$A,M25927,'Barang Keluar'!$C:$C,N25927))</f>
        <v>0</v>
      </c>
    </row>
    <row r="25928" spans="13:16">
      <c r="M25928" s="49">
        <f>IF($A$4+259&gt;$B$4,"",$A$4+259)</f>
        <v>46282</v>
      </c>
      <c r="N25928" t="str">
        <f>IF(M25928="","",'Master Barang'!A22)</f>
        <v>PRL-021</v>
      </c>
      <c r="O25928" t="str">
        <f>IF(N25928="","",'Master Barang'!B22)</f>
        <v>altamed nurse cap penutup kepala 100 pcs</v>
      </c>
      <c r="P25928">
        <f>IF(OR(M25928="",N25928=""),"",SUMIFS('Barang Keluar'!$E:$E,'Barang Keluar'!$A:$A,M25928,'Barang Keluar'!$C:$C,N25928))</f>
        <v>0</v>
      </c>
    </row>
    <row r="25929" spans="13:16">
      <c r="M25929" s="49">
        <f>IF($A$4+259&gt;$B$4,"",$A$4+259)</f>
        <v>46282</v>
      </c>
      <c r="N25929" t="str">
        <f>IF(M25929="","",'Master Barang'!A23)</f>
        <v>PRL-022</v>
      </c>
      <c r="O25929" t="str">
        <f>IF(N25929="","",'Master Barang'!B23)</f>
        <v>sabun cuci tangan</v>
      </c>
      <c r="P25929">
        <f>IF(OR(M25929="",N25929=""),"",SUMIFS('Barang Keluar'!$E:$E,'Barang Keluar'!$A:$A,M25929,'Barang Keluar'!$C:$C,N25929))</f>
        <v>0</v>
      </c>
    </row>
    <row r="25930" spans="13:16">
      <c r="M25930" s="49">
        <f>IF($A$4+259&gt;$B$4,"",$A$4+259)</f>
        <v>46282</v>
      </c>
      <c r="N25930" t="str">
        <f>IF(M25930="","",'Master Barang'!A24)</f>
        <v>PRL-023</v>
      </c>
      <c r="O25930" t="str">
        <f>IF(N25930="","",'Master Barang'!B24)</f>
        <v>gayung kecil</v>
      </c>
      <c r="P25930">
        <f>IF(OR(M25930="",N25930=""),"",SUMIFS('Barang Keluar'!$E:$E,'Barang Keluar'!$A:$A,M25930,'Barang Keluar'!$C:$C,N25930))</f>
        <v>0</v>
      </c>
    </row>
    <row r="25931" spans="13:16">
      <c r="M25931" s="49">
        <f>IF($A$4+259&gt;$B$4,"",$A$4+259)</f>
        <v>46282</v>
      </c>
      <c r="N25931" t="str">
        <f>IF(M25931="","",'Master Barang'!A25)</f>
        <v>PRL-024</v>
      </c>
      <c r="O25931" t="str">
        <f>IF(N25931="","",'Master Barang'!B25)</f>
        <v>cikrak kecil</v>
      </c>
      <c r="P25931">
        <f>IF(OR(M25931="",N25931=""),"",SUMIFS('Barang Keluar'!$E:$E,'Barang Keluar'!$A:$A,M25931,'Barang Keluar'!$C:$C,N25931))</f>
        <v>0</v>
      </c>
    </row>
    <row r="25932" spans="13:16">
      <c r="M25932" s="49">
        <f>IF($A$4+259&gt;$B$4,"",$A$4+259)</f>
        <v>46282</v>
      </c>
      <c r="N25932" t="str">
        <f>IF(M25932="","",'Master Barang'!A26)</f>
        <v>PRL-025</v>
      </c>
      <c r="O25932" t="str">
        <f>IF(N25932="","",'Master Barang'!B26)</f>
        <v>petromax plastik kecil 12x24 100 lembar</v>
      </c>
      <c r="P25932">
        <f>IF(OR(M25932="",N25932=""),"",SUMIFS('Barang Keluar'!$E:$E,'Barang Keluar'!$A:$A,M25932,'Barang Keluar'!$C:$C,N25932))</f>
        <v>0</v>
      </c>
    </row>
    <row r="25933" spans="13:16">
      <c r="M25933" s="49">
        <f>IF($A$4+259&gt;$B$4,"",$A$4+259)</f>
        <v>46282</v>
      </c>
      <c r="N25933" t="str">
        <f>IF(M25933="","",'Master Barang'!A27)</f>
        <v>PRL-026</v>
      </c>
      <c r="O25933" t="str">
        <f>IF(N25933="","",'Master Barang'!B27)</f>
        <v>lancar kresek kecil bening </v>
      </c>
      <c r="P25933">
        <f>IF(OR(M25933="",N25933=""),"",SUMIFS('Barang Keluar'!$E:$E,'Barang Keluar'!$A:$A,M25933,'Barang Keluar'!$C:$C,N25933))</f>
        <v>0</v>
      </c>
    </row>
    <row r="25934" spans="13:16">
      <c r="M25934" s="49">
        <f>IF($A$4+259&gt;$B$4,"",$A$4+259)</f>
        <v>46282</v>
      </c>
      <c r="N25934" t="str">
        <f>IF(M25934="","",'Master Barang'!A28)</f>
        <v>PRL-027</v>
      </c>
      <c r="O25934" t="str">
        <f>IF(N25934="","",'Master Barang'!B28)</f>
        <v>kresek klin warna warni kecil</v>
      </c>
      <c r="P25934">
        <f>IF(OR(M25934="",N25934=""),"",SUMIFS('Barang Keluar'!$E:$E,'Barang Keluar'!$A:$A,M25934,'Barang Keluar'!$C:$C,N25934))</f>
        <v>0</v>
      </c>
    </row>
    <row r="25935" spans="13:16">
      <c r="M25935" s="49">
        <f>IF($A$4+259&gt;$B$4,"",$A$4+259)</f>
        <v>46282</v>
      </c>
      <c r="N25935" t="str">
        <f>IF(M25935="","",'Master Barang'!A29)</f>
        <v>PRL-028</v>
      </c>
      <c r="O25935" t="str">
        <f>IF(N25935="","",'Master Barang'!B29)</f>
        <v>ctik plastik 7x10 100 pcs</v>
      </c>
      <c r="P25935">
        <f>IF(OR(M25935="",N25935=""),"",SUMIFS('Barang Keluar'!$E:$E,'Barang Keluar'!$A:$A,M25935,'Barang Keluar'!$C:$C,N25935))</f>
        <v>0</v>
      </c>
    </row>
    <row r="25936" spans="13:16">
      <c r="M25936" s="49">
        <f>IF($A$4+259&gt;$B$4,"",$A$4+259)</f>
        <v>46282</v>
      </c>
      <c r="N25936" t="str">
        <f>IF(M25936="","",'Master Barang'!A30)</f>
        <v>PRL-029</v>
      </c>
      <c r="O25936" t="str">
        <f>IF(N25936="","",'Master Barang'!B30)</f>
        <v>ctik plastik 6x10 100 pcs</v>
      </c>
      <c r="P25936">
        <f>IF(OR(M25936="",N25936=""),"",SUMIFS('Barang Keluar'!$E:$E,'Barang Keluar'!$A:$A,M25936,'Barang Keluar'!$C:$C,N25936))</f>
        <v>0</v>
      </c>
    </row>
    <row r="25937" spans="13:16">
      <c r="M25937" s="49">
        <f>IF($A$4+259&gt;$B$4,"",$A$4+259)</f>
        <v>46282</v>
      </c>
      <c r="N25937" t="str">
        <f>IF(M25937="","",'Master Barang'!A31)</f>
        <v>PRL-030</v>
      </c>
      <c r="O25937" t="str">
        <f>IF(N25937="","",'Master Barang'!B31)</f>
        <v>klip plastik 25x16 100 pcs</v>
      </c>
      <c r="P25937">
        <f>IF(OR(M25937="",N25937=""),"",SUMIFS('Barang Keluar'!$E:$E,'Barang Keluar'!$A:$A,M25937,'Barang Keluar'!$C:$C,N25937))</f>
        <v>0</v>
      </c>
    </row>
    <row r="25938" spans="13:16">
      <c r="M25938" s="49">
        <f>IF($A$4+259&gt;$B$4,"",$A$4+259)</f>
        <v>46282</v>
      </c>
      <c r="N25938" t="str">
        <f>IF(M25938="","",'Master Barang'!A32)</f>
        <v>PRL-031</v>
      </c>
      <c r="O25938" t="str">
        <f>IF(N25938="","",'Master Barang'!B32)</f>
        <v>tempat saus 20 ml</v>
      </c>
      <c r="P25938">
        <f>IF(OR(M25938="",N25938=""),"",SUMIFS('Barang Keluar'!$E:$E,'Barang Keluar'!$A:$A,M25938,'Barang Keluar'!$C:$C,N25938))</f>
        <v>0</v>
      </c>
    </row>
    <row r="25939" spans="13:16">
      <c r="M25939" s="49">
        <f>IF($A$4+259&gt;$B$4,"",$A$4+259)</f>
        <v>46282</v>
      </c>
      <c r="N25939" t="str">
        <f>IF(M25939="","",'Master Barang'!A33)</f>
        <v>PRL-032</v>
      </c>
      <c r="O25939" t="str">
        <f>IF(N25939="","",'Master Barang'!B33)</f>
        <v>plastik packaging ag box uk sedang</v>
      </c>
      <c r="P25939">
        <f>IF(OR(M25939="",N25939=""),"",SUMIFS('Barang Keluar'!$E:$E,'Barang Keluar'!$A:$A,M25939,'Barang Keluar'!$C:$C,N25939))</f>
        <v>0</v>
      </c>
    </row>
    <row r="25940" spans="13:16">
      <c r="M25940" s="49">
        <f>IF($A$4+259&gt;$B$4,"",$A$4+259)</f>
        <v>46282</v>
      </c>
      <c r="N25940" t="str">
        <f>IF(M25940="","",'Master Barang'!A34)</f>
        <v>PRL-033</v>
      </c>
      <c r="O25940">
        <f>IF(N25940="","",'Master Barang'!B34)</f>
        <v>0</v>
      </c>
      <c r="P25940">
        <f>IF(OR(M25940="",N25940=""),"",SUMIFS('Barang Keluar'!$E:$E,'Barang Keluar'!$A:$A,M25940,'Barang Keluar'!$C:$C,N25940))</f>
        <v>0</v>
      </c>
    </row>
    <row r="25941" spans="13:16">
      <c r="M25941" s="49">
        <f>IF($A$4+259&gt;$B$4,"",$A$4+259)</f>
        <v>46282</v>
      </c>
      <c r="N25941">
        <f>IF(M25941="","",'Master Barang'!A35)</f>
        <v>0</v>
      </c>
      <c r="O25941">
        <f>IF(N25941="","",'Master Barang'!B35)</f>
        <v>0</v>
      </c>
      <c r="P25941">
        <f>IF(OR(M25941="",N25941=""),"",SUMIFS('Barang Keluar'!$E:$E,'Barang Keluar'!$A:$A,M25941,'Barang Keluar'!$C:$C,N25941))</f>
        <v>0</v>
      </c>
    </row>
    <row r="25942" spans="13:16">
      <c r="M25942" s="49">
        <f>IF($A$4+259&gt;$B$4,"",$A$4+259)</f>
        <v>46282</v>
      </c>
      <c r="N25942">
        <f>IF(M25942="","",'Master Barang'!A36)</f>
        <v>0</v>
      </c>
      <c r="O25942">
        <f>IF(N25942="","",'Master Barang'!B36)</f>
        <v>0</v>
      </c>
      <c r="P25942">
        <f>IF(OR(M25942="",N25942=""),"",SUMIFS('Barang Keluar'!$E:$E,'Barang Keluar'!$A:$A,M25942,'Barang Keluar'!$C:$C,N25942))</f>
        <v>0</v>
      </c>
    </row>
    <row r="25943" spans="13:16">
      <c r="M25943" s="49">
        <f>IF($A$4+259&gt;$B$4,"",$A$4+259)</f>
        <v>46282</v>
      </c>
      <c r="N25943">
        <f>IF(M25943="","",'Master Barang'!A37)</f>
        <v>0</v>
      </c>
      <c r="O25943">
        <f>IF(N25943="","",'Master Barang'!B37)</f>
        <v>0</v>
      </c>
      <c r="P25943">
        <f>IF(OR(M25943="",N25943=""),"",SUMIFS('Barang Keluar'!$E:$E,'Barang Keluar'!$A:$A,M25943,'Barang Keluar'!$C:$C,N25943))</f>
        <v>0</v>
      </c>
    </row>
    <row r="25944" spans="13:16">
      <c r="M25944" s="49">
        <f>IF($A$4+259&gt;$B$4,"",$A$4+259)</f>
        <v>46282</v>
      </c>
      <c r="N25944">
        <f>IF(M25944="","",'Master Barang'!A38)</f>
        <v>0</v>
      </c>
      <c r="O25944">
        <f>IF(N25944="","",'Master Barang'!B38)</f>
        <v>0</v>
      </c>
      <c r="P25944">
        <f>IF(OR(M25944="",N25944=""),"",SUMIFS('Barang Keluar'!$E:$E,'Barang Keluar'!$A:$A,M25944,'Barang Keluar'!$C:$C,N25944))</f>
        <v>0</v>
      </c>
    </row>
    <row r="25945" spans="13:16">
      <c r="M25945" s="49">
        <f>IF($A$4+259&gt;$B$4,"",$A$4+259)</f>
        <v>46282</v>
      </c>
      <c r="N25945">
        <f>IF(M25945="","",'Master Barang'!A39)</f>
        <v>0</v>
      </c>
      <c r="O25945">
        <f>IF(N25945="","",'Master Barang'!B39)</f>
        <v>0</v>
      </c>
      <c r="P25945">
        <f>IF(OR(M25945="",N25945=""),"",SUMIFS('Barang Keluar'!$E:$E,'Barang Keluar'!$A:$A,M25945,'Barang Keluar'!$C:$C,N25945))</f>
        <v>0</v>
      </c>
    </row>
    <row r="25946" spans="13:16">
      <c r="M25946" s="49">
        <f>IF($A$4+259&gt;$B$4,"",$A$4+259)</f>
        <v>46282</v>
      </c>
      <c r="N25946">
        <f>IF(M25946="","",'Master Barang'!A40)</f>
        <v>0</v>
      </c>
      <c r="O25946">
        <f>IF(N25946="","",'Master Barang'!B40)</f>
        <v>0</v>
      </c>
      <c r="P25946">
        <f>IF(OR(M25946="",N25946=""),"",SUMIFS('Barang Keluar'!$E:$E,'Barang Keluar'!$A:$A,M25946,'Barang Keluar'!$C:$C,N25946))</f>
        <v>0</v>
      </c>
    </row>
    <row r="25947" spans="13:16">
      <c r="M25947" s="49">
        <f>IF($A$4+259&gt;$B$4,"",$A$4+259)</f>
        <v>46282</v>
      </c>
      <c r="N25947">
        <f>IF(M25947="","",'Master Barang'!A41)</f>
        <v>0</v>
      </c>
      <c r="O25947">
        <f>IF(N25947="","",'Master Barang'!B41)</f>
        <v>0</v>
      </c>
      <c r="P25947">
        <f>IF(OR(M25947="",N25947=""),"",SUMIFS('Barang Keluar'!$E:$E,'Barang Keluar'!$A:$A,M25947,'Barang Keluar'!$C:$C,N25947))</f>
        <v>0</v>
      </c>
    </row>
    <row r="25948" spans="13:16">
      <c r="M25948" s="49">
        <f>IF($A$4+259&gt;$B$4,"",$A$4+259)</f>
        <v>46282</v>
      </c>
      <c r="N25948">
        <f>IF(M25948="","",'Master Barang'!A42)</f>
        <v>0</v>
      </c>
      <c r="O25948">
        <f>IF(N25948="","",'Master Barang'!B42)</f>
        <v>0</v>
      </c>
      <c r="P25948">
        <f>IF(OR(M25948="",N25948=""),"",SUMIFS('Barang Keluar'!$E:$E,'Barang Keluar'!$A:$A,M25948,'Barang Keluar'!$C:$C,N25948))</f>
        <v>0</v>
      </c>
    </row>
    <row r="25949" spans="13:16">
      <c r="M25949" s="49">
        <f>IF($A$4+259&gt;$B$4,"",$A$4+259)</f>
        <v>46282</v>
      </c>
      <c r="N25949">
        <f>IF(M25949="","",'Master Barang'!A43)</f>
        <v>0</v>
      </c>
      <c r="O25949">
        <f>IF(N25949="","",'Master Barang'!B43)</f>
        <v>0</v>
      </c>
      <c r="P25949">
        <f>IF(OR(M25949="",N25949=""),"",SUMIFS('Barang Keluar'!$E:$E,'Barang Keluar'!$A:$A,M25949,'Barang Keluar'!$C:$C,N25949))</f>
        <v>0</v>
      </c>
    </row>
    <row r="25950" spans="13:16">
      <c r="M25950" s="49">
        <f>IF($A$4+259&gt;$B$4,"",$A$4+259)</f>
        <v>46282</v>
      </c>
      <c r="N25950">
        <f>IF(M25950="","",'Master Barang'!A44)</f>
        <v>0</v>
      </c>
      <c r="O25950">
        <f>IF(N25950="","",'Master Barang'!B44)</f>
        <v>0</v>
      </c>
      <c r="P25950">
        <f>IF(OR(M25950="",N25950=""),"",SUMIFS('Barang Keluar'!$E:$E,'Barang Keluar'!$A:$A,M25950,'Barang Keluar'!$C:$C,N25950))</f>
        <v>0</v>
      </c>
    </row>
    <row r="25951" spans="13:16">
      <c r="M25951" s="49">
        <f>IF($A$4+259&gt;$B$4,"",$A$4+259)</f>
        <v>46282</v>
      </c>
      <c r="N25951">
        <f>IF(M25951="","",'Master Barang'!A45)</f>
        <v>0</v>
      </c>
      <c r="O25951">
        <f>IF(N25951="","",'Master Barang'!B45)</f>
        <v>0</v>
      </c>
      <c r="P25951">
        <f>IF(OR(M25951="",N25951=""),"",SUMIFS('Barang Keluar'!$E:$E,'Barang Keluar'!$A:$A,M25951,'Barang Keluar'!$C:$C,N25951))</f>
        <v>0</v>
      </c>
    </row>
    <row r="25952" spans="13:16">
      <c r="M25952" s="49">
        <f>IF($A$4+259&gt;$B$4,"",$A$4+259)</f>
        <v>46282</v>
      </c>
      <c r="N25952">
        <f>IF(M25952="","",'Master Barang'!A46)</f>
        <v>0</v>
      </c>
      <c r="O25952">
        <f>IF(N25952="","",'Master Barang'!B46)</f>
        <v>0</v>
      </c>
      <c r="P25952">
        <f>IF(OR(M25952="",N25952=""),"",SUMIFS('Barang Keluar'!$E:$E,'Barang Keluar'!$A:$A,M25952,'Barang Keluar'!$C:$C,N25952))</f>
        <v>0</v>
      </c>
    </row>
    <row r="25953" spans="13:16">
      <c r="M25953" s="49">
        <f>IF($A$4+259&gt;$B$4,"",$A$4+259)</f>
        <v>46282</v>
      </c>
      <c r="N25953">
        <f>IF(M25953="","",'Master Barang'!A47)</f>
        <v>0</v>
      </c>
      <c r="O25953">
        <f>IF(N25953="","",'Master Barang'!B47)</f>
        <v>0</v>
      </c>
      <c r="P25953">
        <f>IF(OR(M25953="",N25953=""),"",SUMIFS('Barang Keluar'!$E:$E,'Barang Keluar'!$A:$A,M25953,'Barang Keluar'!$C:$C,N25953))</f>
        <v>0</v>
      </c>
    </row>
    <row r="25954" spans="13:16">
      <c r="M25954" s="49">
        <f>IF($A$4+259&gt;$B$4,"",$A$4+259)</f>
        <v>46282</v>
      </c>
      <c r="N25954">
        <f>IF(M25954="","",'Master Barang'!A48)</f>
        <v>0</v>
      </c>
      <c r="O25954">
        <f>IF(N25954="","",'Master Barang'!B48)</f>
        <v>0</v>
      </c>
      <c r="P25954">
        <f>IF(OR(M25954="",N25954=""),"",SUMIFS('Barang Keluar'!$E:$E,'Barang Keluar'!$A:$A,M25954,'Barang Keluar'!$C:$C,N25954))</f>
        <v>0</v>
      </c>
    </row>
    <row r="25955" spans="13:16">
      <c r="M25955" s="49">
        <f>IF($A$4+259&gt;$B$4,"",$A$4+259)</f>
        <v>46282</v>
      </c>
      <c r="N25955">
        <f>IF(M25955="","",'Master Barang'!A49)</f>
        <v>0</v>
      </c>
      <c r="O25955">
        <f>IF(N25955="","",'Master Barang'!B49)</f>
        <v>0</v>
      </c>
      <c r="P25955">
        <f>IF(OR(M25955="",N25955=""),"",SUMIFS('Barang Keluar'!$E:$E,'Barang Keluar'!$A:$A,M25955,'Barang Keluar'!$C:$C,N25955))</f>
        <v>0</v>
      </c>
    </row>
    <row r="25956" spans="13:16">
      <c r="M25956" s="49">
        <f>IF($A$4+259&gt;$B$4,"",$A$4+259)</f>
        <v>46282</v>
      </c>
      <c r="N25956">
        <f>IF(M25956="","",'Master Barang'!A50)</f>
        <v>0</v>
      </c>
      <c r="O25956">
        <f>IF(N25956="","",'Master Barang'!B50)</f>
        <v>0</v>
      </c>
      <c r="P25956">
        <f>IF(OR(M25956="",N25956=""),"",SUMIFS('Barang Keluar'!$E:$E,'Barang Keluar'!$A:$A,M25956,'Barang Keluar'!$C:$C,N25956))</f>
        <v>0</v>
      </c>
    </row>
    <row r="25957" spans="13:16">
      <c r="M25957" s="49">
        <f>IF($A$4+259&gt;$B$4,"",$A$4+259)</f>
        <v>46282</v>
      </c>
      <c r="N25957">
        <f>IF(M25957="","",'Master Barang'!A51)</f>
        <v>0</v>
      </c>
      <c r="O25957">
        <f>IF(N25957="","",'Master Barang'!B51)</f>
        <v>0</v>
      </c>
      <c r="P25957">
        <f>IF(OR(M25957="",N25957=""),"",SUMIFS('Barang Keluar'!$E:$E,'Barang Keluar'!$A:$A,M25957,'Barang Keluar'!$C:$C,N25957))</f>
        <v>0</v>
      </c>
    </row>
    <row r="25958" spans="13:16">
      <c r="M25958" s="49">
        <f>IF($A$4+259&gt;$B$4,"",$A$4+259)</f>
        <v>46282</v>
      </c>
      <c r="N25958">
        <f>IF(M25958="","",'Master Barang'!A52)</f>
        <v>0</v>
      </c>
      <c r="O25958">
        <f>IF(N25958="","",'Master Barang'!B52)</f>
        <v>0</v>
      </c>
      <c r="P25958">
        <f>IF(OR(M25958="",N25958=""),"",SUMIFS('Barang Keluar'!$E:$E,'Barang Keluar'!$A:$A,M25958,'Barang Keluar'!$C:$C,N25958))</f>
        <v>0</v>
      </c>
    </row>
    <row r="25959" spans="13:16">
      <c r="M25959" s="49">
        <f>IF($A$4+259&gt;$B$4,"",$A$4+259)</f>
        <v>46282</v>
      </c>
      <c r="N25959">
        <f>IF(M25959="","",'Master Barang'!A53)</f>
        <v>0</v>
      </c>
      <c r="O25959">
        <f>IF(N25959="","",'Master Barang'!B53)</f>
        <v>0</v>
      </c>
      <c r="P25959">
        <f>IF(OR(M25959="",N25959=""),"",SUMIFS('Barang Keluar'!$E:$E,'Barang Keluar'!$A:$A,M25959,'Barang Keluar'!$C:$C,N25959))</f>
        <v>0</v>
      </c>
    </row>
    <row r="25960" spans="13:16">
      <c r="M25960" s="49">
        <f>IF($A$4+259&gt;$B$4,"",$A$4+259)</f>
        <v>46282</v>
      </c>
      <c r="N25960">
        <f>IF(M25960="","",'Master Barang'!A54)</f>
        <v>0</v>
      </c>
      <c r="O25960">
        <f>IF(N25960="","",'Master Barang'!B54)</f>
        <v>0</v>
      </c>
      <c r="P25960">
        <f>IF(OR(M25960="",N25960=""),"",SUMIFS('Barang Keluar'!$E:$E,'Barang Keluar'!$A:$A,M25960,'Barang Keluar'!$C:$C,N25960))</f>
        <v>0</v>
      </c>
    </row>
    <row r="25961" spans="13:16">
      <c r="M25961" s="49">
        <f>IF($A$4+259&gt;$B$4,"",$A$4+259)</f>
        <v>46282</v>
      </c>
      <c r="N25961">
        <f>IF(M25961="","",'Master Barang'!A55)</f>
        <v>0</v>
      </c>
      <c r="O25961">
        <f>IF(N25961="","",'Master Barang'!B55)</f>
        <v>0</v>
      </c>
      <c r="P25961">
        <f>IF(OR(M25961="",N25961=""),"",SUMIFS('Barang Keluar'!$E:$E,'Barang Keluar'!$A:$A,M25961,'Barang Keluar'!$C:$C,N25961))</f>
        <v>0</v>
      </c>
    </row>
    <row r="25962" spans="13:16">
      <c r="M25962" s="49">
        <f>IF($A$4+259&gt;$B$4,"",$A$4+259)</f>
        <v>46282</v>
      </c>
      <c r="N25962">
        <f>IF(M25962="","",'Master Barang'!A56)</f>
        <v>0</v>
      </c>
      <c r="O25962">
        <f>IF(N25962="","",'Master Barang'!B56)</f>
        <v>0</v>
      </c>
      <c r="P25962">
        <f>IF(OR(M25962="",N25962=""),"",SUMIFS('Barang Keluar'!$E:$E,'Barang Keluar'!$A:$A,M25962,'Barang Keluar'!$C:$C,N25962))</f>
        <v>0</v>
      </c>
    </row>
    <row r="25963" spans="13:16">
      <c r="M25963" s="49">
        <f>IF($A$4+259&gt;$B$4,"",$A$4+259)</f>
        <v>46282</v>
      </c>
      <c r="N25963">
        <f>IF(M25963="","",'Master Barang'!A57)</f>
        <v>0</v>
      </c>
      <c r="O25963">
        <f>IF(N25963="","",'Master Barang'!B57)</f>
        <v>0</v>
      </c>
      <c r="P25963">
        <f>IF(OR(M25963="",N25963=""),"",SUMIFS('Barang Keluar'!$E:$E,'Barang Keluar'!$A:$A,M25963,'Barang Keluar'!$C:$C,N25963))</f>
        <v>0</v>
      </c>
    </row>
    <row r="25964" spans="13:16">
      <c r="M25964" s="49">
        <f>IF($A$4+259&gt;$B$4,"",$A$4+259)</f>
        <v>46282</v>
      </c>
      <c r="N25964">
        <f>IF(M25964="","",'Master Barang'!A58)</f>
        <v>0</v>
      </c>
      <c r="O25964">
        <f>IF(N25964="","",'Master Barang'!B58)</f>
        <v>0</v>
      </c>
      <c r="P25964">
        <f>IF(OR(M25964="",N25964=""),"",SUMIFS('Barang Keluar'!$E:$E,'Barang Keluar'!$A:$A,M25964,'Barang Keluar'!$C:$C,N25964))</f>
        <v>0</v>
      </c>
    </row>
    <row r="25965" spans="13:16">
      <c r="M25965" s="49">
        <f>IF($A$4+259&gt;$B$4,"",$A$4+259)</f>
        <v>46282</v>
      </c>
      <c r="N25965">
        <f>IF(M25965="","",'Master Barang'!A59)</f>
        <v>0</v>
      </c>
      <c r="O25965">
        <f>IF(N25965="","",'Master Barang'!B59)</f>
        <v>0</v>
      </c>
      <c r="P25965">
        <f>IF(OR(M25965="",N25965=""),"",SUMIFS('Barang Keluar'!$E:$E,'Barang Keluar'!$A:$A,M25965,'Barang Keluar'!$C:$C,N25965))</f>
        <v>0</v>
      </c>
    </row>
    <row r="25966" spans="13:16">
      <c r="M25966" s="49">
        <f>IF($A$4+259&gt;$B$4,"",$A$4+259)</f>
        <v>46282</v>
      </c>
      <c r="N25966">
        <f>IF(M25966="","",'Master Barang'!A60)</f>
        <v>0</v>
      </c>
      <c r="O25966">
        <f>IF(N25966="","",'Master Barang'!B60)</f>
        <v>0</v>
      </c>
      <c r="P25966">
        <f>IF(OR(M25966="",N25966=""),"",SUMIFS('Barang Keluar'!$E:$E,'Barang Keluar'!$A:$A,M25966,'Barang Keluar'!$C:$C,N25966))</f>
        <v>0</v>
      </c>
    </row>
    <row r="25967" spans="13:16">
      <c r="M25967" s="49">
        <f>IF($A$4+259&gt;$B$4,"",$A$4+259)</f>
        <v>46282</v>
      </c>
      <c r="N25967">
        <f>IF(M25967="","",'Master Barang'!A61)</f>
        <v>0</v>
      </c>
      <c r="O25967">
        <f>IF(N25967="","",'Master Barang'!B61)</f>
        <v>0</v>
      </c>
      <c r="P25967">
        <f>IF(OR(M25967="",N25967=""),"",SUMIFS('Barang Keluar'!$E:$E,'Barang Keluar'!$A:$A,M25967,'Barang Keluar'!$C:$C,N25967))</f>
        <v>0</v>
      </c>
    </row>
    <row r="25968" spans="13:16">
      <c r="M25968" s="49">
        <f>IF($A$4+259&gt;$B$4,"",$A$4+259)</f>
        <v>46282</v>
      </c>
      <c r="N25968">
        <f>IF(M25968="","",'Master Barang'!A62)</f>
        <v>0</v>
      </c>
      <c r="O25968">
        <f>IF(N25968="","",'Master Barang'!B62)</f>
        <v>0</v>
      </c>
      <c r="P25968">
        <f>IF(OR(M25968="",N25968=""),"",SUMIFS('Barang Keluar'!$E:$E,'Barang Keluar'!$A:$A,M25968,'Barang Keluar'!$C:$C,N25968))</f>
        <v>0</v>
      </c>
    </row>
    <row r="25969" spans="13:16">
      <c r="M25969" s="49">
        <f>IF($A$4+259&gt;$B$4,"",$A$4+259)</f>
        <v>46282</v>
      </c>
      <c r="N25969">
        <f>IF(M25969="","",'Master Barang'!A63)</f>
        <v>0</v>
      </c>
      <c r="O25969">
        <f>IF(N25969="","",'Master Barang'!B63)</f>
        <v>0</v>
      </c>
      <c r="P25969">
        <f>IF(OR(M25969="",N25969=""),"",SUMIFS('Barang Keluar'!$E:$E,'Barang Keluar'!$A:$A,M25969,'Barang Keluar'!$C:$C,N25969))</f>
        <v>0</v>
      </c>
    </row>
    <row r="25970" spans="13:16">
      <c r="M25970" s="49">
        <f>IF($A$4+259&gt;$B$4,"",$A$4+259)</f>
        <v>46282</v>
      </c>
      <c r="N25970">
        <f>IF(M25970="","",'Master Barang'!A64)</f>
        <v>0</v>
      </c>
      <c r="O25970">
        <f>IF(N25970="","",'Master Barang'!B64)</f>
        <v>0</v>
      </c>
      <c r="P25970">
        <f>IF(OR(M25970="",N25970=""),"",SUMIFS('Barang Keluar'!$E:$E,'Barang Keluar'!$A:$A,M25970,'Barang Keluar'!$C:$C,N25970))</f>
        <v>0</v>
      </c>
    </row>
    <row r="25971" spans="13:16">
      <c r="M25971" s="49">
        <f>IF($A$4+259&gt;$B$4,"",$A$4+259)</f>
        <v>46282</v>
      </c>
      <c r="N25971">
        <f>IF(M25971="","",'Master Barang'!A65)</f>
        <v>0</v>
      </c>
      <c r="O25971">
        <f>IF(N25971="","",'Master Barang'!B65)</f>
        <v>0</v>
      </c>
      <c r="P25971">
        <f>IF(OR(M25971="",N25971=""),"",SUMIFS('Barang Keluar'!$E:$E,'Barang Keluar'!$A:$A,M25971,'Barang Keluar'!$C:$C,N25971))</f>
        <v>0</v>
      </c>
    </row>
    <row r="25972" spans="13:16">
      <c r="M25972" s="49">
        <f>IF($A$4+259&gt;$B$4,"",$A$4+259)</f>
        <v>46282</v>
      </c>
      <c r="N25972">
        <f>IF(M25972="","",'Master Barang'!A66)</f>
        <v>0</v>
      </c>
      <c r="O25972">
        <f>IF(N25972="","",'Master Barang'!B66)</f>
        <v>0</v>
      </c>
      <c r="P25972">
        <f>IF(OR(M25972="",N25972=""),"",SUMIFS('Barang Keluar'!$E:$E,'Barang Keluar'!$A:$A,M25972,'Barang Keluar'!$C:$C,N25972))</f>
        <v>0</v>
      </c>
    </row>
    <row r="25973" spans="13:16">
      <c r="M25973" s="49">
        <f>IF($A$4+259&gt;$B$4,"",$A$4+259)</f>
        <v>46282</v>
      </c>
      <c r="N25973">
        <f>IF(M25973="","",'Master Barang'!A67)</f>
        <v>0</v>
      </c>
      <c r="O25973">
        <f>IF(N25973="","",'Master Barang'!B67)</f>
        <v>0</v>
      </c>
      <c r="P25973">
        <f>IF(OR(M25973="",N25973=""),"",SUMIFS('Barang Keluar'!$E:$E,'Barang Keluar'!$A:$A,M25973,'Barang Keluar'!$C:$C,N25973))</f>
        <v>0</v>
      </c>
    </row>
    <row r="25974" spans="13:16">
      <c r="M25974" s="49">
        <f>IF($A$4+259&gt;$B$4,"",$A$4+259)</f>
        <v>46282</v>
      </c>
      <c r="N25974">
        <f>IF(M25974="","",'Master Barang'!A68)</f>
        <v>0</v>
      </c>
      <c r="O25974">
        <f>IF(N25974="","",'Master Barang'!B68)</f>
        <v>0</v>
      </c>
      <c r="P25974">
        <f>IF(OR(M25974="",N25974=""),"",SUMIFS('Barang Keluar'!$E:$E,'Barang Keluar'!$A:$A,M25974,'Barang Keluar'!$C:$C,N25974))</f>
        <v>0</v>
      </c>
    </row>
    <row r="25975" spans="13:16">
      <c r="M25975" s="49">
        <f>IF($A$4+259&gt;$B$4,"",$A$4+259)</f>
        <v>46282</v>
      </c>
      <c r="N25975">
        <f>IF(M25975="","",'Master Barang'!A69)</f>
        <v>0</v>
      </c>
      <c r="O25975">
        <f>IF(N25975="","",'Master Barang'!B69)</f>
        <v>0</v>
      </c>
      <c r="P25975">
        <f>IF(OR(M25975="",N25975=""),"",SUMIFS('Barang Keluar'!$E:$E,'Barang Keluar'!$A:$A,M25975,'Barang Keluar'!$C:$C,N25975))</f>
        <v>0</v>
      </c>
    </row>
    <row r="25976" spans="13:16">
      <c r="M25976" s="49">
        <f>IF($A$4+259&gt;$B$4,"",$A$4+259)</f>
        <v>46282</v>
      </c>
      <c r="N25976">
        <f>IF(M25976="","",'Master Barang'!A70)</f>
        <v>0</v>
      </c>
      <c r="O25976">
        <f>IF(N25976="","",'Master Barang'!B70)</f>
        <v>0</v>
      </c>
      <c r="P25976">
        <f>IF(OR(M25976="",N25976=""),"",SUMIFS('Barang Keluar'!$E:$E,'Barang Keluar'!$A:$A,M25976,'Barang Keluar'!$C:$C,N25976))</f>
        <v>0</v>
      </c>
    </row>
    <row r="25977" spans="13:16">
      <c r="M25977" s="49">
        <f>IF($A$4+259&gt;$B$4,"",$A$4+259)</f>
        <v>46282</v>
      </c>
      <c r="N25977">
        <f>IF(M25977="","",'Master Barang'!A71)</f>
        <v>0</v>
      </c>
      <c r="O25977">
        <f>IF(N25977="","",'Master Barang'!B71)</f>
        <v>0</v>
      </c>
      <c r="P25977">
        <f>IF(OR(M25977="",N25977=""),"",SUMIFS('Barang Keluar'!$E:$E,'Barang Keluar'!$A:$A,M25977,'Barang Keluar'!$C:$C,N25977))</f>
        <v>0</v>
      </c>
    </row>
    <row r="25978" spans="13:16">
      <c r="M25978" s="49">
        <f>IF($A$4+259&gt;$B$4,"",$A$4+259)</f>
        <v>46282</v>
      </c>
      <c r="N25978">
        <f>IF(M25978="","",'Master Barang'!A72)</f>
        <v>0</v>
      </c>
      <c r="O25978">
        <f>IF(N25978="","",'Master Barang'!B72)</f>
        <v>0</v>
      </c>
      <c r="P25978">
        <f>IF(OR(M25978="",N25978=""),"",SUMIFS('Barang Keluar'!$E:$E,'Barang Keluar'!$A:$A,M25978,'Barang Keluar'!$C:$C,N25978))</f>
        <v>0</v>
      </c>
    </row>
    <row r="25979" spans="13:16">
      <c r="M25979" s="49">
        <f>IF($A$4+259&gt;$B$4,"",$A$4+259)</f>
        <v>46282</v>
      </c>
      <c r="N25979">
        <f>IF(M25979="","",'Master Barang'!A73)</f>
        <v>0</v>
      </c>
      <c r="O25979">
        <f>IF(N25979="","",'Master Barang'!B73)</f>
        <v>0</v>
      </c>
      <c r="P25979">
        <f>IF(OR(M25979="",N25979=""),"",SUMIFS('Barang Keluar'!$E:$E,'Barang Keluar'!$A:$A,M25979,'Barang Keluar'!$C:$C,N25979))</f>
        <v>0</v>
      </c>
    </row>
    <row r="25980" spans="13:16">
      <c r="M25980" s="49">
        <f>IF($A$4+259&gt;$B$4,"",$A$4+259)</f>
        <v>46282</v>
      </c>
      <c r="N25980">
        <f>IF(M25980="","",'Master Barang'!A74)</f>
        <v>0</v>
      </c>
      <c r="O25980">
        <f>IF(N25980="","",'Master Barang'!B74)</f>
        <v>0</v>
      </c>
      <c r="P25980">
        <f>IF(OR(M25980="",N25980=""),"",SUMIFS('Barang Keluar'!$E:$E,'Barang Keluar'!$A:$A,M25980,'Barang Keluar'!$C:$C,N25980))</f>
        <v>0</v>
      </c>
    </row>
    <row r="25981" spans="13:16">
      <c r="M25981" s="49">
        <f>IF($A$4+259&gt;$B$4,"",$A$4+259)</f>
        <v>46282</v>
      </c>
      <c r="N25981">
        <f>IF(M25981="","",'Master Barang'!A75)</f>
        <v>0</v>
      </c>
      <c r="O25981">
        <f>IF(N25981="","",'Master Barang'!B75)</f>
        <v>0</v>
      </c>
      <c r="P25981">
        <f>IF(OR(M25981="",N25981=""),"",SUMIFS('Barang Keluar'!$E:$E,'Barang Keluar'!$A:$A,M25981,'Barang Keluar'!$C:$C,N25981))</f>
        <v>0</v>
      </c>
    </row>
    <row r="25982" spans="13:16">
      <c r="M25982" s="49">
        <f>IF($A$4+259&gt;$B$4,"",$A$4+259)</f>
        <v>46282</v>
      </c>
      <c r="N25982">
        <f>IF(M25982="","",'Master Barang'!A76)</f>
        <v>0</v>
      </c>
      <c r="O25982">
        <f>IF(N25982="","",'Master Barang'!B76)</f>
        <v>0</v>
      </c>
      <c r="P25982">
        <f>IF(OR(M25982="",N25982=""),"",SUMIFS('Barang Keluar'!$E:$E,'Barang Keluar'!$A:$A,M25982,'Barang Keluar'!$C:$C,N25982))</f>
        <v>0</v>
      </c>
    </row>
    <row r="25983" spans="13:16">
      <c r="M25983" s="49">
        <f>IF($A$4+259&gt;$B$4,"",$A$4+259)</f>
        <v>46282</v>
      </c>
      <c r="N25983">
        <f>IF(M25983="","",'Master Barang'!A77)</f>
        <v>0</v>
      </c>
      <c r="O25983">
        <f>IF(N25983="","",'Master Barang'!B77)</f>
        <v>0</v>
      </c>
      <c r="P25983">
        <f>IF(OR(M25983="",N25983=""),"",SUMIFS('Barang Keluar'!$E:$E,'Barang Keluar'!$A:$A,M25983,'Barang Keluar'!$C:$C,N25983))</f>
        <v>0</v>
      </c>
    </row>
    <row r="25984" spans="13:16">
      <c r="M25984" s="49">
        <f>IF($A$4+259&gt;$B$4,"",$A$4+259)</f>
        <v>46282</v>
      </c>
      <c r="N25984">
        <f>IF(M25984="","",'Master Barang'!A78)</f>
        <v>0</v>
      </c>
      <c r="O25984">
        <f>IF(N25984="","",'Master Barang'!B78)</f>
        <v>0</v>
      </c>
      <c r="P25984">
        <f>IF(OR(M25984="",N25984=""),"",SUMIFS('Barang Keluar'!$E:$E,'Barang Keluar'!$A:$A,M25984,'Barang Keluar'!$C:$C,N25984))</f>
        <v>0</v>
      </c>
    </row>
    <row r="25985" spans="13:16">
      <c r="M25985" s="49">
        <f>IF($A$4+259&gt;$B$4,"",$A$4+259)</f>
        <v>46282</v>
      </c>
      <c r="N25985">
        <f>IF(M25985="","",'Master Barang'!A79)</f>
        <v>0</v>
      </c>
      <c r="O25985">
        <f>IF(N25985="","",'Master Barang'!B79)</f>
        <v>0</v>
      </c>
      <c r="P25985">
        <f>IF(OR(M25985="",N25985=""),"",SUMIFS('Barang Keluar'!$E:$E,'Barang Keluar'!$A:$A,M25985,'Barang Keluar'!$C:$C,N25985))</f>
        <v>0</v>
      </c>
    </row>
    <row r="25986" spans="13:16">
      <c r="M25986" s="49">
        <f>IF($A$4+259&gt;$B$4,"",$A$4+259)</f>
        <v>46282</v>
      </c>
      <c r="N25986">
        <f>IF(M25986="","",'Master Barang'!A80)</f>
        <v>0</v>
      </c>
      <c r="O25986">
        <f>IF(N25986="","",'Master Barang'!B80)</f>
        <v>0</v>
      </c>
      <c r="P25986">
        <f>IF(OR(M25986="",N25986=""),"",SUMIFS('Barang Keluar'!$E:$E,'Barang Keluar'!$A:$A,M25986,'Barang Keluar'!$C:$C,N25986))</f>
        <v>0</v>
      </c>
    </row>
    <row r="25987" spans="13:16">
      <c r="M25987" s="49">
        <f>IF($A$4+259&gt;$B$4,"",$A$4+259)</f>
        <v>46282</v>
      </c>
      <c r="N25987">
        <f>IF(M25987="","",'Master Barang'!A81)</f>
        <v>0</v>
      </c>
      <c r="O25987">
        <f>IF(N25987="","",'Master Barang'!B81)</f>
        <v>0</v>
      </c>
      <c r="P25987">
        <f>IF(OR(M25987="",N25987=""),"",SUMIFS('Barang Keluar'!$E:$E,'Barang Keluar'!$A:$A,M25987,'Barang Keluar'!$C:$C,N25987))</f>
        <v>0</v>
      </c>
    </row>
    <row r="25988" spans="13:16">
      <c r="M25988" s="49">
        <f>IF($A$4+259&gt;$B$4,"",$A$4+259)</f>
        <v>46282</v>
      </c>
      <c r="N25988">
        <f>IF(M25988="","",'Master Barang'!A82)</f>
        <v>0</v>
      </c>
      <c r="O25988">
        <f>IF(N25988="","",'Master Barang'!B82)</f>
        <v>0</v>
      </c>
      <c r="P25988">
        <f>IF(OR(M25988="",N25988=""),"",SUMIFS('Barang Keluar'!$E:$E,'Barang Keluar'!$A:$A,M25988,'Barang Keluar'!$C:$C,N25988))</f>
        <v>0</v>
      </c>
    </row>
    <row r="25989" spans="13:16">
      <c r="M25989" s="49">
        <f>IF($A$4+259&gt;$B$4,"",$A$4+259)</f>
        <v>46282</v>
      </c>
      <c r="N25989">
        <f>IF(M25989="","",'Master Barang'!A83)</f>
        <v>0</v>
      </c>
      <c r="O25989">
        <f>IF(N25989="","",'Master Barang'!B83)</f>
        <v>0</v>
      </c>
      <c r="P25989">
        <f>IF(OR(M25989="",N25989=""),"",SUMIFS('Barang Keluar'!$E:$E,'Barang Keluar'!$A:$A,M25989,'Barang Keluar'!$C:$C,N25989))</f>
        <v>0</v>
      </c>
    </row>
    <row r="25990" spans="13:16">
      <c r="M25990" s="49">
        <f>IF($A$4+259&gt;$B$4,"",$A$4+259)</f>
        <v>46282</v>
      </c>
      <c r="N25990">
        <f>IF(M25990="","",'Master Barang'!A84)</f>
        <v>0</v>
      </c>
      <c r="O25990">
        <f>IF(N25990="","",'Master Barang'!B84)</f>
        <v>0</v>
      </c>
      <c r="P25990">
        <f>IF(OR(M25990="",N25990=""),"",SUMIFS('Barang Keluar'!$E:$E,'Barang Keluar'!$A:$A,M25990,'Barang Keluar'!$C:$C,N25990))</f>
        <v>0</v>
      </c>
    </row>
    <row r="25991" spans="13:16">
      <c r="M25991" s="49">
        <f>IF($A$4+259&gt;$B$4,"",$A$4+259)</f>
        <v>46282</v>
      </c>
      <c r="N25991">
        <f>IF(M25991="","",'Master Barang'!A85)</f>
        <v>0</v>
      </c>
      <c r="O25991">
        <f>IF(N25991="","",'Master Barang'!B85)</f>
        <v>0</v>
      </c>
      <c r="P25991">
        <f>IF(OR(M25991="",N25991=""),"",SUMIFS('Barang Keluar'!$E:$E,'Barang Keluar'!$A:$A,M25991,'Barang Keluar'!$C:$C,N25991))</f>
        <v>0</v>
      </c>
    </row>
    <row r="25992" spans="13:16">
      <c r="M25992" s="49">
        <f>IF($A$4+259&gt;$B$4,"",$A$4+259)</f>
        <v>46282</v>
      </c>
      <c r="N25992">
        <f>IF(M25992="","",'Master Barang'!A86)</f>
        <v>0</v>
      </c>
      <c r="O25992">
        <f>IF(N25992="","",'Master Barang'!B86)</f>
        <v>0</v>
      </c>
      <c r="P25992">
        <f>IF(OR(M25992="",N25992=""),"",SUMIFS('Barang Keluar'!$E:$E,'Barang Keluar'!$A:$A,M25992,'Barang Keluar'!$C:$C,N25992))</f>
        <v>0</v>
      </c>
    </row>
    <row r="25993" spans="13:16">
      <c r="M25993" s="49">
        <f>IF($A$4+259&gt;$B$4,"",$A$4+259)</f>
        <v>46282</v>
      </c>
      <c r="N25993">
        <f>IF(M25993="","",'Master Barang'!A87)</f>
        <v>0</v>
      </c>
      <c r="O25993">
        <f>IF(N25993="","",'Master Barang'!B87)</f>
        <v>0</v>
      </c>
      <c r="P25993">
        <f>IF(OR(M25993="",N25993=""),"",SUMIFS('Barang Keluar'!$E:$E,'Barang Keluar'!$A:$A,M25993,'Barang Keluar'!$C:$C,N25993))</f>
        <v>0</v>
      </c>
    </row>
    <row r="25994" spans="13:16">
      <c r="M25994" s="49">
        <f>IF($A$4+259&gt;$B$4,"",$A$4+259)</f>
        <v>46282</v>
      </c>
      <c r="N25994">
        <f>IF(M25994="","",'Master Barang'!A88)</f>
        <v>0</v>
      </c>
      <c r="O25994">
        <f>IF(N25994="","",'Master Barang'!B88)</f>
        <v>0</v>
      </c>
      <c r="P25994">
        <f>IF(OR(M25994="",N25994=""),"",SUMIFS('Barang Keluar'!$E:$E,'Barang Keluar'!$A:$A,M25994,'Barang Keluar'!$C:$C,N25994))</f>
        <v>0</v>
      </c>
    </row>
    <row r="25995" spans="13:16">
      <c r="M25995" s="49">
        <f>IF($A$4+259&gt;$B$4,"",$A$4+259)</f>
        <v>46282</v>
      </c>
      <c r="N25995">
        <f>IF(M25995="","",'Master Barang'!A89)</f>
        <v>0</v>
      </c>
      <c r="O25995">
        <f>IF(N25995="","",'Master Barang'!B89)</f>
        <v>0</v>
      </c>
      <c r="P25995">
        <f>IF(OR(M25995="",N25995=""),"",SUMIFS('Barang Keluar'!$E:$E,'Barang Keluar'!$A:$A,M25995,'Barang Keluar'!$C:$C,N25995))</f>
        <v>0</v>
      </c>
    </row>
    <row r="25996" spans="13:16">
      <c r="M25996" s="49">
        <f>IF($A$4+259&gt;$B$4,"",$A$4+259)</f>
        <v>46282</v>
      </c>
      <c r="N25996">
        <f>IF(M25996="","",'Master Barang'!A90)</f>
        <v>0</v>
      </c>
      <c r="O25996">
        <f>IF(N25996="","",'Master Barang'!B90)</f>
        <v>0</v>
      </c>
      <c r="P25996">
        <f>IF(OR(M25996="",N25996=""),"",SUMIFS('Barang Keluar'!$E:$E,'Barang Keluar'!$A:$A,M25996,'Barang Keluar'!$C:$C,N25996))</f>
        <v>0</v>
      </c>
    </row>
    <row r="25997" spans="13:16">
      <c r="M25997" s="49">
        <f>IF($A$4+259&gt;$B$4,"",$A$4+259)</f>
        <v>46282</v>
      </c>
      <c r="N25997">
        <f>IF(M25997="","",'Master Barang'!A91)</f>
        <v>0</v>
      </c>
      <c r="O25997">
        <f>IF(N25997="","",'Master Barang'!B91)</f>
        <v>0</v>
      </c>
      <c r="P25997">
        <f>IF(OR(M25997="",N25997=""),"",SUMIFS('Barang Keluar'!$E:$E,'Barang Keluar'!$A:$A,M25997,'Barang Keluar'!$C:$C,N25997))</f>
        <v>0</v>
      </c>
    </row>
    <row r="25998" spans="13:16">
      <c r="M25998" s="49">
        <f>IF($A$4+259&gt;$B$4,"",$A$4+259)</f>
        <v>46282</v>
      </c>
      <c r="N25998">
        <f>IF(M25998="","",'Master Barang'!A92)</f>
        <v>0</v>
      </c>
      <c r="O25998">
        <f>IF(N25998="","",'Master Barang'!B92)</f>
        <v>0</v>
      </c>
      <c r="P25998">
        <f>IF(OR(M25998="",N25998=""),"",SUMIFS('Barang Keluar'!$E:$E,'Barang Keluar'!$A:$A,M25998,'Barang Keluar'!$C:$C,N25998))</f>
        <v>0</v>
      </c>
    </row>
    <row r="25999" spans="13:16">
      <c r="M25999" s="49">
        <f>IF($A$4+259&gt;$B$4,"",$A$4+259)</f>
        <v>46282</v>
      </c>
      <c r="N25999">
        <f>IF(M25999="","",'Master Barang'!A93)</f>
        <v>0</v>
      </c>
      <c r="O25999">
        <f>IF(N25999="","",'Master Barang'!B93)</f>
        <v>0</v>
      </c>
      <c r="P25999">
        <f>IF(OR(M25999="",N25999=""),"",SUMIFS('Barang Keluar'!$E:$E,'Barang Keluar'!$A:$A,M25999,'Barang Keluar'!$C:$C,N25999))</f>
        <v>0</v>
      </c>
    </row>
    <row r="26000" spans="13:16">
      <c r="M26000" s="49">
        <f>IF($A$4+259&gt;$B$4,"",$A$4+259)</f>
        <v>46282</v>
      </c>
      <c r="N26000">
        <f>IF(M26000="","",'Master Barang'!A94)</f>
        <v>0</v>
      </c>
      <c r="O26000">
        <f>IF(N26000="","",'Master Barang'!B94)</f>
        <v>0</v>
      </c>
      <c r="P26000">
        <f>IF(OR(M26000="",N26000=""),"",SUMIFS('Barang Keluar'!$E:$E,'Barang Keluar'!$A:$A,M26000,'Barang Keluar'!$C:$C,N26000))</f>
        <v>0</v>
      </c>
    </row>
    <row r="26001" spans="13:16">
      <c r="M26001" s="49">
        <f>IF($A$4+259&gt;$B$4,"",$A$4+259)</f>
        <v>46282</v>
      </c>
      <c r="N26001">
        <f>IF(M26001="","",'Master Barang'!A95)</f>
        <v>0</v>
      </c>
      <c r="O26001">
        <f>IF(N26001="","",'Master Barang'!B95)</f>
        <v>0</v>
      </c>
      <c r="P26001">
        <f>IF(OR(M26001="",N26001=""),"",SUMIFS('Barang Keluar'!$E:$E,'Barang Keluar'!$A:$A,M26001,'Barang Keluar'!$C:$C,N26001))</f>
        <v>0</v>
      </c>
    </row>
    <row r="26002" spans="13:16">
      <c r="M26002" s="49">
        <f>IF($A$4+259&gt;$B$4,"",$A$4+259)</f>
        <v>46282</v>
      </c>
      <c r="N26002">
        <f>IF(M26002="","",'Master Barang'!A96)</f>
        <v>0</v>
      </c>
      <c r="O26002">
        <f>IF(N26002="","",'Master Barang'!B96)</f>
        <v>0</v>
      </c>
      <c r="P26002">
        <f>IF(OR(M26002="",N26002=""),"",SUMIFS('Barang Keluar'!$E:$E,'Barang Keluar'!$A:$A,M26002,'Barang Keluar'!$C:$C,N26002))</f>
        <v>0</v>
      </c>
    </row>
    <row r="26003" spans="13:16">
      <c r="M26003" s="49">
        <f>IF($A$4+259&gt;$B$4,"",$A$4+259)</f>
        <v>46282</v>
      </c>
      <c r="N26003">
        <f>IF(M26003="","",'Master Barang'!A97)</f>
        <v>0</v>
      </c>
      <c r="O26003">
        <f>IF(N26003="","",'Master Barang'!B97)</f>
        <v>0</v>
      </c>
      <c r="P26003">
        <f>IF(OR(M26003="",N26003=""),"",SUMIFS('Barang Keluar'!$E:$E,'Barang Keluar'!$A:$A,M26003,'Barang Keluar'!$C:$C,N26003))</f>
        <v>0</v>
      </c>
    </row>
    <row r="26004" spans="13:16">
      <c r="M26004" s="49">
        <f>IF($A$4+259&gt;$B$4,"",$A$4+259)</f>
        <v>46282</v>
      </c>
      <c r="N26004">
        <f>IF(M26004="","",'Master Barang'!A98)</f>
        <v>0</v>
      </c>
      <c r="O26004">
        <f>IF(N26004="","",'Master Barang'!B98)</f>
        <v>0</v>
      </c>
      <c r="P26004">
        <f>IF(OR(M26004="",N26004=""),"",SUMIFS('Barang Keluar'!$E:$E,'Barang Keluar'!$A:$A,M26004,'Barang Keluar'!$C:$C,N26004))</f>
        <v>0</v>
      </c>
    </row>
    <row r="26005" spans="13:16">
      <c r="M26005" s="49">
        <f>IF($A$4+259&gt;$B$4,"",$A$4+259)</f>
        <v>46282</v>
      </c>
      <c r="N26005">
        <f>IF(M26005="","",'Master Barang'!A99)</f>
        <v>0</v>
      </c>
      <c r="O26005">
        <f>IF(N26005="","",'Master Barang'!B99)</f>
        <v>0</v>
      </c>
      <c r="P26005">
        <f>IF(OR(M26005="",N26005=""),"",SUMIFS('Barang Keluar'!$E:$E,'Barang Keluar'!$A:$A,M26005,'Barang Keluar'!$C:$C,N26005))</f>
        <v>0</v>
      </c>
    </row>
    <row r="26006" spans="13:16">
      <c r="M26006" s="49">
        <f>IF($A$4+259&gt;$B$4,"",$A$4+259)</f>
        <v>46282</v>
      </c>
      <c r="N26006">
        <f>IF(M26006="","",'Master Barang'!A100)</f>
        <v>0</v>
      </c>
      <c r="O26006">
        <f>IF(N26006="","",'Master Barang'!B100)</f>
        <v>0</v>
      </c>
      <c r="P26006">
        <f>IF(OR(M26006="",N26006=""),"",SUMIFS('Barang Keluar'!$E:$E,'Barang Keluar'!$A:$A,M26006,'Barang Keluar'!$C:$C,N26006))</f>
        <v>0</v>
      </c>
    </row>
    <row r="26007" spans="13:16">
      <c r="M26007" s="49">
        <f>IF($A$4+259&gt;$B$4,"",$A$4+259)</f>
        <v>46282</v>
      </c>
      <c r="N26007">
        <f>IF(M26007="","",'Master Barang'!A101)</f>
        <v>0</v>
      </c>
      <c r="O26007">
        <f>IF(N26007="","",'Master Barang'!B101)</f>
        <v>0</v>
      </c>
      <c r="P26007">
        <f>IF(OR(M26007="",N26007=""),"",SUMIFS('Barang Keluar'!$E:$E,'Barang Keluar'!$A:$A,M26007,'Barang Keluar'!$C:$C,N26007))</f>
        <v>0</v>
      </c>
    </row>
    <row r="26008" spans="13:16">
      <c r="M26008" s="49">
        <f>IF($A$4+260&gt;$B$4,"",$A$4+260)</f>
        <v>46283</v>
      </c>
      <c r="N26008" t="str">
        <f>IF(M26008="","",'Master Barang'!A2)</f>
        <v>PRL-001</v>
      </c>
      <c r="O26008" t="str">
        <f>IF(N26008="","",'Master Barang'!B2)</f>
        <v>natura desinfectant food grade 5l</v>
      </c>
      <c r="P26008">
        <f>IF(OR(M26008="",N26008=""),"",SUMIFS('Barang Keluar'!$E:$E,'Barang Keluar'!$A:$A,M26008,'Barang Keluar'!$C:$C,N26008))</f>
        <v>0</v>
      </c>
    </row>
    <row r="26009" spans="13:16">
      <c r="M26009" s="49">
        <f>IF($A$4+260&gt;$B$4,"",$A$4+260)</f>
        <v>46283</v>
      </c>
      <c r="N26009" t="str">
        <f>IF(M26009="","",'Master Barang'!A3)</f>
        <v>PRL-002</v>
      </c>
      <c r="O26009" t="str">
        <f>IF(N26009="","",'Master Barang'!B3)</f>
        <v>sunlight cairan pencuci piring 5l</v>
      </c>
      <c r="P26009">
        <f>IF(OR(M26009="",N26009=""),"",SUMIFS('Barang Keluar'!$E:$E,'Barang Keluar'!$A:$A,M26009,'Barang Keluar'!$C:$C,N26009))</f>
        <v>0</v>
      </c>
    </row>
    <row r="26010" spans="13:16">
      <c r="M26010" s="49">
        <f>IF($A$4+260&gt;$B$4,"",$A$4+260)</f>
        <v>46283</v>
      </c>
      <c r="N26010" t="str">
        <f>IF(M26010="","",'Master Barang'!A4)</f>
        <v>PRL-003</v>
      </c>
      <c r="O26010" t="str">
        <f>IF(N26010="","",'Master Barang'!B4)</f>
        <v>oixs cleaner 1l</v>
      </c>
      <c r="P26010">
        <f>IF(OR(M26010="",N26010=""),"",SUMIFS('Barang Keluar'!$E:$E,'Barang Keluar'!$A:$A,M26010,'Barang Keluar'!$C:$C,N26010))</f>
        <v>0</v>
      </c>
    </row>
    <row r="26011" spans="13:16">
      <c r="M26011" s="49">
        <f>IF($A$4+260&gt;$B$4,"",$A$4+260)</f>
        <v>46283</v>
      </c>
      <c r="N26011" t="str">
        <f>IF(M26011="","",'Master Barang'!A5)</f>
        <v>PRL-004</v>
      </c>
      <c r="O26011" t="str">
        <f>IF(N26011="","",'Master Barang'!B5)</f>
        <v>be clean tissue serbaguna</v>
      </c>
      <c r="P26011">
        <f>IF(OR(M26011="",N26011=""),"",SUMIFS('Barang Keluar'!$E:$E,'Barang Keluar'!$A:$A,M26011,'Barang Keluar'!$C:$C,N26011))</f>
        <v>0</v>
      </c>
    </row>
    <row r="26012" spans="13:16">
      <c r="M26012" s="49">
        <f>IF($A$4+260&gt;$B$4,"",$A$4+260)</f>
        <v>46283</v>
      </c>
      <c r="N26012" t="str">
        <f>IF(M26012="","",'Master Barang'!A6)</f>
        <v>PRL-005</v>
      </c>
      <c r="O26012" t="str">
        <f>IF(N26012="","",'Master Barang'!B6)</f>
        <v>spons cuci hijau</v>
      </c>
      <c r="P26012">
        <f>IF(OR(M26012="",N26012=""),"",SUMIFS('Barang Keluar'!$E:$E,'Barang Keluar'!$A:$A,M26012,'Barang Keluar'!$C:$C,N26012))</f>
        <v>0</v>
      </c>
    </row>
    <row r="26013" spans="13:16">
      <c r="M26013" s="49">
        <f>IF($A$4+260&gt;$B$4,"",$A$4+260)</f>
        <v>46283</v>
      </c>
      <c r="N26013" t="str">
        <f>IF(M26013="","",'Master Barang'!A7)</f>
        <v>PRL-006</v>
      </c>
      <c r="O26013" t="str">
        <f>IF(N26013="","",'Master Barang'!B7)</f>
        <v>sabut cuci stainless</v>
      </c>
      <c r="P26013">
        <f>IF(OR(M26013="",N26013=""),"",SUMIFS('Barang Keluar'!$E:$E,'Barang Keluar'!$A:$A,M26013,'Barang Keluar'!$C:$C,N26013))</f>
        <v>0</v>
      </c>
    </row>
    <row r="26014" spans="13:16">
      <c r="M26014" s="49">
        <f>IF($A$4+260&gt;$B$4,"",$A$4+260)</f>
        <v>46283</v>
      </c>
      <c r="N26014" t="str">
        <f>IF(M26014="","",'Master Barang'!A8)</f>
        <v>PRL-007</v>
      </c>
      <c r="O26014" t="str">
        <f>IF(N26014="","",'Master Barang'!B8)</f>
        <v>plastik kresek besar merah 50pc</v>
      </c>
      <c r="P26014">
        <f>IF(OR(M26014="",N26014=""),"",SUMIFS('Barang Keluar'!$E:$E,'Barang Keluar'!$A:$A,M26014,'Barang Keluar'!$C:$C,N26014))</f>
        <v>0</v>
      </c>
    </row>
    <row r="26015" spans="13:16">
      <c r="M26015" s="49">
        <f>IF($A$4+260&gt;$B$4,"",$A$4+260)</f>
        <v>46283</v>
      </c>
      <c r="N26015" t="str">
        <f>IF(M26015="","",'Master Barang'!A9)</f>
        <v>PRL-008</v>
      </c>
      <c r="O26015" t="str">
        <f>IF(N26015="","",'Master Barang'!B9)</f>
        <v>lap besar</v>
      </c>
      <c r="P26015">
        <f>IF(OR(M26015="",N26015=""),"",SUMIFS('Barang Keluar'!$E:$E,'Barang Keluar'!$A:$A,M26015,'Barang Keluar'!$C:$C,N26015))</f>
        <v>0</v>
      </c>
    </row>
    <row r="26016" spans="13:16">
      <c r="M26016" s="49">
        <f>IF($A$4+260&gt;$B$4,"",$A$4+260)</f>
        <v>46283</v>
      </c>
      <c r="N26016" t="str">
        <f>IF(M26016="","",'Master Barang'!A10)</f>
        <v>PRL-009</v>
      </c>
      <c r="O26016" t="str">
        <f>IF(N26016="","",'Master Barang'!B10)</f>
        <v>lap microfiber</v>
      </c>
      <c r="P26016">
        <f>IF(OR(M26016="",N26016=""),"",SUMIFS('Barang Keluar'!$E:$E,'Barang Keluar'!$A:$A,M26016,'Barang Keluar'!$C:$C,N26016))</f>
        <v>0</v>
      </c>
    </row>
    <row r="26017" spans="13:16">
      <c r="M26017" s="49">
        <f>IF($A$4+260&gt;$B$4,"",$A$4+260)</f>
        <v>46283</v>
      </c>
      <c r="N26017" t="str">
        <f>IF(M26017="","",'Master Barang'!A11)</f>
        <v>PRL-010</v>
      </c>
      <c r="O26017" t="str">
        <f>IF(N26017="","",'Master Barang'!B11)</f>
        <v>lap kecil</v>
      </c>
      <c r="P26017">
        <f>IF(OR(M26017="",N26017=""),"",SUMIFS('Barang Keluar'!$E:$E,'Barang Keluar'!$A:$A,M26017,'Barang Keluar'!$C:$C,N26017))</f>
        <v>0</v>
      </c>
    </row>
    <row r="26018" spans="13:16">
      <c r="M26018" s="49">
        <f>IF($A$4+260&gt;$B$4,"",$A$4+260)</f>
        <v>46283</v>
      </c>
      <c r="N26018" t="str">
        <f>IF(M26018="","",'Master Barang'!A12)</f>
        <v>PRL-011</v>
      </c>
      <c r="O26018" t="str">
        <f>IF(N26018="","",'Master Barang'!B12)</f>
        <v>kanebo kecil</v>
      </c>
      <c r="P26018">
        <f>IF(OR(M26018="",N26018=""),"",SUMIFS('Barang Keluar'!$E:$E,'Barang Keluar'!$A:$A,M26018,'Barang Keluar'!$C:$C,N26018))</f>
        <v>0</v>
      </c>
    </row>
    <row r="26019" spans="13:16">
      <c r="M26019" s="49">
        <f>IF($A$4+260&gt;$B$4,"",$A$4+260)</f>
        <v>46283</v>
      </c>
      <c r="N26019" t="str">
        <f>IF(M26019="","",'Master Barang'!A13)</f>
        <v>PRL-012</v>
      </c>
      <c r="O26019" t="str">
        <f>IF(N26019="","",'Master Barang'!B13)</f>
        <v>plastik 1/4kg joyoboyo 100 lembar</v>
      </c>
      <c r="P26019">
        <f>IF(OR(M26019="",N26019=""),"",SUMIFS('Barang Keluar'!$E:$E,'Barang Keluar'!$A:$A,M26019,'Barang Keluar'!$C:$C,N26019))</f>
        <v>0</v>
      </c>
    </row>
    <row r="26020" spans="13:16">
      <c r="M26020" s="49">
        <f>IF($A$4+260&gt;$B$4,"",$A$4+260)</f>
        <v>46283</v>
      </c>
      <c r="N26020" t="str">
        <f>IF(M26020="","",'Master Barang'!A14)</f>
        <v>PRL-013</v>
      </c>
      <c r="O26020" t="str">
        <f>IF(N26020="","",'Master Barang'!B14)</f>
        <v>sarung tangan plastik kaka 100 pcs</v>
      </c>
      <c r="P26020">
        <f>IF(OR(M26020="",N26020=""),"",SUMIFS('Barang Keluar'!$E:$E,'Barang Keluar'!$A:$A,M26020,'Barang Keluar'!$C:$C,N26020))</f>
        <v>0</v>
      </c>
    </row>
    <row r="26021" spans="13:16">
      <c r="M26021" s="49">
        <f>IF($A$4+260&gt;$B$4,"",$A$4+260)</f>
        <v>46283</v>
      </c>
      <c r="N26021" t="str">
        <f>IF(M26021="","",'Master Barang'!A15)</f>
        <v>PRL-014</v>
      </c>
      <c r="O26021" t="str">
        <f>IF(N26021="","",'Master Barang'!B15)</f>
        <v>optima trashbag 80x100</v>
      </c>
      <c r="P26021">
        <f>IF(OR(M26021="",N26021=""),"",SUMIFS('Barang Keluar'!$E:$E,'Barang Keluar'!$A:$A,M26021,'Barang Keluar'!$C:$C,N26021))</f>
        <v>0</v>
      </c>
    </row>
    <row r="26022" spans="13:16">
      <c r="M26022" s="49">
        <f>IF($A$4+260&gt;$B$4,"",$A$4+260)</f>
        <v>46283</v>
      </c>
      <c r="N26022" t="str">
        <f>IF(M26022="","",'Master Barang'!A16)</f>
        <v>PRL-015</v>
      </c>
      <c r="O26022" t="str">
        <f>IF(N26022="","",'Master Barang'!B16)</f>
        <v>optima trashbag 60x100</v>
      </c>
      <c r="P26022">
        <f>IF(OR(M26022="",N26022=""),"",SUMIFS('Barang Keluar'!$E:$E,'Barang Keluar'!$A:$A,M26022,'Barang Keluar'!$C:$C,N26022))</f>
        <v>0</v>
      </c>
    </row>
    <row r="26023" spans="13:16">
      <c r="M26023" s="49">
        <f>IF($A$4+260&gt;$B$4,"",$A$4+260)</f>
        <v>46283</v>
      </c>
      <c r="N26023" t="str">
        <f>IF(M26023="","",'Master Barang'!A17)</f>
        <v>PRL-016</v>
      </c>
      <c r="O26023" t="str">
        <f>IF(N26023="","",'Master Barang'!B17)</f>
        <v>rajawali trashbag 30x40</v>
      </c>
      <c r="P26023">
        <f>IF(OR(M26023="",N26023=""),"",SUMIFS('Barang Keluar'!$E:$E,'Barang Keluar'!$A:$A,M26023,'Barang Keluar'!$C:$C,N26023))</f>
        <v>0</v>
      </c>
    </row>
    <row r="26024" spans="13:16">
      <c r="M26024" s="49">
        <f>IF($A$4+260&gt;$B$4,"",$A$4+260)</f>
        <v>46283</v>
      </c>
      <c r="N26024" t="str">
        <f>IF(M26024="","",'Master Barang'!A18)</f>
        <v>PRL-017</v>
      </c>
      <c r="O26024" t="str">
        <f>IF(N26024="","",'Master Barang'!B18)</f>
        <v>onemed masker biru 3 play 50 pcs</v>
      </c>
      <c r="P26024">
        <f>IF(OR(M26024="",N26024=""),"",SUMIFS('Barang Keluar'!$E:$E,'Barang Keluar'!$A:$A,M26024,'Barang Keluar'!$C:$C,N26024))</f>
        <v>0</v>
      </c>
    </row>
    <row r="26025" spans="13:16">
      <c r="M26025" s="49">
        <f>IF($A$4+260&gt;$B$4,"",$A$4+260)</f>
        <v>46283</v>
      </c>
      <c r="N26025" t="str">
        <f>IF(M26025="","",'Master Barang'!A19)</f>
        <v>PRL-018</v>
      </c>
      <c r="O26025" t="str">
        <f>IF(N26025="","",'Master Barang'!B19)</f>
        <v>onemed masker biru 3 play hijab 50 pcs</v>
      </c>
      <c r="P26025">
        <f>IF(OR(M26025="",N26025=""),"",SUMIFS('Barang Keluar'!$E:$E,'Barang Keluar'!$A:$A,M26025,'Barang Keluar'!$C:$C,N26025))</f>
        <v>0</v>
      </c>
    </row>
    <row r="26026" spans="13:16">
      <c r="M26026" s="49">
        <f>IF($A$4+260&gt;$B$4,"",$A$4+260)</f>
        <v>46283</v>
      </c>
      <c r="N26026" t="str">
        <f>IF(M26026="","",'Master Barang'!A20)</f>
        <v>PRL-019</v>
      </c>
      <c r="O26026" t="str">
        <f>IF(N26026="","",'Master Barang'!B20)</f>
        <v>neo health masker biru 3 play 50 pcs</v>
      </c>
      <c r="P26026">
        <f>IF(OR(M26026="",N26026=""),"",SUMIFS('Barang Keluar'!$E:$E,'Barang Keluar'!$A:$A,M26026,'Barang Keluar'!$C:$C,N26026))</f>
        <v>0</v>
      </c>
    </row>
    <row r="26027" spans="13:16">
      <c r="M26027" s="49">
        <f>IF($A$4+260&gt;$B$4,"",$A$4+260)</f>
        <v>46283</v>
      </c>
      <c r="N26027" t="str">
        <f>IF(M26027="","",'Master Barang'!A21)</f>
        <v>PRL-020</v>
      </c>
      <c r="O26027" t="str">
        <f>IF(N26027="","",'Master Barang'!B21)</f>
        <v>baymed masker hijau 3 play hijau 50 pcs</v>
      </c>
      <c r="P26027">
        <f>IF(OR(M26027="",N26027=""),"",SUMIFS('Barang Keluar'!$E:$E,'Barang Keluar'!$A:$A,M26027,'Barang Keluar'!$C:$C,N26027))</f>
        <v>0</v>
      </c>
    </row>
    <row r="26028" spans="13:16">
      <c r="M26028" s="49">
        <f>IF($A$4+260&gt;$B$4,"",$A$4+260)</f>
        <v>46283</v>
      </c>
      <c r="N26028" t="str">
        <f>IF(M26028="","",'Master Barang'!A22)</f>
        <v>PRL-021</v>
      </c>
      <c r="O26028" t="str">
        <f>IF(N26028="","",'Master Barang'!B22)</f>
        <v>altamed nurse cap penutup kepala 100 pcs</v>
      </c>
      <c r="P26028">
        <f>IF(OR(M26028="",N26028=""),"",SUMIFS('Barang Keluar'!$E:$E,'Barang Keluar'!$A:$A,M26028,'Barang Keluar'!$C:$C,N26028))</f>
        <v>0</v>
      </c>
    </row>
    <row r="26029" spans="13:16">
      <c r="M26029" s="49">
        <f>IF($A$4+260&gt;$B$4,"",$A$4+260)</f>
        <v>46283</v>
      </c>
      <c r="N26029" t="str">
        <f>IF(M26029="","",'Master Barang'!A23)</f>
        <v>PRL-022</v>
      </c>
      <c r="O26029" t="str">
        <f>IF(N26029="","",'Master Barang'!B23)</f>
        <v>sabun cuci tangan</v>
      </c>
      <c r="P26029">
        <f>IF(OR(M26029="",N26029=""),"",SUMIFS('Barang Keluar'!$E:$E,'Barang Keluar'!$A:$A,M26029,'Barang Keluar'!$C:$C,N26029))</f>
        <v>0</v>
      </c>
    </row>
    <row r="26030" spans="13:16">
      <c r="M26030" s="49">
        <f>IF($A$4+260&gt;$B$4,"",$A$4+260)</f>
        <v>46283</v>
      </c>
      <c r="N26030" t="str">
        <f>IF(M26030="","",'Master Barang'!A24)</f>
        <v>PRL-023</v>
      </c>
      <c r="O26030" t="str">
        <f>IF(N26030="","",'Master Barang'!B24)</f>
        <v>gayung kecil</v>
      </c>
      <c r="P26030">
        <f>IF(OR(M26030="",N26030=""),"",SUMIFS('Barang Keluar'!$E:$E,'Barang Keluar'!$A:$A,M26030,'Barang Keluar'!$C:$C,N26030))</f>
        <v>0</v>
      </c>
    </row>
    <row r="26031" spans="13:16">
      <c r="M26031" s="49">
        <f>IF($A$4+260&gt;$B$4,"",$A$4+260)</f>
        <v>46283</v>
      </c>
      <c r="N26031" t="str">
        <f>IF(M26031="","",'Master Barang'!A25)</f>
        <v>PRL-024</v>
      </c>
      <c r="O26031" t="str">
        <f>IF(N26031="","",'Master Barang'!B25)</f>
        <v>cikrak kecil</v>
      </c>
      <c r="P26031">
        <f>IF(OR(M26031="",N26031=""),"",SUMIFS('Barang Keluar'!$E:$E,'Barang Keluar'!$A:$A,M26031,'Barang Keluar'!$C:$C,N26031))</f>
        <v>0</v>
      </c>
    </row>
    <row r="26032" spans="13:16">
      <c r="M26032" s="49">
        <f>IF($A$4+260&gt;$B$4,"",$A$4+260)</f>
        <v>46283</v>
      </c>
      <c r="N26032" t="str">
        <f>IF(M26032="","",'Master Barang'!A26)</f>
        <v>PRL-025</v>
      </c>
      <c r="O26032" t="str">
        <f>IF(N26032="","",'Master Barang'!B26)</f>
        <v>petromax plastik kecil 12x24 100 lembar</v>
      </c>
      <c r="P26032">
        <f>IF(OR(M26032="",N26032=""),"",SUMIFS('Barang Keluar'!$E:$E,'Barang Keluar'!$A:$A,M26032,'Barang Keluar'!$C:$C,N26032))</f>
        <v>0</v>
      </c>
    </row>
    <row r="26033" spans="13:16">
      <c r="M26033" s="49">
        <f>IF($A$4+260&gt;$B$4,"",$A$4+260)</f>
        <v>46283</v>
      </c>
      <c r="N26033" t="str">
        <f>IF(M26033="","",'Master Barang'!A27)</f>
        <v>PRL-026</v>
      </c>
      <c r="O26033" t="str">
        <f>IF(N26033="","",'Master Barang'!B27)</f>
        <v>lancar kresek kecil bening </v>
      </c>
      <c r="P26033">
        <f>IF(OR(M26033="",N26033=""),"",SUMIFS('Barang Keluar'!$E:$E,'Barang Keluar'!$A:$A,M26033,'Barang Keluar'!$C:$C,N26033))</f>
        <v>0</v>
      </c>
    </row>
    <row r="26034" spans="13:16">
      <c r="M26034" s="49">
        <f>IF($A$4+260&gt;$B$4,"",$A$4+260)</f>
        <v>46283</v>
      </c>
      <c r="N26034" t="str">
        <f>IF(M26034="","",'Master Barang'!A28)</f>
        <v>PRL-027</v>
      </c>
      <c r="O26034" t="str">
        <f>IF(N26034="","",'Master Barang'!B28)</f>
        <v>kresek klin warna warni kecil</v>
      </c>
      <c r="P26034">
        <f>IF(OR(M26034="",N26034=""),"",SUMIFS('Barang Keluar'!$E:$E,'Barang Keluar'!$A:$A,M26034,'Barang Keluar'!$C:$C,N26034))</f>
        <v>0</v>
      </c>
    </row>
    <row r="26035" spans="13:16">
      <c r="M26035" s="49">
        <f>IF($A$4+260&gt;$B$4,"",$A$4+260)</f>
        <v>46283</v>
      </c>
      <c r="N26035" t="str">
        <f>IF(M26035="","",'Master Barang'!A29)</f>
        <v>PRL-028</v>
      </c>
      <c r="O26035" t="str">
        <f>IF(N26035="","",'Master Barang'!B29)</f>
        <v>ctik plastik 7x10 100 pcs</v>
      </c>
      <c r="P26035">
        <f>IF(OR(M26035="",N26035=""),"",SUMIFS('Barang Keluar'!$E:$E,'Barang Keluar'!$A:$A,M26035,'Barang Keluar'!$C:$C,N26035))</f>
        <v>0</v>
      </c>
    </row>
    <row r="26036" spans="13:16">
      <c r="M26036" s="49">
        <f>IF($A$4+260&gt;$B$4,"",$A$4+260)</f>
        <v>46283</v>
      </c>
      <c r="N26036" t="str">
        <f>IF(M26036="","",'Master Barang'!A30)</f>
        <v>PRL-029</v>
      </c>
      <c r="O26036" t="str">
        <f>IF(N26036="","",'Master Barang'!B30)</f>
        <v>ctik plastik 6x10 100 pcs</v>
      </c>
      <c r="P26036">
        <f>IF(OR(M26036="",N26036=""),"",SUMIFS('Barang Keluar'!$E:$E,'Barang Keluar'!$A:$A,M26036,'Barang Keluar'!$C:$C,N26036))</f>
        <v>0</v>
      </c>
    </row>
    <row r="26037" spans="13:16">
      <c r="M26037" s="49">
        <f>IF($A$4+260&gt;$B$4,"",$A$4+260)</f>
        <v>46283</v>
      </c>
      <c r="N26037" t="str">
        <f>IF(M26037="","",'Master Barang'!A31)</f>
        <v>PRL-030</v>
      </c>
      <c r="O26037" t="str">
        <f>IF(N26037="","",'Master Barang'!B31)</f>
        <v>klip plastik 25x16 100 pcs</v>
      </c>
      <c r="P26037">
        <f>IF(OR(M26037="",N26037=""),"",SUMIFS('Barang Keluar'!$E:$E,'Barang Keluar'!$A:$A,M26037,'Barang Keluar'!$C:$C,N26037))</f>
        <v>0</v>
      </c>
    </row>
    <row r="26038" spans="13:16">
      <c r="M26038" s="49">
        <f>IF($A$4+260&gt;$B$4,"",$A$4+260)</f>
        <v>46283</v>
      </c>
      <c r="N26038" t="str">
        <f>IF(M26038="","",'Master Barang'!A32)</f>
        <v>PRL-031</v>
      </c>
      <c r="O26038" t="str">
        <f>IF(N26038="","",'Master Barang'!B32)</f>
        <v>tempat saus 20 ml</v>
      </c>
      <c r="P26038">
        <f>IF(OR(M26038="",N26038=""),"",SUMIFS('Barang Keluar'!$E:$E,'Barang Keluar'!$A:$A,M26038,'Barang Keluar'!$C:$C,N26038))</f>
        <v>0</v>
      </c>
    </row>
    <row r="26039" spans="13:16">
      <c r="M26039" s="49">
        <f>IF($A$4+260&gt;$B$4,"",$A$4+260)</f>
        <v>46283</v>
      </c>
      <c r="N26039" t="str">
        <f>IF(M26039="","",'Master Barang'!A33)</f>
        <v>PRL-032</v>
      </c>
      <c r="O26039" t="str">
        <f>IF(N26039="","",'Master Barang'!B33)</f>
        <v>plastik packaging ag box uk sedang</v>
      </c>
      <c r="P26039">
        <f>IF(OR(M26039="",N26039=""),"",SUMIFS('Barang Keluar'!$E:$E,'Barang Keluar'!$A:$A,M26039,'Barang Keluar'!$C:$C,N26039))</f>
        <v>0</v>
      </c>
    </row>
    <row r="26040" spans="13:16">
      <c r="M26040" s="49">
        <f>IF($A$4+260&gt;$B$4,"",$A$4+260)</f>
        <v>46283</v>
      </c>
      <c r="N26040" t="str">
        <f>IF(M26040="","",'Master Barang'!A34)</f>
        <v>PRL-033</v>
      </c>
      <c r="O26040">
        <f>IF(N26040="","",'Master Barang'!B34)</f>
        <v>0</v>
      </c>
      <c r="P26040">
        <f>IF(OR(M26040="",N26040=""),"",SUMIFS('Barang Keluar'!$E:$E,'Barang Keluar'!$A:$A,M26040,'Barang Keluar'!$C:$C,N26040))</f>
        <v>0</v>
      </c>
    </row>
    <row r="26041" spans="13:16">
      <c r="M26041" s="49">
        <f>IF($A$4+260&gt;$B$4,"",$A$4+260)</f>
        <v>46283</v>
      </c>
      <c r="N26041">
        <f>IF(M26041="","",'Master Barang'!A35)</f>
        <v>0</v>
      </c>
      <c r="O26041">
        <f>IF(N26041="","",'Master Barang'!B35)</f>
        <v>0</v>
      </c>
      <c r="P26041">
        <f>IF(OR(M26041="",N26041=""),"",SUMIFS('Barang Keluar'!$E:$E,'Barang Keluar'!$A:$A,M26041,'Barang Keluar'!$C:$C,N26041))</f>
        <v>0</v>
      </c>
    </row>
    <row r="26042" spans="13:16">
      <c r="M26042" s="49">
        <f>IF($A$4+260&gt;$B$4,"",$A$4+260)</f>
        <v>46283</v>
      </c>
      <c r="N26042">
        <f>IF(M26042="","",'Master Barang'!A36)</f>
        <v>0</v>
      </c>
      <c r="O26042">
        <f>IF(N26042="","",'Master Barang'!B36)</f>
        <v>0</v>
      </c>
      <c r="P26042">
        <f>IF(OR(M26042="",N26042=""),"",SUMIFS('Barang Keluar'!$E:$E,'Barang Keluar'!$A:$A,M26042,'Barang Keluar'!$C:$C,N26042))</f>
        <v>0</v>
      </c>
    </row>
    <row r="26043" spans="13:16">
      <c r="M26043" s="49">
        <f>IF($A$4+260&gt;$B$4,"",$A$4+260)</f>
        <v>46283</v>
      </c>
      <c r="N26043">
        <f>IF(M26043="","",'Master Barang'!A37)</f>
        <v>0</v>
      </c>
      <c r="O26043">
        <f>IF(N26043="","",'Master Barang'!B37)</f>
        <v>0</v>
      </c>
      <c r="P26043">
        <f>IF(OR(M26043="",N26043=""),"",SUMIFS('Barang Keluar'!$E:$E,'Barang Keluar'!$A:$A,M26043,'Barang Keluar'!$C:$C,N26043))</f>
        <v>0</v>
      </c>
    </row>
    <row r="26044" spans="13:16">
      <c r="M26044" s="49">
        <f>IF($A$4+260&gt;$B$4,"",$A$4+260)</f>
        <v>46283</v>
      </c>
      <c r="N26044">
        <f>IF(M26044="","",'Master Barang'!A38)</f>
        <v>0</v>
      </c>
      <c r="O26044">
        <f>IF(N26044="","",'Master Barang'!B38)</f>
        <v>0</v>
      </c>
      <c r="P26044">
        <f>IF(OR(M26044="",N26044=""),"",SUMIFS('Barang Keluar'!$E:$E,'Barang Keluar'!$A:$A,M26044,'Barang Keluar'!$C:$C,N26044))</f>
        <v>0</v>
      </c>
    </row>
    <row r="26045" spans="13:16">
      <c r="M26045" s="49">
        <f>IF($A$4+260&gt;$B$4,"",$A$4+260)</f>
        <v>46283</v>
      </c>
      <c r="N26045">
        <f>IF(M26045="","",'Master Barang'!A39)</f>
        <v>0</v>
      </c>
      <c r="O26045">
        <f>IF(N26045="","",'Master Barang'!B39)</f>
        <v>0</v>
      </c>
      <c r="P26045">
        <f>IF(OR(M26045="",N26045=""),"",SUMIFS('Barang Keluar'!$E:$E,'Barang Keluar'!$A:$A,M26045,'Barang Keluar'!$C:$C,N26045))</f>
        <v>0</v>
      </c>
    </row>
    <row r="26046" spans="13:16">
      <c r="M26046" s="49">
        <f>IF($A$4+260&gt;$B$4,"",$A$4+260)</f>
        <v>46283</v>
      </c>
      <c r="N26046">
        <f>IF(M26046="","",'Master Barang'!A40)</f>
        <v>0</v>
      </c>
      <c r="O26046">
        <f>IF(N26046="","",'Master Barang'!B40)</f>
        <v>0</v>
      </c>
      <c r="P26046">
        <f>IF(OR(M26046="",N26046=""),"",SUMIFS('Barang Keluar'!$E:$E,'Barang Keluar'!$A:$A,M26046,'Barang Keluar'!$C:$C,N26046))</f>
        <v>0</v>
      </c>
    </row>
    <row r="26047" spans="13:16">
      <c r="M26047" s="49">
        <f>IF($A$4+260&gt;$B$4,"",$A$4+260)</f>
        <v>46283</v>
      </c>
      <c r="N26047">
        <f>IF(M26047="","",'Master Barang'!A41)</f>
        <v>0</v>
      </c>
      <c r="O26047">
        <f>IF(N26047="","",'Master Barang'!B41)</f>
        <v>0</v>
      </c>
      <c r="P26047">
        <f>IF(OR(M26047="",N26047=""),"",SUMIFS('Barang Keluar'!$E:$E,'Barang Keluar'!$A:$A,M26047,'Barang Keluar'!$C:$C,N26047))</f>
        <v>0</v>
      </c>
    </row>
    <row r="26048" spans="13:16">
      <c r="M26048" s="49">
        <f>IF($A$4+260&gt;$B$4,"",$A$4+260)</f>
        <v>46283</v>
      </c>
      <c r="N26048">
        <f>IF(M26048="","",'Master Barang'!A42)</f>
        <v>0</v>
      </c>
      <c r="O26048">
        <f>IF(N26048="","",'Master Barang'!B42)</f>
        <v>0</v>
      </c>
      <c r="P26048">
        <f>IF(OR(M26048="",N26048=""),"",SUMIFS('Barang Keluar'!$E:$E,'Barang Keluar'!$A:$A,M26048,'Barang Keluar'!$C:$C,N26048))</f>
        <v>0</v>
      </c>
    </row>
    <row r="26049" spans="13:16">
      <c r="M26049" s="49">
        <f>IF($A$4+260&gt;$B$4,"",$A$4+260)</f>
        <v>46283</v>
      </c>
      <c r="N26049">
        <f>IF(M26049="","",'Master Barang'!A43)</f>
        <v>0</v>
      </c>
      <c r="O26049">
        <f>IF(N26049="","",'Master Barang'!B43)</f>
        <v>0</v>
      </c>
      <c r="P26049">
        <f>IF(OR(M26049="",N26049=""),"",SUMIFS('Barang Keluar'!$E:$E,'Barang Keluar'!$A:$A,M26049,'Barang Keluar'!$C:$C,N26049))</f>
        <v>0</v>
      </c>
    </row>
    <row r="26050" spans="13:16">
      <c r="M26050" s="49">
        <f>IF($A$4+260&gt;$B$4,"",$A$4+260)</f>
        <v>46283</v>
      </c>
      <c r="N26050">
        <f>IF(M26050="","",'Master Barang'!A44)</f>
        <v>0</v>
      </c>
      <c r="O26050">
        <f>IF(N26050="","",'Master Barang'!B44)</f>
        <v>0</v>
      </c>
      <c r="P26050">
        <f>IF(OR(M26050="",N26050=""),"",SUMIFS('Barang Keluar'!$E:$E,'Barang Keluar'!$A:$A,M26050,'Barang Keluar'!$C:$C,N26050))</f>
        <v>0</v>
      </c>
    </row>
    <row r="26051" spans="13:16">
      <c r="M26051" s="49">
        <f>IF($A$4+260&gt;$B$4,"",$A$4+260)</f>
        <v>46283</v>
      </c>
      <c r="N26051">
        <f>IF(M26051="","",'Master Barang'!A45)</f>
        <v>0</v>
      </c>
      <c r="O26051">
        <f>IF(N26051="","",'Master Barang'!B45)</f>
        <v>0</v>
      </c>
      <c r="P26051">
        <f>IF(OR(M26051="",N26051=""),"",SUMIFS('Barang Keluar'!$E:$E,'Barang Keluar'!$A:$A,M26051,'Barang Keluar'!$C:$C,N26051))</f>
        <v>0</v>
      </c>
    </row>
    <row r="26052" spans="13:16">
      <c r="M26052" s="49">
        <f>IF($A$4+260&gt;$B$4,"",$A$4+260)</f>
        <v>46283</v>
      </c>
      <c r="N26052">
        <f>IF(M26052="","",'Master Barang'!A46)</f>
        <v>0</v>
      </c>
      <c r="O26052">
        <f>IF(N26052="","",'Master Barang'!B46)</f>
        <v>0</v>
      </c>
      <c r="P26052">
        <f>IF(OR(M26052="",N26052=""),"",SUMIFS('Barang Keluar'!$E:$E,'Barang Keluar'!$A:$A,M26052,'Barang Keluar'!$C:$C,N26052))</f>
        <v>0</v>
      </c>
    </row>
    <row r="26053" spans="13:16">
      <c r="M26053" s="49">
        <f>IF($A$4+260&gt;$B$4,"",$A$4+260)</f>
        <v>46283</v>
      </c>
      <c r="N26053">
        <f>IF(M26053="","",'Master Barang'!A47)</f>
        <v>0</v>
      </c>
      <c r="O26053">
        <f>IF(N26053="","",'Master Barang'!B47)</f>
        <v>0</v>
      </c>
      <c r="P26053">
        <f>IF(OR(M26053="",N26053=""),"",SUMIFS('Barang Keluar'!$E:$E,'Barang Keluar'!$A:$A,M26053,'Barang Keluar'!$C:$C,N26053))</f>
        <v>0</v>
      </c>
    </row>
    <row r="26054" spans="13:16">
      <c r="M26054" s="49">
        <f>IF($A$4+260&gt;$B$4,"",$A$4+260)</f>
        <v>46283</v>
      </c>
      <c r="N26054">
        <f>IF(M26054="","",'Master Barang'!A48)</f>
        <v>0</v>
      </c>
      <c r="O26054">
        <f>IF(N26054="","",'Master Barang'!B48)</f>
        <v>0</v>
      </c>
      <c r="P26054">
        <f>IF(OR(M26054="",N26054=""),"",SUMIFS('Barang Keluar'!$E:$E,'Barang Keluar'!$A:$A,M26054,'Barang Keluar'!$C:$C,N26054))</f>
        <v>0</v>
      </c>
    </row>
    <row r="26055" spans="13:16">
      <c r="M26055" s="49">
        <f>IF($A$4+260&gt;$B$4,"",$A$4+260)</f>
        <v>46283</v>
      </c>
      <c r="N26055">
        <f>IF(M26055="","",'Master Barang'!A49)</f>
        <v>0</v>
      </c>
      <c r="O26055">
        <f>IF(N26055="","",'Master Barang'!B49)</f>
        <v>0</v>
      </c>
      <c r="P26055">
        <f>IF(OR(M26055="",N26055=""),"",SUMIFS('Barang Keluar'!$E:$E,'Barang Keluar'!$A:$A,M26055,'Barang Keluar'!$C:$C,N26055))</f>
        <v>0</v>
      </c>
    </row>
    <row r="26056" spans="13:16">
      <c r="M26056" s="49">
        <f>IF($A$4+260&gt;$B$4,"",$A$4+260)</f>
        <v>46283</v>
      </c>
      <c r="N26056">
        <f>IF(M26056="","",'Master Barang'!A50)</f>
        <v>0</v>
      </c>
      <c r="O26056">
        <f>IF(N26056="","",'Master Barang'!B50)</f>
        <v>0</v>
      </c>
      <c r="P26056">
        <f>IF(OR(M26056="",N26056=""),"",SUMIFS('Barang Keluar'!$E:$E,'Barang Keluar'!$A:$A,M26056,'Barang Keluar'!$C:$C,N26056))</f>
        <v>0</v>
      </c>
    </row>
    <row r="26057" spans="13:16">
      <c r="M26057" s="49">
        <f>IF($A$4+260&gt;$B$4,"",$A$4+260)</f>
        <v>46283</v>
      </c>
      <c r="N26057">
        <f>IF(M26057="","",'Master Barang'!A51)</f>
        <v>0</v>
      </c>
      <c r="O26057">
        <f>IF(N26057="","",'Master Barang'!B51)</f>
        <v>0</v>
      </c>
      <c r="P26057">
        <f>IF(OR(M26057="",N26057=""),"",SUMIFS('Barang Keluar'!$E:$E,'Barang Keluar'!$A:$A,M26057,'Barang Keluar'!$C:$C,N26057))</f>
        <v>0</v>
      </c>
    </row>
    <row r="26058" spans="13:16">
      <c r="M26058" s="49">
        <f>IF($A$4+260&gt;$B$4,"",$A$4+260)</f>
        <v>46283</v>
      </c>
      <c r="N26058">
        <f>IF(M26058="","",'Master Barang'!A52)</f>
        <v>0</v>
      </c>
      <c r="O26058">
        <f>IF(N26058="","",'Master Barang'!B52)</f>
        <v>0</v>
      </c>
      <c r="P26058">
        <f>IF(OR(M26058="",N26058=""),"",SUMIFS('Barang Keluar'!$E:$E,'Barang Keluar'!$A:$A,M26058,'Barang Keluar'!$C:$C,N26058))</f>
        <v>0</v>
      </c>
    </row>
    <row r="26059" spans="13:16">
      <c r="M26059" s="49">
        <f>IF($A$4+260&gt;$B$4,"",$A$4+260)</f>
        <v>46283</v>
      </c>
      <c r="N26059">
        <f>IF(M26059="","",'Master Barang'!A53)</f>
        <v>0</v>
      </c>
      <c r="O26059">
        <f>IF(N26059="","",'Master Barang'!B53)</f>
        <v>0</v>
      </c>
      <c r="P26059">
        <f>IF(OR(M26059="",N26059=""),"",SUMIFS('Barang Keluar'!$E:$E,'Barang Keluar'!$A:$A,M26059,'Barang Keluar'!$C:$C,N26059))</f>
        <v>0</v>
      </c>
    </row>
    <row r="26060" spans="13:16">
      <c r="M26060" s="49">
        <f>IF($A$4+260&gt;$B$4,"",$A$4+260)</f>
        <v>46283</v>
      </c>
      <c r="N26060">
        <f>IF(M26060="","",'Master Barang'!A54)</f>
        <v>0</v>
      </c>
      <c r="O26060">
        <f>IF(N26060="","",'Master Barang'!B54)</f>
        <v>0</v>
      </c>
      <c r="P26060">
        <f>IF(OR(M26060="",N26060=""),"",SUMIFS('Barang Keluar'!$E:$E,'Barang Keluar'!$A:$A,M26060,'Barang Keluar'!$C:$C,N26060))</f>
        <v>0</v>
      </c>
    </row>
    <row r="26061" spans="13:16">
      <c r="M26061" s="49">
        <f>IF($A$4+260&gt;$B$4,"",$A$4+260)</f>
        <v>46283</v>
      </c>
      <c r="N26061">
        <f>IF(M26061="","",'Master Barang'!A55)</f>
        <v>0</v>
      </c>
      <c r="O26061">
        <f>IF(N26061="","",'Master Barang'!B55)</f>
        <v>0</v>
      </c>
      <c r="P26061">
        <f>IF(OR(M26061="",N26061=""),"",SUMIFS('Barang Keluar'!$E:$E,'Barang Keluar'!$A:$A,M26061,'Barang Keluar'!$C:$C,N26061))</f>
        <v>0</v>
      </c>
    </row>
    <row r="26062" spans="13:16">
      <c r="M26062" s="49">
        <f>IF($A$4+260&gt;$B$4,"",$A$4+260)</f>
        <v>46283</v>
      </c>
      <c r="N26062">
        <f>IF(M26062="","",'Master Barang'!A56)</f>
        <v>0</v>
      </c>
      <c r="O26062">
        <f>IF(N26062="","",'Master Barang'!B56)</f>
        <v>0</v>
      </c>
      <c r="P26062">
        <f>IF(OR(M26062="",N26062=""),"",SUMIFS('Barang Keluar'!$E:$E,'Barang Keluar'!$A:$A,M26062,'Barang Keluar'!$C:$C,N26062))</f>
        <v>0</v>
      </c>
    </row>
    <row r="26063" spans="13:16">
      <c r="M26063" s="49">
        <f>IF($A$4+260&gt;$B$4,"",$A$4+260)</f>
        <v>46283</v>
      </c>
      <c r="N26063">
        <f>IF(M26063="","",'Master Barang'!A57)</f>
        <v>0</v>
      </c>
      <c r="O26063">
        <f>IF(N26063="","",'Master Barang'!B57)</f>
        <v>0</v>
      </c>
      <c r="P26063">
        <f>IF(OR(M26063="",N26063=""),"",SUMIFS('Barang Keluar'!$E:$E,'Barang Keluar'!$A:$A,M26063,'Barang Keluar'!$C:$C,N26063))</f>
        <v>0</v>
      </c>
    </row>
    <row r="26064" spans="13:16">
      <c r="M26064" s="49">
        <f>IF($A$4+260&gt;$B$4,"",$A$4+260)</f>
        <v>46283</v>
      </c>
      <c r="N26064">
        <f>IF(M26064="","",'Master Barang'!A58)</f>
        <v>0</v>
      </c>
      <c r="O26064">
        <f>IF(N26064="","",'Master Barang'!B58)</f>
        <v>0</v>
      </c>
      <c r="P26064">
        <f>IF(OR(M26064="",N26064=""),"",SUMIFS('Barang Keluar'!$E:$E,'Barang Keluar'!$A:$A,M26064,'Barang Keluar'!$C:$C,N26064))</f>
        <v>0</v>
      </c>
    </row>
    <row r="26065" spans="13:16">
      <c r="M26065" s="49">
        <f>IF($A$4+260&gt;$B$4,"",$A$4+260)</f>
        <v>46283</v>
      </c>
      <c r="N26065">
        <f>IF(M26065="","",'Master Barang'!A59)</f>
        <v>0</v>
      </c>
      <c r="O26065">
        <f>IF(N26065="","",'Master Barang'!B59)</f>
        <v>0</v>
      </c>
      <c r="P26065">
        <f>IF(OR(M26065="",N26065=""),"",SUMIFS('Barang Keluar'!$E:$E,'Barang Keluar'!$A:$A,M26065,'Barang Keluar'!$C:$C,N26065))</f>
        <v>0</v>
      </c>
    </row>
    <row r="26066" spans="13:16">
      <c r="M26066" s="49">
        <f>IF($A$4+260&gt;$B$4,"",$A$4+260)</f>
        <v>46283</v>
      </c>
      <c r="N26066">
        <f>IF(M26066="","",'Master Barang'!A60)</f>
        <v>0</v>
      </c>
      <c r="O26066">
        <f>IF(N26066="","",'Master Barang'!B60)</f>
        <v>0</v>
      </c>
      <c r="P26066">
        <f>IF(OR(M26066="",N26066=""),"",SUMIFS('Barang Keluar'!$E:$E,'Barang Keluar'!$A:$A,M26066,'Barang Keluar'!$C:$C,N26066))</f>
        <v>0</v>
      </c>
    </row>
    <row r="26067" spans="13:16">
      <c r="M26067" s="49">
        <f>IF($A$4+260&gt;$B$4,"",$A$4+260)</f>
        <v>46283</v>
      </c>
      <c r="N26067">
        <f>IF(M26067="","",'Master Barang'!A61)</f>
        <v>0</v>
      </c>
      <c r="O26067">
        <f>IF(N26067="","",'Master Barang'!B61)</f>
        <v>0</v>
      </c>
      <c r="P26067">
        <f>IF(OR(M26067="",N26067=""),"",SUMIFS('Barang Keluar'!$E:$E,'Barang Keluar'!$A:$A,M26067,'Barang Keluar'!$C:$C,N26067))</f>
        <v>0</v>
      </c>
    </row>
    <row r="26068" spans="13:16">
      <c r="M26068" s="49">
        <f>IF($A$4+260&gt;$B$4,"",$A$4+260)</f>
        <v>46283</v>
      </c>
      <c r="N26068">
        <f>IF(M26068="","",'Master Barang'!A62)</f>
        <v>0</v>
      </c>
      <c r="O26068">
        <f>IF(N26068="","",'Master Barang'!B62)</f>
        <v>0</v>
      </c>
      <c r="P26068">
        <f>IF(OR(M26068="",N26068=""),"",SUMIFS('Barang Keluar'!$E:$E,'Barang Keluar'!$A:$A,M26068,'Barang Keluar'!$C:$C,N26068))</f>
        <v>0</v>
      </c>
    </row>
    <row r="26069" spans="13:16">
      <c r="M26069" s="49">
        <f>IF($A$4+260&gt;$B$4,"",$A$4+260)</f>
        <v>46283</v>
      </c>
      <c r="N26069">
        <f>IF(M26069="","",'Master Barang'!A63)</f>
        <v>0</v>
      </c>
      <c r="O26069">
        <f>IF(N26069="","",'Master Barang'!B63)</f>
        <v>0</v>
      </c>
      <c r="P26069">
        <f>IF(OR(M26069="",N26069=""),"",SUMIFS('Barang Keluar'!$E:$E,'Barang Keluar'!$A:$A,M26069,'Barang Keluar'!$C:$C,N26069))</f>
        <v>0</v>
      </c>
    </row>
    <row r="26070" spans="13:16">
      <c r="M26070" s="49">
        <f>IF($A$4+260&gt;$B$4,"",$A$4+260)</f>
        <v>46283</v>
      </c>
      <c r="N26070">
        <f>IF(M26070="","",'Master Barang'!A64)</f>
        <v>0</v>
      </c>
      <c r="O26070">
        <f>IF(N26070="","",'Master Barang'!B64)</f>
        <v>0</v>
      </c>
      <c r="P26070">
        <f>IF(OR(M26070="",N26070=""),"",SUMIFS('Barang Keluar'!$E:$E,'Barang Keluar'!$A:$A,M26070,'Barang Keluar'!$C:$C,N26070))</f>
        <v>0</v>
      </c>
    </row>
    <row r="26071" spans="13:16">
      <c r="M26071" s="49">
        <f>IF($A$4+260&gt;$B$4,"",$A$4+260)</f>
        <v>46283</v>
      </c>
      <c r="N26071">
        <f>IF(M26071="","",'Master Barang'!A65)</f>
        <v>0</v>
      </c>
      <c r="O26071">
        <f>IF(N26071="","",'Master Barang'!B65)</f>
        <v>0</v>
      </c>
      <c r="P26071">
        <f>IF(OR(M26071="",N26071=""),"",SUMIFS('Barang Keluar'!$E:$E,'Barang Keluar'!$A:$A,M26071,'Barang Keluar'!$C:$C,N26071))</f>
        <v>0</v>
      </c>
    </row>
    <row r="26072" spans="13:16">
      <c r="M26072" s="49">
        <f>IF($A$4+260&gt;$B$4,"",$A$4+260)</f>
        <v>46283</v>
      </c>
      <c r="N26072">
        <f>IF(M26072="","",'Master Barang'!A66)</f>
        <v>0</v>
      </c>
      <c r="O26072">
        <f>IF(N26072="","",'Master Barang'!B66)</f>
        <v>0</v>
      </c>
      <c r="P26072">
        <f>IF(OR(M26072="",N26072=""),"",SUMIFS('Barang Keluar'!$E:$E,'Barang Keluar'!$A:$A,M26072,'Barang Keluar'!$C:$C,N26072))</f>
        <v>0</v>
      </c>
    </row>
    <row r="26073" spans="13:16">
      <c r="M26073" s="49">
        <f>IF($A$4+260&gt;$B$4,"",$A$4+260)</f>
        <v>46283</v>
      </c>
      <c r="N26073">
        <f>IF(M26073="","",'Master Barang'!A67)</f>
        <v>0</v>
      </c>
      <c r="O26073">
        <f>IF(N26073="","",'Master Barang'!B67)</f>
        <v>0</v>
      </c>
      <c r="P26073">
        <f>IF(OR(M26073="",N26073=""),"",SUMIFS('Barang Keluar'!$E:$E,'Barang Keluar'!$A:$A,M26073,'Barang Keluar'!$C:$C,N26073))</f>
        <v>0</v>
      </c>
    </row>
    <row r="26074" spans="13:16">
      <c r="M26074" s="49">
        <f>IF($A$4+260&gt;$B$4,"",$A$4+260)</f>
        <v>46283</v>
      </c>
      <c r="N26074">
        <f>IF(M26074="","",'Master Barang'!A68)</f>
        <v>0</v>
      </c>
      <c r="O26074">
        <f>IF(N26074="","",'Master Barang'!B68)</f>
        <v>0</v>
      </c>
      <c r="P26074">
        <f>IF(OR(M26074="",N26074=""),"",SUMIFS('Barang Keluar'!$E:$E,'Barang Keluar'!$A:$A,M26074,'Barang Keluar'!$C:$C,N26074))</f>
        <v>0</v>
      </c>
    </row>
    <row r="26075" spans="13:16">
      <c r="M26075" s="49">
        <f>IF($A$4+260&gt;$B$4,"",$A$4+260)</f>
        <v>46283</v>
      </c>
      <c r="N26075">
        <f>IF(M26075="","",'Master Barang'!A69)</f>
        <v>0</v>
      </c>
      <c r="O26075">
        <f>IF(N26075="","",'Master Barang'!B69)</f>
        <v>0</v>
      </c>
      <c r="P26075">
        <f>IF(OR(M26075="",N26075=""),"",SUMIFS('Barang Keluar'!$E:$E,'Barang Keluar'!$A:$A,M26075,'Barang Keluar'!$C:$C,N26075))</f>
        <v>0</v>
      </c>
    </row>
    <row r="26076" spans="13:16">
      <c r="M26076" s="49">
        <f>IF($A$4+260&gt;$B$4,"",$A$4+260)</f>
        <v>46283</v>
      </c>
      <c r="N26076">
        <f>IF(M26076="","",'Master Barang'!A70)</f>
        <v>0</v>
      </c>
      <c r="O26076">
        <f>IF(N26076="","",'Master Barang'!B70)</f>
        <v>0</v>
      </c>
      <c r="P26076">
        <f>IF(OR(M26076="",N26076=""),"",SUMIFS('Barang Keluar'!$E:$E,'Barang Keluar'!$A:$A,M26076,'Barang Keluar'!$C:$C,N26076))</f>
        <v>0</v>
      </c>
    </row>
    <row r="26077" spans="13:16">
      <c r="M26077" s="49">
        <f>IF($A$4+260&gt;$B$4,"",$A$4+260)</f>
        <v>46283</v>
      </c>
      <c r="N26077">
        <f>IF(M26077="","",'Master Barang'!A71)</f>
        <v>0</v>
      </c>
      <c r="O26077">
        <f>IF(N26077="","",'Master Barang'!B71)</f>
        <v>0</v>
      </c>
      <c r="P26077">
        <f>IF(OR(M26077="",N26077=""),"",SUMIFS('Barang Keluar'!$E:$E,'Barang Keluar'!$A:$A,M26077,'Barang Keluar'!$C:$C,N26077))</f>
        <v>0</v>
      </c>
    </row>
    <row r="26078" spans="13:16">
      <c r="M26078" s="49">
        <f>IF($A$4+260&gt;$B$4,"",$A$4+260)</f>
        <v>46283</v>
      </c>
      <c r="N26078">
        <f>IF(M26078="","",'Master Barang'!A72)</f>
        <v>0</v>
      </c>
      <c r="O26078">
        <f>IF(N26078="","",'Master Barang'!B72)</f>
        <v>0</v>
      </c>
      <c r="P26078">
        <f>IF(OR(M26078="",N26078=""),"",SUMIFS('Barang Keluar'!$E:$E,'Barang Keluar'!$A:$A,M26078,'Barang Keluar'!$C:$C,N26078))</f>
        <v>0</v>
      </c>
    </row>
    <row r="26079" spans="13:16">
      <c r="M26079" s="49">
        <f>IF($A$4+260&gt;$B$4,"",$A$4+260)</f>
        <v>46283</v>
      </c>
      <c r="N26079">
        <f>IF(M26079="","",'Master Barang'!A73)</f>
        <v>0</v>
      </c>
      <c r="O26079">
        <f>IF(N26079="","",'Master Barang'!B73)</f>
        <v>0</v>
      </c>
      <c r="P26079">
        <f>IF(OR(M26079="",N26079=""),"",SUMIFS('Barang Keluar'!$E:$E,'Barang Keluar'!$A:$A,M26079,'Barang Keluar'!$C:$C,N26079))</f>
        <v>0</v>
      </c>
    </row>
    <row r="26080" spans="13:16">
      <c r="M26080" s="49">
        <f>IF($A$4+260&gt;$B$4,"",$A$4+260)</f>
        <v>46283</v>
      </c>
      <c r="N26080">
        <f>IF(M26080="","",'Master Barang'!A74)</f>
        <v>0</v>
      </c>
      <c r="O26080">
        <f>IF(N26080="","",'Master Barang'!B74)</f>
        <v>0</v>
      </c>
      <c r="P26080">
        <f>IF(OR(M26080="",N26080=""),"",SUMIFS('Barang Keluar'!$E:$E,'Barang Keluar'!$A:$A,M26080,'Barang Keluar'!$C:$C,N26080))</f>
        <v>0</v>
      </c>
    </row>
    <row r="26081" spans="13:16">
      <c r="M26081" s="49">
        <f>IF($A$4+260&gt;$B$4,"",$A$4+260)</f>
        <v>46283</v>
      </c>
      <c r="N26081">
        <f>IF(M26081="","",'Master Barang'!A75)</f>
        <v>0</v>
      </c>
      <c r="O26081">
        <f>IF(N26081="","",'Master Barang'!B75)</f>
        <v>0</v>
      </c>
      <c r="P26081">
        <f>IF(OR(M26081="",N26081=""),"",SUMIFS('Barang Keluar'!$E:$E,'Barang Keluar'!$A:$A,M26081,'Barang Keluar'!$C:$C,N26081))</f>
        <v>0</v>
      </c>
    </row>
    <row r="26082" spans="13:16">
      <c r="M26082" s="49">
        <f>IF($A$4+260&gt;$B$4,"",$A$4+260)</f>
        <v>46283</v>
      </c>
      <c r="N26082">
        <f>IF(M26082="","",'Master Barang'!A76)</f>
        <v>0</v>
      </c>
      <c r="O26082">
        <f>IF(N26082="","",'Master Barang'!B76)</f>
        <v>0</v>
      </c>
      <c r="P26082">
        <f>IF(OR(M26082="",N26082=""),"",SUMIFS('Barang Keluar'!$E:$E,'Barang Keluar'!$A:$A,M26082,'Barang Keluar'!$C:$C,N26082))</f>
        <v>0</v>
      </c>
    </row>
    <row r="26083" spans="13:16">
      <c r="M26083" s="49">
        <f>IF($A$4+260&gt;$B$4,"",$A$4+260)</f>
        <v>46283</v>
      </c>
      <c r="N26083">
        <f>IF(M26083="","",'Master Barang'!A77)</f>
        <v>0</v>
      </c>
      <c r="O26083">
        <f>IF(N26083="","",'Master Barang'!B77)</f>
        <v>0</v>
      </c>
      <c r="P26083">
        <f>IF(OR(M26083="",N26083=""),"",SUMIFS('Barang Keluar'!$E:$E,'Barang Keluar'!$A:$A,M26083,'Barang Keluar'!$C:$C,N26083))</f>
        <v>0</v>
      </c>
    </row>
    <row r="26084" spans="13:16">
      <c r="M26084" s="49">
        <f>IF($A$4+260&gt;$B$4,"",$A$4+260)</f>
        <v>46283</v>
      </c>
      <c r="N26084">
        <f>IF(M26084="","",'Master Barang'!A78)</f>
        <v>0</v>
      </c>
      <c r="O26084">
        <f>IF(N26084="","",'Master Barang'!B78)</f>
        <v>0</v>
      </c>
      <c r="P26084">
        <f>IF(OR(M26084="",N26084=""),"",SUMIFS('Barang Keluar'!$E:$E,'Barang Keluar'!$A:$A,M26084,'Barang Keluar'!$C:$C,N26084))</f>
        <v>0</v>
      </c>
    </row>
    <row r="26085" spans="13:16">
      <c r="M26085" s="49">
        <f>IF($A$4+260&gt;$B$4,"",$A$4+260)</f>
        <v>46283</v>
      </c>
      <c r="N26085">
        <f>IF(M26085="","",'Master Barang'!A79)</f>
        <v>0</v>
      </c>
      <c r="O26085">
        <f>IF(N26085="","",'Master Barang'!B79)</f>
        <v>0</v>
      </c>
      <c r="P26085">
        <f>IF(OR(M26085="",N26085=""),"",SUMIFS('Barang Keluar'!$E:$E,'Barang Keluar'!$A:$A,M26085,'Barang Keluar'!$C:$C,N26085))</f>
        <v>0</v>
      </c>
    </row>
    <row r="26086" spans="13:16">
      <c r="M26086" s="49">
        <f>IF($A$4+260&gt;$B$4,"",$A$4+260)</f>
        <v>46283</v>
      </c>
      <c r="N26086">
        <f>IF(M26086="","",'Master Barang'!A80)</f>
        <v>0</v>
      </c>
      <c r="O26086">
        <f>IF(N26086="","",'Master Barang'!B80)</f>
        <v>0</v>
      </c>
      <c r="P26086">
        <f>IF(OR(M26086="",N26086=""),"",SUMIFS('Barang Keluar'!$E:$E,'Barang Keluar'!$A:$A,M26086,'Barang Keluar'!$C:$C,N26086))</f>
        <v>0</v>
      </c>
    </row>
    <row r="26087" spans="13:16">
      <c r="M26087" s="49">
        <f>IF($A$4+260&gt;$B$4,"",$A$4+260)</f>
        <v>46283</v>
      </c>
      <c r="N26087">
        <f>IF(M26087="","",'Master Barang'!A81)</f>
        <v>0</v>
      </c>
      <c r="O26087">
        <f>IF(N26087="","",'Master Barang'!B81)</f>
        <v>0</v>
      </c>
      <c r="P26087">
        <f>IF(OR(M26087="",N26087=""),"",SUMIFS('Barang Keluar'!$E:$E,'Barang Keluar'!$A:$A,M26087,'Barang Keluar'!$C:$C,N26087))</f>
        <v>0</v>
      </c>
    </row>
    <row r="26088" spans="13:16">
      <c r="M26088" s="49">
        <f>IF($A$4+260&gt;$B$4,"",$A$4+260)</f>
        <v>46283</v>
      </c>
      <c r="N26088">
        <f>IF(M26088="","",'Master Barang'!A82)</f>
        <v>0</v>
      </c>
      <c r="O26088">
        <f>IF(N26088="","",'Master Barang'!B82)</f>
        <v>0</v>
      </c>
      <c r="P26088">
        <f>IF(OR(M26088="",N26088=""),"",SUMIFS('Barang Keluar'!$E:$E,'Barang Keluar'!$A:$A,M26088,'Barang Keluar'!$C:$C,N26088))</f>
        <v>0</v>
      </c>
    </row>
    <row r="26089" spans="13:16">
      <c r="M26089" s="49">
        <f>IF($A$4+260&gt;$B$4,"",$A$4+260)</f>
        <v>46283</v>
      </c>
      <c r="N26089">
        <f>IF(M26089="","",'Master Barang'!A83)</f>
        <v>0</v>
      </c>
      <c r="O26089">
        <f>IF(N26089="","",'Master Barang'!B83)</f>
        <v>0</v>
      </c>
      <c r="P26089">
        <f>IF(OR(M26089="",N26089=""),"",SUMIFS('Barang Keluar'!$E:$E,'Barang Keluar'!$A:$A,M26089,'Barang Keluar'!$C:$C,N26089))</f>
        <v>0</v>
      </c>
    </row>
    <row r="26090" spans="13:16">
      <c r="M26090" s="49">
        <f>IF($A$4+260&gt;$B$4,"",$A$4+260)</f>
        <v>46283</v>
      </c>
      <c r="N26090">
        <f>IF(M26090="","",'Master Barang'!A84)</f>
        <v>0</v>
      </c>
      <c r="O26090">
        <f>IF(N26090="","",'Master Barang'!B84)</f>
        <v>0</v>
      </c>
      <c r="P26090">
        <f>IF(OR(M26090="",N26090=""),"",SUMIFS('Barang Keluar'!$E:$E,'Barang Keluar'!$A:$A,M26090,'Barang Keluar'!$C:$C,N26090))</f>
        <v>0</v>
      </c>
    </row>
    <row r="26091" spans="13:16">
      <c r="M26091" s="49">
        <f>IF($A$4+260&gt;$B$4,"",$A$4+260)</f>
        <v>46283</v>
      </c>
      <c r="N26091">
        <f>IF(M26091="","",'Master Barang'!A85)</f>
        <v>0</v>
      </c>
      <c r="O26091">
        <f>IF(N26091="","",'Master Barang'!B85)</f>
        <v>0</v>
      </c>
      <c r="P26091">
        <f>IF(OR(M26091="",N26091=""),"",SUMIFS('Barang Keluar'!$E:$E,'Barang Keluar'!$A:$A,M26091,'Barang Keluar'!$C:$C,N26091))</f>
        <v>0</v>
      </c>
    </row>
    <row r="26092" spans="13:16">
      <c r="M26092" s="49">
        <f>IF($A$4+260&gt;$B$4,"",$A$4+260)</f>
        <v>46283</v>
      </c>
      <c r="N26092">
        <f>IF(M26092="","",'Master Barang'!A86)</f>
        <v>0</v>
      </c>
      <c r="O26092">
        <f>IF(N26092="","",'Master Barang'!B86)</f>
        <v>0</v>
      </c>
      <c r="P26092">
        <f>IF(OR(M26092="",N26092=""),"",SUMIFS('Barang Keluar'!$E:$E,'Barang Keluar'!$A:$A,M26092,'Barang Keluar'!$C:$C,N26092))</f>
        <v>0</v>
      </c>
    </row>
    <row r="26093" spans="13:16">
      <c r="M26093" s="49">
        <f>IF($A$4+260&gt;$B$4,"",$A$4+260)</f>
        <v>46283</v>
      </c>
      <c r="N26093">
        <f>IF(M26093="","",'Master Barang'!A87)</f>
        <v>0</v>
      </c>
      <c r="O26093">
        <f>IF(N26093="","",'Master Barang'!B87)</f>
        <v>0</v>
      </c>
      <c r="P26093">
        <f>IF(OR(M26093="",N26093=""),"",SUMIFS('Barang Keluar'!$E:$E,'Barang Keluar'!$A:$A,M26093,'Barang Keluar'!$C:$C,N26093))</f>
        <v>0</v>
      </c>
    </row>
    <row r="26094" spans="13:16">
      <c r="M26094" s="49">
        <f>IF($A$4+260&gt;$B$4,"",$A$4+260)</f>
        <v>46283</v>
      </c>
      <c r="N26094">
        <f>IF(M26094="","",'Master Barang'!A88)</f>
        <v>0</v>
      </c>
      <c r="O26094">
        <f>IF(N26094="","",'Master Barang'!B88)</f>
        <v>0</v>
      </c>
      <c r="P26094">
        <f>IF(OR(M26094="",N26094=""),"",SUMIFS('Barang Keluar'!$E:$E,'Barang Keluar'!$A:$A,M26094,'Barang Keluar'!$C:$C,N26094))</f>
        <v>0</v>
      </c>
    </row>
    <row r="26095" spans="13:16">
      <c r="M26095" s="49">
        <f>IF($A$4+260&gt;$B$4,"",$A$4+260)</f>
        <v>46283</v>
      </c>
      <c r="N26095">
        <f>IF(M26095="","",'Master Barang'!A89)</f>
        <v>0</v>
      </c>
      <c r="O26095">
        <f>IF(N26095="","",'Master Barang'!B89)</f>
        <v>0</v>
      </c>
      <c r="P26095">
        <f>IF(OR(M26095="",N26095=""),"",SUMIFS('Barang Keluar'!$E:$E,'Barang Keluar'!$A:$A,M26095,'Barang Keluar'!$C:$C,N26095))</f>
        <v>0</v>
      </c>
    </row>
    <row r="26096" spans="13:16">
      <c r="M26096" s="49">
        <f>IF($A$4+260&gt;$B$4,"",$A$4+260)</f>
        <v>46283</v>
      </c>
      <c r="N26096">
        <f>IF(M26096="","",'Master Barang'!A90)</f>
        <v>0</v>
      </c>
      <c r="O26096">
        <f>IF(N26096="","",'Master Barang'!B90)</f>
        <v>0</v>
      </c>
      <c r="P26096">
        <f>IF(OR(M26096="",N26096=""),"",SUMIFS('Barang Keluar'!$E:$E,'Barang Keluar'!$A:$A,M26096,'Barang Keluar'!$C:$C,N26096))</f>
        <v>0</v>
      </c>
    </row>
    <row r="26097" spans="13:16">
      <c r="M26097" s="49">
        <f>IF($A$4+260&gt;$B$4,"",$A$4+260)</f>
        <v>46283</v>
      </c>
      <c r="N26097">
        <f>IF(M26097="","",'Master Barang'!A91)</f>
        <v>0</v>
      </c>
      <c r="O26097">
        <f>IF(N26097="","",'Master Barang'!B91)</f>
        <v>0</v>
      </c>
      <c r="P26097">
        <f>IF(OR(M26097="",N26097=""),"",SUMIFS('Barang Keluar'!$E:$E,'Barang Keluar'!$A:$A,M26097,'Barang Keluar'!$C:$C,N26097))</f>
        <v>0</v>
      </c>
    </row>
    <row r="26098" spans="13:16">
      <c r="M26098" s="49">
        <f>IF($A$4+260&gt;$B$4,"",$A$4+260)</f>
        <v>46283</v>
      </c>
      <c r="N26098">
        <f>IF(M26098="","",'Master Barang'!A92)</f>
        <v>0</v>
      </c>
      <c r="O26098">
        <f>IF(N26098="","",'Master Barang'!B92)</f>
        <v>0</v>
      </c>
      <c r="P26098">
        <f>IF(OR(M26098="",N26098=""),"",SUMIFS('Barang Keluar'!$E:$E,'Barang Keluar'!$A:$A,M26098,'Barang Keluar'!$C:$C,N26098))</f>
        <v>0</v>
      </c>
    </row>
    <row r="26099" spans="13:16">
      <c r="M26099" s="49">
        <f>IF($A$4+260&gt;$B$4,"",$A$4+260)</f>
        <v>46283</v>
      </c>
      <c r="N26099">
        <f>IF(M26099="","",'Master Barang'!A93)</f>
        <v>0</v>
      </c>
      <c r="O26099">
        <f>IF(N26099="","",'Master Barang'!B93)</f>
        <v>0</v>
      </c>
      <c r="P26099">
        <f>IF(OR(M26099="",N26099=""),"",SUMIFS('Barang Keluar'!$E:$E,'Barang Keluar'!$A:$A,M26099,'Barang Keluar'!$C:$C,N26099))</f>
        <v>0</v>
      </c>
    </row>
    <row r="26100" spans="13:16">
      <c r="M26100" s="49">
        <f>IF($A$4+260&gt;$B$4,"",$A$4+260)</f>
        <v>46283</v>
      </c>
      <c r="N26100">
        <f>IF(M26100="","",'Master Barang'!A94)</f>
        <v>0</v>
      </c>
      <c r="O26100">
        <f>IF(N26100="","",'Master Barang'!B94)</f>
        <v>0</v>
      </c>
      <c r="P26100">
        <f>IF(OR(M26100="",N26100=""),"",SUMIFS('Barang Keluar'!$E:$E,'Barang Keluar'!$A:$A,M26100,'Barang Keluar'!$C:$C,N26100))</f>
        <v>0</v>
      </c>
    </row>
    <row r="26101" spans="13:16">
      <c r="M26101" s="49">
        <f>IF($A$4+260&gt;$B$4,"",$A$4+260)</f>
        <v>46283</v>
      </c>
      <c r="N26101">
        <f>IF(M26101="","",'Master Barang'!A95)</f>
        <v>0</v>
      </c>
      <c r="O26101">
        <f>IF(N26101="","",'Master Barang'!B95)</f>
        <v>0</v>
      </c>
      <c r="P26101">
        <f>IF(OR(M26101="",N26101=""),"",SUMIFS('Barang Keluar'!$E:$E,'Barang Keluar'!$A:$A,M26101,'Barang Keluar'!$C:$C,N26101))</f>
        <v>0</v>
      </c>
    </row>
    <row r="26102" spans="13:16">
      <c r="M26102" s="49">
        <f>IF($A$4+260&gt;$B$4,"",$A$4+260)</f>
        <v>46283</v>
      </c>
      <c r="N26102">
        <f>IF(M26102="","",'Master Barang'!A96)</f>
        <v>0</v>
      </c>
      <c r="O26102">
        <f>IF(N26102="","",'Master Barang'!B96)</f>
        <v>0</v>
      </c>
      <c r="P26102">
        <f>IF(OR(M26102="",N26102=""),"",SUMIFS('Barang Keluar'!$E:$E,'Barang Keluar'!$A:$A,M26102,'Barang Keluar'!$C:$C,N26102))</f>
        <v>0</v>
      </c>
    </row>
    <row r="26103" spans="13:16">
      <c r="M26103" s="49">
        <f>IF($A$4+260&gt;$B$4,"",$A$4+260)</f>
        <v>46283</v>
      </c>
      <c r="N26103">
        <f>IF(M26103="","",'Master Barang'!A97)</f>
        <v>0</v>
      </c>
      <c r="O26103">
        <f>IF(N26103="","",'Master Barang'!B97)</f>
        <v>0</v>
      </c>
      <c r="P26103">
        <f>IF(OR(M26103="",N26103=""),"",SUMIFS('Barang Keluar'!$E:$E,'Barang Keluar'!$A:$A,M26103,'Barang Keluar'!$C:$C,N26103))</f>
        <v>0</v>
      </c>
    </row>
    <row r="26104" spans="13:16">
      <c r="M26104" s="49">
        <f>IF($A$4+260&gt;$B$4,"",$A$4+260)</f>
        <v>46283</v>
      </c>
      <c r="N26104">
        <f>IF(M26104="","",'Master Barang'!A98)</f>
        <v>0</v>
      </c>
      <c r="O26104">
        <f>IF(N26104="","",'Master Barang'!B98)</f>
        <v>0</v>
      </c>
      <c r="P26104">
        <f>IF(OR(M26104="",N26104=""),"",SUMIFS('Barang Keluar'!$E:$E,'Barang Keluar'!$A:$A,M26104,'Barang Keluar'!$C:$C,N26104))</f>
        <v>0</v>
      </c>
    </row>
    <row r="26105" spans="13:16">
      <c r="M26105" s="49">
        <f>IF($A$4+260&gt;$B$4,"",$A$4+260)</f>
        <v>46283</v>
      </c>
      <c r="N26105">
        <f>IF(M26105="","",'Master Barang'!A99)</f>
        <v>0</v>
      </c>
      <c r="O26105">
        <f>IF(N26105="","",'Master Barang'!B99)</f>
        <v>0</v>
      </c>
      <c r="P26105">
        <f>IF(OR(M26105="",N26105=""),"",SUMIFS('Barang Keluar'!$E:$E,'Barang Keluar'!$A:$A,M26105,'Barang Keluar'!$C:$C,N26105))</f>
        <v>0</v>
      </c>
    </row>
    <row r="26106" spans="13:16">
      <c r="M26106" s="49">
        <f>IF($A$4+260&gt;$B$4,"",$A$4+260)</f>
        <v>46283</v>
      </c>
      <c r="N26106">
        <f>IF(M26106="","",'Master Barang'!A100)</f>
        <v>0</v>
      </c>
      <c r="O26106">
        <f>IF(N26106="","",'Master Barang'!B100)</f>
        <v>0</v>
      </c>
      <c r="P26106">
        <f>IF(OR(M26106="",N26106=""),"",SUMIFS('Barang Keluar'!$E:$E,'Barang Keluar'!$A:$A,M26106,'Barang Keluar'!$C:$C,N26106))</f>
        <v>0</v>
      </c>
    </row>
    <row r="26107" spans="13:16">
      <c r="M26107" s="49">
        <f>IF($A$4+260&gt;$B$4,"",$A$4+260)</f>
        <v>46283</v>
      </c>
      <c r="N26107">
        <f>IF(M26107="","",'Master Barang'!A101)</f>
        <v>0</v>
      </c>
      <c r="O26107">
        <f>IF(N26107="","",'Master Barang'!B101)</f>
        <v>0</v>
      </c>
      <c r="P26107">
        <f>IF(OR(M26107="",N26107=""),"",SUMIFS('Barang Keluar'!$E:$E,'Barang Keluar'!$A:$A,M26107,'Barang Keluar'!$C:$C,N26107))</f>
        <v>0</v>
      </c>
    </row>
    <row r="26108" spans="13:16">
      <c r="M26108" s="49">
        <f>IF($A$4+261&gt;$B$4,"",$A$4+261)</f>
        <v>46284</v>
      </c>
      <c r="N26108" t="str">
        <f>IF(M26108="","",'Master Barang'!A2)</f>
        <v>PRL-001</v>
      </c>
      <c r="O26108" t="str">
        <f>IF(N26108="","",'Master Barang'!B2)</f>
        <v>natura desinfectant food grade 5l</v>
      </c>
      <c r="P26108">
        <f>IF(OR(M26108="",N26108=""),"",SUMIFS('Barang Keluar'!$E:$E,'Barang Keluar'!$A:$A,M26108,'Barang Keluar'!$C:$C,N26108))</f>
        <v>0</v>
      </c>
    </row>
    <row r="26109" spans="13:16">
      <c r="M26109" s="49">
        <f>IF($A$4+261&gt;$B$4,"",$A$4+261)</f>
        <v>46284</v>
      </c>
      <c r="N26109" t="str">
        <f>IF(M26109="","",'Master Barang'!A3)</f>
        <v>PRL-002</v>
      </c>
      <c r="O26109" t="str">
        <f>IF(N26109="","",'Master Barang'!B3)</f>
        <v>sunlight cairan pencuci piring 5l</v>
      </c>
      <c r="P26109">
        <f>IF(OR(M26109="",N26109=""),"",SUMIFS('Barang Keluar'!$E:$E,'Barang Keluar'!$A:$A,M26109,'Barang Keluar'!$C:$C,N26109))</f>
        <v>0</v>
      </c>
    </row>
    <row r="26110" spans="13:16">
      <c r="M26110" s="49">
        <f>IF($A$4+261&gt;$B$4,"",$A$4+261)</f>
        <v>46284</v>
      </c>
      <c r="N26110" t="str">
        <f>IF(M26110="","",'Master Barang'!A4)</f>
        <v>PRL-003</v>
      </c>
      <c r="O26110" t="str">
        <f>IF(N26110="","",'Master Barang'!B4)</f>
        <v>oixs cleaner 1l</v>
      </c>
      <c r="P26110">
        <f>IF(OR(M26110="",N26110=""),"",SUMIFS('Barang Keluar'!$E:$E,'Barang Keluar'!$A:$A,M26110,'Barang Keluar'!$C:$C,N26110))</f>
        <v>0</v>
      </c>
    </row>
    <row r="26111" spans="13:16">
      <c r="M26111" s="49">
        <f>IF($A$4+261&gt;$B$4,"",$A$4+261)</f>
        <v>46284</v>
      </c>
      <c r="N26111" t="str">
        <f>IF(M26111="","",'Master Barang'!A5)</f>
        <v>PRL-004</v>
      </c>
      <c r="O26111" t="str">
        <f>IF(N26111="","",'Master Barang'!B5)</f>
        <v>be clean tissue serbaguna</v>
      </c>
      <c r="P26111">
        <f>IF(OR(M26111="",N26111=""),"",SUMIFS('Barang Keluar'!$E:$E,'Barang Keluar'!$A:$A,M26111,'Barang Keluar'!$C:$C,N26111))</f>
        <v>0</v>
      </c>
    </row>
    <row r="26112" spans="13:16">
      <c r="M26112" s="49">
        <f>IF($A$4+261&gt;$B$4,"",$A$4+261)</f>
        <v>46284</v>
      </c>
      <c r="N26112" t="str">
        <f>IF(M26112="","",'Master Barang'!A6)</f>
        <v>PRL-005</v>
      </c>
      <c r="O26112" t="str">
        <f>IF(N26112="","",'Master Barang'!B6)</f>
        <v>spons cuci hijau</v>
      </c>
      <c r="P26112">
        <f>IF(OR(M26112="",N26112=""),"",SUMIFS('Barang Keluar'!$E:$E,'Barang Keluar'!$A:$A,M26112,'Barang Keluar'!$C:$C,N26112))</f>
        <v>0</v>
      </c>
    </row>
    <row r="26113" spans="13:16">
      <c r="M26113" s="49">
        <f>IF($A$4+261&gt;$B$4,"",$A$4+261)</f>
        <v>46284</v>
      </c>
      <c r="N26113" t="str">
        <f>IF(M26113="","",'Master Barang'!A7)</f>
        <v>PRL-006</v>
      </c>
      <c r="O26113" t="str">
        <f>IF(N26113="","",'Master Barang'!B7)</f>
        <v>sabut cuci stainless</v>
      </c>
      <c r="P26113">
        <f>IF(OR(M26113="",N26113=""),"",SUMIFS('Barang Keluar'!$E:$E,'Barang Keluar'!$A:$A,M26113,'Barang Keluar'!$C:$C,N26113))</f>
        <v>0</v>
      </c>
    </row>
    <row r="26114" spans="13:16">
      <c r="M26114" s="49">
        <f>IF($A$4+261&gt;$B$4,"",$A$4+261)</f>
        <v>46284</v>
      </c>
      <c r="N26114" t="str">
        <f>IF(M26114="","",'Master Barang'!A8)</f>
        <v>PRL-007</v>
      </c>
      <c r="O26114" t="str">
        <f>IF(N26114="","",'Master Barang'!B8)</f>
        <v>plastik kresek besar merah 50pc</v>
      </c>
      <c r="P26114">
        <f>IF(OR(M26114="",N26114=""),"",SUMIFS('Barang Keluar'!$E:$E,'Barang Keluar'!$A:$A,M26114,'Barang Keluar'!$C:$C,N26114))</f>
        <v>0</v>
      </c>
    </row>
    <row r="26115" spans="13:16">
      <c r="M26115" s="49">
        <f>IF($A$4+261&gt;$B$4,"",$A$4+261)</f>
        <v>46284</v>
      </c>
      <c r="N26115" t="str">
        <f>IF(M26115="","",'Master Barang'!A9)</f>
        <v>PRL-008</v>
      </c>
      <c r="O26115" t="str">
        <f>IF(N26115="","",'Master Barang'!B9)</f>
        <v>lap besar</v>
      </c>
      <c r="P26115">
        <f>IF(OR(M26115="",N26115=""),"",SUMIFS('Barang Keluar'!$E:$E,'Barang Keluar'!$A:$A,M26115,'Barang Keluar'!$C:$C,N26115))</f>
        <v>0</v>
      </c>
    </row>
    <row r="26116" spans="13:16">
      <c r="M26116" s="49">
        <f>IF($A$4+261&gt;$B$4,"",$A$4+261)</f>
        <v>46284</v>
      </c>
      <c r="N26116" t="str">
        <f>IF(M26116="","",'Master Barang'!A10)</f>
        <v>PRL-009</v>
      </c>
      <c r="O26116" t="str">
        <f>IF(N26116="","",'Master Barang'!B10)</f>
        <v>lap microfiber</v>
      </c>
      <c r="P26116">
        <f>IF(OR(M26116="",N26116=""),"",SUMIFS('Barang Keluar'!$E:$E,'Barang Keluar'!$A:$A,M26116,'Barang Keluar'!$C:$C,N26116))</f>
        <v>0</v>
      </c>
    </row>
    <row r="26117" spans="13:16">
      <c r="M26117" s="49">
        <f>IF($A$4+261&gt;$B$4,"",$A$4+261)</f>
        <v>46284</v>
      </c>
      <c r="N26117" t="str">
        <f>IF(M26117="","",'Master Barang'!A11)</f>
        <v>PRL-010</v>
      </c>
      <c r="O26117" t="str">
        <f>IF(N26117="","",'Master Barang'!B11)</f>
        <v>lap kecil</v>
      </c>
      <c r="P26117">
        <f>IF(OR(M26117="",N26117=""),"",SUMIFS('Barang Keluar'!$E:$E,'Barang Keluar'!$A:$A,M26117,'Barang Keluar'!$C:$C,N26117))</f>
        <v>0</v>
      </c>
    </row>
    <row r="26118" spans="13:16">
      <c r="M26118" s="49">
        <f>IF($A$4+261&gt;$B$4,"",$A$4+261)</f>
        <v>46284</v>
      </c>
      <c r="N26118" t="str">
        <f>IF(M26118="","",'Master Barang'!A12)</f>
        <v>PRL-011</v>
      </c>
      <c r="O26118" t="str">
        <f>IF(N26118="","",'Master Barang'!B12)</f>
        <v>kanebo kecil</v>
      </c>
      <c r="P26118">
        <f>IF(OR(M26118="",N26118=""),"",SUMIFS('Barang Keluar'!$E:$E,'Barang Keluar'!$A:$A,M26118,'Barang Keluar'!$C:$C,N26118))</f>
        <v>0</v>
      </c>
    </row>
    <row r="26119" spans="13:16">
      <c r="M26119" s="49">
        <f>IF($A$4+261&gt;$B$4,"",$A$4+261)</f>
        <v>46284</v>
      </c>
      <c r="N26119" t="str">
        <f>IF(M26119="","",'Master Barang'!A13)</f>
        <v>PRL-012</v>
      </c>
      <c r="O26119" t="str">
        <f>IF(N26119="","",'Master Barang'!B13)</f>
        <v>plastik 1/4kg joyoboyo 100 lembar</v>
      </c>
      <c r="P26119">
        <f>IF(OR(M26119="",N26119=""),"",SUMIFS('Barang Keluar'!$E:$E,'Barang Keluar'!$A:$A,M26119,'Barang Keluar'!$C:$C,N26119))</f>
        <v>0</v>
      </c>
    </row>
    <row r="26120" spans="13:16">
      <c r="M26120" s="49">
        <f>IF($A$4+261&gt;$B$4,"",$A$4+261)</f>
        <v>46284</v>
      </c>
      <c r="N26120" t="str">
        <f>IF(M26120="","",'Master Barang'!A14)</f>
        <v>PRL-013</v>
      </c>
      <c r="O26120" t="str">
        <f>IF(N26120="","",'Master Barang'!B14)</f>
        <v>sarung tangan plastik kaka 100 pcs</v>
      </c>
      <c r="P26120">
        <f>IF(OR(M26120="",N26120=""),"",SUMIFS('Barang Keluar'!$E:$E,'Barang Keluar'!$A:$A,M26120,'Barang Keluar'!$C:$C,N26120))</f>
        <v>0</v>
      </c>
    </row>
    <row r="26121" spans="13:16">
      <c r="M26121" s="49">
        <f>IF($A$4+261&gt;$B$4,"",$A$4+261)</f>
        <v>46284</v>
      </c>
      <c r="N26121" t="str">
        <f>IF(M26121="","",'Master Barang'!A15)</f>
        <v>PRL-014</v>
      </c>
      <c r="O26121" t="str">
        <f>IF(N26121="","",'Master Barang'!B15)</f>
        <v>optima trashbag 80x100</v>
      </c>
      <c r="P26121">
        <f>IF(OR(M26121="",N26121=""),"",SUMIFS('Barang Keluar'!$E:$E,'Barang Keluar'!$A:$A,M26121,'Barang Keluar'!$C:$C,N26121))</f>
        <v>0</v>
      </c>
    </row>
    <row r="26122" spans="13:16">
      <c r="M26122" s="49">
        <f>IF($A$4+261&gt;$B$4,"",$A$4+261)</f>
        <v>46284</v>
      </c>
      <c r="N26122" t="str">
        <f>IF(M26122="","",'Master Barang'!A16)</f>
        <v>PRL-015</v>
      </c>
      <c r="O26122" t="str">
        <f>IF(N26122="","",'Master Barang'!B16)</f>
        <v>optima trashbag 60x100</v>
      </c>
      <c r="P26122">
        <f>IF(OR(M26122="",N26122=""),"",SUMIFS('Barang Keluar'!$E:$E,'Barang Keluar'!$A:$A,M26122,'Barang Keluar'!$C:$C,N26122))</f>
        <v>0</v>
      </c>
    </row>
    <row r="26123" spans="13:16">
      <c r="M26123" s="49">
        <f>IF($A$4+261&gt;$B$4,"",$A$4+261)</f>
        <v>46284</v>
      </c>
      <c r="N26123" t="str">
        <f>IF(M26123="","",'Master Barang'!A17)</f>
        <v>PRL-016</v>
      </c>
      <c r="O26123" t="str">
        <f>IF(N26123="","",'Master Barang'!B17)</f>
        <v>rajawali trashbag 30x40</v>
      </c>
      <c r="P26123">
        <f>IF(OR(M26123="",N26123=""),"",SUMIFS('Barang Keluar'!$E:$E,'Barang Keluar'!$A:$A,M26123,'Barang Keluar'!$C:$C,N26123))</f>
        <v>0</v>
      </c>
    </row>
    <row r="26124" spans="13:16">
      <c r="M26124" s="49">
        <f>IF($A$4+261&gt;$B$4,"",$A$4+261)</f>
        <v>46284</v>
      </c>
      <c r="N26124" t="str">
        <f>IF(M26124="","",'Master Barang'!A18)</f>
        <v>PRL-017</v>
      </c>
      <c r="O26124" t="str">
        <f>IF(N26124="","",'Master Barang'!B18)</f>
        <v>onemed masker biru 3 play 50 pcs</v>
      </c>
      <c r="P26124">
        <f>IF(OR(M26124="",N26124=""),"",SUMIFS('Barang Keluar'!$E:$E,'Barang Keluar'!$A:$A,M26124,'Barang Keluar'!$C:$C,N26124))</f>
        <v>0</v>
      </c>
    </row>
    <row r="26125" spans="13:16">
      <c r="M26125" s="49">
        <f>IF($A$4+261&gt;$B$4,"",$A$4+261)</f>
        <v>46284</v>
      </c>
      <c r="N26125" t="str">
        <f>IF(M26125="","",'Master Barang'!A19)</f>
        <v>PRL-018</v>
      </c>
      <c r="O26125" t="str">
        <f>IF(N26125="","",'Master Barang'!B19)</f>
        <v>onemed masker biru 3 play hijab 50 pcs</v>
      </c>
      <c r="P26125">
        <f>IF(OR(M26125="",N26125=""),"",SUMIFS('Barang Keluar'!$E:$E,'Barang Keluar'!$A:$A,M26125,'Barang Keluar'!$C:$C,N26125))</f>
        <v>0</v>
      </c>
    </row>
    <row r="26126" spans="13:16">
      <c r="M26126" s="49">
        <f>IF($A$4+261&gt;$B$4,"",$A$4+261)</f>
        <v>46284</v>
      </c>
      <c r="N26126" t="str">
        <f>IF(M26126="","",'Master Barang'!A20)</f>
        <v>PRL-019</v>
      </c>
      <c r="O26126" t="str">
        <f>IF(N26126="","",'Master Barang'!B20)</f>
        <v>neo health masker biru 3 play 50 pcs</v>
      </c>
      <c r="P26126">
        <f>IF(OR(M26126="",N26126=""),"",SUMIFS('Barang Keluar'!$E:$E,'Barang Keluar'!$A:$A,M26126,'Barang Keluar'!$C:$C,N26126))</f>
        <v>0</v>
      </c>
    </row>
    <row r="26127" spans="13:16">
      <c r="M26127" s="49">
        <f>IF($A$4+261&gt;$B$4,"",$A$4+261)</f>
        <v>46284</v>
      </c>
      <c r="N26127" t="str">
        <f>IF(M26127="","",'Master Barang'!A21)</f>
        <v>PRL-020</v>
      </c>
      <c r="O26127" t="str">
        <f>IF(N26127="","",'Master Barang'!B21)</f>
        <v>baymed masker hijau 3 play hijau 50 pcs</v>
      </c>
      <c r="P26127">
        <f>IF(OR(M26127="",N26127=""),"",SUMIFS('Barang Keluar'!$E:$E,'Barang Keluar'!$A:$A,M26127,'Barang Keluar'!$C:$C,N26127))</f>
        <v>0</v>
      </c>
    </row>
    <row r="26128" spans="13:16">
      <c r="M26128" s="49">
        <f>IF($A$4+261&gt;$B$4,"",$A$4+261)</f>
        <v>46284</v>
      </c>
      <c r="N26128" t="str">
        <f>IF(M26128="","",'Master Barang'!A22)</f>
        <v>PRL-021</v>
      </c>
      <c r="O26128" t="str">
        <f>IF(N26128="","",'Master Barang'!B22)</f>
        <v>altamed nurse cap penutup kepala 100 pcs</v>
      </c>
      <c r="P26128">
        <f>IF(OR(M26128="",N26128=""),"",SUMIFS('Barang Keluar'!$E:$E,'Barang Keluar'!$A:$A,M26128,'Barang Keluar'!$C:$C,N26128))</f>
        <v>0</v>
      </c>
    </row>
    <row r="26129" spans="13:16">
      <c r="M26129" s="49">
        <f>IF($A$4+261&gt;$B$4,"",$A$4+261)</f>
        <v>46284</v>
      </c>
      <c r="N26129" t="str">
        <f>IF(M26129="","",'Master Barang'!A23)</f>
        <v>PRL-022</v>
      </c>
      <c r="O26129" t="str">
        <f>IF(N26129="","",'Master Barang'!B23)</f>
        <v>sabun cuci tangan</v>
      </c>
      <c r="P26129">
        <f>IF(OR(M26129="",N26129=""),"",SUMIFS('Barang Keluar'!$E:$E,'Barang Keluar'!$A:$A,M26129,'Barang Keluar'!$C:$C,N26129))</f>
        <v>0</v>
      </c>
    </row>
    <row r="26130" spans="13:16">
      <c r="M26130" s="49">
        <f>IF($A$4+261&gt;$B$4,"",$A$4+261)</f>
        <v>46284</v>
      </c>
      <c r="N26130" t="str">
        <f>IF(M26130="","",'Master Barang'!A24)</f>
        <v>PRL-023</v>
      </c>
      <c r="O26130" t="str">
        <f>IF(N26130="","",'Master Barang'!B24)</f>
        <v>gayung kecil</v>
      </c>
      <c r="P26130">
        <f>IF(OR(M26130="",N26130=""),"",SUMIFS('Barang Keluar'!$E:$E,'Barang Keluar'!$A:$A,M26130,'Barang Keluar'!$C:$C,N26130))</f>
        <v>0</v>
      </c>
    </row>
    <row r="26131" spans="13:16">
      <c r="M26131" s="49">
        <f>IF($A$4+261&gt;$B$4,"",$A$4+261)</f>
        <v>46284</v>
      </c>
      <c r="N26131" t="str">
        <f>IF(M26131="","",'Master Barang'!A25)</f>
        <v>PRL-024</v>
      </c>
      <c r="O26131" t="str">
        <f>IF(N26131="","",'Master Barang'!B25)</f>
        <v>cikrak kecil</v>
      </c>
      <c r="P26131">
        <f>IF(OR(M26131="",N26131=""),"",SUMIFS('Barang Keluar'!$E:$E,'Barang Keluar'!$A:$A,M26131,'Barang Keluar'!$C:$C,N26131))</f>
        <v>0</v>
      </c>
    </row>
    <row r="26132" spans="13:16">
      <c r="M26132" s="49">
        <f>IF($A$4+261&gt;$B$4,"",$A$4+261)</f>
        <v>46284</v>
      </c>
      <c r="N26132" t="str">
        <f>IF(M26132="","",'Master Barang'!A26)</f>
        <v>PRL-025</v>
      </c>
      <c r="O26132" t="str">
        <f>IF(N26132="","",'Master Barang'!B26)</f>
        <v>petromax plastik kecil 12x24 100 lembar</v>
      </c>
      <c r="P26132">
        <f>IF(OR(M26132="",N26132=""),"",SUMIFS('Barang Keluar'!$E:$E,'Barang Keluar'!$A:$A,M26132,'Barang Keluar'!$C:$C,N26132))</f>
        <v>0</v>
      </c>
    </row>
    <row r="26133" spans="13:16">
      <c r="M26133" s="49">
        <f>IF($A$4+261&gt;$B$4,"",$A$4+261)</f>
        <v>46284</v>
      </c>
      <c r="N26133" t="str">
        <f>IF(M26133="","",'Master Barang'!A27)</f>
        <v>PRL-026</v>
      </c>
      <c r="O26133" t="str">
        <f>IF(N26133="","",'Master Barang'!B27)</f>
        <v>lancar kresek kecil bening </v>
      </c>
      <c r="P26133">
        <f>IF(OR(M26133="",N26133=""),"",SUMIFS('Barang Keluar'!$E:$E,'Barang Keluar'!$A:$A,M26133,'Barang Keluar'!$C:$C,N26133))</f>
        <v>0</v>
      </c>
    </row>
    <row r="26134" spans="13:16">
      <c r="M26134" s="49">
        <f>IF($A$4+261&gt;$B$4,"",$A$4+261)</f>
        <v>46284</v>
      </c>
      <c r="N26134" t="str">
        <f>IF(M26134="","",'Master Barang'!A28)</f>
        <v>PRL-027</v>
      </c>
      <c r="O26134" t="str">
        <f>IF(N26134="","",'Master Barang'!B28)</f>
        <v>kresek klin warna warni kecil</v>
      </c>
      <c r="P26134">
        <f>IF(OR(M26134="",N26134=""),"",SUMIFS('Barang Keluar'!$E:$E,'Barang Keluar'!$A:$A,M26134,'Barang Keluar'!$C:$C,N26134))</f>
        <v>0</v>
      </c>
    </row>
    <row r="26135" spans="13:16">
      <c r="M26135" s="49">
        <f>IF($A$4+261&gt;$B$4,"",$A$4+261)</f>
        <v>46284</v>
      </c>
      <c r="N26135" t="str">
        <f>IF(M26135="","",'Master Barang'!A29)</f>
        <v>PRL-028</v>
      </c>
      <c r="O26135" t="str">
        <f>IF(N26135="","",'Master Barang'!B29)</f>
        <v>ctik plastik 7x10 100 pcs</v>
      </c>
      <c r="P26135">
        <f>IF(OR(M26135="",N26135=""),"",SUMIFS('Barang Keluar'!$E:$E,'Barang Keluar'!$A:$A,M26135,'Barang Keluar'!$C:$C,N26135))</f>
        <v>0</v>
      </c>
    </row>
    <row r="26136" spans="13:16">
      <c r="M26136" s="49">
        <f>IF($A$4+261&gt;$B$4,"",$A$4+261)</f>
        <v>46284</v>
      </c>
      <c r="N26136" t="str">
        <f>IF(M26136="","",'Master Barang'!A30)</f>
        <v>PRL-029</v>
      </c>
      <c r="O26136" t="str">
        <f>IF(N26136="","",'Master Barang'!B30)</f>
        <v>ctik plastik 6x10 100 pcs</v>
      </c>
      <c r="P26136">
        <f>IF(OR(M26136="",N26136=""),"",SUMIFS('Barang Keluar'!$E:$E,'Barang Keluar'!$A:$A,M26136,'Barang Keluar'!$C:$C,N26136))</f>
        <v>0</v>
      </c>
    </row>
    <row r="26137" spans="13:16">
      <c r="M26137" s="49">
        <f>IF($A$4+261&gt;$B$4,"",$A$4+261)</f>
        <v>46284</v>
      </c>
      <c r="N26137" t="str">
        <f>IF(M26137="","",'Master Barang'!A31)</f>
        <v>PRL-030</v>
      </c>
      <c r="O26137" t="str">
        <f>IF(N26137="","",'Master Barang'!B31)</f>
        <v>klip plastik 25x16 100 pcs</v>
      </c>
      <c r="P26137">
        <f>IF(OR(M26137="",N26137=""),"",SUMIFS('Barang Keluar'!$E:$E,'Barang Keluar'!$A:$A,M26137,'Barang Keluar'!$C:$C,N26137))</f>
        <v>0</v>
      </c>
    </row>
    <row r="26138" spans="13:16">
      <c r="M26138" s="49">
        <f>IF($A$4+261&gt;$B$4,"",$A$4+261)</f>
        <v>46284</v>
      </c>
      <c r="N26138" t="str">
        <f>IF(M26138="","",'Master Barang'!A32)</f>
        <v>PRL-031</v>
      </c>
      <c r="O26138" t="str">
        <f>IF(N26138="","",'Master Barang'!B32)</f>
        <v>tempat saus 20 ml</v>
      </c>
      <c r="P26138">
        <f>IF(OR(M26138="",N26138=""),"",SUMIFS('Barang Keluar'!$E:$E,'Barang Keluar'!$A:$A,M26138,'Barang Keluar'!$C:$C,N26138))</f>
        <v>0</v>
      </c>
    </row>
    <row r="26139" spans="13:16">
      <c r="M26139" s="49">
        <f>IF($A$4+261&gt;$B$4,"",$A$4+261)</f>
        <v>46284</v>
      </c>
      <c r="N26139" t="str">
        <f>IF(M26139="","",'Master Barang'!A33)</f>
        <v>PRL-032</v>
      </c>
      <c r="O26139" t="str">
        <f>IF(N26139="","",'Master Barang'!B33)</f>
        <v>plastik packaging ag box uk sedang</v>
      </c>
      <c r="P26139">
        <f>IF(OR(M26139="",N26139=""),"",SUMIFS('Barang Keluar'!$E:$E,'Barang Keluar'!$A:$A,M26139,'Barang Keluar'!$C:$C,N26139))</f>
        <v>0</v>
      </c>
    </row>
    <row r="26140" spans="13:16">
      <c r="M26140" s="49">
        <f>IF($A$4+261&gt;$B$4,"",$A$4+261)</f>
        <v>46284</v>
      </c>
      <c r="N26140" t="str">
        <f>IF(M26140="","",'Master Barang'!A34)</f>
        <v>PRL-033</v>
      </c>
      <c r="O26140">
        <f>IF(N26140="","",'Master Barang'!B34)</f>
        <v>0</v>
      </c>
      <c r="P26140">
        <f>IF(OR(M26140="",N26140=""),"",SUMIFS('Barang Keluar'!$E:$E,'Barang Keluar'!$A:$A,M26140,'Barang Keluar'!$C:$C,N26140))</f>
        <v>0</v>
      </c>
    </row>
    <row r="26141" spans="13:16">
      <c r="M26141" s="49">
        <f>IF($A$4+261&gt;$B$4,"",$A$4+261)</f>
        <v>46284</v>
      </c>
      <c r="N26141">
        <f>IF(M26141="","",'Master Barang'!A35)</f>
        <v>0</v>
      </c>
      <c r="O26141">
        <f>IF(N26141="","",'Master Barang'!B35)</f>
        <v>0</v>
      </c>
      <c r="P26141">
        <f>IF(OR(M26141="",N26141=""),"",SUMIFS('Barang Keluar'!$E:$E,'Barang Keluar'!$A:$A,M26141,'Barang Keluar'!$C:$C,N26141))</f>
        <v>0</v>
      </c>
    </row>
    <row r="26142" spans="13:16">
      <c r="M26142" s="49">
        <f>IF($A$4+261&gt;$B$4,"",$A$4+261)</f>
        <v>46284</v>
      </c>
      <c r="N26142">
        <f>IF(M26142="","",'Master Barang'!A36)</f>
        <v>0</v>
      </c>
      <c r="O26142">
        <f>IF(N26142="","",'Master Barang'!B36)</f>
        <v>0</v>
      </c>
      <c r="P26142">
        <f>IF(OR(M26142="",N26142=""),"",SUMIFS('Barang Keluar'!$E:$E,'Barang Keluar'!$A:$A,M26142,'Barang Keluar'!$C:$C,N26142))</f>
        <v>0</v>
      </c>
    </row>
    <row r="26143" spans="13:16">
      <c r="M26143" s="49">
        <f>IF($A$4+261&gt;$B$4,"",$A$4+261)</f>
        <v>46284</v>
      </c>
      <c r="N26143">
        <f>IF(M26143="","",'Master Barang'!A37)</f>
        <v>0</v>
      </c>
      <c r="O26143">
        <f>IF(N26143="","",'Master Barang'!B37)</f>
        <v>0</v>
      </c>
      <c r="P26143">
        <f>IF(OR(M26143="",N26143=""),"",SUMIFS('Barang Keluar'!$E:$E,'Barang Keluar'!$A:$A,M26143,'Barang Keluar'!$C:$C,N26143))</f>
        <v>0</v>
      </c>
    </row>
    <row r="26144" spans="13:16">
      <c r="M26144" s="49">
        <f>IF($A$4+261&gt;$B$4,"",$A$4+261)</f>
        <v>46284</v>
      </c>
      <c r="N26144">
        <f>IF(M26144="","",'Master Barang'!A38)</f>
        <v>0</v>
      </c>
      <c r="O26144">
        <f>IF(N26144="","",'Master Barang'!B38)</f>
        <v>0</v>
      </c>
      <c r="P26144">
        <f>IF(OR(M26144="",N26144=""),"",SUMIFS('Barang Keluar'!$E:$E,'Barang Keluar'!$A:$A,M26144,'Barang Keluar'!$C:$C,N26144))</f>
        <v>0</v>
      </c>
    </row>
    <row r="26145" spans="13:16">
      <c r="M26145" s="49">
        <f>IF($A$4+261&gt;$B$4,"",$A$4+261)</f>
        <v>46284</v>
      </c>
      <c r="N26145">
        <f>IF(M26145="","",'Master Barang'!A39)</f>
        <v>0</v>
      </c>
      <c r="O26145">
        <f>IF(N26145="","",'Master Barang'!B39)</f>
        <v>0</v>
      </c>
      <c r="P26145">
        <f>IF(OR(M26145="",N26145=""),"",SUMIFS('Barang Keluar'!$E:$E,'Barang Keluar'!$A:$A,M26145,'Barang Keluar'!$C:$C,N26145))</f>
        <v>0</v>
      </c>
    </row>
    <row r="26146" spans="13:16">
      <c r="M26146" s="49">
        <f>IF($A$4+261&gt;$B$4,"",$A$4+261)</f>
        <v>46284</v>
      </c>
      <c r="N26146">
        <f>IF(M26146="","",'Master Barang'!A40)</f>
        <v>0</v>
      </c>
      <c r="O26146">
        <f>IF(N26146="","",'Master Barang'!B40)</f>
        <v>0</v>
      </c>
      <c r="P26146">
        <f>IF(OR(M26146="",N26146=""),"",SUMIFS('Barang Keluar'!$E:$E,'Barang Keluar'!$A:$A,M26146,'Barang Keluar'!$C:$C,N26146))</f>
        <v>0</v>
      </c>
    </row>
    <row r="26147" spans="13:16">
      <c r="M26147" s="49">
        <f>IF($A$4+261&gt;$B$4,"",$A$4+261)</f>
        <v>46284</v>
      </c>
      <c r="N26147">
        <f>IF(M26147="","",'Master Barang'!A41)</f>
        <v>0</v>
      </c>
      <c r="O26147">
        <f>IF(N26147="","",'Master Barang'!B41)</f>
        <v>0</v>
      </c>
      <c r="P26147">
        <f>IF(OR(M26147="",N26147=""),"",SUMIFS('Barang Keluar'!$E:$E,'Barang Keluar'!$A:$A,M26147,'Barang Keluar'!$C:$C,N26147))</f>
        <v>0</v>
      </c>
    </row>
    <row r="26148" spans="13:16">
      <c r="M26148" s="49">
        <f>IF($A$4+261&gt;$B$4,"",$A$4+261)</f>
        <v>46284</v>
      </c>
      <c r="N26148">
        <f>IF(M26148="","",'Master Barang'!A42)</f>
        <v>0</v>
      </c>
      <c r="O26148">
        <f>IF(N26148="","",'Master Barang'!B42)</f>
        <v>0</v>
      </c>
      <c r="P26148">
        <f>IF(OR(M26148="",N26148=""),"",SUMIFS('Barang Keluar'!$E:$E,'Barang Keluar'!$A:$A,M26148,'Barang Keluar'!$C:$C,N26148))</f>
        <v>0</v>
      </c>
    </row>
    <row r="26149" spans="13:16">
      <c r="M26149" s="49">
        <f>IF($A$4+261&gt;$B$4,"",$A$4+261)</f>
        <v>46284</v>
      </c>
      <c r="N26149">
        <f>IF(M26149="","",'Master Barang'!A43)</f>
        <v>0</v>
      </c>
      <c r="O26149">
        <f>IF(N26149="","",'Master Barang'!B43)</f>
        <v>0</v>
      </c>
      <c r="P26149">
        <f>IF(OR(M26149="",N26149=""),"",SUMIFS('Barang Keluar'!$E:$E,'Barang Keluar'!$A:$A,M26149,'Barang Keluar'!$C:$C,N26149))</f>
        <v>0</v>
      </c>
    </row>
    <row r="26150" spans="13:16">
      <c r="M26150" s="49">
        <f>IF($A$4+261&gt;$B$4,"",$A$4+261)</f>
        <v>46284</v>
      </c>
      <c r="N26150">
        <f>IF(M26150="","",'Master Barang'!A44)</f>
        <v>0</v>
      </c>
      <c r="O26150">
        <f>IF(N26150="","",'Master Barang'!B44)</f>
        <v>0</v>
      </c>
      <c r="P26150">
        <f>IF(OR(M26150="",N26150=""),"",SUMIFS('Barang Keluar'!$E:$E,'Barang Keluar'!$A:$A,M26150,'Barang Keluar'!$C:$C,N26150))</f>
        <v>0</v>
      </c>
    </row>
    <row r="26151" spans="13:16">
      <c r="M26151" s="49">
        <f>IF($A$4+261&gt;$B$4,"",$A$4+261)</f>
        <v>46284</v>
      </c>
      <c r="N26151">
        <f>IF(M26151="","",'Master Barang'!A45)</f>
        <v>0</v>
      </c>
      <c r="O26151">
        <f>IF(N26151="","",'Master Barang'!B45)</f>
        <v>0</v>
      </c>
      <c r="P26151">
        <f>IF(OR(M26151="",N26151=""),"",SUMIFS('Barang Keluar'!$E:$E,'Barang Keluar'!$A:$A,M26151,'Barang Keluar'!$C:$C,N26151))</f>
        <v>0</v>
      </c>
    </row>
    <row r="26152" spans="13:16">
      <c r="M26152" s="49">
        <f>IF($A$4+261&gt;$B$4,"",$A$4+261)</f>
        <v>46284</v>
      </c>
      <c r="N26152">
        <f>IF(M26152="","",'Master Barang'!A46)</f>
        <v>0</v>
      </c>
      <c r="O26152">
        <f>IF(N26152="","",'Master Barang'!B46)</f>
        <v>0</v>
      </c>
      <c r="P26152">
        <f>IF(OR(M26152="",N26152=""),"",SUMIFS('Barang Keluar'!$E:$E,'Barang Keluar'!$A:$A,M26152,'Barang Keluar'!$C:$C,N26152))</f>
        <v>0</v>
      </c>
    </row>
    <row r="26153" spans="13:16">
      <c r="M26153" s="49">
        <f>IF($A$4+261&gt;$B$4,"",$A$4+261)</f>
        <v>46284</v>
      </c>
      <c r="N26153">
        <f>IF(M26153="","",'Master Barang'!A47)</f>
        <v>0</v>
      </c>
      <c r="O26153">
        <f>IF(N26153="","",'Master Barang'!B47)</f>
        <v>0</v>
      </c>
      <c r="P26153">
        <f>IF(OR(M26153="",N26153=""),"",SUMIFS('Barang Keluar'!$E:$E,'Barang Keluar'!$A:$A,M26153,'Barang Keluar'!$C:$C,N26153))</f>
        <v>0</v>
      </c>
    </row>
    <row r="26154" spans="13:16">
      <c r="M26154" s="49">
        <f>IF($A$4+261&gt;$B$4,"",$A$4+261)</f>
        <v>46284</v>
      </c>
      <c r="N26154">
        <f>IF(M26154="","",'Master Barang'!A48)</f>
        <v>0</v>
      </c>
      <c r="O26154">
        <f>IF(N26154="","",'Master Barang'!B48)</f>
        <v>0</v>
      </c>
      <c r="P26154">
        <f>IF(OR(M26154="",N26154=""),"",SUMIFS('Barang Keluar'!$E:$E,'Barang Keluar'!$A:$A,M26154,'Barang Keluar'!$C:$C,N26154))</f>
        <v>0</v>
      </c>
    </row>
    <row r="26155" spans="13:16">
      <c r="M26155" s="49">
        <f>IF($A$4+261&gt;$B$4,"",$A$4+261)</f>
        <v>46284</v>
      </c>
      <c r="N26155">
        <f>IF(M26155="","",'Master Barang'!A49)</f>
        <v>0</v>
      </c>
      <c r="O26155">
        <f>IF(N26155="","",'Master Barang'!B49)</f>
        <v>0</v>
      </c>
      <c r="P26155">
        <f>IF(OR(M26155="",N26155=""),"",SUMIFS('Barang Keluar'!$E:$E,'Barang Keluar'!$A:$A,M26155,'Barang Keluar'!$C:$C,N26155))</f>
        <v>0</v>
      </c>
    </row>
    <row r="26156" spans="13:16">
      <c r="M26156" s="49">
        <f>IF($A$4+261&gt;$B$4,"",$A$4+261)</f>
        <v>46284</v>
      </c>
      <c r="N26156">
        <f>IF(M26156="","",'Master Barang'!A50)</f>
        <v>0</v>
      </c>
      <c r="O26156">
        <f>IF(N26156="","",'Master Barang'!B50)</f>
        <v>0</v>
      </c>
      <c r="P26156">
        <f>IF(OR(M26156="",N26156=""),"",SUMIFS('Barang Keluar'!$E:$E,'Barang Keluar'!$A:$A,M26156,'Barang Keluar'!$C:$C,N26156))</f>
        <v>0</v>
      </c>
    </row>
    <row r="26157" spans="13:16">
      <c r="M26157" s="49">
        <f>IF($A$4+261&gt;$B$4,"",$A$4+261)</f>
        <v>46284</v>
      </c>
      <c r="N26157">
        <f>IF(M26157="","",'Master Barang'!A51)</f>
        <v>0</v>
      </c>
      <c r="O26157">
        <f>IF(N26157="","",'Master Barang'!B51)</f>
        <v>0</v>
      </c>
      <c r="P26157">
        <f>IF(OR(M26157="",N26157=""),"",SUMIFS('Barang Keluar'!$E:$E,'Barang Keluar'!$A:$A,M26157,'Barang Keluar'!$C:$C,N26157))</f>
        <v>0</v>
      </c>
    </row>
    <row r="26158" spans="13:16">
      <c r="M26158" s="49">
        <f>IF($A$4+261&gt;$B$4,"",$A$4+261)</f>
        <v>46284</v>
      </c>
      <c r="N26158">
        <f>IF(M26158="","",'Master Barang'!A52)</f>
        <v>0</v>
      </c>
      <c r="O26158">
        <f>IF(N26158="","",'Master Barang'!B52)</f>
        <v>0</v>
      </c>
      <c r="P26158">
        <f>IF(OR(M26158="",N26158=""),"",SUMIFS('Barang Keluar'!$E:$E,'Barang Keluar'!$A:$A,M26158,'Barang Keluar'!$C:$C,N26158))</f>
        <v>0</v>
      </c>
    </row>
    <row r="26159" spans="13:16">
      <c r="M26159" s="49">
        <f>IF($A$4+261&gt;$B$4,"",$A$4+261)</f>
        <v>46284</v>
      </c>
      <c r="N26159">
        <f>IF(M26159="","",'Master Barang'!A53)</f>
        <v>0</v>
      </c>
      <c r="O26159">
        <f>IF(N26159="","",'Master Barang'!B53)</f>
        <v>0</v>
      </c>
      <c r="P26159">
        <f>IF(OR(M26159="",N26159=""),"",SUMIFS('Barang Keluar'!$E:$E,'Barang Keluar'!$A:$A,M26159,'Barang Keluar'!$C:$C,N26159))</f>
        <v>0</v>
      </c>
    </row>
    <row r="26160" spans="13:16">
      <c r="M26160" s="49">
        <f>IF($A$4+261&gt;$B$4,"",$A$4+261)</f>
        <v>46284</v>
      </c>
      <c r="N26160">
        <f>IF(M26160="","",'Master Barang'!A54)</f>
        <v>0</v>
      </c>
      <c r="O26160">
        <f>IF(N26160="","",'Master Barang'!B54)</f>
        <v>0</v>
      </c>
      <c r="P26160">
        <f>IF(OR(M26160="",N26160=""),"",SUMIFS('Barang Keluar'!$E:$E,'Barang Keluar'!$A:$A,M26160,'Barang Keluar'!$C:$C,N26160))</f>
        <v>0</v>
      </c>
    </row>
    <row r="26161" spans="13:16">
      <c r="M26161" s="49">
        <f>IF($A$4+261&gt;$B$4,"",$A$4+261)</f>
        <v>46284</v>
      </c>
      <c r="N26161">
        <f>IF(M26161="","",'Master Barang'!A55)</f>
        <v>0</v>
      </c>
      <c r="O26161">
        <f>IF(N26161="","",'Master Barang'!B55)</f>
        <v>0</v>
      </c>
      <c r="P26161">
        <f>IF(OR(M26161="",N26161=""),"",SUMIFS('Barang Keluar'!$E:$E,'Barang Keluar'!$A:$A,M26161,'Barang Keluar'!$C:$C,N26161))</f>
        <v>0</v>
      </c>
    </row>
    <row r="26162" spans="13:16">
      <c r="M26162" s="49">
        <f>IF($A$4+261&gt;$B$4,"",$A$4+261)</f>
        <v>46284</v>
      </c>
      <c r="N26162">
        <f>IF(M26162="","",'Master Barang'!A56)</f>
        <v>0</v>
      </c>
      <c r="O26162">
        <f>IF(N26162="","",'Master Barang'!B56)</f>
        <v>0</v>
      </c>
      <c r="P26162">
        <f>IF(OR(M26162="",N26162=""),"",SUMIFS('Barang Keluar'!$E:$E,'Barang Keluar'!$A:$A,M26162,'Barang Keluar'!$C:$C,N26162))</f>
        <v>0</v>
      </c>
    </row>
    <row r="26163" spans="13:16">
      <c r="M26163" s="49">
        <f>IF($A$4+261&gt;$B$4,"",$A$4+261)</f>
        <v>46284</v>
      </c>
      <c r="N26163">
        <f>IF(M26163="","",'Master Barang'!A57)</f>
        <v>0</v>
      </c>
      <c r="O26163">
        <f>IF(N26163="","",'Master Barang'!B57)</f>
        <v>0</v>
      </c>
      <c r="P26163">
        <f>IF(OR(M26163="",N26163=""),"",SUMIFS('Barang Keluar'!$E:$E,'Barang Keluar'!$A:$A,M26163,'Barang Keluar'!$C:$C,N26163))</f>
        <v>0</v>
      </c>
    </row>
    <row r="26164" spans="13:16">
      <c r="M26164" s="49">
        <f>IF($A$4+261&gt;$B$4,"",$A$4+261)</f>
        <v>46284</v>
      </c>
      <c r="N26164">
        <f>IF(M26164="","",'Master Barang'!A58)</f>
        <v>0</v>
      </c>
      <c r="O26164">
        <f>IF(N26164="","",'Master Barang'!B58)</f>
        <v>0</v>
      </c>
      <c r="P26164">
        <f>IF(OR(M26164="",N26164=""),"",SUMIFS('Barang Keluar'!$E:$E,'Barang Keluar'!$A:$A,M26164,'Barang Keluar'!$C:$C,N26164))</f>
        <v>0</v>
      </c>
    </row>
    <row r="26165" spans="13:16">
      <c r="M26165" s="49">
        <f>IF($A$4+261&gt;$B$4,"",$A$4+261)</f>
        <v>46284</v>
      </c>
      <c r="N26165">
        <f>IF(M26165="","",'Master Barang'!A59)</f>
        <v>0</v>
      </c>
      <c r="O26165">
        <f>IF(N26165="","",'Master Barang'!B59)</f>
        <v>0</v>
      </c>
      <c r="P26165">
        <f>IF(OR(M26165="",N26165=""),"",SUMIFS('Barang Keluar'!$E:$E,'Barang Keluar'!$A:$A,M26165,'Barang Keluar'!$C:$C,N26165))</f>
        <v>0</v>
      </c>
    </row>
    <row r="26166" spans="13:16">
      <c r="M26166" s="49">
        <f>IF($A$4+261&gt;$B$4,"",$A$4+261)</f>
        <v>46284</v>
      </c>
      <c r="N26166">
        <f>IF(M26166="","",'Master Barang'!A60)</f>
        <v>0</v>
      </c>
      <c r="O26166">
        <f>IF(N26166="","",'Master Barang'!B60)</f>
        <v>0</v>
      </c>
      <c r="P26166">
        <f>IF(OR(M26166="",N26166=""),"",SUMIFS('Barang Keluar'!$E:$E,'Barang Keluar'!$A:$A,M26166,'Barang Keluar'!$C:$C,N26166))</f>
        <v>0</v>
      </c>
    </row>
    <row r="26167" spans="13:16">
      <c r="M26167" s="49">
        <f>IF($A$4+261&gt;$B$4,"",$A$4+261)</f>
        <v>46284</v>
      </c>
      <c r="N26167">
        <f>IF(M26167="","",'Master Barang'!A61)</f>
        <v>0</v>
      </c>
      <c r="O26167">
        <f>IF(N26167="","",'Master Barang'!B61)</f>
        <v>0</v>
      </c>
      <c r="P26167">
        <f>IF(OR(M26167="",N26167=""),"",SUMIFS('Barang Keluar'!$E:$E,'Barang Keluar'!$A:$A,M26167,'Barang Keluar'!$C:$C,N26167))</f>
        <v>0</v>
      </c>
    </row>
    <row r="26168" spans="13:16">
      <c r="M26168" s="49">
        <f>IF($A$4+261&gt;$B$4,"",$A$4+261)</f>
        <v>46284</v>
      </c>
      <c r="N26168">
        <f>IF(M26168="","",'Master Barang'!A62)</f>
        <v>0</v>
      </c>
      <c r="O26168">
        <f>IF(N26168="","",'Master Barang'!B62)</f>
        <v>0</v>
      </c>
      <c r="P26168">
        <f>IF(OR(M26168="",N26168=""),"",SUMIFS('Barang Keluar'!$E:$E,'Barang Keluar'!$A:$A,M26168,'Barang Keluar'!$C:$C,N26168))</f>
        <v>0</v>
      </c>
    </row>
    <row r="26169" spans="13:16">
      <c r="M26169" s="49">
        <f>IF($A$4+261&gt;$B$4,"",$A$4+261)</f>
        <v>46284</v>
      </c>
      <c r="N26169">
        <f>IF(M26169="","",'Master Barang'!A63)</f>
        <v>0</v>
      </c>
      <c r="O26169">
        <f>IF(N26169="","",'Master Barang'!B63)</f>
        <v>0</v>
      </c>
      <c r="P26169">
        <f>IF(OR(M26169="",N26169=""),"",SUMIFS('Barang Keluar'!$E:$E,'Barang Keluar'!$A:$A,M26169,'Barang Keluar'!$C:$C,N26169))</f>
        <v>0</v>
      </c>
    </row>
    <row r="26170" spans="13:16">
      <c r="M26170" s="49">
        <f>IF($A$4+261&gt;$B$4,"",$A$4+261)</f>
        <v>46284</v>
      </c>
      <c r="N26170">
        <f>IF(M26170="","",'Master Barang'!A64)</f>
        <v>0</v>
      </c>
      <c r="O26170">
        <f>IF(N26170="","",'Master Barang'!B64)</f>
        <v>0</v>
      </c>
      <c r="P26170">
        <f>IF(OR(M26170="",N26170=""),"",SUMIFS('Barang Keluar'!$E:$E,'Barang Keluar'!$A:$A,M26170,'Barang Keluar'!$C:$C,N26170))</f>
        <v>0</v>
      </c>
    </row>
    <row r="26171" spans="13:16">
      <c r="M26171" s="49">
        <f>IF($A$4+261&gt;$B$4,"",$A$4+261)</f>
        <v>46284</v>
      </c>
      <c r="N26171">
        <f>IF(M26171="","",'Master Barang'!A65)</f>
        <v>0</v>
      </c>
      <c r="O26171">
        <f>IF(N26171="","",'Master Barang'!B65)</f>
        <v>0</v>
      </c>
      <c r="P26171">
        <f>IF(OR(M26171="",N26171=""),"",SUMIFS('Barang Keluar'!$E:$E,'Barang Keluar'!$A:$A,M26171,'Barang Keluar'!$C:$C,N26171))</f>
        <v>0</v>
      </c>
    </row>
    <row r="26172" spans="13:16">
      <c r="M26172" s="49">
        <f>IF($A$4+261&gt;$B$4,"",$A$4+261)</f>
        <v>46284</v>
      </c>
      <c r="N26172">
        <f>IF(M26172="","",'Master Barang'!A66)</f>
        <v>0</v>
      </c>
      <c r="O26172">
        <f>IF(N26172="","",'Master Barang'!B66)</f>
        <v>0</v>
      </c>
      <c r="P26172">
        <f>IF(OR(M26172="",N26172=""),"",SUMIFS('Barang Keluar'!$E:$E,'Barang Keluar'!$A:$A,M26172,'Barang Keluar'!$C:$C,N26172))</f>
        <v>0</v>
      </c>
    </row>
    <row r="26173" spans="13:16">
      <c r="M26173" s="49">
        <f>IF($A$4+261&gt;$B$4,"",$A$4+261)</f>
        <v>46284</v>
      </c>
      <c r="N26173">
        <f>IF(M26173="","",'Master Barang'!A67)</f>
        <v>0</v>
      </c>
      <c r="O26173">
        <f>IF(N26173="","",'Master Barang'!B67)</f>
        <v>0</v>
      </c>
      <c r="P26173">
        <f>IF(OR(M26173="",N26173=""),"",SUMIFS('Barang Keluar'!$E:$E,'Barang Keluar'!$A:$A,M26173,'Barang Keluar'!$C:$C,N26173))</f>
        <v>0</v>
      </c>
    </row>
    <row r="26174" spans="13:16">
      <c r="M26174" s="49">
        <f>IF($A$4+261&gt;$B$4,"",$A$4+261)</f>
        <v>46284</v>
      </c>
      <c r="N26174">
        <f>IF(M26174="","",'Master Barang'!A68)</f>
        <v>0</v>
      </c>
      <c r="O26174">
        <f>IF(N26174="","",'Master Barang'!B68)</f>
        <v>0</v>
      </c>
      <c r="P26174">
        <f>IF(OR(M26174="",N26174=""),"",SUMIFS('Barang Keluar'!$E:$E,'Barang Keluar'!$A:$A,M26174,'Barang Keluar'!$C:$C,N26174))</f>
        <v>0</v>
      </c>
    </row>
    <row r="26175" spans="13:16">
      <c r="M26175" s="49">
        <f>IF($A$4+261&gt;$B$4,"",$A$4+261)</f>
        <v>46284</v>
      </c>
      <c r="N26175">
        <f>IF(M26175="","",'Master Barang'!A69)</f>
        <v>0</v>
      </c>
      <c r="O26175">
        <f>IF(N26175="","",'Master Barang'!B69)</f>
        <v>0</v>
      </c>
      <c r="P26175">
        <f>IF(OR(M26175="",N26175=""),"",SUMIFS('Barang Keluar'!$E:$E,'Barang Keluar'!$A:$A,M26175,'Barang Keluar'!$C:$C,N26175))</f>
        <v>0</v>
      </c>
    </row>
    <row r="26176" spans="13:16">
      <c r="M26176" s="49">
        <f>IF($A$4+261&gt;$B$4,"",$A$4+261)</f>
        <v>46284</v>
      </c>
      <c r="N26176">
        <f>IF(M26176="","",'Master Barang'!A70)</f>
        <v>0</v>
      </c>
      <c r="O26176">
        <f>IF(N26176="","",'Master Barang'!B70)</f>
        <v>0</v>
      </c>
      <c r="P26176">
        <f>IF(OR(M26176="",N26176=""),"",SUMIFS('Barang Keluar'!$E:$E,'Barang Keluar'!$A:$A,M26176,'Barang Keluar'!$C:$C,N26176))</f>
        <v>0</v>
      </c>
    </row>
    <row r="26177" spans="13:16">
      <c r="M26177" s="49">
        <f>IF($A$4+261&gt;$B$4,"",$A$4+261)</f>
        <v>46284</v>
      </c>
      <c r="N26177">
        <f>IF(M26177="","",'Master Barang'!A71)</f>
        <v>0</v>
      </c>
      <c r="O26177">
        <f>IF(N26177="","",'Master Barang'!B71)</f>
        <v>0</v>
      </c>
      <c r="P26177">
        <f>IF(OR(M26177="",N26177=""),"",SUMIFS('Barang Keluar'!$E:$E,'Barang Keluar'!$A:$A,M26177,'Barang Keluar'!$C:$C,N26177))</f>
        <v>0</v>
      </c>
    </row>
    <row r="26178" spans="13:16">
      <c r="M26178" s="49">
        <f>IF($A$4+261&gt;$B$4,"",$A$4+261)</f>
        <v>46284</v>
      </c>
      <c r="N26178">
        <f>IF(M26178="","",'Master Barang'!A72)</f>
        <v>0</v>
      </c>
      <c r="O26178">
        <f>IF(N26178="","",'Master Barang'!B72)</f>
        <v>0</v>
      </c>
      <c r="P26178">
        <f>IF(OR(M26178="",N26178=""),"",SUMIFS('Barang Keluar'!$E:$E,'Barang Keluar'!$A:$A,M26178,'Barang Keluar'!$C:$C,N26178))</f>
        <v>0</v>
      </c>
    </row>
    <row r="26179" spans="13:16">
      <c r="M26179" s="49">
        <f>IF($A$4+261&gt;$B$4,"",$A$4+261)</f>
        <v>46284</v>
      </c>
      <c r="N26179">
        <f>IF(M26179="","",'Master Barang'!A73)</f>
        <v>0</v>
      </c>
      <c r="O26179">
        <f>IF(N26179="","",'Master Barang'!B73)</f>
        <v>0</v>
      </c>
      <c r="P26179">
        <f>IF(OR(M26179="",N26179=""),"",SUMIFS('Barang Keluar'!$E:$E,'Barang Keluar'!$A:$A,M26179,'Barang Keluar'!$C:$C,N26179))</f>
        <v>0</v>
      </c>
    </row>
    <row r="26180" spans="13:16">
      <c r="M26180" s="49">
        <f>IF($A$4+261&gt;$B$4,"",$A$4+261)</f>
        <v>46284</v>
      </c>
      <c r="N26180">
        <f>IF(M26180="","",'Master Barang'!A74)</f>
        <v>0</v>
      </c>
      <c r="O26180">
        <f>IF(N26180="","",'Master Barang'!B74)</f>
        <v>0</v>
      </c>
      <c r="P26180">
        <f>IF(OR(M26180="",N26180=""),"",SUMIFS('Barang Keluar'!$E:$E,'Barang Keluar'!$A:$A,M26180,'Barang Keluar'!$C:$C,N26180))</f>
        <v>0</v>
      </c>
    </row>
    <row r="26181" spans="13:16">
      <c r="M26181" s="49">
        <f>IF($A$4+261&gt;$B$4,"",$A$4+261)</f>
        <v>46284</v>
      </c>
      <c r="N26181">
        <f>IF(M26181="","",'Master Barang'!A75)</f>
        <v>0</v>
      </c>
      <c r="O26181">
        <f>IF(N26181="","",'Master Barang'!B75)</f>
        <v>0</v>
      </c>
      <c r="P26181">
        <f>IF(OR(M26181="",N26181=""),"",SUMIFS('Barang Keluar'!$E:$E,'Barang Keluar'!$A:$A,M26181,'Barang Keluar'!$C:$C,N26181))</f>
        <v>0</v>
      </c>
    </row>
    <row r="26182" spans="13:16">
      <c r="M26182" s="49">
        <f>IF($A$4+261&gt;$B$4,"",$A$4+261)</f>
        <v>46284</v>
      </c>
      <c r="N26182">
        <f>IF(M26182="","",'Master Barang'!A76)</f>
        <v>0</v>
      </c>
      <c r="O26182">
        <f>IF(N26182="","",'Master Barang'!B76)</f>
        <v>0</v>
      </c>
      <c r="P26182">
        <f>IF(OR(M26182="",N26182=""),"",SUMIFS('Barang Keluar'!$E:$E,'Barang Keluar'!$A:$A,M26182,'Barang Keluar'!$C:$C,N26182))</f>
        <v>0</v>
      </c>
    </row>
    <row r="26183" spans="13:16">
      <c r="M26183" s="49">
        <f>IF($A$4+261&gt;$B$4,"",$A$4+261)</f>
        <v>46284</v>
      </c>
      <c r="N26183">
        <f>IF(M26183="","",'Master Barang'!A77)</f>
        <v>0</v>
      </c>
      <c r="O26183">
        <f>IF(N26183="","",'Master Barang'!B77)</f>
        <v>0</v>
      </c>
      <c r="P26183">
        <f>IF(OR(M26183="",N26183=""),"",SUMIFS('Barang Keluar'!$E:$E,'Barang Keluar'!$A:$A,M26183,'Barang Keluar'!$C:$C,N26183))</f>
        <v>0</v>
      </c>
    </row>
    <row r="26184" spans="13:16">
      <c r="M26184" s="49">
        <f>IF($A$4+261&gt;$B$4,"",$A$4+261)</f>
        <v>46284</v>
      </c>
      <c r="N26184">
        <f>IF(M26184="","",'Master Barang'!A78)</f>
        <v>0</v>
      </c>
      <c r="O26184">
        <f>IF(N26184="","",'Master Barang'!B78)</f>
        <v>0</v>
      </c>
      <c r="P26184">
        <f>IF(OR(M26184="",N26184=""),"",SUMIFS('Barang Keluar'!$E:$E,'Barang Keluar'!$A:$A,M26184,'Barang Keluar'!$C:$C,N26184))</f>
        <v>0</v>
      </c>
    </row>
    <row r="26185" spans="13:16">
      <c r="M26185" s="49">
        <f>IF($A$4+261&gt;$B$4,"",$A$4+261)</f>
        <v>46284</v>
      </c>
      <c r="N26185">
        <f>IF(M26185="","",'Master Barang'!A79)</f>
        <v>0</v>
      </c>
      <c r="O26185">
        <f>IF(N26185="","",'Master Barang'!B79)</f>
        <v>0</v>
      </c>
      <c r="P26185">
        <f>IF(OR(M26185="",N26185=""),"",SUMIFS('Barang Keluar'!$E:$E,'Barang Keluar'!$A:$A,M26185,'Barang Keluar'!$C:$C,N26185))</f>
        <v>0</v>
      </c>
    </row>
    <row r="26186" spans="13:16">
      <c r="M26186" s="49">
        <f>IF($A$4+261&gt;$B$4,"",$A$4+261)</f>
        <v>46284</v>
      </c>
      <c r="N26186">
        <f>IF(M26186="","",'Master Barang'!A80)</f>
        <v>0</v>
      </c>
      <c r="O26186">
        <f>IF(N26186="","",'Master Barang'!B80)</f>
        <v>0</v>
      </c>
      <c r="P26186">
        <f>IF(OR(M26186="",N26186=""),"",SUMIFS('Barang Keluar'!$E:$E,'Barang Keluar'!$A:$A,M26186,'Barang Keluar'!$C:$C,N26186))</f>
        <v>0</v>
      </c>
    </row>
    <row r="26187" spans="13:16">
      <c r="M26187" s="49">
        <f>IF($A$4+261&gt;$B$4,"",$A$4+261)</f>
        <v>46284</v>
      </c>
      <c r="N26187">
        <f>IF(M26187="","",'Master Barang'!A81)</f>
        <v>0</v>
      </c>
      <c r="O26187">
        <f>IF(N26187="","",'Master Barang'!B81)</f>
        <v>0</v>
      </c>
      <c r="P26187">
        <f>IF(OR(M26187="",N26187=""),"",SUMIFS('Barang Keluar'!$E:$E,'Barang Keluar'!$A:$A,M26187,'Barang Keluar'!$C:$C,N26187))</f>
        <v>0</v>
      </c>
    </row>
    <row r="26188" spans="13:16">
      <c r="M26188" s="49">
        <f>IF($A$4+261&gt;$B$4,"",$A$4+261)</f>
        <v>46284</v>
      </c>
      <c r="N26188">
        <f>IF(M26188="","",'Master Barang'!A82)</f>
        <v>0</v>
      </c>
      <c r="O26188">
        <f>IF(N26188="","",'Master Barang'!B82)</f>
        <v>0</v>
      </c>
      <c r="P26188">
        <f>IF(OR(M26188="",N26188=""),"",SUMIFS('Barang Keluar'!$E:$E,'Barang Keluar'!$A:$A,M26188,'Barang Keluar'!$C:$C,N26188))</f>
        <v>0</v>
      </c>
    </row>
    <row r="26189" spans="13:16">
      <c r="M26189" s="49">
        <f>IF($A$4+261&gt;$B$4,"",$A$4+261)</f>
        <v>46284</v>
      </c>
      <c r="N26189">
        <f>IF(M26189="","",'Master Barang'!A83)</f>
        <v>0</v>
      </c>
      <c r="O26189">
        <f>IF(N26189="","",'Master Barang'!B83)</f>
        <v>0</v>
      </c>
      <c r="P26189">
        <f>IF(OR(M26189="",N26189=""),"",SUMIFS('Barang Keluar'!$E:$E,'Barang Keluar'!$A:$A,M26189,'Barang Keluar'!$C:$C,N26189))</f>
        <v>0</v>
      </c>
    </row>
    <row r="26190" spans="13:16">
      <c r="M26190" s="49">
        <f>IF($A$4+261&gt;$B$4,"",$A$4+261)</f>
        <v>46284</v>
      </c>
      <c r="N26190">
        <f>IF(M26190="","",'Master Barang'!A84)</f>
        <v>0</v>
      </c>
      <c r="O26190">
        <f>IF(N26190="","",'Master Barang'!B84)</f>
        <v>0</v>
      </c>
      <c r="P26190">
        <f>IF(OR(M26190="",N26190=""),"",SUMIFS('Barang Keluar'!$E:$E,'Barang Keluar'!$A:$A,M26190,'Barang Keluar'!$C:$C,N26190))</f>
        <v>0</v>
      </c>
    </row>
    <row r="26191" spans="13:16">
      <c r="M26191" s="49">
        <f>IF($A$4+261&gt;$B$4,"",$A$4+261)</f>
        <v>46284</v>
      </c>
      <c r="N26191">
        <f>IF(M26191="","",'Master Barang'!A85)</f>
        <v>0</v>
      </c>
      <c r="O26191">
        <f>IF(N26191="","",'Master Barang'!B85)</f>
        <v>0</v>
      </c>
      <c r="P26191">
        <f>IF(OR(M26191="",N26191=""),"",SUMIFS('Barang Keluar'!$E:$E,'Barang Keluar'!$A:$A,M26191,'Barang Keluar'!$C:$C,N26191))</f>
        <v>0</v>
      </c>
    </row>
    <row r="26192" spans="13:16">
      <c r="M26192" s="49">
        <f>IF($A$4+261&gt;$B$4,"",$A$4+261)</f>
        <v>46284</v>
      </c>
      <c r="N26192">
        <f>IF(M26192="","",'Master Barang'!A86)</f>
        <v>0</v>
      </c>
      <c r="O26192">
        <f>IF(N26192="","",'Master Barang'!B86)</f>
        <v>0</v>
      </c>
      <c r="P26192">
        <f>IF(OR(M26192="",N26192=""),"",SUMIFS('Barang Keluar'!$E:$E,'Barang Keluar'!$A:$A,M26192,'Barang Keluar'!$C:$C,N26192))</f>
        <v>0</v>
      </c>
    </row>
    <row r="26193" spans="13:16">
      <c r="M26193" s="49">
        <f>IF($A$4+261&gt;$B$4,"",$A$4+261)</f>
        <v>46284</v>
      </c>
      <c r="N26193">
        <f>IF(M26193="","",'Master Barang'!A87)</f>
        <v>0</v>
      </c>
      <c r="O26193">
        <f>IF(N26193="","",'Master Barang'!B87)</f>
        <v>0</v>
      </c>
      <c r="P26193">
        <f>IF(OR(M26193="",N26193=""),"",SUMIFS('Barang Keluar'!$E:$E,'Barang Keluar'!$A:$A,M26193,'Barang Keluar'!$C:$C,N26193))</f>
        <v>0</v>
      </c>
    </row>
    <row r="26194" spans="13:16">
      <c r="M26194" s="49">
        <f>IF($A$4+261&gt;$B$4,"",$A$4+261)</f>
        <v>46284</v>
      </c>
      <c r="N26194">
        <f>IF(M26194="","",'Master Barang'!A88)</f>
        <v>0</v>
      </c>
      <c r="O26194">
        <f>IF(N26194="","",'Master Barang'!B88)</f>
        <v>0</v>
      </c>
      <c r="P26194">
        <f>IF(OR(M26194="",N26194=""),"",SUMIFS('Barang Keluar'!$E:$E,'Barang Keluar'!$A:$A,M26194,'Barang Keluar'!$C:$C,N26194))</f>
        <v>0</v>
      </c>
    </row>
    <row r="26195" spans="13:16">
      <c r="M26195" s="49">
        <f>IF($A$4+261&gt;$B$4,"",$A$4+261)</f>
        <v>46284</v>
      </c>
      <c r="N26195">
        <f>IF(M26195="","",'Master Barang'!A89)</f>
        <v>0</v>
      </c>
      <c r="O26195">
        <f>IF(N26195="","",'Master Barang'!B89)</f>
        <v>0</v>
      </c>
      <c r="P26195">
        <f>IF(OR(M26195="",N26195=""),"",SUMIFS('Barang Keluar'!$E:$E,'Barang Keluar'!$A:$A,M26195,'Barang Keluar'!$C:$C,N26195))</f>
        <v>0</v>
      </c>
    </row>
    <row r="26196" spans="13:16">
      <c r="M26196" s="49">
        <f>IF($A$4+261&gt;$B$4,"",$A$4+261)</f>
        <v>46284</v>
      </c>
      <c r="N26196">
        <f>IF(M26196="","",'Master Barang'!A90)</f>
        <v>0</v>
      </c>
      <c r="O26196">
        <f>IF(N26196="","",'Master Barang'!B90)</f>
        <v>0</v>
      </c>
      <c r="P26196">
        <f>IF(OR(M26196="",N26196=""),"",SUMIFS('Barang Keluar'!$E:$E,'Barang Keluar'!$A:$A,M26196,'Barang Keluar'!$C:$C,N26196))</f>
        <v>0</v>
      </c>
    </row>
    <row r="26197" spans="13:16">
      <c r="M26197" s="49">
        <f>IF($A$4+261&gt;$B$4,"",$A$4+261)</f>
        <v>46284</v>
      </c>
      <c r="N26197">
        <f>IF(M26197="","",'Master Barang'!A91)</f>
        <v>0</v>
      </c>
      <c r="O26197">
        <f>IF(N26197="","",'Master Barang'!B91)</f>
        <v>0</v>
      </c>
      <c r="P26197">
        <f>IF(OR(M26197="",N26197=""),"",SUMIFS('Barang Keluar'!$E:$E,'Barang Keluar'!$A:$A,M26197,'Barang Keluar'!$C:$C,N26197))</f>
        <v>0</v>
      </c>
    </row>
    <row r="26198" spans="13:16">
      <c r="M26198" s="49">
        <f>IF($A$4+261&gt;$B$4,"",$A$4+261)</f>
        <v>46284</v>
      </c>
      <c r="N26198">
        <f>IF(M26198="","",'Master Barang'!A92)</f>
        <v>0</v>
      </c>
      <c r="O26198">
        <f>IF(N26198="","",'Master Barang'!B92)</f>
        <v>0</v>
      </c>
      <c r="P26198">
        <f>IF(OR(M26198="",N26198=""),"",SUMIFS('Barang Keluar'!$E:$E,'Barang Keluar'!$A:$A,M26198,'Barang Keluar'!$C:$C,N26198))</f>
        <v>0</v>
      </c>
    </row>
    <row r="26199" spans="13:16">
      <c r="M26199" s="49">
        <f>IF($A$4+261&gt;$B$4,"",$A$4+261)</f>
        <v>46284</v>
      </c>
      <c r="N26199">
        <f>IF(M26199="","",'Master Barang'!A93)</f>
        <v>0</v>
      </c>
      <c r="O26199">
        <f>IF(N26199="","",'Master Barang'!B93)</f>
        <v>0</v>
      </c>
      <c r="P26199">
        <f>IF(OR(M26199="",N26199=""),"",SUMIFS('Barang Keluar'!$E:$E,'Barang Keluar'!$A:$A,M26199,'Barang Keluar'!$C:$C,N26199))</f>
        <v>0</v>
      </c>
    </row>
    <row r="26200" spans="13:16">
      <c r="M26200" s="49">
        <f>IF($A$4+261&gt;$B$4,"",$A$4+261)</f>
        <v>46284</v>
      </c>
      <c r="N26200">
        <f>IF(M26200="","",'Master Barang'!A94)</f>
        <v>0</v>
      </c>
      <c r="O26200">
        <f>IF(N26200="","",'Master Barang'!B94)</f>
        <v>0</v>
      </c>
      <c r="P26200">
        <f>IF(OR(M26200="",N26200=""),"",SUMIFS('Barang Keluar'!$E:$E,'Barang Keluar'!$A:$A,M26200,'Barang Keluar'!$C:$C,N26200))</f>
        <v>0</v>
      </c>
    </row>
    <row r="26201" spans="13:16">
      <c r="M26201" s="49">
        <f>IF($A$4+261&gt;$B$4,"",$A$4+261)</f>
        <v>46284</v>
      </c>
      <c r="N26201">
        <f>IF(M26201="","",'Master Barang'!A95)</f>
        <v>0</v>
      </c>
      <c r="O26201">
        <f>IF(N26201="","",'Master Barang'!B95)</f>
        <v>0</v>
      </c>
      <c r="P26201">
        <f>IF(OR(M26201="",N26201=""),"",SUMIFS('Barang Keluar'!$E:$E,'Barang Keluar'!$A:$A,M26201,'Barang Keluar'!$C:$C,N26201))</f>
        <v>0</v>
      </c>
    </row>
    <row r="26202" spans="13:16">
      <c r="M26202" s="49">
        <f>IF($A$4+261&gt;$B$4,"",$A$4+261)</f>
        <v>46284</v>
      </c>
      <c r="N26202">
        <f>IF(M26202="","",'Master Barang'!A96)</f>
        <v>0</v>
      </c>
      <c r="O26202">
        <f>IF(N26202="","",'Master Barang'!B96)</f>
        <v>0</v>
      </c>
      <c r="P26202">
        <f>IF(OR(M26202="",N26202=""),"",SUMIFS('Barang Keluar'!$E:$E,'Barang Keluar'!$A:$A,M26202,'Barang Keluar'!$C:$C,N26202))</f>
        <v>0</v>
      </c>
    </row>
    <row r="26203" spans="13:16">
      <c r="M26203" s="49">
        <f>IF($A$4+261&gt;$B$4,"",$A$4+261)</f>
        <v>46284</v>
      </c>
      <c r="N26203">
        <f>IF(M26203="","",'Master Barang'!A97)</f>
        <v>0</v>
      </c>
      <c r="O26203">
        <f>IF(N26203="","",'Master Barang'!B97)</f>
        <v>0</v>
      </c>
      <c r="P26203">
        <f>IF(OR(M26203="",N26203=""),"",SUMIFS('Barang Keluar'!$E:$E,'Barang Keluar'!$A:$A,M26203,'Barang Keluar'!$C:$C,N26203))</f>
        <v>0</v>
      </c>
    </row>
    <row r="26204" spans="13:16">
      <c r="M26204" s="49">
        <f>IF($A$4+261&gt;$B$4,"",$A$4+261)</f>
        <v>46284</v>
      </c>
      <c r="N26204">
        <f>IF(M26204="","",'Master Barang'!A98)</f>
        <v>0</v>
      </c>
      <c r="O26204">
        <f>IF(N26204="","",'Master Barang'!B98)</f>
        <v>0</v>
      </c>
      <c r="P26204">
        <f>IF(OR(M26204="",N26204=""),"",SUMIFS('Barang Keluar'!$E:$E,'Barang Keluar'!$A:$A,M26204,'Barang Keluar'!$C:$C,N26204))</f>
        <v>0</v>
      </c>
    </row>
    <row r="26205" spans="13:16">
      <c r="M26205" s="49">
        <f>IF($A$4+261&gt;$B$4,"",$A$4+261)</f>
        <v>46284</v>
      </c>
      <c r="N26205">
        <f>IF(M26205="","",'Master Barang'!A99)</f>
        <v>0</v>
      </c>
      <c r="O26205">
        <f>IF(N26205="","",'Master Barang'!B99)</f>
        <v>0</v>
      </c>
      <c r="P26205">
        <f>IF(OR(M26205="",N26205=""),"",SUMIFS('Barang Keluar'!$E:$E,'Barang Keluar'!$A:$A,M26205,'Barang Keluar'!$C:$C,N26205))</f>
        <v>0</v>
      </c>
    </row>
    <row r="26206" spans="13:16">
      <c r="M26206" s="49">
        <f>IF($A$4+261&gt;$B$4,"",$A$4+261)</f>
        <v>46284</v>
      </c>
      <c r="N26206">
        <f>IF(M26206="","",'Master Barang'!A100)</f>
        <v>0</v>
      </c>
      <c r="O26206">
        <f>IF(N26206="","",'Master Barang'!B100)</f>
        <v>0</v>
      </c>
      <c r="P26206">
        <f>IF(OR(M26206="",N26206=""),"",SUMIFS('Barang Keluar'!$E:$E,'Barang Keluar'!$A:$A,M26206,'Barang Keluar'!$C:$C,N26206))</f>
        <v>0</v>
      </c>
    </row>
    <row r="26207" spans="13:16">
      <c r="M26207" s="49">
        <f>IF($A$4+261&gt;$B$4,"",$A$4+261)</f>
        <v>46284</v>
      </c>
      <c r="N26207">
        <f>IF(M26207="","",'Master Barang'!A101)</f>
        <v>0</v>
      </c>
      <c r="O26207">
        <f>IF(N26207="","",'Master Barang'!B101)</f>
        <v>0</v>
      </c>
      <c r="P26207">
        <f>IF(OR(M26207="",N26207=""),"",SUMIFS('Barang Keluar'!$E:$E,'Barang Keluar'!$A:$A,M26207,'Barang Keluar'!$C:$C,N26207))</f>
        <v>0</v>
      </c>
    </row>
    <row r="26208" spans="13:16">
      <c r="M26208" s="49">
        <f>IF($A$4+262&gt;$B$4,"",$A$4+262)</f>
        <v>46285</v>
      </c>
      <c r="N26208" t="str">
        <f>IF(M26208="","",'Master Barang'!A2)</f>
        <v>PRL-001</v>
      </c>
      <c r="O26208" t="str">
        <f>IF(N26208="","",'Master Barang'!B2)</f>
        <v>natura desinfectant food grade 5l</v>
      </c>
      <c r="P26208">
        <f>IF(OR(M26208="",N26208=""),"",SUMIFS('Barang Keluar'!$E:$E,'Barang Keluar'!$A:$A,M26208,'Barang Keluar'!$C:$C,N26208))</f>
        <v>0</v>
      </c>
    </row>
    <row r="26209" spans="13:16">
      <c r="M26209" s="49">
        <f>IF($A$4+262&gt;$B$4,"",$A$4+262)</f>
        <v>46285</v>
      </c>
      <c r="N26209" t="str">
        <f>IF(M26209="","",'Master Barang'!A3)</f>
        <v>PRL-002</v>
      </c>
      <c r="O26209" t="str">
        <f>IF(N26209="","",'Master Barang'!B3)</f>
        <v>sunlight cairan pencuci piring 5l</v>
      </c>
      <c r="P26209">
        <f>IF(OR(M26209="",N26209=""),"",SUMIFS('Barang Keluar'!$E:$E,'Barang Keluar'!$A:$A,M26209,'Barang Keluar'!$C:$C,N26209))</f>
        <v>0</v>
      </c>
    </row>
    <row r="26210" spans="13:16">
      <c r="M26210" s="49">
        <f>IF($A$4+262&gt;$B$4,"",$A$4+262)</f>
        <v>46285</v>
      </c>
      <c r="N26210" t="str">
        <f>IF(M26210="","",'Master Barang'!A4)</f>
        <v>PRL-003</v>
      </c>
      <c r="O26210" t="str">
        <f>IF(N26210="","",'Master Barang'!B4)</f>
        <v>oixs cleaner 1l</v>
      </c>
      <c r="P26210">
        <f>IF(OR(M26210="",N26210=""),"",SUMIFS('Barang Keluar'!$E:$E,'Barang Keluar'!$A:$A,M26210,'Barang Keluar'!$C:$C,N26210))</f>
        <v>0</v>
      </c>
    </row>
    <row r="26211" spans="13:16">
      <c r="M26211" s="49">
        <f>IF($A$4+262&gt;$B$4,"",$A$4+262)</f>
        <v>46285</v>
      </c>
      <c r="N26211" t="str">
        <f>IF(M26211="","",'Master Barang'!A5)</f>
        <v>PRL-004</v>
      </c>
      <c r="O26211" t="str">
        <f>IF(N26211="","",'Master Barang'!B5)</f>
        <v>be clean tissue serbaguna</v>
      </c>
      <c r="P26211">
        <f>IF(OR(M26211="",N26211=""),"",SUMIFS('Barang Keluar'!$E:$E,'Barang Keluar'!$A:$A,M26211,'Barang Keluar'!$C:$C,N26211))</f>
        <v>0</v>
      </c>
    </row>
    <row r="26212" spans="13:16">
      <c r="M26212" s="49">
        <f>IF($A$4+262&gt;$B$4,"",$A$4+262)</f>
        <v>46285</v>
      </c>
      <c r="N26212" t="str">
        <f>IF(M26212="","",'Master Barang'!A6)</f>
        <v>PRL-005</v>
      </c>
      <c r="O26212" t="str">
        <f>IF(N26212="","",'Master Barang'!B6)</f>
        <v>spons cuci hijau</v>
      </c>
      <c r="P26212">
        <f>IF(OR(M26212="",N26212=""),"",SUMIFS('Barang Keluar'!$E:$E,'Barang Keluar'!$A:$A,M26212,'Barang Keluar'!$C:$C,N26212))</f>
        <v>0</v>
      </c>
    </row>
    <row r="26213" spans="13:16">
      <c r="M26213" s="49">
        <f>IF($A$4+262&gt;$B$4,"",$A$4+262)</f>
        <v>46285</v>
      </c>
      <c r="N26213" t="str">
        <f>IF(M26213="","",'Master Barang'!A7)</f>
        <v>PRL-006</v>
      </c>
      <c r="O26213" t="str">
        <f>IF(N26213="","",'Master Barang'!B7)</f>
        <v>sabut cuci stainless</v>
      </c>
      <c r="P26213">
        <f>IF(OR(M26213="",N26213=""),"",SUMIFS('Barang Keluar'!$E:$E,'Barang Keluar'!$A:$A,M26213,'Barang Keluar'!$C:$C,N26213))</f>
        <v>0</v>
      </c>
    </row>
    <row r="26214" spans="13:16">
      <c r="M26214" s="49">
        <f>IF($A$4+262&gt;$B$4,"",$A$4+262)</f>
        <v>46285</v>
      </c>
      <c r="N26214" t="str">
        <f>IF(M26214="","",'Master Barang'!A8)</f>
        <v>PRL-007</v>
      </c>
      <c r="O26214" t="str">
        <f>IF(N26214="","",'Master Barang'!B8)</f>
        <v>plastik kresek besar merah 50pc</v>
      </c>
      <c r="P26214">
        <f>IF(OR(M26214="",N26214=""),"",SUMIFS('Barang Keluar'!$E:$E,'Barang Keluar'!$A:$A,M26214,'Barang Keluar'!$C:$C,N26214))</f>
        <v>0</v>
      </c>
    </row>
    <row r="26215" spans="13:16">
      <c r="M26215" s="49">
        <f>IF($A$4+262&gt;$B$4,"",$A$4+262)</f>
        <v>46285</v>
      </c>
      <c r="N26215" t="str">
        <f>IF(M26215="","",'Master Barang'!A9)</f>
        <v>PRL-008</v>
      </c>
      <c r="O26215" t="str">
        <f>IF(N26215="","",'Master Barang'!B9)</f>
        <v>lap besar</v>
      </c>
      <c r="P26215">
        <f>IF(OR(M26215="",N26215=""),"",SUMIFS('Barang Keluar'!$E:$E,'Barang Keluar'!$A:$A,M26215,'Barang Keluar'!$C:$C,N26215))</f>
        <v>0</v>
      </c>
    </row>
    <row r="26216" spans="13:16">
      <c r="M26216" s="49">
        <f>IF($A$4+262&gt;$B$4,"",$A$4+262)</f>
        <v>46285</v>
      </c>
      <c r="N26216" t="str">
        <f>IF(M26216="","",'Master Barang'!A10)</f>
        <v>PRL-009</v>
      </c>
      <c r="O26216" t="str">
        <f>IF(N26216="","",'Master Barang'!B10)</f>
        <v>lap microfiber</v>
      </c>
      <c r="P26216">
        <f>IF(OR(M26216="",N26216=""),"",SUMIFS('Barang Keluar'!$E:$E,'Barang Keluar'!$A:$A,M26216,'Barang Keluar'!$C:$C,N26216))</f>
        <v>0</v>
      </c>
    </row>
    <row r="26217" spans="13:16">
      <c r="M26217" s="49">
        <f>IF($A$4+262&gt;$B$4,"",$A$4+262)</f>
        <v>46285</v>
      </c>
      <c r="N26217" t="str">
        <f>IF(M26217="","",'Master Barang'!A11)</f>
        <v>PRL-010</v>
      </c>
      <c r="O26217" t="str">
        <f>IF(N26217="","",'Master Barang'!B11)</f>
        <v>lap kecil</v>
      </c>
      <c r="P26217">
        <f>IF(OR(M26217="",N26217=""),"",SUMIFS('Barang Keluar'!$E:$E,'Barang Keluar'!$A:$A,M26217,'Barang Keluar'!$C:$C,N26217))</f>
        <v>0</v>
      </c>
    </row>
    <row r="26218" spans="13:16">
      <c r="M26218" s="49">
        <f>IF($A$4+262&gt;$B$4,"",$A$4+262)</f>
        <v>46285</v>
      </c>
      <c r="N26218" t="str">
        <f>IF(M26218="","",'Master Barang'!A12)</f>
        <v>PRL-011</v>
      </c>
      <c r="O26218" t="str">
        <f>IF(N26218="","",'Master Barang'!B12)</f>
        <v>kanebo kecil</v>
      </c>
      <c r="P26218">
        <f>IF(OR(M26218="",N26218=""),"",SUMIFS('Barang Keluar'!$E:$E,'Barang Keluar'!$A:$A,M26218,'Barang Keluar'!$C:$C,N26218))</f>
        <v>0</v>
      </c>
    </row>
    <row r="26219" spans="13:16">
      <c r="M26219" s="49">
        <f>IF($A$4+262&gt;$B$4,"",$A$4+262)</f>
        <v>46285</v>
      </c>
      <c r="N26219" t="str">
        <f>IF(M26219="","",'Master Barang'!A13)</f>
        <v>PRL-012</v>
      </c>
      <c r="O26219" t="str">
        <f>IF(N26219="","",'Master Barang'!B13)</f>
        <v>plastik 1/4kg joyoboyo 100 lembar</v>
      </c>
      <c r="P26219">
        <f>IF(OR(M26219="",N26219=""),"",SUMIFS('Barang Keluar'!$E:$E,'Barang Keluar'!$A:$A,M26219,'Barang Keluar'!$C:$C,N26219))</f>
        <v>0</v>
      </c>
    </row>
    <row r="26220" spans="13:16">
      <c r="M26220" s="49">
        <f>IF($A$4+262&gt;$B$4,"",$A$4+262)</f>
        <v>46285</v>
      </c>
      <c r="N26220" t="str">
        <f>IF(M26220="","",'Master Barang'!A14)</f>
        <v>PRL-013</v>
      </c>
      <c r="O26220" t="str">
        <f>IF(N26220="","",'Master Barang'!B14)</f>
        <v>sarung tangan plastik kaka 100 pcs</v>
      </c>
      <c r="P26220">
        <f>IF(OR(M26220="",N26220=""),"",SUMIFS('Barang Keluar'!$E:$E,'Barang Keluar'!$A:$A,M26220,'Barang Keluar'!$C:$C,N26220))</f>
        <v>0</v>
      </c>
    </row>
    <row r="26221" spans="13:16">
      <c r="M26221" s="49">
        <f>IF($A$4+262&gt;$B$4,"",$A$4+262)</f>
        <v>46285</v>
      </c>
      <c r="N26221" t="str">
        <f>IF(M26221="","",'Master Barang'!A15)</f>
        <v>PRL-014</v>
      </c>
      <c r="O26221" t="str">
        <f>IF(N26221="","",'Master Barang'!B15)</f>
        <v>optima trashbag 80x100</v>
      </c>
      <c r="P26221">
        <f>IF(OR(M26221="",N26221=""),"",SUMIFS('Barang Keluar'!$E:$E,'Barang Keluar'!$A:$A,M26221,'Barang Keluar'!$C:$C,N26221))</f>
        <v>0</v>
      </c>
    </row>
    <row r="26222" spans="13:16">
      <c r="M26222" s="49">
        <f>IF($A$4+262&gt;$B$4,"",$A$4+262)</f>
        <v>46285</v>
      </c>
      <c r="N26222" t="str">
        <f>IF(M26222="","",'Master Barang'!A16)</f>
        <v>PRL-015</v>
      </c>
      <c r="O26222" t="str">
        <f>IF(N26222="","",'Master Barang'!B16)</f>
        <v>optima trashbag 60x100</v>
      </c>
      <c r="P26222">
        <f>IF(OR(M26222="",N26222=""),"",SUMIFS('Barang Keluar'!$E:$E,'Barang Keluar'!$A:$A,M26222,'Barang Keluar'!$C:$C,N26222))</f>
        <v>0</v>
      </c>
    </row>
    <row r="26223" spans="13:16">
      <c r="M26223" s="49">
        <f>IF($A$4+262&gt;$B$4,"",$A$4+262)</f>
        <v>46285</v>
      </c>
      <c r="N26223" t="str">
        <f>IF(M26223="","",'Master Barang'!A17)</f>
        <v>PRL-016</v>
      </c>
      <c r="O26223" t="str">
        <f>IF(N26223="","",'Master Barang'!B17)</f>
        <v>rajawali trashbag 30x40</v>
      </c>
      <c r="P26223">
        <f>IF(OR(M26223="",N26223=""),"",SUMIFS('Barang Keluar'!$E:$E,'Barang Keluar'!$A:$A,M26223,'Barang Keluar'!$C:$C,N26223))</f>
        <v>0</v>
      </c>
    </row>
    <row r="26224" spans="13:16">
      <c r="M26224" s="49">
        <f>IF($A$4+262&gt;$B$4,"",$A$4+262)</f>
        <v>46285</v>
      </c>
      <c r="N26224" t="str">
        <f>IF(M26224="","",'Master Barang'!A18)</f>
        <v>PRL-017</v>
      </c>
      <c r="O26224" t="str">
        <f>IF(N26224="","",'Master Barang'!B18)</f>
        <v>onemed masker biru 3 play 50 pcs</v>
      </c>
      <c r="P26224">
        <f>IF(OR(M26224="",N26224=""),"",SUMIFS('Barang Keluar'!$E:$E,'Barang Keluar'!$A:$A,M26224,'Barang Keluar'!$C:$C,N26224))</f>
        <v>0</v>
      </c>
    </row>
    <row r="26225" spans="13:16">
      <c r="M26225" s="49">
        <f>IF($A$4+262&gt;$B$4,"",$A$4+262)</f>
        <v>46285</v>
      </c>
      <c r="N26225" t="str">
        <f>IF(M26225="","",'Master Barang'!A19)</f>
        <v>PRL-018</v>
      </c>
      <c r="O26225" t="str">
        <f>IF(N26225="","",'Master Barang'!B19)</f>
        <v>onemed masker biru 3 play hijab 50 pcs</v>
      </c>
      <c r="P26225">
        <f>IF(OR(M26225="",N26225=""),"",SUMIFS('Barang Keluar'!$E:$E,'Barang Keluar'!$A:$A,M26225,'Barang Keluar'!$C:$C,N26225))</f>
        <v>0</v>
      </c>
    </row>
    <row r="26226" spans="13:16">
      <c r="M26226" s="49">
        <f>IF($A$4+262&gt;$B$4,"",$A$4+262)</f>
        <v>46285</v>
      </c>
      <c r="N26226" t="str">
        <f>IF(M26226="","",'Master Barang'!A20)</f>
        <v>PRL-019</v>
      </c>
      <c r="O26226" t="str">
        <f>IF(N26226="","",'Master Barang'!B20)</f>
        <v>neo health masker biru 3 play 50 pcs</v>
      </c>
      <c r="P26226">
        <f>IF(OR(M26226="",N26226=""),"",SUMIFS('Barang Keluar'!$E:$E,'Barang Keluar'!$A:$A,M26226,'Barang Keluar'!$C:$C,N26226))</f>
        <v>0</v>
      </c>
    </row>
    <row r="26227" spans="13:16">
      <c r="M26227" s="49">
        <f>IF($A$4+262&gt;$B$4,"",$A$4+262)</f>
        <v>46285</v>
      </c>
      <c r="N26227" t="str">
        <f>IF(M26227="","",'Master Barang'!A21)</f>
        <v>PRL-020</v>
      </c>
      <c r="O26227" t="str">
        <f>IF(N26227="","",'Master Barang'!B21)</f>
        <v>baymed masker hijau 3 play hijau 50 pcs</v>
      </c>
      <c r="P26227">
        <f>IF(OR(M26227="",N26227=""),"",SUMIFS('Barang Keluar'!$E:$E,'Barang Keluar'!$A:$A,M26227,'Barang Keluar'!$C:$C,N26227))</f>
        <v>0</v>
      </c>
    </row>
    <row r="26228" spans="13:16">
      <c r="M26228" s="49">
        <f>IF($A$4+262&gt;$B$4,"",$A$4+262)</f>
        <v>46285</v>
      </c>
      <c r="N26228" t="str">
        <f>IF(M26228="","",'Master Barang'!A22)</f>
        <v>PRL-021</v>
      </c>
      <c r="O26228" t="str">
        <f>IF(N26228="","",'Master Barang'!B22)</f>
        <v>altamed nurse cap penutup kepala 100 pcs</v>
      </c>
      <c r="P26228">
        <f>IF(OR(M26228="",N26228=""),"",SUMIFS('Barang Keluar'!$E:$E,'Barang Keluar'!$A:$A,M26228,'Barang Keluar'!$C:$C,N26228))</f>
        <v>0</v>
      </c>
    </row>
    <row r="26229" spans="13:16">
      <c r="M26229" s="49">
        <f>IF($A$4+262&gt;$B$4,"",$A$4+262)</f>
        <v>46285</v>
      </c>
      <c r="N26229" t="str">
        <f>IF(M26229="","",'Master Barang'!A23)</f>
        <v>PRL-022</v>
      </c>
      <c r="O26229" t="str">
        <f>IF(N26229="","",'Master Barang'!B23)</f>
        <v>sabun cuci tangan</v>
      </c>
      <c r="P26229">
        <f>IF(OR(M26229="",N26229=""),"",SUMIFS('Barang Keluar'!$E:$E,'Barang Keluar'!$A:$A,M26229,'Barang Keluar'!$C:$C,N26229))</f>
        <v>0</v>
      </c>
    </row>
    <row r="26230" spans="13:16">
      <c r="M26230" s="49">
        <f>IF($A$4+262&gt;$B$4,"",$A$4+262)</f>
        <v>46285</v>
      </c>
      <c r="N26230" t="str">
        <f>IF(M26230="","",'Master Barang'!A24)</f>
        <v>PRL-023</v>
      </c>
      <c r="O26230" t="str">
        <f>IF(N26230="","",'Master Barang'!B24)</f>
        <v>gayung kecil</v>
      </c>
      <c r="P26230">
        <f>IF(OR(M26230="",N26230=""),"",SUMIFS('Barang Keluar'!$E:$E,'Barang Keluar'!$A:$A,M26230,'Barang Keluar'!$C:$C,N26230))</f>
        <v>0</v>
      </c>
    </row>
    <row r="26231" spans="13:16">
      <c r="M26231" s="49">
        <f>IF($A$4+262&gt;$B$4,"",$A$4+262)</f>
        <v>46285</v>
      </c>
      <c r="N26231" t="str">
        <f>IF(M26231="","",'Master Barang'!A25)</f>
        <v>PRL-024</v>
      </c>
      <c r="O26231" t="str">
        <f>IF(N26231="","",'Master Barang'!B25)</f>
        <v>cikrak kecil</v>
      </c>
      <c r="P26231">
        <f>IF(OR(M26231="",N26231=""),"",SUMIFS('Barang Keluar'!$E:$E,'Barang Keluar'!$A:$A,M26231,'Barang Keluar'!$C:$C,N26231))</f>
        <v>0</v>
      </c>
    </row>
    <row r="26232" spans="13:16">
      <c r="M26232" s="49">
        <f>IF($A$4+262&gt;$B$4,"",$A$4+262)</f>
        <v>46285</v>
      </c>
      <c r="N26232" t="str">
        <f>IF(M26232="","",'Master Barang'!A26)</f>
        <v>PRL-025</v>
      </c>
      <c r="O26232" t="str">
        <f>IF(N26232="","",'Master Barang'!B26)</f>
        <v>petromax plastik kecil 12x24 100 lembar</v>
      </c>
      <c r="P26232">
        <f>IF(OR(M26232="",N26232=""),"",SUMIFS('Barang Keluar'!$E:$E,'Barang Keluar'!$A:$A,M26232,'Barang Keluar'!$C:$C,N26232))</f>
        <v>0</v>
      </c>
    </row>
    <row r="26233" spans="13:16">
      <c r="M26233" s="49">
        <f>IF($A$4+262&gt;$B$4,"",$A$4+262)</f>
        <v>46285</v>
      </c>
      <c r="N26233" t="str">
        <f>IF(M26233="","",'Master Barang'!A27)</f>
        <v>PRL-026</v>
      </c>
      <c r="O26233" t="str">
        <f>IF(N26233="","",'Master Barang'!B27)</f>
        <v>lancar kresek kecil bening </v>
      </c>
      <c r="P26233">
        <f>IF(OR(M26233="",N26233=""),"",SUMIFS('Barang Keluar'!$E:$E,'Barang Keluar'!$A:$A,M26233,'Barang Keluar'!$C:$C,N26233))</f>
        <v>0</v>
      </c>
    </row>
    <row r="26234" spans="13:16">
      <c r="M26234" s="49">
        <f>IF($A$4+262&gt;$B$4,"",$A$4+262)</f>
        <v>46285</v>
      </c>
      <c r="N26234" t="str">
        <f>IF(M26234="","",'Master Barang'!A28)</f>
        <v>PRL-027</v>
      </c>
      <c r="O26234" t="str">
        <f>IF(N26234="","",'Master Barang'!B28)</f>
        <v>kresek klin warna warni kecil</v>
      </c>
      <c r="P26234">
        <f>IF(OR(M26234="",N26234=""),"",SUMIFS('Barang Keluar'!$E:$E,'Barang Keluar'!$A:$A,M26234,'Barang Keluar'!$C:$C,N26234))</f>
        <v>0</v>
      </c>
    </row>
    <row r="26235" spans="13:16">
      <c r="M26235" s="49">
        <f>IF($A$4+262&gt;$B$4,"",$A$4+262)</f>
        <v>46285</v>
      </c>
      <c r="N26235" t="str">
        <f>IF(M26235="","",'Master Barang'!A29)</f>
        <v>PRL-028</v>
      </c>
      <c r="O26235" t="str">
        <f>IF(N26235="","",'Master Barang'!B29)</f>
        <v>ctik plastik 7x10 100 pcs</v>
      </c>
      <c r="P26235">
        <f>IF(OR(M26235="",N26235=""),"",SUMIFS('Barang Keluar'!$E:$E,'Barang Keluar'!$A:$A,M26235,'Barang Keluar'!$C:$C,N26235))</f>
        <v>0</v>
      </c>
    </row>
    <row r="26236" spans="13:16">
      <c r="M26236" s="49">
        <f>IF($A$4+262&gt;$B$4,"",$A$4+262)</f>
        <v>46285</v>
      </c>
      <c r="N26236" t="str">
        <f>IF(M26236="","",'Master Barang'!A30)</f>
        <v>PRL-029</v>
      </c>
      <c r="O26236" t="str">
        <f>IF(N26236="","",'Master Barang'!B30)</f>
        <v>ctik plastik 6x10 100 pcs</v>
      </c>
      <c r="P26236">
        <f>IF(OR(M26236="",N26236=""),"",SUMIFS('Barang Keluar'!$E:$E,'Barang Keluar'!$A:$A,M26236,'Barang Keluar'!$C:$C,N26236))</f>
        <v>0</v>
      </c>
    </row>
    <row r="26237" spans="13:16">
      <c r="M26237" s="49">
        <f>IF($A$4+262&gt;$B$4,"",$A$4+262)</f>
        <v>46285</v>
      </c>
      <c r="N26237" t="str">
        <f>IF(M26237="","",'Master Barang'!A31)</f>
        <v>PRL-030</v>
      </c>
      <c r="O26237" t="str">
        <f>IF(N26237="","",'Master Barang'!B31)</f>
        <v>klip plastik 25x16 100 pcs</v>
      </c>
      <c r="P26237">
        <f>IF(OR(M26237="",N26237=""),"",SUMIFS('Barang Keluar'!$E:$E,'Barang Keluar'!$A:$A,M26237,'Barang Keluar'!$C:$C,N26237))</f>
        <v>0</v>
      </c>
    </row>
    <row r="26238" spans="13:16">
      <c r="M26238" s="49">
        <f>IF($A$4+262&gt;$B$4,"",$A$4+262)</f>
        <v>46285</v>
      </c>
      <c r="N26238" t="str">
        <f>IF(M26238="","",'Master Barang'!A32)</f>
        <v>PRL-031</v>
      </c>
      <c r="O26238" t="str">
        <f>IF(N26238="","",'Master Barang'!B32)</f>
        <v>tempat saus 20 ml</v>
      </c>
      <c r="P26238">
        <f>IF(OR(M26238="",N26238=""),"",SUMIFS('Barang Keluar'!$E:$E,'Barang Keluar'!$A:$A,M26238,'Barang Keluar'!$C:$C,N26238))</f>
        <v>0</v>
      </c>
    </row>
    <row r="26239" spans="13:16">
      <c r="M26239" s="49">
        <f>IF($A$4+262&gt;$B$4,"",$A$4+262)</f>
        <v>46285</v>
      </c>
      <c r="N26239" t="str">
        <f>IF(M26239="","",'Master Barang'!A33)</f>
        <v>PRL-032</v>
      </c>
      <c r="O26239" t="str">
        <f>IF(N26239="","",'Master Barang'!B33)</f>
        <v>plastik packaging ag box uk sedang</v>
      </c>
      <c r="P26239">
        <f>IF(OR(M26239="",N26239=""),"",SUMIFS('Barang Keluar'!$E:$E,'Barang Keluar'!$A:$A,M26239,'Barang Keluar'!$C:$C,N26239))</f>
        <v>0</v>
      </c>
    </row>
    <row r="26240" spans="13:16">
      <c r="M26240" s="49">
        <f>IF($A$4+262&gt;$B$4,"",$A$4+262)</f>
        <v>46285</v>
      </c>
      <c r="N26240" t="str">
        <f>IF(M26240="","",'Master Barang'!A34)</f>
        <v>PRL-033</v>
      </c>
      <c r="O26240">
        <f>IF(N26240="","",'Master Barang'!B34)</f>
        <v>0</v>
      </c>
      <c r="P26240">
        <f>IF(OR(M26240="",N26240=""),"",SUMIFS('Barang Keluar'!$E:$E,'Barang Keluar'!$A:$A,M26240,'Barang Keluar'!$C:$C,N26240))</f>
        <v>0</v>
      </c>
    </row>
    <row r="26241" spans="13:16">
      <c r="M26241" s="49">
        <f>IF($A$4+262&gt;$B$4,"",$A$4+262)</f>
        <v>46285</v>
      </c>
      <c r="N26241">
        <f>IF(M26241="","",'Master Barang'!A35)</f>
        <v>0</v>
      </c>
      <c r="O26241">
        <f>IF(N26241="","",'Master Barang'!B35)</f>
        <v>0</v>
      </c>
      <c r="P26241">
        <f>IF(OR(M26241="",N26241=""),"",SUMIFS('Barang Keluar'!$E:$E,'Barang Keluar'!$A:$A,M26241,'Barang Keluar'!$C:$C,N26241))</f>
        <v>0</v>
      </c>
    </row>
    <row r="26242" spans="13:16">
      <c r="M26242" s="49">
        <f>IF($A$4+262&gt;$B$4,"",$A$4+262)</f>
        <v>46285</v>
      </c>
      <c r="N26242">
        <f>IF(M26242="","",'Master Barang'!A36)</f>
        <v>0</v>
      </c>
      <c r="O26242">
        <f>IF(N26242="","",'Master Barang'!B36)</f>
        <v>0</v>
      </c>
      <c r="P26242">
        <f>IF(OR(M26242="",N26242=""),"",SUMIFS('Barang Keluar'!$E:$E,'Barang Keluar'!$A:$A,M26242,'Barang Keluar'!$C:$C,N26242))</f>
        <v>0</v>
      </c>
    </row>
    <row r="26243" spans="13:16">
      <c r="M26243" s="49">
        <f>IF($A$4+262&gt;$B$4,"",$A$4+262)</f>
        <v>46285</v>
      </c>
      <c r="N26243">
        <f>IF(M26243="","",'Master Barang'!A37)</f>
        <v>0</v>
      </c>
      <c r="O26243">
        <f>IF(N26243="","",'Master Barang'!B37)</f>
        <v>0</v>
      </c>
      <c r="P26243">
        <f>IF(OR(M26243="",N26243=""),"",SUMIFS('Barang Keluar'!$E:$E,'Barang Keluar'!$A:$A,M26243,'Barang Keluar'!$C:$C,N26243))</f>
        <v>0</v>
      </c>
    </row>
    <row r="26244" spans="13:16">
      <c r="M26244" s="49">
        <f>IF($A$4+262&gt;$B$4,"",$A$4+262)</f>
        <v>46285</v>
      </c>
      <c r="N26244">
        <f>IF(M26244="","",'Master Barang'!A38)</f>
        <v>0</v>
      </c>
      <c r="O26244">
        <f>IF(N26244="","",'Master Barang'!B38)</f>
        <v>0</v>
      </c>
      <c r="P26244">
        <f>IF(OR(M26244="",N26244=""),"",SUMIFS('Barang Keluar'!$E:$E,'Barang Keluar'!$A:$A,M26244,'Barang Keluar'!$C:$C,N26244))</f>
        <v>0</v>
      </c>
    </row>
    <row r="26245" spans="13:16">
      <c r="M26245" s="49">
        <f>IF($A$4+262&gt;$B$4,"",$A$4+262)</f>
        <v>46285</v>
      </c>
      <c r="N26245">
        <f>IF(M26245="","",'Master Barang'!A39)</f>
        <v>0</v>
      </c>
      <c r="O26245">
        <f>IF(N26245="","",'Master Barang'!B39)</f>
        <v>0</v>
      </c>
      <c r="P26245">
        <f>IF(OR(M26245="",N26245=""),"",SUMIFS('Barang Keluar'!$E:$E,'Barang Keluar'!$A:$A,M26245,'Barang Keluar'!$C:$C,N26245))</f>
        <v>0</v>
      </c>
    </row>
    <row r="26246" spans="13:16">
      <c r="M26246" s="49">
        <f>IF($A$4+262&gt;$B$4,"",$A$4+262)</f>
        <v>46285</v>
      </c>
      <c r="N26246">
        <f>IF(M26246="","",'Master Barang'!A40)</f>
        <v>0</v>
      </c>
      <c r="O26246">
        <f>IF(N26246="","",'Master Barang'!B40)</f>
        <v>0</v>
      </c>
      <c r="P26246">
        <f>IF(OR(M26246="",N26246=""),"",SUMIFS('Barang Keluar'!$E:$E,'Barang Keluar'!$A:$A,M26246,'Barang Keluar'!$C:$C,N26246))</f>
        <v>0</v>
      </c>
    </row>
    <row r="26247" spans="13:16">
      <c r="M26247" s="49">
        <f>IF($A$4+262&gt;$B$4,"",$A$4+262)</f>
        <v>46285</v>
      </c>
      <c r="N26247">
        <f>IF(M26247="","",'Master Barang'!A41)</f>
        <v>0</v>
      </c>
      <c r="O26247">
        <f>IF(N26247="","",'Master Barang'!B41)</f>
        <v>0</v>
      </c>
      <c r="P26247">
        <f>IF(OR(M26247="",N26247=""),"",SUMIFS('Barang Keluar'!$E:$E,'Barang Keluar'!$A:$A,M26247,'Barang Keluar'!$C:$C,N26247))</f>
        <v>0</v>
      </c>
    </row>
    <row r="26248" spans="13:16">
      <c r="M26248" s="49">
        <f>IF($A$4+262&gt;$B$4,"",$A$4+262)</f>
        <v>46285</v>
      </c>
      <c r="N26248">
        <f>IF(M26248="","",'Master Barang'!A42)</f>
        <v>0</v>
      </c>
      <c r="O26248">
        <f>IF(N26248="","",'Master Barang'!B42)</f>
        <v>0</v>
      </c>
      <c r="P26248">
        <f>IF(OR(M26248="",N26248=""),"",SUMIFS('Barang Keluar'!$E:$E,'Barang Keluar'!$A:$A,M26248,'Barang Keluar'!$C:$C,N26248))</f>
        <v>0</v>
      </c>
    </row>
    <row r="26249" spans="13:16">
      <c r="M26249" s="49">
        <f>IF($A$4+262&gt;$B$4,"",$A$4+262)</f>
        <v>46285</v>
      </c>
      <c r="N26249">
        <f>IF(M26249="","",'Master Barang'!A43)</f>
        <v>0</v>
      </c>
      <c r="O26249">
        <f>IF(N26249="","",'Master Barang'!B43)</f>
        <v>0</v>
      </c>
      <c r="P26249">
        <f>IF(OR(M26249="",N26249=""),"",SUMIFS('Barang Keluar'!$E:$E,'Barang Keluar'!$A:$A,M26249,'Barang Keluar'!$C:$C,N26249))</f>
        <v>0</v>
      </c>
    </row>
    <row r="26250" spans="13:16">
      <c r="M26250" s="49">
        <f>IF($A$4+262&gt;$B$4,"",$A$4+262)</f>
        <v>46285</v>
      </c>
      <c r="N26250">
        <f>IF(M26250="","",'Master Barang'!A44)</f>
        <v>0</v>
      </c>
      <c r="O26250">
        <f>IF(N26250="","",'Master Barang'!B44)</f>
        <v>0</v>
      </c>
      <c r="P26250">
        <f>IF(OR(M26250="",N26250=""),"",SUMIFS('Barang Keluar'!$E:$E,'Barang Keluar'!$A:$A,M26250,'Barang Keluar'!$C:$C,N26250))</f>
        <v>0</v>
      </c>
    </row>
    <row r="26251" spans="13:16">
      <c r="M26251" s="49">
        <f>IF($A$4+262&gt;$B$4,"",$A$4+262)</f>
        <v>46285</v>
      </c>
      <c r="N26251">
        <f>IF(M26251="","",'Master Barang'!A45)</f>
        <v>0</v>
      </c>
      <c r="O26251">
        <f>IF(N26251="","",'Master Barang'!B45)</f>
        <v>0</v>
      </c>
      <c r="P26251">
        <f>IF(OR(M26251="",N26251=""),"",SUMIFS('Barang Keluar'!$E:$E,'Barang Keluar'!$A:$A,M26251,'Barang Keluar'!$C:$C,N26251))</f>
        <v>0</v>
      </c>
    </row>
    <row r="26252" spans="13:16">
      <c r="M26252" s="49">
        <f>IF($A$4+262&gt;$B$4,"",$A$4+262)</f>
        <v>46285</v>
      </c>
      <c r="N26252">
        <f>IF(M26252="","",'Master Barang'!A46)</f>
        <v>0</v>
      </c>
      <c r="O26252">
        <f>IF(N26252="","",'Master Barang'!B46)</f>
        <v>0</v>
      </c>
      <c r="P26252">
        <f>IF(OR(M26252="",N26252=""),"",SUMIFS('Barang Keluar'!$E:$E,'Barang Keluar'!$A:$A,M26252,'Barang Keluar'!$C:$C,N26252))</f>
        <v>0</v>
      </c>
    </row>
    <row r="26253" spans="13:16">
      <c r="M26253" s="49">
        <f>IF($A$4+262&gt;$B$4,"",$A$4+262)</f>
        <v>46285</v>
      </c>
      <c r="N26253">
        <f>IF(M26253="","",'Master Barang'!A47)</f>
        <v>0</v>
      </c>
      <c r="O26253">
        <f>IF(N26253="","",'Master Barang'!B47)</f>
        <v>0</v>
      </c>
      <c r="P26253">
        <f>IF(OR(M26253="",N26253=""),"",SUMIFS('Barang Keluar'!$E:$E,'Barang Keluar'!$A:$A,M26253,'Barang Keluar'!$C:$C,N26253))</f>
        <v>0</v>
      </c>
    </row>
    <row r="26254" spans="13:16">
      <c r="M26254" s="49">
        <f>IF($A$4+262&gt;$B$4,"",$A$4+262)</f>
        <v>46285</v>
      </c>
      <c r="N26254">
        <f>IF(M26254="","",'Master Barang'!A48)</f>
        <v>0</v>
      </c>
      <c r="O26254">
        <f>IF(N26254="","",'Master Barang'!B48)</f>
        <v>0</v>
      </c>
      <c r="P26254">
        <f>IF(OR(M26254="",N26254=""),"",SUMIFS('Barang Keluar'!$E:$E,'Barang Keluar'!$A:$A,M26254,'Barang Keluar'!$C:$C,N26254))</f>
        <v>0</v>
      </c>
    </row>
    <row r="26255" spans="13:16">
      <c r="M26255" s="49">
        <f>IF($A$4+262&gt;$B$4,"",$A$4+262)</f>
        <v>46285</v>
      </c>
      <c r="N26255">
        <f>IF(M26255="","",'Master Barang'!A49)</f>
        <v>0</v>
      </c>
      <c r="O26255">
        <f>IF(N26255="","",'Master Barang'!B49)</f>
        <v>0</v>
      </c>
      <c r="P26255">
        <f>IF(OR(M26255="",N26255=""),"",SUMIFS('Barang Keluar'!$E:$E,'Barang Keluar'!$A:$A,M26255,'Barang Keluar'!$C:$C,N26255))</f>
        <v>0</v>
      </c>
    </row>
    <row r="26256" spans="13:16">
      <c r="M26256" s="49">
        <f>IF($A$4+262&gt;$B$4,"",$A$4+262)</f>
        <v>46285</v>
      </c>
      <c r="N26256">
        <f>IF(M26256="","",'Master Barang'!A50)</f>
        <v>0</v>
      </c>
      <c r="O26256">
        <f>IF(N26256="","",'Master Barang'!B50)</f>
        <v>0</v>
      </c>
      <c r="P26256">
        <f>IF(OR(M26256="",N26256=""),"",SUMIFS('Barang Keluar'!$E:$E,'Barang Keluar'!$A:$A,M26256,'Barang Keluar'!$C:$C,N26256))</f>
        <v>0</v>
      </c>
    </row>
    <row r="26257" spans="13:16">
      <c r="M26257" s="49">
        <f>IF($A$4+262&gt;$B$4,"",$A$4+262)</f>
        <v>46285</v>
      </c>
      <c r="N26257">
        <f>IF(M26257="","",'Master Barang'!A51)</f>
        <v>0</v>
      </c>
      <c r="O26257">
        <f>IF(N26257="","",'Master Barang'!B51)</f>
        <v>0</v>
      </c>
      <c r="P26257">
        <f>IF(OR(M26257="",N26257=""),"",SUMIFS('Barang Keluar'!$E:$E,'Barang Keluar'!$A:$A,M26257,'Barang Keluar'!$C:$C,N26257))</f>
        <v>0</v>
      </c>
    </row>
    <row r="26258" spans="13:16">
      <c r="M26258" s="49">
        <f>IF($A$4+262&gt;$B$4,"",$A$4+262)</f>
        <v>46285</v>
      </c>
      <c r="N26258">
        <f>IF(M26258="","",'Master Barang'!A52)</f>
        <v>0</v>
      </c>
      <c r="O26258">
        <f>IF(N26258="","",'Master Barang'!B52)</f>
        <v>0</v>
      </c>
      <c r="P26258">
        <f>IF(OR(M26258="",N26258=""),"",SUMIFS('Barang Keluar'!$E:$E,'Barang Keluar'!$A:$A,M26258,'Barang Keluar'!$C:$C,N26258))</f>
        <v>0</v>
      </c>
    </row>
    <row r="26259" spans="13:16">
      <c r="M26259" s="49">
        <f>IF($A$4+262&gt;$B$4,"",$A$4+262)</f>
        <v>46285</v>
      </c>
      <c r="N26259">
        <f>IF(M26259="","",'Master Barang'!A53)</f>
        <v>0</v>
      </c>
      <c r="O26259">
        <f>IF(N26259="","",'Master Barang'!B53)</f>
        <v>0</v>
      </c>
      <c r="P26259">
        <f>IF(OR(M26259="",N26259=""),"",SUMIFS('Barang Keluar'!$E:$E,'Barang Keluar'!$A:$A,M26259,'Barang Keluar'!$C:$C,N26259))</f>
        <v>0</v>
      </c>
    </row>
    <row r="26260" spans="13:16">
      <c r="M26260" s="49">
        <f>IF($A$4+262&gt;$B$4,"",$A$4+262)</f>
        <v>46285</v>
      </c>
      <c r="N26260">
        <f>IF(M26260="","",'Master Barang'!A54)</f>
        <v>0</v>
      </c>
      <c r="O26260">
        <f>IF(N26260="","",'Master Barang'!B54)</f>
        <v>0</v>
      </c>
      <c r="P26260">
        <f>IF(OR(M26260="",N26260=""),"",SUMIFS('Barang Keluar'!$E:$E,'Barang Keluar'!$A:$A,M26260,'Barang Keluar'!$C:$C,N26260))</f>
        <v>0</v>
      </c>
    </row>
    <row r="26261" spans="13:16">
      <c r="M26261" s="49">
        <f>IF($A$4+262&gt;$B$4,"",$A$4+262)</f>
        <v>46285</v>
      </c>
      <c r="N26261">
        <f>IF(M26261="","",'Master Barang'!A55)</f>
        <v>0</v>
      </c>
      <c r="O26261">
        <f>IF(N26261="","",'Master Barang'!B55)</f>
        <v>0</v>
      </c>
      <c r="P26261">
        <f>IF(OR(M26261="",N26261=""),"",SUMIFS('Barang Keluar'!$E:$E,'Barang Keluar'!$A:$A,M26261,'Barang Keluar'!$C:$C,N26261))</f>
        <v>0</v>
      </c>
    </row>
    <row r="26262" spans="13:16">
      <c r="M26262" s="49">
        <f>IF($A$4+262&gt;$B$4,"",$A$4+262)</f>
        <v>46285</v>
      </c>
      <c r="N26262">
        <f>IF(M26262="","",'Master Barang'!A56)</f>
        <v>0</v>
      </c>
      <c r="O26262">
        <f>IF(N26262="","",'Master Barang'!B56)</f>
        <v>0</v>
      </c>
      <c r="P26262">
        <f>IF(OR(M26262="",N26262=""),"",SUMIFS('Barang Keluar'!$E:$E,'Barang Keluar'!$A:$A,M26262,'Barang Keluar'!$C:$C,N26262))</f>
        <v>0</v>
      </c>
    </row>
    <row r="26263" spans="13:16">
      <c r="M26263" s="49">
        <f>IF($A$4+262&gt;$B$4,"",$A$4+262)</f>
        <v>46285</v>
      </c>
      <c r="N26263">
        <f>IF(M26263="","",'Master Barang'!A57)</f>
        <v>0</v>
      </c>
      <c r="O26263">
        <f>IF(N26263="","",'Master Barang'!B57)</f>
        <v>0</v>
      </c>
      <c r="P26263">
        <f>IF(OR(M26263="",N26263=""),"",SUMIFS('Barang Keluar'!$E:$E,'Barang Keluar'!$A:$A,M26263,'Barang Keluar'!$C:$C,N26263))</f>
        <v>0</v>
      </c>
    </row>
    <row r="26264" spans="13:16">
      <c r="M26264" s="49">
        <f>IF($A$4+262&gt;$B$4,"",$A$4+262)</f>
        <v>46285</v>
      </c>
      <c r="N26264">
        <f>IF(M26264="","",'Master Barang'!A58)</f>
        <v>0</v>
      </c>
      <c r="O26264">
        <f>IF(N26264="","",'Master Barang'!B58)</f>
        <v>0</v>
      </c>
      <c r="P26264">
        <f>IF(OR(M26264="",N26264=""),"",SUMIFS('Barang Keluar'!$E:$E,'Barang Keluar'!$A:$A,M26264,'Barang Keluar'!$C:$C,N26264))</f>
        <v>0</v>
      </c>
    </row>
    <row r="26265" spans="13:16">
      <c r="M26265" s="49">
        <f>IF($A$4+262&gt;$B$4,"",$A$4+262)</f>
        <v>46285</v>
      </c>
      <c r="N26265">
        <f>IF(M26265="","",'Master Barang'!A59)</f>
        <v>0</v>
      </c>
      <c r="O26265">
        <f>IF(N26265="","",'Master Barang'!B59)</f>
        <v>0</v>
      </c>
      <c r="P26265">
        <f>IF(OR(M26265="",N26265=""),"",SUMIFS('Barang Keluar'!$E:$E,'Barang Keluar'!$A:$A,M26265,'Barang Keluar'!$C:$C,N26265))</f>
        <v>0</v>
      </c>
    </row>
    <row r="26266" spans="13:16">
      <c r="M26266" s="49">
        <f>IF($A$4+262&gt;$B$4,"",$A$4+262)</f>
        <v>46285</v>
      </c>
      <c r="N26266">
        <f>IF(M26266="","",'Master Barang'!A60)</f>
        <v>0</v>
      </c>
      <c r="O26266">
        <f>IF(N26266="","",'Master Barang'!B60)</f>
        <v>0</v>
      </c>
      <c r="P26266">
        <f>IF(OR(M26266="",N26266=""),"",SUMIFS('Barang Keluar'!$E:$E,'Barang Keluar'!$A:$A,M26266,'Barang Keluar'!$C:$C,N26266))</f>
        <v>0</v>
      </c>
    </row>
    <row r="26267" spans="13:16">
      <c r="M26267" s="49">
        <f>IF($A$4+262&gt;$B$4,"",$A$4+262)</f>
        <v>46285</v>
      </c>
      <c r="N26267">
        <f>IF(M26267="","",'Master Barang'!A61)</f>
        <v>0</v>
      </c>
      <c r="O26267">
        <f>IF(N26267="","",'Master Barang'!B61)</f>
        <v>0</v>
      </c>
      <c r="P26267">
        <f>IF(OR(M26267="",N26267=""),"",SUMIFS('Barang Keluar'!$E:$E,'Barang Keluar'!$A:$A,M26267,'Barang Keluar'!$C:$C,N26267))</f>
        <v>0</v>
      </c>
    </row>
    <row r="26268" spans="13:16">
      <c r="M26268" s="49">
        <f>IF($A$4+262&gt;$B$4,"",$A$4+262)</f>
        <v>46285</v>
      </c>
      <c r="N26268">
        <f>IF(M26268="","",'Master Barang'!A62)</f>
        <v>0</v>
      </c>
      <c r="O26268">
        <f>IF(N26268="","",'Master Barang'!B62)</f>
        <v>0</v>
      </c>
      <c r="P26268">
        <f>IF(OR(M26268="",N26268=""),"",SUMIFS('Barang Keluar'!$E:$E,'Barang Keluar'!$A:$A,M26268,'Barang Keluar'!$C:$C,N26268))</f>
        <v>0</v>
      </c>
    </row>
    <row r="26269" spans="13:16">
      <c r="M26269" s="49">
        <f>IF($A$4+262&gt;$B$4,"",$A$4+262)</f>
        <v>46285</v>
      </c>
      <c r="N26269">
        <f>IF(M26269="","",'Master Barang'!A63)</f>
        <v>0</v>
      </c>
      <c r="O26269">
        <f>IF(N26269="","",'Master Barang'!B63)</f>
        <v>0</v>
      </c>
      <c r="P26269">
        <f>IF(OR(M26269="",N26269=""),"",SUMIFS('Barang Keluar'!$E:$E,'Barang Keluar'!$A:$A,M26269,'Barang Keluar'!$C:$C,N26269))</f>
        <v>0</v>
      </c>
    </row>
    <row r="26270" spans="13:16">
      <c r="M26270" s="49">
        <f>IF($A$4+262&gt;$B$4,"",$A$4+262)</f>
        <v>46285</v>
      </c>
      <c r="N26270">
        <f>IF(M26270="","",'Master Barang'!A64)</f>
        <v>0</v>
      </c>
      <c r="O26270">
        <f>IF(N26270="","",'Master Barang'!B64)</f>
        <v>0</v>
      </c>
      <c r="P26270">
        <f>IF(OR(M26270="",N26270=""),"",SUMIFS('Barang Keluar'!$E:$E,'Barang Keluar'!$A:$A,M26270,'Barang Keluar'!$C:$C,N26270))</f>
        <v>0</v>
      </c>
    </row>
    <row r="26271" spans="13:16">
      <c r="M26271" s="49">
        <f>IF($A$4+262&gt;$B$4,"",$A$4+262)</f>
        <v>46285</v>
      </c>
      <c r="N26271">
        <f>IF(M26271="","",'Master Barang'!A65)</f>
        <v>0</v>
      </c>
      <c r="O26271">
        <f>IF(N26271="","",'Master Barang'!B65)</f>
        <v>0</v>
      </c>
      <c r="P26271">
        <f>IF(OR(M26271="",N26271=""),"",SUMIFS('Barang Keluar'!$E:$E,'Barang Keluar'!$A:$A,M26271,'Barang Keluar'!$C:$C,N26271))</f>
        <v>0</v>
      </c>
    </row>
    <row r="26272" spans="13:16">
      <c r="M26272" s="49">
        <f>IF($A$4+262&gt;$B$4,"",$A$4+262)</f>
        <v>46285</v>
      </c>
      <c r="N26272">
        <f>IF(M26272="","",'Master Barang'!A66)</f>
        <v>0</v>
      </c>
      <c r="O26272">
        <f>IF(N26272="","",'Master Barang'!B66)</f>
        <v>0</v>
      </c>
      <c r="P26272">
        <f>IF(OR(M26272="",N26272=""),"",SUMIFS('Barang Keluar'!$E:$E,'Barang Keluar'!$A:$A,M26272,'Barang Keluar'!$C:$C,N26272))</f>
        <v>0</v>
      </c>
    </row>
    <row r="26273" spans="13:16">
      <c r="M26273" s="49">
        <f>IF($A$4+262&gt;$B$4,"",$A$4+262)</f>
        <v>46285</v>
      </c>
      <c r="N26273">
        <f>IF(M26273="","",'Master Barang'!A67)</f>
        <v>0</v>
      </c>
      <c r="O26273">
        <f>IF(N26273="","",'Master Barang'!B67)</f>
        <v>0</v>
      </c>
      <c r="P26273">
        <f>IF(OR(M26273="",N26273=""),"",SUMIFS('Barang Keluar'!$E:$E,'Barang Keluar'!$A:$A,M26273,'Barang Keluar'!$C:$C,N26273))</f>
        <v>0</v>
      </c>
    </row>
    <row r="26274" spans="13:16">
      <c r="M26274" s="49">
        <f>IF($A$4+262&gt;$B$4,"",$A$4+262)</f>
        <v>46285</v>
      </c>
      <c r="N26274">
        <f>IF(M26274="","",'Master Barang'!A68)</f>
        <v>0</v>
      </c>
      <c r="O26274">
        <f>IF(N26274="","",'Master Barang'!B68)</f>
        <v>0</v>
      </c>
      <c r="P26274">
        <f>IF(OR(M26274="",N26274=""),"",SUMIFS('Barang Keluar'!$E:$E,'Barang Keluar'!$A:$A,M26274,'Barang Keluar'!$C:$C,N26274))</f>
        <v>0</v>
      </c>
    </row>
    <row r="26275" spans="13:16">
      <c r="M26275" s="49">
        <f>IF($A$4+262&gt;$B$4,"",$A$4+262)</f>
        <v>46285</v>
      </c>
      <c r="N26275">
        <f>IF(M26275="","",'Master Barang'!A69)</f>
        <v>0</v>
      </c>
      <c r="O26275">
        <f>IF(N26275="","",'Master Barang'!B69)</f>
        <v>0</v>
      </c>
      <c r="P26275">
        <f>IF(OR(M26275="",N26275=""),"",SUMIFS('Barang Keluar'!$E:$E,'Barang Keluar'!$A:$A,M26275,'Barang Keluar'!$C:$C,N26275))</f>
        <v>0</v>
      </c>
    </row>
    <row r="26276" spans="13:16">
      <c r="M26276" s="49">
        <f>IF($A$4+262&gt;$B$4,"",$A$4+262)</f>
        <v>46285</v>
      </c>
      <c r="N26276">
        <f>IF(M26276="","",'Master Barang'!A70)</f>
        <v>0</v>
      </c>
      <c r="O26276">
        <f>IF(N26276="","",'Master Barang'!B70)</f>
        <v>0</v>
      </c>
      <c r="P26276">
        <f>IF(OR(M26276="",N26276=""),"",SUMIFS('Barang Keluar'!$E:$E,'Barang Keluar'!$A:$A,M26276,'Barang Keluar'!$C:$C,N26276))</f>
        <v>0</v>
      </c>
    </row>
    <row r="26277" spans="13:16">
      <c r="M26277" s="49">
        <f>IF($A$4+262&gt;$B$4,"",$A$4+262)</f>
        <v>46285</v>
      </c>
      <c r="N26277">
        <f>IF(M26277="","",'Master Barang'!A71)</f>
        <v>0</v>
      </c>
      <c r="O26277">
        <f>IF(N26277="","",'Master Barang'!B71)</f>
        <v>0</v>
      </c>
      <c r="P26277">
        <f>IF(OR(M26277="",N26277=""),"",SUMIFS('Barang Keluar'!$E:$E,'Barang Keluar'!$A:$A,M26277,'Barang Keluar'!$C:$C,N26277))</f>
        <v>0</v>
      </c>
    </row>
    <row r="26278" spans="13:16">
      <c r="M26278" s="49">
        <f>IF($A$4+262&gt;$B$4,"",$A$4+262)</f>
        <v>46285</v>
      </c>
      <c r="N26278">
        <f>IF(M26278="","",'Master Barang'!A72)</f>
        <v>0</v>
      </c>
      <c r="O26278">
        <f>IF(N26278="","",'Master Barang'!B72)</f>
        <v>0</v>
      </c>
      <c r="P26278">
        <f>IF(OR(M26278="",N26278=""),"",SUMIFS('Barang Keluar'!$E:$E,'Barang Keluar'!$A:$A,M26278,'Barang Keluar'!$C:$C,N26278))</f>
        <v>0</v>
      </c>
    </row>
    <row r="26279" spans="13:16">
      <c r="M26279" s="49">
        <f>IF($A$4+262&gt;$B$4,"",$A$4+262)</f>
        <v>46285</v>
      </c>
      <c r="N26279">
        <f>IF(M26279="","",'Master Barang'!A73)</f>
        <v>0</v>
      </c>
      <c r="O26279">
        <f>IF(N26279="","",'Master Barang'!B73)</f>
        <v>0</v>
      </c>
      <c r="P26279">
        <f>IF(OR(M26279="",N26279=""),"",SUMIFS('Barang Keluar'!$E:$E,'Barang Keluar'!$A:$A,M26279,'Barang Keluar'!$C:$C,N26279))</f>
        <v>0</v>
      </c>
    </row>
    <row r="26280" spans="13:16">
      <c r="M26280" s="49">
        <f>IF($A$4+262&gt;$B$4,"",$A$4+262)</f>
        <v>46285</v>
      </c>
      <c r="N26280">
        <f>IF(M26280="","",'Master Barang'!A74)</f>
        <v>0</v>
      </c>
      <c r="O26280">
        <f>IF(N26280="","",'Master Barang'!B74)</f>
        <v>0</v>
      </c>
      <c r="P26280">
        <f>IF(OR(M26280="",N26280=""),"",SUMIFS('Barang Keluar'!$E:$E,'Barang Keluar'!$A:$A,M26280,'Barang Keluar'!$C:$C,N26280))</f>
        <v>0</v>
      </c>
    </row>
    <row r="26281" spans="13:16">
      <c r="M26281" s="49">
        <f>IF($A$4+262&gt;$B$4,"",$A$4+262)</f>
        <v>46285</v>
      </c>
      <c r="N26281">
        <f>IF(M26281="","",'Master Barang'!A75)</f>
        <v>0</v>
      </c>
      <c r="O26281">
        <f>IF(N26281="","",'Master Barang'!B75)</f>
        <v>0</v>
      </c>
      <c r="P26281">
        <f>IF(OR(M26281="",N26281=""),"",SUMIFS('Barang Keluar'!$E:$E,'Barang Keluar'!$A:$A,M26281,'Barang Keluar'!$C:$C,N26281))</f>
        <v>0</v>
      </c>
    </row>
    <row r="26282" spans="13:16">
      <c r="M26282" s="49">
        <f>IF($A$4+262&gt;$B$4,"",$A$4+262)</f>
        <v>46285</v>
      </c>
      <c r="N26282">
        <f>IF(M26282="","",'Master Barang'!A76)</f>
        <v>0</v>
      </c>
      <c r="O26282">
        <f>IF(N26282="","",'Master Barang'!B76)</f>
        <v>0</v>
      </c>
      <c r="P26282">
        <f>IF(OR(M26282="",N26282=""),"",SUMIFS('Barang Keluar'!$E:$E,'Barang Keluar'!$A:$A,M26282,'Barang Keluar'!$C:$C,N26282))</f>
        <v>0</v>
      </c>
    </row>
    <row r="26283" spans="13:16">
      <c r="M26283" s="49">
        <f>IF($A$4+262&gt;$B$4,"",$A$4+262)</f>
        <v>46285</v>
      </c>
      <c r="N26283">
        <f>IF(M26283="","",'Master Barang'!A77)</f>
        <v>0</v>
      </c>
      <c r="O26283">
        <f>IF(N26283="","",'Master Barang'!B77)</f>
        <v>0</v>
      </c>
      <c r="P26283">
        <f>IF(OR(M26283="",N26283=""),"",SUMIFS('Barang Keluar'!$E:$E,'Barang Keluar'!$A:$A,M26283,'Barang Keluar'!$C:$C,N26283))</f>
        <v>0</v>
      </c>
    </row>
    <row r="26284" spans="13:16">
      <c r="M26284" s="49">
        <f>IF($A$4+262&gt;$B$4,"",$A$4+262)</f>
        <v>46285</v>
      </c>
      <c r="N26284">
        <f>IF(M26284="","",'Master Barang'!A78)</f>
        <v>0</v>
      </c>
      <c r="O26284">
        <f>IF(N26284="","",'Master Barang'!B78)</f>
        <v>0</v>
      </c>
      <c r="P26284">
        <f>IF(OR(M26284="",N26284=""),"",SUMIFS('Barang Keluar'!$E:$E,'Barang Keluar'!$A:$A,M26284,'Barang Keluar'!$C:$C,N26284))</f>
        <v>0</v>
      </c>
    </row>
    <row r="26285" spans="13:16">
      <c r="M26285" s="49">
        <f>IF($A$4+262&gt;$B$4,"",$A$4+262)</f>
        <v>46285</v>
      </c>
      <c r="N26285">
        <f>IF(M26285="","",'Master Barang'!A79)</f>
        <v>0</v>
      </c>
      <c r="O26285">
        <f>IF(N26285="","",'Master Barang'!B79)</f>
        <v>0</v>
      </c>
      <c r="P26285">
        <f>IF(OR(M26285="",N26285=""),"",SUMIFS('Barang Keluar'!$E:$E,'Barang Keluar'!$A:$A,M26285,'Barang Keluar'!$C:$C,N26285))</f>
        <v>0</v>
      </c>
    </row>
    <row r="26286" spans="13:16">
      <c r="M26286" s="49">
        <f>IF($A$4+262&gt;$B$4,"",$A$4+262)</f>
        <v>46285</v>
      </c>
      <c r="N26286">
        <f>IF(M26286="","",'Master Barang'!A80)</f>
        <v>0</v>
      </c>
      <c r="O26286">
        <f>IF(N26286="","",'Master Barang'!B80)</f>
        <v>0</v>
      </c>
      <c r="P26286">
        <f>IF(OR(M26286="",N26286=""),"",SUMIFS('Barang Keluar'!$E:$E,'Barang Keluar'!$A:$A,M26286,'Barang Keluar'!$C:$C,N26286))</f>
        <v>0</v>
      </c>
    </row>
    <row r="26287" spans="13:16">
      <c r="M26287" s="49">
        <f>IF($A$4+262&gt;$B$4,"",$A$4+262)</f>
        <v>46285</v>
      </c>
      <c r="N26287">
        <f>IF(M26287="","",'Master Barang'!A81)</f>
        <v>0</v>
      </c>
      <c r="O26287">
        <f>IF(N26287="","",'Master Barang'!B81)</f>
        <v>0</v>
      </c>
      <c r="P26287">
        <f>IF(OR(M26287="",N26287=""),"",SUMIFS('Barang Keluar'!$E:$E,'Barang Keluar'!$A:$A,M26287,'Barang Keluar'!$C:$C,N26287))</f>
        <v>0</v>
      </c>
    </row>
    <row r="26288" spans="13:16">
      <c r="M26288" s="49">
        <f>IF($A$4+262&gt;$B$4,"",$A$4+262)</f>
        <v>46285</v>
      </c>
      <c r="N26288">
        <f>IF(M26288="","",'Master Barang'!A82)</f>
        <v>0</v>
      </c>
      <c r="O26288">
        <f>IF(N26288="","",'Master Barang'!B82)</f>
        <v>0</v>
      </c>
      <c r="P26288">
        <f>IF(OR(M26288="",N26288=""),"",SUMIFS('Barang Keluar'!$E:$E,'Barang Keluar'!$A:$A,M26288,'Barang Keluar'!$C:$C,N26288))</f>
        <v>0</v>
      </c>
    </row>
    <row r="26289" spans="13:16">
      <c r="M26289" s="49">
        <f>IF($A$4+262&gt;$B$4,"",$A$4+262)</f>
        <v>46285</v>
      </c>
      <c r="N26289">
        <f>IF(M26289="","",'Master Barang'!A83)</f>
        <v>0</v>
      </c>
      <c r="O26289">
        <f>IF(N26289="","",'Master Barang'!B83)</f>
        <v>0</v>
      </c>
      <c r="P26289">
        <f>IF(OR(M26289="",N26289=""),"",SUMIFS('Barang Keluar'!$E:$E,'Barang Keluar'!$A:$A,M26289,'Barang Keluar'!$C:$C,N26289))</f>
        <v>0</v>
      </c>
    </row>
    <row r="26290" spans="13:16">
      <c r="M26290" s="49">
        <f>IF($A$4+262&gt;$B$4,"",$A$4+262)</f>
        <v>46285</v>
      </c>
      <c r="N26290">
        <f>IF(M26290="","",'Master Barang'!A84)</f>
        <v>0</v>
      </c>
      <c r="O26290">
        <f>IF(N26290="","",'Master Barang'!B84)</f>
        <v>0</v>
      </c>
      <c r="P26290">
        <f>IF(OR(M26290="",N26290=""),"",SUMIFS('Barang Keluar'!$E:$E,'Barang Keluar'!$A:$A,M26290,'Barang Keluar'!$C:$C,N26290))</f>
        <v>0</v>
      </c>
    </row>
    <row r="26291" spans="13:16">
      <c r="M26291" s="49">
        <f>IF($A$4+262&gt;$B$4,"",$A$4+262)</f>
        <v>46285</v>
      </c>
      <c r="N26291">
        <f>IF(M26291="","",'Master Barang'!A85)</f>
        <v>0</v>
      </c>
      <c r="O26291">
        <f>IF(N26291="","",'Master Barang'!B85)</f>
        <v>0</v>
      </c>
      <c r="P26291">
        <f>IF(OR(M26291="",N26291=""),"",SUMIFS('Barang Keluar'!$E:$E,'Barang Keluar'!$A:$A,M26291,'Barang Keluar'!$C:$C,N26291))</f>
        <v>0</v>
      </c>
    </row>
    <row r="26292" spans="13:16">
      <c r="M26292" s="49">
        <f>IF($A$4+262&gt;$B$4,"",$A$4+262)</f>
        <v>46285</v>
      </c>
      <c r="N26292">
        <f>IF(M26292="","",'Master Barang'!A86)</f>
        <v>0</v>
      </c>
      <c r="O26292">
        <f>IF(N26292="","",'Master Barang'!B86)</f>
        <v>0</v>
      </c>
      <c r="P26292">
        <f>IF(OR(M26292="",N26292=""),"",SUMIFS('Barang Keluar'!$E:$E,'Barang Keluar'!$A:$A,M26292,'Barang Keluar'!$C:$C,N26292))</f>
        <v>0</v>
      </c>
    </row>
    <row r="26293" spans="13:16">
      <c r="M26293" s="49">
        <f>IF($A$4+262&gt;$B$4,"",$A$4+262)</f>
        <v>46285</v>
      </c>
      <c r="N26293">
        <f>IF(M26293="","",'Master Barang'!A87)</f>
        <v>0</v>
      </c>
      <c r="O26293">
        <f>IF(N26293="","",'Master Barang'!B87)</f>
        <v>0</v>
      </c>
      <c r="P26293">
        <f>IF(OR(M26293="",N26293=""),"",SUMIFS('Barang Keluar'!$E:$E,'Barang Keluar'!$A:$A,M26293,'Barang Keluar'!$C:$C,N26293))</f>
        <v>0</v>
      </c>
    </row>
    <row r="26294" spans="13:16">
      <c r="M26294" s="49">
        <f>IF($A$4+262&gt;$B$4,"",$A$4+262)</f>
        <v>46285</v>
      </c>
      <c r="N26294">
        <f>IF(M26294="","",'Master Barang'!A88)</f>
        <v>0</v>
      </c>
      <c r="O26294">
        <f>IF(N26294="","",'Master Barang'!B88)</f>
        <v>0</v>
      </c>
      <c r="P26294">
        <f>IF(OR(M26294="",N26294=""),"",SUMIFS('Barang Keluar'!$E:$E,'Barang Keluar'!$A:$A,M26294,'Barang Keluar'!$C:$C,N26294))</f>
        <v>0</v>
      </c>
    </row>
    <row r="26295" spans="13:16">
      <c r="M26295" s="49">
        <f>IF($A$4+262&gt;$B$4,"",$A$4+262)</f>
        <v>46285</v>
      </c>
      <c r="N26295">
        <f>IF(M26295="","",'Master Barang'!A89)</f>
        <v>0</v>
      </c>
      <c r="O26295">
        <f>IF(N26295="","",'Master Barang'!B89)</f>
        <v>0</v>
      </c>
      <c r="P26295">
        <f>IF(OR(M26295="",N26295=""),"",SUMIFS('Barang Keluar'!$E:$E,'Barang Keluar'!$A:$A,M26295,'Barang Keluar'!$C:$C,N26295))</f>
        <v>0</v>
      </c>
    </row>
    <row r="26296" spans="13:16">
      <c r="M26296" s="49">
        <f>IF($A$4+262&gt;$B$4,"",$A$4+262)</f>
        <v>46285</v>
      </c>
      <c r="N26296">
        <f>IF(M26296="","",'Master Barang'!A90)</f>
        <v>0</v>
      </c>
      <c r="O26296">
        <f>IF(N26296="","",'Master Barang'!B90)</f>
        <v>0</v>
      </c>
      <c r="P26296">
        <f>IF(OR(M26296="",N26296=""),"",SUMIFS('Barang Keluar'!$E:$E,'Barang Keluar'!$A:$A,M26296,'Barang Keluar'!$C:$C,N26296))</f>
        <v>0</v>
      </c>
    </row>
    <row r="26297" spans="13:16">
      <c r="M26297" s="49">
        <f>IF($A$4+262&gt;$B$4,"",$A$4+262)</f>
        <v>46285</v>
      </c>
      <c r="N26297">
        <f>IF(M26297="","",'Master Barang'!A91)</f>
        <v>0</v>
      </c>
      <c r="O26297">
        <f>IF(N26297="","",'Master Barang'!B91)</f>
        <v>0</v>
      </c>
      <c r="P26297">
        <f>IF(OR(M26297="",N26297=""),"",SUMIFS('Barang Keluar'!$E:$E,'Barang Keluar'!$A:$A,M26297,'Barang Keluar'!$C:$C,N26297))</f>
        <v>0</v>
      </c>
    </row>
    <row r="26298" spans="13:16">
      <c r="M26298" s="49">
        <f>IF($A$4+262&gt;$B$4,"",$A$4+262)</f>
        <v>46285</v>
      </c>
      <c r="N26298">
        <f>IF(M26298="","",'Master Barang'!A92)</f>
        <v>0</v>
      </c>
      <c r="O26298">
        <f>IF(N26298="","",'Master Barang'!B92)</f>
        <v>0</v>
      </c>
      <c r="P26298">
        <f>IF(OR(M26298="",N26298=""),"",SUMIFS('Barang Keluar'!$E:$E,'Barang Keluar'!$A:$A,M26298,'Barang Keluar'!$C:$C,N26298))</f>
        <v>0</v>
      </c>
    </row>
    <row r="26299" spans="13:16">
      <c r="M26299" s="49">
        <f>IF($A$4+262&gt;$B$4,"",$A$4+262)</f>
        <v>46285</v>
      </c>
      <c r="N26299">
        <f>IF(M26299="","",'Master Barang'!A93)</f>
        <v>0</v>
      </c>
      <c r="O26299">
        <f>IF(N26299="","",'Master Barang'!B93)</f>
        <v>0</v>
      </c>
      <c r="P26299">
        <f>IF(OR(M26299="",N26299=""),"",SUMIFS('Barang Keluar'!$E:$E,'Barang Keluar'!$A:$A,M26299,'Barang Keluar'!$C:$C,N26299))</f>
        <v>0</v>
      </c>
    </row>
    <row r="26300" spans="13:16">
      <c r="M26300" s="49">
        <f>IF($A$4+262&gt;$B$4,"",$A$4+262)</f>
        <v>46285</v>
      </c>
      <c r="N26300">
        <f>IF(M26300="","",'Master Barang'!A94)</f>
        <v>0</v>
      </c>
      <c r="O26300">
        <f>IF(N26300="","",'Master Barang'!B94)</f>
        <v>0</v>
      </c>
      <c r="P26300">
        <f>IF(OR(M26300="",N26300=""),"",SUMIFS('Barang Keluar'!$E:$E,'Barang Keluar'!$A:$A,M26300,'Barang Keluar'!$C:$C,N26300))</f>
        <v>0</v>
      </c>
    </row>
    <row r="26301" spans="13:16">
      <c r="M26301" s="49">
        <f>IF($A$4+262&gt;$B$4,"",$A$4+262)</f>
        <v>46285</v>
      </c>
      <c r="N26301">
        <f>IF(M26301="","",'Master Barang'!A95)</f>
        <v>0</v>
      </c>
      <c r="O26301">
        <f>IF(N26301="","",'Master Barang'!B95)</f>
        <v>0</v>
      </c>
      <c r="P26301">
        <f>IF(OR(M26301="",N26301=""),"",SUMIFS('Barang Keluar'!$E:$E,'Barang Keluar'!$A:$A,M26301,'Barang Keluar'!$C:$C,N26301))</f>
        <v>0</v>
      </c>
    </row>
    <row r="26302" spans="13:16">
      <c r="M26302" s="49">
        <f>IF($A$4+262&gt;$B$4,"",$A$4+262)</f>
        <v>46285</v>
      </c>
      <c r="N26302">
        <f>IF(M26302="","",'Master Barang'!A96)</f>
        <v>0</v>
      </c>
      <c r="O26302">
        <f>IF(N26302="","",'Master Barang'!B96)</f>
        <v>0</v>
      </c>
      <c r="P26302">
        <f>IF(OR(M26302="",N26302=""),"",SUMIFS('Barang Keluar'!$E:$E,'Barang Keluar'!$A:$A,M26302,'Barang Keluar'!$C:$C,N26302))</f>
        <v>0</v>
      </c>
    </row>
    <row r="26303" spans="13:16">
      <c r="M26303" s="49">
        <f>IF($A$4+262&gt;$B$4,"",$A$4+262)</f>
        <v>46285</v>
      </c>
      <c r="N26303">
        <f>IF(M26303="","",'Master Barang'!A97)</f>
        <v>0</v>
      </c>
      <c r="O26303">
        <f>IF(N26303="","",'Master Barang'!B97)</f>
        <v>0</v>
      </c>
      <c r="P26303">
        <f>IF(OR(M26303="",N26303=""),"",SUMIFS('Barang Keluar'!$E:$E,'Barang Keluar'!$A:$A,M26303,'Barang Keluar'!$C:$C,N26303))</f>
        <v>0</v>
      </c>
    </row>
    <row r="26304" spans="13:16">
      <c r="M26304" s="49">
        <f>IF($A$4+262&gt;$B$4,"",$A$4+262)</f>
        <v>46285</v>
      </c>
      <c r="N26304">
        <f>IF(M26304="","",'Master Barang'!A98)</f>
        <v>0</v>
      </c>
      <c r="O26304">
        <f>IF(N26304="","",'Master Barang'!B98)</f>
        <v>0</v>
      </c>
      <c r="P26304">
        <f>IF(OR(M26304="",N26304=""),"",SUMIFS('Barang Keluar'!$E:$E,'Barang Keluar'!$A:$A,M26304,'Barang Keluar'!$C:$C,N26304))</f>
        <v>0</v>
      </c>
    </row>
    <row r="26305" spans="13:16">
      <c r="M26305" s="49">
        <f>IF($A$4+262&gt;$B$4,"",$A$4+262)</f>
        <v>46285</v>
      </c>
      <c r="N26305">
        <f>IF(M26305="","",'Master Barang'!A99)</f>
        <v>0</v>
      </c>
      <c r="O26305">
        <f>IF(N26305="","",'Master Barang'!B99)</f>
        <v>0</v>
      </c>
      <c r="P26305">
        <f>IF(OR(M26305="",N26305=""),"",SUMIFS('Barang Keluar'!$E:$E,'Barang Keluar'!$A:$A,M26305,'Barang Keluar'!$C:$C,N26305))</f>
        <v>0</v>
      </c>
    </row>
    <row r="26306" spans="13:16">
      <c r="M26306" s="49">
        <f>IF($A$4+262&gt;$B$4,"",$A$4+262)</f>
        <v>46285</v>
      </c>
      <c r="N26306">
        <f>IF(M26306="","",'Master Barang'!A100)</f>
        <v>0</v>
      </c>
      <c r="O26306">
        <f>IF(N26306="","",'Master Barang'!B100)</f>
        <v>0</v>
      </c>
      <c r="P26306">
        <f>IF(OR(M26306="",N26306=""),"",SUMIFS('Barang Keluar'!$E:$E,'Barang Keluar'!$A:$A,M26306,'Barang Keluar'!$C:$C,N26306))</f>
        <v>0</v>
      </c>
    </row>
    <row r="26307" spans="13:16">
      <c r="M26307" s="49">
        <f>IF($A$4+262&gt;$B$4,"",$A$4+262)</f>
        <v>46285</v>
      </c>
      <c r="N26307">
        <f>IF(M26307="","",'Master Barang'!A101)</f>
        <v>0</v>
      </c>
      <c r="O26307">
        <f>IF(N26307="","",'Master Barang'!B101)</f>
        <v>0</v>
      </c>
      <c r="P26307">
        <f>IF(OR(M26307="",N26307=""),"",SUMIFS('Barang Keluar'!$E:$E,'Barang Keluar'!$A:$A,M26307,'Barang Keluar'!$C:$C,N26307))</f>
        <v>0</v>
      </c>
    </row>
    <row r="26308" spans="13:16">
      <c r="M26308" s="49">
        <f>IF($A$4+263&gt;$B$4,"",$A$4+263)</f>
        <v>46286</v>
      </c>
      <c r="N26308" t="str">
        <f>IF(M26308="","",'Master Barang'!A2)</f>
        <v>PRL-001</v>
      </c>
      <c r="O26308" t="str">
        <f>IF(N26308="","",'Master Barang'!B2)</f>
        <v>natura desinfectant food grade 5l</v>
      </c>
      <c r="P26308">
        <f>IF(OR(M26308="",N26308=""),"",SUMIFS('Barang Keluar'!$E:$E,'Barang Keluar'!$A:$A,M26308,'Barang Keluar'!$C:$C,N26308))</f>
        <v>0</v>
      </c>
    </row>
    <row r="26309" spans="13:16">
      <c r="M26309" s="49">
        <f>IF($A$4+263&gt;$B$4,"",$A$4+263)</f>
        <v>46286</v>
      </c>
      <c r="N26309" t="str">
        <f>IF(M26309="","",'Master Barang'!A3)</f>
        <v>PRL-002</v>
      </c>
      <c r="O26309" t="str">
        <f>IF(N26309="","",'Master Barang'!B3)</f>
        <v>sunlight cairan pencuci piring 5l</v>
      </c>
      <c r="P26309">
        <f>IF(OR(M26309="",N26309=""),"",SUMIFS('Barang Keluar'!$E:$E,'Barang Keluar'!$A:$A,M26309,'Barang Keluar'!$C:$C,N26309))</f>
        <v>0</v>
      </c>
    </row>
    <row r="26310" spans="13:16">
      <c r="M26310" s="49">
        <f>IF($A$4+263&gt;$B$4,"",$A$4+263)</f>
        <v>46286</v>
      </c>
      <c r="N26310" t="str">
        <f>IF(M26310="","",'Master Barang'!A4)</f>
        <v>PRL-003</v>
      </c>
      <c r="O26310" t="str">
        <f>IF(N26310="","",'Master Barang'!B4)</f>
        <v>oixs cleaner 1l</v>
      </c>
      <c r="P26310">
        <f>IF(OR(M26310="",N26310=""),"",SUMIFS('Barang Keluar'!$E:$E,'Barang Keluar'!$A:$A,M26310,'Barang Keluar'!$C:$C,N26310))</f>
        <v>0</v>
      </c>
    </row>
    <row r="26311" spans="13:16">
      <c r="M26311" s="49">
        <f>IF($A$4+263&gt;$B$4,"",$A$4+263)</f>
        <v>46286</v>
      </c>
      <c r="N26311" t="str">
        <f>IF(M26311="","",'Master Barang'!A5)</f>
        <v>PRL-004</v>
      </c>
      <c r="O26311" t="str">
        <f>IF(N26311="","",'Master Barang'!B5)</f>
        <v>be clean tissue serbaguna</v>
      </c>
      <c r="P26311">
        <f>IF(OR(M26311="",N26311=""),"",SUMIFS('Barang Keluar'!$E:$E,'Barang Keluar'!$A:$A,M26311,'Barang Keluar'!$C:$C,N26311))</f>
        <v>0</v>
      </c>
    </row>
    <row r="26312" spans="13:16">
      <c r="M26312" s="49">
        <f>IF($A$4+263&gt;$B$4,"",$A$4+263)</f>
        <v>46286</v>
      </c>
      <c r="N26312" t="str">
        <f>IF(M26312="","",'Master Barang'!A6)</f>
        <v>PRL-005</v>
      </c>
      <c r="O26312" t="str">
        <f>IF(N26312="","",'Master Barang'!B6)</f>
        <v>spons cuci hijau</v>
      </c>
      <c r="P26312">
        <f>IF(OR(M26312="",N26312=""),"",SUMIFS('Barang Keluar'!$E:$E,'Barang Keluar'!$A:$A,M26312,'Barang Keluar'!$C:$C,N26312))</f>
        <v>0</v>
      </c>
    </row>
    <row r="26313" spans="13:16">
      <c r="M26313" s="49">
        <f>IF($A$4+263&gt;$B$4,"",$A$4+263)</f>
        <v>46286</v>
      </c>
      <c r="N26313" t="str">
        <f>IF(M26313="","",'Master Barang'!A7)</f>
        <v>PRL-006</v>
      </c>
      <c r="O26313" t="str">
        <f>IF(N26313="","",'Master Barang'!B7)</f>
        <v>sabut cuci stainless</v>
      </c>
      <c r="P26313">
        <f>IF(OR(M26313="",N26313=""),"",SUMIFS('Barang Keluar'!$E:$E,'Barang Keluar'!$A:$A,M26313,'Barang Keluar'!$C:$C,N26313))</f>
        <v>0</v>
      </c>
    </row>
    <row r="26314" spans="13:16">
      <c r="M26314" s="49">
        <f>IF($A$4+263&gt;$B$4,"",$A$4+263)</f>
        <v>46286</v>
      </c>
      <c r="N26314" t="str">
        <f>IF(M26314="","",'Master Barang'!A8)</f>
        <v>PRL-007</v>
      </c>
      <c r="O26314" t="str">
        <f>IF(N26314="","",'Master Barang'!B8)</f>
        <v>plastik kresek besar merah 50pc</v>
      </c>
      <c r="P26314">
        <f>IF(OR(M26314="",N26314=""),"",SUMIFS('Barang Keluar'!$E:$E,'Barang Keluar'!$A:$A,M26314,'Barang Keluar'!$C:$C,N26314))</f>
        <v>0</v>
      </c>
    </row>
    <row r="26315" spans="13:16">
      <c r="M26315" s="49">
        <f>IF($A$4+263&gt;$B$4,"",$A$4+263)</f>
        <v>46286</v>
      </c>
      <c r="N26315" t="str">
        <f>IF(M26315="","",'Master Barang'!A9)</f>
        <v>PRL-008</v>
      </c>
      <c r="O26315" t="str">
        <f>IF(N26315="","",'Master Barang'!B9)</f>
        <v>lap besar</v>
      </c>
      <c r="P26315">
        <f>IF(OR(M26315="",N26315=""),"",SUMIFS('Barang Keluar'!$E:$E,'Barang Keluar'!$A:$A,M26315,'Barang Keluar'!$C:$C,N26315))</f>
        <v>0</v>
      </c>
    </row>
    <row r="26316" spans="13:16">
      <c r="M26316" s="49">
        <f>IF($A$4+263&gt;$B$4,"",$A$4+263)</f>
        <v>46286</v>
      </c>
      <c r="N26316" t="str">
        <f>IF(M26316="","",'Master Barang'!A10)</f>
        <v>PRL-009</v>
      </c>
      <c r="O26316" t="str">
        <f>IF(N26316="","",'Master Barang'!B10)</f>
        <v>lap microfiber</v>
      </c>
      <c r="P26316">
        <f>IF(OR(M26316="",N26316=""),"",SUMIFS('Barang Keluar'!$E:$E,'Barang Keluar'!$A:$A,M26316,'Barang Keluar'!$C:$C,N26316))</f>
        <v>0</v>
      </c>
    </row>
    <row r="26317" spans="13:16">
      <c r="M26317" s="49">
        <f>IF($A$4+263&gt;$B$4,"",$A$4+263)</f>
        <v>46286</v>
      </c>
      <c r="N26317" t="str">
        <f>IF(M26317="","",'Master Barang'!A11)</f>
        <v>PRL-010</v>
      </c>
      <c r="O26317" t="str">
        <f>IF(N26317="","",'Master Barang'!B11)</f>
        <v>lap kecil</v>
      </c>
      <c r="P26317">
        <f>IF(OR(M26317="",N26317=""),"",SUMIFS('Barang Keluar'!$E:$E,'Barang Keluar'!$A:$A,M26317,'Barang Keluar'!$C:$C,N26317))</f>
        <v>0</v>
      </c>
    </row>
    <row r="26318" spans="13:16">
      <c r="M26318" s="49">
        <f>IF($A$4+263&gt;$B$4,"",$A$4+263)</f>
        <v>46286</v>
      </c>
      <c r="N26318" t="str">
        <f>IF(M26318="","",'Master Barang'!A12)</f>
        <v>PRL-011</v>
      </c>
      <c r="O26318" t="str">
        <f>IF(N26318="","",'Master Barang'!B12)</f>
        <v>kanebo kecil</v>
      </c>
      <c r="P26318">
        <f>IF(OR(M26318="",N26318=""),"",SUMIFS('Barang Keluar'!$E:$E,'Barang Keluar'!$A:$A,M26318,'Barang Keluar'!$C:$C,N26318))</f>
        <v>0</v>
      </c>
    </row>
    <row r="26319" spans="13:16">
      <c r="M26319" s="49">
        <f>IF($A$4+263&gt;$B$4,"",$A$4+263)</f>
        <v>46286</v>
      </c>
      <c r="N26319" t="str">
        <f>IF(M26319="","",'Master Barang'!A13)</f>
        <v>PRL-012</v>
      </c>
      <c r="O26319" t="str">
        <f>IF(N26319="","",'Master Barang'!B13)</f>
        <v>plastik 1/4kg joyoboyo 100 lembar</v>
      </c>
      <c r="P26319">
        <f>IF(OR(M26319="",N26319=""),"",SUMIFS('Barang Keluar'!$E:$E,'Barang Keluar'!$A:$A,M26319,'Barang Keluar'!$C:$C,N26319))</f>
        <v>0</v>
      </c>
    </row>
    <row r="26320" spans="13:16">
      <c r="M26320" s="49">
        <f>IF($A$4+263&gt;$B$4,"",$A$4+263)</f>
        <v>46286</v>
      </c>
      <c r="N26320" t="str">
        <f>IF(M26320="","",'Master Barang'!A14)</f>
        <v>PRL-013</v>
      </c>
      <c r="O26320" t="str">
        <f>IF(N26320="","",'Master Barang'!B14)</f>
        <v>sarung tangan plastik kaka 100 pcs</v>
      </c>
      <c r="P26320">
        <f>IF(OR(M26320="",N26320=""),"",SUMIFS('Barang Keluar'!$E:$E,'Barang Keluar'!$A:$A,M26320,'Barang Keluar'!$C:$C,N26320))</f>
        <v>0</v>
      </c>
    </row>
    <row r="26321" spans="13:16">
      <c r="M26321" s="49">
        <f>IF($A$4+263&gt;$B$4,"",$A$4+263)</f>
        <v>46286</v>
      </c>
      <c r="N26321" t="str">
        <f>IF(M26321="","",'Master Barang'!A15)</f>
        <v>PRL-014</v>
      </c>
      <c r="O26321" t="str">
        <f>IF(N26321="","",'Master Barang'!B15)</f>
        <v>optima trashbag 80x100</v>
      </c>
      <c r="P26321">
        <f>IF(OR(M26321="",N26321=""),"",SUMIFS('Barang Keluar'!$E:$E,'Barang Keluar'!$A:$A,M26321,'Barang Keluar'!$C:$C,N26321))</f>
        <v>0</v>
      </c>
    </row>
    <row r="26322" spans="13:16">
      <c r="M26322" s="49">
        <f>IF($A$4+263&gt;$B$4,"",$A$4+263)</f>
        <v>46286</v>
      </c>
      <c r="N26322" t="str">
        <f>IF(M26322="","",'Master Barang'!A16)</f>
        <v>PRL-015</v>
      </c>
      <c r="O26322" t="str">
        <f>IF(N26322="","",'Master Barang'!B16)</f>
        <v>optima trashbag 60x100</v>
      </c>
      <c r="P26322">
        <f>IF(OR(M26322="",N26322=""),"",SUMIFS('Barang Keluar'!$E:$E,'Barang Keluar'!$A:$A,M26322,'Barang Keluar'!$C:$C,N26322))</f>
        <v>0</v>
      </c>
    </row>
    <row r="26323" spans="13:16">
      <c r="M26323" s="49">
        <f>IF($A$4+263&gt;$B$4,"",$A$4+263)</f>
        <v>46286</v>
      </c>
      <c r="N26323" t="str">
        <f>IF(M26323="","",'Master Barang'!A17)</f>
        <v>PRL-016</v>
      </c>
      <c r="O26323" t="str">
        <f>IF(N26323="","",'Master Barang'!B17)</f>
        <v>rajawali trashbag 30x40</v>
      </c>
      <c r="P26323">
        <f>IF(OR(M26323="",N26323=""),"",SUMIFS('Barang Keluar'!$E:$E,'Barang Keluar'!$A:$A,M26323,'Barang Keluar'!$C:$C,N26323))</f>
        <v>0</v>
      </c>
    </row>
    <row r="26324" spans="13:16">
      <c r="M26324" s="49">
        <f>IF($A$4+263&gt;$B$4,"",$A$4+263)</f>
        <v>46286</v>
      </c>
      <c r="N26324" t="str">
        <f>IF(M26324="","",'Master Barang'!A18)</f>
        <v>PRL-017</v>
      </c>
      <c r="O26324" t="str">
        <f>IF(N26324="","",'Master Barang'!B18)</f>
        <v>onemed masker biru 3 play 50 pcs</v>
      </c>
      <c r="P26324">
        <f>IF(OR(M26324="",N26324=""),"",SUMIFS('Barang Keluar'!$E:$E,'Barang Keluar'!$A:$A,M26324,'Barang Keluar'!$C:$C,N26324))</f>
        <v>0</v>
      </c>
    </row>
    <row r="26325" spans="13:16">
      <c r="M26325" s="49">
        <f>IF($A$4+263&gt;$B$4,"",$A$4+263)</f>
        <v>46286</v>
      </c>
      <c r="N26325" t="str">
        <f>IF(M26325="","",'Master Barang'!A19)</f>
        <v>PRL-018</v>
      </c>
      <c r="O26325" t="str">
        <f>IF(N26325="","",'Master Barang'!B19)</f>
        <v>onemed masker biru 3 play hijab 50 pcs</v>
      </c>
      <c r="P26325">
        <f>IF(OR(M26325="",N26325=""),"",SUMIFS('Barang Keluar'!$E:$E,'Barang Keluar'!$A:$A,M26325,'Barang Keluar'!$C:$C,N26325))</f>
        <v>0</v>
      </c>
    </row>
    <row r="26326" spans="13:16">
      <c r="M26326" s="49">
        <f>IF($A$4+263&gt;$B$4,"",$A$4+263)</f>
        <v>46286</v>
      </c>
      <c r="N26326" t="str">
        <f>IF(M26326="","",'Master Barang'!A20)</f>
        <v>PRL-019</v>
      </c>
      <c r="O26326" t="str">
        <f>IF(N26326="","",'Master Barang'!B20)</f>
        <v>neo health masker biru 3 play 50 pcs</v>
      </c>
      <c r="P26326">
        <f>IF(OR(M26326="",N26326=""),"",SUMIFS('Barang Keluar'!$E:$E,'Barang Keluar'!$A:$A,M26326,'Barang Keluar'!$C:$C,N26326))</f>
        <v>0</v>
      </c>
    </row>
    <row r="26327" spans="13:16">
      <c r="M26327" s="49">
        <f>IF($A$4+263&gt;$B$4,"",$A$4+263)</f>
        <v>46286</v>
      </c>
      <c r="N26327" t="str">
        <f>IF(M26327="","",'Master Barang'!A21)</f>
        <v>PRL-020</v>
      </c>
      <c r="O26327" t="str">
        <f>IF(N26327="","",'Master Barang'!B21)</f>
        <v>baymed masker hijau 3 play hijau 50 pcs</v>
      </c>
      <c r="P26327">
        <f>IF(OR(M26327="",N26327=""),"",SUMIFS('Barang Keluar'!$E:$E,'Barang Keluar'!$A:$A,M26327,'Barang Keluar'!$C:$C,N26327))</f>
        <v>0</v>
      </c>
    </row>
    <row r="26328" spans="13:16">
      <c r="M26328" s="49">
        <f>IF($A$4+263&gt;$B$4,"",$A$4+263)</f>
        <v>46286</v>
      </c>
      <c r="N26328" t="str">
        <f>IF(M26328="","",'Master Barang'!A22)</f>
        <v>PRL-021</v>
      </c>
      <c r="O26328" t="str">
        <f>IF(N26328="","",'Master Barang'!B22)</f>
        <v>altamed nurse cap penutup kepala 100 pcs</v>
      </c>
      <c r="P26328">
        <f>IF(OR(M26328="",N26328=""),"",SUMIFS('Barang Keluar'!$E:$E,'Barang Keluar'!$A:$A,M26328,'Barang Keluar'!$C:$C,N26328))</f>
        <v>0</v>
      </c>
    </row>
    <row r="26329" spans="13:16">
      <c r="M26329" s="49">
        <f>IF($A$4+263&gt;$B$4,"",$A$4+263)</f>
        <v>46286</v>
      </c>
      <c r="N26329" t="str">
        <f>IF(M26329="","",'Master Barang'!A23)</f>
        <v>PRL-022</v>
      </c>
      <c r="O26329" t="str">
        <f>IF(N26329="","",'Master Barang'!B23)</f>
        <v>sabun cuci tangan</v>
      </c>
      <c r="P26329">
        <f>IF(OR(M26329="",N26329=""),"",SUMIFS('Barang Keluar'!$E:$E,'Barang Keluar'!$A:$A,M26329,'Barang Keluar'!$C:$C,N26329))</f>
        <v>0</v>
      </c>
    </row>
    <row r="26330" spans="13:16">
      <c r="M26330" s="49">
        <f>IF($A$4+263&gt;$B$4,"",$A$4+263)</f>
        <v>46286</v>
      </c>
      <c r="N26330" t="str">
        <f>IF(M26330="","",'Master Barang'!A24)</f>
        <v>PRL-023</v>
      </c>
      <c r="O26330" t="str">
        <f>IF(N26330="","",'Master Barang'!B24)</f>
        <v>gayung kecil</v>
      </c>
      <c r="P26330">
        <f>IF(OR(M26330="",N26330=""),"",SUMIFS('Barang Keluar'!$E:$E,'Barang Keluar'!$A:$A,M26330,'Barang Keluar'!$C:$C,N26330))</f>
        <v>0</v>
      </c>
    </row>
    <row r="26331" spans="13:16">
      <c r="M26331" s="49">
        <f>IF($A$4+263&gt;$B$4,"",$A$4+263)</f>
        <v>46286</v>
      </c>
      <c r="N26331" t="str">
        <f>IF(M26331="","",'Master Barang'!A25)</f>
        <v>PRL-024</v>
      </c>
      <c r="O26331" t="str">
        <f>IF(N26331="","",'Master Barang'!B25)</f>
        <v>cikrak kecil</v>
      </c>
      <c r="P26331">
        <f>IF(OR(M26331="",N26331=""),"",SUMIFS('Barang Keluar'!$E:$E,'Barang Keluar'!$A:$A,M26331,'Barang Keluar'!$C:$C,N26331))</f>
        <v>0</v>
      </c>
    </row>
    <row r="26332" spans="13:16">
      <c r="M26332" s="49">
        <f>IF($A$4+263&gt;$B$4,"",$A$4+263)</f>
        <v>46286</v>
      </c>
      <c r="N26332" t="str">
        <f>IF(M26332="","",'Master Barang'!A26)</f>
        <v>PRL-025</v>
      </c>
      <c r="O26332" t="str">
        <f>IF(N26332="","",'Master Barang'!B26)</f>
        <v>petromax plastik kecil 12x24 100 lembar</v>
      </c>
      <c r="P26332">
        <f>IF(OR(M26332="",N26332=""),"",SUMIFS('Barang Keluar'!$E:$E,'Barang Keluar'!$A:$A,M26332,'Barang Keluar'!$C:$C,N26332))</f>
        <v>0</v>
      </c>
    </row>
    <row r="26333" spans="13:16">
      <c r="M26333" s="49">
        <f>IF($A$4+263&gt;$B$4,"",$A$4+263)</f>
        <v>46286</v>
      </c>
      <c r="N26333" t="str">
        <f>IF(M26333="","",'Master Barang'!A27)</f>
        <v>PRL-026</v>
      </c>
      <c r="O26333" t="str">
        <f>IF(N26333="","",'Master Barang'!B27)</f>
        <v>lancar kresek kecil bening </v>
      </c>
      <c r="P26333">
        <f>IF(OR(M26333="",N26333=""),"",SUMIFS('Barang Keluar'!$E:$E,'Barang Keluar'!$A:$A,M26333,'Barang Keluar'!$C:$C,N26333))</f>
        <v>0</v>
      </c>
    </row>
    <row r="26334" spans="13:16">
      <c r="M26334" s="49">
        <f>IF($A$4+263&gt;$B$4,"",$A$4+263)</f>
        <v>46286</v>
      </c>
      <c r="N26334" t="str">
        <f>IF(M26334="","",'Master Barang'!A28)</f>
        <v>PRL-027</v>
      </c>
      <c r="O26334" t="str">
        <f>IF(N26334="","",'Master Barang'!B28)</f>
        <v>kresek klin warna warni kecil</v>
      </c>
      <c r="P26334">
        <f>IF(OR(M26334="",N26334=""),"",SUMIFS('Barang Keluar'!$E:$E,'Barang Keluar'!$A:$A,M26334,'Barang Keluar'!$C:$C,N26334))</f>
        <v>0</v>
      </c>
    </row>
    <row r="26335" spans="13:16">
      <c r="M26335" s="49">
        <f>IF($A$4+263&gt;$B$4,"",$A$4+263)</f>
        <v>46286</v>
      </c>
      <c r="N26335" t="str">
        <f>IF(M26335="","",'Master Barang'!A29)</f>
        <v>PRL-028</v>
      </c>
      <c r="O26335" t="str">
        <f>IF(N26335="","",'Master Barang'!B29)</f>
        <v>ctik plastik 7x10 100 pcs</v>
      </c>
      <c r="P26335">
        <f>IF(OR(M26335="",N26335=""),"",SUMIFS('Barang Keluar'!$E:$E,'Barang Keluar'!$A:$A,M26335,'Barang Keluar'!$C:$C,N26335))</f>
        <v>0</v>
      </c>
    </row>
    <row r="26336" spans="13:16">
      <c r="M26336" s="49">
        <f>IF($A$4+263&gt;$B$4,"",$A$4+263)</f>
        <v>46286</v>
      </c>
      <c r="N26336" t="str">
        <f>IF(M26336="","",'Master Barang'!A30)</f>
        <v>PRL-029</v>
      </c>
      <c r="O26336" t="str">
        <f>IF(N26336="","",'Master Barang'!B30)</f>
        <v>ctik plastik 6x10 100 pcs</v>
      </c>
      <c r="P26336">
        <f>IF(OR(M26336="",N26336=""),"",SUMIFS('Barang Keluar'!$E:$E,'Barang Keluar'!$A:$A,M26336,'Barang Keluar'!$C:$C,N26336))</f>
        <v>0</v>
      </c>
    </row>
    <row r="26337" spans="13:16">
      <c r="M26337" s="49">
        <f>IF($A$4+263&gt;$B$4,"",$A$4+263)</f>
        <v>46286</v>
      </c>
      <c r="N26337" t="str">
        <f>IF(M26337="","",'Master Barang'!A31)</f>
        <v>PRL-030</v>
      </c>
      <c r="O26337" t="str">
        <f>IF(N26337="","",'Master Barang'!B31)</f>
        <v>klip plastik 25x16 100 pcs</v>
      </c>
      <c r="P26337">
        <f>IF(OR(M26337="",N26337=""),"",SUMIFS('Barang Keluar'!$E:$E,'Barang Keluar'!$A:$A,M26337,'Barang Keluar'!$C:$C,N26337))</f>
        <v>0</v>
      </c>
    </row>
    <row r="26338" spans="13:16">
      <c r="M26338" s="49">
        <f>IF($A$4+263&gt;$B$4,"",$A$4+263)</f>
        <v>46286</v>
      </c>
      <c r="N26338" t="str">
        <f>IF(M26338="","",'Master Barang'!A32)</f>
        <v>PRL-031</v>
      </c>
      <c r="O26338" t="str">
        <f>IF(N26338="","",'Master Barang'!B32)</f>
        <v>tempat saus 20 ml</v>
      </c>
      <c r="P26338">
        <f>IF(OR(M26338="",N26338=""),"",SUMIFS('Barang Keluar'!$E:$E,'Barang Keluar'!$A:$A,M26338,'Barang Keluar'!$C:$C,N26338))</f>
        <v>0</v>
      </c>
    </row>
    <row r="26339" spans="13:16">
      <c r="M26339" s="49">
        <f>IF($A$4+263&gt;$B$4,"",$A$4+263)</f>
        <v>46286</v>
      </c>
      <c r="N26339" t="str">
        <f>IF(M26339="","",'Master Barang'!A33)</f>
        <v>PRL-032</v>
      </c>
      <c r="O26339" t="str">
        <f>IF(N26339="","",'Master Barang'!B33)</f>
        <v>plastik packaging ag box uk sedang</v>
      </c>
      <c r="P26339">
        <f>IF(OR(M26339="",N26339=""),"",SUMIFS('Barang Keluar'!$E:$E,'Barang Keluar'!$A:$A,M26339,'Barang Keluar'!$C:$C,N26339))</f>
        <v>0</v>
      </c>
    </row>
    <row r="26340" spans="13:16">
      <c r="M26340" s="49">
        <f>IF($A$4+263&gt;$B$4,"",$A$4+263)</f>
        <v>46286</v>
      </c>
      <c r="N26340" t="str">
        <f>IF(M26340="","",'Master Barang'!A34)</f>
        <v>PRL-033</v>
      </c>
      <c r="O26340">
        <f>IF(N26340="","",'Master Barang'!B34)</f>
        <v>0</v>
      </c>
      <c r="P26340">
        <f>IF(OR(M26340="",N26340=""),"",SUMIFS('Barang Keluar'!$E:$E,'Barang Keluar'!$A:$A,M26340,'Barang Keluar'!$C:$C,N26340))</f>
        <v>0</v>
      </c>
    </row>
    <row r="26341" spans="13:16">
      <c r="M26341" s="49">
        <f>IF($A$4+263&gt;$B$4,"",$A$4+263)</f>
        <v>46286</v>
      </c>
      <c r="N26341">
        <f>IF(M26341="","",'Master Barang'!A35)</f>
        <v>0</v>
      </c>
      <c r="O26341">
        <f>IF(N26341="","",'Master Barang'!B35)</f>
        <v>0</v>
      </c>
      <c r="P26341">
        <f>IF(OR(M26341="",N26341=""),"",SUMIFS('Barang Keluar'!$E:$E,'Barang Keluar'!$A:$A,M26341,'Barang Keluar'!$C:$C,N26341))</f>
        <v>0</v>
      </c>
    </row>
    <row r="26342" spans="13:16">
      <c r="M26342" s="49">
        <f>IF($A$4+263&gt;$B$4,"",$A$4+263)</f>
        <v>46286</v>
      </c>
      <c r="N26342">
        <f>IF(M26342="","",'Master Barang'!A36)</f>
        <v>0</v>
      </c>
      <c r="O26342">
        <f>IF(N26342="","",'Master Barang'!B36)</f>
        <v>0</v>
      </c>
      <c r="P26342">
        <f>IF(OR(M26342="",N26342=""),"",SUMIFS('Barang Keluar'!$E:$E,'Barang Keluar'!$A:$A,M26342,'Barang Keluar'!$C:$C,N26342))</f>
        <v>0</v>
      </c>
    </row>
    <row r="26343" spans="13:16">
      <c r="M26343" s="49">
        <f>IF($A$4+263&gt;$B$4,"",$A$4+263)</f>
        <v>46286</v>
      </c>
      <c r="N26343">
        <f>IF(M26343="","",'Master Barang'!A37)</f>
        <v>0</v>
      </c>
      <c r="O26343">
        <f>IF(N26343="","",'Master Barang'!B37)</f>
        <v>0</v>
      </c>
      <c r="P26343">
        <f>IF(OR(M26343="",N26343=""),"",SUMIFS('Barang Keluar'!$E:$E,'Barang Keluar'!$A:$A,M26343,'Barang Keluar'!$C:$C,N26343))</f>
        <v>0</v>
      </c>
    </row>
    <row r="26344" spans="13:16">
      <c r="M26344" s="49">
        <f>IF($A$4+263&gt;$B$4,"",$A$4+263)</f>
        <v>46286</v>
      </c>
      <c r="N26344">
        <f>IF(M26344="","",'Master Barang'!A38)</f>
        <v>0</v>
      </c>
      <c r="O26344">
        <f>IF(N26344="","",'Master Barang'!B38)</f>
        <v>0</v>
      </c>
      <c r="P26344">
        <f>IF(OR(M26344="",N26344=""),"",SUMIFS('Barang Keluar'!$E:$E,'Barang Keluar'!$A:$A,M26344,'Barang Keluar'!$C:$C,N26344))</f>
        <v>0</v>
      </c>
    </row>
    <row r="26345" spans="13:16">
      <c r="M26345" s="49">
        <f>IF($A$4+263&gt;$B$4,"",$A$4+263)</f>
        <v>46286</v>
      </c>
      <c r="N26345">
        <f>IF(M26345="","",'Master Barang'!A39)</f>
        <v>0</v>
      </c>
      <c r="O26345">
        <f>IF(N26345="","",'Master Barang'!B39)</f>
        <v>0</v>
      </c>
      <c r="P26345">
        <f>IF(OR(M26345="",N26345=""),"",SUMIFS('Barang Keluar'!$E:$E,'Barang Keluar'!$A:$A,M26345,'Barang Keluar'!$C:$C,N26345))</f>
        <v>0</v>
      </c>
    </row>
    <row r="26346" spans="13:16">
      <c r="M26346" s="49">
        <f>IF($A$4+263&gt;$B$4,"",$A$4+263)</f>
        <v>46286</v>
      </c>
      <c r="N26346">
        <f>IF(M26346="","",'Master Barang'!A40)</f>
        <v>0</v>
      </c>
      <c r="O26346">
        <f>IF(N26346="","",'Master Barang'!B40)</f>
        <v>0</v>
      </c>
      <c r="P26346">
        <f>IF(OR(M26346="",N26346=""),"",SUMIFS('Barang Keluar'!$E:$E,'Barang Keluar'!$A:$A,M26346,'Barang Keluar'!$C:$C,N26346))</f>
        <v>0</v>
      </c>
    </row>
    <row r="26347" spans="13:16">
      <c r="M26347" s="49">
        <f>IF($A$4+263&gt;$B$4,"",$A$4+263)</f>
        <v>46286</v>
      </c>
      <c r="N26347">
        <f>IF(M26347="","",'Master Barang'!A41)</f>
        <v>0</v>
      </c>
      <c r="O26347">
        <f>IF(N26347="","",'Master Barang'!B41)</f>
        <v>0</v>
      </c>
      <c r="P26347">
        <f>IF(OR(M26347="",N26347=""),"",SUMIFS('Barang Keluar'!$E:$E,'Barang Keluar'!$A:$A,M26347,'Barang Keluar'!$C:$C,N26347))</f>
        <v>0</v>
      </c>
    </row>
    <row r="26348" spans="13:16">
      <c r="M26348" s="49">
        <f>IF($A$4+263&gt;$B$4,"",$A$4+263)</f>
        <v>46286</v>
      </c>
      <c r="N26348">
        <f>IF(M26348="","",'Master Barang'!A42)</f>
        <v>0</v>
      </c>
      <c r="O26348">
        <f>IF(N26348="","",'Master Barang'!B42)</f>
        <v>0</v>
      </c>
      <c r="P26348">
        <f>IF(OR(M26348="",N26348=""),"",SUMIFS('Barang Keluar'!$E:$E,'Barang Keluar'!$A:$A,M26348,'Barang Keluar'!$C:$C,N26348))</f>
        <v>0</v>
      </c>
    </row>
    <row r="26349" spans="13:16">
      <c r="M26349" s="49">
        <f>IF($A$4+263&gt;$B$4,"",$A$4+263)</f>
        <v>46286</v>
      </c>
      <c r="N26349">
        <f>IF(M26349="","",'Master Barang'!A43)</f>
        <v>0</v>
      </c>
      <c r="O26349">
        <f>IF(N26349="","",'Master Barang'!B43)</f>
        <v>0</v>
      </c>
      <c r="P26349">
        <f>IF(OR(M26349="",N26349=""),"",SUMIFS('Barang Keluar'!$E:$E,'Barang Keluar'!$A:$A,M26349,'Barang Keluar'!$C:$C,N26349))</f>
        <v>0</v>
      </c>
    </row>
    <row r="26350" spans="13:16">
      <c r="M26350" s="49">
        <f>IF($A$4+263&gt;$B$4,"",$A$4+263)</f>
        <v>46286</v>
      </c>
      <c r="N26350">
        <f>IF(M26350="","",'Master Barang'!A44)</f>
        <v>0</v>
      </c>
      <c r="O26350">
        <f>IF(N26350="","",'Master Barang'!B44)</f>
        <v>0</v>
      </c>
      <c r="P26350">
        <f>IF(OR(M26350="",N26350=""),"",SUMIFS('Barang Keluar'!$E:$E,'Barang Keluar'!$A:$A,M26350,'Barang Keluar'!$C:$C,N26350))</f>
        <v>0</v>
      </c>
    </row>
    <row r="26351" spans="13:16">
      <c r="M26351" s="49">
        <f>IF($A$4+263&gt;$B$4,"",$A$4+263)</f>
        <v>46286</v>
      </c>
      <c r="N26351">
        <f>IF(M26351="","",'Master Barang'!A45)</f>
        <v>0</v>
      </c>
      <c r="O26351">
        <f>IF(N26351="","",'Master Barang'!B45)</f>
        <v>0</v>
      </c>
      <c r="P26351">
        <f>IF(OR(M26351="",N26351=""),"",SUMIFS('Barang Keluar'!$E:$E,'Barang Keluar'!$A:$A,M26351,'Barang Keluar'!$C:$C,N26351))</f>
        <v>0</v>
      </c>
    </row>
    <row r="26352" spans="13:16">
      <c r="M26352" s="49">
        <f>IF($A$4+263&gt;$B$4,"",$A$4+263)</f>
        <v>46286</v>
      </c>
      <c r="N26352">
        <f>IF(M26352="","",'Master Barang'!A46)</f>
        <v>0</v>
      </c>
      <c r="O26352">
        <f>IF(N26352="","",'Master Barang'!B46)</f>
        <v>0</v>
      </c>
      <c r="P26352">
        <f>IF(OR(M26352="",N26352=""),"",SUMIFS('Barang Keluar'!$E:$E,'Barang Keluar'!$A:$A,M26352,'Barang Keluar'!$C:$C,N26352))</f>
        <v>0</v>
      </c>
    </row>
    <row r="26353" spans="13:16">
      <c r="M26353" s="49">
        <f>IF($A$4+263&gt;$B$4,"",$A$4+263)</f>
        <v>46286</v>
      </c>
      <c r="N26353">
        <f>IF(M26353="","",'Master Barang'!A47)</f>
        <v>0</v>
      </c>
      <c r="O26353">
        <f>IF(N26353="","",'Master Barang'!B47)</f>
        <v>0</v>
      </c>
      <c r="P26353">
        <f>IF(OR(M26353="",N26353=""),"",SUMIFS('Barang Keluar'!$E:$E,'Barang Keluar'!$A:$A,M26353,'Barang Keluar'!$C:$C,N26353))</f>
        <v>0</v>
      </c>
    </row>
    <row r="26354" spans="13:16">
      <c r="M26354" s="49">
        <f>IF($A$4+263&gt;$B$4,"",$A$4+263)</f>
        <v>46286</v>
      </c>
      <c r="N26354">
        <f>IF(M26354="","",'Master Barang'!A48)</f>
        <v>0</v>
      </c>
      <c r="O26354">
        <f>IF(N26354="","",'Master Barang'!B48)</f>
        <v>0</v>
      </c>
      <c r="P26354">
        <f>IF(OR(M26354="",N26354=""),"",SUMIFS('Barang Keluar'!$E:$E,'Barang Keluar'!$A:$A,M26354,'Barang Keluar'!$C:$C,N26354))</f>
        <v>0</v>
      </c>
    </row>
    <row r="26355" spans="13:16">
      <c r="M26355" s="49">
        <f>IF($A$4+263&gt;$B$4,"",$A$4+263)</f>
        <v>46286</v>
      </c>
      <c r="N26355">
        <f>IF(M26355="","",'Master Barang'!A49)</f>
        <v>0</v>
      </c>
      <c r="O26355">
        <f>IF(N26355="","",'Master Barang'!B49)</f>
        <v>0</v>
      </c>
      <c r="P26355">
        <f>IF(OR(M26355="",N26355=""),"",SUMIFS('Barang Keluar'!$E:$E,'Barang Keluar'!$A:$A,M26355,'Barang Keluar'!$C:$C,N26355))</f>
        <v>0</v>
      </c>
    </row>
    <row r="26356" spans="13:16">
      <c r="M26356" s="49">
        <f>IF($A$4+263&gt;$B$4,"",$A$4+263)</f>
        <v>46286</v>
      </c>
      <c r="N26356">
        <f>IF(M26356="","",'Master Barang'!A50)</f>
        <v>0</v>
      </c>
      <c r="O26356">
        <f>IF(N26356="","",'Master Barang'!B50)</f>
        <v>0</v>
      </c>
      <c r="P26356">
        <f>IF(OR(M26356="",N26356=""),"",SUMIFS('Barang Keluar'!$E:$E,'Barang Keluar'!$A:$A,M26356,'Barang Keluar'!$C:$C,N26356))</f>
        <v>0</v>
      </c>
    </row>
    <row r="26357" spans="13:16">
      <c r="M26357" s="49">
        <f>IF($A$4+263&gt;$B$4,"",$A$4+263)</f>
        <v>46286</v>
      </c>
      <c r="N26357">
        <f>IF(M26357="","",'Master Barang'!A51)</f>
        <v>0</v>
      </c>
      <c r="O26357">
        <f>IF(N26357="","",'Master Barang'!B51)</f>
        <v>0</v>
      </c>
      <c r="P26357">
        <f>IF(OR(M26357="",N26357=""),"",SUMIFS('Barang Keluar'!$E:$E,'Barang Keluar'!$A:$A,M26357,'Barang Keluar'!$C:$C,N26357))</f>
        <v>0</v>
      </c>
    </row>
    <row r="26358" spans="13:16">
      <c r="M26358" s="49">
        <f>IF($A$4+263&gt;$B$4,"",$A$4+263)</f>
        <v>46286</v>
      </c>
      <c r="N26358">
        <f>IF(M26358="","",'Master Barang'!A52)</f>
        <v>0</v>
      </c>
      <c r="O26358">
        <f>IF(N26358="","",'Master Barang'!B52)</f>
        <v>0</v>
      </c>
      <c r="P26358">
        <f>IF(OR(M26358="",N26358=""),"",SUMIFS('Barang Keluar'!$E:$E,'Barang Keluar'!$A:$A,M26358,'Barang Keluar'!$C:$C,N26358))</f>
        <v>0</v>
      </c>
    </row>
    <row r="26359" spans="13:16">
      <c r="M26359" s="49">
        <f>IF($A$4+263&gt;$B$4,"",$A$4+263)</f>
        <v>46286</v>
      </c>
      <c r="N26359">
        <f>IF(M26359="","",'Master Barang'!A53)</f>
        <v>0</v>
      </c>
      <c r="O26359">
        <f>IF(N26359="","",'Master Barang'!B53)</f>
        <v>0</v>
      </c>
      <c r="P26359">
        <f>IF(OR(M26359="",N26359=""),"",SUMIFS('Barang Keluar'!$E:$E,'Barang Keluar'!$A:$A,M26359,'Barang Keluar'!$C:$C,N26359))</f>
        <v>0</v>
      </c>
    </row>
    <row r="26360" spans="13:16">
      <c r="M26360" s="49">
        <f>IF($A$4+263&gt;$B$4,"",$A$4+263)</f>
        <v>46286</v>
      </c>
      <c r="N26360">
        <f>IF(M26360="","",'Master Barang'!A54)</f>
        <v>0</v>
      </c>
      <c r="O26360">
        <f>IF(N26360="","",'Master Barang'!B54)</f>
        <v>0</v>
      </c>
      <c r="P26360">
        <f>IF(OR(M26360="",N26360=""),"",SUMIFS('Barang Keluar'!$E:$E,'Barang Keluar'!$A:$A,M26360,'Barang Keluar'!$C:$C,N26360))</f>
        <v>0</v>
      </c>
    </row>
    <row r="26361" spans="13:16">
      <c r="M26361" s="49">
        <f>IF($A$4+263&gt;$B$4,"",$A$4+263)</f>
        <v>46286</v>
      </c>
      <c r="N26361">
        <f>IF(M26361="","",'Master Barang'!A55)</f>
        <v>0</v>
      </c>
      <c r="O26361">
        <f>IF(N26361="","",'Master Barang'!B55)</f>
        <v>0</v>
      </c>
      <c r="P26361">
        <f>IF(OR(M26361="",N26361=""),"",SUMIFS('Barang Keluar'!$E:$E,'Barang Keluar'!$A:$A,M26361,'Barang Keluar'!$C:$C,N26361))</f>
        <v>0</v>
      </c>
    </row>
    <row r="26362" spans="13:16">
      <c r="M26362" s="49">
        <f>IF($A$4+263&gt;$B$4,"",$A$4+263)</f>
        <v>46286</v>
      </c>
      <c r="N26362">
        <f>IF(M26362="","",'Master Barang'!A56)</f>
        <v>0</v>
      </c>
      <c r="O26362">
        <f>IF(N26362="","",'Master Barang'!B56)</f>
        <v>0</v>
      </c>
      <c r="P26362">
        <f>IF(OR(M26362="",N26362=""),"",SUMIFS('Barang Keluar'!$E:$E,'Barang Keluar'!$A:$A,M26362,'Barang Keluar'!$C:$C,N26362))</f>
        <v>0</v>
      </c>
    </row>
    <row r="26363" spans="13:16">
      <c r="M26363" s="49">
        <f>IF($A$4+263&gt;$B$4,"",$A$4+263)</f>
        <v>46286</v>
      </c>
      <c r="N26363">
        <f>IF(M26363="","",'Master Barang'!A57)</f>
        <v>0</v>
      </c>
      <c r="O26363">
        <f>IF(N26363="","",'Master Barang'!B57)</f>
        <v>0</v>
      </c>
      <c r="P26363">
        <f>IF(OR(M26363="",N26363=""),"",SUMIFS('Barang Keluar'!$E:$E,'Barang Keluar'!$A:$A,M26363,'Barang Keluar'!$C:$C,N26363))</f>
        <v>0</v>
      </c>
    </row>
    <row r="26364" spans="13:16">
      <c r="M26364" s="49">
        <f>IF($A$4+263&gt;$B$4,"",$A$4+263)</f>
        <v>46286</v>
      </c>
      <c r="N26364">
        <f>IF(M26364="","",'Master Barang'!A58)</f>
        <v>0</v>
      </c>
      <c r="O26364">
        <f>IF(N26364="","",'Master Barang'!B58)</f>
        <v>0</v>
      </c>
      <c r="P26364">
        <f>IF(OR(M26364="",N26364=""),"",SUMIFS('Barang Keluar'!$E:$E,'Barang Keluar'!$A:$A,M26364,'Barang Keluar'!$C:$C,N26364))</f>
        <v>0</v>
      </c>
    </row>
    <row r="26365" spans="13:16">
      <c r="M26365" s="49">
        <f>IF($A$4+263&gt;$B$4,"",$A$4+263)</f>
        <v>46286</v>
      </c>
      <c r="N26365">
        <f>IF(M26365="","",'Master Barang'!A59)</f>
        <v>0</v>
      </c>
      <c r="O26365">
        <f>IF(N26365="","",'Master Barang'!B59)</f>
        <v>0</v>
      </c>
      <c r="P26365">
        <f>IF(OR(M26365="",N26365=""),"",SUMIFS('Barang Keluar'!$E:$E,'Barang Keluar'!$A:$A,M26365,'Barang Keluar'!$C:$C,N26365))</f>
        <v>0</v>
      </c>
    </row>
    <row r="26366" spans="13:16">
      <c r="M26366" s="49">
        <f>IF($A$4+263&gt;$B$4,"",$A$4+263)</f>
        <v>46286</v>
      </c>
      <c r="N26366">
        <f>IF(M26366="","",'Master Barang'!A60)</f>
        <v>0</v>
      </c>
      <c r="O26366">
        <f>IF(N26366="","",'Master Barang'!B60)</f>
        <v>0</v>
      </c>
      <c r="P26366">
        <f>IF(OR(M26366="",N26366=""),"",SUMIFS('Barang Keluar'!$E:$E,'Barang Keluar'!$A:$A,M26366,'Barang Keluar'!$C:$C,N26366))</f>
        <v>0</v>
      </c>
    </row>
    <row r="26367" spans="13:16">
      <c r="M26367" s="49">
        <f>IF($A$4+263&gt;$B$4,"",$A$4+263)</f>
        <v>46286</v>
      </c>
      <c r="N26367">
        <f>IF(M26367="","",'Master Barang'!A61)</f>
        <v>0</v>
      </c>
      <c r="O26367">
        <f>IF(N26367="","",'Master Barang'!B61)</f>
        <v>0</v>
      </c>
      <c r="P26367">
        <f>IF(OR(M26367="",N26367=""),"",SUMIFS('Barang Keluar'!$E:$E,'Barang Keluar'!$A:$A,M26367,'Barang Keluar'!$C:$C,N26367))</f>
        <v>0</v>
      </c>
    </row>
    <row r="26368" spans="13:16">
      <c r="M26368" s="49">
        <f>IF($A$4+263&gt;$B$4,"",$A$4+263)</f>
        <v>46286</v>
      </c>
      <c r="N26368">
        <f>IF(M26368="","",'Master Barang'!A62)</f>
        <v>0</v>
      </c>
      <c r="O26368">
        <f>IF(N26368="","",'Master Barang'!B62)</f>
        <v>0</v>
      </c>
      <c r="P26368">
        <f>IF(OR(M26368="",N26368=""),"",SUMIFS('Barang Keluar'!$E:$E,'Barang Keluar'!$A:$A,M26368,'Barang Keluar'!$C:$C,N26368))</f>
        <v>0</v>
      </c>
    </row>
    <row r="26369" spans="13:16">
      <c r="M26369" s="49">
        <f>IF($A$4+263&gt;$B$4,"",$A$4+263)</f>
        <v>46286</v>
      </c>
      <c r="N26369">
        <f>IF(M26369="","",'Master Barang'!A63)</f>
        <v>0</v>
      </c>
      <c r="O26369">
        <f>IF(N26369="","",'Master Barang'!B63)</f>
        <v>0</v>
      </c>
      <c r="P26369">
        <f>IF(OR(M26369="",N26369=""),"",SUMIFS('Barang Keluar'!$E:$E,'Barang Keluar'!$A:$A,M26369,'Barang Keluar'!$C:$C,N26369))</f>
        <v>0</v>
      </c>
    </row>
    <row r="26370" spans="13:16">
      <c r="M26370" s="49">
        <f>IF($A$4+263&gt;$B$4,"",$A$4+263)</f>
        <v>46286</v>
      </c>
      <c r="N26370">
        <f>IF(M26370="","",'Master Barang'!A64)</f>
        <v>0</v>
      </c>
      <c r="O26370">
        <f>IF(N26370="","",'Master Barang'!B64)</f>
        <v>0</v>
      </c>
      <c r="P26370">
        <f>IF(OR(M26370="",N26370=""),"",SUMIFS('Barang Keluar'!$E:$E,'Barang Keluar'!$A:$A,M26370,'Barang Keluar'!$C:$C,N26370))</f>
        <v>0</v>
      </c>
    </row>
    <row r="26371" spans="13:16">
      <c r="M26371" s="49">
        <f>IF($A$4+263&gt;$B$4,"",$A$4+263)</f>
        <v>46286</v>
      </c>
      <c r="N26371">
        <f>IF(M26371="","",'Master Barang'!A65)</f>
        <v>0</v>
      </c>
      <c r="O26371">
        <f>IF(N26371="","",'Master Barang'!B65)</f>
        <v>0</v>
      </c>
      <c r="P26371">
        <f>IF(OR(M26371="",N26371=""),"",SUMIFS('Barang Keluar'!$E:$E,'Barang Keluar'!$A:$A,M26371,'Barang Keluar'!$C:$C,N26371))</f>
        <v>0</v>
      </c>
    </row>
    <row r="26372" spans="13:16">
      <c r="M26372" s="49">
        <f>IF($A$4+263&gt;$B$4,"",$A$4+263)</f>
        <v>46286</v>
      </c>
      <c r="N26372">
        <f>IF(M26372="","",'Master Barang'!A66)</f>
        <v>0</v>
      </c>
      <c r="O26372">
        <f>IF(N26372="","",'Master Barang'!B66)</f>
        <v>0</v>
      </c>
      <c r="P26372">
        <f>IF(OR(M26372="",N26372=""),"",SUMIFS('Barang Keluar'!$E:$E,'Barang Keluar'!$A:$A,M26372,'Barang Keluar'!$C:$C,N26372))</f>
        <v>0</v>
      </c>
    </row>
    <row r="26373" spans="13:16">
      <c r="M26373" s="49">
        <f>IF($A$4+263&gt;$B$4,"",$A$4+263)</f>
        <v>46286</v>
      </c>
      <c r="N26373">
        <f>IF(M26373="","",'Master Barang'!A67)</f>
        <v>0</v>
      </c>
      <c r="O26373">
        <f>IF(N26373="","",'Master Barang'!B67)</f>
        <v>0</v>
      </c>
      <c r="P26373">
        <f>IF(OR(M26373="",N26373=""),"",SUMIFS('Barang Keluar'!$E:$E,'Barang Keluar'!$A:$A,M26373,'Barang Keluar'!$C:$C,N26373))</f>
        <v>0</v>
      </c>
    </row>
    <row r="26374" spans="13:16">
      <c r="M26374" s="49">
        <f>IF($A$4+263&gt;$B$4,"",$A$4+263)</f>
        <v>46286</v>
      </c>
      <c r="N26374">
        <f>IF(M26374="","",'Master Barang'!A68)</f>
        <v>0</v>
      </c>
      <c r="O26374">
        <f>IF(N26374="","",'Master Barang'!B68)</f>
        <v>0</v>
      </c>
      <c r="P26374">
        <f>IF(OR(M26374="",N26374=""),"",SUMIFS('Barang Keluar'!$E:$E,'Barang Keluar'!$A:$A,M26374,'Barang Keluar'!$C:$C,N26374))</f>
        <v>0</v>
      </c>
    </row>
    <row r="26375" spans="13:16">
      <c r="M26375" s="49">
        <f>IF($A$4+263&gt;$B$4,"",$A$4+263)</f>
        <v>46286</v>
      </c>
      <c r="N26375">
        <f>IF(M26375="","",'Master Barang'!A69)</f>
        <v>0</v>
      </c>
      <c r="O26375">
        <f>IF(N26375="","",'Master Barang'!B69)</f>
        <v>0</v>
      </c>
      <c r="P26375">
        <f>IF(OR(M26375="",N26375=""),"",SUMIFS('Barang Keluar'!$E:$E,'Barang Keluar'!$A:$A,M26375,'Barang Keluar'!$C:$C,N26375))</f>
        <v>0</v>
      </c>
    </row>
    <row r="26376" spans="13:16">
      <c r="M26376" s="49">
        <f>IF($A$4+263&gt;$B$4,"",$A$4+263)</f>
        <v>46286</v>
      </c>
      <c r="N26376">
        <f>IF(M26376="","",'Master Barang'!A70)</f>
        <v>0</v>
      </c>
      <c r="O26376">
        <f>IF(N26376="","",'Master Barang'!B70)</f>
        <v>0</v>
      </c>
      <c r="P26376">
        <f>IF(OR(M26376="",N26376=""),"",SUMIFS('Barang Keluar'!$E:$E,'Barang Keluar'!$A:$A,M26376,'Barang Keluar'!$C:$C,N26376))</f>
        <v>0</v>
      </c>
    </row>
    <row r="26377" spans="13:16">
      <c r="M26377" s="49">
        <f>IF($A$4+263&gt;$B$4,"",$A$4+263)</f>
        <v>46286</v>
      </c>
      <c r="N26377">
        <f>IF(M26377="","",'Master Barang'!A71)</f>
        <v>0</v>
      </c>
      <c r="O26377">
        <f>IF(N26377="","",'Master Barang'!B71)</f>
        <v>0</v>
      </c>
      <c r="P26377">
        <f>IF(OR(M26377="",N26377=""),"",SUMIFS('Barang Keluar'!$E:$E,'Barang Keluar'!$A:$A,M26377,'Barang Keluar'!$C:$C,N26377))</f>
        <v>0</v>
      </c>
    </row>
    <row r="26378" spans="13:16">
      <c r="M26378" s="49">
        <f>IF($A$4+263&gt;$B$4,"",$A$4+263)</f>
        <v>46286</v>
      </c>
      <c r="N26378">
        <f>IF(M26378="","",'Master Barang'!A72)</f>
        <v>0</v>
      </c>
      <c r="O26378">
        <f>IF(N26378="","",'Master Barang'!B72)</f>
        <v>0</v>
      </c>
      <c r="P26378">
        <f>IF(OR(M26378="",N26378=""),"",SUMIFS('Barang Keluar'!$E:$E,'Barang Keluar'!$A:$A,M26378,'Barang Keluar'!$C:$C,N26378))</f>
        <v>0</v>
      </c>
    </row>
    <row r="26379" spans="13:16">
      <c r="M26379" s="49">
        <f>IF($A$4+263&gt;$B$4,"",$A$4+263)</f>
        <v>46286</v>
      </c>
      <c r="N26379">
        <f>IF(M26379="","",'Master Barang'!A73)</f>
        <v>0</v>
      </c>
      <c r="O26379">
        <f>IF(N26379="","",'Master Barang'!B73)</f>
        <v>0</v>
      </c>
      <c r="P26379">
        <f>IF(OR(M26379="",N26379=""),"",SUMIFS('Barang Keluar'!$E:$E,'Barang Keluar'!$A:$A,M26379,'Barang Keluar'!$C:$C,N26379))</f>
        <v>0</v>
      </c>
    </row>
    <row r="26380" spans="13:16">
      <c r="M26380" s="49">
        <f>IF($A$4+263&gt;$B$4,"",$A$4+263)</f>
        <v>46286</v>
      </c>
      <c r="N26380">
        <f>IF(M26380="","",'Master Barang'!A74)</f>
        <v>0</v>
      </c>
      <c r="O26380">
        <f>IF(N26380="","",'Master Barang'!B74)</f>
        <v>0</v>
      </c>
      <c r="P26380">
        <f>IF(OR(M26380="",N26380=""),"",SUMIFS('Barang Keluar'!$E:$E,'Barang Keluar'!$A:$A,M26380,'Barang Keluar'!$C:$C,N26380))</f>
        <v>0</v>
      </c>
    </row>
    <row r="26381" spans="13:16">
      <c r="M26381" s="49">
        <f>IF($A$4+263&gt;$B$4,"",$A$4+263)</f>
        <v>46286</v>
      </c>
      <c r="N26381">
        <f>IF(M26381="","",'Master Barang'!A75)</f>
        <v>0</v>
      </c>
      <c r="O26381">
        <f>IF(N26381="","",'Master Barang'!B75)</f>
        <v>0</v>
      </c>
      <c r="P26381">
        <f>IF(OR(M26381="",N26381=""),"",SUMIFS('Barang Keluar'!$E:$E,'Barang Keluar'!$A:$A,M26381,'Barang Keluar'!$C:$C,N26381))</f>
        <v>0</v>
      </c>
    </row>
    <row r="26382" spans="13:16">
      <c r="M26382" s="49">
        <f>IF($A$4+263&gt;$B$4,"",$A$4+263)</f>
        <v>46286</v>
      </c>
      <c r="N26382">
        <f>IF(M26382="","",'Master Barang'!A76)</f>
        <v>0</v>
      </c>
      <c r="O26382">
        <f>IF(N26382="","",'Master Barang'!B76)</f>
        <v>0</v>
      </c>
      <c r="P26382">
        <f>IF(OR(M26382="",N26382=""),"",SUMIFS('Barang Keluar'!$E:$E,'Barang Keluar'!$A:$A,M26382,'Barang Keluar'!$C:$C,N26382))</f>
        <v>0</v>
      </c>
    </row>
    <row r="26383" spans="13:16">
      <c r="M26383" s="49">
        <f>IF($A$4+263&gt;$B$4,"",$A$4+263)</f>
        <v>46286</v>
      </c>
      <c r="N26383">
        <f>IF(M26383="","",'Master Barang'!A77)</f>
        <v>0</v>
      </c>
      <c r="O26383">
        <f>IF(N26383="","",'Master Barang'!B77)</f>
        <v>0</v>
      </c>
      <c r="P26383">
        <f>IF(OR(M26383="",N26383=""),"",SUMIFS('Barang Keluar'!$E:$E,'Barang Keluar'!$A:$A,M26383,'Barang Keluar'!$C:$C,N26383))</f>
        <v>0</v>
      </c>
    </row>
    <row r="26384" spans="13:16">
      <c r="M26384" s="49">
        <f>IF($A$4+263&gt;$B$4,"",$A$4+263)</f>
        <v>46286</v>
      </c>
      <c r="N26384">
        <f>IF(M26384="","",'Master Barang'!A78)</f>
        <v>0</v>
      </c>
      <c r="O26384">
        <f>IF(N26384="","",'Master Barang'!B78)</f>
        <v>0</v>
      </c>
      <c r="P26384">
        <f>IF(OR(M26384="",N26384=""),"",SUMIFS('Barang Keluar'!$E:$E,'Barang Keluar'!$A:$A,M26384,'Barang Keluar'!$C:$C,N26384))</f>
        <v>0</v>
      </c>
    </row>
    <row r="26385" spans="13:16">
      <c r="M26385" s="49">
        <f>IF($A$4+263&gt;$B$4,"",$A$4+263)</f>
        <v>46286</v>
      </c>
      <c r="N26385">
        <f>IF(M26385="","",'Master Barang'!A79)</f>
        <v>0</v>
      </c>
      <c r="O26385">
        <f>IF(N26385="","",'Master Barang'!B79)</f>
        <v>0</v>
      </c>
      <c r="P26385">
        <f>IF(OR(M26385="",N26385=""),"",SUMIFS('Barang Keluar'!$E:$E,'Barang Keluar'!$A:$A,M26385,'Barang Keluar'!$C:$C,N26385))</f>
        <v>0</v>
      </c>
    </row>
    <row r="26386" spans="13:16">
      <c r="M26386" s="49">
        <f>IF($A$4+263&gt;$B$4,"",$A$4+263)</f>
        <v>46286</v>
      </c>
      <c r="N26386">
        <f>IF(M26386="","",'Master Barang'!A80)</f>
        <v>0</v>
      </c>
      <c r="O26386">
        <f>IF(N26386="","",'Master Barang'!B80)</f>
        <v>0</v>
      </c>
      <c r="P26386">
        <f>IF(OR(M26386="",N26386=""),"",SUMIFS('Barang Keluar'!$E:$E,'Barang Keluar'!$A:$A,M26386,'Barang Keluar'!$C:$C,N26386))</f>
        <v>0</v>
      </c>
    </row>
    <row r="26387" spans="13:16">
      <c r="M26387" s="49">
        <f>IF($A$4+263&gt;$B$4,"",$A$4+263)</f>
        <v>46286</v>
      </c>
      <c r="N26387">
        <f>IF(M26387="","",'Master Barang'!A81)</f>
        <v>0</v>
      </c>
      <c r="O26387">
        <f>IF(N26387="","",'Master Barang'!B81)</f>
        <v>0</v>
      </c>
      <c r="P26387">
        <f>IF(OR(M26387="",N26387=""),"",SUMIFS('Barang Keluar'!$E:$E,'Barang Keluar'!$A:$A,M26387,'Barang Keluar'!$C:$C,N26387))</f>
        <v>0</v>
      </c>
    </row>
    <row r="26388" spans="13:16">
      <c r="M26388" s="49">
        <f>IF($A$4+263&gt;$B$4,"",$A$4+263)</f>
        <v>46286</v>
      </c>
      <c r="N26388">
        <f>IF(M26388="","",'Master Barang'!A82)</f>
        <v>0</v>
      </c>
      <c r="O26388">
        <f>IF(N26388="","",'Master Barang'!B82)</f>
        <v>0</v>
      </c>
      <c r="P26388">
        <f>IF(OR(M26388="",N26388=""),"",SUMIFS('Barang Keluar'!$E:$E,'Barang Keluar'!$A:$A,M26388,'Barang Keluar'!$C:$C,N26388))</f>
        <v>0</v>
      </c>
    </row>
    <row r="26389" spans="13:16">
      <c r="M26389" s="49">
        <f>IF($A$4+263&gt;$B$4,"",$A$4+263)</f>
        <v>46286</v>
      </c>
      <c r="N26389">
        <f>IF(M26389="","",'Master Barang'!A83)</f>
        <v>0</v>
      </c>
      <c r="O26389">
        <f>IF(N26389="","",'Master Barang'!B83)</f>
        <v>0</v>
      </c>
      <c r="P26389">
        <f>IF(OR(M26389="",N26389=""),"",SUMIFS('Barang Keluar'!$E:$E,'Barang Keluar'!$A:$A,M26389,'Barang Keluar'!$C:$C,N26389))</f>
        <v>0</v>
      </c>
    </row>
    <row r="26390" spans="13:16">
      <c r="M26390" s="49">
        <f>IF($A$4+263&gt;$B$4,"",$A$4+263)</f>
        <v>46286</v>
      </c>
      <c r="N26390">
        <f>IF(M26390="","",'Master Barang'!A84)</f>
        <v>0</v>
      </c>
      <c r="O26390">
        <f>IF(N26390="","",'Master Barang'!B84)</f>
        <v>0</v>
      </c>
      <c r="P26390">
        <f>IF(OR(M26390="",N26390=""),"",SUMIFS('Barang Keluar'!$E:$E,'Barang Keluar'!$A:$A,M26390,'Barang Keluar'!$C:$C,N26390))</f>
        <v>0</v>
      </c>
    </row>
    <row r="26391" spans="13:16">
      <c r="M26391" s="49">
        <f>IF($A$4+263&gt;$B$4,"",$A$4+263)</f>
        <v>46286</v>
      </c>
      <c r="N26391">
        <f>IF(M26391="","",'Master Barang'!A85)</f>
        <v>0</v>
      </c>
      <c r="O26391">
        <f>IF(N26391="","",'Master Barang'!B85)</f>
        <v>0</v>
      </c>
      <c r="P26391">
        <f>IF(OR(M26391="",N26391=""),"",SUMIFS('Barang Keluar'!$E:$E,'Barang Keluar'!$A:$A,M26391,'Barang Keluar'!$C:$C,N26391))</f>
        <v>0</v>
      </c>
    </row>
    <row r="26392" spans="13:16">
      <c r="M26392" s="49">
        <f>IF($A$4+263&gt;$B$4,"",$A$4+263)</f>
        <v>46286</v>
      </c>
      <c r="N26392">
        <f>IF(M26392="","",'Master Barang'!A86)</f>
        <v>0</v>
      </c>
      <c r="O26392">
        <f>IF(N26392="","",'Master Barang'!B86)</f>
        <v>0</v>
      </c>
      <c r="P26392">
        <f>IF(OR(M26392="",N26392=""),"",SUMIFS('Barang Keluar'!$E:$E,'Barang Keluar'!$A:$A,M26392,'Barang Keluar'!$C:$C,N26392))</f>
        <v>0</v>
      </c>
    </row>
    <row r="26393" spans="13:16">
      <c r="M26393" s="49">
        <f>IF($A$4+263&gt;$B$4,"",$A$4+263)</f>
        <v>46286</v>
      </c>
      <c r="N26393">
        <f>IF(M26393="","",'Master Barang'!A87)</f>
        <v>0</v>
      </c>
      <c r="O26393">
        <f>IF(N26393="","",'Master Barang'!B87)</f>
        <v>0</v>
      </c>
      <c r="P26393">
        <f>IF(OR(M26393="",N26393=""),"",SUMIFS('Barang Keluar'!$E:$E,'Barang Keluar'!$A:$A,M26393,'Barang Keluar'!$C:$C,N26393))</f>
        <v>0</v>
      </c>
    </row>
    <row r="26394" spans="13:16">
      <c r="M26394" s="49">
        <f>IF($A$4+263&gt;$B$4,"",$A$4+263)</f>
        <v>46286</v>
      </c>
      <c r="N26394">
        <f>IF(M26394="","",'Master Barang'!A88)</f>
        <v>0</v>
      </c>
      <c r="O26394">
        <f>IF(N26394="","",'Master Barang'!B88)</f>
        <v>0</v>
      </c>
      <c r="P26394">
        <f>IF(OR(M26394="",N26394=""),"",SUMIFS('Barang Keluar'!$E:$E,'Barang Keluar'!$A:$A,M26394,'Barang Keluar'!$C:$C,N26394))</f>
        <v>0</v>
      </c>
    </row>
    <row r="26395" spans="13:16">
      <c r="M26395" s="49">
        <f>IF($A$4+263&gt;$B$4,"",$A$4+263)</f>
        <v>46286</v>
      </c>
      <c r="N26395">
        <f>IF(M26395="","",'Master Barang'!A89)</f>
        <v>0</v>
      </c>
      <c r="O26395">
        <f>IF(N26395="","",'Master Barang'!B89)</f>
        <v>0</v>
      </c>
      <c r="P26395">
        <f>IF(OR(M26395="",N26395=""),"",SUMIFS('Barang Keluar'!$E:$E,'Barang Keluar'!$A:$A,M26395,'Barang Keluar'!$C:$C,N26395))</f>
        <v>0</v>
      </c>
    </row>
    <row r="26396" spans="13:16">
      <c r="M26396" s="49">
        <f>IF($A$4+263&gt;$B$4,"",$A$4+263)</f>
        <v>46286</v>
      </c>
      <c r="N26396">
        <f>IF(M26396="","",'Master Barang'!A90)</f>
        <v>0</v>
      </c>
      <c r="O26396">
        <f>IF(N26396="","",'Master Barang'!B90)</f>
        <v>0</v>
      </c>
      <c r="P26396">
        <f>IF(OR(M26396="",N26396=""),"",SUMIFS('Barang Keluar'!$E:$E,'Barang Keluar'!$A:$A,M26396,'Barang Keluar'!$C:$C,N26396))</f>
        <v>0</v>
      </c>
    </row>
    <row r="26397" spans="13:16">
      <c r="M26397" s="49">
        <f>IF($A$4+263&gt;$B$4,"",$A$4+263)</f>
        <v>46286</v>
      </c>
      <c r="N26397">
        <f>IF(M26397="","",'Master Barang'!A91)</f>
        <v>0</v>
      </c>
      <c r="O26397">
        <f>IF(N26397="","",'Master Barang'!B91)</f>
        <v>0</v>
      </c>
      <c r="P26397">
        <f>IF(OR(M26397="",N26397=""),"",SUMIFS('Barang Keluar'!$E:$E,'Barang Keluar'!$A:$A,M26397,'Barang Keluar'!$C:$C,N26397))</f>
        <v>0</v>
      </c>
    </row>
    <row r="26398" spans="13:16">
      <c r="M26398" s="49">
        <f>IF($A$4+263&gt;$B$4,"",$A$4+263)</f>
        <v>46286</v>
      </c>
      <c r="N26398">
        <f>IF(M26398="","",'Master Barang'!A92)</f>
        <v>0</v>
      </c>
      <c r="O26398">
        <f>IF(N26398="","",'Master Barang'!B92)</f>
        <v>0</v>
      </c>
      <c r="P26398">
        <f>IF(OR(M26398="",N26398=""),"",SUMIFS('Barang Keluar'!$E:$E,'Barang Keluar'!$A:$A,M26398,'Barang Keluar'!$C:$C,N26398))</f>
        <v>0</v>
      </c>
    </row>
    <row r="26399" spans="13:16">
      <c r="M26399" s="49">
        <f>IF($A$4+263&gt;$B$4,"",$A$4+263)</f>
        <v>46286</v>
      </c>
      <c r="N26399">
        <f>IF(M26399="","",'Master Barang'!A93)</f>
        <v>0</v>
      </c>
      <c r="O26399">
        <f>IF(N26399="","",'Master Barang'!B93)</f>
        <v>0</v>
      </c>
      <c r="P26399">
        <f>IF(OR(M26399="",N26399=""),"",SUMIFS('Barang Keluar'!$E:$E,'Barang Keluar'!$A:$A,M26399,'Barang Keluar'!$C:$C,N26399))</f>
        <v>0</v>
      </c>
    </row>
    <row r="26400" spans="13:16">
      <c r="M26400" s="49">
        <f>IF($A$4+263&gt;$B$4,"",$A$4+263)</f>
        <v>46286</v>
      </c>
      <c r="N26400">
        <f>IF(M26400="","",'Master Barang'!A94)</f>
        <v>0</v>
      </c>
      <c r="O26400">
        <f>IF(N26400="","",'Master Barang'!B94)</f>
        <v>0</v>
      </c>
      <c r="P26400">
        <f>IF(OR(M26400="",N26400=""),"",SUMIFS('Barang Keluar'!$E:$E,'Barang Keluar'!$A:$A,M26400,'Barang Keluar'!$C:$C,N26400))</f>
        <v>0</v>
      </c>
    </row>
    <row r="26401" spans="13:16">
      <c r="M26401" s="49">
        <f>IF($A$4+263&gt;$B$4,"",$A$4+263)</f>
        <v>46286</v>
      </c>
      <c r="N26401">
        <f>IF(M26401="","",'Master Barang'!A95)</f>
        <v>0</v>
      </c>
      <c r="O26401">
        <f>IF(N26401="","",'Master Barang'!B95)</f>
        <v>0</v>
      </c>
      <c r="P26401">
        <f>IF(OR(M26401="",N26401=""),"",SUMIFS('Barang Keluar'!$E:$E,'Barang Keluar'!$A:$A,M26401,'Barang Keluar'!$C:$C,N26401))</f>
        <v>0</v>
      </c>
    </row>
    <row r="26402" spans="13:16">
      <c r="M26402" s="49">
        <f>IF($A$4+263&gt;$B$4,"",$A$4+263)</f>
        <v>46286</v>
      </c>
      <c r="N26402">
        <f>IF(M26402="","",'Master Barang'!A96)</f>
        <v>0</v>
      </c>
      <c r="O26402">
        <f>IF(N26402="","",'Master Barang'!B96)</f>
        <v>0</v>
      </c>
      <c r="P26402">
        <f>IF(OR(M26402="",N26402=""),"",SUMIFS('Barang Keluar'!$E:$E,'Barang Keluar'!$A:$A,M26402,'Barang Keluar'!$C:$C,N26402))</f>
        <v>0</v>
      </c>
    </row>
    <row r="26403" spans="13:16">
      <c r="M26403" s="49">
        <f>IF($A$4+263&gt;$B$4,"",$A$4+263)</f>
        <v>46286</v>
      </c>
      <c r="N26403">
        <f>IF(M26403="","",'Master Barang'!A97)</f>
        <v>0</v>
      </c>
      <c r="O26403">
        <f>IF(N26403="","",'Master Barang'!B97)</f>
        <v>0</v>
      </c>
      <c r="P26403">
        <f>IF(OR(M26403="",N26403=""),"",SUMIFS('Barang Keluar'!$E:$E,'Barang Keluar'!$A:$A,M26403,'Barang Keluar'!$C:$C,N26403))</f>
        <v>0</v>
      </c>
    </row>
    <row r="26404" spans="13:16">
      <c r="M26404" s="49">
        <f>IF($A$4+263&gt;$B$4,"",$A$4+263)</f>
        <v>46286</v>
      </c>
      <c r="N26404">
        <f>IF(M26404="","",'Master Barang'!A98)</f>
        <v>0</v>
      </c>
      <c r="O26404">
        <f>IF(N26404="","",'Master Barang'!B98)</f>
        <v>0</v>
      </c>
      <c r="P26404">
        <f>IF(OR(M26404="",N26404=""),"",SUMIFS('Barang Keluar'!$E:$E,'Barang Keluar'!$A:$A,M26404,'Barang Keluar'!$C:$C,N26404))</f>
        <v>0</v>
      </c>
    </row>
    <row r="26405" spans="13:16">
      <c r="M26405" s="49">
        <f>IF($A$4+263&gt;$B$4,"",$A$4+263)</f>
        <v>46286</v>
      </c>
      <c r="N26405">
        <f>IF(M26405="","",'Master Barang'!A99)</f>
        <v>0</v>
      </c>
      <c r="O26405">
        <f>IF(N26405="","",'Master Barang'!B99)</f>
        <v>0</v>
      </c>
      <c r="P26405">
        <f>IF(OR(M26405="",N26405=""),"",SUMIFS('Barang Keluar'!$E:$E,'Barang Keluar'!$A:$A,M26405,'Barang Keluar'!$C:$C,N26405))</f>
        <v>0</v>
      </c>
    </row>
    <row r="26406" spans="13:16">
      <c r="M26406" s="49">
        <f>IF($A$4+263&gt;$B$4,"",$A$4+263)</f>
        <v>46286</v>
      </c>
      <c r="N26406">
        <f>IF(M26406="","",'Master Barang'!A100)</f>
        <v>0</v>
      </c>
      <c r="O26406">
        <f>IF(N26406="","",'Master Barang'!B100)</f>
        <v>0</v>
      </c>
      <c r="P26406">
        <f>IF(OR(M26406="",N26406=""),"",SUMIFS('Barang Keluar'!$E:$E,'Barang Keluar'!$A:$A,M26406,'Barang Keluar'!$C:$C,N26406))</f>
        <v>0</v>
      </c>
    </row>
    <row r="26407" spans="13:16">
      <c r="M26407" s="49">
        <f>IF($A$4+263&gt;$B$4,"",$A$4+263)</f>
        <v>46286</v>
      </c>
      <c r="N26407">
        <f>IF(M26407="","",'Master Barang'!A101)</f>
        <v>0</v>
      </c>
      <c r="O26407">
        <f>IF(N26407="","",'Master Barang'!B101)</f>
        <v>0</v>
      </c>
      <c r="P26407">
        <f>IF(OR(M26407="",N26407=""),"",SUMIFS('Barang Keluar'!$E:$E,'Barang Keluar'!$A:$A,M26407,'Barang Keluar'!$C:$C,N26407))</f>
        <v>0</v>
      </c>
    </row>
    <row r="26408" spans="13:16">
      <c r="M26408" s="49">
        <f>IF($A$4+264&gt;$B$4,"",$A$4+264)</f>
        <v>46287</v>
      </c>
      <c r="N26408" t="str">
        <f>IF(M26408="","",'Master Barang'!A2)</f>
        <v>PRL-001</v>
      </c>
      <c r="O26408" t="str">
        <f>IF(N26408="","",'Master Barang'!B2)</f>
        <v>natura desinfectant food grade 5l</v>
      </c>
      <c r="P26408">
        <f>IF(OR(M26408="",N26408=""),"",SUMIFS('Barang Keluar'!$E:$E,'Barang Keluar'!$A:$A,M26408,'Barang Keluar'!$C:$C,N26408))</f>
        <v>0</v>
      </c>
    </row>
    <row r="26409" spans="13:16">
      <c r="M26409" s="49">
        <f>IF($A$4+264&gt;$B$4,"",$A$4+264)</f>
        <v>46287</v>
      </c>
      <c r="N26409" t="str">
        <f>IF(M26409="","",'Master Barang'!A3)</f>
        <v>PRL-002</v>
      </c>
      <c r="O26409" t="str">
        <f>IF(N26409="","",'Master Barang'!B3)</f>
        <v>sunlight cairan pencuci piring 5l</v>
      </c>
      <c r="P26409">
        <f>IF(OR(M26409="",N26409=""),"",SUMIFS('Barang Keluar'!$E:$E,'Barang Keluar'!$A:$A,M26409,'Barang Keluar'!$C:$C,N26409))</f>
        <v>0</v>
      </c>
    </row>
    <row r="26410" spans="13:16">
      <c r="M26410" s="49">
        <f>IF($A$4+264&gt;$B$4,"",$A$4+264)</f>
        <v>46287</v>
      </c>
      <c r="N26410" t="str">
        <f>IF(M26410="","",'Master Barang'!A4)</f>
        <v>PRL-003</v>
      </c>
      <c r="O26410" t="str">
        <f>IF(N26410="","",'Master Barang'!B4)</f>
        <v>oixs cleaner 1l</v>
      </c>
      <c r="P26410">
        <f>IF(OR(M26410="",N26410=""),"",SUMIFS('Barang Keluar'!$E:$E,'Barang Keluar'!$A:$A,M26410,'Barang Keluar'!$C:$C,N26410))</f>
        <v>0</v>
      </c>
    </row>
    <row r="26411" spans="13:16">
      <c r="M26411" s="49">
        <f>IF($A$4+264&gt;$B$4,"",$A$4+264)</f>
        <v>46287</v>
      </c>
      <c r="N26411" t="str">
        <f>IF(M26411="","",'Master Barang'!A5)</f>
        <v>PRL-004</v>
      </c>
      <c r="O26411" t="str">
        <f>IF(N26411="","",'Master Barang'!B5)</f>
        <v>be clean tissue serbaguna</v>
      </c>
      <c r="P26411">
        <f>IF(OR(M26411="",N26411=""),"",SUMIFS('Barang Keluar'!$E:$E,'Barang Keluar'!$A:$A,M26411,'Barang Keluar'!$C:$C,N26411))</f>
        <v>0</v>
      </c>
    </row>
    <row r="26412" spans="13:16">
      <c r="M26412" s="49">
        <f>IF($A$4+264&gt;$B$4,"",$A$4+264)</f>
        <v>46287</v>
      </c>
      <c r="N26412" t="str">
        <f>IF(M26412="","",'Master Barang'!A6)</f>
        <v>PRL-005</v>
      </c>
      <c r="O26412" t="str">
        <f>IF(N26412="","",'Master Barang'!B6)</f>
        <v>spons cuci hijau</v>
      </c>
      <c r="P26412">
        <f>IF(OR(M26412="",N26412=""),"",SUMIFS('Barang Keluar'!$E:$E,'Barang Keluar'!$A:$A,M26412,'Barang Keluar'!$C:$C,N26412))</f>
        <v>0</v>
      </c>
    </row>
    <row r="26413" spans="13:16">
      <c r="M26413" s="49">
        <f>IF($A$4+264&gt;$B$4,"",$A$4+264)</f>
        <v>46287</v>
      </c>
      <c r="N26413" t="str">
        <f>IF(M26413="","",'Master Barang'!A7)</f>
        <v>PRL-006</v>
      </c>
      <c r="O26413" t="str">
        <f>IF(N26413="","",'Master Barang'!B7)</f>
        <v>sabut cuci stainless</v>
      </c>
      <c r="P26413">
        <f>IF(OR(M26413="",N26413=""),"",SUMIFS('Barang Keluar'!$E:$E,'Barang Keluar'!$A:$A,M26413,'Barang Keluar'!$C:$C,N26413))</f>
        <v>0</v>
      </c>
    </row>
    <row r="26414" spans="13:16">
      <c r="M26414" s="49">
        <f>IF($A$4+264&gt;$B$4,"",$A$4+264)</f>
        <v>46287</v>
      </c>
      <c r="N26414" t="str">
        <f>IF(M26414="","",'Master Barang'!A8)</f>
        <v>PRL-007</v>
      </c>
      <c r="O26414" t="str">
        <f>IF(N26414="","",'Master Barang'!B8)</f>
        <v>plastik kresek besar merah 50pc</v>
      </c>
      <c r="P26414">
        <f>IF(OR(M26414="",N26414=""),"",SUMIFS('Barang Keluar'!$E:$E,'Barang Keluar'!$A:$A,M26414,'Barang Keluar'!$C:$C,N26414))</f>
        <v>0</v>
      </c>
    </row>
    <row r="26415" spans="13:16">
      <c r="M26415" s="49">
        <f>IF($A$4+264&gt;$B$4,"",$A$4+264)</f>
        <v>46287</v>
      </c>
      <c r="N26415" t="str">
        <f>IF(M26415="","",'Master Barang'!A9)</f>
        <v>PRL-008</v>
      </c>
      <c r="O26415" t="str">
        <f>IF(N26415="","",'Master Barang'!B9)</f>
        <v>lap besar</v>
      </c>
      <c r="P26415">
        <f>IF(OR(M26415="",N26415=""),"",SUMIFS('Barang Keluar'!$E:$E,'Barang Keluar'!$A:$A,M26415,'Barang Keluar'!$C:$C,N26415))</f>
        <v>0</v>
      </c>
    </row>
    <row r="26416" spans="13:16">
      <c r="M26416" s="49">
        <f>IF($A$4+264&gt;$B$4,"",$A$4+264)</f>
        <v>46287</v>
      </c>
      <c r="N26416" t="str">
        <f>IF(M26416="","",'Master Barang'!A10)</f>
        <v>PRL-009</v>
      </c>
      <c r="O26416" t="str">
        <f>IF(N26416="","",'Master Barang'!B10)</f>
        <v>lap microfiber</v>
      </c>
      <c r="P26416">
        <f>IF(OR(M26416="",N26416=""),"",SUMIFS('Barang Keluar'!$E:$E,'Barang Keluar'!$A:$A,M26416,'Barang Keluar'!$C:$C,N26416))</f>
        <v>0</v>
      </c>
    </row>
    <row r="26417" spans="13:16">
      <c r="M26417" s="49">
        <f>IF($A$4+264&gt;$B$4,"",$A$4+264)</f>
        <v>46287</v>
      </c>
      <c r="N26417" t="str">
        <f>IF(M26417="","",'Master Barang'!A11)</f>
        <v>PRL-010</v>
      </c>
      <c r="O26417" t="str">
        <f>IF(N26417="","",'Master Barang'!B11)</f>
        <v>lap kecil</v>
      </c>
      <c r="P26417">
        <f>IF(OR(M26417="",N26417=""),"",SUMIFS('Barang Keluar'!$E:$E,'Barang Keluar'!$A:$A,M26417,'Barang Keluar'!$C:$C,N26417))</f>
        <v>0</v>
      </c>
    </row>
    <row r="26418" spans="13:16">
      <c r="M26418" s="49">
        <f>IF($A$4+264&gt;$B$4,"",$A$4+264)</f>
        <v>46287</v>
      </c>
      <c r="N26418" t="str">
        <f>IF(M26418="","",'Master Barang'!A12)</f>
        <v>PRL-011</v>
      </c>
      <c r="O26418" t="str">
        <f>IF(N26418="","",'Master Barang'!B12)</f>
        <v>kanebo kecil</v>
      </c>
      <c r="P26418">
        <f>IF(OR(M26418="",N26418=""),"",SUMIFS('Barang Keluar'!$E:$E,'Barang Keluar'!$A:$A,M26418,'Barang Keluar'!$C:$C,N26418))</f>
        <v>0</v>
      </c>
    </row>
    <row r="26419" spans="13:16">
      <c r="M26419" s="49">
        <f>IF($A$4+264&gt;$B$4,"",$A$4+264)</f>
        <v>46287</v>
      </c>
      <c r="N26419" t="str">
        <f>IF(M26419="","",'Master Barang'!A13)</f>
        <v>PRL-012</v>
      </c>
      <c r="O26419" t="str">
        <f>IF(N26419="","",'Master Barang'!B13)</f>
        <v>plastik 1/4kg joyoboyo 100 lembar</v>
      </c>
      <c r="P26419">
        <f>IF(OR(M26419="",N26419=""),"",SUMIFS('Barang Keluar'!$E:$E,'Barang Keluar'!$A:$A,M26419,'Barang Keluar'!$C:$C,N26419))</f>
        <v>0</v>
      </c>
    </row>
    <row r="26420" spans="13:16">
      <c r="M26420" s="49">
        <f>IF($A$4+264&gt;$B$4,"",$A$4+264)</f>
        <v>46287</v>
      </c>
      <c r="N26420" t="str">
        <f>IF(M26420="","",'Master Barang'!A14)</f>
        <v>PRL-013</v>
      </c>
      <c r="O26420" t="str">
        <f>IF(N26420="","",'Master Barang'!B14)</f>
        <v>sarung tangan plastik kaka 100 pcs</v>
      </c>
      <c r="P26420">
        <f>IF(OR(M26420="",N26420=""),"",SUMIFS('Barang Keluar'!$E:$E,'Barang Keluar'!$A:$A,M26420,'Barang Keluar'!$C:$C,N26420))</f>
        <v>0</v>
      </c>
    </row>
    <row r="26421" spans="13:16">
      <c r="M26421" s="49">
        <f>IF($A$4+264&gt;$B$4,"",$A$4+264)</f>
        <v>46287</v>
      </c>
      <c r="N26421" t="str">
        <f>IF(M26421="","",'Master Barang'!A15)</f>
        <v>PRL-014</v>
      </c>
      <c r="O26421" t="str">
        <f>IF(N26421="","",'Master Barang'!B15)</f>
        <v>optima trashbag 80x100</v>
      </c>
      <c r="P26421">
        <f>IF(OR(M26421="",N26421=""),"",SUMIFS('Barang Keluar'!$E:$E,'Barang Keluar'!$A:$A,M26421,'Barang Keluar'!$C:$C,N26421))</f>
        <v>0</v>
      </c>
    </row>
    <row r="26422" spans="13:16">
      <c r="M26422" s="49">
        <f>IF($A$4+264&gt;$B$4,"",$A$4+264)</f>
        <v>46287</v>
      </c>
      <c r="N26422" t="str">
        <f>IF(M26422="","",'Master Barang'!A16)</f>
        <v>PRL-015</v>
      </c>
      <c r="O26422" t="str">
        <f>IF(N26422="","",'Master Barang'!B16)</f>
        <v>optima trashbag 60x100</v>
      </c>
      <c r="P26422">
        <f>IF(OR(M26422="",N26422=""),"",SUMIFS('Barang Keluar'!$E:$E,'Barang Keluar'!$A:$A,M26422,'Barang Keluar'!$C:$C,N26422))</f>
        <v>0</v>
      </c>
    </row>
    <row r="26423" spans="13:16">
      <c r="M26423" s="49">
        <f>IF($A$4+264&gt;$B$4,"",$A$4+264)</f>
        <v>46287</v>
      </c>
      <c r="N26423" t="str">
        <f>IF(M26423="","",'Master Barang'!A17)</f>
        <v>PRL-016</v>
      </c>
      <c r="O26423" t="str">
        <f>IF(N26423="","",'Master Barang'!B17)</f>
        <v>rajawali trashbag 30x40</v>
      </c>
      <c r="P26423">
        <f>IF(OR(M26423="",N26423=""),"",SUMIFS('Barang Keluar'!$E:$E,'Barang Keluar'!$A:$A,M26423,'Barang Keluar'!$C:$C,N26423))</f>
        <v>0</v>
      </c>
    </row>
    <row r="26424" spans="13:16">
      <c r="M26424" s="49">
        <f>IF($A$4+264&gt;$B$4,"",$A$4+264)</f>
        <v>46287</v>
      </c>
      <c r="N26424" t="str">
        <f>IF(M26424="","",'Master Barang'!A18)</f>
        <v>PRL-017</v>
      </c>
      <c r="O26424" t="str">
        <f>IF(N26424="","",'Master Barang'!B18)</f>
        <v>onemed masker biru 3 play 50 pcs</v>
      </c>
      <c r="P26424">
        <f>IF(OR(M26424="",N26424=""),"",SUMIFS('Barang Keluar'!$E:$E,'Barang Keluar'!$A:$A,M26424,'Barang Keluar'!$C:$C,N26424))</f>
        <v>0</v>
      </c>
    </row>
    <row r="26425" spans="13:16">
      <c r="M26425" s="49">
        <f>IF($A$4+264&gt;$B$4,"",$A$4+264)</f>
        <v>46287</v>
      </c>
      <c r="N26425" t="str">
        <f>IF(M26425="","",'Master Barang'!A19)</f>
        <v>PRL-018</v>
      </c>
      <c r="O26425" t="str">
        <f>IF(N26425="","",'Master Barang'!B19)</f>
        <v>onemed masker biru 3 play hijab 50 pcs</v>
      </c>
      <c r="P26425">
        <f>IF(OR(M26425="",N26425=""),"",SUMIFS('Barang Keluar'!$E:$E,'Barang Keluar'!$A:$A,M26425,'Barang Keluar'!$C:$C,N26425))</f>
        <v>0</v>
      </c>
    </row>
    <row r="26426" spans="13:16">
      <c r="M26426" s="49">
        <f>IF($A$4+264&gt;$B$4,"",$A$4+264)</f>
        <v>46287</v>
      </c>
      <c r="N26426" t="str">
        <f>IF(M26426="","",'Master Barang'!A20)</f>
        <v>PRL-019</v>
      </c>
      <c r="O26426" t="str">
        <f>IF(N26426="","",'Master Barang'!B20)</f>
        <v>neo health masker biru 3 play 50 pcs</v>
      </c>
      <c r="P26426">
        <f>IF(OR(M26426="",N26426=""),"",SUMIFS('Barang Keluar'!$E:$E,'Barang Keluar'!$A:$A,M26426,'Barang Keluar'!$C:$C,N26426))</f>
        <v>0</v>
      </c>
    </row>
    <row r="26427" spans="13:16">
      <c r="M26427" s="49">
        <f>IF($A$4+264&gt;$B$4,"",$A$4+264)</f>
        <v>46287</v>
      </c>
      <c r="N26427" t="str">
        <f>IF(M26427="","",'Master Barang'!A21)</f>
        <v>PRL-020</v>
      </c>
      <c r="O26427" t="str">
        <f>IF(N26427="","",'Master Barang'!B21)</f>
        <v>baymed masker hijau 3 play hijau 50 pcs</v>
      </c>
      <c r="P26427">
        <f>IF(OR(M26427="",N26427=""),"",SUMIFS('Barang Keluar'!$E:$E,'Barang Keluar'!$A:$A,M26427,'Barang Keluar'!$C:$C,N26427))</f>
        <v>0</v>
      </c>
    </row>
    <row r="26428" spans="13:16">
      <c r="M26428" s="49">
        <f>IF($A$4+264&gt;$B$4,"",$A$4+264)</f>
        <v>46287</v>
      </c>
      <c r="N26428" t="str">
        <f>IF(M26428="","",'Master Barang'!A22)</f>
        <v>PRL-021</v>
      </c>
      <c r="O26428" t="str">
        <f>IF(N26428="","",'Master Barang'!B22)</f>
        <v>altamed nurse cap penutup kepala 100 pcs</v>
      </c>
      <c r="P26428">
        <f>IF(OR(M26428="",N26428=""),"",SUMIFS('Barang Keluar'!$E:$E,'Barang Keluar'!$A:$A,M26428,'Barang Keluar'!$C:$C,N26428))</f>
        <v>0</v>
      </c>
    </row>
    <row r="26429" spans="13:16">
      <c r="M26429" s="49">
        <f>IF($A$4+264&gt;$B$4,"",$A$4+264)</f>
        <v>46287</v>
      </c>
      <c r="N26429" t="str">
        <f>IF(M26429="","",'Master Barang'!A23)</f>
        <v>PRL-022</v>
      </c>
      <c r="O26429" t="str">
        <f>IF(N26429="","",'Master Barang'!B23)</f>
        <v>sabun cuci tangan</v>
      </c>
      <c r="P26429">
        <f>IF(OR(M26429="",N26429=""),"",SUMIFS('Barang Keluar'!$E:$E,'Barang Keluar'!$A:$A,M26429,'Barang Keluar'!$C:$C,N26429))</f>
        <v>0</v>
      </c>
    </row>
    <row r="26430" spans="13:16">
      <c r="M26430" s="49">
        <f>IF($A$4+264&gt;$B$4,"",$A$4+264)</f>
        <v>46287</v>
      </c>
      <c r="N26430" t="str">
        <f>IF(M26430="","",'Master Barang'!A24)</f>
        <v>PRL-023</v>
      </c>
      <c r="O26430" t="str">
        <f>IF(N26430="","",'Master Barang'!B24)</f>
        <v>gayung kecil</v>
      </c>
      <c r="P26430">
        <f>IF(OR(M26430="",N26430=""),"",SUMIFS('Barang Keluar'!$E:$E,'Barang Keluar'!$A:$A,M26430,'Barang Keluar'!$C:$C,N26430))</f>
        <v>0</v>
      </c>
    </row>
    <row r="26431" spans="13:16">
      <c r="M26431" s="49">
        <f>IF($A$4+264&gt;$B$4,"",$A$4+264)</f>
        <v>46287</v>
      </c>
      <c r="N26431" t="str">
        <f>IF(M26431="","",'Master Barang'!A25)</f>
        <v>PRL-024</v>
      </c>
      <c r="O26431" t="str">
        <f>IF(N26431="","",'Master Barang'!B25)</f>
        <v>cikrak kecil</v>
      </c>
      <c r="P26431">
        <f>IF(OR(M26431="",N26431=""),"",SUMIFS('Barang Keluar'!$E:$E,'Barang Keluar'!$A:$A,M26431,'Barang Keluar'!$C:$C,N26431))</f>
        <v>0</v>
      </c>
    </row>
    <row r="26432" spans="13:16">
      <c r="M26432" s="49">
        <f>IF($A$4+264&gt;$B$4,"",$A$4+264)</f>
        <v>46287</v>
      </c>
      <c r="N26432" t="str">
        <f>IF(M26432="","",'Master Barang'!A26)</f>
        <v>PRL-025</v>
      </c>
      <c r="O26432" t="str">
        <f>IF(N26432="","",'Master Barang'!B26)</f>
        <v>petromax plastik kecil 12x24 100 lembar</v>
      </c>
      <c r="P26432">
        <f>IF(OR(M26432="",N26432=""),"",SUMIFS('Barang Keluar'!$E:$E,'Barang Keluar'!$A:$A,M26432,'Barang Keluar'!$C:$C,N26432))</f>
        <v>0</v>
      </c>
    </row>
    <row r="26433" spans="13:16">
      <c r="M26433" s="49">
        <f>IF($A$4+264&gt;$B$4,"",$A$4+264)</f>
        <v>46287</v>
      </c>
      <c r="N26433" t="str">
        <f>IF(M26433="","",'Master Barang'!A27)</f>
        <v>PRL-026</v>
      </c>
      <c r="O26433" t="str">
        <f>IF(N26433="","",'Master Barang'!B27)</f>
        <v>lancar kresek kecil bening </v>
      </c>
      <c r="P26433">
        <f>IF(OR(M26433="",N26433=""),"",SUMIFS('Barang Keluar'!$E:$E,'Barang Keluar'!$A:$A,M26433,'Barang Keluar'!$C:$C,N26433))</f>
        <v>0</v>
      </c>
    </row>
    <row r="26434" spans="13:16">
      <c r="M26434" s="49">
        <f>IF($A$4+264&gt;$B$4,"",$A$4+264)</f>
        <v>46287</v>
      </c>
      <c r="N26434" t="str">
        <f>IF(M26434="","",'Master Barang'!A28)</f>
        <v>PRL-027</v>
      </c>
      <c r="O26434" t="str">
        <f>IF(N26434="","",'Master Barang'!B28)</f>
        <v>kresek klin warna warni kecil</v>
      </c>
      <c r="P26434">
        <f>IF(OR(M26434="",N26434=""),"",SUMIFS('Barang Keluar'!$E:$E,'Barang Keluar'!$A:$A,M26434,'Barang Keluar'!$C:$C,N26434))</f>
        <v>0</v>
      </c>
    </row>
    <row r="26435" spans="13:16">
      <c r="M26435" s="49">
        <f>IF($A$4+264&gt;$B$4,"",$A$4+264)</f>
        <v>46287</v>
      </c>
      <c r="N26435" t="str">
        <f>IF(M26435="","",'Master Barang'!A29)</f>
        <v>PRL-028</v>
      </c>
      <c r="O26435" t="str">
        <f>IF(N26435="","",'Master Barang'!B29)</f>
        <v>ctik plastik 7x10 100 pcs</v>
      </c>
      <c r="P26435">
        <f>IF(OR(M26435="",N26435=""),"",SUMIFS('Barang Keluar'!$E:$E,'Barang Keluar'!$A:$A,M26435,'Barang Keluar'!$C:$C,N26435))</f>
        <v>0</v>
      </c>
    </row>
    <row r="26436" spans="13:16">
      <c r="M26436" s="49">
        <f>IF($A$4+264&gt;$B$4,"",$A$4+264)</f>
        <v>46287</v>
      </c>
      <c r="N26436" t="str">
        <f>IF(M26436="","",'Master Barang'!A30)</f>
        <v>PRL-029</v>
      </c>
      <c r="O26436" t="str">
        <f>IF(N26436="","",'Master Barang'!B30)</f>
        <v>ctik plastik 6x10 100 pcs</v>
      </c>
      <c r="P26436">
        <f>IF(OR(M26436="",N26436=""),"",SUMIFS('Barang Keluar'!$E:$E,'Barang Keluar'!$A:$A,M26436,'Barang Keluar'!$C:$C,N26436))</f>
        <v>0</v>
      </c>
    </row>
    <row r="26437" spans="13:16">
      <c r="M26437" s="49">
        <f>IF($A$4+264&gt;$B$4,"",$A$4+264)</f>
        <v>46287</v>
      </c>
      <c r="N26437" t="str">
        <f>IF(M26437="","",'Master Barang'!A31)</f>
        <v>PRL-030</v>
      </c>
      <c r="O26437" t="str">
        <f>IF(N26437="","",'Master Barang'!B31)</f>
        <v>klip plastik 25x16 100 pcs</v>
      </c>
      <c r="P26437">
        <f>IF(OR(M26437="",N26437=""),"",SUMIFS('Barang Keluar'!$E:$E,'Barang Keluar'!$A:$A,M26437,'Barang Keluar'!$C:$C,N26437))</f>
        <v>0</v>
      </c>
    </row>
    <row r="26438" spans="13:16">
      <c r="M26438" s="49">
        <f>IF($A$4+264&gt;$B$4,"",$A$4+264)</f>
        <v>46287</v>
      </c>
      <c r="N26438" t="str">
        <f>IF(M26438="","",'Master Barang'!A32)</f>
        <v>PRL-031</v>
      </c>
      <c r="O26438" t="str">
        <f>IF(N26438="","",'Master Barang'!B32)</f>
        <v>tempat saus 20 ml</v>
      </c>
      <c r="P26438">
        <f>IF(OR(M26438="",N26438=""),"",SUMIFS('Barang Keluar'!$E:$E,'Barang Keluar'!$A:$A,M26438,'Barang Keluar'!$C:$C,N26438))</f>
        <v>0</v>
      </c>
    </row>
    <row r="26439" spans="13:16">
      <c r="M26439" s="49">
        <f>IF($A$4+264&gt;$B$4,"",$A$4+264)</f>
        <v>46287</v>
      </c>
      <c r="N26439" t="str">
        <f>IF(M26439="","",'Master Barang'!A33)</f>
        <v>PRL-032</v>
      </c>
      <c r="O26439" t="str">
        <f>IF(N26439="","",'Master Barang'!B33)</f>
        <v>plastik packaging ag box uk sedang</v>
      </c>
      <c r="P26439">
        <f>IF(OR(M26439="",N26439=""),"",SUMIFS('Barang Keluar'!$E:$E,'Barang Keluar'!$A:$A,M26439,'Barang Keluar'!$C:$C,N26439))</f>
        <v>0</v>
      </c>
    </row>
    <row r="26440" spans="13:16">
      <c r="M26440" s="49">
        <f>IF($A$4+264&gt;$B$4,"",$A$4+264)</f>
        <v>46287</v>
      </c>
      <c r="N26440" t="str">
        <f>IF(M26440="","",'Master Barang'!A34)</f>
        <v>PRL-033</v>
      </c>
      <c r="O26440">
        <f>IF(N26440="","",'Master Barang'!B34)</f>
        <v>0</v>
      </c>
      <c r="P26440">
        <f>IF(OR(M26440="",N26440=""),"",SUMIFS('Barang Keluar'!$E:$E,'Barang Keluar'!$A:$A,M26440,'Barang Keluar'!$C:$C,N26440))</f>
        <v>0</v>
      </c>
    </row>
    <row r="26441" spans="13:16">
      <c r="M26441" s="49">
        <f>IF($A$4+264&gt;$B$4,"",$A$4+264)</f>
        <v>46287</v>
      </c>
      <c r="N26441">
        <f>IF(M26441="","",'Master Barang'!A35)</f>
        <v>0</v>
      </c>
      <c r="O26441">
        <f>IF(N26441="","",'Master Barang'!B35)</f>
        <v>0</v>
      </c>
      <c r="P26441">
        <f>IF(OR(M26441="",N26441=""),"",SUMIFS('Barang Keluar'!$E:$E,'Barang Keluar'!$A:$A,M26441,'Barang Keluar'!$C:$C,N26441))</f>
        <v>0</v>
      </c>
    </row>
    <row r="26442" spans="13:16">
      <c r="M26442" s="49">
        <f>IF($A$4+264&gt;$B$4,"",$A$4+264)</f>
        <v>46287</v>
      </c>
      <c r="N26442">
        <f>IF(M26442="","",'Master Barang'!A36)</f>
        <v>0</v>
      </c>
      <c r="O26442">
        <f>IF(N26442="","",'Master Barang'!B36)</f>
        <v>0</v>
      </c>
      <c r="P26442">
        <f>IF(OR(M26442="",N26442=""),"",SUMIFS('Barang Keluar'!$E:$E,'Barang Keluar'!$A:$A,M26442,'Barang Keluar'!$C:$C,N26442))</f>
        <v>0</v>
      </c>
    </row>
    <row r="26443" spans="13:16">
      <c r="M26443" s="49">
        <f>IF($A$4+264&gt;$B$4,"",$A$4+264)</f>
        <v>46287</v>
      </c>
      <c r="N26443">
        <f>IF(M26443="","",'Master Barang'!A37)</f>
        <v>0</v>
      </c>
      <c r="O26443">
        <f>IF(N26443="","",'Master Barang'!B37)</f>
        <v>0</v>
      </c>
      <c r="P26443">
        <f>IF(OR(M26443="",N26443=""),"",SUMIFS('Barang Keluar'!$E:$E,'Barang Keluar'!$A:$A,M26443,'Barang Keluar'!$C:$C,N26443))</f>
        <v>0</v>
      </c>
    </row>
    <row r="26444" spans="13:16">
      <c r="M26444" s="49">
        <f>IF($A$4+264&gt;$B$4,"",$A$4+264)</f>
        <v>46287</v>
      </c>
      <c r="N26444">
        <f>IF(M26444="","",'Master Barang'!A38)</f>
        <v>0</v>
      </c>
      <c r="O26444">
        <f>IF(N26444="","",'Master Barang'!B38)</f>
        <v>0</v>
      </c>
      <c r="P26444">
        <f>IF(OR(M26444="",N26444=""),"",SUMIFS('Barang Keluar'!$E:$E,'Barang Keluar'!$A:$A,M26444,'Barang Keluar'!$C:$C,N26444))</f>
        <v>0</v>
      </c>
    </row>
    <row r="26445" spans="13:16">
      <c r="M26445" s="49">
        <f>IF($A$4+264&gt;$B$4,"",$A$4+264)</f>
        <v>46287</v>
      </c>
      <c r="N26445">
        <f>IF(M26445="","",'Master Barang'!A39)</f>
        <v>0</v>
      </c>
      <c r="O26445">
        <f>IF(N26445="","",'Master Barang'!B39)</f>
        <v>0</v>
      </c>
      <c r="P26445">
        <f>IF(OR(M26445="",N26445=""),"",SUMIFS('Barang Keluar'!$E:$E,'Barang Keluar'!$A:$A,M26445,'Barang Keluar'!$C:$C,N26445))</f>
        <v>0</v>
      </c>
    </row>
    <row r="26446" spans="13:16">
      <c r="M26446" s="49">
        <f>IF($A$4+264&gt;$B$4,"",$A$4+264)</f>
        <v>46287</v>
      </c>
      <c r="N26446">
        <f>IF(M26446="","",'Master Barang'!A40)</f>
        <v>0</v>
      </c>
      <c r="O26446">
        <f>IF(N26446="","",'Master Barang'!B40)</f>
        <v>0</v>
      </c>
      <c r="P26446">
        <f>IF(OR(M26446="",N26446=""),"",SUMIFS('Barang Keluar'!$E:$E,'Barang Keluar'!$A:$A,M26446,'Barang Keluar'!$C:$C,N26446))</f>
        <v>0</v>
      </c>
    </row>
    <row r="26447" spans="13:16">
      <c r="M26447" s="49">
        <f>IF($A$4+264&gt;$B$4,"",$A$4+264)</f>
        <v>46287</v>
      </c>
      <c r="N26447">
        <f>IF(M26447="","",'Master Barang'!A41)</f>
        <v>0</v>
      </c>
      <c r="O26447">
        <f>IF(N26447="","",'Master Barang'!B41)</f>
        <v>0</v>
      </c>
      <c r="P26447">
        <f>IF(OR(M26447="",N26447=""),"",SUMIFS('Barang Keluar'!$E:$E,'Barang Keluar'!$A:$A,M26447,'Barang Keluar'!$C:$C,N26447))</f>
        <v>0</v>
      </c>
    </row>
    <row r="26448" spans="13:16">
      <c r="M26448" s="49">
        <f>IF($A$4+264&gt;$B$4,"",$A$4+264)</f>
        <v>46287</v>
      </c>
      <c r="N26448">
        <f>IF(M26448="","",'Master Barang'!A42)</f>
        <v>0</v>
      </c>
      <c r="O26448">
        <f>IF(N26448="","",'Master Barang'!B42)</f>
        <v>0</v>
      </c>
      <c r="P26448">
        <f>IF(OR(M26448="",N26448=""),"",SUMIFS('Barang Keluar'!$E:$E,'Barang Keluar'!$A:$A,M26448,'Barang Keluar'!$C:$C,N26448))</f>
        <v>0</v>
      </c>
    </row>
    <row r="26449" spans="13:16">
      <c r="M26449" s="49">
        <f>IF($A$4+264&gt;$B$4,"",$A$4+264)</f>
        <v>46287</v>
      </c>
      <c r="N26449">
        <f>IF(M26449="","",'Master Barang'!A43)</f>
        <v>0</v>
      </c>
      <c r="O26449">
        <f>IF(N26449="","",'Master Barang'!B43)</f>
        <v>0</v>
      </c>
      <c r="P26449">
        <f>IF(OR(M26449="",N26449=""),"",SUMIFS('Barang Keluar'!$E:$E,'Barang Keluar'!$A:$A,M26449,'Barang Keluar'!$C:$C,N26449))</f>
        <v>0</v>
      </c>
    </row>
    <row r="26450" spans="13:16">
      <c r="M26450" s="49">
        <f>IF($A$4+264&gt;$B$4,"",$A$4+264)</f>
        <v>46287</v>
      </c>
      <c r="N26450">
        <f>IF(M26450="","",'Master Barang'!A44)</f>
        <v>0</v>
      </c>
      <c r="O26450">
        <f>IF(N26450="","",'Master Barang'!B44)</f>
        <v>0</v>
      </c>
      <c r="P26450">
        <f>IF(OR(M26450="",N26450=""),"",SUMIFS('Barang Keluar'!$E:$E,'Barang Keluar'!$A:$A,M26450,'Barang Keluar'!$C:$C,N26450))</f>
        <v>0</v>
      </c>
    </row>
    <row r="26451" spans="13:16">
      <c r="M26451" s="49">
        <f>IF($A$4+264&gt;$B$4,"",$A$4+264)</f>
        <v>46287</v>
      </c>
      <c r="N26451">
        <f>IF(M26451="","",'Master Barang'!A45)</f>
        <v>0</v>
      </c>
      <c r="O26451">
        <f>IF(N26451="","",'Master Barang'!B45)</f>
        <v>0</v>
      </c>
      <c r="P26451">
        <f>IF(OR(M26451="",N26451=""),"",SUMIFS('Barang Keluar'!$E:$E,'Barang Keluar'!$A:$A,M26451,'Barang Keluar'!$C:$C,N26451))</f>
        <v>0</v>
      </c>
    </row>
    <row r="26452" spans="13:16">
      <c r="M26452" s="49">
        <f>IF($A$4+264&gt;$B$4,"",$A$4+264)</f>
        <v>46287</v>
      </c>
      <c r="N26452">
        <f>IF(M26452="","",'Master Barang'!A46)</f>
        <v>0</v>
      </c>
      <c r="O26452">
        <f>IF(N26452="","",'Master Barang'!B46)</f>
        <v>0</v>
      </c>
      <c r="P26452">
        <f>IF(OR(M26452="",N26452=""),"",SUMIFS('Barang Keluar'!$E:$E,'Barang Keluar'!$A:$A,M26452,'Barang Keluar'!$C:$C,N26452))</f>
        <v>0</v>
      </c>
    </row>
    <row r="26453" spans="13:16">
      <c r="M26453" s="49">
        <f>IF($A$4+264&gt;$B$4,"",$A$4+264)</f>
        <v>46287</v>
      </c>
      <c r="N26453">
        <f>IF(M26453="","",'Master Barang'!A47)</f>
        <v>0</v>
      </c>
      <c r="O26453">
        <f>IF(N26453="","",'Master Barang'!B47)</f>
        <v>0</v>
      </c>
      <c r="P26453">
        <f>IF(OR(M26453="",N26453=""),"",SUMIFS('Barang Keluar'!$E:$E,'Barang Keluar'!$A:$A,M26453,'Barang Keluar'!$C:$C,N26453))</f>
        <v>0</v>
      </c>
    </row>
    <row r="26454" spans="13:16">
      <c r="M26454" s="49">
        <f>IF($A$4+264&gt;$B$4,"",$A$4+264)</f>
        <v>46287</v>
      </c>
      <c r="N26454">
        <f>IF(M26454="","",'Master Barang'!A48)</f>
        <v>0</v>
      </c>
      <c r="O26454">
        <f>IF(N26454="","",'Master Barang'!B48)</f>
        <v>0</v>
      </c>
      <c r="P26454">
        <f>IF(OR(M26454="",N26454=""),"",SUMIFS('Barang Keluar'!$E:$E,'Barang Keluar'!$A:$A,M26454,'Barang Keluar'!$C:$C,N26454))</f>
        <v>0</v>
      </c>
    </row>
    <row r="26455" spans="13:16">
      <c r="M26455" s="49">
        <f>IF($A$4+264&gt;$B$4,"",$A$4+264)</f>
        <v>46287</v>
      </c>
      <c r="N26455">
        <f>IF(M26455="","",'Master Barang'!A49)</f>
        <v>0</v>
      </c>
      <c r="O26455">
        <f>IF(N26455="","",'Master Barang'!B49)</f>
        <v>0</v>
      </c>
      <c r="P26455">
        <f>IF(OR(M26455="",N26455=""),"",SUMIFS('Barang Keluar'!$E:$E,'Barang Keluar'!$A:$A,M26455,'Barang Keluar'!$C:$C,N26455))</f>
        <v>0</v>
      </c>
    </row>
    <row r="26456" spans="13:16">
      <c r="M26456" s="49">
        <f>IF($A$4+264&gt;$B$4,"",$A$4+264)</f>
        <v>46287</v>
      </c>
      <c r="N26456">
        <f>IF(M26456="","",'Master Barang'!A50)</f>
        <v>0</v>
      </c>
      <c r="O26456">
        <f>IF(N26456="","",'Master Barang'!B50)</f>
        <v>0</v>
      </c>
      <c r="P26456">
        <f>IF(OR(M26456="",N26456=""),"",SUMIFS('Barang Keluar'!$E:$E,'Barang Keluar'!$A:$A,M26456,'Barang Keluar'!$C:$C,N26456))</f>
        <v>0</v>
      </c>
    </row>
    <row r="26457" spans="13:16">
      <c r="M26457" s="49">
        <f>IF($A$4+264&gt;$B$4,"",$A$4+264)</f>
        <v>46287</v>
      </c>
      <c r="N26457">
        <f>IF(M26457="","",'Master Barang'!A51)</f>
        <v>0</v>
      </c>
      <c r="O26457">
        <f>IF(N26457="","",'Master Barang'!B51)</f>
        <v>0</v>
      </c>
      <c r="P26457">
        <f>IF(OR(M26457="",N26457=""),"",SUMIFS('Barang Keluar'!$E:$E,'Barang Keluar'!$A:$A,M26457,'Barang Keluar'!$C:$C,N26457))</f>
        <v>0</v>
      </c>
    </row>
    <row r="26458" spans="13:16">
      <c r="M26458" s="49">
        <f>IF($A$4+264&gt;$B$4,"",$A$4+264)</f>
        <v>46287</v>
      </c>
      <c r="N26458">
        <f>IF(M26458="","",'Master Barang'!A52)</f>
        <v>0</v>
      </c>
      <c r="O26458">
        <f>IF(N26458="","",'Master Barang'!B52)</f>
        <v>0</v>
      </c>
      <c r="P26458">
        <f>IF(OR(M26458="",N26458=""),"",SUMIFS('Barang Keluar'!$E:$E,'Barang Keluar'!$A:$A,M26458,'Barang Keluar'!$C:$C,N26458))</f>
        <v>0</v>
      </c>
    </row>
    <row r="26459" spans="13:16">
      <c r="M26459" s="49">
        <f>IF($A$4+264&gt;$B$4,"",$A$4+264)</f>
        <v>46287</v>
      </c>
      <c r="N26459">
        <f>IF(M26459="","",'Master Barang'!A53)</f>
        <v>0</v>
      </c>
      <c r="O26459">
        <f>IF(N26459="","",'Master Barang'!B53)</f>
        <v>0</v>
      </c>
      <c r="P26459">
        <f>IF(OR(M26459="",N26459=""),"",SUMIFS('Barang Keluar'!$E:$E,'Barang Keluar'!$A:$A,M26459,'Barang Keluar'!$C:$C,N26459))</f>
        <v>0</v>
      </c>
    </row>
    <row r="26460" spans="13:16">
      <c r="M26460" s="49">
        <f>IF($A$4+264&gt;$B$4,"",$A$4+264)</f>
        <v>46287</v>
      </c>
      <c r="N26460">
        <f>IF(M26460="","",'Master Barang'!A54)</f>
        <v>0</v>
      </c>
      <c r="O26460">
        <f>IF(N26460="","",'Master Barang'!B54)</f>
        <v>0</v>
      </c>
      <c r="P26460">
        <f>IF(OR(M26460="",N26460=""),"",SUMIFS('Barang Keluar'!$E:$E,'Barang Keluar'!$A:$A,M26460,'Barang Keluar'!$C:$C,N26460))</f>
        <v>0</v>
      </c>
    </row>
    <row r="26461" spans="13:16">
      <c r="M26461" s="49">
        <f>IF($A$4+264&gt;$B$4,"",$A$4+264)</f>
        <v>46287</v>
      </c>
      <c r="N26461">
        <f>IF(M26461="","",'Master Barang'!A55)</f>
        <v>0</v>
      </c>
      <c r="O26461">
        <f>IF(N26461="","",'Master Barang'!B55)</f>
        <v>0</v>
      </c>
      <c r="P26461">
        <f>IF(OR(M26461="",N26461=""),"",SUMIFS('Barang Keluar'!$E:$E,'Barang Keluar'!$A:$A,M26461,'Barang Keluar'!$C:$C,N26461))</f>
        <v>0</v>
      </c>
    </row>
    <row r="26462" spans="13:16">
      <c r="M26462" s="49">
        <f>IF($A$4+264&gt;$B$4,"",$A$4+264)</f>
        <v>46287</v>
      </c>
      <c r="N26462">
        <f>IF(M26462="","",'Master Barang'!A56)</f>
        <v>0</v>
      </c>
      <c r="O26462">
        <f>IF(N26462="","",'Master Barang'!B56)</f>
        <v>0</v>
      </c>
      <c r="P26462">
        <f>IF(OR(M26462="",N26462=""),"",SUMIFS('Barang Keluar'!$E:$E,'Barang Keluar'!$A:$A,M26462,'Barang Keluar'!$C:$C,N26462))</f>
        <v>0</v>
      </c>
    </row>
    <row r="26463" spans="13:16">
      <c r="M26463" s="49">
        <f>IF($A$4+264&gt;$B$4,"",$A$4+264)</f>
        <v>46287</v>
      </c>
      <c r="N26463">
        <f>IF(M26463="","",'Master Barang'!A57)</f>
        <v>0</v>
      </c>
      <c r="O26463">
        <f>IF(N26463="","",'Master Barang'!B57)</f>
        <v>0</v>
      </c>
      <c r="P26463">
        <f>IF(OR(M26463="",N26463=""),"",SUMIFS('Barang Keluar'!$E:$E,'Barang Keluar'!$A:$A,M26463,'Barang Keluar'!$C:$C,N26463))</f>
        <v>0</v>
      </c>
    </row>
    <row r="26464" spans="13:16">
      <c r="M26464" s="49">
        <f>IF($A$4+264&gt;$B$4,"",$A$4+264)</f>
        <v>46287</v>
      </c>
      <c r="N26464">
        <f>IF(M26464="","",'Master Barang'!A58)</f>
        <v>0</v>
      </c>
      <c r="O26464">
        <f>IF(N26464="","",'Master Barang'!B58)</f>
        <v>0</v>
      </c>
      <c r="P26464">
        <f>IF(OR(M26464="",N26464=""),"",SUMIFS('Barang Keluar'!$E:$E,'Barang Keluar'!$A:$A,M26464,'Barang Keluar'!$C:$C,N26464))</f>
        <v>0</v>
      </c>
    </row>
    <row r="26465" spans="13:16">
      <c r="M26465" s="49">
        <f>IF($A$4+264&gt;$B$4,"",$A$4+264)</f>
        <v>46287</v>
      </c>
      <c r="N26465">
        <f>IF(M26465="","",'Master Barang'!A59)</f>
        <v>0</v>
      </c>
      <c r="O26465">
        <f>IF(N26465="","",'Master Barang'!B59)</f>
        <v>0</v>
      </c>
      <c r="P26465">
        <f>IF(OR(M26465="",N26465=""),"",SUMIFS('Barang Keluar'!$E:$E,'Barang Keluar'!$A:$A,M26465,'Barang Keluar'!$C:$C,N26465))</f>
        <v>0</v>
      </c>
    </row>
    <row r="26466" spans="13:16">
      <c r="M26466" s="49">
        <f>IF($A$4+264&gt;$B$4,"",$A$4+264)</f>
        <v>46287</v>
      </c>
      <c r="N26466">
        <f>IF(M26466="","",'Master Barang'!A60)</f>
        <v>0</v>
      </c>
      <c r="O26466">
        <f>IF(N26466="","",'Master Barang'!B60)</f>
        <v>0</v>
      </c>
      <c r="P26466">
        <f>IF(OR(M26466="",N26466=""),"",SUMIFS('Barang Keluar'!$E:$E,'Barang Keluar'!$A:$A,M26466,'Barang Keluar'!$C:$C,N26466))</f>
        <v>0</v>
      </c>
    </row>
    <row r="26467" spans="13:16">
      <c r="M26467" s="49">
        <f>IF($A$4+264&gt;$B$4,"",$A$4+264)</f>
        <v>46287</v>
      </c>
      <c r="N26467">
        <f>IF(M26467="","",'Master Barang'!A61)</f>
        <v>0</v>
      </c>
      <c r="O26467">
        <f>IF(N26467="","",'Master Barang'!B61)</f>
        <v>0</v>
      </c>
      <c r="P26467">
        <f>IF(OR(M26467="",N26467=""),"",SUMIFS('Barang Keluar'!$E:$E,'Barang Keluar'!$A:$A,M26467,'Barang Keluar'!$C:$C,N26467))</f>
        <v>0</v>
      </c>
    </row>
    <row r="26468" spans="13:16">
      <c r="M26468" s="49">
        <f>IF($A$4+264&gt;$B$4,"",$A$4+264)</f>
        <v>46287</v>
      </c>
      <c r="N26468">
        <f>IF(M26468="","",'Master Barang'!A62)</f>
        <v>0</v>
      </c>
      <c r="O26468">
        <f>IF(N26468="","",'Master Barang'!B62)</f>
        <v>0</v>
      </c>
      <c r="P26468">
        <f>IF(OR(M26468="",N26468=""),"",SUMIFS('Barang Keluar'!$E:$E,'Barang Keluar'!$A:$A,M26468,'Barang Keluar'!$C:$C,N26468))</f>
        <v>0</v>
      </c>
    </row>
    <row r="26469" spans="13:16">
      <c r="M26469" s="49">
        <f>IF($A$4+264&gt;$B$4,"",$A$4+264)</f>
        <v>46287</v>
      </c>
      <c r="N26469">
        <f>IF(M26469="","",'Master Barang'!A63)</f>
        <v>0</v>
      </c>
      <c r="O26469">
        <f>IF(N26469="","",'Master Barang'!B63)</f>
        <v>0</v>
      </c>
      <c r="P26469">
        <f>IF(OR(M26469="",N26469=""),"",SUMIFS('Barang Keluar'!$E:$E,'Barang Keluar'!$A:$A,M26469,'Barang Keluar'!$C:$C,N26469))</f>
        <v>0</v>
      </c>
    </row>
    <row r="26470" spans="13:16">
      <c r="M26470" s="49">
        <f>IF($A$4+264&gt;$B$4,"",$A$4+264)</f>
        <v>46287</v>
      </c>
      <c r="N26470">
        <f>IF(M26470="","",'Master Barang'!A64)</f>
        <v>0</v>
      </c>
      <c r="O26470">
        <f>IF(N26470="","",'Master Barang'!B64)</f>
        <v>0</v>
      </c>
      <c r="P26470">
        <f>IF(OR(M26470="",N26470=""),"",SUMIFS('Barang Keluar'!$E:$E,'Barang Keluar'!$A:$A,M26470,'Barang Keluar'!$C:$C,N26470))</f>
        <v>0</v>
      </c>
    </row>
    <row r="26471" spans="13:16">
      <c r="M26471" s="49">
        <f>IF($A$4+264&gt;$B$4,"",$A$4+264)</f>
        <v>46287</v>
      </c>
      <c r="N26471">
        <f>IF(M26471="","",'Master Barang'!A65)</f>
        <v>0</v>
      </c>
      <c r="O26471">
        <f>IF(N26471="","",'Master Barang'!B65)</f>
        <v>0</v>
      </c>
      <c r="P26471">
        <f>IF(OR(M26471="",N26471=""),"",SUMIFS('Barang Keluar'!$E:$E,'Barang Keluar'!$A:$A,M26471,'Barang Keluar'!$C:$C,N26471))</f>
        <v>0</v>
      </c>
    </row>
    <row r="26472" spans="13:16">
      <c r="M26472" s="49">
        <f>IF($A$4+264&gt;$B$4,"",$A$4+264)</f>
        <v>46287</v>
      </c>
      <c r="N26472">
        <f>IF(M26472="","",'Master Barang'!A66)</f>
        <v>0</v>
      </c>
      <c r="O26472">
        <f>IF(N26472="","",'Master Barang'!B66)</f>
        <v>0</v>
      </c>
      <c r="P26472">
        <f>IF(OR(M26472="",N26472=""),"",SUMIFS('Barang Keluar'!$E:$E,'Barang Keluar'!$A:$A,M26472,'Barang Keluar'!$C:$C,N26472))</f>
        <v>0</v>
      </c>
    </row>
    <row r="26473" spans="13:16">
      <c r="M26473" s="49">
        <f>IF($A$4+264&gt;$B$4,"",$A$4+264)</f>
        <v>46287</v>
      </c>
      <c r="N26473">
        <f>IF(M26473="","",'Master Barang'!A67)</f>
        <v>0</v>
      </c>
      <c r="O26473">
        <f>IF(N26473="","",'Master Barang'!B67)</f>
        <v>0</v>
      </c>
      <c r="P26473">
        <f>IF(OR(M26473="",N26473=""),"",SUMIFS('Barang Keluar'!$E:$E,'Barang Keluar'!$A:$A,M26473,'Barang Keluar'!$C:$C,N26473))</f>
        <v>0</v>
      </c>
    </row>
    <row r="26474" spans="13:16">
      <c r="M26474" s="49">
        <f>IF($A$4+264&gt;$B$4,"",$A$4+264)</f>
        <v>46287</v>
      </c>
      <c r="N26474">
        <f>IF(M26474="","",'Master Barang'!A68)</f>
        <v>0</v>
      </c>
      <c r="O26474">
        <f>IF(N26474="","",'Master Barang'!B68)</f>
        <v>0</v>
      </c>
      <c r="P26474">
        <f>IF(OR(M26474="",N26474=""),"",SUMIFS('Barang Keluar'!$E:$E,'Barang Keluar'!$A:$A,M26474,'Barang Keluar'!$C:$C,N26474))</f>
        <v>0</v>
      </c>
    </row>
    <row r="26475" spans="13:16">
      <c r="M26475" s="49">
        <f>IF($A$4+264&gt;$B$4,"",$A$4+264)</f>
        <v>46287</v>
      </c>
      <c r="N26475">
        <f>IF(M26475="","",'Master Barang'!A69)</f>
        <v>0</v>
      </c>
      <c r="O26475">
        <f>IF(N26475="","",'Master Barang'!B69)</f>
        <v>0</v>
      </c>
      <c r="P26475">
        <f>IF(OR(M26475="",N26475=""),"",SUMIFS('Barang Keluar'!$E:$E,'Barang Keluar'!$A:$A,M26475,'Barang Keluar'!$C:$C,N26475))</f>
        <v>0</v>
      </c>
    </row>
    <row r="26476" spans="13:16">
      <c r="M26476" s="49">
        <f>IF($A$4+264&gt;$B$4,"",$A$4+264)</f>
        <v>46287</v>
      </c>
      <c r="N26476">
        <f>IF(M26476="","",'Master Barang'!A70)</f>
        <v>0</v>
      </c>
      <c r="O26476">
        <f>IF(N26476="","",'Master Barang'!B70)</f>
        <v>0</v>
      </c>
      <c r="P26476">
        <f>IF(OR(M26476="",N26476=""),"",SUMIFS('Barang Keluar'!$E:$E,'Barang Keluar'!$A:$A,M26476,'Barang Keluar'!$C:$C,N26476))</f>
        <v>0</v>
      </c>
    </row>
    <row r="26477" spans="13:16">
      <c r="M26477" s="49">
        <f>IF($A$4+264&gt;$B$4,"",$A$4+264)</f>
        <v>46287</v>
      </c>
      <c r="N26477">
        <f>IF(M26477="","",'Master Barang'!A71)</f>
        <v>0</v>
      </c>
      <c r="O26477">
        <f>IF(N26477="","",'Master Barang'!B71)</f>
        <v>0</v>
      </c>
      <c r="P26477">
        <f>IF(OR(M26477="",N26477=""),"",SUMIFS('Barang Keluar'!$E:$E,'Barang Keluar'!$A:$A,M26477,'Barang Keluar'!$C:$C,N26477))</f>
        <v>0</v>
      </c>
    </row>
    <row r="26478" spans="13:16">
      <c r="M26478" s="49">
        <f>IF($A$4+264&gt;$B$4,"",$A$4+264)</f>
        <v>46287</v>
      </c>
      <c r="N26478">
        <f>IF(M26478="","",'Master Barang'!A72)</f>
        <v>0</v>
      </c>
      <c r="O26478">
        <f>IF(N26478="","",'Master Barang'!B72)</f>
        <v>0</v>
      </c>
      <c r="P26478">
        <f>IF(OR(M26478="",N26478=""),"",SUMIFS('Barang Keluar'!$E:$E,'Barang Keluar'!$A:$A,M26478,'Barang Keluar'!$C:$C,N26478))</f>
        <v>0</v>
      </c>
    </row>
    <row r="26479" spans="13:16">
      <c r="M26479" s="49">
        <f>IF($A$4+264&gt;$B$4,"",$A$4+264)</f>
        <v>46287</v>
      </c>
      <c r="N26479">
        <f>IF(M26479="","",'Master Barang'!A73)</f>
        <v>0</v>
      </c>
      <c r="O26479">
        <f>IF(N26479="","",'Master Barang'!B73)</f>
        <v>0</v>
      </c>
      <c r="P26479">
        <f>IF(OR(M26479="",N26479=""),"",SUMIFS('Barang Keluar'!$E:$E,'Barang Keluar'!$A:$A,M26479,'Barang Keluar'!$C:$C,N26479))</f>
        <v>0</v>
      </c>
    </row>
    <row r="26480" spans="13:16">
      <c r="M26480" s="49">
        <f>IF($A$4+264&gt;$B$4,"",$A$4+264)</f>
        <v>46287</v>
      </c>
      <c r="N26480">
        <f>IF(M26480="","",'Master Barang'!A74)</f>
        <v>0</v>
      </c>
      <c r="O26480">
        <f>IF(N26480="","",'Master Barang'!B74)</f>
        <v>0</v>
      </c>
      <c r="P26480">
        <f>IF(OR(M26480="",N26480=""),"",SUMIFS('Barang Keluar'!$E:$E,'Barang Keluar'!$A:$A,M26480,'Barang Keluar'!$C:$C,N26480))</f>
        <v>0</v>
      </c>
    </row>
    <row r="26481" spans="13:16">
      <c r="M26481" s="49">
        <f>IF($A$4+264&gt;$B$4,"",$A$4+264)</f>
        <v>46287</v>
      </c>
      <c r="N26481">
        <f>IF(M26481="","",'Master Barang'!A75)</f>
        <v>0</v>
      </c>
      <c r="O26481">
        <f>IF(N26481="","",'Master Barang'!B75)</f>
        <v>0</v>
      </c>
      <c r="P26481">
        <f>IF(OR(M26481="",N26481=""),"",SUMIFS('Barang Keluar'!$E:$E,'Barang Keluar'!$A:$A,M26481,'Barang Keluar'!$C:$C,N26481))</f>
        <v>0</v>
      </c>
    </row>
    <row r="26482" spans="13:16">
      <c r="M26482" s="49">
        <f>IF($A$4+264&gt;$B$4,"",$A$4+264)</f>
        <v>46287</v>
      </c>
      <c r="N26482">
        <f>IF(M26482="","",'Master Barang'!A76)</f>
        <v>0</v>
      </c>
      <c r="O26482">
        <f>IF(N26482="","",'Master Barang'!B76)</f>
        <v>0</v>
      </c>
      <c r="P26482">
        <f>IF(OR(M26482="",N26482=""),"",SUMIFS('Barang Keluar'!$E:$E,'Barang Keluar'!$A:$A,M26482,'Barang Keluar'!$C:$C,N26482))</f>
        <v>0</v>
      </c>
    </row>
    <row r="26483" spans="13:16">
      <c r="M26483" s="49">
        <f>IF($A$4+264&gt;$B$4,"",$A$4+264)</f>
        <v>46287</v>
      </c>
      <c r="N26483">
        <f>IF(M26483="","",'Master Barang'!A77)</f>
        <v>0</v>
      </c>
      <c r="O26483">
        <f>IF(N26483="","",'Master Barang'!B77)</f>
        <v>0</v>
      </c>
      <c r="P26483">
        <f>IF(OR(M26483="",N26483=""),"",SUMIFS('Barang Keluar'!$E:$E,'Barang Keluar'!$A:$A,M26483,'Barang Keluar'!$C:$C,N26483))</f>
        <v>0</v>
      </c>
    </row>
    <row r="26484" spans="13:16">
      <c r="M26484" s="49">
        <f>IF($A$4+264&gt;$B$4,"",$A$4+264)</f>
        <v>46287</v>
      </c>
      <c r="N26484">
        <f>IF(M26484="","",'Master Barang'!A78)</f>
        <v>0</v>
      </c>
      <c r="O26484">
        <f>IF(N26484="","",'Master Barang'!B78)</f>
        <v>0</v>
      </c>
      <c r="P26484">
        <f>IF(OR(M26484="",N26484=""),"",SUMIFS('Barang Keluar'!$E:$E,'Barang Keluar'!$A:$A,M26484,'Barang Keluar'!$C:$C,N26484))</f>
        <v>0</v>
      </c>
    </row>
    <row r="26485" spans="13:16">
      <c r="M26485" s="49">
        <f>IF($A$4+264&gt;$B$4,"",$A$4+264)</f>
        <v>46287</v>
      </c>
      <c r="N26485">
        <f>IF(M26485="","",'Master Barang'!A79)</f>
        <v>0</v>
      </c>
      <c r="O26485">
        <f>IF(N26485="","",'Master Barang'!B79)</f>
        <v>0</v>
      </c>
      <c r="P26485">
        <f>IF(OR(M26485="",N26485=""),"",SUMIFS('Barang Keluar'!$E:$E,'Barang Keluar'!$A:$A,M26485,'Barang Keluar'!$C:$C,N26485))</f>
        <v>0</v>
      </c>
    </row>
    <row r="26486" spans="13:16">
      <c r="M26486" s="49">
        <f>IF($A$4+264&gt;$B$4,"",$A$4+264)</f>
        <v>46287</v>
      </c>
      <c r="N26486">
        <f>IF(M26486="","",'Master Barang'!A80)</f>
        <v>0</v>
      </c>
      <c r="O26486">
        <f>IF(N26486="","",'Master Barang'!B80)</f>
        <v>0</v>
      </c>
      <c r="P26486">
        <f>IF(OR(M26486="",N26486=""),"",SUMIFS('Barang Keluar'!$E:$E,'Barang Keluar'!$A:$A,M26486,'Barang Keluar'!$C:$C,N26486))</f>
        <v>0</v>
      </c>
    </row>
    <row r="26487" spans="13:16">
      <c r="M26487" s="49">
        <f>IF($A$4+264&gt;$B$4,"",$A$4+264)</f>
        <v>46287</v>
      </c>
      <c r="N26487">
        <f>IF(M26487="","",'Master Barang'!A81)</f>
        <v>0</v>
      </c>
      <c r="O26487">
        <f>IF(N26487="","",'Master Barang'!B81)</f>
        <v>0</v>
      </c>
      <c r="P26487">
        <f>IF(OR(M26487="",N26487=""),"",SUMIFS('Barang Keluar'!$E:$E,'Barang Keluar'!$A:$A,M26487,'Barang Keluar'!$C:$C,N26487))</f>
        <v>0</v>
      </c>
    </row>
    <row r="26488" spans="13:16">
      <c r="M26488" s="49">
        <f>IF($A$4+264&gt;$B$4,"",$A$4+264)</f>
        <v>46287</v>
      </c>
      <c r="N26488">
        <f>IF(M26488="","",'Master Barang'!A82)</f>
        <v>0</v>
      </c>
      <c r="O26488">
        <f>IF(N26488="","",'Master Barang'!B82)</f>
        <v>0</v>
      </c>
      <c r="P26488">
        <f>IF(OR(M26488="",N26488=""),"",SUMIFS('Barang Keluar'!$E:$E,'Barang Keluar'!$A:$A,M26488,'Barang Keluar'!$C:$C,N26488))</f>
        <v>0</v>
      </c>
    </row>
    <row r="26489" spans="13:16">
      <c r="M26489" s="49">
        <f>IF($A$4+264&gt;$B$4,"",$A$4+264)</f>
        <v>46287</v>
      </c>
      <c r="N26489">
        <f>IF(M26489="","",'Master Barang'!A83)</f>
        <v>0</v>
      </c>
      <c r="O26489">
        <f>IF(N26489="","",'Master Barang'!B83)</f>
        <v>0</v>
      </c>
      <c r="P26489">
        <f>IF(OR(M26489="",N26489=""),"",SUMIFS('Barang Keluar'!$E:$E,'Barang Keluar'!$A:$A,M26489,'Barang Keluar'!$C:$C,N26489))</f>
        <v>0</v>
      </c>
    </row>
    <row r="26490" spans="13:16">
      <c r="M26490" s="49">
        <f>IF($A$4+264&gt;$B$4,"",$A$4+264)</f>
        <v>46287</v>
      </c>
      <c r="N26490">
        <f>IF(M26490="","",'Master Barang'!A84)</f>
        <v>0</v>
      </c>
      <c r="O26490">
        <f>IF(N26490="","",'Master Barang'!B84)</f>
        <v>0</v>
      </c>
      <c r="P26490">
        <f>IF(OR(M26490="",N26490=""),"",SUMIFS('Barang Keluar'!$E:$E,'Barang Keluar'!$A:$A,M26490,'Barang Keluar'!$C:$C,N26490))</f>
        <v>0</v>
      </c>
    </row>
    <row r="26491" spans="13:16">
      <c r="M26491" s="49">
        <f>IF($A$4+264&gt;$B$4,"",$A$4+264)</f>
        <v>46287</v>
      </c>
      <c r="N26491">
        <f>IF(M26491="","",'Master Barang'!A85)</f>
        <v>0</v>
      </c>
      <c r="O26491">
        <f>IF(N26491="","",'Master Barang'!B85)</f>
        <v>0</v>
      </c>
      <c r="P26491">
        <f>IF(OR(M26491="",N26491=""),"",SUMIFS('Barang Keluar'!$E:$E,'Barang Keluar'!$A:$A,M26491,'Barang Keluar'!$C:$C,N26491))</f>
        <v>0</v>
      </c>
    </row>
    <row r="26492" spans="13:16">
      <c r="M26492" s="49">
        <f>IF($A$4+264&gt;$B$4,"",$A$4+264)</f>
        <v>46287</v>
      </c>
      <c r="N26492">
        <f>IF(M26492="","",'Master Barang'!A86)</f>
        <v>0</v>
      </c>
      <c r="O26492">
        <f>IF(N26492="","",'Master Barang'!B86)</f>
        <v>0</v>
      </c>
      <c r="P26492">
        <f>IF(OR(M26492="",N26492=""),"",SUMIFS('Barang Keluar'!$E:$E,'Barang Keluar'!$A:$A,M26492,'Barang Keluar'!$C:$C,N26492))</f>
        <v>0</v>
      </c>
    </row>
    <row r="26493" spans="13:16">
      <c r="M26493" s="49">
        <f>IF($A$4+264&gt;$B$4,"",$A$4+264)</f>
        <v>46287</v>
      </c>
      <c r="N26493">
        <f>IF(M26493="","",'Master Barang'!A87)</f>
        <v>0</v>
      </c>
      <c r="O26493">
        <f>IF(N26493="","",'Master Barang'!B87)</f>
        <v>0</v>
      </c>
      <c r="P26493">
        <f>IF(OR(M26493="",N26493=""),"",SUMIFS('Barang Keluar'!$E:$E,'Barang Keluar'!$A:$A,M26493,'Barang Keluar'!$C:$C,N26493))</f>
        <v>0</v>
      </c>
    </row>
    <row r="26494" spans="13:16">
      <c r="M26494" s="49">
        <f>IF($A$4+264&gt;$B$4,"",$A$4+264)</f>
        <v>46287</v>
      </c>
      <c r="N26494">
        <f>IF(M26494="","",'Master Barang'!A88)</f>
        <v>0</v>
      </c>
      <c r="O26494">
        <f>IF(N26494="","",'Master Barang'!B88)</f>
        <v>0</v>
      </c>
      <c r="P26494">
        <f>IF(OR(M26494="",N26494=""),"",SUMIFS('Barang Keluar'!$E:$E,'Barang Keluar'!$A:$A,M26494,'Barang Keluar'!$C:$C,N26494))</f>
        <v>0</v>
      </c>
    </row>
    <row r="26495" spans="13:16">
      <c r="M26495" s="49">
        <f>IF($A$4+264&gt;$B$4,"",$A$4+264)</f>
        <v>46287</v>
      </c>
      <c r="N26495">
        <f>IF(M26495="","",'Master Barang'!A89)</f>
        <v>0</v>
      </c>
      <c r="O26495">
        <f>IF(N26495="","",'Master Barang'!B89)</f>
        <v>0</v>
      </c>
      <c r="P26495">
        <f>IF(OR(M26495="",N26495=""),"",SUMIFS('Barang Keluar'!$E:$E,'Barang Keluar'!$A:$A,M26495,'Barang Keluar'!$C:$C,N26495))</f>
        <v>0</v>
      </c>
    </row>
    <row r="26496" spans="13:16">
      <c r="M26496" s="49">
        <f>IF($A$4+264&gt;$B$4,"",$A$4+264)</f>
        <v>46287</v>
      </c>
      <c r="N26496">
        <f>IF(M26496="","",'Master Barang'!A90)</f>
        <v>0</v>
      </c>
      <c r="O26496">
        <f>IF(N26496="","",'Master Barang'!B90)</f>
        <v>0</v>
      </c>
      <c r="P26496">
        <f>IF(OR(M26496="",N26496=""),"",SUMIFS('Barang Keluar'!$E:$E,'Barang Keluar'!$A:$A,M26496,'Barang Keluar'!$C:$C,N26496))</f>
        <v>0</v>
      </c>
    </row>
    <row r="26497" spans="13:16">
      <c r="M26497" s="49">
        <f>IF($A$4+264&gt;$B$4,"",$A$4+264)</f>
        <v>46287</v>
      </c>
      <c r="N26497">
        <f>IF(M26497="","",'Master Barang'!A91)</f>
        <v>0</v>
      </c>
      <c r="O26497">
        <f>IF(N26497="","",'Master Barang'!B91)</f>
        <v>0</v>
      </c>
      <c r="P26497">
        <f>IF(OR(M26497="",N26497=""),"",SUMIFS('Barang Keluar'!$E:$E,'Barang Keluar'!$A:$A,M26497,'Barang Keluar'!$C:$C,N26497))</f>
        <v>0</v>
      </c>
    </row>
    <row r="26498" spans="13:16">
      <c r="M26498" s="49">
        <f>IF($A$4+264&gt;$B$4,"",$A$4+264)</f>
        <v>46287</v>
      </c>
      <c r="N26498">
        <f>IF(M26498="","",'Master Barang'!A92)</f>
        <v>0</v>
      </c>
      <c r="O26498">
        <f>IF(N26498="","",'Master Barang'!B92)</f>
        <v>0</v>
      </c>
      <c r="P26498">
        <f>IF(OR(M26498="",N26498=""),"",SUMIFS('Barang Keluar'!$E:$E,'Barang Keluar'!$A:$A,M26498,'Barang Keluar'!$C:$C,N26498))</f>
        <v>0</v>
      </c>
    </row>
    <row r="26499" spans="13:16">
      <c r="M26499" s="49">
        <f>IF($A$4+264&gt;$B$4,"",$A$4+264)</f>
        <v>46287</v>
      </c>
      <c r="N26499">
        <f>IF(M26499="","",'Master Barang'!A93)</f>
        <v>0</v>
      </c>
      <c r="O26499">
        <f>IF(N26499="","",'Master Barang'!B93)</f>
        <v>0</v>
      </c>
      <c r="P26499">
        <f>IF(OR(M26499="",N26499=""),"",SUMIFS('Barang Keluar'!$E:$E,'Barang Keluar'!$A:$A,M26499,'Barang Keluar'!$C:$C,N26499))</f>
        <v>0</v>
      </c>
    </row>
    <row r="26500" spans="13:16">
      <c r="M26500" s="49">
        <f>IF($A$4+264&gt;$B$4,"",$A$4+264)</f>
        <v>46287</v>
      </c>
      <c r="N26500">
        <f>IF(M26500="","",'Master Barang'!A94)</f>
        <v>0</v>
      </c>
      <c r="O26500">
        <f>IF(N26500="","",'Master Barang'!B94)</f>
        <v>0</v>
      </c>
      <c r="P26500">
        <f>IF(OR(M26500="",N26500=""),"",SUMIFS('Barang Keluar'!$E:$E,'Barang Keluar'!$A:$A,M26500,'Barang Keluar'!$C:$C,N26500))</f>
        <v>0</v>
      </c>
    </row>
    <row r="26501" spans="13:16">
      <c r="M26501" s="49">
        <f>IF($A$4+264&gt;$B$4,"",$A$4+264)</f>
        <v>46287</v>
      </c>
      <c r="N26501">
        <f>IF(M26501="","",'Master Barang'!A95)</f>
        <v>0</v>
      </c>
      <c r="O26501">
        <f>IF(N26501="","",'Master Barang'!B95)</f>
        <v>0</v>
      </c>
      <c r="P26501">
        <f>IF(OR(M26501="",N26501=""),"",SUMIFS('Barang Keluar'!$E:$E,'Barang Keluar'!$A:$A,M26501,'Barang Keluar'!$C:$C,N26501))</f>
        <v>0</v>
      </c>
    </row>
    <row r="26502" spans="13:16">
      <c r="M26502" s="49">
        <f>IF($A$4+264&gt;$B$4,"",$A$4+264)</f>
        <v>46287</v>
      </c>
      <c r="N26502">
        <f>IF(M26502="","",'Master Barang'!A96)</f>
        <v>0</v>
      </c>
      <c r="O26502">
        <f>IF(N26502="","",'Master Barang'!B96)</f>
        <v>0</v>
      </c>
      <c r="P26502">
        <f>IF(OR(M26502="",N26502=""),"",SUMIFS('Barang Keluar'!$E:$E,'Barang Keluar'!$A:$A,M26502,'Barang Keluar'!$C:$C,N26502))</f>
        <v>0</v>
      </c>
    </row>
    <row r="26503" spans="13:16">
      <c r="M26503" s="49">
        <f>IF($A$4+264&gt;$B$4,"",$A$4+264)</f>
        <v>46287</v>
      </c>
      <c r="N26503">
        <f>IF(M26503="","",'Master Barang'!A97)</f>
        <v>0</v>
      </c>
      <c r="O26503">
        <f>IF(N26503="","",'Master Barang'!B97)</f>
        <v>0</v>
      </c>
      <c r="P26503">
        <f>IF(OR(M26503="",N26503=""),"",SUMIFS('Barang Keluar'!$E:$E,'Barang Keluar'!$A:$A,M26503,'Barang Keluar'!$C:$C,N26503))</f>
        <v>0</v>
      </c>
    </row>
    <row r="26504" spans="13:16">
      <c r="M26504" s="49">
        <f>IF($A$4+264&gt;$B$4,"",$A$4+264)</f>
        <v>46287</v>
      </c>
      <c r="N26504">
        <f>IF(M26504="","",'Master Barang'!A98)</f>
        <v>0</v>
      </c>
      <c r="O26504">
        <f>IF(N26504="","",'Master Barang'!B98)</f>
        <v>0</v>
      </c>
      <c r="P26504">
        <f>IF(OR(M26504="",N26504=""),"",SUMIFS('Barang Keluar'!$E:$E,'Barang Keluar'!$A:$A,M26504,'Barang Keluar'!$C:$C,N26504))</f>
        <v>0</v>
      </c>
    </row>
    <row r="26505" spans="13:16">
      <c r="M26505" s="49">
        <f>IF($A$4+264&gt;$B$4,"",$A$4+264)</f>
        <v>46287</v>
      </c>
      <c r="N26505">
        <f>IF(M26505="","",'Master Barang'!A99)</f>
        <v>0</v>
      </c>
      <c r="O26505">
        <f>IF(N26505="","",'Master Barang'!B99)</f>
        <v>0</v>
      </c>
      <c r="P26505">
        <f>IF(OR(M26505="",N26505=""),"",SUMIFS('Barang Keluar'!$E:$E,'Barang Keluar'!$A:$A,M26505,'Barang Keluar'!$C:$C,N26505))</f>
        <v>0</v>
      </c>
    </row>
    <row r="26506" spans="13:16">
      <c r="M26506" s="49">
        <f>IF($A$4+264&gt;$B$4,"",$A$4+264)</f>
        <v>46287</v>
      </c>
      <c r="N26506">
        <f>IF(M26506="","",'Master Barang'!A100)</f>
        <v>0</v>
      </c>
      <c r="O26506">
        <f>IF(N26506="","",'Master Barang'!B100)</f>
        <v>0</v>
      </c>
      <c r="P26506">
        <f>IF(OR(M26506="",N26506=""),"",SUMIFS('Barang Keluar'!$E:$E,'Barang Keluar'!$A:$A,M26506,'Barang Keluar'!$C:$C,N26506))</f>
        <v>0</v>
      </c>
    </row>
    <row r="26507" spans="13:16">
      <c r="M26507" s="49">
        <f>IF($A$4+264&gt;$B$4,"",$A$4+264)</f>
        <v>46287</v>
      </c>
      <c r="N26507">
        <f>IF(M26507="","",'Master Barang'!A101)</f>
        <v>0</v>
      </c>
      <c r="O26507">
        <f>IF(N26507="","",'Master Barang'!B101)</f>
        <v>0</v>
      </c>
      <c r="P26507">
        <f>IF(OR(M26507="",N26507=""),"",SUMIFS('Barang Keluar'!$E:$E,'Barang Keluar'!$A:$A,M26507,'Barang Keluar'!$C:$C,N26507))</f>
        <v>0</v>
      </c>
    </row>
    <row r="26508" spans="13:16">
      <c r="M26508" s="49">
        <f>IF($A$4+265&gt;$B$4,"",$A$4+265)</f>
        <v>46288</v>
      </c>
      <c r="N26508" t="str">
        <f>IF(M26508="","",'Master Barang'!A2)</f>
        <v>PRL-001</v>
      </c>
      <c r="O26508" t="str">
        <f>IF(N26508="","",'Master Barang'!B2)</f>
        <v>natura desinfectant food grade 5l</v>
      </c>
      <c r="P26508">
        <f>IF(OR(M26508="",N26508=""),"",SUMIFS('Barang Keluar'!$E:$E,'Barang Keluar'!$A:$A,M26508,'Barang Keluar'!$C:$C,N26508))</f>
        <v>0</v>
      </c>
    </row>
    <row r="26509" spans="13:16">
      <c r="M26509" s="49">
        <f>IF($A$4+265&gt;$B$4,"",$A$4+265)</f>
        <v>46288</v>
      </c>
      <c r="N26509" t="str">
        <f>IF(M26509="","",'Master Barang'!A3)</f>
        <v>PRL-002</v>
      </c>
      <c r="O26509" t="str">
        <f>IF(N26509="","",'Master Barang'!B3)</f>
        <v>sunlight cairan pencuci piring 5l</v>
      </c>
      <c r="P26509">
        <f>IF(OR(M26509="",N26509=""),"",SUMIFS('Barang Keluar'!$E:$E,'Barang Keluar'!$A:$A,M26509,'Barang Keluar'!$C:$C,N26509))</f>
        <v>0</v>
      </c>
    </row>
    <row r="26510" spans="13:16">
      <c r="M26510" s="49">
        <f>IF($A$4+265&gt;$B$4,"",$A$4+265)</f>
        <v>46288</v>
      </c>
      <c r="N26510" t="str">
        <f>IF(M26510="","",'Master Barang'!A4)</f>
        <v>PRL-003</v>
      </c>
      <c r="O26510" t="str">
        <f>IF(N26510="","",'Master Barang'!B4)</f>
        <v>oixs cleaner 1l</v>
      </c>
      <c r="P26510">
        <f>IF(OR(M26510="",N26510=""),"",SUMIFS('Barang Keluar'!$E:$E,'Barang Keluar'!$A:$A,M26510,'Barang Keluar'!$C:$C,N26510))</f>
        <v>0</v>
      </c>
    </row>
    <row r="26511" spans="13:16">
      <c r="M26511" s="49">
        <f>IF($A$4+265&gt;$B$4,"",$A$4+265)</f>
        <v>46288</v>
      </c>
      <c r="N26511" t="str">
        <f>IF(M26511="","",'Master Barang'!A5)</f>
        <v>PRL-004</v>
      </c>
      <c r="O26511" t="str">
        <f>IF(N26511="","",'Master Barang'!B5)</f>
        <v>be clean tissue serbaguna</v>
      </c>
      <c r="P26511">
        <f>IF(OR(M26511="",N26511=""),"",SUMIFS('Barang Keluar'!$E:$E,'Barang Keluar'!$A:$A,M26511,'Barang Keluar'!$C:$C,N26511))</f>
        <v>0</v>
      </c>
    </row>
    <row r="26512" spans="13:16">
      <c r="M26512" s="49">
        <f>IF($A$4+265&gt;$B$4,"",$A$4+265)</f>
        <v>46288</v>
      </c>
      <c r="N26512" t="str">
        <f>IF(M26512="","",'Master Barang'!A6)</f>
        <v>PRL-005</v>
      </c>
      <c r="O26512" t="str">
        <f>IF(N26512="","",'Master Barang'!B6)</f>
        <v>spons cuci hijau</v>
      </c>
      <c r="P26512">
        <f>IF(OR(M26512="",N26512=""),"",SUMIFS('Barang Keluar'!$E:$E,'Barang Keluar'!$A:$A,M26512,'Barang Keluar'!$C:$C,N26512))</f>
        <v>0</v>
      </c>
    </row>
    <row r="26513" spans="13:16">
      <c r="M26513" s="49">
        <f>IF($A$4+265&gt;$B$4,"",$A$4+265)</f>
        <v>46288</v>
      </c>
      <c r="N26513" t="str">
        <f>IF(M26513="","",'Master Barang'!A7)</f>
        <v>PRL-006</v>
      </c>
      <c r="O26513" t="str">
        <f>IF(N26513="","",'Master Barang'!B7)</f>
        <v>sabut cuci stainless</v>
      </c>
      <c r="P26513">
        <f>IF(OR(M26513="",N26513=""),"",SUMIFS('Barang Keluar'!$E:$E,'Barang Keluar'!$A:$A,M26513,'Barang Keluar'!$C:$C,N26513))</f>
        <v>0</v>
      </c>
    </row>
    <row r="26514" spans="13:16">
      <c r="M26514" s="49">
        <f>IF($A$4+265&gt;$B$4,"",$A$4+265)</f>
        <v>46288</v>
      </c>
      <c r="N26514" t="str">
        <f>IF(M26514="","",'Master Barang'!A8)</f>
        <v>PRL-007</v>
      </c>
      <c r="O26514" t="str">
        <f>IF(N26514="","",'Master Barang'!B8)</f>
        <v>plastik kresek besar merah 50pc</v>
      </c>
      <c r="P26514">
        <f>IF(OR(M26514="",N26514=""),"",SUMIFS('Barang Keluar'!$E:$E,'Barang Keluar'!$A:$A,M26514,'Barang Keluar'!$C:$C,N26514))</f>
        <v>0</v>
      </c>
    </row>
    <row r="26515" spans="13:16">
      <c r="M26515" s="49">
        <f>IF($A$4+265&gt;$B$4,"",$A$4+265)</f>
        <v>46288</v>
      </c>
      <c r="N26515" t="str">
        <f>IF(M26515="","",'Master Barang'!A9)</f>
        <v>PRL-008</v>
      </c>
      <c r="O26515" t="str">
        <f>IF(N26515="","",'Master Barang'!B9)</f>
        <v>lap besar</v>
      </c>
      <c r="P26515">
        <f>IF(OR(M26515="",N26515=""),"",SUMIFS('Barang Keluar'!$E:$E,'Barang Keluar'!$A:$A,M26515,'Barang Keluar'!$C:$C,N26515))</f>
        <v>0</v>
      </c>
    </row>
    <row r="26516" spans="13:16">
      <c r="M26516" s="49">
        <f>IF($A$4+265&gt;$B$4,"",$A$4+265)</f>
        <v>46288</v>
      </c>
      <c r="N26516" t="str">
        <f>IF(M26516="","",'Master Barang'!A10)</f>
        <v>PRL-009</v>
      </c>
      <c r="O26516" t="str">
        <f>IF(N26516="","",'Master Barang'!B10)</f>
        <v>lap microfiber</v>
      </c>
      <c r="P26516">
        <f>IF(OR(M26516="",N26516=""),"",SUMIFS('Barang Keluar'!$E:$E,'Barang Keluar'!$A:$A,M26516,'Barang Keluar'!$C:$C,N26516))</f>
        <v>0</v>
      </c>
    </row>
    <row r="26517" spans="13:16">
      <c r="M26517" s="49">
        <f>IF($A$4+265&gt;$B$4,"",$A$4+265)</f>
        <v>46288</v>
      </c>
      <c r="N26517" t="str">
        <f>IF(M26517="","",'Master Barang'!A11)</f>
        <v>PRL-010</v>
      </c>
      <c r="O26517" t="str">
        <f>IF(N26517="","",'Master Barang'!B11)</f>
        <v>lap kecil</v>
      </c>
      <c r="P26517">
        <f>IF(OR(M26517="",N26517=""),"",SUMIFS('Barang Keluar'!$E:$E,'Barang Keluar'!$A:$A,M26517,'Barang Keluar'!$C:$C,N26517))</f>
        <v>0</v>
      </c>
    </row>
    <row r="26518" spans="13:16">
      <c r="M26518" s="49">
        <f>IF($A$4+265&gt;$B$4,"",$A$4+265)</f>
        <v>46288</v>
      </c>
      <c r="N26518" t="str">
        <f>IF(M26518="","",'Master Barang'!A12)</f>
        <v>PRL-011</v>
      </c>
      <c r="O26518" t="str">
        <f>IF(N26518="","",'Master Barang'!B12)</f>
        <v>kanebo kecil</v>
      </c>
      <c r="P26518">
        <f>IF(OR(M26518="",N26518=""),"",SUMIFS('Barang Keluar'!$E:$E,'Barang Keluar'!$A:$A,M26518,'Barang Keluar'!$C:$C,N26518))</f>
        <v>0</v>
      </c>
    </row>
    <row r="26519" spans="13:16">
      <c r="M26519" s="49">
        <f>IF($A$4+265&gt;$B$4,"",$A$4+265)</f>
        <v>46288</v>
      </c>
      <c r="N26519" t="str">
        <f>IF(M26519="","",'Master Barang'!A13)</f>
        <v>PRL-012</v>
      </c>
      <c r="O26519" t="str">
        <f>IF(N26519="","",'Master Barang'!B13)</f>
        <v>plastik 1/4kg joyoboyo 100 lembar</v>
      </c>
      <c r="P26519">
        <f>IF(OR(M26519="",N26519=""),"",SUMIFS('Barang Keluar'!$E:$E,'Barang Keluar'!$A:$A,M26519,'Barang Keluar'!$C:$C,N26519))</f>
        <v>0</v>
      </c>
    </row>
    <row r="26520" spans="13:16">
      <c r="M26520" s="49">
        <f>IF($A$4+265&gt;$B$4,"",$A$4+265)</f>
        <v>46288</v>
      </c>
      <c r="N26520" t="str">
        <f>IF(M26520="","",'Master Barang'!A14)</f>
        <v>PRL-013</v>
      </c>
      <c r="O26520" t="str">
        <f>IF(N26520="","",'Master Barang'!B14)</f>
        <v>sarung tangan plastik kaka 100 pcs</v>
      </c>
      <c r="P26520">
        <f>IF(OR(M26520="",N26520=""),"",SUMIFS('Barang Keluar'!$E:$E,'Barang Keluar'!$A:$A,M26520,'Barang Keluar'!$C:$C,N26520))</f>
        <v>0</v>
      </c>
    </row>
    <row r="26521" spans="13:16">
      <c r="M26521" s="49">
        <f>IF($A$4+265&gt;$B$4,"",$A$4+265)</f>
        <v>46288</v>
      </c>
      <c r="N26521" t="str">
        <f>IF(M26521="","",'Master Barang'!A15)</f>
        <v>PRL-014</v>
      </c>
      <c r="O26521" t="str">
        <f>IF(N26521="","",'Master Barang'!B15)</f>
        <v>optima trashbag 80x100</v>
      </c>
      <c r="P26521">
        <f>IF(OR(M26521="",N26521=""),"",SUMIFS('Barang Keluar'!$E:$E,'Barang Keluar'!$A:$A,M26521,'Barang Keluar'!$C:$C,N26521))</f>
        <v>0</v>
      </c>
    </row>
    <row r="26522" spans="13:16">
      <c r="M26522" s="49">
        <f>IF($A$4+265&gt;$B$4,"",$A$4+265)</f>
        <v>46288</v>
      </c>
      <c r="N26522" t="str">
        <f>IF(M26522="","",'Master Barang'!A16)</f>
        <v>PRL-015</v>
      </c>
      <c r="O26522" t="str">
        <f>IF(N26522="","",'Master Barang'!B16)</f>
        <v>optima trashbag 60x100</v>
      </c>
      <c r="P26522">
        <f>IF(OR(M26522="",N26522=""),"",SUMIFS('Barang Keluar'!$E:$E,'Barang Keluar'!$A:$A,M26522,'Barang Keluar'!$C:$C,N26522))</f>
        <v>0</v>
      </c>
    </row>
    <row r="26523" spans="13:16">
      <c r="M26523" s="49">
        <f>IF($A$4+265&gt;$B$4,"",$A$4+265)</f>
        <v>46288</v>
      </c>
      <c r="N26523" t="str">
        <f>IF(M26523="","",'Master Barang'!A17)</f>
        <v>PRL-016</v>
      </c>
      <c r="O26523" t="str">
        <f>IF(N26523="","",'Master Barang'!B17)</f>
        <v>rajawali trashbag 30x40</v>
      </c>
      <c r="P26523">
        <f>IF(OR(M26523="",N26523=""),"",SUMIFS('Barang Keluar'!$E:$E,'Barang Keluar'!$A:$A,M26523,'Barang Keluar'!$C:$C,N26523))</f>
        <v>0</v>
      </c>
    </row>
    <row r="26524" spans="13:16">
      <c r="M26524" s="49">
        <f>IF($A$4+265&gt;$B$4,"",$A$4+265)</f>
        <v>46288</v>
      </c>
      <c r="N26524" t="str">
        <f>IF(M26524="","",'Master Barang'!A18)</f>
        <v>PRL-017</v>
      </c>
      <c r="O26524" t="str">
        <f>IF(N26524="","",'Master Barang'!B18)</f>
        <v>onemed masker biru 3 play 50 pcs</v>
      </c>
      <c r="P26524">
        <f>IF(OR(M26524="",N26524=""),"",SUMIFS('Barang Keluar'!$E:$E,'Barang Keluar'!$A:$A,M26524,'Barang Keluar'!$C:$C,N26524))</f>
        <v>0</v>
      </c>
    </row>
    <row r="26525" spans="13:16">
      <c r="M26525" s="49">
        <f>IF($A$4+265&gt;$B$4,"",$A$4+265)</f>
        <v>46288</v>
      </c>
      <c r="N26525" t="str">
        <f>IF(M26525="","",'Master Barang'!A19)</f>
        <v>PRL-018</v>
      </c>
      <c r="O26525" t="str">
        <f>IF(N26525="","",'Master Barang'!B19)</f>
        <v>onemed masker biru 3 play hijab 50 pcs</v>
      </c>
      <c r="P26525">
        <f>IF(OR(M26525="",N26525=""),"",SUMIFS('Barang Keluar'!$E:$E,'Barang Keluar'!$A:$A,M26525,'Barang Keluar'!$C:$C,N26525))</f>
        <v>0</v>
      </c>
    </row>
    <row r="26526" spans="13:16">
      <c r="M26526" s="49">
        <f>IF($A$4+265&gt;$B$4,"",$A$4+265)</f>
        <v>46288</v>
      </c>
      <c r="N26526" t="str">
        <f>IF(M26526="","",'Master Barang'!A20)</f>
        <v>PRL-019</v>
      </c>
      <c r="O26526" t="str">
        <f>IF(N26526="","",'Master Barang'!B20)</f>
        <v>neo health masker biru 3 play 50 pcs</v>
      </c>
      <c r="P26526">
        <f>IF(OR(M26526="",N26526=""),"",SUMIFS('Barang Keluar'!$E:$E,'Barang Keluar'!$A:$A,M26526,'Barang Keluar'!$C:$C,N26526))</f>
        <v>0</v>
      </c>
    </row>
    <row r="26527" spans="13:16">
      <c r="M26527" s="49">
        <f>IF($A$4+265&gt;$B$4,"",$A$4+265)</f>
        <v>46288</v>
      </c>
      <c r="N26527" t="str">
        <f>IF(M26527="","",'Master Barang'!A21)</f>
        <v>PRL-020</v>
      </c>
      <c r="O26527" t="str">
        <f>IF(N26527="","",'Master Barang'!B21)</f>
        <v>baymed masker hijau 3 play hijau 50 pcs</v>
      </c>
      <c r="P26527">
        <f>IF(OR(M26527="",N26527=""),"",SUMIFS('Barang Keluar'!$E:$E,'Barang Keluar'!$A:$A,M26527,'Barang Keluar'!$C:$C,N26527))</f>
        <v>0</v>
      </c>
    </row>
    <row r="26528" spans="13:16">
      <c r="M26528" s="49">
        <f>IF($A$4+265&gt;$B$4,"",$A$4+265)</f>
        <v>46288</v>
      </c>
      <c r="N26528" t="str">
        <f>IF(M26528="","",'Master Barang'!A22)</f>
        <v>PRL-021</v>
      </c>
      <c r="O26528" t="str">
        <f>IF(N26528="","",'Master Barang'!B22)</f>
        <v>altamed nurse cap penutup kepala 100 pcs</v>
      </c>
      <c r="P26528">
        <f>IF(OR(M26528="",N26528=""),"",SUMIFS('Barang Keluar'!$E:$E,'Barang Keluar'!$A:$A,M26528,'Barang Keluar'!$C:$C,N26528))</f>
        <v>0</v>
      </c>
    </row>
    <row r="26529" spans="13:16">
      <c r="M26529" s="49">
        <f>IF($A$4+265&gt;$B$4,"",$A$4+265)</f>
        <v>46288</v>
      </c>
      <c r="N26529" t="str">
        <f>IF(M26529="","",'Master Barang'!A23)</f>
        <v>PRL-022</v>
      </c>
      <c r="O26529" t="str">
        <f>IF(N26529="","",'Master Barang'!B23)</f>
        <v>sabun cuci tangan</v>
      </c>
      <c r="P26529">
        <f>IF(OR(M26529="",N26529=""),"",SUMIFS('Barang Keluar'!$E:$E,'Barang Keluar'!$A:$A,M26529,'Barang Keluar'!$C:$C,N26529))</f>
        <v>0</v>
      </c>
    </row>
    <row r="26530" spans="13:16">
      <c r="M26530" s="49">
        <f>IF($A$4+265&gt;$B$4,"",$A$4+265)</f>
        <v>46288</v>
      </c>
      <c r="N26530" t="str">
        <f>IF(M26530="","",'Master Barang'!A24)</f>
        <v>PRL-023</v>
      </c>
      <c r="O26530" t="str">
        <f>IF(N26530="","",'Master Barang'!B24)</f>
        <v>gayung kecil</v>
      </c>
      <c r="P26530">
        <f>IF(OR(M26530="",N26530=""),"",SUMIFS('Barang Keluar'!$E:$E,'Barang Keluar'!$A:$A,M26530,'Barang Keluar'!$C:$C,N26530))</f>
        <v>0</v>
      </c>
    </row>
    <row r="26531" spans="13:16">
      <c r="M26531" s="49">
        <f>IF($A$4+265&gt;$B$4,"",$A$4+265)</f>
        <v>46288</v>
      </c>
      <c r="N26531" t="str">
        <f>IF(M26531="","",'Master Barang'!A25)</f>
        <v>PRL-024</v>
      </c>
      <c r="O26531" t="str">
        <f>IF(N26531="","",'Master Barang'!B25)</f>
        <v>cikrak kecil</v>
      </c>
      <c r="P26531">
        <f>IF(OR(M26531="",N26531=""),"",SUMIFS('Barang Keluar'!$E:$E,'Barang Keluar'!$A:$A,M26531,'Barang Keluar'!$C:$C,N26531))</f>
        <v>0</v>
      </c>
    </row>
    <row r="26532" spans="13:16">
      <c r="M26532" s="49">
        <f>IF($A$4+265&gt;$B$4,"",$A$4+265)</f>
        <v>46288</v>
      </c>
      <c r="N26532" t="str">
        <f>IF(M26532="","",'Master Barang'!A26)</f>
        <v>PRL-025</v>
      </c>
      <c r="O26532" t="str">
        <f>IF(N26532="","",'Master Barang'!B26)</f>
        <v>petromax plastik kecil 12x24 100 lembar</v>
      </c>
      <c r="P26532">
        <f>IF(OR(M26532="",N26532=""),"",SUMIFS('Barang Keluar'!$E:$E,'Barang Keluar'!$A:$A,M26532,'Barang Keluar'!$C:$C,N26532))</f>
        <v>0</v>
      </c>
    </row>
    <row r="26533" spans="13:16">
      <c r="M26533" s="49">
        <f>IF($A$4+265&gt;$B$4,"",$A$4+265)</f>
        <v>46288</v>
      </c>
      <c r="N26533" t="str">
        <f>IF(M26533="","",'Master Barang'!A27)</f>
        <v>PRL-026</v>
      </c>
      <c r="O26533" t="str">
        <f>IF(N26533="","",'Master Barang'!B27)</f>
        <v>lancar kresek kecil bening </v>
      </c>
      <c r="P26533">
        <f>IF(OR(M26533="",N26533=""),"",SUMIFS('Barang Keluar'!$E:$E,'Barang Keluar'!$A:$A,M26533,'Barang Keluar'!$C:$C,N26533))</f>
        <v>0</v>
      </c>
    </row>
    <row r="26534" spans="13:16">
      <c r="M26534" s="49">
        <f>IF($A$4+265&gt;$B$4,"",$A$4+265)</f>
        <v>46288</v>
      </c>
      <c r="N26534" t="str">
        <f>IF(M26534="","",'Master Barang'!A28)</f>
        <v>PRL-027</v>
      </c>
      <c r="O26534" t="str">
        <f>IF(N26534="","",'Master Barang'!B28)</f>
        <v>kresek klin warna warni kecil</v>
      </c>
      <c r="P26534">
        <f>IF(OR(M26534="",N26534=""),"",SUMIFS('Barang Keluar'!$E:$E,'Barang Keluar'!$A:$A,M26534,'Barang Keluar'!$C:$C,N26534))</f>
        <v>0</v>
      </c>
    </row>
    <row r="26535" spans="13:16">
      <c r="M26535" s="49">
        <f>IF($A$4+265&gt;$B$4,"",$A$4+265)</f>
        <v>46288</v>
      </c>
      <c r="N26535" t="str">
        <f>IF(M26535="","",'Master Barang'!A29)</f>
        <v>PRL-028</v>
      </c>
      <c r="O26535" t="str">
        <f>IF(N26535="","",'Master Barang'!B29)</f>
        <v>ctik plastik 7x10 100 pcs</v>
      </c>
      <c r="P26535">
        <f>IF(OR(M26535="",N26535=""),"",SUMIFS('Barang Keluar'!$E:$E,'Barang Keluar'!$A:$A,M26535,'Barang Keluar'!$C:$C,N26535))</f>
        <v>0</v>
      </c>
    </row>
    <row r="26536" spans="13:16">
      <c r="M26536" s="49">
        <f>IF($A$4+265&gt;$B$4,"",$A$4+265)</f>
        <v>46288</v>
      </c>
      <c r="N26536" t="str">
        <f>IF(M26536="","",'Master Barang'!A30)</f>
        <v>PRL-029</v>
      </c>
      <c r="O26536" t="str">
        <f>IF(N26536="","",'Master Barang'!B30)</f>
        <v>ctik plastik 6x10 100 pcs</v>
      </c>
      <c r="P26536">
        <f>IF(OR(M26536="",N26536=""),"",SUMIFS('Barang Keluar'!$E:$E,'Barang Keluar'!$A:$A,M26536,'Barang Keluar'!$C:$C,N26536))</f>
        <v>0</v>
      </c>
    </row>
    <row r="26537" spans="13:16">
      <c r="M26537" s="49">
        <f>IF($A$4+265&gt;$B$4,"",$A$4+265)</f>
        <v>46288</v>
      </c>
      <c r="N26537" t="str">
        <f>IF(M26537="","",'Master Barang'!A31)</f>
        <v>PRL-030</v>
      </c>
      <c r="O26537" t="str">
        <f>IF(N26537="","",'Master Barang'!B31)</f>
        <v>klip plastik 25x16 100 pcs</v>
      </c>
      <c r="P26537">
        <f>IF(OR(M26537="",N26537=""),"",SUMIFS('Barang Keluar'!$E:$E,'Barang Keluar'!$A:$A,M26537,'Barang Keluar'!$C:$C,N26537))</f>
        <v>0</v>
      </c>
    </row>
    <row r="26538" spans="13:16">
      <c r="M26538" s="49">
        <f>IF($A$4+265&gt;$B$4,"",$A$4+265)</f>
        <v>46288</v>
      </c>
      <c r="N26538" t="str">
        <f>IF(M26538="","",'Master Barang'!A32)</f>
        <v>PRL-031</v>
      </c>
      <c r="O26538" t="str">
        <f>IF(N26538="","",'Master Barang'!B32)</f>
        <v>tempat saus 20 ml</v>
      </c>
      <c r="P26538">
        <f>IF(OR(M26538="",N26538=""),"",SUMIFS('Barang Keluar'!$E:$E,'Barang Keluar'!$A:$A,M26538,'Barang Keluar'!$C:$C,N26538))</f>
        <v>0</v>
      </c>
    </row>
    <row r="26539" spans="13:16">
      <c r="M26539" s="49">
        <f>IF($A$4+265&gt;$B$4,"",$A$4+265)</f>
        <v>46288</v>
      </c>
      <c r="N26539" t="str">
        <f>IF(M26539="","",'Master Barang'!A33)</f>
        <v>PRL-032</v>
      </c>
      <c r="O26539" t="str">
        <f>IF(N26539="","",'Master Barang'!B33)</f>
        <v>plastik packaging ag box uk sedang</v>
      </c>
      <c r="P26539">
        <f>IF(OR(M26539="",N26539=""),"",SUMIFS('Barang Keluar'!$E:$E,'Barang Keluar'!$A:$A,M26539,'Barang Keluar'!$C:$C,N26539))</f>
        <v>0</v>
      </c>
    </row>
    <row r="26540" spans="13:16">
      <c r="M26540" s="49">
        <f>IF($A$4+265&gt;$B$4,"",$A$4+265)</f>
        <v>46288</v>
      </c>
      <c r="N26540" t="str">
        <f>IF(M26540="","",'Master Barang'!A34)</f>
        <v>PRL-033</v>
      </c>
      <c r="O26540">
        <f>IF(N26540="","",'Master Barang'!B34)</f>
        <v>0</v>
      </c>
      <c r="P26540">
        <f>IF(OR(M26540="",N26540=""),"",SUMIFS('Barang Keluar'!$E:$E,'Barang Keluar'!$A:$A,M26540,'Barang Keluar'!$C:$C,N26540))</f>
        <v>0</v>
      </c>
    </row>
    <row r="26541" spans="13:16">
      <c r="M26541" s="49">
        <f>IF($A$4+265&gt;$B$4,"",$A$4+265)</f>
        <v>46288</v>
      </c>
      <c r="N26541">
        <f>IF(M26541="","",'Master Barang'!A35)</f>
        <v>0</v>
      </c>
      <c r="O26541">
        <f>IF(N26541="","",'Master Barang'!B35)</f>
        <v>0</v>
      </c>
      <c r="P26541">
        <f>IF(OR(M26541="",N26541=""),"",SUMIFS('Barang Keluar'!$E:$E,'Barang Keluar'!$A:$A,M26541,'Barang Keluar'!$C:$C,N26541))</f>
        <v>0</v>
      </c>
    </row>
    <row r="26542" spans="13:16">
      <c r="M26542" s="49">
        <f>IF($A$4+265&gt;$B$4,"",$A$4+265)</f>
        <v>46288</v>
      </c>
      <c r="N26542">
        <f>IF(M26542="","",'Master Barang'!A36)</f>
        <v>0</v>
      </c>
      <c r="O26542">
        <f>IF(N26542="","",'Master Barang'!B36)</f>
        <v>0</v>
      </c>
      <c r="P26542">
        <f>IF(OR(M26542="",N26542=""),"",SUMIFS('Barang Keluar'!$E:$E,'Barang Keluar'!$A:$A,M26542,'Barang Keluar'!$C:$C,N26542))</f>
        <v>0</v>
      </c>
    </row>
    <row r="26543" spans="13:16">
      <c r="M26543" s="49">
        <f>IF($A$4+265&gt;$B$4,"",$A$4+265)</f>
        <v>46288</v>
      </c>
      <c r="N26543">
        <f>IF(M26543="","",'Master Barang'!A37)</f>
        <v>0</v>
      </c>
      <c r="O26543">
        <f>IF(N26543="","",'Master Barang'!B37)</f>
        <v>0</v>
      </c>
      <c r="P26543">
        <f>IF(OR(M26543="",N26543=""),"",SUMIFS('Barang Keluar'!$E:$E,'Barang Keluar'!$A:$A,M26543,'Barang Keluar'!$C:$C,N26543))</f>
        <v>0</v>
      </c>
    </row>
    <row r="26544" spans="13:16">
      <c r="M26544" s="49">
        <f>IF($A$4+265&gt;$B$4,"",$A$4+265)</f>
        <v>46288</v>
      </c>
      <c r="N26544">
        <f>IF(M26544="","",'Master Barang'!A38)</f>
        <v>0</v>
      </c>
      <c r="O26544">
        <f>IF(N26544="","",'Master Barang'!B38)</f>
        <v>0</v>
      </c>
      <c r="P26544">
        <f>IF(OR(M26544="",N26544=""),"",SUMIFS('Barang Keluar'!$E:$E,'Barang Keluar'!$A:$A,M26544,'Barang Keluar'!$C:$C,N26544))</f>
        <v>0</v>
      </c>
    </row>
    <row r="26545" spans="13:16">
      <c r="M26545" s="49">
        <f>IF($A$4+265&gt;$B$4,"",$A$4+265)</f>
        <v>46288</v>
      </c>
      <c r="N26545">
        <f>IF(M26545="","",'Master Barang'!A39)</f>
        <v>0</v>
      </c>
      <c r="O26545">
        <f>IF(N26545="","",'Master Barang'!B39)</f>
        <v>0</v>
      </c>
      <c r="P26545">
        <f>IF(OR(M26545="",N26545=""),"",SUMIFS('Barang Keluar'!$E:$E,'Barang Keluar'!$A:$A,M26545,'Barang Keluar'!$C:$C,N26545))</f>
        <v>0</v>
      </c>
    </row>
    <row r="26546" spans="13:16">
      <c r="M26546" s="49">
        <f>IF($A$4+265&gt;$B$4,"",$A$4+265)</f>
        <v>46288</v>
      </c>
      <c r="N26546">
        <f>IF(M26546="","",'Master Barang'!A40)</f>
        <v>0</v>
      </c>
      <c r="O26546">
        <f>IF(N26546="","",'Master Barang'!B40)</f>
        <v>0</v>
      </c>
      <c r="P26546">
        <f>IF(OR(M26546="",N26546=""),"",SUMIFS('Barang Keluar'!$E:$E,'Barang Keluar'!$A:$A,M26546,'Barang Keluar'!$C:$C,N26546))</f>
        <v>0</v>
      </c>
    </row>
    <row r="26547" spans="13:16">
      <c r="M26547" s="49">
        <f>IF($A$4+265&gt;$B$4,"",$A$4+265)</f>
        <v>46288</v>
      </c>
      <c r="N26547">
        <f>IF(M26547="","",'Master Barang'!A41)</f>
        <v>0</v>
      </c>
      <c r="O26547">
        <f>IF(N26547="","",'Master Barang'!B41)</f>
        <v>0</v>
      </c>
      <c r="P26547">
        <f>IF(OR(M26547="",N26547=""),"",SUMIFS('Barang Keluar'!$E:$E,'Barang Keluar'!$A:$A,M26547,'Barang Keluar'!$C:$C,N26547))</f>
        <v>0</v>
      </c>
    </row>
    <row r="26548" spans="13:16">
      <c r="M26548" s="49">
        <f>IF($A$4+265&gt;$B$4,"",$A$4+265)</f>
        <v>46288</v>
      </c>
      <c r="N26548">
        <f>IF(M26548="","",'Master Barang'!A42)</f>
        <v>0</v>
      </c>
      <c r="O26548">
        <f>IF(N26548="","",'Master Barang'!B42)</f>
        <v>0</v>
      </c>
      <c r="P26548">
        <f>IF(OR(M26548="",N26548=""),"",SUMIFS('Barang Keluar'!$E:$E,'Barang Keluar'!$A:$A,M26548,'Barang Keluar'!$C:$C,N26548))</f>
        <v>0</v>
      </c>
    </row>
    <row r="26549" spans="13:16">
      <c r="M26549" s="49">
        <f>IF($A$4+265&gt;$B$4,"",$A$4+265)</f>
        <v>46288</v>
      </c>
      <c r="N26549">
        <f>IF(M26549="","",'Master Barang'!A43)</f>
        <v>0</v>
      </c>
      <c r="O26549">
        <f>IF(N26549="","",'Master Barang'!B43)</f>
        <v>0</v>
      </c>
      <c r="P26549">
        <f>IF(OR(M26549="",N26549=""),"",SUMIFS('Barang Keluar'!$E:$E,'Barang Keluar'!$A:$A,M26549,'Barang Keluar'!$C:$C,N26549))</f>
        <v>0</v>
      </c>
    </row>
    <row r="26550" spans="13:16">
      <c r="M26550" s="49">
        <f>IF($A$4+265&gt;$B$4,"",$A$4+265)</f>
        <v>46288</v>
      </c>
      <c r="N26550">
        <f>IF(M26550="","",'Master Barang'!A44)</f>
        <v>0</v>
      </c>
      <c r="O26550">
        <f>IF(N26550="","",'Master Barang'!B44)</f>
        <v>0</v>
      </c>
      <c r="P26550">
        <f>IF(OR(M26550="",N26550=""),"",SUMIFS('Barang Keluar'!$E:$E,'Barang Keluar'!$A:$A,M26550,'Barang Keluar'!$C:$C,N26550))</f>
        <v>0</v>
      </c>
    </row>
    <row r="26551" spans="13:16">
      <c r="M26551" s="49">
        <f>IF($A$4+265&gt;$B$4,"",$A$4+265)</f>
        <v>46288</v>
      </c>
      <c r="N26551">
        <f>IF(M26551="","",'Master Barang'!A45)</f>
        <v>0</v>
      </c>
      <c r="O26551">
        <f>IF(N26551="","",'Master Barang'!B45)</f>
        <v>0</v>
      </c>
      <c r="P26551">
        <f>IF(OR(M26551="",N26551=""),"",SUMIFS('Barang Keluar'!$E:$E,'Barang Keluar'!$A:$A,M26551,'Barang Keluar'!$C:$C,N26551))</f>
        <v>0</v>
      </c>
    </row>
    <row r="26552" spans="13:16">
      <c r="M26552" s="49">
        <f>IF($A$4+265&gt;$B$4,"",$A$4+265)</f>
        <v>46288</v>
      </c>
      <c r="N26552">
        <f>IF(M26552="","",'Master Barang'!A46)</f>
        <v>0</v>
      </c>
      <c r="O26552">
        <f>IF(N26552="","",'Master Barang'!B46)</f>
        <v>0</v>
      </c>
      <c r="P26552">
        <f>IF(OR(M26552="",N26552=""),"",SUMIFS('Barang Keluar'!$E:$E,'Barang Keluar'!$A:$A,M26552,'Barang Keluar'!$C:$C,N26552))</f>
        <v>0</v>
      </c>
    </row>
    <row r="26553" spans="13:16">
      <c r="M26553" s="49">
        <f>IF($A$4+265&gt;$B$4,"",$A$4+265)</f>
        <v>46288</v>
      </c>
      <c r="N26553">
        <f>IF(M26553="","",'Master Barang'!A47)</f>
        <v>0</v>
      </c>
      <c r="O26553">
        <f>IF(N26553="","",'Master Barang'!B47)</f>
        <v>0</v>
      </c>
      <c r="P26553">
        <f>IF(OR(M26553="",N26553=""),"",SUMIFS('Barang Keluar'!$E:$E,'Barang Keluar'!$A:$A,M26553,'Barang Keluar'!$C:$C,N26553))</f>
        <v>0</v>
      </c>
    </row>
    <row r="26554" spans="13:16">
      <c r="M26554" s="49">
        <f>IF($A$4+265&gt;$B$4,"",$A$4+265)</f>
        <v>46288</v>
      </c>
      <c r="N26554">
        <f>IF(M26554="","",'Master Barang'!A48)</f>
        <v>0</v>
      </c>
      <c r="O26554">
        <f>IF(N26554="","",'Master Barang'!B48)</f>
        <v>0</v>
      </c>
      <c r="P26554">
        <f>IF(OR(M26554="",N26554=""),"",SUMIFS('Barang Keluar'!$E:$E,'Barang Keluar'!$A:$A,M26554,'Barang Keluar'!$C:$C,N26554))</f>
        <v>0</v>
      </c>
    </row>
    <row r="26555" spans="13:16">
      <c r="M26555" s="49">
        <f>IF($A$4+265&gt;$B$4,"",$A$4+265)</f>
        <v>46288</v>
      </c>
      <c r="N26555">
        <f>IF(M26555="","",'Master Barang'!A49)</f>
        <v>0</v>
      </c>
      <c r="O26555">
        <f>IF(N26555="","",'Master Barang'!B49)</f>
        <v>0</v>
      </c>
      <c r="P26555">
        <f>IF(OR(M26555="",N26555=""),"",SUMIFS('Barang Keluar'!$E:$E,'Barang Keluar'!$A:$A,M26555,'Barang Keluar'!$C:$C,N26555))</f>
        <v>0</v>
      </c>
    </row>
    <row r="26556" spans="13:16">
      <c r="M26556" s="49">
        <f>IF($A$4+265&gt;$B$4,"",$A$4+265)</f>
        <v>46288</v>
      </c>
      <c r="N26556">
        <f>IF(M26556="","",'Master Barang'!A50)</f>
        <v>0</v>
      </c>
      <c r="O26556">
        <f>IF(N26556="","",'Master Barang'!B50)</f>
        <v>0</v>
      </c>
      <c r="P26556">
        <f>IF(OR(M26556="",N26556=""),"",SUMIFS('Barang Keluar'!$E:$E,'Barang Keluar'!$A:$A,M26556,'Barang Keluar'!$C:$C,N26556))</f>
        <v>0</v>
      </c>
    </row>
    <row r="26557" spans="13:16">
      <c r="M26557" s="49">
        <f>IF($A$4+265&gt;$B$4,"",$A$4+265)</f>
        <v>46288</v>
      </c>
      <c r="N26557">
        <f>IF(M26557="","",'Master Barang'!A51)</f>
        <v>0</v>
      </c>
      <c r="O26557">
        <f>IF(N26557="","",'Master Barang'!B51)</f>
        <v>0</v>
      </c>
      <c r="P26557">
        <f>IF(OR(M26557="",N26557=""),"",SUMIFS('Barang Keluar'!$E:$E,'Barang Keluar'!$A:$A,M26557,'Barang Keluar'!$C:$C,N26557))</f>
        <v>0</v>
      </c>
    </row>
    <row r="26558" spans="13:16">
      <c r="M26558" s="49">
        <f>IF($A$4+265&gt;$B$4,"",$A$4+265)</f>
        <v>46288</v>
      </c>
      <c r="N26558">
        <f>IF(M26558="","",'Master Barang'!A52)</f>
        <v>0</v>
      </c>
      <c r="O26558">
        <f>IF(N26558="","",'Master Barang'!B52)</f>
        <v>0</v>
      </c>
      <c r="P26558">
        <f>IF(OR(M26558="",N26558=""),"",SUMIFS('Barang Keluar'!$E:$E,'Barang Keluar'!$A:$A,M26558,'Barang Keluar'!$C:$C,N26558))</f>
        <v>0</v>
      </c>
    </row>
    <row r="26559" spans="13:16">
      <c r="M26559" s="49">
        <f>IF($A$4+265&gt;$B$4,"",$A$4+265)</f>
        <v>46288</v>
      </c>
      <c r="N26559">
        <f>IF(M26559="","",'Master Barang'!A53)</f>
        <v>0</v>
      </c>
      <c r="O26559">
        <f>IF(N26559="","",'Master Barang'!B53)</f>
        <v>0</v>
      </c>
      <c r="P26559">
        <f>IF(OR(M26559="",N26559=""),"",SUMIFS('Barang Keluar'!$E:$E,'Barang Keluar'!$A:$A,M26559,'Barang Keluar'!$C:$C,N26559))</f>
        <v>0</v>
      </c>
    </row>
    <row r="26560" spans="13:16">
      <c r="M26560" s="49">
        <f>IF($A$4+265&gt;$B$4,"",$A$4+265)</f>
        <v>46288</v>
      </c>
      <c r="N26560">
        <f>IF(M26560="","",'Master Barang'!A54)</f>
        <v>0</v>
      </c>
      <c r="O26560">
        <f>IF(N26560="","",'Master Barang'!B54)</f>
        <v>0</v>
      </c>
      <c r="P26560">
        <f>IF(OR(M26560="",N26560=""),"",SUMIFS('Barang Keluar'!$E:$E,'Barang Keluar'!$A:$A,M26560,'Barang Keluar'!$C:$C,N26560))</f>
        <v>0</v>
      </c>
    </row>
    <row r="26561" spans="13:16">
      <c r="M26561" s="49">
        <f>IF($A$4+265&gt;$B$4,"",$A$4+265)</f>
        <v>46288</v>
      </c>
      <c r="N26561">
        <f>IF(M26561="","",'Master Barang'!A55)</f>
        <v>0</v>
      </c>
      <c r="O26561">
        <f>IF(N26561="","",'Master Barang'!B55)</f>
        <v>0</v>
      </c>
      <c r="P26561">
        <f>IF(OR(M26561="",N26561=""),"",SUMIFS('Barang Keluar'!$E:$E,'Barang Keluar'!$A:$A,M26561,'Barang Keluar'!$C:$C,N26561))</f>
        <v>0</v>
      </c>
    </row>
    <row r="26562" spans="13:16">
      <c r="M26562" s="49">
        <f>IF($A$4+265&gt;$B$4,"",$A$4+265)</f>
        <v>46288</v>
      </c>
      <c r="N26562">
        <f>IF(M26562="","",'Master Barang'!A56)</f>
        <v>0</v>
      </c>
      <c r="O26562">
        <f>IF(N26562="","",'Master Barang'!B56)</f>
        <v>0</v>
      </c>
      <c r="P26562">
        <f>IF(OR(M26562="",N26562=""),"",SUMIFS('Barang Keluar'!$E:$E,'Barang Keluar'!$A:$A,M26562,'Barang Keluar'!$C:$C,N26562))</f>
        <v>0</v>
      </c>
    </row>
    <row r="26563" spans="13:16">
      <c r="M26563" s="49">
        <f>IF($A$4+265&gt;$B$4,"",$A$4+265)</f>
        <v>46288</v>
      </c>
      <c r="N26563">
        <f>IF(M26563="","",'Master Barang'!A57)</f>
        <v>0</v>
      </c>
      <c r="O26563">
        <f>IF(N26563="","",'Master Barang'!B57)</f>
        <v>0</v>
      </c>
      <c r="P26563">
        <f>IF(OR(M26563="",N26563=""),"",SUMIFS('Barang Keluar'!$E:$E,'Barang Keluar'!$A:$A,M26563,'Barang Keluar'!$C:$C,N26563))</f>
        <v>0</v>
      </c>
    </row>
    <row r="26564" spans="13:16">
      <c r="M26564" s="49">
        <f>IF($A$4+265&gt;$B$4,"",$A$4+265)</f>
        <v>46288</v>
      </c>
      <c r="N26564">
        <f>IF(M26564="","",'Master Barang'!A58)</f>
        <v>0</v>
      </c>
      <c r="O26564">
        <f>IF(N26564="","",'Master Barang'!B58)</f>
        <v>0</v>
      </c>
      <c r="P26564">
        <f>IF(OR(M26564="",N26564=""),"",SUMIFS('Barang Keluar'!$E:$E,'Barang Keluar'!$A:$A,M26564,'Barang Keluar'!$C:$C,N26564))</f>
        <v>0</v>
      </c>
    </row>
    <row r="26565" spans="13:16">
      <c r="M26565" s="49">
        <f>IF($A$4+265&gt;$B$4,"",$A$4+265)</f>
        <v>46288</v>
      </c>
      <c r="N26565">
        <f>IF(M26565="","",'Master Barang'!A59)</f>
        <v>0</v>
      </c>
      <c r="O26565">
        <f>IF(N26565="","",'Master Barang'!B59)</f>
        <v>0</v>
      </c>
      <c r="P26565">
        <f>IF(OR(M26565="",N26565=""),"",SUMIFS('Barang Keluar'!$E:$E,'Barang Keluar'!$A:$A,M26565,'Barang Keluar'!$C:$C,N26565))</f>
        <v>0</v>
      </c>
    </row>
    <row r="26566" spans="13:16">
      <c r="M26566" s="49">
        <f>IF($A$4+265&gt;$B$4,"",$A$4+265)</f>
        <v>46288</v>
      </c>
      <c r="N26566">
        <f>IF(M26566="","",'Master Barang'!A60)</f>
        <v>0</v>
      </c>
      <c r="O26566">
        <f>IF(N26566="","",'Master Barang'!B60)</f>
        <v>0</v>
      </c>
      <c r="P26566">
        <f>IF(OR(M26566="",N26566=""),"",SUMIFS('Barang Keluar'!$E:$E,'Barang Keluar'!$A:$A,M26566,'Barang Keluar'!$C:$C,N26566))</f>
        <v>0</v>
      </c>
    </row>
    <row r="26567" spans="13:16">
      <c r="M26567" s="49">
        <f>IF($A$4+265&gt;$B$4,"",$A$4+265)</f>
        <v>46288</v>
      </c>
      <c r="N26567">
        <f>IF(M26567="","",'Master Barang'!A61)</f>
        <v>0</v>
      </c>
      <c r="O26567">
        <f>IF(N26567="","",'Master Barang'!B61)</f>
        <v>0</v>
      </c>
      <c r="P26567">
        <f>IF(OR(M26567="",N26567=""),"",SUMIFS('Barang Keluar'!$E:$E,'Barang Keluar'!$A:$A,M26567,'Barang Keluar'!$C:$C,N26567))</f>
        <v>0</v>
      </c>
    </row>
    <row r="26568" spans="13:16">
      <c r="M26568" s="49">
        <f>IF($A$4+265&gt;$B$4,"",$A$4+265)</f>
        <v>46288</v>
      </c>
      <c r="N26568">
        <f>IF(M26568="","",'Master Barang'!A62)</f>
        <v>0</v>
      </c>
      <c r="O26568">
        <f>IF(N26568="","",'Master Barang'!B62)</f>
        <v>0</v>
      </c>
      <c r="P26568">
        <f>IF(OR(M26568="",N26568=""),"",SUMIFS('Barang Keluar'!$E:$E,'Barang Keluar'!$A:$A,M26568,'Barang Keluar'!$C:$C,N26568))</f>
        <v>0</v>
      </c>
    </row>
    <row r="26569" spans="13:16">
      <c r="M26569" s="49">
        <f>IF($A$4+265&gt;$B$4,"",$A$4+265)</f>
        <v>46288</v>
      </c>
      <c r="N26569">
        <f>IF(M26569="","",'Master Barang'!A63)</f>
        <v>0</v>
      </c>
      <c r="O26569">
        <f>IF(N26569="","",'Master Barang'!B63)</f>
        <v>0</v>
      </c>
      <c r="P26569">
        <f>IF(OR(M26569="",N26569=""),"",SUMIFS('Barang Keluar'!$E:$E,'Barang Keluar'!$A:$A,M26569,'Barang Keluar'!$C:$C,N26569))</f>
        <v>0</v>
      </c>
    </row>
    <row r="26570" spans="13:16">
      <c r="M26570" s="49">
        <f>IF($A$4+265&gt;$B$4,"",$A$4+265)</f>
        <v>46288</v>
      </c>
      <c r="N26570">
        <f>IF(M26570="","",'Master Barang'!A64)</f>
        <v>0</v>
      </c>
      <c r="O26570">
        <f>IF(N26570="","",'Master Barang'!B64)</f>
        <v>0</v>
      </c>
      <c r="P26570">
        <f>IF(OR(M26570="",N26570=""),"",SUMIFS('Barang Keluar'!$E:$E,'Barang Keluar'!$A:$A,M26570,'Barang Keluar'!$C:$C,N26570))</f>
        <v>0</v>
      </c>
    </row>
    <row r="26571" spans="13:16">
      <c r="M26571" s="49">
        <f>IF($A$4+265&gt;$B$4,"",$A$4+265)</f>
        <v>46288</v>
      </c>
      <c r="N26571">
        <f>IF(M26571="","",'Master Barang'!A65)</f>
        <v>0</v>
      </c>
      <c r="O26571">
        <f>IF(N26571="","",'Master Barang'!B65)</f>
        <v>0</v>
      </c>
      <c r="P26571">
        <f>IF(OR(M26571="",N26571=""),"",SUMIFS('Barang Keluar'!$E:$E,'Barang Keluar'!$A:$A,M26571,'Barang Keluar'!$C:$C,N26571))</f>
        <v>0</v>
      </c>
    </row>
    <row r="26572" spans="13:16">
      <c r="M26572" s="49">
        <f>IF($A$4+265&gt;$B$4,"",$A$4+265)</f>
        <v>46288</v>
      </c>
      <c r="N26572">
        <f>IF(M26572="","",'Master Barang'!A66)</f>
        <v>0</v>
      </c>
      <c r="O26572">
        <f>IF(N26572="","",'Master Barang'!B66)</f>
        <v>0</v>
      </c>
      <c r="P26572">
        <f>IF(OR(M26572="",N26572=""),"",SUMIFS('Barang Keluar'!$E:$E,'Barang Keluar'!$A:$A,M26572,'Barang Keluar'!$C:$C,N26572))</f>
        <v>0</v>
      </c>
    </row>
    <row r="26573" spans="13:16">
      <c r="M26573" s="49">
        <f>IF($A$4+265&gt;$B$4,"",$A$4+265)</f>
        <v>46288</v>
      </c>
      <c r="N26573">
        <f>IF(M26573="","",'Master Barang'!A67)</f>
        <v>0</v>
      </c>
      <c r="O26573">
        <f>IF(N26573="","",'Master Barang'!B67)</f>
        <v>0</v>
      </c>
      <c r="P26573">
        <f>IF(OR(M26573="",N26573=""),"",SUMIFS('Barang Keluar'!$E:$E,'Barang Keluar'!$A:$A,M26573,'Barang Keluar'!$C:$C,N26573))</f>
        <v>0</v>
      </c>
    </row>
    <row r="26574" spans="13:16">
      <c r="M26574" s="49">
        <f>IF($A$4+265&gt;$B$4,"",$A$4+265)</f>
        <v>46288</v>
      </c>
      <c r="N26574">
        <f>IF(M26574="","",'Master Barang'!A68)</f>
        <v>0</v>
      </c>
      <c r="O26574">
        <f>IF(N26574="","",'Master Barang'!B68)</f>
        <v>0</v>
      </c>
      <c r="P26574">
        <f>IF(OR(M26574="",N26574=""),"",SUMIFS('Barang Keluar'!$E:$E,'Barang Keluar'!$A:$A,M26574,'Barang Keluar'!$C:$C,N26574))</f>
        <v>0</v>
      </c>
    </row>
    <row r="26575" spans="13:16">
      <c r="M26575" s="49">
        <f>IF($A$4+265&gt;$B$4,"",$A$4+265)</f>
        <v>46288</v>
      </c>
      <c r="N26575">
        <f>IF(M26575="","",'Master Barang'!A69)</f>
        <v>0</v>
      </c>
      <c r="O26575">
        <f>IF(N26575="","",'Master Barang'!B69)</f>
        <v>0</v>
      </c>
      <c r="P26575">
        <f>IF(OR(M26575="",N26575=""),"",SUMIFS('Barang Keluar'!$E:$E,'Barang Keluar'!$A:$A,M26575,'Barang Keluar'!$C:$C,N26575))</f>
        <v>0</v>
      </c>
    </row>
    <row r="26576" spans="13:16">
      <c r="M26576" s="49">
        <f>IF($A$4+265&gt;$B$4,"",$A$4+265)</f>
        <v>46288</v>
      </c>
      <c r="N26576">
        <f>IF(M26576="","",'Master Barang'!A70)</f>
        <v>0</v>
      </c>
      <c r="O26576">
        <f>IF(N26576="","",'Master Barang'!B70)</f>
        <v>0</v>
      </c>
      <c r="P26576">
        <f>IF(OR(M26576="",N26576=""),"",SUMIFS('Barang Keluar'!$E:$E,'Barang Keluar'!$A:$A,M26576,'Barang Keluar'!$C:$C,N26576))</f>
        <v>0</v>
      </c>
    </row>
    <row r="26577" spans="13:16">
      <c r="M26577" s="49">
        <f>IF($A$4+265&gt;$B$4,"",$A$4+265)</f>
        <v>46288</v>
      </c>
      <c r="N26577">
        <f>IF(M26577="","",'Master Barang'!A71)</f>
        <v>0</v>
      </c>
      <c r="O26577">
        <f>IF(N26577="","",'Master Barang'!B71)</f>
        <v>0</v>
      </c>
      <c r="P26577">
        <f>IF(OR(M26577="",N26577=""),"",SUMIFS('Barang Keluar'!$E:$E,'Barang Keluar'!$A:$A,M26577,'Barang Keluar'!$C:$C,N26577))</f>
        <v>0</v>
      </c>
    </row>
    <row r="26578" spans="13:16">
      <c r="M26578" s="49">
        <f>IF($A$4+265&gt;$B$4,"",$A$4+265)</f>
        <v>46288</v>
      </c>
      <c r="N26578">
        <f>IF(M26578="","",'Master Barang'!A72)</f>
        <v>0</v>
      </c>
      <c r="O26578">
        <f>IF(N26578="","",'Master Barang'!B72)</f>
        <v>0</v>
      </c>
      <c r="P26578">
        <f>IF(OR(M26578="",N26578=""),"",SUMIFS('Barang Keluar'!$E:$E,'Barang Keluar'!$A:$A,M26578,'Barang Keluar'!$C:$C,N26578))</f>
        <v>0</v>
      </c>
    </row>
    <row r="26579" spans="13:16">
      <c r="M26579" s="49">
        <f>IF($A$4+265&gt;$B$4,"",$A$4+265)</f>
        <v>46288</v>
      </c>
      <c r="N26579">
        <f>IF(M26579="","",'Master Barang'!A73)</f>
        <v>0</v>
      </c>
      <c r="O26579">
        <f>IF(N26579="","",'Master Barang'!B73)</f>
        <v>0</v>
      </c>
      <c r="P26579">
        <f>IF(OR(M26579="",N26579=""),"",SUMIFS('Barang Keluar'!$E:$E,'Barang Keluar'!$A:$A,M26579,'Barang Keluar'!$C:$C,N26579))</f>
        <v>0</v>
      </c>
    </row>
    <row r="26580" spans="13:16">
      <c r="M26580" s="49">
        <f>IF($A$4+265&gt;$B$4,"",$A$4+265)</f>
        <v>46288</v>
      </c>
      <c r="N26580">
        <f>IF(M26580="","",'Master Barang'!A74)</f>
        <v>0</v>
      </c>
      <c r="O26580">
        <f>IF(N26580="","",'Master Barang'!B74)</f>
        <v>0</v>
      </c>
      <c r="P26580">
        <f>IF(OR(M26580="",N26580=""),"",SUMIFS('Barang Keluar'!$E:$E,'Barang Keluar'!$A:$A,M26580,'Barang Keluar'!$C:$C,N26580))</f>
        <v>0</v>
      </c>
    </row>
    <row r="26581" spans="13:16">
      <c r="M26581" s="49">
        <f>IF($A$4+265&gt;$B$4,"",$A$4+265)</f>
        <v>46288</v>
      </c>
      <c r="N26581">
        <f>IF(M26581="","",'Master Barang'!A75)</f>
        <v>0</v>
      </c>
      <c r="O26581">
        <f>IF(N26581="","",'Master Barang'!B75)</f>
        <v>0</v>
      </c>
      <c r="P26581">
        <f>IF(OR(M26581="",N26581=""),"",SUMIFS('Barang Keluar'!$E:$E,'Barang Keluar'!$A:$A,M26581,'Barang Keluar'!$C:$C,N26581))</f>
        <v>0</v>
      </c>
    </row>
    <row r="26582" spans="13:16">
      <c r="M26582" s="49">
        <f>IF($A$4+265&gt;$B$4,"",$A$4+265)</f>
        <v>46288</v>
      </c>
      <c r="N26582">
        <f>IF(M26582="","",'Master Barang'!A76)</f>
        <v>0</v>
      </c>
      <c r="O26582">
        <f>IF(N26582="","",'Master Barang'!B76)</f>
        <v>0</v>
      </c>
      <c r="P26582">
        <f>IF(OR(M26582="",N26582=""),"",SUMIFS('Barang Keluar'!$E:$E,'Barang Keluar'!$A:$A,M26582,'Barang Keluar'!$C:$C,N26582))</f>
        <v>0</v>
      </c>
    </row>
    <row r="26583" spans="13:16">
      <c r="M26583" s="49">
        <f>IF($A$4+265&gt;$B$4,"",$A$4+265)</f>
        <v>46288</v>
      </c>
      <c r="N26583">
        <f>IF(M26583="","",'Master Barang'!A77)</f>
        <v>0</v>
      </c>
      <c r="O26583">
        <f>IF(N26583="","",'Master Barang'!B77)</f>
        <v>0</v>
      </c>
      <c r="P26583">
        <f>IF(OR(M26583="",N26583=""),"",SUMIFS('Barang Keluar'!$E:$E,'Barang Keluar'!$A:$A,M26583,'Barang Keluar'!$C:$C,N26583))</f>
        <v>0</v>
      </c>
    </row>
    <row r="26584" spans="13:16">
      <c r="M26584" s="49">
        <f>IF($A$4+265&gt;$B$4,"",$A$4+265)</f>
        <v>46288</v>
      </c>
      <c r="N26584">
        <f>IF(M26584="","",'Master Barang'!A78)</f>
        <v>0</v>
      </c>
      <c r="O26584">
        <f>IF(N26584="","",'Master Barang'!B78)</f>
        <v>0</v>
      </c>
      <c r="P26584">
        <f>IF(OR(M26584="",N26584=""),"",SUMIFS('Barang Keluar'!$E:$E,'Barang Keluar'!$A:$A,M26584,'Barang Keluar'!$C:$C,N26584))</f>
        <v>0</v>
      </c>
    </row>
    <row r="26585" spans="13:16">
      <c r="M26585" s="49">
        <f>IF($A$4+265&gt;$B$4,"",$A$4+265)</f>
        <v>46288</v>
      </c>
      <c r="N26585">
        <f>IF(M26585="","",'Master Barang'!A79)</f>
        <v>0</v>
      </c>
      <c r="O26585">
        <f>IF(N26585="","",'Master Barang'!B79)</f>
        <v>0</v>
      </c>
      <c r="P26585">
        <f>IF(OR(M26585="",N26585=""),"",SUMIFS('Barang Keluar'!$E:$E,'Barang Keluar'!$A:$A,M26585,'Barang Keluar'!$C:$C,N26585))</f>
        <v>0</v>
      </c>
    </row>
    <row r="26586" spans="13:16">
      <c r="M26586" s="49">
        <f>IF($A$4+265&gt;$B$4,"",$A$4+265)</f>
        <v>46288</v>
      </c>
      <c r="N26586">
        <f>IF(M26586="","",'Master Barang'!A80)</f>
        <v>0</v>
      </c>
      <c r="O26586">
        <f>IF(N26586="","",'Master Barang'!B80)</f>
        <v>0</v>
      </c>
      <c r="P26586">
        <f>IF(OR(M26586="",N26586=""),"",SUMIFS('Barang Keluar'!$E:$E,'Barang Keluar'!$A:$A,M26586,'Barang Keluar'!$C:$C,N26586))</f>
        <v>0</v>
      </c>
    </row>
    <row r="26587" spans="13:16">
      <c r="M26587" s="49">
        <f>IF($A$4+265&gt;$B$4,"",$A$4+265)</f>
        <v>46288</v>
      </c>
      <c r="N26587">
        <f>IF(M26587="","",'Master Barang'!A81)</f>
        <v>0</v>
      </c>
      <c r="O26587">
        <f>IF(N26587="","",'Master Barang'!B81)</f>
        <v>0</v>
      </c>
      <c r="P26587">
        <f>IF(OR(M26587="",N26587=""),"",SUMIFS('Barang Keluar'!$E:$E,'Barang Keluar'!$A:$A,M26587,'Barang Keluar'!$C:$C,N26587))</f>
        <v>0</v>
      </c>
    </row>
    <row r="26588" spans="13:16">
      <c r="M26588" s="49">
        <f>IF($A$4+265&gt;$B$4,"",$A$4+265)</f>
        <v>46288</v>
      </c>
      <c r="N26588">
        <f>IF(M26588="","",'Master Barang'!A82)</f>
        <v>0</v>
      </c>
      <c r="O26588">
        <f>IF(N26588="","",'Master Barang'!B82)</f>
        <v>0</v>
      </c>
      <c r="P26588">
        <f>IF(OR(M26588="",N26588=""),"",SUMIFS('Barang Keluar'!$E:$E,'Barang Keluar'!$A:$A,M26588,'Barang Keluar'!$C:$C,N26588))</f>
        <v>0</v>
      </c>
    </row>
    <row r="26589" spans="13:16">
      <c r="M26589" s="49">
        <f>IF($A$4+265&gt;$B$4,"",$A$4+265)</f>
        <v>46288</v>
      </c>
      <c r="N26589">
        <f>IF(M26589="","",'Master Barang'!A83)</f>
        <v>0</v>
      </c>
      <c r="O26589">
        <f>IF(N26589="","",'Master Barang'!B83)</f>
        <v>0</v>
      </c>
      <c r="P26589">
        <f>IF(OR(M26589="",N26589=""),"",SUMIFS('Barang Keluar'!$E:$E,'Barang Keluar'!$A:$A,M26589,'Barang Keluar'!$C:$C,N26589))</f>
        <v>0</v>
      </c>
    </row>
    <row r="26590" spans="13:16">
      <c r="M26590" s="49">
        <f>IF($A$4+265&gt;$B$4,"",$A$4+265)</f>
        <v>46288</v>
      </c>
      <c r="N26590">
        <f>IF(M26590="","",'Master Barang'!A84)</f>
        <v>0</v>
      </c>
      <c r="O26590">
        <f>IF(N26590="","",'Master Barang'!B84)</f>
        <v>0</v>
      </c>
      <c r="P26590">
        <f>IF(OR(M26590="",N26590=""),"",SUMIFS('Barang Keluar'!$E:$E,'Barang Keluar'!$A:$A,M26590,'Barang Keluar'!$C:$C,N26590))</f>
        <v>0</v>
      </c>
    </row>
    <row r="26591" spans="13:16">
      <c r="M26591" s="49">
        <f>IF($A$4+265&gt;$B$4,"",$A$4+265)</f>
        <v>46288</v>
      </c>
      <c r="N26591">
        <f>IF(M26591="","",'Master Barang'!A85)</f>
        <v>0</v>
      </c>
      <c r="O26591">
        <f>IF(N26591="","",'Master Barang'!B85)</f>
        <v>0</v>
      </c>
      <c r="P26591">
        <f>IF(OR(M26591="",N26591=""),"",SUMIFS('Barang Keluar'!$E:$E,'Barang Keluar'!$A:$A,M26591,'Barang Keluar'!$C:$C,N26591))</f>
        <v>0</v>
      </c>
    </row>
    <row r="26592" spans="13:16">
      <c r="M26592" s="49">
        <f>IF($A$4+265&gt;$B$4,"",$A$4+265)</f>
        <v>46288</v>
      </c>
      <c r="N26592">
        <f>IF(M26592="","",'Master Barang'!A86)</f>
        <v>0</v>
      </c>
      <c r="O26592">
        <f>IF(N26592="","",'Master Barang'!B86)</f>
        <v>0</v>
      </c>
      <c r="P26592">
        <f>IF(OR(M26592="",N26592=""),"",SUMIFS('Barang Keluar'!$E:$E,'Barang Keluar'!$A:$A,M26592,'Barang Keluar'!$C:$C,N26592))</f>
        <v>0</v>
      </c>
    </row>
    <row r="26593" spans="13:16">
      <c r="M26593" s="49">
        <f>IF($A$4+265&gt;$B$4,"",$A$4+265)</f>
        <v>46288</v>
      </c>
      <c r="N26593">
        <f>IF(M26593="","",'Master Barang'!A87)</f>
        <v>0</v>
      </c>
      <c r="O26593">
        <f>IF(N26593="","",'Master Barang'!B87)</f>
        <v>0</v>
      </c>
      <c r="P26593">
        <f>IF(OR(M26593="",N26593=""),"",SUMIFS('Barang Keluar'!$E:$E,'Barang Keluar'!$A:$A,M26593,'Barang Keluar'!$C:$C,N26593))</f>
        <v>0</v>
      </c>
    </row>
    <row r="26594" spans="13:16">
      <c r="M26594" s="49">
        <f>IF($A$4+265&gt;$B$4,"",$A$4+265)</f>
        <v>46288</v>
      </c>
      <c r="N26594">
        <f>IF(M26594="","",'Master Barang'!A88)</f>
        <v>0</v>
      </c>
      <c r="O26594">
        <f>IF(N26594="","",'Master Barang'!B88)</f>
        <v>0</v>
      </c>
      <c r="P26594">
        <f>IF(OR(M26594="",N26594=""),"",SUMIFS('Barang Keluar'!$E:$E,'Barang Keluar'!$A:$A,M26594,'Barang Keluar'!$C:$C,N26594))</f>
        <v>0</v>
      </c>
    </row>
    <row r="26595" spans="13:16">
      <c r="M26595" s="49">
        <f>IF($A$4+265&gt;$B$4,"",$A$4+265)</f>
        <v>46288</v>
      </c>
      <c r="N26595">
        <f>IF(M26595="","",'Master Barang'!A89)</f>
        <v>0</v>
      </c>
      <c r="O26595">
        <f>IF(N26595="","",'Master Barang'!B89)</f>
        <v>0</v>
      </c>
      <c r="P26595">
        <f>IF(OR(M26595="",N26595=""),"",SUMIFS('Barang Keluar'!$E:$E,'Barang Keluar'!$A:$A,M26595,'Barang Keluar'!$C:$C,N26595))</f>
        <v>0</v>
      </c>
    </row>
    <row r="26596" spans="13:16">
      <c r="M26596" s="49">
        <f>IF($A$4+265&gt;$B$4,"",$A$4+265)</f>
        <v>46288</v>
      </c>
      <c r="N26596">
        <f>IF(M26596="","",'Master Barang'!A90)</f>
        <v>0</v>
      </c>
      <c r="O26596">
        <f>IF(N26596="","",'Master Barang'!B90)</f>
        <v>0</v>
      </c>
      <c r="P26596">
        <f>IF(OR(M26596="",N26596=""),"",SUMIFS('Barang Keluar'!$E:$E,'Barang Keluar'!$A:$A,M26596,'Barang Keluar'!$C:$C,N26596))</f>
        <v>0</v>
      </c>
    </row>
    <row r="26597" spans="13:16">
      <c r="M26597" s="49">
        <f>IF($A$4+265&gt;$B$4,"",$A$4+265)</f>
        <v>46288</v>
      </c>
      <c r="N26597">
        <f>IF(M26597="","",'Master Barang'!A91)</f>
        <v>0</v>
      </c>
      <c r="O26597">
        <f>IF(N26597="","",'Master Barang'!B91)</f>
        <v>0</v>
      </c>
      <c r="P26597">
        <f>IF(OR(M26597="",N26597=""),"",SUMIFS('Barang Keluar'!$E:$E,'Barang Keluar'!$A:$A,M26597,'Barang Keluar'!$C:$C,N26597))</f>
        <v>0</v>
      </c>
    </row>
    <row r="26598" spans="13:16">
      <c r="M26598" s="49">
        <f>IF($A$4+265&gt;$B$4,"",$A$4+265)</f>
        <v>46288</v>
      </c>
      <c r="N26598">
        <f>IF(M26598="","",'Master Barang'!A92)</f>
        <v>0</v>
      </c>
      <c r="O26598">
        <f>IF(N26598="","",'Master Barang'!B92)</f>
        <v>0</v>
      </c>
      <c r="P26598">
        <f>IF(OR(M26598="",N26598=""),"",SUMIFS('Barang Keluar'!$E:$E,'Barang Keluar'!$A:$A,M26598,'Barang Keluar'!$C:$C,N26598))</f>
        <v>0</v>
      </c>
    </row>
    <row r="26599" spans="13:16">
      <c r="M26599" s="49">
        <f>IF($A$4+265&gt;$B$4,"",$A$4+265)</f>
        <v>46288</v>
      </c>
      <c r="N26599">
        <f>IF(M26599="","",'Master Barang'!A93)</f>
        <v>0</v>
      </c>
      <c r="O26599">
        <f>IF(N26599="","",'Master Barang'!B93)</f>
        <v>0</v>
      </c>
      <c r="P26599">
        <f>IF(OR(M26599="",N26599=""),"",SUMIFS('Barang Keluar'!$E:$E,'Barang Keluar'!$A:$A,M26599,'Barang Keluar'!$C:$C,N26599))</f>
        <v>0</v>
      </c>
    </row>
    <row r="26600" spans="13:16">
      <c r="M26600" s="49">
        <f>IF($A$4+265&gt;$B$4,"",$A$4+265)</f>
        <v>46288</v>
      </c>
      <c r="N26600">
        <f>IF(M26600="","",'Master Barang'!A94)</f>
        <v>0</v>
      </c>
      <c r="O26600">
        <f>IF(N26600="","",'Master Barang'!B94)</f>
        <v>0</v>
      </c>
      <c r="P26600">
        <f>IF(OR(M26600="",N26600=""),"",SUMIFS('Barang Keluar'!$E:$E,'Barang Keluar'!$A:$A,M26600,'Barang Keluar'!$C:$C,N26600))</f>
        <v>0</v>
      </c>
    </row>
    <row r="26601" spans="13:16">
      <c r="M26601" s="49">
        <f>IF($A$4+265&gt;$B$4,"",$A$4+265)</f>
        <v>46288</v>
      </c>
      <c r="N26601">
        <f>IF(M26601="","",'Master Barang'!A95)</f>
        <v>0</v>
      </c>
      <c r="O26601">
        <f>IF(N26601="","",'Master Barang'!B95)</f>
        <v>0</v>
      </c>
      <c r="P26601">
        <f>IF(OR(M26601="",N26601=""),"",SUMIFS('Barang Keluar'!$E:$E,'Barang Keluar'!$A:$A,M26601,'Barang Keluar'!$C:$C,N26601))</f>
        <v>0</v>
      </c>
    </row>
    <row r="26602" spans="13:16">
      <c r="M26602" s="49">
        <f>IF($A$4+265&gt;$B$4,"",$A$4+265)</f>
        <v>46288</v>
      </c>
      <c r="N26602">
        <f>IF(M26602="","",'Master Barang'!A96)</f>
        <v>0</v>
      </c>
      <c r="O26602">
        <f>IF(N26602="","",'Master Barang'!B96)</f>
        <v>0</v>
      </c>
      <c r="P26602">
        <f>IF(OR(M26602="",N26602=""),"",SUMIFS('Barang Keluar'!$E:$E,'Barang Keluar'!$A:$A,M26602,'Barang Keluar'!$C:$C,N26602))</f>
        <v>0</v>
      </c>
    </row>
    <row r="26603" spans="13:16">
      <c r="M26603" s="49">
        <f>IF($A$4+265&gt;$B$4,"",$A$4+265)</f>
        <v>46288</v>
      </c>
      <c r="N26603">
        <f>IF(M26603="","",'Master Barang'!A97)</f>
        <v>0</v>
      </c>
      <c r="O26603">
        <f>IF(N26603="","",'Master Barang'!B97)</f>
        <v>0</v>
      </c>
      <c r="P26603">
        <f>IF(OR(M26603="",N26603=""),"",SUMIFS('Barang Keluar'!$E:$E,'Barang Keluar'!$A:$A,M26603,'Barang Keluar'!$C:$C,N26603))</f>
        <v>0</v>
      </c>
    </row>
    <row r="26604" spans="13:16">
      <c r="M26604" s="49">
        <f>IF($A$4+265&gt;$B$4,"",$A$4+265)</f>
        <v>46288</v>
      </c>
      <c r="N26604">
        <f>IF(M26604="","",'Master Barang'!A98)</f>
        <v>0</v>
      </c>
      <c r="O26604">
        <f>IF(N26604="","",'Master Barang'!B98)</f>
        <v>0</v>
      </c>
      <c r="P26604">
        <f>IF(OR(M26604="",N26604=""),"",SUMIFS('Barang Keluar'!$E:$E,'Barang Keluar'!$A:$A,M26604,'Barang Keluar'!$C:$C,N26604))</f>
        <v>0</v>
      </c>
    </row>
    <row r="26605" spans="13:16">
      <c r="M26605" s="49">
        <f>IF($A$4+265&gt;$B$4,"",$A$4+265)</f>
        <v>46288</v>
      </c>
      <c r="N26605">
        <f>IF(M26605="","",'Master Barang'!A99)</f>
        <v>0</v>
      </c>
      <c r="O26605">
        <f>IF(N26605="","",'Master Barang'!B99)</f>
        <v>0</v>
      </c>
      <c r="P26605">
        <f>IF(OR(M26605="",N26605=""),"",SUMIFS('Barang Keluar'!$E:$E,'Barang Keluar'!$A:$A,M26605,'Barang Keluar'!$C:$C,N26605))</f>
        <v>0</v>
      </c>
    </row>
    <row r="26606" spans="13:16">
      <c r="M26606" s="49">
        <f>IF($A$4+265&gt;$B$4,"",$A$4+265)</f>
        <v>46288</v>
      </c>
      <c r="N26606">
        <f>IF(M26606="","",'Master Barang'!A100)</f>
        <v>0</v>
      </c>
      <c r="O26606">
        <f>IF(N26606="","",'Master Barang'!B100)</f>
        <v>0</v>
      </c>
      <c r="P26606">
        <f>IF(OR(M26606="",N26606=""),"",SUMIFS('Barang Keluar'!$E:$E,'Barang Keluar'!$A:$A,M26606,'Barang Keluar'!$C:$C,N26606))</f>
        <v>0</v>
      </c>
    </row>
    <row r="26607" spans="13:16">
      <c r="M26607" s="49">
        <f>IF($A$4+265&gt;$B$4,"",$A$4+265)</f>
        <v>46288</v>
      </c>
      <c r="N26607">
        <f>IF(M26607="","",'Master Barang'!A101)</f>
        <v>0</v>
      </c>
      <c r="O26607">
        <f>IF(N26607="","",'Master Barang'!B101)</f>
        <v>0</v>
      </c>
      <c r="P26607">
        <f>IF(OR(M26607="",N26607=""),"",SUMIFS('Barang Keluar'!$E:$E,'Barang Keluar'!$A:$A,M26607,'Barang Keluar'!$C:$C,N26607))</f>
        <v>0</v>
      </c>
    </row>
    <row r="26608" spans="13:16">
      <c r="M26608" s="49">
        <f>IF($A$4+266&gt;$B$4,"",$A$4+266)</f>
        <v>46289</v>
      </c>
      <c r="N26608" t="str">
        <f>IF(M26608="","",'Master Barang'!A2)</f>
        <v>PRL-001</v>
      </c>
      <c r="O26608" t="str">
        <f>IF(N26608="","",'Master Barang'!B2)</f>
        <v>natura desinfectant food grade 5l</v>
      </c>
      <c r="P26608">
        <f>IF(OR(M26608="",N26608=""),"",SUMIFS('Barang Keluar'!$E:$E,'Barang Keluar'!$A:$A,M26608,'Barang Keluar'!$C:$C,N26608))</f>
        <v>0</v>
      </c>
    </row>
    <row r="26609" spans="13:16">
      <c r="M26609" s="49">
        <f>IF($A$4+266&gt;$B$4,"",$A$4+266)</f>
        <v>46289</v>
      </c>
      <c r="N26609" t="str">
        <f>IF(M26609="","",'Master Barang'!A3)</f>
        <v>PRL-002</v>
      </c>
      <c r="O26609" t="str">
        <f>IF(N26609="","",'Master Barang'!B3)</f>
        <v>sunlight cairan pencuci piring 5l</v>
      </c>
      <c r="P26609">
        <f>IF(OR(M26609="",N26609=""),"",SUMIFS('Barang Keluar'!$E:$E,'Barang Keluar'!$A:$A,M26609,'Barang Keluar'!$C:$C,N26609))</f>
        <v>0</v>
      </c>
    </row>
    <row r="26610" spans="13:16">
      <c r="M26610" s="49">
        <f>IF($A$4+266&gt;$B$4,"",$A$4+266)</f>
        <v>46289</v>
      </c>
      <c r="N26610" t="str">
        <f>IF(M26610="","",'Master Barang'!A4)</f>
        <v>PRL-003</v>
      </c>
      <c r="O26610" t="str">
        <f>IF(N26610="","",'Master Barang'!B4)</f>
        <v>oixs cleaner 1l</v>
      </c>
      <c r="P26610">
        <f>IF(OR(M26610="",N26610=""),"",SUMIFS('Barang Keluar'!$E:$E,'Barang Keluar'!$A:$A,M26610,'Barang Keluar'!$C:$C,N26610))</f>
        <v>0</v>
      </c>
    </row>
    <row r="26611" spans="13:16">
      <c r="M26611" s="49">
        <f>IF($A$4+266&gt;$B$4,"",$A$4+266)</f>
        <v>46289</v>
      </c>
      <c r="N26611" t="str">
        <f>IF(M26611="","",'Master Barang'!A5)</f>
        <v>PRL-004</v>
      </c>
      <c r="O26611" t="str">
        <f>IF(N26611="","",'Master Barang'!B5)</f>
        <v>be clean tissue serbaguna</v>
      </c>
      <c r="P26611">
        <f>IF(OR(M26611="",N26611=""),"",SUMIFS('Barang Keluar'!$E:$E,'Barang Keluar'!$A:$A,M26611,'Barang Keluar'!$C:$C,N26611))</f>
        <v>0</v>
      </c>
    </row>
    <row r="26612" spans="13:16">
      <c r="M26612" s="49">
        <f>IF($A$4+266&gt;$B$4,"",$A$4+266)</f>
        <v>46289</v>
      </c>
      <c r="N26612" t="str">
        <f>IF(M26612="","",'Master Barang'!A6)</f>
        <v>PRL-005</v>
      </c>
      <c r="O26612" t="str">
        <f>IF(N26612="","",'Master Barang'!B6)</f>
        <v>spons cuci hijau</v>
      </c>
      <c r="P26612">
        <f>IF(OR(M26612="",N26612=""),"",SUMIFS('Barang Keluar'!$E:$E,'Barang Keluar'!$A:$A,M26612,'Barang Keluar'!$C:$C,N26612))</f>
        <v>0</v>
      </c>
    </row>
    <row r="26613" spans="13:16">
      <c r="M26613" s="49">
        <f>IF($A$4+266&gt;$B$4,"",$A$4+266)</f>
        <v>46289</v>
      </c>
      <c r="N26613" t="str">
        <f>IF(M26613="","",'Master Barang'!A7)</f>
        <v>PRL-006</v>
      </c>
      <c r="O26613" t="str">
        <f>IF(N26613="","",'Master Barang'!B7)</f>
        <v>sabut cuci stainless</v>
      </c>
      <c r="P26613">
        <f>IF(OR(M26613="",N26613=""),"",SUMIFS('Barang Keluar'!$E:$E,'Barang Keluar'!$A:$A,M26613,'Barang Keluar'!$C:$C,N26613))</f>
        <v>0</v>
      </c>
    </row>
    <row r="26614" spans="13:16">
      <c r="M26614" s="49">
        <f>IF($A$4+266&gt;$B$4,"",$A$4+266)</f>
        <v>46289</v>
      </c>
      <c r="N26614" t="str">
        <f>IF(M26614="","",'Master Barang'!A8)</f>
        <v>PRL-007</v>
      </c>
      <c r="O26614" t="str">
        <f>IF(N26614="","",'Master Barang'!B8)</f>
        <v>plastik kresek besar merah 50pc</v>
      </c>
      <c r="P26614">
        <f>IF(OR(M26614="",N26614=""),"",SUMIFS('Barang Keluar'!$E:$E,'Barang Keluar'!$A:$A,M26614,'Barang Keluar'!$C:$C,N26614))</f>
        <v>0</v>
      </c>
    </row>
    <row r="26615" spans="13:16">
      <c r="M26615" s="49">
        <f>IF($A$4+266&gt;$B$4,"",$A$4+266)</f>
        <v>46289</v>
      </c>
      <c r="N26615" t="str">
        <f>IF(M26615="","",'Master Barang'!A9)</f>
        <v>PRL-008</v>
      </c>
      <c r="O26615" t="str">
        <f>IF(N26615="","",'Master Barang'!B9)</f>
        <v>lap besar</v>
      </c>
      <c r="P26615">
        <f>IF(OR(M26615="",N26615=""),"",SUMIFS('Barang Keluar'!$E:$E,'Barang Keluar'!$A:$A,M26615,'Barang Keluar'!$C:$C,N26615))</f>
        <v>0</v>
      </c>
    </row>
    <row r="26616" spans="13:16">
      <c r="M26616" s="49">
        <f>IF($A$4+266&gt;$B$4,"",$A$4+266)</f>
        <v>46289</v>
      </c>
      <c r="N26616" t="str">
        <f>IF(M26616="","",'Master Barang'!A10)</f>
        <v>PRL-009</v>
      </c>
      <c r="O26616" t="str">
        <f>IF(N26616="","",'Master Barang'!B10)</f>
        <v>lap microfiber</v>
      </c>
      <c r="P26616">
        <f>IF(OR(M26616="",N26616=""),"",SUMIFS('Barang Keluar'!$E:$E,'Barang Keluar'!$A:$A,M26616,'Barang Keluar'!$C:$C,N26616))</f>
        <v>0</v>
      </c>
    </row>
    <row r="26617" spans="13:16">
      <c r="M26617" s="49">
        <f>IF($A$4+266&gt;$B$4,"",$A$4+266)</f>
        <v>46289</v>
      </c>
      <c r="N26617" t="str">
        <f>IF(M26617="","",'Master Barang'!A11)</f>
        <v>PRL-010</v>
      </c>
      <c r="O26617" t="str">
        <f>IF(N26617="","",'Master Barang'!B11)</f>
        <v>lap kecil</v>
      </c>
      <c r="P26617">
        <f>IF(OR(M26617="",N26617=""),"",SUMIFS('Barang Keluar'!$E:$E,'Barang Keluar'!$A:$A,M26617,'Barang Keluar'!$C:$C,N26617))</f>
        <v>0</v>
      </c>
    </row>
    <row r="26618" spans="13:16">
      <c r="M26618" s="49">
        <f>IF($A$4+266&gt;$B$4,"",$A$4+266)</f>
        <v>46289</v>
      </c>
      <c r="N26618" t="str">
        <f>IF(M26618="","",'Master Barang'!A12)</f>
        <v>PRL-011</v>
      </c>
      <c r="O26618" t="str">
        <f>IF(N26618="","",'Master Barang'!B12)</f>
        <v>kanebo kecil</v>
      </c>
      <c r="P26618">
        <f>IF(OR(M26618="",N26618=""),"",SUMIFS('Barang Keluar'!$E:$E,'Barang Keluar'!$A:$A,M26618,'Barang Keluar'!$C:$C,N26618))</f>
        <v>0</v>
      </c>
    </row>
    <row r="26619" spans="13:16">
      <c r="M26619" s="49">
        <f>IF($A$4+266&gt;$B$4,"",$A$4+266)</f>
        <v>46289</v>
      </c>
      <c r="N26619" t="str">
        <f>IF(M26619="","",'Master Barang'!A13)</f>
        <v>PRL-012</v>
      </c>
      <c r="O26619" t="str">
        <f>IF(N26619="","",'Master Barang'!B13)</f>
        <v>plastik 1/4kg joyoboyo 100 lembar</v>
      </c>
      <c r="P26619">
        <f>IF(OR(M26619="",N26619=""),"",SUMIFS('Barang Keluar'!$E:$E,'Barang Keluar'!$A:$A,M26619,'Barang Keluar'!$C:$C,N26619))</f>
        <v>0</v>
      </c>
    </row>
    <row r="26620" spans="13:16">
      <c r="M26620" s="49">
        <f>IF($A$4+266&gt;$B$4,"",$A$4+266)</f>
        <v>46289</v>
      </c>
      <c r="N26620" t="str">
        <f>IF(M26620="","",'Master Barang'!A14)</f>
        <v>PRL-013</v>
      </c>
      <c r="O26620" t="str">
        <f>IF(N26620="","",'Master Barang'!B14)</f>
        <v>sarung tangan plastik kaka 100 pcs</v>
      </c>
      <c r="P26620">
        <f>IF(OR(M26620="",N26620=""),"",SUMIFS('Barang Keluar'!$E:$E,'Barang Keluar'!$A:$A,M26620,'Barang Keluar'!$C:$C,N26620))</f>
        <v>0</v>
      </c>
    </row>
    <row r="26621" spans="13:16">
      <c r="M26621" s="49">
        <f>IF($A$4+266&gt;$B$4,"",$A$4+266)</f>
        <v>46289</v>
      </c>
      <c r="N26621" t="str">
        <f>IF(M26621="","",'Master Barang'!A15)</f>
        <v>PRL-014</v>
      </c>
      <c r="O26621" t="str">
        <f>IF(N26621="","",'Master Barang'!B15)</f>
        <v>optima trashbag 80x100</v>
      </c>
      <c r="P26621">
        <f>IF(OR(M26621="",N26621=""),"",SUMIFS('Barang Keluar'!$E:$E,'Barang Keluar'!$A:$A,M26621,'Barang Keluar'!$C:$C,N26621))</f>
        <v>0</v>
      </c>
    </row>
    <row r="26622" spans="13:16">
      <c r="M26622" s="49">
        <f>IF($A$4+266&gt;$B$4,"",$A$4+266)</f>
        <v>46289</v>
      </c>
      <c r="N26622" t="str">
        <f>IF(M26622="","",'Master Barang'!A16)</f>
        <v>PRL-015</v>
      </c>
      <c r="O26622" t="str">
        <f>IF(N26622="","",'Master Barang'!B16)</f>
        <v>optima trashbag 60x100</v>
      </c>
      <c r="P26622">
        <f>IF(OR(M26622="",N26622=""),"",SUMIFS('Barang Keluar'!$E:$E,'Barang Keluar'!$A:$A,M26622,'Barang Keluar'!$C:$C,N26622))</f>
        <v>0</v>
      </c>
    </row>
    <row r="26623" spans="13:16">
      <c r="M26623" s="49">
        <f>IF($A$4+266&gt;$B$4,"",$A$4+266)</f>
        <v>46289</v>
      </c>
      <c r="N26623" t="str">
        <f>IF(M26623="","",'Master Barang'!A17)</f>
        <v>PRL-016</v>
      </c>
      <c r="O26623" t="str">
        <f>IF(N26623="","",'Master Barang'!B17)</f>
        <v>rajawali trashbag 30x40</v>
      </c>
      <c r="P26623">
        <f>IF(OR(M26623="",N26623=""),"",SUMIFS('Barang Keluar'!$E:$E,'Barang Keluar'!$A:$A,M26623,'Barang Keluar'!$C:$C,N26623))</f>
        <v>0</v>
      </c>
    </row>
    <row r="26624" spans="13:16">
      <c r="M26624" s="49">
        <f>IF($A$4+266&gt;$B$4,"",$A$4+266)</f>
        <v>46289</v>
      </c>
      <c r="N26624" t="str">
        <f>IF(M26624="","",'Master Barang'!A18)</f>
        <v>PRL-017</v>
      </c>
      <c r="O26624" t="str">
        <f>IF(N26624="","",'Master Barang'!B18)</f>
        <v>onemed masker biru 3 play 50 pcs</v>
      </c>
      <c r="P26624">
        <f>IF(OR(M26624="",N26624=""),"",SUMIFS('Barang Keluar'!$E:$E,'Barang Keluar'!$A:$A,M26624,'Barang Keluar'!$C:$C,N26624))</f>
        <v>0</v>
      </c>
    </row>
    <row r="26625" spans="13:16">
      <c r="M26625" s="49">
        <f>IF($A$4+266&gt;$B$4,"",$A$4+266)</f>
        <v>46289</v>
      </c>
      <c r="N26625" t="str">
        <f>IF(M26625="","",'Master Barang'!A19)</f>
        <v>PRL-018</v>
      </c>
      <c r="O26625" t="str">
        <f>IF(N26625="","",'Master Barang'!B19)</f>
        <v>onemed masker biru 3 play hijab 50 pcs</v>
      </c>
      <c r="P26625">
        <f>IF(OR(M26625="",N26625=""),"",SUMIFS('Barang Keluar'!$E:$E,'Barang Keluar'!$A:$A,M26625,'Barang Keluar'!$C:$C,N26625))</f>
        <v>0</v>
      </c>
    </row>
    <row r="26626" spans="13:16">
      <c r="M26626" s="49">
        <f>IF($A$4+266&gt;$B$4,"",$A$4+266)</f>
        <v>46289</v>
      </c>
      <c r="N26626" t="str">
        <f>IF(M26626="","",'Master Barang'!A20)</f>
        <v>PRL-019</v>
      </c>
      <c r="O26626" t="str">
        <f>IF(N26626="","",'Master Barang'!B20)</f>
        <v>neo health masker biru 3 play 50 pcs</v>
      </c>
      <c r="P26626">
        <f>IF(OR(M26626="",N26626=""),"",SUMIFS('Barang Keluar'!$E:$E,'Barang Keluar'!$A:$A,M26626,'Barang Keluar'!$C:$C,N26626))</f>
        <v>0</v>
      </c>
    </row>
    <row r="26627" spans="13:16">
      <c r="M26627" s="49">
        <f>IF($A$4+266&gt;$B$4,"",$A$4+266)</f>
        <v>46289</v>
      </c>
      <c r="N26627" t="str">
        <f>IF(M26627="","",'Master Barang'!A21)</f>
        <v>PRL-020</v>
      </c>
      <c r="O26627" t="str">
        <f>IF(N26627="","",'Master Barang'!B21)</f>
        <v>baymed masker hijau 3 play hijau 50 pcs</v>
      </c>
      <c r="P26627">
        <f>IF(OR(M26627="",N26627=""),"",SUMIFS('Barang Keluar'!$E:$E,'Barang Keluar'!$A:$A,M26627,'Barang Keluar'!$C:$C,N26627))</f>
        <v>0</v>
      </c>
    </row>
    <row r="26628" spans="13:16">
      <c r="M26628" s="49">
        <f>IF($A$4+266&gt;$B$4,"",$A$4+266)</f>
        <v>46289</v>
      </c>
      <c r="N26628" t="str">
        <f>IF(M26628="","",'Master Barang'!A22)</f>
        <v>PRL-021</v>
      </c>
      <c r="O26628" t="str">
        <f>IF(N26628="","",'Master Barang'!B22)</f>
        <v>altamed nurse cap penutup kepala 100 pcs</v>
      </c>
      <c r="P26628">
        <f>IF(OR(M26628="",N26628=""),"",SUMIFS('Barang Keluar'!$E:$E,'Barang Keluar'!$A:$A,M26628,'Barang Keluar'!$C:$C,N26628))</f>
        <v>0</v>
      </c>
    </row>
    <row r="26629" spans="13:16">
      <c r="M26629" s="49">
        <f>IF($A$4+266&gt;$B$4,"",$A$4+266)</f>
        <v>46289</v>
      </c>
      <c r="N26629" t="str">
        <f>IF(M26629="","",'Master Barang'!A23)</f>
        <v>PRL-022</v>
      </c>
      <c r="O26629" t="str">
        <f>IF(N26629="","",'Master Barang'!B23)</f>
        <v>sabun cuci tangan</v>
      </c>
      <c r="P26629">
        <f>IF(OR(M26629="",N26629=""),"",SUMIFS('Barang Keluar'!$E:$E,'Barang Keluar'!$A:$A,M26629,'Barang Keluar'!$C:$C,N26629))</f>
        <v>0</v>
      </c>
    </row>
    <row r="26630" spans="13:16">
      <c r="M26630" s="49">
        <f>IF($A$4+266&gt;$B$4,"",$A$4+266)</f>
        <v>46289</v>
      </c>
      <c r="N26630" t="str">
        <f>IF(M26630="","",'Master Barang'!A24)</f>
        <v>PRL-023</v>
      </c>
      <c r="O26630" t="str">
        <f>IF(N26630="","",'Master Barang'!B24)</f>
        <v>gayung kecil</v>
      </c>
      <c r="P26630">
        <f>IF(OR(M26630="",N26630=""),"",SUMIFS('Barang Keluar'!$E:$E,'Barang Keluar'!$A:$A,M26630,'Barang Keluar'!$C:$C,N26630))</f>
        <v>0</v>
      </c>
    </row>
    <row r="26631" spans="13:16">
      <c r="M26631" s="49">
        <f>IF($A$4+266&gt;$B$4,"",$A$4+266)</f>
        <v>46289</v>
      </c>
      <c r="N26631" t="str">
        <f>IF(M26631="","",'Master Barang'!A25)</f>
        <v>PRL-024</v>
      </c>
      <c r="O26631" t="str">
        <f>IF(N26631="","",'Master Barang'!B25)</f>
        <v>cikrak kecil</v>
      </c>
      <c r="P26631">
        <f>IF(OR(M26631="",N26631=""),"",SUMIFS('Barang Keluar'!$E:$E,'Barang Keluar'!$A:$A,M26631,'Barang Keluar'!$C:$C,N26631))</f>
        <v>0</v>
      </c>
    </row>
    <row r="26632" spans="13:16">
      <c r="M26632" s="49">
        <f>IF($A$4+266&gt;$B$4,"",$A$4+266)</f>
        <v>46289</v>
      </c>
      <c r="N26632" t="str">
        <f>IF(M26632="","",'Master Barang'!A26)</f>
        <v>PRL-025</v>
      </c>
      <c r="O26632" t="str">
        <f>IF(N26632="","",'Master Barang'!B26)</f>
        <v>petromax plastik kecil 12x24 100 lembar</v>
      </c>
      <c r="P26632">
        <f>IF(OR(M26632="",N26632=""),"",SUMIFS('Barang Keluar'!$E:$E,'Barang Keluar'!$A:$A,M26632,'Barang Keluar'!$C:$C,N26632))</f>
        <v>0</v>
      </c>
    </row>
    <row r="26633" spans="13:16">
      <c r="M26633" s="49">
        <f>IF($A$4+266&gt;$B$4,"",$A$4+266)</f>
        <v>46289</v>
      </c>
      <c r="N26633" t="str">
        <f>IF(M26633="","",'Master Barang'!A27)</f>
        <v>PRL-026</v>
      </c>
      <c r="O26633" t="str">
        <f>IF(N26633="","",'Master Barang'!B27)</f>
        <v>lancar kresek kecil bening </v>
      </c>
      <c r="P26633">
        <f>IF(OR(M26633="",N26633=""),"",SUMIFS('Barang Keluar'!$E:$E,'Barang Keluar'!$A:$A,M26633,'Barang Keluar'!$C:$C,N26633))</f>
        <v>0</v>
      </c>
    </row>
    <row r="26634" spans="13:16">
      <c r="M26634" s="49">
        <f>IF($A$4+266&gt;$B$4,"",$A$4+266)</f>
        <v>46289</v>
      </c>
      <c r="N26634" t="str">
        <f>IF(M26634="","",'Master Barang'!A28)</f>
        <v>PRL-027</v>
      </c>
      <c r="O26634" t="str">
        <f>IF(N26634="","",'Master Barang'!B28)</f>
        <v>kresek klin warna warni kecil</v>
      </c>
      <c r="P26634">
        <f>IF(OR(M26634="",N26634=""),"",SUMIFS('Barang Keluar'!$E:$E,'Barang Keluar'!$A:$A,M26634,'Barang Keluar'!$C:$C,N26634))</f>
        <v>0</v>
      </c>
    </row>
    <row r="26635" spans="13:16">
      <c r="M26635" s="49">
        <f>IF($A$4+266&gt;$B$4,"",$A$4+266)</f>
        <v>46289</v>
      </c>
      <c r="N26635" t="str">
        <f>IF(M26635="","",'Master Barang'!A29)</f>
        <v>PRL-028</v>
      </c>
      <c r="O26635" t="str">
        <f>IF(N26635="","",'Master Barang'!B29)</f>
        <v>ctik plastik 7x10 100 pcs</v>
      </c>
      <c r="P26635">
        <f>IF(OR(M26635="",N26635=""),"",SUMIFS('Barang Keluar'!$E:$E,'Barang Keluar'!$A:$A,M26635,'Barang Keluar'!$C:$C,N26635))</f>
        <v>0</v>
      </c>
    </row>
    <row r="26636" spans="13:16">
      <c r="M26636" s="49">
        <f>IF($A$4+266&gt;$B$4,"",$A$4+266)</f>
        <v>46289</v>
      </c>
      <c r="N26636" t="str">
        <f>IF(M26636="","",'Master Barang'!A30)</f>
        <v>PRL-029</v>
      </c>
      <c r="O26636" t="str">
        <f>IF(N26636="","",'Master Barang'!B30)</f>
        <v>ctik plastik 6x10 100 pcs</v>
      </c>
      <c r="P26636">
        <f>IF(OR(M26636="",N26636=""),"",SUMIFS('Barang Keluar'!$E:$E,'Barang Keluar'!$A:$A,M26636,'Barang Keluar'!$C:$C,N26636))</f>
        <v>0</v>
      </c>
    </row>
    <row r="26637" spans="13:16">
      <c r="M26637" s="49">
        <f>IF($A$4+266&gt;$B$4,"",$A$4+266)</f>
        <v>46289</v>
      </c>
      <c r="N26637" t="str">
        <f>IF(M26637="","",'Master Barang'!A31)</f>
        <v>PRL-030</v>
      </c>
      <c r="O26637" t="str">
        <f>IF(N26637="","",'Master Barang'!B31)</f>
        <v>klip plastik 25x16 100 pcs</v>
      </c>
      <c r="P26637">
        <f>IF(OR(M26637="",N26637=""),"",SUMIFS('Barang Keluar'!$E:$E,'Barang Keluar'!$A:$A,M26637,'Barang Keluar'!$C:$C,N26637))</f>
        <v>0</v>
      </c>
    </row>
    <row r="26638" spans="13:16">
      <c r="M26638" s="49">
        <f>IF($A$4+266&gt;$B$4,"",$A$4+266)</f>
        <v>46289</v>
      </c>
      <c r="N26638" t="str">
        <f>IF(M26638="","",'Master Barang'!A32)</f>
        <v>PRL-031</v>
      </c>
      <c r="O26638" t="str">
        <f>IF(N26638="","",'Master Barang'!B32)</f>
        <v>tempat saus 20 ml</v>
      </c>
      <c r="P26638">
        <f>IF(OR(M26638="",N26638=""),"",SUMIFS('Barang Keluar'!$E:$E,'Barang Keluar'!$A:$A,M26638,'Barang Keluar'!$C:$C,N26638))</f>
        <v>0</v>
      </c>
    </row>
    <row r="26639" spans="13:16">
      <c r="M26639" s="49">
        <f>IF($A$4+266&gt;$B$4,"",$A$4+266)</f>
        <v>46289</v>
      </c>
      <c r="N26639" t="str">
        <f>IF(M26639="","",'Master Barang'!A33)</f>
        <v>PRL-032</v>
      </c>
      <c r="O26639" t="str">
        <f>IF(N26639="","",'Master Barang'!B33)</f>
        <v>plastik packaging ag box uk sedang</v>
      </c>
      <c r="P26639">
        <f>IF(OR(M26639="",N26639=""),"",SUMIFS('Barang Keluar'!$E:$E,'Barang Keluar'!$A:$A,M26639,'Barang Keluar'!$C:$C,N26639))</f>
        <v>0</v>
      </c>
    </row>
    <row r="26640" spans="13:16">
      <c r="M26640" s="49">
        <f>IF($A$4+266&gt;$B$4,"",$A$4+266)</f>
        <v>46289</v>
      </c>
      <c r="N26640" t="str">
        <f>IF(M26640="","",'Master Barang'!A34)</f>
        <v>PRL-033</v>
      </c>
      <c r="O26640">
        <f>IF(N26640="","",'Master Barang'!B34)</f>
        <v>0</v>
      </c>
      <c r="P26640">
        <f>IF(OR(M26640="",N26640=""),"",SUMIFS('Barang Keluar'!$E:$E,'Barang Keluar'!$A:$A,M26640,'Barang Keluar'!$C:$C,N26640))</f>
        <v>0</v>
      </c>
    </row>
    <row r="26641" spans="13:16">
      <c r="M26641" s="49">
        <f>IF($A$4+266&gt;$B$4,"",$A$4+266)</f>
        <v>46289</v>
      </c>
      <c r="N26641">
        <f>IF(M26641="","",'Master Barang'!A35)</f>
        <v>0</v>
      </c>
      <c r="O26641">
        <f>IF(N26641="","",'Master Barang'!B35)</f>
        <v>0</v>
      </c>
      <c r="P26641">
        <f>IF(OR(M26641="",N26641=""),"",SUMIFS('Barang Keluar'!$E:$E,'Barang Keluar'!$A:$A,M26641,'Barang Keluar'!$C:$C,N26641))</f>
        <v>0</v>
      </c>
    </row>
    <row r="26642" spans="13:16">
      <c r="M26642" s="49">
        <f>IF($A$4+266&gt;$B$4,"",$A$4+266)</f>
        <v>46289</v>
      </c>
      <c r="N26642">
        <f>IF(M26642="","",'Master Barang'!A36)</f>
        <v>0</v>
      </c>
      <c r="O26642">
        <f>IF(N26642="","",'Master Barang'!B36)</f>
        <v>0</v>
      </c>
      <c r="P26642">
        <f>IF(OR(M26642="",N26642=""),"",SUMIFS('Barang Keluar'!$E:$E,'Barang Keluar'!$A:$A,M26642,'Barang Keluar'!$C:$C,N26642))</f>
        <v>0</v>
      </c>
    </row>
    <row r="26643" spans="13:16">
      <c r="M26643" s="49">
        <f>IF($A$4+266&gt;$B$4,"",$A$4+266)</f>
        <v>46289</v>
      </c>
      <c r="N26643">
        <f>IF(M26643="","",'Master Barang'!A37)</f>
        <v>0</v>
      </c>
      <c r="O26643">
        <f>IF(N26643="","",'Master Barang'!B37)</f>
        <v>0</v>
      </c>
      <c r="P26643">
        <f>IF(OR(M26643="",N26643=""),"",SUMIFS('Barang Keluar'!$E:$E,'Barang Keluar'!$A:$A,M26643,'Barang Keluar'!$C:$C,N26643))</f>
        <v>0</v>
      </c>
    </row>
    <row r="26644" spans="13:16">
      <c r="M26644" s="49">
        <f>IF($A$4+266&gt;$B$4,"",$A$4+266)</f>
        <v>46289</v>
      </c>
      <c r="N26644">
        <f>IF(M26644="","",'Master Barang'!A38)</f>
        <v>0</v>
      </c>
      <c r="O26644">
        <f>IF(N26644="","",'Master Barang'!B38)</f>
        <v>0</v>
      </c>
      <c r="P26644">
        <f>IF(OR(M26644="",N26644=""),"",SUMIFS('Barang Keluar'!$E:$E,'Barang Keluar'!$A:$A,M26644,'Barang Keluar'!$C:$C,N26644))</f>
        <v>0</v>
      </c>
    </row>
    <row r="26645" spans="13:16">
      <c r="M26645" s="49">
        <f>IF($A$4+266&gt;$B$4,"",$A$4+266)</f>
        <v>46289</v>
      </c>
      <c r="N26645">
        <f>IF(M26645="","",'Master Barang'!A39)</f>
        <v>0</v>
      </c>
      <c r="O26645">
        <f>IF(N26645="","",'Master Barang'!B39)</f>
        <v>0</v>
      </c>
      <c r="P26645">
        <f>IF(OR(M26645="",N26645=""),"",SUMIFS('Barang Keluar'!$E:$E,'Barang Keluar'!$A:$A,M26645,'Barang Keluar'!$C:$C,N26645))</f>
        <v>0</v>
      </c>
    </row>
    <row r="26646" spans="13:16">
      <c r="M26646" s="49">
        <f>IF($A$4+266&gt;$B$4,"",$A$4+266)</f>
        <v>46289</v>
      </c>
      <c r="N26646">
        <f>IF(M26646="","",'Master Barang'!A40)</f>
        <v>0</v>
      </c>
      <c r="O26646">
        <f>IF(N26646="","",'Master Barang'!B40)</f>
        <v>0</v>
      </c>
      <c r="P26646">
        <f>IF(OR(M26646="",N26646=""),"",SUMIFS('Barang Keluar'!$E:$E,'Barang Keluar'!$A:$A,M26646,'Barang Keluar'!$C:$C,N26646))</f>
        <v>0</v>
      </c>
    </row>
    <row r="26647" spans="13:16">
      <c r="M26647" s="49">
        <f>IF($A$4+266&gt;$B$4,"",$A$4+266)</f>
        <v>46289</v>
      </c>
      <c r="N26647">
        <f>IF(M26647="","",'Master Barang'!A41)</f>
        <v>0</v>
      </c>
      <c r="O26647">
        <f>IF(N26647="","",'Master Barang'!B41)</f>
        <v>0</v>
      </c>
      <c r="P26647">
        <f>IF(OR(M26647="",N26647=""),"",SUMIFS('Barang Keluar'!$E:$E,'Barang Keluar'!$A:$A,M26647,'Barang Keluar'!$C:$C,N26647))</f>
        <v>0</v>
      </c>
    </row>
    <row r="26648" spans="13:16">
      <c r="M26648" s="49">
        <f>IF($A$4+266&gt;$B$4,"",$A$4+266)</f>
        <v>46289</v>
      </c>
      <c r="N26648">
        <f>IF(M26648="","",'Master Barang'!A42)</f>
        <v>0</v>
      </c>
      <c r="O26648">
        <f>IF(N26648="","",'Master Barang'!B42)</f>
        <v>0</v>
      </c>
      <c r="P26648">
        <f>IF(OR(M26648="",N26648=""),"",SUMIFS('Barang Keluar'!$E:$E,'Barang Keluar'!$A:$A,M26648,'Barang Keluar'!$C:$C,N26648))</f>
        <v>0</v>
      </c>
    </row>
    <row r="26649" spans="13:16">
      <c r="M26649" s="49">
        <f>IF($A$4+266&gt;$B$4,"",$A$4+266)</f>
        <v>46289</v>
      </c>
      <c r="N26649">
        <f>IF(M26649="","",'Master Barang'!A43)</f>
        <v>0</v>
      </c>
      <c r="O26649">
        <f>IF(N26649="","",'Master Barang'!B43)</f>
        <v>0</v>
      </c>
      <c r="P26649">
        <f>IF(OR(M26649="",N26649=""),"",SUMIFS('Barang Keluar'!$E:$E,'Barang Keluar'!$A:$A,M26649,'Barang Keluar'!$C:$C,N26649))</f>
        <v>0</v>
      </c>
    </row>
    <row r="26650" spans="13:16">
      <c r="M26650" s="49">
        <f>IF($A$4+266&gt;$B$4,"",$A$4+266)</f>
        <v>46289</v>
      </c>
      <c r="N26650">
        <f>IF(M26650="","",'Master Barang'!A44)</f>
        <v>0</v>
      </c>
      <c r="O26650">
        <f>IF(N26650="","",'Master Barang'!B44)</f>
        <v>0</v>
      </c>
      <c r="P26650">
        <f>IF(OR(M26650="",N26650=""),"",SUMIFS('Barang Keluar'!$E:$E,'Barang Keluar'!$A:$A,M26650,'Barang Keluar'!$C:$C,N26650))</f>
        <v>0</v>
      </c>
    </row>
    <row r="26651" spans="13:16">
      <c r="M26651" s="49">
        <f>IF($A$4+266&gt;$B$4,"",$A$4+266)</f>
        <v>46289</v>
      </c>
      <c r="N26651">
        <f>IF(M26651="","",'Master Barang'!A45)</f>
        <v>0</v>
      </c>
      <c r="O26651">
        <f>IF(N26651="","",'Master Barang'!B45)</f>
        <v>0</v>
      </c>
      <c r="P26651">
        <f>IF(OR(M26651="",N26651=""),"",SUMIFS('Barang Keluar'!$E:$E,'Barang Keluar'!$A:$A,M26651,'Barang Keluar'!$C:$C,N26651))</f>
        <v>0</v>
      </c>
    </row>
    <row r="26652" spans="13:16">
      <c r="M26652" s="49">
        <f>IF($A$4+266&gt;$B$4,"",$A$4+266)</f>
        <v>46289</v>
      </c>
      <c r="N26652">
        <f>IF(M26652="","",'Master Barang'!A46)</f>
        <v>0</v>
      </c>
      <c r="O26652">
        <f>IF(N26652="","",'Master Barang'!B46)</f>
        <v>0</v>
      </c>
      <c r="P26652">
        <f>IF(OR(M26652="",N26652=""),"",SUMIFS('Barang Keluar'!$E:$E,'Barang Keluar'!$A:$A,M26652,'Barang Keluar'!$C:$C,N26652))</f>
        <v>0</v>
      </c>
    </row>
    <row r="26653" spans="13:16">
      <c r="M26653" s="49">
        <f>IF($A$4+266&gt;$B$4,"",$A$4+266)</f>
        <v>46289</v>
      </c>
      <c r="N26653">
        <f>IF(M26653="","",'Master Barang'!A47)</f>
        <v>0</v>
      </c>
      <c r="O26653">
        <f>IF(N26653="","",'Master Barang'!B47)</f>
        <v>0</v>
      </c>
      <c r="P26653">
        <f>IF(OR(M26653="",N26653=""),"",SUMIFS('Barang Keluar'!$E:$E,'Barang Keluar'!$A:$A,M26653,'Barang Keluar'!$C:$C,N26653))</f>
        <v>0</v>
      </c>
    </row>
    <row r="26654" spans="13:16">
      <c r="M26654" s="49">
        <f>IF($A$4+266&gt;$B$4,"",$A$4+266)</f>
        <v>46289</v>
      </c>
      <c r="N26654">
        <f>IF(M26654="","",'Master Barang'!A48)</f>
        <v>0</v>
      </c>
      <c r="O26654">
        <f>IF(N26654="","",'Master Barang'!B48)</f>
        <v>0</v>
      </c>
      <c r="P26654">
        <f>IF(OR(M26654="",N26654=""),"",SUMIFS('Barang Keluar'!$E:$E,'Barang Keluar'!$A:$A,M26654,'Barang Keluar'!$C:$C,N26654))</f>
        <v>0</v>
      </c>
    </row>
    <row r="26655" spans="13:16">
      <c r="M26655" s="49">
        <f>IF($A$4+266&gt;$B$4,"",$A$4+266)</f>
        <v>46289</v>
      </c>
      <c r="N26655">
        <f>IF(M26655="","",'Master Barang'!A49)</f>
        <v>0</v>
      </c>
      <c r="O26655">
        <f>IF(N26655="","",'Master Barang'!B49)</f>
        <v>0</v>
      </c>
      <c r="P26655">
        <f>IF(OR(M26655="",N26655=""),"",SUMIFS('Barang Keluar'!$E:$E,'Barang Keluar'!$A:$A,M26655,'Barang Keluar'!$C:$C,N26655))</f>
        <v>0</v>
      </c>
    </row>
    <row r="26656" spans="13:16">
      <c r="M26656" s="49">
        <f>IF($A$4+266&gt;$B$4,"",$A$4+266)</f>
        <v>46289</v>
      </c>
      <c r="N26656">
        <f>IF(M26656="","",'Master Barang'!A50)</f>
        <v>0</v>
      </c>
      <c r="O26656">
        <f>IF(N26656="","",'Master Barang'!B50)</f>
        <v>0</v>
      </c>
      <c r="P26656">
        <f>IF(OR(M26656="",N26656=""),"",SUMIFS('Barang Keluar'!$E:$E,'Barang Keluar'!$A:$A,M26656,'Barang Keluar'!$C:$C,N26656))</f>
        <v>0</v>
      </c>
    </row>
    <row r="26657" spans="13:16">
      <c r="M26657" s="49">
        <f>IF($A$4+266&gt;$B$4,"",$A$4+266)</f>
        <v>46289</v>
      </c>
      <c r="N26657">
        <f>IF(M26657="","",'Master Barang'!A51)</f>
        <v>0</v>
      </c>
      <c r="O26657">
        <f>IF(N26657="","",'Master Barang'!B51)</f>
        <v>0</v>
      </c>
      <c r="P26657">
        <f>IF(OR(M26657="",N26657=""),"",SUMIFS('Barang Keluar'!$E:$E,'Barang Keluar'!$A:$A,M26657,'Barang Keluar'!$C:$C,N26657))</f>
        <v>0</v>
      </c>
    </row>
    <row r="26658" spans="13:16">
      <c r="M26658" s="49">
        <f>IF($A$4+266&gt;$B$4,"",$A$4+266)</f>
        <v>46289</v>
      </c>
      <c r="N26658">
        <f>IF(M26658="","",'Master Barang'!A52)</f>
        <v>0</v>
      </c>
      <c r="O26658">
        <f>IF(N26658="","",'Master Barang'!B52)</f>
        <v>0</v>
      </c>
      <c r="P26658">
        <f>IF(OR(M26658="",N26658=""),"",SUMIFS('Barang Keluar'!$E:$E,'Barang Keluar'!$A:$A,M26658,'Barang Keluar'!$C:$C,N26658))</f>
        <v>0</v>
      </c>
    </row>
    <row r="26659" spans="13:16">
      <c r="M26659" s="49">
        <f>IF($A$4+266&gt;$B$4,"",$A$4+266)</f>
        <v>46289</v>
      </c>
      <c r="N26659">
        <f>IF(M26659="","",'Master Barang'!A53)</f>
        <v>0</v>
      </c>
      <c r="O26659">
        <f>IF(N26659="","",'Master Barang'!B53)</f>
        <v>0</v>
      </c>
      <c r="P26659">
        <f>IF(OR(M26659="",N26659=""),"",SUMIFS('Barang Keluar'!$E:$E,'Barang Keluar'!$A:$A,M26659,'Barang Keluar'!$C:$C,N26659))</f>
        <v>0</v>
      </c>
    </row>
    <row r="26660" spans="13:16">
      <c r="M26660" s="49">
        <f>IF($A$4+266&gt;$B$4,"",$A$4+266)</f>
        <v>46289</v>
      </c>
      <c r="N26660">
        <f>IF(M26660="","",'Master Barang'!A54)</f>
        <v>0</v>
      </c>
      <c r="O26660">
        <f>IF(N26660="","",'Master Barang'!B54)</f>
        <v>0</v>
      </c>
      <c r="P26660">
        <f>IF(OR(M26660="",N26660=""),"",SUMIFS('Barang Keluar'!$E:$E,'Barang Keluar'!$A:$A,M26660,'Barang Keluar'!$C:$C,N26660))</f>
        <v>0</v>
      </c>
    </row>
    <row r="26661" spans="13:16">
      <c r="M26661" s="49">
        <f>IF($A$4+266&gt;$B$4,"",$A$4+266)</f>
        <v>46289</v>
      </c>
      <c r="N26661">
        <f>IF(M26661="","",'Master Barang'!A55)</f>
        <v>0</v>
      </c>
      <c r="O26661">
        <f>IF(N26661="","",'Master Barang'!B55)</f>
        <v>0</v>
      </c>
      <c r="P26661">
        <f>IF(OR(M26661="",N26661=""),"",SUMIFS('Barang Keluar'!$E:$E,'Barang Keluar'!$A:$A,M26661,'Barang Keluar'!$C:$C,N26661))</f>
        <v>0</v>
      </c>
    </row>
    <row r="26662" spans="13:16">
      <c r="M26662" s="49">
        <f>IF($A$4+266&gt;$B$4,"",$A$4+266)</f>
        <v>46289</v>
      </c>
      <c r="N26662">
        <f>IF(M26662="","",'Master Barang'!A56)</f>
        <v>0</v>
      </c>
      <c r="O26662">
        <f>IF(N26662="","",'Master Barang'!B56)</f>
        <v>0</v>
      </c>
      <c r="P26662">
        <f>IF(OR(M26662="",N26662=""),"",SUMIFS('Barang Keluar'!$E:$E,'Barang Keluar'!$A:$A,M26662,'Barang Keluar'!$C:$C,N26662))</f>
        <v>0</v>
      </c>
    </row>
    <row r="26663" spans="13:16">
      <c r="M26663" s="49">
        <f>IF($A$4+266&gt;$B$4,"",$A$4+266)</f>
        <v>46289</v>
      </c>
      <c r="N26663">
        <f>IF(M26663="","",'Master Barang'!A57)</f>
        <v>0</v>
      </c>
      <c r="O26663">
        <f>IF(N26663="","",'Master Barang'!B57)</f>
        <v>0</v>
      </c>
      <c r="P26663">
        <f>IF(OR(M26663="",N26663=""),"",SUMIFS('Barang Keluar'!$E:$E,'Barang Keluar'!$A:$A,M26663,'Barang Keluar'!$C:$C,N26663))</f>
        <v>0</v>
      </c>
    </row>
    <row r="26664" spans="13:16">
      <c r="M26664" s="49">
        <f>IF($A$4+266&gt;$B$4,"",$A$4+266)</f>
        <v>46289</v>
      </c>
      <c r="N26664">
        <f>IF(M26664="","",'Master Barang'!A58)</f>
        <v>0</v>
      </c>
      <c r="O26664">
        <f>IF(N26664="","",'Master Barang'!B58)</f>
        <v>0</v>
      </c>
      <c r="P26664">
        <f>IF(OR(M26664="",N26664=""),"",SUMIFS('Barang Keluar'!$E:$E,'Barang Keluar'!$A:$A,M26664,'Barang Keluar'!$C:$C,N26664))</f>
        <v>0</v>
      </c>
    </row>
    <row r="26665" spans="13:16">
      <c r="M26665" s="49">
        <f>IF($A$4+266&gt;$B$4,"",$A$4+266)</f>
        <v>46289</v>
      </c>
      <c r="N26665">
        <f>IF(M26665="","",'Master Barang'!A59)</f>
        <v>0</v>
      </c>
      <c r="O26665">
        <f>IF(N26665="","",'Master Barang'!B59)</f>
        <v>0</v>
      </c>
      <c r="P26665">
        <f>IF(OR(M26665="",N26665=""),"",SUMIFS('Barang Keluar'!$E:$E,'Barang Keluar'!$A:$A,M26665,'Barang Keluar'!$C:$C,N26665))</f>
        <v>0</v>
      </c>
    </row>
    <row r="26666" spans="13:16">
      <c r="M26666" s="49">
        <f>IF($A$4+266&gt;$B$4,"",$A$4+266)</f>
        <v>46289</v>
      </c>
      <c r="N26666">
        <f>IF(M26666="","",'Master Barang'!A60)</f>
        <v>0</v>
      </c>
      <c r="O26666">
        <f>IF(N26666="","",'Master Barang'!B60)</f>
        <v>0</v>
      </c>
      <c r="P26666">
        <f>IF(OR(M26666="",N26666=""),"",SUMIFS('Barang Keluar'!$E:$E,'Barang Keluar'!$A:$A,M26666,'Barang Keluar'!$C:$C,N26666))</f>
        <v>0</v>
      </c>
    </row>
    <row r="26667" spans="13:16">
      <c r="M26667" s="49">
        <f>IF($A$4+266&gt;$B$4,"",$A$4+266)</f>
        <v>46289</v>
      </c>
      <c r="N26667">
        <f>IF(M26667="","",'Master Barang'!A61)</f>
        <v>0</v>
      </c>
      <c r="O26667">
        <f>IF(N26667="","",'Master Barang'!B61)</f>
        <v>0</v>
      </c>
      <c r="P26667">
        <f>IF(OR(M26667="",N26667=""),"",SUMIFS('Barang Keluar'!$E:$E,'Barang Keluar'!$A:$A,M26667,'Barang Keluar'!$C:$C,N26667))</f>
        <v>0</v>
      </c>
    </row>
    <row r="26668" spans="13:16">
      <c r="M26668" s="49">
        <f>IF($A$4+266&gt;$B$4,"",$A$4+266)</f>
        <v>46289</v>
      </c>
      <c r="N26668">
        <f>IF(M26668="","",'Master Barang'!A62)</f>
        <v>0</v>
      </c>
      <c r="O26668">
        <f>IF(N26668="","",'Master Barang'!B62)</f>
        <v>0</v>
      </c>
      <c r="P26668">
        <f>IF(OR(M26668="",N26668=""),"",SUMIFS('Barang Keluar'!$E:$E,'Barang Keluar'!$A:$A,M26668,'Barang Keluar'!$C:$C,N26668))</f>
        <v>0</v>
      </c>
    </row>
    <row r="26669" spans="13:16">
      <c r="M26669" s="49">
        <f>IF($A$4+266&gt;$B$4,"",$A$4+266)</f>
        <v>46289</v>
      </c>
      <c r="N26669">
        <f>IF(M26669="","",'Master Barang'!A63)</f>
        <v>0</v>
      </c>
      <c r="O26669">
        <f>IF(N26669="","",'Master Barang'!B63)</f>
        <v>0</v>
      </c>
      <c r="P26669">
        <f>IF(OR(M26669="",N26669=""),"",SUMIFS('Barang Keluar'!$E:$E,'Barang Keluar'!$A:$A,M26669,'Barang Keluar'!$C:$C,N26669))</f>
        <v>0</v>
      </c>
    </row>
    <row r="26670" spans="13:16">
      <c r="M26670" s="49">
        <f>IF($A$4+266&gt;$B$4,"",$A$4+266)</f>
        <v>46289</v>
      </c>
      <c r="N26670">
        <f>IF(M26670="","",'Master Barang'!A64)</f>
        <v>0</v>
      </c>
      <c r="O26670">
        <f>IF(N26670="","",'Master Barang'!B64)</f>
        <v>0</v>
      </c>
      <c r="P26670">
        <f>IF(OR(M26670="",N26670=""),"",SUMIFS('Barang Keluar'!$E:$E,'Barang Keluar'!$A:$A,M26670,'Barang Keluar'!$C:$C,N26670))</f>
        <v>0</v>
      </c>
    </row>
    <row r="26671" spans="13:16">
      <c r="M26671" s="49">
        <f>IF($A$4+266&gt;$B$4,"",$A$4+266)</f>
        <v>46289</v>
      </c>
      <c r="N26671">
        <f>IF(M26671="","",'Master Barang'!A65)</f>
        <v>0</v>
      </c>
      <c r="O26671">
        <f>IF(N26671="","",'Master Barang'!B65)</f>
        <v>0</v>
      </c>
      <c r="P26671">
        <f>IF(OR(M26671="",N26671=""),"",SUMIFS('Barang Keluar'!$E:$E,'Barang Keluar'!$A:$A,M26671,'Barang Keluar'!$C:$C,N26671))</f>
        <v>0</v>
      </c>
    </row>
    <row r="26672" spans="13:16">
      <c r="M26672" s="49">
        <f>IF($A$4+266&gt;$B$4,"",$A$4+266)</f>
        <v>46289</v>
      </c>
      <c r="N26672">
        <f>IF(M26672="","",'Master Barang'!A66)</f>
        <v>0</v>
      </c>
      <c r="O26672">
        <f>IF(N26672="","",'Master Barang'!B66)</f>
        <v>0</v>
      </c>
      <c r="P26672">
        <f>IF(OR(M26672="",N26672=""),"",SUMIFS('Barang Keluar'!$E:$E,'Barang Keluar'!$A:$A,M26672,'Barang Keluar'!$C:$C,N26672))</f>
        <v>0</v>
      </c>
    </row>
    <row r="26673" spans="13:16">
      <c r="M26673" s="49">
        <f>IF($A$4+266&gt;$B$4,"",$A$4+266)</f>
        <v>46289</v>
      </c>
      <c r="N26673">
        <f>IF(M26673="","",'Master Barang'!A67)</f>
        <v>0</v>
      </c>
      <c r="O26673">
        <f>IF(N26673="","",'Master Barang'!B67)</f>
        <v>0</v>
      </c>
      <c r="P26673">
        <f>IF(OR(M26673="",N26673=""),"",SUMIFS('Barang Keluar'!$E:$E,'Barang Keluar'!$A:$A,M26673,'Barang Keluar'!$C:$C,N26673))</f>
        <v>0</v>
      </c>
    </row>
    <row r="26674" spans="13:16">
      <c r="M26674" s="49">
        <f>IF($A$4+266&gt;$B$4,"",$A$4+266)</f>
        <v>46289</v>
      </c>
      <c r="N26674">
        <f>IF(M26674="","",'Master Barang'!A68)</f>
        <v>0</v>
      </c>
      <c r="O26674">
        <f>IF(N26674="","",'Master Barang'!B68)</f>
        <v>0</v>
      </c>
      <c r="P26674">
        <f>IF(OR(M26674="",N26674=""),"",SUMIFS('Barang Keluar'!$E:$E,'Barang Keluar'!$A:$A,M26674,'Barang Keluar'!$C:$C,N26674))</f>
        <v>0</v>
      </c>
    </row>
    <row r="26675" spans="13:16">
      <c r="M26675" s="49">
        <f>IF($A$4+266&gt;$B$4,"",$A$4+266)</f>
        <v>46289</v>
      </c>
      <c r="N26675">
        <f>IF(M26675="","",'Master Barang'!A69)</f>
        <v>0</v>
      </c>
      <c r="O26675">
        <f>IF(N26675="","",'Master Barang'!B69)</f>
        <v>0</v>
      </c>
      <c r="P26675">
        <f>IF(OR(M26675="",N26675=""),"",SUMIFS('Barang Keluar'!$E:$E,'Barang Keluar'!$A:$A,M26675,'Barang Keluar'!$C:$C,N26675))</f>
        <v>0</v>
      </c>
    </row>
    <row r="26676" spans="13:16">
      <c r="M26676" s="49">
        <f>IF($A$4+266&gt;$B$4,"",$A$4+266)</f>
        <v>46289</v>
      </c>
      <c r="N26676">
        <f>IF(M26676="","",'Master Barang'!A70)</f>
        <v>0</v>
      </c>
      <c r="O26676">
        <f>IF(N26676="","",'Master Barang'!B70)</f>
        <v>0</v>
      </c>
      <c r="P26676">
        <f>IF(OR(M26676="",N26676=""),"",SUMIFS('Barang Keluar'!$E:$E,'Barang Keluar'!$A:$A,M26676,'Barang Keluar'!$C:$C,N26676))</f>
        <v>0</v>
      </c>
    </row>
    <row r="26677" spans="13:16">
      <c r="M26677" s="49">
        <f>IF($A$4+266&gt;$B$4,"",$A$4+266)</f>
        <v>46289</v>
      </c>
      <c r="N26677">
        <f>IF(M26677="","",'Master Barang'!A71)</f>
        <v>0</v>
      </c>
      <c r="O26677">
        <f>IF(N26677="","",'Master Barang'!B71)</f>
        <v>0</v>
      </c>
      <c r="P26677">
        <f>IF(OR(M26677="",N26677=""),"",SUMIFS('Barang Keluar'!$E:$E,'Barang Keluar'!$A:$A,M26677,'Barang Keluar'!$C:$C,N26677))</f>
        <v>0</v>
      </c>
    </row>
    <row r="26678" spans="13:16">
      <c r="M26678" s="49">
        <f>IF($A$4+266&gt;$B$4,"",$A$4+266)</f>
        <v>46289</v>
      </c>
      <c r="N26678">
        <f>IF(M26678="","",'Master Barang'!A72)</f>
        <v>0</v>
      </c>
      <c r="O26678">
        <f>IF(N26678="","",'Master Barang'!B72)</f>
        <v>0</v>
      </c>
      <c r="P26678">
        <f>IF(OR(M26678="",N26678=""),"",SUMIFS('Barang Keluar'!$E:$E,'Barang Keluar'!$A:$A,M26678,'Barang Keluar'!$C:$C,N26678))</f>
        <v>0</v>
      </c>
    </row>
    <row r="26679" spans="13:16">
      <c r="M26679" s="49">
        <f>IF($A$4+266&gt;$B$4,"",$A$4+266)</f>
        <v>46289</v>
      </c>
      <c r="N26679">
        <f>IF(M26679="","",'Master Barang'!A73)</f>
        <v>0</v>
      </c>
      <c r="O26679">
        <f>IF(N26679="","",'Master Barang'!B73)</f>
        <v>0</v>
      </c>
      <c r="P26679">
        <f>IF(OR(M26679="",N26679=""),"",SUMIFS('Barang Keluar'!$E:$E,'Barang Keluar'!$A:$A,M26679,'Barang Keluar'!$C:$C,N26679))</f>
        <v>0</v>
      </c>
    </row>
    <row r="26680" spans="13:16">
      <c r="M26680" s="49">
        <f>IF($A$4+266&gt;$B$4,"",$A$4+266)</f>
        <v>46289</v>
      </c>
      <c r="N26680">
        <f>IF(M26680="","",'Master Barang'!A74)</f>
        <v>0</v>
      </c>
      <c r="O26680">
        <f>IF(N26680="","",'Master Barang'!B74)</f>
        <v>0</v>
      </c>
      <c r="P26680">
        <f>IF(OR(M26680="",N26680=""),"",SUMIFS('Barang Keluar'!$E:$E,'Barang Keluar'!$A:$A,M26680,'Barang Keluar'!$C:$C,N26680))</f>
        <v>0</v>
      </c>
    </row>
    <row r="26681" spans="13:16">
      <c r="M26681" s="49">
        <f>IF($A$4+266&gt;$B$4,"",$A$4+266)</f>
        <v>46289</v>
      </c>
      <c r="N26681">
        <f>IF(M26681="","",'Master Barang'!A75)</f>
        <v>0</v>
      </c>
      <c r="O26681">
        <f>IF(N26681="","",'Master Barang'!B75)</f>
        <v>0</v>
      </c>
      <c r="P26681">
        <f>IF(OR(M26681="",N26681=""),"",SUMIFS('Barang Keluar'!$E:$E,'Barang Keluar'!$A:$A,M26681,'Barang Keluar'!$C:$C,N26681))</f>
        <v>0</v>
      </c>
    </row>
    <row r="26682" spans="13:16">
      <c r="M26682" s="49">
        <f>IF($A$4+266&gt;$B$4,"",$A$4+266)</f>
        <v>46289</v>
      </c>
      <c r="N26682">
        <f>IF(M26682="","",'Master Barang'!A76)</f>
        <v>0</v>
      </c>
      <c r="O26682">
        <f>IF(N26682="","",'Master Barang'!B76)</f>
        <v>0</v>
      </c>
      <c r="P26682">
        <f>IF(OR(M26682="",N26682=""),"",SUMIFS('Barang Keluar'!$E:$E,'Barang Keluar'!$A:$A,M26682,'Barang Keluar'!$C:$C,N26682))</f>
        <v>0</v>
      </c>
    </row>
    <row r="26683" spans="13:16">
      <c r="M26683" s="49">
        <f>IF($A$4+266&gt;$B$4,"",$A$4+266)</f>
        <v>46289</v>
      </c>
      <c r="N26683">
        <f>IF(M26683="","",'Master Barang'!A77)</f>
        <v>0</v>
      </c>
      <c r="O26683">
        <f>IF(N26683="","",'Master Barang'!B77)</f>
        <v>0</v>
      </c>
      <c r="P26683">
        <f>IF(OR(M26683="",N26683=""),"",SUMIFS('Barang Keluar'!$E:$E,'Barang Keluar'!$A:$A,M26683,'Barang Keluar'!$C:$C,N26683))</f>
        <v>0</v>
      </c>
    </row>
    <row r="26684" spans="13:16">
      <c r="M26684" s="49">
        <f>IF($A$4+266&gt;$B$4,"",$A$4+266)</f>
        <v>46289</v>
      </c>
      <c r="N26684">
        <f>IF(M26684="","",'Master Barang'!A78)</f>
        <v>0</v>
      </c>
      <c r="O26684">
        <f>IF(N26684="","",'Master Barang'!B78)</f>
        <v>0</v>
      </c>
      <c r="P26684">
        <f>IF(OR(M26684="",N26684=""),"",SUMIFS('Barang Keluar'!$E:$E,'Barang Keluar'!$A:$A,M26684,'Barang Keluar'!$C:$C,N26684))</f>
        <v>0</v>
      </c>
    </row>
    <row r="26685" spans="13:16">
      <c r="M26685" s="49">
        <f>IF($A$4+266&gt;$B$4,"",$A$4+266)</f>
        <v>46289</v>
      </c>
      <c r="N26685">
        <f>IF(M26685="","",'Master Barang'!A79)</f>
        <v>0</v>
      </c>
      <c r="O26685">
        <f>IF(N26685="","",'Master Barang'!B79)</f>
        <v>0</v>
      </c>
      <c r="P26685">
        <f>IF(OR(M26685="",N26685=""),"",SUMIFS('Barang Keluar'!$E:$E,'Barang Keluar'!$A:$A,M26685,'Barang Keluar'!$C:$C,N26685))</f>
        <v>0</v>
      </c>
    </row>
    <row r="26686" spans="13:16">
      <c r="M26686" s="49">
        <f>IF($A$4+266&gt;$B$4,"",$A$4+266)</f>
        <v>46289</v>
      </c>
      <c r="N26686">
        <f>IF(M26686="","",'Master Barang'!A80)</f>
        <v>0</v>
      </c>
      <c r="O26686">
        <f>IF(N26686="","",'Master Barang'!B80)</f>
        <v>0</v>
      </c>
      <c r="P26686">
        <f>IF(OR(M26686="",N26686=""),"",SUMIFS('Barang Keluar'!$E:$E,'Barang Keluar'!$A:$A,M26686,'Barang Keluar'!$C:$C,N26686))</f>
        <v>0</v>
      </c>
    </row>
    <row r="26687" spans="13:16">
      <c r="M26687" s="49">
        <f>IF($A$4+266&gt;$B$4,"",$A$4+266)</f>
        <v>46289</v>
      </c>
      <c r="N26687">
        <f>IF(M26687="","",'Master Barang'!A81)</f>
        <v>0</v>
      </c>
      <c r="O26687">
        <f>IF(N26687="","",'Master Barang'!B81)</f>
        <v>0</v>
      </c>
      <c r="P26687">
        <f>IF(OR(M26687="",N26687=""),"",SUMIFS('Barang Keluar'!$E:$E,'Barang Keluar'!$A:$A,M26687,'Barang Keluar'!$C:$C,N26687))</f>
        <v>0</v>
      </c>
    </row>
    <row r="26688" spans="13:16">
      <c r="M26688" s="49">
        <f>IF($A$4+266&gt;$B$4,"",$A$4+266)</f>
        <v>46289</v>
      </c>
      <c r="N26688">
        <f>IF(M26688="","",'Master Barang'!A82)</f>
        <v>0</v>
      </c>
      <c r="O26688">
        <f>IF(N26688="","",'Master Barang'!B82)</f>
        <v>0</v>
      </c>
      <c r="P26688">
        <f>IF(OR(M26688="",N26688=""),"",SUMIFS('Barang Keluar'!$E:$E,'Barang Keluar'!$A:$A,M26688,'Barang Keluar'!$C:$C,N26688))</f>
        <v>0</v>
      </c>
    </row>
    <row r="26689" spans="13:16">
      <c r="M26689" s="49">
        <f>IF($A$4+266&gt;$B$4,"",$A$4+266)</f>
        <v>46289</v>
      </c>
      <c r="N26689">
        <f>IF(M26689="","",'Master Barang'!A83)</f>
        <v>0</v>
      </c>
      <c r="O26689">
        <f>IF(N26689="","",'Master Barang'!B83)</f>
        <v>0</v>
      </c>
      <c r="P26689">
        <f>IF(OR(M26689="",N26689=""),"",SUMIFS('Barang Keluar'!$E:$E,'Barang Keluar'!$A:$A,M26689,'Barang Keluar'!$C:$C,N26689))</f>
        <v>0</v>
      </c>
    </row>
    <row r="26690" spans="13:16">
      <c r="M26690" s="49">
        <f>IF($A$4+266&gt;$B$4,"",$A$4+266)</f>
        <v>46289</v>
      </c>
      <c r="N26690">
        <f>IF(M26690="","",'Master Barang'!A84)</f>
        <v>0</v>
      </c>
      <c r="O26690">
        <f>IF(N26690="","",'Master Barang'!B84)</f>
        <v>0</v>
      </c>
      <c r="P26690">
        <f>IF(OR(M26690="",N26690=""),"",SUMIFS('Barang Keluar'!$E:$E,'Barang Keluar'!$A:$A,M26690,'Barang Keluar'!$C:$C,N26690))</f>
        <v>0</v>
      </c>
    </row>
    <row r="26691" spans="13:16">
      <c r="M26691" s="49">
        <f>IF($A$4+266&gt;$B$4,"",$A$4+266)</f>
        <v>46289</v>
      </c>
      <c r="N26691">
        <f>IF(M26691="","",'Master Barang'!A85)</f>
        <v>0</v>
      </c>
      <c r="O26691">
        <f>IF(N26691="","",'Master Barang'!B85)</f>
        <v>0</v>
      </c>
      <c r="P26691">
        <f>IF(OR(M26691="",N26691=""),"",SUMIFS('Barang Keluar'!$E:$E,'Barang Keluar'!$A:$A,M26691,'Barang Keluar'!$C:$C,N26691))</f>
        <v>0</v>
      </c>
    </row>
    <row r="26692" spans="13:16">
      <c r="M26692" s="49">
        <f>IF($A$4+266&gt;$B$4,"",$A$4+266)</f>
        <v>46289</v>
      </c>
      <c r="N26692">
        <f>IF(M26692="","",'Master Barang'!A86)</f>
        <v>0</v>
      </c>
      <c r="O26692">
        <f>IF(N26692="","",'Master Barang'!B86)</f>
        <v>0</v>
      </c>
      <c r="P26692">
        <f>IF(OR(M26692="",N26692=""),"",SUMIFS('Barang Keluar'!$E:$E,'Barang Keluar'!$A:$A,M26692,'Barang Keluar'!$C:$C,N26692))</f>
        <v>0</v>
      </c>
    </row>
    <row r="26693" spans="13:16">
      <c r="M26693" s="49">
        <f>IF($A$4+266&gt;$B$4,"",$A$4+266)</f>
        <v>46289</v>
      </c>
      <c r="N26693">
        <f>IF(M26693="","",'Master Barang'!A87)</f>
        <v>0</v>
      </c>
      <c r="O26693">
        <f>IF(N26693="","",'Master Barang'!B87)</f>
        <v>0</v>
      </c>
      <c r="P26693">
        <f>IF(OR(M26693="",N26693=""),"",SUMIFS('Barang Keluar'!$E:$E,'Barang Keluar'!$A:$A,M26693,'Barang Keluar'!$C:$C,N26693))</f>
        <v>0</v>
      </c>
    </row>
    <row r="26694" spans="13:16">
      <c r="M26694" s="49">
        <f>IF($A$4+266&gt;$B$4,"",$A$4+266)</f>
        <v>46289</v>
      </c>
      <c r="N26694">
        <f>IF(M26694="","",'Master Barang'!A88)</f>
        <v>0</v>
      </c>
      <c r="O26694">
        <f>IF(N26694="","",'Master Barang'!B88)</f>
        <v>0</v>
      </c>
      <c r="P26694">
        <f>IF(OR(M26694="",N26694=""),"",SUMIFS('Barang Keluar'!$E:$E,'Barang Keluar'!$A:$A,M26694,'Barang Keluar'!$C:$C,N26694))</f>
        <v>0</v>
      </c>
    </row>
    <row r="26695" spans="13:16">
      <c r="M26695" s="49">
        <f>IF($A$4+266&gt;$B$4,"",$A$4+266)</f>
        <v>46289</v>
      </c>
      <c r="N26695">
        <f>IF(M26695="","",'Master Barang'!A89)</f>
        <v>0</v>
      </c>
      <c r="O26695">
        <f>IF(N26695="","",'Master Barang'!B89)</f>
        <v>0</v>
      </c>
      <c r="P26695">
        <f>IF(OR(M26695="",N26695=""),"",SUMIFS('Barang Keluar'!$E:$E,'Barang Keluar'!$A:$A,M26695,'Barang Keluar'!$C:$C,N26695))</f>
        <v>0</v>
      </c>
    </row>
    <row r="26696" spans="13:16">
      <c r="M26696" s="49">
        <f>IF($A$4+266&gt;$B$4,"",$A$4+266)</f>
        <v>46289</v>
      </c>
      <c r="N26696">
        <f>IF(M26696="","",'Master Barang'!A90)</f>
        <v>0</v>
      </c>
      <c r="O26696">
        <f>IF(N26696="","",'Master Barang'!B90)</f>
        <v>0</v>
      </c>
      <c r="P26696">
        <f>IF(OR(M26696="",N26696=""),"",SUMIFS('Barang Keluar'!$E:$E,'Barang Keluar'!$A:$A,M26696,'Barang Keluar'!$C:$C,N26696))</f>
        <v>0</v>
      </c>
    </row>
    <row r="26697" spans="13:16">
      <c r="M26697" s="49">
        <f>IF($A$4+266&gt;$B$4,"",$A$4+266)</f>
        <v>46289</v>
      </c>
      <c r="N26697">
        <f>IF(M26697="","",'Master Barang'!A91)</f>
        <v>0</v>
      </c>
      <c r="O26697">
        <f>IF(N26697="","",'Master Barang'!B91)</f>
        <v>0</v>
      </c>
      <c r="P26697">
        <f>IF(OR(M26697="",N26697=""),"",SUMIFS('Barang Keluar'!$E:$E,'Barang Keluar'!$A:$A,M26697,'Barang Keluar'!$C:$C,N26697))</f>
        <v>0</v>
      </c>
    </row>
    <row r="26698" spans="13:16">
      <c r="M26698" s="49">
        <f>IF($A$4+266&gt;$B$4,"",$A$4+266)</f>
        <v>46289</v>
      </c>
      <c r="N26698">
        <f>IF(M26698="","",'Master Barang'!A92)</f>
        <v>0</v>
      </c>
      <c r="O26698">
        <f>IF(N26698="","",'Master Barang'!B92)</f>
        <v>0</v>
      </c>
      <c r="P26698">
        <f>IF(OR(M26698="",N26698=""),"",SUMIFS('Barang Keluar'!$E:$E,'Barang Keluar'!$A:$A,M26698,'Barang Keluar'!$C:$C,N26698))</f>
        <v>0</v>
      </c>
    </row>
    <row r="26699" spans="13:16">
      <c r="M26699" s="49">
        <f>IF($A$4+266&gt;$B$4,"",$A$4+266)</f>
        <v>46289</v>
      </c>
      <c r="N26699">
        <f>IF(M26699="","",'Master Barang'!A93)</f>
        <v>0</v>
      </c>
      <c r="O26699">
        <f>IF(N26699="","",'Master Barang'!B93)</f>
        <v>0</v>
      </c>
      <c r="P26699">
        <f>IF(OR(M26699="",N26699=""),"",SUMIFS('Barang Keluar'!$E:$E,'Barang Keluar'!$A:$A,M26699,'Barang Keluar'!$C:$C,N26699))</f>
        <v>0</v>
      </c>
    </row>
    <row r="26700" spans="13:16">
      <c r="M26700" s="49">
        <f>IF($A$4+266&gt;$B$4,"",$A$4+266)</f>
        <v>46289</v>
      </c>
      <c r="N26700">
        <f>IF(M26700="","",'Master Barang'!A94)</f>
        <v>0</v>
      </c>
      <c r="O26700">
        <f>IF(N26700="","",'Master Barang'!B94)</f>
        <v>0</v>
      </c>
      <c r="P26700">
        <f>IF(OR(M26700="",N26700=""),"",SUMIFS('Barang Keluar'!$E:$E,'Barang Keluar'!$A:$A,M26700,'Barang Keluar'!$C:$C,N26700))</f>
        <v>0</v>
      </c>
    </row>
    <row r="26701" spans="13:16">
      <c r="M26701" s="49">
        <f>IF($A$4+266&gt;$B$4,"",$A$4+266)</f>
        <v>46289</v>
      </c>
      <c r="N26701">
        <f>IF(M26701="","",'Master Barang'!A95)</f>
        <v>0</v>
      </c>
      <c r="O26701">
        <f>IF(N26701="","",'Master Barang'!B95)</f>
        <v>0</v>
      </c>
      <c r="P26701">
        <f>IF(OR(M26701="",N26701=""),"",SUMIFS('Barang Keluar'!$E:$E,'Barang Keluar'!$A:$A,M26701,'Barang Keluar'!$C:$C,N26701))</f>
        <v>0</v>
      </c>
    </row>
    <row r="26702" spans="13:16">
      <c r="M26702" s="49">
        <f>IF($A$4+266&gt;$B$4,"",$A$4+266)</f>
        <v>46289</v>
      </c>
      <c r="N26702">
        <f>IF(M26702="","",'Master Barang'!A96)</f>
        <v>0</v>
      </c>
      <c r="O26702">
        <f>IF(N26702="","",'Master Barang'!B96)</f>
        <v>0</v>
      </c>
      <c r="P26702">
        <f>IF(OR(M26702="",N26702=""),"",SUMIFS('Barang Keluar'!$E:$E,'Barang Keluar'!$A:$A,M26702,'Barang Keluar'!$C:$C,N26702))</f>
        <v>0</v>
      </c>
    </row>
    <row r="26703" spans="13:16">
      <c r="M26703" s="49">
        <f>IF($A$4+266&gt;$B$4,"",$A$4+266)</f>
        <v>46289</v>
      </c>
      <c r="N26703">
        <f>IF(M26703="","",'Master Barang'!A97)</f>
        <v>0</v>
      </c>
      <c r="O26703">
        <f>IF(N26703="","",'Master Barang'!B97)</f>
        <v>0</v>
      </c>
      <c r="P26703">
        <f>IF(OR(M26703="",N26703=""),"",SUMIFS('Barang Keluar'!$E:$E,'Barang Keluar'!$A:$A,M26703,'Barang Keluar'!$C:$C,N26703))</f>
        <v>0</v>
      </c>
    </row>
    <row r="26704" spans="13:16">
      <c r="M26704" s="49">
        <f>IF($A$4+266&gt;$B$4,"",$A$4+266)</f>
        <v>46289</v>
      </c>
      <c r="N26704">
        <f>IF(M26704="","",'Master Barang'!A98)</f>
        <v>0</v>
      </c>
      <c r="O26704">
        <f>IF(N26704="","",'Master Barang'!B98)</f>
        <v>0</v>
      </c>
      <c r="P26704">
        <f>IF(OR(M26704="",N26704=""),"",SUMIFS('Barang Keluar'!$E:$E,'Barang Keluar'!$A:$A,M26704,'Barang Keluar'!$C:$C,N26704))</f>
        <v>0</v>
      </c>
    </row>
    <row r="26705" spans="13:16">
      <c r="M26705" s="49">
        <f>IF($A$4+266&gt;$B$4,"",$A$4+266)</f>
        <v>46289</v>
      </c>
      <c r="N26705">
        <f>IF(M26705="","",'Master Barang'!A99)</f>
        <v>0</v>
      </c>
      <c r="O26705">
        <f>IF(N26705="","",'Master Barang'!B99)</f>
        <v>0</v>
      </c>
      <c r="P26705">
        <f>IF(OR(M26705="",N26705=""),"",SUMIFS('Barang Keluar'!$E:$E,'Barang Keluar'!$A:$A,M26705,'Barang Keluar'!$C:$C,N26705))</f>
        <v>0</v>
      </c>
    </row>
    <row r="26706" spans="13:16">
      <c r="M26706" s="49">
        <f>IF($A$4+266&gt;$B$4,"",$A$4+266)</f>
        <v>46289</v>
      </c>
      <c r="N26706">
        <f>IF(M26706="","",'Master Barang'!A100)</f>
        <v>0</v>
      </c>
      <c r="O26706">
        <f>IF(N26706="","",'Master Barang'!B100)</f>
        <v>0</v>
      </c>
      <c r="P26706">
        <f>IF(OR(M26706="",N26706=""),"",SUMIFS('Barang Keluar'!$E:$E,'Barang Keluar'!$A:$A,M26706,'Barang Keluar'!$C:$C,N26706))</f>
        <v>0</v>
      </c>
    </row>
    <row r="26707" spans="13:16">
      <c r="M26707" s="49">
        <f>IF($A$4+266&gt;$B$4,"",$A$4+266)</f>
        <v>46289</v>
      </c>
      <c r="N26707">
        <f>IF(M26707="","",'Master Barang'!A101)</f>
        <v>0</v>
      </c>
      <c r="O26707">
        <f>IF(N26707="","",'Master Barang'!B101)</f>
        <v>0</v>
      </c>
      <c r="P26707">
        <f>IF(OR(M26707="",N26707=""),"",SUMIFS('Barang Keluar'!$E:$E,'Barang Keluar'!$A:$A,M26707,'Barang Keluar'!$C:$C,N26707))</f>
        <v>0</v>
      </c>
    </row>
    <row r="26708" spans="13:16">
      <c r="M26708" s="49">
        <f>IF($A$4+267&gt;$B$4,"",$A$4+267)</f>
        <v>46290</v>
      </c>
      <c r="N26708" t="str">
        <f>IF(M26708="","",'Master Barang'!A2)</f>
        <v>PRL-001</v>
      </c>
      <c r="O26708" t="str">
        <f>IF(N26708="","",'Master Barang'!B2)</f>
        <v>natura desinfectant food grade 5l</v>
      </c>
      <c r="P26708">
        <f>IF(OR(M26708="",N26708=""),"",SUMIFS('Barang Keluar'!$E:$E,'Barang Keluar'!$A:$A,M26708,'Barang Keluar'!$C:$C,N26708))</f>
        <v>0</v>
      </c>
    </row>
    <row r="26709" spans="13:16">
      <c r="M26709" s="49">
        <f>IF($A$4+267&gt;$B$4,"",$A$4+267)</f>
        <v>46290</v>
      </c>
      <c r="N26709" t="str">
        <f>IF(M26709="","",'Master Barang'!A3)</f>
        <v>PRL-002</v>
      </c>
      <c r="O26709" t="str">
        <f>IF(N26709="","",'Master Barang'!B3)</f>
        <v>sunlight cairan pencuci piring 5l</v>
      </c>
      <c r="P26709">
        <f>IF(OR(M26709="",N26709=""),"",SUMIFS('Barang Keluar'!$E:$E,'Barang Keluar'!$A:$A,M26709,'Barang Keluar'!$C:$C,N26709))</f>
        <v>0</v>
      </c>
    </row>
    <row r="26710" spans="13:16">
      <c r="M26710" s="49">
        <f>IF($A$4+267&gt;$B$4,"",$A$4+267)</f>
        <v>46290</v>
      </c>
      <c r="N26710" t="str">
        <f>IF(M26710="","",'Master Barang'!A4)</f>
        <v>PRL-003</v>
      </c>
      <c r="O26710" t="str">
        <f>IF(N26710="","",'Master Barang'!B4)</f>
        <v>oixs cleaner 1l</v>
      </c>
      <c r="P26710">
        <f>IF(OR(M26710="",N26710=""),"",SUMIFS('Barang Keluar'!$E:$E,'Barang Keluar'!$A:$A,M26710,'Barang Keluar'!$C:$C,N26710))</f>
        <v>0</v>
      </c>
    </row>
    <row r="26711" spans="13:16">
      <c r="M26711" s="49">
        <f>IF($A$4+267&gt;$B$4,"",$A$4+267)</f>
        <v>46290</v>
      </c>
      <c r="N26711" t="str">
        <f>IF(M26711="","",'Master Barang'!A5)</f>
        <v>PRL-004</v>
      </c>
      <c r="O26711" t="str">
        <f>IF(N26711="","",'Master Barang'!B5)</f>
        <v>be clean tissue serbaguna</v>
      </c>
      <c r="P26711">
        <f>IF(OR(M26711="",N26711=""),"",SUMIFS('Barang Keluar'!$E:$E,'Barang Keluar'!$A:$A,M26711,'Barang Keluar'!$C:$C,N26711))</f>
        <v>0</v>
      </c>
    </row>
    <row r="26712" spans="13:16">
      <c r="M26712" s="49">
        <f>IF($A$4+267&gt;$B$4,"",$A$4+267)</f>
        <v>46290</v>
      </c>
      <c r="N26712" t="str">
        <f>IF(M26712="","",'Master Barang'!A6)</f>
        <v>PRL-005</v>
      </c>
      <c r="O26712" t="str">
        <f>IF(N26712="","",'Master Barang'!B6)</f>
        <v>spons cuci hijau</v>
      </c>
      <c r="P26712">
        <f>IF(OR(M26712="",N26712=""),"",SUMIFS('Barang Keluar'!$E:$E,'Barang Keluar'!$A:$A,M26712,'Barang Keluar'!$C:$C,N26712))</f>
        <v>0</v>
      </c>
    </row>
    <row r="26713" spans="13:16">
      <c r="M26713" s="49">
        <f>IF($A$4+267&gt;$B$4,"",$A$4+267)</f>
        <v>46290</v>
      </c>
      <c r="N26713" t="str">
        <f>IF(M26713="","",'Master Barang'!A7)</f>
        <v>PRL-006</v>
      </c>
      <c r="O26713" t="str">
        <f>IF(N26713="","",'Master Barang'!B7)</f>
        <v>sabut cuci stainless</v>
      </c>
      <c r="P26713">
        <f>IF(OR(M26713="",N26713=""),"",SUMIFS('Barang Keluar'!$E:$E,'Barang Keluar'!$A:$A,M26713,'Barang Keluar'!$C:$C,N26713))</f>
        <v>0</v>
      </c>
    </row>
    <row r="26714" spans="13:16">
      <c r="M26714" s="49">
        <f>IF($A$4+267&gt;$B$4,"",$A$4+267)</f>
        <v>46290</v>
      </c>
      <c r="N26714" t="str">
        <f>IF(M26714="","",'Master Barang'!A8)</f>
        <v>PRL-007</v>
      </c>
      <c r="O26714" t="str">
        <f>IF(N26714="","",'Master Barang'!B8)</f>
        <v>plastik kresek besar merah 50pc</v>
      </c>
      <c r="P26714">
        <f>IF(OR(M26714="",N26714=""),"",SUMIFS('Barang Keluar'!$E:$E,'Barang Keluar'!$A:$A,M26714,'Barang Keluar'!$C:$C,N26714))</f>
        <v>0</v>
      </c>
    </row>
    <row r="26715" spans="13:16">
      <c r="M26715" s="49">
        <f>IF($A$4+267&gt;$B$4,"",$A$4+267)</f>
        <v>46290</v>
      </c>
      <c r="N26715" t="str">
        <f>IF(M26715="","",'Master Barang'!A9)</f>
        <v>PRL-008</v>
      </c>
      <c r="O26715" t="str">
        <f>IF(N26715="","",'Master Barang'!B9)</f>
        <v>lap besar</v>
      </c>
      <c r="P26715">
        <f>IF(OR(M26715="",N26715=""),"",SUMIFS('Barang Keluar'!$E:$E,'Barang Keluar'!$A:$A,M26715,'Barang Keluar'!$C:$C,N26715))</f>
        <v>0</v>
      </c>
    </row>
    <row r="26716" spans="13:16">
      <c r="M26716" s="49">
        <f>IF($A$4+267&gt;$B$4,"",$A$4+267)</f>
        <v>46290</v>
      </c>
      <c r="N26716" t="str">
        <f>IF(M26716="","",'Master Barang'!A10)</f>
        <v>PRL-009</v>
      </c>
      <c r="O26716" t="str">
        <f>IF(N26716="","",'Master Barang'!B10)</f>
        <v>lap microfiber</v>
      </c>
      <c r="P26716">
        <f>IF(OR(M26716="",N26716=""),"",SUMIFS('Barang Keluar'!$E:$E,'Barang Keluar'!$A:$A,M26716,'Barang Keluar'!$C:$C,N26716))</f>
        <v>0</v>
      </c>
    </row>
    <row r="26717" spans="13:16">
      <c r="M26717" s="49">
        <f>IF($A$4+267&gt;$B$4,"",$A$4+267)</f>
        <v>46290</v>
      </c>
      <c r="N26717" t="str">
        <f>IF(M26717="","",'Master Barang'!A11)</f>
        <v>PRL-010</v>
      </c>
      <c r="O26717" t="str">
        <f>IF(N26717="","",'Master Barang'!B11)</f>
        <v>lap kecil</v>
      </c>
      <c r="P26717">
        <f>IF(OR(M26717="",N26717=""),"",SUMIFS('Barang Keluar'!$E:$E,'Barang Keluar'!$A:$A,M26717,'Barang Keluar'!$C:$C,N26717))</f>
        <v>0</v>
      </c>
    </row>
    <row r="26718" spans="13:16">
      <c r="M26718" s="49">
        <f>IF($A$4+267&gt;$B$4,"",$A$4+267)</f>
        <v>46290</v>
      </c>
      <c r="N26718" t="str">
        <f>IF(M26718="","",'Master Barang'!A12)</f>
        <v>PRL-011</v>
      </c>
      <c r="O26718" t="str">
        <f>IF(N26718="","",'Master Barang'!B12)</f>
        <v>kanebo kecil</v>
      </c>
      <c r="P26718">
        <f>IF(OR(M26718="",N26718=""),"",SUMIFS('Barang Keluar'!$E:$E,'Barang Keluar'!$A:$A,M26718,'Barang Keluar'!$C:$C,N26718))</f>
        <v>0</v>
      </c>
    </row>
    <row r="26719" spans="13:16">
      <c r="M26719" s="49">
        <f>IF($A$4+267&gt;$B$4,"",$A$4+267)</f>
        <v>46290</v>
      </c>
      <c r="N26719" t="str">
        <f>IF(M26719="","",'Master Barang'!A13)</f>
        <v>PRL-012</v>
      </c>
      <c r="O26719" t="str">
        <f>IF(N26719="","",'Master Barang'!B13)</f>
        <v>plastik 1/4kg joyoboyo 100 lembar</v>
      </c>
      <c r="P26719">
        <f>IF(OR(M26719="",N26719=""),"",SUMIFS('Barang Keluar'!$E:$E,'Barang Keluar'!$A:$A,M26719,'Barang Keluar'!$C:$C,N26719))</f>
        <v>0</v>
      </c>
    </row>
    <row r="26720" spans="13:16">
      <c r="M26720" s="49">
        <f>IF($A$4+267&gt;$B$4,"",$A$4+267)</f>
        <v>46290</v>
      </c>
      <c r="N26720" t="str">
        <f>IF(M26720="","",'Master Barang'!A14)</f>
        <v>PRL-013</v>
      </c>
      <c r="O26720" t="str">
        <f>IF(N26720="","",'Master Barang'!B14)</f>
        <v>sarung tangan plastik kaka 100 pcs</v>
      </c>
      <c r="P26720">
        <f>IF(OR(M26720="",N26720=""),"",SUMIFS('Barang Keluar'!$E:$E,'Barang Keluar'!$A:$A,M26720,'Barang Keluar'!$C:$C,N26720))</f>
        <v>0</v>
      </c>
    </row>
    <row r="26721" spans="13:16">
      <c r="M26721" s="49">
        <f>IF($A$4+267&gt;$B$4,"",$A$4+267)</f>
        <v>46290</v>
      </c>
      <c r="N26721" t="str">
        <f>IF(M26721="","",'Master Barang'!A15)</f>
        <v>PRL-014</v>
      </c>
      <c r="O26721" t="str">
        <f>IF(N26721="","",'Master Barang'!B15)</f>
        <v>optima trashbag 80x100</v>
      </c>
      <c r="P26721">
        <f>IF(OR(M26721="",N26721=""),"",SUMIFS('Barang Keluar'!$E:$E,'Barang Keluar'!$A:$A,M26721,'Barang Keluar'!$C:$C,N26721))</f>
        <v>0</v>
      </c>
    </row>
    <row r="26722" spans="13:16">
      <c r="M26722" s="49">
        <f>IF($A$4+267&gt;$B$4,"",$A$4+267)</f>
        <v>46290</v>
      </c>
      <c r="N26722" t="str">
        <f>IF(M26722="","",'Master Barang'!A16)</f>
        <v>PRL-015</v>
      </c>
      <c r="O26722" t="str">
        <f>IF(N26722="","",'Master Barang'!B16)</f>
        <v>optima trashbag 60x100</v>
      </c>
      <c r="P26722">
        <f>IF(OR(M26722="",N26722=""),"",SUMIFS('Barang Keluar'!$E:$E,'Barang Keluar'!$A:$A,M26722,'Barang Keluar'!$C:$C,N26722))</f>
        <v>0</v>
      </c>
    </row>
    <row r="26723" spans="13:16">
      <c r="M26723" s="49">
        <f>IF($A$4+267&gt;$B$4,"",$A$4+267)</f>
        <v>46290</v>
      </c>
      <c r="N26723" t="str">
        <f>IF(M26723="","",'Master Barang'!A17)</f>
        <v>PRL-016</v>
      </c>
      <c r="O26723" t="str">
        <f>IF(N26723="","",'Master Barang'!B17)</f>
        <v>rajawali trashbag 30x40</v>
      </c>
      <c r="P26723">
        <f>IF(OR(M26723="",N26723=""),"",SUMIFS('Barang Keluar'!$E:$E,'Barang Keluar'!$A:$A,M26723,'Barang Keluar'!$C:$C,N26723))</f>
        <v>0</v>
      </c>
    </row>
    <row r="26724" spans="13:16">
      <c r="M26724" s="49">
        <f>IF($A$4+267&gt;$B$4,"",$A$4+267)</f>
        <v>46290</v>
      </c>
      <c r="N26724" t="str">
        <f>IF(M26724="","",'Master Barang'!A18)</f>
        <v>PRL-017</v>
      </c>
      <c r="O26724" t="str">
        <f>IF(N26724="","",'Master Barang'!B18)</f>
        <v>onemed masker biru 3 play 50 pcs</v>
      </c>
      <c r="P26724">
        <f>IF(OR(M26724="",N26724=""),"",SUMIFS('Barang Keluar'!$E:$E,'Barang Keluar'!$A:$A,M26724,'Barang Keluar'!$C:$C,N26724))</f>
        <v>0</v>
      </c>
    </row>
    <row r="26725" spans="13:16">
      <c r="M26725" s="49">
        <f>IF($A$4+267&gt;$B$4,"",$A$4+267)</f>
        <v>46290</v>
      </c>
      <c r="N26725" t="str">
        <f>IF(M26725="","",'Master Barang'!A19)</f>
        <v>PRL-018</v>
      </c>
      <c r="O26725" t="str">
        <f>IF(N26725="","",'Master Barang'!B19)</f>
        <v>onemed masker biru 3 play hijab 50 pcs</v>
      </c>
      <c r="P26725">
        <f>IF(OR(M26725="",N26725=""),"",SUMIFS('Barang Keluar'!$E:$E,'Barang Keluar'!$A:$A,M26725,'Barang Keluar'!$C:$C,N26725))</f>
        <v>0</v>
      </c>
    </row>
    <row r="26726" spans="13:16">
      <c r="M26726" s="49">
        <f>IF($A$4+267&gt;$B$4,"",$A$4+267)</f>
        <v>46290</v>
      </c>
      <c r="N26726" t="str">
        <f>IF(M26726="","",'Master Barang'!A20)</f>
        <v>PRL-019</v>
      </c>
      <c r="O26726" t="str">
        <f>IF(N26726="","",'Master Barang'!B20)</f>
        <v>neo health masker biru 3 play 50 pcs</v>
      </c>
      <c r="P26726">
        <f>IF(OR(M26726="",N26726=""),"",SUMIFS('Barang Keluar'!$E:$E,'Barang Keluar'!$A:$A,M26726,'Barang Keluar'!$C:$C,N26726))</f>
        <v>0</v>
      </c>
    </row>
    <row r="26727" spans="13:16">
      <c r="M26727" s="49">
        <f>IF($A$4+267&gt;$B$4,"",$A$4+267)</f>
        <v>46290</v>
      </c>
      <c r="N26727" t="str">
        <f>IF(M26727="","",'Master Barang'!A21)</f>
        <v>PRL-020</v>
      </c>
      <c r="O26727" t="str">
        <f>IF(N26727="","",'Master Barang'!B21)</f>
        <v>baymed masker hijau 3 play hijau 50 pcs</v>
      </c>
      <c r="P26727">
        <f>IF(OR(M26727="",N26727=""),"",SUMIFS('Barang Keluar'!$E:$E,'Barang Keluar'!$A:$A,M26727,'Barang Keluar'!$C:$C,N26727))</f>
        <v>0</v>
      </c>
    </row>
    <row r="26728" spans="13:16">
      <c r="M26728" s="49">
        <f>IF($A$4+267&gt;$B$4,"",$A$4+267)</f>
        <v>46290</v>
      </c>
      <c r="N26728" t="str">
        <f>IF(M26728="","",'Master Barang'!A22)</f>
        <v>PRL-021</v>
      </c>
      <c r="O26728" t="str">
        <f>IF(N26728="","",'Master Barang'!B22)</f>
        <v>altamed nurse cap penutup kepala 100 pcs</v>
      </c>
      <c r="P26728">
        <f>IF(OR(M26728="",N26728=""),"",SUMIFS('Barang Keluar'!$E:$E,'Barang Keluar'!$A:$A,M26728,'Barang Keluar'!$C:$C,N26728))</f>
        <v>0</v>
      </c>
    </row>
    <row r="26729" spans="13:16">
      <c r="M26729" s="49">
        <f>IF($A$4+267&gt;$B$4,"",$A$4+267)</f>
        <v>46290</v>
      </c>
      <c r="N26729" t="str">
        <f>IF(M26729="","",'Master Barang'!A23)</f>
        <v>PRL-022</v>
      </c>
      <c r="O26729" t="str">
        <f>IF(N26729="","",'Master Barang'!B23)</f>
        <v>sabun cuci tangan</v>
      </c>
      <c r="P26729">
        <f>IF(OR(M26729="",N26729=""),"",SUMIFS('Barang Keluar'!$E:$E,'Barang Keluar'!$A:$A,M26729,'Barang Keluar'!$C:$C,N26729))</f>
        <v>0</v>
      </c>
    </row>
    <row r="26730" spans="13:16">
      <c r="M26730" s="49">
        <f>IF($A$4+267&gt;$B$4,"",$A$4+267)</f>
        <v>46290</v>
      </c>
      <c r="N26730" t="str">
        <f>IF(M26730="","",'Master Barang'!A24)</f>
        <v>PRL-023</v>
      </c>
      <c r="O26730" t="str">
        <f>IF(N26730="","",'Master Barang'!B24)</f>
        <v>gayung kecil</v>
      </c>
      <c r="P26730">
        <f>IF(OR(M26730="",N26730=""),"",SUMIFS('Barang Keluar'!$E:$E,'Barang Keluar'!$A:$A,M26730,'Barang Keluar'!$C:$C,N26730))</f>
        <v>0</v>
      </c>
    </row>
    <row r="26731" spans="13:16">
      <c r="M26731" s="49">
        <f>IF($A$4+267&gt;$B$4,"",$A$4+267)</f>
        <v>46290</v>
      </c>
      <c r="N26731" t="str">
        <f>IF(M26731="","",'Master Barang'!A25)</f>
        <v>PRL-024</v>
      </c>
      <c r="O26731" t="str">
        <f>IF(N26731="","",'Master Barang'!B25)</f>
        <v>cikrak kecil</v>
      </c>
      <c r="P26731">
        <f>IF(OR(M26731="",N26731=""),"",SUMIFS('Barang Keluar'!$E:$E,'Barang Keluar'!$A:$A,M26731,'Barang Keluar'!$C:$C,N26731))</f>
        <v>0</v>
      </c>
    </row>
    <row r="26732" spans="13:16">
      <c r="M26732" s="49">
        <f>IF($A$4+267&gt;$B$4,"",$A$4+267)</f>
        <v>46290</v>
      </c>
      <c r="N26732" t="str">
        <f>IF(M26732="","",'Master Barang'!A26)</f>
        <v>PRL-025</v>
      </c>
      <c r="O26732" t="str">
        <f>IF(N26732="","",'Master Barang'!B26)</f>
        <v>petromax plastik kecil 12x24 100 lembar</v>
      </c>
      <c r="P26732">
        <f>IF(OR(M26732="",N26732=""),"",SUMIFS('Barang Keluar'!$E:$E,'Barang Keluar'!$A:$A,M26732,'Barang Keluar'!$C:$C,N26732))</f>
        <v>0</v>
      </c>
    </row>
    <row r="26733" spans="13:16">
      <c r="M26733" s="49">
        <f>IF($A$4+267&gt;$B$4,"",$A$4+267)</f>
        <v>46290</v>
      </c>
      <c r="N26733" t="str">
        <f>IF(M26733="","",'Master Barang'!A27)</f>
        <v>PRL-026</v>
      </c>
      <c r="O26733" t="str">
        <f>IF(N26733="","",'Master Barang'!B27)</f>
        <v>lancar kresek kecil bening </v>
      </c>
      <c r="P26733">
        <f>IF(OR(M26733="",N26733=""),"",SUMIFS('Barang Keluar'!$E:$E,'Barang Keluar'!$A:$A,M26733,'Barang Keluar'!$C:$C,N26733))</f>
        <v>0</v>
      </c>
    </row>
    <row r="26734" spans="13:16">
      <c r="M26734" s="49">
        <f>IF($A$4+267&gt;$B$4,"",$A$4+267)</f>
        <v>46290</v>
      </c>
      <c r="N26734" t="str">
        <f>IF(M26734="","",'Master Barang'!A28)</f>
        <v>PRL-027</v>
      </c>
      <c r="O26734" t="str">
        <f>IF(N26734="","",'Master Barang'!B28)</f>
        <v>kresek klin warna warni kecil</v>
      </c>
      <c r="P26734">
        <f>IF(OR(M26734="",N26734=""),"",SUMIFS('Barang Keluar'!$E:$E,'Barang Keluar'!$A:$A,M26734,'Barang Keluar'!$C:$C,N26734))</f>
        <v>0</v>
      </c>
    </row>
    <row r="26735" spans="13:16">
      <c r="M26735" s="49">
        <f>IF($A$4+267&gt;$B$4,"",$A$4+267)</f>
        <v>46290</v>
      </c>
      <c r="N26735" t="str">
        <f>IF(M26735="","",'Master Barang'!A29)</f>
        <v>PRL-028</v>
      </c>
      <c r="O26735" t="str">
        <f>IF(N26735="","",'Master Barang'!B29)</f>
        <v>ctik plastik 7x10 100 pcs</v>
      </c>
      <c r="P26735">
        <f>IF(OR(M26735="",N26735=""),"",SUMIFS('Barang Keluar'!$E:$E,'Barang Keluar'!$A:$A,M26735,'Barang Keluar'!$C:$C,N26735))</f>
        <v>0</v>
      </c>
    </row>
    <row r="26736" spans="13:16">
      <c r="M26736" s="49">
        <f>IF($A$4+267&gt;$B$4,"",$A$4+267)</f>
        <v>46290</v>
      </c>
      <c r="N26736" t="str">
        <f>IF(M26736="","",'Master Barang'!A30)</f>
        <v>PRL-029</v>
      </c>
      <c r="O26736" t="str">
        <f>IF(N26736="","",'Master Barang'!B30)</f>
        <v>ctik plastik 6x10 100 pcs</v>
      </c>
      <c r="P26736">
        <f>IF(OR(M26736="",N26736=""),"",SUMIFS('Barang Keluar'!$E:$E,'Barang Keluar'!$A:$A,M26736,'Barang Keluar'!$C:$C,N26736))</f>
        <v>0</v>
      </c>
    </row>
    <row r="26737" spans="13:16">
      <c r="M26737" s="49">
        <f>IF($A$4+267&gt;$B$4,"",$A$4+267)</f>
        <v>46290</v>
      </c>
      <c r="N26737" t="str">
        <f>IF(M26737="","",'Master Barang'!A31)</f>
        <v>PRL-030</v>
      </c>
      <c r="O26737" t="str">
        <f>IF(N26737="","",'Master Barang'!B31)</f>
        <v>klip plastik 25x16 100 pcs</v>
      </c>
      <c r="P26737">
        <f>IF(OR(M26737="",N26737=""),"",SUMIFS('Barang Keluar'!$E:$E,'Barang Keluar'!$A:$A,M26737,'Barang Keluar'!$C:$C,N26737))</f>
        <v>0</v>
      </c>
    </row>
    <row r="26738" spans="13:16">
      <c r="M26738" s="49">
        <f>IF($A$4+267&gt;$B$4,"",$A$4+267)</f>
        <v>46290</v>
      </c>
      <c r="N26738" t="str">
        <f>IF(M26738="","",'Master Barang'!A32)</f>
        <v>PRL-031</v>
      </c>
      <c r="O26738" t="str">
        <f>IF(N26738="","",'Master Barang'!B32)</f>
        <v>tempat saus 20 ml</v>
      </c>
      <c r="P26738">
        <f>IF(OR(M26738="",N26738=""),"",SUMIFS('Barang Keluar'!$E:$E,'Barang Keluar'!$A:$A,M26738,'Barang Keluar'!$C:$C,N26738))</f>
        <v>0</v>
      </c>
    </row>
    <row r="26739" spans="13:16">
      <c r="M26739" s="49">
        <f>IF($A$4+267&gt;$B$4,"",$A$4+267)</f>
        <v>46290</v>
      </c>
      <c r="N26739" t="str">
        <f>IF(M26739="","",'Master Barang'!A33)</f>
        <v>PRL-032</v>
      </c>
      <c r="O26739" t="str">
        <f>IF(N26739="","",'Master Barang'!B33)</f>
        <v>plastik packaging ag box uk sedang</v>
      </c>
      <c r="P26739">
        <f>IF(OR(M26739="",N26739=""),"",SUMIFS('Barang Keluar'!$E:$E,'Barang Keluar'!$A:$A,M26739,'Barang Keluar'!$C:$C,N26739))</f>
        <v>0</v>
      </c>
    </row>
    <row r="26740" spans="13:16">
      <c r="M26740" s="49">
        <f>IF($A$4+267&gt;$B$4,"",$A$4+267)</f>
        <v>46290</v>
      </c>
      <c r="N26740" t="str">
        <f>IF(M26740="","",'Master Barang'!A34)</f>
        <v>PRL-033</v>
      </c>
      <c r="O26740">
        <f>IF(N26740="","",'Master Barang'!B34)</f>
        <v>0</v>
      </c>
      <c r="P26740">
        <f>IF(OR(M26740="",N26740=""),"",SUMIFS('Barang Keluar'!$E:$E,'Barang Keluar'!$A:$A,M26740,'Barang Keluar'!$C:$C,N26740))</f>
        <v>0</v>
      </c>
    </row>
    <row r="26741" spans="13:16">
      <c r="M26741" s="49">
        <f>IF($A$4+267&gt;$B$4,"",$A$4+267)</f>
        <v>46290</v>
      </c>
      <c r="N26741">
        <f>IF(M26741="","",'Master Barang'!A35)</f>
        <v>0</v>
      </c>
      <c r="O26741">
        <f>IF(N26741="","",'Master Barang'!B35)</f>
        <v>0</v>
      </c>
      <c r="P26741">
        <f>IF(OR(M26741="",N26741=""),"",SUMIFS('Barang Keluar'!$E:$E,'Barang Keluar'!$A:$A,M26741,'Barang Keluar'!$C:$C,N26741))</f>
        <v>0</v>
      </c>
    </row>
    <row r="26742" spans="13:16">
      <c r="M26742" s="49">
        <f>IF($A$4+267&gt;$B$4,"",$A$4+267)</f>
        <v>46290</v>
      </c>
      <c r="N26742">
        <f>IF(M26742="","",'Master Barang'!A36)</f>
        <v>0</v>
      </c>
      <c r="O26742">
        <f>IF(N26742="","",'Master Barang'!B36)</f>
        <v>0</v>
      </c>
      <c r="P26742">
        <f>IF(OR(M26742="",N26742=""),"",SUMIFS('Barang Keluar'!$E:$E,'Barang Keluar'!$A:$A,M26742,'Barang Keluar'!$C:$C,N26742))</f>
        <v>0</v>
      </c>
    </row>
    <row r="26743" spans="13:16">
      <c r="M26743" s="49">
        <f>IF($A$4+267&gt;$B$4,"",$A$4+267)</f>
        <v>46290</v>
      </c>
      <c r="N26743">
        <f>IF(M26743="","",'Master Barang'!A37)</f>
        <v>0</v>
      </c>
      <c r="O26743">
        <f>IF(N26743="","",'Master Barang'!B37)</f>
        <v>0</v>
      </c>
      <c r="P26743">
        <f>IF(OR(M26743="",N26743=""),"",SUMIFS('Barang Keluar'!$E:$E,'Barang Keluar'!$A:$A,M26743,'Barang Keluar'!$C:$C,N26743))</f>
        <v>0</v>
      </c>
    </row>
    <row r="26744" spans="13:16">
      <c r="M26744" s="49">
        <f>IF($A$4+267&gt;$B$4,"",$A$4+267)</f>
        <v>46290</v>
      </c>
      <c r="N26744">
        <f>IF(M26744="","",'Master Barang'!A38)</f>
        <v>0</v>
      </c>
      <c r="O26744">
        <f>IF(N26744="","",'Master Barang'!B38)</f>
        <v>0</v>
      </c>
      <c r="P26744">
        <f>IF(OR(M26744="",N26744=""),"",SUMIFS('Barang Keluar'!$E:$E,'Barang Keluar'!$A:$A,M26744,'Barang Keluar'!$C:$C,N26744))</f>
        <v>0</v>
      </c>
    </row>
    <row r="26745" spans="13:16">
      <c r="M26745" s="49">
        <f>IF($A$4+267&gt;$B$4,"",$A$4+267)</f>
        <v>46290</v>
      </c>
      <c r="N26745">
        <f>IF(M26745="","",'Master Barang'!A39)</f>
        <v>0</v>
      </c>
      <c r="O26745">
        <f>IF(N26745="","",'Master Barang'!B39)</f>
        <v>0</v>
      </c>
      <c r="P26745">
        <f>IF(OR(M26745="",N26745=""),"",SUMIFS('Barang Keluar'!$E:$E,'Barang Keluar'!$A:$A,M26745,'Barang Keluar'!$C:$C,N26745))</f>
        <v>0</v>
      </c>
    </row>
    <row r="26746" spans="13:16">
      <c r="M26746" s="49">
        <f>IF($A$4+267&gt;$B$4,"",$A$4+267)</f>
        <v>46290</v>
      </c>
      <c r="N26746">
        <f>IF(M26746="","",'Master Barang'!A40)</f>
        <v>0</v>
      </c>
      <c r="O26746">
        <f>IF(N26746="","",'Master Barang'!B40)</f>
        <v>0</v>
      </c>
      <c r="P26746">
        <f>IF(OR(M26746="",N26746=""),"",SUMIFS('Barang Keluar'!$E:$E,'Barang Keluar'!$A:$A,M26746,'Barang Keluar'!$C:$C,N26746))</f>
        <v>0</v>
      </c>
    </row>
    <row r="26747" spans="13:16">
      <c r="M26747" s="49">
        <f>IF($A$4+267&gt;$B$4,"",$A$4+267)</f>
        <v>46290</v>
      </c>
      <c r="N26747">
        <f>IF(M26747="","",'Master Barang'!A41)</f>
        <v>0</v>
      </c>
      <c r="O26747">
        <f>IF(N26747="","",'Master Barang'!B41)</f>
        <v>0</v>
      </c>
      <c r="P26747">
        <f>IF(OR(M26747="",N26747=""),"",SUMIFS('Barang Keluar'!$E:$E,'Barang Keluar'!$A:$A,M26747,'Barang Keluar'!$C:$C,N26747))</f>
        <v>0</v>
      </c>
    </row>
    <row r="26748" spans="13:16">
      <c r="M26748" s="49">
        <f>IF($A$4+267&gt;$B$4,"",$A$4+267)</f>
        <v>46290</v>
      </c>
      <c r="N26748">
        <f>IF(M26748="","",'Master Barang'!A42)</f>
        <v>0</v>
      </c>
      <c r="O26748">
        <f>IF(N26748="","",'Master Barang'!B42)</f>
        <v>0</v>
      </c>
      <c r="P26748">
        <f>IF(OR(M26748="",N26748=""),"",SUMIFS('Barang Keluar'!$E:$E,'Barang Keluar'!$A:$A,M26748,'Barang Keluar'!$C:$C,N26748))</f>
        <v>0</v>
      </c>
    </row>
    <row r="26749" spans="13:16">
      <c r="M26749" s="49">
        <f>IF($A$4+267&gt;$B$4,"",$A$4+267)</f>
        <v>46290</v>
      </c>
      <c r="N26749">
        <f>IF(M26749="","",'Master Barang'!A43)</f>
        <v>0</v>
      </c>
      <c r="O26749">
        <f>IF(N26749="","",'Master Barang'!B43)</f>
        <v>0</v>
      </c>
      <c r="P26749">
        <f>IF(OR(M26749="",N26749=""),"",SUMIFS('Barang Keluar'!$E:$E,'Barang Keluar'!$A:$A,M26749,'Barang Keluar'!$C:$C,N26749))</f>
        <v>0</v>
      </c>
    </row>
    <row r="26750" spans="13:16">
      <c r="M26750" s="49">
        <f>IF($A$4+267&gt;$B$4,"",$A$4+267)</f>
        <v>46290</v>
      </c>
      <c r="N26750">
        <f>IF(M26750="","",'Master Barang'!A44)</f>
        <v>0</v>
      </c>
      <c r="O26750">
        <f>IF(N26750="","",'Master Barang'!B44)</f>
        <v>0</v>
      </c>
      <c r="P26750">
        <f>IF(OR(M26750="",N26750=""),"",SUMIFS('Barang Keluar'!$E:$E,'Barang Keluar'!$A:$A,M26750,'Barang Keluar'!$C:$C,N26750))</f>
        <v>0</v>
      </c>
    </row>
    <row r="26751" spans="13:16">
      <c r="M26751" s="49">
        <f>IF($A$4+267&gt;$B$4,"",$A$4+267)</f>
        <v>46290</v>
      </c>
      <c r="N26751">
        <f>IF(M26751="","",'Master Barang'!A45)</f>
        <v>0</v>
      </c>
      <c r="O26751">
        <f>IF(N26751="","",'Master Barang'!B45)</f>
        <v>0</v>
      </c>
      <c r="P26751">
        <f>IF(OR(M26751="",N26751=""),"",SUMIFS('Barang Keluar'!$E:$E,'Barang Keluar'!$A:$A,M26751,'Barang Keluar'!$C:$C,N26751))</f>
        <v>0</v>
      </c>
    </row>
    <row r="26752" spans="13:16">
      <c r="M26752" s="49">
        <f>IF($A$4+267&gt;$B$4,"",$A$4+267)</f>
        <v>46290</v>
      </c>
      <c r="N26752">
        <f>IF(M26752="","",'Master Barang'!A46)</f>
        <v>0</v>
      </c>
      <c r="O26752">
        <f>IF(N26752="","",'Master Barang'!B46)</f>
        <v>0</v>
      </c>
      <c r="P26752">
        <f>IF(OR(M26752="",N26752=""),"",SUMIFS('Barang Keluar'!$E:$E,'Barang Keluar'!$A:$A,M26752,'Barang Keluar'!$C:$C,N26752))</f>
        <v>0</v>
      </c>
    </row>
    <row r="26753" spans="13:16">
      <c r="M26753" s="49">
        <f>IF($A$4+267&gt;$B$4,"",$A$4+267)</f>
        <v>46290</v>
      </c>
      <c r="N26753">
        <f>IF(M26753="","",'Master Barang'!A47)</f>
        <v>0</v>
      </c>
      <c r="O26753">
        <f>IF(N26753="","",'Master Barang'!B47)</f>
        <v>0</v>
      </c>
      <c r="P26753">
        <f>IF(OR(M26753="",N26753=""),"",SUMIFS('Barang Keluar'!$E:$E,'Barang Keluar'!$A:$A,M26753,'Barang Keluar'!$C:$C,N26753))</f>
        <v>0</v>
      </c>
    </row>
    <row r="26754" spans="13:16">
      <c r="M26754" s="49">
        <f>IF($A$4+267&gt;$B$4,"",$A$4+267)</f>
        <v>46290</v>
      </c>
      <c r="N26754">
        <f>IF(M26754="","",'Master Barang'!A48)</f>
        <v>0</v>
      </c>
      <c r="O26754">
        <f>IF(N26754="","",'Master Barang'!B48)</f>
        <v>0</v>
      </c>
      <c r="P26754">
        <f>IF(OR(M26754="",N26754=""),"",SUMIFS('Barang Keluar'!$E:$E,'Barang Keluar'!$A:$A,M26754,'Barang Keluar'!$C:$C,N26754))</f>
        <v>0</v>
      </c>
    </row>
    <row r="26755" spans="13:16">
      <c r="M26755" s="49">
        <f>IF($A$4+267&gt;$B$4,"",$A$4+267)</f>
        <v>46290</v>
      </c>
      <c r="N26755">
        <f>IF(M26755="","",'Master Barang'!A49)</f>
        <v>0</v>
      </c>
      <c r="O26755">
        <f>IF(N26755="","",'Master Barang'!B49)</f>
        <v>0</v>
      </c>
      <c r="P26755">
        <f>IF(OR(M26755="",N26755=""),"",SUMIFS('Barang Keluar'!$E:$E,'Barang Keluar'!$A:$A,M26755,'Barang Keluar'!$C:$C,N26755))</f>
        <v>0</v>
      </c>
    </row>
    <row r="26756" spans="13:16">
      <c r="M26756" s="49">
        <f>IF($A$4+267&gt;$B$4,"",$A$4+267)</f>
        <v>46290</v>
      </c>
      <c r="N26756">
        <f>IF(M26756="","",'Master Barang'!A50)</f>
        <v>0</v>
      </c>
      <c r="O26756">
        <f>IF(N26756="","",'Master Barang'!B50)</f>
        <v>0</v>
      </c>
      <c r="P26756">
        <f>IF(OR(M26756="",N26756=""),"",SUMIFS('Barang Keluar'!$E:$E,'Barang Keluar'!$A:$A,M26756,'Barang Keluar'!$C:$C,N26756))</f>
        <v>0</v>
      </c>
    </row>
    <row r="26757" spans="13:16">
      <c r="M26757" s="49">
        <f>IF($A$4+267&gt;$B$4,"",$A$4+267)</f>
        <v>46290</v>
      </c>
      <c r="N26757">
        <f>IF(M26757="","",'Master Barang'!A51)</f>
        <v>0</v>
      </c>
      <c r="O26757">
        <f>IF(N26757="","",'Master Barang'!B51)</f>
        <v>0</v>
      </c>
      <c r="P26757">
        <f>IF(OR(M26757="",N26757=""),"",SUMIFS('Barang Keluar'!$E:$E,'Barang Keluar'!$A:$A,M26757,'Barang Keluar'!$C:$C,N26757))</f>
        <v>0</v>
      </c>
    </row>
    <row r="26758" spans="13:16">
      <c r="M26758" s="49">
        <f>IF($A$4+267&gt;$B$4,"",$A$4+267)</f>
        <v>46290</v>
      </c>
      <c r="N26758">
        <f>IF(M26758="","",'Master Barang'!A52)</f>
        <v>0</v>
      </c>
      <c r="O26758">
        <f>IF(N26758="","",'Master Barang'!B52)</f>
        <v>0</v>
      </c>
      <c r="P26758">
        <f>IF(OR(M26758="",N26758=""),"",SUMIFS('Barang Keluar'!$E:$E,'Barang Keluar'!$A:$A,M26758,'Barang Keluar'!$C:$C,N26758))</f>
        <v>0</v>
      </c>
    </row>
    <row r="26759" spans="13:16">
      <c r="M26759" s="49">
        <f>IF($A$4+267&gt;$B$4,"",$A$4+267)</f>
        <v>46290</v>
      </c>
      <c r="N26759">
        <f>IF(M26759="","",'Master Barang'!A53)</f>
        <v>0</v>
      </c>
      <c r="O26759">
        <f>IF(N26759="","",'Master Barang'!B53)</f>
        <v>0</v>
      </c>
      <c r="P26759">
        <f>IF(OR(M26759="",N26759=""),"",SUMIFS('Barang Keluar'!$E:$E,'Barang Keluar'!$A:$A,M26759,'Barang Keluar'!$C:$C,N26759))</f>
        <v>0</v>
      </c>
    </row>
    <row r="26760" spans="13:16">
      <c r="M26760" s="49">
        <f>IF($A$4+267&gt;$B$4,"",$A$4+267)</f>
        <v>46290</v>
      </c>
      <c r="N26760">
        <f>IF(M26760="","",'Master Barang'!A54)</f>
        <v>0</v>
      </c>
      <c r="O26760">
        <f>IF(N26760="","",'Master Barang'!B54)</f>
        <v>0</v>
      </c>
      <c r="P26760">
        <f>IF(OR(M26760="",N26760=""),"",SUMIFS('Barang Keluar'!$E:$E,'Barang Keluar'!$A:$A,M26760,'Barang Keluar'!$C:$C,N26760))</f>
        <v>0</v>
      </c>
    </row>
    <row r="26761" spans="13:16">
      <c r="M26761" s="49">
        <f>IF($A$4+267&gt;$B$4,"",$A$4+267)</f>
        <v>46290</v>
      </c>
      <c r="N26761">
        <f>IF(M26761="","",'Master Barang'!A55)</f>
        <v>0</v>
      </c>
      <c r="O26761">
        <f>IF(N26761="","",'Master Barang'!B55)</f>
        <v>0</v>
      </c>
      <c r="P26761">
        <f>IF(OR(M26761="",N26761=""),"",SUMIFS('Barang Keluar'!$E:$E,'Barang Keluar'!$A:$A,M26761,'Barang Keluar'!$C:$C,N26761))</f>
        <v>0</v>
      </c>
    </row>
    <row r="26762" spans="13:16">
      <c r="M26762" s="49">
        <f>IF($A$4+267&gt;$B$4,"",$A$4+267)</f>
        <v>46290</v>
      </c>
      <c r="N26762">
        <f>IF(M26762="","",'Master Barang'!A56)</f>
        <v>0</v>
      </c>
      <c r="O26762">
        <f>IF(N26762="","",'Master Barang'!B56)</f>
        <v>0</v>
      </c>
      <c r="P26762">
        <f>IF(OR(M26762="",N26762=""),"",SUMIFS('Barang Keluar'!$E:$E,'Barang Keluar'!$A:$A,M26762,'Barang Keluar'!$C:$C,N26762))</f>
        <v>0</v>
      </c>
    </row>
    <row r="26763" spans="13:16">
      <c r="M26763" s="49">
        <f>IF($A$4+267&gt;$B$4,"",$A$4+267)</f>
        <v>46290</v>
      </c>
      <c r="N26763">
        <f>IF(M26763="","",'Master Barang'!A57)</f>
        <v>0</v>
      </c>
      <c r="O26763">
        <f>IF(N26763="","",'Master Barang'!B57)</f>
        <v>0</v>
      </c>
      <c r="P26763">
        <f>IF(OR(M26763="",N26763=""),"",SUMIFS('Barang Keluar'!$E:$E,'Barang Keluar'!$A:$A,M26763,'Barang Keluar'!$C:$C,N26763))</f>
        <v>0</v>
      </c>
    </row>
    <row r="26764" spans="13:16">
      <c r="M26764" s="49">
        <f>IF($A$4+267&gt;$B$4,"",$A$4+267)</f>
        <v>46290</v>
      </c>
      <c r="N26764">
        <f>IF(M26764="","",'Master Barang'!A58)</f>
        <v>0</v>
      </c>
      <c r="O26764">
        <f>IF(N26764="","",'Master Barang'!B58)</f>
        <v>0</v>
      </c>
      <c r="P26764">
        <f>IF(OR(M26764="",N26764=""),"",SUMIFS('Barang Keluar'!$E:$E,'Barang Keluar'!$A:$A,M26764,'Barang Keluar'!$C:$C,N26764))</f>
        <v>0</v>
      </c>
    </row>
    <row r="26765" spans="13:16">
      <c r="M26765" s="49">
        <f>IF($A$4+267&gt;$B$4,"",$A$4+267)</f>
        <v>46290</v>
      </c>
      <c r="N26765">
        <f>IF(M26765="","",'Master Barang'!A59)</f>
        <v>0</v>
      </c>
      <c r="O26765">
        <f>IF(N26765="","",'Master Barang'!B59)</f>
        <v>0</v>
      </c>
      <c r="P26765">
        <f>IF(OR(M26765="",N26765=""),"",SUMIFS('Barang Keluar'!$E:$E,'Barang Keluar'!$A:$A,M26765,'Barang Keluar'!$C:$C,N26765))</f>
        <v>0</v>
      </c>
    </row>
    <row r="26766" spans="13:16">
      <c r="M26766" s="49">
        <f>IF($A$4+267&gt;$B$4,"",$A$4+267)</f>
        <v>46290</v>
      </c>
      <c r="N26766">
        <f>IF(M26766="","",'Master Barang'!A60)</f>
        <v>0</v>
      </c>
      <c r="O26766">
        <f>IF(N26766="","",'Master Barang'!B60)</f>
        <v>0</v>
      </c>
      <c r="P26766">
        <f>IF(OR(M26766="",N26766=""),"",SUMIFS('Barang Keluar'!$E:$E,'Barang Keluar'!$A:$A,M26766,'Barang Keluar'!$C:$C,N26766))</f>
        <v>0</v>
      </c>
    </row>
    <row r="26767" spans="13:16">
      <c r="M26767" s="49">
        <f>IF($A$4+267&gt;$B$4,"",$A$4+267)</f>
        <v>46290</v>
      </c>
      <c r="N26767">
        <f>IF(M26767="","",'Master Barang'!A61)</f>
        <v>0</v>
      </c>
      <c r="O26767">
        <f>IF(N26767="","",'Master Barang'!B61)</f>
        <v>0</v>
      </c>
      <c r="P26767">
        <f>IF(OR(M26767="",N26767=""),"",SUMIFS('Barang Keluar'!$E:$E,'Barang Keluar'!$A:$A,M26767,'Barang Keluar'!$C:$C,N26767))</f>
        <v>0</v>
      </c>
    </row>
    <row r="26768" spans="13:16">
      <c r="M26768" s="49">
        <f>IF($A$4+267&gt;$B$4,"",$A$4+267)</f>
        <v>46290</v>
      </c>
      <c r="N26768">
        <f>IF(M26768="","",'Master Barang'!A62)</f>
        <v>0</v>
      </c>
      <c r="O26768">
        <f>IF(N26768="","",'Master Barang'!B62)</f>
        <v>0</v>
      </c>
      <c r="P26768">
        <f>IF(OR(M26768="",N26768=""),"",SUMIFS('Barang Keluar'!$E:$E,'Barang Keluar'!$A:$A,M26768,'Barang Keluar'!$C:$C,N26768))</f>
        <v>0</v>
      </c>
    </row>
    <row r="26769" spans="13:16">
      <c r="M26769" s="49">
        <f>IF($A$4+267&gt;$B$4,"",$A$4+267)</f>
        <v>46290</v>
      </c>
      <c r="N26769">
        <f>IF(M26769="","",'Master Barang'!A63)</f>
        <v>0</v>
      </c>
      <c r="O26769">
        <f>IF(N26769="","",'Master Barang'!B63)</f>
        <v>0</v>
      </c>
      <c r="P26769">
        <f>IF(OR(M26769="",N26769=""),"",SUMIFS('Barang Keluar'!$E:$E,'Barang Keluar'!$A:$A,M26769,'Barang Keluar'!$C:$C,N26769))</f>
        <v>0</v>
      </c>
    </row>
    <row r="26770" spans="13:16">
      <c r="M26770" s="49">
        <f>IF($A$4+267&gt;$B$4,"",$A$4+267)</f>
        <v>46290</v>
      </c>
      <c r="N26770">
        <f>IF(M26770="","",'Master Barang'!A64)</f>
        <v>0</v>
      </c>
      <c r="O26770">
        <f>IF(N26770="","",'Master Barang'!B64)</f>
        <v>0</v>
      </c>
      <c r="P26770">
        <f>IF(OR(M26770="",N26770=""),"",SUMIFS('Barang Keluar'!$E:$E,'Barang Keluar'!$A:$A,M26770,'Barang Keluar'!$C:$C,N26770))</f>
        <v>0</v>
      </c>
    </row>
    <row r="26771" spans="13:16">
      <c r="M26771" s="49">
        <f>IF($A$4+267&gt;$B$4,"",$A$4+267)</f>
        <v>46290</v>
      </c>
      <c r="N26771">
        <f>IF(M26771="","",'Master Barang'!A65)</f>
        <v>0</v>
      </c>
      <c r="O26771">
        <f>IF(N26771="","",'Master Barang'!B65)</f>
        <v>0</v>
      </c>
      <c r="P26771">
        <f>IF(OR(M26771="",N26771=""),"",SUMIFS('Barang Keluar'!$E:$E,'Barang Keluar'!$A:$A,M26771,'Barang Keluar'!$C:$C,N26771))</f>
        <v>0</v>
      </c>
    </row>
    <row r="26772" spans="13:16">
      <c r="M26772" s="49">
        <f>IF($A$4+267&gt;$B$4,"",$A$4+267)</f>
        <v>46290</v>
      </c>
      <c r="N26772">
        <f>IF(M26772="","",'Master Barang'!A66)</f>
        <v>0</v>
      </c>
      <c r="O26772">
        <f>IF(N26772="","",'Master Barang'!B66)</f>
        <v>0</v>
      </c>
      <c r="P26772">
        <f>IF(OR(M26772="",N26772=""),"",SUMIFS('Barang Keluar'!$E:$E,'Barang Keluar'!$A:$A,M26772,'Barang Keluar'!$C:$C,N26772))</f>
        <v>0</v>
      </c>
    </row>
    <row r="26773" spans="13:16">
      <c r="M26773" s="49">
        <f>IF($A$4+267&gt;$B$4,"",$A$4+267)</f>
        <v>46290</v>
      </c>
      <c r="N26773">
        <f>IF(M26773="","",'Master Barang'!A67)</f>
        <v>0</v>
      </c>
      <c r="O26773">
        <f>IF(N26773="","",'Master Barang'!B67)</f>
        <v>0</v>
      </c>
      <c r="P26773">
        <f>IF(OR(M26773="",N26773=""),"",SUMIFS('Barang Keluar'!$E:$E,'Barang Keluar'!$A:$A,M26773,'Barang Keluar'!$C:$C,N26773))</f>
        <v>0</v>
      </c>
    </row>
    <row r="26774" spans="13:16">
      <c r="M26774" s="49">
        <f>IF($A$4+267&gt;$B$4,"",$A$4+267)</f>
        <v>46290</v>
      </c>
      <c r="N26774">
        <f>IF(M26774="","",'Master Barang'!A68)</f>
        <v>0</v>
      </c>
      <c r="O26774">
        <f>IF(N26774="","",'Master Barang'!B68)</f>
        <v>0</v>
      </c>
      <c r="P26774">
        <f>IF(OR(M26774="",N26774=""),"",SUMIFS('Barang Keluar'!$E:$E,'Barang Keluar'!$A:$A,M26774,'Barang Keluar'!$C:$C,N26774))</f>
        <v>0</v>
      </c>
    </row>
    <row r="26775" spans="13:16">
      <c r="M26775" s="49">
        <f>IF($A$4+267&gt;$B$4,"",$A$4+267)</f>
        <v>46290</v>
      </c>
      <c r="N26775">
        <f>IF(M26775="","",'Master Barang'!A69)</f>
        <v>0</v>
      </c>
      <c r="O26775">
        <f>IF(N26775="","",'Master Barang'!B69)</f>
        <v>0</v>
      </c>
      <c r="P26775">
        <f>IF(OR(M26775="",N26775=""),"",SUMIFS('Barang Keluar'!$E:$E,'Barang Keluar'!$A:$A,M26775,'Barang Keluar'!$C:$C,N26775))</f>
        <v>0</v>
      </c>
    </row>
    <row r="26776" spans="13:16">
      <c r="M26776" s="49">
        <f>IF($A$4+267&gt;$B$4,"",$A$4+267)</f>
        <v>46290</v>
      </c>
      <c r="N26776">
        <f>IF(M26776="","",'Master Barang'!A70)</f>
        <v>0</v>
      </c>
      <c r="O26776">
        <f>IF(N26776="","",'Master Barang'!B70)</f>
        <v>0</v>
      </c>
      <c r="P26776">
        <f>IF(OR(M26776="",N26776=""),"",SUMIFS('Barang Keluar'!$E:$E,'Barang Keluar'!$A:$A,M26776,'Barang Keluar'!$C:$C,N26776))</f>
        <v>0</v>
      </c>
    </row>
    <row r="26777" spans="13:16">
      <c r="M26777" s="49">
        <f>IF($A$4+267&gt;$B$4,"",$A$4+267)</f>
        <v>46290</v>
      </c>
      <c r="N26777">
        <f>IF(M26777="","",'Master Barang'!A71)</f>
        <v>0</v>
      </c>
      <c r="O26777">
        <f>IF(N26777="","",'Master Barang'!B71)</f>
        <v>0</v>
      </c>
      <c r="P26777">
        <f>IF(OR(M26777="",N26777=""),"",SUMIFS('Barang Keluar'!$E:$E,'Barang Keluar'!$A:$A,M26777,'Barang Keluar'!$C:$C,N26777))</f>
        <v>0</v>
      </c>
    </row>
    <row r="26778" spans="13:16">
      <c r="M26778" s="49">
        <f>IF($A$4+267&gt;$B$4,"",$A$4+267)</f>
        <v>46290</v>
      </c>
      <c r="N26778">
        <f>IF(M26778="","",'Master Barang'!A72)</f>
        <v>0</v>
      </c>
      <c r="O26778">
        <f>IF(N26778="","",'Master Barang'!B72)</f>
        <v>0</v>
      </c>
      <c r="P26778">
        <f>IF(OR(M26778="",N26778=""),"",SUMIFS('Barang Keluar'!$E:$E,'Barang Keluar'!$A:$A,M26778,'Barang Keluar'!$C:$C,N26778))</f>
        <v>0</v>
      </c>
    </row>
    <row r="26779" spans="13:16">
      <c r="M26779" s="49">
        <f>IF($A$4+267&gt;$B$4,"",$A$4+267)</f>
        <v>46290</v>
      </c>
      <c r="N26779">
        <f>IF(M26779="","",'Master Barang'!A73)</f>
        <v>0</v>
      </c>
      <c r="O26779">
        <f>IF(N26779="","",'Master Barang'!B73)</f>
        <v>0</v>
      </c>
      <c r="P26779">
        <f>IF(OR(M26779="",N26779=""),"",SUMIFS('Barang Keluar'!$E:$E,'Barang Keluar'!$A:$A,M26779,'Barang Keluar'!$C:$C,N26779))</f>
        <v>0</v>
      </c>
    </row>
    <row r="26780" spans="13:16">
      <c r="M26780" s="49">
        <f>IF($A$4+267&gt;$B$4,"",$A$4+267)</f>
        <v>46290</v>
      </c>
      <c r="N26780">
        <f>IF(M26780="","",'Master Barang'!A74)</f>
        <v>0</v>
      </c>
      <c r="O26780">
        <f>IF(N26780="","",'Master Barang'!B74)</f>
        <v>0</v>
      </c>
      <c r="P26780">
        <f>IF(OR(M26780="",N26780=""),"",SUMIFS('Barang Keluar'!$E:$E,'Barang Keluar'!$A:$A,M26780,'Barang Keluar'!$C:$C,N26780))</f>
        <v>0</v>
      </c>
    </row>
    <row r="26781" spans="13:16">
      <c r="M26781" s="49">
        <f>IF($A$4+267&gt;$B$4,"",$A$4+267)</f>
        <v>46290</v>
      </c>
      <c r="N26781">
        <f>IF(M26781="","",'Master Barang'!A75)</f>
        <v>0</v>
      </c>
      <c r="O26781">
        <f>IF(N26781="","",'Master Barang'!B75)</f>
        <v>0</v>
      </c>
      <c r="P26781">
        <f>IF(OR(M26781="",N26781=""),"",SUMIFS('Barang Keluar'!$E:$E,'Barang Keluar'!$A:$A,M26781,'Barang Keluar'!$C:$C,N26781))</f>
        <v>0</v>
      </c>
    </row>
    <row r="26782" spans="13:16">
      <c r="M26782" s="49">
        <f>IF($A$4+267&gt;$B$4,"",$A$4+267)</f>
        <v>46290</v>
      </c>
      <c r="N26782">
        <f>IF(M26782="","",'Master Barang'!A76)</f>
        <v>0</v>
      </c>
      <c r="O26782">
        <f>IF(N26782="","",'Master Barang'!B76)</f>
        <v>0</v>
      </c>
      <c r="P26782">
        <f>IF(OR(M26782="",N26782=""),"",SUMIFS('Barang Keluar'!$E:$E,'Barang Keluar'!$A:$A,M26782,'Barang Keluar'!$C:$C,N26782))</f>
        <v>0</v>
      </c>
    </row>
    <row r="26783" spans="13:16">
      <c r="M26783" s="49">
        <f>IF($A$4+267&gt;$B$4,"",$A$4+267)</f>
        <v>46290</v>
      </c>
      <c r="N26783">
        <f>IF(M26783="","",'Master Barang'!A77)</f>
        <v>0</v>
      </c>
      <c r="O26783">
        <f>IF(N26783="","",'Master Barang'!B77)</f>
        <v>0</v>
      </c>
      <c r="P26783">
        <f>IF(OR(M26783="",N26783=""),"",SUMIFS('Barang Keluar'!$E:$E,'Barang Keluar'!$A:$A,M26783,'Barang Keluar'!$C:$C,N26783))</f>
        <v>0</v>
      </c>
    </row>
    <row r="26784" spans="13:16">
      <c r="M26784" s="49">
        <f>IF($A$4+267&gt;$B$4,"",$A$4+267)</f>
        <v>46290</v>
      </c>
      <c r="N26784">
        <f>IF(M26784="","",'Master Barang'!A78)</f>
        <v>0</v>
      </c>
      <c r="O26784">
        <f>IF(N26784="","",'Master Barang'!B78)</f>
        <v>0</v>
      </c>
      <c r="P26784">
        <f>IF(OR(M26784="",N26784=""),"",SUMIFS('Barang Keluar'!$E:$E,'Barang Keluar'!$A:$A,M26784,'Barang Keluar'!$C:$C,N26784))</f>
        <v>0</v>
      </c>
    </row>
    <row r="26785" spans="13:16">
      <c r="M26785" s="49">
        <f>IF($A$4+267&gt;$B$4,"",$A$4+267)</f>
        <v>46290</v>
      </c>
      <c r="N26785">
        <f>IF(M26785="","",'Master Barang'!A79)</f>
        <v>0</v>
      </c>
      <c r="O26785">
        <f>IF(N26785="","",'Master Barang'!B79)</f>
        <v>0</v>
      </c>
      <c r="P26785">
        <f>IF(OR(M26785="",N26785=""),"",SUMIFS('Barang Keluar'!$E:$E,'Barang Keluar'!$A:$A,M26785,'Barang Keluar'!$C:$C,N26785))</f>
        <v>0</v>
      </c>
    </row>
    <row r="26786" spans="13:16">
      <c r="M26786" s="49">
        <f>IF($A$4+267&gt;$B$4,"",$A$4+267)</f>
        <v>46290</v>
      </c>
      <c r="N26786">
        <f>IF(M26786="","",'Master Barang'!A80)</f>
        <v>0</v>
      </c>
      <c r="O26786">
        <f>IF(N26786="","",'Master Barang'!B80)</f>
        <v>0</v>
      </c>
      <c r="P26786">
        <f>IF(OR(M26786="",N26786=""),"",SUMIFS('Barang Keluar'!$E:$E,'Barang Keluar'!$A:$A,M26786,'Barang Keluar'!$C:$C,N26786))</f>
        <v>0</v>
      </c>
    </row>
    <row r="26787" spans="13:16">
      <c r="M26787" s="49">
        <f>IF($A$4+267&gt;$B$4,"",$A$4+267)</f>
        <v>46290</v>
      </c>
      <c r="N26787">
        <f>IF(M26787="","",'Master Barang'!A81)</f>
        <v>0</v>
      </c>
      <c r="O26787">
        <f>IF(N26787="","",'Master Barang'!B81)</f>
        <v>0</v>
      </c>
      <c r="P26787">
        <f>IF(OR(M26787="",N26787=""),"",SUMIFS('Barang Keluar'!$E:$E,'Barang Keluar'!$A:$A,M26787,'Barang Keluar'!$C:$C,N26787))</f>
        <v>0</v>
      </c>
    </row>
    <row r="26788" spans="13:16">
      <c r="M26788" s="49">
        <f>IF($A$4+267&gt;$B$4,"",$A$4+267)</f>
        <v>46290</v>
      </c>
      <c r="N26788">
        <f>IF(M26788="","",'Master Barang'!A82)</f>
        <v>0</v>
      </c>
      <c r="O26788">
        <f>IF(N26788="","",'Master Barang'!B82)</f>
        <v>0</v>
      </c>
      <c r="P26788">
        <f>IF(OR(M26788="",N26788=""),"",SUMIFS('Barang Keluar'!$E:$E,'Barang Keluar'!$A:$A,M26788,'Barang Keluar'!$C:$C,N26788))</f>
        <v>0</v>
      </c>
    </row>
    <row r="26789" spans="13:16">
      <c r="M26789" s="49">
        <f>IF($A$4+267&gt;$B$4,"",$A$4+267)</f>
        <v>46290</v>
      </c>
      <c r="N26789">
        <f>IF(M26789="","",'Master Barang'!A83)</f>
        <v>0</v>
      </c>
      <c r="O26789">
        <f>IF(N26789="","",'Master Barang'!B83)</f>
        <v>0</v>
      </c>
      <c r="P26789">
        <f>IF(OR(M26789="",N26789=""),"",SUMIFS('Barang Keluar'!$E:$E,'Barang Keluar'!$A:$A,M26789,'Barang Keluar'!$C:$C,N26789))</f>
        <v>0</v>
      </c>
    </row>
    <row r="26790" spans="13:16">
      <c r="M26790" s="49">
        <f>IF($A$4+267&gt;$B$4,"",$A$4+267)</f>
        <v>46290</v>
      </c>
      <c r="N26790">
        <f>IF(M26790="","",'Master Barang'!A84)</f>
        <v>0</v>
      </c>
      <c r="O26790">
        <f>IF(N26790="","",'Master Barang'!B84)</f>
        <v>0</v>
      </c>
      <c r="P26790">
        <f>IF(OR(M26790="",N26790=""),"",SUMIFS('Barang Keluar'!$E:$E,'Barang Keluar'!$A:$A,M26790,'Barang Keluar'!$C:$C,N26790))</f>
        <v>0</v>
      </c>
    </row>
    <row r="26791" spans="13:16">
      <c r="M26791" s="49">
        <f>IF($A$4+267&gt;$B$4,"",$A$4+267)</f>
        <v>46290</v>
      </c>
      <c r="N26791">
        <f>IF(M26791="","",'Master Barang'!A85)</f>
        <v>0</v>
      </c>
      <c r="O26791">
        <f>IF(N26791="","",'Master Barang'!B85)</f>
        <v>0</v>
      </c>
      <c r="P26791">
        <f>IF(OR(M26791="",N26791=""),"",SUMIFS('Barang Keluar'!$E:$E,'Barang Keluar'!$A:$A,M26791,'Barang Keluar'!$C:$C,N26791))</f>
        <v>0</v>
      </c>
    </row>
    <row r="26792" spans="13:16">
      <c r="M26792" s="49">
        <f>IF($A$4+267&gt;$B$4,"",$A$4+267)</f>
        <v>46290</v>
      </c>
      <c r="N26792">
        <f>IF(M26792="","",'Master Barang'!A86)</f>
        <v>0</v>
      </c>
      <c r="O26792">
        <f>IF(N26792="","",'Master Barang'!B86)</f>
        <v>0</v>
      </c>
      <c r="P26792">
        <f>IF(OR(M26792="",N26792=""),"",SUMIFS('Barang Keluar'!$E:$E,'Barang Keluar'!$A:$A,M26792,'Barang Keluar'!$C:$C,N26792))</f>
        <v>0</v>
      </c>
    </row>
    <row r="26793" spans="13:16">
      <c r="M26793" s="49">
        <f>IF($A$4+267&gt;$B$4,"",$A$4+267)</f>
        <v>46290</v>
      </c>
      <c r="N26793">
        <f>IF(M26793="","",'Master Barang'!A87)</f>
        <v>0</v>
      </c>
      <c r="O26793">
        <f>IF(N26793="","",'Master Barang'!B87)</f>
        <v>0</v>
      </c>
      <c r="P26793">
        <f>IF(OR(M26793="",N26793=""),"",SUMIFS('Barang Keluar'!$E:$E,'Barang Keluar'!$A:$A,M26793,'Barang Keluar'!$C:$C,N26793))</f>
        <v>0</v>
      </c>
    </row>
    <row r="26794" spans="13:16">
      <c r="M26794" s="49">
        <f>IF($A$4+267&gt;$B$4,"",$A$4+267)</f>
        <v>46290</v>
      </c>
      <c r="N26794">
        <f>IF(M26794="","",'Master Barang'!A88)</f>
        <v>0</v>
      </c>
      <c r="O26794">
        <f>IF(N26794="","",'Master Barang'!B88)</f>
        <v>0</v>
      </c>
      <c r="P26794">
        <f>IF(OR(M26794="",N26794=""),"",SUMIFS('Barang Keluar'!$E:$E,'Barang Keluar'!$A:$A,M26794,'Barang Keluar'!$C:$C,N26794))</f>
        <v>0</v>
      </c>
    </row>
    <row r="26795" spans="13:16">
      <c r="M26795" s="49">
        <f>IF($A$4+267&gt;$B$4,"",$A$4+267)</f>
        <v>46290</v>
      </c>
      <c r="N26795">
        <f>IF(M26795="","",'Master Barang'!A89)</f>
        <v>0</v>
      </c>
      <c r="O26795">
        <f>IF(N26795="","",'Master Barang'!B89)</f>
        <v>0</v>
      </c>
      <c r="P26795">
        <f>IF(OR(M26795="",N26795=""),"",SUMIFS('Barang Keluar'!$E:$E,'Barang Keluar'!$A:$A,M26795,'Barang Keluar'!$C:$C,N26795))</f>
        <v>0</v>
      </c>
    </row>
    <row r="26796" spans="13:16">
      <c r="M26796" s="49">
        <f>IF($A$4+267&gt;$B$4,"",$A$4+267)</f>
        <v>46290</v>
      </c>
      <c r="N26796">
        <f>IF(M26796="","",'Master Barang'!A90)</f>
        <v>0</v>
      </c>
      <c r="O26796">
        <f>IF(N26796="","",'Master Barang'!B90)</f>
        <v>0</v>
      </c>
      <c r="P26796">
        <f>IF(OR(M26796="",N26796=""),"",SUMIFS('Barang Keluar'!$E:$E,'Barang Keluar'!$A:$A,M26796,'Barang Keluar'!$C:$C,N26796))</f>
        <v>0</v>
      </c>
    </row>
    <row r="26797" spans="13:16">
      <c r="M26797" s="49">
        <f>IF($A$4+267&gt;$B$4,"",$A$4+267)</f>
        <v>46290</v>
      </c>
      <c r="N26797">
        <f>IF(M26797="","",'Master Barang'!A91)</f>
        <v>0</v>
      </c>
      <c r="O26797">
        <f>IF(N26797="","",'Master Barang'!B91)</f>
        <v>0</v>
      </c>
      <c r="P26797">
        <f>IF(OR(M26797="",N26797=""),"",SUMIFS('Barang Keluar'!$E:$E,'Barang Keluar'!$A:$A,M26797,'Barang Keluar'!$C:$C,N26797))</f>
        <v>0</v>
      </c>
    </row>
    <row r="26798" spans="13:16">
      <c r="M26798" s="49">
        <f>IF($A$4+267&gt;$B$4,"",$A$4+267)</f>
        <v>46290</v>
      </c>
      <c r="N26798">
        <f>IF(M26798="","",'Master Barang'!A92)</f>
        <v>0</v>
      </c>
      <c r="O26798">
        <f>IF(N26798="","",'Master Barang'!B92)</f>
        <v>0</v>
      </c>
      <c r="P26798">
        <f>IF(OR(M26798="",N26798=""),"",SUMIFS('Barang Keluar'!$E:$E,'Barang Keluar'!$A:$A,M26798,'Barang Keluar'!$C:$C,N26798))</f>
        <v>0</v>
      </c>
    </row>
    <row r="26799" spans="13:16">
      <c r="M26799" s="49">
        <f>IF($A$4+267&gt;$B$4,"",$A$4+267)</f>
        <v>46290</v>
      </c>
      <c r="N26799">
        <f>IF(M26799="","",'Master Barang'!A93)</f>
        <v>0</v>
      </c>
      <c r="O26799">
        <f>IF(N26799="","",'Master Barang'!B93)</f>
        <v>0</v>
      </c>
      <c r="P26799">
        <f>IF(OR(M26799="",N26799=""),"",SUMIFS('Barang Keluar'!$E:$E,'Barang Keluar'!$A:$A,M26799,'Barang Keluar'!$C:$C,N26799))</f>
        <v>0</v>
      </c>
    </row>
    <row r="26800" spans="13:16">
      <c r="M26800" s="49">
        <f>IF($A$4+267&gt;$B$4,"",$A$4+267)</f>
        <v>46290</v>
      </c>
      <c r="N26800">
        <f>IF(M26800="","",'Master Barang'!A94)</f>
        <v>0</v>
      </c>
      <c r="O26800">
        <f>IF(N26800="","",'Master Barang'!B94)</f>
        <v>0</v>
      </c>
      <c r="P26800">
        <f>IF(OR(M26800="",N26800=""),"",SUMIFS('Barang Keluar'!$E:$E,'Barang Keluar'!$A:$A,M26800,'Barang Keluar'!$C:$C,N26800))</f>
        <v>0</v>
      </c>
    </row>
    <row r="26801" spans="13:16">
      <c r="M26801" s="49">
        <f>IF($A$4+267&gt;$B$4,"",$A$4+267)</f>
        <v>46290</v>
      </c>
      <c r="N26801">
        <f>IF(M26801="","",'Master Barang'!A95)</f>
        <v>0</v>
      </c>
      <c r="O26801">
        <f>IF(N26801="","",'Master Barang'!B95)</f>
        <v>0</v>
      </c>
      <c r="P26801">
        <f>IF(OR(M26801="",N26801=""),"",SUMIFS('Barang Keluar'!$E:$E,'Barang Keluar'!$A:$A,M26801,'Barang Keluar'!$C:$C,N26801))</f>
        <v>0</v>
      </c>
    </row>
    <row r="26802" spans="13:16">
      <c r="M26802" s="49">
        <f>IF($A$4+267&gt;$B$4,"",$A$4+267)</f>
        <v>46290</v>
      </c>
      <c r="N26802">
        <f>IF(M26802="","",'Master Barang'!A96)</f>
        <v>0</v>
      </c>
      <c r="O26802">
        <f>IF(N26802="","",'Master Barang'!B96)</f>
        <v>0</v>
      </c>
      <c r="P26802">
        <f>IF(OR(M26802="",N26802=""),"",SUMIFS('Barang Keluar'!$E:$E,'Barang Keluar'!$A:$A,M26802,'Barang Keluar'!$C:$C,N26802))</f>
        <v>0</v>
      </c>
    </row>
    <row r="26803" spans="13:16">
      <c r="M26803" s="49">
        <f>IF($A$4+267&gt;$B$4,"",$A$4+267)</f>
        <v>46290</v>
      </c>
      <c r="N26803">
        <f>IF(M26803="","",'Master Barang'!A97)</f>
        <v>0</v>
      </c>
      <c r="O26803">
        <f>IF(N26803="","",'Master Barang'!B97)</f>
        <v>0</v>
      </c>
      <c r="P26803">
        <f>IF(OR(M26803="",N26803=""),"",SUMIFS('Barang Keluar'!$E:$E,'Barang Keluar'!$A:$A,M26803,'Barang Keluar'!$C:$C,N26803))</f>
        <v>0</v>
      </c>
    </row>
    <row r="26804" spans="13:16">
      <c r="M26804" s="49">
        <f>IF($A$4+267&gt;$B$4,"",$A$4+267)</f>
        <v>46290</v>
      </c>
      <c r="N26804">
        <f>IF(M26804="","",'Master Barang'!A98)</f>
        <v>0</v>
      </c>
      <c r="O26804">
        <f>IF(N26804="","",'Master Barang'!B98)</f>
        <v>0</v>
      </c>
      <c r="P26804">
        <f>IF(OR(M26804="",N26804=""),"",SUMIFS('Barang Keluar'!$E:$E,'Barang Keluar'!$A:$A,M26804,'Barang Keluar'!$C:$C,N26804))</f>
        <v>0</v>
      </c>
    </row>
    <row r="26805" spans="13:16">
      <c r="M26805" s="49">
        <f>IF($A$4+267&gt;$B$4,"",$A$4+267)</f>
        <v>46290</v>
      </c>
      <c r="N26805">
        <f>IF(M26805="","",'Master Barang'!A99)</f>
        <v>0</v>
      </c>
      <c r="O26805">
        <f>IF(N26805="","",'Master Barang'!B99)</f>
        <v>0</v>
      </c>
      <c r="P26805">
        <f>IF(OR(M26805="",N26805=""),"",SUMIFS('Barang Keluar'!$E:$E,'Barang Keluar'!$A:$A,M26805,'Barang Keluar'!$C:$C,N26805))</f>
        <v>0</v>
      </c>
    </row>
    <row r="26806" spans="13:16">
      <c r="M26806" s="49">
        <f>IF($A$4+267&gt;$B$4,"",$A$4+267)</f>
        <v>46290</v>
      </c>
      <c r="N26806">
        <f>IF(M26806="","",'Master Barang'!A100)</f>
        <v>0</v>
      </c>
      <c r="O26806">
        <f>IF(N26806="","",'Master Barang'!B100)</f>
        <v>0</v>
      </c>
      <c r="P26806">
        <f>IF(OR(M26806="",N26806=""),"",SUMIFS('Barang Keluar'!$E:$E,'Barang Keluar'!$A:$A,M26806,'Barang Keluar'!$C:$C,N26806))</f>
        <v>0</v>
      </c>
    </row>
    <row r="26807" spans="13:16">
      <c r="M26807" s="49">
        <f>IF($A$4+267&gt;$B$4,"",$A$4+267)</f>
        <v>46290</v>
      </c>
      <c r="N26807">
        <f>IF(M26807="","",'Master Barang'!A101)</f>
        <v>0</v>
      </c>
      <c r="O26807">
        <f>IF(N26807="","",'Master Barang'!B101)</f>
        <v>0</v>
      </c>
      <c r="P26807">
        <f>IF(OR(M26807="",N26807=""),"",SUMIFS('Barang Keluar'!$E:$E,'Barang Keluar'!$A:$A,M26807,'Barang Keluar'!$C:$C,N26807))</f>
        <v>0</v>
      </c>
    </row>
    <row r="26808" spans="13:16">
      <c r="M26808" s="49">
        <f>IF($A$4+268&gt;$B$4,"",$A$4+268)</f>
        <v>46291</v>
      </c>
      <c r="N26808" t="str">
        <f>IF(M26808="","",'Master Barang'!A2)</f>
        <v>PRL-001</v>
      </c>
      <c r="O26808" t="str">
        <f>IF(N26808="","",'Master Barang'!B2)</f>
        <v>natura desinfectant food grade 5l</v>
      </c>
      <c r="P26808">
        <f>IF(OR(M26808="",N26808=""),"",SUMIFS('Barang Keluar'!$E:$E,'Barang Keluar'!$A:$A,M26808,'Barang Keluar'!$C:$C,N26808))</f>
        <v>0</v>
      </c>
    </row>
    <row r="26809" spans="13:16">
      <c r="M26809" s="49">
        <f>IF($A$4+268&gt;$B$4,"",$A$4+268)</f>
        <v>46291</v>
      </c>
      <c r="N26809" t="str">
        <f>IF(M26809="","",'Master Barang'!A3)</f>
        <v>PRL-002</v>
      </c>
      <c r="O26809" t="str">
        <f>IF(N26809="","",'Master Barang'!B3)</f>
        <v>sunlight cairan pencuci piring 5l</v>
      </c>
      <c r="P26809">
        <f>IF(OR(M26809="",N26809=""),"",SUMIFS('Barang Keluar'!$E:$E,'Barang Keluar'!$A:$A,M26809,'Barang Keluar'!$C:$C,N26809))</f>
        <v>0</v>
      </c>
    </row>
    <row r="26810" spans="13:16">
      <c r="M26810" s="49">
        <f>IF($A$4+268&gt;$B$4,"",$A$4+268)</f>
        <v>46291</v>
      </c>
      <c r="N26810" t="str">
        <f>IF(M26810="","",'Master Barang'!A4)</f>
        <v>PRL-003</v>
      </c>
      <c r="O26810" t="str">
        <f>IF(N26810="","",'Master Barang'!B4)</f>
        <v>oixs cleaner 1l</v>
      </c>
      <c r="P26810">
        <f>IF(OR(M26810="",N26810=""),"",SUMIFS('Barang Keluar'!$E:$E,'Barang Keluar'!$A:$A,M26810,'Barang Keluar'!$C:$C,N26810))</f>
        <v>0</v>
      </c>
    </row>
    <row r="26811" spans="13:16">
      <c r="M26811" s="49">
        <f>IF($A$4+268&gt;$B$4,"",$A$4+268)</f>
        <v>46291</v>
      </c>
      <c r="N26811" t="str">
        <f>IF(M26811="","",'Master Barang'!A5)</f>
        <v>PRL-004</v>
      </c>
      <c r="O26811" t="str">
        <f>IF(N26811="","",'Master Barang'!B5)</f>
        <v>be clean tissue serbaguna</v>
      </c>
      <c r="P26811">
        <f>IF(OR(M26811="",N26811=""),"",SUMIFS('Barang Keluar'!$E:$E,'Barang Keluar'!$A:$A,M26811,'Barang Keluar'!$C:$C,N26811))</f>
        <v>0</v>
      </c>
    </row>
    <row r="26812" spans="13:16">
      <c r="M26812" s="49">
        <f>IF($A$4+268&gt;$B$4,"",$A$4+268)</f>
        <v>46291</v>
      </c>
      <c r="N26812" t="str">
        <f>IF(M26812="","",'Master Barang'!A6)</f>
        <v>PRL-005</v>
      </c>
      <c r="O26812" t="str">
        <f>IF(N26812="","",'Master Barang'!B6)</f>
        <v>spons cuci hijau</v>
      </c>
      <c r="P26812">
        <f>IF(OR(M26812="",N26812=""),"",SUMIFS('Barang Keluar'!$E:$E,'Barang Keluar'!$A:$A,M26812,'Barang Keluar'!$C:$C,N26812))</f>
        <v>0</v>
      </c>
    </row>
    <row r="26813" spans="13:16">
      <c r="M26813" s="49">
        <f>IF($A$4+268&gt;$B$4,"",$A$4+268)</f>
        <v>46291</v>
      </c>
      <c r="N26813" t="str">
        <f>IF(M26813="","",'Master Barang'!A7)</f>
        <v>PRL-006</v>
      </c>
      <c r="O26813" t="str">
        <f>IF(N26813="","",'Master Barang'!B7)</f>
        <v>sabut cuci stainless</v>
      </c>
      <c r="P26813">
        <f>IF(OR(M26813="",N26813=""),"",SUMIFS('Barang Keluar'!$E:$E,'Barang Keluar'!$A:$A,M26813,'Barang Keluar'!$C:$C,N26813))</f>
        <v>0</v>
      </c>
    </row>
    <row r="26814" spans="13:16">
      <c r="M26814" s="49">
        <f>IF($A$4+268&gt;$B$4,"",$A$4+268)</f>
        <v>46291</v>
      </c>
      <c r="N26814" t="str">
        <f>IF(M26814="","",'Master Barang'!A8)</f>
        <v>PRL-007</v>
      </c>
      <c r="O26814" t="str">
        <f>IF(N26814="","",'Master Barang'!B8)</f>
        <v>plastik kresek besar merah 50pc</v>
      </c>
      <c r="P26814">
        <f>IF(OR(M26814="",N26814=""),"",SUMIFS('Barang Keluar'!$E:$E,'Barang Keluar'!$A:$A,M26814,'Barang Keluar'!$C:$C,N26814))</f>
        <v>0</v>
      </c>
    </row>
    <row r="26815" spans="13:16">
      <c r="M26815" s="49">
        <f>IF($A$4+268&gt;$B$4,"",$A$4+268)</f>
        <v>46291</v>
      </c>
      <c r="N26815" t="str">
        <f>IF(M26815="","",'Master Barang'!A9)</f>
        <v>PRL-008</v>
      </c>
      <c r="O26815" t="str">
        <f>IF(N26815="","",'Master Barang'!B9)</f>
        <v>lap besar</v>
      </c>
      <c r="P26815">
        <f>IF(OR(M26815="",N26815=""),"",SUMIFS('Barang Keluar'!$E:$E,'Barang Keluar'!$A:$A,M26815,'Barang Keluar'!$C:$C,N26815))</f>
        <v>0</v>
      </c>
    </row>
    <row r="26816" spans="13:16">
      <c r="M26816" s="49">
        <f>IF($A$4+268&gt;$B$4,"",$A$4+268)</f>
        <v>46291</v>
      </c>
      <c r="N26816" t="str">
        <f>IF(M26816="","",'Master Barang'!A10)</f>
        <v>PRL-009</v>
      </c>
      <c r="O26816" t="str">
        <f>IF(N26816="","",'Master Barang'!B10)</f>
        <v>lap microfiber</v>
      </c>
      <c r="P26816">
        <f>IF(OR(M26816="",N26816=""),"",SUMIFS('Barang Keluar'!$E:$E,'Barang Keluar'!$A:$A,M26816,'Barang Keluar'!$C:$C,N26816))</f>
        <v>0</v>
      </c>
    </row>
    <row r="26817" spans="13:16">
      <c r="M26817" s="49">
        <f>IF($A$4+268&gt;$B$4,"",$A$4+268)</f>
        <v>46291</v>
      </c>
      <c r="N26817" t="str">
        <f>IF(M26817="","",'Master Barang'!A11)</f>
        <v>PRL-010</v>
      </c>
      <c r="O26817" t="str">
        <f>IF(N26817="","",'Master Barang'!B11)</f>
        <v>lap kecil</v>
      </c>
      <c r="P26817">
        <f>IF(OR(M26817="",N26817=""),"",SUMIFS('Barang Keluar'!$E:$E,'Barang Keluar'!$A:$A,M26817,'Barang Keluar'!$C:$C,N26817))</f>
        <v>0</v>
      </c>
    </row>
    <row r="26818" spans="13:16">
      <c r="M26818" s="49">
        <f>IF($A$4+268&gt;$B$4,"",$A$4+268)</f>
        <v>46291</v>
      </c>
      <c r="N26818" t="str">
        <f>IF(M26818="","",'Master Barang'!A12)</f>
        <v>PRL-011</v>
      </c>
      <c r="O26818" t="str">
        <f>IF(N26818="","",'Master Barang'!B12)</f>
        <v>kanebo kecil</v>
      </c>
      <c r="P26818">
        <f>IF(OR(M26818="",N26818=""),"",SUMIFS('Barang Keluar'!$E:$E,'Barang Keluar'!$A:$A,M26818,'Barang Keluar'!$C:$C,N26818))</f>
        <v>0</v>
      </c>
    </row>
    <row r="26819" spans="13:16">
      <c r="M26819" s="49">
        <f>IF($A$4+268&gt;$B$4,"",$A$4+268)</f>
        <v>46291</v>
      </c>
      <c r="N26819" t="str">
        <f>IF(M26819="","",'Master Barang'!A13)</f>
        <v>PRL-012</v>
      </c>
      <c r="O26819" t="str">
        <f>IF(N26819="","",'Master Barang'!B13)</f>
        <v>plastik 1/4kg joyoboyo 100 lembar</v>
      </c>
      <c r="P26819">
        <f>IF(OR(M26819="",N26819=""),"",SUMIFS('Barang Keluar'!$E:$E,'Barang Keluar'!$A:$A,M26819,'Barang Keluar'!$C:$C,N26819))</f>
        <v>0</v>
      </c>
    </row>
    <row r="26820" spans="13:16">
      <c r="M26820" s="49">
        <f>IF($A$4+268&gt;$B$4,"",$A$4+268)</f>
        <v>46291</v>
      </c>
      <c r="N26820" t="str">
        <f>IF(M26820="","",'Master Barang'!A14)</f>
        <v>PRL-013</v>
      </c>
      <c r="O26820" t="str">
        <f>IF(N26820="","",'Master Barang'!B14)</f>
        <v>sarung tangan plastik kaka 100 pcs</v>
      </c>
      <c r="P26820">
        <f>IF(OR(M26820="",N26820=""),"",SUMIFS('Barang Keluar'!$E:$E,'Barang Keluar'!$A:$A,M26820,'Barang Keluar'!$C:$C,N26820))</f>
        <v>0</v>
      </c>
    </row>
    <row r="26821" spans="13:16">
      <c r="M26821" s="49">
        <f>IF($A$4+268&gt;$B$4,"",$A$4+268)</f>
        <v>46291</v>
      </c>
      <c r="N26821" t="str">
        <f>IF(M26821="","",'Master Barang'!A15)</f>
        <v>PRL-014</v>
      </c>
      <c r="O26821" t="str">
        <f>IF(N26821="","",'Master Barang'!B15)</f>
        <v>optima trashbag 80x100</v>
      </c>
      <c r="P26821">
        <f>IF(OR(M26821="",N26821=""),"",SUMIFS('Barang Keluar'!$E:$E,'Barang Keluar'!$A:$A,M26821,'Barang Keluar'!$C:$C,N26821))</f>
        <v>0</v>
      </c>
    </row>
    <row r="26822" spans="13:16">
      <c r="M26822" s="49">
        <f>IF($A$4+268&gt;$B$4,"",$A$4+268)</f>
        <v>46291</v>
      </c>
      <c r="N26822" t="str">
        <f>IF(M26822="","",'Master Barang'!A16)</f>
        <v>PRL-015</v>
      </c>
      <c r="O26822" t="str">
        <f>IF(N26822="","",'Master Barang'!B16)</f>
        <v>optima trashbag 60x100</v>
      </c>
      <c r="P26822">
        <f>IF(OR(M26822="",N26822=""),"",SUMIFS('Barang Keluar'!$E:$E,'Barang Keluar'!$A:$A,M26822,'Barang Keluar'!$C:$C,N26822))</f>
        <v>0</v>
      </c>
    </row>
    <row r="26823" spans="13:16">
      <c r="M26823" s="49">
        <f>IF($A$4+268&gt;$B$4,"",$A$4+268)</f>
        <v>46291</v>
      </c>
      <c r="N26823" t="str">
        <f>IF(M26823="","",'Master Barang'!A17)</f>
        <v>PRL-016</v>
      </c>
      <c r="O26823" t="str">
        <f>IF(N26823="","",'Master Barang'!B17)</f>
        <v>rajawali trashbag 30x40</v>
      </c>
      <c r="P26823">
        <f>IF(OR(M26823="",N26823=""),"",SUMIFS('Barang Keluar'!$E:$E,'Barang Keluar'!$A:$A,M26823,'Barang Keluar'!$C:$C,N26823))</f>
        <v>0</v>
      </c>
    </row>
    <row r="26824" spans="13:16">
      <c r="M26824" s="49">
        <f>IF($A$4+268&gt;$B$4,"",$A$4+268)</f>
        <v>46291</v>
      </c>
      <c r="N26824" t="str">
        <f>IF(M26824="","",'Master Barang'!A18)</f>
        <v>PRL-017</v>
      </c>
      <c r="O26824" t="str">
        <f>IF(N26824="","",'Master Barang'!B18)</f>
        <v>onemed masker biru 3 play 50 pcs</v>
      </c>
      <c r="P26824">
        <f>IF(OR(M26824="",N26824=""),"",SUMIFS('Barang Keluar'!$E:$E,'Barang Keluar'!$A:$A,M26824,'Barang Keluar'!$C:$C,N26824))</f>
        <v>0</v>
      </c>
    </row>
    <row r="26825" spans="13:16">
      <c r="M26825" s="49">
        <f>IF($A$4+268&gt;$B$4,"",$A$4+268)</f>
        <v>46291</v>
      </c>
      <c r="N26825" t="str">
        <f>IF(M26825="","",'Master Barang'!A19)</f>
        <v>PRL-018</v>
      </c>
      <c r="O26825" t="str">
        <f>IF(N26825="","",'Master Barang'!B19)</f>
        <v>onemed masker biru 3 play hijab 50 pcs</v>
      </c>
      <c r="P26825">
        <f>IF(OR(M26825="",N26825=""),"",SUMIFS('Barang Keluar'!$E:$E,'Barang Keluar'!$A:$A,M26825,'Barang Keluar'!$C:$C,N26825))</f>
        <v>0</v>
      </c>
    </row>
    <row r="26826" spans="13:16">
      <c r="M26826" s="49">
        <f>IF($A$4+268&gt;$B$4,"",$A$4+268)</f>
        <v>46291</v>
      </c>
      <c r="N26826" t="str">
        <f>IF(M26826="","",'Master Barang'!A20)</f>
        <v>PRL-019</v>
      </c>
      <c r="O26826" t="str">
        <f>IF(N26826="","",'Master Barang'!B20)</f>
        <v>neo health masker biru 3 play 50 pcs</v>
      </c>
      <c r="P26826">
        <f>IF(OR(M26826="",N26826=""),"",SUMIFS('Barang Keluar'!$E:$E,'Barang Keluar'!$A:$A,M26826,'Barang Keluar'!$C:$C,N26826))</f>
        <v>0</v>
      </c>
    </row>
    <row r="26827" spans="13:16">
      <c r="M26827" s="49">
        <f>IF($A$4+268&gt;$B$4,"",$A$4+268)</f>
        <v>46291</v>
      </c>
      <c r="N26827" t="str">
        <f>IF(M26827="","",'Master Barang'!A21)</f>
        <v>PRL-020</v>
      </c>
      <c r="O26827" t="str">
        <f>IF(N26827="","",'Master Barang'!B21)</f>
        <v>baymed masker hijau 3 play hijau 50 pcs</v>
      </c>
      <c r="P26827">
        <f>IF(OR(M26827="",N26827=""),"",SUMIFS('Barang Keluar'!$E:$E,'Barang Keluar'!$A:$A,M26827,'Barang Keluar'!$C:$C,N26827))</f>
        <v>0</v>
      </c>
    </row>
    <row r="26828" spans="13:16">
      <c r="M26828" s="49">
        <f>IF($A$4+268&gt;$B$4,"",$A$4+268)</f>
        <v>46291</v>
      </c>
      <c r="N26828" t="str">
        <f>IF(M26828="","",'Master Barang'!A22)</f>
        <v>PRL-021</v>
      </c>
      <c r="O26828" t="str">
        <f>IF(N26828="","",'Master Barang'!B22)</f>
        <v>altamed nurse cap penutup kepala 100 pcs</v>
      </c>
      <c r="P26828">
        <f>IF(OR(M26828="",N26828=""),"",SUMIFS('Barang Keluar'!$E:$E,'Barang Keluar'!$A:$A,M26828,'Barang Keluar'!$C:$C,N26828))</f>
        <v>0</v>
      </c>
    </row>
    <row r="26829" spans="13:16">
      <c r="M26829" s="49">
        <f>IF($A$4+268&gt;$B$4,"",$A$4+268)</f>
        <v>46291</v>
      </c>
      <c r="N26829" t="str">
        <f>IF(M26829="","",'Master Barang'!A23)</f>
        <v>PRL-022</v>
      </c>
      <c r="O26829" t="str">
        <f>IF(N26829="","",'Master Barang'!B23)</f>
        <v>sabun cuci tangan</v>
      </c>
      <c r="P26829">
        <f>IF(OR(M26829="",N26829=""),"",SUMIFS('Barang Keluar'!$E:$E,'Barang Keluar'!$A:$A,M26829,'Barang Keluar'!$C:$C,N26829))</f>
        <v>0</v>
      </c>
    </row>
    <row r="26830" spans="13:16">
      <c r="M26830" s="49">
        <f>IF($A$4+268&gt;$B$4,"",$A$4+268)</f>
        <v>46291</v>
      </c>
      <c r="N26830" t="str">
        <f>IF(M26830="","",'Master Barang'!A24)</f>
        <v>PRL-023</v>
      </c>
      <c r="O26830" t="str">
        <f>IF(N26830="","",'Master Barang'!B24)</f>
        <v>gayung kecil</v>
      </c>
      <c r="P26830">
        <f>IF(OR(M26830="",N26830=""),"",SUMIFS('Barang Keluar'!$E:$E,'Barang Keluar'!$A:$A,M26830,'Barang Keluar'!$C:$C,N26830))</f>
        <v>0</v>
      </c>
    </row>
    <row r="26831" spans="13:16">
      <c r="M26831" s="49">
        <f>IF($A$4+268&gt;$B$4,"",$A$4+268)</f>
        <v>46291</v>
      </c>
      <c r="N26831" t="str">
        <f>IF(M26831="","",'Master Barang'!A25)</f>
        <v>PRL-024</v>
      </c>
      <c r="O26831" t="str">
        <f>IF(N26831="","",'Master Barang'!B25)</f>
        <v>cikrak kecil</v>
      </c>
      <c r="P26831">
        <f>IF(OR(M26831="",N26831=""),"",SUMIFS('Barang Keluar'!$E:$E,'Barang Keluar'!$A:$A,M26831,'Barang Keluar'!$C:$C,N26831))</f>
        <v>0</v>
      </c>
    </row>
    <row r="26832" spans="13:16">
      <c r="M26832" s="49">
        <f>IF($A$4+268&gt;$B$4,"",$A$4+268)</f>
        <v>46291</v>
      </c>
      <c r="N26832" t="str">
        <f>IF(M26832="","",'Master Barang'!A26)</f>
        <v>PRL-025</v>
      </c>
      <c r="O26832" t="str">
        <f>IF(N26832="","",'Master Barang'!B26)</f>
        <v>petromax plastik kecil 12x24 100 lembar</v>
      </c>
      <c r="P26832">
        <f>IF(OR(M26832="",N26832=""),"",SUMIFS('Barang Keluar'!$E:$E,'Barang Keluar'!$A:$A,M26832,'Barang Keluar'!$C:$C,N26832))</f>
        <v>0</v>
      </c>
    </row>
    <row r="26833" spans="13:16">
      <c r="M26833" s="49">
        <f>IF($A$4+268&gt;$B$4,"",$A$4+268)</f>
        <v>46291</v>
      </c>
      <c r="N26833" t="str">
        <f>IF(M26833="","",'Master Barang'!A27)</f>
        <v>PRL-026</v>
      </c>
      <c r="O26833" t="str">
        <f>IF(N26833="","",'Master Barang'!B27)</f>
        <v>lancar kresek kecil bening </v>
      </c>
      <c r="P26833">
        <f>IF(OR(M26833="",N26833=""),"",SUMIFS('Barang Keluar'!$E:$E,'Barang Keluar'!$A:$A,M26833,'Barang Keluar'!$C:$C,N26833))</f>
        <v>0</v>
      </c>
    </row>
    <row r="26834" spans="13:16">
      <c r="M26834" s="49">
        <f>IF($A$4+268&gt;$B$4,"",$A$4+268)</f>
        <v>46291</v>
      </c>
      <c r="N26834" t="str">
        <f>IF(M26834="","",'Master Barang'!A28)</f>
        <v>PRL-027</v>
      </c>
      <c r="O26834" t="str">
        <f>IF(N26834="","",'Master Barang'!B28)</f>
        <v>kresek klin warna warni kecil</v>
      </c>
      <c r="P26834">
        <f>IF(OR(M26834="",N26834=""),"",SUMIFS('Barang Keluar'!$E:$E,'Barang Keluar'!$A:$A,M26834,'Barang Keluar'!$C:$C,N26834))</f>
        <v>0</v>
      </c>
    </row>
    <row r="26835" spans="13:16">
      <c r="M26835" s="49">
        <f>IF($A$4+268&gt;$B$4,"",$A$4+268)</f>
        <v>46291</v>
      </c>
      <c r="N26835" t="str">
        <f>IF(M26835="","",'Master Barang'!A29)</f>
        <v>PRL-028</v>
      </c>
      <c r="O26835" t="str">
        <f>IF(N26835="","",'Master Barang'!B29)</f>
        <v>ctik plastik 7x10 100 pcs</v>
      </c>
      <c r="P26835">
        <f>IF(OR(M26835="",N26835=""),"",SUMIFS('Barang Keluar'!$E:$E,'Barang Keluar'!$A:$A,M26835,'Barang Keluar'!$C:$C,N26835))</f>
        <v>0</v>
      </c>
    </row>
    <row r="26836" spans="13:16">
      <c r="M26836" s="49">
        <f>IF($A$4+268&gt;$B$4,"",$A$4+268)</f>
        <v>46291</v>
      </c>
      <c r="N26836" t="str">
        <f>IF(M26836="","",'Master Barang'!A30)</f>
        <v>PRL-029</v>
      </c>
      <c r="O26836" t="str">
        <f>IF(N26836="","",'Master Barang'!B30)</f>
        <v>ctik plastik 6x10 100 pcs</v>
      </c>
      <c r="P26836">
        <f>IF(OR(M26836="",N26836=""),"",SUMIFS('Barang Keluar'!$E:$E,'Barang Keluar'!$A:$A,M26836,'Barang Keluar'!$C:$C,N26836))</f>
        <v>0</v>
      </c>
    </row>
    <row r="26837" spans="13:16">
      <c r="M26837" s="49">
        <f>IF($A$4+268&gt;$B$4,"",$A$4+268)</f>
        <v>46291</v>
      </c>
      <c r="N26837" t="str">
        <f>IF(M26837="","",'Master Barang'!A31)</f>
        <v>PRL-030</v>
      </c>
      <c r="O26837" t="str">
        <f>IF(N26837="","",'Master Barang'!B31)</f>
        <v>klip plastik 25x16 100 pcs</v>
      </c>
      <c r="P26837">
        <f>IF(OR(M26837="",N26837=""),"",SUMIFS('Barang Keluar'!$E:$E,'Barang Keluar'!$A:$A,M26837,'Barang Keluar'!$C:$C,N26837))</f>
        <v>0</v>
      </c>
    </row>
    <row r="26838" spans="13:16">
      <c r="M26838" s="49">
        <f>IF($A$4+268&gt;$B$4,"",$A$4+268)</f>
        <v>46291</v>
      </c>
      <c r="N26838" t="str">
        <f>IF(M26838="","",'Master Barang'!A32)</f>
        <v>PRL-031</v>
      </c>
      <c r="O26838" t="str">
        <f>IF(N26838="","",'Master Barang'!B32)</f>
        <v>tempat saus 20 ml</v>
      </c>
      <c r="P26838">
        <f>IF(OR(M26838="",N26838=""),"",SUMIFS('Barang Keluar'!$E:$E,'Barang Keluar'!$A:$A,M26838,'Barang Keluar'!$C:$C,N26838))</f>
        <v>0</v>
      </c>
    </row>
    <row r="26839" spans="13:16">
      <c r="M26839" s="49">
        <f>IF($A$4+268&gt;$B$4,"",$A$4+268)</f>
        <v>46291</v>
      </c>
      <c r="N26839" t="str">
        <f>IF(M26839="","",'Master Barang'!A33)</f>
        <v>PRL-032</v>
      </c>
      <c r="O26839" t="str">
        <f>IF(N26839="","",'Master Barang'!B33)</f>
        <v>plastik packaging ag box uk sedang</v>
      </c>
      <c r="P26839">
        <f>IF(OR(M26839="",N26839=""),"",SUMIFS('Barang Keluar'!$E:$E,'Barang Keluar'!$A:$A,M26839,'Barang Keluar'!$C:$C,N26839))</f>
        <v>0</v>
      </c>
    </row>
    <row r="26840" spans="13:16">
      <c r="M26840" s="49">
        <f>IF($A$4+268&gt;$B$4,"",$A$4+268)</f>
        <v>46291</v>
      </c>
      <c r="N26840" t="str">
        <f>IF(M26840="","",'Master Barang'!A34)</f>
        <v>PRL-033</v>
      </c>
      <c r="O26840">
        <f>IF(N26840="","",'Master Barang'!B34)</f>
        <v>0</v>
      </c>
      <c r="P26840">
        <f>IF(OR(M26840="",N26840=""),"",SUMIFS('Barang Keluar'!$E:$E,'Barang Keluar'!$A:$A,M26840,'Barang Keluar'!$C:$C,N26840))</f>
        <v>0</v>
      </c>
    </row>
    <row r="26841" spans="13:16">
      <c r="M26841" s="49">
        <f>IF($A$4+268&gt;$B$4,"",$A$4+268)</f>
        <v>46291</v>
      </c>
      <c r="N26841">
        <f>IF(M26841="","",'Master Barang'!A35)</f>
        <v>0</v>
      </c>
      <c r="O26841">
        <f>IF(N26841="","",'Master Barang'!B35)</f>
        <v>0</v>
      </c>
      <c r="P26841">
        <f>IF(OR(M26841="",N26841=""),"",SUMIFS('Barang Keluar'!$E:$E,'Barang Keluar'!$A:$A,M26841,'Barang Keluar'!$C:$C,N26841))</f>
        <v>0</v>
      </c>
    </row>
    <row r="26842" spans="13:16">
      <c r="M26842" s="49">
        <f>IF($A$4+268&gt;$B$4,"",$A$4+268)</f>
        <v>46291</v>
      </c>
      <c r="N26842">
        <f>IF(M26842="","",'Master Barang'!A36)</f>
        <v>0</v>
      </c>
      <c r="O26842">
        <f>IF(N26842="","",'Master Barang'!B36)</f>
        <v>0</v>
      </c>
      <c r="P26842">
        <f>IF(OR(M26842="",N26842=""),"",SUMIFS('Barang Keluar'!$E:$E,'Barang Keluar'!$A:$A,M26842,'Barang Keluar'!$C:$C,N26842))</f>
        <v>0</v>
      </c>
    </row>
    <row r="26843" spans="13:16">
      <c r="M26843" s="49">
        <f>IF($A$4+268&gt;$B$4,"",$A$4+268)</f>
        <v>46291</v>
      </c>
      <c r="N26843">
        <f>IF(M26843="","",'Master Barang'!A37)</f>
        <v>0</v>
      </c>
      <c r="O26843">
        <f>IF(N26843="","",'Master Barang'!B37)</f>
        <v>0</v>
      </c>
      <c r="P26843">
        <f>IF(OR(M26843="",N26843=""),"",SUMIFS('Barang Keluar'!$E:$E,'Barang Keluar'!$A:$A,M26843,'Barang Keluar'!$C:$C,N26843))</f>
        <v>0</v>
      </c>
    </row>
    <row r="26844" spans="13:16">
      <c r="M26844" s="49">
        <f>IF($A$4+268&gt;$B$4,"",$A$4+268)</f>
        <v>46291</v>
      </c>
      <c r="N26844">
        <f>IF(M26844="","",'Master Barang'!A38)</f>
        <v>0</v>
      </c>
      <c r="O26844">
        <f>IF(N26844="","",'Master Barang'!B38)</f>
        <v>0</v>
      </c>
      <c r="P26844">
        <f>IF(OR(M26844="",N26844=""),"",SUMIFS('Barang Keluar'!$E:$E,'Barang Keluar'!$A:$A,M26844,'Barang Keluar'!$C:$C,N26844))</f>
        <v>0</v>
      </c>
    </row>
    <row r="26845" spans="13:16">
      <c r="M26845" s="49">
        <f>IF($A$4+268&gt;$B$4,"",$A$4+268)</f>
        <v>46291</v>
      </c>
      <c r="N26845">
        <f>IF(M26845="","",'Master Barang'!A39)</f>
        <v>0</v>
      </c>
      <c r="O26845">
        <f>IF(N26845="","",'Master Barang'!B39)</f>
        <v>0</v>
      </c>
      <c r="P26845">
        <f>IF(OR(M26845="",N26845=""),"",SUMIFS('Barang Keluar'!$E:$E,'Barang Keluar'!$A:$A,M26845,'Barang Keluar'!$C:$C,N26845))</f>
        <v>0</v>
      </c>
    </row>
    <row r="26846" spans="13:16">
      <c r="M26846" s="49">
        <f>IF($A$4+268&gt;$B$4,"",$A$4+268)</f>
        <v>46291</v>
      </c>
      <c r="N26846">
        <f>IF(M26846="","",'Master Barang'!A40)</f>
        <v>0</v>
      </c>
      <c r="O26846">
        <f>IF(N26846="","",'Master Barang'!B40)</f>
        <v>0</v>
      </c>
      <c r="P26846">
        <f>IF(OR(M26846="",N26846=""),"",SUMIFS('Barang Keluar'!$E:$E,'Barang Keluar'!$A:$A,M26846,'Barang Keluar'!$C:$C,N26846))</f>
        <v>0</v>
      </c>
    </row>
    <row r="26847" spans="13:16">
      <c r="M26847" s="49">
        <f>IF($A$4+268&gt;$B$4,"",$A$4+268)</f>
        <v>46291</v>
      </c>
      <c r="N26847">
        <f>IF(M26847="","",'Master Barang'!A41)</f>
        <v>0</v>
      </c>
      <c r="O26847">
        <f>IF(N26847="","",'Master Barang'!B41)</f>
        <v>0</v>
      </c>
      <c r="P26847">
        <f>IF(OR(M26847="",N26847=""),"",SUMIFS('Barang Keluar'!$E:$E,'Barang Keluar'!$A:$A,M26847,'Barang Keluar'!$C:$C,N26847))</f>
        <v>0</v>
      </c>
    </row>
    <row r="26848" spans="13:16">
      <c r="M26848" s="49">
        <f>IF($A$4+268&gt;$B$4,"",$A$4+268)</f>
        <v>46291</v>
      </c>
      <c r="N26848">
        <f>IF(M26848="","",'Master Barang'!A42)</f>
        <v>0</v>
      </c>
      <c r="O26848">
        <f>IF(N26848="","",'Master Barang'!B42)</f>
        <v>0</v>
      </c>
      <c r="P26848">
        <f>IF(OR(M26848="",N26848=""),"",SUMIFS('Barang Keluar'!$E:$E,'Barang Keluar'!$A:$A,M26848,'Barang Keluar'!$C:$C,N26848))</f>
        <v>0</v>
      </c>
    </row>
    <row r="26849" spans="13:16">
      <c r="M26849" s="49">
        <f>IF($A$4+268&gt;$B$4,"",$A$4+268)</f>
        <v>46291</v>
      </c>
      <c r="N26849">
        <f>IF(M26849="","",'Master Barang'!A43)</f>
        <v>0</v>
      </c>
      <c r="O26849">
        <f>IF(N26849="","",'Master Barang'!B43)</f>
        <v>0</v>
      </c>
      <c r="P26849">
        <f>IF(OR(M26849="",N26849=""),"",SUMIFS('Barang Keluar'!$E:$E,'Barang Keluar'!$A:$A,M26849,'Barang Keluar'!$C:$C,N26849))</f>
        <v>0</v>
      </c>
    </row>
    <row r="26850" spans="13:16">
      <c r="M26850" s="49">
        <f>IF($A$4+268&gt;$B$4,"",$A$4+268)</f>
        <v>46291</v>
      </c>
      <c r="N26850">
        <f>IF(M26850="","",'Master Barang'!A44)</f>
        <v>0</v>
      </c>
      <c r="O26850">
        <f>IF(N26850="","",'Master Barang'!B44)</f>
        <v>0</v>
      </c>
      <c r="P26850">
        <f>IF(OR(M26850="",N26850=""),"",SUMIFS('Barang Keluar'!$E:$E,'Barang Keluar'!$A:$A,M26850,'Barang Keluar'!$C:$C,N26850))</f>
        <v>0</v>
      </c>
    </row>
    <row r="26851" spans="13:16">
      <c r="M26851" s="49">
        <f>IF($A$4+268&gt;$B$4,"",$A$4+268)</f>
        <v>46291</v>
      </c>
      <c r="N26851">
        <f>IF(M26851="","",'Master Barang'!A45)</f>
        <v>0</v>
      </c>
      <c r="O26851">
        <f>IF(N26851="","",'Master Barang'!B45)</f>
        <v>0</v>
      </c>
      <c r="P26851">
        <f>IF(OR(M26851="",N26851=""),"",SUMIFS('Barang Keluar'!$E:$E,'Barang Keluar'!$A:$A,M26851,'Barang Keluar'!$C:$C,N26851))</f>
        <v>0</v>
      </c>
    </row>
    <row r="26852" spans="13:16">
      <c r="M26852" s="49">
        <f>IF($A$4+268&gt;$B$4,"",$A$4+268)</f>
        <v>46291</v>
      </c>
      <c r="N26852">
        <f>IF(M26852="","",'Master Barang'!A46)</f>
        <v>0</v>
      </c>
      <c r="O26852">
        <f>IF(N26852="","",'Master Barang'!B46)</f>
        <v>0</v>
      </c>
      <c r="P26852">
        <f>IF(OR(M26852="",N26852=""),"",SUMIFS('Barang Keluar'!$E:$E,'Barang Keluar'!$A:$A,M26852,'Barang Keluar'!$C:$C,N26852))</f>
        <v>0</v>
      </c>
    </row>
    <row r="26853" spans="13:16">
      <c r="M26853" s="49">
        <f>IF($A$4+268&gt;$B$4,"",$A$4+268)</f>
        <v>46291</v>
      </c>
      <c r="N26853">
        <f>IF(M26853="","",'Master Barang'!A47)</f>
        <v>0</v>
      </c>
      <c r="O26853">
        <f>IF(N26853="","",'Master Barang'!B47)</f>
        <v>0</v>
      </c>
      <c r="P26853">
        <f>IF(OR(M26853="",N26853=""),"",SUMIFS('Barang Keluar'!$E:$E,'Barang Keluar'!$A:$A,M26853,'Barang Keluar'!$C:$C,N26853))</f>
        <v>0</v>
      </c>
    </row>
    <row r="26854" spans="13:16">
      <c r="M26854" s="49">
        <f>IF($A$4+268&gt;$B$4,"",$A$4+268)</f>
        <v>46291</v>
      </c>
      <c r="N26854">
        <f>IF(M26854="","",'Master Barang'!A48)</f>
        <v>0</v>
      </c>
      <c r="O26854">
        <f>IF(N26854="","",'Master Barang'!B48)</f>
        <v>0</v>
      </c>
      <c r="P26854">
        <f>IF(OR(M26854="",N26854=""),"",SUMIFS('Barang Keluar'!$E:$E,'Barang Keluar'!$A:$A,M26854,'Barang Keluar'!$C:$C,N26854))</f>
        <v>0</v>
      </c>
    </row>
    <row r="26855" spans="13:16">
      <c r="M26855" s="49">
        <f>IF($A$4+268&gt;$B$4,"",$A$4+268)</f>
        <v>46291</v>
      </c>
      <c r="N26855">
        <f>IF(M26855="","",'Master Barang'!A49)</f>
        <v>0</v>
      </c>
      <c r="O26855">
        <f>IF(N26855="","",'Master Barang'!B49)</f>
        <v>0</v>
      </c>
      <c r="P26855">
        <f>IF(OR(M26855="",N26855=""),"",SUMIFS('Barang Keluar'!$E:$E,'Barang Keluar'!$A:$A,M26855,'Barang Keluar'!$C:$C,N26855))</f>
        <v>0</v>
      </c>
    </row>
    <row r="26856" spans="13:16">
      <c r="M26856" s="49">
        <f>IF($A$4+268&gt;$B$4,"",$A$4+268)</f>
        <v>46291</v>
      </c>
      <c r="N26856">
        <f>IF(M26856="","",'Master Barang'!A50)</f>
        <v>0</v>
      </c>
      <c r="O26856">
        <f>IF(N26856="","",'Master Barang'!B50)</f>
        <v>0</v>
      </c>
      <c r="P26856">
        <f>IF(OR(M26856="",N26856=""),"",SUMIFS('Barang Keluar'!$E:$E,'Barang Keluar'!$A:$A,M26856,'Barang Keluar'!$C:$C,N26856))</f>
        <v>0</v>
      </c>
    </row>
    <row r="26857" spans="13:16">
      <c r="M26857" s="49">
        <f>IF($A$4+268&gt;$B$4,"",$A$4+268)</f>
        <v>46291</v>
      </c>
      <c r="N26857">
        <f>IF(M26857="","",'Master Barang'!A51)</f>
        <v>0</v>
      </c>
      <c r="O26857">
        <f>IF(N26857="","",'Master Barang'!B51)</f>
        <v>0</v>
      </c>
      <c r="P26857">
        <f>IF(OR(M26857="",N26857=""),"",SUMIFS('Barang Keluar'!$E:$E,'Barang Keluar'!$A:$A,M26857,'Barang Keluar'!$C:$C,N26857))</f>
        <v>0</v>
      </c>
    </row>
    <row r="26858" spans="13:16">
      <c r="M26858" s="49">
        <f>IF($A$4+268&gt;$B$4,"",$A$4+268)</f>
        <v>46291</v>
      </c>
      <c r="N26858">
        <f>IF(M26858="","",'Master Barang'!A52)</f>
        <v>0</v>
      </c>
      <c r="O26858">
        <f>IF(N26858="","",'Master Barang'!B52)</f>
        <v>0</v>
      </c>
      <c r="P26858">
        <f>IF(OR(M26858="",N26858=""),"",SUMIFS('Barang Keluar'!$E:$E,'Barang Keluar'!$A:$A,M26858,'Barang Keluar'!$C:$C,N26858))</f>
        <v>0</v>
      </c>
    </row>
    <row r="26859" spans="13:16">
      <c r="M26859" s="49">
        <f>IF($A$4+268&gt;$B$4,"",$A$4+268)</f>
        <v>46291</v>
      </c>
      <c r="N26859">
        <f>IF(M26859="","",'Master Barang'!A53)</f>
        <v>0</v>
      </c>
      <c r="O26859">
        <f>IF(N26859="","",'Master Barang'!B53)</f>
        <v>0</v>
      </c>
      <c r="P26859">
        <f>IF(OR(M26859="",N26859=""),"",SUMIFS('Barang Keluar'!$E:$E,'Barang Keluar'!$A:$A,M26859,'Barang Keluar'!$C:$C,N26859))</f>
        <v>0</v>
      </c>
    </row>
    <row r="26860" spans="13:16">
      <c r="M26860" s="49">
        <f>IF($A$4+268&gt;$B$4,"",$A$4+268)</f>
        <v>46291</v>
      </c>
      <c r="N26860">
        <f>IF(M26860="","",'Master Barang'!A54)</f>
        <v>0</v>
      </c>
      <c r="O26860">
        <f>IF(N26860="","",'Master Barang'!B54)</f>
        <v>0</v>
      </c>
      <c r="P26860">
        <f>IF(OR(M26860="",N26860=""),"",SUMIFS('Barang Keluar'!$E:$E,'Barang Keluar'!$A:$A,M26860,'Barang Keluar'!$C:$C,N26860))</f>
        <v>0</v>
      </c>
    </row>
    <row r="26861" spans="13:16">
      <c r="M26861" s="49">
        <f>IF($A$4+268&gt;$B$4,"",$A$4+268)</f>
        <v>46291</v>
      </c>
      <c r="N26861">
        <f>IF(M26861="","",'Master Barang'!A55)</f>
        <v>0</v>
      </c>
      <c r="O26861">
        <f>IF(N26861="","",'Master Barang'!B55)</f>
        <v>0</v>
      </c>
      <c r="P26861">
        <f>IF(OR(M26861="",N26861=""),"",SUMIFS('Barang Keluar'!$E:$E,'Barang Keluar'!$A:$A,M26861,'Barang Keluar'!$C:$C,N26861))</f>
        <v>0</v>
      </c>
    </row>
    <row r="26862" spans="13:16">
      <c r="M26862" s="49">
        <f>IF($A$4+268&gt;$B$4,"",$A$4+268)</f>
        <v>46291</v>
      </c>
      <c r="N26862">
        <f>IF(M26862="","",'Master Barang'!A56)</f>
        <v>0</v>
      </c>
      <c r="O26862">
        <f>IF(N26862="","",'Master Barang'!B56)</f>
        <v>0</v>
      </c>
      <c r="P26862">
        <f>IF(OR(M26862="",N26862=""),"",SUMIFS('Barang Keluar'!$E:$E,'Barang Keluar'!$A:$A,M26862,'Barang Keluar'!$C:$C,N26862))</f>
        <v>0</v>
      </c>
    </row>
    <row r="26863" spans="13:16">
      <c r="M26863" s="49">
        <f>IF($A$4+268&gt;$B$4,"",$A$4+268)</f>
        <v>46291</v>
      </c>
      <c r="N26863">
        <f>IF(M26863="","",'Master Barang'!A57)</f>
        <v>0</v>
      </c>
      <c r="O26863">
        <f>IF(N26863="","",'Master Barang'!B57)</f>
        <v>0</v>
      </c>
      <c r="P26863">
        <f>IF(OR(M26863="",N26863=""),"",SUMIFS('Barang Keluar'!$E:$E,'Barang Keluar'!$A:$A,M26863,'Barang Keluar'!$C:$C,N26863))</f>
        <v>0</v>
      </c>
    </row>
    <row r="26864" spans="13:16">
      <c r="M26864" s="49">
        <f>IF($A$4+268&gt;$B$4,"",$A$4+268)</f>
        <v>46291</v>
      </c>
      <c r="N26864">
        <f>IF(M26864="","",'Master Barang'!A58)</f>
        <v>0</v>
      </c>
      <c r="O26864">
        <f>IF(N26864="","",'Master Barang'!B58)</f>
        <v>0</v>
      </c>
      <c r="P26864">
        <f>IF(OR(M26864="",N26864=""),"",SUMIFS('Barang Keluar'!$E:$E,'Barang Keluar'!$A:$A,M26864,'Barang Keluar'!$C:$C,N26864))</f>
        <v>0</v>
      </c>
    </row>
    <row r="26865" spans="13:16">
      <c r="M26865" s="49">
        <f>IF($A$4+268&gt;$B$4,"",$A$4+268)</f>
        <v>46291</v>
      </c>
      <c r="N26865">
        <f>IF(M26865="","",'Master Barang'!A59)</f>
        <v>0</v>
      </c>
      <c r="O26865">
        <f>IF(N26865="","",'Master Barang'!B59)</f>
        <v>0</v>
      </c>
      <c r="P26865">
        <f>IF(OR(M26865="",N26865=""),"",SUMIFS('Barang Keluar'!$E:$E,'Barang Keluar'!$A:$A,M26865,'Barang Keluar'!$C:$C,N26865))</f>
        <v>0</v>
      </c>
    </row>
    <row r="26866" spans="13:16">
      <c r="M26866" s="49">
        <f>IF($A$4+268&gt;$B$4,"",$A$4+268)</f>
        <v>46291</v>
      </c>
      <c r="N26866">
        <f>IF(M26866="","",'Master Barang'!A60)</f>
        <v>0</v>
      </c>
      <c r="O26866">
        <f>IF(N26866="","",'Master Barang'!B60)</f>
        <v>0</v>
      </c>
      <c r="P26866">
        <f>IF(OR(M26866="",N26866=""),"",SUMIFS('Barang Keluar'!$E:$E,'Barang Keluar'!$A:$A,M26866,'Barang Keluar'!$C:$C,N26866))</f>
        <v>0</v>
      </c>
    </row>
    <row r="26867" spans="13:16">
      <c r="M26867" s="49">
        <f>IF($A$4+268&gt;$B$4,"",$A$4+268)</f>
        <v>46291</v>
      </c>
      <c r="N26867">
        <f>IF(M26867="","",'Master Barang'!A61)</f>
        <v>0</v>
      </c>
      <c r="O26867">
        <f>IF(N26867="","",'Master Barang'!B61)</f>
        <v>0</v>
      </c>
      <c r="P26867">
        <f>IF(OR(M26867="",N26867=""),"",SUMIFS('Barang Keluar'!$E:$E,'Barang Keluar'!$A:$A,M26867,'Barang Keluar'!$C:$C,N26867))</f>
        <v>0</v>
      </c>
    </row>
    <row r="26868" spans="13:16">
      <c r="M26868" s="49">
        <f>IF($A$4+268&gt;$B$4,"",$A$4+268)</f>
        <v>46291</v>
      </c>
      <c r="N26868">
        <f>IF(M26868="","",'Master Barang'!A62)</f>
        <v>0</v>
      </c>
      <c r="O26868">
        <f>IF(N26868="","",'Master Barang'!B62)</f>
        <v>0</v>
      </c>
      <c r="P26868">
        <f>IF(OR(M26868="",N26868=""),"",SUMIFS('Barang Keluar'!$E:$E,'Barang Keluar'!$A:$A,M26868,'Barang Keluar'!$C:$C,N26868))</f>
        <v>0</v>
      </c>
    </row>
    <row r="26869" spans="13:16">
      <c r="M26869" s="49">
        <f>IF($A$4+268&gt;$B$4,"",$A$4+268)</f>
        <v>46291</v>
      </c>
      <c r="N26869">
        <f>IF(M26869="","",'Master Barang'!A63)</f>
        <v>0</v>
      </c>
      <c r="O26869">
        <f>IF(N26869="","",'Master Barang'!B63)</f>
        <v>0</v>
      </c>
      <c r="P26869">
        <f>IF(OR(M26869="",N26869=""),"",SUMIFS('Barang Keluar'!$E:$E,'Barang Keluar'!$A:$A,M26869,'Barang Keluar'!$C:$C,N26869))</f>
        <v>0</v>
      </c>
    </row>
    <row r="26870" spans="13:16">
      <c r="M26870" s="49">
        <f>IF($A$4+268&gt;$B$4,"",$A$4+268)</f>
        <v>46291</v>
      </c>
      <c r="N26870">
        <f>IF(M26870="","",'Master Barang'!A64)</f>
        <v>0</v>
      </c>
      <c r="O26870">
        <f>IF(N26870="","",'Master Barang'!B64)</f>
        <v>0</v>
      </c>
      <c r="P26870">
        <f>IF(OR(M26870="",N26870=""),"",SUMIFS('Barang Keluar'!$E:$E,'Barang Keluar'!$A:$A,M26870,'Barang Keluar'!$C:$C,N26870))</f>
        <v>0</v>
      </c>
    </row>
    <row r="26871" spans="13:16">
      <c r="M26871" s="49">
        <f>IF($A$4+268&gt;$B$4,"",$A$4+268)</f>
        <v>46291</v>
      </c>
      <c r="N26871">
        <f>IF(M26871="","",'Master Barang'!A65)</f>
        <v>0</v>
      </c>
      <c r="O26871">
        <f>IF(N26871="","",'Master Barang'!B65)</f>
        <v>0</v>
      </c>
      <c r="P26871">
        <f>IF(OR(M26871="",N26871=""),"",SUMIFS('Barang Keluar'!$E:$E,'Barang Keluar'!$A:$A,M26871,'Barang Keluar'!$C:$C,N26871))</f>
        <v>0</v>
      </c>
    </row>
    <row r="26872" spans="13:16">
      <c r="M26872" s="49">
        <f>IF($A$4+268&gt;$B$4,"",$A$4+268)</f>
        <v>46291</v>
      </c>
      <c r="N26872">
        <f>IF(M26872="","",'Master Barang'!A66)</f>
        <v>0</v>
      </c>
      <c r="O26872">
        <f>IF(N26872="","",'Master Barang'!B66)</f>
        <v>0</v>
      </c>
      <c r="P26872">
        <f>IF(OR(M26872="",N26872=""),"",SUMIFS('Barang Keluar'!$E:$E,'Barang Keluar'!$A:$A,M26872,'Barang Keluar'!$C:$C,N26872))</f>
        <v>0</v>
      </c>
    </row>
    <row r="26873" spans="13:16">
      <c r="M26873" s="49">
        <f>IF($A$4+268&gt;$B$4,"",$A$4+268)</f>
        <v>46291</v>
      </c>
      <c r="N26873">
        <f>IF(M26873="","",'Master Barang'!A67)</f>
        <v>0</v>
      </c>
      <c r="O26873">
        <f>IF(N26873="","",'Master Barang'!B67)</f>
        <v>0</v>
      </c>
      <c r="P26873">
        <f>IF(OR(M26873="",N26873=""),"",SUMIFS('Barang Keluar'!$E:$E,'Barang Keluar'!$A:$A,M26873,'Barang Keluar'!$C:$C,N26873))</f>
        <v>0</v>
      </c>
    </row>
    <row r="26874" spans="13:16">
      <c r="M26874" s="49">
        <f>IF($A$4+268&gt;$B$4,"",$A$4+268)</f>
        <v>46291</v>
      </c>
      <c r="N26874">
        <f>IF(M26874="","",'Master Barang'!A68)</f>
        <v>0</v>
      </c>
      <c r="O26874">
        <f>IF(N26874="","",'Master Barang'!B68)</f>
        <v>0</v>
      </c>
      <c r="P26874">
        <f>IF(OR(M26874="",N26874=""),"",SUMIFS('Barang Keluar'!$E:$E,'Barang Keluar'!$A:$A,M26874,'Barang Keluar'!$C:$C,N26874))</f>
        <v>0</v>
      </c>
    </row>
    <row r="26875" spans="13:16">
      <c r="M26875" s="49">
        <f>IF($A$4+268&gt;$B$4,"",$A$4+268)</f>
        <v>46291</v>
      </c>
      <c r="N26875">
        <f>IF(M26875="","",'Master Barang'!A69)</f>
        <v>0</v>
      </c>
      <c r="O26875">
        <f>IF(N26875="","",'Master Barang'!B69)</f>
        <v>0</v>
      </c>
      <c r="P26875">
        <f>IF(OR(M26875="",N26875=""),"",SUMIFS('Barang Keluar'!$E:$E,'Barang Keluar'!$A:$A,M26875,'Barang Keluar'!$C:$C,N26875))</f>
        <v>0</v>
      </c>
    </row>
    <row r="26876" spans="13:16">
      <c r="M26876" s="49">
        <f>IF($A$4+268&gt;$B$4,"",$A$4+268)</f>
        <v>46291</v>
      </c>
      <c r="N26876">
        <f>IF(M26876="","",'Master Barang'!A70)</f>
        <v>0</v>
      </c>
      <c r="O26876">
        <f>IF(N26876="","",'Master Barang'!B70)</f>
        <v>0</v>
      </c>
      <c r="P26876">
        <f>IF(OR(M26876="",N26876=""),"",SUMIFS('Barang Keluar'!$E:$E,'Barang Keluar'!$A:$A,M26876,'Barang Keluar'!$C:$C,N26876))</f>
        <v>0</v>
      </c>
    </row>
    <row r="26877" spans="13:16">
      <c r="M26877" s="49">
        <f>IF($A$4+268&gt;$B$4,"",$A$4+268)</f>
        <v>46291</v>
      </c>
      <c r="N26877">
        <f>IF(M26877="","",'Master Barang'!A71)</f>
        <v>0</v>
      </c>
      <c r="O26877">
        <f>IF(N26877="","",'Master Barang'!B71)</f>
        <v>0</v>
      </c>
      <c r="P26877">
        <f>IF(OR(M26877="",N26877=""),"",SUMIFS('Barang Keluar'!$E:$E,'Barang Keluar'!$A:$A,M26877,'Barang Keluar'!$C:$C,N26877))</f>
        <v>0</v>
      </c>
    </row>
    <row r="26878" spans="13:16">
      <c r="M26878" s="49">
        <f>IF($A$4+268&gt;$B$4,"",$A$4+268)</f>
        <v>46291</v>
      </c>
      <c r="N26878">
        <f>IF(M26878="","",'Master Barang'!A72)</f>
        <v>0</v>
      </c>
      <c r="O26878">
        <f>IF(N26878="","",'Master Barang'!B72)</f>
        <v>0</v>
      </c>
      <c r="P26878">
        <f>IF(OR(M26878="",N26878=""),"",SUMIFS('Barang Keluar'!$E:$E,'Barang Keluar'!$A:$A,M26878,'Barang Keluar'!$C:$C,N26878))</f>
        <v>0</v>
      </c>
    </row>
    <row r="26879" spans="13:16">
      <c r="M26879" s="49">
        <f>IF($A$4+268&gt;$B$4,"",$A$4+268)</f>
        <v>46291</v>
      </c>
      <c r="N26879">
        <f>IF(M26879="","",'Master Barang'!A73)</f>
        <v>0</v>
      </c>
      <c r="O26879">
        <f>IF(N26879="","",'Master Barang'!B73)</f>
        <v>0</v>
      </c>
      <c r="P26879">
        <f>IF(OR(M26879="",N26879=""),"",SUMIFS('Barang Keluar'!$E:$E,'Barang Keluar'!$A:$A,M26879,'Barang Keluar'!$C:$C,N26879))</f>
        <v>0</v>
      </c>
    </row>
    <row r="26880" spans="13:16">
      <c r="M26880" s="49">
        <f>IF($A$4+268&gt;$B$4,"",$A$4+268)</f>
        <v>46291</v>
      </c>
      <c r="N26880">
        <f>IF(M26880="","",'Master Barang'!A74)</f>
        <v>0</v>
      </c>
      <c r="O26880">
        <f>IF(N26880="","",'Master Barang'!B74)</f>
        <v>0</v>
      </c>
      <c r="P26880">
        <f>IF(OR(M26880="",N26880=""),"",SUMIFS('Barang Keluar'!$E:$E,'Barang Keluar'!$A:$A,M26880,'Barang Keluar'!$C:$C,N26880))</f>
        <v>0</v>
      </c>
    </row>
    <row r="26881" spans="13:16">
      <c r="M26881" s="49">
        <f>IF($A$4+268&gt;$B$4,"",$A$4+268)</f>
        <v>46291</v>
      </c>
      <c r="N26881">
        <f>IF(M26881="","",'Master Barang'!A75)</f>
        <v>0</v>
      </c>
      <c r="O26881">
        <f>IF(N26881="","",'Master Barang'!B75)</f>
        <v>0</v>
      </c>
      <c r="P26881">
        <f>IF(OR(M26881="",N26881=""),"",SUMIFS('Barang Keluar'!$E:$E,'Barang Keluar'!$A:$A,M26881,'Barang Keluar'!$C:$C,N26881))</f>
        <v>0</v>
      </c>
    </row>
    <row r="26882" spans="13:16">
      <c r="M26882" s="49">
        <f>IF($A$4+268&gt;$B$4,"",$A$4+268)</f>
        <v>46291</v>
      </c>
      <c r="N26882">
        <f>IF(M26882="","",'Master Barang'!A76)</f>
        <v>0</v>
      </c>
      <c r="O26882">
        <f>IF(N26882="","",'Master Barang'!B76)</f>
        <v>0</v>
      </c>
      <c r="P26882">
        <f>IF(OR(M26882="",N26882=""),"",SUMIFS('Barang Keluar'!$E:$E,'Barang Keluar'!$A:$A,M26882,'Barang Keluar'!$C:$C,N26882))</f>
        <v>0</v>
      </c>
    </row>
    <row r="26883" spans="13:16">
      <c r="M26883" s="49">
        <f>IF($A$4+268&gt;$B$4,"",$A$4+268)</f>
        <v>46291</v>
      </c>
      <c r="N26883">
        <f>IF(M26883="","",'Master Barang'!A77)</f>
        <v>0</v>
      </c>
      <c r="O26883">
        <f>IF(N26883="","",'Master Barang'!B77)</f>
        <v>0</v>
      </c>
      <c r="P26883">
        <f>IF(OR(M26883="",N26883=""),"",SUMIFS('Barang Keluar'!$E:$E,'Barang Keluar'!$A:$A,M26883,'Barang Keluar'!$C:$C,N26883))</f>
        <v>0</v>
      </c>
    </row>
    <row r="26884" spans="13:16">
      <c r="M26884" s="49">
        <f>IF($A$4+268&gt;$B$4,"",$A$4+268)</f>
        <v>46291</v>
      </c>
      <c r="N26884">
        <f>IF(M26884="","",'Master Barang'!A78)</f>
        <v>0</v>
      </c>
      <c r="O26884">
        <f>IF(N26884="","",'Master Barang'!B78)</f>
        <v>0</v>
      </c>
      <c r="P26884">
        <f>IF(OR(M26884="",N26884=""),"",SUMIFS('Barang Keluar'!$E:$E,'Barang Keluar'!$A:$A,M26884,'Barang Keluar'!$C:$C,N26884))</f>
        <v>0</v>
      </c>
    </row>
    <row r="26885" spans="13:16">
      <c r="M26885" s="49">
        <f>IF($A$4+268&gt;$B$4,"",$A$4+268)</f>
        <v>46291</v>
      </c>
      <c r="N26885">
        <f>IF(M26885="","",'Master Barang'!A79)</f>
        <v>0</v>
      </c>
      <c r="O26885">
        <f>IF(N26885="","",'Master Barang'!B79)</f>
        <v>0</v>
      </c>
      <c r="P26885">
        <f>IF(OR(M26885="",N26885=""),"",SUMIFS('Barang Keluar'!$E:$E,'Barang Keluar'!$A:$A,M26885,'Barang Keluar'!$C:$C,N26885))</f>
        <v>0</v>
      </c>
    </row>
    <row r="26886" spans="13:16">
      <c r="M26886" s="49">
        <f>IF($A$4+268&gt;$B$4,"",$A$4+268)</f>
        <v>46291</v>
      </c>
      <c r="N26886">
        <f>IF(M26886="","",'Master Barang'!A80)</f>
        <v>0</v>
      </c>
      <c r="O26886">
        <f>IF(N26886="","",'Master Barang'!B80)</f>
        <v>0</v>
      </c>
      <c r="P26886">
        <f>IF(OR(M26886="",N26886=""),"",SUMIFS('Barang Keluar'!$E:$E,'Barang Keluar'!$A:$A,M26886,'Barang Keluar'!$C:$C,N26886))</f>
        <v>0</v>
      </c>
    </row>
    <row r="26887" spans="13:16">
      <c r="M26887" s="49">
        <f>IF($A$4+268&gt;$B$4,"",$A$4+268)</f>
        <v>46291</v>
      </c>
      <c r="N26887">
        <f>IF(M26887="","",'Master Barang'!A81)</f>
        <v>0</v>
      </c>
      <c r="O26887">
        <f>IF(N26887="","",'Master Barang'!B81)</f>
        <v>0</v>
      </c>
      <c r="P26887">
        <f>IF(OR(M26887="",N26887=""),"",SUMIFS('Barang Keluar'!$E:$E,'Barang Keluar'!$A:$A,M26887,'Barang Keluar'!$C:$C,N26887))</f>
        <v>0</v>
      </c>
    </row>
    <row r="26888" spans="13:16">
      <c r="M26888" s="49">
        <f>IF($A$4+268&gt;$B$4,"",$A$4+268)</f>
        <v>46291</v>
      </c>
      <c r="N26888">
        <f>IF(M26888="","",'Master Barang'!A82)</f>
        <v>0</v>
      </c>
      <c r="O26888">
        <f>IF(N26888="","",'Master Barang'!B82)</f>
        <v>0</v>
      </c>
      <c r="P26888">
        <f>IF(OR(M26888="",N26888=""),"",SUMIFS('Barang Keluar'!$E:$E,'Barang Keluar'!$A:$A,M26888,'Barang Keluar'!$C:$C,N26888))</f>
        <v>0</v>
      </c>
    </row>
    <row r="26889" spans="13:16">
      <c r="M26889" s="49">
        <f>IF($A$4+268&gt;$B$4,"",$A$4+268)</f>
        <v>46291</v>
      </c>
      <c r="N26889">
        <f>IF(M26889="","",'Master Barang'!A83)</f>
        <v>0</v>
      </c>
      <c r="O26889">
        <f>IF(N26889="","",'Master Barang'!B83)</f>
        <v>0</v>
      </c>
      <c r="P26889">
        <f>IF(OR(M26889="",N26889=""),"",SUMIFS('Barang Keluar'!$E:$E,'Barang Keluar'!$A:$A,M26889,'Barang Keluar'!$C:$C,N26889))</f>
        <v>0</v>
      </c>
    </row>
    <row r="26890" spans="13:16">
      <c r="M26890" s="49">
        <f>IF($A$4+268&gt;$B$4,"",$A$4+268)</f>
        <v>46291</v>
      </c>
      <c r="N26890">
        <f>IF(M26890="","",'Master Barang'!A84)</f>
        <v>0</v>
      </c>
      <c r="O26890">
        <f>IF(N26890="","",'Master Barang'!B84)</f>
        <v>0</v>
      </c>
      <c r="P26890">
        <f>IF(OR(M26890="",N26890=""),"",SUMIFS('Barang Keluar'!$E:$E,'Barang Keluar'!$A:$A,M26890,'Barang Keluar'!$C:$C,N26890))</f>
        <v>0</v>
      </c>
    </row>
    <row r="26891" spans="13:16">
      <c r="M26891" s="49">
        <f>IF($A$4+268&gt;$B$4,"",$A$4+268)</f>
        <v>46291</v>
      </c>
      <c r="N26891">
        <f>IF(M26891="","",'Master Barang'!A85)</f>
        <v>0</v>
      </c>
      <c r="O26891">
        <f>IF(N26891="","",'Master Barang'!B85)</f>
        <v>0</v>
      </c>
      <c r="P26891">
        <f>IF(OR(M26891="",N26891=""),"",SUMIFS('Barang Keluar'!$E:$E,'Barang Keluar'!$A:$A,M26891,'Barang Keluar'!$C:$C,N26891))</f>
        <v>0</v>
      </c>
    </row>
    <row r="26892" spans="13:16">
      <c r="M26892" s="49">
        <f>IF($A$4+268&gt;$B$4,"",$A$4+268)</f>
        <v>46291</v>
      </c>
      <c r="N26892">
        <f>IF(M26892="","",'Master Barang'!A86)</f>
        <v>0</v>
      </c>
      <c r="O26892">
        <f>IF(N26892="","",'Master Barang'!B86)</f>
        <v>0</v>
      </c>
      <c r="P26892">
        <f>IF(OR(M26892="",N26892=""),"",SUMIFS('Barang Keluar'!$E:$E,'Barang Keluar'!$A:$A,M26892,'Barang Keluar'!$C:$C,N26892))</f>
        <v>0</v>
      </c>
    </row>
    <row r="26893" spans="13:16">
      <c r="M26893" s="49">
        <f>IF($A$4+268&gt;$B$4,"",$A$4+268)</f>
        <v>46291</v>
      </c>
      <c r="N26893">
        <f>IF(M26893="","",'Master Barang'!A87)</f>
        <v>0</v>
      </c>
      <c r="O26893">
        <f>IF(N26893="","",'Master Barang'!B87)</f>
        <v>0</v>
      </c>
      <c r="P26893">
        <f>IF(OR(M26893="",N26893=""),"",SUMIFS('Barang Keluar'!$E:$E,'Barang Keluar'!$A:$A,M26893,'Barang Keluar'!$C:$C,N26893))</f>
        <v>0</v>
      </c>
    </row>
    <row r="26894" spans="13:16">
      <c r="M26894" s="49">
        <f>IF($A$4+268&gt;$B$4,"",$A$4+268)</f>
        <v>46291</v>
      </c>
      <c r="N26894">
        <f>IF(M26894="","",'Master Barang'!A88)</f>
        <v>0</v>
      </c>
      <c r="O26894">
        <f>IF(N26894="","",'Master Barang'!B88)</f>
        <v>0</v>
      </c>
      <c r="P26894">
        <f>IF(OR(M26894="",N26894=""),"",SUMIFS('Barang Keluar'!$E:$E,'Barang Keluar'!$A:$A,M26894,'Barang Keluar'!$C:$C,N26894))</f>
        <v>0</v>
      </c>
    </row>
    <row r="26895" spans="13:16">
      <c r="M26895" s="49">
        <f>IF($A$4+268&gt;$B$4,"",$A$4+268)</f>
        <v>46291</v>
      </c>
      <c r="N26895">
        <f>IF(M26895="","",'Master Barang'!A89)</f>
        <v>0</v>
      </c>
      <c r="O26895">
        <f>IF(N26895="","",'Master Barang'!B89)</f>
        <v>0</v>
      </c>
      <c r="P26895">
        <f>IF(OR(M26895="",N26895=""),"",SUMIFS('Barang Keluar'!$E:$E,'Barang Keluar'!$A:$A,M26895,'Barang Keluar'!$C:$C,N26895))</f>
        <v>0</v>
      </c>
    </row>
    <row r="26896" spans="13:16">
      <c r="M26896" s="49">
        <f>IF($A$4+268&gt;$B$4,"",$A$4+268)</f>
        <v>46291</v>
      </c>
      <c r="N26896">
        <f>IF(M26896="","",'Master Barang'!A90)</f>
        <v>0</v>
      </c>
      <c r="O26896">
        <f>IF(N26896="","",'Master Barang'!B90)</f>
        <v>0</v>
      </c>
      <c r="P26896">
        <f>IF(OR(M26896="",N26896=""),"",SUMIFS('Barang Keluar'!$E:$E,'Barang Keluar'!$A:$A,M26896,'Barang Keluar'!$C:$C,N26896))</f>
        <v>0</v>
      </c>
    </row>
    <row r="26897" spans="13:16">
      <c r="M26897" s="49">
        <f>IF($A$4+268&gt;$B$4,"",$A$4+268)</f>
        <v>46291</v>
      </c>
      <c r="N26897">
        <f>IF(M26897="","",'Master Barang'!A91)</f>
        <v>0</v>
      </c>
      <c r="O26897">
        <f>IF(N26897="","",'Master Barang'!B91)</f>
        <v>0</v>
      </c>
      <c r="P26897">
        <f>IF(OR(M26897="",N26897=""),"",SUMIFS('Barang Keluar'!$E:$E,'Barang Keluar'!$A:$A,M26897,'Barang Keluar'!$C:$C,N26897))</f>
        <v>0</v>
      </c>
    </row>
    <row r="26898" spans="13:16">
      <c r="M26898" s="49">
        <f>IF($A$4+268&gt;$B$4,"",$A$4+268)</f>
        <v>46291</v>
      </c>
      <c r="N26898">
        <f>IF(M26898="","",'Master Barang'!A92)</f>
        <v>0</v>
      </c>
      <c r="O26898">
        <f>IF(N26898="","",'Master Barang'!B92)</f>
        <v>0</v>
      </c>
      <c r="P26898">
        <f>IF(OR(M26898="",N26898=""),"",SUMIFS('Barang Keluar'!$E:$E,'Barang Keluar'!$A:$A,M26898,'Barang Keluar'!$C:$C,N26898))</f>
        <v>0</v>
      </c>
    </row>
    <row r="26899" spans="13:16">
      <c r="M26899" s="49">
        <f>IF($A$4+268&gt;$B$4,"",$A$4+268)</f>
        <v>46291</v>
      </c>
      <c r="N26899">
        <f>IF(M26899="","",'Master Barang'!A93)</f>
        <v>0</v>
      </c>
      <c r="O26899">
        <f>IF(N26899="","",'Master Barang'!B93)</f>
        <v>0</v>
      </c>
      <c r="P26899">
        <f>IF(OR(M26899="",N26899=""),"",SUMIFS('Barang Keluar'!$E:$E,'Barang Keluar'!$A:$A,M26899,'Barang Keluar'!$C:$C,N26899))</f>
        <v>0</v>
      </c>
    </row>
    <row r="26900" spans="13:16">
      <c r="M26900" s="49">
        <f>IF($A$4+268&gt;$B$4,"",$A$4+268)</f>
        <v>46291</v>
      </c>
      <c r="N26900">
        <f>IF(M26900="","",'Master Barang'!A94)</f>
        <v>0</v>
      </c>
      <c r="O26900">
        <f>IF(N26900="","",'Master Barang'!B94)</f>
        <v>0</v>
      </c>
      <c r="P26900">
        <f>IF(OR(M26900="",N26900=""),"",SUMIFS('Barang Keluar'!$E:$E,'Barang Keluar'!$A:$A,M26900,'Barang Keluar'!$C:$C,N26900))</f>
        <v>0</v>
      </c>
    </row>
    <row r="26901" spans="13:16">
      <c r="M26901" s="49">
        <f>IF($A$4+268&gt;$B$4,"",$A$4+268)</f>
        <v>46291</v>
      </c>
      <c r="N26901">
        <f>IF(M26901="","",'Master Barang'!A95)</f>
        <v>0</v>
      </c>
      <c r="O26901">
        <f>IF(N26901="","",'Master Barang'!B95)</f>
        <v>0</v>
      </c>
      <c r="P26901">
        <f>IF(OR(M26901="",N26901=""),"",SUMIFS('Barang Keluar'!$E:$E,'Barang Keluar'!$A:$A,M26901,'Barang Keluar'!$C:$C,N26901))</f>
        <v>0</v>
      </c>
    </row>
    <row r="26902" spans="13:16">
      <c r="M26902" s="49">
        <f>IF($A$4+268&gt;$B$4,"",$A$4+268)</f>
        <v>46291</v>
      </c>
      <c r="N26902">
        <f>IF(M26902="","",'Master Barang'!A96)</f>
        <v>0</v>
      </c>
      <c r="O26902">
        <f>IF(N26902="","",'Master Barang'!B96)</f>
        <v>0</v>
      </c>
      <c r="P26902">
        <f>IF(OR(M26902="",N26902=""),"",SUMIFS('Barang Keluar'!$E:$E,'Barang Keluar'!$A:$A,M26902,'Barang Keluar'!$C:$C,N26902))</f>
        <v>0</v>
      </c>
    </row>
    <row r="26903" spans="13:16">
      <c r="M26903" s="49">
        <f>IF($A$4+268&gt;$B$4,"",$A$4+268)</f>
        <v>46291</v>
      </c>
      <c r="N26903">
        <f>IF(M26903="","",'Master Barang'!A97)</f>
        <v>0</v>
      </c>
      <c r="O26903">
        <f>IF(N26903="","",'Master Barang'!B97)</f>
        <v>0</v>
      </c>
      <c r="P26903">
        <f>IF(OR(M26903="",N26903=""),"",SUMIFS('Barang Keluar'!$E:$E,'Barang Keluar'!$A:$A,M26903,'Barang Keluar'!$C:$C,N26903))</f>
        <v>0</v>
      </c>
    </row>
    <row r="26904" spans="13:16">
      <c r="M26904" s="49">
        <f>IF($A$4+268&gt;$B$4,"",$A$4+268)</f>
        <v>46291</v>
      </c>
      <c r="N26904">
        <f>IF(M26904="","",'Master Barang'!A98)</f>
        <v>0</v>
      </c>
      <c r="O26904">
        <f>IF(N26904="","",'Master Barang'!B98)</f>
        <v>0</v>
      </c>
      <c r="P26904">
        <f>IF(OR(M26904="",N26904=""),"",SUMIFS('Barang Keluar'!$E:$E,'Barang Keluar'!$A:$A,M26904,'Barang Keluar'!$C:$C,N26904))</f>
        <v>0</v>
      </c>
    </row>
    <row r="26905" spans="13:16">
      <c r="M26905" s="49">
        <f>IF($A$4+268&gt;$B$4,"",$A$4+268)</f>
        <v>46291</v>
      </c>
      <c r="N26905">
        <f>IF(M26905="","",'Master Barang'!A99)</f>
        <v>0</v>
      </c>
      <c r="O26905">
        <f>IF(N26905="","",'Master Barang'!B99)</f>
        <v>0</v>
      </c>
      <c r="P26905">
        <f>IF(OR(M26905="",N26905=""),"",SUMIFS('Barang Keluar'!$E:$E,'Barang Keluar'!$A:$A,M26905,'Barang Keluar'!$C:$C,N26905))</f>
        <v>0</v>
      </c>
    </row>
    <row r="26906" spans="13:16">
      <c r="M26906" s="49">
        <f>IF($A$4+268&gt;$B$4,"",$A$4+268)</f>
        <v>46291</v>
      </c>
      <c r="N26906">
        <f>IF(M26906="","",'Master Barang'!A100)</f>
        <v>0</v>
      </c>
      <c r="O26906">
        <f>IF(N26906="","",'Master Barang'!B100)</f>
        <v>0</v>
      </c>
      <c r="P26906">
        <f>IF(OR(M26906="",N26906=""),"",SUMIFS('Barang Keluar'!$E:$E,'Barang Keluar'!$A:$A,M26906,'Barang Keluar'!$C:$C,N26906))</f>
        <v>0</v>
      </c>
    </row>
    <row r="26907" spans="13:16">
      <c r="M26907" s="49">
        <f>IF($A$4+268&gt;$B$4,"",$A$4+268)</f>
        <v>46291</v>
      </c>
      <c r="N26907">
        <f>IF(M26907="","",'Master Barang'!A101)</f>
        <v>0</v>
      </c>
      <c r="O26907">
        <f>IF(N26907="","",'Master Barang'!B101)</f>
        <v>0</v>
      </c>
      <c r="P26907">
        <f>IF(OR(M26907="",N26907=""),"",SUMIFS('Barang Keluar'!$E:$E,'Barang Keluar'!$A:$A,M26907,'Barang Keluar'!$C:$C,N26907))</f>
        <v>0</v>
      </c>
    </row>
    <row r="26908" spans="13:16">
      <c r="M26908" s="49">
        <f>IF($A$4+269&gt;$B$4,"",$A$4+269)</f>
        <v>46292</v>
      </c>
      <c r="N26908" t="str">
        <f>IF(M26908="","",'Master Barang'!A2)</f>
        <v>PRL-001</v>
      </c>
      <c r="O26908" t="str">
        <f>IF(N26908="","",'Master Barang'!B2)</f>
        <v>natura desinfectant food grade 5l</v>
      </c>
      <c r="P26908">
        <f>IF(OR(M26908="",N26908=""),"",SUMIFS('Barang Keluar'!$E:$E,'Barang Keluar'!$A:$A,M26908,'Barang Keluar'!$C:$C,N26908))</f>
        <v>0</v>
      </c>
    </row>
    <row r="26909" spans="13:16">
      <c r="M26909" s="49">
        <f>IF($A$4+269&gt;$B$4,"",$A$4+269)</f>
        <v>46292</v>
      </c>
      <c r="N26909" t="str">
        <f>IF(M26909="","",'Master Barang'!A3)</f>
        <v>PRL-002</v>
      </c>
      <c r="O26909" t="str">
        <f>IF(N26909="","",'Master Barang'!B3)</f>
        <v>sunlight cairan pencuci piring 5l</v>
      </c>
      <c r="P26909">
        <f>IF(OR(M26909="",N26909=""),"",SUMIFS('Barang Keluar'!$E:$E,'Barang Keluar'!$A:$A,M26909,'Barang Keluar'!$C:$C,N26909))</f>
        <v>0</v>
      </c>
    </row>
    <row r="26910" spans="13:16">
      <c r="M26910" s="49">
        <f>IF($A$4+269&gt;$B$4,"",$A$4+269)</f>
        <v>46292</v>
      </c>
      <c r="N26910" t="str">
        <f>IF(M26910="","",'Master Barang'!A4)</f>
        <v>PRL-003</v>
      </c>
      <c r="O26910" t="str">
        <f>IF(N26910="","",'Master Barang'!B4)</f>
        <v>oixs cleaner 1l</v>
      </c>
      <c r="P26910">
        <f>IF(OR(M26910="",N26910=""),"",SUMIFS('Barang Keluar'!$E:$E,'Barang Keluar'!$A:$A,M26910,'Barang Keluar'!$C:$C,N26910))</f>
        <v>0</v>
      </c>
    </row>
    <row r="26911" spans="13:16">
      <c r="M26911" s="49">
        <f>IF($A$4+269&gt;$B$4,"",$A$4+269)</f>
        <v>46292</v>
      </c>
      <c r="N26911" t="str">
        <f>IF(M26911="","",'Master Barang'!A5)</f>
        <v>PRL-004</v>
      </c>
      <c r="O26911" t="str">
        <f>IF(N26911="","",'Master Barang'!B5)</f>
        <v>be clean tissue serbaguna</v>
      </c>
      <c r="P26911">
        <f>IF(OR(M26911="",N26911=""),"",SUMIFS('Barang Keluar'!$E:$E,'Barang Keluar'!$A:$A,M26911,'Barang Keluar'!$C:$C,N26911))</f>
        <v>0</v>
      </c>
    </row>
    <row r="26912" spans="13:16">
      <c r="M26912" s="49">
        <f>IF($A$4+269&gt;$B$4,"",$A$4+269)</f>
        <v>46292</v>
      </c>
      <c r="N26912" t="str">
        <f>IF(M26912="","",'Master Barang'!A6)</f>
        <v>PRL-005</v>
      </c>
      <c r="O26912" t="str">
        <f>IF(N26912="","",'Master Barang'!B6)</f>
        <v>spons cuci hijau</v>
      </c>
      <c r="P26912">
        <f>IF(OR(M26912="",N26912=""),"",SUMIFS('Barang Keluar'!$E:$E,'Barang Keluar'!$A:$A,M26912,'Barang Keluar'!$C:$C,N26912))</f>
        <v>0</v>
      </c>
    </row>
    <row r="26913" spans="13:16">
      <c r="M26913" s="49">
        <f>IF($A$4+269&gt;$B$4,"",$A$4+269)</f>
        <v>46292</v>
      </c>
      <c r="N26913" t="str">
        <f>IF(M26913="","",'Master Barang'!A7)</f>
        <v>PRL-006</v>
      </c>
      <c r="O26913" t="str">
        <f>IF(N26913="","",'Master Barang'!B7)</f>
        <v>sabut cuci stainless</v>
      </c>
      <c r="P26913">
        <f>IF(OR(M26913="",N26913=""),"",SUMIFS('Barang Keluar'!$E:$E,'Barang Keluar'!$A:$A,M26913,'Barang Keluar'!$C:$C,N26913))</f>
        <v>0</v>
      </c>
    </row>
    <row r="26914" spans="13:16">
      <c r="M26914" s="49">
        <f>IF($A$4+269&gt;$B$4,"",$A$4+269)</f>
        <v>46292</v>
      </c>
      <c r="N26914" t="str">
        <f>IF(M26914="","",'Master Barang'!A8)</f>
        <v>PRL-007</v>
      </c>
      <c r="O26914" t="str">
        <f>IF(N26914="","",'Master Barang'!B8)</f>
        <v>plastik kresek besar merah 50pc</v>
      </c>
      <c r="P26914">
        <f>IF(OR(M26914="",N26914=""),"",SUMIFS('Barang Keluar'!$E:$E,'Barang Keluar'!$A:$A,M26914,'Barang Keluar'!$C:$C,N26914))</f>
        <v>0</v>
      </c>
    </row>
    <row r="26915" spans="13:16">
      <c r="M26915" s="49">
        <f>IF($A$4+269&gt;$B$4,"",$A$4+269)</f>
        <v>46292</v>
      </c>
      <c r="N26915" t="str">
        <f>IF(M26915="","",'Master Barang'!A9)</f>
        <v>PRL-008</v>
      </c>
      <c r="O26915" t="str">
        <f>IF(N26915="","",'Master Barang'!B9)</f>
        <v>lap besar</v>
      </c>
      <c r="P26915">
        <f>IF(OR(M26915="",N26915=""),"",SUMIFS('Barang Keluar'!$E:$E,'Barang Keluar'!$A:$A,M26915,'Barang Keluar'!$C:$C,N26915))</f>
        <v>0</v>
      </c>
    </row>
    <row r="26916" spans="13:16">
      <c r="M26916" s="49">
        <f>IF($A$4+269&gt;$B$4,"",$A$4+269)</f>
        <v>46292</v>
      </c>
      <c r="N26916" t="str">
        <f>IF(M26916="","",'Master Barang'!A10)</f>
        <v>PRL-009</v>
      </c>
      <c r="O26916" t="str">
        <f>IF(N26916="","",'Master Barang'!B10)</f>
        <v>lap microfiber</v>
      </c>
      <c r="P26916">
        <f>IF(OR(M26916="",N26916=""),"",SUMIFS('Barang Keluar'!$E:$E,'Barang Keluar'!$A:$A,M26916,'Barang Keluar'!$C:$C,N26916))</f>
        <v>0</v>
      </c>
    </row>
    <row r="26917" spans="13:16">
      <c r="M26917" s="49">
        <f>IF($A$4+269&gt;$B$4,"",$A$4+269)</f>
        <v>46292</v>
      </c>
      <c r="N26917" t="str">
        <f>IF(M26917="","",'Master Barang'!A11)</f>
        <v>PRL-010</v>
      </c>
      <c r="O26917" t="str">
        <f>IF(N26917="","",'Master Barang'!B11)</f>
        <v>lap kecil</v>
      </c>
      <c r="P26917">
        <f>IF(OR(M26917="",N26917=""),"",SUMIFS('Barang Keluar'!$E:$E,'Barang Keluar'!$A:$A,M26917,'Barang Keluar'!$C:$C,N26917))</f>
        <v>0</v>
      </c>
    </row>
    <row r="26918" spans="13:16">
      <c r="M26918" s="49">
        <f>IF($A$4+269&gt;$B$4,"",$A$4+269)</f>
        <v>46292</v>
      </c>
      <c r="N26918" t="str">
        <f>IF(M26918="","",'Master Barang'!A12)</f>
        <v>PRL-011</v>
      </c>
      <c r="O26918" t="str">
        <f>IF(N26918="","",'Master Barang'!B12)</f>
        <v>kanebo kecil</v>
      </c>
      <c r="P26918">
        <f>IF(OR(M26918="",N26918=""),"",SUMIFS('Barang Keluar'!$E:$E,'Barang Keluar'!$A:$A,M26918,'Barang Keluar'!$C:$C,N26918))</f>
        <v>0</v>
      </c>
    </row>
    <row r="26919" spans="13:16">
      <c r="M26919" s="49">
        <f>IF($A$4+269&gt;$B$4,"",$A$4+269)</f>
        <v>46292</v>
      </c>
      <c r="N26919" t="str">
        <f>IF(M26919="","",'Master Barang'!A13)</f>
        <v>PRL-012</v>
      </c>
      <c r="O26919" t="str">
        <f>IF(N26919="","",'Master Barang'!B13)</f>
        <v>plastik 1/4kg joyoboyo 100 lembar</v>
      </c>
      <c r="P26919">
        <f>IF(OR(M26919="",N26919=""),"",SUMIFS('Barang Keluar'!$E:$E,'Barang Keluar'!$A:$A,M26919,'Barang Keluar'!$C:$C,N26919))</f>
        <v>0</v>
      </c>
    </row>
    <row r="26920" spans="13:16">
      <c r="M26920" s="49">
        <f>IF($A$4+269&gt;$B$4,"",$A$4+269)</f>
        <v>46292</v>
      </c>
      <c r="N26920" t="str">
        <f>IF(M26920="","",'Master Barang'!A14)</f>
        <v>PRL-013</v>
      </c>
      <c r="O26920" t="str">
        <f>IF(N26920="","",'Master Barang'!B14)</f>
        <v>sarung tangan plastik kaka 100 pcs</v>
      </c>
      <c r="P26920">
        <f>IF(OR(M26920="",N26920=""),"",SUMIFS('Barang Keluar'!$E:$E,'Barang Keluar'!$A:$A,M26920,'Barang Keluar'!$C:$C,N26920))</f>
        <v>0</v>
      </c>
    </row>
    <row r="26921" spans="13:16">
      <c r="M26921" s="49">
        <f>IF($A$4+269&gt;$B$4,"",$A$4+269)</f>
        <v>46292</v>
      </c>
      <c r="N26921" t="str">
        <f>IF(M26921="","",'Master Barang'!A15)</f>
        <v>PRL-014</v>
      </c>
      <c r="O26921" t="str">
        <f>IF(N26921="","",'Master Barang'!B15)</f>
        <v>optima trashbag 80x100</v>
      </c>
      <c r="P26921">
        <f>IF(OR(M26921="",N26921=""),"",SUMIFS('Barang Keluar'!$E:$E,'Barang Keluar'!$A:$A,M26921,'Barang Keluar'!$C:$C,N26921))</f>
        <v>0</v>
      </c>
    </row>
    <row r="26922" spans="13:16">
      <c r="M26922" s="49">
        <f>IF($A$4+269&gt;$B$4,"",$A$4+269)</f>
        <v>46292</v>
      </c>
      <c r="N26922" t="str">
        <f>IF(M26922="","",'Master Barang'!A16)</f>
        <v>PRL-015</v>
      </c>
      <c r="O26922" t="str">
        <f>IF(N26922="","",'Master Barang'!B16)</f>
        <v>optima trashbag 60x100</v>
      </c>
      <c r="P26922">
        <f>IF(OR(M26922="",N26922=""),"",SUMIFS('Barang Keluar'!$E:$E,'Barang Keluar'!$A:$A,M26922,'Barang Keluar'!$C:$C,N26922))</f>
        <v>0</v>
      </c>
    </row>
    <row r="26923" spans="13:16">
      <c r="M26923" s="49">
        <f>IF($A$4+269&gt;$B$4,"",$A$4+269)</f>
        <v>46292</v>
      </c>
      <c r="N26923" t="str">
        <f>IF(M26923="","",'Master Barang'!A17)</f>
        <v>PRL-016</v>
      </c>
      <c r="O26923" t="str">
        <f>IF(N26923="","",'Master Barang'!B17)</f>
        <v>rajawali trashbag 30x40</v>
      </c>
      <c r="P26923">
        <f>IF(OR(M26923="",N26923=""),"",SUMIFS('Barang Keluar'!$E:$E,'Barang Keluar'!$A:$A,M26923,'Barang Keluar'!$C:$C,N26923))</f>
        <v>0</v>
      </c>
    </row>
    <row r="26924" spans="13:16">
      <c r="M26924" s="49">
        <f>IF($A$4+269&gt;$B$4,"",$A$4+269)</f>
        <v>46292</v>
      </c>
      <c r="N26924" t="str">
        <f>IF(M26924="","",'Master Barang'!A18)</f>
        <v>PRL-017</v>
      </c>
      <c r="O26924" t="str">
        <f>IF(N26924="","",'Master Barang'!B18)</f>
        <v>onemed masker biru 3 play 50 pcs</v>
      </c>
      <c r="P26924">
        <f>IF(OR(M26924="",N26924=""),"",SUMIFS('Barang Keluar'!$E:$E,'Barang Keluar'!$A:$A,M26924,'Barang Keluar'!$C:$C,N26924))</f>
        <v>0</v>
      </c>
    </row>
    <row r="26925" spans="13:16">
      <c r="M26925" s="49">
        <f>IF($A$4+269&gt;$B$4,"",$A$4+269)</f>
        <v>46292</v>
      </c>
      <c r="N26925" t="str">
        <f>IF(M26925="","",'Master Barang'!A19)</f>
        <v>PRL-018</v>
      </c>
      <c r="O26925" t="str">
        <f>IF(N26925="","",'Master Barang'!B19)</f>
        <v>onemed masker biru 3 play hijab 50 pcs</v>
      </c>
      <c r="P26925">
        <f>IF(OR(M26925="",N26925=""),"",SUMIFS('Barang Keluar'!$E:$E,'Barang Keluar'!$A:$A,M26925,'Barang Keluar'!$C:$C,N26925))</f>
        <v>0</v>
      </c>
    </row>
    <row r="26926" spans="13:16">
      <c r="M26926" s="49">
        <f>IF($A$4+269&gt;$B$4,"",$A$4+269)</f>
        <v>46292</v>
      </c>
      <c r="N26926" t="str">
        <f>IF(M26926="","",'Master Barang'!A20)</f>
        <v>PRL-019</v>
      </c>
      <c r="O26926" t="str">
        <f>IF(N26926="","",'Master Barang'!B20)</f>
        <v>neo health masker biru 3 play 50 pcs</v>
      </c>
      <c r="P26926">
        <f>IF(OR(M26926="",N26926=""),"",SUMIFS('Barang Keluar'!$E:$E,'Barang Keluar'!$A:$A,M26926,'Barang Keluar'!$C:$C,N26926))</f>
        <v>0</v>
      </c>
    </row>
    <row r="26927" spans="13:16">
      <c r="M26927" s="49">
        <f>IF($A$4+269&gt;$B$4,"",$A$4+269)</f>
        <v>46292</v>
      </c>
      <c r="N26927" t="str">
        <f>IF(M26927="","",'Master Barang'!A21)</f>
        <v>PRL-020</v>
      </c>
      <c r="O26927" t="str">
        <f>IF(N26927="","",'Master Barang'!B21)</f>
        <v>baymed masker hijau 3 play hijau 50 pcs</v>
      </c>
      <c r="P26927">
        <f>IF(OR(M26927="",N26927=""),"",SUMIFS('Barang Keluar'!$E:$E,'Barang Keluar'!$A:$A,M26927,'Barang Keluar'!$C:$C,N26927))</f>
        <v>0</v>
      </c>
    </row>
    <row r="26928" spans="13:16">
      <c r="M26928" s="49">
        <f>IF($A$4+269&gt;$B$4,"",$A$4+269)</f>
        <v>46292</v>
      </c>
      <c r="N26928" t="str">
        <f>IF(M26928="","",'Master Barang'!A22)</f>
        <v>PRL-021</v>
      </c>
      <c r="O26928" t="str">
        <f>IF(N26928="","",'Master Barang'!B22)</f>
        <v>altamed nurse cap penutup kepala 100 pcs</v>
      </c>
      <c r="P26928">
        <f>IF(OR(M26928="",N26928=""),"",SUMIFS('Barang Keluar'!$E:$E,'Barang Keluar'!$A:$A,M26928,'Barang Keluar'!$C:$C,N26928))</f>
        <v>0</v>
      </c>
    </row>
    <row r="26929" spans="13:16">
      <c r="M26929" s="49">
        <f>IF($A$4+269&gt;$B$4,"",$A$4+269)</f>
        <v>46292</v>
      </c>
      <c r="N26929" t="str">
        <f>IF(M26929="","",'Master Barang'!A23)</f>
        <v>PRL-022</v>
      </c>
      <c r="O26929" t="str">
        <f>IF(N26929="","",'Master Barang'!B23)</f>
        <v>sabun cuci tangan</v>
      </c>
      <c r="P26929">
        <f>IF(OR(M26929="",N26929=""),"",SUMIFS('Barang Keluar'!$E:$E,'Barang Keluar'!$A:$A,M26929,'Barang Keluar'!$C:$C,N26929))</f>
        <v>0</v>
      </c>
    </row>
    <row r="26930" spans="13:16">
      <c r="M26930" s="49">
        <f>IF($A$4+269&gt;$B$4,"",$A$4+269)</f>
        <v>46292</v>
      </c>
      <c r="N26930" t="str">
        <f>IF(M26930="","",'Master Barang'!A24)</f>
        <v>PRL-023</v>
      </c>
      <c r="O26930" t="str">
        <f>IF(N26930="","",'Master Barang'!B24)</f>
        <v>gayung kecil</v>
      </c>
      <c r="P26930">
        <f>IF(OR(M26930="",N26930=""),"",SUMIFS('Barang Keluar'!$E:$E,'Barang Keluar'!$A:$A,M26930,'Barang Keluar'!$C:$C,N26930))</f>
        <v>0</v>
      </c>
    </row>
    <row r="26931" spans="13:16">
      <c r="M26931" s="49">
        <f>IF($A$4+269&gt;$B$4,"",$A$4+269)</f>
        <v>46292</v>
      </c>
      <c r="N26931" t="str">
        <f>IF(M26931="","",'Master Barang'!A25)</f>
        <v>PRL-024</v>
      </c>
      <c r="O26931" t="str">
        <f>IF(N26931="","",'Master Barang'!B25)</f>
        <v>cikrak kecil</v>
      </c>
      <c r="P26931">
        <f>IF(OR(M26931="",N26931=""),"",SUMIFS('Barang Keluar'!$E:$E,'Barang Keluar'!$A:$A,M26931,'Barang Keluar'!$C:$C,N26931))</f>
        <v>0</v>
      </c>
    </row>
    <row r="26932" spans="13:16">
      <c r="M26932" s="49">
        <f>IF($A$4+269&gt;$B$4,"",$A$4+269)</f>
        <v>46292</v>
      </c>
      <c r="N26932" t="str">
        <f>IF(M26932="","",'Master Barang'!A26)</f>
        <v>PRL-025</v>
      </c>
      <c r="O26932" t="str">
        <f>IF(N26932="","",'Master Barang'!B26)</f>
        <v>petromax plastik kecil 12x24 100 lembar</v>
      </c>
      <c r="P26932">
        <f>IF(OR(M26932="",N26932=""),"",SUMIFS('Barang Keluar'!$E:$E,'Barang Keluar'!$A:$A,M26932,'Barang Keluar'!$C:$C,N26932))</f>
        <v>0</v>
      </c>
    </row>
    <row r="26933" spans="13:16">
      <c r="M26933" s="49">
        <f>IF($A$4+269&gt;$B$4,"",$A$4+269)</f>
        <v>46292</v>
      </c>
      <c r="N26933" t="str">
        <f>IF(M26933="","",'Master Barang'!A27)</f>
        <v>PRL-026</v>
      </c>
      <c r="O26933" t="str">
        <f>IF(N26933="","",'Master Barang'!B27)</f>
        <v>lancar kresek kecil bening </v>
      </c>
      <c r="P26933">
        <f>IF(OR(M26933="",N26933=""),"",SUMIFS('Barang Keluar'!$E:$E,'Barang Keluar'!$A:$A,M26933,'Barang Keluar'!$C:$C,N26933))</f>
        <v>0</v>
      </c>
    </row>
    <row r="26934" spans="13:16">
      <c r="M26934" s="49">
        <f>IF($A$4+269&gt;$B$4,"",$A$4+269)</f>
        <v>46292</v>
      </c>
      <c r="N26934" t="str">
        <f>IF(M26934="","",'Master Barang'!A28)</f>
        <v>PRL-027</v>
      </c>
      <c r="O26934" t="str">
        <f>IF(N26934="","",'Master Barang'!B28)</f>
        <v>kresek klin warna warni kecil</v>
      </c>
      <c r="P26934">
        <f>IF(OR(M26934="",N26934=""),"",SUMIFS('Barang Keluar'!$E:$E,'Barang Keluar'!$A:$A,M26934,'Barang Keluar'!$C:$C,N26934))</f>
        <v>0</v>
      </c>
    </row>
    <row r="26935" spans="13:16">
      <c r="M26935" s="49">
        <f>IF($A$4+269&gt;$B$4,"",$A$4+269)</f>
        <v>46292</v>
      </c>
      <c r="N26935" t="str">
        <f>IF(M26935="","",'Master Barang'!A29)</f>
        <v>PRL-028</v>
      </c>
      <c r="O26935" t="str">
        <f>IF(N26935="","",'Master Barang'!B29)</f>
        <v>ctik plastik 7x10 100 pcs</v>
      </c>
      <c r="P26935">
        <f>IF(OR(M26935="",N26935=""),"",SUMIFS('Barang Keluar'!$E:$E,'Barang Keluar'!$A:$A,M26935,'Barang Keluar'!$C:$C,N26935))</f>
        <v>0</v>
      </c>
    </row>
    <row r="26936" spans="13:16">
      <c r="M26936" s="49">
        <f>IF($A$4+269&gt;$B$4,"",$A$4+269)</f>
        <v>46292</v>
      </c>
      <c r="N26936" t="str">
        <f>IF(M26936="","",'Master Barang'!A30)</f>
        <v>PRL-029</v>
      </c>
      <c r="O26936" t="str">
        <f>IF(N26936="","",'Master Barang'!B30)</f>
        <v>ctik plastik 6x10 100 pcs</v>
      </c>
      <c r="P26936">
        <f>IF(OR(M26936="",N26936=""),"",SUMIFS('Barang Keluar'!$E:$E,'Barang Keluar'!$A:$A,M26936,'Barang Keluar'!$C:$C,N26936))</f>
        <v>0</v>
      </c>
    </row>
    <row r="26937" spans="13:16">
      <c r="M26937" s="49">
        <f>IF($A$4+269&gt;$B$4,"",$A$4+269)</f>
        <v>46292</v>
      </c>
      <c r="N26937" t="str">
        <f>IF(M26937="","",'Master Barang'!A31)</f>
        <v>PRL-030</v>
      </c>
      <c r="O26937" t="str">
        <f>IF(N26937="","",'Master Barang'!B31)</f>
        <v>klip plastik 25x16 100 pcs</v>
      </c>
      <c r="P26937">
        <f>IF(OR(M26937="",N26937=""),"",SUMIFS('Barang Keluar'!$E:$E,'Barang Keluar'!$A:$A,M26937,'Barang Keluar'!$C:$C,N26937))</f>
        <v>0</v>
      </c>
    </row>
    <row r="26938" spans="13:16">
      <c r="M26938" s="49">
        <f>IF($A$4+269&gt;$B$4,"",$A$4+269)</f>
        <v>46292</v>
      </c>
      <c r="N26938" t="str">
        <f>IF(M26938="","",'Master Barang'!A32)</f>
        <v>PRL-031</v>
      </c>
      <c r="O26938" t="str">
        <f>IF(N26938="","",'Master Barang'!B32)</f>
        <v>tempat saus 20 ml</v>
      </c>
      <c r="P26938">
        <f>IF(OR(M26938="",N26938=""),"",SUMIFS('Barang Keluar'!$E:$E,'Barang Keluar'!$A:$A,M26938,'Barang Keluar'!$C:$C,N26938))</f>
        <v>0</v>
      </c>
    </row>
    <row r="26939" spans="13:16">
      <c r="M26939" s="49">
        <f>IF($A$4+269&gt;$B$4,"",$A$4+269)</f>
        <v>46292</v>
      </c>
      <c r="N26939" t="str">
        <f>IF(M26939="","",'Master Barang'!A33)</f>
        <v>PRL-032</v>
      </c>
      <c r="O26939" t="str">
        <f>IF(N26939="","",'Master Barang'!B33)</f>
        <v>plastik packaging ag box uk sedang</v>
      </c>
      <c r="P26939">
        <f>IF(OR(M26939="",N26939=""),"",SUMIFS('Barang Keluar'!$E:$E,'Barang Keluar'!$A:$A,M26939,'Barang Keluar'!$C:$C,N26939))</f>
        <v>0</v>
      </c>
    </row>
    <row r="26940" spans="13:16">
      <c r="M26940" s="49">
        <f>IF($A$4+269&gt;$B$4,"",$A$4+269)</f>
        <v>46292</v>
      </c>
      <c r="N26940" t="str">
        <f>IF(M26940="","",'Master Barang'!A34)</f>
        <v>PRL-033</v>
      </c>
      <c r="O26940">
        <f>IF(N26940="","",'Master Barang'!B34)</f>
        <v>0</v>
      </c>
      <c r="P26940">
        <f>IF(OR(M26940="",N26940=""),"",SUMIFS('Barang Keluar'!$E:$E,'Barang Keluar'!$A:$A,M26940,'Barang Keluar'!$C:$C,N26940))</f>
        <v>0</v>
      </c>
    </row>
    <row r="26941" spans="13:16">
      <c r="M26941" s="49">
        <f>IF($A$4+269&gt;$B$4,"",$A$4+269)</f>
        <v>46292</v>
      </c>
      <c r="N26941">
        <f>IF(M26941="","",'Master Barang'!A35)</f>
        <v>0</v>
      </c>
      <c r="O26941">
        <f>IF(N26941="","",'Master Barang'!B35)</f>
        <v>0</v>
      </c>
      <c r="P26941">
        <f>IF(OR(M26941="",N26941=""),"",SUMIFS('Barang Keluar'!$E:$E,'Barang Keluar'!$A:$A,M26941,'Barang Keluar'!$C:$C,N26941))</f>
        <v>0</v>
      </c>
    </row>
    <row r="26942" spans="13:16">
      <c r="M26942" s="49">
        <f>IF($A$4+269&gt;$B$4,"",$A$4+269)</f>
        <v>46292</v>
      </c>
      <c r="N26942">
        <f>IF(M26942="","",'Master Barang'!A36)</f>
        <v>0</v>
      </c>
      <c r="O26942">
        <f>IF(N26942="","",'Master Barang'!B36)</f>
        <v>0</v>
      </c>
      <c r="P26942">
        <f>IF(OR(M26942="",N26942=""),"",SUMIFS('Barang Keluar'!$E:$E,'Barang Keluar'!$A:$A,M26942,'Barang Keluar'!$C:$C,N26942))</f>
        <v>0</v>
      </c>
    </row>
    <row r="26943" spans="13:16">
      <c r="M26943" s="49">
        <f>IF($A$4+269&gt;$B$4,"",$A$4+269)</f>
        <v>46292</v>
      </c>
      <c r="N26943">
        <f>IF(M26943="","",'Master Barang'!A37)</f>
        <v>0</v>
      </c>
      <c r="O26943">
        <f>IF(N26943="","",'Master Barang'!B37)</f>
        <v>0</v>
      </c>
      <c r="P26943">
        <f>IF(OR(M26943="",N26943=""),"",SUMIFS('Barang Keluar'!$E:$E,'Barang Keluar'!$A:$A,M26943,'Barang Keluar'!$C:$C,N26943))</f>
        <v>0</v>
      </c>
    </row>
    <row r="26944" spans="13:16">
      <c r="M26944" s="49">
        <f>IF($A$4+269&gt;$B$4,"",$A$4+269)</f>
        <v>46292</v>
      </c>
      <c r="N26944">
        <f>IF(M26944="","",'Master Barang'!A38)</f>
        <v>0</v>
      </c>
      <c r="O26944">
        <f>IF(N26944="","",'Master Barang'!B38)</f>
        <v>0</v>
      </c>
      <c r="P26944">
        <f>IF(OR(M26944="",N26944=""),"",SUMIFS('Barang Keluar'!$E:$E,'Barang Keluar'!$A:$A,M26944,'Barang Keluar'!$C:$C,N26944))</f>
        <v>0</v>
      </c>
    </row>
    <row r="26945" spans="13:16">
      <c r="M26945" s="49">
        <f>IF($A$4+269&gt;$B$4,"",$A$4+269)</f>
        <v>46292</v>
      </c>
      <c r="N26945">
        <f>IF(M26945="","",'Master Barang'!A39)</f>
        <v>0</v>
      </c>
      <c r="O26945">
        <f>IF(N26945="","",'Master Barang'!B39)</f>
        <v>0</v>
      </c>
      <c r="P26945">
        <f>IF(OR(M26945="",N26945=""),"",SUMIFS('Barang Keluar'!$E:$E,'Barang Keluar'!$A:$A,M26945,'Barang Keluar'!$C:$C,N26945))</f>
        <v>0</v>
      </c>
    </row>
    <row r="26946" spans="13:16">
      <c r="M26946" s="49">
        <f>IF($A$4+269&gt;$B$4,"",$A$4+269)</f>
        <v>46292</v>
      </c>
      <c r="N26946">
        <f>IF(M26946="","",'Master Barang'!A40)</f>
        <v>0</v>
      </c>
      <c r="O26946">
        <f>IF(N26946="","",'Master Barang'!B40)</f>
        <v>0</v>
      </c>
      <c r="P26946">
        <f>IF(OR(M26946="",N26946=""),"",SUMIFS('Barang Keluar'!$E:$E,'Barang Keluar'!$A:$A,M26946,'Barang Keluar'!$C:$C,N26946))</f>
        <v>0</v>
      </c>
    </row>
    <row r="26947" spans="13:16">
      <c r="M26947" s="49">
        <f>IF($A$4+269&gt;$B$4,"",$A$4+269)</f>
        <v>46292</v>
      </c>
      <c r="N26947">
        <f>IF(M26947="","",'Master Barang'!A41)</f>
        <v>0</v>
      </c>
      <c r="O26947">
        <f>IF(N26947="","",'Master Barang'!B41)</f>
        <v>0</v>
      </c>
      <c r="P26947">
        <f>IF(OR(M26947="",N26947=""),"",SUMIFS('Barang Keluar'!$E:$E,'Barang Keluar'!$A:$A,M26947,'Barang Keluar'!$C:$C,N26947))</f>
        <v>0</v>
      </c>
    </row>
    <row r="26948" spans="13:16">
      <c r="M26948" s="49">
        <f>IF($A$4+269&gt;$B$4,"",$A$4+269)</f>
        <v>46292</v>
      </c>
      <c r="N26948">
        <f>IF(M26948="","",'Master Barang'!A42)</f>
        <v>0</v>
      </c>
      <c r="O26948">
        <f>IF(N26948="","",'Master Barang'!B42)</f>
        <v>0</v>
      </c>
      <c r="P26948">
        <f>IF(OR(M26948="",N26948=""),"",SUMIFS('Barang Keluar'!$E:$E,'Barang Keluar'!$A:$A,M26948,'Barang Keluar'!$C:$C,N26948))</f>
        <v>0</v>
      </c>
    </row>
    <row r="26949" spans="13:16">
      <c r="M26949" s="49">
        <f>IF($A$4+269&gt;$B$4,"",$A$4+269)</f>
        <v>46292</v>
      </c>
      <c r="N26949">
        <f>IF(M26949="","",'Master Barang'!A43)</f>
        <v>0</v>
      </c>
      <c r="O26949">
        <f>IF(N26949="","",'Master Barang'!B43)</f>
        <v>0</v>
      </c>
      <c r="P26949">
        <f>IF(OR(M26949="",N26949=""),"",SUMIFS('Barang Keluar'!$E:$E,'Barang Keluar'!$A:$A,M26949,'Barang Keluar'!$C:$C,N26949))</f>
        <v>0</v>
      </c>
    </row>
    <row r="26950" spans="13:16">
      <c r="M26950" s="49">
        <f>IF($A$4+269&gt;$B$4,"",$A$4+269)</f>
        <v>46292</v>
      </c>
      <c r="N26950">
        <f>IF(M26950="","",'Master Barang'!A44)</f>
        <v>0</v>
      </c>
      <c r="O26950">
        <f>IF(N26950="","",'Master Barang'!B44)</f>
        <v>0</v>
      </c>
      <c r="P26950">
        <f>IF(OR(M26950="",N26950=""),"",SUMIFS('Barang Keluar'!$E:$E,'Barang Keluar'!$A:$A,M26950,'Barang Keluar'!$C:$C,N26950))</f>
        <v>0</v>
      </c>
    </row>
    <row r="26951" spans="13:16">
      <c r="M26951" s="49">
        <f>IF($A$4+269&gt;$B$4,"",$A$4+269)</f>
        <v>46292</v>
      </c>
      <c r="N26951">
        <f>IF(M26951="","",'Master Barang'!A45)</f>
        <v>0</v>
      </c>
      <c r="O26951">
        <f>IF(N26951="","",'Master Barang'!B45)</f>
        <v>0</v>
      </c>
      <c r="P26951">
        <f>IF(OR(M26951="",N26951=""),"",SUMIFS('Barang Keluar'!$E:$E,'Barang Keluar'!$A:$A,M26951,'Barang Keluar'!$C:$C,N26951))</f>
        <v>0</v>
      </c>
    </row>
    <row r="26952" spans="13:16">
      <c r="M26952" s="49">
        <f>IF($A$4+269&gt;$B$4,"",$A$4+269)</f>
        <v>46292</v>
      </c>
      <c r="N26952">
        <f>IF(M26952="","",'Master Barang'!A46)</f>
        <v>0</v>
      </c>
      <c r="O26952">
        <f>IF(N26952="","",'Master Barang'!B46)</f>
        <v>0</v>
      </c>
      <c r="P26952">
        <f>IF(OR(M26952="",N26952=""),"",SUMIFS('Barang Keluar'!$E:$E,'Barang Keluar'!$A:$A,M26952,'Barang Keluar'!$C:$C,N26952))</f>
        <v>0</v>
      </c>
    </row>
    <row r="26953" spans="13:16">
      <c r="M26953" s="49">
        <f>IF($A$4+269&gt;$B$4,"",$A$4+269)</f>
        <v>46292</v>
      </c>
      <c r="N26953">
        <f>IF(M26953="","",'Master Barang'!A47)</f>
        <v>0</v>
      </c>
      <c r="O26953">
        <f>IF(N26953="","",'Master Barang'!B47)</f>
        <v>0</v>
      </c>
      <c r="P26953">
        <f>IF(OR(M26953="",N26953=""),"",SUMIFS('Barang Keluar'!$E:$E,'Barang Keluar'!$A:$A,M26953,'Barang Keluar'!$C:$C,N26953))</f>
        <v>0</v>
      </c>
    </row>
    <row r="26954" spans="13:16">
      <c r="M26954" s="49">
        <f>IF($A$4+269&gt;$B$4,"",$A$4+269)</f>
        <v>46292</v>
      </c>
      <c r="N26954">
        <f>IF(M26954="","",'Master Barang'!A48)</f>
        <v>0</v>
      </c>
      <c r="O26954">
        <f>IF(N26954="","",'Master Barang'!B48)</f>
        <v>0</v>
      </c>
      <c r="P26954">
        <f>IF(OR(M26954="",N26954=""),"",SUMIFS('Barang Keluar'!$E:$E,'Barang Keluar'!$A:$A,M26954,'Barang Keluar'!$C:$C,N26954))</f>
        <v>0</v>
      </c>
    </row>
    <row r="26955" spans="13:16">
      <c r="M26955" s="49">
        <f>IF($A$4+269&gt;$B$4,"",$A$4+269)</f>
        <v>46292</v>
      </c>
      <c r="N26955">
        <f>IF(M26955="","",'Master Barang'!A49)</f>
        <v>0</v>
      </c>
      <c r="O26955">
        <f>IF(N26955="","",'Master Barang'!B49)</f>
        <v>0</v>
      </c>
      <c r="P26955">
        <f>IF(OR(M26955="",N26955=""),"",SUMIFS('Barang Keluar'!$E:$E,'Barang Keluar'!$A:$A,M26955,'Barang Keluar'!$C:$C,N26955))</f>
        <v>0</v>
      </c>
    </row>
    <row r="26956" spans="13:16">
      <c r="M26956" s="49">
        <f>IF($A$4+269&gt;$B$4,"",$A$4+269)</f>
        <v>46292</v>
      </c>
      <c r="N26956">
        <f>IF(M26956="","",'Master Barang'!A50)</f>
        <v>0</v>
      </c>
      <c r="O26956">
        <f>IF(N26956="","",'Master Barang'!B50)</f>
        <v>0</v>
      </c>
      <c r="P26956">
        <f>IF(OR(M26956="",N26956=""),"",SUMIFS('Barang Keluar'!$E:$E,'Barang Keluar'!$A:$A,M26956,'Barang Keluar'!$C:$C,N26956))</f>
        <v>0</v>
      </c>
    </row>
    <row r="26957" spans="13:16">
      <c r="M26957" s="49">
        <f>IF($A$4+269&gt;$B$4,"",$A$4+269)</f>
        <v>46292</v>
      </c>
      <c r="N26957">
        <f>IF(M26957="","",'Master Barang'!A51)</f>
        <v>0</v>
      </c>
      <c r="O26957">
        <f>IF(N26957="","",'Master Barang'!B51)</f>
        <v>0</v>
      </c>
      <c r="P26957">
        <f>IF(OR(M26957="",N26957=""),"",SUMIFS('Barang Keluar'!$E:$E,'Barang Keluar'!$A:$A,M26957,'Barang Keluar'!$C:$C,N26957))</f>
        <v>0</v>
      </c>
    </row>
    <row r="26958" spans="13:16">
      <c r="M26958" s="49">
        <f>IF($A$4+269&gt;$B$4,"",$A$4+269)</f>
        <v>46292</v>
      </c>
      <c r="N26958">
        <f>IF(M26958="","",'Master Barang'!A52)</f>
        <v>0</v>
      </c>
      <c r="O26958">
        <f>IF(N26958="","",'Master Barang'!B52)</f>
        <v>0</v>
      </c>
      <c r="P26958">
        <f>IF(OR(M26958="",N26958=""),"",SUMIFS('Barang Keluar'!$E:$E,'Barang Keluar'!$A:$A,M26958,'Barang Keluar'!$C:$C,N26958))</f>
        <v>0</v>
      </c>
    </row>
    <row r="26959" spans="13:16">
      <c r="M26959" s="49">
        <f>IF($A$4+269&gt;$B$4,"",$A$4+269)</f>
        <v>46292</v>
      </c>
      <c r="N26959">
        <f>IF(M26959="","",'Master Barang'!A53)</f>
        <v>0</v>
      </c>
      <c r="O26959">
        <f>IF(N26959="","",'Master Barang'!B53)</f>
        <v>0</v>
      </c>
      <c r="P26959">
        <f>IF(OR(M26959="",N26959=""),"",SUMIFS('Barang Keluar'!$E:$E,'Barang Keluar'!$A:$A,M26959,'Barang Keluar'!$C:$C,N26959))</f>
        <v>0</v>
      </c>
    </row>
    <row r="26960" spans="13:16">
      <c r="M26960" s="49">
        <f>IF($A$4+269&gt;$B$4,"",$A$4+269)</f>
        <v>46292</v>
      </c>
      <c r="N26960">
        <f>IF(M26960="","",'Master Barang'!A54)</f>
        <v>0</v>
      </c>
      <c r="O26960">
        <f>IF(N26960="","",'Master Barang'!B54)</f>
        <v>0</v>
      </c>
      <c r="P26960">
        <f>IF(OR(M26960="",N26960=""),"",SUMIFS('Barang Keluar'!$E:$E,'Barang Keluar'!$A:$A,M26960,'Barang Keluar'!$C:$C,N26960))</f>
        <v>0</v>
      </c>
    </row>
    <row r="26961" spans="13:16">
      <c r="M26961" s="49">
        <f>IF($A$4+269&gt;$B$4,"",$A$4+269)</f>
        <v>46292</v>
      </c>
      <c r="N26961">
        <f>IF(M26961="","",'Master Barang'!A55)</f>
        <v>0</v>
      </c>
      <c r="O26961">
        <f>IF(N26961="","",'Master Barang'!B55)</f>
        <v>0</v>
      </c>
      <c r="P26961">
        <f>IF(OR(M26961="",N26961=""),"",SUMIFS('Barang Keluar'!$E:$E,'Barang Keluar'!$A:$A,M26961,'Barang Keluar'!$C:$C,N26961))</f>
        <v>0</v>
      </c>
    </row>
    <row r="26962" spans="13:16">
      <c r="M26962" s="49">
        <f>IF($A$4+269&gt;$B$4,"",$A$4+269)</f>
        <v>46292</v>
      </c>
      <c r="N26962">
        <f>IF(M26962="","",'Master Barang'!A56)</f>
        <v>0</v>
      </c>
      <c r="O26962">
        <f>IF(N26962="","",'Master Barang'!B56)</f>
        <v>0</v>
      </c>
      <c r="P26962">
        <f>IF(OR(M26962="",N26962=""),"",SUMIFS('Barang Keluar'!$E:$E,'Barang Keluar'!$A:$A,M26962,'Barang Keluar'!$C:$C,N26962))</f>
        <v>0</v>
      </c>
    </row>
    <row r="26963" spans="13:16">
      <c r="M26963" s="49">
        <f>IF($A$4+269&gt;$B$4,"",$A$4+269)</f>
        <v>46292</v>
      </c>
      <c r="N26963">
        <f>IF(M26963="","",'Master Barang'!A57)</f>
        <v>0</v>
      </c>
      <c r="O26963">
        <f>IF(N26963="","",'Master Barang'!B57)</f>
        <v>0</v>
      </c>
      <c r="P26963">
        <f>IF(OR(M26963="",N26963=""),"",SUMIFS('Barang Keluar'!$E:$E,'Barang Keluar'!$A:$A,M26963,'Barang Keluar'!$C:$C,N26963))</f>
        <v>0</v>
      </c>
    </row>
    <row r="26964" spans="13:16">
      <c r="M26964" s="49">
        <f>IF($A$4+269&gt;$B$4,"",$A$4+269)</f>
        <v>46292</v>
      </c>
      <c r="N26964">
        <f>IF(M26964="","",'Master Barang'!A58)</f>
        <v>0</v>
      </c>
      <c r="O26964">
        <f>IF(N26964="","",'Master Barang'!B58)</f>
        <v>0</v>
      </c>
      <c r="P26964">
        <f>IF(OR(M26964="",N26964=""),"",SUMIFS('Barang Keluar'!$E:$E,'Barang Keluar'!$A:$A,M26964,'Barang Keluar'!$C:$C,N26964))</f>
        <v>0</v>
      </c>
    </row>
    <row r="26965" spans="13:16">
      <c r="M26965" s="49">
        <f>IF($A$4+269&gt;$B$4,"",$A$4+269)</f>
        <v>46292</v>
      </c>
      <c r="N26965">
        <f>IF(M26965="","",'Master Barang'!A59)</f>
        <v>0</v>
      </c>
      <c r="O26965">
        <f>IF(N26965="","",'Master Barang'!B59)</f>
        <v>0</v>
      </c>
      <c r="P26965">
        <f>IF(OR(M26965="",N26965=""),"",SUMIFS('Barang Keluar'!$E:$E,'Barang Keluar'!$A:$A,M26965,'Barang Keluar'!$C:$C,N26965))</f>
        <v>0</v>
      </c>
    </row>
    <row r="26966" spans="13:16">
      <c r="M26966" s="49">
        <f>IF($A$4+269&gt;$B$4,"",$A$4+269)</f>
        <v>46292</v>
      </c>
      <c r="N26966">
        <f>IF(M26966="","",'Master Barang'!A60)</f>
        <v>0</v>
      </c>
      <c r="O26966">
        <f>IF(N26966="","",'Master Barang'!B60)</f>
        <v>0</v>
      </c>
      <c r="P26966">
        <f>IF(OR(M26966="",N26966=""),"",SUMIFS('Barang Keluar'!$E:$E,'Barang Keluar'!$A:$A,M26966,'Barang Keluar'!$C:$C,N26966))</f>
        <v>0</v>
      </c>
    </row>
    <row r="26967" spans="13:16">
      <c r="M26967" s="49">
        <f>IF($A$4+269&gt;$B$4,"",$A$4+269)</f>
        <v>46292</v>
      </c>
      <c r="N26967">
        <f>IF(M26967="","",'Master Barang'!A61)</f>
        <v>0</v>
      </c>
      <c r="O26967">
        <f>IF(N26967="","",'Master Barang'!B61)</f>
        <v>0</v>
      </c>
      <c r="P26967">
        <f>IF(OR(M26967="",N26967=""),"",SUMIFS('Barang Keluar'!$E:$E,'Barang Keluar'!$A:$A,M26967,'Barang Keluar'!$C:$C,N26967))</f>
        <v>0</v>
      </c>
    </row>
    <row r="26968" spans="13:16">
      <c r="M26968" s="49">
        <f>IF($A$4+269&gt;$B$4,"",$A$4+269)</f>
        <v>46292</v>
      </c>
      <c r="N26968">
        <f>IF(M26968="","",'Master Barang'!A62)</f>
        <v>0</v>
      </c>
      <c r="O26968">
        <f>IF(N26968="","",'Master Barang'!B62)</f>
        <v>0</v>
      </c>
      <c r="P26968">
        <f>IF(OR(M26968="",N26968=""),"",SUMIFS('Barang Keluar'!$E:$E,'Barang Keluar'!$A:$A,M26968,'Barang Keluar'!$C:$C,N26968))</f>
        <v>0</v>
      </c>
    </row>
    <row r="26969" spans="13:16">
      <c r="M26969" s="49">
        <f>IF($A$4+269&gt;$B$4,"",$A$4+269)</f>
        <v>46292</v>
      </c>
      <c r="N26969">
        <f>IF(M26969="","",'Master Barang'!A63)</f>
        <v>0</v>
      </c>
      <c r="O26969">
        <f>IF(N26969="","",'Master Barang'!B63)</f>
        <v>0</v>
      </c>
      <c r="P26969">
        <f>IF(OR(M26969="",N26969=""),"",SUMIFS('Barang Keluar'!$E:$E,'Barang Keluar'!$A:$A,M26969,'Barang Keluar'!$C:$C,N26969))</f>
        <v>0</v>
      </c>
    </row>
    <row r="26970" spans="13:16">
      <c r="M26970" s="49">
        <f>IF($A$4+269&gt;$B$4,"",$A$4+269)</f>
        <v>46292</v>
      </c>
      <c r="N26970">
        <f>IF(M26970="","",'Master Barang'!A64)</f>
        <v>0</v>
      </c>
      <c r="O26970">
        <f>IF(N26970="","",'Master Barang'!B64)</f>
        <v>0</v>
      </c>
      <c r="P26970">
        <f>IF(OR(M26970="",N26970=""),"",SUMIFS('Barang Keluar'!$E:$E,'Barang Keluar'!$A:$A,M26970,'Barang Keluar'!$C:$C,N26970))</f>
        <v>0</v>
      </c>
    </row>
    <row r="26971" spans="13:16">
      <c r="M26971" s="49">
        <f>IF($A$4+269&gt;$B$4,"",$A$4+269)</f>
        <v>46292</v>
      </c>
      <c r="N26971">
        <f>IF(M26971="","",'Master Barang'!A65)</f>
        <v>0</v>
      </c>
      <c r="O26971">
        <f>IF(N26971="","",'Master Barang'!B65)</f>
        <v>0</v>
      </c>
      <c r="P26971">
        <f>IF(OR(M26971="",N26971=""),"",SUMIFS('Barang Keluar'!$E:$E,'Barang Keluar'!$A:$A,M26971,'Barang Keluar'!$C:$C,N26971))</f>
        <v>0</v>
      </c>
    </row>
    <row r="26972" spans="13:16">
      <c r="M26972" s="49">
        <f>IF($A$4+269&gt;$B$4,"",$A$4+269)</f>
        <v>46292</v>
      </c>
      <c r="N26972">
        <f>IF(M26972="","",'Master Barang'!A66)</f>
        <v>0</v>
      </c>
      <c r="O26972">
        <f>IF(N26972="","",'Master Barang'!B66)</f>
        <v>0</v>
      </c>
      <c r="P26972">
        <f>IF(OR(M26972="",N26972=""),"",SUMIFS('Barang Keluar'!$E:$E,'Barang Keluar'!$A:$A,M26972,'Barang Keluar'!$C:$C,N26972))</f>
        <v>0</v>
      </c>
    </row>
    <row r="26973" spans="13:16">
      <c r="M26973" s="49">
        <f>IF($A$4+269&gt;$B$4,"",$A$4+269)</f>
        <v>46292</v>
      </c>
      <c r="N26973">
        <f>IF(M26973="","",'Master Barang'!A67)</f>
        <v>0</v>
      </c>
      <c r="O26973">
        <f>IF(N26973="","",'Master Barang'!B67)</f>
        <v>0</v>
      </c>
      <c r="P26973">
        <f>IF(OR(M26973="",N26973=""),"",SUMIFS('Barang Keluar'!$E:$E,'Barang Keluar'!$A:$A,M26973,'Barang Keluar'!$C:$C,N26973))</f>
        <v>0</v>
      </c>
    </row>
    <row r="26974" spans="13:16">
      <c r="M26974" s="49">
        <f>IF($A$4+269&gt;$B$4,"",$A$4+269)</f>
        <v>46292</v>
      </c>
      <c r="N26974">
        <f>IF(M26974="","",'Master Barang'!A68)</f>
        <v>0</v>
      </c>
      <c r="O26974">
        <f>IF(N26974="","",'Master Barang'!B68)</f>
        <v>0</v>
      </c>
      <c r="P26974">
        <f>IF(OR(M26974="",N26974=""),"",SUMIFS('Barang Keluar'!$E:$E,'Barang Keluar'!$A:$A,M26974,'Barang Keluar'!$C:$C,N26974))</f>
        <v>0</v>
      </c>
    </row>
    <row r="26975" spans="13:16">
      <c r="M26975" s="49">
        <f>IF($A$4+269&gt;$B$4,"",$A$4+269)</f>
        <v>46292</v>
      </c>
      <c r="N26975">
        <f>IF(M26975="","",'Master Barang'!A69)</f>
        <v>0</v>
      </c>
      <c r="O26975">
        <f>IF(N26975="","",'Master Barang'!B69)</f>
        <v>0</v>
      </c>
      <c r="P26975">
        <f>IF(OR(M26975="",N26975=""),"",SUMIFS('Barang Keluar'!$E:$E,'Barang Keluar'!$A:$A,M26975,'Barang Keluar'!$C:$C,N26975))</f>
        <v>0</v>
      </c>
    </row>
    <row r="26976" spans="13:16">
      <c r="M26976" s="49">
        <f>IF($A$4+269&gt;$B$4,"",$A$4+269)</f>
        <v>46292</v>
      </c>
      <c r="N26976">
        <f>IF(M26976="","",'Master Barang'!A70)</f>
        <v>0</v>
      </c>
      <c r="O26976">
        <f>IF(N26976="","",'Master Barang'!B70)</f>
        <v>0</v>
      </c>
      <c r="P26976">
        <f>IF(OR(M26976="",N26976=""),"",SUMIFS('Barang Keluar'!$E:$E,'Barang Keluar'!$A:$A,M26976,'Barang Keluar'!$C:$C,N26976))</f>
        <v>0</v>
      </c>
    </row>
    <row r="26977" spans="13:16">
      <c r="M26977" s="49">
        <f>IF($A$4+269&gt;$B$4,"",$A$4+269)</f>
        <v>46292</v>
      </c>
      <c r="N26977">
        <f>IF(M26977="","",'Master Barang'!A71)</f>
        <v>0</v>
      </c>
      <c r="O26977">
        <f>IF(N26977="","",'Master Barang'!B71)</f>
        <v>0</v>
      </c>
      <c r="P26977">
        <f>IF(OR(M26977="",N26977=""),"",SUMIFS('Barang Keluar'!$E:$E,'Barang Keluar'!$A:$A,M26977,'Barang Keluar'!$C:$C,N26977))</f>
        <v>0</v>
      </c>
    </row>
    <row r="26978" spans="13:16">
      <c r="M26978" s="49">
        <f>IF($A$4+269&gt;$B$4,"",$A$4+269)</f>
        <v>46292</v>
      </c>
      <c r="N26978">
        <f>IF(M26978="","",'Master Barang'!A72)</f>
        <v>0</v>
      </c>
      <c r="O26978">
        <f>IF(N26978="","",'Master Barang'!B72)</f>
        <v>0</v>
      </c>
      <c r="P26978">
        <f>IF(OR(M26978="",N26978=""),"",SUMIFS('Barang Keluar'!$E:$E,'Barang Keluar'!$A:$A,M26978,'Barang Keluar'!$C:$C,N26978))</f>
        <v>0</v>
      </c>
    </row>
    <row r="26979" spans="13:16">
      <c r="M26979" s="49">
        <f>IF($A$4+269&gt;$B$4,"",$A$4+269)</f>
        <v>46292</v>
      </c>
      <c r="N26979">
        <f>IF(M26979="","",'Master Barang'!A73)</f>
        <v>0</v>
      </c>
      <c r="O26979">
        <f>IF(N26979="","",'Master Barang'!B73)</f>
        <v>0</v>
      </c>
      <c r="P26979">
        <f>IF(OR(M26979="",N26979=""),"",SUMIFS('Barang Keluar'!$E:$E,'Barang Keluar'!$A:$A,M26979,'Barang Keluar'!$C:$C,N26979))</f>
        <v>0</v>
      </c>
    </row>
    <row r="26980" spans="13:16">
      <c r="M26980" s="49">
        <f>IF($A$4+269&gt;$B$4,"",$A$4+269)</f>
        <v>46292</v>
      </c>
      <c r="N26980">
        <f>IF(M26980="","",'Master Barang'!A74)</f>
        <v>0</v>
      </c>
      <c r="O26980">
        <f>IF(N26980="","",'Master Barang'!B74)</f>
        <v>0</v>
      </c>
      <c r="P26980">
        <f>IF(OR(M26980="",N26980=""),"",SUMIFS('Barang Keluar'!$E:$E,'Barang Keluar'!$A:$A,M26980,'Barang Keluar'!$C:$C,N26980))</f>
        <v>0</v>
      </c>
    </row>
    <row r="26981" spans="13:16">
      <c r="M26981" s="49">
        <f>IF($A$4+269&gt;$B$4,"",$A$4+269)</f>
        <v>46292</v>
      </c>
      <c r="N26981">
        <f>IF(M26981="","",'Master Barang'!A75)</f>
        <v>0</v>
      </c>
      <c r="O26981">
        <f>IF(N26981="","",'Master Barang'!B75)</f>
        <v>0</v>
      </c>
      <c r="P26981">
        <f>IF(OR(M26981="",N26981=""),"",SUMIFS('Barang Keluar'!$E:$E,'Barang Keluar'!$A:$A,M26981,'Barang Keluar'!$C:$C,N26981))</f>
        <v>0</v>
      </c>
    </row>
    <row r="26982" spans="13:16">
      <c r="M26982" s="49">
        <f>IF($A$4+269&gt;$B$4,"",$A$4+269)</f>
        <v>46292</v>
      </c>
      <c r="N26982">
        <f>IF(M26982="","",'Master Barang'!A76)</f>
        <v>0</v>
      </c>
      <c r="O26982">
        <f>IF(N26982="","",'Master Barang'!B76)</f>
        <v>0</v>
      </c>
      <c r="P26982">
        <f>IF(OR(M26982="",N26982=""),"",SUMIFS('Barang Keluar'!$E:$E,'Barang Keluar'!$A:$A,M26982,'Barang Keluar'!$C:$C,N26982))</f>
        <v>0</v>
      </c>
    </row>
    <row r="26983" spans="13:16">
      <c r="M26983" s="49">
        <f>IF($A$4+269&gt;$B$4,"",$A$4+269)</f>
        <v>46292</v>
      </c>
      <c r="N26983">
        <f>IF(M26983="","",'Master Barang'!A77)</f>
        <v>0</v>
      </c>
      <c r="O26983">
        <f>IF(N26983="","",'Master Barang'!B77)</f>
        <v>0</v>
      </c>
      <c r="P26983">
        <f>IF(OR(M26983="",N26983=""),"",SUMIFS('Barang Keluar'!$E:$E,'Barang Keluar'!$A:$A,M26983,'Barang Keluar'!$C:$C,N26983))</f>
        <v>0</v>
      </c>
    </row>
    <row r="26984" spans="13:16">
      <c r="M26984" s="49">
        <f>IF($A$4+269&gt;$B$4,"",$A$4+269)</f>
        <v>46292</v>
      </c>
      <c r="N26984">
        <f>IF(M26984="","",'Master Barang'!A78)</f>
        <v>0</v>
      </c>
      <c r="O26984">
        <f>IF(N26984="","",'Master Barang'!B78)</f>
        <v>0</v>
      </c>
      <c r="P26984">
        <f>IF(OR(M26984="",N26984=""),"",SUMIFS('Barang Keluar'!$E:$E,'Barang Keluar'!$A:$A,M26984,'Barang Keluar'!$C:$C,N26984))</f>
        <v>0</v>
      </c>
    </row>
    <row r="26985" spans="13:16">
      <c r="M26985" s="49">
        <f>IF($A$4+269&gt;$B$4,"",$A$4+269)</f>
        <v>46292</v>
      </c>
      <c r="N26985">
        <f>IF(M26985="","",'Master Barang'!A79)</f>
        <v>0</v>
      </c>
      <c r="O26985">
        <f>IF(N26985="","",'Master Barang'!B79)</f>
        <v>0</v>
      </c>
      <c r="P26985">
        <f>IF(OR(M26985="",N26985=""),"",SUMIFS('Barang Keluar'!$E:$E,'Barang Keluar'!$A:$A,M26985,'Barang Keluar'!$C:$C,N26985))</f>
        <v>0</v>
      </c>
    </row>
    <row r="26986" spans="13:16">
      <c r="M26986" s="49">
        <f>IF($A$4+269&gt;$B$4,"",$A$4+269)</f>
        <v>46292</v>
      </c>
      <c r="N26986">
        <f>IF(M26986="","",'Master Barang'!A80)</f>
        <v>0</v>
      </c>
      <c r="O26986">
        <f>IF(N26986="","",'Master Barang'!B80)</f>
        <v>0</v>
      </c>
      <c r="P26986">
        <f>IF(OR(M26986="",N26986=""),"",SUMIFS('Barang Keluar'!$E:$E,'Barang Keluar'!$A:$A,M26986,'Barang Keluar'!$C:$C,N26986))</f>
        <v>0</v>
      </c>
    </row>
    <row r="26987" spans="13:16">
      <c r="M26987" s="49">
        <f>IF($A$4+269&gt;$B$4,"",$A$4+269)</f>
        <v>46292</v>
      </c>
      <c r="N26987">
        <f>IF(M26987="","",'Master Barang'!A81)</f>
        <v>0</v>
      </c>
      <c r="O26987">
        <f>IF(N26987="","",'Master Barang'!B81)</f>
        <v>0</v>
      </c>
      <c r="P26987">
        <f>IF(OR(M26987="",N26987=""),"",SUMIFS('Barang Keluar'!$E:$E,'Barang Keluar'!$A:$A,M26987,'Barang Keluar'!$C:$C,N26987))</f>
        <v>0</v>
      </c>
    </row>
    <row r="26988" spans="13:16">
      <c r="M26988" s="49">
        <f>IF($A$4+269&gt;$B$4,"",$A$4+269)</f>
        <v>46292</v>
      </c>
      <c r="N26988">
        <f>IF(M26988="","",'Master Barang'!A82)</f>
        <v>0</v>
      </c>
      <c r="O26988">
        <f>IF(N26988="","",'Master Barang'!B82)</f>
        <v>0</v>
      </c>
      <c r="P26988">
        <f>IF(OR(M26988="",N26988=""),"",SUMIFS('Barang Keluar'!$E:$E,'Barang Keluar'!$A:$A,M26988,'Barang Keluar'!$C:$C,N26988))</f>
        <v>0</v>
      </c>
    </row>
    <row r="26989" spans="13:16">
      <c r="M26989" s="49">
        <f>IF($A$4+269&gt;$B$4,"",$A$4+269)</f>
        <v>46292</v>
      </c>
      <c r="N26989">
        <f>IF(M26989="","",'Master Barang'!A83)</f>
        <v>0</v>
      </c>
      <c r="O26989">
        <f>IF(N26989="","",'Master Barang'!B83)</f>
        <v>0</v>
      </c>
      <c r="P26989">
        <f>IF(OR(M26989="",N26989=""),"",SUMIFS('Barang Keluar'!$E:$E,'Barang Keluar'!$A:$A,M26989,'Barang Keluar'!$C:$C,N26989))</f>
        <v>0</v>
      </c>
    </row>
    <row r="26990" spans="13:16">
      <c r="M26990" s="49">
        <f>IF($A$4+269&gt;$B$4,"",$A$4+269)</f>
        <v>46292</v>
      </c>
      <c r="N26990">
        <f>IF(M26990="","",'Master Barang'!A84)</f>
        <v>0</v>
      </c>
      <c r="O26990">
        <f>IF(N26990="","",'Master Barang'!B84)</f>
        <v>0</v>
      </c>
      <c r="P26990">
        <f>IF(OR(M26990="",N26990=""),"",SUMIFS('Barang Keluar'!$E:$E,'Barang Keluar'!$A:$A,M26990,'Barang Keluar'!$C:$C,N26990))</f>
        <v>0</v>
      </c>
    </row>
    <row r="26991" spans="13:16">
      <c r="M26991" s="49">
        <f>IF($A$4+269&gt;$B$4,"",$A$4+269)</f>
        <v>46292</v>
      </c>
      <c r="N26991">
        <f>IF(M26991="","",'Master Barang'!A85)</f>
        <v>0</v>
      </c>
      <c r="O26991">
        <f>IF(N26991="","",'Master Barang'!B85)</f>
        <v>0</v>
      </c>
      <c r="P26991">
        <f>IF(OR(M26991="",N26991=""),"",SUMIFS('Barang Keluar'!$E:$E,'Barang Keluar'!$A:$A,M26991,'Barang Keluar'!$C:$C,N26991))</f>
        <v>0</v>
      </c>
    </row>
    <row r="26992" spans="13:16">
      <c r="M26992" s="49">
        <f>IF($A$4+269&gt;$B$4,"",$A$4+269)</f>
        <v>46292</v>
      </c>
      <c r="N26992">
        <f>IF(M26992="","",'Master Barang'!A86)</f>
        <v>0</v>
      </c>
      <c r="O26992">
        <f>IF(N26992="","",'Master Barang'!B86)</f>
        <v>0</v>
      </c>
      <c r="P26992">
        <f>IF(OR(M26992="",N26992=""),"",SUMIFS('Barang Keluar'!$E:$E,'Barang Keluar'!$A:$A,M26992,'Barang Keluar'!$C:$C,N26992))</f>
        <v>0</v>
      </c>
    </row>
    <row r="26993" spans="13:16">
      <c r="M26993" s="49">
        <f>IF($A$4+269&gt;$B$4,"",$A$4+269)</f>
        <v>46292</v>
      </c>
      <c r="N26993">
        <f>IF(M26993="","",'Master Barang'!A87)</f>
        <v>0</v>
      </c>
      <c r="O26993">
        <f>IF(N26993="","",'Master Barang'!B87)</f>
        <v>0</v>
      </c>
      <c r="P26993">
        <f>IF(OR(M26993="",N26993=""),"",SUMIFS('Barang Keluar'!$E:$E,'Barang Keluar'!$A:$A,M26993,'Barang Keluar'!$C:$C,N26993))</f>
        <v>0</v>
      </c>
    </row>
    <row r="26994" spans="13:16">
      <c r="M26994" s="49">
        <f>IF($A$4+269&gt;$B$4,"",$A$4+269)</f>
        <v>46292</v>
      </c>
      <c r="N26994">
        <f>IF(M26994="","",'Master Barang'!A88)</f>
        <v>0</v>
      </c>
      <c r="O26994">
        <f>IF(N26994="","",'Master Barang'!B88)</f>
        <v>0</v>
      </c>
      <c r="P26994">
        <f>IF(OR(M26994="",N26994=""),"",SUMIFS('Barang Keluar'!$E:$E,'Barang Keluar'!$A:$A,M26994,'Barang Keluar'!$C:$C,N26994))</f>
        <v>0</v>
      </c>
    </row>
    <row r="26995" spans="13:16">
      <c r="M26995" s="49">
        <f>IF($A$4+269&gt;$B$4,"",$A$4+269)</f>
        <v>46292</v>
      </c>
      <c r="N26995">
        <f>IF(M26995="","",'Master Barang'!A89)</f>
        <v>0</v>
      </c>
      <c r="O26995">
        <f>IF(N26995="","",'Master Barang'!B89)</f>
        <v>0</v>
      </c>
      <c r="P26995">
        <f>IF(OR(M26995="",N26995=""),"",SUMIFS('Barang Keluar'!$E:$E,'Barang Keluar'!$A:$A,M26995,'Barang Keluar'!$C:$C,N26995))</f>
        <v>0</v>
      </c>
    </row>
    <row r="26996" spans="13:16">
      <c r="M26996" s="49">
        <f>IF($A$4+269&gt;$B$4,"",$A$4+269)</f>
        <v>46292</v>
      </c>
      <c r="N26996">
        <f>IF(M26996="","",'Master Barang'!A90)</f>
        <v>0</v>
      </c>
      <c r="O26996">
        <f>IF(N26996="","",'Master Barang'!B90)</f>
        <v>0</v>
      </c>
      <c r="P26996">
        <f>IF(OR(M26996="",N26996=""),"",SUMIFS('Barang Keluar'!$E:$E,'Barang Keluar'!$A:$A,M26996,'Barang Keluar'!$C:$C,N26996))</f>
        <v>0</v>
      </c>
    </row>
    <row r="26997" spans="13:16">
      <c r="M26997" s="49">
        <f>IF($A$4+269&gt;$B$4,"",$A$4+269)</f>
        <v>46292</v>
      </c>
      <c r="N26997">
        <f>IF(M26997="","",'Master Barang'!A91)</f>
        <v>0</v>
      </c>
      <c r="O26997">
        <f>IF(N26997="","",'Master Barang'!B91)</f>
        <v>0</v>
      </c>
      <c r="P26997">
        <f>IF(OR(M26997="",N26997=""),"",SUMIFS('Barang Keluar'!$E:$E,'Barang Keluar'!$A:$A,M26997,'Barang Keluar'!$C:$C,N26997))</f>
        <v>0</v>
      </c>
    </row>
    <row r="26998" spans="13:16">
      <c r="M26998" s="49">
        <f>IF($A$4+269&gt;$B$4,"",$A$4+269)</f>
        <v>46292</v>
      </c>
      <c r="N26998">
        <f>IF(M26998="","",'Master Barang'!A92)</f>
        <v>0</v>
      </c>
      <c r="O26998">
        <f>IF(N26998="","",'Master Barang'!B92)</f>
        <v>0</v>
      </c>
      <c r="P26998">
        <f>IF(OR(M26998="",N26998=""),"",SUMIFS('Barang Keluar'!$E:$E,'Barang Keluar'!$A:$A,M26998,'Barang Keluar'!$C:$C,N26998))</f>
        <v>0</v>
      </c>
    </row>
    <row r="26999" spans="13:16">
      <c r="M26999" s="49">
        <f>IF($A$4+269&gt;$B$4,"",$A$4+269)</f>
        <v>46292</v>
      </c>
      <c r="N26999">
        <f>IF(M26999="","",'Master Barang'!A93)</f>
        <v>0</v>
      </c>
      <c r="O26999">
        <f>IF(N26999="","",'Master Barang'!B93)</f>
        <v>0</v>
      </c>
      <c r="P26999">
        <f>IF(OR(M26999="",N26999=""),"",SUMIFS('Barang Keluar'!$E:$E,'Barang Keluar'!$A:$A,M26999,'Barang Keluar'!$C:$C,N26999))</f>
        <v>0</v>
      </c>
    </row>
    <row r="27000" spans="13:16">
      <c r="M27000" s="49">
        <f>IF($A$4+269&gt;$B$4,"",$A$4+269)</f>
        <v>46292</v>
      </c>
      <c r="N27000">
        <f>IF(M27000="","",'Master Barang'!A94)</f>
        <v>0</v>
      </c>
      <c r="O27000">
        <f>IF(N27000="","",'Master Barang'!B94)</f>
        <v>0</v>
      </c>
      <c r="P27000">
        <f>IF(OR(M27000="",N27000=""),"",SUMIFS('Barang Keluar'!$E:$E,'Barang Keluar'!$A:$A,M27000,'Barang Keluar'!$C:$C,N27000))</f>
        <v>0</v>
      </c>
    </row>
    <row r="27001" spans="13:16">
      <c r="M27001" s="49">
        <f>IF($A$4+269&gt;$B$4,"",$A$4+269)</f>
        <v>46292</v>
      </c>
      <c r="N27001">
        <f>IF(M27001="","",'Master Barang'!A95)</f>
        <v>0</v>
      </c>
      <c r="O27001">
        <f>IF(N27001="","",'Master Barang'!B95)</f>
        <v>0</v>
      </c>
      <c r="P27001">
        <f>IF(OR(M27001="",N27001=""),"",SUMIFS('Barang Keluar'!$E:$E,'Barang Keluar'!$A:$A,M27001,'Barang Keluar'!$C:$C,N27001))</f>
        <v>0</v>
      </c>
    </row>
    <row r="27002" spans="13:16">
      <c r="M27002" s="49">
        <f>IF($A$4+269&gt;$B$4,"",$A$4+269)</f>
        <v>46292</v>
      </c>
      <c r="N27002">
        <f>IF(M27002="","",'Master Barang'!A96)</f>
        <v>0</v>
      </c>
      <c r="O27002">
        <f>IF(N27002="","",'Master Barang'!B96)</f>
        <v>0</v>
      </c>
      <c r="P27002">
        <f>IF(OR(M27002="",N27002=""),"",SUMIFS('Barang Keluar'!$E:$E,'Barang Keluar'!$A:$A,M27002,'Barang Keluar'!$C:$C,N27002))</f>
        <v>0</v>
      </c>
    </row>
    <row r="27003" spans="13:16">
      <c r="M27003" s="49">
        <f>IF($A$4+269&gt;$B$4,"",$A$4+269)</f>
        <v>46292</v>
      </c>
      <c r="N27003">
        <f>IF(M27003="","",'Master Barang'!A97)</f>
        <v>0</v>
      </c>
      <c r="O27003">
        <f>IF(N27003="","",'Master Barang'!B97)</f>
        <v>0</v>
      </c>
      <c r="P27003">
        <f>IF(OR(M27003="",N27003=""),"",SUMIFS('Barang Keluar'!$E:$E,'Barang Keluar'!$A:$A,M27003,'Barang Keluar'!$C:$C,N27003))</f>
        <v>0</v>
      </c>
    </row>
    <row r="27004" spans="13:16">
      <c r="M27004" s="49">
        <f>IF($A$4+269&gt;$B$4,"",$A$4+269)</f>
        <v>46292</v>
      </c>
      <c r="N27004">
        <f>IF(M27004="","",'Master Barang'!A98)</f>
        <v>0</v>
      </c>
      <c r="O27004">
        <f>IF(N27004="","",'Master Barang'!B98)</f>
        <v>0</v>
      </c>
      <c r="P27004">
        <f>IF(OR(M27004="",N27004=""),"",SUMIFS('Barang Keluar'!$E:$E,'Barang Keluar'!$A:$A,M27004,'Barang Keluar'!$C:$C,N27004))</f>
        <v>0</v>
      </c>
    </row>
    <row r="27005" spans="13:16">
      <c r="M27005" s="49">
        <f>IF($A$4+269&gt;$B$4,"",$A$4+269)</f>
        <v>46292</v>
      </c>
      <c r="N27005">
        <f>IF(M27005="","",'Master Barang'!A99)</f>
        <v>0</v>
      </c>
      <c r="O27005">
        <f>IF(N27005="","",'Master Barang'!B99)</f>
        <v>0</v>
      </c>
      <c r="P27005">
        <f>IF(OR(M27005="",N27005=""),"",SUMIFS('Barang Keluar'!$E:$E,'Barang Keluar'!$A:$A,M27005,'Barang Keluar'!$C:$C,N27005))</f>
        <v>0</v>
      </c>
    </row>
    <row r="27006" spans="13:16">
      <c r="M27006" s="49">
        <f>IF($A$4+269&gt;$B$4,"",$A$4+269)</f>
        <v>46292</v>
      </c>
      <c r="N27006">
        <f>IF(M27006="","",'Master Barang'!A100)</f>
        <v>0</v>
      </c>
      <c r="O27006">
        <f>IF(N27006="","",'Master Barang'!B100)</f>
        <v>0</v>
      </c>
      <c r="P27006">
        <f>IF(OR(M27006="",N27006=""),"",SUMIFS('Barang Keluar'!$E:$E,'Barang Keluar'!$A:$A,M27006,'Barang Keluar'!$C:$C,N27006))</f>
        <v>0</v>
      </c>
    </row>
    <row r="27007" spans="13:16">
      <c r="M27007" s="49">
        <f>IF($A$4+269&gt;$B$4,"",$A$4+269)</f>
        <v>46292</v>
      </c>
      <c r="N27007">
        <f>IF(M27007="","",'Master Barang'!A101)</f>
        <v>0</v>
      </c>
      <c r="O27007">
        <f>IF(N27007="","",'Master Barang'!B101)</f>
        <v>0</v>
      </c>
      <c r="P27007">
        <f>IF(OR(M27007="",N27007=""),"",SUMIFS('Barang Keluar'!$E:$E,'Barang Keluar'!$A:$A,M27007,'Barang Keluar'!$C:$C,N27007))</f>
        <v>0</v>
      </c>
    </row>
    <row r="27008" spans="13:16">
      <c r="M27008" s="49">
        <f>IF($A$4+270&gt;$B$4,"",$A$4+270)</f>
        <v>46293</v>
      </c>
      <c r="N27008" t="str">
        <f>IF(M27008="","",'Master Barang'!A2)</f>
        <v>PRL-001</v>
      </c>
      <c r="O27008" t="str">
        <f>IF(N27008="","",'Master Barang'!B2)</f>
        <v>natura desinfectant food grade 5l</v>
      </c>
      <c r="P27008">
        <f>IF(OR(M27008="",N27008=""),"",SUMIFS('Barang Keluar'!$E:$E,'Barang Keluar'!$A:$A,M27008,'Barang Keluar'!$C:$C,N27008))</f>
        <v>0</v>
      </c>
    </row>
    <row r="27009" spans="13:16">
      <c r="M27009" s="49">
        <f>IF($A$4+270&gt;$B$4,"",$A$4+270)</f>
        <v>46293</v>
      </c>
      <c r="N27009" t="str">
        <f>IF(M27009="","",'Master Barang'!A3)</f>
        <v>PRL-002</v>
      </c>
      <c r="O27009" t="str">
        <f>IF(N27009="","",'Master Barang'!B3)</f>
        <v>sunlight cairan pencuci piring 5l</v>
      </c>
      <c r="P27009">
        <f>IF(OR(M27009="",N27009=""),"",SUMIFS('Barang Keluar'!$E:$E,'Barang Keluar'!$A:$A,M27009,'Barang Keluar'!$C:$C,N27009))</f>
        <v>0</v>
      </c>
    </row>
    <row r="27010" spans="13:16">
      <c r="M27010" s="49">
        <f>IF($A$4+270&gt;$B$4,"",$A$4+270)</f>
        <v>46293</v>
      </c>
      <c r="N27010" t="str">
        <f>IF(M27010="","",'Master Barang'!A4)</f>
        <v>PRL-003</v>
      </c>
      <c r="O27010" t="str">
        <f>IF(N27010="","",'Master Barang'!B4)</f>
        <v>oixs cleaner 1l</v>
      </c>
      <c r="P27010">
        <f>IF(OR(M27010="",N27010=""),"",SUMIFS('Barang Keluar'!$E:$E,'Barang Keluar'!$A:$A,M27010,'Barang Keluar'!$C:$C,N27010))</f>
        <v>0</v>
      </c>
    </row>
    <row r="27011" spans="13:16">
      <c r="M27011" s="49">
        <f>IF($A$4+270&gt;$B$4,"",$A$4+270)</f>
        <v>46293</v>
      </c>
      <c r="N27011" t="str">
        <f>IF(M27011="","",'Master Barang'!A5)</f>
        <v>PRL-004</v>
      </c>
      <c r="O27011" t="str">
        <f>IF(N27011="","",'Master Barang'!B5)</f>
        <v>be clean tissue serbaguna</v>
      </c>
      <c r="P27011">
        <f>IF(OR(M27011="",N27011=""),"",SUMIFS('Barang Keluar'!$E:$E,'Barang Keluar'!$A:$A,M27011,'Barang Keluar'!$C:$C,N27011))</f>
        <v>0</v>
      </c>
    </row>
    <row r="27012" spans="13:16">
      <c r="M27012" s="49">
        <f>IF($A$4+270&gt;$B$4,"",$A$4+270)</f>
        <v>46293</v>
      </c>
      <c r="N27012" t="str">
        <f>IF(M27012="","",'Master Barang'!A6)</f>
        <v>PRL-005</v>
      </c>
      <c r="O27012" t="str">
        <f>IF(N27012="","",'Master Barang'!B6)</f>
        <v>spons cuci hijau</v>
      </c>
      <c r="P27012">
        <f>IF(OR(M27012="",N27012=""),"",SUMIFS('Barang Keluar'!$E:$E,'Barang Keluar'!$A:$A,M27012,'Barang Keluar'!$C:$C,N27012))</f>
        <v>0</v>
      </c>
    </row>
    <row r="27013" spans="13:16">
      <c r="M27013" s="49">
        <f>IF($A$4+270&gt;$B$4,"",$A$4+270)</f>
        <v>46293</v>
      </c>
      <c r="N27013" t="str">
        <f>IF(M27013="","",'Master Barang'!A7)</f>
        <v>PRL-006</v>
      </c>
      <c r="O27013" t="str">
        <f>IF(N27013="","",'Master Barang'!B7)</f>
        <v>sabut cuci stainless</v>
      </c>
      <c r="P27013">
        <f>IF(OR(M27013="",N27013=""),"",SUMIFS('Barang Keluar'!$E:$E,'Barang Keluar'!$A:$A,M27013,'Barang Keluar'!$C:$C,N27013))</f>
        <v>0</v>
      </c>
    </row>
    <row r="27014" spans="13:16">
      <c r="M27014" s="49">
        <f>IF($A$4+270&gt;$B$4,"",$A$4+270)</f>
        <v>46293</v>
      </c>
      <c r="N27014" t="str">
        <f>IF(M27014="","",'Master Barang'!A8)</f>
        <v>PRL-007</v>
      </c>
      <c r="O27014" t="str">
        <f>IF(N27014="","",'Master Barang'!B8)</f>
        <v>plastik kresek besar merah 50pc</v>
      </c>
      <c r="P27014">
        <f>IF(OR(M27014="",N27014=""),"",SUMIFS('Barang Keluar'!$E:$E,'Barang Keluar'!$A:$A,M27014,'Barang Keluar'!$C:$C,N27014))</f>
        <v>0</v>
      </c>
    </row>
    <row r="27015" spans="13:16">
      <c r="M27015" s="49">
        <f>IF($A$4+270&gt;$B$4,"",$A$4+270)</f>
        <v>46293</v>
      </c>
      <c r="N27015" t="str">
        <f>IF(M27015="","",'Master Barang'!A9)</f>
        <v>PRL-008</v>
      </c>
      <c r="O27015" t="str">
        <f>IF(N27015="","",'Master Barang'!B9)</f>
        <v>lap besar</v>
      </c>
      <c r="P27015">
        <f>IF(OR(M27015="",N27015=""),"",SUMIFS('Barang Keluar'!$E:$E,'Barang Keluar'!$A:$A,M27015,'Barang Keluar'!$C:$C,N27015))</f>
        <v>0</v>
      </c>
    </row>
    <row r="27016" spans="13:16">
      <c r="M27016" s="49">
        <f>IF($A$4+270&gt;$B$4,"",$A$4+270)</f>
        <v>46293</v>
      </c>
      <c r="N27016" t="str">
        <f>IF(M27016="","",'Master Barang'!A10)</f>
        <v>PRL-009</v>
      </c>
      <c r="O27016" t="str">
        <f>IF(N27016="","",'Master Barang'!B10)</f>
        <v>lap microfiber</v>
      </c>
      <c r="P27016">
        <f>IF(OR(M27016="",N27016=""),"",SUMIFS('Barang Keluar'!$E:$E,'Barang Keluar'!$A:$A,M27016,'Barang Keluar'!$C:$C,N27016))</f>
        <v>0</v>
      </c>
    </row>
    <row r="27017" spans="13:16">
      <c r="M27017" s="49">
        <f>IF($A$4+270&gt;$B$4,"",$A$4+270)</f>
        <v>46293</v>
      </c>
      <c r="N27017" t="str">
        <f>IF(M27017="","",'Master Barang'!A11)</f>
        <v>PRL-010</v>
      </c>
      <c r="O27017" t="str">
        <f>IF(N27017="","",'Master Barang'!B11)</f>
        <v>lap kecil</v>
      </c>
      <c r="P27017">
        <f>IF(OR(M27017="",N27017=""),"",SUMIFS('Barang Keluar'!$E:$E,'Barang Keluar'!$A:$A,M27017,'Barang Keluar'!$C:$C,N27017))</f>
        <v>0</v>
      </c>
    </row>
    <row r="27018" spans="13:16">
      <c r="M27018" s="49">
        <f>IF($A$4+270&gt;$B$4,"",$A$4+270)</f>
        <v>46293</v>
      </c>
      <c r="N27018" t="str">
        <f>IF(M27018="","",'Master Barang'!A12)</f>
        <v>PRL-011</v>
      </c>
      <c r="O27018" t="str">
        <f>IF(N27018="","",'Master Barang'!B12)</f>
        <v>kanebo kecil</v>
      </c>
      <c r="P27018">
        <f>IF(OR(M27018="",N27018=""),"",SUMIFS('Barang Keluar'!$E:$E,'Barang Keluar'!$A:$A,M27018,'Barang Keluar'!$C:$C,N27018))</f>
        <v>0</v>
      </c>
    </row>
    <row r="27019" spans="13:16">
      <c r="M27019" s="49">
        <f>IF($A$4+270&gt;$B$4,"",$A$4+270)</f>
        <v>46293</v>
      </c>
      <c r="N27019" t="str">
        <f>IF(M27019="","",'Master Barang'!A13)</f>
        <v>PRL-012</v>
      </c>
      <c r="O27019" t="str">
        <f>IF(N27019="","",'Master Barang'!B13)</f>
        <v>plastik 1/4kg joyoboyo 100 lembar</v>
      </c>
      <c r="P27019">
        <f>IF(OR(M27019="",N27019=""),"",SUMIFS('Barang Keluar'!$E:$E,'Barang Keluar'!$A:$A,M27019,'Barang Keluar'!$C:$C,N27019))</f>
        <v>0</v>
      </c>
    </row>
    <row r="27020" spans="13:16">
      <c r="M27020" s="49">
        <f>IF($A$4+270&gt;$B$4,"",$A$4+270)</f>
        <v>46293</v>
      </c>
      <c r="N27020" t="str">
        <f>IF(M27020="","",'Master Barang'!A14)</f>
        <v>PRL-013</v>
      </c>
      <c r="O27020" t="str">
        <f>IF(N27020="","",'Master Barang'!B14)</f>
        <v>sarung tangan plastik kaka 100 pcs</v>
      </c>
      <c r="P27020">
        <f>IF(OR(M27020="",N27020=""),"",SUMIFS('Barang Keluar'!$E:$E,'Barang Keluar'!$A:$A,M27020,'Barang Keluar'!$C:$C,N27020))</f>
        <v>0</v>
      </c>
    </row>
    <row r="27021" spans="13:16">
      <c r="M27021" s="49">
        <f>IF($A$4+270&gt;$B$4,"",$A$4+270)</f>
        <v>46293</v>
      </c>
      <c r="N27021" t="str">
        <f>IF(M27021="","",'Master Barang'!A15)</f>
        <v>PRL-014</v>
      </c>
      <c r="O27021" t="str">
        <f>IF(N27021="","",'Master Barang'!B15)</f>
        <v>optima trashbag 80x100</v>
      </c>
      <c r="P27021">
        <f>IF(OR(M27021="",N27021=""),"",SUMIFS('Barang Keluar'!$E:$E,'Barang Keluar'!$A:$A,M27021,'Barang Keluar'!$C:$C,N27021))</f>
        <v>0</v>
      </c>
    </row>
    <row r="27022" spans="13:16">
      <c r="M27022" s="49">
        <f>IF($A$4+270&gt;$B$4,"",$A$4+270)</f>
        <v>46293</v>
      </c>
      <c r="N27022" t="str">
        <f>IF(M27022="","",'Master Barang'!A16)</f>
        <v>PRL-015</v>
      </c>
      <c r="O27022" t="str">
        <f>IF(N27022="","",'Master Barang'!B16)</f>
        <v>optima trashbag 60x100</v>
      </c>
      <c r="P27022">
        <f>IF(OR(M27022="",N27022=""),"",SUMIFS('Barang Keluar'!$E:$E,'Barang Keluar'!$A:$A,M27022,'Barang Keluar'!$C:$C,N27022))</f>
        <v>0</v>
      </c>
    </row>
    <row r="27023" spans="13:16">
      <c r="M27023" s="49">
        <f>IF($A$4+270&gt;$B$4,"",$A$4+270)</f>
        <v>46293</v>
      </c>
      <c r="N27023" t="str">
        <f>IF(M27023="","",'Master Barang'!A17)</f>
        <v>PRL-016</v>
      </c>
      <c r="O27023" t="str">
        <f>IF(N27023="","",'Master Barang'!B17)</f>
        <v>rajawali trashbag 30x40</v>
      </c>
      <c r="P27023">
        <f>IF(OR(M27023="",N27023=""),"",SUMIFS('Barang Keluar'!$E:$E,'Barang Keluar'!$A:$A,M27023,'Barang Keluar'!$C:$C,N27023))</f>
        <v>0</v>
      </c>
    </row>
    <row r="27024" spans="13:16">
      <c r="M27024" s="49">
        <f>IF($A$4+270&gt;$B$4,"",$A$4+270)</f>
        <v>46293</v>
      </c>
      <c r="N27024" t="str">
        <f>IF(M27024="","",'Master Barang'!A18)</f>
        <v>PRL-017</v>
      </c>
      <c r="O27024" t="str">
        <f>IF(N27024="","",'Master Barang'!B18)</f>
        <v>onemed masker biru 3 play 50 pcs</v>
      </c>
      <c r="P27024">
        <f>IF(OR(M27024="",N27024=""),"",SUMIFS('Barang Keluar'!$E:$E,'Barang Keluar'!$A:$A,M27024,'Barang Keluar'!$C:$C,N27024))</f>
        <v>0</v>
      </c>
    </row>
    <row r="27025" spans="13:16">
      <c r="M27025" s="49">
        <f>IF($A$4+270&gt;$B$4,"",$A$4+270)</f>
        <v>46293</v>
      </c>
      <c r="N27025" t="str">
        <f>IF(M27025="","",'Master Barang'!A19)</f>
        <v>PRL-018</v>
      </c>
      <c r="O27025" t="str">
        <f>IF(N27025="","",'Master Barang'!B19)</f>
        <v>onemed masker biru 3 play hijab 50 pcs</v>
      </c>
      <c r="P27025">
        <f>IF(OR(M27025="",N27025=""),"",SUMIFS('Barang Keluar'!$E:$E,'Barang Keluar'!$A:$A,M27025,'Barang Keluar'!$C:$C,N27025))</f>
        <v>0</v>
      </c>
    </row>
    <row r="27026" spans="13:16">
      <c r="M27026" s="49">
        <f>IF($A$4+270&gt;$B$4,"",$A$4+270)</f>
        <v>46293</v>
      </c>
      <c r="N27026" t="str">
        <f>IF(M27026="","",'Master Barang'!A20)</f>
        <v>PRL-019</v>
      </c>
      <c r="O27026" t="str">
        <f>IF(N27026="","",'Master Barang'!B20)</f>
        <v>neo health masker biru 3 play 50 pcs</v>
      </c>
      <c r="P27026">
        <f>IF(OR(M27026="",N27026=""),"",SUMIFS('Barang Keluar'!$E:$E,'Barang Keluar'!$A:$A,M27026,'Barang Keluar'!$C:$C,N27026))</f>
        <v>0</v>
      </c>
    </row>
    <row r="27027" spans="13:16">
      <c r="M27027" s="49">
        <f>IF($A$4+270&gt;$B$4,"",$A$4+270)</f>
        <v>46293</v>
      </c>
      <c r="N27027" t="str">
        <f>IF(M27027="","",'Master Barang'!A21)</f>
        <v>PRL-020</v>
      </c>
      <c r="O27027" t="str">
        <f>IF(N27027="","",'Master Barang'!B21)</f>
        <v>baymed masker hijau 3 play hijau 50 pcs</v>
      </c>
      <c r="P27027">
        <f>IF(OR(M27027="",N27027=""),"",SUMIFS('Barang Keluar'!$E:$E,'Barang Keluar'!$A:$A,M27027,'Barang Keluar'!$C:$C,N27027))</f>
        <v>0</v>
      </c>
    </row>
    <row r="27028" spans="13:16">
      <c r="M27028" s="49">
        <f>IF($A$4+270&gt;$B$4,"",$A$4+270)</f>
        <v>46293</v>
      </c>
      <c r="N27028" t="str">
        <f>IF(M27028="","",'Master Barang'!A22)</f>
        <v>PRL-021</v>
      </c>
      <c r="O27028" t="str">
        <f>IF(N27028="","",'Master Barang'!B22)</f>
        <v>altamed nurse cap penutup kepala 100 pcs</v>
      </c>
      <c r="P27028">
        <f>IF(OR(M27028="",N27028=""),"",SUMIFS('Barang Keluar'!$E:$E,'Barang Keluar'!$A:$A,M27028,'Barang Keluar'!$C:$C,N27028))</f>
        <v>0</v>
      </c>
    </row>
    <row r="27029" spans="13:16">
      <c r="M27029" s="49">
        <f>IF($A$4+270&gt;$B$4,"",$A$4+270)</f>
        <v>46293</v>
      </c>
      <c r="N27029" t="str">
        <f>IF(M27029="","",'Master Barang'!A23)</f>
        <v>PRL-022</v>
      </c>
      <c r="O27029" t="str">
        <f>IF(N27029="","",'Master Barang'!B23)</f>
        <v>sabun cuci tangan</v>
      </c>
      <c r="P27029">
        <f>IF(OR(M27029="",N27029=""),"",SUMIFS('Barang Keluar'!$E:$E,'Barang Keluar'!$A:$A,M27029,'Barang Keluar'!$C:$C,N27029))</f>
        <v>0</v>
      </c>
    </row>
    <row r="27030" spans="13:16">
      <c r="M27030" s="49">
        <f>IF($A$4+270&gt;$B$4,"",$A$4+270)</f>
        <v>46293</v>
      </c>
      <c r="N27030" t="str">
        <f>IF(M27030="","",'Master Barang'!A24)</f>
        <v>PRL-023</v>
      </c>
      <c r="O27030" t="str">
        <f>IF(N27030="","",'Master Barang'!B24)</f>
        <v>gayung kecil</v>
      </c>
      <c r="P27030">
        <f>IF(OR(M27030="",N27030=""),"",SUMIFS('Barang Keluar'!$E:$E,'Barang Keluar'!$A:$A,M27030,'Barang Keluar'!$C:$C,N27030))</f>
        <v>0</v>
      </c>
    </row>
    <row r="27031" spans="13:16">
      <c r="M27031" s="49">
        <f>IF($A$4+270&gt;$B$4,"",$A$4+270)</f>
        <v>46293</v>
      </c>
      <c r="N27031" t="str">
        <f>IF(M27031="","",'Master Barang'!A25)</f>
        <v>PRL-024</v>
      </c>
      <c r="O27031" t="str">
        <f>IF(N27031="","",'Master Barang'!B25)</f>
        <v>cikrak kecil</v>
      </c>
      <c r="P27031">
        <f>IF(OR(M27031="",N27031=""),"",SUMIFS('Barang Keluar'!$E:$E,'Barang Keluar'!$A:$A,M27031,'Barang Keluar'!$C:$C,N27031))</f>
        <v>0</v>
      </c>
    </row>
    <row r="27032" spans="13:16">
      <c r="M27032" s="49">
        <f>IF($A$4+270&gt;$B$4,"",$A$4+270)</f>
        <v>46293</v>
      </c>
      <c r="N27032" t="str">
        <f>IF(M27032="","",'Master Barang'!A26)</f>
        <v>PRL-025</v>
      </c>
      <c r="O27032" t="str">
        <f>IF(N27032="","",'Master Barang'!B26)</f>
        <v>petromax plastik kecil 12x24 100 lembar</v>
      </c>
      <c r="P27032">
        <f>IF(OR(M27032="",N27032=""),"",SUMIFS('Barang Keluar'!$E:$E,'Barang Keluar'!$A:$A,M27032,'Barang Keluar'!$C:$C,N27032))</f>
        <v>0</v>
      </c>
    </row>
    <row r="27033" spans="13:16">
      <c r="M27033" s="49">
        <f>IF($A$4+270&gt;$B$4,"",$A$4+270)</f>
        <v>46293</v>
      </c>
      <c r="N27033" t="str">
        <f>IF(M27033="","",'Master Barang'!A27)</f>
        <v>PRL-026</v>
      </c>
      <c r="O27033" t="str">
        <f>IF(N27033="","",'Master Barang'!B27)</f>
        <v>lancar kresek kecil bening </v>
      </c>
      <c r="P27033">
        <f>IF(OR(M27033="",N27033=""),"",SUMIFS('Barang Keluar'!$E:$E,'Barang Keluar'!$A:$A,M27033,'Barang Keluar'!$C:$C,N27033))</f>
        <v>0</v>
      </c>
    </row>
    <row r="27034" spans="13:16">
      <c r="M27034" s="49">
        <f>IF($A$4+270&gt;$B$4,"",$A$4+270)</f>
        <v>46293</v>
      </c>
      <c r="N27034" t="str">
        <f>IF(M27034="","",'Master Barang'!A28)</f>
        <v>PRL-027</v>
      </c>
      <c r="O27034" t="str">
        <f>IF(N27034="","",'Master Barang'!B28)</f>
        <v>kresek klin warna warni kecil</v>
      </c>
      <c r="P27034">
        <f>IF(OR(M27034="",N27034=""),"",SUMIFS('Barang Keluar'!$E:$E,'Barang Keluar'!$A:$A,M27034,'Barang Keluar'!$C:$C,N27034))</f>
        <v>0</v>
      </c>
    </row>
    <row r="27035" spans="13:16">
      <c r="M27035" s="49">
        <f>IF($A$4+270&gt;$B$4,"",$A$4+270)</f>
        <v>46293</v>
      </c>
      <c r="N27035" t="str">
        <f>IF(M27035="","",'Master Barang'!A29)</f>
        <v>PRL-028</v>
      </c>
      <c r="O27035" t="str">
        <f>IF(N27035="","",'Master Barang'!B29)</f>
        <v>ctik plastik 7x10 100 pcs</v>
      </c>
      <c r="P27035">
        <f>IF(OR(M27035="",N27035=""),"",SUMIFS('Barang Keluar'!$E:$E,'Barang Keluar'!$A:$A,M27035,'Barang Keluar'!$C:$C,N27035))</f>
        <v>0</v>
      </c>
    </row>
    <row r="27036" spans="13:16">
      <c r="M27036" s="49">
        <f>IF($A$4+270&gt;$B$4,"",$A$4+270)</f>
        <v>46293</v>
      </c>
      <c r="N27036" t="str">
        <f>IF(M27036="","",'Master Barang'!A30)</f>
        <v>PRL-029</v>
      </c>
      <c r="O27036" t="str">
        <f>IF(N27036="","",'Master Barang'!B30)</f>
        <v>ctik plastik 6x10 100 pcs</v>
      </c>
      <c r="P27036">
        <f>IF(OR(M27036="",N27036=""),"",SUMIFS('Barang Keluar'!$E:$E,'Barang Keluar'!$A:$A,M27036,'Barang Keluar'!$C:$C,N27036))</f>
        <v>0</v>
      </c>
    </row>
    <row r="27037" spans="13:16">
      <c r="M27037" s="49">
        <f>IF($A$4+270&gt;$B$4,"",$A$4+270)</f>
        <v>46293</v>
      </c>
      <c r="N27037" t="str">
        <f>IF(M27037="","",'Master Barang'!A31)</f>
        <v>PRL-030</v>
      </c>
      <c r="O27037" t="str">
        <f>IF(N27037="","",'Master Barang'!B31)</f>
        <v>klip plastik 25x16 100 pcs</v>
      </c>
      <c r="P27037">
        <f>IF(OR(M27037="",N27037=""),"",SUMIFS('Barang Keluar'!$E:$E,'Barang Keluar'!$A:$A,M27037,'Barang Keluar'!$C:$C,N27037))</f>
        <v>0</v>
      </c>
    </row>
    <row r="27038" spans="13:16">
      <c r="M27038" s="49">
        <f>IF($A$4+270&gt;$B$4,"",$A$4+270)</f>
        <v>46293</v>
      </c>
      <c r="N27038" t="str">
        <f>IF(M27038="","",'Master Barang'!A32)</f>
        <v>PRL-031</v>
      </c>
      <c r="O27038" t="str">
        <f>IF(N27038="","",'Master Barang'!B32)</f>
        <v>tempat saus 20 ml</v>
      </c>
      <c r="P27038">
        <f>IF(OR(M27038="",N27038=""),"",SUMIFS('Barang Keluar'!$E:$E,'Barang Keluar'!$A:$A,M27038,'Barang Keluar'!$C:$C,N27038))</f>
        <v>0</v>
      </c>
    </row>
    <row r="27039" spans="13:16">
      <c r="M27039" s="49">
        <f>IF($A$4+270&gt;$B$4,"",$A$4+270)</f>
        <v>46293</v>
      </c>
      <c r="N27039" t="str">
        <f>IF(M27039="","",'Master Barang'!A33)</f>
        <v>PRL-032</v>
      </c>
      <c r="O27039" t="str">
        <f>IF(N27039="","",'Master Barang'!B33)</f>
        <v>plastik packaging ag box uk sedang</v>
      </c>
      <c r="P27039">
        <f>IF(OR(M27039="",N27039=""),"",SUMIFS('Barang Keluar'!$E:$E,'Barang Keluar'!$A:$A,M27039,'Barang Keluar'!$C:$C,N27039))</f>
        <v>0</v>
      </c>
    </row>
    <row r="27040" spans="13:16">
      <c r="M27040" s="49">
        <f>IF($A$4+270&gt;$B$4,"",$A$4+270)</f>
        <v>46293</v>
      </c>
      <c r="N27040" t="str">
        <f>IF(M27040="","",'Master Barang'!A34)</f>
        <v>PRL-033</v>
      </c>
      <c r="O27040">
        <f>IF(N27040="","",'Master Barang'!B34)</f>
        <v>0</v>
      </c>
      <c r="P27040">
        <f>IF(OR(M27040="",N27040=""),"",SUMIFS('Barang Keluar'!$E:$E,'Barang Keluar'!$A:$A,M27040,'Barang Keluar'!$C:$C,N27040))</f>
        <v>0</v>
      </c>
    </row>
    <row r="27041" spans="13:16">
      <c r="M27041" s="49">
        <f>IF($A$4+270&gt;$B$4,"",$A$4+270)</f>
        <v>46293</v>
      </c>
      <c r="N27041">
        <f>IF(M27041="","",'Master Barang'!A35)</f>
        <v>0</v>
      </c>
      <c r="O27041">
        <f>IF(N27041="","",'Master Barang'!B35)</f>
        <v>0</v>
      </c>
      <c r="P27041">
        <f>IF(OR(M27041="",N27041=""),"",SUMIFS('Barang Keluar'!$E:$E,'Barang Keluar'!$A:$A,M27041,'Barang Keluar'!$C:$C,N27041))</f>
        <v>0</v>
      </c>
    </row>
    <row r="27042" spans="13:16">
      <c r="M27042" s="49">
        <f>IF($A$4+270&gt;$B$4,"",$A$4+270)</f>
        <v>46293</v>
      </c>
      <c r="N27042">
        <f>IF(M27042="","",'Master Barang'!A36)</f>
        <v>0</v>
      </c>
      <c r="O27042">
        <f>IF(N27042="","",'Master Barang'!B36)</f>
        <v>0</v>
      </c>
      <c r="P27042">
        <f>IF(OR(M27042="",N27042=""),"",SUMIFS('Barang Keluar'!$E:$E,'Barang Keluar'!$A:$A,M27042,'Barang Keluar'!$C:$C,N27042))</f>
        <v>0</v>
      </c>
    </row>
    <row r="27043" spans="13:16">
      <c r="M27043" s="49">
        <f>IF($A$4+270&gt;$B$4,"",$A$4+270)</f>
        <v>46293</v>
      </c>
      <c r="N27043">
        <f>IF(M27043="","",'Master Barang'!A37)</f>
        <v>0</v>
      </c>
      <c r="O27043">
        <f>IF(N27043="","",'Master Barang'!B37)</f>
        <v>0</v>
      </c>
      <c r="P27043">
        <f>IF(OR(M27043="",N27043=""),"",SUMIFS('Barang Keluar'!$E:$E,'Barang Keluar'!$A:$A,M27043,'Barang Keluar'!$C:$C,N27043))</f>
        <v>0</v>
      </c>
    </row>
    <row r="27044" spans="13:16">
      <c r="M27044" s="49">
        <f>IF($A$4+270&gt;$B$4,"",$A$4+270)</f>
        <v>46293</v>
      </c>
      <c r="N27044">
        <f>IF(M27044="","",'Master Barang'!A38)</f>
        <v>0</v>
      </c>
      <c r="O27044">
        <f>IF(N27044="","",'Master Barang'!B38)</f>
        <v>0</v>
      </c>
      <c r="P27044">
        <f>IF(OR(M27044="",N27044=""),"",SUMIFS('Barang Keluar'!$E:$E,'Barang Keluar'!$A:$A,M27044,'Barang Keluar'!$C:$C,N27044))</f>
        <v>0</v>
      </c>
    </row>
    <row r="27045" spans="13:16">
      <c r="M27045" s="49">
        <f>IF($A$4+270&gt;$B$4,"",$A$4+270)</f>
        <v>46293</v>
      </c>
      <c r="N27045">
        <f>IF(M27045="","",'Master Barang'!A39)</f>
        <v>0</v>
      </c>
      <c r="O27045">
        <f>IF(N27045="","",'Master Barang'!B39)</f>
        <v>0</v>
      </c>
      <c r="P27045">
        <f>IF(OR(M27045="",N27045=""),"",SUMIFS('Barang Keluar'!$E:$E,'Barang Keluar'!$A:$A,M27045,'Barang Keluar'!$C:$C,N27045))</f>
        <v>0</v>
      </c>
    </row>
    <row r="27046" spans="13:16">
      <c r="M27046" s="49">
        <f>IF($A$4+270&gt;$B$4,"",$A$4+270)</f>
        <v>46293</v>
      </c>
      <c r="N27046">
        <f>IF(M27046="","",'Master Barang'!A40)</f>
        <v>0</v>
      </c>
      <c r="O27046">
        <f>IF(N27046="","",'Master Barang'!B40)</f>
        <v>0</v>
      </c>
      <c r="P27046">
        <f>IF(OR(M27046="",N27046=""),"",SUMIFS('Barang Keluar'!$E:$E,'Barang Keluar'!$A:$A,M27046,'Barang Keluar'!$C:$C,N27046))</f>
        <v>0</v>
      </c>
    </row>
    <row r="27047" spans="13:16">
      <c r="M27047" s="49">
        <f>IF($A$4+270&gt;$B$4,"",$A$4+270)</f>
        <v>46293</v>
      </c>
      <c r="N27047">
        <f>IF(M27047="","",'Master Barang'!A41)</f>
        <v>0</v>
      </c>
      <c r="O27047">
        <f>IF(N27047="","",'Master Barang'!B41)</f>
        <v>0</v>
      </c>
      <c r="P27047">
        <f>IF(OR(M27047="",N27047=""),"",SUMIFS('Barang Keluar'!$E:$E,'Barang Keluar'!$A:$A,M27047,'Barang Keluar'!$C:$C,N27047))</f>
        <v>0</v>
      </c>
    </row>
    <row r="27048" spans="13:16">
      <c r="M27048" s="49">
        <f>IF($A$4+270&gt;$B$4,"",$A$4+270)</f>
        <v>46293</v>
      </c>
      <c r="N27048">
        <f>IF(M27048="","",'Master Barang'!A42)</f>
        <v>0</v>
      </c>
      <c r="O27048">
        <f>IF(N27048="","",'Master Barang'!B42)</f>
        <v>0</v>
      </c>
      <c r="P27048">
        <f>IF(OR(M27048="",N27048=""),"",SUMIFS('Barang Keluar'!$E:$E,'Barang Keluar'!$A:$A,M27048,'Barang Keluar'!$C:$C,N27048))</f>
        <v>0</v>
      </c>
    </row>
    <row r="27049" spans="13:16">
      <c r="M27049" s="49">
        <f>IF($A$4+270&gt;$B$4,"",$A$4+270)</f>
        <v>46293</v>
      </c>
      <c r="N27049">
        <f>IF(M27049="","",'Master Barang'!A43)</f>
        <v>0</v>
      </c>
      <c r="O27049">
        <f>IF(N27049="","",'Master Barang'!B43)</f>
        <v>0</v>
      </c>
      <c r="P27049">
        <f>IF(OR(M27049="",N27049=""),"",SUMIFS('Barang Keluar'!$E:$E,'Barang Keluar'!$A:$A,M27049,'Barang Keluar'!$C:$C,N27049))</f>
        <v>0</v>
      </c>
    </row>
    <row r="27050" spans="13:16">
      <c r="M27050" s="49">
        <f>IF($A$4+270&gt;$B$4,"",$A$4+270)</f>
        <v>46293</v>
      </c>
      <c r="N27050">
        <f>IF(M27050="","",'Master Barang'!A44)</f>
        <v>0</v>
      </c>
      <c r="O27050">
        <f>IF(N27050="","",'Master Barang'!B44)</f>
        <v>0</v>
      </c>
      <c r="P27050">
        <f>IF(OR(M27050="",N27050=""),"",SUMIFS('Barang Keluar'!$E:$E,'Barang Keluar'!$A:$A,M27050,'Barang Keluar'!$C:$C,N27050))</f>
        <v>0</v>
      </c>
    </row>
    <row r="27051" spans="13:16">
      <c r="M27051" s="49">
        <f>IF($A$4+270&gt;$B$4,"",$A$4+270)</f>
        <v>46293</v>
      </c>
      <c r="N27051">
        <f>IF(M27051="","",'Master Barang'!A45)</f>
        <v>0</v>
      </c>
      <c r="O27051">
        <f>IF(N27051="","",'Master Barang'!B45)</f>
        <v>0</v>
      </c>
      <c r="P27051">
        <f>IF(OR(M27051="",N27051=""),"",SUMIFS('Barang Keluar'!$E:$E,'Barang Keluar'!$A:$A,M27051,'Barang Keluar'!$C:$C,N27051))</f>
        <v>0</v>
      </c>
    </row>
    <row r="27052" spans="13:16">
      <c r="M27052" s="49">
        <f>IF($A$4+270&gt;$B$4,"",$A$4+270)</f>
        <v>46293</v>
      </c>
      <c r="N27052">
        <f>IF(M27052="","",'Master Barang'!A46)</f>
        <v>0</v>
      </c>
      <c r="O27052">
        <f>IF(N27052="","",'Master Barang'!B46)</f>
        <v>0</v>
      </c>
      <c r="P27052">
        <f>IF(OR(M27052="",N27052=""),"",SUMIFS('Barang Keluar'!$E:$E,'Barang Keluar'!$A:$A,M27052,'Barang Keluar'!$C:$C,N27052))</f>
        <v>0</v>
      </c>
    </row>
    <row r="27053" spans="13:16">
      <c r="M27053" s="49">
        <f>IF($A$4+270&gt;$B$4,"",$A$4+270)</f>
        <v>46293</v>
      </c>
      <c r="N27053">
        <f>IF(M27053="","",'Master Barang'!A47)</f>
        <v>0</v>
      </c>
      <c r="O27053">
        <f>IF(N27053="","",'Master Barang'!B47)</f>
        <v>0</v>
      </c>
      <c r="P27053">
        <f>IF(OR(M27053="",N27053=""),"",SUMIFS('Barang Keluar'!$E:$E,'Barang Keluar'!$A:$A,M27053,'Barang Keluar'!$C:$C,N27053))</f>
        <v>0</v>
      </c>
    </row>
    <row r="27054" spans="13:16">
      <c r="M27054" s="49">
        <f>IF($A$4+270&gt;$B$4,"",$A$4+270)</f>
        <v>46293</v>
      </c>
      <c r="N27054">
        <f>IF(M27054="","",'Master Barang'!A48)</f>
        <v>0</v>
      </c>
      <c r="O27054">
        <f>IF(N27054="","",'Master Barang'!B48)</f>
        <v>0</v>
      </c>
      <c r="P27054">
        <f>IF(OR(M27054="",N27054=""),"",SUMIFS('Barang Keluar'!$E:$E,'Barang Keluar'!$A:$A,M27054,'Barang Keluar'!$C:$C,N27054))</f>
        <v>0</v>
      </c>
    </row>
    <row r="27055" spans="13:16">
      <c r="M27055" s="49">
        <f>IF($A$4+270&gt;$B$4,"",$A$4+270)</f>
        <v>46293</v>
      </c>
      <c r="N27055">
        <f>IF(M27055="","",'Master Barang'!A49)</f>
        <v>0</v>
      </c>
      <c r="O27055">
        <f>IF(N27055="","",'Master Barang'!B49)</f>
        <v>0</v>
      </c>
      <c r="P27055">
        <f>IF(OR(M27055="",N27055=""),"",SUMIFS('Barang Keluar'!$E:$E,'Barang Keluar'!$A:$A,M27055,'Barang Keluar'!$C:$C,N27055))</f>
        <v>0</v>
      </c>
    </row>
    <row r="27056" spans="13:16">
      <c r="M27056" s="49">
        <f>IF($A$4+270&gt;$B$4,"",$A$4+270)</f>
        <v>46293</v>
      </c>
      <c r="N27056">
        <f>IF(M27056="","",'Master Barang'!A50)</f>
        <v>0</v>
      </c>
      <c r="O27056">
        <f>IF(N27056="","",'Master Barang'!B50)</f>
        <v>0</v>
      </c>
      <c r="P27056">
        <f>IF(OR(M27056="",N27056=""),"",SUMIFS('Barang Keluar'!$E:$E,'Barang Keluar'!$A:$A,M27056,'Barang Keluar'!$C:$C,N27056))</f>
        <v>0</v>
      </c>
    </row>
    <row r="27057" spans="13:16">
      <c r="M27057" s="49">
        <f>IF($A$4+270&gt;$B$4,"",$A$4+270)</f>
        <v>46293</v>
      </c>
      <c r="N27057">
        <f>IF(M27057="","",'Master Barang'!A51)</f>
        <v>0</v>
      </c>
      <c r="O27057">
        <f>IF(N27057="","",'Master Barang'!B51)</f>
        <v>0</v>
      </c>
      <c r="P27057">
        <f>IF(OR(M27057="",N27057=""),"",SUMIFS('Barang Keluar'!$E:$E,'Barang Keluar'!$A:$A,M27057,'Barang Keluar'!$C:$C,N27057))</f>
        <v>0</v>
      </c>
    </row>
    <row r="27058" spans="13:16">
      <c r="M27058" s="49">
        <f>IF($A$4+270&gt;$B$4,"",$A$4+270)</f>
        <v>46293</v>
      </c>
      <c r="N27058">
        <f>IF(M27058="","",'Master Barang'!A52)</f>
        <v>0</v>
      </c>
      <c r="O27058">
        <f>IF(N27058="","",'Master Barang'!B52)</f>
        <v>0</v>
      </c>
      <c r="P27058">
        <f>IF(OR(M27058="",N27058=""),"",SUMIFS('Barang Keluar'!$E:$E,'Barang Keluar'!$A:$A,M27058,'Barang Keluar'!$C:$C,N27058))</f>
        <v>0</v>
      </c>
    </row>
    <row r="27059" spans="13:16">
      <c r="M27059" s="49">
        <f>IF($A$4+270&gt;$B$4,"",$A$4+270)</f>
        <v>46293</v>
      </c>
      <c r="N27059">
        <f>IF(M27059="","",'Master Barang'!A53)</f>
        <v>0</v>
      </c>
      <c r="O27059">
        <f>IF(N27059="","",'Master Barang'!B53)</f>
        <v>0</v>
      </c>
      <c r="P27059">
        <f>IF(OR(M27059="",N27059=""),"",SUMIFS('Barang Keluar'!$E:$E,'Barang Keluar'!$A:$A,M27059,'Barang Keluar'!$C:$C,N27059))</f>
        <v>0</v>
      </c>
    </row>
    <row r="27060" spans="13:16">
      <c r="M27060" s="49">
        <f>IF($A$4+270&gt;$B$4,"",$A$4+270)</f>
        <v>46293</v>
      </c>
      <c r="N27060">
        <f>IF(M27060="","",'Master Barang'!A54)</f>
        <v>0</v>
      </c>
      <c r="O27060">
        <f>IF(N27060="","",'Master Barang'!B54)</f>
        <v>0</v>
      </c>
      <c r="P27060">
        <f>IF(OR(M27060="",N27060=""),"",SUMIFS('Barang Keluar'!$E:$E,'Barang Keluar'!$A:$A,M27060,'Barang Keluar'!$C:$C,N27060))</f>
        <v>0</v>
      </c>
    </row>
    <row r="27061" spans="13:16">
      <c r="M27061" s="49">
        <f>IF($A$4+270&gt;$B$4,"",$A$4+270)</f>
        <v>46293</v>
      </c>
      <c r="N27061">
        <f>IF(M27061="","",'Master Barang'!A55)</f>
        <v>0</v>
      </c>
      <c r="O27061">
        <f>IF(N27061="","",'Master Barang'!B55)</f>
        <v>0</v>
      </c>
      <c r="P27061">
        <f>IF(OR(M27061="",N27061=""),"",SUMIFS('Barang Keluar'!$E:$E,'Barang Keluar'!$A:$A,M27061,'Barang Keluar'!$C:$C,N27061))</f>
        <v>0</v>
      </c>
    </row>
    <row r="27062" spans="13:16">
      <c r="M27062" s="49">
        <f>IF($A$4+270&gt;$B$4,"",$A$4+270)</f>
        <v>46293</v>
      </c>
      <c r="N27062">
        <f>IF(M27062="","",'Master Barang'!A56)</f>
        <v>0</v>
      </c>
      <c r="O27062">
        <f>IF(N27062="","",'Master Barang'!B56)</f>
        <v>0</v>
      </c>
      <c r="P27062">
        <f>IF(OR(M27062="",N27062=""),"",SUMIFS('Barang Keluar'!$E:$E,'Barang Keluar'!$A:$A,M27062,'Barang Keluar'!$C:$C,N27062))</f>
        <v>0</v>
      </c>
    </row>
    <row r="27063" spans="13:16">
      <c r="M27063" s="49">
        <f>IF($A$4+270&gt;$B$4,"",$A$4+270)</f>
        <v>46293</v>
      </c>
      <c r="N27063">
        <f>IF(M27063="","",'Master Barang'!A57)</f>
        <v>0</v>
      </c>
      <c r="O27063">
        <f>IF(N27063="","",'Master Barang'!B57)</f>
        <v>0</v>
      </c>
      <c r="P27063">
        <f>IF(OR(M27063="",N27063=""),"",SUMIFS('Barang Keluar'!$E:$E,'Barang Keluar'!$A:$A,M27063,'Barang Keluar'!$C:$C,N27063))</f>
        <v>0</v>
      </c>
    </row>
    <row r="27064" spans="13:16">
      <c r="M27064" s="49">
        <f>IF($A$4+270&gt;$B$4,"",$A$4+270)</f>
        <v>46293</v>
      </c>
      <c r="N27064">
        <f>IF(M27064="","",'Master Barang'!A58)</f>
        <v>0</v>
      </c>
      <c r="O27064">
        <f>IF(N27064="","",'Master Barang'!B58)</f>
        <v>0</v>
      </c>
      <c r="P27064">
        <f>IF(OR(M27064="",N27064=""),"",SUMIFS('Barang Keluar'!$E:$E,'Barang Keluar'!$A:$A,M27064,'Barang Keluar'!$C:$C,N27064))</f>
        <v>0</v>
      </c>
    </row>
    <row r="27065" spans="13:16">
      <c r="M27065" s="49">
        <f>IF($A$4+270&gt;$B$4,"",$A$4+270)</f>
        <v>46293</v>
      </c>
      <c r="N27065">
        <f>IF(M27065="","",'Master Barang'!A59)</f>
        <v>0</v>
      </c>
      <c r="O27065">
        <f>IF(N27065="","",'Master Barang'!B59)</f>
        <v>0</v>
      </c>
      <c r="P27065">
        <f>IF(OR(M27065="",N27065=""),"",SUMIFS('Barang Keluar'!$E:$E,'Barang Keluar'!$A:$A,M27065,'Barang Keluar'!$C:$C,N27065))</f>
        <v>0</v>
      </c>
    </row>
    <row r="27066" spans="13:16">
      <c r="M27066" s="49">
        <f>IF($A$4+270&gt;$B$4,"",$A$4+270)</f>
        <v>46293</v>
      </c>
      <c r="N27066">
        <f>IF(M27066="","",'Master Barang'!A60)</f>
        <v>0</v>
      </c>
      <c r="O27066">
        <f>IF(N27066="","",'Master Barang'!B60)</f>
        <v>0</v>
      </c>
      <c r="P27066">
        <f>IF(OR(M27066="",N27066=""),"",SUMIFS('Barang Keluar'!$E:$E,'Barang Keluar'!$A:$A,M27066,'Barang Keluar'!$C:$C,N27066))</f>
        <v>0</v>
      </c>
    </row>
    <row r="27067" spans="13:16">
      <c r="M27067" s="49">
        <f>IF($A$4+270&gt;$B$4,"",$A$4+270)</f>
        <v>46293</v>
      </c>
      <c r="N27067">
        <f>IF(M27067="","",'Master Barang'!A61)</f>
        <v>0</v>
      </c>
      <c r="O27067">
        <f>IF(N27067="","",'Master Barang'!B61)</f>
        <v>0</v>
      </c>
      <c r="P27067">
        <f>IF(OR(M27067="",N27067=""),"",SUMIFS('Barang Keluar'!$E:$E,'Barang Keluar'!$A:$A,M27067,'Barang Keluar'!$C:$C,N27067))</f>
        <v>0</v>
      </c>
    </row>
    <row r="27068" spans="13:16">
      <c r="M27068" s="49">
        <f>IF($A$4+270&gt;$B$4,"",$A$4+270)</f>
        <v>46293</v>
      </c>
      <c r="N27068">
        <f>IF(M27068="","",'Master Barang'!A62)</f>
        <v>0</v>
      </c>
      <c r="O27068">
        <f>IF(N27068="","",'Master Barang'!B62)</f>
        <v>0</v>
      </c>
      <c r="P27068">
        <f>IF(OR(M27068="",N27068=""),"",SUMIFS('Barang Keluar'!$E:$E,'Barang Keluar'!$A:$A,M27068,'Barang Keluar'!$C:$C,N27068))</f>
        <v>0</v>
      </c>
    </row>
    <row r="27069" spans="13:16">
      <c r="M27069" s="49">
        <f>IF($A$4+270&gt;$B$4,"",$A$4+270)</f>
        <v>46293</v>
      </c>
      <c r="N27069">
        <f>IF(M27069="","",'Master Barang'!A63)</f>
        <v>0</v>
      </c>
      <c r="O27069">
        <f>IF(N27069="","",'Master Barang'!B63)</f>
        <v>0</v>
      </c>
      <c r="P27069">
        <f>IF(OR(M27069="",N27069=""),"",SUMIFS('Barang Keluar'!$E:$E,'Barang Keluar'!$A:$A,M27069,'Barang Keluar'!$C:$C,N27069))</f>
        <v>0</v>
      </c>
    </row>
    <row r="27070" spans="13:16">
      <c r="M27070" s="49">
        <f>IF($A$4+270&gt;$B$4,"",$A$4+270)</f>
        <v>46293</v>
      </c>
      <c r="N27070">
        <f>IF(M27070="","",'Master Barang'!A64)</f>
        <v>0</v>
      </c>
      <c r="O27070">
        <f>IF(N27070="","",'Master Barang'!B64)</f>
        <v>0</v>
      </c>
      <c r="P27070">
        <f>IF(OR(M27070="",N27070=""),"",SUMIFS('Barang Keluar'!$E:$E,'Barang Keluar'!$A:$A,M27070,'Barang Keluar'!$C:$C,N27070))</f>
        <v>0</v>
      </c>
    </row>
    <row r="27071" spans="13:16">
      <c r="M27071" s="49">
        <f>IF($A$4+270&gt;$B$4,"",$A$4+270)</f>
        <v>46293</v>
      </c>
      <c r="N27071">
        <f>IF(M27071="","",'Master Barang'!A65)</f>
        <v>0</v>
      </c>
      <c r="O27071">
        <f>IF(N27071="","",'Master Barang'!B65)</f>
        <v>0</v>
      </c>
      <c r="P27071">
        <f>IF(OR(M27071="",N27071=""),"",SUMIFS('Barang Keluar'!$E:$E,'Barang Keluar'!$A:$A,M27071,'Barang Keluar'!$C:$C,N27071))</f>
        <v>0</v>
      </c>
    </row>
    <row r="27072" spans="13:16">
      <c r="M27072" s="49">
        <f>IF($A$4+270&gt;$B$4,"",$A$4+270)</f>
        <v>46293</v>
      </c>
      <c r="N27072">
        <f>IF(M27072="","",'Master Barang'!A66)</f>
        <v>0</v>
      </c>
      <c r="O27072">
        <f>IF(N27072="","",'Master Barang'!B66)</f>
        <v>0</v>
      </c>
      <c r="P27072">
        <f>IF(OR(M27072="",N27072=""),"",SUMIFS('Barang Keluar'!$E:$E,'Barang Keluar'!$A:$A,M27072,'Barang Keluar'!$C:$C,N27072))</f>
        <v>0</v>
      </c>
    </row>
    <row r="27073" spans="13:16">
      <c r="M27073" s="49">
        <f>IF($A$4+270&gt;$B$4,"",$A$4+270)</f>
        <v>46293</v>
      </c>
      <c r="N27073">
        <f>IF(M27073="","",'Master Barang'!A67)</f>
        <v>0</v>
      </c>
      <c r="O27073">
        <f>IF(N27073="","",'Master Barang'!B67)</f>
        <v>0</v>
      </c>
      <c r="P27073">
        <f>IF(OR(M27073="",N27073=""),"",SUMIFS('Barang Keluar'!$E:$E,'Barang Keluar'!$A:$A,M27073,'Barang Keluar'!$C:$C,N27073))</f>
        <v>0</v>
      </c>
    </row>
    <row r="27074" spans="13:16">
      <c r="M27074" s="49">
        <f>IF($A$4+270&gt;$B$4,"",$A$4+270)</f>
        <v>46293</v>
      </c>
      <c r="N27074">
        <f>IF(M27074="","",'Master Barang'!A68)</f>
        <v>0</v>
      </c>
      <c r="O27074">
        <f>IF(N27074="","",'Master Barang'!B68)</f>
        <v>0</v>
      </c>
      <c r="P27074">
        <f>IF(OR(M27074="",N27074=""),"",SUMIFS('Barang Keluar'!$E:$E,'Barang Keluar'!$A:$A,M27074,'Barang Keluar'!$C:$C,N27074))</f>
        <v>0</v>
      </c>
    </row>
    <row r="27075" spans="13:16">
      <c r="M27075" s="49">
        <f>IF($A$4+270&gt;$B$4,"",$A$4+270)</f>
        <v>46293</v>
      </c>
      <c r="N27075">
        <f>IF(M27075="","",'Master Barang'!A69)</f>
        <v>0</v>
      </c>
      <c r="O27075">
        <f>IF(N27075="","",'Master Barang'!B69)</f>
        <v>0</v>
      </c>
      <c r="P27075">
        <f>IF(OR(M27075="",N27075=""),"",SUMIFS('Barang Keluar'!$E:$E,'Barang Keluar'!$A:$A,M27075,'Barang Keluar'!$C:$C,N27075))</f>
        <v>0</v>
      </c>
    </row>
    <row r="27076" spans="13:16">
      <c r="M27076" s="49">
        <f>IF($A$4+270&gt;$B$4,"",$A$4+270)</f>
        <v>46293</v>
      </c>
      <c r="N27076">
        <f>IF(M27076="","",'Master Barang'!A70)</f>
        <v>0</v>
      </c>
      <c r="O27076">
        <f>IF(N27076="","",'Master Barang'!B70)</f>
        <v>0</v>
      </c>
      <c r="P27076">
        <f>IF(OR(M27076="",N27076=""),"",SUMIFS('Barang Keluar'!$E:$E,'Barang Keluar'!$A:$A,M27076,'Barang Keluar'!$C:$C,N27076))</f>
        <v>0</v>
      </c>
    </row>
    <row r="27077" spans="13:16">
      <c r="M27077" s="49">
        <f>IF($A$4+270&gt;$B$4,"",$A$4+270)</f>
        <v>46293</v>
      </c>
      <c r="N27077">
        <f>IF(M27077="","",'Master Barang'!A71)</f>
        <v>0</v>
      </c>
      <c r="O27077">
        <f>IF(N27077="","",'Master Barang'!B71)</f>
        <v>0</v>
      </c>
      <c r="P27077">
        <f>IF(OR(M27077="",N27077=""),"",SUMIFS('Barang Keluar'!$E:$E,'Barang Keluar'!$A:$A,M27077,'Barang Keluar'!$C:$C,N27077))</f>
        <v>0</v>
      </c>
    </row>
    <row r="27078" spans="13:16">
      <c r="M27078" s="49">
        <f>IF($A$4+270&gt;$B$4,"",$A$4+270)</f>
        <v>46293</v>
      </c>
      <c r="N27078">
        <f>IF(M27078="","",'Master Barang'!A72)</f>
        <v>0</v>
      </c>
      <c r="O27078">
        <f>IF(N27078="","",'Master Barang'!B72)</f>
        <v>0</v>
      </c>
      <c r="P27078">
        <f>IF(OR(M27078="",N27078=""),"",SUMIFS('Barang Keluar'!$E:$E,'Barang Keluar'!$A:$A,M27078,'Barang Keluar'!$C:$C,N27078))</f>
        <v>0</v>
      </c>
    </row>
    <row r="27079" spans="13:16">
      <c r="M27079" s="49">
        <f>IF($A$4+270&gt;$B$4,"",$A$4+270)</f>
        <v>46293</v>
      </c>
      <c r="N27079">
        <f>IF(M27079="","",'Master Barang'!A73)</f>
        <v>0</v>
      </c>
      <c r="O27079">
        <f>IF(N27079="","",'Master Barang'!B73)</f>
        <v>0</v>
      </c>
      <c r="P27079">
        <f>IF(OR(M27079="",N27079=""),"",SUMIFS('Barang Keluar'!$E:$E,'Barang Keluar'!$A:$A,M27079,'Barang Keluar'!$C:$C,N27079))</f>
        <v>0</v>
      </c>
    </row>
    <row r="27080" spans="13:16">
      <c r="M27080" s="49">
        <f>IF($A$4+270&gt;$B$4,"",$A$4+270)</f>
        <v>46293</v>
      </c>
      <c r="N27080">
        <f>IF(M27080="","",'Master Barang'!A74)</f>
        <v>0</v>
      </c>
      <c r="O27080">
        <f>IF(N27080="","",'Master Barang'!B74)</f>
        <v>0</v>
      </c>
      <c r="P27080">
        <f>IF(OR(M27080="",N27080=""),"",SUMIFS('Barang Keluar'!$E:$E,'Barang Keluar'!$A:$A,M27080,'Barang Keluar'!$C:$C,N27080))</f>
        <v>0</v>
      </c>
    </row>
    <row r="27081" spans="13:16">
      <c r="M27081" s="49">
        <f>IF($A$4+270&gt;$B$4,"",$A$4+270)</f>
        <v>46293</v>
      </c>
      <c r="N27081">
        <f>IF(M27081="","",'Master Barang'!A75)</f>
        <v>0</v>
      </c>
      <c r="O27081">
        <f>IF(N27081="","",'Master Barang'!B75)</f>
        <v>0</v>
      </c>
      <c r="P27081">
        <f>IF(OR(M27081="",N27081=""),"",SUMIFS('Barang Keluar'!$E:$E,'Barang Keluar'!$A:$A,M27081,'Barang Keluar'!$C:$C,N27081))</f>
        <v>0</v>
      </c>
    </row>
    <row r="27082" spans="13:16">
      <c r="M27082" s="49">
        <f>IF($A$4+270&gt;$B$4,"",$A$4+270)</f>
        <v>46293</v>
      </c>
      <c r="N27082">
        <f>IF(M27082="","",'Master Barang'!A76)</f>
        <v>0</v>
      </c>
      <c r="O27082">
        <f>IF(N27082="","",'Master Barang'!B76)</f>
        <v>0</v>
      </c>
      <c r="P27082">
        <f>IF(OR(M27082="",N27082=""),"",SUMIFS('Barang Keluar'!$E:$E,'Barang Keluar'!$A:$A,M27082,'Barang Keluar'!$C:$C,N27082))</f>
        <v>0</v>
      </c>
    </row>
    <row r="27083" spans="13:16">
      <c r="M27083" s="49">
        <f>IF($A$4+270&gt;$B$4,"",$A$4+270)</f>
        <v>46293</v>
      </c>
      <c r="N27083">
        <f>IF(M27083="","",'Master Barang'!A77)</f>
        <v>0</v>
      </c>
      <c r="O27083">
        <f>IF(N27083="","",'Master Barang'!B77)</f>
        <v>0</v>
      </c>
      <c r="P27083">
        <f>IF(OR(M27083="",N27083=""),"",SUMIFS('Barang Keluar'!$E:$E,'Barang Keluar'!$A:$A,M27083,'Barang Keluar'!$C:$C,N27083))</f>
        <v>0</v>
      </c>
    </row>
    <row r="27084" spans="13:16">
      <c r="M27084" s="49">
        <f>IF($A$4+270&gt;$B$4,"",$A$4+270)</f>
        <v>46293</v>
      </c>
      <c r="N27084">
        <f>IF(M27084="","",'Master Barang'!A78)</f>
        <v>0</v>
      </c>
      <c r="O27084">
        <f>IF(N27084="","",'Master Barang'!B78)</f>
        <v>0</v>
      </c>
      <c r="P27084">
        <f>IF(OR(M27084="",N27084=""),"",SUMIFS('Barang Keluar'!$E:$E,'Barang Keluar'!$A:$A,M27084,'Barang Keluar'!$C:$C,N27084))</f>
        <v>0</v>
      </c>
    </row>
    <row r="27085" spans="13:16">
      <c r="M27085" s="49">
        <f>IF($A$4+270&gt;$B$4,"",$A$4+270)</f>
        <v>46293</v>
      </c>
      <c r="N27085">
        <f>IF(M27085="","",'Master Barang'!A79)</f>
        <v>0</v>
      </c>
      <c r="O27085">
        <f>IF(N27085="","",'Master Barang'!B79)</f>
        <v>0</v>
      </c>
      <c r="P27085">
        <f>IF(OR(M27085="",N27085=""),"",SUMIFS('Barang Keluar'!$E:$E,'Barang Keluar'!$A:$A,M27085,'Barang Keluar'!$C:$C,N27085))</f>
        <v>0</v>
      </c>
    </row>
    <row r="27086" spans="13:16">
      <c r="M27086" s="49">
        <f>IF($A$4+270&gt;$B$4,"",$A$4+270)</f>
        <v>46293</v>
      </c>
      <c r="N27086">
        <f>IF(M27086="","",'Master Barang'!A80)</f>
        <v>0</v>
      </c>
      <c r="O27086">
        <f>IF(N27086="","",'Master Barang'!B80)</f>
        <v>0</v>
      </c>
      <c r="P27086">
        <f>IF(OR(M27086="",N27086=""),"",SUMIFS('Barang Keluar'!$E:$E,'Barang Keluar'!$A:$A,M27086,'Barang Keluar'!$C:$C,N27086))</f>
        <v>0</v>
      </c>
    </row>
    <row r="27087" spans="13:16">
      <c r="M27087" s="49">
        <f>IF($A$4+270&gt;$B$4,"",$A$4+270)</f>
        <v>46293</v>
      </c>
      <c r="N27087">
        <f>IF(M27087="","",'Master Barang'!A81)</f>
        <v>0</v>
      </c>
      <c r="O27087">
        <f>IF(N27087="","",'Master Barang'!B81)</f>
        <v>0</v>
      </c>
      <c r="P27087">
        <f>IF(OR(M27087="",N27087=""),"",SUMIFS('Barang Keluar'!$E:$E,'Barang Keluar'!$A:$A,M27087,'Barang Keluar'!$C:$C,N27087))</f>
        <v>0</v>
      </c>
    </row>
    <row r="27088" spans="13:16">
      <c r="M27088" s="49">
        <f>IF($A$4+270&gt;$B$4,"",$A$4+270)</f>
        <v>46293</v>
      </c>
      <c r="N27088">
        <f>IF(M27088="","",'Master Barang'!A82)</f>
        <v>0</v>
      </c>
      <c r="O27088">
        <f>IF(N27088="","",'Master Barang'!B82)</f>
        <v>0</v>
      </c>
      <c r="P27088">
        <f>IF(OR(M27088="",N27088=""),"",SUMIFS('Barang Keluar'!$E:$E,'Barang Keluar'!$A:$A,M27088,'Barang Keluar'!$C:$C,N27088))</f>
        <v>0</v>
      </c>
    </row>
    <row r="27089" spans="13:16">
      <c r="M27089" s="49">
        <f>IF($A$4+270&gt;$B$4,"",$A$4+270)</f>
        <v>46293</v>
      </c>
      <c r="N27089">
        <f>IF(M27089="","",'Master Barang'!A83)</f>
        <v>0</v>
      </c>
      <c r="O27089">
        <f>IF(N27089="","",'Master Barang'!B83)</f>
        <v>0</v>
      </c>
      <c r="P27089">
        <f>IF(OR(M27089="",N27089=""),"",SUMIFS('Barang Keluar'!$E:$E,'Barang Keluar'!$A:$A,M27089,'Barang Keluar'!$C:$C,N27089))</f>
        <v>0</v>
      </c>
    </row>
    <row r="27090" spans="13:16">
      <c r="M27090" s="49">
        <f>IF($A$4+270&gt;$B$4,"",$A$4+270)</f>
        <v>46293</v>
      </c>
      <c r="N27090">
        <f>IF(M27090="","",'Master Barang'!A84)</f>
        <v>0</v>
      </c>
      <c r="O27090">
        <f>IF(N27090="","",'Master Barang'!B84)</f>
        <v>0</v>
      </c>
      <c r="P27090">
        <f>IF(OR(M27090="",N27090=""),"",SUMIFS('Barang Keluar'!$E:$E,'Barang Keluar'!$A:$A,M27090,'Barang Keluar'!$C:$C,N27090))</f>
        <v>0</v>
      </c>
    </row>
    <row r="27091" spans="13:16">
      <c r="M27091" s="49">
        <f>IF($A$4+270&gt;$B$4,"",$A$4+270)</f>
        <v>46293</v>
      </c>
      <c r="N27091">
        <f>IF(M27091="","",'Master Barang'!A85)</f>
        <v>0</v>
      </c>
      <c r="O27091">
        <f>IF(N27091="","",'Master Barang'!B85)</f>
        <v>0</v>
      </c>
      <c r="P27091">
        <f>IF(OR(M27091="",N27091=""),"",SUMIFS('Barang Keluar'!$E:$E,'Barang Keluar'!$A:$A,M27091,'Barang Keluar'!$C:$C,N27091))</f>
        <v>0</v>
      </c>
    </row>
    <row r="27092" spans="13:16">
      <c r="M27092" s="49">
        <f>IF($A$4+270&gt;$B$4,"",$A$4+270)</f>
        <v>46293</v>
      </c>
      <c r="N27092">
        <f>IF(M27092="","",'Master Barang'!A86)</f>
        <v>0</v>
      </c>
      <c r="O27092">
        <f>IF(N27092="","",'Master Barang'!B86)</f>
        <v>0</v>
      </c>
      <c r="P27092">
        <f>IF(OR(M27092="",N27092=""),"",SUMIFS('Barang Keluar'!$E:$E,'Barang Keluar'!$A:$A,M27092,'Barang Keluar'!$C:$C,N27092))</f>
        <v>0</v>
      </c>
    </row>
    <row r="27093" spans="13:16">
      <c r="M27093" s="49">
        <f>IF($A$4+270&gt;$B$4,"",$A$4+270)</f>
        <v>46293</v>
      </c>
      <c r="N27093">
        <f>IF(M27093="","",'Master Barang'!A87)</f>
        <v>0</v>
      </c>
      <c r="O27093">
        <f>IF(N27093="","",'Master Barang'!B87)</f>
        <v>0</v>
      </c>
      <c r="P27093">
        <f>IF(OR(M27093="",N27093=""),"",SUMIFS('Barang Keluar'!$E:$E,'Barang Keluar'!$A:$A,M27093,'Barang Keluar'!$C:$C,N27093))</f>
        <v>0</v>
      </c>
    </row>
    <row r="27094" spans="13:16">
      <c r="M27094" s="49">
        <f>IF($A$4+270&gt;$B$4,"",$A$4+270)</f>
        <v>46293</v>
      </c>
      <c r="N27094">
        <f>IF(M27094="","",'Master Barang'!A88)</f>
        <v>0</v>
      </c>
      <c r="O27094">
        <f>IF(N27094="","",'Master Barang'!B88)</f>
        <v>0</v>
      </c>
      <c r="P27094">
        <f>IF(OR(M27094="",N27094=""),"",SUMIFS('Barang Keluar'!$E:$E,'Barang Keluar'!$A:$A,M27094,'Barang Keluar'!$C:$C,N27094))</f>
        <v>0</v>
      </c>
    </row>
    <row r="27095" spans="13:16">
      <c r="M27095" s="49">
        <f>IF($A$4+270&gt;$B$4,"",$A$4+270)</f>
        <v>46293</v>
      </c>
      <c r="N27095">
        <f>IF(M27095="","",'Master Barang'!A89)</f>
        <v>0</v>
      </c>
      <c r="O27095">
        <f>IF(N27095="","",'Master Barang'!B89)</f>
        <v>0</v>
      </c>
      <c r="P27095">
        <f>IF(OR(M27095="",N27095=""),"",SUMIFS('Barang Keluar'!$E:$E,'Barang Keluar'!$A:$A,M27095,'Barang Keluar'!$C:$C,N27095))</f>
        <v>0</v>
      </c>
    </row>
    <row r="27096" spans="13:16">
      <c r="M27096" s="49">
        <f>IF($A$4+270&gt;$B$4,"",$A$4+270)</f>
        <v>46293</v>
      </c>
      <c r="N27096">
        <f>IF(M27096="","",'Master Barang'!A90)</f>
        <v>0</v>
      </c>
      <c r="O27096">
        <f>IF(N27096="","",'Master Barang'!B90)</f>
        <v>0</v>
      </c>
      <c r="P27096">
        <f>IF(OR(M27096="",N27096=""),"",SUMIFS('Barang Keluar'!$E:$E,'Barang Keluar'!$A:$A,M27096,'Barang Keluar'!$C:$C,N27096))</f>
        <v>0</v>
      </c>
    </row>
    <row r="27097" spans="13:16">
      <c r="M27097" s="49">
        <f>IF($A$4+270&gt;$B$4,"",$A$4+270)</f>
        <v>46293</v>
      </c>
      <c r="N27097">
        <f>IF(M27097="","",'Master Barang'!A91)</f>
        <v>0</v>
      </c>
      <c r="O27097">
        <f>IF(N27097="","",'Master Barang'!B91)</f>
        <v>0</v>
      </c>
      <c r="P27097">
        <f>IF(OR(M27097="",N27097=""),"",SUMIFS('Barang Keluar'!$E:$E,'Barang Keluar'!$A:$A,M27097,'Barang Keluar'!$C:$C,N27097))</f>
        <v>0</v>
      </c>
    </row>
    <row r="27098" spans="13:16">
      <c r="M27098" s="49">
        <f>IF($A$4+270&gt;$B$4,"",$A$4+270)</f>
        <v>46293</v>
      </c>
      <c r="N27098">
        <f>IF(M27098="","",'Master Barang'!A92)</f>
        <v>0</v>
      </c>
      <c r="O27098">
        <f>IF(N27098="","",'Master Barang'!B92)</f>
        <v>0</v>
      </c>
      <c r="P27098">
        <f>IF(OR(M27098="",N27098=""),"",SUMIFS('Barang Keluar'!$E:$E,'Barang Keluar'!$A:$A,M27098,'Barang Keluar'!$C:$C,N27098))</f>
        <v>0</v>
      </c>
    </row>
    <row r="27099" spans="13:16">
      <c r="M27099" s="49">
        <f>IF($A$4+270&gt;$B$4,"",$A$4+270)</f>
        <v>46293</v>
      </c>
      <c r="N27099">
        <f>IF(M27099="","",'Master Barang'!A93)</f>
        <v>0</v>
      </c>
      <c r="O27099">
        <f>IF(N27099="","",'Master Barang'!B93)</f>
        <v>0</v>
      </c>
      <c r="P27099">
        <f>IF(OR(M27099="",N27099=""),"",SUMIFS('Barang Keluar'!$E:$E,'Barang Keluar'!$A:$A,M27099,'Barang Keluar'!$C:$C,N27099))</f>
        <v>0</v>
      </c>
    </row>
    <row r="27100" spans="13:16">
      <c r="M27100" s="49">
        <f>IF($A$4+270&gt;$B$4,"",$A$4+270)</f>
        <v>46293</v>
      </c>
      <c r="N27100">
        <f>IF(M27100="","",'Master Barang'!A94)</f>
        <v>0</v>
      </c>
      <c r="O27100">
        <f>IF(N27100="","",'Master Barang'!B94)</f>
        <v>0</v>
      </c>
      <c r="P27100">
        <f>IF(OR(M27100="",N27100=""),"",SUMIFS('Barang Keluar'!$E:$E,'Barang Keluar'!$A:$A,M27100,'Barang Keluar'!$C:$C,N27100))</f>
        <v>0</v>
      </c>
    </row>
    <row r="27101" spans="13:16">
      <c r="M27101" s="49">
        <f>IF($A$4+270&gt;$B$4,"",$A$4+270)</f>
        <v>46293</v>
      </c>
      <c r="N27101">
        <f>IF(M27101="","",'Master Barang'!A95)</f>
        <v>0</v>
      </c>
      <c r="O27101">
        <f>IF(N27101="","",'Master Barang'!B95)</f>
        <v>0</v>
      </c>
      <c r="P27101">
        <f>IF(OR(M27101="",N27101=""),"",SUMIFS('Barang Keluar'!$E:$E,'Barang Keluar'!$A:$A,M27101,'Barang Keluar'!$C:$C,N27101))</f>
        <v>0</v>
      </c>
    </row>
    <row r="27102" spans="13:16">
      <c r="M27102" s="49">
        <f>IF($A$4+270&gt;$B$4,"",$A$4+270)</f>
        <v>46293</v>
      </c>
      <c r="N27102">
        <f>IF(M27102="","",'Master Barang'!A96)</f>
        <v>0</v>
      </c>
      <c r="O27102">
        <f>IF(N27102="","",'Master Barang'!B96)</f>
        <v>0</v>
      </c>
      <c r="P27102">
        <f>IF(OR(M27102="",N27102=""),"",SUMIFS('Barang Keluar'!$E:$E,'Barang Keluar'!$A:$A,M27102,'Barang Keluar'!$C:$C,N27102))</f>
        <v>0</v>
      </c>
    </row>
    <row r="27103" spans="13:16">
      <c r="M27103" s="49">
        <f>IF($A$4+270&gt;$B$4,"",$A$4+270)</f>
        <v>46293</v>
      </c>
      <c r="N27103">
        <f>IF(M27103="","",'Master Barang'!A97)</f>
        <v>0</v>
      </c>
      <c r="O27103">
        <f>IF(N27103="","",'Master Barang'!B97)</f>
        <v>0</v>
      </c>
      <c r="P27103">
        <f>IF(OR(M27103="",N27103=""),"",SUMIFS('Barang Keluar'!$E:$E,'Barang Keluar'!$A:$A,M27103,'Barang Keluar'!$C:$C,N27103))</f>
        <v>0</v>
      </c>
    </row>
    <row r="27104" spans="13:16">
      <c r="M27104" s="49">
        <f>IF($A$4+270&gt;$B$4,"",$A$4+270)</f>
        <v>46293</v>
      </c>
      <c r="N27104">
        <f>IF(M27104="","",'Master Barang'!A98)</f>
        <v>0</v>
      </c>
      <c r="O27104">
        <f>IF(N27104="","",'Master Barang'!B98)</f>
        <v>0</v>
      </c>
      <c r="P27104">
        <f>IF(OR(M27104="",N27104=""),"",SUMIFS('Barang Keluar'!$E:$E,'Barang Keluar'!$A:$A,M27104,'Barang Keluar'!$C:$C,N27104))</f>
        <v>0</v>
      </c>
    </row>
    <row r="27105" spans="13:16">
      <c r="M27105" s="49">
        <f>IF($A$4+270&gt;$B$4,"",$A$4+270)</f>
        <v>46293</v>
      </c>
      <c r="N27105">
        <f>IF(M27105="","",'Master Barang'!A99)</f>
        <v>0</v>
      </c>
      <c r="O27105">
        <f>IF(N27105="","",'Master Barang'!B99)</f>
        <v>0</v>
      </c>
      <c r="P27105">
        <f>IF(OR(M27105="",N27105=""),"",SUMIFS('Barang Keluar'!$E:$E,'Barang Keluar'!$A:$A,M27105,'Barang Keluar'!$C:$C,N27105))</f>
        <v>0</v>
      </c>
    </row>
    <row r="27106" spans="13:16">
      <c r="M27106" s="49">
        <f>IF($A$4+270&gt;$B$4,"",$A$4+270)</f>
        <v>46293</v>
      </c>
      <c r="N27106">
        <f>IF(M27106="","",'Master Barang'!A100)</f>
        <v>0</v>
      </c>
      <c r="O27106">
        <f>IF(N27106="","",'Master Barang'!B100)</f>
        <v>0</v>
      </c>
      <c r="P27106">
        <f>IF(OR(M27106="",N27106=""),"",SUMIFS('Barang Keluar'!$E:$E,'Barang Keluar'!$A:$A,M27106,'Barang Keluar'!$C:$C,N27106))</f>
        <v>0</v>
      </c>
    </row>
    <row r="27107" spans="13:16">
      <c r="M27107" s="49">
        <f>IF($A$4+270&gt;$B$4,"",$A$4+270)</f>
        <v>46293</v>
      </c>
      <c r="N27107">
        <f>IF(M27107="","",'Master Barang'!A101)</f>
        <v>0</v>
      </c>
      <c r="O27107">
        <f>IF(N27107="","",'Master Barang'!B101)</f>
        <v>0</v>
      </c>
      <c r="P27107">
        <f>IF(OR(M27107="",N27107=""),"",SUMIFS('Barang Keluar'!$E:$E,'Barang Keluar'!$A:$A,M27107,'Barang Keluar'!$C:$C,N27107))</f>
        <v>0</v>
      </c>
    </row>
    <row r="27108" spans="13:16">
      <c r="M27108" s="49">
        <f>IF($A$4+271&gt;$B$4,"",$A$4+271)</f>
        <v>46294</v>
      </c>
      <c r="N27108" t="str">
        <f>IF(M27108="","",'Master Barang'!A2)</f>
        <v>PRL-001</v>
      </c>
      <c r="O27108" t="str">
        <f>IF(N27108="","",'Master Barang'!B2)</f>
        <v>natura desinfectant food grade 5l</v>
      </c>
      <c r="P27108">
        <f>IF(OR(M27108="",N27108=""),"",SUMIFS('Barang Keluar'!$E:$E,'Barang Keluar'!$A:$A,M27108,'Barang Keluar'!$C:$C,N27108))</f>
        <v>0</v>
      </c>
    </row>
    <row r="27109" spans="13:16">
      <c r="M27109" s="49">
        <f>IF($A$4+271&gt;$B$4,"",$A$4+271)</f>
        <v>46294</v>
      </c>
      <c r="N27109" t="str">
        <f>IF(M27109="","",'Master Barang'!A3)</f>
        <v>PRL-002</v>
      </c>
      <c r="O27109" t="str">
        <f>IF(N27109="","",'Master Barang'!B3)</f>
        <v>sunlight cairan pencuci piring 5l</v>
      </c>
      <c r="P27109">
        <f>IF(OR(M27109="",N27109=""),"",SUMIFS('Barang Keluar'!$E:$E,'Barang Keluar'!$A:$A,M27109,'Barang Keluar'!$C:$C,N27109))</f>
        <v>0</v>
      </c>
    </row>
    <row r="27110" spans="13:16">
      <c r="M27110" s="49">
        <f>IF($A$4+271&gt;$B$4,"",$A$4+271)</f>
        <v>46294</v>
      </c>
      <c r="N27110" t="str">
        <f>IF(M27110="","",'Master Barang'!A4)</f>
        <v>PRL-003</v>
      </c>
      <c r="O27110" t="str">
        <f>IF(N27110="","",'Master Barang'!B4)</f>
        <v>oixs cleaner 1l</v>
      </c>
      <c r="P27110">
        <f>IF(OR(M27110="",N27110=""),"",SUMIFS('Barang Keluar'!$E:$E,'Barang Keluar'!$A:$A,M27110,'Barang Keluar'!$C:$C,N27110))</f>
        <v>0</v>
      </c>
    </row>
    <row r="27111" spans="13:16">
      <c r="M27111" s="49">
        <f>IF($A$4+271&gt;$B$4,"",$A$4+271)</f>
        <v>46294</v>
      </c>
      <c r="N27111" t="str">
        <f>IF(M27111="","",'Master Barang'!A5)</f>
        <v>PRL-004</v>
      </c>
      <c r="O27111" t="str">
        <f>IF(N27111="","",'Master Barang'!B5)</f>
        <v>be clean tissue serbaguna</v>
      </c>
      <c r="P27111">
        <f>IF(OR(M27111="",N27111=""),"",SUMIFS('Barang Keluar'!$E:$E,'Barang Keluar'!$A:$A,M27111,'Barang Keluar'!$C:$C,N27111))</f>
        <v>0</v>
      </c>
    </row>
    <row r="27112" spans="13:16">
      <c r="M27112" s="49">
        <f>IF($A$4+271&gt;$B$4,"",$A$4+271)</f>
        <v>46294</v>
      </c>
      <c r="N27112" t="str">
        <f>IF(M27112="","",'Master Barang'!A6)</f>
        <v>PRL-005</v>
      </c>
      <c r="O27112" t="str">
        <f>IF(N27112="","",'Master Barang'!B6)</f>
        <v>spons cuci hijau</v>
      </c>
      <c r="P27112">
        <f>IF(OR(M27112="",N27112=""),"",SUMIFS('Barang Keluar'!$E:$E,'Barang Keluar'!$A:$A,M27112,'Barang Keluar'!$C:$C,N27112))</f>
        <v>0</v>
      </c>
    </row>
    <row r="27113" spans="13:16">
      <c r="M27113" s="49">
        <f>IF($A$4+271&gt;$B$4,"",$A$4+271)</f>
        <v>46294</v>
      </c>
      <c r="N27113" t="str">
        <f>IF(M27113="","",'Master Barang'!A7)</f>
        <v>PRL-006</v>
      </c>
      <c r="O27113" t="str">
        <f>IF(N27113="","",'Master Barang'!B7)</f>
        <v>sabut cuci stainless</v>
      </c>
      <c r="P27113">
        <f>IF(OR(M27113="",N27113=""),"",SUMIFS('Barang Keluar'!$E:$E,'Barang Keluar'!$A:$A,M27113,'Barang Keluar'!$C:$C,N27113))</f>
        <v>0</v>
      </c>
    </row>
    <row r="27114" spans="13:16">
      <c r="M27114" s="49">
        <f>IF($A$4+271&gt;$B$4,"",$A$4+271)</f>
        <v>46294</v>
      </c>
      <c r="N27114" t="str">
        <f>IF(M27114="","",'Master Barang'!A8)</f>
        <v>PRL-007</v>
      </c>
      <c r="O27114" t="str">
        <f>IF(N27114="","",'Master Barang'!B8)</f>
        <v>plastik kresek besar merah 50pc</v>
      </c>
      <c r="P27114">
        <f>IF(OR(M27114="",N27114=""),"",SUMIFS('Barang Keluar'!$E:$E,'Barang Keluar'!$A:$A,M27114,'Barang Keluar'!$C:$C,N27114))</f>
        <v>0</v>
      </c>
    </row>
    <row r="27115" spans="13:16">
      <c r="M27115" s="49">
        <f>IF($A$4+271&gt;$B$4,"",$A$4+271)</f>
        <v>46294</v>
      </c>
      <c r="N27115" t="str">
        <f>IF(M27115="","",'Master Barang'!A9)</f>
        <v>PRL-008</v>
      </c>
      <c r="O27115" t="str">
        <f>IF(N27115="","",'Master Barang'!B9)</f>
        <v>lap besar</v>
      </c>
      <c r="P27115">
        <f>IF(OR(M27115="",N27115=""),"",SUMIFS('Barang Keluar'!$E:$E,'Barang Keluar'!$A:$A,M27115,'Barang Keluar'!$C:$C,N27115))</f>
        <v>0</v>
      </c>
    </row>
    <row r="27116" spans="13:16">
      <c r="M27116" s="49">
        <f>IF($A$4+271&gt;$B$4,"",$A$4+271)</f>
        <v>46294</v>
      </c>
      <c r="N27116" t="str">
        <f>IF(M27116="","",'Master Barang'!A10)</f>
        <v>PRL-009</v>
      </c>
      <c r="O27116" t="str">
        <f>IF(N27116="","",'Master Barang'!B10)</f>
        <v>lap microfiber</v>
      </c>
      <c r="P27116">
        <f>IF(OR(M27116="",N27116=""),"",SUMIFS('Barang Keluar'!$E:$E,'Barang Keluar'!$A:$A,M27116,'Barang Keluar'!$C:$C,N27116))</f>
        <v>0</v>
      </c>
    </row>
    <row r="27117" spans="13:16">
      <c r="M27117" s="49">
        <f>IF($A$4+271&gt;$B$4,"",$A$4+271)</f>
        <v>46294</v>
      </c>
      <c r="N27117" t="str">
        <f>IF(M27117="","",'Master Barang'!A11)</f>
        <v>PRL-010</v>
      </c>
      <c r="O27117" t="str">
        <f>IF(N27117="","",'Master Barang'!B11)</f>
        <v>lap kecil</v>
      </c>
      <c r="P27117">
        <f>IF(OR(M27117="",N27117=""),"",SUMIFS('Barang Keluar'!$E:$E,'Barang Keluar'!$A:$A,M27117,'Barang Keluar'!$C:$C,N27117))</f>
        <v>0</v>
      </c>
    </row>
    <row r="27118" spans="13:16">
      <c r="M27118" s="49">
        <f>IF($A$4+271&gt;$B$4,"",$A$4+271)</f>
        <v>46294</v>
      </c>
      <c r="N27118" t="str">
        <f>IF(M27118="","",'Master Barang'!A12)</f>
        <v>PRL-011</v>
      </c>
      <c r="O27118" t="str">
        <f>IF(N27118="","",'Master Barang'!B12)</f>
        <v>kanebo kecil</v>
      </c>
      <c r="P27118">
        <f>IF(OR(M27118="",N27118=""),"",SUMIFS('Barang Keluar'!$E:$E,'Barang Keluar'!$A:$A,M27118,'Barang Keluar'!$C:$C,N27118))</f>
        <v>0</v>
      </c>
    </row>
    <row r="27119" spans="13:16">
      <c r="M27119" s="49">
        <f>IF($A$4+271&gt;$B$4,"",$A$4+271)</f>
        <v>46294</v>
      </c>
      <c r="N27119" t="str">
        <f>IF(M27119="","",'Master Barang'!A13)</f>
        <v>PRL-012</v>
      </c>
      <c r="O27119" t="str">
        <f>IF(N27119="","",'Master Barang'!B13)</f>
        <v>plastik 1/4kg joyoboyo 100 lembar</v>
      </c>
      <c r="P27119">
        <f>IF(OR(M27119="",N27119=""),"",SUMIFS('Barang Keluar'!$E:$E,'Barang Keluar'!$A:$A,M27119,'Barang Keluar'!$C:$C,N27119))</f>
        <v>0</v>
      </c>
    </row>
    <row r="27120" spans="13:16">
      <c r="M27120" s="49">
        <f>IF($A$4+271&gt;$B$4,"",$A$4+271)</f>
        <v>46294</v>
      </c>
      <c r="N27120" t="str">
        <f>IF(M27120="","",'Master Barang'!A14)</f>
        <v>PRL-013</v>
      </c>
      <c r="O27120" t="str">
        <f>IF(N27120="","",'Master Barang'!B14)</f>
        <v>sarung tangan plastik kaka 100 pcs</v>
      </c>
      <c r="P27120">
        <f>IF(OR(M27120="",N27120=""),"",SUMIFS('Barang Keluar'!$E:$E,'Barang Keluar'!$A:$A,M27120,'Barang Keluar'!$C:$C,N27120))</f>
        <v>0</v>
      </c>
    </row>
    <row r="27121" spans="13:16">
      <c r="M27121" s="49">
        <f>IF($A$4+271&gt;$B$4,"",$A$4+271)</f>
        <v>46294</v>
      </c>
      <c r="N27121" t="str">
        <f>IF(M27121="","",'Master Barang'!A15)</f>
        <v>PRL-014</v>
      </c>
      <c r="O27121" t="str">
        <f>IF(N27121="","",'Master Barang'!B15)</f>
        <v>optima trashbag 80x100</v>
      </c>
      <c r="P27121">
        <f>IF(OR(M27121="",N27121=""),"",SUMIFS('Barang Keluar'!$E:$E,'Barang Keluar'!$A:$A,M27121,'Barang Keluar'!$C:$C,N27121))</f>
        <v>0</v>
      </c>
    </row>
    <row r="27122" spans="13:16">
      <c r="M27122" s="49">
        <f>IF($A$4+271&gt;$B$4,"",$A$4+271)</f>
        <v>46294</v>
      </c>
      <c r="N27122" t="str">
        <f>IF(M27122="","",'Master Barang'!A16)</f>
        <v>PRL-015</v>
      </c>
      <c r="O27122" t="str">
        <f>IF(N27122="","",'Master Barang'!B16)</f>
        <v>optima trashbag 60x100</v>
      </c>
      <c r="P27122">
        <f>IF(OR(M27122="",N27122=""),"",SUMIFS('Barang Keluar'!$E:$E,'Barang Keluar'!$A:$A,M27122,'Barang Keluar'!$C:$C,N27122))</f>
        <v>0</v>
      </c>
    </row>
    <row r="27123" spans="13:16">
      <c r="M27123" s="49">
        <f>IF($A$4+271&gt;$B$4,"",$A$4+271)</f>
        <v>46294</v>
      </c>
      <c r="N27123" t="str">
        <f>IF(M27123="","",'Master Barang'!A17)</f>
        <v>PRL-016</v>
      </c>
      <c r="O27123" t="str">
        <f>IF(N27123="","",'Master Barang'!B17)</f>
        <v>rajawali trashbag 30x40</v>
      </c>
      <c r="P27123">
        <f>IF(OR(M27123="",N27123=""),"",SUMIFS('Barang Keluar'!$E:$E,'Barang Keluar'!$A:$A,M27123,'Barang Keluar'!$C:$C,N27123))</f>
        <v>0</v>
      </c>
    </row>
    <row r="27124" spans="13:16">
      <c r="M27124" s="49">
        <f>IF($A$4+271&gt;$B$4,"",$A$4+271)</f>
        <v>46294</v>
      </c>
      <c r="N27124" t="str">
        <f>IF(M27124="","",'Master Barang'!A18)</f>
        <v>PRL-017</v>
      </c>
      <c r="O27124" t="str">
        <f>IF(N27124="","",'Master Barang'!B18)</f>
        <v>onemed masker biru 3 play 50 pcs</v>
      </c>
      <c r="P27124">
        <f>IF(OR(M27124="",N27124=""),"",SUMIFS('Barang Keluar'!$E:$E,'Barang Keluar'!$A:$A,M27124,'Barang Keluar'!$C:$C,N27124))</f>
        <v>0</v>
      </c>
    </row>
    <row r="27125" spans="13:16">
      <c r="M27125" s="49">
        <f>IF($A$4+271&gt;$B$4,"",$A$4+271)</f>
        <v>46294</v>
      </c>
      <c r="N27125" t="str">
        <f>IF(M27125="","",'Master Barang'!A19)</f>
        <v>PRL-018</v>
      </c>
      <c r="O27125" t="str">
        <f>IF(N27125="","",'Master Barang'!B19)</f>
        <v>onemed masker biru 3 play hijab 50 pcs</v>
      </c>
      <c r="P27125">
        <f>IF(OR(M27125="",N27125=""),"",SUMIFS('Barang Keluar'!$E:$E,'Barang Keluar'!$A:$A,M27125,'Barang Keluar'!$C:$C,N27125))</f>
        <v>0</v>
      </c>
    </row>
    <row r="27126" spans="13:16">
      <c r="M27126" s="49">
        <f>IF($A$4+271&gt;$B$4,"",$A$4+271)</f>
        <v>46294</v>
      </c>
      <c r="N27126" t="str">
        <f>IF(M27126="","",'Master Barang'!A20)</f>
        <v>PRL-019</v>
      </c>
      <c r="O27126" t="str">
        <f>IF(N27126="","",'Master Barang'!B20)</f>
        <v>neo health masker biru 3 play 50 pcs</v>
      </c>
      <c r="P27126">
        <f>IF(OR(M27126="",N27126=""),"",SUMIFS('Barang Keluar'!$E:$E,'Barang Keluar'!$A:$A,M27126,'Barang Keluar'!$C:$C,N27126))</f>
        <v>0</v>
      </c>
    </row>
    <row r="27127" spans="13:16">
      <c r="M27127" s="49">
        <f>IF($A$4+271&gt;$B$4,"",$A$4+271)</f>
        <v>46294</v>
      </c>
      <c r="N27127" t="str">
        <f>IF(M27127="","",'Master Barang'!A21)</f>
        <v>PRL-020</v>
      </c>
      <c r="O27127" t="str">
        <f>IF(N27127="","",'Master Barang'!B21)</f>
        <v>baymed masker hijau 3 play hijau 50 pcs</v>
      </c>
      <c r="P27127">
        <f>IF(OR(M27127="",N27127=""),"",SUMIFS('Barang Keluar'!$E:$E,'Barang Keluar'!$A:$A,M27127,'Barang Keluar'!$C:$C,N27127))</f>
        <v>0</v>
      </c>
    </row>
    <row r="27128" spans="13:16">
      <c r="M27128" s="49">
        <f>IF($A$4+271&gt;$B$4,"",$A$4+271)</f>
        <v>46294</v>
      </c>
      <c r="N27128" t="str">
        <f>IF(M27128="","",'Master Barang'!A22)</f>
        <v>PRL-021</v>
      </c>
      <c r="O27128" t="str">
        <f>IF(N27128="","",'Master Barang'!B22)</f>
        <v>altamed nurse cap penutup kepala 100 pcs</v>
      </c>
      <c r="P27128">
        <f>IF(OR(M27128="",N27128=""),"",SUMIFS('Barang Keluar'!$E:$E,'Barang Keluar'!$A:$A,M27128,'Barang Keluar'!$C:$C,N27128))</f>
        <v>0</v>
      </c>
    </row>
    <row r="27129" spans="13:16">
      <c r="M27129" s="49">
        <f>IF($A$4+271&gt;$B$4,"",$A$4+271)</f>
        <v>46294</v>
      </c>
      <c r="N27129" t="str">
        <f>IF(M27129="","",'Master Barang'!A23)</f>
        <v>PRL-022</v>
      </c>
      <c r="O27129" t="str">
        <f>IF(N27129="","",'Master Barang'!B23)</f>
        <v>sabun cuci tangan</v>
      </c>
      <c r="P27129">
        <f>IF(OR(M27129="",N27129=""),"",SUMIFS('Barang Keluar'!$E:$E,'Barang Keluar'!$A:$A,M27129,'Barang Keluar'!$C:$C,N27129))</f>
        <v>0</v>
      </c>
    </row>
    <row r="27130" spans="13:16">
      <c r="M27130" s="49">
        <f>IF($A$4+271&gt;$B$4,"",$A$4+271)</f>
        <v>46294</v>
      </c>
      <c r="N27130" t="str">
        <f>IF(M27130="","",'Master Barang'!A24)</f>
        <v>PRL-023</v>
      </c>
      <c r="O27130" t="str">
        <f>IF(N27130="","",'Master Barang'!B24)</f>
        <v>gayung kecil</v>
      </c>
      <c r="P27130">
        <f>IF(OR(M27130="",N27130=""),"",SUMIFS('Barang Keluar'!$E:$E,'Barang Keluar'!$A:$A,M27130,'Barang Keluar'!$C:$C,N27130))</f>
        <v>0</v>
      </c>
    </row>
    <row r="27131" spans="13:16">
      <c r="M27131" s="49">
        <f>IF($A$4+271&gt;$B$4,"",$A$4+271)</f>
        <v>46294</v>
      </c>
      <c r="N27131" t="str">
        <f>IF(M27131="","",'Master Barang'!A25)</f>
        <v>PRL-024</v>
      </c>
      <c r="O27131" t="str">
        <f>IF(N27131="","",'Master Barang'!B25)</f>
        <v>cikrak kecil</v>
      </c>
      <c r="P27131">
        <f>IF(OR(M27131="",N27131=""),"",SUMIFS('Barang Keluar'!$E:$E,'Barang Keluar'!$A:$A,M27131,'Barang Keluar'!$C:$C,N27131))</f>
        <v>0</v>
      </c>
    </row>
    <row r="27132" spans="13:16">
      <c r="M27132" s="49">
        <f>IF($A$4+271&gt;$B$4,"",$A$4+271)</f>
        <v>46294</v>
      </c>
      <c r="N27132" t="str">
        <f>IF(M27132="","",'Master Barang'!A26)</f>
        <v>PRL-025</v>
      </c>
      <c r="O27132" t="str">
        <f>IF(N27132="","",'Master Barang'!B26)</f>
        <v>petromax plastik kecil 12x24 100 lembar</v>
      </c>
      <c r="P27132">
        <f>IF(OR(M27132="",N27132=""),"",SUMIFS('Barang Keluar'!$E:$E,'Barang Keluar'!$A:$A,M27132,'Barang Keluar'!$C:$C,N27132))</f>
        <v>0</v>
      </c>
    </row>
    <row r="27133" spans="13:16">
      <c r="M27133" s="49">
        <f>IF($A$4+271&gt;$B$4,"",$A$4+271)</f>
        <v>46294</v>
      </c>
      <c r="N27133" t="str">
        <f>IF(M27133="","",'Master Barang'!A27)</f>
        <v>PRL-026</v>
      </c>
      <c r="O27133" t="str">
        <f>IF(N27133="","",'Master Barang'!B27)</f>
        <v>lancar kresek kecil bening </v>
      </c>
      <c r="P27133">
        <f>IF(OR(M27133="",N27133=""),"",SUMIFS('Barang Keluar'!$E:$E,'Barang Keluar'!$A:$A,M27133,'Barang Keluar'!$C:$C,N27133))</f>
        <v>0</v>
      </c>
    </row>
    <row r="27134" spans="13:16">
      <c r="M27134" s="49">
        <f>IF($A$4+271&gt;$B$4,"",$A$4+271)</f>
        <v>46294</v>
      </c>
      <c r="N27134" t="str">
        <f>IF(M27134="","",'Master Barang'!A28)</f>
        <v>PRL-027</v>
      </c>
      <c r="O27134" t="str">
        <f>IF(N27134="","",'Master Barang'!B28)</f>
        <v>kresek klin warna warni kecil</v>
      </c>
      <c r="P27134">
        <f>IF(OR(M27134="",N27134=""),"",SUMIFS('Barang Keluar'!$E:$E,'Barang Keluar'!$A:$A,M27134,'Barang Keluar'!$C:$C,N27134))</f>
        <v>0</v>
      </c>
    </row>
    <row r="27135" spans="13:16">
      <c r="M27135" s="49">
        <f>IF($A$4+271&gt;$B$4,"",$A$4+271)</f>
        <v>46294</v>
      </c>
      <c r="N27135" t="str">
        <f>IF(M27135="","",'Master Barang'!A29)</f>
        <v>PRL-028</v>
      </c>
      <c r="O27135" t="str">
        <f>IF(N27135="","",'Master Barang'!B29)</f>
        <v>ctik plastik 7x10 100 pcs</v>
      </c>
      <c r="P27135">
        <f>IF(OR(M27135="",N27135=""),"",SUMIFS('Barang Keluar'!$E:$E,'Barang Keluar'!$A:$A,M27135,'Barang Keluar'!$C:$C,N27135))</f>
        <v>0</v>
      </c>
    </row>
    <row r="27136" spans="13:16">
      <c r="M27136" s="49">
        <f>IF($A$4+271&gt;$B$4,"",$A$4+271)</f>
        <v>46294</v>
      </c>
      <c r="N27136" t="str">
        <f>IF(M27136="","",'Master Barang'!A30)</f>
        <v>PRL-029</v>
      </c>
      <c r="O27136" t="str">
        <f>IF(N27136="","",'Master Barang'!B30)</f>
        <v>ctik plastik 6x10 100 pcs</v>
      </c>
      <c r="P27136">
        <f>IF(OR(M27136="",N27136=""),"",SUMIFS('Barang Keluar'!$E:$E,'Barang Keluar'!$A:$A,M27136,'Barang Keluar'!$C:$C,N27136))</f>
        <v>0</v>
      </c>
    </row>
    <row r="27137" spans="13:16">
      <c r="M27137" s="49">
        <f>IF($A$4+271&gt;$B$4,"",$A$4+271)</f>
        <v>46294</v>
      </c>
      <c r="N27137" t="str">
        <f>IF(M27137="","",'Master Barang'!A31)</f>
        <v>PRL-030</v>
      </c>
      <c r="O27137" t="str">
        <f>IF(N27137="","",'Master Barang'!B31)</f>
        <v>klip plastik 25x16 100 pcs</v>
      </c>
      <c r="P27137">
        <f>IF(OR(M27137="",N27137=""),"",SUMIFS('Barang Keluar'!$E:$E,'Barang Keluar'!$A:$A,M27137,'Barang Keluar'!$C:$C,N27137))</f>
        <v>0</v>
      </c>
    </row>
    <row r="27138" spans="13:16">
      <c r="M27138" s="49">
        <f>IF($A$4+271&gt;$B$4,"",$A$4+271)</f>
        <v>46294</v>
      </c>
      <c r="N27138" t="str">
        <f>IF(M27138="","",'Master Barang'!A32)</f>
        <v>PRL-031</v>
      </c>
      <c r="O27138" t="str">
        <f>IF(N27138="","",'Master Barang'!B32)</f>
        <v>tempat saus 20 ml</v>
      </c>
      <c r="P27138">
        <f>IF(OR(M27138="",N27138=""),"",SUMIFS('Barang Keluar'!$E:$E,'Barang Keluar'!$A:$A,M27138,'Barang Keluar'!$C:$C,N27138))</f>
        <v>0</v>
      </c>
    </row>
    <row r="27139" spans="13:16">
      <c r="M27139" s="49">
        <f>IF($A$4+271&gt;$B$4,"",$A$4+271)</f>
        <v>46294</v>
      </c>
      <c r="N27139" t="str">
        <f>IF(M27139="","",'Master Barang'!A33)</f>
        <v>PRL-032</v>
      </c>
      <c r="O27139" t="str">
        <f>IF(N27139="","",'Master Barang'!B33)</f>
        <v>plastik packaging ag box uk sedang</v>
      </c>
      <c r="P27139">
        <f>IF(OR(M27139="",N27139=""),"",SUMIFS('Barang Keluar'!$E:$E,'Barang Keluar'!$A:$A,M27139,'Barang Keluar'!$C:$C,N27139))</f>
        <v>0</v>
      </c>
    </row>
    <row r="27140" spans="13:16">
      <c r="M27140" s="49">
        <f>IF($A$4+271&gt;$B$4,"",$A$4+271)</f>
        <v>46294</v>
      </c>
      <c r="N27140" t="str">
        <f>IF(M27140="","",'Master Barang'!A34)</f>
        <v>PRL-033</v>
      </c>
      <c r="O27140">
        <f>IF(N27140="","",'Master Barang'!B34)</f>
        <v>0</v>
      </c>
      <c r="P27140">
        <f>IF(OR(M27140="",N27140=""),"",SUMIFS('Barang Keluar'!$E:$E,'Barang Keluar'!$A:$A,M27140,'Barang Keluar'!$C:$C,N27140))</f>
        <v>0</v>
      </c>
    </row>
    <row r="27141" spans="13:16">
      <c r="M27141" s="49">
        <f>IF($A$4+271&gt;$B$4,"",$A$4+271)</f>
        <v>46294</v>
      </c>
      <c r="N27141">
        <f>IF(M27141="","",'Master Barang'!A35)</f>
        <v>0</v>
      </c>
      <c r="O27141">
        <f>IF(N27141="","",'Master Barang'!B35)</f>
        <v>0</v>
      </c>
      <c r="P27141">
        <f>IF(OR(M27141="",N27141=""),"",SUMIFS('Barang Keluar'!$E:$E,'Barang Keluar'!$A:$A,M27141,'Barang Keluar'!$C:$C,N27141))</f>
        <v>0</v>
      </c>
    </row>
    <row r="27142" spans="13:16">
      <c r="M27142" s="49">
        <f>IF($A$4+271&gt;$B$4,"",$A$4+271)</f>
        <v>46294</v>
      </c>
      <c r="N27142">
        <f>IF(M27142="","",'Master Barang'!A36)</f>
        <v>0</v>
      </c>
      <c r="O27142">
        <f>IF(N27142="","",'Master Barang'!B36)</f>
        <v>0</v>
      </c>
      <c r="P27142">
        <f>IF(OR(M27142="",N27142=""),"",SUMIFS('Barang Keluar'!$E:$E,'Barang Keluar'!$A:$A,M27142,'Barang Keluar'!$C:$C,N27142))</f>
        <v>0</v>
      </c>
    </row>
    <row r="27143" spans="13:16">
      <c r="M27143" s="49">
        <f>IF($A$4+271&gt;$B$4,"",$A$4+271)</f>
        <v>46294</v>
      </c>
      <c r="N27143">
        <f>IF(M27143="","",'Master Barang'!A37)</f>
        <v>0</v>
      </c>
      <c r="O27143">
        <f>IF(N27143="","",'Master Barang'!B37)</f>
        <v>0</v>
      </c>
      <c r="P27143">
        <f>IF(OR(M27143="",N27143=""),"",SUMIFS('Barang Keluar'!$E:$E,'Barang Keluar'!$A:$A,M27143,'Barang Keluar'!$C:$C,N27143))</f>
        <v>0</v>
      </c>
    </row>
    <row r="27144" spans="13:16">
      <c r="M27144" s="49">
        <f>IF($A$4+271&gt;$B$4,"",$A$4+271)</f>
        <v>46294</v>
      </c>
      <c r="N27144">
        <f>IF(M27144="","",'Master Barang'!A38)</f>
        <v>0</v>
      </c>
      <c r="O27144">
        <f>IF(N27144="","",'Master Barang'!B38)</f>
        <v>0</v>
      </c>
      <c r="P27144">
        <f>IF(OR(M27144="",N27144=""),"",SUMIFS('Barang Keluar'!$E:$E,'Barang Keluar'!$A:$A,M27144,'Barang Keluar'!$C:$C,N27144))</f>
        <v>0</v>
      </c>
    </row>
    <row r="27145" spans="13:16">
      <c r="M27145" s="49">
        <f>IF($A$4+271&gt;$B$4,"",$A$4+271)</f>
        <v>46294</v>
      </c>
      <c r="N27145">
        <f>IF(M27145="","",'Master Barang'!A39)</f>
        <v>0</v>
      </c>
      <c r="O27145">
        <f>IF(N27145="","",'Master Barang'!B39)</f>
        <v>0</v>
      </c>
      <c r="P27145">
        <f>IF(OR(M27145="",N27145=""),"",SUMIFS('Barang Keluar'!$E:$E,'Barang Keluar'!$A:$A,M27145,'Barang Keluar'!$C:$C,N27145))</f>
        <v>0</v>
      </c>
    </row>
    <row r="27146" spans="13:16">
      <c r="M27146" s="49">
        <f>IF($A$4+271&gt;$B$4,"",$A$4+271)</f>
        <v>46294</v>
      </c>
      <c r="N27146">
        <f>IF(M27146="","",'Master Barang'!A40)</f>
        <v>0</v>
      </c>
      <c r="O27146">
        <f>IF(N27146="","",'Master Barang'!B40)</f>
        <v>0</v>
      </c>
      <c r="P27146">
        <f>IF(OR(M27146="",N27146=""),"",SUMIFS('Barang Keluar'!$E:$E,'Barang Keluar'!$A:$A,M27146,'Barang Keluar'!$C:$C,N27146))</f>
        <v>0</v>
      </c>
    </row>
    <row r="27147" spans="13:16">
      <c r="M27147" s="49">
        <f>IF($A$4+271&gt;$B$4,"",$A$4+271)</f>
        <v>46294</v>
      </c>
      <c r="N27147">
        <f>IF(M27147="","",'Master Barang'!A41)</f>
        <v>0</v>
      </c>
      <c r="O27147">
        <f>IF(N27147="","",'Master Barang'!B41)</f>
        <v>0</v>
      </c>
      <c r="P27147">
        <f>IF(OR(M27147="",N27147=""),"",SUMIFS('Barang Keluar'!$E:$E,'Barang Keluar'!$A:$A,M27147,'Barang Keluar'!$C:$C,N27147))</f>
        <v>0</v>
      </c>
    </row>
    <row r="27148" spans="13:16">
      <c r="M27148" s="49">
        <f>IF($A$4+271&gt;$B$4,"",$A$4+271)</f>
        <v>46294</v>
      </c>
      <c r="N27148">
        <f>IF(M27148="","",'Master Barang'!A42)</f>
        <v>0</v>
      </c>
      <c r="O27148">
        <f>IF(N27148="","",'Master Barang'!B42)</f>
        <v>0</v>
      </c>
      <c r="P27148">
        <f>IF(OR(M27148="",N27148=""),"",SUMIFS('Barang Keluar'!$E:$E,'Barang Keluar'!$A:$A,M27148,'Barang Keluar'!$C:$C,N27148))</f>
        <v>0</v>
      </c>
    </row>
    <row r="27149" spans="13:16">
      <c r="M27149" s="49">
        <f>IF($A$4+271&gt;$B$4,"",$A$4+271)</f>
        <v>46294</v>
      </c>
      <c r="N27149">
        <f>IF(M27149="","",'Master Barang'!A43)</f>
        <v>0</v>
      </c>
      <c r="O27149">
        <f>IF(N27149="","",'Master Barang'!B43)</f>
        <v>0</v>
      </c>
      <c r="P27149">
        <f>IF(OR(M27149="",N27149=""),"",SUMIFS('Barang Keluar'!$E:$E,'Barang Keluar'!$A:$A,M27149,'Barang Keluar'!$C:$C,N27149))</f>
        <v>0</v>
      </c>
    </row>
    <row r="27150" spans="13:16">
      <c r="M27150" s="49">
        <f>IF($A$4+271&gt;$B$4,"",$A$4+271)</f>
        <v>46294</v>
      </c>
      <c r="N27150">
        <f>IF(M27150="","",'Master Barang'!A44)</f>
        <v>0</v>
      </c>
      <c r="O27150">
        <f>IF(N27150="","",'Master Barang'!B44)</f>
        <v>0</v>
      </c>
      <c r="P27150">
        <f>IF(OR(M27150="",N27150=""),"",SUMIFS('Barang Keluar'!$E:$E,'Barang Keluar'!$A:$A,M27150,'Barang Keluar'!$C:$C,N27150))</f>
        <v>0</v>
      </c>
    </row>
    <row r="27151" spans="13:16">
      <c r="M27151" s="49">
        <f>IF($A$4+271&gt;$B$4,"",$A$4+271)</f>
        <v>46294</v>
      </c>
      <c r="N27151">
        <f>IF(M27151="","",'Master Barang'!A45)</f>
        <v>0</v>
      </c>
      <c r="O27151">
        <f>IF(N27151="","",'Master Barang'!B45)</f>
        <v>0</v>
      </c>
      <c r="P27151">
        <f>IF(OR(M27151="",N27151=""),"",SUMIFS('Barang Keluar'!$E:$E,'Barang Keluar'!$A:$A,M27151,'Barang Keluar'!$C:$C,N27151))</f>
        <v>0</v>
      </c>
    </row>
    <row r="27152" spans="13:16">
      <c r="M27152" s="49">
        <f>IF($A$4+271&gt;$B$4,"",$A$4+271)</f>
        <v>46294</v>
      </c>
      <c r="N27152">
        <f>IF(M27152="","",'Master Barang'!A46)</f>
        <v>0</v>
      </c>
      <c r="O27152">
        <f>IF(N27152="","",'Master Barang'!B46)</f>
        <v>0</v>
      </c>
      <c r="P27152">
        <f>IF(OR(M27152="",N27152=""),"",SUMIFS('Barang Keluar'!$E:$E,'Barang Keluar'!$A:$A,M27152,'Barang Keluar'!$C:$C,N27152))</f>
        <v>0</v>
      </c>
    </row>
    <row r="27153" spans="13:16">
      <c r="M27153" s="49">
        <f>IF($A$4+271&gt;$B$4,"",$A$4+271)</f>
        <v>46294</v>
      </c>
      <c r="N27153">
        <f>IF(M27153="","",'Master Barang'!A47)</f>
        <v>0</v>
      </c>
      <c r="O27153">
        <f>IF(N27153="","",'Master Barang'!B47)</f>
        <v>0</v>
      </c>
      <c r="P27153">
        <f>IF(OR(M27153="",N27153=""),"",SUMIFS('Barang Keluar'!$E:$E,'Barang Keluar'!$A:$A,M27153,'Barang Keluar'!$C:$C,N27153))</f>
        <v>0</v>
      </c>
    </row>
    <row r="27154" spans="13:16">
      <c r="M27154" s="49">
        <f>IF($A$4+271&gt;$B$4,"",$A$4+271)</f>
        <v>46294</v>
      </c>
      <c r="N27154">
        <f>IF(M27154="","",'Master Barang'!A48)</f>
        <v>0</v>
      </c>
      <c r="O27154">
        <f>IF(N27154="","",'Master Barang'!B48)</f>
        <v>0</v>
      </c>
      <c r="P27154">
        <f>IF(OR(M27154="",N27154=""),"",SUMIFS('Barang Keluar'!$E:$E,'Barang Keluar'!$A:$A,M27154,'Barang Keluar'!$C:$C,N27154))</f>
        <v>0</v>
      </c>
    </row>
    <row r="27155" spans="13:16">
      <c r="M27155" s="49">
        <f>IF($A$4+271&gt;$B$4,"",$A$4+271)</f>
        <v>46294</v>
      </c>
      <c r="N27155">
        <f>IF(M27155="","",'Master Barang'!A49)</f>
        <v>0</v>
      </c>
      <c r="O27155">
        <f>IF(N27155="","",'Master Barang'!B49)</f>
        <v>0</v>
      </c>
      <c r="P27155">
        <f>IF(OR(M27155="",N27155=""),"",SUMIFS('Barang Keluar'!$E:$E,'Barang Keluar'!$A:$A,M27155,'Barang Keluar'!$C:$C,N27155))</f>
        <v>0</v>
      </c>
    </row>
    <row r="27156" spans="13:16">
      <c r="M27156" s="49">
        <f>IF($A$4+271&gt;$B$4,"",$A$4+271)</f>
        <v>46294</v>
      </c>
      <c r="N27156">
        <f>IF(M27156="","",'Master Barang'!A50)</f>
        <v>0</v>
      </c>
      <c r="O27156">
        <f>IF(N27156="","",'Master Barang'!B50)</f>
        <v>0</v>
      </c>
      <c r="P27156">
        <f>IF(OR(M27156="",N27156=""),"",SUMIFS('Barang Keluar'!$E:$E,'Barang Keluar'!$A:$A,M27156,'Barang Keluar'!$C:$C,N27156))</f>
        <v>0</v>
      </c>
    </row>
    <row r="27157" spans="13:16">
      <c r="M27157" s="49">
        <f>IF($A$4+271&gt;$B$4,"",$A$4+271)</f>
        <v>46294</v>
      </c>
      <c r="N27157">
        <f>IF(M27157="","",'Master Barang'!A51)</f>
        <v>0</v>
      </c>
      <c r="O27157">
        <f>IF(N27157="","",'Master Barang'!B51)</f>
        <v>0</v>
      </c>
      <c r="P27157">
        <f>IF(OR(M27157="",N27157=""),"",SUMIFS('Barang Keluar'!$E:$E,'Barang Keluar'!$A:$A,M27157,'Barang Keluar'!$C:$C,N27157))</f>
        <v>0</v>
      </c>
    </row>
    <row r="27158" spans="13:16">
      <c r="M27158" s="49">
        <f>IF($A$4+271&gt;$B$4,"",$A$4+271)</f>
        <v>46294</v>
      </c>
      <c r="N27158">
        <f>IF(M27158="","",'Master Barang'!A52)</f>
        <v>0</v>
      </c>
      <c r="O27158">
        <f>IF(N27158="","",'Master Barang'!B52)</f>
        <v>0</v>
      </c>
      <c r="P27158">
        <f>IF(OR(M27158="",N27158=""),"",SUMIFS('Barang Keluar'!$E:$E,'Barang Keluar'!$A:$A,M27158,'Barang Keluar'!$C:$C,N27158))</f>
        <v>0</v>
      </c>
    </row>
    <row r="27159" spans="13:16">
      <c r="M27159" s="49">
        <f>IF($A$4+271&gt;$B$4,"",$A$4+271)</f>
        <v>46294</v>
      </c>
      <c r="N27159">
        <f>IF(M27159="","",'Master Barang'!A53)</f>
        <v>0</v>
      </c>
      <c r="O27159">
        <f>IF(N27159="","",'Master Barang'!B53)</f>
        <v>0</v>
      </c>
      <c r="P27159">
        <f>IF(OR(M27159="",N27159=""),"",SUMIFS('Barang Keluar'!$E:$E,'Barang Keluar'!$A:$A,M27159,'Barang Keluar'!$C:$C,N27159))</f>
        <v>0</v>
      </c>
    </row>
    <row r="27160" spans="13:16">
      <c r="M27160" s="49">
        <f>IF($A$4+271&gt;$B$4,"",$A$4+271)</f>
        <v>46294</v>
      </c>
      <c r="N27160">
        <f>IF(M27160="","",'Master Barang'!A54)</f>
        <v>0</v>
      </c>
      <c r="O27160">
        <f>IF(N27160="","",'Master Barang'!B54)</f>
        <v>0</v>
      </c>
      <c r="P27160">
        <f>IF(OR(M27160="",N27160=""),"",SUMIFS('Barang Keluar'!$E:$E,'Barang Keluar'!$A:$A,M27160,'Barang Keluar'!$C:$C,N27160))</f>
        <v>0</v>
      </c>
    </row>
    <row r="27161" spans="13:16">
      <c r="M27161" s="49">
        <f>IF($A$4+271&gt;$B$4,"",$A$4+271)</f>
        <v>46294</v>
      </c>
      <c r="N27161">
        <f>IF(M27161="","",'Master Barang'!A55)</f>
        <v>0</v>
      </c>
      <c r="O27161">
        <f>IF(N27161="","",'Master Barang'!B55)</f>
        <v>0</v>
      </c>
      <c r="P27161">
        <f>IF(OR(M27161="",N27161=""),"",SUMIFS('Barang Keluar'!$E:$E,'Barang Keluar'!$A:$A,M27161,'Barang Keluar'!$C:$C,N27161))</f>
        <v>0</v>
      </c>
    </row>
    <row r="27162" spans="13:16">
      <c r="M27162" s="49">
        <f>IF($A$4+271&gt;$B$4,"",$A$4+271)</f>
        <v>46294</v>
      </c>
      <c r="N27162">
        <f>IF(M27162="","",'Master Barang'!A56)</f>
        <v>0</v>
      </c>
      <c r="O27162">
        <f>IF(N27162="","",'Master Barang'!B56)</f>
        <v>0</v>
      </c>
      <c r="P27162">
        <f>IF(OR(M27162="",N27162=""),"",SUMIFS('Barang Keluar'!$E:$E,'Barang Keluar'!$A:$A,M27162,'Barang Keluar'!$C:$C,N27162))</f>
        <v>0</v>
      </c>
    </row>
    <row r="27163" spans="13:16">
      <c r="M27163" s="49">
        <f>IF($A$4+271&gt;$B$4,"",$A$4+271)</f>
        <v>46294</v>
      </c>
      <c r="N27163">
        <f>IF(M27163="","",'Master Barang'!A57)</f>
        <v>0</v>
      </c>
      <c r="O27163">
        <f>IF(N27163="","",'Master Barang'!B57)</f>
        <v>0</v>
      </c>
      <c r="P27163">
        <f>IF(OR(M27163="",N27163=""),"",SUMIFS('Barang Keluar'!$E:$E,'Barang Keluar'!$A:$A,M27163,'Barang Keluar'!$C:$C,N27163))</f>
        <v>0</v>
      </c>
    </row>
    <row r="27164" spans="13:16">
      <c r="M27164" s="49">
        <f>IF($A$4+271&gt;$B$4,"",$A$4+271)</f>
        <v>46294</v>
      </c>
      <c r="N27164">
        <f>IF(M27164="","",'Master Barang'!A58)</f>
        <v>0</v>
      </c>
      <c r="O27164">
        <f>IF(N27164="","",'Master Barang'!B58)</f>
        <v>0</v>
      </c>
      <c r="P27164">
        <f>IF(OR(M27164="",N27164=""),"",SUMIFS('Barang Keluar'!$E:$E,'Barang Keluar'!$A:$A,M27164,'Barang Keluar'!$C:$C,N27164))</f>
        <v>0</v>
      </c>
    </row>
    <row r="27165" spans="13:16">
      <c r="M27165" s="49">
        <f>IF($A$4+271&gt;$B$4,"",$A$4+271)</f>
        <v>46294</v>
      </c>
      <c r="N27165">
        <f>IF(M27165="","",'Master Barang'!A59)</f>
        <v>0</v>
      </c>
      <c r="O27165">
        <f>IF(N27165="","",'Master Barang'!B59)</f>
        <v>0</v>
      </c>
      <c r="P27165">
        <f>IF(OR(M27165="",N27165=""),"",SUMIFS('Barang Keluar'!$E:$E,'Barang Keluar'!$A:$A,M27165,'Barang Keluar'!$C:$C,N27165))</f>
        <v>0</v>
      </c>
    </row>
    <row r="27166" spans="13:16">
      <c r="M27166" s="49">
        <f>IF($A$4+271&gt;$B$4,"",$A$4+271)</f>
        <v>46294</v>
      </c>
      <c r="N27166">
        <f>IF(M27166="","",'Master Barang'!A60)</f>
        <v>0</v>
      </c>
      <c r="O27166">
        <f>IF(N27166="","",'Master Barang'!B60)</f>
        <v>0</v>
      </c>
      <c r="P27166">
        <f>IF(OR(M27166="",N27166=""),"",SUMIFS('Barang Keluar'!$E:$E,'Barang Keluar'!$A:$A,M27166,'Barang Keluar'!$C:$C,N27166))</f>
        <v>0</v>
      </c>
    </row>
    <row r="27167" spans="13:16">
      <c r="M27167" s="49">
        <f>IF($A$4+271&gt;$B$4,"",$A$4+271)</f>
        <v>46294</v>
      </c>
      <c r="N27167">
        <f>IF(M27167="","",'Master Barang'!A61)</f>
        <v>0</v>
      </c>
      <c r="O27167">
        <f>IF(N27167="","",'Master Barang'!B61)</f>
        <v>0</v>
      </c>
      <c r="P27167">
        <f>IF(OR(M27167="",N27167=""),"",SUMIFS('Barang Keluar'!$E:$E,'Barang Keluar'!$A:$A,M27167,'Barang Keluar'!$C:$C,N27167))</f>
        <v>0</v>
      </c>
    </row>
    <row r="27168" spans="13:16">
      <c r="M27168" s="49">
        <f>IF($A$4+271&gt;$B$4,"",$A$4+271)</f>
        <v>46294</v>
      </c>
      <c r="N27168">
        <f>IF(M27168="","",'Master Barang'!A62)</f>
        <v>0</v>
      </c>
      <c r="O27168">
        <f>IF(N27168="","",'Master Barang'!B62)</f>
        <v>0</v>
      </c>
      <c r="P27168">
        <f>IF(OR(M27168="",N27168=""),"",SUMIFS('Barang Keluar'!$E:$E,'Barang Keluar'!$A:$A,M27168,'Barang Keluar'!$C:$C,N27168))</f>
        <v>0</v>
      </c>
    </row>
    <row r="27169" spans="13:16">
      <c r="M27169" s="49">
        <f>IF($A$4+271&gt;$B$4,"",$A$4+271)</f>
        <v>46294</v>
      </c>
      <c r="N27169">
        <f>IF(M27169="","",'Master Barang'!A63)</f>
        <v>0</v>
      </c>
      <c r="O27169">
        <f>IF(N27169="","",'Master Barang'!B63)</f>
        <v>0</v>
      </c>
      <c r="P27169">
        <f>IF(OR(M27169="",N27169=""),"",SUMIFS('Barang Keluar'!$E:$E,'Barang Keluar'!$A:$A,M27169,'Barang Keluar'!$C:$C,N27169))</f>
        <v>0</v>
      </c>
    </row>
    <row r="27170" spans="13:16">
      <c r="M27170" s="49">
        <f>IF($A$4+271&gt;$B$4,"",$A$4+271)</f>
        <v>46294</v>
      </c>
      <c r="N27170">
        <f>IF(M27170="","",'Master Barang'!A64)</f>
        <v>0</v>
      </c>
      <c r="O27170">
        <f>IF(N27170="","",'Master Barang'!B64)</f>
        <v>0</v>
      </c>
      <c r="P27170">
        <f>IF(OR(M27170="",N27170=""),"",SUMIFS('Barang Keluar'!$E:$E,'Barang Keluar'!$A:$A,M27170,'Barang Keluar'!$C:$C,N27170))</f>
        <v>0</v>
      </c>
    </row>
    <row r="27171" spans="13:16">
      <c r="M27171" s="49">
        <f>IF($A$4+271&gt;$B$4,"",$A$4+271)</f>
        <v>46294</v>
      </c>
      <c r="N27171">
        <f>IF(M27171="","",'Master Barang'!A65)</f>
        <v>0</v>
      </c>
      <c r="O27171">
        <f>IF(N27171="","",'Master Barang'!B65)</f>
        <v>0</v>
      </c>
      <c r="P27171">
        <f>IF(OR(M27171="",N27171=""),"",SUMIFS('Barang Keluar'!$E:$E,'Barang Keluar'!$A:$A,M27171,'Barang Keluar'!$C:$C,N27171))</f>
        <v>0</v>
      </c>
    </row>
    <row r="27172" spans="13:16">
      <c r="M27172" s="49">
        <f>IF($A$4+271&gt;$B$4,"",$A$4+271)</f>
        <v>46294</v>
      </c>
      <c r="N27172">
        <f>IF(M27172="","",'Master Barang'!A66)</f>
        <v>0</v>
      </c>
      <c r="O27172">
        <f>IF(N27172="","",'Master Barang'!B66)</f>
        <v>0</v>
      </c>
      <c r="P27172">
        <f>IF(OR(M27172="",N27172=""),"",SUMIFS('Barang Keluar'!$E:$E,'Barang Keluar'!$A:$A,M27172,'Barang Keluar'!$C:$C,N27172))</f>
        <v>0</v>
      </c>
    </row>
    <row r="27173" spans="13:16">
      <c r="M27173" s="49">
        <f>IF($A$4+271&gt;$B$4,"",$A$4+271)</f>
        <v>46294</v>
      </c>
      <c r="N27173">
        <f>IF(M27173="","",'Master Barang'!A67)</f>
        <v>0</v>
      </c>
      <c r="O27173">
        <f>IF(N27173="","",'Master Barang'!B67)</f>
        <v>0</v>
      </c>
      <c r="P27173">
        <f>IF(OR(M27173="",N27173=""),"",SUMIFS('Barang Keluar'!$E:$E,'Barang Keluar'!$A:$A,M27173,'Barang Keluar'!$C:$C,N27173))</f>
        <v>0</v>
      </c>
    </row>
    <row r="27174" spans="13:16">
      <c r="M27174" s="49">
        <f>IF($A$4+271&gt;$B$4,"",$A$4+271)</f>
        <v>46294</v>
      </c>
      <c r="N27174">
        <f>IF(M27174="","",'Master Barang'!A68)</f>
        <v>0</v>
      </c>
      <c r="O27174">
        <f>IF(N27174="","",'Master Barang'!B68)</f>
        <v>0</v>
      </c>
      <c r="P27174">
        <f>IF(OR(M27174="",N27174=""),"",SUMIFS('Barang Keluar'!$E:$E,'Barang Keluar'!$A:$A,M27174,'Barang Keluar'!$C:$C,N27174))</f>
        <v>0</v>
      </c>
    </row>
    <row r="27175" spans="13:16">
      <c r="M27175" s="49">
        <f>IF($A$4+271&gt;$B$4,"",$A$4+271)</f>
        <v>46294</v>
      </c>
      <c r="N27175">
        <f>IF(M27175="","",'Master Barang'!A69)</f>
        <v>0</v>
      </c>
      <c r="O27175">
        <f>IF(N27175="","",'Master Barang'!B69)</f>
        <v>0</v>
      </c>
      <c r="P27175">
        <f>IF(OR(M27175="",N27175=""),"",SUMIFS('Barang Keluar'!$E:$E,'Barang Keluar'!$A:$A,M27175,'Barang Keluar'!$C:$C,N27175))</f>
        <v>0</v>
      </c>
    </row>
    <row r="27176" spans="13:16">
      <c r="M27176" s="49">
        <f>IF($A$4+271&gt;$B$4,"",$A$4+271)</f>
        <v>46294</v>
      </c>
      <c r="N27176">
        <f>IF(M27176="","",'Master Barang'!A70)</f>
        <v>0</v>
      </c>
      <c r="O27176">
        <f>IF(N27176="","",'Master Barang'!B70)</f>
        <v>0</v>
      </c>
      <c r="P27176">
        <f>IF(OR(M27176="",N27176=""),"",SUMIFS('Barang Keluar'!$E:$E,'Barang Keluar'!$A:$A,M27176,'Barang Keluar'!$C:$C,N27176))</f>
        <v>0</v>
      </c>
    </row>
    <row r="27177" spans="13:16">
      <c r="M27177" s="49">
        <f>IF($A$4+271&gt;$B$4,"",$A$4+271)</f>
        <v>46294</v>
      </c>
      <c r="N27177">
        <f>IF(M27177="","",'Master Barang'!A71)</f>
        <v>0</v>
      </c>
      <c r="O27177">
        <f>IF(N27177="","",'Master Barang'!B71)</f>
        <v>0</v>
      </c>
      <c r="P27177">
        <f>IF(OR(M27177="",N27177=""),"",SUMIFS('Barang Keluar'!$E:$E,'Barang Keluar'!$A:$A,M27177,'Barang Keluar'!$C:$C,N27177))</f>
        <v>0</v>
      </c>
    </row>
    <row r="27178" spans="13:16">
      <c r="M27178" s="49">
        <f>IF($A$4+271&gt;$B$4,"",$A$4+271)</f>
        <v>46294</v>
      </c>
      <c r="N27178">
        <f>IF(M27178="","",'Master Barang'!A72)</f>
        <v>0</v>
      </c>
      <c r="O27178">
        <f>IF(N27178="","",'Master Barang'!B72)</f>
        <v>0</v>
      </c>
      <c r="P27178">
        <f>IF(OR(M27178="",N27178=""),"",SUMIFS('Barang Keluar'!$E:$E,'Barang Keluar'!$A:$A,M27178,'Barang Keluar'!$C:$C,N27178))</f>
        <v>0</v>
      </c>
    </row>
    <row r="27179" spans="13:16">
      <c r="M27179" s="49">
        <f>IF($A$4+271&gt;$B$4,"",$A$4+271)</f>
        <v>46294</v>
      </c>
      <c r="N27179">
        <f>IF(M27179="","",'Master Barang'!A73)</f>
        <v>0</v>
      </c>
      <c r="O27179">
        <f>IF(N27179="","",'Master Barang'!B73)</f>
        <v>0</v>
      </c>
      <c r="P27179">
        <f>IF(OR(M27179="",N27179=""),"",SUMIFS('Barang Keluar'!$E:$E,'Barang Keluar'!$A:$A,M27179,'Barang Keluar'!$C:$C,N27179))</f>
        <v>0</v>
      </c>
    </row>
    <row r="27180" spans="13:16">
      <c r="M27180" s="49">
        <f>IF($A$4+271&gt;$B$4,"",$A$4+271)</f>
        <v>46294</v>
      </c>
      <c r="N27180">
        <f>IF(M27180="","",'Master Barang'!A74)</f>
        <v>0</v>
      </c>
      <c r="O27180">
        <f>IF(N27180="","",'Master Barang'!B74)</f>
        <v>0</v>
      </c>
      <c r="P27180">
        <f>IF(OR(M27180="",N27180=""),"",SUMIFS('Barang Keluar'!$E:$E,'Barang Keluar'!$A:$A,M27180,'Barang Keluar'!$C:$C,N27180))</f>
        <v>0</v>
      </c>
    </row>
    <row r="27181" spans="13:16">
      <c r="M27181" s="49">
        <f>IF($A$4+271&gt;$B$4,"",$A$4+271)</f>
        <v>46294</v>
      </c>
      <c r="N27181">
        <f>IF(M27181="","",'Master Barang'!A75)</f>
        <v>0</v>
      </c>
      <c r="O27181">
        <f>IF(N27181="","",'Master Barang'!B75)</f>
        <v>0</v>
      </c>
      <c r="P27181">
        <f>IF(OR(M27181="",N27181=""),"",SUMIFS('Barang Keluar'!$E:$E,'Barang Keluar'!$A:$A,M27181,'Barang Keluar'!$C:$C,N27181))</f>
        <v>0</v>
      </c>
    </row>
    <row r="27182" spans="13:16">
      <c r="M27182" s="49">
        <f>IF($A$4+271&gt;$B$4,"",$A$4+271)</f>
        <v>46294</v>
      </c>
      <c r="N27182">
        <f>IF(M27182="","",'Master Barang'!A76)</f>
        <v>0</v>
      </c>
      <c r="O27182">
        <f>IF(N27182="","",'Master Barang'!B76)</f>
        <v>0</v>
      </c>
      <c r="P27182">
        <f>IF(OR(M27182="",N27182=""),"",SUMIFS('Barang Keluar'!$E:$E,'Barang Keluar'!$A:$A,M27182,'Barang Keluar'!$C:$C,N27182))</f>
        <v>0</v>
      </c>
    </row>
    <row r="27183" spans="13:16">
      <c r="M27183" s="49">
        <f>IF($A$4+271&gt;$B$4,"",$A$4+271)</f>
        <v>46294</v>
      </c>
      <c r="N27183">
        <f>IF(M27183="","",'Master Barang'!A77)</f>
        <v>0</v>
      </c>
      <c r="O27183">
        <f>IF(N27183="","",'Master Barang'!B77)</f>
        <v>0</v>
      </c>
      <c r="P27183">
        <f>IF(OR(M27183="",N27183=""),"",SUMIFS('Barang Keluar'!$E:$E,'Barang Keluar'!$A:$A,M27183,'Barang Keluar'!$C:$C,N27183))</f>
        <v>0</v>
      </c>
    </row>
    <row r="27184" spans="13:16">
      <c r="M27184" s="49">
        <f>IF($A$4+271&gt;$B$4,"",$A$4+271)</f>
        <v>46294</v>
      </c>
      <c r="N27184">
        <f>IF(M27184="","",'Master Barang'!A78)</f>
        <v>0</v>
      </c>
      <c r="O27184">
        <f>IF(N27184="","",'Master Barang'!B78)</f>
        <v>0</v>
      </c>
      <c r="P27184">
        <f>IF(OR(M27184="",N27184=""),"",SUMIFS('Barang Keluar'!$E:$E,'Barang Keluar'!$A:$A,M27184,'Barang Keluar'!$C:$C,N27184))</f>
        <v>0</v>
      </c>
    </row>
    <row r="27185" spans="13:16">
      <c r="M27185" s="49">
        <f>IF($A$4+271&gt;$B$4,"",$A$4+271)</f>
        <v>46294</v>
      </c>
      <c r="N27185">
        <f>IF(M27185="","",'Master Barang'!A79)</f>
        <v>0</v>
      </c>
      <c r="O27185">
        <f>IF(N27185="","",'Master Barang'!B79)</f>
        <v>0</v>
      </c>
      <c r="P27185">
        <f>IF(OR(M27185="",N27185=""),"",SUMIFS('Barang Keluar'!$E:$E,'Barang Keluar'!$A:$A,M27185,'Barang Keluar'!$C:$C,N27185))</f>
        <v>0</v>
      </c>
    </row>
    <row r="27186" spans="13:16">
      <c r="M27186" s="49">
        <f>IF($A$4+271&gt;$B$4,"",$A$4+271)</f>
        <v>46294</v>
      </c>
      <c r="N27186">
        <f>IF(M27186="","",'Master Barang'!A80)</f>
        <v>0</v>
      </c>
      <c r="O27186">
        <f>IF(N27186="","",'Master Barang'!B80)</f>
        <v>0</v>
      </c>
      <c r="P27186">
        <f>IF(OR(M27186="",N27186=""),"",SUMIFS('Barang Keluar'!$E:$E,'Barang Keluar'!$A:$A,M27186,'Barang Keluar'!$C:$C,N27186))</f>
        <v>0</v>
      </c>
    </row>
    <row r="27187" spans="13:16">
      <c r="M27187" s="49">
        <f>IF($A$4+271&gt;$B$4,"",$A$4+271)</f>
        <v>46294</v>
      </c>
      <c r="N27187">
        <f>IF(M27187="","",'Master Barang'!A81)</f>
        <v>0</v>
      </c>
      <c r="O27187">
        <f>IF(N27187="","",'Master Barang'!B81)</f>
        <v>0</v>
      </c>
      <c r="P27187">
        <f>IF(OR(M27187="",N27187=""),"",SUMIFS('Barang Keluar'!$E:$E,'Barang Keluar'!$A:$A,M27187,'Barang Keluar'!$C:$C,N27187))</f>
        <v>0</v>
      </c>
    </row>
    <row r="27188" spans="13:16">
      <c r="M27188" s="49">
        <f>IF($A$4+271&gt;$B$4,"",$A$4+271)</f>
        <v>46294</v>
      </c>
      <c r="N27188">
        <f>IF(M27188="","",'Master Barang'!A82)</f>
        <v>0</v>
      </c>
      <c r="O27188">
        <f>IF(N27188="","",'Master Barang'!B82)</f>
        <v>0</v>
      </c>
      <c r="P27188">
        <f>IF(OR(M27188="",N27188=""),"",SUMIFS('Barang Keluar'!$E:$E,'Barang Keluar'!$A:$A,M27188,'Barang Keluar'!$C:$C,N27188))</f>
        <v>0</v>
      </c>
    </row>
    <row r="27189" spans="13:16">
      <c r="M27189" s="49">
        <f>IF($A$4+271&gt;$B$4,"",$A$4+271)</f>
        <v>46294</v>
      </c>
      <c r="N27189">
        <f>IF(M27189="","",'Master Barang'!A83)</f>
        <v>0</v>
      </c>
      <c r="O27189">
        <f>IF(N27189="","",'Master Barang'!B83)</f>
        <v>0</v>
      </c>
      <c r="P27189">
        <f>IF(OR(M27189="",N27189=""),"",SUMIFS('Barang Keluar'!$E:$E,'Barang Keluar'!$A:$A,M27189,'Barang Keluar'!$C:$C,N27189))</f>
        <v>0</v>
      </c>
    </row>
    <row r="27190" spans="13:16">
      <c r="M27190" s="49">
        <f>IF($A$4+271&gt;$B$4,"",$A$4+271)</f>
        <v>46294</v>
      </c>
      <c r="N27190">
        <f>IF(M27190="","",'Master Barang'!A84)</f>
        <v>0</v>
      </c>
      <c r="O27190">
        <f>IF(N27190="","",'Master Barang'!B84)</f>
        <v>0</v>
      </c>
      <c r="P27190">
        <f>IF(OR(M27190="",N27190=""),"",SUMIFS('Barang Keluar'!$E:$E,'Barang Keluar'!$A:$A,M27190,'Barang Keluar'!$C:$C,N27190))</f>
        <v>0</v>
      </c>
    </row>
    <row r="27191" spans="13:16">
      <c r="M27191" s="49">
        <f>IF($A$4+271&gt;$B$4,"",$A$4+271)</f>
        <v>46294</v>
      </c>
      <c r="N27191">
        <f>IF(M27191="","",'Master Barang'!A85)</f>
        <v>0</v>
      </c>
      <c r="O27191">
        <f>IF(N27191="","",'Master Barang'!B85)</f>
        <v>0</v>
      </c>
      <c r="P27191">
        <f>IF(OR(M27191="",N27191=""),"",SUMIFS('Barang Keluar'!$E:$E,'Barang Keluar'!$A:$A,M27191,'Barang Keluar'!$C:$C,N27191))</f>
        <v>0</v>
      </c>
    </row>
    <row r="27192" spans="13:16">
      <c r="M27192" s="49">
        <f>IF($A$4+271&gt;$B$4,"",$A$4+271)</f>
        <v>46294</v>
      </c>
      <c r="N27192">
        <f>IF(M27192="","",'Master Barang'!A86)</f>
        <v>0</v>
      </c>
      <c r="O27192">
        <f>IF(N27192="","",'Master Barang'!B86)</f>
        <v>0</v>
      </c>
      <c r="P27192">
        <f>IF(OR(M27192="",N27192=""),"",SUMIFS('Barang Keluar'!$E:$E,'Barang Keluar'!$A:$A,M27192,'Barang Keluar'!$C:$C,N27192))</f>
        <v>0</v>
      </c>
    </row>
    <row r="27193" spans="13:16">
      <c r="M27193" s="49">
        <f>IF($A$4+271&gt;$B$4,"",$A$4+271)</f>
        <v>46294</v>
      </c>
      <c r="N27193">
        <f>IF(M27193="","",'Master Barang'!A87)</f>
        <v>0</v>
      </c>
      <c r="O27193">
        <f>IF(N27193="","",'Master Barang'!B87)</f>
        <v>0</v>
      </c>
      <c r="P27193">
        <f>IF(OR(M27193="",N27193=""),"",SUMIFS('Barang Keluar'!$E:$E,'Barang Keluar'!$A:$A,M27193,'Barang Keluar'!$C:$C,N27193))</f>
        <v>0</v>
      </c>
    </row>
    <row r="27194" spans="13:16">
      <c r="M27194" s="49">
        <f>IF($A$4+271&gt;$B$4,"",$A$4+271)</f>
        <v>46294</v>
      </c>
      <c r="N27194">
        <f>IF(M27194="","",'Master Barang'!A88)</f>
        <v>0</v>
      </c>
      <c r="O27194">
        <f>IF(N27194="","",'Master Barang'!B88)</f>
        <v>0</v>
      </c>
      <c r="P27194">
        <f>IF(OR(M27194="",N27194=""),"",SUMIFS('Barang Keluar'!$E:$E,'Barang Keluar'!$A:$A,M27194,'Barang Keluar'!$C:$C,N27194))</f>
        <v>0</v>
      </c>
    </row>
    <row r="27195" spans="13:16">
      <c r="M27195" s="49">
        <f>IF($A$4+271&gt;$B$4,"",$A$4+271)</f>
        <v>46294</v>
      </c>
      <c r="N27195">
        <f>IF(M27195="","",'Master Barang'!A89)</f>
        <v>0</v>
      </c>
      <c r="O27195">
        <f>IF(N27195="","",'Master Barang'!B89)</f>
        <v>0</v>
      </c>
      <c r="P27195">
        <f>IF(OR(M27195="",N27195=""),"",SUMIFS('Barang Keluar'!$E:$E,'Barang Keluar'!$A:$A,M27195,'Barang Keluar'!$C:$C,N27195))</f>
        <v>0</v>
      </c>
    </row>
    <row r="27196" spans="13:16">
      <c r="M27196" s="49">
        <f>IF($A$4+271&gt;$B$4,"",$A$4+271)</f>
        <v>46294</v>
      </c>
      <c r="N27196">
        <f>IF(M27196="","",'Master Barang'!A90)</f>
        <v>0</v>
      </c>
      <c r="O27196">
        <f>IF(N27196="","",'Master Barang'!B90)</f>
        <v>0</v>
      </c>
      <c r="P27196">
        <f>IF(OR(M27196="",N27196=""),"",SUMIFS('Barang Keluar'!$E:$E,'Barang Keluar'!$A:$A,M27196,'Barang Keluar'!$C:$C,N27196))</f>
        <v>0</v>
      </c>
    </row>
    <row r="27197" spans="13:16">
      <c r="M27197" s="49">
        <f>IF($A$4+271&gt;$B$4,"",$A$4+271)</f>
        <v>46294</v>
      </c>
      <c r="N27197">
        <f>IF(M27197="","",'Master Barang'!A91)</f>
        <v>0</v>
      </c>
      <c r="O27197">
        <f>IF(N27197="","",'Master Barang'!B91)</f>
        <v>0</v>
      </c>
      <c r="P27197">
        <f>IF(OR(M27197="",N27197=""),"",SUMIFS('Barang Keluar'!$E:$E,'Barang Keluar'!$A:$A,M27197,'Barang Keluar'!$C:$C,N27197))</f>
        <v>0</v>
      </c>
    </row>
    <row r="27198" spans="13:16">
      <c r="M27198" s="49">
        <f>IF($A$4+271&gt;$B$4,"",$A$4+271)</f>
        <v>46294</v>
      </c>
      <c r="N27198">
        <f>IF(M27198="","",'Master Barang'!A92)</f>
        <v>0</v>
      </c>
      <c r="O27198">
        <f>IF(N27198="","",'Master Barang'!B92)</f>
        <v>0</v>
      </c>
      <c r="P27198">
        <f>IF(OR(M27198="",N27198=""),"",SUMIFS('Barang Keluar'!$E:$E,'Barang Keluar'!$A:$A,M27198,'Barang Keluar'!$C:$C,N27198))</f>
        <v>0</v>
      </c>
    </row>
    <row r="27199" spans="13:16">
      <c r="M27199" s="49">
        <f>IF($A$4+271&gt;$B$4,"",$A$4+271)</f>
        <v>46294</v>
      </c>
      <c r="N27199">
        <f>IF(M27199="","",'Master Barang'!A93)</f>
        <v>0</v>
      </c>
      <c r="O27199">
        <f>IF(N27199="","",'Master Barang'!B93)</f>
        <v>0</v>
      </c>
      <c r="P27199">
        <f>IF(OR(M27199="",N27199=""),"",SUMIFS('Barang Keluar'!$E:$E,'Barang Keluar'!$A:$A,M27199,'Barang Keluar'!$C:$C,N27199))</f>
        <v>0</v>
      </c>
    </row>
    <row r="27200" spans="13:16">
      <c r="M27200" s="49">
        <f>IF($A$4+271&gt;$B$4,"",$A$4+271)</f>
        <v>46294</v>
      </c>
      <c r="N27200">
        <f>IF(M27200="","",'Master Barang'!A94)</f>
        <v>0</v>
      </c>
      <c r="O27200">
        <f>IF(N27200="","",'Master Barang'!B94)</f>
        <v>0</v>
      </c>
      <c r="P27200">
        <f>IF(OR(M27200="",N27200=""),"",SUMIFS('Barang Keluar'!$E:$E,'Barang Keluar'!$A:$A,M27200,'Barang Keluar'!$C:$C,N27200))</f>
        <v>0</v>
      </c>
    </row>
    <row r="27201" spans="13:16">
      <c r="M27201" s="49">
        <f>IF($A$4+271&gt;$B$4,"",$A$4+271)</f>
        <v>46294</v>
      </c>
      <c r="N27201">
        <f>IF(M27201="","",'Master Barang'!A95)</f>
        <v>0</v>
      </c>
      <c r="O27201">
        <f>IF(N27201="","",'Master Barang'!B95)</f>
        <v>0</v>
      </c>
      <c r="P27201">
        <f>IF(OR(M27201="",N27201=""),"",SUMIFS('Barang Keluar'!$E:$E,'Barang Keluar'!$A:$A,M27201,'Barang Keluar'!$C:$C,N27201))</f>
        <v>0</v>
      </c>
    </row>
    <row r="27202" spans="13:16">
      <c r="M27202" s="49">
        <f>IF($A$4+271&gt;$B$4,"",$A$4+271)</f>
        <v>46294</v>
      </c>
      <c r="N27202">
        <f>IF(M27202="","",'Master Barang'!A96)</f>
        <v>0</v>
      </c>
      <c r="O27202">
        <f>IF(N27202="","",'Master Barang'!B96)</f>
        <v>0</v>
      </c>
      <c r="P27202">
        <f>IF(OR(M27202="",N27202=""),"",SUMIFS('Barang Keluar'!$E:$E,'Barang Keluar'!$A:$A,M27202,'Barang Keluar'!$C:$C,N27202))</f>
        <v>0</v>
      </c>
    </row>
    <row r="27203" spans="13:16">
      <c r="M27203" s="49">
        <f>IF($A$4+271&gt;$B$4,"",$A$4+271)</f>
        <v>46294</v>
      </c>
      <c r="N27203">
        <f>IF(M27203="","",'Master Barang'!A97)</f>
        <v>0</v>
      </c>
      <c r="O27203">
        <f>IF(N27203="","",'Master Barang'!B97)</f>
        <v>0</v>
      </c>
      <c r="P27203">
        <f>IF(OR(M27203="",N27203=""),"",SUMIFS('Barang Keluar'!$E:$E,'Barang Keluar'!$A:$A,M27203,'Barang Keluar'!$C:$C,N27203))</f>
        <v>0</v>
      </c>
    </row>
    <row r="27204" spans="13:16">
      <c r="M27204" s="49">
        <f>IF($A$4+271&gt;$B$4,"",$A$4+271)</f>
        <v>46294</v>
      </c>
      <c r="N27204">
        <f>IF(M27204="","",'Master Barang'!A98)</f>
        <v>0</v>
      </c>
      <c r="O27204">
        <f>IF(N27204="","",'Master Barang'!B98)</f>
        <v>0</v>
      </c>
      <c r="P27204">
        <f>IF(OR(M27204="",N27204=""),"",SUMIFS('Barang Keluar'!$E:$E,'Barang Keluar'!$A:$A,M27204,'Barang Keluar'!$C:$C,N27204))</f>
        <v>0</v>
      </c>
    </row>
    <row r="27205" spans="13:16">
      <c r="M27205" s="49">
        <f>IF($A$4+271&gt;$B$4,"",$A$4+271)</f>
        <v>46294</v>
      </c>
      <c r="N27205">
        <f>IF(M27205="","",'Master Barang'!A99)</f>
        <v>0</v>
      </c>
      <c r="O27205">
        <f>IF(N27205="","",'Master Barang'!B99)</f>
        <v>0</v>
      </c>
      <c r="P27205">
        <f>IF(OR(M27205="",N27205=""),"",SUMIFS('Barang Keluar'!$E:$E,'Barang Keluar'!$A:$A,M27205,'Barang Keluar'!$C:$C,N27205))</f>
        <v>0</v>
      </c>
    </row>
    <row r="27206" spans="13:16">
      <c r="M27206" s="49">
        <f>IF($A$4+271&gt;$B$4,"",$A$4+271)</f>
        <v>46294</v>
      </c>
      <c r="N27206">
        <f>IF(M27206="","",'Master Barang'!A100)</f>
        <v>0</v>
      </c>
      <c r="O27206">
        <f>IF(N27206="","",'Master Barang'!B100)</f>
        <v>0</v>
      </c>
      <c r="P27206">
        <f>IF(OR(M27206="",N27206=""),"",SUMIFS('Barang Keluar'!$E:$E,'Barang Keluar'!$A:$A,M27206,'Barang Keluar'!$C:$C,N27206))</f>
        <v>0</v>
      </c>
    </row>
    <row r="27207" spans="13:16">
      <c r="M27207" s="49">
        <f>IF($A$4+271&gt;$B$4,"",$A$4+271)</f>
        <v>46294</v>
      </c>
      <c r="N27207">
        <f>IF(M27207="","",'Master Barang'!A101)</f>
        <v>0</v>
      </c>
      <c r="O27207">
        <f>IF(N27207="","",'Master Barang'!B101)</f>
        <v>0</v>
      </c>
      <c r="P27207">
        <f>IF(OR(M27207="",N27207=""),"",SUMIFS('Barang Keluar'!$E:$E,'Barang Keluar'!$A:$A,M27207,'Barang Keluar'!$C:$C,N27207))</f>
        <v>0</v>
      </c>
    </row>
    <row r="27208" spans="13:16">
      <c r="M27208" s="49">
        <f>IF($A$4+272&gt;$B$4,"",$A$4+272)</f>
        <v>46295</v>
      </c>
      <c r="N27208" t="str">
        <f>IF(M27208="","",'Master Barang'!A2)</f>
        <v>PRL-001</v>
      </c>
      <c r="O27208" t="str">
        <f>IF(N27208="","",'Master Barang'!B2)</f>
        <v>natura desinfectant food grade 5l</v>
      </c>
      <c r="P27208">
        <f>IF(OR(M27208="",N27208=""),"",SUMIFS('Barang Keluar'!$E:$E,'Barang Keluar'!$A:$A,M27208,'Barang Keluar'!$C:$C,N27208))</f>
        <v>0</v>
      </c>
    </row>
    <row r="27209" spans="13:16">
      <c r="M27209" s="49">
        <f>IF($A$4+272&gt;$B$4,"",$A$4+272)</f>
        <v>46295</v>
      </c>
      <c r="N27209" t="str">
        <f>IF(M27209="","",'Master Barang'!A3)</f>
        <v>PRL-002</v>
      </c>
      <c r="O27209" t="str">
        <f>IF(N27209="","",'Master Barang'!B3)</f>
        <v>sunlight cairan pencuci piring 5l</v>
      </c>
      <c r="P27209">
        <f>IF(OR(M27209="",N27209=""),"",SUMIFS('Barang Keluar'!$E:$E,'Barang Keluar'!$A:$A,M27209,'Barang Keluar'!$C:$C,N27209))</f>
        <v>0</v>
      </c>
    </row>
    <row r="27210" spans="13:16">
      <c r="M27210" s="49">
        <f>IF($A$4+272&gt;$B$4,"",$A$4+272)</f>
        <v>46295</v>
      </c>
      <c r="N27210" t="str">
        <f>IF(M27210="","",'Master Barang'!A4)</f>
        <v>PRL-003</v>
      </c>
      <c r="O27210" t="str">
        <f>IF(N27210="","",'Master Barang'!B4)</f>
        <v>oixs cleaner 1l</v>
      </c>
      <c r="P27210">
        <f>IF(OR(M27210="",N27210=""),"",SUMIFS('Barang Keluar'!$E:$E,'Barang Keluar'!$A:$A,M27210,'Barang Keluar'!$C:$C,N27210))</f>
        <v>0</v>
      </c>
    </row>
    <row r="27211" spans="13:16">
      <c r="M27211" s="49">
        <f>IF($A$4+272&gt;$B$4,"",$A$4+272)</f>
        <v>46295</v>
      </c>
      <c r="N27211" t="str">
        <f>IF(M27211="","",'Master Barang'!A5)</f>
        <v>PRL-004</v>
      </c>
      <c r="O27211" t="str">
        <f>IF(N27211="","",'Master Barang'!B5)</f>
        <v>be clean tissue serbaguna</v>
      </c>
      <c r="P27211">
        <f>IF(OR(M27211="",N27211=""),"",SUMIFS('Barang Keluar'!$E:$E,'Barang Keluar'!$A:$A,M27211,'Barang Keluar'!$C:$C,N27211))</f>
        <v>0</v>
      </c>
    </row>
    <row r="27212" spans="13:16">
      <c r="M27212" s="49">
        <f>IF($A$4+272&gt;$B$4,"",$A$4+272)</f>
        <v>46295</v>
      </c>
      <c r="N27212" t="str">
        <f>IF(M27212="","",'Master Barang'!A6)</f>
        <v>PRL-005</v>
      </c>
      <c r="O27212" t="str">
        <f>IF(N27212="","",'Master Barang'!B6)</f>
        <v>spons cuci hijau</v>
      </c>
      <c r="P27212">
        <f>IF(OR(M27212="",N27212=""),"",SUMIFS('Barang Keluar'!$E:$E,'Barang Keluar'!$A:$A,M27212,'Barang Keluar'!$C:$C,N27212))</f>
        <v>0</v>
      </c>
    </row>
    <row r="27213" spans="13:16">
      <c r="M27213" s="49">
        <f>IF($A$4+272&gt;$B$4,"",$A$4+272)</f>
        <v>46295</v>
      </c>
      <c r="N27213" t="str">
        <f>IF(M27213="","",'Master Barang'!A7)</f>
        <v>PRL-006</v>
      </c>
      <c r="O27213" t="str">
        <f>IF(N27213="","",'Master Barang'!B7)</f>
        <v>sabut cuci stainless</v>
      </c>
      <c r="P27213">
        <f>IF(OR(M27213="",N27213=""),"",SUMIFS('Barang Keluar'!$E:$E,'Barang Keluar'!$A:$A,M27213,'Barang Keluar'!$C:$C,N27213))</f>
        <v>0</v>
      </c>
    </row>
    <row r="27214" spans="13:16">
      <c r="M27214" s="49">
        <f>IF($A$4+272&gt;$B$4,"",$A$4+272)</f>
        <v>46295</v>
      </c>
      <c r="N27214" t="str">
        <f>IF(M27214="","",'Master Barang'!A8)</f>
        <v>PRL-007</v>
      </c>
      <c r="O27214" t="str">
        <f>IF(N27214="","",'Master Barang'!B8)</f>
        <v>plastik kresek besar merah 50pc</v>
      </c>
      <c r="P27214">
        <f>IF(OR(M27214="",N27214=""),"",SUMIFS('Barang Keluar'!$E:$E,'Barang Keluar'!$A:$A,M27214,'Barang Keluar'!$C:$C,N27214))</f>
        <v>0</v>
      </c>
    </row>
    <row r="27215" spans="13:16">
      <c r="M27215" s="49">
        <f>IF($A$4+272&gt;$B$4,"",$A$4+272)</f>
        <v>46295</v>
      </c>
      <c r="N27215" t="str">
        <f>IF(M27215="","",'Master Barang'!A9)</f>
        <v>PRL-008</v>
      </c>
      <c r="O27215" t="str">
        <f>IF(N27215="","",'Master Barang'!B9)</f>
        <v>lap besar</v>
      </c>
      <c r="P27215">
        <f>IF(OR(M27215="",N27215=""),"",SUMIFS('Barang Keluar'!$E:$E,'Barang Keluar'!$A:$A,M27215,'Barang Keluar'!$C:$C,N27215))</f>
        <v>0</v>
      </c>
    </row>
    <row r="27216" spans="13:16">
      <c r="M27216" s="49">
        <f>IF($A$4+272&gt;$B$4,"",$A$4+272)</f>
        <v>46295</v>
      </c>
      <c r="N27216" t="str">
        <f>IF(M27216="","",'Master Barang'!A10)</f>
        <v>PRL-009</v>
      </c>
      <c r="O27216" t="str">
        <f>IF(N27216="","",'Master Barang'!B10)</f>
        <v>lap microfiber</v>
      </c>
      <c r="P27216">
        <f>IF(OR(M27216="",N27216=""),"",SUMIFS('Barang Keluar'!$E:$E,'Barang Keluar'!$A:$A,M27216,'Barang Keluar'!$C:$C,N27216))</f>
        <v>0</v>
      </c>
    </row>
    <row r="27217" spans="13:16">
      <c r="M27217" s="49">
        <f>IF($A$4+272&gt;$B$4,"",$A$4+272)</f>
        <v>46295</v>
      </c>
      <c r="N27217" t="str">
        <f>IF(M27217="","",'Master Barang'!A11)</f>
        <v>PRL-010</v>
      </c>
      <c r="O27217" t="str">
        <f>IF(N27217="","",'Master Barang'!B11)</f>
        <v>lap kecil</v>
      </c>
      <c r="P27217">
        <f>IF(OR(M27217="",N27217=""),"",SUMIFS('Barang Keluar'!$E:$E,'Barang Keluar'!$A:$A,M27217,'Barang Keluar'!$C:$C,N27217))</f>
        <v>0</v>
      </c>
    </row>
    <row r="27218" spans="13:16">
      <c r="M27218" s="49">
        <f>IF($A$4+272&gt;$B$4,"",$A$4+272)</f>
        <v>46295</v>
      </c>
      <c r="N27218" t="str">
        <f>IF(M27218="","",'Master Barang'!A12)</f>
        <v>PRL-011</v>
      </c>
      <c r="O27218" t="str">
        <f>IF(N27218="","",'Master Barang'!B12)</f>
        <v>kanebo kecil</v>
      </c>
      <c r="P27218">
        <f>IF(OR(M27218="",N27218=""),"",SUMIFS('Barang Keluar'!$E:$E,'Barang Keluar'!$A:$A,M27218,'Barang Keluar'!$C:$C,N27218))</f>
        <v>0</v>
      </c>
    </row>
    <row r="27219" spans="13:16">
      <c r="M27219" s="49">
        <f>IF($A$4+272&gt;$B$4,"",$A$4+272)</f>
        <v>46295</v>
      </c>
      <c r="N27219" t="str">
        <f>IF(M27219="","",'Master Barang'!A13)</f>
        <v>PRL-012</v>
      </c>
      <c r="O27219" t="str">
        <f>IF(N27219="","",'Master Barang'!B13)</f>
        <v>plastik 1/4kg joyoboyo 100 lembar</v>
      </c>
      <c r="P27219">
        <f>IF(OR(M27219="",N27219=""),"",SUMIFS('Barang Keluar'!$E:$E,'Barang Keluar'!$A:$A,M27219,'Barang Keluar'!$C:$C,N27219))</f>
        <v>0</v>
      </c>
    </row>
    <row r="27220" spans="13:16">
      <c r="M27220" s="49">
        <f>IF($A$4+272&gt;$B$4,"",$A$4+272)</f>
        <v>46295</v>
      </c>
      <c r="N27220" t="str">
        <f>IF(M27220="","",'Master Barang'!A14)</f>
        <v>PRL-013</v>
      </c>
      <c r="O27220" t="str">
        <f>IF(N27220="","",'Master Barang'!B14)</f>
        <v>sarung tangan plastik kaka 100 pcs</v>
      </c>
      <c r="P27220">
        <f>IF(OR(M27220="",N27220=""),"",SUMIFS('Barang Keluar'!$E:$E,'Barang Keluar'!$A:$A,M27220,'Barang Keluar'!$C:$C,N27220))</f>
        <v>0</v>
      </c>
    </row>
    <row r="27221" spans="13:16">
      <c r="M27221" s="49">
        <f>IF($A$4+272&gt;$B$4,"",$A$4+272)</f>
        <v>46295</v>
      </c>
      <c r="N27221" t="str">
        <f>IF(M27221="","",'Master Barang'!A15)</f>
        <v>PRL-014</v>
      </c>
      <c r="O27221" t="str">
        <f>IF(N27221="","",'Master Barang'!B15)</f>
        <v>optima trashbag 80x100</v>
      </c>
      <c r="P27221">
        <f>IF(OR(M27221="",N27221=""),"",SUMIFS('Barang Keluar'!$E:$E,'Barang Keluar'!$A:$A,M27221,'Barang Keluar'!$C:$C,N27221))</f>
        <v>0</v>
      </c>
    </row>
    <row r="27222" spans="13:16">
      <c r="M27222" s="49">
        <f>IF($A$4+272&gt;$B$4,"",$A$4+272)</f>
        <v>46295</v>
      </c>
      <c r="N27222" t="str">
        <f>IF(M27222="","",'Master Barang'!A16)</f>
        <v>PRL-015</v>
      </c>
      <c r="O27222" t="str">
        <f>IF(N27222="","",'Master Barang'!B16)</f>
        <v>optima trashbag 60x100</v>
      </c>
      <c r="P27222">
        <f>IF(OR(M27222="",N27222=""),"",SUMIFS('Barang Keluar'!$E:$E,'Barang Keluar'!$A:$A,M27222,'Barang Keluar'!$C:$C,N27222))</f>
        <v>0</v>
      </c>
    </row>
    <row r="27223" spans="13:16">
      <c r="M27223" s="49">
        <f>IF($A$4+272&gt;$B$4,"",$A$4+272)</f>
        <v>46295</v>
      </c>
      <c r="N27223" t="str">
        <f>IF(M27223="","",'Master Barang'!A17)</f>
        <v>PRL-016</v>
      </c>
      <c r="O27223" t="str">
        <f>IF(N27223="","",'Master Barang'!B17)</f>
        <v>rajawali trashbag 30x40</v>
      </c>
      <c r="P27223">
        <f>IF(OR(M27223="",N27223=""),"",SUMIFS('Barang Keluar'!$E:$E,'Barang Keluar'!$A:$A,M27223,'Barang Keluar'!$C:$C,N27223))</f>
        <v>0</v>
      </c>
    </row>
    <row r="27224" spans="13:16">
      <c r="M27224" s="49">
        <f>IF($A$4+272&gt;$B$4,"",$A$4+272)</f>
        <v>46295</v>
      </c>
      <c r="N27224" t="str">
        <f>IF(M27224="","",'Master Barang'!A18)</f>
        <v>PRL-017</v>
      </c>
      <c r="O27224" t="str">
        <f>IF(N27224="","",'Master Barang'!B18)</f>
        <v>onemed masker biru 3 play 50 pcs</v>
      </c>
      <c r="P27224">
        <f>IF(OR(M27224="",N27224=""),"",SUMIFS('Barang Keluar'!$E:$E,'Barang Keluar'!$A:$A,M27224,'Barang Keluar'!$C:$C,N27224))</f>
        <v>0</v>
      </c>
    </row>
    <row r="27225" spans="13:16">
      <c r="M27225" s="49">
        <f>IF($A$4+272&gt;$B$4,"",$A$4+272)</f>
        <v>46295</v>
      </c>
      <c r="N27225" t="str">
        <f>IF(M27225="","",'Master Barang'!A19)</f>
        <v>PRL-018</v>
      </c>
      <c r="O27225" t="str">
        <f>IF(N27225="","",'Master Barang'!B19)</f>
        <v>onemed masker biru 3 play hijab 50 pcs</v>
      </c>
      <c r="P27225">
        <f>IF(OR(M27225="",N27225=""),"",SUMIFS('Barang Keluar'!$E:$E,'Barang Keluar'!$A:$A,M27225,'Barang Keluar'!$C:$C,N27225))</f>
        <v>0</v>
      </c>
    </row>
    <row r="27226" spans="13:16">
      <c r="M27226" s="49">
        <f>IF($A$4+272&gt;$B$4,"",$A$4+272)</f>
        <v>46295</v>
      </c>
      <c r="N27226" t="str">
        <f>IF(M27226="","",'Master Barang'!A20)</f>
        <v>PRL-019</v>
      </c>
      <c r="O27226" t="str">
        <f>IF(N27226="","",'Master Barang'!B20)</f>
        <v>neo health masker biru 3 play 50 pcs</v>
      </c>
      <c r="P27226">
        <f>IF(OR(M27226="",N27226=""),"",SUMIFS('Barang Keluar'!$E:$E,'Barang Keluar'!$A:$A,M27226,'Barang Keluar'!$C:$C,N27226))</f>
        <v>0</v>
      </c>
    </row>
    <row r="27227" spans="13:16">
      <c r="M27227" s="49">
        <f>IF($A$4+272&gt;$B$4,"",$A$4+272)</f>
        <v>46295</v>
      </c>
      <c r="N27227" t="str">
        <f>IF(M27227="","",'Master Barang'!A21)</f>
        <v>PRL-020</v>
      </c>
      <c r="O27227" t="str">
        <f>IF(N27227="","",'Master Barang'!B21)</f>
        <v>baymed masker hijau 3 play hijau 50 pcs</v>
      </c>
      <c r="P27227">
        <f>IF(OR(M27227="",N27227=""),"",SUMIFS('Barang Keluar'!$E:$E,'Barang Keluar'!$A:$A,M27227,'Barang Keluar'!$C:$C,N27227))</f>
        <v>0</v>
      </c>
    </row>
    <row r="27228" spans="13:16">
      <c r="M27228" s="49">
        <f>IF($A$4+272&gt;$B$4,"",$A$4+272)</f>
        <v>46295</v>
      </c>
      <c r="N27228" t="str">
        <f>IF(M27228="","",'Master Barang'!A22)</f>
        <v>PRL-021</v>
      </c>
      <c r="O27228" t="str">
        <f>IF(N27228="","",'Master Barang'!B22)</f>
        <v>altamed nurse cap penutup kepala 100 pcs</v>
      </c>
      <c r="P27228">
        <f>IF(OR(M27228="",N27228=""),"",SUMIFS('Barang Keluar'!$E:$E,'Barang Keluar'!$A:$A,M27228,'Barang Keluar'!$C:$C,N27228))</f>
        <v>0</v>
      </c>
    </row>
    <row r="27229" spans="13:16">
      <c r="M27229" s="49">
        <f>IF($A$4+272&gt;$B$4,"",$A$4+272)</f>
        <v>46295</v>
      </c>
      <c r="N27229" t="str">
        <f>IF(M27229="","",'Master Barang'!A23)</f>
        <v>PRL-022</v>
      </c>
      <c r="O27229" t="str">
        <f>IF(N27229="","",'Master Barang'!B23)</f>
        <v>sabun cuci tangan</v>
      </c>
      <c r="P27229">
        <f>IF(OR(M27229="",N27229=""),"",SUMIFS('Barang Keluar'!$E:$E,'Barang Keluar'!$A:$A,M27229,'Barang Keluar'!$C:$C,N27229))</f>
        <v>0</v>
      </c>
    </row>
    <row r="27230" spans="13:16">
      <c r="M27230" s="49">
        <f>IF($A$4+272&gt;$B$4,"",$A$4+272)</f>
        <v>46295</v>
      </c>
      <c r="N27230" t="str">
        <f>IF(M27230="","",'Master Barang'!A24)</f>
        <v>PRL-023</v>
      </c>
      <c r="O27230" t="str">
        <f>IF(N27230="","",'Master Barang'!B24)</f>
        <v>gayung kecil</v>
      </c>
      <c r="P27230">
        <f>IF(OR(M27230="",N27230=""),"",SUMIFS('Barang Keluar'!$E:$E,'Barang Keluar'!$A:$A,M27230,'Barang Keluar'!$C:$C,N27230))</f>
        <v>0</v>
      </c>
    </row>
    <row r="27231" spans="13:16">
      <c r="M27231" s="49">
        <f>IF($A$4+272&gt;$B$4,"",$A$4+272)</f>
        <v>46295</v>
      </c>
      <c r="N27231" t="str">
        <f>IF(M27231="","",'Master Barang'!A25)</f>
        <v>PRL-024</v>
      </c>
      <c r="O27231" t="str">
        <f>IF(N27231="","",'Master Barang'!B25)</f>
        <v>cikrak kecil</v>
      </c>
      <c r="P27231">
        <f>IF(OR(M27231="",N27231=""),"",SUMIFS('Barang Keluar'!$E:$E,'Barang Keluar'!$A:$A,M27231,'Barang Keluar'!$C:$C,N27231))</f>
        <v>0</v>
      </c>
    </row>
    <row r="27232" spans="13:16">
      <c r="M27232" s="49">
        <f>IF($A$4+272&gt;$B$4,"",$A$4+272)</f>
        <v>46295</v>
      </c>
      <c r="N27232" t="str">
        <f>IF(M27232="","",'Master Barang'!A26)</f>
        <v>PRL-025</v>
      </c>
      <c r="O27232" t="str">
        <f>IF(N27232="","",'Master Barang'!B26)</f>
        <v>petromax plastik kecil 12x24 100 lembar</v>
      </c>
      <c r="P27232">
        <f>IF(OR(M27232="",N27232=""),"",SUMIFS('Barang Keluar'!$E:$E,'Barang Keluar'!$A:$A,M27232,'Barang Keluar'!$C:$C,N27232))</f>
        <v>0</v>
      </c>
    </row>
    <row r="27233" spans="13:16">
      <c r="M27233" s="49">
        <f>IF($A$4+272&gt;$B$4,"",$A$4+272)</f>
        <v>46295</v>
      </c>
      <c r="N27233" t="str">
        <f>IF(M27233="","",'Master Barang'!A27)</f>
        <v>PRL-026</v>
      </c>
      <c r="O27233" t="str">
        <f>IF(N27233="","",'Master Barang'!B27)</f>
        <v>lancar kresek kecil bening </v>
      </c>
      <c r="P27233">
        <f>IF(OR(M27233="",N27233=""),"",SUMIFS('Barang Keluar'!$E:$E,'Barang Keluar'!$A:$A,M27233,'Barang Keluar'!$C:$C,N27233))</f>
        <v>0</v>
      </c>
    </row>
    <row r="27234" spans="13:16">
      <c r="M27234" s="49">
        <f>IF($A$4+272&gt;$B$4,"",$A$4+272)</f>
        <v>46295</v>
      </c>
      <c r="N27234" t="str">
        <f>IF(M27234="","",'Master Barang'!A28)</f>
        <v>PRL-027</v>
      </c>
      <c r="O27234" t="str">
        <f>IF(N27234="","",'Master Barang'!B28)</f>
        <v>kresek klin warna warni kecil</v>
      </c>
      <c r="P27234">
        <f>IF(OR(M27234="",N27234=""),"",SUMIFS('Barang Keluar'!$E:$E,'Barang Keluar'!$A:$A,M27234,'Barang Keluar'!$C:$C,N27234))</f>
        <v>0</v>
      </c>
    </row>
    <row r="27235" spans="13:16">
      <c r="M27235" s="49">
        <f>IF($A$4+272&gt;$B$4,"",$A$4+272)</f>
        <v>46295</v>
      </c>
      <c r="N27235" t="str">
        <f>IF(M27235="","",'Master Barang'!A29)</f>
        <v>PRL-028</v>
      </c>
      <c r="O27235" t="str">
        <f>IF(N27235="","",'Master Barang'!B29)</f>
        <v>ctik plastik 7x10 100 pcs</v>
      </c>
      <c r="P27235">
        <f>IF(OR(M27235="",N27235=""),"",SUMIFS('Barang Keluar'!$E:$E,'Barang Keluar'!$A:$A,M27235,'Barang Keluar'!$C:$C,N27235))</f>
        <v>0</v>
      </c>
    </row>
    <row r="27236" spans="13:16">
      <c r="M27236" s="49">
        <f>IF($A$4+272&gt;$B$4,"",$A$4+272)</f>
        <v>46295</v>
      </c>
      <c r="N27236" t="str">
        <f>IF(M27236="","",'Master Barang'!A30)</f>
        <v>PRL-029</v>
      </c>
      <c r="O27236" t="str">
        <f>IF(N27236="","",'Master Barang'!B30)</f>
        <v>ctik plastik 6x10 100 pcs</v>
      </c>
      <c r="P27236">
        <f>IF(OR(M27236="",N27236=""),"",SUMIFS('Barang Keluar'!$E:$E,'Barang Keluar'!$A:$A,M27236,'Barang Keluar'!$C:$C,N27236))</f>
        <v>0</v>
      </c>
    </row>
    <row r="27237" spans="13:16">
      <c r="M27237" s="49">
        <f>IF($A$4+272&gt;$B$4,"",$A$4+272)</f>
        <v>46295</v>
      </c>
      <c r="N27237" t="str">
        <f>IF(M27237="","",'Master Barang'!A31)</f>
        <v>PRL-030</v>
      </c>
      <c r="O27237" t="str">
        <f>IF(N27237="","",'Master Barang'!B31)</f>
        <v>klip plastik 25x16 100 pcs</v>
      </c>
      <c r="P27237">
        <f>IF(OR(M27237="",N27237=""),"",SUMIFS('Barang Keluar'!$E:$E,'Barang Keluar'!$A:$A,M27237,'Barang Keluar'!$C:$C,N27237))</f>
        <v>0</v>
      </c>
    </row>
    <row r="27238" spans="13:16">
      <c r="M27238" s="49">
        <f>IF($A$4+272&gt;$B$4,"",$A$4+272)</f>
        <v>46295</v>
      </c>
      <c r="N27238" t="str">
        <f>IF(M27238="","",'Master Barang'!A32)</f>
        <v>PRL-031</v>
      </c>
      <c r="O27238" t="str">
        <f>IF(N27238="","",'Master Barang'!B32)</f>
        <v>tempat saus 20 ml</v>
      </c>
      <c r="P27238">
        <f>IF(OR(M27238="",N27238=""),"",SUMIFS('Barang Keluar'!$E:$E,'Barang Keluar'!$A:$A,M27238,'Barang Keluar'!$C:$C,N27238))</f>
        <v>0</v>
      </c>
    </row>
    <row r="27239" spans="13:16">
      <c r="M27239" s="49">
        <f>IF($A$4+272&gt;$B$4,"",$A$4+272)</f>
        <v>46295</v>
      </c>
      <c r="N27239" t="str">
        <f>IF(M27239="","",'Master Barang'!A33)</f>
        <v>PRL-032</v>
      </c>
      <c r="O27239" t="str">
        <f>IF(N27239="","",'Master Barang'!B33)</f>
        <v>plastik packaging ag box uk sedang</v>
      </c>
      <c r="P27239">
        <f>IF(OR(M27239="",N27239=""),"",SUMIFS('Barang Keluar'!$E:$E,'Barang Keluar'!$A:$A,M27239,'Barang Keluar'!$C:$C,N27239))</f>
        <v>0</v>
      </c>
    </row>
    <row r="27240" spans="13:16">
      <c r="M27240" s="49">
        <f>IF($A$4+272&gt;$B$4,"",$A$4+272)</f>
        <v>46295</v>
      </c>
      <c r="N27240" t="str">
        <f>IF(M27240="","",'Master Barang'!A34)</f>
        <v>PRL-033</v>
      </c>
      <c r="O27240">
        <f>IF(N27240="","",'Master Barang'!B34)</f>
        <v>0</v>
      </c>
      <c r="P27240">
        <f>IF(OR(M27240="",N27240=""),"",SUMIFS('Barang Keluar'!$E:$E,'Barang Keluar'!$A:$A,M27240,'Barang Keluar'!$C:$C,N27240))</f>
        <v>0</v>
      </c>
    </row>
    <row r="27241" spans="13:16">
      <c r="M27241" s="49">
        <f>IF($A$4+272&gt;$B$4,"",$A$4+272)</f>
        <v>46295</v>
      </c>
      <c r="N27241">
        <f>IF(M27241="","",'Master Barang'!A35)</f>
        <v>0</v>
      </c>
      <c r="O27241">
        <f>IF(N27241="","",'Master Barang'!B35)</f>
        <v>0</v>
      </c>
      <c r="P27241">
        <f>IF(OR(M27241="",N27241=""),"",SUMIFS('Barang Keluar'!$E:$E,'Barang Keluar'!$A:$A,M27241,'Barang Keluar'!$C:$C,N27241))</f>
        <v>0</v>
      </c>
    </row>
    <row r="27242" spans="13:16">
      <c r="M27242" s="49">
        <f>IF($A$4+272&gt;$B$4,"",$A$4+272)</f>
        <v>46295</v>
      </c>
      <c r="N27242">
        <f>IF(M27242="","",'Master Barang'!A36)</f>
        <v>0</v>
      </c>
      <c r="O27242">
        <f>IF(N27242="","",'Master Barang'!B36)</f>
        <v>0</v>
      </c>
      <c r="P27242">
        <f>IF(OR(M27242="",N27242=""),"",SUMIFS('Barang Keluar'!$E:$E,'Barang Keluar'!$A:$A,M27242,'Barang Keluar'!$C:$C,N27242))</f>
        <v>0</v>
      </c>
    </row>
    <row r="27243" spans="13:16">
      <c r="M27243" s="49">
        <f>IF($A$4+272&gt;$B$4,"",$A$4+272)</f>
        <v>46295</v>
      </c>
      <c r="N27243">
        <f>IF(M27243="","",'Master Barang'!A37)</f>
        <v>0</v>
      </c>
      <c r="O27243">
        <f>IF(N27243="","",'Master Barang'!B37)</f>
        <v>0</v>
      </c>
      <c r="P27243">
        <f>IF(OR(M27243="",N27243=""),"",SUMIFS('Barang Keluar'!$E:$E,'Barang Keluar'!$A:$A,M27243,'Barang Keluar'!$C:$C,N27243))</f>
        <v>0</v>
      </c>
    </row>
    <row r="27244" spans="13:16">
      <c r="M27244" s="49">
        <f>IF($A$4+272&gt;$B$4,"",$A$4+272)</f>
        <v>46295</v>
      </c>
      <c r="N27244">
        <f>IF(M27244="","",'Master Barang'!A38)</f>
        <v>0</v>
      </c>
      <c r="O27244">
        <f>IF(N27244="","",'Master Barang'!B38)</f>
        <v>0</v>
      </c>
      <c r="P27244">
        <f>IF(OR(M27244="",N27244=""),"",SUMIFS('Barang Keluar'!$E:$E,'Barang Keluar'!$A:$A,M27244,'Barang Keluar'!$C:$C,N27244))</f>
        <v>0</v>
      </c>
    </row>
    <row r="27245" spans="13:16">
      <c r="M27245" s="49">
        <f>IF($A$4+272&gt;$B$4,"",$A$4+272)</f>
        <v>46295</v>
      </c>
      <c r="N27245">
        <f>IF(M27245="","",'Master Barang'!A39)</f>
        <v>0</v>
      </c>
      <c r="O27245">
        <f>IF(N27245="","",'Master Barang'!B39)</f>
        <v>0</v>
      </c>
      <c r="P27245">
        <f>IF(OR(M27245="",N27245=""),"",SUMIFS('Barang Keluar'!$E:$E,'Barang Keluar'!$A:$A,M27245,'Barang Keluar'!$C:$C,N27245))</f>
        <v>0</v>
      </c>
    </row>
    <row r="27246" spans="13:16">
      <c r="M27246" s="49">
        <f>IF($A$4+272&gt;$B$4,"",$A$4+272)</f>
        <v>46295</v>
      </c>
      <c r="N27246">
        <f>IF(M27246="","",'Master Barang'!A40)</f>
        <v>0</v>
      </c>
      <c r="O27246">
        <f>IF(N27246="","",'Master Barang'!B40)</f>
        <v>0</v>
      </c>
      <c r="P27246">
        <f>IF(OR(M27246="",N27246=""),"",SUMIFS('Barang Keluar'!$E:$E,'Barang Keluar'!$A:$A,M27246,'Barang Keluar'!$C:$C,N27246))</f>
        <v>0</v>
      </c>
    </row>
    <row r="27247" spans="13:16">
      <c r="M27247" s="49">
        <f>IF($A$4+272&gt;$B$4,"",$A$4+272)</f>
        <v>46295</v>
      </c>
      <c r="N27247">
        <f>IF(M27247="","",'Master Barang'!A41)</f>
        <v>0</v>
      </c>
      <c r="O27247">
        <f>IF(N27247="","",'Master Barang'!B41)</f>
        <v>0</v>
      </c>
      <c r="P27247">
        <f>IF(OR(M27247="",N27247=""),"",SUMIFS('Barang Keluar'!$E:$E,'Barang Keluar'!$A:$A,M27247,'Barang Keluar'!$C:$C,N27247))</f>
        <v>0</v>
      </c>
    </row>
    <row r="27248" spans="13:16">
      <c r="M27248" s="49">
        <f>IF($A$4+272&gt;$B$4,"",$A$4+272)</f>
        <v>46295</v>
      </c>
      <c r="N27248">
        <f>IF(M27248="","",'Master Barang'!A42)</f>
        <v>0</v>
      </c>
      <c r="O27248">
        <f>IF(N27248="","",'Master Barang'!B42)</f>
        <v>0</v>
      </c>
      <c r="P27248">
        <f>IF(OR(M27248="",N27248=""),"",SUMIFS('Barang Keluar'!$E:$E,'Barang Keluar'!$A:$A,M27248,'Barang Keluar'!$C:$C,N27248))</f>
        <v>0</v>
      </c>
    </row>
    <row r="27249" spans="13:16">
      <c r="M27249" s="49">
        <f>IF($A$4+272&gt;$B$4,"",$A$4+272)</f>
        <v>46295</v>
      </c>
      <c r="N27249">
        <f>IF(M27249="","",'Master Barang'!A43)</f>
        <v>0</v>
      </c>
      <c r="O27249">
        <f>IF(N27249="","",'Master Barang'!B43)</f>
        <v>0</v>
      </c>
      <c r="P27249">
        <f>IF(OR(M27249="",N27249=""),"",SUMIFS('Barang Keluar'!$E:$E,'Barang Keluar'!$A:$A,M27249,'Barang Keluar'!$C:$C,N27249))</f>
        <v>0</v>
      </c>
    </row>
    <row r="27250" spans="13:16">
      <c r="M27250" s="49">
        <f>IF($A$4+272&gt;$B$4,"",$A$4+272)</f>
        <v>46295</v>
      </c>
      <c r="N27250">
        <f>IF(M27250="","",'Master Barang'!A44)</f>
        <v>0</v>
      </c>
      <c r="O27250">
        <f>IF(N27250="","",'Master Barang'!B44)</f>
        <v>0</v>
      </c>
      <c r="P27250">
        <f>IF(OR(M27250="",N27250=""),"",SUMIFS('Barang Keluar'!$E:$E,'Barang Keluar'!$A:$A,M27250,'Barang Keluar'!$C:$C,N27250))</f>
        <v>0</v>
      </c>
    </row>
    <row r="27251" spans="13:16">
      <c r="M27251" s="49">
        <f>IF($A$4+272&gt;$B$4,"",$A$4+272)</f>
        <v>46295</v>
      </c>
      <c r="N27251">
        <f>IF(M27251="","",'Master Barang'!A45)</f>
        <v>0</v>
      </c>
      <c r="O27251">
        <f>IF(N27251="","",'Master Barang'!B45)</f>
        <v>0</v>
      </c>
      <c r="P27251">
        <f>IF(OR(M27251="",N27251=""),"",SUMIFS('Barang Keluar'!$E:$E,'Barang Keluar'!$A:$A,M27251,'Barang Keluar'!$C:$C,N27251))</f>
        <v>0</v>
      </c>
    </row>
    <row r="27252" spans="13:16">
      <c r="M27252" s="49">
        <f>IF($A$4+272&gt;$B$4,"",$A$4+272)</f>
        <v>46295</v>
      </c>
      <c r="N27252">
        <f>IF(M27252="","",'Master Barang'!A46)</f>
        <v>0</v>
      </c>
      <c r="O27252">
        <f>IF(N27252="","",'Master Barang'!B46)</f>
        <v>0</v>
      </c>
      <c r="P27252">
        <f>IF(OR(M27252="",N27252=""),"",SUMIFS('Barang Keluar'!$E:$E,'Barang Keluar'!$A:$A,M27252,'Barang Keluar'!$C:$C,N27252))</f>
        <v>0</v>
      </c>
    </row>
    <row r="27253" spans="13:16">
      <c r="M27253" s="49">
        <f>IF($A$4+272&gt;$B$4,"",$A$4+272)</f>
        <v>46295</v>
      </c>
      <c r="N27253">
        <f>IF(M27253="","",'Master Barang'!A47)</f>
        <v>0</v>
      </c>
      <c r="O27253">
        <f>IF(N27253="","",'Master Barang'!B47)</f>
        <v>0</v>
      </c>
      <c r="P27253">
        <f>IF(OR(M27253="",N27253=""),"",SUMIFS('Barang Keluar'!$E:$E,'Barang Keluar'!$A:$A,M27253,'Barang Keluar'!$C:$C,N27253))</f>
        <v>0</v>
      </c>
    </row>
    <row r="27254" spans="13:16">
      <c r="M27254" s="49">
        <f>IF($A$4+272&gt;$B$4,"",$A$4+272)</f>
        <v>46295</v>
      </c>
      <c r="N27254">
        <f>IF(M27254="","",'Master Barang'!A48)</f>
        <v>0</v>
      </c>
      <c r="O27254">
        <f>IF(N27254="","",'Master Barang'!B48)</f>
        <v>0</v>
      </c>
      <c r="P27254">
        <f>IF(OR(M27254="",N27254=""),"",SUMIFS('Barang Keluar'!$E:$E,'Barang Keluar'!$A:$A,M27254,'Barang Keluar'!$C:$C,N27254))</f>
        <v>0</v>
      </c>
    </row>
    <row r="27255" spans="13:16">
      <c r="M27255" s="49">
        <f>IF($A$4+272&gt;$B$4,"",$A$4+272)</f>
        <v>46295</v>
      </c>
      <c r="N27255">
        <f>IF(M27255="","",'Master Barang'!A49)</f>
        <v>0</v>
      </c>
      <c r="O27255">
        <f>IF(N27255="","",'Master Barang'!B49)</f>
        <v>0</v>
      </c>
      <c r="P27255">
        <f>IF(OR(M27255="",N27255=""),"",SUMIFS('Barang Keluar'!$E:$E,'Barang Keluar'!$A:$A,M27255,'Barang Keluar'!$C:$C,N27255))</f>
        <v>0</v>
      </c>
    </row>
    <row r="27256" spans="13:16">
      <c r="M27256" s="49">
        <f>IF($A$4+272&gt;$B$4,"",$A$4+272)</f>
        <v>46295</v>
      </c>
      <c r="N27256">
        <f>IF(M27256="","",'Master Barang'!A50)</f>
        <v>0</v>
      </c>
      <c r="O27256">
        <f>IF(N27256="","",'Master Barang'!B50)</f>
        <v>0</v>
      </c>
      <c r="P27256">
        <f>IF(OR(M27256="",N27256=""),"",SUMIFS('Barang Keluar'!$E:$E,'Barang Keluar'!$A:$A,M27256,'Barang Keluar'!$C:$C,N27256))</f>
        <v>0</v>
      </c>
    </row>
    <row r="27257" spans="13:16">
      <c r="M27257" s="49">
        <f>IF($A$4+272&gt;$B$4,"",$A$4+272)</f>
        <v>46295</v>
      </c>
      <c r="N27257">
        <f>IF(M27257="","",'Master Barang'!A51)</f>
        <v>0</v>
      </c>
      <c r="O27257">
        <f>IF(N27257="","",'Master Barang'!B51)</f>
        <v>0</v>
      </c>
      <c r="P27257">
        <f>IF(OR(M27257="",N27257=""),"",SUMIFS('Barang Keluar'!$E:$E,'Barang Keluar'!$A:$A,M27257,'Barang Keluar'!$C:$C,N27257))</f>
        <v>0</v>
      </c>
    </row>
    <row r="27258" spans="13:16">
      <c r="M27258" s="49">
        <f>IF($A$4+272&gt;$B$4,"",$A$4+272)</f>
        <v>46295</v>
      </c>
      <c r="N27258">
        <f>IF(M27258="","",'Master Barang'!A52)</f>
        <v>0</v>
      </c>
      <c r="O27258">
        <f>IF(N27258="","",'Master Barang'!B52)</f>
        <v>0</v>
      </c>
      <c r="P27258">
        <f>IF(OR(M27258="",N27258=""),"",SUMIFS('Barang Keluar'!$E:$E,'Barang Keluar'!$A:$A,M27258,'Barang Keluar'!$C:$C,N27258))</f>
        <v>0</v>
      </c>
    </row>
    <row r="27259" spans="13:16">
      <c r="M27259" s="49">
        <f>IF($A$4+272&gt;$B$4,"",$A$4+272)</f>
        <v>46295</v>
      </c>
      <c r="N27259">
        <f>IF(M27259="","",'Master Barang'!A53)</f>
        <v>0</v>
      </c>
      <c r="O27259">
        <f>IF(N27259="","",'Master Barang'!B53)</f>
        <v>0</v>
      </c>
      <c r="P27259">
        <f>IF(OR(M27259="",N27259=""),"",SUMIFS('Barang Keluar'!$E:$E,'Barang Keluar'!$A:$A,M27259,'Barang Keluar'!$C:$C,N27259))</f>
        <v>0</v>
      </c>
    </row>
    <row r="27260" spans="13:16">
      <c r="M27260" s="49">
        <f>IF($A$4+272&gt;$B$4,"",$A$4+272)</f>
        <v>46295</v>
      </c>
      <c r="N27260">
        <f>IF(M27260="","",'Master Barang'!A54)</f>
        <v>0</v>
      </c>
      <c r="O27260">
        <f>IF(N27260="","",'Master Barang'!B54)</f>
        <v>0</v>
      </c>
      <c r="P27260">
        <f>IF(OR(M27260="",N27260=""),"",SUMIFS('Barang Keluar'!$E:$E,'Barang Keluar'!$A:$A,M27260,'Barang Keluar'!$C:$C,N27260))</f>
        <v>0</v>
      </c>
    </row>
    <row r="27261" spans="13:16">
      <c r="M27261" s="49">
        <f>IF($A$4+272&gt;$B$4,"",$A$4+272)</f>
        <v>46295</v>
      </c>
      <c r="N27261">
        <f>IF(M27261="","",'Master Barang'!A55)</f>
        <v>0</v>
      </c>
      <c r="O27261">
        <f>IF(N27261="","",'Master Barang'!B55)</f>
        <v>0</v>
      </c>
      <c r="P27261">
        <f>IF(OR(M27261="",N27261=""),"",SUMIFS('Barang Keluar'!$E:$E,'Barang Keluar'!$A:$A,M27261,'Barang Keluar'!$C:$C,N27261))</f>
        <v>0</v>
      </c>
    </row>
    <row r="27262" spans="13:16">
      <c r="M27262" s="49">
        <f>IF($A$4+272&gt;$B$4,"",$A$4+272)</f>
        <v>46295</v>
      </c>
      <c r="N27262">
        <f>IF(M27262="","",'Master Barang'!A56)</f>
        <v>0</v>
      </c>
      <c r="O27262">
        <f>IF(N27262="","",'Master Barang'!B56)</f>
        <v>0</v>
      </c>
      <c r="P27262">
        <f>IF(OR(M27262="",N27262=""),"",SUMIFS('Barang Keluar'!$E:$E,'Barang Keluar'!$A:$A,M27262,'Barang Keluar'!$C:$C,N27262))</f>
        <v>0</v>
      </c>
    </row>
    <row r="27263" spans="13:16">
      <c r="M27263" s="49">
        <f>IF($A$4+272&gt;$B$4,"",$A$4+272)</f>
        <v>46295</v>
      </c>
      <c r="N27263">
        <f>IF(M27263="","",'Master Barang'!A57)</f>
        <v>0</v>
      </c>
      <c r="O27263">
        <f>IF(N27263="","",'Master Barang'!B57)</f>
        <v>0</v>
      </c>
      <c r="P27263">
        <f>IF(OR(M27263="",N27263=""),"",SUMIFS('Barang Keluar'!$E:$E,'Barang Keluar'!$A:$A,M27263,'Barang Keluar'!$C:$C,N27263))</f>
        <v>0</v>
      </c>
    </row>
    <row r="27264" spans="13:16">
      <c r="M27264" s="49">
        <f>IF($A$4+272&gt;$B$4,"",$A$4+272)</f>
        <v>46295</v>
      </c>
      <c r="N27264">
        <f>IF(M27264="","",'Master Barang'!A58)</f>
        <v>0</v>
      </c>
      <c r="O27264">
        <f>IF(N27264="","",'Master Barang'!B58)</f>
        <v>0</v>
      </c>
      <c r="P27264">
        <f>IF(OR(M27264="",N27264=""),"",SUMIFS('Barang Keluar'!$E:$E,'Barang Keluar'!$A:$A,M27264,'Barang Keluar'!$C:$C,N27264))</f>
        <v>0</v>
      </c>
    </row>
    <row r="27265" spans="13:16">
      <c r="M27265" s="49">
        <f>IF($A$4+272&gt;$B$4,"",$A$4+272)</f>
        <v>46295</v>
      </c>
      <c r="N27265">
        <f>IF(M27265="","",'Master Barang'!A59)</f>
        <v>0</v>
      </c>
      <c r="O27265">
        <f>IF(N27265="","",'Master Barang'!B59)</f>
        <v>0</v>
      </c>
      <c r="P27265">
        <f>IF(OR(M27265="",N27265=""),"",SUMIFS('Barang Keluar'!$E:$E,'Barang Keluar'!$A:$A,M27265,'Barang Keluar'!$C:$C,N27265))</f>
        <v>0</v>
      </c>
    </row>
    <row r="27266" spans="13:16">
      <c r="M27266" s="49">
        <f>IF($A$4+272&gt;$B$4,"",$A$4+272)</f>
        <v>46295</v>
      </c>
      <c r="N27266">
        <f>IF(M27266="","",'Master Barang'!A60)</f>
        <v>0</v>
      </c>
      <c r="O27266">
        <f>IF(N27266="","",'Master Barang'!B60)</f>
        <v>0</v>
      </c>
      <c r="P27266">
        <f>IF(OR(M27266="",N27266=""),"",SUMIFS('Barang Keluar'!$E:$E,'Barang Keluar'!$A:$A,M27266,'Barang Keluar'!$C:$C,N27266))</f>
        <v>0</v>
      </c>
    </row>
    <row r="27267" spans="13:16">
      <c r="M27267" s="49">
        <f>IF($A$4+272&gt;$B$4,"",$A$4+272)</f>
        <v>46295</v>
      </c>
      <c r="N27267">
        <f>IF(M27267="","",'Master Barang'!A61)</f>
        <v>0</v>
      </c>
      <c r="O27267">
        <f>IF(N27267="","",'Master Barang'!B61)</f>
        <v>0</v>
      </c>
      <c r="P27267">
        <f>IF(OR(M27267="",N27267=""),"",SUMIFS('Barang Keluar'!$E:$E,'Barang Keluar'!$A:$A,M27267,'Barang Keluar'!$C:$C,N27267))</f>
        <v>0</v>
      </c>
    </row>
    <row r="27268" spans="13:16">
      <c r="M27268" s="49">
        <f>IF($A$4+272&gt;$B$4,"",$A$4+272)</f>
        <v>46295</v>
      </c>
      <c r="N27268">
        <f>IF(M27268="","",'Master Barang'!A62)</f>
        <v>0</v>
      </c>
      <c r="O27268">
        <f>IF(N27268="","",'Master Barang'!B62)</f>
        <v>0</v>
      </c>
      <c r="P27268">
        <f>IF(OR(M27268="",N27268=""),"",SUMIFS('Barang Keluar'!$E:$E,'Barang Keluar'!$A:$A,M27268,'Barang Keluar'!$C:$C,N27268))</f>
        <v>0</v>
      </c>
    </row>
    <row r="27269" spans="13:16">
      <c r="M27269" s="49">
        <f>IF($A$4+272&gt;$B$4,"",$A$4+272)</f>
        <v>46295</v>
      </c>
      <c r="N27269">
        <f>IF(M27269="","",'Master Barang'!A63)</f>
        <v>0</v>
      </c>
      <c r="O27269">
        <f>IF(N27269="","",'Master Barang'!B63)</f>
        <v>0</v>
      </c>
      <c r="P27269">
        <f>IF(OR(M27269="",N27269=""),"",SUMIFS('Barang Keluar'!$E:$E,'Barang Keluar'!$A:$A,M27269,'Barang Keluar'!$C:$C,N27269))</f>
        <v>0</v>
      </c>
    </row>
    <row r="27270" spans="13:16">
      <c r="M27270" s="49">
        <f>IF($A$4+272&gt;$B$4,"",$A$4+272)</f>
        <v>46295</v>
      </c>
      <c r="N27270">
        <f>IF(M27270="","",'Master Barang'!A64)</f>
        <v>0</v>
      </c>
      <c r="O27270">
        <f>IF(N27270="","",'Master Barang'!B64)</f>
        <v>0</v>
      </c>
      <c r="P27270">
        <f>IF(OR(M27270="",N27270=""),"",SUMIFS('Barang Keluar'!$E:$E,'Barang Keluar'!$A:$A,M27270,'Barang Keluar'!$C:$C,N27270))</f>
        <v>0</v>
      </c>
    </row>
    <row r="27271" spans="13:16">
      <c r="M27271" s="49">
        <f>IF($A$4+272&gt;$B$4,"",$A$4+272)</f>
        <v>46295</v>
      </c>
      <c r="N27271">
        <f>IF(M27271="","",'Master Barang'!A65)</f>
        <v>0</v>
      </c>
      <c r="O27271">
        <f>IF(N27271="","",'Master Barang'!B65)</f>
        <v>0</v>
      </c>
      <c r="P27271">
        <f>IF(OR(M27271="",N27271=""),"",SUMIFS('Barang Keluar'!$E:$E,'Barang Keluar'!$A:$A,M27271,'Barang Keluar'!$C:$C,N27271))</f>
        <v>0</v>
      </c>
    </row>
    <row r="27272" spans="13:16">
      <c r="M27272" s="49">
        <f>IF($A$4+272&gt;$B$4,"",$A$4+272)</f>
        <v>46295</v>
      </c>
      <c r="N27272">
        <f>IF(M27272="","",'Master Barang'!A66)</f>
        <v>0</v>
      </c>
      <c r="O27272">
        <f>IF(N27272="","",'Master Barang'!B66)</f>
        <v>0</v>
      </c>
      <c r="P27272">
        <f>IF(OR(M27272="",N27272=""),"",SUMIFS('Barang Keluar'!$E:$E,'Barang Keluar'!$A:$A,M27272,'Barang Keluar'!$C:$C,N27272))</f>
        <v>0</v>
      </c>
    </row>
    <row r="27273" spans="13:16">
      <c r="M27273" s="49">
        <f>IF($A$4+272&gt;$B$4,"",$A$4+272)</f>
        <v>46295</v>
      </c>
      <c r="N27273">
        <f>IF(M27273="","",'Master Barang'!A67)</f>
        <v>0</v>
      </c>
      <c r="O27273">
        <f>IF(N27273="","",'Master Barang'!B67)</f>
        <v>0</v>
      </c>
      <c r="P27273">
        <f>IF(OR(M27273="",N27273=""),"",SUMIFS('Barang Keluar'!$E:$E,'Barang Keluar'!$A:$A,M27273,'Barang Keluar'!$C:$C,N27273))</f>
        <v>0</v>
      </c>
    </row>
    <row r="27274" spans="13:16">
      <c r="M27274" s="49">
        <f>IF($A$4+272&gt;$B$4,"",$A$4+272)</f>
        <v>46295</v>
      </c>
      <c r="N27274">
        <f>IF(M27274="","",'Master Barang'!A68)</f>
        <v>0</v>
      </c>
      <c r="O27274">
        <f>IF(N27274="","",'Master Barang'!B68)</f>
        <v>0</v>
      </c>
      <c r="P27274">
        <f>IF(OR(M27274="",N27274=""),"",SUMIFS('Barang Keluar'!$E:$E,'Barang Keluar'!$A:$A,M27274,'Barang Keluar'!$C:$C,N27274))</f>
        <v>0</v>
      </c>
    </row>
    <row r="27275" spans="13:16">
      <c r="M27275" s="49">
        <f>IF($A$4+272&gt;$B$4,"",$A$4+272)</f>
        <v>46295</v>
      </c>
      <c r="N27275">
        <f>IF(M27275="","",'Master Barang'!A69)</f>
        <v>0</v>
      </c>
      <c r="O27275">
        <f>IF(N27275="","",'Master Barang'!B69)</f>
        <v>0</v>
      </c>
      <c r="P27275">
        <f>IF(OR(M27275="",N27275=""),"",SUMIFS('Barang Keluar'!$E:$E,'Barang Keluar'!$A:$A,M27275,'Barang Keluar'!$C:$C,N27275))</f>
        <v>0</v>
      </c>
    </row>
    <row r="27276" spans="13:16">
      <c r="M27276" s="49">
        <f>IF($A$4+272&gt;$B$4,"",$A$4+272)</f>
        <v>46295</v>
      </c>
      <c r="N27276">
        <f>IF(M27276="","",'Master Barang'!A70)</f>
        <v>0</v>
      </c>
      <c r="O27276">
        <f>IF(N27276="","",'Master Barang'!B70)</f>
        <v>0</v>
      </c>
      <c r="P27276">
        <f>IF(OR(M27276="",N27276=""),"",SUMIFS('Barang Keluar'!$E:$E,'Barang Keluar'!$A:$A,M27276,'Barang Keluar'!$C:$C,N27276))</f>
        <v>0</v>
      </c>
    </row>
    <row r="27277" spans="13:16">
      <c r="M27277" s="49">
        <f>IF($A$4+272&gt;$B$4,"",$A$4+272)</f>
        <v>46295</v>
      </c>
      <c r="N27277">
        <f>IF(M27277="","",'Master Barang'!A71)</f>
        <v>0</v>
      </c>
      <c r="O27277">
        <f>IF(N27277="","",'Master Barang'!B71)</f>
        <v>0</v>
      </c>
      <c r="P27277">
        <f>IF(OR(M27277="",N27277=""),"",SUMIFS('Barang Keluar'!$E:$E,'Barang Keluar'!$A:$A,M27277,'Barang Keluar'!$C:$C,N27277))</f>
        <v>0</v>
      </c>
    </row>
    <row r="27278" spans="13:16">
      <c r="M27278" s="49">
        <f>IF($A$4+272&gt;$B$4,"",$A$4+272)</f>
        <v>46295</v>
      </c>
      <c r="N27278">
        <f>IF(M27278="","",'Master Barang'!A72)</f>
        <v>0</v>
      </c>
      <c r="O27278">
        <f>IF(N27278="","",'Master Barang'!B72)</f>
        <v>0</v>
      </c>
      <c r="P27278">
        <f>IF(OR(M27278="",N27278=""),"",SUMIFS('Barang Keluar'!$E:$E,'Barang Keluar'!$A:$A,M27278,'Barang Keluar'!$C:$C,N27278))</f>
        <v>0</v>
      </c>
    </row>
    <row r="27279" spans="13:16">
      <c r="M27279" s="49">
        <f>IF($A$4+272&gt;$B$4,"",$A$4+272)</f>
        <v>46295</v>
      </c>
      <c r="N27279">
        <f>IF(M27279="","",'Master Barang'!A73)</f>
        <v>0</v>
      </c>
      <c r="O27279">
        <f>IF(N27279="","",'Master Barang'!B73)</f>
        <v>0</v>
      </c>
      <c r="P27279">
        <f>IF(OR(M27279="",N27279=""),"",SUMIFS('Barang Keluar'!$E:$E,'Barang Keluar'!$A:$A,M27279,'Barang Keluar'!$C:$C,N27279))</f>
        <v>0</v>
      </c>
    </row>
    <row r="27280" spans="13:16">
      <c r="M27280" s="49">
        <f>IF($A$4+272&gt;$B$4,"",$A$4+272)</f>
        <v>46295</v>
      </c>
      <c r="N27280">
        <f>IF(M27280="","",'Master Barang'!A74)</f>
        <v>0</v>
      </c>
      <c r="O27280">
        <f>IF(N27280="","",'Master Barang'!B74)</f>
        <v>0</v>
      </c>
      <c r="P27280">
        <f>IF(OR(M27280="",N27280=""),"",SUMIFS('Barang Keluar'!$E:$E,'Barang Keluar'!$A:$A,M27280,'Barang Keluar'!$C:$C,N27280))</f>
        <v>0</v>
      </c>
    </row>
    <row r="27281" spans="13:16">
      <c r="M27281" s="49">
        <f>IF($A$4+272&gt;$B$4,"",$A$4+272)</f>
        <v>46295</v>
      </c>
      <c r="N27281">
        <f>IF(M27281="","",'Master Barang'!A75)</f>
        <v>0</v>
      </c>
      <c r="O27281">
        <f>IF(N27281="","",'Master Barang'!B75)</f>
        <v>0</v>
      </c>
      <c r="P27281">
        <f>IF(OR(M27281="",N27281=""),"",SUMIFS('Barang Keluar'!$E:$E,'Barang Keluar'!$A:$A,M27281,'Barang Keluar'!$C:$C,N27281))</f>
        <v>0</v>
      </c>
    </row>
    <row r="27282" spans="13:16">
      <c r="M27282" s="49">
        <f>IF($A$4+272&gt;$B$4,"",$A$4+272)</f>
        <v>46295</v>
      </c>
      <c r="N27282">
        <f>IF(M27282="","",'Master Barang'!A76)</f>
        <v>0</v>
      </c>
      <c r="O27282">
        <f>IF(N27282="","",'Master Barang'!B76)</f>
        <v>0</v>
      </c>
      <c r="P27282">
        <f>IF(OR(M27282="",N27282=""),"",SUMIFS('Barang Keluar'!$E:$E,'Barang Keluar'!$A:$A,M27282,'Barang Keluar'!$C:$C,N27282))</f>
        <v>0</v>
      </c>
    </row>
    <row r="27283" spans="13:16">
      <c r="M27283" s="49">
        <f>IF($A$4+272&gt;$B$4,"",$A$4+272)</f>
        <v>46295</v>
      </c>
      <c r="N27283">
        <f>IF(M27283="","",'Master Barang'!A77)</f>
        <v>0</v>
      </c>
      <c r="O27283">
        <f>IF(N27283="","",'Master Barang'!B77)</f>
        <v>0</v>
      </c>
      <c r="P27283">
        <f>IF(OR(M27283="",N27283=""),"",SUMIFS('Barang Keluar'!$E:$E,'Barang Keluar'!$A:$A,M27283,'Barang Keluar'!$C:$C,N27283))</f>
        <v>0</v>
      </c>
    </row>
    <row r="27284" spans="13:16">
      <c r="M27284" s="49">
        <f>IF($A$4+272&gt;$B$4,"",$A$4+272)</f>
        <v>46295</v>
      </c>
      <c r="N27284">
        <f>IF(M27284="","",'Master Barang'!A78)</f>
        <v>0</v>
      </c>
      <c r="O27284">
        <f>IF(N27284="","",'Master Barang'!B78)</f>
        <v>0</v>
      </c>
      <c r="P27284">
        <f>IF(OR(M27284="",N27284=""),"",SUMIFS('Barang Keluar'!$E:$E,'Barang Keluar'!$A:$A,M27284,'Barang Keluar'!$C:$C,N27284))</f>
        <v>0</v>
      </c>
    </row>
    <row r="27285" spans="13:16">
      <c r="M27285" s="49">
        <f>IF($A$4+272&gt;$B$4,"",$A$4+272)</f>
        <v>46295</v>
      </c>
      <c r="N27285">
        <f>IF(M27285="","",'Master Barang'!A79)</f>
        <v>0</v>
      </c>
      <c r="O27285">
        <f>IF(N27285="","",'Master Barang'!B79)</f>
        <v>0</v>
      </c>
      <c r="P27285">
        <f>IF(OR(M27285="",N27285=""),"",SUMIFS('Barang Keluar'!$E:$E,'Barang Keluar'!$A:$A,M27285,'Barang Keluar'!$C:$C,N27285))</f>
        <v>0</v>
      </c>
    </row>
    <row r="27286" spans="13:16">
      <c r="M27286" s="49">
        <f>IF($A$4+272&gt;$B$4,"",$A$4+272)</f>
        <v>46295</v>
      </c>
      <c r="N27286">
        <f>IF(M27286="","",'Master Barang'!A80)</f>
        <v>0</v>
      </c>
      <c r="O27286">
        <f>IF(N27286="","",'Master Barang'!B80)</f>
        <v>0</v>
      </c>
      <c r="P27286">
        <f>IF(OR(M27286="",N27286=""),"",SUMIFS('Barang Keluar'!$E:$E,'Barang Keluar'!$A:$A,M27286,'Barang Keluar'!$C:$C,N27286))</f>
        <v>0</v>
      </c>
    </row>
    <row r="27287" spans="13:16">
      <c r="M27287" s="49">
        <f>IF($A$4+272&gt;$B$4,"",$A$4+272)</f>
        <v>46295</v>
      </c>
      <c r="N27287">
        <f>IF(M27287="","",'Master Barang'!A81)</f>
        <v>0</v>
      </c>
      <c r="O27287">
        <f>IF(N27287="","",'Master Barang'!B81)</f>
        <v>0</v>
      </c>
      <c r="P27287">
        <f>IF(OR(M27287="",N27287=""),"",SUMIFS('Barang Keluar'!$E:$E,'Barang Keluar'!$A:$A,M27287,'Barang Keluar'!$C:$C,N27287))</f>
        <v>0</v>
      </c>
    </row>
    <row r="27288" spans="13:16">
      <c r="M27288" s="49">
        <f>IF($A$4+272&gt;$B$4,"",$A$4+272)</f>
        <v>46295</v>
      </c>
      <c r="N27288">
        <f>IF(M27288="","",'Master Barang'!A82)</f>
        <v>0</v>
      </c>
      <c r="O27288">
        <f>IF(N27288="","",'Master Barang'!B82)</f>
        <v>0</v>
      </c>
      <c r="P27288">
        <f>IF(OR(M27288="",N27288=""),"",SUMIFS('Barang Keluar'!$E:$E,'Barang Keluar'!$A:$A,M27288,'Barang Keluar'!$C:$C,N27288))</f>
        <v>0</v>
      </c>
    </row>
    <row r="27289" spans="13:16">
      <c r="M27289" s="49">
        <f>IF($A$4+272&gt;$B$4,"",$A$4+272)</f>
        <v>46295</v>
      </c>
      <c r="N27289">
        <f>IF(M27289="","",'Master Barang'!A83)</f>
        <v>0</v>
      </c>
      <c r="O27289">
        <f>IF(N27289="","",'Master Barang'!B83)</f>
        <v>0</v>
      </c>
      <c r="P27289">
        <f>IF(OR(M27289="",N27289=""),"",SUMIFS('Barang Keluar'!$E:$E,'Barang Keluar'!$A:$A,M27289,'Barang Keluar'!$C:$C,N27289))</f>
        <v>0</v>
      </c>
    </row>
    <row r="27290" spans="13:16">
      <c r="M27290" s="49">
        <f>IF($A$4+272&gt;$B$4,"",$A$4+272)</f>
        <v>46295</v>
      </c>
      <c r="N27290">
        <f>IF(M27290="","",'Master Barang'!A84)</f>
        <v>0</v>
      </c>
      <c r="O27290">
        <f>IF(N27290="","",'Master Barang'!B84)</f>
        <v>0</v>
      </c>
      <c r="P27290">
        <f>IF(OR(M27290="",N27290=""),"",SUMIFS('Barang Keluar'!$E:$E,'Barang Keluar'!$A:$A,M27290,'Barang Keluar'!$C:$C,N27290))</f>
        <v>0</v>
      </c>
    </row>
    <row r="27291" spans="13:16">
      <c r="M27291" s="49">
        <f>IF($A$4+272&gt;$B$4,"",$A$4+272)</f>
        <v>46295</v>
      </c>
      <c r="N27291">
        <f>IF(M27291="","",'Master Barang'!A85)</f>
        <v>0</v>
      </c>
      <c r="O27291">
        <f>IF(N27291="","",'Master Barang'!B85)</f>
        <v>0</v>
      </c>
      <c r="P27291">
        <f>IF(OR(M27291="",N27291=""),"",SUMIFS('Barang Keluar'!$E:$E,'Barang Keluar'!$A:$A,M27291,'Barang Keluar'!$C:$C,N27291))</f>
        <v>0</v>
      </c>
    </row>
    <row r="27292" spans="13:16">
      <c r="M27292" s="49">
        <f>IF($A$4+272&gt;$B$4,"",$A$4+272)</f>
        <v>46295</v>
      </c>
      <c r="N27292">
        <f>IF(M27292="","",'Master Barang'!A86)</f>
        <v>0</v>
      </c>
      <c r="O27292">
        <f>IF(N27292="","",'Master Barang'!B86)</f>
        <v>0</v>
      </c>
      <c r="P27292">
        <f>IF(OR(M27292="",N27292=""),"",SUMIFS('Barang Keluar'!$E:$E,'Barang Keluar'!$A:$A,M27292,'Barang Keluar'!$C:$C,N27292))</f>
        <v>0</v>
      </c>
    </row>
    <row r="27293" spans="13:16">
      <c r="M27293" s="49">
        <f>IF($A$4+272&gt;$B$4,"",$A$4+272)</f>
        <v>46295</v>
      </c>
      <c r="N27293">
        <f>IF(M27293="","",'Master Barang'!A87)</f>
        <v>0</v>
      </c>
      <c r="O27293">
        <f>IF(N27293="","",'Master Barang'!B87)</f>
        <v>0</v>
      </c>
      <c r="P27293">
        <f>IF(OR(M27293="",N27293=""),"",SUMIFS('Barang Keluar'!$E:$E,'Barang Keluar'!$A:$A,M27293,'Barang Keluar'!$C:$C,N27293))</f>
        <v>0</v>
      </c>
    </row>
    <row r="27294" spans="13:16">
      <c r="M27294" s="49">
        <f>IF($A$4+272&gt;$B$4,"",$A$4+272)</f>
        <v>46295</v>
      </c>
      <c r="N27294">
        <f>IF(M27294="","",'Master Barang'!A88)</f>
        <v>0</v>
      </c>
      <c r="O27294">
        <f>IF(N27294="","",'Master Barang'!B88)</f>
        <v>0</v>
      </c>
      <c r="P27294">
        <f>IF(OR(M27294="",N27294=""),"",SUMIFS('Barang Keluar'!$E:$E,'Barang Keluar'!$A:$A,M27294,'Barang Keluar'!$C:$C,N27294))</f>
        <v>0</v>
      </c>
    </row>
    <row r="27295" spans="13:16">
      <c r="M27295" s="49">
        <f>IF($A$4+272&gt;$B$4,"",$A$4+272)</f>
        <v>46295</v>
      </c>
      <c r="N27295">
        <f>IF(M27295="","",'Master Barang'!A89)</f>
        <v>0</v>
      </c>
      <c r="O27295">
        <f>IF(N27295="","",'Master Barang'!B89)</f>
        <v>0</v>
      </c>
      <c r="P27295">
        <f>IF(OR(M27295="",N27295=""),"",SUMIFS('Barang Keluar'!$E:$E,'Barang Keluar'!$A:$A,M27295,'Barang Keluar'!$C:$C,N27295))</f>
        <v>0</v>
      </c>
    </row>
    <row r="27296" spans="13:16">
      <c r="M27296" s="49">
        <f>IF($A$4+272&gt;$B$4,"",$A$4+272)</f>
        <v>46295</v>
      </c>
      <c r="N27296">
        <f>IF(M27296="","",'Master Barang'!A90)</f>
        <v>0</v>
      </c>
      <c r="O27296">
        <f>IF(N27296="","",'Master Barang'!B90)</f>
        <v>0</v>
      </c>
      <c r="P27296">
        <f>IF(OR(M27296="",N27296=""),"",SUMIFS('Barang Keluar'!$E:$E,'Barang Keluar'!$A:$A,M27296,'Barang Keluar'!$C:$C,N27296))</f>
        <v>0</v>
      </c>
    </row>
    <row r="27297" spans="13:16">
      <c r="M27297" s="49">
        <f>IF($A$4+272&gt;$B$4,"",$A$4+272)</f>
        <v>46295</v>
      </c>
      <c r="N27297">
        <f>IF(M27297="","",'Master Barang'!A91)</f>
        <v>0</v>
      </c>
      <c r="O27297">
        <f>IF(N27297="","",'Master Barang'!B91)</f>
        <v>0</v>
      </c>
      <c r="P27297">
        <f>IF(OR(M27297="",N27297=""),"",SUMIFS('Barang Keluar'!$E:$E,'Barang Keluar'!$A:$A,M27297,'Barang Keluar'!$C:$C,N27297))</f>
        <v>0</v>
      </c>
    </row>
    <row r="27298" spans="13:16">
      <c r="M27298" s="49">
        <f>IF($A$4+272&gt;$B$4,"",$A$4+272)</f>
        <v>46295</v>
      </c>
      <c r="N27298">
        <f>IF(M27298="","",'Master Barang'!A92)</f>
        <v>0</v>
      </c>
      <c r="O27298">
        <f>IF(N27298="","",'Master Barang'!B92)</f>
        <v>0</v>
      </c>
      <c r="P27298">
        <f>IF(OR(M27298="",N27298=""),"",SUMIFS('Barang Keluar'!$E:$E,'Barang Keluar'!$A:$A,M27298,'Barang Keluar'!$C:$C,N27298))</f>
        <v>0</v>
      </c>
    </row>
    <row r="27299" spans="13:16">
      <c r="M27299" s="49">
        <f>IF($A$4+272&gt;$B$4,"",$A$4+272)</f>
        <v>46295</v>
      </c>
      <c r="N27299">
        <f>IF(M27299="","",'Master Barang'!A93)</f>
        <v>0</v>
      </c>
      <c r="O27299">
        <f>IF(N27299="","",'Master Barang'!B93)</f>
        <v>0</v>
      </c>
      <c r="P27299">
        <f>IF(OR(M27299="",N27299=""),"",SUMIFS('Barang Keluar'!$E:$E,'Barang Keluar'!$A:$A,M27299,'Barang Keluar'!$C:$C,N27299))</f>
        <v>0</v>
      </c>
    </row>
    <row r="27300" spans="13:16">
      <c r="M27300" s="49">
        <f>IF($A$4+272&gt;$B$4,"",$A$4+272)</f>
        <v>46295</v>
      </c>
      <c r="N27300">
        <f>IF(M27300="","",'Master Barang'!A94)</f>
        <v>0</v>
      </c>
      <c r="O27300">
        <f>IF(N27300="","",'Master Barang'!B94)</f>
        <v>0</v>
      </c>
      <c r="P27300">
        <f>IF(OR(M27300="",N27300=""),"",SUMIFS('Barang Keluar'!$E:$E,'Barang Keluar'!$A:$A,M27300,'Barang Keluar'!$C:$C,N27300))</f>
        <v>0</v>
      </c>
    </row>
    <row r="27301" spans="13:16">
      <c r="M27301" s="49">
        <f>IF($A$4+272&gt;$B$4,"",$A$4+272)</f>
        <v>46295</v>
      </c>
      <c r="N27301">
        <f>IF(M27301="","",'Master Barang'!A95)</f>
        <v>0</v>
      </c>
      <c r="O27301">
        <f>IF(N27301="","",'Master Barang'!B95)</f>
        <v>0</v>
      </c>
      <c r="P27301">
        <f>IF(OR(M27301="",N27301=""),"",SUMIFS('Barang Keluar'!$E:$E,'Barang Keluar'!$A:$A,M27301,'Barang Keluar'!$C:$C,N27301))</f>
        <v>0</v>
      </c>
    </row>
    <row r="27302" spans="13:16">
      <c r="M27302" s="49">
        <f>IF($A$4+272&gt;$B$4,"",$A$4+272)</f>
        <v>46295</v>
      </c>
      <c r="N27302">
        <f>IF(M27302="","",'Master Barang'!A96)</f>
        <v>0</v>
      </c>
      <c r="O27302">
        <f>IF(N27302="","",'Master Barang'!B96)</f>
        <v>0</v>
      </c>
      <c r="P27302">
        <f>IF(OR(M27302="",N27302=""),"",SUMIFS('Barang Keluar'!$E:$E,'Barang Keluar'!$A:$A,M27302,'Barang Keluar'!$C:$C,N27302))</f>
        <v>0</v>
      </c>
    </row>
    <row r="27303" spans="13:16">
      <c r="M27303" s="49">
        <f>IF($A$4+272&gt;$B$4,"",$A$4+272)</f>
        <v>46295</v>
      </c>
      <c r="N27303">
        <f>IF(M27303="","",'Master Barang'!A97)</f>
        <v>0</v>
      </c>
      <c r="O27303">
        <f>IF(N27303="","",'Master Barang'!B97)</f>
        <v>0</v>
      </c>
      <c r="P27303">
        <f>IF(OR(M27303="",N27303=""),"",SUMIFS('Barang Keluar'!$E:$E,'Barang Keluar'!$A:$A,M27303,'Barang Keluar'!$C:$C,N27303))</f>
        <v>0</v>
      </c>
    </row>
    <row r="27304" spans="13:16">
      <c r="M27304" s="49">
        <f>IF($A$4+272&gt;$B$4,"",$A$4+272)</f>
        <v>46295</v>
      </c>
      <c r="N27304">
        <f>IF(M27304="","",'Master Barang'!A98)</f>
        <v>0</v>
      </c>
      <c r="O27304">
        <f>IF(N27304="","",'Master Barang'!B98)</f>
        <v>0</v>
      </c>
      <c r="P27304">
        <f>IF(OR(M27304="",N27304=""),"",SUMIFS('Barang Keluar'!$E:$E,'Barang Keluar'!$A:$A,M27304,'Barang Keluar'!$C:$C,N27304))</f>
        <v>0</v>
      </c>
    </row>
    <row r="27305" spans="13:16">
      <c r="M27305" s="49">
        <f>IF($A$4+272&gt;$B$4,"",$A$4+272)</f>
        <v>46295</v>
      </c>
      <c r="N27305">
        <f>IF(M27305="","",'Master Barang'!A99)</f>
        <v>0</v>
      </c>
      <c r="O27305">
        <f>IF(N27305="","",'Master Barang'!B99)</f>
        <v>0</v>
      </c>
      <c r="P27305">
        <f>IF(OR(M27305="",N27305=""),"",SUMIFS('Barang Keluar'!$E:$E,'Barang Keluar'!$A:$A,M27305,'Barang Keluar'!$C:$C,N27305))</f>
        <v>0</v>
      </c>
    </row>
    <row r="27306" spans="13:16">
      <c r="M27306" s="49">
        <f>IF($A$4+272&gt;$B$4,"",$A$4+272)</f>
        <v>46295</v>
      </c>
      <c r="N27306">
        <f>IF(M27306="","",'Master Barang'!A100)</f>
        <v>0</v>
      </c>
      <c r="O27306">
        <f>IF(N27306="","",'Master Barang'!B100)</f>
        <v>0</v>
      </c>
      <c r="P27306">
        <f>IF(OR(M27306="",N27306=""),"",SUMIFS('Barang Keluar'!$E:$E,'Barang Keluar'!$A:$A,M27306,'Barang Keluar'!$C:$C,N27306))</f>
        <v>0</v>
      </c>
    </row>
    <row r="27307" spans="13:16">
      <c r="M27307" s="49">
        <f>IF($A$4+272&gt;$B$4,"",$A$4+272)</f>
        <v>46295</v>
      </c>
      <c r="N27307">
        <f>IF(M27307="","",'Master Barang'!A101)</f>
        <v>0</v>
      </c>
      <c r="O27307">
        <f>IF(N27307="","",'Master Barang'!B101)</f>
        <v>0</v>
      </c>
      <c r="P27307">
        <f>IF(OR(M27307="",N27307=""),"",SUMIFS('Barang Keluar'!$E:$E,'Barang Keluar'!$A:$A,M27307,'Barang Keluar'!$C:$C,N27307))</f>
        <v>0</v>
      </c>
    </row>
    <row r="27308" spans="13:16">
      <c r="M27308" s="49">
        <f>IF($A$4+273&gt;$B$4,"",$A$4+273)</f>
        <v>46296</v>
      </c>
      <c r="N27308" t="str">
        <f>IF(M27308="","",'Master Barang'!A2)</f>
        <v>PRL-001</v>
      </c>
      <c r="O27308" t="str">
        <f>IF(N27308="","",'Master Barang'!B2)</f>
        <v>natura desinfectant food grade 5l</v>
      </c>
      <c r="P27308">
        <f>IF(OR(M27308="",N27308=""),"",SUMIFS('Barang Keluar'!$E:$E,'Barang Keluar'!$A:$A,M27308,'Barang Keluar'!$C:$C,N27308))</f>
        <v>0</v>
      </c>
    </row>
    <row r="27309" spans="13:16">
      <c r="M27309" s="49">
        <f>IF($A$4+273&gt;$B$4,"",$A$4+273)</f>
        <v>46296</v>
      </c>
      <c r="N27309" t="str">
        <f>IF(M27309="","",'Master Barang'!A3)</f>
        <v>PRL-002</v>
      </c>
      <c r="O27309" t="str">
        <f>IF(N27309="","",'Master Barang'!B3)</f>
        <v>sunlight cairan pencuci piring 5l</v>
      </c>
      <c r="P27309">
        <f>IF(OR(M27309="",N27309=""),"",SUMIFS('Barang Keluar'!$E:$E,'Barang Keluar'!$A:$A,M27309,'Barang Keluar'!$C:$C,N27309))</f>
        <v>0</v>
      </c>
    </row>
    <row r="27310" spans="13:16">
      <c r="M27310" s="49">
        <f>IF($A$4+273&gt;$B$4,"",$A$4+273)</f>
        <v>46296</v>
      </c>
      <c r="N27310" t="str">
        <f>IF(M27310="","",'Master Barang'!A4)</f>
        <v>PRL-003</v>
      </c>
      <c r="O27310" t="str">
        <f>IF(N27310="","",'Master Barang'!B4)</f>
        <v>oixs cleaner 1l</v>
      </c>
      <c r="P27310">
        <f>IF(OR(M27310="",N27310=""),"",SUMIFS('Barang Keluar'!$E:$E,'Barang Keluar'!$A:$A,M27310,'Barang Keluar'!$C:$C,N27310))</f>
        <v>0</v>
      </c>
    </row>
    <row r="27311" spans="13:16">
      <c r="M27311" s="49">
        <f>IF($A$4+273&gt;$B$4,"",$A$4+273)</f>
        <v>46296</v>
      </c>
      <c r="N27311" t="str">
        <f>IF(M27311="","",'Master Barang'!A5)</f>
        <v>PRL-004</v>
      </c>
      <c r="O27311" t="str">
        <f>IF(N27311="","",'Master Barang'!B5)</f>
        <v>be clean tissue serbaguna</v>
      </c>
      <c r="P27311">
        <f>IF(OR(M27311="",N27311=""),"",SUMIFS('Barang Keluar'!$E:$E,'Barang Keluar'!$A:$A,M27311,'Barang Keluar'!$C:$C,N27311))</f>
        <v>0</v>
      </c>
    </row>
    <row r="27312" spans="13:16">
      <c r="M27312" s="49">
        <f>IF($A$4+273&gt;$B$4,"",$A$4+273)</f>
        <v>46296</v>
      </c>
      <c r="N27312" t="str">
        <f>IF(M27312="","",'Master Barang'!A6)</f>
        <v>PRL-005</v>
      </c>
      <c r="O27312" t="str">
        <f>IF(N27312="","",'Master Barang'!B6)</f>
        <v>spons cuci hijau</v>
      </c>
      <c r="P27312">
        <f>IF(OR(M27312="",N27312=""),"",SUMIFS('Barang Keluar'!$E:$E,'Barang Keluar'!$A:$A,M27312,'Barang Keluar'!$C:$C,N27312))</f>
        <v>0</v>
      </c>
    </row>
    <row r="27313" spans="13:16">
      <c r="M27313" s="49">
        <f>IF($A$4+273&gt;$B$4,"",$A$4+273)</f>
        <v>46296</v>
      </c>
      <c r="N27313" t="str">
        <f>IF(M27313="","",'Master Barang'!A7)</f>
        <v>PRL-006</v>
      </c>
      <c r="O27313" t="str">
        <f>IF(N27313="","",'Master Barang'!B7)</f>
        <v>sabut cuci stainless</v>
      </c>
      <c r="P27313">
        <f>IF(OR(M27313="",N27313=""),"",SUMIFS('Barang Keluar'!$E:$E,'Barang Keluar'!$A:$A,M27313,'Barang Keluar'!$C:$C,N27313))</f>
        <v>0</v>
      </c>
    </row>
    <row r="27314" spans="13:16">
      <c r="M27314" s="49">
        <f>IF($A$4+273&gt;$B$4,"",$A$4+273)</f>
        <v>46296</v>
      </c>
      <c r="N27314" t="str">
        <f>IF(M27314="","",'Master Barang'!A8)</f>
        <v>PRL-007</v>
      </c>
      <c r="O27314" t="str">
        <f>IF(N27314="","",'Master Barang'!B8)</f>
        <v>plastik kresek besar merah 50pc</v>
      </c>
      <c r="P27314">
        <f>IF(OR(M27314="",N27314=""),"",SUMIFS('Barang Keluar'!$E:$E,'Barang Keluar'!$A:$A,M27314,'Barang Keluar'!$C:$C,N27314))</f>
        <v>0</v>
      </c>
    </row>
    <row r="27315" spans="13:16">
      <c r="M27315" s="49">
        <f>IF($A$4+273&gt;$B$4,"",$A$4+273)</f>
        <v>46296</v>
      </c>
      <c r="N27315" t="str">
        <f>IF(M27315="","",'Master Barang'!A9)</f>
        <v>PRL-008</v>
      </c>
      <c r="O27315" t="str">
        <f>IF(N27315="","",'Master Barang'!B9)</f>
        <v>lap besar</v>
      </c>
      <c r="P27315">
        <f>IF(OR(M27315="",N27315=""),"",SUMIFS('Barang Keluar'!$E:$E,'Barang Keluar'!$A:$A,M27315,'Barang Keluar'!$C:$C,N27315))</f>
        <v>0</v>
      </c>
    </row>
    <row r="27316" spans="13:16">
      <c r="M27316" s="49">
        <f>IF($A$4+273&gt;$B$4,"",$A$4+273)</f>
        <v>46296</v>
      </c>
      <c r="N27316" t="str">
        <f>IF(M27316="","",'Master Barang'!A10)</f>
        <v>PRL-009</v>
      </c>
      <c r="O27316" t="str">
        <f>IF(N27316="","",'Master Barang'!B10)</f>
        <v>lap microfiber</v>
      </c>
      <c r="P27316">
        <f>IF(OR(M27316="",N27316=""),"",SUMIFS('Barang Keluar'!$E:$E,'Barang Keluar'!$A:$A,M27316,'Barang Keluar'!$C:$C,N27316))</f>
        <v>0</v>
      </c>
    </row>
    <row r="27317" spans="13:16">
      <c r="M27317" s="49">
        <f>IF($A$4+273&gt;$B$4,"",$A$4+273)</f>
        <v>46296</v>
      </c>
      <c r="N27317" t="str">
        <f>IF(M27317="","",'Master Barang'!A11)</f>
        <v>PRL-010</v>
      </c>
      <c r="O27317" t="str">
        <f>IF(N27317="","",'Master Barang'!B11)</f>
        <v>lap kecil</v>
      </c>
      <c r="P27317">
        <f>IF(OR(M27317="",N27317=""),"",SUMIFS('Barang Keluar'!$E:$E,'Barang Keluar'!$A:$A,M27317,'Barang Keluar'!$C:$C,N27317))</f>
        <v>0</v>
      </c>
    </row>
    <row r="27318" spans="13:16">
      <c r="M27318" s="49">
        <f>IF($A$4+273&gt;$B$4,"",$A$4+273)</f>
        <v>46296</v>
      </c>
      <c r="N27318" t="str">
        <f>IF(M27318="","",'Master Barang'!A12)</f>
        <v>PRL-011</v>
      </c>
      <c r="O27318" t="str">
        <f>IF(N27318="","",'Master Barang'!B12)</f>
        <v>kanebo kecil</v>
      </c>
      <c r="P27318">
        <f>IF(OR(M27318="",N27318=""),"",SUMIFS('Barang Keluar'!$E:$E,'Barang Keluar'!$A:$A,M27318,'Barang Keluar'!$C:$C,N27318))</f>
        <v>0</v>
      </c>
    </row>
    <row r="27319" spans="13:16">
      <c r="M27319" s="49">
        <f>IF($A$4+273&gt;$B$4,"",$A$4+273)</f>
        <v>46296</v>
      </c>
      <c r="N27319" t="str">
        <f>IF(M27319="","",'Master Barang'!A13)</f>
        <v>PRL-012</v>
      </c>
      <c r="O27319" t="str">
        <f>IF(N27319="","",'Master Barang'!B13)</f>
        <v>plastik 1/4kg joyoboyo 100 lembar</v>
      </c>
      <c r="P27319">
        <f>IF(OR(M27319="",N27319=""),"",SUMIFS('Barang Keluar'!$E:$E,'Barang Keluar'!$A:$A,M27319,'Barang Keluar'!$C:$C,N27319))</f>
        <v>0</v>
      </c>
    </row>
    <row r="27320" spans="13:16">
      <c r="M27320" s="49">
        <f>IF($A$4+273&gt;$B$4,"",$A$4+273)</f>
        <v>46296</v>
      </c>
      <c r="N27320" t="str">
        <f>IF(M27320="","",'Master Barang'!A14)</f>
        <v>PRL-013</v>
      </c>
      <c r="O27320" t="str">
        <f>IF(N27320="","",'Master Barang'!B14)</f>
        <v>sarung tangan plastik kaka 100 pcs</v>
      </c>
      <c r="P27320">
        <f>IF(OR(M27320="",N27320=""),"",SUMIFS('Barang Keluar'!$E:$E,'Barang Keluar'!$A:$A,M27320,'Barang Keluar'!$C:$C,N27320))</f>
        <v>0</v>
      </c>
    </row>
    <row r="27321" spans="13:16">
      <c r="M27321" s="49">
        <f>IF($A$4+273&gt;$B$4,"",$A$4+273)</f>
        <v>46296</v>
      </c>
      <c r="N27321" t="str">
        <f>IF(M27321="","",'Master Barang'!A15)</f>
        <v>PRL-014</v>
      </c>
      <c r="O27321" t="str">
        <f>IF(N27321="","",'Master Barang'!B15)</f>
        <v>optima trashbag 80x100</v>
      </c>
      <c r="P27321">
        <f>IF(OR(M27321="",N27321=""),"",SUMIFS('Barang Keluar'!$E:$E,'Barang Keluar'!$A:$A,M27321,'Barang Keluar'!$C:$C,N27321))</f>
        <v>0</v>
      </c>
    </row>
    <row r="27322" spans="13:16">
      <c r="M27322" s="49">
        <f>IF($A$4+273&gt;$B$4,"",$A$4+273)</f>
        <v>46296</v>
      </c>
      <c r="N27322" t="str">
        <f>IF(M27322="","",'Master Barang'!A16)</f>
        <v>PRL-015</v>
      </c>
      <c r="O27322" t="str">
        <f>IF(N27322="","",'Master Barang'!B16)</f>
        <v>optima trashbag 60x100</v>
      </c>
      <c r="P27322">
        <f>IF(OR(M27322="",N27322=""),"",SUMIFS('Barang Keluar'!$E:$E,'Barang Keluar'!$A:$A,M27322,'Barang Keluar'!$C:$C,N27322))</f>
        <v>0</v>
      </c>
    </row>
    <row r="27323" spans="13:16">
      <c r="M27323" s="49">
        <f>IF($A$4+273&gt;$B$4,"",$A$4+273)</f>
        <v>46296</v>
      </c>
      <c r="N27323" t="str">
        <f>IF(M27323="","",'Master Barang'!A17)</f>
        <v>PRL-016</v>
      </c>
      <c r="O27323" t="str">
        <f>IF(N27323="","",'Master Barang'!B17)</f>
        <v>rajawali trashbag 30x40</v>
      </c>
      <c r="P27323">
        <f>IF(OR(M27323="",N27323=""),"",SUMIFS('Barang Keluar'!$E:$E,'Barang Keluar'!$A:$A,M27323,'Barang Keluar'!$C:$C,N27323))</f>
        <v>0</v>
      </c>
    </row>
    <row r="27324" spans="13:16">
      <c r="M27324" s="49">
        <f>IF($A$4+273&gt;$B$4,"",$A$4+273)</f>
        <v>46296</v>
      </c>
      <c r="N27324" t="str">
        <f>IF(M27324="","",'Master Barang'!A18)</f>
        <v>PRL-017</v>
      </c>
      <c r="O27324" t="str">
        <f>IF(N27324="","",'Master Barang'!B18)</f>
        <v>onemed masker biru 3 play 50 pcs</v>
      </c>
      <c r="P27324">
        <f>IF(OR(M27324="",N27324=""),"",SUMIFS('Barang Keluar'!$E:$E,'Barang Keluar'!$A:$A,M27324,'Barang Keluar'!$C:$C,N27324))</f>
        <v>0</v>
      </c>
    </row>
    <row r="27325" spans="13:16">
      <c r="M27325" s="49">
        <f>IF($A$4+273&gt;$B$4,"",$A$4+273)</f>
        <v>46296</v>
      </c>
      <c r="N27325" t="str">
        <f>IF(M27325="","",'Master Barang'!A19)</f>
        <v>PRL-018</v>
      </c>
      <c r="O27325" t="str">
        <f>IF(N27325="","",'Master Barang'!B19)</f>
        <v>onemed masker biru 3 play hijab 50 pcs</v>
      </c>
      <c r="P27325">
        <f>IF(OR(M27325="",N27325=""),"",SUMIFS('Barang Keluar'!$E:$E,'Barang Keluar'!$A:$A,M27325,'Barang Keluar'!$C:$C,N27325))</f>
        <v>0</v>
      </c>
    </row>
    <row r="27326" spans="13:16">
      <c r="M27326" s="49">
        <f>IF($A$4+273&gt;$B$4,"",$A$4+273)</f>
        <v>46296</v>
      </c>
      <c r="N27326" t="str">
        <f>IF(M27326="","",'Master Barang'!A20)</f>
        <v>PRL-019</v>
      </c>
      <c r="O27326" t="str">
        <f>IF(N27326="","",'Master Barang'!B20)</f>
        <v>neo health masker biru 3 play 50 pcs</v>
      </c>
      <c r="P27326">
        <f>IF(OR(M27326="",N27326=""),"",SUMIFS('Barang Keluar'!$E:$E,'Barang Keluar'!$A:$A,M27326,'Barang Keluar'!$C:$C,N27326))</f>
        <v>0</v>
      </c>
    </row>
    <row r="27327" spans="13:16">
      <c r="M27327" s="49">
        <f>IF($A$4+273&gt;$B$4,"",$A$4+273)</f>
        <v>46296</v>
      </c>
      <c r="N27327" t="str">
        <f>IF(M27327="","",'Master Barang'!A21)</f>
        <v>PRL-020</v>
      </c>
      <c r="O27327" t="str">
        <f>IF(N27327="","",'Master Barang'!B21)</f>
        <v>baymed masker hijau 3 play hijau 50 pcs</v>
      </c>
      <c r="P27327">
        <f>IF(OR(M27327="",N27327=""),"",SUMIFS('Barang Keluar'!$E:$E,'Barang Keluar'!$A:$A,M27327,'Barang Keluar'!$C:$C,N27327))</f>
        <v>0</v>
      </c>
    </row>
    <row r="27328" spans="13:16">
      <c r="M27328" s="49">
        <f>IF($A$4+273&gt;$B$4,"",$A$4+273)</f>
        <v>46296</v>
      </c>
      <c r="N27328" t="str">
        <f>IF(M27328="","",'Master Barang'!A22)</f>
        <v>PRL-021</v>
      </c>
      <c r="O27328" t="str">
        <f>IF(N27328="","",'Master Barang'!B22)</f>
        <v>altamed nurse cap penutup kepala 100 pcs</v>
      </c>
      <c r="P27328">
        <f>IF(OR(M27328="",N27328=""),"",SUMIFS('Barang Keluar'!$E:$E,'Barang Keluar'!$A:$A,M27328,'Barang Keluar'!$C:$C,N27328))</f>
        <v>0</v>
      </c>
    </row>
    <row r="27329" spans="13:16">
      <c r="M27329" s="49">
        <f>IF($A$4+273&gt;$B$4,"",$A$4+273)</f>
        <v>46296</v>
      </c>
      <c r="N27329" t="str">
        <f>IF(M27329="","",'Master Barang'!A23)</f>
        <v>PRL-022</v>
      </c>
      <c r="O27329" t="str">
        <f>IF(N27329="","",'Master Barang'!B23)</f>
        <v>sabun cuci tangan</v>
      </c>
      <c r="P27329">
        <f>IF(OR(M27329="",N27329=""),"",SUMIFS('Barang Keluar'!$E:$E,'Barang Keluar'!$A:$A,M27329,'Barang Keluar'!$C:$C,N27329))</f>
        <v>0</v>
      </c>
    </row>
    <row r="27330" spans="13:16">
      <c r="M27330" s="49">
        <f>IF($A$4+273&gt;$B$4,"",$A$4+273)</f>
        <v>46296</v>
      </c>
      <c r="N27330" t="str">
        <f>IF(M27330="","",'Master Barang'!A24)</f>
        <v>PRL-023</v>
      </c>
      <c r="O27330" t="str">
        <f>IF(N27330="","",'Master Barang'!B24)</f>
        <v>gayung kecil</v>
      </c>
      <c r="P27330">
        <f>IF(OR(M27330="",N27330=""),"",SUMIFS('Barang Keluar'!$E:$E,'Barang Keluar'!$A:$A,M27330,'Barang Keluar'!$C:$C,N27330))</f>
        <v>0</v>
      </c>
    </row>
    <row r="27331" spans="13:16">
      <c r="M27331" s="49">
        <f>IF($A$4+273&gt;$B$4,"",$A$4+273)</f>
        <v>46296</v>
      </c>
      <c r="N27331" t="str">
        <f>IF(M27331="","",'Master Barang'!A25)</f>
        <v>PRL-024</v>
      </c>
      <c r="O27331" t="str">
        <f>IF(N27331="","",'Master Barang'!B25)</f>
        <v>cikrak kecil</v>
      </c>
      <c r="P27331">
        <f>IF(OR(M27331="",N27331=""),"",SUMIFS('Barang Keluar'!$E:$E,'Barang Keluar'!$A:$A,M27331,'Barang Keluar'!$C:$C,N27331))</f>
        <v>0</v>
      </c>
    </row>
    <row r="27332" spans="13:16">
      <c r="M27332" s="49">
        <f>IF($A$4+273&gt;$B$4,"",$A$4+273)</f>
        <v>46296</v>
      </c>
      <c r="N27332" t="str">
        <f>IF(M27332="","",'Master Barang'!A26)</f>
        <v>PRL-025</v>
      </c>
      <c r="O27332" t="str">
        <f>IF(N27332="","",'Master Barang'!B26)</f>
        <v>petromax plastik kecil 12x24 100 lembar</v>
      </c>
      <c r="P27332">
        <f>IF(OR(M27332="",N27332=""),"",SUMIFS('Barang Keluar'!$E:$E,'Barang Keluar'!$A:$A,M27332,'Barang Keluar'!$C:$C,N27332))</f>
        <v>0</v>
      </c>
    </row>
    <row r="27333" spans="13:16">
      <c r="M27333" s="49">
        <f>IF($A$4+273&gt;$B$4,"",$A$4+273)</f>
        <v>46296</v>
      </c>
      <c r="N27333" t="str">
        <f>IF(M27333="","",'Master Barang'!A27)</f>
        <v>PRL-026</v>
      </c>
      <c r="O27333" t="str">
        <f>IF(N27333="","",'Master Barang'!B27)</f>
        <v>lancar kresek kecil bening </v>
      </c>
      <c r="P27333">
        <f>IF(OR(M27333="",N27333=""),"",SUMIFS('Barang Keluar'!$E:$E,'Barang Keluar'!$A:$A,M27333,'Barang Keluar'!$C:$C,N27333))</f>
        <v>0</v>
      </c>
    </row>
    <row r="27334" spans="13:16">
      <c r="M27334" s="49">
        <f>IF($A$4+273&gt;$B$4,"",$A$4+273)</f>
        <v>46296</v>
      </c>
      <c r="N27334" t="str">
        <f>IF(M27334="","",'Master Barang'!A28)</f>
        <v>PRL-027</v>
      </c>
      <c r="O27334" t="str">
        <f>IF(N27334="","",'Master Barang'!B28)</f>
        <v>kresek klin warna warni kecil</v>
      </c>
      <c r="P27334">
        <f>IF(OR(M27334="",N27334=""),"",SUMIFS('Barang Keluar'!$E:$E,'Barang Keluar'!$A:$A,M27334,'Barang Keluar'!$C:$C,N27334))</f>
        <v>0</v>
      </c>
    </row>
    <row r="27335" spans="13:16">
      <c r="M27335" s="49">
        <f>IF($A$4+273&gt;$B$4,"",$A$4+273)</f>
        <v>46296</v>
      </c>
      <c r="N27335" t="str">
        <f>IF(M27335="","",'Master Barang'!A29)</f>
        <v>PRL-028</v>
      </c>
      <c r="O27335" t="str">
        <f>IF(N27335="","",'Master Barang'!B29)</f>
        <v>ctik plastik 7x10 100 pcs</v>
      </c>
      <c r="P27335">
        <f>IF(OR(M27335="",N27335=""),"",SUMIFS('Barang Keluar'!$E:$E,'Barang Keluar'!$A:$A,M27335,'Barang Keluar'!$C:$C,N27335))</f>
        <v>0</v>
      </c>
    </row>
    <row r="27336" spans="13:16">
      <c r="M27336" s="49">
        <f>IF($A$4+273&gt;$B$4,"",$A$4+273)</f>
        <v>46296</v>
      </c>
      <c r="N27336" t="str">
        <f>IF(M27336="","",'Master Barang'!A30)</f>
        <v>PRL-029</v>
      </c>
      <c r="O27336" t="str">
        <f>IF(N27336="","",'Master Barang'!B30)</f>
        <v>ctik plastik 6x10 100 pcs</v>
      </c>
      <c r="P27336">
        <f>IF(OR(M27336="",N27336=""),"",SUMIFS('Barang Keluar'!$E:$E,'Barang Keluar'!$A:$A,M27336,'Barang Keluar'!$C:$C,N27336))</f>
        <v>0</v>
      </c>
    </row>
    <row r="27337" spans="13:16">
      <c r="M27337" s="49">
        <f>IF($A$4+273&gt;$B$4,"",$A$4+273)</f>
        <v>46296</v>
      </c>
      <c r="N27337" t="str">
        <f>IF(M27337="","",'Master Barang'!A31)</f>
        <v>PRL-030</v>
      </c>
      <c r="O27337" t="str">
        <f>IF(N27337="","",'Master Barang'!B31)</f>
        <v>klip plastik 25x16 100 pcs</v>
      </c>
      <c r="P27337">
        <f>IF(OR(M27337="",N27337=""),"",SUMIFS('Barang Keluar'!$E:$E,'Barang Keluar'!$A:$A,M27337,'Barang Keluar'!$C:$C,N27337))</f>
        <v>0</v>
      </c>
    </row>
    <row r="27338" spans="13:16">
      <c r="M27338" s="49">
        <f>IF($A$4+273&gt;$B$4,"",$A$4+273)</f>
        <v>46296</v>
      </c>
      <c r="N27338" t="str">
        <f>IF(M27338="","",'Master Barang'!A32)</f>
        <v>PRL-031</v>
      </c>
      <c r="O27338" t="str">
        <f>IF(N27338="","",'Master Barang'!B32)</f>
        <v>tempat saus 20 ml</v>
      </c>
      <c r="P27338">
        <f>IF(OR(M27338="",N27338=""),"",SUMIFS('Barang Keluar'!$E:$E,'Barang Keluar'!$A:$A,M27338,'Barang Keluar'!$C:$C,N27338))</f>
        <v>0</v>
      </c>
    </row>
    <row r="27339" spans="13:16">
      <c r="M27339" s="49">
        <f>IF($A$4+273&gt;$B$4,"",$A$4+273)</f>
        <v>46296</v>
      </c>
      <c r="N27339" t="str">
        <f>IF(M27339="","",'Master Barang'!A33)</f>
        <v>PRL-032</v>
      </c>
      <c r="O27339" t="str">
        <f>IF(N27339="","",'Master Barang'!B33)</f>
        <v>plastik packaging ag box uk sedang</v>
      </c>
      <c r="P27339">
        <f>IF(OR(M27339="",N27339=""),"",SUMIFS('Barang Keluar'!$E:$E,'Barang Keluar'!$A:$A,M27339,'Barang Keluar'!$C:$C,N27339))</f>
        <v>0</v>
      </c>
    </row>
    <row r="27340" spans="13:16">
      <c r="M27340" s="49">
        <f>IF($A$4+273&gt;$B$4,"",$A$4+273)</f>
        <v>46296</v>
      </c>
      <c r="N27340" t="str">
        <f>IF(M27340="","",'Master Barang'!A34)</f>
        <v>PRL-033</v>
      </c>
      <c r="O27340">
        <f>IF(N27340="","",'Master Barang'!B34)</f>
        <v>0</v>
      </c>
      <c r="P27340">
        <f>IF(OR(M27340="",N27340=""),"",SUMIFS('Barang Keluar'!$E:$E,'Barang Keluar'!$A:$A,M27340,'Barang Keluar'!$C:$C,N27340))</f>
        <v>0</v>
      </c>
    </row>
    <row r="27341" spans="13:16">
      <c r="M27341" s="49">
        <f>IF($A$4+273&gt;$B$4,"",$A$4+273)</f>
        <v>46296</v>
      </c>
      <c r="N27341">
        <f>IF(M27341="","",'Master Barang'!A35)</f>
        <v>0</v>
      </c>
      <c r="O27341">
        <f>IF(N27341="","",'Master Barang'!B35)</f>
        <v>0</v>
      </c>
      <c r="P27341">
        <f>IF(OR(M27341="",N27341=""),"",SUMIFS('Barang Keluar'!$E:$E,'Barang Keluar'!$A:$A,M27341,'Barang Keluar'!$C:$C,N27341))</f>
        <v>0</v>
      </c>
    </row>
    <row r="27342" spans="13:16">
      <c r="M27342" s="49">
        <f>IF($A$4+273&gt;$B$4,"",$A$4+273)</f>
        <v>46296</v>
      </c>
      <c r="N27342">
        <f>IF(M27342="","",'Master Barang'!A36)</f>
        <v>0</v>
      </c>
      <c r="O27342">
        <f>IF(N27342="","",'Master Barang'!B36)</f>
        <v>0</v>
      </c>
      <c r="P27342">
        <f>IF(OR(M27342="",N27342=""),"",SUMIFS('Barang Keluar'!$E:$E,'Barang Keluar'!$A:$A,M27342,'Barang Keluar'!$C:$C,N27342))</f>
        <v>0</v>
      </c>
    </row>
    <row r="27343" spans="13:16">
      <c r="M27343" s="49">
        <f>IF($A$4+273&gt;$B$4,"",$A$4+273)</f>
        <v>46296</v>
      </c>
      <c r="N27343">
        <f>IF(M27343="","",'Master Barang'!A37)</f>
        <v>0</v>
      </c>
      <c r="O27343">
        <f>IF(N27343="","",'Master Barang'!B37)</f>
        <v>0</v>
      </c>
      <c r="P27343">
        <f>IF(OR(M27343="",N27343=""),"",SUMIFS('Barang Keluar'!$E:$E,'Barang Keluar'!$A:$A,M27343,'Barang Keluar'!$C:$C,N27343))</f>
        <v>0</v>
      </c>
    </row>
    <row r="27344" spans="13:16">
      <c r="M27344" s="49">
        <f>IF($A$4+273&gt;$B$4,"",$A$4+273)</f>
        <v>46296</v>
      </c>
      <c r="N27344">
        <f>IF(M27344="","",'Master Barang'!A38)</f>
        <v>0</v>
      </c>
      <c r="O27344">
        <f>IF(N27344="","",'Master Barang'!B38)</f>
        <v>0</v>
      </c>
      <c r="P27344">
        <f>IF(OR(M27344="",N27344=""),"",SUMIFS('Barang Keluar'!$E:$E,'Barang Keluar'!$A:$A,M27344,'Barang Keluar'!$C:$C,N27344))</f>
        <v>0</v>
      </c>
    </row>
    <row r="27345" spans="13:16">
      <c r="M27345" s="49">
        <f>IF($A$4+273&gt;$B$4,"",$A$4+273)</f>
        <v>46296</v>
      </c>
      <c r="N27345">
        <f>IF(M27345="","",'Master Barang'!A39)</f>
        <v>0</v>
      </c>
      <c r="O27345">
        <f>IF(N27345="","",'Master Barang'!B39)</f>
        <v>0</v>
      </c>
      <c r="P27345">
        <f>IF(OR(M27345="",N27345=""),"",SUMIFS('Barang Keluar'!$E:$E,'Barang Keluar'!$A:$A,M27345,'Barang Keluar'!$C:$C,N27345))</f>
        <v>0</v>
      </c>
    </row>
    <row r="27346" spans="13:16">
      <c r="M27346" s="49">
        <f>IF($A$4+273&gt;$B$4,"",$A$4+273)</f>
        <v>46296</v>
      </c>
      <c r="N27346">
        <f>IF(M27346="","",'Master Barang'!A40)</f>
        <v>0</v>
      </c>
      <c r="O27346">
        <f>IF(N27346="","",'Master Barang'!B40)</f>
        <v>0</v>
      </c>
      <c r="P27346">
        <f>IF(OR(M27346="",N27346=""),"",SUMIFS('Barang Keluar'!$E:$E,'Barang Keluar'!$A:$A,M27346,'Barang Keluar'!$C:$C,N27346))</f>
        <v>0</v>
      </c>
    </row>
    <row r="27347" spans="13:16">
      <c r="M27347" s="49">
        <f>IF($A$4+273&gt;$B$4,"",$A$4+273)</f>
        <v>46296</v>
      </c>
      <c r="N27347">
        <f>IF(M27347="","",'Master Barang'!A41)</f>
        <v>0</v>
      </c>
      <c r="O27347">
        <f>IF(N27347="","",'Master Barang'!B41)</f>
        <v>0</v>
      </c>
      <c r="P27347">
        <f>IF(OR(M27347="",N27347=""),"",SUMIFS('Barang Keluar'!$E:$E,'Barang Keluar'!$A:$A,M27347,'Barang Keluar'!$C:$C,N27347))</f>
        <v>0</v>
      </c>
    </row>
    <row r="27348" spans="13:16">
      <c r="M27348" s="49">
        <f>IF($A$4+273&gt;$B$4,"",$A$4+273)</f>
        <v>46296</v>
      </c>
      <c r="N27348">
        <f>IF(M27348="","",'Master Barang'!A42)</f>
        <v>0</v>
      </c>
      <c r="O27348">
        <f>IF(N27348="","",'Master Barang'!B42)</f>
        <v>0</v>
      </c>
      <c r="P27348">
        <f>IF(OR(M27348="",N27348=""),"",SUMIFS('Barang Keluar'!$E:$E,'Barang Keluar'!$A:$A,M27348,'Barang Keluar'!$C:$C,N27348))</f>
        <v>0</v>
      </c>
    </row>
    <row r="27349" spans="13:16">
      <c r="M27349" s="49">
        <f>IF($A$4+273&gt;$B$4,"",$A$4+273)</f>
        <v>46296</v>
      </c>
      <c r="N27349">
        <f>IF(M27349="","",'Master Barang'!A43)</f>
        <v>0</v>
      </c>
      <c r="O27349">
        <f>IF(N27349="","",'Master Barang'!B43)</f>
        <v>0</v>
      </c>
      <c r="P27349">
        <f>IF(OR(M27349="",N27349=""),"",SUMIFS('Barang Keluar'!$E:$E,'Barang Keluar'!$A:$A,M27349,'Barang Keluar'!$C:$C,N27349))</f>
        <v>0</v>
      </c>
    </row>
    <row r="27350" spans="13:16">
      <c r="M27350" s="49">
        <f>IF($A$4+273&gt;$B$4,"",$A$4+273)</f>
        <v>46296</v>
      </c>
      <c r="N27350">
        <f>IF(M27350="","",'Master Barang'!A44)</f>
        <v>0</v>
      </c>
      <c r="O27350">
        <f>IF(N27350="","",'Master Barang'!B44)</f>
        <v>0</v>
      </c>
      <c r="P27350">
        <f>IF(OR(M27350="",N27350=""),"",SUMIFS('Barang Keluar'!$E:$E,'Barang Keluar'!$A:$A,M27350,'Barang Keluar'!$C:$C,N27350))</f>
        <v>0</v>
      </c>
    </row>
    <row r="27351" spans="13:16">
      <c r="M27351" s="49">
        <f>IF($A$4+273&gt;$B$4,"",$A$4+273)</f>
        <v>46296</v>
      </c>
      <c r="N27351">
        <f>IF(M27351="","",'Master Barang'!A45)</f>
        <v>0</v>
      </c>
      <c r="O27351">
        <f>IF(N27351="","",'Master Barang'!B45)</f>
        <v>0</v>
      </c>
      <c r="P27351">
        <f>IF(OR(M27351="",N27351=""),"",SUMIFS('Barang Keluar'!$E:$E,'Barang Keluar'!$A:$A,M27351,'Barang Keluar'!$C:$C,N27351))</f>
        <v>0</v>
      </c>
    </row>
    <row r="27352" spans="13:16">
      <c r="M27352" s="49">
        <f>IF($A$4+273&gt;$B$4,"",$A$4+273)</f>
        <v>46296</v>
      </c>
      <c r="N27352">
        <f>IF(M27352="","",'Master Barang'!A46)</f>
        <v>0</v>
      </c>
      <c r="O27352">
        <f>IF(N27352="","",'Master Barang'!B46)</f>
        <v>0</v>
      </c>
      <c r="P27352">
        <f>IF(OR(M27352="",N27352=""),"",SUMIFS('Barang Keluar'!$E:$E,'Barang Keluar'!$A:$A,M27352,'Barang Keluar'!$C:$C,N27352))</f>
        <v>0</v>
      </c>
    </row>
    <row r="27353" spans="13:16">
      <c r="M27353" s="49">
        <f>IF($A$4+273&gt;$B$4,"",$A$4+273)</f>
        <v>46296</v>
      </c>
      <c r="N27353">
        <f>IF(M27353="","",'Master Barang'!A47)</f>
        <v>0</v>
      </c>
      <c r="O27353">
        <f>IF(N27353="","",'Master Barang'!B47)</f>
        <v>0</v>
      </c>
      <c r="P27353">
        <f>IF(OR(M27353="",N27353=""),"",SUMIFS('Barang Keluar'!$E:$E,'Barang Keluar'!$A:$A,M27353,'Barang Keluar'!$C:$C,N27353))</f>
        <v>0</v>
      </c>
    </row>
    <row r="27354" spans="13:16">
      <c r="M27354" s="49">
        <f>IF($A$4+273&gt;$B$4,"",$A$4+273)</f>
        <v>46296</v>
      </c>
      <c r="N27354">
        <f>IF(M27354="","",'Master Barang'!A48)</f>
        <v>0</v>
      </c>
      <c r="O27354">
        <f>IF(N27354="","",'Master Barang'!B48)</f>
        <v>0</v>
      </c>
      <c r="P27354">
        <f>IF(OR(M27354="",N27354=""),"",SUMIFS('Barang Keluar'!$E:$E,'Barang Keluar'!$A:$A,M27354,'Barang Keluar'!$C:$C,N27354))</f>
        <v>0</v>
      </c>
    </row>
    <row r="27355" spans="13:16">
      <c r="M27355" s="49">
        <f>IF($A$4+273&gt;$B$4,"",$A$4+273)</f>
        <v>46296</v>
      </c>
      <c r="N27355">
        <f>IF(M27355="","",'Master Barang'!A49)</f>
        <v>0</v>
      </c>
      <c r="O27355">
        <f>IF(N27355="","",'Master Barang'!B49)</f>
        <v>0</v>
      </c>
      <c r="P27355">
        <f>IF(OR(M27355="",N27355=""),"",SUMIFS('Barang Keluar'!$E:$E,'Barang Keluar'!$A:$A,M27355,'Barang Keluar'!$C:$C,N27355))</f>
        <v>0</v>
      </c>
    </row>
    <row r="27356" spans="13:16">
      <c r="M27356" s="49">
        <f>IF($A$4+273&gt;$B$4,"",$A$4+273)</f>
        <v>46296</v>
      </c>
      <c r="N27356">
        <f>IF(M27356="","",'Master Barang'!A50)</f>
        <v>0</v>
      </c>
      <c r="O27356">
        <f>IF(N27356="","",'Master Barang'!B50)</f>
        <v>0</v>
      </c>
      <c r="P27356">
        <f>IF(OR(M27356="",N27356=""),"",SUMIFS('Barang Keluar'!$E:$E,'Barang Keluar'!$A:$A,M27356,'Barang Keluar'!$C:$C,N27356))</f>
        <v>0</v>
      </c>
    </row>
    <row r="27357" spans="13:16">
      <c r="M27357" s="49">
        <f>IF($A$4+273&gt;$B$4,"",$A$4+273)</f>
        <v>46296</v>
      </c>
      <c r="N27357">
        <f>IF(M27357="","",'Master Barang'!A51)</f>
        <v>0</v>
      </c>
      <c r="O27357">
        <f>IF(N27357="","",'Master Barang'!B51)</f>
        <v>0</v>
      </c>
      <c r="P27357">
        <f>IF(OR(M27357="",N27357=""),"",SUMIFS('Barang Keluar'!$E:$E,'Barang Keluar'!$A:$A,M27357,'Barang Keluar'!$C:$C,N27357))</f>
        <v>0</v>
      </c>
    </row>
    <row r="27358" spans="13:16">
      <c r="M27358" s="49">
        <f>IF($A$4+273&gt;$B$4,"",$A$4+273)</f>
        <v>46296</v>
      </c>
      <c r="N27358">
        <f>IF(M27358="","",'Master Barang'!A52)</f>
        <v>0</v>
      </c>
      <c r="O27358">
        <f>IF(N27358="","",'Master Barang'!B52)</f>
        <v>0</v>
      </c>
      <c r="P27358">
        <f>IF(OR(M27358="",N27358=""),"",SUMIFS('Barang Keluar'!$E:$E,'Barang Keluar'!$A:$A,M27358,'Barang Keluar'!$C:$C,N27358))</f>
        <v>0</v>
      </c>
    </row>
    <row r="27359" spans="13:16">
      <c r="M27359" s="49">
        <f>IF($A$4+273&gt;$B$4,"",$A$4+273)</f>
        <v>46296</v>
      </c>
      <c r="N27359">
        <f>IF(M27359="","",'Master Barang'!A53)</f>
        <v>0</v>
      </c>
      <c r="O27359">
        <f>IF(N27359="","",'Master Barang'!B53)</f>
        <v>0</v>
      </c>
      <c r="P27359">
        <f>IF(OR(M27359="",N27359=""),"",SUMIFS('Barang Keluar'!$E:$E,'Barang Keluar'!$A:$A,M27359,'Barang Keluar'!$C:$C,N27359))</f>
        <v>0</v>
      </c>
    </row>
    <row r="27360" spans="13:16">
      <c r="M27360" s="49">
        <f>IF($A$4+273&gt;$B$4,"",$A$4+273)</f>
        <v>46296</v>
      </c>
      <c r="N27360">
        <f>IF(M27360="","",'Master Barang'!A54)</f>
        <v>0</v>
      </c>
      <c r="O27360">
        <f>IF(N27360="","",'Master Barang'!B54)</f>
        <v>0</v>
      </c>
      <c r="P27360">
        <f>IF(OR(M27360="",N27360=""),"",SUMIFS('Barang Keluar'!$E:$E,'Barang Keluar'!$A:$A,M27360,'Barang Keluar'!$C:$C,N27360))</f>
        <v>0</v>
      </c>
    </row>
    <row r="27361" spans="13:16">
      <c r="M27361" s="49">
        <f>IF($A$4+273&gt;$B$4,"",$A$4+273)</f>
        <v>46296</v>
      </c>
      <c r="N27361">
        <f>IF(M27361="","",'Master Barang'!A55)</f>
        <v>0</v>
      </c>
      <c r="O27361">
        <f>IF(N27361="","",'Master Barang'!B55)</f>
        <v>0</v>
      </c>
      <c r="P27361">
        <f>IF(OR(M27361="",N27361=""),"",SUMIFS('Barang Keluar'!$E:$E,'Barang Keluar'!$A:$A,M27361,'Barang Keluar'!$C:$C,N27361))</f>
        <v>0</v>
      </c>
    </row>
    <row r="27362" spans="13:16">
      <c r="M27362" s="49">
        <f>IF($A$4+273&gt;$B$4,"",$A$4+273)</f>
        <v>46296</v>
      </c>
      <c r="N27362">
        <f>IF(M27362="","",'Master Barang'!A56)</f>
        <v>0</v>
      </c>
      <c r="O27362">
        <f>IF(N27362="","",'Master Barang'!B56)</f>
        <v>0</v>
      </c>
      <c r="P27362">
        <f>IF(OR(M27362="",N27362=""),"",SUMIFS('Barang Keluar'!$E:$E,'Barang Keluar'!$A:$A,M27362,'Barang Keluar'!$C:$C,N27362))</f>
        <v>0</v>
      </c>
    </row>
    <row r="27363" spans="13:16">
      <c r="M27363" s="49">
        <f>IF($A$4+273&gt;$B$4,"",$A$4+273)</f>
        <v>46296</v>
      </c>
      <c r="N27363">
        <f>IF(M27363="","",'Master Barang'!A57)</f>
        <v>0</v>
      </c>
      <c r="O27363">
        <f>IF(N27363="","",'Master Barang'!B57)</f>
        <v>0</v>
      </c>
      <c r="P27363">
        <f>IF(OR(M27363="",N27363=""),"",SUMIFS('Barang Keluar'!$E:$E,'Barang Keluar'!$A:$A,M27363,'Barang Keluar'!$C:$C,N27363))</f>
        <v>0</v>
      </c>
    </row>
    <row r="27364" spans="13:16">
      <c r="M27364" s="49">
        <f>IF($A$4+273&gt;$B$4,"",$A$4+273)</f>
        <v>46296</v>
      </c>
      <c r="N27364">
        <f>IF(M27364="","",'Master Barang'!A58)</f>
        <v>0</v>
      </c>
      <c r="O27364">
        <f>IF(N27364="","",'Master Barang'!B58)</f>
        <v>0</v>
      </c>
      <c r="P27364">
        <f>IF(OR(M27364="",N27364=""),"",SUMIFS('Barang Keluar'!$E:$E,'Barang Keluar'!$A:$A,M27364,'Barang Keluar'!$C:$C,N27364))</f>
        <v>0</v>
      </c>
    </row>
    <row r="27365" spans="13:16">
      <c r="M27365" s="49">
        <f>IF($A$4+273&gt;$B$4,"",$A$4+273)</f>
        <v>46296</v>
      </c>
      <c r="N27365">
        <f>IF(M27365="","",'Master Barang'!A59)</f>
        <v>0</v>
      </c>
      <c r="O27365">
        <f>IF(N27365="","",'Master Barang'!B59)</f>
        <v>0</v>
      </c>
      <c r="P27365">
        <f>IF(OR(M27365="",N27365=""),"",SUMIFS('Barang Keluar'!$E:$E,'Barang Keluar'!$A:$A,M27365,'Barang Keluar'!$C:$C,N27365))</f>
        <v>0</v>
      </c>
    </row>
    <row r="27366" spans="13:16">
      <c r="M27366" s="49">
        <f>IF($A$4+273&gt;$B$4,"",$A$4+273)</f>
        <v>46296</v>
      </c>
      <c r="N27366">
        <f>IF(M27366="","",'Master Barang'!A60)</f>
        <v>0</v>
      </c>
      <c r="O27366">
        <f>IF(N27366="","",'Master Barang'!B60)</f>
        <v>0</v>
      </c>
      <c r="P27366">
        <f>IF(OR(M27366="",N27366=""),"",SUMIFS('Barang Keluar'!$E:$E,'Barang Keluar'!$A:$A,M27366,'Barang Keluar'!$C:$C,N27366))</f>
        <v>0</v>
      </c>
    </row>
    <row r="27367" spans="13:16">
      <c r="M27367" s="49">
        <f>IF($A$4+273&gt;$B$4,"",$A$4+273)</f>
        <v>46296</v>
      </c>
      <c r="N27367">
        <f>IF(M27367="","",'Master Barang'!A61)</f>
        <v>0</v>
      </c>
      <c r="O27367">
        <f>IF(N27367="","",'Master Barang'!B61)</f>
        <v>0</v>
      </c>
      <c r="P27367">
        <f>IF(OR(M27367="",N27367=""),"",SUMIFS('Barang Keluar'!$E:$E,'Barang Keluar'!$A:$A,M27367,'Barang Keluar'!$C:$C,N27367))</f>
        <v>0</v>
      </c>
    </row>
    <row r="27368" spans="13:16">
      <c r="M27368" s="49">
        <f>IF($A$4+273&gt;$B$4,"",$A$4+273)</f>
        <v>46296</v>
      </c>
      <c r="N27368">
        <f>IF(M27368="","",'Master Barang'!A62)</f>
        <v>0</v>
      </c>
      <c r="O27368">
        <f>IF(N27368="","",'Master Barang'!B62)</f>
        <v>0</v>
      </c>
      <c r="P27368">
        <f>IF(OR(M27368="",N27368=""),"",SUMIFS('Barang Keluar'!$E:$E,'Barang Keluar'!$A:$A,M27368,'Barang Keluar'!$C:$C,N27368))</f>
        <v>0</v>
      </c>
    </row>
    <row r="27369" spans="13:16">
      <c r="M27369" s="49">
        <f>IF($A$4+273&gt;$B$4,"",$A$4+273)</f>
        <v>46296</v>
      </c>
      <c r="N27369">
        <f>IF(M27369="","",'Master Barang'!A63)</f>
        <v>0</v>
      </c>
      <c r="O27369">
        <f>IF(N27369="","",'Master Barang'!B63)</f>
        <v>0</v>
      </c>
      <c r="P27369">
        <f>IF(OR(M27369="",N27369=""),"",SUMIFS('Barang Keluar'!$E:$E,'Barang Keluar'!$A:$A,M27369,'Barang Keluar'!$C:$C,N27369))</f>
        <v>0</v>
      </c>
    </row>
    <row r="27370" spans="13:16">
      <c r="M27370" s="49">
        <f>IF($A$4+273&gt;$B$4,"",$A$4+273)</f>
        <v>46296</v>
      </c>
      <c r="N27370">
        <f>IF(M27370="","",'Master Barang'!A64)</f>
        <v>0</v>
      </c>
      <c r="O27370">
        <f>IF(N27370="","",'Master Barang'!B64)</f>
        <v>0</v>
      </c>
      <c r="P27370">
        <f>IF(OR(M27370="",N27370=""),"",SUMIFS('Barang Keluar'!$E:$E,'Barang Keluar'!$A:$A,M27370,'Barang Keluar'!$C:$C,N27370))</f>
        <v>0</v>
      </c>
    </row>
    <row r="27371" spans="13:16">
      <c r="M27371" s="49">
        <f>IF($A$4+273&gt;$B$4,"",$A$4+273)</f>
        <v>46296</v>
      </c>
      <c r="N27371">
        <f>IF(M27371="","",'Master Barang'!A65)</f>
        <v>0</v>
      </c>
      <c r="O27371">
        <f>IF(N27371="","",'Master Barang'!B65)</f>
        <v>0</v>
      </c>
      <c r="P27371">
        <f>IF(OR(M27371="",N27371=""),"",SUMIFS('Barang Keluar'!$E:$E,'Barang Keluar'!$A:$A,M27371,'Barang Keluar'!$C:$C,N27371))</f>
        <v>0</v>
      </c>
    </row>
    <row r="27372" spans="13:16">
      <c r="M27372" s="49">
        <f>IF($A$4+273&gt;$B$4,"",$A$4+273)</f>
        <v>46296</v>
      </c>
      <c r="N27372">
        <f>IF(M27372="","",'Master Barang'!A66)</f>
        <v>0</v>
      </c>
      <c r="O27372">
        <f>IF(N27372="","",'Master Barang'!B66)</f>
        <v>0</v>
      </c>
      <c r="P27372">
        <f>IF(OR(M27372="",N27372=""),"",SUMIFS('Barang Keluar'!$E:$E,'Barang Keluar'!$A:$A,M27372,'Barang Keluar'!$C:$C,N27372))</f>
        <v>0</v>
      </c>
    </row>
    <row r="27373" spans="13:16">
      <c r="M27373" s="49">
        <f>IF($A$4+273&gt;$B$4,"",$A$4+273)</f>
        <v>46296</v>
      </c>
      <c r="N27373">
        <f>IF(M27373="","",'Master Barang'!A67)</f>
        <v>0</v>
      </c>
      <c r="O27373">
        <f>IF(N27373="","",'Master Barang'!B67)</f>
        <v>0</v>
      </c>
      <c r="P27373">
        <f>IF(OR(M27373="",N27373=""),"",SUMIFS('Barang Keluar'!$E:$E,'Barang Keluar'!$A:$A,M27373,'Barang Keluar'!$C:$C,N27373))</f>
        <v>0</v>
      </c>
    </row>
    <row r="27374" spans="13:16">
      <c r="M27374" s="49">
        <f>IF($A$4+273&gt;$B$4,"",$A$4+273)</f>
        <v>46296</v>
      </c>
      <c r="N27374">
        <f>IF(M27374="","",'Master Barang'!A68)</f>
        <v>0</v>
      </c>
      <c r="O27374">
        <f>IF(N27374="","",'Master Barang'!B68)</f>
        <v>0</v>
      </c>
      <c r="P27374">
        <f>IF(OR(M27374="",N27374=""),"",SUMIFS('Barang Keluar'!$E:$E,'Barang Keluar'!$A:$A,M27374,'Barang Keluar'!$C:$C,N27374))</f>
        <v>0</v>
      </c>
    </row>
    <row r="27375" spans="13:16">
      <c r="M27375" s="49">
        <f>IF($A$4+273&gt;$B$4,"",$A$4+273)</f>
        <v>46296</v>
      </c>
      <c r="N27375">
        <f>IF(M27375="","",'Master Barang'!A69)</f>
        <v>0</v>
      </c>
      <c r="O27375">
        <f>IF(N27375="","",'Master Barang'!B69)</f>
        <v>0</v>
      </c>
      <c r="P27375">
        <f>IF(OR(M27375="",N27375=""),"",SUMIFS('Barang Keluar'!$E:$E,'Barang Keluar'!$A:$A,M27375,'Barang Keluar'!$C:$C,N27375))</f>
        <v>0</v>
      </c>
    </row>
    <row r="27376" spans="13:16">
      <c r="M27376" s="49">
        <f>IF($A$4+273&gt;$B$4,"",$A$4+273)</f>
        <v>46296</v>
      </c>
      <c r="N27376">
        <f>IF(M27376="","",'Master Barang'!A70)</f>
        <v>0</v>
      </c>
      <c r="O27376">
        <f>IF(N27376="","",'Master Barang'!B70)</f>
        <v>0</v>
      </c>
      <c r="P27376">
        <f>IF(OR(M27376="",N27376=""),"",SUMIFS('Barang Keluar'!$E:$E,'Barang Keluar'!$A:$A,M27376,'Barang Keluar'!$C:$C,N27376))</f>
        <v>0</v>
      </c>
    </row>
    <row r="27377" spans="13:16">
      <c r="M27377" s="49">
        <f>IF($A$4+273&gt;$B$4,"",$A$4+273)</f>
        <v>46296</v>
      </c>
      <c r="N27377">
        <f>IF(M27377="","",'Master Barang'!A71)</f>
        <v>0</v>
      </c>
      <c r="O27377">
        <f>IF(N27377="","",'Master Barang'!B71)</f>
        <v>0</v>
      </c>
      <c r="P27377">
        <f>IF(OR(M27377="",N27377=""),"",SUMIFS('Barang Keluar'!$E:$E,'Barang Keluar'!$A:$A,M27377,'Barang Keluar'!$C:$C,N27377))</f>
        <v>0</v>
      </c>
    </row>
    <row r="27378" spans="13:16">
      <c r="M27378" s="49">
        <f>IF($A$4+273&gt;$B$4,"",$A$4+273)</f>
        <v>46296</v>
      </c>
      <c r="N27378">
        <f>IF(M27378="","",'Master Barang'!A72)</f>
        <v>0</v>
      </c>
      <c r="O27378">
        <f>IF(N27378="","",'Master Barang'!B72)</f>
        <v>0</v>
      </c>
      <c r="P27378">
        <f>IF(OR(M27378="",N27378=""),"",SUMIFS('Barang Keluar'!$E:$E,'Barang Keluar'!$A:$A,M27378,'Barang Keluar'!$C:$C,N27378))</f>
        <v>0</v>
      </c>
    </row>
    <row r="27379" spans="13:16">
      <c r="M27379" s="49">
        <f>IF($A$4+273&gt;$B$4,"",$A$4+273)</f>
        <v>46296</v>
      </c>
      <c r="N27379">
        <f>IF(M27379="","",'Master Barang'!A73)</f>
        <v>0</v>
      </c>
      <c r="O27379">
        <f>IF(N27379="","",'Master Barang'!B73)</f>
        <v>0</v>
      </c>
      <c r="P27379">
        <f>IF(OR(M27379="",N27379=""),"",SUMIFS('Barang Keluar'!$E:$E,'Barang Keluar'!$A:$A,M27379,'Barang Keluar'!$C:$C,N27379))</f>
        <v>0</v>
      </c>
    </row>
    <row r="27380" spans="13:16">
      <c r="M27380" s="49">
        <f>IF($A$4+273&gt;$B$4,"",$A$4+273)</f>
        <v>46296</v>
      </c>
      <c r="N27380">
        <f>IF(M27380="","",'Master Barang'!A74)</f>
        <v>0</v>
      </c>
      <c r="O27380">
        <f>IF(N27380="","",'Master Barang'!B74)</f>
        <v>0</v>
      </c>
      <c r="P27380">
        <f>IF(OR(M27380="",N27380=""),"",SUMIFS('Barang Keluar'!$E:$E,'Barang Keluar'!$A:$A,M27380,'Barang Keluar'!$C:$C,N27380))</f>
        <v>0</v>
      </c>
    </row>
    <row r="27381" spans="13:16">
      <c r="M27381" s="49">
        <f>IF($A$4+273&gt;$B$4,"",$A$4+273)</f>
        <v>46296</v>
      </c>
      <c r="N27381">
        <f>IF(M27381="","",'Master Barang'!A75)</f>
        <v>0</v>
      </c>
      <c r="O27381">
        <f>IF(N27381="","",'Master Barang'!B75)</f>
        <v>0</v>
      </c>
      <c r="P27381">
        <f>IF(OR(M27381="",N27381=""),"",SUMIFS('Barang Keluar'!$E:$E,'Barang Keluar'!$A:$A,M27381,'Barang Keluar'!$C:$C,N27381))</f>
        <v>0</v>
      </c>
    </row>
    <row r="27382" spans="13:16">
      <c r="M27382" s="49">
        <f>IF($A$4+273&gt;$B$4,"",$A$4+273)</f>
        <v>46296</v>
      </c>
      <c r="N27382">
        <f>IF(M27382="","",'Master Barang'!A76)</f>
        <v>0</v>
      </c>
      <c r="O27382">
        <f>IF(N27382="","",'Master Barang'!B76)</f>
        <v>0</v>
      </c>
      <c r="P27382">
        <f>IF(OR(M27382="",N27382=""),"",SUMIFS('Barang Keluar'!$E:$E,'Barang Keluar'!$A:$A,M27382,'Barang Keluar'!$C:$C,N27382))</f>
        <v>0</v>
      </c>
    </row>
    <row r="27383" spans="13:16">
      <c r="M27383" s="49">
        <f>IF($A$4+273&gt;$B$4,"",$A$4+273)</f>
        <v>46296</v>
      </c>
      <c r="N27383">
        <f>IF(M27383="","",'Master Barang'!A77)</f>
        <v>0</v>
      </c>
      <c r="O27383">
        <f>IF(N27383="","",'Master Barang'!B77)</f>
        <v>0</v>
      </c>
      <c r="P27383">
        <f>IF(OR(M27383="",N27383=""),"",SUMIFS('Barang Keluar'!$E:$E,'Barang Keluar'!$A:$A,M27383,'Barang Keluar'!$C:$C,N27383))</f>
        <v>0</v>
      </c>
    </row>
    <row r="27384" spans="13:16">
      <c r="M27384" s="49">
        <f>IF($A$4+273&gt;$B$4,"",$A$4+273)</f>
        <v>46296</v>
      </c>
      <c r="N27384">
        <f>IF(M27384="","",'Master Barang'!A78)</f>
        <v>0</v>
      </c>
      <c r="O27384">
        <f>IF(N27384="","",'Master Barang'!B78)</f>
        <v>0</v>
      </c>
      <c r="P27384">
        <f>IF(OR(M27384="",N27384=""),"",SUMIFS('Barang Keluar'!$E:$E,'Barang Keluar'!$A:$A,M27384,'Barang Keluar'!$C:$C,N27384))</f>
        <v>0</v>
      </c>
    </row>
    <row r="27385" spans="13:16">
      <c r="M27385" s="49">
        <f>IF($A$4+273&gt;$B$4,"",$A$4+273)</f>
        <v>46296</v>
      </c>
      <c r="N27385">
        <f>IF(M27385="","",'Master Barang'!A79)</f>
        <v>0</v>
      </c>
      <c r="O27385">
        <f>IF(N27385="","",'Master Barang'!B79)</f>
        <v>0</v>
      </c>
      <c r="P27385">
        <f>IF(OR(M27385="",N27385=""),"",SUMIFS('Barang Keluar'!$E:$E,'Barang Keluar'!$A:$A,M27385,'Barang Keluar'!$C:$C,N27385))</f>
        <v>0</v>
      </c>
    </row>
    <row r="27386" spans="13:16">
      <c r="M27386" s="49">
        <f>IF($A$4+273&gt;$B$4,"",$A$4+273)</f>
        <v>46296</v>
      </c>
      <c r="N27386">
        <f>IF(M27386="","",'Master Barang'!A80)</f>
        <v>0</v>
      </c>
      <c r="O27386">
        <f>IF(N27386="","",'Master Barang'!B80)</f>
        <v>0</v>
      </c>
      <c r="P27386">
        <f>IF(OR(M27386="",N27386=""),"",SUMIFS('Barang Keluar'!$E:$E,'Barang Keluar'!$A:$A,M27386,'Barang Keluar'!$C:$C,N27386))</f>
        <v>0</v>
      </c>
    </row>
    <row r="27387" spans="13:16">
      <c r="M27387" s="49">
        <f>IF($A$4+273&gt;$B$4,"",$A$4+273)</f>
        <v>46296</v>
      </c>
      <c r="N27387">
        <f>IF(M27387="","",'Master Barang'!A81)</f>
        <v>0</v>
      </c>
      <c r="O27387">
        <f>IF(N27387="","",'Master Barang'!B81)</f>
        <v>0</v>
      </c>
      <c r="P27387">
        <f>IF(OR(M27387="",N27387=""),"",SUMIFS('Barang Keluar'!$E:$E,'Barang Keluar'!$A:$A,M27387,'Barang Keluar'!$C:$C,N27387))</f>
        <v>0</v>
      </c>
    </row>
    <row r="27388" spans="13:16">
      <c r="M27388" s="49">
        <f>IF($A$4+273&gt;$B$4,"",$A$4+273)</f>
        <v>46296</v>
      </c>
      <c r="N27388">
        <f>IF(M27388="","",'Master Barang'!A82)</f>
        <v>0</v>
      </c>
      <c r="O27388">
        <f>IF(N27388="","",'Master Barang'!B82)</f>
        <v>0</v>
      </c>
      <c r="P27388">
        <f>IF(OR(M27388="",N27388=""),"",SUMIFS('Barang Keluar'!$E:$E,'Barang Keluar'!$A:$A,M27388,'Barang Keluar'!$C:$C,N27388))</f>
        <v>0</v>
      </c>
    </row>
    <row r="27389" spans="13:16">
      <c r="M27389" s="49">
        <f>IF($A$4+273&gt;$B$4,"",$A$4+273)</f>
        <v>46296</v>
      </c>
      <c r="N27389">
        <f>IF(M27389="","",'Master Barang'!A83)</f>
        <v>0</v>
      </c>
      <c r="O27389">
        <f>IF(N27389="","",'Master Barang'!B83)</f>
        <v>0</v>
      </c>
      <c r="P27389">
        <f>IF(OR(M27389="",N27389=""),"",SUMIFS('Barang Keluar'!$E:$E,'Barang Keluar'!$A:$A,M27389,'Barang Keluar'!$C:$C,N27389))</f>
        <v>0</v>
      </c>
    </row>
    <row r="27390" spans="13:16">
      <c r="M27390" s="49">
        <f>IF($A$4+273&gt;$B$4,"",$A$4+273)</f>
        <v>46296</v>
      </c>
      <c r="N27390">
        <f>IF(M27390="","",'Master Barang'!A84)</f>
        <v>0</v>
      </c>
      <c r="O27390">
        <f>IF(N27390="","",'Master Barang'!B84)</f>
        <v>0</v>
      </c>
      <c r="P27390">
        <f>IF(OR(M27390="",N27390=""),"",SUMIFS('Barang Keluar'!$E:$E,'Barang Keluar'!$A:$A,M27390,'Barang Keluar'!$C:$C,N27390))</f>
        <v>0</v>
      </c>
    </row>
    <row r="27391" spans="13:16">
      <c r="M27391" s="49">
        <f>IF($A$4+273&gt;$B$4,"",$A$4+273)</f>
        <v>46296</v>
      </c>
      <c r="N27391">
        <f>IF(M27391="","",'Master Barang'!A85)</f>
        <v>0</v>
      </c>
      <c r="O27391">
        <f>IF(N27391="","",'Master Barang'!B85)</f>
        <v>0</v>
      </c>
      <c r="P27391">
        <f>IF(OR(M27391="",N27391=""),"",SUMIFS('Barang Keluar'!$E:$E,'Barang Keluar'!$A:$A,M27391,'Barang Keluar'!$C:$C,N27391))</f>
        <v>0</v>
      </c>
    </row>
    <row r="27392" spans="13:16">
      <c r="M27392" s="49">
        <f>IF($A$4+273&gt;$B$4,"",$A$4+273)</f>
        <v>46296</v>
      </c>
      <c r="N27392">
        <f>IF(M27392="","",'Master Barang'!A86)</f>
        <v>0</v>
      </c>
      <c r="O27392">
        <f>IF(N27392="","",'Master Barang'!B86)</f>
        <v>0</v>
      </c>
      <c r="P27392">
        <f>IF(OR(M27392="",N27392=""),"",SUMIFS('Barang Keluar'!$E:$E,'Barang Keluar'!$A:$A,M27392,'Barang Keluar'!$C:$C,N27392))</f>
        <v>0</v>
      </c>
    </row>
    <row r="27393" spans="13:16">
      <c r="M27393" s="49">
        <f>IF($A$4+273&gt;$B$4,"",$A$4+273)</f>
        <v>46296</v>
      </c>
      <c r="N27393">
        <f>IF(M27393="","",'Master Barang'!A87)</f>
        <v>0</v>
      </c>
      <c r="O27393">
        <f>IF(N27393="","",'Master Barang'!B87)</f>
        <v>0</v>
      </c>
      <c r="P27393">
        <f>IF(OR(M27393="",N27393=""),"",SUMIFS('Barang Keluar'!$E:$E,'Barang Keluar'!$A:$A,M27393,'Barang Keluar'!$C:$C,N27393))</f>
        <v>0</v>
      </c>
    </row>
    <row r="27394" spans="13:16">
      <c r="M27394" s="49">
        <f>IF($A$4+273&gt;$B$4,"",$A$4+273)</f>
        <v>46296</v>
      </c>
      <c r="N27394">
        <f>IF(M27394="","",'Master Barang'!A88)</f>
        <v>0</v>
      </c>
      <c r="O27394">
        <f>IF(N27394="","",'Master Barang'!B88)</f>
        <v>0</v>
      </c>
      <c r="P27394">
        <f>IF(OR(M27394="",N27394=""),"",SUMIFS('Barang Keluar'!$E:$E,'Barang Keluar'!$A:$A,M27394,'Barang Keluar'!$C:$C,N27394))</f>
        <v>0</v>
      </c>
    </row>
    <row r="27395" spans="13:16">
      <c r="M27395" s="49">
        <f>IF($A$4+273&gt;$B$4,"",$A$4+273)</f>
        <v>46296</v>
      </c>
      <c r="N27395">
        <f>IF(M27395="","",'Master Barang'!A89)</f>
        <v>0</v>
      </c>
      <c r="O27395">
        <f>IF(N27395="","",'Master Barang'!B89)</f>
        <v>0</v>
      </c>
      <c r="P27395">
        <f>IF(OR(M27395="",N27395=""),"",SUMIFS('Barang Keluar'!$E:$E,'Barang Keluar'!$A:$A,M27395,'Barang Keluar'!$C:$C,N27395))</f>
        <v>0</v>
      </c>
    </row>
    <row r="27396" spans="13:16">
      <c r="M27396" s="49">
        <f>IF($A$4+273&gt;$B$4,"",$A$4+273)</f>
        <v>46296</v>
      </c>
      <c r="N27396">
        <f>IF(M27396="","",'Master Barang'!A90)</f>
        <v>0</v>
      </c>
      <c r="O27396">
        <f>IF(N27396="","",'Master Barang'!B90)</f>
        <v>0</v>
      </c>
      <c r="P27396">
        <f>IF(OR(M27396="",N27396=""),"",SUMIFS('Barang Keluar'!$E:$E,'Barang Keluar'!$A:$A,M27396,'Barang Keluar'!$C:$C,N27396))</f>
        <v>0</v>
      </c>
    </row>
    <row r="27397" spans="13:16">
      <c r="M27397" s="49">
        <f>IF($A$4+273&gt;$B$4,"",$A$4+273)</f>
        <v>46296</v>
      </c>
      <c r="N27397">
        <f>IF(M27397="","",'Master Barang'!A91)</f>
        <v>0</v>
      </c>
      <c r="O27397">
        <f>IF(N27397="","",'Master Barang'!B91)</f>
        <v>0</v>
      </c>
      <c r="P27397">
        <f>IF(OR(M27397="",N27397=""),"",SUMIFS('Barang Keluar'!$E:$E,'Barang Keluar'!$A:$A,M27397,'Barang Keluar'!$C:$C,N27397))</f>
        <v>0</v>
      </c>
    </row>
    <row r="27398" spans="13:16">
      <c r="M27398" s="49">
        <f>IF($A$4+273&gt;$B$4,"",$A$4+273)</f>
        <v>46296</v>
      </c>
      <c r="N27398">
        <f>IF(M27398="","",'Master Barang'!A92)</f>
        <v>0</v>
      </c>
      <c r="O27398">
        <f>IF(N27398="","",'Master Barang'!B92)</f>
        <v>0</v>
      </c>
      <c r="P27398">
        <f>IF(OR(M27398="",N27398=""),"",SUMIFS('Barang Keluar'!$E:$E,'Barang Keluar'!$A:$A,M27398,'Barang Keluar'!$C:$C,N27398))</f>
        <v>0</v>
      </c>
    </row>
    <row r="27399" spans="13:16">
      <c r="M27399" s="49">
        <f>IF($A$4+273&gt;$B$4,"",$A$4+273)</f>
        <v>46296</v>
      </c>
      <c r="N27399">
        <f>IF(M27399="","",'Master Barang'!A93)</f>
        <v>0</v>
      </c>
      <c r="O27399">
        <f>IF(N27399="","",'Master Barang'!B93)</f>
        <v>0</v>
      </c>
      <c r="P27399">
        <f>IF(OR(M27399="",N27399=""),"",SUMIFS('Barang Keluar'!$E:$E,'Barang Keluar'!$A:$A,M27399,'Barang Keluar'!$C:$C,N27399))</f>
        <v>0</v>
      </c>
    </row>
    <row r="27400" spans="13:16">
      <c r="M27400" s="49">
        <f>IF($A$4+273&gt;$B$4,"",$A$4+273)</f>
        <v>46296</v>
      </c>
      <c r="N27400">
        <f>IF(M27400="","",'Master Barang'!A94)</f>
        <v>0</v>
      </c>
      <c r="O27400">
        <f>IF(N27400="","",'Master Barang'!B94)</f>
        <v>0</v>
      </c>
      <c r="P27400">
        <f>IF(OR(M27400="",N27400=""),"",SUMIFS('Barang Keluar'!$E:$E,'Barang Keluar'!$A:$A,M27400,'Barang Keluar'!$C:$C,N27400))</f>
        <v>0</v>
      </c>
    </row>
    <row r="27401" spans="13:16">
      <c r="M27401" s="49">
        <f>IF($A$4+273&gt;$B$4,"",$A$4+273)</f>
        <v>46296</v>
      </c>
      <c r="N27401">
        <f>IF(M27401="","",'Master Barang'!A95)</f>
        <v>0</v>
      </c>
      <c r="O27401">
        <f>IF(N27401="","",'Master Barang'!B95)</f>
        <v>0</v>
      </c>
      <c r="P27401">
        <f>IF(OR(M27401="",N27401=""),"",SUMIFS('Barang Keluar'!$E:$E,'Barang Keluar'!$A:$A,M27401,'Barang Keluar'!$C:$C,N27401))</f>
        <v>0</v>
      </c>
    </row>
    <row r="27402" spans="13:16">
      <c r="M27402" s="49">
        <f>IF($A$4+273&gt;$B$4,"",$A$4+273)</f>
        <v>46296</v>
      </c>
      <c r="N27402">
        <f>IF(M27402="","",'Master Barang'!A96)</f>
        <v>0</v>
      </c>
      <c r="O27402">
        <f>IF(N27402="","",'Master Barang'!B96)</f>
        <v>0</v>
      </c>
      <c r="P27402">
        <f>IF(OR(M27402="",N27402=""),"",SUMIFS('Barang Keluar'!$E:$E,'Barang Keluar'!$A:$A,M27402,'Barang Keluar'!$C:$C,N27402))</f>
        <v>0</v>
      </c>
    </row>
    <row r="27403" spans="13:16">
      <c r="M27403" s="49">
        <f>IF($A$4+273&gt;$B$4,"",$A$4+273)</f>
        <v>46296</v>
      </c>
      <c r="N27403">
        <f>IF(M27403="","",'Master Barang'!A97)</f>
        <v>0</v>
      </c>
      <c r="O27403">
        <f>IF(N27403="","",'Master Barang'!B97)</f>
        <v>0</v>
      </c>
      <c r="P27403">
        <f>IF(OR(M27403="",N27403=""),"",SUMIFS('Barang Keluar'!$E:$E,'Barang Keluar'!$A:$A,M27403,'Barang Keluar'!$C:$C,N27403))</f>
        <v>0</v>
      </c>
    </row>
    <row r="27404" spans="13:16">
      <c r="M27404" s="49">
        <f>IF($A$4+273&gt;$B$4,"",$A$4+273)</f>
        <v>46296</v>
      </c>
      <c r="N27404">
        <f>IF(M27404="","",'Master Barang'!A98)</f>
        <v>0</v>
      </c>
      <c r="O27404">
        <f>IF(N27404="","",'Master Barang'!B98)</f>
        <v>0</v>
      </c>
      <c r="P27404">
        <f>IF(OR(M27404="",N27404=""),"",SUMIFS('Barang Keluar'!$E:$E,'Barang Keluar'!$A:$A,M27404,'Barang Keluar'!$C:$C,N27404))</f>
        <v>0</v>
      </c>
    </row>
    <row r="27405" spans="13:16">
      <c r="M27405" s="49">
        <f>IF($A$4+273&gt;$B$4,"",$A$4+273)</f>
        <v>46296</v>
      </c>
      <c r="N27405">
        <f>IF(M27405="","",'Master Barang'!A99)</f>
        <v>0</v>
      </c>
      <c r="O27405">
        <f>IF(N27405="","",'Master Barang'!B99)</f>
        <v>0</v>
      </c>
      <c r="P27405">
        <f>IF(OR(M27405="",N27405=""),"",SUMIFS('Barang Keluar'!$E:$E,'Barang Keluar'!$A:$A,M27405,'Barang Keluar'!$C:$C,N27405))</f>
        <v>0</v>
      </c>
    </row>
    <row r="27406" spans="13:16">
      <c r="M27406" s="49">
        <f>IF($A$4+273&gt;$B$4,"",$A$4+273)</f>
        <v>46296</v>
      </c>
      <c r="N27406">
        <f>IF(M27406="","",'Master Barang'!A100)</f>
        <v>0</v>
      </c>
      <c r="O27406">
        <f>IF(N27406="","",'Master Barang'!B100)</f>
        <v>0</v>
      </c>
      <c r="P27406">
        <f>IF(OR(M27406="",N27406=""),"",SUMIFS('Barang Keluar'!$E:$E,'Barang Keluar'!$A:$A,M27406,'Barang Keluar'!$C:$C,N27406))</f>
        <v>0</v>
      </c>
    </row>
    <row r="27407" spans="13:16">
      <c r="M27407" s="49">
        <f>IF($A$4+273&gt;$B$4,"",$A$4+273)</f>
        <v>46296</v>
      </c>
      <c r="N27407">
        <f>IF(M27407="","",'Master Barang'!A101)</f>
        <v>0</v>
      </c>
      <c r="O27407">
        <f>IF(N27407="","",'Master Barang'!B101)</f>
        <v>0</v>
      </c>
      <c r="P27407">
        <f>IF(OR(M27407="",N27407=""),"",SUMIFS('Barang Keluar'!$E:$E,'Barang Keluar'!$A:$A,M27407,'Barang Keluar'!$C:$C,N27407))</f>
        <v>0</v>
      </c>
    </row>
    <row r="27408" spans="13:16">
      <c r="M27408" s="49">
        <f>IF($A$4+274&gt;$B$4,"",$A$4+274)</f>
        <v>46297</v>
      </c>
      <c r="N27408" t="str">
        <f>IF(M27408="","",'Master Barang'!A2)</f>
        <v>PRL-001</v>
      </c>
      <c r="O27408" t="str">
        <f>IF(N27408="","",'Master Barang'!B2)</f>
        <v>natura desinfectant food grade 5l</v>
      </c>
      <c r="P27408">
        <f>IF(OR(M27408="",N27408=""),"",SUMIFS('Barang Keluar'!$E:$E,'Barang Keluar'!$A:$A,M27408,'Barang Keluar'!$C:$C,N27408))</f>
        <v>0</v>
      </c>
    </row>
    <row r="27409" spans="13:16">
      <c r="M27409" s="49">
        <f>IF($A$4+274&gt;$B$4,"",$A$4+274)</f>
        <v>46297</v>
      </c>
      <c r="N27409" t="str">
        <f>IF(M27409="","",'Master Barang'!A3)</f>
        <v>PRL-002</v>
      </c>
      <c r="O27409" t="str">
        <f>IF(N27409="","",'Master Barang'!B3)</f>
        <v>sunlight cairan pencuci piring 5l</v>
      </c>
      <c r="P27409">
        <f>IF(OR(M27409="",N27409=""),"",SUMIFS('Barang Keluar'!$E:$E,'Barang Keluar'!$A:$A,M27409,'Barang Keluar'!$C:$C,N27409))</f>
        <v>0</v>
      </c>
    </row>
    <row r="27410" spans="13:16">
      <c r="M27410" s="49">
        <f>IF($A$4+274&gt;$B$4,"",$A$4+274)</f>
        <v>46297</v>
      </c>
      <c r="N27410" t="str">
        <f>IF(M27410="","",'Master Barang'!A4)</f>
        <v>PRL-003</v>
      </c>
      <c r="O27410" t="str">
        <f>IF(N27410="","",'Master Barang'!B4)</f>
        <v>oixs cleaner 1l</v>
      </c>
      <c r="P27410">
        <f>IF(OR(M27410="",N27410=""),"",SUMIFS('Barang Keluar'!$E:$E,'Barang Keluar'!$A:$A,M27410,'Barang Keluar'!$C:$C,N27410))</f>
        <v>0</v>
      </c>
    </row>
    <row r="27411" spans="13:16">
      <c r="M27411" s="49">
        <f>IF($A$4+274&gt;$B$4,"",$A$4+274)</f>
        <v>46297</v>
      </c>
      <c r="N27411" t="str">
        <f>IF(M27411="","",'Master Barang'!A5)</f>
        <v>PRL-004</v>
      </c>
      <c r="O27411" t="str">
        <f>IF(N27411="","",'Master Barang'!B5)</f>
        <v>be clean tissue serbaguna</v>
      </c>
      <c r="P27411">
        <f>IF(OR(M27411="",N27411=""),"",SUMIFS('Barang Keluar'!$E:$E,'Barang Keluar'!$A:$A,M27411,'Barang Keluar'!$C:$C,N27411))</f>
        <v>0</v>
      </c>
    </row>
    <row r="27412" spans="13:16">
      <c r="M27412" s="49">
        <f>IF($A$4+274&gt;$B$4,"",$A$4+274)</f>
        <v>46297</v>
      </c>
      <c r="N27412" t="str">
        <f>IF(M27412="","",'Master Barang'!A6)</f>
        <v>PRL-005</v>
      </c>
      <c r="O27412" t="str">
        <f>IF(N27412="","",'Master Barang'!B6)</f>
        <v>spons cuci hijau</v>
      </c>
      <c r="P27412">
        <f>IF(OR(M27412="",N27412=""),"",SUMIFS('Barang Keluar'!$E:$E,'Barang Keluar'!$A:$A,M27412,'Barang Keluar'!$C:$C,N27412))</f>
        <v>0</v>
      </c>
    </row>
    <row r="27413" spans="13:16">
      <c r="M27413" s="49">
        <f>IF($A$4+274&gt;$B$4,"",$A$4+274)</f>
        <v>46297</v>
      </c>
      <c r="N27413" t="str">
        <f>IF(M27413="","",'Master Barang'!A7)</f>
        <v>PRL-006</v>
      </c>
      <c r="O27413" t="str">
        <f>IF(N27413="","",'Master Barang'!B7)</f>
        <v>sabut cuci stainless</v>
      </c>
      <c r="P27413">
        <f>IF(OR(M27413="",N27413=""),"",SUMIFS('Barang Keluar'!$E:$E,'Barang Keluar'!$A:$A,M27413,'Barang Keluar'!$C:$C,N27413))</f>
        <v>0</v>
      </c>
    </row>
    <row r="27414" spans="13:16">
      <c r="M27414" s="49">
        <f>IF($A$4+274&gt;$B$4,"",$A$4+274)</f>
        <v>46297</v>
      </c>
      <c r="N27414" t="str">
        <f>IF(M27414="","",'Master Barang'!A8)</f>
        <v>PRL-007</v>
      </c>
      <c r="O27414" t="str">
        <f>IF(N27414="","",'Master Barang'!B8)</f>
        <v>plastik kresek besar merah 50pc</v>
      </c>
      <c r="P27414">
        <f>IF(OR(M27414="",N27414=""),"",SUMIFS('Barang Keluar'!$E:$E,'Barang Keluar'!$A:$A,M27414,'Barang Keluar'!$C:$C,N27414))</f>
        <v>0</v>
      </c>
    </row>
    <row r="27415" spans="13:16">
      <c r="M27415" s="49">
        <f>IF($A$4+274&gt;$B$4,"",$A$4+274)</f>
        <v>46297</v>
      </c>
      <c r="N27415" t="str">
        <f>IF(M27415="","",'Master Barang'!A9)</f>
        <v>PRL-008</v>
      </c>
      <c r="O27415" t="str">
        <f>IF(N27415="","",'Master Barang'!B9)</f>
        <v>lap besar</v>
      </c>
      <c r="P27415">
        <f>IF(OR(M27415="",N27415=""),"",SUMIFS('Barang Keluar'!$E:$E,'Barang Keluar'!$A:$A,M27415,'Barang Keluar'!$C:$C,N27415))</f>
        <v>0</v>
      </c>
    </row>
    <row r="27416" spans="13:16">
      <c r="M27416" s="49">
        <f>IF($A$4+274&gt;$B$4,"",$A$4+274)</f>
        <v>46297</v>
      </c>
      <c r="N27416" t="str">
        <f>IF(M27416="","",'Master Barang'!A10)</f>
        <v>PRL-009</v>
      </c>
      <c r="O27416" t="str">
        <f>IF(N27416="","",'Master Barang'!B10)</f>
        <v>lap microfiber</v>
      </c>
      <c r="P27416">
        <f>IF(OR(M27416="",N27416=""),"",SUMIFS('Barang Keluar'!$E:$E,'Barang Keluar'!$A:$A,M27416,'Barang Keluar'!$C:$C,N27416))</f>
        <v>0</v>
      </c>
    </row>
    <row r="27417" spans="13:16">
      <c r="M27417" s="49">
        <f>IF($A$4+274&gt;$B$4,"",$A$4+274)</f>
        <v>46297</v>
      </c>
      <c r="N27417" t="str">
        <f>IF(M27417="","",'Master Barang'!A11)</f>
        <v>PRL-010</v>
      </c>
      <c r="O27417" t="str">
        <f>IF(N27417="","",'Master Barang'!B11)</f>
        <v>lap kecil</v>
      </c>
      <c r="P27417">
        <f>IF(OR(M27417="",N27417=""),"",SUMIFS('Barang Keluar'!$E:$E,'Barang Keluar'!$A:$A,M27417,'Barang Keluar'!$C:$C,N27417))</f>
        <v>0</v>
      </c>
    </row>
    <row r="27418" spans="13:16">
      <c r="M27418" s="49">
        <f>IF($A$4+274&gt;$B$4,"",$A$4+274)</f>
        <v>46297</v>
      </c>
      <c r="N27418" t="str">
        <f>IF(M27418="","",'Master Barang'!A12)</f>
        <v>PRL-011</v>
      </c>
      <c r="O27418" t="str">
        <f>IF(N27418="","",'Master Barang'!B12)</f>
        <v>kanebo kecil</v>
      </c>
      <c r="P27418">
        <f>IF(OR(M27418="",N27418=""),"",SUMIFS('Barang Keluar'!$E:$E,'Barang Keluar'!$A:$A,M27418,'Barang Keluar'!$C:$C,N27418))</f>
        <v>0</v>
      </c>
    </row>
    <row r="27419" spans="13:16">
      <c r="M27419" s="49">
        <f>IF($A$4+274&gt;$B$4,"",$A$4+274)</f>
        <v>46297</v>
      </c>
      <c r="N27419" t="str">
        <f>IF(M27419="","",'Master Barang'!A13)</f>
        <v>PRL-012</v>
      </c>
      <c r="O27419" t="str">
        <f>IF(N27419="","",'Master Barang'!B13)</f>
        <v>plastik 1/4kg joyoboyo 100 lembar</v>
      </c>
      <c r="P27419">
        <f>IF(OR(M27419="",N27419=""),"",SUMIFS('Barang Keluar'!$E:$E,'Barang Keluar'!$A:$A,M27419,'Barang Keluar'!$C:$C,N27419))</f>
        <v>0</v>
      </c>
    </row>
    <row r="27420" spans="13:16">
      <c r="M27420" s="49">
        <f>IF($A$4+274&gt;$B$4,"",$A$4+274)</f>
        <v>46297</v>
      </c>
      <c r="N27420" t="str">
        <f>IF(M27420="","",'Master Barang'!A14)</f>
        <v>PRL-013</v>
      </c>
      <c r="O27420" t="str">
        <f>IF(N27420="","",'Master Barang'!B14)</f>
        <v>sarung tangan plastik kaka 100 pcs</v>
      </c>
      <c r="P27420">
        <f>IF(OR(M27420="",N27420=""),"",SUMIFS('Barang Keluar'!$E:$E,'Barang Keluar'!$A:$A,M27420,'Barang Keluar'!$C:$C,N27420))</f>
        <v>0</v>
      </c>
    </row>
    <row r="27421" spans="13:16">
      <c r="M27421" s="49">
        <f>IF($A$4+274&gt;$B$4,"",$A$4+274)</f>
        <v>46297</v>
      </c>
      <c r="N27421" t="str">
        <f>IF(M27421="","",'Master Barang'!A15)</f>
        <v>PRL-014</v>
      </c>
      <c r="O27421" t="str">
        <f>IF(N27421="","",'Master Barang'!B15)</f>
        <v>optima trashbag 80x100</v>
      </c>
      <c r="P27421">
        <f>IF(OR(M27421="",N27421=""),"",SUMIFS('Barang Keluar'!$E:$E,'Barang Keluar'!$A:$A,M27421,'Barang Keluar'!$C:$C,N27421))</f>
        <v>0</v>
      </c>
    </row>
    <row r="27422" spans="13:16">
      <c r="M27422" s="49">
        <f>IF($A$4+274&gt;$B$4,"",$A$4+274)</f>
        <v>46297</v>
      </c>
      <c r="N27422" t="str">
        <f>IF(M27422="","",'Master Barang'!A16)</f>
        <v>PRL-015</v>
      </c>
      <c r="O27422" t="str">
        <f>IF(N27422="","",'Master Barang'!B16)</f>
        <v>optima trashbag 60x100</v>
      </c>
      <c r="P27422">
        <f>IF(OR(M27422="",N27422=""),"",SUMIFS('Barang Keluar'!$E:$E,'Barang Keluar'!$A:$A,M27422,'Barang Keluar'!$C:$C,N27422))</f>
        <v>0</v>
      </c>
    </row>
    <row r="27423" spans="13:16">
      <c r="M27423" s="49">
        <f>IF($A$4+274&gt;$B$4,"",$A$4+274)</f>
        <v>46297</v>
      </c>
      <c r="N27423" t="str">
        <f>IF(M27423="","",'Master Barang'!A17)</f>
        <v>PRL-016</v>
      </c>
      <c r="O27423" t="str">
        <f>IF(N27423="","",'Master Barang'!B17)</f>
        <v>rajawali trashbag 30x40</v>
      </c>
      <c r="P27423">
        <f>IF(OR(M27423="",N27423=""),"",SUMIFS('Barang Keluar'!$E:$E,'Barang Keluar'!$A:$A,M27423,'Barang Keluar'!$C:$C,N27423))</f>
        <v>0</v>
      </c>
    </row>
    <row r="27424" spans="13:16">
      <c r="M27424" s="49">
        <f>IF($A$4+274&gt;$B$4,"",$A$4+274)</f>
        <v>46297</v>
      </c>
      <c r="N27424" t="str">
        <f>IF(M27424="","",'Master Barang'!A18)</f>
        <v>PRL-017</v>
      </c>
      <c r="O27424" t="str">
        <f>IF(N27424="","",'Master Barang'!B18)</f>
        <v>onemed masker biru 3 play 50 pcs</v>
      </c>
      <c r="P27424">
        <f>IF(OR(M27424="",N27424=""),"",SUMIFS('Barang Keluar'!$E:$E,'Barang Keluar'!$A:$A,M27424,'Barang Keluar'!$C:$C,N27424))</f>
        <v>0</v>
      </c>
    </row>
    <row r="27425" spans="13:16">
      <c r="M27425" s="49">
        <f>IF($A$4+274&gt;$B$4,"",$A$4+274)</f>
        <v>46297</v>
      </c>
      <c r="N27425" t="str">
        <f>IF(M27425="","",'Master Barang'!A19)</f>
        <v>PRL-018</v>
      </c>
      <c r="O27425" t="str">
        <f>IF(N27425="","",'Master Barang'!B19)</f>
        <v>onemed masker biru 3 play hijab 50 pcs</v>
      </c>
      <c r="P27425">
        <f>IF(OR(M27425="",N27425=""),"",SUMIFS('Barang Keluar'!$E:$E,'Barang Keluar'!$A:$A,M27425,'Barang Keluar'!$C:$C,N27425))</f>
        <v>0</v>
      </c>
    </row>
    <row r="27426" spans="13:16">
      <c r="M27426" s="49">
        <f>IF($A$4+274&gt;$B$4,"",$A$4+274)</f>
        <v>46297</v>
      </c>
      <c r="N27426" t="str">
        <f>IF(M27426="","",'Master Barang'!A20)</f>
        <v>PRL-019</v>
      </c>
      <c r="O27426" t="str">
        <f>IF(N27426="","",'Master Barang'!B20)</f>
        <v>neo health masker biru 3 play 50 pcs</v>
      </c>
      <c r="P27426">
        <f>IF(OR(M27426="",N27426=""),"",SUMIFS('Barang Keluar'!$E:$E,'Barang Keluar'!$A:$A,M27426,'Barang Keluar'!$C:$C,N27426))</f>
        <v>0</v>
      </c>
    </row>
    <row r="27427" spans="13:16">
      <c r="M27427" s="49">
        <f>IF($A$4+274&gt;$B$4,"",$A$4+274)</f>
        <v>46297</v>
      </c>
      <c r="N27427" t="str">
        <f>IF(M27427="","",'Master Barang'!A21)</f>
        <v>PRL-020</v>
      </c>
      <c r="O27427" t="str">
        <f>IF(N27427="","",'Master Barang'!B21)</f>
        <v>baymed masker hijau 3 play hijau 50 pcs</v>
      </c>
      <c r="P27427">
        <f>IF(OR(M27427="",N27427=""),"",SUMIFS('Barang Keluar'!$E:$E,'Barang Keluar'!$A:$A,M27427,'Barang Keluar'!$C:$C,N27427))</f>
        <v>0</v>
      </c>
    </row>
    <row r="27428" spans="13:16">
      <c r="M27428" s="49">
        <f>IF($A$4+274&gt;$B$4,"",$A$4+274)</f>
        <v>46297</v>
      </c>
      <c r="N27428" t="str">
        <f>IF(M27428="","",'Master Barang'!A22)</f>
        <v>PRL-021</v>
      </c>
      <c r="O27428" t="str">
        <f>IF(N27428="","",'Master Barang'!B22)</f>
        <v>altamed nurse cap penutup kepala 100 pcs</v>
      </c>
      <c r="P27428">
        <f>IF(OR(M27428="",N27428=""),"",SUMIFS('Barang Keluar'!$E:$E,'Barang Keluar'!$A:$A,M27428,'Barang Keluar'!$C:$C,N27428))</f>
        <v>0</v>
      </c>
    </row>
    <row r="27429" spans="13:16">
      <c r="M27429" s="49">
        <f>IF($A$4+274&gt;$B$4,"",$A$4+274)</f>
        <v>46297</v>
      </c>
      <c r="N27429" t="str">
        <f>IF(M27429="","",'Master Barang'!A23)</f>
        <v>PRL-022</v>
      </c>
      <c r="O27429" t="str">
        <f>IF(N27429="","",'Master Barang'!B23)</f>
        <v>sabun cuci tangan</v>
      </c>
      <c r="P27429">
        <f>IF(OR(M27429="",N27429=""),"",SUMIFS('Barang Keluar'!$E:$E,'Barang Keluar'!$A:$A,M27429,'Barang Keluar'!$C:$C,N27429))</f>
        <v>0</v>
      </c>
    </row>
    <row r="27430" spans="13:16">
      <c r="M27430" s="49">
        <f>IF($A$4+274&gt;$B$4,"",$A$4+274)</f>
        <v>46297</v>
      </c>
      <c r="N27430" t="str">
        <f>IF(M27430="","",'Master Barang'!A24)</f>
        <v>PRL-023</v>
      </c>
      <c r="O27430" t="str">
        <f>IF(N27430="","",'Master Barang'!B24)</f>
        <v>gayung kecil</v>
      </c>
      <c r="P27430">
        <f>IF(OR(M27430="",N27430=""),"",SUMIFS('Barang Keluar'!$E:$E,'Barang Keluar'!$A:$A,M27430,'Barang Keluar'!$C:$C,N27430))</f>
        <v>0</v>
      </c>
    </row>
    <row r="27431" spans="13:16">
      <c r="M27431" s="49">
        <f>IF($A$4+274&gt;$B$4,"",$A$4+274)</f>
        <v>46297</v>
      </c>
      <c r="N27431" t="str">
        <f>IF(M27431="","",'Master Barang'!A25)</f>
        <v>PRL-024</v>
      </c>
      <c r="O27431" t="str">
        <f>IF(N27431="","",'Master Barang'!B25)</f>
        <v>cikrak kecil</v>
      </c>
      <c r="P27431">
        <f>IF(OR(M27431="",N27431=""),"",SUMIFS('Barang Keluar'!$E:$E,'Barang Keluar'!$A:$A,M27431,'Barang Keluar'!$C:$C,N27431))</f>
        <v>0</v>
      </c>
    </row>
    <row r="27432" spans="13:16">
      <c r="M27432" s="49">
        <f>IF($A$4+274&gt;$B$4,"",$A$4+274)</f>
        <v>46297</v>
      </c>
      <c r="N27432" t="str">
        <f>IF(M27432="","",'Master Barang'!A26)</f>
        <v>PRL-025</v>
      </c>
      <c r="O27432" t="str">
        <f>IF(N27432="","",'Master Barang'!B26)</f>
        <v>petromax plastik kecil 12x24 100 lembar</v>
      </c>
      <c r="P27432">
        <f>IF(OR(M27432="",N27432=""),"",SUMIFS('Barang Keluar'!$E:$E,'Barang Keluar'!$A:$A,M27432,'Barang Keluar'!$C:$C,N27432))</f>
        <v>0</v>
      </c>
    </row>
    <row r="27433" spans="13:16">
      <c r="M27433" s="49">
        <f>IF($A$4+274&gt;$B$4,"",$A$4+274)</f>
        <v>46297</v>
      </c>
      <c r="N27433" t="str">
        <f>IF(M27433="","",'Master Barang'!A27)</f>
        <v>PRL-026</v>
      </c>
      <c r="O27433" t="str">
        <f>IF(N27433="","",'Master Barang'!B27)</f>
        <v>lancar kresek kecil bening </v>
      </c>
      <c r="P27433">
        <f>IF(OR(M27433="",N27433=""),"",SUMIFS('Barang Keluar'!$E:$E,'Barang Keluar'!$A:$A,M27433,'Barang Keluar'!$C:$C,N27433))</f>
        <v>0</v>
      </c>
    </row>
    <row r="27434" spans="13:16">
      <c r="M27434" s="49">
        <f>IF($A$4+274&gt;$B$4,"",$A$4+274)</f>
        <v>46297</v>
      </c>
      <c r="N27434" t="str">
        <f>IF(M27434="","",'Master Barang'!A28)</f>
        <v>PRL-027</v>
      </c>
      <c r="O27434" t="str">
        <f>IF(N27434="","",'Master Barang'!B28)</f>
        <v>kresek klin warna warni kecil</v>
      </c>
      <c r="P27434">
        <f>IF(OR(M27434="",N27434=""),"",SUMIFS('Barang Keluar'!$E:$E,'Barang Keluar'!$A:$A,M27434,'Barang Keluar'!$C:$C,N27434))</f>
        <v>0</v>
      </c>
    </row>
    <row r="27435" spans="13:16">
      <c r="M27435" s="49">
        <f>IF($A$4+274&gt;$B$4,"",$A$4+274)</f>
        <v>46297</v>
      </c>
      <c r="N27435" t="str">
        <f>IF(M27435="","",'Master Barang'!A29)</f>
        <v>PRL-028</v>
      </c>
      <c r="O27435" t="str">
        <f>IF(N27435="","",'Master Barang'!B29)</f>
        <v>ctik plastik 7x10 100 pcs</v>
      </c>
      <c r="P27435">
        <f>IF(OR(M27435="",N27435=""),"",SUMIFS('Barang Keluar'!$E:$E,'Barang Keluar'!$A:$A,M27435,'Barang Keluar'!$C:$C,N27435))</f>
        <v>0</v>
      </c>
    </row>
    <row r="27436" spans="13:16">
      <c r="M27436" s="49">
        <f>IF($A$4+274&gt;$B$4,"",$A$4+274)</f>
        <v>46297</v>
      </c>
      <c r="N27436" t="str">
        <f>IF(M27436="","",'Master Barang'!A30)</f>
        <v>PRL-029</v>
      </c>
      <c r="O27436" t="str">
        <f>IF(N27436="","",'Master Barang'!B30)</f>
        <v>ctik plastik 6x10 100 pcs</v>
      </c>
      <c r="P27436">
        <f>IF(OR(M27436="",N27436=""),"",SUMIFS('Barang Keluar'!$E:$E,'Barang Keluar'!$A:$A,M27436,'Barang Keluar'!$C:$C,N27436))</f>
        <v>0</v>
      </c>
    </row>
    <row r="27437" spans="13:16">
      <c r="M27437" s="49">
        <f>IF($A$4+274&gt;$B$4,"",$A$4+274)</f>
        <v>46297</v>
      </c>
      <c r="N27437" t="str">
        <f>IF(M27437="","",'Master Barang'!A31)</f>
        <v>PRL-030</v>
      </c>
      <c r="O27437" t="str">
        <f>IF(N27437="","",'Master Barang'!B31)</f>
        <v>klip plastik 25x16 100 pcs</v>
      </c>
      <c r="P27437">
        <f>IF(OR(M27437="",N27437=""),"",SUMIFS('Barang Keluar'!$E:$E,'Barang Keluar'!$A:$A,M27437,'Barang Keluar'!$C:$C,N27437))</f>
        <v>0</v>
      </c>
    </row>
    <row r="27438" spans="13:16">
      <c r="M27438" s="49">
        <f>IF($A$4+274&gt;$B$4,"",$A$4+274)</f>
        <v>46297</v>
      </c>
      <c r="N27438" t="str">
        <f>IF(M27438="","",'Master Barang'!A32)</f>
        <v>PRL-031</v>
      </c>
      <c r="O27438" t="str">
        <f>IF(N27438="","",'Master Barang'!B32)</f>
        <v>tempat saus 20 ml</v>
      </c>
      <c r="P27438">
        <f>IF(OR(M27438="",N27438=""),"",SUMIFS('Barang Keluar'!$E:$E,'Barang Keluar'!$A:$A,M27438,'Barang Keluar'!$C:$C,N27438))</f>
        <v>0</v>
      </c>
    </row>
    <row r="27439" spans="13:16">
      <c r="M27439" s="49">
        <f>IF($A$4+274&gt;$B$4,"",$A$4+274)</f>
        <v>46297</v>
      </c>
      <c r="N27439" t="str">
        <f>IF(M27439="","",'Master Barang'!A33)</f>
        <v>PRL-032</v>
      </c>
      <c r="O27439" t="str">
        <f>IF(N27439="","",'Master Barang'!B33)</f>
        <v>plastik packaging ag box uk sedang</v>
      </c>
      <c r="P27439">
        <f>IF(OR(M27439="",N27439=""),"",SUMIFS('Barang Keluar'!$E:$E,'Barang Keluar'!$A:$A,M27439,'Barang Keluar'!$C:$C,N27439))</f>
        <v>0</v>
      </c>
    </row>
    <row r="27440" spans="13:16">
      <c r="M27440" s="49">
        <f>IF($A$4+274&gt;$B$4,"",$A$4+274)</f>
        <v>46297</v>
      </c>
      <c r="N27440" t="str">
        <f>IF(M27440="","",'Master Barang'!A34)</f>
        <v>PRL-033</v>
      </c>
      <c r="O27440">
        <f>IF(N27440="","",'Master Barang'!B34)</f>
        <v>0</v>
      </c>
      <c r="P27440">
        <f>IF(OR(M27440="",N27440=""),"",SUMIFS('Barang Keluar'!$E:$E,'Barang Keluar'!$A:$A,M27440,'Barang Keluar'!$C:$C,N27440))</f>
        <v>0</v>
      </c>
    </row>
    <row r="27441" spans="13:16">
      <c r="M27441" s="49">
        <f>IF($A$4+274&gt;$B$4,"",$A$4+274)</f>
        <v>46297</v>
      </c>
      <c r="N27441">
        <f>IF(M27441="","",'Master Barang'!A35)</f>
        <v>0</v>
      </c>
      <c r="O27441">
        <f>IF(N27441="","",'Master Barang'!B35)</f>
        <v>0</v>
      </c>
      <c r="P27441">
        <f>IF(OR(M27441="",N27441=""),"",SUMIFS('Barang Keluar'!$E:$E,'Barang Keluar'!$A:$A,M27441,'Barang Keluar'!$C:$C,N27441))</f>
        <v>0</v>
      </c>
    </row>
    <row r="27442" spans="13:16">
      <c r="M27442" s="49">
        <f>IF($A$4+274&gt;$B$4,"",$A$4+274)</f>
        <v>46297</v>
      </c>
      <c r="N27442">
        <f>IF(M27442="","",'Master Barang'!A36)</f>
        <v>0</v>
      </c>
      <c r="O27442">
        <f>IF(N27442="","",'Master Barang'!B36)</f>
        <v>0</v>
      </c>
      <c r="P27442">
        <f>IF(OR(M27442="",N27442=""),"",SUMIFS('Barang Keluar'!$E:$E,'Barang Keluar'!$A:$A,M27442,'Barang Keluar'!$C:$C,N27442))</f>
        <v>0</v>
      </c>
    </row>
    <row r="27443" spans="13:16">
      <c r="M27443" s="49">
        <f>IF($A$4+274&gt;$B$4,"",$A$4+274)</f>
        <v>46297</v>
      </c>
      <c r="N27443">
        <f>IF(M27443="","",'Master Barang'!A37)</f>
        <v>0</v>
      </c>
      <c r="O27443">
        <f>IF(N27443="","",'Master Barang'!B37)</f>
        <v>0</v>
      </c>
      <c r="P27443">
        <f>IF(OR(M27443="",N27443=""),"",SUMIFS('Barang Keluar'!$E:$E,'Barang Keluar'!$A:$A,M27443,'Barang Keluar'!$C:$C,N27443))</f>
        <v>0</v>
      </c>
    </row>
    <row r="27444" spans="13:16">
      <c r="M27444" s="49">
        <f>IF($A$4+274&gt;$B$4,"",$A$4+274)</f>
        <v>46297</v>
      </c>
      <c r="N27444">
        <f>IF(M27444="","",'Master Barang'!A38)</f>
        <v>0</v>
      </c>
      <c r="O27444">
        <f>IF(N27444="","",'Master Barang'!B38)</f>
        <v>0</v>
      </c>
      <c r="P27444">
        <f>IF(OR(M27444="",N27444=""),"",SUMIFS('Barang Keluar'!$E:$E,'Barang Keluar'!$A:$A,M27444,'Barang Keluar'!$C:$C,N27444))</f>
        <v>0</v>
      </c>
    </row>
    <row r="27445" spans="13:16">
      <c r="M27445" s="49">
        <f>IF($A$4+274&gt;$B$4,"",$A$4+274)</f>
        <v>46297</v>
      </c>
      <c r="N27445">
        <f>IF(M27445="","",'Master Barang'!A39)</f>
        <v>0</v>
      </c>
      <c r="O27445">
        <f>IF(N27445="","",'Master Barang'!B39)</f>
        <v>0</v>
      </c>
      <c r="P27445">
        <f>IF(OR(M27445="",N27445=""),"",SUMIFS('Barang Keluar'!$E:$E,'Barang Keluar'!$A:$A,M27445,'Barang Keluar'!$C:$C,N27445))</f>
        <v>0</v>
      </c>
    </row>
    <row r="27446" spans="13:16">
      <c r="M27446" s="49">
        <f>IF($A$4+274&gt;$B$4,"",$A$4+274)</f>
        <v>46297</v>
      </c>
      <c r="N27446">
        <f>IF(M27446="","",'Master Barang'!A40)</f>
        <v>0</v>
      </c>
      <c r="O27446">
        <f>IF(N27446="","",'Master Barang'!B40)</f>
        <v>0</v>
      </c>
      <c r="P27446">
        <f>IF(OR(M27446="",N27446=""),"",SUMIFS('Barang Keluar'!$E:$E,'Barang Keluar'!$A:$A,M27446,'Barang Keluar'!$C:$C,N27446))</f>
        <v>0</v>
      </c>
    </row>
    <row r="27447" spans="13:16">
      <c r="M27447" s="49">
        <f>IF($A$4+274&gt;$B$4,"",$A$4+274)</f>
        <v>46297</v>
      </c>
      <c r="N27447">
        <f>IF(M27447="","",'Master Barang'!A41)</f>
        <v>0</v>
      </c>
      <c r="O27447">
        <f>IF(N27447="","",'Master Barang'!B41)</f>
        <v>0</v>
      </c>
      <c r="P27447">
        <f>IF(OR(M27447="",N27447=""),"",SUMIFS('Barang Keluar'!$E:$E,'Barang Keluar'!$A:$A,M27447,'Barang Keluar'!$C:$C,N27447))</f>
        <v>0</v>
      </c>
    </row>
    <row r="27448" spans="13:16">
      <c r="M27448" s="49">
        <f>IF($A$4+274&gt;$B$4,"",$A$4+274)</f>
        <v>46297</v>
      </c>
      <c r="N27448">
        <f>IF(M27448="","",'Master Barang'!A42)</f>
        <v>0</v>
      </c>
      <c r="O27448">
        <f>IF(N27448="","",'Master Barang'!B42)</f>
        <v>0</v>
      </c>
      <c r="P27448">
        <f>IF(OR(M27448="",N27448=""),"",SUMIFS('Barang Keluar'!$E:$E,'Barang Keluar'!$A:$A,M27448,'Barang Keluar'!$C:$C,N27448))</f>
        <v>0</v>
      </c>
    </row>
    <row r="27449" spans="13:16">
      <c r="M27449" s="49">
        <f>IF($A$4+274&gt;$B$4,"",$A$4+274)</f>
        <v>46297</v>
      </c>
      <c r="N27449">
        <f>IF(M27449="","",'Master Barang'!A43)</f>
        <v>0</v>
      </c>
      <c r="O27449">
        <f>IF(N27449="","",'Master Barang'!B43)</f>
        <v>0</v>
      </c>
      <c r="P27449">
        <f>IF(OR(M27449="",N27449=""),"",SUMIFS('Barang Keluar'!$E:$E,'Barang Keluar'!$A:$A,M27449,'Barang Keluar'!$C:$C,N27449))</f>
        <v>0</v>
      </c>
    </row>
    <row r="27450" spans="13:16">
      <c r="M27450" s="49">
        <f>IF($A$4+274&gt;$B$4,"",$A$4+274)</f>
        <v>46297</v>
      </c>
      <c r="N27450">
        <f>IF(M27450="","",'Master Barang'!A44)</f>
        <v>0</v>
      </c>
      <c r="O27450">
        <f>IF(N27450="","",'Master Barang'!B44)</f>
        <v>0</v>
      </c>
      <c r="P27450">
        <f>IF(OR(M27450="",N27450=""),"",SUMIFS('Barang Keluar'!$E:$E,'Barang Keluar'!$A:$A,M27450,'Barang Keluar'!$C:$C,N27450))</f>
        <v>0</v>
      </c>
    </row>
    <row r="27451" spans="13:16">
      <c r="M27451" s="49">
        <f>IF($A$4+274&gt;$B$4,"",$A$4+274)</f>
        <v>46297</v>
      </c>
      <c r="N27451">
        <f>IF(M27451="","",'Master Barang'!A45)</f>
        <v>0</v>
      </c>
      <c r="O27451">
        <f>IF(N27451="","",'Master Barang'!B45)</f>
        <v>0</v>
      </c>
      <c r="P27451">
        <f>IF(OR(M27451="",N27451=""),"",SUMIFS('Barang Keluar'!$E:$E,'Barang Keluar'!$A:$A,M27451,'Barang Keluar'!$C:$C,N27451))</f>
        <v>0</v>
      </c>
    </row>
    <row r="27452" spans="13:16">
      <c r="M27452" s="49">
        <f>IF($A$4+274&gt;$B$4,"",$A$4+274)</f>
        <v>46297</v>
      </c>
      <c r="N27452">
        <f>IF(M27452="","",'Master Barang'!A46)</f>
        <v>0</v>
      </c>
      <c r="O27452">
        <f>IF(N27452="","",'Master Barang'!B46)</f>
        <v>0</v>
      </c>
      <c r="P27452">
        <f>IF(OR(M27452="",N27452=""),"",SUMIFS('Barang Keluar'!$E:$E,'Barang Keluar'!$A:$A,M27452,'Barang Keluar'!$C:$C,N27452))</f>
        <v>0</v>
      </c>
    </row>
    <row r="27453" spans="13:16">
      <c r="M27453" s="49">
        <f>IF($A$4+274&gt;$B$4,"",$A$4+274)</f>
        <v>46297</v>
      </c>
      <c r="N27453">
        <f>IF(M27453="","",'Master Barang'!A47)</f>
        <v>0</v>
      </c>
      <c r="O27453">
        <f>IF(N27453="","",'Master Barang'!B47)</f>
        <v>0</v>
      </c>
      <c r="P27453">
        <f>IF(OR(M27453="",N27453=""),"",SUMIFS('Barang Keluar'!$E:$E,'Barang Keluar'!$A:$A,M27453,'Barang Keluar'!$C:$C,N27453))</f>
        <v>0</v>
      </c>
    </row>
    <row r="27454" spans="13:16">
      <c r="M27454" s="49">
        <f>IF($A$4+274&gt;$B$4,"",$A$4+274)</f>
        <v>46297</v>
      </c>
      <c r="N27454">
        <f>IF(M27454="","",'Master Barang'!A48)</f>
        <v>0</v>
      </c>
      <c r="O27454">
        <f>IF(N27454="","",'Master Barang'!B48)</f>
        <v>0</v>
      </c>
      <c r="P27454">
        <f>IF(OR(M27454="",N27454=""),"",SUMIFS('Barang Keluar'!$E:$E,'Barang Keluar'!$A:$A,M27454,'Barang Keluar'!$C:$C,N27454))</f>
        <v>0</v>
      </c>
    </row>
    <row r="27455" spans="13:16">
      <c r="M27455" s="49">
        <f>IF($A$4+274&gt;$B$4,"",$A$4+274)</f>
        <v>46297</v>
      </c>
      <c r="N27455">
        <f>IF(M27455="","",'Master Barang'!A49)</f>
        <v>0</v>
      </c>
      <c r="O27455">
        <f>IF(N27455="","",'Master Barang'!B49)</f>
        <v>0</v>
      </c>
      <c r="P27455">
        <f>IF(OR(M27455="",N27455=""),"",SUMIFS('Barang Keluar'!$E:$E,'Barang Keluar'!$A:$A,M27455,'Barang Keluar'!$C:$C,N27455))</f>
        <v>0</v>
      </c>
    </row>
    <row r="27456" spans="13:16">
      <c r="M27456" s="49">
        <f>IF($A$4+274&gt;$B$4,"",$A$4+274)</f>
        <v>46297</v>
      </c>
      <c r="N27456">
        <f>IF(M27456="","",'Master Barang'!A50)</f>
        <v>0</v>
      </c>
      <c r="O27456">
        <f>IF(N27456="","",'Master Barang'!B50)</f>
        <v>0</v>
      </c>
      <c r="P27456">
        <f>IF(OR(M27456="",N27456=""),"",SUMIFS('Barang Keluar'!$E:$E,'Barang Keluar'!$A:$A,M27456,'Barang Keluar'!$C:$C,N27456))</f>
        <v>0</v>
      </c>
    </row>
    <row r="27457" spans="13:16">
      <c r="M27457" s="49">
        <f>IF($A$4+274&gt;$B$4,"",$A$4+274)</f>
        <v>46297</v>
      </c>
      <c r="N27457">
        <f>IF(M27457="","",'Master Barang'!A51)</f>
        <v>0</v>
      </c>
      <c r="O27457">
        <f>IF(N27457="","",'Master Barang'!B51)</f>
        <v>0</v>
      </c>
      <c r="P27457">
        <f>IF(OR(M27457="",N27457=""),"",SUMIFS('Barang Keluar'!$E:$E,'Barang Keluar'!$A:$A,M27457,'Barang Keluar'!$C:$C,N27457))</f>
        <v>0</v>
      </c>
    </row>
    <row r="27458" spans="13:16">
      <c r="M27458" s="49">
        <f>IF($A$4+274&gt;$B$4,"",$A$4+274)</f>
        <v>46297</v>
      </c>
      <c r="N27458">
        <f>IF(M27458="","",'Master Barang'!A52)</f>
        <v>0</v>
      </c>
      <c r="O27458">
        <f>IF(N27458="","",'Master Barang'!B52)</f>
        <v>0</v>
      </c>
      <c r="P27458">
        <f>IF(OR(M27458="",N27458=""),"",SUMIFS('Barang Keluar'!$E:$E,'Barang Keluar'!$A:$A,M27458,'Barang Keluar'!$C:$C,N27458))</f>
        <v>0</v>
      </c>
    </row>
    <row r="27459" spans="13:16">
      <c r="M27459" s="49">
        <f>IF($A$4+274&gt;$B$4,"",$A$4+274)</f>
        <v>46297</v>
      </c>
      <c r="N27459">
        <f>IF(M27459="","",'Master Barang'!A53)</f>
        <v>0</v>
      </c>
      <c r="O27459">
        <f>IF(N27459="","",'Master Barang'!B53)</f>
        <v>0</v>
      </c>
      <c r="P27459">
        <f>IF(OR(M27459="",N27459=""),"",SUMIFS('Barang Keluar'!$E:$E,'Barang Keluar'!$A:$A,M27459,'Barang Keluar'!$C:$C,N27459))</f>
        <v>0</v>
      </c>
    </row>
    <row r="27460" spans="13:16">
      <c r="M27460" s="49">
        <f>IF($A$4+274&gt;$B$4,"",$A$4+274)</f>
        <v>46297</v>
      </c>
      <c r="N27460">
        <f>IF(M27460="","",'Master Barang'!A54)</f>
        <v>0</v>
      </c>
      <c r="O27460">
        <f>IF(N27460="","",'Master Barang'!B54)</f>
        <v>0</v>
      </c>
      <c r="P27460">
        <f>IF(OR(M27460="",N27460=""),"",SUMIFS('Barang Keluar'!$E:$E,'Barang Keluar'!$A:$A,M27460,'Barang Keluar'!$C:$C,N27460))</f>
        <v>0</v>
      </c>
    </row>
    <row r="27461" spans="13:16">
      <c r="M27461" s="49">
        <f>IF($A$4+274&gt;$B$4,"",$A$4+274)</f>
        <v>46297</v>
      </c>
      <c r="N27461">
        <f>IF(M27461="","",'Master Barang'!A55)</f>
        <v>0</v>
      </c>
      <c r="O27461">
        <f>IF(N27461="","",'Master Barang'!B55)</f>
        <v>0</v>
      </c>
      <c r="P27461">
        <f>IF(OR(M27461="",N27461=""),"",SUMIFS('Barang Keluar'!$E:$E,'Barang Keluar'!$A:$A,M27461,'Barang Keluar'!$C:$C,N27461))</f>
        <v>0</v>
      </c>
    </row>
    <row r="27462" spans="13:16">
      <c r="M27462" s="49">
        <f>IF($A$4+274&gt;$B$4,"",$A$4+274)</f>
        <v>46297</v>
      </c>
      <c r="N27462">
        <f>IF(M27462="","",'Master Barang'!A56)</f>
        <v>0</v>
      </c>
      <c r="O27462">
        <f>IF(N27462="","",'Master Barang'!B56)</f>
        <v>0</v>
      </c>
      <c r="P27462">
        <f>IF(OR(M27462="",N27462=""),"",SUMIFS('Barang Keluar'!$E:$E,'Barang Keluar'!$A:$A,M27462,'Barang Keluar'!$C:$C,N27462))</f>
        <v>0</v>
      </c>
    </row>
    <row r="27463" spans="13:16">
      <c r="M27463" s="49">
        <f>IF($A$4+274&gt;$B$4,"",$A$4+274)</f>
        <v>46297</v>
      </c>
      <c r="N27463">
        <f>IF(M27463="","",'Master Barang'!A57)</f>
        <v>0</v>
      </c>
      <c r="O27463">
        <f>IF(N27463="","",'Master Barang'!B57)</f>
        <v>0</v>
      </c>
      <c r="P27463">
        <f>IF(OR(M27463="",N27463=""),"",SUMIFS('Barang Keluar'!$E:$E,'Barang Keluar'!$A:$A,M27463,'Barang Keluar'!$C:$C,N27463))</f>
        <v>0</v>
      </c>
    </row>
    <row r="27464" spans="13:16">
      <c r="M27464" s="49">
        <f>IF($A$4+274&gt;$B$4,"",$A$4+274)</f>
        <v>46297</v>
      </c>
      <c r="N27464">
        <f>IF(M27464="","",'Master Barang'!A58)</f>
        <v>0</v>
      </c>
      <c r="O27464">
        <f>IF(N27464="","",'Master Barang'!B58)</f>
        <v>0</v>
      </c>
      <c r="P27464">
        <f>IF(OR(M27464="",N27464=""),"",SUMIFS('Barang Keluar'!$E:$E,'Barang Keluar'!$A:$A,M27464,'Barang Keluar'!$C:$C,N27464))</f>
        <v>0</v>
      </c>
    </row>
    <row r="27465" spans="13:16">
      <c r="M27465" s="49">
        <f>IF($A$4+274&gt;$B$4,"",$A$4+274)</f>
        <v>46297</v>
      </c>
      <c r="N27465">
        <f>IF(M27465="","",'Master Barang'!A59)</f>
        <v>0</v>
      </c>
      <c r="O27465">
        <f>IF(N27465="","",'Master Barang'!B59)</f>
        <v>0</v>
      </c>
      <c r="P27465">
        <f>IF(OR(M27465="",N27465=""),"",SUMIFS('Barang Keluar'!$E:$E,'Barang Keluar'!$A:$A,M27465,'Barang Keluar'!$C:$C,N27465))</f>
        <v>0</v>
      </c>
    </row>
    <row r="27466" spans="13:16">
      <c r="M27466" s="49">
        <f>IF($A$4+274&gt;$B$4,"",$A$4+274)</f>
        <v>46297</v>
      </c>
      <c r="N27466">
        <f>IF(M27466="","",'Master Barang'!A60)</f>
        <v>0</v>
      </c>
      <c r="O27466">
        <f>IF(N27466="","",'Master Barang'!B60)</f>
        <v>0</v>
      </c>
      <c r="P27466">
        <f>IF(OR(M27466="",N27466=""),"",SUMIFS('Barang Keluar'!$E:$E,'Barang Keluar'!$A:$A,M27466,'Barang Keluar'!$C:$C,N27466))</f>
        <v>0</v>
      </c>
    </row>
    <row r="27467" spans="13:16">
      <c r="M27467" s="49">
        <f>IF($A$4+274&gt;$B$4,"",$A$4+274)</f>
        <v>46297</v>
      </c>
      <c r="N27467">
        <f>IF(M27467="","",'Master Barang'!A61)</f>
        <v>0</v>
      </c>
      <c r="O27467">
        <f>IF(N27467="","",'Master Barang'!B61)</f>
        <v>0</v>
      </c>
      <c r="P27467">
        <f>IF(OR(M27467="",N27467=""),"",SUMIFS('Barang Keluar'!$E:$E,'Barang Keluar'!$A:$A,M27467,'Barang Keluar'!$C:$C,N27467))</f>
        <v>0</v>
      </c>
    </row>
    <row r="27468" spans="13:16">
      <c r="M27468" s="49">
        <f>IF($A$4+274&gt;$B$4,"",$A$4+274)</f>
        <v>46297</v>
      </c>
      <c r="N27468">
        <f>IF(M27468="","",'Master Barang'!A62)</f>
        <v>0</v>
      </c>
      <c r="O27468">
        <f>IF(N27468="","",'Master Barang'!B62)</f>
        <v>0</v>
      </c>
      <c r="P27468">
        <f>IF(OR(M27468="",N27468=""),"",SUMIFS('Barang Keluar'!$E:$E,'Barang Keluar'!$A:$A,M27468,'Barang Keluar'!$C:$C,N27468))</f>
        <v>0</v>
      </c>
    </row>
    <row r="27469" spans="13:16">
      <c r="M27469" s="49">
        <f>IF($A$4+274&gt;$B$4,"",$A$4+274)</f>
        <v>46297</v>
      </c>
      <c r="N27469">
        <f>IF(M27469="","",'Master Barang'!A63)</f>
        <v>0</v>
      </c>
      <c r="O27469">
        <f>IF(N27469="","",'Master Barang'!B63)</f>
        <v>0</v>
      </c>
      <c r="P27469">
        <f>IF(OR(M27469="",N27469=""),"",SUMIFS('Barang Keluar'!$E:$E,'Barang Keluar'!$A:$A,M27469,'Barang Keluar'!$C:$C,N27469))</f>
        <v>0</v>
      </c>
    </row>
    <row r="27470" spans="13:16">
      <c r="M27470" s="49">
        <f>IF($A$4+274&gt;$B$4,"",$A$4+274)</f>
        <v>46297</v>
      </c>
      <c r="N27470">
        <f>IF(M27470="","",'Master Barang'!A64)</f>
        <v>0</v>
      </c>
      <c r="O27470">
        <f>IF(N27470="","",'Master Barang'!B64)</f>
        <v>0</v>
      </c>
      <c r="P27470">
        <f>IF(OR(M27470="",N27470=""),"",SUMIFS('Barang Keluar'!$E:$E,'Barang Keluar'!$A:$A,M27470,'Barang Keluar'!$C:$C,N27470))</f>
        <v>0</v>
      </c>
    </row>
    <row r="27471" spans="13:16">
      <c r="M27471" s="49">
        <f>IF($A$4+274&gt;$B$4,"",$A$4+274)</f>
        <v>46297</v>
      </c>
      <c r="N27471">
        <f>IF(M27471="","",'Master Barang'!A65)</f>
        <v>0</v>
      </c>
      <c r="O27471">
        <f>IF(N27471="","",'Master Barang'!B65)</f>
        <v>0</v>
      </c>
      <c r="P27471">
        <f>IF(OR(M27471="",N27471=""),"",SUMIFS('Barang Keluar'!$E:$E,'Barang Keluar'!$A:$A,M27471,'Barang Keluar'!$C:$C,N27471))</f>
        <v>0</v>
      </c>
    </row>
    <row r="27472" spans="13:16">
      <c r="M27472" s="49">
        <f>IF($A$4+274&gt;$B$4,"",$A$4+274)</f>
        <v>46297</v>
      </c>
      <c r="N27472">
        <f>IF(M27472="","",'Master Barang'!A66)</f>
        <v>0</v>
      </c>
      <c r="O27472">
        <f>IF(N27472="","",'Master Barang'!B66)</f>
        <v>0</v>
      </c>
      <c r="P27472">
        <f>IF(OR(M27472="",N27472=""),"",SUMIFS('Barang Keluar'!$E:$E,'Barang Keluar'!$A:$A,M27472,'Barang Keluar'!$C:$C,N27472))</f>
        <v>0</v>
      </c>
    </row>
    <row r="27473" spans="13:16">
      <c r="M27473" s="49">
        <f>IF($A$4+274&gt;$B$4,"",$A$4+274)</f>
        <v>46297</v>
      </c>
      <c r="N27473">
        <f>IF(M27473="","",'Master Barang'!A67)</f>
        <v>0</v>
      </c>
      <c r="O27473">
        <f>IF(N27473="","",'Master Barang'!B67)</f>
        <v>0</v>
      </c>
      <c r="P27473">
        <f>IF(OR(M27473="",N27473=""),"",SUMIFS('Barang Keluar'!$E:$E,'Barang Keluar'!$A:$A,M27473,'Barang Keluar'!$C:$C,N27473))</f>
        <v>0</v>
      </c>
    </row>
    <row r="27474" spans="13:16">
      <c r="M27474" s="49">
        <f>IF($A$4+274&gt;$B$4,"",$A$4+274)</f>
        <v>46297</v>
      </c>
      <c r="N27474">
        <f>IF(M27474="","",'Master Barang'!A68)</f>
        <v>0</v>
      </c>
      <c r="O27474">
        <f>IF(N27474="","",'Master Barang'!B68)</f>
        <v>0</v>
      </c>
      <c r="P27474">
        <f>IF(OR(M27474="",N27474=""),"",SUMIFS('Barang Keluar'!$E:$E,'Barang Keluar'!$A:$A,M27474,'Barang Keluar'!$C:$C,N27474))</f>
        <v>0</v>
      </c>
    </row>
    <row r="27475" spans="13:16">
      <c r="M27475" s="49">
        <f>IF($A$4+274&gt;$B$4,"",$A$4+274)</f>
        <v>46297</v>
      </c>
      <c r="N27475">
        <f>IF(M27475="","",'Master Barang'!A69)</f>
        <v>0</v>
      </c>
      <c r="O27475">
        <f>IF(N27475="","",'Master Barang'!B69)</f>
        <v>0</v>
      </c>
      <c r="P27475">
        <f>IF(OR(M27475="",N27475=""),"",SUMIFS('Barang Keluar'!$E:$E,'Barang Keluar'!$A:$A,M27475,'Barang Keluar'!$C:$C,N27475))</f>
        <v>0</v>
      </c>
    </row>
    <row r="27476" spans="13:16">
      <c r="M27476" s="49">
        <f>IF($A$4+274&gt;$B$4,"",$A$4+274)</f>
        <v>46297</v>
      </c>
      <c r="N27476">
        <f>IF(M27476="","",'Master Barang'!A70)</f>
        <v>0</v>
      </c>
      <c r="O27476">
        <f>IF(N27476="","",'Master Barang'!B70)</f>
        <v>0</v>
      </c>
      <c r="P27476">
        <f>IF(OR(M27476="",N27476=""),"",SUMIFS('Barang Keluar'!$E:$E,'Barang Keluar'!$A:$A,M27476,'Barang Keluar'!$C:$C,N27476))</f>
        <v>0</v>
      </c>
    </row>
    <row r="27477" spans="13:16">
      <c r="M27477" s="49">
        <f>IF($A$4+274&gt;$B$4,"",$A$4+274)</f>
        <v>46297</v>
      </c>
      <c r="N27477">
        <f>IF(M27477="","",'Master Barang'!A71)</f>
        <v>0</v>
      </c>
      <c r="O27477">
        <f>IF(N27477="","",'Master Barang'!B71)</f>
        <v>0</v>
      </c>
      <c r="P27477">
        <f>IF(OR(M27477="",N27477=""),"",SUMIFS('Barang Keluar'!$E:$E,'Barang Keluar'!$A:$A,M27477,'Barang Keluar'!$C:$C,N27477))</f>
        <v>0</v>
      </c>
    </row>
    <row r="27478" spans="13:16">
      <c r="M27478" s="49">
        <f>IF($A$4+274&gt;$B$4,"",$A$4+274)</f>
        <v>46297</v>
      </c>
      <c r="N27478">
        <f>IF(M27478="","",'Master Barang'!A72)</f>
        <v>0</v>
      </c>
      <c r="O27478">
        <f>IF(N27478="","",'Master Barang'!B72)</f>
        <v>0</v>
      </c>
      <c r="P27478">
        <f>IF(OR(M27478="",N27478=""),"",SUMIFS('Barang Keluar'!$E:$E,'Barang Keluar'!$A:$A,M27478,'Barang Keluar'!$C:$C,N27478))</f>
        <v>0</v>
      </c>
    </row>
    <row r="27479" spans="13:16">
      <c r="M27479" s="49">
        <f>IF($A$4+274&gt;$B$4,"",$A$4+274)</f>
        <v>46297</v>
      </c>
      <c r="N27479">
        <f>IF(M27479="","",'Master Barang'!A73)</f>
        <v>0</v>
      </c>
      <c r="O27479">
        <f>IF(N27479="","",'Master Barang'!B73)</f>
        <v>0</v>
      </c>
      <c r="P27479">
        <f>IF(OR(M27479="",N27479=""),"",SUMIFS('Barang Keluar'!$E:$E,'Barang Keluar'!$A:$A,M27479,'Barang Keluar'!$C:$C,N27479))</f>
        <v>0</v>
      </c>
    </row>
    <row r="27480" spans="13:16">
      <c r="M27480" s="49">
        <f>IF($A$4+274&gt;$B$4,"",$A$4+274)</f>
        <v>46297</v>
      </c>
      <c r="N27480">
        <f>IF(M27480="","",'Master Barang'!A74)</f>
        <v>0</v>
      </c>
      <c r="O27480">
        <f>IF(N27480="","",'Master Barang'!B74)</f>
        <v>0</v>
      </c>
      <c r="P27480">
        <f>IF(OR(M27480="",N27480=""),"",SUMIFS('Barang Keluar'!$E:$E,'Barang Keluar'!$A:$A,M27480,'Barang Keluar'!$C:$C,N27480))</f>
        <v>0</v>
      </c>
    </row>
    <row r="27481" spans="13:16">
      <c r="M27481" s="49">
        <f>IF($A$4+274&gt;$B$4,"",$A$4+274)</f>
        <v>46297</v>
      </c>
      <c r="N27481">
        <f>IF(M27481="","",'Master Barang'!A75)</f>
        <v>0</v>
      </c>
      <c r="O27481">
        <f>IF(N27481="","",'Master Barang'!B75)</f>
        <v>0</v>
      </c>
      <c r="P27481">
        <f>IF(OR(M27481="",N27481=""),"",SUMIFS('Barang Keluar'!$E:$E,'Barang Keluar'!$A:$A,M27481,'Barang Keluar'!$C:$C,N27481))</f>
        <v>0</v>
      </c>
    </row>
    <row r="27482" spans="13:16">
      <c r="M27482" s="49">
        <f>IF($A$4+274&gt;$B$4,"",$A$4+274)</f>
        <v>46297</v>
      </c>
      <c r="N27482">
        <f>IF(M27482="","",'Master Barang'!A76)</f>
        <v>0</v>
      </c>
      <c r="O27482">
        <f>IF(N27482="","",'Master Barang'!B76)</f>
        <v>0</v>
      </c>
      <c r="P27482">
        <f>IF(OR(M27482="",N27482=""),"",SUMIFS('Barang Keluar'!$E:$E,'Barang Keluar'!$A:$A,M27482,'Barang Keluar'!$C:$C,N27482))</f>
        <v>0</v>
      </c>
    </row>
    <row r="27483" spans="13:16">
      <c r="M27483" s="49">
        <f>IF($A$4+274&gt;$B$4,"",$A$4+274)</f>
        <v>46297</v>
      </c>
      <c r="N27483">
        <f>IF(M27483="","",'Master Barang'!A77)</f>
        <v>0</v>
      </c>
      <c r="O27483">
        <f>IF(N27483="","",'Master Barang'!B77)</f>
        <v>0</v>
      </c>
      <c r="P27483">
        <f>IF(OR(M27483="",N27483=""),"",SUMIFS('Barang Keluar'!$E:$E,'Barang Keluar'!$A:$A,M27483,'Barang Keluar'!$C:$C,N27483))</f>
        <v>0</v>
      </c>
    </row>
    <row r="27484" spans="13:16">
      <c r="M27484" s="49">
        <f>IF($A$4+274&gt;$B$4,"",$A$4+274)</f>
        <v>46297</v>
      </c>
      <c r="N27484">
        <f>IF(M27484="","",'Master Barang'!A78)</f>
        <v>0</v>
      </c>
      <c r="O27484">
        <f>IF(N27484="","",'Master Barang'!B78)</f>
        <v>0</v>
      </c>
      <c r="P27484">
        <f>IF(OR(M27484="",N27484=""),"",SUMIFS('Barang Keluar'!$E:$E,'Barang Keluar'!$A:$A,M27484,'Barang Keluar'!$C:$C,N27484))</f>
        <v>0</v>
      </c>
    </row>
    <row r="27485" spans="13:16">
      <c r="M27485" s="49">
        <f>IF($A$4+274&gt;$B$4,"",$A$4+274)</f>
        <v>46297</v>
      </c>
      <c r="N27485">
        <f>IF(M27485="","",'Master Barang'!A79)</f>
        <v>0</v>
      </c>
      <c r="O27485">
        <f>IF(N27485="","",'Master Barang'!B79)</f>
        <v>0</v>
      </c>
      <c r="P27485">
        <f>IF(OR(M27485="",N27485=""),"",SUMIFS('Barang Keluar'!$E:$E,'Barang Keluar'!$A:$A,M27485,'Barang Keluar'!$C:$C,N27485))</f>
        <v>0</v>
      </c>
    </row>
    <row r="27486" spans="13:16">
      <c r="M27486" s="49">
        <f>IF($A$4+274&gt;$B$4,"",$A$4+274)</f>
        <v>46297</v>
      </c>
      <c r="N27486">
        <f>IF(M27486="","",'Master Barang'!A80)</f>
        <v>0</v>
      </c>
      <c r="O27486">
        <f>IF(N27486="","",'Master Barang'!B80)</f>
        <v>0</v>
      </c>
      <c r="P27486">
        <f>IF(OR(M27486="",N27486=""),"",SUMIFS('Barang Keluar'!$E:$E,'Barang Keluar'!$A:$A,M27486,'Barang Keluar'!$C:$C,N27486))</f>
        <v>0</v>
      </c>
    </row>
    <row r="27487" spans="13:16">
      <c r="M27487" s="49">
        <f>IF($A$4+274&gt;$B$4,"",$A$4+274)</f>
        <v>46297</v>
      </c>
      <c r="N27487">
        <f>IF(M27487="","",'Master Barang'!A81)</f>
        <v>0</v>
      </c>
      <c r="O27487">
        <f>IF(N27487="","",'Master Barang'!B81)</f>
        <v>0</v>
      </c>
      <c r="P27487">
        <f>IF(OR(M27487="",N27487=""),"",SUMIFS('Barang Keluar'!$E:$E,'Barang Keluar'!$A:$A,M27487,'Barang Keluar'!$C:$C,N27487))</f>
        <v>0</v>
      </c>
    </row>
    <row r="27488" spans="13:16">
      <c r="M27488" s="49">
        <f>IF($A$4+274&gt;$B$4,"",$A$4+274)</f>
        <v>46297</v>
      </c>
      <c r="N27488">
        <f>IF(M27488="","",'Master Barang'!A82)</f>
        <v>0</v>
      </c>
      <c r="O27488">
        <f>IF(N27488="","",'Master Barang'!B82)</f>
        <v>0</v>
      </c>
      <c r="P27488">
        <f>IF(OR(M27488="",N27488=""),"",SUMIFS('Barang Keluar'!$E:$E,'Barang Keluar'!$A:$A,M27488,'Barang Keluar'!$C:$C,N27488))</f>
        <v>0</v>
      </c>
    </row>
    <row r="27489" spans="13:16">
      <c r="M27489" s="49">
        <f>IF($A$4+274&gt;$B$4,"",$A$4+274)</f>
        <v>46297</v>
      </c>
      <c r="N27489">
        <f>IF(M27489="","",'Master Barang'!A83)</f>
        <v>0</v>
      </c>
      <c r="O27489">
        <f>IF(N27489="","",'Master Barang'!B83)</f>
        <v>0</v>
      </c>
      <c r="P27489">
        <f>IF(OR(M27489="",N27489=""),"",SUMIFS('Barang Keluar'!$E:$E,'Barang Keluar'!$A:$A,M27489,'Barang Keluar'!$C:$C,N27489))</f>
        <v>0</v>
      </c>
    </row>
    <row r="27490" spans="13:16">
      <c r="M27490" s="49">
        <f>IF($A$4+274&gt;$B$4,"",$A$4+274)</f>
        <v>46297</v>
      </c>
      <c r="N27490">
        <f>IF(M27490="","",'Master Barang'!A84)</f>
        <v>0</v>
      </c>
      <c r="O27490">
        <f>IF(N27490="","",'Master Barang'!B84)</f>
        <v>0</v>
      </c>
      <c r="P27490">
        <f>IF(OR(M27490="",N27490=""),"",SUMIFS('Barang Keluar'!$E:$E,'Barang Keluar'!$A:$A,M27490,'Barang Keluar'!$C:$C,N27490))</f>
        <v>0</v>
      </c>
    </row>
    <row r="27491" spans="13:16">
      <c r="M27491" s="49">
        <f>IF($A$4+274&gt;$B$4,"",$A$4+274)</f>
        <v>46297</v>
      </c>
      <c r="N27491">
        <f>IF(M27491="","",'Master Barang'!A85)</f>
        <v>0</v>
      </c>
      <c r="O27491">
        <f>IF(N27491="","",'Master Barang'!B85)</f>
        <v>0</v>
      </c>
      <c r="P27491">
        <f>IF(OR(M27491="",N27491=""),"",SUMIFS('Barang Keluar'!$E:$E,'Barang Keluar'!$A:$A,M27491,'Barang Keluar'!$C:$C,N27491))</f>
        <v>0</v>
      </c>
    </row>
    <row r="27492" spans="13:16">
      <c r="M27492" s="49">
        <f>IF($A$4+274&gt;$B$4,"",$A$4+274)</f>
        <v>46297</v>
      </c>
      <c r="N27492">
        <f>IF(M27492="","",'Master Barang'!A86)</f>
        <v>0</v>
      </c>
      <c r="O27492">
        <f>IF(N27492="","",'Master Barang'!B86)</f>
        <v>0</v>
      </c>
      <c r="P27492">
        <f>IF(OR(M27492="",N27492=""),"",SUMIFS('Barang Keluar'!$E:$E,'Barang Keluar'!$A:$A,M27492,'Barang Keluar'!$C:$C,N27492))</f>
        <v>0</v>
      </c>
    </row>
    <row r="27493" spans="13:16">
      <c r="M27493" s="49">
        <f>IF($A$4+274&gt;$B$4,"",$A$4+274)</f>
        <v>46297</v>
      </c>
      <c r="N27493">
        <f>IF(M27493="","",'Master Barang'!A87)</f>
        <v>0</v>
      </c>
      <c r="O27493">
        <f>IF(N27493="","",'Master Barang'!B87)</f>
        <v>0</v>
      </c>
      <c r="P27493">
        <f>IF(OR(M27493="",N27493=""),"",SUMIFS('Barang Keluar'!$E:$E,'Barang Keluar'!$A:$A,M27493,'Barang Keluar'!$C:$C,N27493))</f>
        <v>0</v>
      </c>
    </row>
    <row r="27494" spans="13:16">
      <c r="M27494" s="49">
        <f>IF($A$4+274&gt;$B$4,"",$A$4+274)</f>
        <v>46297</v>
      </c>
      <c r="N27494">
        <f>IF(M27494="","",'Master Barang'!A88)</f>
        <v>0</v>
      </c>
      <c r="O27494">
        <f>IF(N27494="","",'Master Barang'!B88)</f>
        <v>0</v>
      </c>
      <c r="P27494">
        <f>IF(OR(M27494="",N27494=""),"",SUMIFS('Barang Keluar'!$E:$E,'Barang Keluar'!$A:$A,M27494,'Barang Keluar'!$C:$C,N27494))</f>
        <v>0</v>
      </c>
    </row>
    <row r="27495" spans="13:16">
      <c r="M27495" s="49">
        <f>IF($A$4+274&gt;$B$4,"",$A$4+274)</f>
        <v>46297</v>
      </c>
      <c r="N27495">
        <f>IF(M27495="","",'Master Barang'!A89)</f>
        <v>0</v>
      </c>
      <c r="O27495">
        <f>IF(N27495="","",'Master Barang'!B89)</f>
        <v>0</v>
      </c>
      <c r="P27495">
        <f>IF(OR(M27495="",N27495=""),"",SUMIFS('Barang Keluar'!$E:$E,'Barang Keluar'!$A:$A,M27495,'Barang Keluar'!$C:$C,N27495))</f>
        <v>0</v>
      </c>
    </row>
    <row r="27496" spans="13:16">
      <c r="M27496" s="49">
        <f>IF($A$4+274&gt;$B$4,"",$A$4+274)</f>
        <v>46297</v>
      </c>
      <c r="N27496">
        <f>IF(M27496="","",'Master Barang'!A90)</f>
        <v>0</v>
      </c>
      <c r="O27496">
        <f>IF(N27496="","",'Master Barang'!B90)</f>
        <v>0</v>
      </c>
      <c r="P27496">
        <f>IF(OR(M27496="",N27496=""),"",SUMIFS('Barang Keluar'!$E:$E,'Barang Keluar'!$A:$A,M27496,'Barang Keluar'!$C:$C,N27496))</f>
        <v>0</v>
      </c>
    </row>
    <row r="27497" spans="13:16">
      <c r="M27497" s="49">
        <f>IF($A$4+274&gt;$B$4,"",$A$4+274)</f>
        <v>46297</v>
      </c>
      <c r="N27497">
        <f>IF(M27497="","",'Master Barang'!A91)</f>
        <v>0</v>
      </c>
      <c r="O27497">
        <f>IF(N27497="","",'Master Barang'!B91)</f>
        <v>0</v>
      </c>
      <c r="P27497">
        <f>IF(OR(M27497="",N27497=""),"",SUMIFS('Barang Keluar'!$E:$E,'Barang Keluar'!$A:$A,M27497,'Barang Keluar'!$C:$C,N27497))</f>
        <v>0</v>
      </c>
    </row>
    <row r="27498" spans="13:16">
      <c r="M27498" s="49">
        <f>IF($A$4+274&gt;$B$4,"",$A$4+274)</f>
        <v>46297</v>
      </c>
      <c r="N27498">
        <f>IF(M27498="","",'Master Barang'!A92)</f>
        <v>0</v>
      </c>
      <c r="O27498">
        <f>IF(N27498="","",'Master Barang'!B92)</f>
        <v>0</v>
      </c>
      <c r="P27498">
        <f>IF(OR(M27498="",N27498=""),"",SUMIFS('Barang Keluar'!$E:$E,'Barang Keluar'!$A:$A,M27498,'Barang Keluar'!$C:$C,N27498))</f>
        <v>0</v>
      </c>
    </row>
    <row r="27499" spans="13:16">
      <c r="M27499" s="49">
        <f>IF($A$4+274&gt;$B$4,"",$A$4+274)</f>
        <v>46297</v>
      </c>
      <c r="N27499">
        <f>IF(M27499="","",'Master Barang'!A93)</f>
        <v>0</v>
      </c>
      <c r="O27499">
        <f>IF(N27499="","",'Master Barang'!B93)</f>
        <v>0</v>
      </c>
      <c r="P27499">
        <f>IF(OR(M27499="",N27499=""),"",SUMIFS('Barang Keluar'!$E:$E,'Barang Keluar'!$A:$A,M27499,'Barang Keluar'!$C:$C,N27499))</f>
        <v>0</v>
      </c>
    </row>
    <row r="27500" spans="13:16">
      <c r="M27500" s="49">
        <f>IF($A$4+274&gt;$B$4,"",$A$4+274)</f>
        <v>46297</v>
      </c>
      <c r="N27500">
        <f>IF(M27500="","",'Master Barang'!A94)</f>
        <v>0</v>
      </c>
      <c r="O27500">
        <f>IF(N27500="","",'Master Barang'!B94)</f>
        <v>0</v>
      </c>
      <c r="P27500">
        <f>IF(OR(M27500="",N27500=""),"",SUMIFS('Barang Keluar'!$E:$E,'Barang Keluar'!$A:$A,M27500,'Barang Keluar'!$C:$C,N27500))</f>
        <v>0</v>
      </c>
    </row>
    <row r="27501" spans="13:16">
      <c r="M27501" s="49">
        <f>IF($A$4+274&gt;$B$4,"",$A$4+274)</f>
        <v>46297</v>
      </c>
      <c r="N27501">
        <f>IF(M27501="","",'Master Barang'!A95)</f>
        <v>0</v>
      </c>
      <c r="O27501">
        <f>IF(N27501="","",'Master Barang'!B95)</f>
        <v>0</v>
      </c>
      <c r="P27501">
        <f>IF(OR(M27501="",N27501=""),"",SUMIFS('Barang Keluar'!$E:$E,'Barang Keluar'!$A:$A,M27501,'Barang Keluar'!$C:$C,N27501))</f>
        <v>0</v>
      </c>
    </row>
    <row r="27502" spans="13:16">
      <c r="M27502" s="49">
        <f>IF($A$4+274&gt;$B$4,"",$A$4+274)</f>
        <v>46297</v>
      </c>
      <c r="N27502">
        <f>IF(M27502="","",'Master Barang'!A96)</f>
        <v>0</v>
      </c>
      <c r="O27502">
        <f>IF(N27502="","",'Master Barang'!B96)</f>
        <v>0</v>
      </c>
      <c r="P27502">
        <f>IF(OR(M27502="",N27502=""),"",SUMIFS('Barang Keluar'!$E:$E,'Barang Keluar'!$A:$A,M27502,'Barang Keluar'!$C:$C,N27502))</f>
        <v>0</v>
      </c>
    </row>
    <row r="27503" spans="13:16">
      <c r="M27503" s="49">
        <f>IF($A$4+274&gt;$B$4,"",$A$4+274)</f>
        <v>46297</v>
      </c>
      <c r="N27503">
        <f>IF(M27503="","",'Master Barang'!A97)</f>
        <v>0</v>
      </c>
      <c r="O27503">
        <f>IF(N27503="","",'Master Barang'!B97)</f>
        <v>0</v>
      </c>
      <c r="P27503">
        <f>IF(OR(M27503="",N27503=""),"",SUMIFS('Barang Keluar'!$E:$E,'Barang Keluar'!$A:$A,M27503,'Barang Keluar'!$C:$C,N27503))</f>
        <v>0</v>
      </c>
    </row>
    <row r="27504" spans="13:16">
      <c r="M27504" s="49">
        <f>IF($A$4+274&gt;$B$4,"",$A$4+274)</f>
        <v>46297</v>
      </c>
      <c r="N27504">
        <f>IF(M27504="","",'Master Barang'!A98)</f>
        <v>0</v>
      </c>
      <c r="O27504">
        <f>IF(N27504="","",'Master Barang'!B98)</f>
        <v>0</v>
      </c>
      <c r="P27504">
        <f>IF(OR(M27504="",N27504=""),"",SUMIFS('Barang Keluar'!$E:$E,'Barang Keluar'!$A:$A,M27504,'Barang Keluar'!$C:$C,N27504))</f>
        <v>0</v>
      </c>
    </row>
    <row r="27505" spans="13:16">
      <c r="M27505" s="49">
        <f>IF($A$4+274&gt;$B$4,"",$A$4+274)</f>
        <v>46297</v>
      </c>
      <c r="N27505">
        <f>IF(M27505="","",'Master Barang'!A99)</f>
        <v>0</v>
      </c>
      <c r="O27505">
        <f>IF(N27505="","",'Master Barang'!B99)</f>
        <v>0</v>
      </c>
      <c r="P27505">
        <f>IF(OR(M27505="",N27505=""),"",SUMIFS('Barang Keluar'!$E:$E,'Barang Keluar'!$A:$A,M27505,'Barang Keluar'!$C:$C,N27505))</f>
        <v>0</v>
      </c>
    </row>
    <row r="27506" spans="13:16">
      <c r="M27506" s="49">
        <f>IF($A$4+274&gt;$B$4,"",$A$4+274)</f>
        <v>46297</v>
      </c>
      <c r="N27506">
        <f>IF(M27506="","",'Master Barang'!A100)</f>
        <v>0</v>
      </c>
      <c r="O27506">
        <f>IF(N27506="","",'Master Barang'!B100)</f>
        <v>0</v>
      </c>
      <c r="P27506">
        <f>IF(OR(M27506="",N27506=""),"",SUMIFS('Barang Keluar'!$E:$E,'Barang Keluar'!$A:$A,M27506,'Barang Keluar'!$C:$C,N27506))</f>
        <v>0</v>
      </c>
    </row>
    <row r="27507" spans="13:16">
      <c r="M27507" s="49">
        <f>IF($A$4+274&gt;$B$4,"",$A$4+274)</f>
        <v>46297</v>
      </c>
      <c r="N27507">
        <f>IF(M27507="","",'Master Barang'!A101)</f>
        <v>0</v>
      </c>
      <c r="O27507">
        <f>IF(N27507="","",'Master Barang'!B101)</f>
        <v>0</v>
      </c>
      <c r="P27507">
        <f>IF(OR(M27507="",N27507=""),"",SUMIFS('Barang Keluar'!$E:$E,'Barang Keluar'!$A:$A,M27507,'Barang Keluar'!$C:$C,N27507))</f>
        <v>0</v>
      </c>
    </row>
    <row r="27508" spans="13:16">
      <c r="M27508" s="49">
        <f>IF($A$4+275&gt;$B$4,"",$A$4+275)</f>
        <v>46298</v>
      </c>
      <c r="N27508" t="str">
        <f>IF(M27508="","",'Master Barang'!A2)</f>
        <v>PRL-001</v>
      </c>
      <c r="O27508" t="str">
        <f>IF(N27508="","",'Master Barang'!B2)</f>
        <v>natura desinfectant food grade 5l</v>
      </c>
      <c r="P27508">
        <f>IF(OR(M27508="",N27508=""),"",SUMIFS('Barang Keluar'!$E:$E,'Barang Keluar'!$A:$A,M27508,'Barang Keluar'!$C:$C,N27508))</f>
        <v>0</v>
      </c>
    </row>
    <row r="27509" spans="13:16">
      <c r="M27509" s="49">
        <f>IF($A$4+275&gt;$B$4,"",$A$4+275)</f>
        <v>46298</v>
      </c>
      <c r="N27509" t="str">
        <f>IF(M27509="","",'Master Barang'!A3)</f>
        <v>PRL-002</v>
      </c>
      <c r="O27509" t="str">
        <f>IF(N27509="","",'Master Barang'!B3)</f>
        <v>sunlight cairan pencuci piring 5l</v>
      </c>
      <c r="P27509">
        <f>IF(OR(M27509="",N27509=""),"",SUMIFS('Barang Keluar'!$E:$E,'Barang Keluar'!$A:$A,M27509,'Barang Keluar'!$C:$C,N27509))</f>
        <v>0</v>
      </c>
    </row>
    <row r="27510" spans="13:16">
      <c r="M27510" s="49">
        <f>IF($A$4+275&gt;$B$4,"",$A$4+275)</f>
        <v>46298</v>
      </c>
      <c r="N27510" t="str">
        <f>IF(M27510="","",'Master Barang'!A4)</f>
        <v>PRL-003</v>
      </c>
      <c r="O27510" t="str">
        <f>IF(N27510="","",'Master Barang'!B4)</f>
        <v>oixs cleaner 1l</v>
      </c>
      <c r="P27510">
        <f>IF(OR(M27510="",N27510=""),"",SUMIFS('Barang Keluar'!$E:$E,'Barang Keluar'!$A:$A,M27510,'Barang Keluar'!$C:$C,N27510))</f>
        <v>0</v>
      </c>
    </row>
    <row r="27511" spans="13:16">
      <c r="M27511" s="49">
        <f>IF($A$4+275&gt;$B$4,"",$A$4+275)</f>
        <v>46298</v>
      </c>
      <c r="N27511" t="str">
        <f>IF(M27511="","",'Master Barang'!A5)</f>
        <v>PRL-004</v>
      </c>
      <c r="O27511" t="str">
        <f>IF(N27511="","",'Master Barang'!B5)</f>
        <v>be clean tissue serbaguna</v>
      </c>
      <c r="P27511">
        <f>IF(OR(M27511="",N27511=""),"",SUMIFS('Barang Keluar'!$E:$E,'Barang Keluar'!$A:$A,M27511,'Barang Keluar'!$C:$C,N27511))</f>
        <v>0</v>
      </c>
    </row>
    <row r="27512" spans="13:16">
      <c r="M27512" s="49">
        <f>IF($A$4+275&gt;$B$4,"",$A$4+275)</f>
        <v>46298</v>
      </c>
      <c r="N27512" t="str">
        <f>IF(M27512="","",'Master Barang'!A6)</f>
        <v>PRL-005</v>
      </c>
      <c r="O27512" t="str">
        <f>IF(N27512="","",'Master Barang'!B6)</f>
        <v>spons cuci hijau</v>
      </c>
      <c r="P27512">
        <f>IF(OR(M27512="",N27512=""),"",SUMIFS('Barang Keluar'!$E:$E,'Barang Keluar'!$A:$A,M27512,'Barang Keluar'!$C:$C,N27512))</f>
        <v>0</v>
      </c>
    </row>
    <row r="27513" spans="13:16">
      <c r="M27513" s="49">
        <f>IF($A$4+275&gt;$B$4,"",$A$4+275)</f>
        <v>46298</v>
      </c>
      <c r="N27513" t="str">
        <f>IF(M27513="","",'Master Barang'!A7)</f>
        <v>PRL-006</v>
      </c>
      <c r="O27513" t="str">
        <f>IF(N27513="","",'Master Barang'!B7)</f>
        <v>sabut cuci stainless</v>
      </c>
      <c r="P27513">
        <f>IF(OR(M27513="",N27513=""),"",SUMIFS('Barang Keluar'!$E:$E,'Barang Keluar'!$A:$A,M27513,'Barang Keluar'!$C:$C,N27513))</f>
        <v>0</v>
      </c>
    </row>
    <row r="27514" spans="13:16">
      <c r="M27514" s="49">
        <f>IF($A$4+275&gt;$B$4,"",$A$4+275)</f>
        <v>46298</v>
      </c>
      <c r="N27514" t="str">
        <f>IF(M27514="","",'Master Barang'!A8)</f>
        <v>PRL-007</v>
      </c>
      <c r="O27514" t="str">
        <f>IF(N27514="","",'Master Barang'!B8)</f>
        <v>plastik kresek besar merah 50pc</v>
      </c>
      <c r="P27514">
        <f>IF(OR(M27514="",N27514=""),"",SUMIFS('Barang Keluar'!$E:$E,'Barang Keluar'!$A:$A,M27514,'Barang Keluar'!$C:$C,N27514))</f>
        <v>0</v>
      </c>
    </row>
    <row r="27515" spans="13:16">
      <c r="M27515" s="49">
        <f>IF($A$4+275&gt;$B$4,"",$A$4+275)</f>
        <v>46298</v>
      </c>
      <c r="N27515" t="str">
        <f>IF(M27515="","",'Master Barang'!A9)</f>
        <v>PRL-008</v>
      </c>
      <c r="O27515" t="str">
        <f>IF(N27515="","",'Master Barang'!B9)</f>
        <v>lap besar</v>
      </c>
      <c r="P27515">
        <f>IF(OR(M27515="",N27515=""),"",SUMIFS('Barang Keluar'!$E:$E,'Barang Keluar'!$A:$A,M27515,'Barang Keluar'!$C:$C,N27515))</f>
        <v>0</v>
      </c>
    </row>
    <row r="27516" spans="13:16">
      <c r="M27516" s="49">
        <f>IF($A$4+275&gt;$B$4,"",$A$4+275)</f>
        <v>46298</v>
      </c>
      <c r="N27516" t="str">
        <f>IF(M27516="","",'Master Barang'!A10)</f>
        <v>PRL-009</v>
      </c>
      <c r="O27516" t="str">
        <f>IF(N27516="","",'Master Barang'!B10)</f>
        <v>lap microfiber</v>
      </c>
      <c r="P27516">
        <f>IF(OR(M27516="",N27516=""),"",SUMIFS('Barang Keluar'!$E:$E,'Barang Keluar'!$A:$A,M27516,'Barang Keluar'!$C:$C,N27516))</f>
        <v>0</v>
      </c>
    </row>
    <row r="27517" spans="13:16">
      <c r="M27517" s="49">
        <f>IF($A$4+275&gt;$B$4,"",$A$4+275)</f>
        <v>46298</v>
      </c>
      <c r="N27517" t="str">
        <f>IF(M27517="","",'Master Barang'!A11)</f>
        <v>PRL-010</v>
      </c>
      <c r="O27517" t="str">
        <f>IF(N27517="","",'Master Barang'!B11)</f>
        <v>lap kecil</v>
      </c>
      <c r="P27517">
        <f>IF(OR(M27517="",N27517=""),"",SUMIFS('Barang Keluar'!$E:$E,'Barang Keluar'!$A:$A,M27517,'Barang Keluar'!$C:$C,N27517))</f>
        <v>0</v>
      </c>
    </row>
    <row r="27518" spans="13:16">
      <c r="M27518" s="49">
        <f>IF($A$4+275&gt;$B$4,"",$A$4+275)</f>
        <v>46298</v>
      </c>
      <c r="N27518" t="str">
        <f>IF(M27518="","",'Master Barang'!A12)</f>
        <v>PRL-011</v>
      </c>
      <c r="O27518" t="str">
        <f>IF(N27518="","",'Master Barang'!B12)</f>
        <v>kanebo kecil</v>
      </c>
      <c r="P27518">
        <f>IF(OR(M27518="",N27518=""),"",SUMIFS('Barang Keluar'!$E:$E,'Barang Keluar'!$A:$A,M27518,'Barang Keluar'!$C:$C,N27518))</f>
        <v>0</v>
      </c>
    </row>
    <row r="27519" spans="13:16">
      <c r="M27519" s="49">
        <f>IF($A$4+275&gt;$B$4,"",$A$4+275)</f>
        <v>46298</v>
      </c>
      <c r="N27519" t="str">
        <f>IF(M27519="","",'Master Barang'!A13)</f>
        <v>PRL-012</v>
      </c>
      <c r="O27519" t="str">
        <f>IF(N27519="","",'Master Barang'!B13)</f>
        <v>plastik 1/4kg joyoboyo 100 lembar</v>
      </c>
      <c r="P27519">
        <f>IF(OR(M27519="",N27519=""),"",SUMIFS('Barang Keluar'!$E:$E,'Barang Keluar'!$A:$A,M27519,'Barang Keluar'!$C:$C,N27519))</f>
        <v>0</v>
      </c>
    </row>
    <row r="27520" spans="13:16">
      <c r="M27520" s="49">
        <f>IF($A$4+275&gt;$B$4,"",$A$4+275)</f>
        <v>46298</v>
      </c>
      <c r="N27520" t="str">
        <f>IF(M27520="","",'Master Barang'!A14)</f>
        <v>PRL-013</v>
      </c>
      <c r="O27520" t="str">
        <f>IF(N27520="","",'Master Barang'!B14)</f>
        <v>sarung tangan plastik kaka 100 pcs</v>
      </c>
      <c r="P27520">
        <f>IF(OR(M27520="",N27520=""),"",SUMIFS('Barang Keluar'!$E:$E,'Barang Keluar'!$A:$A,M27520,'Barang Keluar'!$C:$C,N27520))</f>
        <v>0</v>
      </c>
    </row>
    <row r="27521" spans="13:16">
      <c r="M27521" s="49">
        <f>IF($A$4+275&gt;$B$4,"",$A$4+275)</f>
        <v>46298</v>
      </c>
      <c r="N27521" t="str">
        <f>IF(M27521="","",'Master Barang'!A15)</f>
        <v>PRL-014</v>
      </c>
      <c r="O27521" t="str">
        <f>IF(N27521="","",'Master Barang'!B15)</f>
        <v>optima trashbag 80x100</v>
      </c>
      <c r="P27521">
        <f>IF(OR(M27521="",N27521=""),"",SUMIFS('Barang Keluar'!$E:$E,'Barang Keluar'!$A:$A,M27521,'Barang Keluar'!$C:$C,N27521))</f>
        <v>0</v>
      </c>
    </row>
    <row r="27522" spans="13:16">
      <c r="M27522" s="49">
        <f>IF($A$4+275&gt;$B$4,"",$A$4+275)</f>
        <v>46298</v>
      </c>
      <c r="N27522" t="str">
        <f>IF(M27522="","",'Master Barang'!A16)</f>
        <v>PRL-015</v>
      </c>
      <c r="O27522" t="str">
        <f>IF(N27522="","",'Master Barang'!B16)</f>
        <v>optima trashbag 60x100</v>
      </c>
      <c r="P27522">
        <f>IF(OR(M27522="",N27522=""),"",SUMIFS('Barang Keluar'!$E:$E,'Barang Keluar'!$A:$A,M27522,'Barang Keluar'!$C:$C,N27522))</f>
        <v>0</v>
      </c>
    </row>
    <row r="27523" spans="13:16">
      <c r="M27523" s="49">
        <f>IF($A$4+275&gt;$B$4,"",$A$4+275)</f>
        <v>46298</v>
      </c>
      <c r="N27523" t="str">
        <f>IF(M27523="","",'Master Barang'!A17)</f>
        <v>PRL-016</v>
      </c>
      <c r="O27523" t="str">
        <f>IF(N27523="","",'Master Barang'!B17)</f>
        <v>rajawali trashbag 30x40</v>
      </c>
      <c r="P27523">
        <f>IF(OR(M27523="",N27523=""),"",SUMIFS('Barang Keluar'!$E:$E,'Barang Keluar'!$A:$A,M27523,'Barang Keluar'!$C:$C,N27523))</f>
        <v>0</v>
      </c>
    </row>
    <row r="27524" spans="13:16">
      <c r="M27524" s="49">
        <f>IF($A$4+275&gt;$B$4,"",$A$4+275)</f>
        <v>46298</v>
      </c>
      <c r="N27524" t="str">
        <f>IF(M27524="","",'Master Barang'!A18)</f>
        <v>PRL-017</v>
      </c>
      <c r="O27524" t="str">
        <f>IF(N27524="","",'Master Barang'!B18)</f>
        <v>onemed masker biru 3 play 50 pcs</v>
      </c>
      <c r="P27524">
        <f>IF(OR(M27524="",N27524=""),"",SUMIFS('Barang Keluar'!$E:$E,'Barang Keluar'!$A:$A,M27524,'Barang Keluar'!$C:$C,N27524))</f>
        <v>0</v>
      </c>
    </row>
    <row r="27525" spans="13:16">
      <c r="M27525" s="49">
        <f>IF($A$4+275&gt;$B$4,"",$A$4+275)</f>
        <v>46298</v>
      </c>
      <c r="N27525" t="str">
        <f>IF(M27525="","",'Master Barang'!A19)</f>
        <v>PRL-018</v>
      </c>
      <c r="O27525" t="str">
        <f>IF(N27525="","",'Master Barang'!B19)</f>
        <v>onemed masker biru 3 play hijab 50 pcs</v>
      </c>
      <c r="P27525">
        <f>IF(OR(M27525="",N27525=""),"",SUMIFS('Barang Keluar'!$E:$E,'Barang Keluar'!$A:$A,M27525,'Barang Keluar'!$C:$C,N27525))</f>
        <v>0</v>
      </c>
    </row>
    <row r="27526" spans="13:16">
      <c r="M27526" s="49">
        <f>IF($A$4+275&gt;$B$4,"",$A$4+275)</f>
        <v>46298</v>
      </c>
      <c r="N27526" t="str">
        <f>IF(M27526="","",'Master Barang'!A20)</f>
        <v>PRL-019</v>
      </c>
      <c r="O27526" t="str">
        <f>IF(N27526="","",'Master Barang'!B20)</f>
        <v>neo health masker biru 3 play 50 pcs</v>
      </c>
      <c r="P27526">
        <f>IF(OR(M27526="",N27526=""),"",SUMIFS('Barang Keluar'!$E:$E,'Barang Keluar'!$A:$A,M27526,'Barang Keluar'!$C:$C,N27526))</f>
        <v>0</v>
      </c>
    </row>
    <row r="27527" spans="13:16">
      <c r="M27527" s="49">
        <f>IF($A$4+275&gt;$B$4,"",$A$4+275)</f>
        <v>46298</v>
      </c>
      <c r="N27527" t="str">
        <f>IF(M27527="","",'Master Barang'!A21)</f>
        <v>PRL-020</v>
      </c>
      <c r="O27527" t="str">
        <f>IF(N27527="","",'Master Barang'!B21)</f>
        <v>baymed masker hijau 3 play hijau 50 pcs</v>
      </c>
      <c r="P27527">
        <f>IF(OR(M27527="",N27527=""),"",SUMIFS('Barang Keluar'!$E:$E,'Barang Keluar'!$A:$A,M27527,'Barang Keluar'!$C:$C,N27527))</f>
        <v>0</v>
      </c>
    </row>
    <row r="27528" spans="13:16">
      <c r="M27528" s="49">
        <f>IF($A$4+275&gt;$B$4,"",$A$4+275)</f>
        <v>46298</v>
      </c>
      <c r="N27528" t="str">
        <f>IF(M27528="","",'Master Barang'!A22)</f>
        <v>PRL-021</v>
      </c>
      <c r="O27528" t="str">
        <f>IF(N27528="","",'Master Barang'!B22)</f>
        <v>altamed nurse cap penutup kepala 100 pcs</v>
      </c>
      <c r="P27528">
        <f>IF(OR(M27528="",N27528=""),"",SUMIFS('Barang Keluar'!$E:$E,'Barang Keluar'!$A:$A,M27528,'Barang Keluar'!$C:$C,N27528))</f>
        <v>0</v>
      </c>
    </row>
    <row r="27529" spans="13:16">
      <c r="M27529" s="49">
        <f>IF($A$4+275&gt;$B$4,"",$A$4+275)</f>
        <v>46298</v>
      </c>
      <c r="N27529" t="str">
        <f>IF(M27529="","",'Master Barang'!A23)</f>
        <v>PRL-022</v>
      </c>
      <c r="O27529" t="str">
        <f>IF(N27529="","",'Master Barang'!B23)</f>
        <v>sabun cuci tangan</v>
      </c>
      <c r="P27529">
        <f>IF(OR(M27529="",N27529=""),"",SUMIFS('Barang Keluar'!$E:$E,'Barang Keluar'!$A:$A,M27529,'Barang Keluar'!$C:$C,N27529))</f>
        <v>0</v>
      </c>
    </row>
    <row r="27530" spans="13:16">
      <c r="M27530" s="49">
        <f>IF($A$4+275&gt;$B$4,"",$A$4+275)</f>
        <v>46298</v>
      </c>
      <c r="N27530" t="str">
        <f>IF(M27530="","",'Master Barang'!A24)</f>
        <v>PRL-023</v>
      </c>
      <c r="O27530" t="str">
        <f>IF(N27530="","",'Master Barang'!B24)</f>
        <v>gayung kecil</v>
      </c>
      <c r="P27530">
        <f>IF(OR(M27530="",N27530=""),"",SUMIFS('Barang Keluar'!$E:$E,'Barang Keluar'!$A:$A,M27530,'Barang Keluar'!$C:$C,N27530))</f>
        <v>0</v>
      </c>
    </row>
    <row r="27531" spans="13:16">
      <c r="M27531" s="49">
        <f>IF($A$4+275&gt;$B$4,"",$A$4+275)</f>
        <v>46298</v>
      </c>
      <c r="N27531" t="str">
        <f>IF(M27531="","",'Master Barang'!A25)</f>
        <v>PRL-024</v>
      </c>
      <c r="O27531" t="str">
        <f>IF(N27531="","",'Master Barang'!B25)</f>
        <v>cikrak kecil</v>
      </c>
      <c r="P27531">
        <f>IF(OR(M27531="",N27531=""),"",SUMIFS('Barang Keluar'!$E:$E,'Barang Keluar'!$A:$A,M27531,'Barang Keluar'!$C:$C,N27531))</f>
        <v>0</v>
      </c>
    </row>
    <row r="27532" spans="13:16">
      <c r="M27532" s="49">
        <f>IF($A$4+275&gt;$B$4,"",$A$4+275)</f>
        <v>46298</v>
      </c>
      <c r="N27532" t="str">
        <f>IF(M27532="","",'Master Barang'!A26)</f>
        <v>PRL-025</v>
      </c>
      <c r="O27532" t="str">
        <f>IF(N27532="","",'Master Barang'!B26)</f>
        <v>petromax plastik kecil 12x24 100 lembar</v>
      </c>
      <c r="P27532">
        <f>IF(OR(M27532="",N27532=""),"",SUMIFS('Barang Keluar'!$E:$E,'Barang Keluar'!$A:$A,M27532,'Barang Keluar'!$C:$C,N27532))</f>
        <v>0</v>
      </c>
    </row>
    <row r="27533" spans="13:16">
      <c r="M27533" s="49">
        <f>IF($A$4+275&gt;$B$4,"",$A$4+275)</f>
        <v>46298</v>
      </c>
      <c r="N27533" t="str">
        <f>IF(M27533="","",'Master Barang'!A27)</f>
        <v>PRL-026</v>
      </c>
      <c r="O27533" t="str">
        <f>IF(N27533="","",'Master Barang'!B27)</f>
        <v>lancar kresek kecil bening </v>
      </c>
      <c r="P27533">
        <f>IF(OR(M27533="",N27533=""),"",SUMIFS('Barang Keluar'!$E:$E,'Barang Keluar'!$A:$A,M27533,'Barang Keluar'!$C:$C,N27533))</f>
        <v>0</v>
      </c>
    </row>
    <row r="27534" spans="13:16">
      <c r="M27534" s="49">
        <f>IF($A$4+275&gt;$B$4,"",$A$4+275)</f>
        <v>46298</v>
      </c>
      <c r="N27534" t="str">
        <f>IF(M27534="","",'Master Barang'!A28)</f>
        <v>PRL-027</v>
      </c>
      <c r="O27534" t="str">
        <f>IF(N27534="","",'Master Barang'!B28)</f>
        <v>kresek klin warna warni kecil</v>
      </c>
      <c r="P27534">
        <f>IF(OR(M27534="",N27534=""),"",SUMIFS('Barang Keluar'!$E:$E,'Barang Keluar'!$A:$A,M27534,'Barang Keluar'!$C:$C,N27534))</f>
        <v>0</v>
      </c>
    </row>
    <row r="27535" spans="13:16">
      <c r="M27535" s="49">
        <f>IF($A$4+275&gt;$B$4,"",$A$4+275)</f>
        <v>46298</v>
      </c>
      <c r="N27535" t="str">
        <f>IF(M27535="","",'Master Barang'!A29)</f>
        <v>PRL-028</v>
      </c>
      <c r="O27535" t="str">
        <f>IF(N27535="","",'Master Barang'!B29)</f>
        <v>ctik plastik 7x10 100 pcs</v>
      </c>
      <c r="P27535">
        <f>IF(OR(M27535="",N27535=""),"",SUMIFS('Barang Keluar'!$E:$E,'Barang Keluar'!$A:$A,M27535,'Barang Keluar'!$C:$C,N27535))</f>
        <v>0</v>
      </c>
    </row>
    <row r="27536" spans="13:16">
      <c r="M27536" s="49">
        <f>IF($A$4+275&gt;$B$4,"",$A$4+275)</f>
        <v>46298</v>
      </c>
      <c r="N27536" t="str">
        <f>IF(M27536="","",'Master Barang'!A30)</f>
        <v>PRL-029</v>
      </c>
      <c r="O27536" t="str">
        <f>IF(N27536="","",'Master Barang'!B30)</f>
        <v>ctik plastik 6x10 100 pcs</v>
      </c>
      <c r="P27536">
        <f>IF(OR(M27536="",N27536=""),"",SUMIFS('Barang Keluar'!$E:$E,'Barang Keluar'!$A:$A,M27536,'Barang Keluar'!$C:$C,N27536))</f>
        <v>0</v>
      </c>
    </row>
    <row r="27537" spans="13:16">
      <c r="M27537" s="49">
        <f>IF($A$4+275&gt;$B$4,"",$A$4+275)</f>
        <v>46298</v>
      </c>
      <c r="N27537" t="str">
        <f>IF(M27537="","",'Master Barang'!A31)</f>
        <v>PRL-030</v>
      </c>
      <c r="O27537" t="str">
        <f>IF(N27537="","",'Master Barang'!B31)</f>
        <v>klip plastik 25x16 100 pcs</v>
      </c>
      <c r="P27537">
        <f>IF(OR(M27537="",N27537=""),"",SUMIFS('Barang Keluar'!$E:$E,'Barang Keluar'!$A:$A,M27537,'Barang Keluar'!$C:$C,N27537))</f>
        <v>0</v>
      </c>
    </row>
    <row r="27538" spans="13:16">
      <c r="M27538" s="49">
        <f>IF($A$4+275&gt;$B$4,"",$A$4+275)</f>
        <v>46298</v>
      </c>
      <c r="N27538" t="str">
        <f>IF(M27538="","",'Master Barang'!A32)</f>
        <v>PRL-031</v>
      </c>
      <c r="O27538" t="str">
        <f>IF(N27538="","",'Master Barang'!B32)</f>
        <v>tempat saus 20 ml</v>
      </c>
      <c r="P27538">
        <f>IF(OR(M27538="",N27538=""),"",SUMIFS('Barang Keluar'!$E:$E,'Barang Keluar'!$A:$A,M27538,'Barang Keluar'!$C:$C,N27538))</f>
        <v>0</v>
      </c>
    </row>
    <row r="27539" spans="13:16">
      <c r="M27539" s="49">
        <f>IF($A$4+275&gt;$B$4,"",$A$4+275)</f>
        <v>46298</v>
      </c>
      <c r="N27539" t="str">
        <f>IF(M27539="","",'Master Barang'!A33)</f>
        <v>PRL-032</v>
      </c>
      <c r="O27539" t="str">
        <f>IF(N27539="","",'Master Barang'!B33)</f>
        <v>plastik packaging ag box uk sedang</v>
      </c>
      <c r="P27539">
        <f>IF(OR(M27539="",N27539=""),"",SUMIFS('Barang Keluar'!$E:$E,'Barang Keluar'!$A:$A,M27539,'Barang Keluar'!$C:$C,N27539))</f>
        <v>0</v>
      </c>
    </row>
    <row r="27540" spans="13:16">
      <c r="M27540" s="49">
        <f>IF($A$4+275&gt;$B$4,"",$A$4+275)</f>
        <v>46298</v>
      </c>
      <c r="N27540" t="str">
        <f>IF(M27540="","",'Master Barang'!A34)</f>
        <v>PRL-033</v>
      </c>
      <c r="O27540">
        <f>IF(N27540="","",'Master Barang'!B34)</f>
        <v>0</v>
      </c>
      <c r="P27540">
        <f>IF(OR(M27540="",N27540=""),"",SUMIFS('Barang Keluar'!$E:$E,'Barang Keluar'!$A:$A,M27540,'Barang Keluar'!$C:$C,N27540))</f>
        <v>0</v>
      </c>
    </row>
    <row r="27541" spans="13:16">
      <c r="M27541" s="49">
        <f>IF($A$4+275&gt;$B$4,"",$A$4+275)</f>
        <v>46298</v>
      </c>
      <c r="N27541">
        <f>IF(M27541="","",'Master Barang'!A35)</f>
        <v>0</v>
      </c>
      <c r="O27541">
        <f>IF(N27541="","",'Master Barang'!B35)</f>
        <v>0</v>
      </c>
      <c r="P27541">
        <f>IF(OR(M27541="",N27541=""),"",SUMIFS('Barang Keluar'!$E:$E,'Barang Keluar'!$A:$A,M27541,'Barang Keluar'!$C:$C,N27541))</f>
        <v>0</v>
      </c>
    </row>
    <row r="27542" spans="13:16">
      <c r="M27542" s="49">
        <f>IF($A$4+275&gt;$B$4,"",$A$4+275)</f>
        <v>46298</v>
      </c>
      <c r="N27542">
        <f>IF(M27542="","",'Master Barang'!A36)</f>
        <v>0</v>
      </c>
      <c r="O27542">
        <f>IF(N27542="","",'Master Barang'!B36)</f>
        <v>0</v>
      </c>
      <c r="P27542">
        <f>IF(OR(M27542="",N27542=""),"",SUMIFS('Barang Keluar'!$E:$E,'Barang Keluar'!$A:$A,M27542,'Barang Keluar'!$C:$C,N27542))</f>
        <v>0</v>
      </c>
    </row>
    <row r="27543" spans="13:16">
      <c r="M27543" s="49">
        <f>IF($A$4+275&gt;$B$4,"",$A$4+275)</f>
        <v>46298</v>
      </c>
      <c r="N27543">
        <f>IF(M27543="","",'Master Barang'!A37)</f>
        <v>0</v>
      </c>
      <c r="O27543">
        <f>IF(N27543="","",'Master Barang'!B37)</f>
        <v>0</v>
      </c>
      <c r="P27543">
        <f>IF(OR(M27543="",N27543=""),"",SUMIFS('Barang Keluar'!$E:$E,'Barang Keluar'!$A:$A,M27543,'Barang Keluar'!$C:$C,N27543))</f>
        <v>0</v>
      </c>
    </row>
    <row r="27544" spans="13:16">
      <c r="M27544" s="49">
        <f>IF($A$4+275&gt;$B$4,"",$A$4+275)</f>
        <v>46298</v>
      </c>
      <c r="N27544">
        <f>IF(M27544="","",'Master Barang'!A38)</f>
        <v>0</v>
      </c>
      <c r="O27544">
        <f>IF(N27544="","",'Master Barang'!B38)</f>
        <v>0</v>
      </c>
      <c r="P27544">
        <f>IF(OR(M27544="",N27544=""),"",SUMIFS('Barang Keluar'!$E:$E,'Barang Keluar'!$A:$A,M27544,'Barang Keluar'!$C:$C,N27544))</f>
        <v>0</v>
      </c>
    </row>
    <row r="27545" spans="13:16">
      <c r="M27545" s="49">
        <f>IF($A$4+275&gt;$B$4,"",$A$4+275)</f>
        <v>46298</v>
      </c>
      <c r="N27545">
        <f>IF(M27545="","",'Master Barang'!A39)</f>
        <v>0</v>
      </c>
      <c r="O27545">
        <f>IF(N27545="","",'Master Barang'!B39)</f>
        <v>0</v>
      </c>
      <c r="P27545">
        <f>IF(OR(M27545="",N27545=""),"",SUMIFS('Barang Keluar'!$E:$E,'Barang Keluar'!$A:$A,M27545,'Barang Keluar'!$C:$C,N27545))</f>
        <v>0</v>
      </c>
    </row>
    <row r="27546" spans="13:16">
      <c r="M27546" s="49">
        <f>IF($A$4+275&gt;$B$4,"",$A$4+275)</f>
        <v>46298</v>
      </c>
      <c r="N27546">
        <f>IF(M27546="","",'Master Barang'!A40)</f>
        <v>0</v>
      </c>
      <c r="O27546">
        <f>IF(N27546="","",'Master Barang'!B40)</f>
        <v>0</v>
      </c>
      <c r="P27546">
        <f>IF(OR(M27546="",N27546=""),"",SUMIFS('Barang Keluar'!$E:$E,'Barang Keluar'!$A:$A,M27546,'Barang Keluar'!$C:$C,N27546))</f>
        <v>0</v>
      </c>
    </row>
    <row r="27547" spans="13:16">
      <c r="M27547" s="49">
        <f>IF($A$4+275&gt;$B$4,"",$A$4+275)</f>
        <v>46298</v>
      </c>
      <c r="N27547">
        <f>IF(M27547="","",'Master Barang'!A41)</f>
        <v>0</v>
      </c>
      <c r="O27547">
        <f>IF(N27547="","",'Master Barang'!B41)</f>
        <v>0</v>
      </c>
      <c r="P27547">
        <f>IF(OR(M27547="",N27547=""),"",SUMIFS('Barang Keluar'!$E:$E,'Barang Keluar'!$A:$A,M27547,'Barang Keluar'!$C:$C,N27547))</f>
        <v>0</v>
      </c>
    </row>
    <row r="27548" spans="13:16">
      <c r="M27548" s="49">
        <f>IF($A$4+275&gt;$B$4,"",$A$4+275)</f>
        <v>46298</v>
      </c>
      <c r="N27548">
        <f>IF(M27548="","",'Master Barang'!A42)</f>
        <v>0</v>
      </c>
      <c r="O27548">
        <f>IF(N27548="","",'Master Barang'!B42)</f>
        <v>0</v>
      </c>
      <c r="P27548">
        <f>IF(OR(M27548="",N27548=""),"",SUMIFS('Barang Keluar'!$E:$E,'Barang Keluar'!$A:$A,M27548,'Barang Keluar'!$C:$C,N27548))</f>
        <v>0</v>
      </c>
    </row>
    <row r="27549" spans="13:16">
      <c r="M27549" s="49">
        <f>IF($A$4+275&gt;$B$4,"",$A$4+275)</f>
        <v>46298</v>
      </c>
      <c r="N27549">
        <f>IF(M27549="","",'Master Barang'!A43)</f>
        <v>0</v>
      </c>
      <c r="O27549">
        <f>IF(N27549="","",'Master Barang'!B43)</f>
        <v>0</v>
      </c>
      <c r="P27549">
        <f>IF(OR(M27549="",N27549=""),"",SUMIFS('Barang Keluar'!$E:$E,'Barang Keluar'!$A:$A,M27549,'Barang Keluar'!$C:$C,N27549))</f>
        <v>0</v>
      </c>
    </row>
    <row r="27550" spans="13:16">
      <c r="M27550" s="49">
        <f>IF($A$4+275&gt;$B$4,"",$A$4+275)</f>
        <v>46298</v>
      </c>
      <c r="N27550">
        <f>IF(M27550="","",'Master Barang'!A44)</f>
        <v>0</v>
      </c>
      <c r="O27550">
        <f>IF(N27550="","",'Master Barang'!B44)</f>
        <v>0</v>
      </c>
      <c r="P27550">
        <f>IF(OR(M27550="",N27550=""),"",SUMIFS('Barang Keluar'!$E:$E,'Barang Keluar'!$A:$A,M27550,'Barang Keluar'!$C:$C,N27550))</f>
        <v>0</v>
      </c>
    </row>
    <row r="27551" spans="13:16">
      <c r="M27551" s="49">
        <f>IF($A$4+275&gt;$B$4,"",$A$4+275)</f>
        <v>46298</v>
      </c>
      <c r="N27551">
        <f>IF(M27551="","",'Master Barang'!A45)</f>
        <v>0</v>
      </c>
      <c r="O27551">
        <f>IF(N27551="","",'Master Barang'!B45)</f>
        <v>0</v>
      </c>
      <c r="P27551">
        <f>IF(OR(M27551="",N27551=""),"",SUMIFS('Barang Keluar'!$E:$E,'Barang Keluar'!$A:$A,M27551,'Barang Keluar'!$C:$C,N27551))</f>
        <v>0</v>
      </c>
    </row>
    <row r="27552" spans="13:16">
      <c r="M27552" s="49">
        <f>IF($A$4+275&gt;$B$4,"",$A$4+275)</f>
        <v>46298</v>
      </c>
      <c r="N27552">
        <f>IF(M27552="","",'Master Barang'!A46)</f>
        <v>0</v>
      </c>
      <c r="O27552">
        <f>IF(N27552="","",'Master Barang'!B46)</f>
        <v>0</v>
      </c>
      <c r="P27552">
        <f>IF(OR(M27552="",N27552=""),"",SUMIFS('Barang Keluar'!$E:$E,'Barang Keluar'!$A:$A,M27552,'Barang Keluar'!$C:$C,N27552))</f>
        <v>0</v>
      </c>
    </row>
    <row r="27553" spans="13:16">
      <c r="M27553" s="49">
        <f>IF($A$4+275&gt;$B$4,"",$A$4+275)</f>
        <v>46298</v>
      </c>
      <c r="N27553">
        <f>IF(M27553="","",'Master Barang'!A47)</f>
        <v>0</v>
      </c>
      <c r="O27553">
        <f>IF(N27553="","",'Master Barang'!B47)</f>
        <v>0</v>
      </c>
      <c r="P27553">
        <f>IF(OR(M27553="",N27553=""),"",SUMIFS('Barang Keluar'!$E:$E,'Barang Keluar'!$A:$A,M27553,'Barang Keluar'!$C:$C,N27553))</f>
        <v>0</v>
      </c>
    </row>
    <row r="27554" spans="13:16">
      <c r="M27554" s="49">
        <f>IF($A$4+275&gt;$B$4,"",$A$4+275)</f>
        <v>46298</v>
      </c>
      <c r="N27554">
        <f>IF(M27554="","",'Master Barang'!A48)</f>
        <v>0</v>
      </c>
      <c r="O27554">
        <f>IF(N27554="","",'Master Barang'!B48)</f>
        <v>0</v>
      </c>
      <c r="P27554">
        <f>IF(OR(M27554="",N27554=""),"",SUMIFS('Barang Keluar'!$E:$E,'Barang Keluar'!$A:$A,M27554,'Barang Keluar'!$C:$C,N27554))</f>
        <v>0</v>
      </c>
    </row>
    <row r="27555" spans="13:16">
      <c r="M27555" s="49">
        <f>IF($A$4+275&gt;$B$4,"",$A$4+275)</f>
        <v>46298</v>
      </c>
      <c r="N27555">
        <f>IF(M27555="","",'Master Barang'!A49)</f>
        <v>0</v>
      </c>
      <c r="O27555">
        <f>IF(N27555="","",'Master Barang'!B49)</f>
        <v>0</v>
      </c>
      <c r="P27555">
        <f>IF(OR(M27555="",N27555=""),"",SUMIFS('Barang Keluar'!$E:$E,'Barang Keluar'!$A:$A,M27555,'Barang Keluar'!$C:$C,N27555))</f>
        <v>0</v>
      </c>
    </row>
    <row r="27556" spans="13:16">
      <c r="M27556" s="49">
        <f>IF($A$4+275&gt;$B$4,"",$A$4+275)</f>
        <v>46298</v>
      </c>
      <c r="N27556">
        <f>IF(M27556="","",'Master Barang'!A50)</f>
        <v>0</v>
      </c>
      <c r="O27556">
        <f>IF(N27556="","",'Master Barang'!B50)</f>
        <v>0</v>
      </c>
      <c r="P27556">
        <f>IF(OR(M27556="",N27556=""),"",SUMIFS('Barang Keluar'!$E:$E,'Barang Keluar'!$A:$A,M27556,'Barang Keluar'!$C:$C,N27556))</f>
        <v>0</v>
      </c>
    </row>
    <row r="27557" spans="13:16">
      <c r="M27557" s="49">
        <f>IF($A$4+275&gt;$B$4,"",$A$4+275)</f>
        <v>46298</v>
      </c>
      <c r="N27557">
        <f>IF(M27557="","",'Master Barang'!A51)</f>
        <v>0</v>
      </c>
      <c r="O27557">
        <f>IF(N27557="","",'Master Barang'!B51)</f>
        <v>0</v>
      </c>
      <c r="P27557">
        <f>IF(OR(M27557="",N27557=""),"",SUMIFS('Barang Keluar'!$E:$E,'Barang Keluar'!$A:$A,M27557,'Barang Keluar'!$C:$C,N27557))</f>
        <v>0</v>
      </c>
    </row>
    <row r="27558" spans="13:16">
      <c r="M27558" s="49">
        <f>IF($A$4+275&gt;$B$4,"",$A$4+275)</f>
        <v>46298</v>
      </c>
      <c r="N27558">
        <f>IF(M27558="","",'Master Barang'!A52)</f>
        <v>0</v>
      </c>
      <c r="O27558">
        <f>IF(N27558="","",'Master Barang'!B52)</f>
        <v>0</v>
      </c>
      <c r="P27558">
        <f>IF(OR(M27558="",N27558=""),"",SUMIFS('Barang Keluar'!$E:$E,'Barang Keluar'!$A:$A,M27558,'Barang Keluar'!$C:$C,N27558))</f>
        <v>0</v>
      </c>
    </row>
    <row r="27559" spans="13:16">
      <c r="M27559" s="49">
        <f>IF($A$4+275&gt;$B$4,"",$A$4+275)</f>
        <v>46298</v>
      </c>
      <c r="N27559">
        <f>IF(M27559="","",'Master Barang'!A53)</f>
        <v>0</v>
      </c>
      <c r="O27559">
        <f>IF(N27559="","",'Master Barang'!B53)</f>
        <v>0</v>
      </c>
      <c r="P27559">
        <f>IF(OR(M27559="",N27559=""),"",SUMIFS('Barang Keluar'!$E:$E,'Barang Keluar'!$A:$A,M27559,'Barang Keluar'!$C:$C,N27559))</f>
        <v>0</v>
      </c>
    </row>
    <row r="27560" spans="13:16">
      <c r="M27560" s="49">
        <f>IF($A$4+275&gt;$B$4,"",$A$4+275)</f>
        <v>46298</v>
      </c>
      <c r="N27560">
        <f>IF(M27560="","",'Master Barang'!A54)</f>
        <v>0</v>
      </c>
      <c r="O27560">
        <f>IF(N27560="","",'Master Barang'!B54)</f>
        <v>0</v>
      </c>
      <c r="P27560">
        <f>IF(OR(M27560="",N27560=""),"",SUMIFS('Barang Keluar'!$E:$E,'Barang Keluar'!$A:$A,M27560,'Barang Keluar'!$C:$C,N27560))</f>
        <v>0</v>
      </c>
    </row>
    <row r="27561" spans="13:16">
      <c r="M27561" s="49">
        <f>IF($A$4+275&gt;$B$4,"",$A$4+275)</f>
        <v>46298</v>
      </c>
      <c r="N27561">
        <f>IF(M27561="","",'Master Barang'!A55)</f>
        <v>0</v>
      </c>
      <c r="O27561">
        <f>IF(N27561="","",'Master Barang'!B55)</f>
        <v>0</v>
      </c>
      <c r="P27561">
        <f>IF(OR(M27561="",N27561=""),"",SUMIFS('Barang Keluar'!$E:$E,'Barang Keluar'!$A:$A,M27561,'Barang Keluar'!$C:$C,N27561))</f>
        <v>0</v>
      </c>
    </row>
    <row r="27562" spans="13:16">
      <c r="M27562" s="49">
        <f>IF($A$4+275&gt;$B$4,"",$A$4+275)</f>
        <v>46298</v>
      </c>
      <c r="N27562">
        <f>IF(M27562="","",'Master Barang'!A56)</f>
        <v>0</v>
      </c>
      <c r="O27562">
        <f>IF(N27562="","",'Master Barang'!B56)</f>
        <v>0</v>
      </c>
      <c r="P27562">
        <f>IF(OR(M27562="",N27562=""),"",SUMIFS('Barang Keluar'!$E:$E,'Barang Keluar'!$A:$A,M27562,'Barang Keluar'!$C:$C,N27562))</f>
        <v>0</v>
      </c>
    </row>
    <row r="27563" spans="13:16">
      <c r="M27563" s="49">
        <f>IF($A$4+275&gt;$B$4,"",$A$4+275)</f>
        <v>46298</v>
      </c>
      <c r="N27563">
        <f>IF(M27563="","",'Master Barang'!A57)</f>
        <v>0</v>
      </c>
      <c r="O27563">
        <f>IF(N27563="","",'Master Barang'!B57)</f>
        <v>0</v>
      </c>
      <c r="P27563">
        <f>IF(OR(M27563="",N27563=""),"",SUMIFS('Barang Keluar'!$E:$E,'Barang Keluar'!$A:$A,M27563,'Barang Keluar'!$C:$C,N27563))</f>
        <v>0</v>
      </c>
    </row>
    <row r="27564" spans="13:16">
      <c r="M27564" s="49">
        <f>IF($A$4+275&gt;$B$4,"",$A$4+275)</f>
        <v>46298</v>
      </c>
      <c r="N27564">
        <f>IF(M27564="","",'Master Barang'!A58)</f>
        <v>0</v>
      </c>
      <c r="O27564">
        <f>IF(N27564="","",'Master Barang'!B58)</f>
        <v>0</v>
      </c>
      <c r="P27564">
        <f>IF(OR(M27564="",N27564=""),"",SUMIFS('Barang Keluar'!$E:$E,'Barang Keluar'!$A:$A,M27564,'Barang Keluar'!$C:$C,N27564))</f>
        <v>0</v>
      </c>
    </row>
    <row r="27565" spans="13:16">
      <c r="M27565" s="49">
        <f>IF($A$4+275&gt;$B$4,"",$A$4+275)</f>
        <v>46298</v>
      </c>
      <c r="N27565">
        <f>IF(M27565="","",'Master Barang'!A59)</f>
        <v>0</v>
      </c>
      <c r="O27565">
        <f>IF(N27565="","",'Master Barang'!B59)</f>
        <v>0</v>
      </c>
      <c r="P27565">
        <f>IF(OR(M27565="",N27565=""),"",SUMIFS('Barang Keluar'!$E:$E,'Barang Keluar'!$A:$A,M27565,'Barang Keluar'!$C:$C,N27565))</f>
        <v>0</v>
      </c>
    </row>
    <row r="27566" spans="13:16">
      <c r="M27566" s="49">
        <f>IF($A$4+275&gt;$B$4,"",$A$4+275)</f>
        <v>46298</v>
      </c>
      <c r="N27566">
        <f>IF(M27566="","",'Master Barang'!A60)</f>
        <v>0</v>
      </c>
      <c r="O27566">
        <f>IF(N27566="","",'Master Barang'!B60)</f>
        <v>0</v>
      </c>
      <c r="P27566">
        <f>IF(OR(M27566="",N27566=""),"",SUMIFS('Barang Keluar'!$E:$E,'Barang Keluar'!$A:$A,M27566,'Barang Keluar'!$C:$C,N27566))</f>
        <v>0</v>
      </c>
    </row>
    <row r="27567" spans="13:16">
      <c r="M27567" s="49">
        <f>IF($A$4+275&gt;$B$4,"",$A$4+275)</f>
        <v>46298</v>
      </c>
      <c r="N27567">
        <f>IF(M27567="","",'Master Barang'!A61)</f>
        <v>0</v>
      </c>
      <c r="O27567">
        <f>IF(N27567="","",'Master Barang'!B61)</f>
        <v>0</v>
      </c>
      <c r="P27567">
        <f>IF(OR(M27567="",N27567=""),"",SUMIFS('Barang Keluar'!$E:$E,'Barang Keluar'!$A:$A,M27567,'Barang Keluar'!$C:$C,N27567))</f>
        <v>0</v>
      </c>
    </row>
    <row r="27568" spans="13:16">
      <c r="M27568" s="49">
        <f>IF($A$4+275&gt;$B$4,"",$A$4+275)</f>
        <v>46298</v>
      </c>
      <c r="N27568">
        <f>IF(M27568="","",'Master Barang'!A62)</f>
        <v>0</v>
      </c>
      <c r="O27568">
        <f>IF(N27568="","",'Master Barang'!B62)</f>
        <v>0</v>
      </c>
      <c r="P27568">
        <f>IF(OR(M27568="",N27568=""),"",SUMIFS('Barang Keluar'!$E:$E,'Barang Keluar'!$A:$A,M27568,'Barang Keluar'!$C:$C,N27568))</f>
        <v>0</v>
      </c>
    </row>
    <row r="27569" spans="13:16">
      <c r="M27569" s="49">
        <f>IF($A$4+275&gt;$B$4,"",$A$4+275)</f>
        <v>46298</v>
      </c>
      <c r="N27569">
        <f>IF(M27569="","",'Master Barang'!A63)</f>
        <v>0</v>
      </c>
      <c r="O27569">
        <f>IF(N27569="","",'Master Barang'!B63)</f>
        <v>0</v>
      </c>
      <c r="P27569">
        <f>IF(OR(M27569="",N27569=""),"",SUMIFS('Barang Keluar'!$E:$E,'Barang Keluar'!$A:$A,M27569,'Barang Keluar'!$C:$C,N27569))</f>
        <v>0</v>
      </c>
    </row>
    <row r="27570" spans="13:16">
      <c r="M27570" s="49">
        <f>IF($A$4+275&gt;$B$4,"",$A$4+275)</f>
        <v>46298</v>
      </c>
      <c r="N27570">
        <f>IF(M27570="","",'Master Barang'!A64)</f>
        <v>0</v>
      </c>
      <c r="O27570">
        <f>IF(N27570="","",'Master Barang'!B64)</f>
        <v>0</v>
      </c>
      <c r="P27570">
        <f>IF(OR(M27570="",N27570=""),"",SUMIFS('Barang Keluar'!$E:$E,'Barang Keluar'!$A:$A,M27570,'Barang Keluar'!$C:$C,N27570))</f>
        <v>0</v>
      </c>
    </row>
    <row r="27571" spans="13:16">
      <c r="M27571" s="49">
        <f>IF($A$4+275&gt;$B$4,"",$A$4+275)</f>
        <v>46298</v>
      </c>
      <c r="N27571">
        <f>IF(M27571="","",'Master Barang'!A65)</f>
        <v>0</v>
      </c>
      <c r="O27571">
        <f>IF(N27571="","",'Master Barang'!B65)</f>
        <v>0</v>
      </c>
      <c r="P27571">
        <f>IF(OR(M27571="",N27571=""),"",SUMIFS('Barang Keluar'!$E:$E,'Barang Keluar'!$A:$A,M27571,'Barang Keluar'!$C:$C,N27571))</f>
        <v>0</v>
      </c>
    </row>
    <row r="27572" spans="13:16">
      <c r="M27572" s="49">
        <f>IF($A$4+275&gt;$B$4,"",$A$4+275)</f>
        <v>46298</v>
      </c>
      <c r="N27572">
        <f>IF(M27572="","",'Master Barang'!A66)</f>
        <v>0</v>
      </c>
      <c r="O27572">
        <f>IF(N27572="","",'Master Barang'!B66)</f>
        <v>0</v>
      </c>
      <c r="P27572">
        <f>IF(OR(M27572="",N27572=""),"",SUMIFS('Barang Keluar'!$E:$E,'Barang Keluar'!$A:$A,M27572,'Barang Keluar'!$C:$C,N27572))</f>
        <v>0</v>
      </c>
    </row>
    <row r="27573" spans="13:16">
      <c r="M27573" s="49">
        <f>IF($A$4+275&gt;$B$4,"",$A$4+275)</f>
        <v>46298</v>
      </c>
      <c r="N27573">
        <f>IF(M27573="","",'Master Barang'!A67)</f>
        <v>0</v>
      </c>
      <c r="O27573">
        <f>IF(N27573="","",'Master Barang'!B67)</f>
        <v>0</v>
      </c>
      <c r="P27573">
        <f>IF(OR(M27573="",N27573=""),"",SUMIFS('Barang Keluar'!$E:$E,'Barang Keluar'!$A:$A,M27573,'Barang Keluar'!$C:$C,N27573))</f>
        <v>0</v>
      </c>
    </row>
    <row r="27574" spans="13:16">
      <c r="M27574" s="49">
        <f>IF($A$4+275&gt;$B$4,"",$A$4+275)</f>
        <v>46298</v>
      </c>
      <c r="N27574">
        <f>IF(M27574="","",'Master Barang'!A68)</f>
        <v>0</v>
      </c>
      <c r="O27574">
        <f>IF(N27574="","",'Master Barang'!B68)</f>
        <v>0</v>
      </c>
      <c r="P27574">
        <f>IF(OR(M27574="",N27574=""),"",SUMIFS('Barang Keluar'!$E:$E,'Barang Keluar'!$A:$A,M27574,'Barang Keluar'!$C:$C,N27574))</f>
        <v>0</v>
      </c>
    </row>
    <row r="27575" spans="13:16">
      <c r="M27575" s="49">
        <f>IF($A$4+275&gt;$B$4,"",$A$4+275)</f>
        <v>46298</v>
      </c>
      <c r="N27575">
        <f>IF(M27575="","",'Master Barang'!A69)</f>
        <v>0</v>
      </c>
      <c r="O27575">
        <f>IF(N27575="","",'Master Barang'!B69)</f>
        <v>0</v>
      </c>
      <c r="P27575">
        <f>IF(OR(M27575="",N27575=""),"",SUMIFS('Barang Keluar'!$E:$E,'Barang Keluar'!$A:$A,M27575,'Barang Keluar'!$C:$C,N27575))</f>
        <v>0</v>
      </c>
    </row>
    <row r="27576" spans="13:16">
      <c r="M27576" s="49">
        <f>IF($A$4+275&gt;$B$4,"",$A$4+275)</f>
        <v>46298</v>
      </c>
      <c r="N27576">
        <f>IF(M27576="","",'Master Barang'!A70)</f>
        <v>0</v>
      </c>
      <c r="O27576">
        <f>IF(N27576="","",'Master Barang'!B70)</f>
        <v>0</v>
      </c>
      <c r="P27576">
        <f>IF(OR(M27576="",N27576=""),"",SUMIFS('Barang Keluar'!$E:$E,'Barang Keluar'!$A:$A,M27576,'Barang Keluar'!$C:$C,N27576))</f>
        <v>0</v>
      </c>
    </row>
    <row r="27577" spans="13:16">
      <c r="M27577" s="49">
        <f>IF($A$4+275&gt;$B$4,"",$A$4+275)</f>
        <v>46298</v>
      </c>
      <c r="N27577">
        <f>IF(M27577="","",'Master Barang'!A71)</f>
        <v>0</v>
      </c>
      <c r="O27577">
        <f>IF(N27577="","",'Master Barang'!B71)</f>
        <v>0</v>
      </c>
      <c r="P27577">
        <f>IF(OR(M27577="",N27577=""),"",SUMIFS('Barang Keluar'!$E:$E,'Barang Keluar'!$A:$A,M27577,'Barang Keluar'!$C:$C,N27577))</f>
        <v>0</v>
      </c>
    </row>
    <row r="27578" spans="13:16">
      <c r="M27578" s="49">
        <f>IF($A$4+275&gt;$B$4,"",$A$4+275)</f>
        <v>46298</v>
      </c>
      <c r="N27578">
        <f>IF(M27578="","",'Master Barang'!A72)</f>
        <v>0</v>
      </c>
      <c r="O27578">
        <f>IF(N27578="","",'Master Barang'!B72)</f>
        <v>0</v>
      </c>
      <c r="P27578">
        <f>IF(OR(M27578="",N27578=""),"",SUMIFS('Barang Keluar'!$E:$E,'Barang Keluar'!$A:$A,M27578,'Barang Keluar'!$C:$C,N27578))</f>
        <v>0</v>
      </c>
    </row>
    <row r="27579" spans="13:16">
      <c r="M27579" s="49">
        <f>IF($A$4+275&gt;$B$4,"",$A$4+275)</f>
        <v>46298</v>
      </c>
      <c r="N27579">
        <f>IF(M27579="","",'Master Barang'!A73)</f>
        <v>0</v>
      </c>
      <c r="O27579">
        <f>IF(N27579="","",'Master Barang'!B73)</f>
        <v>0</v>
      </c>
      <c r="P27579">
        <f>IF(OR(M27579="",N27579=""),"",SUMIFS('Barang Keluar'!$E:$E,'Barang Keluar'!$A:$A,M27579,'Barang Keluar'!$C:$C,N27579))</f>
        <v>0</v>
      </c>
    </row>
    <row r="27580" spans="13:16">
      <c r="M27580" s="49">
        <f>IF($A$4+275&gt;$B$4,"",$A$4+275)</f>
        <v>46298</v>
      </c>
      <c r="N27580">
        <f>IF(M27580="","",'Master Barang'!A74)</f>
        <v>0</v>
      </c>
      <c r="O27580">
        <f>IF(N27580="","",'Master Barang'!B74)</f>
        <v>0</v>
      </c>
      <c r="P27580">
        <f>IF(OR(M27580="",N27580=""),"",SUMIFS('Barang Keluar'!$E:$E,'Barang Keluar'!$A:$A,M27580,'Barang Keluar'!$C:$C,N27580))</f>
        <v>0</v>
      </c>
    </row>
    <row r="27581" spans="13:16">
      <c r="M27581" s="49">
        <f>IF($A$4+275&gt;$B$4,"",$A$4+275)</f>
        <v>46298</v>
      </c>
      <c r="N27581">
        <f>IF(M27581="","",'Master Barang'!A75)</f>
        <v>0</v>
      </c>
      <c r="O27581">
        <f>IF(N27581="","",'Master Barang'!B75)</f>
        <v>0</v>
      </c>
      <c r="P27581">
        <f>IF(OR(M27581="",N27581=""),"",SUMIFS('Barang Keluar'!$E:$E,'Barang Keluar'!$A:$A,M27581,'Barang Keluar'!$C:$C,N27581))</f>
        <v>0</v>
      </c>
    </row>
    <row r="27582" spans="13:16">
      <c r="M27582" s="49">
        <f>IF($A$4+275&gt;$B$4,"",$A$4+275)</f>
        <v>46298</v>
      </c>
      <c r="N27582">
        <f>IF(M27582="","",'Master Barang'!A76)</f>
        <v>0</v>
      </c>
      <c r="O27582">
        <f>IF(N27582="","",'Master Barang'!B76)</f>
        <v>0</v>
      </c>
      <c r="P27582">
        <f>IF(OR(M27582="",N27582=""),"",SUMIFS('Barang Keluar'!$E:$E,'Barang Keluar'!$A:$A,M27582,'Barang Keluar'!$C:$C,N27582))</f>
        <v>0</v>
      </c>
    </row>
    <row r="27583" spans="13:16">
      <c r="M27583" s="49">
        <f>IF($A$4+275&gt;$B$4,"",$A$4+275)</f>
        <v>46298</v>
      </c>
      <c r="N27583">
        <f>IF(M27583="","",'Master Barang'!A77)</f>
        <v>0</v>
      </c>
      <c r="O27583">
        <f>IF(N27583="","",'Master Barang'!B77)</f>
        <v>0</v>
      </c>
      <c r="P27583">
        <f>IF(OR(M27583="",N27583=""),"",SUMIFS('Barang Keluar'!$E:$E,'Barang Keluar'!$A:$A,M27583,'Barang Keluar'!$C:$C,N27583))</f>
        <v>0</v>
      </c>
    </row>
    <row r="27584" spans="13:16">
      <c r="M27584" s="49">
        <f>IF($A$4+275&gt;$B$4,"",$A$4+275)</f>
        <v>46298</v>
      </c>
      <c r="N27584">
        <f>IF(M27584="","",'Master Barang'!A78)</f>
        <v>0</v>
      </c>
      <c r="O27584">
        <f>IF(N27584="","",'Master Barang'!B78)</f>
        <v>0</v>
      </c>
      <c r="P27584">
        <f>IF(OR(M27584="",N27584=""),"",SUMIFS('Barang Keluar'!$E:$E,'Barang Keluar'!$A:$A,M27584,'Barang Keluar'!$C:$C,N27584))</f>
        <v>0</v>
      </c>
    </row>
    <row r="27585" spans="13:16">
      <c r="M27585" s="49">
        <f>IF($A$4+275&gt;$B$4,"",$A$4+275)</f>
        <v>46298</v>
      </c>
      <c r="N27585">
        <f>IF(M27585="","",'Master Barang'!A79)</f>
        <v>0</v>
      </c>
      <c r="O27585">
        <f>IF(N27585="","",'Master Barang'!B79)</f>
        <v>0</v>
      </c>
      <c r="P27585">
        <f>IF(OR(M27585="",N27585=""),"",SUMIFS('Barang Keluar'!$E:$E,'Barang Keluar'!$A:$A,M27585,'Barang Keluar'!$C:$C,N27585))</f>
        <v>0</v>
      </c>
    </row>
    <row r="27586" spans="13:16">
      <c r="M27586" s="49">
        <f>IF($A$4+275&gt;$B$4,"",$A$4+275)</f>
        <v>46298</v>
      </c>
      <c r="N27586">
        <f>IF(M27586="","",'Master Barang'!A80)</f>
        <v>0</v>
      </c>
      <c r="O27586">
        <f>IF(N27586="","",'Master Barang'!B80)</f>
        <v>0</v>
      </c>
      <c r="P27586">
        <f>IF(OR(M27586="",N27586=""),"",SUMIFS('Barang Keluar'!$E:$E,'Barang Keluar'!$A:$A,M27586,'Barang Keluar'!$C:$C,N27586))</f>
        <v>0</v>
      </c>
    </row>
    <row r="27587" spans="13:16">
      <c r="M27587" s="49">
        <f>IF($A$4+275&gt;$B$4,"",$A$4+275)</f>
        <v>46298</v>
      </c>
      <c r="N27587">
        <f>IF(M27587="","",'Master Barang'!A81)</f>
        <v>0</v>
      </c>
      <c r="O27587">
        <f>IF(N27587="","",'Master Barang'!B81)</f>
        <v>0</v>
      </c>
      <c r="P27587">
        <f>IF(OR(M27587="",N27587=""),"",SUMIFS('Barang Keluar'!$E:$E,'Barang Keluar'!$A:$A,M27587,'Barang Keluar'!$C:$C,N27587))</f>
        <v>0</v>
      </c>
    </row>
    <row r="27588" spans="13:16">
      <c r="M27588" s="49">
        <f>IF($A$4+275&gt;$B$4,"",$A$4+275)</f>
        <v>46298</v>
      </c>
      <c r="N27588">
        <f>IF(M27588="","",'Master Barang'!A82)</f>
        <v>0</v>
      </c>
      <c r="O27588">
        <f>IF(N27588="","",'Master Barang'!B82)</f>
        <v>0</v>
      </c>
      <c r="P27588">
        <f>IF(OR(M27588="",N27588=""),"",SUMIFS('Barang Keluar'!$E:$E,'Barang Keluar'!$A:$A,M27588,'Barang Keluar'!$C:$C,N27588))</f>
        <v>0</v>
      </c>
    </row>
    <row r="27589" spans="13:16">
      <c r="M27589" s="49">
        <f>IF($A$4+275&gt;$B$4,"",$A$4+275)</f>
        <v>46298</v>
      </c>
      <c r="N27589">
        <f>IF(M27589="","",'Master Barang'!A83)</f>
        <v>0</v>
      </c>
      <c r="O27589">
        <f>IF(N27589="","",'Master Barang'!B83)</f>
        <v>0</v>
      </c>
      <c r="P27589">
        <f>IF(OR(M27589="",N27589=""),"",SUMIFS('Barang Keluar'!$E:$E,'Barang Keluar'!$A:$A,M27589,'Barang Keluar'!$C:$C,N27589))</f>
        <v>0</v>
      </c>
    </row>
    <row r="27590" spans="13:16">
      <c r="M27590" s="49">
        <f>IF($A$4+275&gt;$B$4,"",$A$4+275)</f>
        <v>46298</v>
      </c>
      <c r="N27590">
        <f>IF(M27590="","",'Master Barang'!A84)</f>
        <v>0</v>
      </c>
      <c r="O27590">
        <f>IF(N27590="","",'Master Barang'!B84)</f>
        <v>0</v>
      </c>
      <c r="P27590">
        <f>IF(OR(M27590="",N27590=""),"",SUMIFS('Barang Keluar'!$E:$E,'Barang Keluar'!$A:$A,M27590,'Barang Keluar'!$C:$C,N27590))</f>
        <v>0</v>
      </c>
    </row>
    <row r="27591" spans="13:16">
      <c r="M27591" s="49">
        <f>IF($A$4+275&gt;$B$4,"",$A$4+275)</f>
        <v>46298</v>
      </c>
      <c r="N27591">
        <f>IF(M27591="","",'Master Barang'!A85)</f>
        <v>0</v>
      </c>
      <c r="O27591">
        <f>IF(N27591="","",'Master Barang'!B85)</f>
        <v>0</v>
      </c>
      <c r="P27591">
        <f>IF(OR(M27591="",N27591=""),"",SUMIFS('Barang Keluar'!$E:$E,'Barang Keluar'!$A:$A,M27591,'Barang Keluar'!$C:$C,N27591))</f>
        <v>0</v>
      </c>
    </row>
    <row r="27592" spans="13:16">
      <c r="M27592" s="49">
        <f>IF($A$4+275&gt;$B$4,"",$A$4+275)</f>
        <v>46298</v>
      </c>
      <c r="N27592">
        <f>IF(M27592="","",'Master Barang'!A86)</f>
        <v>0</v>
      </c>
      <c r="O27592">
        <f>IF(N27592="","",'Master Barang'!B86)</f>
        <v>0</v>
      </c>
      <c r="P27592">
        <f>IF(OR(M27592="",N27592=""),"",SUMIFS('Barang Keluar'!$E:$E,'Barang Keluar'!$A:$A,M27592,'Barang Keluar'!$C:$C,N27592))</f>
        <v>0</v>
      </c>
    </row>
    <row r="27593" spans="13:16">
      <c r="M27593" s="49">
        <f>IF($A$4+275&gt;$B$4,"",$A$4+275)</f>
        <v>46298</v>
      </c>
      <c r="N27593">
        <f>IF(M27593="","",'Master Barang'!A87)</f>
        <v>0</v>
      </c>
      <c r="O27593">
        <f>IF(N27593="","",'Master Barang'!B87)</f>
        <v>0</v>
      </c>
      <c r="P27593">
        <f>IF(OR(M27593="",N27593=""),"",SUMIFS('Barang Keluar'!$E:$E,'Barang Keluar'!$A:$A,M27593,'Barang Keluar'!$C:$C,N27593))</f>
        <v>0</v>
      </c>
    </row>
    <row r="27594" spans="13:16">
      <c r="M27594" s="49">
        <f>IF($A$4+275&gt;$B$4,"",$A$4+275)</f>
        <v>46298</v>
      </c>
      <c r="N27594">
        <f>IF(M27594="","",'Master Barang'!A88)</f>
        <v>0</v>
      </c>
      <c r="O27594">
        <f>IF(N27594="","",'Master Barang'!B88)</f>
        <v>0</v>
      </c>
      <c r="P27594">
        <f>IF(OR(M27594="",N27594=""),"",SUMIFS('Barang Keluar'!$E:$E,'Barang Keluar'!$A:$A,M27594,'Barang Keluar'!$C:$C,N27594))</f>
        <v>0</v>
      </c>
    </row>
    <row r="27595" spans="13:16">
      <c r="M27595" s="49">
        <f>IF($A$4+275&gt;$B$4,"",$A$4+275)</f>
        <v>46298</v>
      </c>
      <c r="N27595">
        <f>IF(M27595="","",'Master Barang'!A89)</f>
        <v>0</v>
      </c>
      <c r="O27595">
        <f>IF(N27595="","",'Master Barang'!B89)</f>
        <v>0</v>
      </c>
      <c r="P27595">
        <f>IF(OR(M27595="",N27595=""),"",SUMIFS('Barang Keluar'!$E:$E,'Barang Keluar'!$A:$A,M27595,'Barang Keluar'!$C:$C,N27595))</f>
        <v>0</v>
      </c>
    </row>
    <row r="27596" spans="13:16">
      <c r="M27596" s="49">
        <f>IF($A$4+275&gt;$B$4,"",$A$4+275)</f>
        <v>46298</v>
      </c>
      <c r="N27596">
        <f>IF(M27596="","",'Master Barang'!A90)</f>
        <v>0</v>
      </c>
      <c r="O27596">
        <f>IF(N27596="","",'Master Barang'!B90)</f>
        <v>0</v>
      </c>
      <c r="P27596">
        <f>IF(OR(M27596="",N27596=""),"",SUMIFS('Barang Keluar'!$E:$E,'Barang Keluar'!$A:$A,M27596,'Barang Keluar'!$C:$C,N27596))</f>
        <v>0</v>
      </c>
    </row>
    <row r="27597" spans="13:16">
      <c r="M27597" s="49">
        <f>IF($A$4+275&gt;$B$4,"",$A$4+275)</f>
        <v>46298</v>
      </c>
      <c r="N27597">
        <f>IF(M27597="","",'Master Barang'!A91)</f>
        <v>0</v>
      </c>
      <c r="O27597">
        <f>IF(N27597="","",'Master Barang'!B91)</f>
        <v>0</v>
      </c>
      <c r="P27597">
        <f>IF(OR(M27597="",N27597=""),"",SUMIFS('Barang Keluar'!$E:$E,'Barang Keluar'!$A:$A,M27597,'Barang Keluar'!$C:$C,N27597))</f>
        <v>0</v>
      </c>
    </row>
    <row r="27598" spans="13:16">
      <c r="M27598" s="49">
        <f>IF($A$4+275&gt;$B$4,"",$A$4+275)</f>
        <v>46298</v>
      </c>
      <c r="N27598">
        <f>IF(M27598="","",'Master Barang'!A92)</f>
        <v>0</v>
      </c>
      <c r="O27598">
        <f>IF(N27598="","",'Master Barang'!B92)</f>
        <v>0</v>
      </c>
      <c r="P27598">
        <f>IF(OR(M27598="",N27598=""),"",SUMIFS('Barang Keluar'!$E:$E,'Barang Keluar'!$A:$A,M27598,'Barang Keluar'!$C:$C,N27598))</f>
        <v>0</v>
      </c>
    </row>
    <row r="27599" spans="13:16">
      <c r="M27599" s="49">
        <f>IF($A$4+275&gt;$B$4,"",$A$4+275)</f>
        <v>46298</v>
      </c>
      <c r="N27599">
        <f>IF(M27599="","",'Master Barang'!A93)</f>
        <v>0</v>
      </c>
      <c r="O27599">
        <f>IF(N27599="","",'Master Barang'!B93)</f>
        <v>0</v>
      </c>
      <c r="P27599">
        <f>IF(OR(M27599="",N27599=""),"",SUMIFS('Barang Keluar'!$E:$E,'Barang Keluar'!$A:$A,M27599,'Barang Keluar'!$C:$C,N27599))</f>
        <v>0</v>
      </c>
    </row>
    <row r="27600" spans="13:16">
      <c r="M27600" s="49">
        <f>IF($A$4+275&gt;$B$4,"",$A$4+275)</f>
        <v>46298</v>
      </c>
      <c r="N27600">
        <f>IF(M27600="","",'Master Barang'!A94)</f>
        <v>0</v>
      </c>
      <c r="O27600">
        <f>IF(N27600="","",'Master Barang'!B94)</f>
        <v>0</v>
      </c>
      <c r="P27600">
        <f>IF(OR(M27600="",N27600=""),"",SUMIFS('Barang Keluar'!$E:$E,'Barang Keluar'!$A:$A,M27600,'Barang Keluar'!$C:$C,N27600))</f>
        <v>0</v>
      </c>
    </row>
    <row r="27601" spans="13:16">
      <c r="M27601" s="49">
        <f>IF($A$4+275&gt;$B$4,"",$A$4+275)</f>
        <v>46298</v>
      </c>
      <c r="N27601">
        <f>IF(M27601="","",'Master Barang'!A95)</f>
        <v>0</v>
      </c>
      <c r="O27601">
        <f>IF(N27601="","",'Master Barang'!B95)</f>
        <v>0</v>
      </c>
      <c r="P27601">
        <f>IF(OR(M27601="",N27601=""),"",SUMIFS('Barang Keluar'!$E:$E,'Barang Keluar'!$A:$A,M27601,'Barang Keluar'!$C:$C,N27601))</f>
        <v>0</v>
      </c>
    </row>
    <row r="27602" spans="13:16">
      <c r="M27602" s="49">
        <f>IF($A$4+275&gt;$B$4,"",$A$4+275)</f>
        <v>46298</v>
      </c>
      <c r="N27602">
        <f>IF(M27602="","",'Master Barang'!A96)</f>
        <v>0</v>
      </c>
      <c r="O27602">
        <f>IF(N27602="","",'Master Barang'!B96)</f>
        <v>0</v>
      </c>
      <c r="P27602">
        <f>IF(OR(M27602="",N27602=""),"",SUMIFS('Barang Keluar'!$E:$E,'Barang Keluar'!$A:$A,M27602,'Barang Keluar'!$C:$C,N27602))</f>
        <v>0</v>
      </c>
    </row>
    <row r="27603" spans="13:16">
      <c r="M27603" s="49">
        <f>IF($A$4+275&gt;$B$4,"",$A$4+275)</f>
        <v>46298</v>
      </c>
      <c r="N27603">
        <f>IF(M27603="","",'Master Barang'!A97)</f>
        <v>0</v>
      </c>
      <c r="O27603">
        <f>IF(N27603="","",'Master Barang'!B97)</f>
        <v>0</v>
      </c>
      <c r="P27603">
        <f>IF(OR(M27603="",N27603=""),"",SUMIFS('Barang Keluar'!$E:$E,'Barang Keluar'!$A:$A,M27603,'Barang Keluar'!$C:$C,N27603))</f>
        <v>0</v>
      </c>
    </row>
    <row r="27604" spans="13:16">
      <c r="M27604" s="49">
        <f>IF($A$4+275&gt;$B$4,"",$A$4+275)</f>
        <v>46298</v>
      </c>
      <c r="N27604">
        <f>IF(M27604="","",'Master Barang'!A98)</f>
        <v>0</v>
      </c>
      <c r="O27604">
        <f>IF(N27604="","",'Master Barang'!B98)</f>
        <v>0</v>
      </c>
      <c r="P27604">
        <f>IF(OR(M27604="",N27604=""),"",SUMIFS('Barang Keluar'!$E:$E,'Barang Keluar'!$A:$A,M27604,'Barang Keluar'!$C:$C,N27604))</f>
        <v>0</v>
      </c>
    </row>
    <row r="27605" spans="13:16">
      <c r="M27605" s="49">
        <f>IF($A$4+275&gt;$B$4,"",$A$4+275)</f>
        <v>46298</v>
      </c>
      <c r="N27605">
        <f>IF(M27605="","",'Master Barang'!A99)</f>
        <v>0</v>
      </c>
      <c r="O27605">
        <f>IF(N27605="","",'Master Barang'!B99)</f>
        <v>0</v>
      </c>
      <c r="P27605">
        <f>IF(OR(M27605="",N27605=""),"",SUMIFS('Barang Keluar'!$E:$E,'Barang Keluar'!$A:$A,M27605,'Barang Keluar'!$C:$C,N27605))</f>
        <v>0</v>
      </c>
    </row>
    <row r="27606" spans="13:16">
      <c r="M27606" s="49">
        <f>IF($A$4+275&gt;$B$4,"",$A$4+275)</f>
        <v>46298</v>
      </c>
      <c r="N27606">
        <f>IF(M27606="","",'Master Barang'!A100)</f>
        <v>0</v>
      </c>
      <c r="O27606">
        <f>IF(N27606="","",'Master Barang'!B100)</f>
        <v>0</v>
      </c>
      <c r="P27606">
        <f>IF(OR(M27606="",N27606=""),"",SUMIFS('Barang Keluar'!$E:$E,'Barang Keluar'!$A:$A,M27606,'Barang Keluar'!$C:$C,N27606))</f>
        <v>0</v>
      </c>
    </row>
    <row r="27607" spans="13:16">
      <c r="M27607" s="49">
        <f>IF($A$4+275&gt;$B$4,"",$A$4+275)</f>
        <v>46298</v>
      </c>
      <c r="N27607">
        <f>IF(M27607="","",'Master Barang'!A101)</f>
        <v>0</v>
      </c>
      <c r="O27607">
        <f>IF(N27607="","",'Master Barang'!B101)</f>
        <v>0</v>
      </c>
      <c r="P27607">
        <f>IF(OR(M27607="",N27607=""),"",SUMIFS('Barang Keluar'!$E:$E,'Barang Keluar'!$A:$A,M27607,'Barang Keluar'!$C:$C,N27607))</f>
        <v>0</v>
      </c>
    </row>
    <row r="27608" spans="13:16">
      <c r="M27608" s="49">
        <f>IF($A$4+276&gt;$B$4,"",$A$4+276)</f>
        <v>46299</v>
      </c>
      <c r="N27608" t="str">
        <f>IF(M27608="","",'Master Barang'!A2)</f>
        <v>PRL-001</v>
      </c>
      <c r="O27608" t="str">
        <f>IF(N27608="","",'Master Barang'!B2)</f>
        <v>natura desinfectant food grade 5l</v>
      </c>
      <c r="P27608">
        <f>IF(OR(M27608="",N27608=""),"",SUMIFS('Barang Keluar'!$E:$E,'Barang Keluar'!$A:$A,M27608,'Barang Keluar'!$C:$C,N27608))</f>
        <v>0</v>
      </c>
    </row>
    <row r="27609" spans="13:16">
      <c r="M27609" s="49">
        <f>IF($A$4+276&gt;$B$4,"",$A$4+276)</f>
        <v>46299</v>
      </c>
      <c r="N27609" t="str">
        <f>IF(M27609="","",'Master Barang'!A3)</f>
        <v>PRL-002</v>
      </c>
      <c r="O27609" t="str">
        <f>IF(N27609="","",'Master Barang'!B3)</f>
        <v>sunlight cairan pencuci piring 5l</v>
      </c>
      <c r="P27609">
        <f>IF(OR(M27609="",N27609=""),"",SUMIFS('Barang Keluar'!$E:$E,'Barang Keluar'!$A:$A,M27609,'Barang Keluar'!$C:$C,N27609))</f>
        <v>0</v>
      </c>
    </row>
    <row r="27610" spans="13:16">
      <c r="M27610" s="49">
        <f>IF($A$4+276&gt;$B$4,"",$A$4+276)</f>
        <v>46299</v>
      </c>
      <c r="N27610" t="str">
        <f>IF(M27610="","",'Master Barang'!A4)</f>
        <v>PRL-003</v>
      </c>
      <c r="O27610" t="str">
        <f>IF(N27610="","",'Master Barang'!B4)</f>
        <v>oixs cleaner 1l</v>
      </c>
      <c r="P27610">
        <f>IF(OR(M27610="",N27610=""),"",SUMIFS('Barang Keluar'!$E:$E,'Barang Keluar'!$A:$A,M27610,'Barang Keluar'!$C:$C,N27610))</f>
        <v>0</v>
      </c>
    </row>
    <row r="27611" spans="13:16">
      <c r="M27611" s="49">
        <f>IF($A$4+276&gt;$B$4,"",$A$4+276)</f>
        <v>46299</v>
      </c>
      <c r="N27611" t="str">
        <f>IF(M27611="","",'Master Barang'!A5)</f>
        <v>PRL-004</v>
      </c>
      <c r="O27611" t="str">
        <f>IF(N27611="","",'Master Barang'!B5)</f>
        <v>be clean tissue serbaguna</v>
      </c>
      <c r="P27611">
        <f>IF(OR(M27611="",N27611=""),"",SUMIFS('Barang Keluar'!$E:$E,'Barang Keluar'!$A:$A,M27611,'Barang Keluar'!$C:$C,N27611))</f>
        <v>0</v>
      </c>
    </row>
    <row r="27612" spans="13:16">
      <c r="M27612" s="49">
        <f>IF($A$4+276&gt;$B$4,"",$A$4+276)</f>
        <v>46299</v>
      </c>
      <c r="N27612" t="str">
        <f>IF(M27612="","",'Master Barang'!A6)</f>
        <v>PRL-005</v>
      </c>
      <c r="O27612" t="str">
        <f>IF(N27612="","",'Master Barang'!B6)</f>
        <v>spons cuci hijau</v>
      </c>
      <c r="P27612">
        <f>IF(OR(M27612="",N27612=""),"",SUMIFS('Barang Keluar'!$E:$E,'Barang Keluar'!$A:$A,M27612,'Barang Keluar'!$C:$C,N27612))</f>
        <v>0</v>
      </c>
    </row>
    <row r="27613" spans="13:16">
      <c r="M27613" s="49">
        <f>IF($A$4+276&gt;$B$4,"",$A$4+276)</f>
        <v>46299</v>
      </c>
      <c r="N27613" t="str">
        <f>IF(M27613="","",'Master Barang'!A7)</f>
        <v>PRL-006</v>
      </c>
      <c r="O27613" t="str">
        <f>IF(N27613="","",'Master Barang'!B7)</f>
        <v>sabut cuci stainless</v>
      </c>
      <c r="P27613">
        <f>IF(OR(M27613="",N27613=""),"",SUMIFS('Barang Keluar'!$E:$E,'Barang Keluar'!$A:$A,M27613,'Barang Keluar'!$C:$C,N27613))</f>
        <v>0</v>
      </c>
    </row>
    <row r="27614" spans="13:16">
      <c r="M27614" s="49">
        <f>IF($A$4+276&gt;$B$4,"",$A$4+276)</f>
        <v>46299</v>
      </c>
      <c r="N27614" t="str">
        <f>IF(M27614="","",'Master Barang'!A8)</f>
        <v>PRL-007</v>
      </c>
      <c r="O27614" t="str">
        <f>IF(N27614="","",'Master Barang'!B8)</f>
        <v>plastik kresek besar merah 50pc</v>
      </c>
      <c r="P27614">
        <f>IF(OR(M27614="",N27614=""),"",SUMIFS('Barang Keluar'!$E:$E,'Barang Keluar'!$A:$A,M27614,'Barang Keluar'!$C:$C,N27614))</f>
        <v>0</v>
      </c>
    </row>
    <row r="27615" spans="13:16">
      <c r="M27615" s="49">
        <f>IF($A$4+276&gt;$B$4,"",$A$4+276)</f>
        <v>46299</v>
      </c>
      <c r="N27615" t="str">
        <f>IF(M27615="","",'Master Barang'!A9)</f>
        <v>PRL-008</v>
      </c>
      <c r="O27615" t="str">
        <f>IF(N27615="","",'Master Barang'!B9)</f>
        <v>lap besar</v>
      </c>
      <c r="P27615">
        <f>IF(OR(M27615="",N27615=""),"",SUMIFS('Barang Keluar'!$E:$E,'Barang Keluar'!$A:$A,M27615,'Barang Keluar'!$C:$C,N27615))</f>
        <v>0</v>
      </c>
    </row>
    <row r="27616" spans="13:16">
      <c r="M27616" s="49">
        <f>IF($A$4+276&gt;$B$4,"",$A$4+276)</f>
        <v>46299</v>
      </c>
      <c r="N27616" t="str">
        <f>IF(M27616="","",'Master Barang'!A10)</f>
        <v>PRL-009</v>
      </c>
      <c r="O27616" t="str">
        <f>IF(N27616="","",'Master Barang'!B10)</f>
        <v>lap microfiber</v>
      </c>
      <c r="P27616">
        <f>IF(OR(M27616="",N27616=""),"",SUMIFS('Barang Keluar'!$E:$E,'Barang Keluar'!$A:$A,M27616,'Barang Keluar'!$C:$C,N27616))</f>
        <v>0</v>
      </c>
    </row>
    <row r="27617" spans="13:16">
      <c r="M27617" s="49">
        <f>IF($A$4+276&gt;$B$4,"",$A$4+276)</f>
        <v>46299</v>
      </c>
      <c r="N27617" t="str">
        <f>IF(M27617="","",'Master Barang'!A11)</f>
        <v>PRL-010</v>
      </c>
      <c r="O27617" t="str">
        <f>IF(N27617="","",'Master Barang'!B11)</f>
        <v>lap kecil</v>
      </c>
      <c r="P27617">
        <f>IF(OR(M27617="",N27617=""),"",SUMIFS('Barang Keluar'!$E:$E,'Barang Keluar'!$A:$A,M27617,'Barang Keluar'!$C:$C,N27617))</f>
        <v>0</v>
      </c>
    </row>
    <row r="27618" spans="13:16">
      <c r="M27618" s="49">
        <f>IF($A$4+276&gt;$B$4,"",$A$4+276)</f>
        <v>46299</v>
      </c>
      <c r="N27618" t="str">
        <f>IF(M27618="","",'Master Barang'!A12)</f>
        <v>PRL-011</v>
      </c>
      <c r="O27618" t="str">
        <f>IF(N27618="","",'Master Barang'!B12)</f>
        <v>kanebo kecil</v>
      </c>
      <c r="P27618">
        <f>IF(OR(M27618="",N27618=""),"",SUMIFS('Barang Keluar'!$E:$E,'Barang Keluar'!$A:$A,M27618,'Barang Keluar'!$C:$C,N27618))</f>
        <v>0</v>
      </c>
    </row>
    <row r="27619" spans="13:16">
      <c r="M27619" s="49">
        <f>IF($A$4+276&gt;$B$4,"",$A$4+276)</f>
        <v>46299</v>
      </c>
      <c r="N27619" t="str">
        <f>IF(M27619="","",'Master Barang'!A13)</f>
        <v>PRL-012</v>
      </c>
      <c r="O27619" t="str">
        <f>IF(N27619="","",'Master Barang'!B13)</f>
        <v>plastik 1/4kg joyoboyo 100 lembar</v>
      </c>
      <c r="P27619">
        <f>IF(OR(M27619="",N27619=""),"",SUMIFS('Barang Keluar'!$E:$E,'Barang Keluar'!$A:$A,M27619,'Barang Keluar'!$C:$C,N27619))</f>
        <v>0</v>
      </c>
    </row>
    <row r="27620" spans="13:16">
      <c r="M27620" s="49">
        <f>IF($A$4+276&gt;$B$4,"",$A$4+276)</f>
        <v>46299</v>
      </c>
      <c r="N27620" t="str">
        <f>IF(M27620="","",'Master Barang'!A14)</f>
        <v>PRL-013</v>
      </c>
      <c r="O27620" t="str">
        <f>IF(N27620="","",'Master Barang'!B14)</f>
        <v>sarung tangan plastik kaka 100 pcs</v>
      </c>
      <c r="P27620">
        <f>IF(OR(M27620="",N27620=""),"",SUMIFS('Barang Keluar'!$E:$E,'Barang Keluar'!$A:$A,M27620,'Barang Keluar'!$C:$C,N27620))</f>
        <v>0</v>
      </c>
    </row>
    <row r="27621" spans="13:16">
      <c r="M27621" s="49">
        <f>IF($A$4+276&gt;$B$4,"",$A$4+276)</f>
        <v>46299</v>
      </c>
      <c r="N27621" t="str">
        <f>IF(M27621="","",'Master Barang'!A15)</f>
        <v>PRL-014</v>
      </c>
      <c r="O27621" t="str">
        <f>IF(N27621="","",'Master Barang'!B15)</f>
        <v>optima trashbag 80x100</v>
      </c>
      <c r="P27621">
        <f>IF(OR(M27621="",N27621=""),"",SUMIFS('Barang Keluar'!$E:$E,'Barang Keluar'!$A:$A,M27621,'Barang Keluar'!$C:$C,N27621))</f>
        <v>0</v>
      </c>
    </row>
    <row r="27622" spans="13:16">
      <c r="M27622" s="49">
        <f>IF($A$4+276&gt;$B$4,"",$A$4+276)</f>
        <v>46299</v>
      </c>
      <c r="N27622" t="str">
        <f>IF(M27622="","",'Master Barang'!A16)</f>
        <v>PRL-015</v>
      </c>
      <c r="O27622" t="str">
        <f>IF(N27622="","",'Master Barang'!B16)</f>
        <v>optima trashbag 60x100</v>
      </c>
      <c r="P27622">
        <f>IF(OR(M27622="",N27622=""),"",SUMIFS('Barang Keluar'!$E:$E,'Barang Keluar'!$A:$A,M27622,'Barang Keluar'!$C:$C,N27622))</f>
        <v>0</v>
      </c>
    </row>
    <row r="27623" spans="13:16">
      <c r="M27623" s="49">
        <f>IF($A$4+276&gt;$B$4,"",$A$4+276)</f>
        <v>46299</v>
      </c>
      <c r="N27623" t="str">
        <f>IF(M27623="","",'Master Barang'!A17)</f>
        <v>PRL-016</v>
      </c>
      <c r="O27623" t="str">
        <f>IF(N27623="","",'Master Barang'!B17)</f>
        <v>rajawali trashbag 30x40</v>
      </c>
      <c r="P27623">
        <f>IF(OR(M27623="",N27623=""),"",SUMIFS('Barang Keluar'!$E:$E,'Barang Keluar'!$A:$A,M27623,'Barang Keluar'!$C:$C,N27623))</f>
        <v>0</v>
      </c>
    </row>
    <row r="27624" spans="13:16">
      <c r="M27624" s="49">
        <f>IF($A$4+276&gt;$B$4,"",$A$4+276)</f>
        <v>46299</v>
      </c>
      <c r="N27624" t="str">
        <f>IF(M27624="","",'Master Barang'!A18)</f>
        <v>PRL-017</v>
      </c>
      <c r="O27624" t="str">
        <f>IF(N27624="","",'Master Barang'!B18)</f>
        <v>onemed masker biru 3 play 50 pcs</v>
      </c>
      <c r="P27624">
        <f>IF(OR(M27624="",N27624=""),"",SUMIFS('Barang Keluar'!$E:$E,'Barang Keluar'!$A:$A,M27624,'Barang Keluar'!$C:$C,N27624))</f>
        <v>0</v>
      </c>
    </row>
    <row r="27625" spans="13:16">
      <c r="M27625" s="49">
        <f>IF($A$4+276&gt;$B$4,"",$A$4+276)</f>
        <v>46299</v>
      </c>
      <c r="N27625" t="str">
        <f>IF(M27625="","",'Master Barang'!A19)</f>
        <v>PRL-018</v>
      </c>
      <c r="O27625" t="str">
        <f>IF(N27625="","",'Master Barang'!B19)</f>
        <v>onemed masker biru 3 play hijab 50 pcs</v>
      </c>
      <c r="P27625">
        <f>IF(OR(M27625="",N27625=""),"",SUMIFS('Barang Keluar'!$E:$E,'Barang Keluar'!$A:$A,M27625,'Barang Keluar'!$C:$C,N27625))</f>
        <v>0</v>
      </c>
    </row>
    <row r="27626" spans="13:16">
      <c r="M27626" s="49">
        <f>IF($A$4+276&gt;$B$4,"",$A$4+276)</f>
        <v>46299</v>
      </c>
      <c r="N27626" t="str">
        <f>IF(M27626="","",'Master Barang'!A20)</f>
        <v>PRL-019</v>
      </c>
      <c r="O27626" t="str">
        <f>IF(N27626="","",'Master Barang'!B20)</f>
        <v>neo health masker biru 3 play 50 pcs</v>
      </c>
      <c r="P27626">
        <f>IF(OR(M27626="",N27626=""),"",SUMIFS('Barang Keluar'!$E:$E,'Barang Keluar'!$A:$A,M27626,'Barang Keluar'!$C:$C,N27626))</f>
        <v>0</v>
      </c>
    </row>
    <row r="27627" spans="13:16">
      <c r="M27627" s="49">
        <f>IF($A$4+276&gt;$B$4,"",$A$4+276)</f>
        <v>46299</v>
      </c>
      <c r="N27627" t="str">
        <f>IF(M27627="","",'Master Barang'!A21)</f>
        <v>PRL-020</v>
      </c>
      <c r="O27627" t="str">
        <f>IF(N27627="","",'Master Barang'!B21)</f>
        <v>baymed masker hijau 3 play hijau 50 pcs</v>
      </c>
      <c r="P27627">
        <f>IF(OR(M27627="",N27627=""),"",SUMIFS('Barang Keluar'!$E:$E,'Barang Keluar'!$A:$A,M27627,'Barang Keluar'!$C:$C,N27627))</f>
        <v>0</v>
      </c>
    </row>
    <row r="27628" spans="13:16">
      <c r="M27628" s="49">
        <f>IF($A$4+276&gt;$B$4,"",$A$4+276)</f>
        <v>46299</v>
      </c>
      <c r="N27628" t="str">
        <f>IF(M27628="","",'Master Barang'!A22)</f>
        <v>PRL-021</v>
      </c>
      <c r="O27628" t="str">
        <f>IF(N27628="","",'Master Barang'!B22)</f>
        <v>altamed nurse cap penutup kepala 100 pcs</v>
      </c>
      <c r="P27628">
        <f>IF(OR(M27628="",N27628=""),"",SUMIFS('Barang Keluar'!$E:$E,'Barang Keluar'!$A:$A,M27628,'Barang Keluar'!$C:$C,N27628))</f>
        <v>0</v>
      </c>
    </row>
    <row r="27629" spans="13:16">
      <c r="M27629" s="49">
        <f>IF($A$4+276&gt;$B$4,"",$A$4+276)</f>
        <v>46299</v>
      </c>
      <c r="N27629" t="str">
        <f>IF(M27629="","",'Master Barang'!A23)</f>
        <v>PRL-022</v>
      </c>
      <c r="O27629" t="str">
        <f>IF(N27629="","",'Master Barang'!B23)</f>
        <v>sabun cuci tangan</v>
      </c>
      <c r="P27629">
        <f>IF(OR(M27629="",N27629=""),"",SUMIFS('Barang Keluar'!$E:$E,'Barang Keluar'!$A:$A,M27629,'Barang Keluar'!$C:$C,N27629))</f>
        <v>0</v>
      </c>
    </row>
    <row r="27630" spans="13:16">
      <c r="M27630" s="49">
        <f>IF($A$4+276&gt;$B$4,"",$A$4+276)</f>
        <v>46299</v>
      </c>
      <c r="N27630" t="str">
        <f>IF(M27630="","",'Master Barang'!A24)</f>
        <v>PRL-023</v>
      </c>
      <c r="O27630" t="str">
        <f>IF(N27630="","",'Master Barang'!B24)</f>
        <v>gayung kecil</v>
      </c>
      <c r="P27630">
        <f>IF(OR(M27630="",N27630=""),"",SUMIFS('Barang Keluar'!$E:$E,'Barang Keluar'!$A:$A,M27630,'Barang Keluar'!$C:$C,N27630))</f>
        <v>0</v>
      </c>
    </row>
    <row r="27631" spans="13:16">
      <c r="M27631" s="49">
        <f>IF($A$4+276&gt;$B$4,"",$A$4+276)</f>
        <v>46299</v>
      </c>
      <c r="N27631" t="str">
        <f>IF(M27631="","",'Master Barang'!A25)</f>
        <v>PRL-024</v>
      </c>
      <c r="O27631" t="str">
        <f>IF(N27631="","",'Master Barang'!B25)</f>
        <v>cikrak kecil</v>
      </c>
      <c r="P27631">
        <f>IF(OR(M27631="",N27631=""),"",SUMIFS('Barang Keluar'!$E:$E,'Barang Keluar'!$A:$A,M27631,'Barang Keluar'!$C:$C,N27631))</f>
        <v>0</v>
      </c>
    </row>
    <row r="27632" spans="13:16">
      <c r="M27632" s="49">
        <f>IF($A$4+276&gt;$B$4,"",$A$4+276)</f>
        <v>46299</v>
      </c>
      <c r="N27632" t="str">
        <f>IF(M27632="","",'Master Barang'!A26)</f>
        <v>PRL-025</v>
      </c>
      <c r="O27632" t="str">
        <f>IF(N27632="","",'Master Barang'!B26)</f>
        <v>petromax plastik kecil 12x24 100 lembar</v>
      </c>
      <c r="P27632">
        <f>IF(OR(M27632="",N27632=""),"",SUMIFS('Barang Keluar'!$E:$E,'Barang Keluar'!$A:$A,M27632,'Barang Keluar'!$C:$C,N27632))</f>
        <v>0</v>
      </c>
    </row>
    <row r="27633" spans="13:16">
      <c r="M27633" s="49">
        <f>IF($A$4+276&gt;$B$4,"",$A$4+276)</f>
        <v>46299</v>
      </c>
      <c r="N27633" t="str">
        <f>IF(M27633="","",'Master Barang'!A27)</f>
        <v>PRL-026</v>
      </c>
      <c r="O27633" t="str">
        <f>IF(N27633="","",'Master Barang'!B27)</f>
        <v>lancar kresek kecil bening </v>
      </c>
      <c r="P27633">
        <f>IF(OR(M27633="",N27633=""),"",SUMIFS('Barang Keluar'!$E:$E,'Barang Keluar'!$A:$A,M27633,'Barang Keluar'!$C:$C,N27633))</f>
        <v>0</v>
      </c>
    </row>
    <row r="27634" spans="13:16">
      <c r="M27634" s="49">
        <f>IF($A$4+276&gt;$B$4,"",$A$4+276)</f>
        <v>46299</v>
      </c>
      <c r="N27634" t="str">
        <f>IF(M27634="","",'Master Barang'!A28)</f>
        <v>PRL-027</v>
      </c>
      <c r="O27634" t="str">
        <f>IF(N27634="","",'Master Barang'!B28)</f>
        <v>kresek klin warna warni kecil</v>
      </c>
      <c r="P27634">
        <f>IF(OR(M27634="",N27634=""),"",SUMIFS('Barang Keluar'!$E:$E,'Barang Keluar'!$A:$A,M27634,'Barang Keluar'!$C:$C,N27634))</f>
        <v>0</v>
      </c>
    </row>
    <row r="27635" spans="13:16">
      <c r="M27635" s="49">
        <f>IF($A$4+276&gt;$B$4,"",$A$4+276)</f>
        <v>46299</v>
      </c>
      <c r="N27635" t="str">
        <f>IF(M27635="","",'Master Barang'!A29)</f>
        <v>PRL-028</v>
      </c>
      <c r="O27635" t="str">
        <f>IF(N27635="","",'Master Barang'!B29)</f>
        <v>ctik plastik 7x10 100 pcs</v>
      </c>
      <c r="P27635">
        <f>IF(OR(M27635="",N27635=""),"",SUMIFS('Barang Keluar'!$E:$E,'Barang Keluar'!$A:$A,M27635,'Barang Keluar'!$C:$C,N27635))</f>
        <v>0</v>
      </c>
    </row>
    <row r="27636" spans="13:16">
      <c r="M27636" s="49">
        <f>IF($A$4+276&gt;$B$4,"",$A$4+276)</f>
        <v>46299</v>
      </c>
      <c r="N27636" t="str">
        <f>IF(M27636="","",'Master Barang'!A30)</f>
        <v>PRL-029</v>
      </c>
      <c r="O27636" t="str">
        <f>IF(N27636="","",'Master Barang'!B30)</f>
        <v>ctik plastik 6x10 100 pcs</v>
      </c>
      <c r="P27636">
        <f>IF(OR(M27636="",N27636=""),"",SUMIFS('Barang Keluar'!$E:$E,'Barang Keluar'!$A:$A,M27636,'Barang Keluar'!$C:$C,N27636))</f>
        <v>0</v>
      </c>
    </row>
    <row r="27637" spans="13:16">
      <c r="M27637" s="49">
        <f>IF($A$4+276&gt;$B$4,"",$A$4+276)</f>
        <v>46299</v>
      </c>
      <c r="N27637" t="str">
        <f>IF(M27637="","",'Master Barang'!A31)</f>
        <v>PRL-030</v>
      </c>
      <c r="O27637" t="str">
        <f>IF(N27637="","",'Master Barang'!B31)</f>
        <v>klip plastik 25x16 100 pcs</v>
      </c>
      <c r="P27637">
        <f>IF(OR(M27637="",N27637=""),"",SUMIFS('Barang Keluar'!$E:$E,'Barang Keluar'!$A:$A,M27637,'Barang Keluar'!$C:$C,N27637))</f>
        <v>0</v>
      </c>
    </row>
    <row r="27638" spans="13:16">
      <c r="M27638" s="49">
        <f>IF($A$4+276&gt;$B$4,"",$A$4+276)</f>
        <v>46299</v>
      </c>
      <c r="N27638" t="str">
        <f>IF(M27638="","",'Master Barang'!A32)</f>
        <v>PRL-031</v>
      </c>
      <c r="O27638" t="str">
        <f>IF(N27638="","",'Master Barang'!B32)</f>
        <v>tempat saus 20 ml</v>
      </c>
      <c r="P27638">
        <f>IF(OR(M27638="",N27638=""),"",SUMIFS('Barang Keluar'!$E:$E,'Barang Keluar'!$A:$A,M27638,'Barang Keluar'!$C:$C,N27638))</f>
        <v>0</v>
      </c>
    </row>
    <row r="27639" spans="13:16">
      <c r="M27639" s="49">
        <f>IF($A$4+276&gt;$B$4,"",$A$4+276)</f>
        <v>46299</v>
      </c>
      <c r="N27639" t="str">
        <f>IF(M27639="","",'Master Barang'!A33)</f>
        <v>PRL-032</v>
      </c>
      <c r="O27639" t="str">
        <f>IF(N27639="","",'Master Barang'!B33)</f>
        <v>plastik packaging ag box uk sedang</v>
      </c>
      <c r="P27639">
        <f>IF(OR(M27639="",N27639=""),"",SUMIFS('Barang Keluar'!$E:$E,'Barang Keluar'!$A:$A,M27639,'Barang Keluar'!$C:$C,N27639))</f>
        <v>0</v>
      </c>
    </row>
    <row r="27640" spans="13:16">
      <c r="M27640" s="49">
        <f>IF($A$4+276&gt;$B$4,"",$A$4+276)</f>
        <v>46299</v>
      </c>
      <c r="N27640" t="str">
        <f>IF(M27640="","",'Master Barang'!A34)</f>
        <v>PRL-033</v>
      </c>
      <c r="O27640">
        <f>IF(N27640="","",'Master Barang'!B34)</f>
        <v>0</v>
      </c>
      <c r="P27640">
        <f>IF(OR(M27640="",N27640=""),"",SUMIFS('Barang Keluar'!$E:$E,'Barang Keluar'!$A:$A,M27640,'Barang Keluar'!$C:$C,N27640))</f>
        <v>0</v>
      </c>
    </row>
    <row r="27641" spans="13:16">
      <c r="M27641" s="49">
        <f>IF($A$4+276&gt;$B$4,"",$A$4+276)</f>
        <v>46299</v>
      </c>
      <c r="N27641">
        <f>IF(M27641="","",'Master Barang'!A35)</f>
        <v>0</v>
      </c>
      <c r="O27641">
        <f>IF(N27641="","",'Master Barang'!B35)</f>
        <v>0</v>
      </c>
      <c r="P27641">
        <f>IF(OR(M27641="",N27641=""),"",SUMIFS('Barang Keluar'!$E:$E,'Barang Keluar'!$A:$A,M27641,'Barang Keluar'!$C:$C,N27641))</f>
        <v>0</v>
      </c>
    </row>
    <row r="27642" spans="13:16">
      <c r="M27642" s="49">
        <f>IF($A$4+276&gt;$B$4,"",$A$4+276)</f>
        <v>46299</v>
      </c>
      <c r="N27642">
        <f>IF(M27642="","",'Master Barang'!A36)</f>
        <v>0</v>
      </c>
      <c r="O27642">
        <f>IF(N27642="","",'Master Barang'!B36)</f>
        <v>0</v>
      </c>
      <c r="P27642">
        <f>IF(OR(M27642="",N27642=""),"",SUMIFS('Barang Keluar'!$E:$E,'Barang Keluar'!$A:$A,M27642,'Barang Keluar'!$C:$C,N27642))</f>
        <v>0</v>
      </c>
    </row>
    <row r="27643" spans="13:16">
      <c r="M27643" s="49">
        <f>IF($A$4+276&gt;$B$4,"",$A$4+276)</f>
        <v>46299</v>
      </c>
      <c r="N27643">
        <f>IF(M27643="","",'Master Barang'!A37)</f>
        <v>0</v>
      </c>
      <c r="O27643">
        <f>IF(N27643="","",'Master Barang'!B37)</f>
        <v>0</v>
      </c>
      <c r="P27643">
        <f>IF(OR(M27643="",N27643=""),"",SUMIFS('Barang Keluar'!$E:$E,'Barang Keluar'!$A:$A,M27643,'Barang Keluar'!$C:$C,N27643))</f>
        <v>0</v>
      </c>
    </row>
    <row r="27644" spans="13:16">
      <c r="M27644" s="49">
        <f>IF($A$4+276&gt;$B$4,"",$A$4+276)</f>
        <v>46299</v>
      </c>
      <c r="N27644">
        <f>IF(M27644="","",'Master Barang'!A38)</f>
        <v>0</v>
      </c>
      <c r="O27644">
        <f>IF(N27644="","",'Master Barang'!B38)</f>
        <v>0</v>
      </c>
      <c r="P27644">
        <f>IF(OR(M27644="",N27644=""),"",SUMIFS('Barang Keluar'!$E:$E,'Barang Keluar'!$A:$A,M27644,'Barang Keluar'!$C:$C,N27644))</f>
        <v>0</v>
      </c>
    </row>
    <row r="27645" spans="13:16">
      <c r="M27645" s="49">
        <f>IF($A$4+276&gt;$B$4,"",$A$4+276)</f>
        <v>46299</v>
      </c>
      <c r="N27645">
        <f>IF(M27645="","",'Master Barang'!A39)</f>
        <v>0</v>
      </c>
      <c r="O27645">
        <f>IF(N27645="","",'Master Barang'!B39)</f>
        <v>0</v>
      </c>
      <c r="P27645">
        <f>IF(OR(M27645="",N27645=""),"",SUMIFS('Barang Keluar'!$E:$E,'Barang Keluar'!$A:$A,M27645,'Barang Keluar'!$C:$C,N27645))</f>
        <v>0</v>
      </c>
    </row>
    <row r="27646" spans="13:16">
      <c r="M27646" s="49">
        <f>IF($A$4+276&gt;$B$4,"",$A$4+276)</f>
        <v>46299</v>
      </c>
      <c r="N27646">
        <f>IF(M27646="","",'Master Barang'!A40)</f>
        <v>0</v>
      </c>
      <c r="O27646">
        <f>IF(N27646="","",'Master Barang'!B40)</f>
        <v>0</v>
      </c>
      <c r="P27646">
        <f>IF(OR(M27646="",N27646=""),"",SUMIFS('Barang Keluar'!$E:$E,'Barang Keluar'!$A:$A,M27646,'Barang Keluar'!$C:$C,N27646))</f>
        <v>0</v>
      </c>
    </row>
    <row r="27647" spans="13:16">
      <c r="M27647" s="49">
        <f>IF($A$4+276&gt;$B$4,"",$A$4+276)</f>
        <v>46299</v>
      </c>
      <c r="N27647">
        <f>IF(M27647="","",'Master Barang'!A41)</f>
        <v>0</v>
      </c>
      <c r="O27647">
        <f>IF(N27647="","",'Master Barang'!B41)</f>
        <v>0</v>
      </c>
      <c r="P27647">
        <f>IF(OR(M27647="",N27647=""),"",SUMIFS('Barang Keluar'!$E:$E,'Barang Keluar'!$A:$A,M27647,'Barang Keluar'!$C:$C,N27647))</f>
        <v>0</v>
      </c>
    </row>
    <row r="27648" spans="13:16">
      <c r="M27648" s="49">
        <f>IF($A$4+276&gt;$B$4,"",$A$4+276)</f>
        <v>46299</v>
      </c>
      <c r="N27648">
        <f>IF(M27648="","",'Master Barang'!A42)</f>
        <v>0</v>
      </c>
      <c r="O27648">
        <f>IF(N27648="","",'Master Barang'!B42)</f>
        <v>0</v>
      </c>
      <c r="P27648">
        <f>IF(OR(M27648="",N27648=""),"",SUMIFS('Barang Keluar'!$E:$E,'Barang Keluar'!$A:$A,M27648,'Barang Keluar'!$C:$C,N27648))</f>
        <v>0</v>
      </c>
    </row>
    <row r="27649" spans="13:16">
      <c r="M27649" s="49">
        <f>IF($A$4+276&gt;$B$4,"",$A$4+276)</f>
        <v>46299</v>
      </c>
      <c r="N27649">
        <f>IF(M27649="","",'Master Barang'!A43)</f>
        <v>0</v>
      </c>
      <c r="O27649">
        <f>IF(N27649="","",'Master Barang'!B43)</f>
        <v>0</v>
      </c>
      <c r="P27649">
        <f>IF(OR(M27649="",N27649=""),"",SUMIFS('Barang Keluar'!$E:$E,'Barang Keluar'!$A:$A,M27649,'Barang Keluar'!$C:$C,N27649))</f>
        <v>0</v>
      </c>
    </row>
    <row r="27650" spans="13:16">
      <c r="M27650" s="49">
        <f>IF($A$4+276&gt;$B$4,"",$A$4+276)</f>
        <v>46299</v>
      </c>
      <c r="N27650">
        <f>IF(M27650="","",'Master Barang'!A44)</f>
        <v>0</v>
      </c>
      <c r="O27650">
        <f>IF(N27650="","",'Master Barang'!B44)</f>
        <v>0</v>
      </c>
      <c r="P27650">
        <f>IF(OR(M27650="",N27650=""),"",SUMIFS('Barang Keluar'!$E:$E,'Barang Keluar'!$A:$A,M27650,'Barang Keluar'!$C:$C,N27650))</f>
        <v>0</v>
      </c>
    </row>
    <row r="27651" spans="13:16">
      <c r="M27651" s="49">
        <f>IF($A$4+276&gt;$B$4,"",$A$4+276)</f>
        <v>46299</v>
      </c>
      <c r="N27651">
        <f>IF(M27651="","",'Master Barang'!A45)</f>
        <v>0</v>
      </c>
      <c r="O27651">
        <f>IF(N27651="","",'Master Barang'!B45)</f>
        <v>0</v>
      </c>
      <c r="P27651">
        <f>IF(OR(M27651="",N27651=""),"",SUMIFS('Barang Keluar'!$E:$E,'Barang Keluar'!$A:$A,M27651,'Barang Keluar'!$C:$C,N27651))</f>
        <v>0</v>
      </c>
    </row>
    <row r="27652" spans="13:16">
      <c r="M27652" s="49">
        <f>IF($A$4+276&gt;$B$4,"",$A$4+276)</f>
        <v>46299</v>
      </c>
      <c r="N27652">
        <f>IF(M27652="","",'Master Barang'!A46)</f>
        <v>0</v>
      </c>
      <c r="O27652">
        <f>IF(N27652="","",'Master Barang'!B46)</f>
        <v>0</v>
      </c>
      <c r="P27652">
        <f>IF(OR(M27652="",N27652=""),"",SUMIFS('Barang Keluar'!$E:$E,'Barang Keluar'!$A:$A,M27652,'Barang Keluar'!$C:$C,N27652))</f>
        <v>0</v>
      </c>
    </row>
    <row r="27653" spans="13:16">
      <c r="M27653" s="49">
        <f>IF($A$4+276&gt;$B$4,"",$A$4+276)</f>
        <v>46299</v>
      </c>
      <c r="N27653">
        <f>IF(M27653="","",'Master Barang'!A47)</f>
        <v>0</v>
      </c>
      <c r="O27653">
        <f>IF(N27653="","",'Master Barang'!B47)</f>
        <v>0</v>
      </c>
      <c r="P27653">
        <f>IF(OR(M27653="",N27653=""),"",SUMIFS('Barang Keluar'!$E:$E,'Barang Keluar'!$A:$A,M27653,'Barang Keluar'!$C:$C,N27653))</f>
        <v>0</v>
      </c>
    </row>
    <row r="27654" spans="13:16">
      <c r="M27654" s="49">
        <f>IF($A$4+276&gt;$B$4,"",$A$4+276)</f>
        <v>46299</v>
      </c>
      <c r="N27654">
        <f>IF(M27654="","",'Master Barang'!A48)</f>
        <v>0</v>
      </c>
      <c r="O27654">
        <f>IF(N27654="","",'Master Barang'!B48)</f>
        <v>0</v>
      </c>
      <c r="P27654">
        <f>IF(OR(M27654="",N27654=""),"",SUMIFS('Barang Keluar'!$E:$E,'Barang Keluar'!$A:$A,M27654,'Barang Keluar'!$C:$C,N27654))</f>
        <v>0</v>
      </c>
    </row>
    <row r="27655" spans="13:16">
      <c r="M27655" s="49">
        <f>IF($A$4+276&gt;$B$4,"",$A$4+276)</f>
        <v>46299</v>
      </c>
      <c r="N27655">
        <f>IF(M27655="","",'Master Barang'!A49)</f>
        <v>0</v>
      </c>
      <c r="O27655">
        <f>IF(N27655="","",'Master Barang'!B49)</f>
        <v>0</v>
      </c>
      <c r="P27655">
        <f>IF(OR(M27655="",N27655=""),"",SUMIFS('Barang Keluar'!$E:$E,'Barang Keluar'!$A:$A,M27655,'Barang Keluar'!$C:$C,N27655))</f>
        <v>0</v>
      </c>
    </row>
    <row r="27656" spans="13:16">
      <c r="M27656" s="49">
        <f>IF($A$4+276&gt;$B$4,"",$A$4+276)</f>
        <v>46299</v>
      </c>
      <c r="N27656">
        <f>IF(M27656="","",'Master Barang'!A50)</f>
        <v>0</v>
      </c>
      <c r="O27656">
        <f>IF(N27656="","",'Master Barang'!B50)</f>
        <v>0</v>
      </c>
      <c r="P27656">
        <f>IF(OR(M27656="",N27656=""),"",SUMIFS('Barang Keluar'!$E:$E,'Barang Keluar'!$A:$A,M27656,'Barang Keluar'!$C:$C,N27656))</f>
        <v>0</v>
      </c>
    </row>
    <row r="27657" spans="13:16">
      <c r="M27657" s="49">
        <f>IF($A$4+276&gt;$B$4,"",$A$4+276)</f>
        <v>46299</v>
      </c>
      <c r="N27657">
        <f>IF(M27657="","",'Master Barang'!A51)</f>
        <v>0</v>
      </c>
      <c r="O27657">
        <f>IF(N27657="","",'Master Barang'!B51)</f>
        <v>0</v>
      </c>
      <c r="P27657">
        <f>IF(OR(M27657="",N27657=""),"",SUMIFS('Barang Keluar'!$E:$E,'Barang Keluar'!$A:$A,M27657,'Barang Keluar'!$C:$C,N27657))</f>
        <v>0</v>
      </c>
    </row>
    <row r="27658" spans="13:16">
      <c r="M27658" s="49">
        <f>IF($A$4+276&gt;$B$4,"",$A$4+276)</f>
        <v>46299</v>
      </c>
      <c r="N27658">
        <f>IF(M27658="","",'Master Barang'!A52)</f>
        <v>0</v>
      </c>
      <c r="O27658">
        <f>IF(N27658="","",'Master Barang'!B52)</f>
        <v>0</v>
      </c>
      <c r="P27658">
        <f>IF(OR(M27658="",N27658=""),"",SUMIFS('Barang Keluar'!$E:$E,'Barang Keluar'!$A:$A,M27658,'Barang Keluar'!$C:$C,N27658))</f>
        <v>0</v>
      </c>
    </row>
    <row r="27659" spans="13:16">
      <c r="M27659" s="49">
        <f>IF($A$4+276&gt;$B$4,"",$A$4+276)</f>
        <v>46299</v>
      </c>
      <c r="N27659">
        <f>IF(M27659="","",'Master Barang'!A53)</f>
        <v>0</v>
      </c>
      <c r="O27659">
        <f>IF(N27659="","",'Master Barang'!B53)</f>
        <v>0</v>
      </c>
      <c r="P27659">
        <f>IF(OR(M27659="",N27659=""),"",SUMIFS('Barang Keluar'!$E:$E,'Barang Keluar'!$A:$A,M27659,'Barang Keluar'!$C:$C,N27659))</f>
        <v>0</v>
      </c>
    </row>
    <row r="27660" spans="13:16">
      <c r="M27660" s="49">
        <f>IF($A$4+276&gt;$B$4,"",$A$4+276)</f>
        <v>46299</v>
      </c>
      <c r="N27660">
        <f>IF(M27660="","",'Master Barang'!A54)</f>
        <v>0</v>
      </c>
      <c r="O27660">
        <f>IF(N27660="","",'Master Barang'!B54)</f>
        <v>0</v>
      </c>
      <c r="P27660">
        <f>IF(OR(M27660="",N27660=""),"",SUMIFS('Barang Keluar'!$E:$E,'Barang Keluar'!$A:$A,M27660,'Barang Keluar'!$C:$C,N27660))</f>
        <v>0</v>
      </c>
    </row>
    <row r="27661" spans="13:16">
      <c r="M27661" s="49">
        <f>IF($A$4+276&gt;$B$4,"",$A$4+276)</f>
        <v>46299</v>
      </c>
      <c r="N27661">
        <f>IF(M27661="","",'Master Barang'!A55)</f>
        <v>0</v>
      </c>
      <c r="O27661">
        <f>IF(N27661="","",'Master Barang'!B55)</f>
        <v>0</v>
      </c>
      <c r="P27661">
        <f>IF(OR(M27661="",N27661=""),"",SUMIFS('Barang Keluar'!$E:$E,'Barang Keluar'!$A:$A,M27661,'Barang Keluar'!$C:$C,N27661))</f>
        <v>0</v>
      </c>
    </row>
    <row r="27662" spans="13:16">
      <c r="M27662" s="49">
        <f>IF($A$4+276&gt;$B$4,"",$A$4+276)</f>
        <v>46299</v>
      </c>
      <c r="N27662">
        <f>IF(M27662="","",'Master Barang'!A56)</f>
        <v>0</v>
      </c>
      <c r="O27662">
        <f>IF(N27662="","",'Master Barang'!B56)</f>
        <v>0</v>
      </c>
      <c r="P27662">
        <f>IF(OR(M27662="",N27662=""),"",SUMIFS('Barang Keluar'!$E:$E,'Barang Keluar'!$A:$A,M27662,'Barang Keluar'!$C:$C,N27662))</f>
        <v>0</v>
      </c>
    </row>
    <row r="27663" spans="13:16">
      <c r="M27663" s="49">
        <f>IF($A$4+276&gt;$B$4,"",$A$4+276)</f>
        <v>46299</v>
      </c>
      <c r="N27663">
        <f>IF(M27663="","",'Master Barang'!A57)</f>
        <v>0</v>
      </c>
      <c r="O27663">
        <f>IF(N27663="","",'Master Barang'!B57)</f>
        <v>0</v>
      </c>
      <c r="P27663">
        <f>IF(OR(M27663="",N27663=""),"",SUMIFS('Barang Keluar'!$E:$E,'Barang Keluar'!$A:$A,M27663,'Barang Keluar'!$C:$C,N27663))</f>
        <v>0</v>
      </c>
    </row>
    <row r="27664" spans="13:16">
      <c r="M27664" s="49">
        <f>IF($A$4+276&gt;$B$4,"",$A$4+276)</f>
        <v>46299</v>
      </c>
      <c r="N27664">
        <f>IF(M27664="","",'Master Barang'!A58)</f>
        <v>0</v>
      </c>
      <c r="O27664">
        <f>IF(N27664="","",'Master Barang'!B58)</f>
        <v>0</v>
      </c>
      <c r="P27664">
        <f>IF(OR(M27664="",N27664=""),"",SUMIFS('Barang Keluar'!$E:$E,'Barang Keluar'!$A:$A,M27664,'Barang Keluar'!$C:$C,N27664))</f>
        <v>0</v>
      </c>
    </row>
    <row r="27665" spans="13:16">
      <c r="M27665" s="49">
        <f>IF($A$4+276&gt;$B$4,"",$A$4+276)</f>
        <v>46299</v>
      </c>
      <c r="N27665">
        <f>IF(M27665="","",'Master Barang'!A59)</f>
        <v>0</v>
      </c>
      <c r="O27665">
        <f>IF(N27665="","",'Master Barang'!B59)</f>
        <v>0</v>
      </c>
      <c r="P27665">
        <f>IF(OR(M27665="",N27665=""),"",SUMIFS('Barang Keluar'!$E:$E,'Barang Keluar'!$A:$A,M27665,'Barang Keluar'!$C:$C,N27665))</f>
        <v>0</v>
      </c>
    </row>
    <row r="27666" spans="13:16">
      <c r="M27666" s="49">
        <f>IF($A$4+276&gt;$B$4,"",$A$4+276)</f>
        <v>46299</v>
      </c>
      <c r="N27666">
        <f>IF(M27666="","",'Master Barang'!A60)</f>
        <v>0</v>
      </c>
      <c r="O27666">
        <f>IF(N27666="","",'Master Barang'!B60)</f>
        <v>0</v>
      </c>
      <c r="P27666">
        <f>IF(OR(M27666="",N27666=""),"",SUMIFS('Barang Keluar'!$E:$E,'Barang Keluar'!$A:$A,M27666,'Barang Keluar'!$C:$C,N27666))</f>
        <v>0</v>
      </c>
    </row>
    <row r="27667" spans="13:16">
      <c r="M27667" s="49">
        <f>IF($A$4+276&gt;$B$4,"",$A$4+276)</f>
        <v>46299</v>
      </c>
      <c r="N27667">
        <f>IF(M27667="","",'Master Barang'!A61)</f>
        <v>0</v>
      </c>
      <c r="O27667">
        <f>IF(N27667="","",'Master Barang'!B61)</f>
        <v>0</v>
      </c>
      <c r="P27667">
        <f>IF(OR(M27667="",N27667=""),"",SUMIFS('Barang Keluar'!$E:$E,'Barang Keluar'!$A:$A,M27667,'Barang Keluar'!$C:$C,N27667))</f>
        <v>0</v>
      </c>
    </row>
    <row r="27668" spans="13:16">
      <c r="M27668" s="49">
        <f>IF($A$4+276&gt;$B$4,"",$A$4+276)</f>
        <v>46299</v>
      </c>
      <c r="N27668">
        <f>IF(M27668="","",'Master Barang'!A62)</f>
        <v>0</v>
      </c>
      <c r="O27668">
        <f>IF(N27668="","",'Master Barang'!B62)</f>
        <v>0</v>
      </c>
      <c r="P27668">
        <f>IF(OR(M27668="",N27668=""),"",SUMIFS('Barang Keluar'!$E:$E,'Barang Keluar'!$A:$A,M27668,'Barang Keluar'!$C:$C,N27668))</f>
        <v>0</v>
      </c>
    </row>
    <row r="27669" spans="13:16">
      <c r="M27669" s="49">
        <f>IF($A$4+276&gt;$B$4,"",$A$4+276)</f>
        <v>46299</v>
      </c>
      <c r="N27669">
        <f>IF(M27669="","",'Master Barang'!A63)</f>
        <v>0</v>
      </c>
      <c r="O27669">
        <f>IF(N27669="","",'Master Barang'!B63)</f>
        <v>0</v>
      </c>
      <c r="P27669">
        <f>IF(OR(M27669="",N27669=""),"",SUMIFS('Barang Keluar'!$E:$E,'Barang Keluar'!$A:$A,M27669,'Barang Keluar'!$C:$C,N27669))</f>
        <v>0</v>
      </c>
    </row>
    <row r="27670" spans="13:16">
      <c r="M27670" s="49">
        <f>IF($A$4+276&gt;$B$4,"",$A$4+276)</f>
        <v>46299</v>
      </c>
      <c r="N27670">
        <f>IF(M27670="","",'Master Barang'!A64)</f>
        <v>0</v>
      </c>
      <c r="O27670">
        <f>IF(N27670="","",'Master Barang'!B64)</f>
        <v>0</v>
      </c>
      <c r="P27670">
        <f>IF(OR(M27670="",N27670=""),"",SUMIFS('Barang Keluar'!$E:$E,'Barang Keluar'!$A:$A,M27670,'Barang Keluar'!$C:$C,N27670))</f>
        <v>0</v>
      </c>
    </row>
    <row r="27671" spans="13:16">
      <c r="M27671" s="49">
        <f>IF($A$4+276&gt;$B$4,"",$A$4+276)</f>
        <v>46299</v>
      </c>
      <c r="N27671">
        <f>IF(M27671="","",'Master Barang'!A65)</f>
        <v>0</v>
      </c>
      <c r="O27671">
        <f>IF(N27671="","",'Master Barang'!B65)</f>
        <v>0</v>
      </c>
      <c r="P27671">
        <f>IF(OR(M27671="",N27671=""),"",SUMIFS('Barang Keluar'!$E:$E,'Barang Keluar'!$A:$A,M27671,'Barang Keluar'!$C:$C,N27671))</f>
        <v>0</v>
      </c>
    </row>
    <row r="27672" spans="13:16">
      <c r="M27672" s="49">
        <f>IF($A$4+276&gt;$B$4,"",$A$4+276)</f>
        <v>46299</v>
      </c>
      <c r="N27672">
        <f>IF(M27672="","",'Master Barang'!A66)</f>
        <v>0</v>
      </c>
      <c r="O27672">
        <f>IF(N27672="","",'Master Barang'!B66)</f>
        <v>0</v>
      </c>
      <c r="P27672">
        <f>IF(OR(M27672="",N27672=""),"",SUMIFS('Barang Keluar'!$E:$E,'Barang Keluar'!$A:$A,M27672,'Barang Keluar'!$C:$C,N27672))</f>
        <v>0</v>
      </c>
    </row>
    <row r="27673" spans="13:16">
      <c r="M27673" s="49">
        <f>IF($A$4+276&gt;$B$4,"",$A$4+276)</f>
        <v>46299</v>
      </c>
      <c r="N27673">
        <f>IF(M27673="","",'Master Barang'!A67)</f>
        <v>0</v>
      </c>
      <c r="O27673">
        <f>IF(N27673="","",'Master Barang'!B67)</f>
        <v>0</v>
      </c>
      <c r="P27673">
        <f>IF(OR(M27673="",N27673=""),"",SUMIFS('Barang Keluar'!$E:$E,'Barang Keluar'!$A:$A,M27673,'Barang Keluar'!$C:$C,N27673))</f>
        <v>0</v>
      </c>
    </row>
    <row r="27674" spans="13:16">
      <c r="M27674" s="49">
        <f>IF($A$4+276&gt;$B$4,"",$A$4+276)</f>
        <v>46299</v>
      </c>
      <c r="N27674">
        <f>IF(M27674="","",'Master Barang'!A68)</f>
        <v>0</v>
      </c>
      <c r="O27674">
        <f>IF(N27674="","",'Master Barang'!B68)</f>
        <v>0</v>
      </c>
      <c r="P27674">
        <f>IF(OR(M27674="",N27674=""),"",SUMIFS('Barang Keluar'!$E:$E,'Barang Keluar'!$A:$A,M27674,'Barang Keluar'!$C:$C,N27674))</f>
        <v>0</v>
      </c>
    </row>
    <row r="27675" spans="13:16">
      <c r="M27675" s="49">
        <f>IF($A$4+276&gt;$B$4,"",$A$4+276)</f>
        <v>46299</v>
      </c>
      <c r="N27675">
        <f>IF(M27675="","",'Master Barang'!A69)</f>
        <v>0</v>
      </c>
      <c r="O27675">
        <f>IF(N27675="","",'Master Barang'!B69)</f>
        <v>0</v>
      </c>
      <c r="P27675">
        <f>IF(OR(M27675="",N27675=""),"",SUMIFS('Barang Keluar'!$E:$E,'Barang Keluar'!$A:$A,M27675,'Barang Keluar'!$C:$C,N27675))</f>
        <v>0</v>
      </c>
    </row>
    <row r="27676" spans="13:16">
      <c r="M27676" s="49">
        <f>IF($A$4+276&gt;$B$4,"",$A$4+276)</f>
        <v>46299</v>
      </c>
      <c r="N27676">
        <f>IF(M27676="","",'Master Barang'!A70)</f>
        <v>0</v>
      </c>
      <c r="O27676">
        <f>IF(N27676="","",'Master Barang'!B70)</f>
        <v>0</v>
      </c>
      <c r="P27676">
        <f>IF(OR(M27676="",N27676=""),"",SUMIFS('Barang Keluar'!$E:$E,'Barang Keluar'!$A:$A,M27676,'Barang Keluar'!$C:$C,N27676))</f>
        <v>0</v>
      </c>
    </row>
    <row r="27677" spans="13:16">
      <c r="M27677" s="49">
        <f>IF($A$4+276&gt;$B$4,"",$A$4+276)</f>
        <v>46299</v>
      </c>
      <c r="N27677">
        <f>IF(M27677="","",'Master Barang'!A71)</f>
        <v>0</v>
      </c>
      <c r="O27677">
        <f>IF(N27677="","",'Master Barang'!B71)</f>
        <v>0</v>
      </c>
      <c r="P27677">
        <f>IF(OR(M27677="",N27677=""),"",SUMIFS('Barang Keluar'!$E:$E,'Barang Keluar'!$A:$A,M27677,'Barang Keluar'!$C:$C,N27677))</f>
        <v>0</v>
      </c>
    </row>
    <row r="27678" spans="13:16">
      <c r="M27678" s="49">
        <f>IF($A$4+276&gt;$B$4,"",$A$4+276)</f>
        <v>46299</v>
      </c>
      <c r="N27678">
        <f>IF(M27678="","",'Master Barang'!A72)</f>
        <v>0</v>
      </c>
      <c r="O27678">
        <f>IF(N27678="","",'Master Barang'!B72)</f>
        <v>0</v>
      </c>
      <c r="P27678">
        <f>IF(OR(M27678="",N27678=""),"",SUMIFS('Barang Keluar'!$E:$E,'Barang Keluar'!$A:$A,M27678,'Barang Keluar'!$C:$C,N27678))</f>
        <v>0</v>
      </c>
    </row>
    <row r="27679" spans="13:16">
      <c r="M27679" s="49">
        <f>IF($A$4+276&gt;$B$4,"",$A$4+276)</f>
        <v>46299</v>
      </c>
      <c r="N27679">
        <f>IF(M27679="","",'Master Barang'!A73)</f>
        <v>0</v>
      </c>
      <c r="O27679">
        <f>IF(N27679="","",'Master Barang'!B73)</f>
        <v>0</v>
      </c>
      <c r="P27679">
        <f>IF(OR(M27679="",N27679=""),"",SUMIFS('Barang Keluar'!$E:$E,'Barang Keluar'!$A:$A,M27679,'Barang Keluar'!$C:$C,N27679))</f>
        <v>0</v>
      </c>
    </row>
    <row r="27680" spans="13:16">
      <c r="M27680" s="49">
        <f>IF($A$4+276&gt;$B$4,"",$A$4+276)</f>
        <v>46299</v>
      </c>
      <c r="N27680">
        <f>IF(M27680="","",'Master Barang'!A74)</f>
        <v>0</v>
      </c>
      <c r="O27680">
        <f>IF(N27680="","",'Master Barang'!B74)</f>
        <v>0</v>
      </c>
      <c r="P27680">
        <f>IF(OR(M27680="",N27680=""),"",SUMIFS('Barang Keluar'!$E:$E,'Barang Keluar'!$A:$A,M27680,'Barang Keluar'!$C:$C,N27680))</f>
        <v>0</v>
      </c>
    </row>
    <row r="27681" spans="13:16">
      <c r="M27681" s="49">
        <f>IF($A$4+276&gt;$B$4,"",$A$4+276)</f>
        <v>46299</v>
      </c>
      <c r="N27681">
        <f>IF(M27681="","",'Master Barang'!A75)</f>
        <v>0</v>
      </c>
      <c r="O27681">
        <f>IF(N27681="","",'Master Barang'!B75)</f>
        <v>0</v>
      </c>
      <c r="P27681">
        <f>IF(OR(M27681="",N27681=""),"",SUMIFS('Barang Keluar'!$E:$E,'Barang Keluar'!$A:$A,M27681,'Barang Keluar'!$C:$C,N27681))</f>
        <v>0</v>
      </c>
    </row>
    <row r="27682" spans="13:16">
      <c r="M27682" s="49">
        <f>IF($A$4+276&gt;$B$4,"",$A$4+276)</f>
        <v>46299</v>
      </c>
      <c r="N27682">
        <f>IF(M27682="","",'Master Barang'!A76)</f>
        <v>0</v>
      </c>
      <c r="O27682">
        <f>IF(N27682="","",'Master Barang'!B76)</f>
        <v>0</v>
      </c>
      <c r="P27682">
        <f>IF(OR(M27682="",N27682=""),"",SUMIFS('Barang Keluar'!$E:$E,'Barang Keluar'!$A:$A,M27682,'Barang Keluar'!$C:$C,N27682))</f>
        <v>0</v>
      </c>
    </row>
    <row r="27683" spans="13:16">
      <c r="M27683" s="49">
        <f>IF($A$4+276&gt;$B$4,"",$A$4+276)</f>
        <v>46299</v>
      </c>
      <c r="N27683">
        <f>IF(M27683="","",'Master Barang'!A77)</f>
        <v>0</v>
      </c>
      <c r="O27683">
        <f>IF(N27683="","",'Master Barang'!B77)</f>
        <v>0</v>
      </c>
      <c r="P27683">
        <f>IF(OR(M27683="",N27683=""),"",SUMIFS('Barang Keluar'!$E:$E,'Barang Keluar'!$A:$A,M27683,'Barang Keluar'!$C:$C,N27683))</f>
        <v>0</v>
      </c>
    </row>
    <row r="27684" spans="13:16">
      <c r="M27684" s="49">
        <f>IF($A$4+276&gt;$B$4,"",$A$4+276)</f>
        <v>46299</v>
      </c>
      <c r="N27684">
        <f>IF(M27684="","",'Master Barang'!A78)</f>
        <v>0</v>
      </c>
      <c r="O27684">
        <f>IF(N27684="","",'Master Barang'!B78)</f>
        <v>0</v>
      </c>
      <c r="P27684">
        <f>IF(OR(M27684="",N27684=""),"",SUMIFS('Barang Keluar'!$E:$E,'Barang Keluar'!$A:$A,M27684,'Barang Keluar'!$C:$C,N27684))</f>
        <v>0</v>
      </c>
    </row>
    <row r="27685" spans="13:16">
      <c r="M27685" s="49">
        <f>IF($A$4+276&gt;$B$4,"",$A$4+276)</f>
        <v>46299</v>
      </c>
      <c r="N27685">
        <f>IF(M27685="","",'Master Barang'!A79)</f>
        <v>0</v>
      </c>
      <c r="O27685">
        <f>IF(N27685="","",'Master Barang'!B79)</f>
        <v>0</v>
      </c>
      <c r="P27685">
        <f>IF(OR(M27685="",N27685=""),"",SUMIFS('Barang Keluar'!$E:$E,'Barang Keluar'!$A:$A,M27685,'Barang Keluar'!$C:$C,N27685))</f>
        <v>0</v>
      </c>
    </row>
    <row r="27686" spans="13:16">
      <c r="M27686" s="49">
        <f>IF($A$4+276&gt;$B$4,"",$A$4+276)</f>
        <v>46299</v>
      </c>
      <c r="N27686">
        <f>IF(M27686="","",'Master Barang'!A80)</f>
        <v>0</v>
      </c>
      <c r="O27686">
        <f>IF(N27686="","",'Master Barang'!B80)</f>
        <v>0</v>
      </c>
      <c r="P27686">
        <f>IF(OR(M27686="",N27686=""),"",SUMIFS('Barang Keluar'!$E:$E,'Barang Keluar'!$A:$A,M27686,'Barang Keluar'!$C:$C,N27686))</f>
        <v>0</v>
      </c>
    </row>
    <row r="27687" spans="13:16">
      <c r="M27687" s="49">
        <f>IF($A$4+276&gt;$B$4,"",$A$4+276)</f>
        <v>46299</v>
      </c>
      <c r="N27687">
        <f>IF(M27687="","",'Master Barang'!A81)</f>
        <v>0</v>
      </c>
      <c r="O27687">
        <f>IF(N27687="","",'Master Barang'!B81)</f>
        <v>0</v>
      </c>
      <c r="P27687">
        <f>IF(OR(M27687="",N27687=""),"",SUMIFS('Barang Keluar'!$E:$E,'Barang Keluar'!$A:$A,M27687,'Barang Keluar'!$C:$C,N27687))</f>
        <v>0</v>
      </c>
    </row>
    <row r="27688" spans="13:16">
      <c r="M27688" s="49">
        <f>IF($A$4+276&gt;$B$4,"",$A$4+276)</f>
        <v>46299</v>
      </c>
      <c r="N27688">
        <f>IF(M27688="","",'Master Barang'!A82)</f>
        <v>0</v>
      </c>
      <c r="O27688">
        <f>IF(N27688="","",'Master Barang'!B82)</f>
        <v>0</v>
      </c>
      <c r="P27688">
        <f>IF(OR(M27688="",N27688=""),"",SUMIFS('Barang Keluar'!$E:$E,'Barang Keluar'!$A:$A,M27688,'Barang Keluar'!$C:$C,N27688))</f>
        <v>0</v>
      </c>
    </row>
    <row r="27689" spans="13:16">
      <c r="M27689" s="49">
        <f>IF($A$4+276&gt;$B$4,"",$A$4+276)</f>
        <v>46299</v>
      </c>
      <c r="N27689">
        <f>IF(M27689="","",'Master Barang'!A83)</f>
        <v>0</v>
      </c>
      <c r="O27689">
        <f>IF(N27689="","",'Master Barang'!B83)</f>
        <v>0</v>
      </c>
      <c r="P27689">
        <f>IF(OR(M27689="",N27689=""),"",SUMIFS('Barang Keluar'!$E:$E,'Barang Keluar'!$A:$A,M27689,'Barang Keluar'!$C:$C,N27689))</f>
        <v>0</v>
      </c>
    </row>
    <row r="27690" spans="13:16">
      <c r="M27690" s="49">
        <f>IF($A$4+276&gt;$B$4,"",$A$4+276)</f>
        <v>46299</v>
      </c>
      <c r="N27690">
        <f>IF(M27690="","",'Master Barang'!A84)</f>
        <v>0</v>
      </c>
      <c r="O27690">
        <f>IF(N27690="","",'Master Barang'!B84)</f>
        <v>0</v>
      </c>
      <c r="P27690">
        <f>IF(OR(M27690="",N27690=""),"",SUMIFS('Barang Keluar'!$E:$E,'Barang Keluar'!$A:$A,M27690,'Barang Keluar'!$C:$C,N27690))</f>
        <v>0</v>
      </c>
    </row>
    <row r="27691" spans="13:16">
      <c r="M27691" s="49">
        <f>IF($A$4+276&gt;$B$4,"",$A$4+276)</f>
        <v>46299</v>
      </c>
      <c r="N27691">
        <f>IF(M27691="","",'Master Barang'!A85)</f>
        <v>0</v>
      </c>
      <c r="O27691">
        <f>IF(N27691="","",'Master Barang'!B85)</f>
        <v>0</v>
      </c>
      <c r="P27691">
        <f>IF(OR(M27691="",N27691=""),"",SUMIFS('Barang Keluar'!$E:$E,'Barang Keluar'!$A:$A,M27691,'Barang Keluar'!$C:$C,N27691))</f>
        <v>0</v>
      </c>
    </row>
    <row r="27692" spans="13:16">
      <c r="M27692" s="49">
        <f>IF($A$4+276&gt;$B$4,"",$A$4+276)</f>
        <v>46299</v>
      </c>
      <c r="N27692">
        <f>IF(M27692="","",'Master Barang'!A86)</f>
        <v>0</v>
      </c>
      <c r="O27692">
        <f>IF(N27692="","",'Master Barang'!B86)</f>
        <v>0</v>
      </c>
      <c r="P27692">
        <f>IF(OR(M27692="",N27692=""),"",SUMIFS('Barang Keluar'!$E:$E,'Barang Keluar'!$A:$A,M27692,'Barang Keluar'!$C:$C,N27692))</f>
        <v>0</v>
      </c>
    </row>
    <row r="27693" spans="13:16">
      <c r="M27693" s="49">
        <f>IF($A$4+276&gt;$B$4,"",$A$4+276)</f>
        <v>46299</v>
      </c>
      <c r="N27693">
        <f>IF(M27693="","",'Master Barang'!A87)</f>
        <v>0</v>
      </c>
      <c r="O27693">
        <f>IF(N27693="","",'Master Barang'!B87)</f>
        <v>0</v>
      </c>
      <c r="P27693">
        <f>IF(OR(M27693="",N27693=""),"",SUMIFS('Barang Keluar'!$E:$E,'Barang Keluar'!$A:$A,M27693,'Barang Keluar'!$C:$C,N27693))</f>
        <v>0</v>
      </c>
    </row>
    <row r="27694" spans="13:16">
      <c r="M27694" s="49">
        <f>IF($A$4+276&gt;$B$4,"",$A$4+276)</f>
        <v>46299</v>
      </c>
      <c r="N27694">
        <f>IF(M27694="","",'Master Barang'!A88)</f>
        <v>0</v>
      </c>
      <c r="O27694">
        <f>IF(N27694="","",'Master Barang'!B88)</f>
        <v>0</v>
      </c>
      <c r="P27694">
        <f>IF(OR(M27694="",N27694=""),"",SUMIFS('Barang Keluar'!$E:$E,'Barang Keluar'!$A:$A,M27694,'Barang Keluar'!$C:$C,N27694))</f>
        <v>0</v>
      </c>
    </row>
    <row r="27695" spans="13:16">
      <c r="M27695" s="49">
        <f>IF($A$4+276&gt;$B$4,"",$A$4+276)</f>
        <v>46299</v>
      </c>
      <c r="N27695">
        <f>IF(M27695="","",'Master Barang'!A89)</f>
        <v>0</v>
      </c>
      <c r="O27695">
        <f>IF(N27695="","",'Master Barang'!B89)</f>
        <v>0</v>
      </c>
      <c r="P27695">
        <f>IF(OR(M27695="",N27695=""),"",SUMIFS('Barang Keluar'!$E:$E,'Barang Keluar'!$A:$A,M27695,'Barang Keluar'!$C:$C,N27695))</f>
        <v>0</v>
      </c>
    </row>
    <row r="27696" spans="13:16">
      <c r="M27696" s="49">
        <f>IF($A$4+276&gt;$B$4,"",$A$4+276)</f>
        <v>46299</v>
      </c>
      <c r="N27696">
        <f>IF(M27696="","",'Master Barang'!A90)</f>
        <v>0</v>
      </c>
      <c r="O27696">
        <f>IF(N27696="","",'Master Barang'!B90)</f>
        <v>0</v>
      </c>
      <c r="P27696">
        <f>IF(OR(M27696="",N27696=""),"",SUMIFS('Barang Keluar'!$E:$E,'Barang Keluar'!$A:$A,M27696,'Barang Keluar'!$C:$C,N27696))</f>
        <v>0</v>
      </c>
    </row>
    <row r="27697" spans="13:16">
      <c r="M27697" s="49">
        <f>IF($A$4+276&gt;$B$4,"",$A$4+276)</f>
        <v>46299</v>
      </c>
      <c r="N27697">
        <f>IF(M27697="","",'Master Barang'!A91)</f>
        <v>0</v>
      </c>
      <c r="O27697">
        <f>IF(N27697="","",'Master Barang'!B91)</f>
        <v>0</v>
      </c>
      <c r="P27697">
        <f>IF(OR(M27697="",N27697=""),"",SUMIFS('Barang Keluar'!$E:$E,'Barang Keluar'!$A:$A,M27697,'Barang Keluar'!$C:$C,N27697))</f>
        <v>0</v>
      </c>
    </row>
    <row r="27698" spans="13:16">
      <c r="M27698" s="49">
        <f>IF($A$4+276&gt;$B$4,"",$A$4+276)</f>
        <v>46299</v>
      </c>
      <c r="N27698">
        <f>IF(M27698="","",'Master Barang'!A92)</f>
        <v>0</v>
      </c>
      <c r="O27698">
        <f>IF(N27698="","",'Master Barang'!B92)</f>
        <v>0</v>
      </c>
      <c r="P27698">
        <f>IF(OR(M27698="",N27698=""),"",SUMIFS('Barang Keluar'!$E:$E,'Barang Keluar'!$A:$A,M27698,'Barang Keluar'!$C:$C,N27698))</f>
        <v>0</v>
      </c>
    </row>
    <row r="27699" spans="13:16">
      <c r="M27699" s="49">
        <f>IF($A$4+276&gt;$B$4,"",$A$4+276)</f>
        <v>46299</v>
      </c>
      <c r="N27699">
        <f>IF(M27699="","",'Master Barang'!A93)</f>
        <v>0</v>
      </c>
      <c r="O27699">
        <f>IF(N27699="","",'Master Barang'!B93)</f>
        <v>0</v>
      </c>
      <c r="P27699">
        <f>IF(OR(M27699="",N27699=""),"",SUMIFS('Barang Keluar'!$E:$E,'Barang Keluar'!$A:$A,M27699,'Barang Keluar'!$C:$C,N27699))</f>
        <v>0</v>
      </c>
    </row>
    <row r="27700" spans="13:16">
      <c r="M27700" s="49">
        <f>IF($A$4+276&gt;$B$4,"",$A$4+276)</f>
        <v>46299</v>
      </c>
      <c r="N27700">
        <f>IF(M27700="","",'Master Barang'!A94)</f>
        <v>0</v>
      </c>
      <c r="O27700">
        <f>IF(N27700="","",'Master Barang'!B94)</f>
        <v>0</v>
      </c>
      <c r="P27700">
        <f>IF(OR(M27700="",N27700=""),"",SUMIFS('Barang Keluar'!$E:$E,'Barang Keluar'!$A:$A,M27700,'Barang Keluar'!$C:$C,N27700))</f>
        <v>0</v>
      </c>
    </row>
    <row r="27701" spans="13:16">
      <c r="M27701" s="49">
        <f>IF($A$4+276&gt;$B$4,"",$A$4+276)</f>
        <v>46299</v>
      </c>
      <c r="N27701">
        <f>IF(M27701="","",'Master Barang'!A95)</f>
        <v>0</v>
      </c>
      <c r="O27701">
        <f>IF(N27701="","",'Master Barang'!B95)</f>
        <v>0</v>
      </c>
      <c r="P27701">
        <f>IF(OR(M27701="",N27701=""),"",SUMIFS('Barang Keluar'!$E:$E,'Barang Keluar'!$A:$A,M27701,'Barang Keluar'!$C:$C,N27701))</f>
        <v>0</v>
      </c>
    </row>
    <row r="27702" spans="13:16">
      <c r="M27702" s="49">
        <f>IF($A$4+276&gt;$B$4,"",$A$4+276)</f>
        <v>46299</v>
      </c>
      <c r="N27702">
        <f>IF(M27702="","",'Master Barang'!A96)</f>
        <v>0</v>
      </c>
      <c r="O27702">
        <f>IF(N27702="","",'Master Barang'!B96)</f>
        <v>0</v>
      </c>
      <c r="P27702">
        <f>IF(OR(M27702="",N27702=""),"",SUMIFS('Barang Keluar'!$E:$E,'Barang Keluar'!$A:$A,M27702,'Barang Keluar'!$C:$C,N27702))</f>
        <v>0</v>
      </c>
    </row>
    <row r="27703" spans="13:16">
      <c r="M27703" s="49">
        <f>IF($A$4+276&gt;$B$4,"",$A$4+276)</f>
        <v>46299</v>
      </c>
      <c r="N27703">
        <f>IF(M27703="","",'Master Barang'!A97)</f>
        <v>0</v>
      </c>
      <c r="O27703">
        <f>IF(N27703="","",'Master Barang'!B97)</f>
        <v>0</v>
      </c>
      <c r="P27703">
        <f>IF(OR(M27703="",N27703=""),"",SUMIFS('Barang Keluar'!$E:$E,'Barang Keluar'!$A:$A,M27703,'Barang Keluar'!$C:$C,N27703))</f>
        <v>0</v>
      </c>
    </row>
    <row r="27704" spans="13:16">
      <c r="M27704" s="49">
        <f>IF($A$4+276&gt;$B$4,"",$A$4+276)</f>
        <v>46299</v>
      </c>
      <c r="N27704">
        <f>IF(M27704="","",'Master Barang'!A98)</f>
        <v>0</v>
      </c>
      <c r="O27704">
        <f>IF(N27704="","",'Master Barang'!B98)</f>
        <v>0</v>
      </c>
      <c r="P27704">
        <f>IF(OR(M27704="",N27704=""),"",SUMIFS('Barang Keluar'!$E:$E,'Barang Keluar'!$A:$A,M27704,'Barang Keluar'!$C:$C,N27704))</f>
        <v>0</v>
      </c>
    </row>
    <row r="27705" spans="13:16">
      <c r="M27705" s="49">
        <f>IF($A$4+276&gt;$B$4,"",$A$4+276)</f>
        <v>46299</v>
      </c>
      <c r="N27705">
        <f>IF(M27705="","",'Master Barang'!A99)</f>
        <v>0</v>
      </c>
      <c r="O27705">
        <f>IF(N27705="","",'Master Barang'!B99)</f>
        <v>0</v>
      </c>
      <c r="P27705">
        <f>IF(OR(M27705="",N27705=""),"",SUMIFS('Barang Keluar'!$E:$E,'Barang Keluar'!$A:$A,M27705,'Barang Keluar'!$C:$C,N27705))</f>
        <v>0</v>
      </c>
    </row>
    <row r="27706" spans="13:16">
      <c r="M27706" s="49">
        <f>IF($A$4+276&gt;$B$4,"",$A$4+276)</f>
        <v>46299</v>
      </c>
      <c r="N27706">
        <f>IF(M27706="","",'Master Barang'!A100)</f>
        <v>0</v>
      </c>
      <c r="O27706">
        <f>IF(N27706="","",'Master Barang'!B100)</f>
        <v>0</v>
      </c>
      <c r="P27706">
        <f>IF(OR(M27706="",N27706=""),"",SUMIFS('Barang Keluar'!$E:$E,'Barang Keluar'!$A:$A,M27706,'Barang Keluar'!$C:$C,N27706))</f>
        <v>0</v>
      </c>
    </row>
    <row r="27707" spans="13:16">
      <c r="M27707" s="49">
        <f>IF($A$4+276&gt;$B$4,"",$A$4+276)</f>
        <v>46299</v>
      </c>
      <c r="N27707">
        <f>IF(M27707="","",'Master Barang'!A101)</f>
        <v>0</v>
      </c>
      <c r="O27707">
        <f>IF(N27707="","",'Master Barang'!B101)</f>
        <v>0</v>
      </c>
      <c r="P27707">
        <f>IF(OR(M27707="",N27707=""),"",SUMIFS('Barang Keluar'!$E:$E,'Barang Keluar'!$A:$A,M27707,'Barang Keluar'!$C:$C,N27707))</f>
        <v>0</v>
      </c>
    </row>
    <row r="27708" spans="13:16">
      <c r="M27708" s="49">
        <f>IF($A$4+277&gt;$B$4,"",$A$4+277)</f>
        <v>46300</v>
      </c>
      <c r="N27708" t="str">
        <f>IF(M27708="","",'Master Barang'!A2)</f>
        <v>PRL-001</v>
      </c>
      <c r="O27708" t="str">
        <f>IF(N27708="","",'Master Barang'!B2)</f>
        <v>natura desinfectant food grade 5l</v>
      </c>
      <c r="P27708">
        <f>IF(OR(M27708="",N27708=""),"",SUMIFS('Barang Keluar'!$E:$E,'Barang Keluar'!$A:$A,M27708,'Barang Keluar'!$C:$C,N27708))</f>
        <v>0</v>
      </c>
    </row>
    <row r="27709" spans="13:16">
      <c r="M27709" s="49">
        <f>IF($A$4+277&gt;$B$4,"",$A$4+277)</f>
        <v>46300</v>
      </c>
      <c r="N27709" t="str">
        <f>IF(M27709="","",'Master Barang'!A3)</f>
        <v>PRL-002</v>
      </c>
      <c r="O27709" t="str">
        <f>IF(N27709="","",'Master Barang'!B3)</f>
        <v>sunlight cairan pencuci piring 5l</v>
      </c>
      <c r="P27709">
        <f>IF(OR(M27709="",N27709=""),"",SUMIFS('Barang Keluar'!$E:$E,'Barang Keluar'!$A:$A,M27709,'Barang Keluar'!$C:$C,N27709))</f>
        <v>0</v>
      </c>
    </row>
    <row r="27710" spans="13:16">
      <c r="M27710" s="49">
        <f>IF($A$4+277&gt;$B$4,"",$A$4+277)</f>
        <v>46300</v>
      </c>
      <c r="N27710" t="str">
        <f>IF(M27710="","",'Master Barang'!A4)</f>
        <v>PRL-003</v>
      </c>
      <c r="O27710" t="str">
        <f>IF(N27710="","",'Master Barang'!B4)</f>
        <v>oixs cleaner 1l</v>
      </c>
      <c r="P27710">
        <f>IF(OR(M27710="",N27710=""),"",SUMIFS('Barang Keluar'!$E:$E,'Barang Keluar'!$A:$A,M27710,'Barang Keluar'!$C:$C,N27710))</f>
        <v>0</v>
      </c>
    </row>
    <row r="27711" spans="13:16">
      <c r="M27711" s="49">
        <f>IF($A$4+277&gt;$B$4,"",$A$4+277)</f>
        <v>46300</v>
      </c>
      <c r="N27711" t="str">
        <f>IF(M27711="","",'Master Barang'!A5)</f>
        <v>PRL-004</v>
      </c>
      <c r="O27711" t="str">
        <f>IF(N27711="","",'Master Barang'!B5)</f>
        <v>be clean tissue serbaguna</v>
      </c>
      <c r="P27711">
        <f>IF(OR(M27711="",N27711=""),"",SUMIFS('Barang Keluar'!$E:$E,'Barang Keluar'!$A:$A,M27711,'Barang Keluar'!$C:$C,N27711))</f>
        <v>0</v>
      </c>
    </row>
    <row r="27712" spans="13:16">
      <c r="M27712" s="49">
        <f>IF($A$4+277&gt;$B$4,"",$A$4+277)</f>
        <v>46300</v>
      </c>
      <c r="N27712" t="str">
        <f>IF(M27712="","",'Master Barang'!A6)</f>
        <v>PRL-005</v>
      </c>
      <c r="O27712" t="str">
        <f>IF(N27712="","",'Master Barang'!B6)</f>
        <v>spons cuci hijau</v>
      </c>
      <c r="P27712">
        <f>IF(OR(M27712="",N27712=""),"",SUMIFS('Barang Keluar'!$E:$E,'Barang Keluar'!$A:$A,M27712,'Barang Keluar'!$C:$C,N27712))</f>
        <v>0</v>
      </c>
    </row>
    <row r="27713" spans="13:16">
      <c r="M27713" s="49">
        <f>IF($A$4+277&gt;$B$4,"",$A$4+277)</f>
        <v>46300</v>
      </c>
      <c r="N27713" t="str">
        <f>IF(M27713="","",'Master Barang'!A7)</f>
        <v>PRL-006</v>
      </c>
      <c r="O27713" t="str">
        <f>IF(N27713="","",'Master Barang'!B7)</f>
        <v>sabut cuci stainless</v>
      </c>
      <c r="P27713">
        <f>IF(OR(M27713="",N27713=""),"",SUMIFS('Barang Keluar'!$E:$E,'Barang Keluar'!$A:$A,M27713,'Barang Keluar'!$C:$C,N27713))</f>
        <v>0</v>
      </c>
    </row>
    <row r="27714" spans="13:16">
      <c r="M27714" s="49">
        <f>IF($A$4+277&gt;$B$4,"",$A$4+277)</f>
        <v>46300</v>
      </c>
      <c r="N27714" t="str">
        <f>IF(M27714="","",'Master Barang'!A8)</f>
        <v>PRL-007</v>
      </c>
      <c r="O27714" t="str">
        <f>IF(N27714="","",'Master Barang'!B8)</f>
        <v>plastik kresek besar merah 50pc</v>
      </c>
      <c r="P27714">
        <f>IF(OR(M27714="",N27714=""),"",SUMIFS('Barang Keluar'!$E:$E,'Barang Keluar'!$A:$A,M27714,'Barang Keluar'!$C:$C,N27714))</f>
        <v>0</v>
      </c>
    </row>
    <row r="27715" spans="13:16">
      <c r="M27715" s="49">
        <f>IF($A$4+277&gt;$B$4,"",$A$4+277)</f>
        <v>46300</v>
      </c>
      <c r="N27715" t="str">
        <f>IF(M27715="","",'Master Barang'!A9)</f>
        <v>PRL-008</v>
      </c>
      <c r="O27715" t="str">
        <f>IF(N27715="","",'Master Barang'!B9)</f>
        <v>lap besar</v>
      </c>
      <c r="P27715">
        <f>IF(OR(M27715="",N27715=""),"",SUMIFS('Barang Keluar'!$E:$E,'Barang Keluar'!$A:$A,M27715,'Barang Keluar'!$C:$C,N27715))</f>
        <v>0</v>
      </c>
    </row>
    <row r="27716" spans="13:16">
      <c r="M27716" s="49">
        <f>IF($A$4+277&gt;$B$4,"",$A$4+277)</f>
        <v>46300</v>
      </c>
      <c r="N27716" t="str">
        <f>IF(M27716="","",'Master Barang'!A10)</f>
        <v>PRL-009</v>
      </c>
      <c r="O27716" t="str">
        <f>IF(N27716="","",'Master Barang'!B10)</f>
        <v>lap microfiber</v>
      </c>
      <c r="P27716">
        <f>IF(OR(M27716="",N27716=""),"",SUMIFS('Barang Keluar'!$E:$E,'Barang Keluar'!$A:$A,M27716,'Barang Keluar'!$C:$C,N27716))</f>
        <v>0</v>
      </c>
    </row>
    <row r="27717" spans="13:16">
      <c r="M27717" s="49">
        <f>IF($A$4+277&gt;$B$4,"",$A$4+277)</f>
        <v>46300</v>
      </c>
      <c r="N27717" t="str">
        <f>IF(M27717="","",'Master Barang'!A11)</f>
        <v>PRL-010</v>
      </c>
      <c r="O27717" t="str">
        <f>IF(N27717="","",'Master Barang'!B11)</f>
        <v>lap kecil</v>
      </c>
      <c r="P27717">
        <f>IF(OR(M27717="",N27717=""),"",SUMIFS('Barang Keluar'!$E:$E,'Barang Keluar'!$A:$A,M27717,'Barang Keluar'!$C:$C,N27717))</f>
        <v>0</v>
      </c>
    </row>
    <row r="27718" spans="13:16">
      <c r="M27718" s="49">
        <f>IF($A$4+277&gt;$B$4,"",$A$4+277)</f>
        <v>46300</v>
      </c>
      <c r="N27718" t="str">
        <f>IF(M27718="","",'Master Barang'!A12)</f>
        <v>PRL-011</v>
      </c>
      <c r="O27718" t="str">
        <f>IF(N27718="","",'Master Barang'!B12)</f>
        <v>kanebo kecil</v>
      </c>
      <c r="P27718">
        <f>IF(OR(M27718="",N27718=""),"",SUMIFS('Barang Keluar'!$E:$E,'Barang Keluar'!$A:$A,M27718,'Barang Keluar'!$C:$C,N27718))</f>
        <v>0</v>
      </c>
    </row>
    <row r="27719" spans="13:16">
      <c r="M27719" s="49">
        <f>IF($A$4+277&gt;$B$4,"",$A$4+277)</f>
        <v>46300</v>
      </c>
      <c r="N27719" t="str">
        <f>IF(M27719="","",'Master Barang'!A13)</f>
        <v>PRL-012</v>
      </c>
      <c r="O27719" t="str">
        <f>IF(N27719="","",'Master Barang'!B13)</f>
        <v>plastik 1/4kg joyoboyo 100 lembar</v>
      </c>
      <c r="P27719">
        <f>IF(OR(M27719="",N27719=""),"",SUMIFS('Barang Keluar'!$E:$E,'Barang Keluar'!$A:$A,M27719,'Barang Keluar'!$C:$C,N27719))</f>
        <v>0</v>
      </c>
    </row>
    <row r="27720" spans="13:16">
      <c r="M27720" s="49">
        <f>IF($A$4+277&gt;$B$4,"",$A$4+277)</f>
        <v>46300</v>
      </c>
      <c r="N27720" t="str">
        <f>IF(M27720="","",'Master Barang'!A14)</f>
        <v>PRL-013</v>
      </c>
      <c r="O27720" t="str">
        <f>IF(N27720="","",'Master Barang'!B14)</f>
        <v>sarung tangan plastik kaka 100 pcs</v>
      </c>
      <c r="P27720">
        <f>IF(OR(M27720="",N27720=""),"",SUMIFS('Barang Keluar'!$E:$E,'Barang Keluar'!$A:$A,M27720,'Barang Keluar'!$C:$C,N27720))</f>
        <v>0</v>
      </c>
    </row>
    <row r="27721" spans="13:16">
      <c r="M27721" s="49">
        <f>IF($A$4+277&gt;$B$4,"",$A$4+277)</f>
        <v>46300</v>
      </c>
      <c r="N27721" t="str">
        <f>IF(M27721="","",'Master Barang'!A15)</f>
        <v>PRL-014</v>
      </c>
      <c r="O27721" t="str">
        <f>IF(N27721="","",'Master Barang'!B15)</f>
        <v>optima trashbag 80x100</v>
      </c>
      <c r="P27721">
        <f>IF(OR(M27721="",N27721=""),"",SUMIFS('Barang Keluar'!$E:$E,'Barang Keluar'!$A:$A,M27721,'Barang Keluar'!$C:$C,N27721))</f>
        <v>0</v>
      </c>
    </row>
    <row r="27722" spans="13:16">
      <c r="M27722" s="49">
        <f>IF($A$4+277&gt;$B$4,"",$A$4+277)</f>
        <v>46300</v>
      </c>
      <c r="N27722" t="str">
        <f>IF(M27722="","",'Master Barang'!A16)</f>
        <v>PRL-015</v>
      </c>
      <c r="O27722" t="str">
        <f>IF(N27722="","",'Master Barang'!B16)</f>
        <v>optima trashbag 60x100</v>
      </c>
      <c r="P27722">
        <f>IF(OR(M27722="",N27722=""),"",SUMIFS('Barang Keluar'!$E:$E,'Barang Keluar'!$A:$A,M27722,'Barang Keluar'!$C:$C,N27722))</f>
        <v>0</v>
      </c>
    </row>
    <row r="27723" spans="13:16">
      <c r="M27723" s="49">
        <f>IF($A$4+277&gt;$B$4,"",$A$4+277)</f>
        <v>46300</v>
      </c>
      <c r="N27723" t="str">
        <f>IF(M27723="","",'Master Barang'!A17)</f>
        <v>PRL-016</v>
      </c>
      <c r="O27723" t="str">
        <f>IF(N27723="","",'Master Barang'!B17)</f>
        <v>rajawali trashbag 30x40</v>
      </c>
      <c r="P27723">
        <f>IF(OR(M27723="",N27723=""),"",SUMIFS('Barang Keluar'!$E:$E,'Barang Keluar'!$A:$A,M27723,'Barang Keluar'!$C:$C,N27723))</f>
        <v>0</v>
      </c>
    </row>
    <row r="27724" spans="13:16">
      <c r="M27724" s="49">
        <f>IF($A$4+277&gt;$B$4,"",$A$4+277)</f>
        <v>46300</v>
      </c>
      <c r="N27724" t="str">
        <f>IF(M27724="","",'Master Barang'!A18)</f>
        <v>PRL-017</v>
      </c>
      <c r="O27724" t="str">
        <f>IF(N27724="","",'Master Barang'!B18)</f>
        <v>onemed masker biru 3 play 50 pcs</v>
      </c>
      <c r="P27724">
        <f>IF(OR(M27724="",N27724=""),"",SUMIFS('Barang Keluar'!$E:$E,'Barang Keluar'!$A:$A,M27724,'Barang Keluar'!$C:$C,N27724))</f>
        <v>0</v>
      </c>
    </row>
    <row r="27725" spans="13:16">
      <c r="M27725" s="49">
        <f>IF($A$4+277&gt;$B$4,"",$A$4+277)</f>
        <v>46300</v>
      </c>
      <c r="N27725" t="str">
        <f>IF(M27725="","",'Master Barang'!A19)</f>
        <v>PRL-018</v>
      </c>
      <c r="O27725" t="str">
        <f>IF(N27725="","",'Master Barang'!B19)</f>
        <v>onemed masker biru 3 play hijab 50 pcs</v>
      </c>
      <c r="P27725">
        <f>IF(OR(M27725="",N27725=""),"",SUMIFS('Barang Keluar'!$E:$E,'Barang Keluar'!$A:$A,M27725,'Barang Keluar'!$C:$C,N27725))</f>
        <v>0</v>
      </c>
    </row>
    <row r="27726" spans="13:16">
      <c r="M27726" s="49">
        <f>IF($A$4+277&gt;$B$4,"",$A$4+277)</f>
        <v>46300</v>
      </c>
      <c r="N27726" t="str">
        <f>IF(M27726="","",'Master Barang'!A20)</f>
        <v>PRL-019</v>
      </c>
      <c r="O27726" t="str">
        <f>IF(N27726="","",'Master Barang'!B20)</f>
        <v>neo health masker biru 3 play 50 pcs</v>
      </c>
      <c r="P27726">
        <f>IF(OR(M27726="",N27726=""),"",SUMIFS('Barang Keluar'!$E:$E,'Barang Keluar'!$A:$A,M27726,'Barang Keluar'!$C:$C,N27726))</f>
        <v>0</v>
      </c>
    </row>
    <row r="27727" spans="13:16">
      <c r="M27727" s="49">
        <f>IF($A$4+277&gt;$B$4,"",$A$4+277)</f>
        <v>46300</v>
      </c>
      <c r="N27727" t="str">
        <f>IF(M27727="","",'Master Barang'!A21)</f>
        <v>PRL-020</v>
      </c>
      <c r="O27727" t="str">
        <f>IF(N27727="","",'Master Barang'!B21)</f>
        <v>baymed masker hijau 3 play hijau 50 pcs</v>
      </c>
      <c r="P27727">
        <f>IF(OR(M27727="",N27727=""),"",SUMIFS('Barang Keluar'!$E:$E,'Barang Keluar'!$A:$A,M27727,'Barang Keluar'!$C:$C,N27727))</f>
        <v>0</v>
      </c>
    </row>
    <row r="27728" spans="13:16">
      <c r="M27728" s="49">
        <f>IF($A$4+277&gt;$B$4,"",$A$4+277)</f>
        <v>46300</v>
      </c>
      <c r="N27728" t="str">
        <f>IF(M27728="","",'Master Barang'!A22)</f>
        <v>PRL-021</v>
      </c>
      <c r="O27728" t="str">
        <f>IF(N27728="","",'Master Barang'!B22)</f>
        <v>altamed nurse cap penutup kepala 100 pcs</v>
      </c>
      <c r="P27728">
        <f>IF(OR(M27728="",N27728=""),"",SUMIFS('Barang Keluar'!$E:$E,'Barang Keluar'!$A:$A,M27728,'Barang Keluar'!$C:$C,N27728))</f>
        <v>0</v>
      </c>
    </row>
    <row r="27729" spans="13:16">
      <c r="M27729" s="49">
        <f>IF($A$4+277&gt;$B$4,"",$A$4+277)</f>
        <v>46300</v>
      </c>
      <c r="N27729" t="str">
        <f>IF(M27729="","",'Master Barang'!A23)</f>
        <v>PRL-022</v>
      </c>
      <c r="O27729" t="str">
        <f>IF(N27729="","",'Master Barang'!B23)</f>
        <v>sabun cuci tangan</v>
      </c>
      <c r="P27729">
        <f>IF(OR(M27729="",N27729=""),"",SUMIFS('Barang Keluar'!$E:$E,'Barang Keluar'!$A:$A,M27729,'Barang Keluar'!$C:$C,N27729))</f>
        <v>0</v>
      </c>
    </row>
    <row r="27730" spans="13:16">
      <c r="M27730" s="49">
        <f>IF($A$4+277&gt;$B$4,"",$A$4+277)</f>
        <v>46300</v>
      </c>
      <c r="N27730" t="str">
        <f>IF(M27730="","",'Master Barang'!A24)</f>
        <v>PRL-023</v>
      </c>
      <c r="O27730" t="str">
        <f>IF(N27730="","",'Master Barang'!B24)</f>
        <v>gayung kecil</v>
      </c>
      <c r="P27730">
        <f>IF(OR(M27730="",N27730=""),"",SUMIFS('Barang Keluar'!$E:$E,'Barang Keluar'!$A:$A,M27730,'Barang Keluar'!$C:$C,N27730))</f>
        <v>0</v>
      </c>
    </row>
    <row r="27731" spans="13:16">
      <c r="M27731" s="49">
        <f>IF($A$4+277&gt;$B$4,"",$A$4+277)</f>
        <v>46300</v>
      </c>
      <c r="N27731" t="str">
        <f>IF(M27731="","",'Master Barang'!A25)</f>
        <v>PRL-024</v>
      </c>
      <c r="O27731" t="str">
        <f>IF(N27731="","",'Master Barang'!B25)</f>
        <v>cikrak kecil</v>
      </c>
      <c r="P27731">
        <f>IF(OR(M27731="",N27731=""),"",SUMIFS('Barang Keluar'!$E:$E,'Barang Keluar'!$A:$A,M27731,'Barang Keluar'!$C:$C,N27731))</f>
        <v>0</v>
      </c>
    </row>
    <row r="27732" spans="13:16">
      <c r="M27732" s="49">
        <f>IF($A$4+277&gt;$B$4,"",$A$4+277)</f>
        <v>46300</v>
      </c>
      <c r="N27732" t="str">
        <f>IF(M27732="","",'Master Barang'!A26)</f>
        <v>PRL-025</v>
      </c>
      <c r="O27732" t="str">
        <f>IF(N27732="","",'Master Barang'!B26)</f>
        <v>petromax plastik kecil 12x24 100 lembar</v>
      </c>
      <c r="P27732">
        <f>IF(OR(M27732="",N27732=""),"",SUMIFS('Barang Keluar'!$E:$E,'Barang Keluar'!$A:$A,M27732,'Barang Keluar'!$C:$C,N27732))</f>
        <v>0</v>
      </c>
    </row>
    <row r="27733" spans="13:16">
      <c r="M27733" s="49">
        <f>IF($A$4+277&gt;$B$4,"",$A$4+277)</f>
        <v>46300</v>
      </c>
      <c r="N27733" t="str">
        <f>IF(M27733="","",'Master Barang'!A27)</f>
        <v>PRL-026</v>
      </c>
      <c r="O27733" t="str">
        <f>IF(N27733="","",'Master Barang'!B27)</f>
        <v>lancar kresek kecil bening </v>
      </c>
      <c r="P27733">
        <f>IF(OR(M27733="",N27733=""),"",SUMIFS('Barang Keluar'!$E:$E,'Barang Keluar'!$A:$A,M27733,'Barang Keluar'!$C:$C,N27733))</f>
        <v>0</v>
      </c>
    </row>
    <row r="27734" spans="13:16">
      <c r="M27734" s="49">
        <f>IF($A$4+277&gt;$B$4,"",$A$4+277)</f>
        <v>46300</v>
      </c>
      <c r="N27734" t="str">
        <f>IF(M27734="","",'Master Barang'!A28)</f>
        <v>PRL-027</v>
      </c>
      <c r="O27734" t="str">
        <f>IF(N27734="","",'Master Barang'!B28)</f>
        <v>kresek klin warna warni kecil</v>
      </c>
      <c r="P27734">
        <f>IF(OR(M27734="",N27734=""),"",SUMIFS('Barang Keluar'!$E:$E,'Barang Keluar'!$A:$A,M27734,'Barang Keluar'!$C:$C,N27734))</f>
        <v>0</v>
      </c>
    </row>
    <row r="27735" spans="13:16">
      <c r="M27735" s="49">
        <f>IF($A$4+277&gt;$B$4,"",$A$4+277)</f>
        <v>46300</v>
      </c>
      <c r="N27735" t="str">
        <f>IF(M27735="","",'Master Barang'!A29)</f>
        <v>PRL-028</v>
      </c>
      <c r="O27735" t="str">
        <f>IF(N27735="","",'Master Barang'!B29)</f>
        <v>ctik plastik 7x10 100 pcs</v>
      </c>
      <c r="P27735">
        <f>IF(OR(M27735="",N27735=""),"",SUMIFS('Barang Keluar'!$E:$E,'Barang Keluar'!$A:$A,M27735,'Barang Keluar'!$C:$C,N27735))</f>
        <v>0</v>
      </c>
    </row>
    <row r="27736" spans="13:16">
      <c r="M27736" s="49">
        <f>IF($A$4+277&gt;$B$4,"",$A$4+277)</f>
        <v>46300</v>
      </c>
      <c r="N27736" t="str">
        <f>IF(M27736="","",'Master Barang'!A30)</f>
        <v>PRL-029</v>
      </c>
      <c r="O27736" t="str">
        <f>IF(N27736="","",'Master Barang'!B30)</f>
        <v>ctik plastik 6x10 100 pcs</v>
      </c>
      <c r="P27736">
        <f>IF(OR(M27736="",N27736=""),"",SUMIFS('Barang Keluar'!$E:$E,'Barang Keluar'!$A:$A,M27736,'Barang Keluar'!$C:$C,N27736))</f>
        <v>0</v>
      </c>
    </row>
    <row r="27737" spans="13:16">
      <c r="M27737" s="49">
        <f>IF($A$4+277&gt;$B$4,"",$A$4+277)</f>
        <v>46300</v>
      </c>
      <c r="N27737" t="str">
        <f>IF(M27737="","",'Master Barang'!A31)</f>
        <v>PRL-030</v>
      </c>
      <c r="O27737" t="str">
        <f>IF(N27737="","",'Master Barang'!B31)</f>
        <v>klip plastik 25x16 100 pcs</v>
      </c>
      <c r="P27737">
        <f>IF(OR(M27737="",N27737=""),"",SUMIFS('Barang Keluar'!$E:$E,'Barang Keluar'!$A:$A,M27737,'Barang Keluar'!$C:$C,N27737))</f>
        <v>0</v>
      </c>
    </row>
    <row r="27738" spans="13:16">
      <c r="M27738" s="49">
        <f>IF($A$4+277&gt;$B$4,"",$A$4+277)</f>
        <v>46300</v>
      </c>
      <c r="N27738" t="str">
        <f>IF(M27738="","",'Master Barang'!A32)</f>
        <v>PRL-031</v>
      </c>
      <c r="O27738" t="str">
        <f>IF(N27738="","",'Master Barang'!B32)</f>
        <v>tempat saus 20 ml</v>
      </c>
      <c r="P27738">
        <f>IF(OR(M27738="",N27738=""),"",SUMIFS('Barang Keluar'!$E:$E,'Barang Keluar'!$A:$A,M27738,'Barang Keluar'!$C:$C,N27738))</f>
        <v>0</v>
      </c>
    </row>
    <row r="27739" spans="13:16">
      <c r="M27739" s="49">
        <f>IF($A$4+277&gt;$B$4,"",$A$4+277)</f>
        <v>46300</v>
      </c>
      <c r="N27739" t="str">
        <f>IF(M27739="","",'Master Barang'!A33)</f>
        <v>PRL-032</v>
      </c>
      <c r="O27739" t="str">
        <f>IF(N27739="","",'Master Barang'!B33)</f>
        <v>plastik packaging ag box uk sedang</v>
      </c>
      <c r="P27739">
        <f>IF(OR(M27739="",N27739=""),"",SUMIFS('Barang Keluar'!$E:$E,'Barang Keluar'!$A:$A,M27739,'Barang Keluar'!$C:$C,N27739))</f>
        <v>0</v>
      </c>
    </row>
    <row r="27740" spans="13:16">
      <c r="M27740" s="49">
        <f>IF($A$4+277&gt;$B$4,"",$A$4+277)</f>
        <v>46300</v>
      </c>
      <c r="N27740" t="str">
        <f>IF(M27740="","",'Master Barang'!A34)</f>
        <v>PRL-033</v>
      </c>
      <c r="O27740">
        <f>IF(N27740="","",'Master Barang'!B34)</f>
        <v>0</v>
      </c>
      <c r="P27740">
        <f>IF(OR(M27740="",N27740=""),"",SUMIFS('Barang Keluar'!$E:$E,'Barang Keluar'!$A:$A,M27740,'Barang Keluar'!$C:$C,N27740))</f>
        <v>0</v>
      </c>
    </row>
    <row r="27741" spans="13:16">
      <c r="M27741" s="49">
        <f>IF($A$4+277&gt;$B$4,"",$A$4+277)</f>
        <v>46300</v>
      </c>
      <c r="N27741">
        <f>IF(M27741="","",'Master Barang'!A35)</f>
        <v>0</v>
      </c>
      <c r="O27741">
        <f>IF(N27741="","",'Master Barang'!B35)</f>
        <v>0</v>
      </c>
      <c r="P27741">
        <f>IF(OR(M27741="",N27741=""),"",SUMIFS('Barang Keluar'!$E:$E,'Barang Keluar'!$A:$A,M27741,'Barang Keluar'!$C:$C,N27741))</f>
        <v>0</v>
      </c>
    </row>
    <row r="27742" spans="13:16">
      <c r="M27742" s="49">
        <f>IF($A$4+277&gt;$B$4,"",$A$4+277)</f>
        <v>46300</v>
      </c>
      <c r="N27742">
        <f>IF(M27742="","",'Master Barang'!A36)</f>
        <v>0</v>
      </c>
      <c r="O27742">
        <f>IF(N27742="","",'Master Barang'!B36)</f>
        <v>0</v>
      </c>
      <c r="P27742">
        <f>IF(OR(M27742="",N27742=""),"",SUMIFS('Barang Keluar'!$E:$E,'Barang Keluar'!$A:$A,M27742,'Barang Keluar'!$C:$C,N27742))</f>
        <v>0</v>
      </c>
    </row>
    <row r="27743" spans="13:16">
      <c r="M27743" s="49">
        <f>IF($A$4+277&gt;$B$4,"",$A$4+277)</f>
        <v>46300</v>
      </c>
      <c r="N27743">
        <f>IF(M27743="","",'Master Barang'!A37)</f>
        <v>0</v>
      </c>
      <c r="O27743">
        <f>IF(N27743="","",'Master Barang'!B37)</f>
        <v>0</v>
      </c>
      <c r="P27743">
        <f>IF(OR(M27743="",N27743=""),"",SUMIFS('Barang Keluar'!$E:$E,'Barang Keluar'!$A:$A,M27743,'Barang Keluar'!$C:$C,N27743))</f>
        <v>0</v>
      </c>
    </row>
    <row r="27744" spans="13:16">
      <c r="M27744" s="49">
        <f>IF($A$4+277&gt;$B$4,"",$A$4+277)</f>
        <v>46300</v>
      </c>
      <c r="N27744">
        <f>IF(M27744="","",'Master Barang'!A38)</f>
        <v>0</v>
      </c>
      <c r="O27744">
        <f>IF(N27744="","",'Master Barang'!B38)</f>
        <v>0</v>
      </c>
      <c r="P27744">
        <f>IF(OR(M27744="",N27744=""),"",SUMIFS('Barang Keluar'!$E:$E,'Barang Keluar'!$A:$A,M27744,'Barang Keluar'!$C:$C,N27744))</f>
        <v>0</v>
      </c>
    </row>
    <row r="27745" spans="13:16">
      <c r="M27745" s="49">
        <f>IF($A$4+277&gt;$B$4,"",$A$4+277)</f>
        <v>46300</v>
      </c>
      <c r="N27745">
        <f>IF(M27745="","",'Master Barang'!A39)</f>
        <v>0</v>
      </c>
      <c r="O27745">
        <f>IF(N27745="","",'Master Barang'!B39)</f>
        <v>0</v>
      </c>
      <c r="P27745">
        <f>IF(OR(M27745="",N27745=""),"",SUMIFS('Barang Keluar'!$E:$E,'Barang Keluar'!$A:$A,M27745,'Barang Keluar'!$C:$C,N27745))</f>
        <v>0</v>
      </c>
    </row>
    <row r="27746" spans="13:16">
      <c r="M27746" s="49">
        <f>IF($A$4+277&gt;$B$4,"",$A$4+277)</f>
        <v>46300</v>
      </c>
      <c r="N27746">
        <f>IF(M27746="","",'Master Barang'!A40)</f>
        <v>0</v>
      </c>
      <c r="O27746">
        <f>IF(N27746="","",'Master Barang'!B40)</f>
        <v>0</v>
      </c>
      <c r="P27746">
        <f>IF(OR(M27746="",N27746=""),"",SUMIFS('Barang Keluar'!$E:$E,'Barang Keluar'!$A:$A,M27746,'Barang Keluar'!$C:$C,N27746))</f>
        <v>0</v>
      </c>
    </row>
    <row r="27747" spans="13:16">
      <c r="M27747" s="49">
        <f>IF($A$4+277&gt;$B$4,"",$A$4+277)</f>
        <v>46300</v>
      </c>
      <c r="N27747">
        <f>IF(M27747="","",'Master Barang'!A41)</f>
        <v>0</v>
      </c>
      <c r="O27747">
        <f>IF(N27747="","",'Master Barang'!B41)</f>
        <v>0</v>
      </c>
      <c r="P27747">
        <f>IF(OR(M27747="",N27747=""),"",SUMIFS('Barang Keluar'!$E:$E,'Barang Keluar'!$A:$A,M27747,'Barang Keluar'!$C:$C,N27747))</f>
        <v>0</v>
      </c>
    </row>
    <row r="27748" spans="13:16">
      <c r="M27748" s="49">
        <f>IF($A$4+277&gt;$B$4,"",$A$4+277)</f>
        <v>46300</v>
      </c>
      <c r="N27748">
        <f>IF(M27748="","",'Master Barang'!A42)</f>
        <v>0</v>
      </c>
      <c r="O27748">
        <f>IF(N27748="","",'Master Barang'!B42)</f>
        <v>0</v>
      </c>
      <c r="P27748">
        <f>IF(OR(M27748="",N27748=""),"",SUMIFS('Barang Keluar'!$E:$E,'Barang Keluar'!$A:$A,M27748,'Barang Keluar'!$C:$C,N27748))</f>
        <v>0</v>
      </c>
    </row>
    <row r="27749" spans="13:16">
      <c r="M27749" s="49">
        <f>IF($A$4+277&gt;$B$4,"",$A$4+277)</f>
        <v>46300</v>
      </c>
      <c r="N27749">
        <f>IF(M27749="","",'Master Barang'!A43)</f>
        <v>0</v>
      </c>
      <c r="O27749">
        <f>IF(N27749="","",'Master Barang'!B43)</f>
        <v>0</v>
      </c>
      <c r="P27749">
        <f>IF(OR(M27749="",N27749=""),"",SUMIFS('Barang Keluar'!$E:$E,'Barang Keluar'!$A:$A,M27749,'Barang Keluar'!$C:$C,N27749))</f>
        <v>0</v>
      </c>
    </row>
    <row r="27750" spans="13:16">
      <c r="M27750" s="49">
        <f>IF($A$4+277&gt;$B$4,"",$A$4+277)</f>
        <v>46300</v>
      </c>
      <c r="N27750">
        <f>IF(M27750="","",'Master Barang'!A44)</f>
        <v>0</v>
      </c>
      <c r="O27750">
        <f>IF(N27750="","",'Master Barang'!B44)</f>
        <v>0</v>
      </c>
      <c r="P27750">
        <f>IF(OR(M27750="",N27750=""),"",SUMIFS('Barang Keluar'!$E:$E,'Barang Keluar'!$A:$A,M27750,'Barang Keluar'!$C:$C,N27750))</f>
        <v>0</v>
      </c>
    </row>
    <row r="27751" spans="13:16">
      <c r="M27751" s="49">
        <f>IF($A$4+277&gt;$B$4,"",$A$4+277)</f>
        <v>46300</v>
      </c>
      <c r="N27751">
        <f>IF(M27751="","",'Master Barang'!A45)</f>
        <v>0</v>
      </c>
      <c r="O27751">
        <f>IF(N27751="","",'Master Barang'!B45)</f>
        <v>0</v>
      </c>
      <c r="P27751">
        <f>IF(OR(M27751="",N27751=""),"",SUMIFS('Barang Keluar'!$E:$E,'Barang Keluar'!$A:$A,M27751,'Barang Keluar'!$C:$C,N27751))</f>
        <v>0</v>
      </c>
    </row>
    <row r="27752" spans="13:16">
      <c r="M27752" s="49">
        <f>IF($A$4+277&gt;$B$4,"",$A$4+277)</f>
        <v>46300</v>
      </c>
      <c r="N27752">
        <f>IF(M27752="","",'Master Barang'!A46)</f>
        <v>0</v>
      </c>
      <c r="O27752">
        <f>IF(N27752="","",'Master Barang'!B46)</f>
        <v>0</v>
      </c>
      <c r="P27752">
        <f>IF(OR(M27752="",N27752=""),"",SUMIFS('Barang Keluar'!$E:$E,'Barang Keluar'!$A:$A,M27752,'Barang Keluar'!$C:$C,N27752))</f>
        <v>0</v>
      </c>
    </row>
    <row r="27753" spans="13:16">
      <c r="M27753" s="49">
        <f>IF($A$4+277&gt;$B$4,"",$A$4+277)</f>
        <v>46300</v>
      </c>
      <c r="N27753">
        <f>IF(M27753="","",'Master Barang'!A47)</f>
        <v>0</v>
      </c>
      <c r="O27753">
        <f>IF(N27753="","",'Master Barang'!B47)</f>
        <v>0</v>
      </c>
      <c r="P27753">
        <f>IF(OR(M27753="",N27753=""),"",SUMIFS('Barang Keluar'!$E:$E,'Barang Keluar'!$A:$A,M27753,'Barang Keluar'!$C:$C,N27753))</f>
        <v>0</v>
      </c>
    </row>
    <row r="27754" spans="13:16">
      <c r="M27754" s="49">
        <f>IF($A$4+277&gt;$B$4,"",$A$4+277)</f>
        <v>46300</v>
      </c>
      <c r="N27754">
        <f>IF(M27754="","",'Master Barang'!A48)</f>
        <v>0</v>
      </c>
      <c r="O27754">
        <f>IF(N27754="","",'Master Barang'!B48)</f>
        <v>0</v>
      </c>
      <c r="P27754">
        <f>IF(OR(M27754="",N27754=""),"",SUMIFS('Barang Keluar'!$E:$E,'Barang Keluar'!$A:$A,M27754,'Barang Keluar'!$C:$C,N27754))</f>
        <v>0</v>
      </c>
    </row>
    <row r="27755" spans="13:16">
      <c r="M27755" s="49">
        <f>IF($A$4+277&gt;$B$4,"",$A$4+277)</f>
        <v>46300</v>
      </c>
      <c r="N27755">
        <f>IF(M27755="","",'Master Barang'!A49)</f>
        <v>0</v>
      </c>
      <c r="O27755">
        <f>IF(N27755="","",'Master Barang'!B49)</f>
        <v>0</v>
      </c>
      <c r="P27755">
        <f>IF(OR(M27755="",N27755=""),"",SUMIFS('Barang Keluar'!$E:$E,'Barang Keluar'!$A:$A,M27755,'Barang Keluar'!$C:$C,N27755))</f>
        <v>0</v>
      </c>
    </row>
    <row r="27756" spans="13:16">
      <c r="M27756" s="49">
        <f>IF($A$4+277&gt;$B$4,"",$A$4+277)</f>
        <v>46300</v>
      </c>
      <c r="N27756">
        <f>IF(M27756="","",'Master Barang'!A50)</f>
        <v>0</v>
      </c>
      <c r="O27756">
        <f>IF(N27756="","",'Master Barang'!B50)</f>
        <v>0</v>
      </c>
      <c r="P27756">
        <f>IF(OR(M27756="",N27756=""),"",SUMIFS('Barang Keluar'!$E:$E,'Barang Keluar'!$A:$A,M27756,'Barang Keluar'!$C:$C,N27756))</f>
        <v>0</v>
      </c>
    </row>
    <row r="27757" spans="13:16">
      <c r="M27757" s="49">
        <f>IF($A$4+277&gt;$B$4,"",$A$4+277)</f>
        <v>46300</v>
      </c>
      <c r="N27757">
        <f>IF(M27757="","",'Master Barang'!A51)</f>
        <v>0</v>
      </c>
      <c r="O27757">
        <f>IF(N27757="","",'Master Barang'!B51)</f>
        <v>0</v>
      </c>
      <c r="P27757">
        <f>IF(OR(M27757="",N27757=""),"",SUMIFS('Barang Keluar'!$E:$E,'Barang Keluar'!$A:$A,M27757,'Barang Keluar'!$C:$C,N27757))</f>
        <v>0</v>
      </c>
    </row>
    <row r="27758" spans="13:16">
      <c r="M27758" s="49">
        <f>IF($A$4+277&gt;$B$4,"",$A$4+277)</f>
        <v>46300</v>
      </c>
      <c r="N27758">
        <f>IF(M27758="","",'Master Barang'!A52)</f>
        <v>0</v>
      </c>
      <c r="O27758">
        <f>IF(N27758="","",'Master Barang'!B52)</f>
        <v>0</v>
      </c>
      <c r="P27758">
        <f>IF(OR(M27758="",N27758=""),"",SUMIFS('Barang Keluar'!$E:$E,'Barang Keluar'!$A:$A,M27758,'Barang Keluar'!$C:$C,N27758))</f>
        <v>0</v>
      </c>
    </row>
    <row r="27759" spans="13:16">
      <c r="M27759" s="49">
        <f>IF($A$4+277&gt;$B$4,"",$A$4+277)</f>
        <v>46300</v>
      </c>
      <c r="N27759">
        <f>IF(M27759="","",'Master Barang'!A53)</f>
        <v>0</v>
      </c>
      <c r="O27759">
        <f>IF(N27759="","",'Master Barang'!B53)</f>
        <v>0</v>
      </c>
      <c r="P27759">
        <f>IF(OR(M27759="",N27759=""),"",SUMIFS('Barang Keluar'!$E:$E,'Barang Keluar'!$A:$A,M27759,'Barang Keluar'!$C:$C,N27759))</f>
        <v>0</v>
      </c>
    </row>
    <row r="27760" spans="13:16">
      <c r="M27760" s="49">
        <f>IF($A$4+277&gt;$B$4,"",$A$4+277)</f>
        <v>46300</v>
      </c>
      <c r="N27760">
        <f>IF(M27760="","",'Master Barang'!A54)</f>
        <v>0</v>
      </c>
      <c r="O27760">
        <f>IF(N27760="","",'Master Barang'!B54)</f>
        <v>0</v>
      </c>
      <c r="P27760">
        <f>IF(OR(M27760="",N27760=""),"",SUMIFS('Barang Keluar'!$E:$E,'Barang Keluar'!$A:$A,M27760,'Barang Keluar'!$C:$C,N27760))</f>
        <v>0</v>
      </c>
    </row>
    <row r="27761" spans="13:16">
      <c r="M27761" s="49">
        <f>IF($A$4+277&gt;$B$4,"",$A$4+277)</f>
        <v>46300</v>
      </c>
      <c r="N27761">
        <f>IF(M27761="","",'Master Barang'!A55)</f>
        <v>0</v>
      </c>
      <c r="O27761">
        <f>IF(N27761="","",'Master Barang'!B55)</f>
        <v>0</v>
      </c>
      <c r="P27761">
        <f>IF(OR(M27761="",N27761=""),"",SUMIFS('Barang Keluar'!$E:$E,'Barang Keluar'!$A:$A,M27761,'Barang Keluar'!$C:$C,N27761))</f>
        <v>0</v>
      </c>
    </row>
    <row r="27762" spans="13:16">
      <c r="M27762" s="49">
        <f>IF($A$4+277&gt;$B$4,"",$A$4+277)</f>
        <v>46300</v>
      </c>
      <c r="N27762">
        <f>IF(M27762="","",'Master Barang'!A56)</f>
        <v>0</v>
      </c>
      <c r="O27762">
        <f>IF(N27762="","",'Master Barang'!B56)</f>
        <v>0</v>
      </c>
      <c r="P27762">
        <f>IF(OR(M27762="",N27762=""),"",SUMIFS('Barang Keluar'!$E:$E,'Barang Keluar'!$A:$A,M27762,'Barang Keluar'!$C:$C,N27762))</f>
        <v>0</v>
      </c>
    </row>
    <row r="27763" spans="13:16">
      <c r="M27763" s="49">
        <f>IF($A$4+277&gt;$B$4,"",$A$4+277)</f>
        <v>46300</v>
      </c>
      <c r="N27763">
        <f>IF(M27763="","",'Master Barang'!A57)</f>
        <v>0</v>
      </c>
      <c r="O27763">
        <f>IF(N27763="","",'Master Barang'!B57)</f>
        <v>0</v>
      </c>
      <c r="P27763">
        <f>IF(OR(M27763="",N27763=""),"",SUMIFS('Barang Keluar'!$E:$E,'Barang Keluar'!$A:$A,M27763,'Barang Keluar'!$C:$C,N27763))</f>
        <v>0</v>
      </c>
    </row>
    <row r="27764" spans="13:16">
      <c r="M27764" s="49">
        <f>IF($A$4+277&gt;$B$4,"",$A$4+277)</f>
        <v>46300</v>
      </c>
      <c r="N27764">
        <f>IF(M27764="","",'Master Barang'!A58)</f>
        <v>0</v>
      </c>
      <c r="O27764">
        <f>IF(N27764="","",'Master Barang'!B58)</f>
        <v>0</v>
      </c>
      <c r="P27764">
        <f>IF(OR(M27764="",N27764=""),"",SUMIFS('Barang Keluar'!$E:$E,'Barang Keluar'!$A:$A,M27764,'Barang Keluar'!$C:$C,N27764))</f>
        <v>0</v>
      </c>
    </row>
    <row r="27765" spans="13:16">
      <c r="M27765" s="49">
        <f>IF($A$4+277&gt;$B$4,"",$A$4+277)</f>
        <v>46300</v>
      </c>
      <c r="N27765">
        <f>IF(M27765="","",'Master Barang'!A59)</f>
        <v>0</v>
      </c>
      <c r="O27765">
        <f>IF(N27765="","",'Master Barang'!B59)</f>
        <v>0</v>
      </c>
      <c r="P27765">
        <f>IF(OR(M27765="",N27765=""),"",SUMIFS('Barang Keluar'!$E:$E,'Barang Keluar'!$A:$A,M27765,'Barang Keluar'!$C:$C,N27765))</f>
        <v>0</v>
      </c>
    </row>
    <row r="27766" spans="13:16">
      <c r="M27766" s="49">
        <f>IF($A$4+277&gt;$B$4,"",$A$4+277)</f>
        <v>46300</v>
      </c>
      <c r="N27766">
        <f>IF(M27766="","",'Master Barang'!A60)</f>
        <v>0</v>
      </c>
      <c r="O27766">
        <f>IF(N27766="","",'Master Barang'!B60)</f>
        <v>0</v>
      </c>
      <c r="P27766">
        <f>IF(OR(M27766="",N27766=""),"",SUMIFS('Barang Keluar'!$E:$E,'Barang Keluar'!$A:$A,M27766,'Barang Keluar'!$C:$C,N27766))</f>
        <v>0</v>
      </c>
    </row>
    <row r="27767" spans="13:16">
      <c r="M27767" s="49">
        <f>IF($A$4+277&gt;$B$4,"",$A$4+277)</f>
        <v>46300</v>
      </c>
      <c r="N27767">
        <f>IF(M27767="","",'Master Barang'!A61)</f>
        <v>0</v>
      </c>
      <c r="O27767">
        <f>IF(N27767="","",'Master Barang'!B61)</f>
        <v>0</v>
      </c>
      <c r="P27767">
        <f>IF(OR(M27767="",N27767=""),"",SUMIFS('Barang Keluar'!$E:$E,'Barang Keluar'!$A:$A,M27767,'Barang Keluar'!$C:$C,N27767))</f>
        <v>0</v>
      </c>
    </row>
    <row r="27768" spans="13:16">
      <c r="M27768" s="49">
        <f>IF($A$4+277&gt;$B$4,"",$A$4+277)</f>
        <v>46300</v>
      </c>
      <c r="N27768">
        <f>IF(M27768="","",'Master Barang'!A62)</f>
        <v>0</v>
      </c>
      <c r="O27768">
        <f>IF(N27768="","",'Master Barang'!B62)</f>
        <v>0</v>
      </c>
      <c r="P27768">
        <f>IF(OR(M27768="",N27768=""),"",SUMIFS('Barang Keluar'!$E:$E,'Barang Keluar'!$A:$A,M27768,'Barang Keluar'!$C:$C,N27768))</f>
        <v>0</v>
      </c>
    </row>
    <row r="27769" spans="13:16">
      <c r="M27769" s="49">
        <f>IF($A$4+277&gt;$B$4,"",$A$4+277)</f>
        <v>46300</v>
      </c>
      <c r="N27769">
        <f>IF(M27769="","",'Master Barang'!A63)</f>
        <v>0</v>
      </c>
      <c r="O27769">
        <f>IF(N27769="","",'Master Barang'!B63)</f>
        <v>0</v>
      </c>
      <c r="P27769">
        <f>IF(OR(M27769="",N27769=""),"",SUMIFS('Barang Keluar'!$E:$E,'Barang Keluar'!$A:$A,M27769,'Barang Keluar'!$C:$C,N27769))</f>
        <v>0</v>
      </c>
    </row>
    <row r="27770" spans="13:16">
      <c r="M27770" s="49">
        <f>IF($A$4+277&gt;$B$4,"",$A$4+277)</f>
        <v>46300</v>
      </c>
      <c r="N27770">
        <f>IF(M27770="","",'Master Barang'!A64)</f>
        <v>0</v>
      </c>
      <c r="O27770">
        <f>IF(N27770="","",'Master Barang'!B64)</f>
        <v>0</v>
      </c>
      <c r="P27770">
        <f>IF(OR(M27770="",N27770=""),"",SUMIFS('Barang Keluar'!$E:$E,'Barang Keluar'!$A:$A,M27770,'Barang Keluar'!$C:$C,N27770))</f>
        <v>0</v>
      </c>
    </row>
    <row r="27771" spans="13:16">
      <c r="M27771" s="49">
        <f>IF($A$4+277&gt;$B$4,"",$A$4+277)</f>
        <v>46300</v>
      </c>
      <c r="N27771">
        <f>IF(M27771="","",'Master Barang'!A65)</f>
        <v>0</v>
      </c>
      <c r="O27771">
        <f>IF(N27771="","",'Master Barang'!B65)</f>
        <v>0</v>
      </c>
      <c r="P27771">
        <f>IF(OR(M27771="",N27771=""),"",SUMIFS('Barang Keluar'!$E:$E,'Barang Keluar'!$A:$A,M27771,'Barang Keluar'!$C:$C,N27771))</f>
        <v>0</v>
      </c>
    </row>
    <row r="27772" spans="13:16">
      <c r="M27772" s="49">
        <f>IF($A$4+277&gt;$B$4,"",$A$4+277)</f>
        <v>46300</v>
      </c>
      <c r="N27772">
        <f>IF(M27772="","",'Master Barang'!A66)</f>
        <v>0</v>
      </c>
      <c r="O27772">
        <f>IF(N27772="","",'Master Barang'!B66)</f>
        <v>0</v>
      </c>
      <c r="P27772">
        <f>IF(OR(M27772="",N27772=""),"",SUMIFS('Barang Keluar'!$E:$E,'Barang Keluar'!$A:$A,M27772,'Barang Keluar'!$C:$C,N27772))</f>
        <v>0</v>
      </c>
    </row>
    <row r="27773" spans="13:16">
      <c r="M27773" s="49">
        <f>IF($A$4+277&gt;$B$4,"",$A$4+277)</f>
        <v>46300</v>
      </c>
      <c r="N27773">
        <f>IF(M27773="","",'Master Barang'!A67)</f>
        <v>0</v>
      </c>
      <c r="O27773">
        <f>IF(N27773="","",'Master Barang'!B67)</f>
        <v>0</v>
      </c>
      <c r="P27773">
        <f>IF(OR(M27773="",N27773=""),"",SUMIFS('Barang Keluar'!$E:$E,'Barang Keluar'!$A:$A,M27773,'Barang Keluar'!$C:$C,N27773))</f>
        <v>0</v>
      </c>
    </row>
    <row r="27774" spans="13:16">
      <c r="M27774" s="49">
        <f>IF($A$4+277&gt;$B$4,"",$A$4+277)</f>
        <v>46300</v>
      </c>
      <c r="N27774">
        <f>IF(M27774="","",'Master Barang'!A68)</f>
        <v>0</v>
      </c>
      <c r="O27774">
        <f>IF(N27774="","",'Master Barang'!B68)</f>
        <v>0</v>
      </c>
      <c r="P27774">
        <f>IF(OR(M27774="",N27774=""),"",SUMIFS('Barang Keluar'!$E:$E,'Barang Keluar'!$A:$A,M27774,'Barang Keluar'!$C:$C,N27774))</f>
        <v>0</v>
      </c>
    </row>
    <row r="27775" spans="13:16">
      <c r="M27775" s="49">
        <f>IF($A$4+277&gt;$B$4,"",$A$4+277)</f>
        <v>46300</v>
      </c>
      <c r="N27775">
        <f>IF(M27775="","",'Master Barang'!A69)</f>
        <v>0</v>
      </c>
      <c r="O27775">
        <f>IF(N27775="","",'Master Barang'!B69)</f>
        <v>0</v>
      </c>
      <c r="P27775">
        <f>IF(OR(M27775="",N27775=""),"",SUMIFS('Barang Keluar'!$E:$E,'Barang Keluar'!$A:$A,M27775,'Barang Keluar'!$C:$C,N27775))</f>
        <v>0</v>
      </c>
    </row>
    <row r="27776" spans="13:16">
      <c r="M27776" s="49">
        <f>IF($A$4+277&gt;$B$4,"",$A$4+277)</f>
        <v>46300</v>
      </c>
      <c r="N27776">
        <f>IF(M27776="","",'Master Barang'!A70)</f>
        <v>0</v>
      </c>
      <c r="O27776">
        <f>IF(N27776="","",'Master Barang'!B70)</f>
        <v>0</v>
      </c>
      <c r="P27776">
        <f>IF(OR(M27776="",N27776=""),"",SUMIFS('Barang Keluar'!$E:$E,'Barang Keluar'!$A:$A,M27776,'Barang Keluar'!$C:$C,N27776))</f>
        <v>0</v>
      </c>
    </row>
    <row r="27777" spans="13:16">
      <c r="M27777" s="49">
        <f>IF($A$4+277&gt;$B$4,"",$A$4+277)</f>
        <v>46300</v>
      </c>
      <c r="N27777">
        <f>IF(M27777="","",'Master Barang'!A71)</f>
        <v>0</v>
      </c>
      <c r="O27777">
        <f>IF(N27777="","",'Master Barang'!B71)</f>
        <v>0</v>
      </c>
      <c r="P27777">
        <f>IF(OR(M27777="",N27777=""),"",SUMIFS('Barang Keluar'!$E:$E,'Barang Keluar'!$A:$A,M27777,'Barang Keluar'!$C:$C,N27777))</f>
        <v>0</v>
      </c>
    </row>
    <row r="27778" spans="13:16">
      <c r="M27778" s="49">
        <f>IF($A$4+277&gt;$B$4,"",$A$4+277)</f>
        <v>46300</v>
      </c>
      <c r="N27778">
        <f>IF(M27778="","",'Master Barang'!A72)</f>
        <v>0</v>
      </c>
      <c r="O27778">
        <f>IF(N27778="","",'Master Barang'!B72)</f>
        <v>0</v>
      </c>
      <c r="P27778">
        <f>IF(OR(M27778="",N27778=""),"",SUMIFS('Barang Keluar'!$E:$E,'Barang Keluar'!$A:$A,M27778,'Barang Keluar'!$C:$C,N27778))</f>
        <v>0</v>
      </c>
    </row>
    <row r="27779" spans="13:16">
      <c r="M27779" s="49">
        <f>IF($A$4+277&gt;$B$4,"",$A$4+277)</f>
        <v>46300</v>
      </c>
      <c r="N27779">
        <f>IF(M27779="","",'Master Barang'!A73)</f>
        <v>0</v>
      </c>
      <c r="O27779">
        <f>IF(N27779="","",'Master Barang'!B73)</f>
        <v>0</v>
      </c>
      <c r="P27779">
        <f>IF(OR(M27779="",N27779=""),"",SUMIFS('Barang Keluar'!$E:$E,'Barang Keluar'!$A:$A,M27779,'Barang Keluar'!$C:$C,N27779))</f>
        <v>0</v>
      </c>
    </row>
    <row r="27780" spans="13:16">
      <c r="M27780" s="49">
        <f>IF($A$4+277&gt;$B$4,"",$A$4+277)</f>
        <v>46300</v>
      </c>
      <c r="N27780">
        <f>IF(M27780="","",'Master Barang'!A74)</f>
        <v>0</v>
      </c>
      <c r="O27780">
        <f>IF(N27780="","",'Master Barang'!B74)</f>
        <v>0</v>
      </c>
      <c r="P27780">
        <f>IF(OR(M27780="",N27780=""),"",SUMIFS('Barang Keluar'!$E:$E,'Barang Keluar'!$A:$A,M27780,'Barang Keluar'!$C:$C,N27780))</f>
        <v>0</v>
      </c>
    </row>
    <row r="27781" spans="13:16">
      <c r="M27781" s="49">
        <f>IF($A$4+277&gt;$B$4,"",$A$4+277)</f>
        <v>46300</v>
      </c>
      <c r="N27781">
        <f>IF(M27781="","",'Master Barang'!A75)</f>
        <v>0</v>
      </c>
      <c r="O27781">
        <f>IF(N27781="","",'Master Barang'!B75)</f>
        <v>0</v>
      </c>
      <c r="P27781">
        <f>IF(OR(M27781="",N27781=""),"",SUMIFS('Barang Keluar'!$E:$E,'Barang Keluar'!$A:$A,M27781,'Barang Keluar'!$C:$C,N27781))</f>
        <v>0</v>
      </c>
    </row>
    <row r="27782" spans="13:16">
      <c r="M27782" s="49">
        <f>IF($A$4+277&gt;$B$4,"",$A$4+277)</f>
        <v>46300</v>
      </c>
      <c r="N27782">
        <f>IF(M27782="","",'Master Barang'!A76)</f>
        <v>0</v>
      </c>
      <c r="O27782">
        <f>IF(N27782="","",'Master Barang'!B76)</f>
        <v>0</v>
      </c>
      <c r="P27782">
        <f>IF(OR(M27782="",N27782=""),"",SUMIFS('Barang Keluar'!$E:$E,'Barang Keluar'!$A:$A,M27782,'Barang Keluar'!$C:$C,N27782))</f>
        <v>0</v>
      </c>
    </row>
    <row r="27783" spans="13:16">
      <c r="M27783" s="49">
        <f>IF($A$4+277&gt;$B$4,"",$A$4+277)</f>
        <v>46300</v>
      </c>
      <c r="N27783">
        <f>IF(M27783="","",'Master Barang'!A77)</f>
        <v>0</v>
      </c>
      <c r="O27783">
        <f>IF(N27783="","",'Master Barang'!B77)</f>
        <v>0</v>
      </c>
      <c r="P27783">
        <f>IF(OR(M27783="",N27783=""),"",SUMIFS('Barang Keluar'!$E:$E,'Barang Keluar'!$A:$A,M27783,'Barang Keluar'!$C:$C,N27783))</f>
        <v>0</v>
      </c>
    </row>
    <row r="27784" spans="13:16">
      <c r="M27784" s="49">
        <f>IF($A$4+277&gt;$B$4,"",$A$4+277)</f>
        <v>46300</v>
      </c>
      <c r="N27784">
        <f>IF(M27784="","",'Master Barang'!A78)</f>
        <v>0</v>
      </c>
      <c r="O27784">
        <f>IF(N27784="","",'Master Barang'!B78)</f>
        <v>0</v>
      </c>
      <c r="P27784">
        <f>IF(OR(M27784="",N27784=""),"",SUMIFS('Barang Keluar'!$E:$E,'Barang Keluar'!$A:$A,M27784,'Barang Keluar'!$C:$C,N27784))</f>
        <v>0</v>
      </c>
    </row>
    <row r="27785" spans="13:16">
      <c r="M27785" s="49">
        <f>IF($A$4+277&gt;$B$4,"",$A$4+277)</f>
        <v>46300</v>
      </c>
      <c r="N27785">
        <f>IF(M27785="","",'Master Barang'!A79)</f>
        <v>0</v>
      </c>
      <c r="O27785">
        <f>IF(N27785="","",'Master Barang'!B79)</f>
        <v>0</v>
      </c>
      <c r="P27785">
        <f>IF(OR(M27785="",N27785=""),"",SUMIFS('Barang Keluar'!$E:$E,'Barang Keluar'!$A:$A,M27785,'Barang Keluar'!$C:$C,N27785))</f>
        <v>0</v>
      </c>
    </row>
    <row r="27786" spans="13:16">
      <c r="M27786" s="49">
        <f>IF($A$4+277&gt;$B$4,"",$A$4+277)</f>
        <v>46300</v>
      </c>
      <c r="N27786">
        <f>IF(M27786="","",'Master Barang'!A80)</f>
        <v>0</v>
      </c>
      <c r="O27786">
        <f>IF(N27786="","",'Master Barang'!B80)</f>
        <v>0</v>
      </c>
      <c r="P27786">
        <f>IF(OR(M27786="",N27786=""),"",SUMIFS('Barang Keluar'!$E:$E,'Barang Keluar'!$A:$A,M27786,'Barang Keluar'!$C:$C,N27786))</f>
        <v>0</v>
      </c>
    </row>
    <row r="27787" spans="13:16">
      <c r="M27787" s="49">
        <f>IF($A$4+277&gt;$B$4,"",$A$4+277)</f>
        <v>46300</v>
      </c>
      <c r="N27787">
        <f>IF(M27787="","",'Master Barang'!A81)</f>
        <v>0</v>
      </c>
      <c r="O27787">
        <f>IF(N27787="","",'Master Barang'!B81)</f>
        <v>0</v>
      </c>
      <c r="P27787">
        <f>IF(OR(M27787="",N27787=""),"",SUMIFS('Barang Keluar'!$E:$E,'Barang Keluar'!$A:$A,M27787,'Barang Keluar'!$C:$C,N27787))</f>
        <v>0</v>
      </c>
    </row>
    <row r="27788" spans="13:16">
      <c r="M27788" s="49">
        <f>IF($A$4+277&gt;$B$4,"",$A$4+277)</f>
        <v>46300</v>
      </c>
      <c r="N27788">
        <f>IF(M27788="","",'Master Barang'!A82)</f>
        <v>0</v>
      </c>
      <c r="O27788">
        <f>IF(N27788="","",'Master Barang'!B82)</f>
        <v>0</v>
      </c>
      <c r="P27788">
        <f>IF(OR(M27788="",N27788=""),"",SUMIFS('Barang Keluar'!$E:$E,'Barang Keluar'!$A:$A,M27788,'Barang Keluar'!$C:$C,N27788))</f>
        <v>0</v>
      </c>
    </row>
    <row r="27789" spans="13:16">
      <c r="M27789" s="49">
        <f>IF($A$4+277&gt;$B$4,"",$A$4+277)</f>
        <v>46300</v>
      </c>
      <c r="N27789">
        <f>IF(M27789="","",'Master Barang'!A83)</f>
        <v>0</v>
      </c>
      <c r="O27789">
        <f>IF(N27789="","",'Master Barang'!B83)</f>
        <v>0</v>
      </c>
      <c r="P27789">
        <f>IF(OR(M27789="",N27789=""),"",SUMIFS('Barang Keluar'!$E:$E,'Barang Keluar'!$A:$A,M27789,'Barang Keluar'!$C:$C,N27789))</f>
        <v>0</v>
      </c>
    </row>
    <row r="27790" spans="13:16">
      <c r="M27790" s="49">
        <f>IF($A$4+277&gt;$B$4,"",$A$4+277)</f>
        <v>46300</v>
      </c>
      <c r="N27790">
        <f>IF(M27790="","",'Master Barang'!A84)</f>
        <v>0</v>
      </c>
      <c r="O27790">
        <f>IF(N27790="","",'Master Barang'!B84)</f>
        <v>0</v>
      </c>
      <c r="P27790">
        <f>IF(OR(M27790="",N27790=""),"",SUMIFS('Barang Keluar'!$E:$E,'Barang Keluar'!$A:$A,M27790,'Barang Keluar'!$C:$C,N27790))</f>
        <v>0</v>
      </c>
    </row>
    <row r="27791" spans="13:16">
      <c r="M27791" s="49">
        <f>IF($A$4+277&gt;$B$4,"",$A$4+277)</f>
        <v>46300</v>
      </c>
      <c r="N27791">
        <f>IF(M27791="","",'Master Barang'!A85)</f>
        <v>0</v>
      </c>
      <c r="O27791">
        <f>IF(N27791="","",'Master Barang'!B85)</f>
        <v>0</v>
      </c>
      <c r="P27791">
        <f>IF(OR(M27791="",N27791=""),"",SUMIFS('Barang Keluar'!$E:$E,'Barang Keluar'!$A:$A,M27791,'Barang Keluar'!$C:$C,N27791))</f>
        <v>0</v>
      </c>
    </row>
    <row r="27792" spans="13:16">
      <c r="M27792" s="49">
        <f>IF($A$4+277&gt;$B$4,"",$A$4+277)</f>
        <v>46300</v>
      </c>
      <c r="N27792">
        <f>IF(M27792="","",'Master Barang'!A86)</f>
        <v>0</v>
      </c>
      <c r="O27792">
        <f>IF(N27792="","",'Master Barang'!B86)</f>
        <v>0</v>
      </c>
      <c r="P27792">
        <f>IF(OR(M27792="",N27792=""),"",SUMIFS('Barang Keluar'!$E:$E,'Barang Keluar'!$A:$A,M27792,'Barang Keluar'!$C:$C,N27792))</f>
        <v>0</v>
      </c>
    </row>
    <row r="27793" spans="13:16">
      <c r="M27793" s="49">
        <f>IF($A$4+277&gt;$B$4,"",$A$4+277)</f>
        <v>46300</v>
      </c>
      <c r="N27793">
        <f>IF(M27793="","",'Master Barang'!A87)</f>
        <v>0</v>
      </c>
      <c r="O27793">
        <f>IF(N27793="","",'Master Barang'!B87)</f>
        <v>0</v>
      </c>
      <c r="P27793">
        <f>IF(OR(M27793="",N27793=""),"",SUMIFS('Barang Keluar'!$E:$E,'Barang Keluar'!$A:$A,M27793,'Barang Keluar'!$C:$C,N27793))</f>
        <v>0</v>
      </c>
    </row>
    <row r="27794" spans="13:16">
      <c r="M27794" s="49">
        <f>IF($A$4+277&gt;$B$4,"",$A$4+277)</f>
        <v>46300</v>
      </c>
      <c r="N27794">
        <f>IF(M27794="","",'Master Barang'!A88)</f>
        <v>0</v>
      </c>
      <c r="O27794">
        <f>IF(N27794="","",'Master Barang'!B88)</f>
        <v>0</v>
      </c>
      <c r="P27794">
        <f>IF(OR(M27794="",N27794=""),"",SUMIFS('Barang Keluar'!$E:$E,'Barang Keluar'!$A:$A,M27794,'Barang Keluar'!$C:$C,N27794))</f>
        <v>0</v>
      </c>
    </row>
    <row r="27795" spans="13:16">
      <c r="M27795" s="49">
        <f>IF($A$4+277&gt;$B$4,"",$A$4+277)</f>
        <v>46300</v>
      </c>
      <c r="N27795">
        <f>IF(M27795="","",'Master Barang'!A89)</f>
        <v>0</v>
      </c>
      <c r="O27795">
        <f>IF(N27795="","",'Master Barang'!B89)</f>
        <v>0</v>
      </c>
      <c r="P27795">
        <f>IF(OR(M27795="",N27795=""),"",SUMIFS('Barang Keluar'!$E:$E,'Barang Keluar'!$A:$A,M27795,'Barang Keluar'!$C:$C,N27795))</f>
        <v>0</v>
      </c>
    </row>
    <row r="27796" spans="13:16">
      <c r="M27796" s="49">
        <f>IF($A$4+277&gt;$B$4,"",$A$4+277)</f>
        <v>46300</v>
      </c>
      <c r="N27796">
        <f>IF(M27796="","",'Master Barang'!A90)</f>
        <v>0</v>
      </c>
      <c r="O27796">
        <f>IF(N27796="","",'Master Barang'!B90)</f>
        <v>0</v>
      </c>
      <c r="P27796">
        <f>IF(OR(M27796="",N27796=""),"",SUMIFS('Barang Keluar'!$E:$E,'Barang Keluar'!$A:$A,M27796,'Barang Keluar'!$C:$C,N27796))</f>
        <v>0</v>
      </c>
    </row>
    <row r="27797" spans="13:16">
      <c r="M27797" s="49">
        <f>IF($A$4+277&gt;$B$4,"",$A$4+277)</f>
        <v>46300</v>
      </c>
      <c r="N27797">
        <f>IF(M27797="","",'Master Barang'!A91)</f>
        <v>0</v>
      </c>
      <c r="O27797">
        <f>IF(N27797="","",'Master Barang'!B91)</f>
        <v>0</v>
      </c>
      <c r="P27797">
        <f>IF(OR(M27797="",N27797=""),"",SUMIFS('Barang Keluar'!$E:$E,'Barang Keluar'!$A:$A,M27797,'Barang Keluar'!$C:$C,N27797))</f>
        <v>0</v>
      </c>
    </row>
    <row r="27798" spans="13:16">
      <c r="M27798" s="49">
        <f>IF($A$4+277&gt;$B$4,"",$A$4+277)</f>
        <v>46300</v>
      </c>
      <c r="N27798">
        <f>IF(M27798="","",'Master Barang'!A92)</f>
        <v>0</v>
      </c>
      <c r="O27798">
        <f>IF(N27798="","",'Master Barang'!B92)</f>
        <v>0</v>
      </c>
      <c r="P27798">
        <f>IF(OR(M27798="",N27798=""),"",SUMIFS('Barang Keluar'!$E:$E,'Barang Keluar'!$A:$A,M27798,'Barang Keluar'!$C:$C,N27798))</f>
        <v>0</v>
      </c>
    </row>
    <row r="27799" spans="13:16">
      <c r="M27799" s="49">
        <f>IF($A$4+277&gt;$B$4,"",$A$4+277)</f>
        <v>46300</v>
      </c>
      <c r="N27799">
        <f>IF(M27799="","",'Master Barang'!A93)</f>
        <v>0</v>
      </c>
      <c r="O27799">
        <f>IF(N27799="","",'Master Barang'!B93)</f>
        <v>0</v>
      </c>
      <c r="P27799">
        <f>IF(OR(M27799="",N27799=""),"",SUMIFS('Barang Keluar'!$E:$E,'Barang Keluar'!$A:$A,M27799,'Barang Keluar'!$C:$C,N27799))</f>
        <v>0</v>
      </c>
    </row>
    <row r="27800" spans="13:16">
      <c r="M27800" s="49">
        <f>IF($A$4+277&gt;$B$4,"",$A$4+277)</f>
        <v>46300</v>
      </c>
      <c r="N27800">
        <f>IF(M27800="","",'Master Barang'!A94)</f>
        <v>0</v>
      </c>
      <c r="O27800">
        <f>IF(N27800="","",'Master Barang'!B94)</f>
        <v>0</v>
      </c>
      <c r="P27800">
        <f>IF(OR(M27800="",N27800=""),"",SUMIFS('Barang Keluar'!$E:$E,'Barang Keluar'!$A:$A,M27800,'Barang Keluar'!$C:$C,N27800))</f>
        <v>0</v>
      </c>
    </row>
    <row r="27801" spans="13:16">
      <c r="M27801" s="49">
        <f>IF($A$4+277&gt;$B$4,"",$A$4+277)</f>
        <v>46300</v>
      </c>
      <c r="N27801">
        <f>IF(M27801="","",'Master Barang'!A95)</f>
        <v>0</v>
      </c>
      <c r="O27801">
        <f>IF(N27801="","",'Master Barang'!B95)</f>
        <v>0</v>
      </c>
      <c r="P27801">
        <f>IF(OR(M27801="",N27801=""),"",SUMIFS('Barang Keluar'!$E:$E,'Barang Keluar'!$A:$A,M27801,'Barang Keluar'!$C:$C,N27801))</f>
        <v>0</v>
      </c>
    </row>
    <row r="27802" spans="13:16">
      <c r="M27802" s="49">
        <f>IF($A$4+277&gt;$B$4,"",$A$4+277)</f>
        <v>46300</v>
      </c>
      <c r="N27802">
        <f>IF(M27802="","",'Master Barang'!A96)</f>
        <v>0</v>
      </c>
      <c r="O27802">
        <f>IF(N27802="","",'Master Barang'!B96)</f>
        <v>0</v>
      </c>
      <c r="P27802">
        <f>IF(OR(M27802="",N27802=""),"",SUMIFS('Barang Keluar'!$E:$E,'Barang Keluar'!$A:$A,M27802,'Barang Keluar'!$C:$C,N27802))</f>
        <v>0</v>
      </c>
    </row>
    <row r="27803" spans="13:16">
      <c r="M27803" s="49">
        <f>IF($A$4+277&gt;$B$4,"",$A$4+277)</f>
        <v>46300</v>
      </c>
      <c r="N27803">
        <f>IF(M27803="","",'Master Barang'!A97)</f>
        <v>0</v>
      </c>
      <c r="O27803">
        <f>IF(N27803="","",'Master Barang'!B97)</f>
        <v>0</v>
      </c>
      <c r="P27803">
        <f>IF(OR(M27803="",N27803=""),"",SUMIFS('Barang Keluar'!$E:$E,'Barang Keluar'!$A:$A,M27803,'Barang Keluar'!$C:$C,N27803))</f>
        <v>0</v>
      </c>
    </row>
    <row r="27804" spans="13:16">
      <c r="M27804" s="49">
        <f>IF($A$4+277&gt;$B$4,"",$A$4+277)</f>
        <v>46300</v>
      </c>
      <c r="N27804">
        <f>IF(M27804="","",'Master Barang'!A98)</f>
        <v>0</v>
      </c>
      <c r="O27804">
        <f>IF(N27804="","",'Master Barang'!B98)</f>
        <v>0</v>
      </c>
      <c r="P27804">
        <f>IF(OR(M27804="",N27804=""),"",SUMIFS('Barang Keluar'!$E:$E,'Barang Keluar'!$A:$A,M27804,'Barang Keluar'!$C:$C,N27804))</f>
        <v>0</v>
      </c>
    </row>
    <row r="27805" spans="13:16">
      <c r="M27805" s="49">
        <f>IF($A$4+277&gt;$B$4,"",$A$4+277)</f>
        <v>46300</v>
      </c>
      <c r="N27805">
        <f>IF(M27805="","",'Master Barang'!A99)</f>
        <v>0</v>
      </c>
      <c r="O27805">
        <f>IF(N27805="","",'Master Barang'!B99)</f>
        <v>0</v>
      </c>
      <c r="P27805">
        <f>IF(OR(M27805="",N27805=""),"",SUMIFS('Barang Keluar'!$E:$E,'Barang Keluar'!$A:$A,M27805,'Barang Keluar'!$C:$C,N27805))</f>
        <v>0</v>
      </c>
    </row>
    <row r="27806" spans="13:16">
      <c r="M27806" s="49">
        <f>IF($A$4+277&gt;$B$4,"",$A$4+277)</f>
        <v>46300</v>
      </c>
      <c r="N27806">
        <f>IF(M27806="","",'Master Barang'!A100)</f>
        <v>0</v>
      </c>
      <c r="O27806">
        <f>IF(N27806="","",'Master Barang'!B100)</f>
        <v>0</v>
      </c>
      <c r="P27806">
        <f>IF(OR(M27806="",N27806=""),"",SUMIFS('Barang Keluar'!$E:$E,'Barang Keluar'!$A:$A,M27806,'Barang Keluar'!$C:$C,N27806))</f>
        <v>0</v>
      </c>
    </row>
    <row r="27807" spans="13:16">
      <c r="M27807" s="49">
        <f>IF($A$4+277&gt;$B$4,"",$A$4+277)</f>
        <v>46300</v>
      </c>
      <c r="N27807">
        <f>IF(M27807="","",'Master Barang'!A101)</f>
        <v>0</v>
      </c>
      <c r="O27807">
        <f>IF(N27807="","",'Master Barang'!B101)</f>
        <v>0</v>
      </c>
      <c r="P27807">
        <f>IF(OR(M27807="",N27807=""),"",SUMIFS('Barang Keluar'!$E:$E,'Barang Keluar'!$A:$A,M27807,'Barang Keluar'!$C:$C,N27807))</f>
        <v>0</v>
      </c>
    </row>
    <row r="27808" spans="13:16">
      <c r="M27808" s="49">
        <f>IF($A$4+278&gt;$B$4,"",$A$4+278)</f>
        <v>46301</v>
      </c>
      <c r="N27808" t="str">
        <f>IF(M27808="","",'Master Barang'!A2)</f>
        <v>PRL-001</v>
      </c>
      <c r="O27808" t="str">
        <f>IF(N27808="","",'Master Barang'!B2)</f>
        <v>natura desinfectant food grade 5l</v>
      </c>
      <c r="P27808">
        <f>IF(OR(M27808="",N27808=""),"",SUMIFS('Barang Keluar'!$E:$E,'Barang Keluar'!$A:$A,M27808,'Barang Keluar'!$C:$C,N27808))</f>
        <v>0</v>
      </c>
    </row>
    <row r="27809" spans="13:16">
      <c r="M27809" s="49">
        <f>IF($A$4+278&gt;$B$4,"",$A$4+278)</f>
        <v>46301</v>
      </c>
      <c r="N27809" t="str">
        <f>IF(M27809="","",'Master Barang'!A3)</f>
        <v>PRL-002</v>
      </c>
      <c r="O27809" t="str">
        <f>IF(N27809="","",'Master Barang'!B3)</f>
        <v>sunlight cairan pencuci piring 5l</v>
      </c>
      <c r="P27809">
        <f>IF(OR(M27809="",N27809=""),"",SUMIFS('Barang Keluar'!$E:$E,'Barang Keluar'!$A:$A,M27809,'Barang Keluar'!$C:$C,N27809))</f>
        <v>0</v>
      </c>
    </row>
    <row r="27810" spans="13:16">
      <c r="M27810" s="49">
        <f>IF($A$4+278&gt;$B$4,"",$A$4+278)</f>
        <v>46301</v>
      </c>
      <c r="N27810" t="str">
        <f>IF(M27810="","",'Master Barang'!A4)</f>
        <v>PRL-003</v>
      </c>
      <c r="O27810" t="str">
        <f>IF(N27810="","",'Master Barang'!B4)</f>
        <v>oixs cleaner 1l</v>
      </c>
      <c r="P27810">
        <f>IF(OR(M27810="",N27810=""),"",SUMIFS('Barang Keluar'!$E:$E,'Barang Keluar'!$A:$A,M27810,'Barang Keluar'!$C:$C,N27810))</f>
        <v>0</v>
      </c>
    </row>
    <row r="27811" spans="13:16">
      <c r="M27811" s="49">
        <f>IF($A$4+278&gt;$B$4,"",$A$4+278)</f>
        <v>46301</v>
      </c>
      <c r="N27811" t="str">
        <f>IF(M27811="","",'Master Barang'!A5)</f>
        <v>PRL-004</v>
      </c>
      <c r="O27811" t="str">
        <f>IF(N27811="","",'Master Barang'!B5)</f>
        <v>be clean tissue serbaguna</v>
      </c>
      <c r="P27811">
        <f>IF(OR(M27811="",N27811=""),"",SUMIFS('Barang Keluar'!$E:$E,'Barang Keluar'!$A:$A,M27811,'Barang Keluar'!$C:$C,N27811))</f>
        <v>0</v>
      </c>
    </row>
    <row r="27812" spans="13:16">
      <c r="M27812" s="49">
        <f>IF($A$4+278&gt;$B$4,"",$A$4+278)</f>
        <v>46301</v>
      </c>
      <c r="N27812" t="str">
        <f>IF(M27812="","",'Master Barang'!A6)</f>
        <v>PRL-005</v>
      </c>
      <c r="O27812" t="str">
        <f>IF(N27812="","",'Master Barang'!B6)</f>
        <v>spons cuci hijau</v>
      </c>
      <c r="P27812">
        <f>IF(OR(M27812="",N27812=""),"",SUMIFS('Barang Keluar'!$E:$E,'Barang Keluar'!$A:$A,M27812,'Barang Keluar'!$C:$C,N27812))</f>
        <v>0</v>
      </c>
    </row>
    <row r="27813" spans="13:16">
      <c r="M27813" s="49">
        <f>IF($A$4+278&gt;$B$4,"",$A$4+278)</f>
        <v>46301</v>
      </c>
      <c r="N27813" t="str">
        <f>IF(M27813="","",'Master Barang'!A7)</f>
        <v>PRL-006</v>
      </c>
      <c r="O27813" t="str">
        <f>IF(N27813="","",'Master Barang'!B7)</f>
        <v>sabut cuci stainless</v>
      </c>
      <c r="P27813">
        <f>IF(OR(M27813="",N27813=""),"",SUMIFS('Barang Keluar'!$E:$E,'Barang Keluar'!$A:$A,M27813,'Barang Keluar'!$C:$C,N27813))</f>
        <v>0</v>
      </c>
    </row>
    <row r="27814" spans="13:16">
      <c r="M27814" s="49">
        <f>IF($A$4+278&gt;$B$4,"",$A$4+278)</f>
        <v>46301</v>
      </c>
      <c r="N27814" t="str">
        <f>IF(M27814="","",'Master Barang'!A8)</f>
        <v>PRL-007</v>
      </c>
      <c r="O27814" t="str">
        <f>IF(N27814="","",'Master Barang'!B8)</f>
        <v>plastik kresek besar merah 50pc</v>
      </c>
      <c r="P27814">
        <f>IF(OR(M27814="",N27814=""),"",SUMIFS('Barang Keluar'!$E:$E,'Barang Keluar'!$A:$A,M27814,'Barang Keluar'!$C:$C,N27814))</f>
        <v>0</v>
      </c>
    </row>
    <row r="27815" spans="13:16">
      <c r="M27815" s="49">
        <f>IF($A$4+278&gt;$B$4,"",$A$4+278)</f>
        <v>46301</v>
      </c>
      <c r="N27815" t="str">
        <f>IF(M27815="","",'Master Barang'!A9)</f>
        <v>PRL-008</v>
      </c>
      <c r="O27815" t="str">
        <f>IF(N27815="","",'Master Barang'!B9)</f>
        <v>lap besar</v>
      </c>
      <c r="P27815">
        <f>IF(OR(M27815="",N27815=""),"",SUMIFS('Barang Keluar'!$E:$E,'Barang Keluar'!$A:$A,M27815,'Barang Keluar'!$C:$C,N27815))</f>
        <v>0</v>
      </c>
    </row>
    <row r="27816" spans="13:16">
      <c r="M27816" s="49">
        <f>IF($A$4+278&gt;$B$4,"",$A$4+278)</f>
        <v>46301</v>
      </c>
      <c r="N27816" t="str">
        <f>IF(M27816="","",'Master Barang'!A10)</f>
        <v>PRL-009</v>
      </c>
      <c r="O27816" t="str">
        <f>IF(N27816="","",'Master Barang'!B10)</f>
        <v>lap microfiber</v>
      </c>
      <c r="P27816">
        <f>IF(OR(M27816="",N27816=""),"",SUMIFS('Barang Keluar'!$E:$E,'Barang Keluar'!$A:$A,M27816,'Barang Keluar'!$C:$C,N27816))</f>
        <v>0</v>
      </c>
    </row>
    <row r="27817" spans="13:16">
      <c r="M27817" s="49">
        <f>IF($A$4+278&gt;$B$4,"",$A$4+278)</f>
        <v>46301</v>
      </c>
      <c r="N27817" t="str">
        <f>IF(M27817="","",'Master Barang'!A11)</f>
        <v>PRL-010</v>
      </c>
      <c r="O27817" t="str">
        <f>IF(N27817="","",'Master Barang'!B11)</f>
        <v>lap kecil</v>
      </c>
      <c r="P27817">
        <f>IF(OR(M27817="",N27817=""),"",SUMIFS('Barang Keluar'!$E:$E,'Barang Keluar'!$A:$A,M27817,'Barang Keluar'!$C:$C,N27817))</f>
        <v>0</v>
      </c>
    </row>
    <row r="27818" spans="13:16">
      <c r="M27818" s="49">
        <f>IF($A$4+278&gt;$B$4,"",$A$4+278)</f>
        <v>46301</v>
      </c>
      <c r="N27818" t="str">
        <f>IF(M27818="","",'Master Barang'!A12)</f>
        <v>PRL-011</v>
      </c>
      <c r="O27818" t="str">
        <f>IF(N27818="","",'Master Barang'!B12)</f>
        <v>kanebo kecil</v>
      </c>
      <c r="P27818">
        <f>IF(OR(M27818="",N27818=""),"",SUMIFS('Barang Keluar'!$E:$E,'Barang Keluar'!$A:$A,M27818,'Barang Keluar'!$C:$C,N27818))</f>
        <v>0</v>
      </c>
    </row>
    <row r="27819" spans="13:16">
      <c r="M27819" s="49">
        <f>IF($A$4+278&gt;$B$4,"",$A$4+278)</f>
        <v>46301</v>
      </c>
      <c r="N27819" t="str">
        <f>IF(M27819="","",'Master Barang'!A13)</f>
        <v>PRL-012</v>
      </c>
      <c r="O27819" t="str">
        <f>IF(N27819="","",'Master Barang'!B13)</f>
        <v>plastik 1/4kg joyoboyo 100 lembar</v>
      </c>
      <c r="P27819">
        <f>IF(OR(M27819="",N27819=""),"",SUMIFS('Barang Keluar'!$E:$E,'Barang Keluar'!$A:$A,M27819,'Barang Keluar'!$C:$C,N27819))</f>
        <v>0</v>
      </c>
    </row>
    <row r="27820" spans="13:16">
      <c r="M27820" s="49">
        <f>IF($A$4+278&gt;$B$4,"",$A$4+278)</f>
        <v>46301</v>
      </c>
      <c r="N27820" t="str">
        <f>IF(M27820="","",'Master Barang'!A14)</f>
        <v>PRL-013</v>
      </c>
      <c r="O27820" t="str">
        <f>IF(N27820="","",'Master Barang'!B14)</f>
        <v>sarung tangan plastik kaka 100 pcs</v>
      </c>
      <c r="P27820">
        <f>IF(OR(M27820="",N27820=""),"",SUMIFS('Barang Keluar'!$E:$E,'Barang Keluar'!$A:$A,M27820,'Barang Keluar'!$C:$C,N27820))</f>
        <v>0</v>
      </c>
    </row>
    <row r="27821" spans="13:16">
      <c r="M27821" s="49">
        <f>IF($A$4+278&gt;$B$4,"",$A$4+278)</f>
        <v>46301</v>
      </c>
      <c r="N27821" t="str">
        <f>IF(M27821="","",'Master Barang'!A15)</f>
        <v>PRL-014</v>
      </c>
      <c r="O27821" t="str">
        <f>IF(N27821="","",'Master Barang'!B15)</f>
        <v>optima trashbag 80x100</v>
      </c>
      <c r="P27821">
        <f>IF(OR(M27821="",N27821=""),"",SUMIFS('Barang Keluar'!$E:$E,'Barang Keluar'!$A:$A,M27821,'Barang Keluar'!$C:$C,N27821))</f>
        <v>0</v>
      </c>
    </row>
    <row r="27822" spans="13:16">
      <c r="M27822" s="49">
        <f>IF($A$4+278&gt;$B$4,"",$A$4+278)</f>
        <v>46301</v>
      </c>
      <c r="N27822" t="str">
        <f>IF(M27822="","",'Master Barang'!A16)</f>
        <v>PRL-015</v>
      </c>
      <c r="O27822" t="str">
        <f>IF(N27822="","",'Master Barang'!B16)</f>
        <v>optima trashbag 60x100</v>
      </c>
      <c r="P27822">
        <f>IF(OR(M27822="",N27822=""),"",SUMIFS('Barang Keluar'!$E:$E,'Barang Keluar'!$A:$A,M27822,'Barang Keluar'!$C:$C,N27822))</f>
        <v>0</v>
      </c>
    </row>
    <row r="27823" spans="13:16">
      <c r="M27823" s="49">
        <f>IF($A$4+278&gt;$B$4,"",$A$4+278)</f>
        <v>46301</v>
      </c>
      <c r="N27823" t="str">
        <f>IF(M27823="","",'Master Barang'!A17)</f>
        <v>PRL-016</v>
      </c>
      <c r="O27823" t="str">
        <f>IF(N27823="","",'Master Barang'!B17)</f>
        <v>rajawali trashbag 30x40</v>
      </c>
      <c r="P27823">
        <f>IF(OR(M27823="",N27823=""),"",SUMIFS('Barang Keluar'!$E:$E,'Barang Keluar'!$A:$A,M27823,'Barang Keluar'!$C:$C,N27823))</f>
        <v>0</v>
      </c>
    </row>
    <row r="27824" spans="13:16">
      <c r="M27824" s="49">
        <f>IF($A$4+278&gt;$B$4,"",$A$4+278)</f>
        <v>46301</v>
      </c>
      <c r="N27824" t="str">
        <f>IF(M27824="","",'Master Barang'!A18)</f>
        <v>PRL-017</v>
      </c>
      <c r="O27824" t="str">
        <f>IF(N27824="","",'Master Barang'!B18)</f>
        <v>onemed masker biru 3 play 50 pcs</v>
      </c>
      <c r="P27824">
        <f>IF(OR(M27824="",N27824=""),"",SUMIFS('Barang Keluar'!$E:$E,'Barang Keluar'!$A:$A,M27824,'Barang Keluar'!$C:$C,N27824))</f>
        <v>0</v>
      </c>
    </row>
    <row r="27825" spans="13:16">
      <c r="M27825" s="49">
        <f>IF($A$4+278&gt;$B$4,"",$A$4+278)</f>
        <v>46301</v>
      </c>
      <c r="N27825" t="str">
        <f>IF(M27825="","",'Master Barang'!A19)</f>
        <v>PRL-018</v>
      </c>
      <c r="O27825" t="str">
        <f>IF(N27825="","",'Master Barang'!B19)</f>
        <v>onemed masker biru 3 play hijab 50 pcs</v>
      </c>
      <c r="P27825">
        <f>IF(OR(M27825="",N27825=""),"",SUMIFS('Barang Keluar'!$E:$E,'Barang Keluar'!$A:$A,M27825,'Barang Keluar'!$C:$C,N27825))</f>
        <v>0</v>
      </c>
    </row>
    <row r="27826" spans="13:16">
      <c r="M27826" s="49">
        <f>IF($A$4+278&gt;$B$4,"",$A$4+278)</f>
        <v>46301</v>
      </c>
      <c r="N27826" t="str">
        <f>IF(M27826="","",'Master Barang'!A20)</f>
        <v>PRL-019</v>
      </c>
      <c r="O27826" t="str">
        <f>IF(N27826="","",'Master Barang'!B20)</f>
        <v>neo health masker biru 3 play 50 pcs</v>
      </c>
      <c r="P27826">
        <f>IF(OR(M27826="",N27826=""),"",SUMIFS('Barang Keluar'!$E:$E,'Barang Keluar'!$A:$A,M27826,'Barang Keluar'!$C:$C,N27826))</f>
        <v>0</v>
      </c>
    </row>
    <row r="27827" spans="13:16">
      <c r="M27827" s="49">
        <f>IF($A$4+278&gt;$B$4,"",$A$4+278)</f>
        <v>46301</v>
      </c>
      <c r="N27827" t="str">
        <f>IF(M27827="","",'Master Barang'!A21)</f>
        <v>PRL-020</v>
      </c>
      <c r="O27827" t="str">
        <f>IF(N27827="","",'Master Barang'!B21)</f>
        <v>baymed masker hijau 3 play hijau 50 pcs</v>
      </c>
      <c r="P27827">
        <f>IF(OR(M27827="",N27827=""),"",SUMIFS('Barang Keluar'!$E:$E,'Barang Keluar'!$A:$A,M27827,'Barang Keluar'!$C:$C,N27827))</f>
        <v>0</v>
      </c>
    </row>
    <row r="27828" spans="13:16">
      <c r="M27828" s="49">
        <f>IF($A$4+278&gt;$B$4,"",$A$4+278)</f>
        <v>46301</v>
      </c>
      <c r="N27828" t="str">
        <f>IF(M27828="","",'Master Barang'!A22)</f>
        <v>PRL-021</v>
      </c>
      <c r="O27828" t="str">
        <f>IF(N27828="","",'Master Barang'!B22)</f>
        <v>altamed nurse cap penutup kepala 100 pcs</v>
      </c>
      <c r="P27828">
        <f>IF(OR(M27828="",N27828=""),"",SUMIFS('Barang Keluar'!$E:$E,'Barang Keluar'!$A:$A,M27828,'Barang Keluar'!$C:$C,N27828))</f>
        <v>0</v>
      </c>
    </row>
    <row r="27829" spans="13:16">
      <c r="M27829" s="49">
        <f>IF($A$4+278&gt;$B$4,"",$A$4+278)</f>
        <v>46301</v>
      </c>
      <c r="N27829" t="str">
        <f>IF(M27829="","",'Master Barang'!A23)</f>
        <v>PRL-022</v>
      </c>
      <c r="O27829" t="str">
        <f>IF(N27829="","",'Master Barang'!B23)</f>
        <v>sabun cuci tangan</v>
      </c>
      <c r="P27829">
        <f>IF(OR(M27829="",N27829=""),"",SUMIFS('Barang Keluar'!$E:$E,'Barang Keluar'!$A:$A,M27829,'Barang Keluar'!$C:$C,N27829))</f>
        <v>0</v>
      </c>
    </row>
    <row r="27830" spans="13:16">
      <c r="M27830" s="49">
        <f>IF($A$4+278&gt;$B$4,"",$A$4+278)</f>
        <v>46301</v>
      </c>
      <c r="N27830" t="str">
        <f>IF(M27830="","",'Master Barang'!A24)</f>
        <v>PRL-023</v>
      </c>
      <c r="O27830" t="str">
        <f>IF(N27830="","",'Master Barang'!B24)</f>
        <v>gayung kecil</v>
      </c>
      <c r="P27830">
        <f>IF(OR(M27830="",N27830=""),"",SUMIFS('Barang Keluar'!$E:$E,'Barang Keluar'!$A:$A,M27830,'Barang Keluar'!$C:$C,N27830))</f>
        <v>0</v>
      </c>
    </row>
    <row r="27831" spans="13:16">
      <c r="M27831" s="49">
        <f>IF($A$4+278&gt;$B$4,"",$A$4+278)</f>
        <v>46301</v>
      </c>
      <c r="N27831" t="str">
        <f>IF(M27831="","",'Master Barang'!A25)</f>
        <v>PRL-024</v>
      </c>
      <c r="O27831" t="str">
        <f>IF(N27831="","",'Master Barang'!B25)</f>
        <v>cikrak kecil</v>
      </c>
      <c r="P27831">
        <f>IF(OR(M27831="",N27831=""),"",SUMIFS('Barang Keluar'!$E:$E,'Barang Keluar'!$A:$A,M27831,'Barang Keluar'!$C:$C,N27831))</f>
        <v>0</v>
      </c>
    </row>
    <row r="27832" spans="13:16">
      <c r="M27832" s="49">
        <f>IF($A$4+278&gt;$B$4,"",$A$4+278)</f>
        <v>46301</v>
      </c>
      <c r="N27832" t="str">
        <f>IF(M27832="","",'Master Barang'!A26)</f>
        <v>PRL-025</v>
      </c>
      <c r="O27832" t="str">
        <f>IF(N27832="","",'Master Barang'!B26)</f>
        <v>petromax plastik kecil 12x24 100 lembar</v>
      </c>
      <c r="P27832">
        <f>IF(OR(M27832="",N27832=""),"",SUMIFS('Barang Keluar'!$E:$E,'Barang Keluar'!$A:$A,M27832,'Barang Keluar'!$C:$C,N27832))</f>
        <v>0</v>
      </c>
    </row>
    <row r="27833" spans="13:16">
      <c r="M27833" s="49">
        <f>IF($A$4+278&gt;$B$4,"",$A$4+278)</f>
        <v>46301</v>
      </c>
      <c r="N27833" t="str">
        <f>IF(M27833="","",'Master Barang'!A27)</f>
        <v>PRL-026</v>
      </c>
      <c r="O27833" t="str">
        <f>IF(N27833="","",'Master Barang'!B27)</f>
        <v>lancar kresek kecil bening </v>
      </c>
      <c r="P27833">
        <f>IF(OR(M27833="",N27833=""),"",SUMIFS('Barang Keluar'!$E:$E,'Barang Keluar'!$A:$A,M27833,'Barang Keluar'!$C:$C,N27833))</f>
        <v>0</v>
      </c>
    </row>
    <row r="27834" spans="13:16">
      <c r="M27834" s="49">
        <f>IF($A$4+278&gt;$B$4,"",$A$4+278)</f>
        <v>46301</v>
      </c>
      <c r="N27834" t="str">
        <f>IF(M27834="","",'Master Barang'!A28)</f>
        <v>PRL-027</v>
      </c>
      <c r="O27834" t="str">
        <f>IF(N27834="","",'Master Barang'!B28)</f>
        <v>kresek klin warna warni kecil</v>
      </c>
      <c r="P27834">
        <f>IF(OR(M27834="",N27834=""),"",SUMIFS('Barang Keluar'!$E:$E,'Barang Keluar'!$A:$A,M27834,'Barang Keluar'!$C:$C,N27834))</f>
        <v>0</v>
      </c>
    </row>
    <row r="27835" spans="13:16">
      <c r="M27835" s="49">
        <f>IF($A$4+278&gt;$B$4,"",$A$4+278)</f>
        <v>46301</v>
      </c>
      <c r="N27835" t="str">
        <f>IF(M27835="","",'Master Barang'!A29)</f>
        <v>PRL-028</v>
      </c>
      <c r="O27835" t="str">
        <f>IF(N27835="","",'Master Barang'!B29)</f>
        <v>ctik plastik 7x10 100 pcs</v>
      </c>
      <c r="P27835">
        <f>IF(OR(M27835="",N27835=""),"",SUMIFS('Barang Keluar'!$E:$E,'Barang Keluar'!$A:$A,M27835,'Barang Keluar'!$C:$C,N27835))</f>
        <v>0</v>
      </c>
    </row>
    <row r="27836" spans="13:16">
      <c r="M27836" s="49">
        <f>IF($A$4+278&gt;$B$4,"",$A$4+278)</f>
        <v>46301</v>
      </c>
      <c r="N27836" t="str">
        <f>IF(M27836="","",'Master Barang'!A30)</f>
        <v>PRL-029</v>
      </c>
      <c r="O27836" t="str">
        <f>IF(N27836="","",'Master Barang'!B30)</f>
        <v>ctik plastik 6x10 100 pcs</v>
      </c>
      <c r="P27836">
        <f>IF(OR(M27836="",N27836=""),"",SUMIFS('Barang Keluar'!$E:$E,'Barang Keluar'!$A:$A,M27836,'Barang Keluar'!$C:$C,N27836))</f>
        <v>0</v>
      </c>
    </row>
    <row r="27837" spans="13:16">
      <c r="M27837" s="49">
        <f>IF($A$4+278&gt;$B$4,"",$A$4+278)</f>
        <v>46301</v>
      </c>
      <c r="N27837" t="str">
        <f>IF(M27837="","",'Master Barang'!A31)</f>
        <v>PRL-030</v>
      </c>
      <c r="O27837" t="str">
        <f>IF(N27837="","",'Master Barang'!B31)</f>
        <v>klip plastik 25x16 100 pcs</v>
      </c>
      <c r="P27837">
        <f>IF(OR(M27837="",N27837=""),"",SUMIFS('Barang Keluar'!$E:$E,'Barang Keluar'!$A:$A,M27837,'Barang Keluar'!$C:$C,N27837))</f>
        <v>0</v>
      </c>
    </row>
    <row r="27838" spans="13:16">
      <c r="M27838" s="49">
        <f>IF($A$4+278&gt;$B$4,"",$A$4+278)</f>
        <v>46301</v>
      </c>
      <c r="N27838" t="str">
        <f>IF(M27838="","",'Master Barang'!A32)</f>
        <v>PRL-031</v>
      </c>
      <c r="O27838" t="str">
        <f>IF(N27838="","",'Master Barang'!B32)</f>
        <v>tempat saus 20 ml</v>
      </c>
      <c r="P27838">
        <f>IF(OR(M27838="",N27838=""),"",SUMIFS('Barang Keluar'!$E:$E,'Barang Keluar'!$A:$A,M27838,'Barang Keluar'!$C:$C,N27838))</f>
        <v>0</v>
      </c>
    </row>
    <row r="27839" spans="13:16">
      <c r="M27839" s="49">
        <f>IF($A$4+278&gt;$B$4,"",$A$4+278)</f>
        <v>46301</v>
      </c>
      <c r="N27839" t="str">
        <f>IF(M27839="","",'Master Barang'!A33)</f>
        <v>PRL-032</v>
      </c>
      <c r="O27839" t="str">
        <f>IF(N27839="","",'Master Barang'!B33)</f>
        <v>plastik packaging ag box uk sedang</v>
      </c>
      <c r="P27839">
        <f>IF(OR(M27839="",N27839=""),"",SUMIFS('Barang Keluar'!$E:$E,'Barang Keluar'!$A:$A,M27839,'Barang Keluar'!$C:$C,N27839))</f>
        <v>0</v>
      </c>
    </row>
    <row r="27840" spans="13:16">
      <c r="M27840" s="49">
        <f>IF($A$4+278&gt;$B$4,"",$A$4+278)</f>
        <v>46301</v>
      </c>
      <c r="N27840" t="str">
        <f>IF(M27840="","",'Master Barang'!A34)</f>
        <v>PRL-033</v>
      </c>
      <c r="O27840">
        <f>IF(N27840="","",'Master Barang'!B34)</f>
        <v>0</v>
      </c>
      <c r="P27840">
        <f>IF(OR(M27840="",N27840=""),"",SUMIFS('Barang Keluar'!$E:$E,'Barang Keluar'!$A:$A,M27840,'Barang Keluar'!$C:$C,N27840))</f>
        <v>0</v>
      </c>
    </row>
    <row r="27841" spans="13:16">
      <c r="M27841" s="49">
        <f>IF($A$4+278&gt;$B$4,"",$A$4+278)</f>
        <v>46301</v>
      </c>
      <c r="N27841">
        <f>IF(M27841="","",'Master Barang'!A35)</f>
        <v>0</v>
      </c>
      <c r="O27841">
        <f>IF(N27841="","",'Master Barang'!B35)</f>
        <v>0</v>
      </c>
      <c r="P27841">
        <f>IF(OR(M27841="",N27841=""),"",SUMIFS('Barang Keluar'!$E:$E,'Barang Keluar'!$A:$A,M27841,'Barang Keluar'!$C:$C,N27841))</f>
        <v>0</v>
      </c>
    </row>
    <row r="27842" spans="13:16">
      <c r="M27842" s="49">
        <f>IF($A$4+278&gt;$B$4,"",$A$4+278)</f>
        <v>46301</v>
      </c>
      <c r="N27842">
        <f>IF(M27842="","",'Master Barang'!A36)</f>
        <v>0</v>
      </c>
      <c r="O27842">
        <f>IF(N27842="","",'Master Barang'!B36)</f>
        <v>0</v>
      </c>
      <c r="P27842">
        <f>IF(OR(M27842="",N27842=""),"",SUMIFS('Barang Keluar'!$E:$E,'Barang Keluar'!$A:$A,M27842,'Barang Keluar'!$C:$C,N27842))</f>
        <v>0</v>
      </c>
    </row>
    <row r="27843" spans="13:16">
      <c r="M27843" s="49">
        <f>IF($A$4+278&gt;$B$4,"",$A$4+278)</f>
        <v>46301</v>
      </c>
      <c r="N27843">
        <f>IF(M27843="","",'Master Barang'!A37)</f>
        <v>0</v>
      </c>
      <c r="O27843">
        <f>IF(N27843="","",'Master Barang'!B37)</f>
        <v>0</v>
      </c>
      <c r="P27843">
        <f>IF(OR(M27843="",N27843=""),"",SUMIFS('Barang Keluar'!$E:$E,'Barang Keluar'!$A:$A,M27843,'Barang Keluar'!$C:$C,N27843))</f>
        <v>0</v>
      </c>
    </row>
    <row r="27844" spans="13:16">
      <c r="M27844" s="49">
        <f>IF($A$4+278&gt;$B$4,"",$A$4+278)</f>
        <v>46301</v>
      </c>
      <c r="N27844">
        <f>IF(M27844="","",'Master Barang'!A38)</f>
        <v>0</v>
      </c>
      <c r="O27844">
        <f>IF(N27844="","",'Master Barang'!B38)</f>
        <v>0</v>
      </c>
      <c r="P27844">
        <f>IF(OR(M27844="",N27844=""),"",SUMIFS('Barang Keluar'!$E:$E,'Barang Keluar'!$A:$A,M27844,'Barang Keluar'!$C:$C,N27844))</f>
        <v>0</v>
      </c>
    </row>
    <row r="27845" spans="13:16">
      <c r="M27845" s="49">
        <f>IF($A$4+278&gt;$B$4,"",$A$4+278)</f>
        <v>46301</v>
      </c>
      <c r="N27845">
        <f>IF(M27845="","",'Master Barang'!A39)</f>
        <v>0</v>
      </c>
      <c r="O27845">
        <f>IF(N27845="","",'Master Barang'!B39)</f>
        <v>0</v>
      </c>
      <c r="P27845">
        <f>IF(OR(M27845="",N27845=""),"",SUMIFS('Barang Keluar'!$E:$E,'Barang Keluar'!$A:$A,M27845,'Barang Keluar'!$C:$C,N27845))</f>
        <v>0</v>
      </c>
    </row>
    <row r="27846" spans="13:16">
      <c r="M27846" s="49">
        <f>IF($A$4+278&gt;$B$4,"",$A$4+278)</f>
        <v>46301</v>
      </c>
      <c r="N27846">
        <f>IF(M27846="","",'Master Barang'!A40)</f>
        <v>0</v>
      </c>
      <c r="O27846">
        <f>IF(N27846="","",'Master Barang'!B40)</f>
        <v>0</v>
      </c>
      <c r="P27846">
        <f>IF(OR(M27846="",N27846=""),"",SUMIFS('Barang Keluar'!$E:$E,'Barang Keluar'!$A:$A,M27846,'Barang Keluar'!$C:$C,N27846))</f>
        <v>0</v>
      </c>
    </row>
    <row r="27847" spans="13:16">
      <c r="M27847" s="49">
        <f>IF($A$4+278&gt;$B$4,"",$A$4+278)</f>
        <v>46301</v>
      </c>
      <c r="N27847">
        <f>IF(M27847="","",'Master Barang'!A41)</f>
        <v>0</v>
      </c>
      <c r="O27847">
        <f>IF(N27847="","",'Master Barang'!B41)</f>
        <v>0</v>
      </c>
      <c r="P27847">
        <f>IF(OR(M27847="",N27847=""),"",SUMIFS('Barang Keluar'!$E:$E,'Barang Keluar'!$A:$A,M27847,'Barang Keluar'!$C:$C,N27847))</f>
        <v>0</v>
      </c>
    </row>
    <row r="27848" spans="13:16">
      <c r="M27848" s="49">
        <f>IF($A$4+278&gt;$B$4,"",$A$4+278)</f>
        <v>46301</v>
      </c>
      <c r="N27848">
        <f>IF(M27848="","",'Master Barang'!A42)</f>
        <v>0</v>
      </c>
      <c r="O27848">
        <f>IF(N27848="","",'Master Barang'!B42)</f>
        <v>0</v>
      </c>
      <c r="P27848">
        <f>IF(OR(M27848="",N27848=""),"",SUMIFS('Barang Keluar'!$E:$E,'Barang Keluar'!$A:$A,M27848,'Barang Keluar'!$C:$C,N27848))</f>
        <v>0</v>
      </c>
    </row>
    <row r="27849" spans="13:16">
      <c r="M27849" s="49">
        <f>IF($A$4+278&gt;$B$4,"",$A$4+278)</f>
        <v>46301</v>
      </c>
      <c r="N27849">
        <f>IF(M27849="","",'Master Barang'!A43)</f>
        <v>0</v>
      </c>
      <c r="O27849">
        <f>IF(N27849="","",'Master Barang'!B43)</f>
        <v>0</v>
      </c>
      <c r="P27849">
        <f>IF(OR(M27849="",N27849=""),"",SUMIFS('Barang Keluar'!$E:$E,'Barang Keluar'!$A:$A,M27849,'Barang Keluar'!$C:$C,N27849))</f>
        <v>0</v>
      </c>
    </row>
    <row r="27850" spans="13:16">
      <c r="M27850" s="49">
        <f>IF($A$4+278&gt;$B$4,"",$A$4+278)</f>
        <v>46301</v>
      </c>
      <c r="N27850">
        <f>IF(M27850="","",'Master Barang'!A44)</f>
        <v>0</v>
      </c>
      <c r="O27850">
        <f>IF(N27850="","",'Master Barang'!B44)</f>
        <v>0</v>
      </c>
      <c r="P27850">
        <f>IF(OR(M27850="",N27850=""),"",SUMIFS('Barang Keluar'!$E:$E,'Barang Keluar'!$A:$A,M27850,'Barang Keluar'!$C:$C,N27850))</f>
        <v>0</v>
      </c>
    </row>
    <row r="27851" spans="13:16">
      <c r="M27851" s="49">
        <f>IF($A$4+278&gt;$B$4,"",$A$4+278)</f>
        <v>46301</v>
      </c>
      <c r="N27851">
        <f>IF(M27851="","",'Master Barang'!A45)</f>
        <v>0</v>
      </c>
      <c r="O27851">
        <f>IF(N27851="","",'Master Barang'!B45)</f>
        <v>0</v>
      </c>
      <c r="P27851">
        <f>IF(OR(M27851="",N27851=""),"",SUMIFS('Barang Keluar'!$E:$E,'Barang Keluar'!$A:$A,M27851,'Barang Keluar'!$C:$C,N27851))</f>
        <v>0</v>
      </c>
    </row>
    <row r="27852" spans="13:16">
      <c r="M27852" s="49">
        <f>IF($A$4+278&gt;$B$4,"",$A$4+278)</f>
        <v>46301</v>
      </c>
      <c r="N27852">
        <f>IF(M27852="","",'Master Barang'!A46)</f>
        <v>0</v>
      </c>
      <c r="O27852">
        <f>IF(N27852="","",'Master Barang'!B46)</f>
        <v>0</v>
      </c>
      <c r="P27852">
        <f>IF(OR(M27852="",N27852=""),"",SUMIFS('Barang Keluar'!$E:$E,'Barang Keluar'!$A:$A,M27852,'Barang Keluar'!$C:$C,N27852))</f>
        <v>0</v>
      </c>
    </row>
    <row r="27853" spans="13:16">
      <c r="M27853" s="49">
        <f>IF($A$4+278&gt;$B$4,"",$A$4+278)</f>
        <v>46301</v>
      </c>
      <c r="N27853">
        <f>IF(M27853="","",'Master Barang'!A47)</f>
        <v>0</v>
      </c>
      <c r="O27853">
        <f>IF(N27853="","",'Master Barang'!B47)</f>
        <v>0</v>
      </c>
      <c r="P27853">
        <f>IF(OR(M27853="",N27853=""),"",SUMIFS('Barang Keluar'!$E:$E,'Barang Keluar'!$A:$A,M27853,'Barang Keluar'!$C:$C,N27853))</f>
        <v>0</v>
      </c>
    </row>
    <row r="27854" spans="13:16">
      <c r="M27854" s="49">
        <f>IF($A$4+278&gt;$B$4,"",$A$4+278)</f>
        <v>46301</v>
      </c>
      <c r="N27854">
        <f>IF(M27854="","",'Master Barang'!A48)</f>
        <v>0</v>
      </c>
      <c r="O27854">
        <f>IF(N27854="","",'Master Barang'!B48)</f>
        <v>0</v>
      </c>
      <c r="P27854">
        <f>IF(OR(M27854="",N27854=""),"",SUMIFS('Barang Keluar'!$E:$E,'Barang Keluar'!$A:$A,M27854,'Barang Keluar'!$C:$C,N27854))</f>
        <v>0</v>
      </c>
    </row>
    <row r="27855" spans="13:16">
      <c r="M27855" s="49">
        <f>IF($A$4+278&gt;$B$4,"",$A$4+278)</f>
        <v>46301</v>
      </c>
      <c r="N27855">
        <f>IF(M27855="","",'Master Barang'!A49)</f>
        <v>0</v>
      </c>
      <c r="O27855">
        <f>IF(N27855="","",'Master Barang'!B49)</f>
        <v>0</v>
      </c>
      <c r="P27855">
        <f>IF(OR(M27855="",N27855=""),"",SUMIFS('Barang Keluar'!$E:$E,'Barang Keluar'!$A:$A,M27855,'Barang Keluar'!$C:$C,N27855))</f>
        <v>0</v>
      </c>
    </row>
    <row r="27856" spans="13:16">
      <c r="M27856" s="49">
        <f>IF($A$4+278&gt;$B$4,"",$A$4+278)</f>
        <v>46301</v>
      </c>
      <c r="N27856">
        <f>IF(M27856="","",'Master Barang'!A50)</f>
        <v>0</v>
      </c>
      <c r="O27856">
        <f>IF(N27856="","",'Master Barang'!B50)</f>
        <v>0</v>
      </c>
      <c r="P27856">
        <f>IF(OR(M27856="",N27856=""),"",SUMIFS('Barang Keluar'!$E:$E,'Barang Keluar'!$A:$A,M27856,'Barang Keluar'!$C:$C,N27856))</f>
        <v>0</v>
      </c>
    </row>
    <row r="27857" spans="13:16">
      <c r="M27857" s="49">
        <f>IF($A$4+278&gt;$B$4,"",$A$4+278)</f>
        <v>46301</v>
      </c>
      <c r="N27857">
        <f>IF(M27857="","",'Master Barang'!A51)</f>
        <v>0</v>
      </c>
      <c r="O27857">
        <f>IF(N27857="","",'Master Barang'!B51)</f>
        <v>0</v>
      </c>
      <c r="P27857">
        <f>IF(OR(M27857="",N27857=""),"",SUMIFS('Barang Keluar'!$E:$E,'Barang Keluar'!$A:$A,M27857,'Barang Keluar'!$C:$C,N27857))</f>
        <v>0</v>
      </c>
    </row>
    <row r="27858" spans="13:16">
      <c r="M27858" s="49">
        <f>IF($A$4+278&gt;$B$4,"",$A$4+278)</f>
        <v>46301</v>
      </c>
      <c r="N27858">
        <f>IF(M27858="","",'Master Barang'!A52)</f>
        <v>0</v>
      </c>
      <c r="O27858">
        <f>IF(N27858="","",'Master Barang'!B52)</f>
        <v>0</v>
      </c>
      <c r="P27858">
        <f>IF(OR(M27858="",N27858=""),"",SUMIFS('Barang Keluar'!$E:$E,'Barang Keluar'!$A:$A,M27858,'Barang Keluar'!$C:$C,N27858))</f>
        <v>0</v>
      </c>
    </row>
    <row r="27859" spans="13:16">
      <c r="M27859" s="49">
        <f>IF($A$4+278&gt;$B$4,"",$A$4+278)</f>
        <v>46301</v>
      </c>
      <c r="N27859">
        <f>IF(M27859="","",'Master Barang'!A53)</f>
        <v>0</v>
      </c>
      <c r="O27859">
        <f>IF(N27859="","",'Master Barang'!B53)</f>
        <v>0</v>
      </c>
      <c r="P27859">
        <f>IF(OR(M27859="",N27859=""),"",SUMIFS('Barang Keluar'!$E:$E,'Barang Keluar'!$A:$A,M27859,'Barang Keluar'!$C:$C,N27859))</f>
        <v>0</v>
      </c>
    </row>
    <row r="27860" spans="13:16">
      <c r="M27860" s="49">
        <f>IF($A$4+278&gt;$B$4,"",$A$4+278)</f>
        <v>46301</v>
      </c>
      <c r="N27860">
        <f>IF(M27860="","",'Master Barang'!A54)</f>
        <v>0</v>
      </c>
      <c r="O27860">
        <f>IF(N27860="","",'Master Barang'!B54)</f>
        <v>0</v>
      </c>
      <c r="P27860">
        <f>IF(OR(M27860="",N27860=""),"",SUMIFS('Barang Keluar'!$E:$E,'Barang Keluar'!$A:$A,M27860,'Barang Keluar'!$C:$C,N27860))</f>
        <v>0</v>
      </c>
    </row>
    <row r="27861" spans="13:16">
      <c r="M27861" s="49">
        <f>IF($A$4+278&gt;$B$4,"",$A$4+278)</f>
        <v>46301</v>
      </c>
      <c r="N27861">
        <f>IF(M27861="","",'Master Barang'!A55)</f>
        <v>0</v>
      </c>
      <c r="O27861">
        <f>IF(N27861="","",'Master Barang'!B55)</f>
        <v>0</v>
      </c>
      <c r="P27861">
        <f>IF(OR(M27861="",N27861=""),"",SUMIFS('Barang Keluar'!$E:$E,'Barang Keluar'!$A:$A,M27861,'Barang Keluar'!$C:$C,N27861))</f>
        <v>0</v>
      </c>
    </row>
    <row r="27862" spans="13:16">
      <c r="M27862" s="49">
        <f>IF($A$4+278&gt;$B$4,"",$A$4+278)</f>
        <v>46301</v>
      </c>
      <c r="N27862">
        <f>IF(M27862="","",'Master Barang'!A56)</f>
        <v>0</v>
      </c>
      <c r="O27862">
        <f>IF(N27862="","",'Master Barang'!B56)</f>
        <v>0</v>
      </c>
      <c r="P27862">
        <f>IF(OR(M27862="",N27862=""),"",SUMIFS('Barang Keluar'!$E:$E,'Barang Keluar'!$A:$A,M27862,'Barang Keluar'!$C:$C,N27862))</f>
        <v>0</v>
      </c>
    </row>
    <row r="27863" spans="13:16">
      <c r="M27863" s="49">
        <f>IF($A$4+278&gt;$B$4,"",$A$4+278)</f>
        <v>46301</v>
      </c>
      <c r="N27863">
        <f>IF(M27863="","",'Master Barang'!A57)</f>
        <v>0</v>
      </c>
      <c r="O27863">
        <f>IF(N27863="","",'Master Barang'!B57)</f>
        <v>0</v>
      </c>
      <c r="P27863">
        <f>IF(OR(M27863="",N27863=""),"",SUMIFS('Barang Keluar'!$E:$E,'Barang Keluar'!$A:$A,M27863,'Barang Keluar'!$C:$C,N27863))</f>
        <v>0</v>
      </c>
    </row>
    <row r="27864" spans="13:16">
      <c r="M27864" s="49">
        <f>IF($A$4+278&gt;$B$4,"",$A$4+278)</f>
        <v>46301</v>
      </c>
      <c r="N27864">
        <f>IF(M27864="","",'Master Barang'!A58)</f>
        <v>0</v>
      </c>
      <c r="O27864">
        <f>IF(N27864="","",'Master Barang'!B58)</f>
        <v>0</v>
      </c>
      <c r="P27864">
        <f>IF(OR(M27864="",N27864=""),"",SUMIFS('Barang Keluar'!$E:$E,'Barang Keluar'!$A:$A,M27864,'Barang Keluar'!$C:$C,N27864))</f>
        <v>0</v>
      </c>
    </row>
    <row r="27865" spans="13:16">
      <c r="M27865" s="49">
        <f>IF($A$4+278&gt;$B$4,"",$A$4+278)</f>
        <v>46301</v>
      </c>
      <c r="N27865">
        <f>IF(M27865="","",'Master Barang'!A59)</f>
        <v>0</v>
      </c>
      <c r="O27865">
        <f>IF(N27865="","",'Master Barang'!B59)</f>
        <v>0</v>
      </c>
      <c r="P27865">
        <f>IF(OR(M27865="",N27865=""),"",SUMIFS('Barang Keluar'!$E:$E,'Barang Keluar'!$A:$A,M27865,'Barang Keluar'!$C:$C,N27865))</f>
        <v>0</v>
      </c>
    </row>
    <row r="27866" spans="13:16">
      <c r="M27866" s="49">
        <f>IF($A$4+278&gt;$B$4,"",$A$4+278)</f>
        <v>46301</v>
      </c>
      <c r="N27866">
        <f>IF(M27866="","",'Master Barang'!A60)</f>
        <v>0</v>
      </c>
      <c r="O27866">
        <f>IF(N27866="","",'Master Barang'!B60)</f>
        <v>0</v>
      </c>
      <c r="P27866">
        <f>IF(OR(M27866="",N27866=""),"",SUMIFS('Barang Keluar'!$E:$E,'Barang Keluar'!$A:$A,M27866,'Barang Keluar'!$C:$C,N27866))</f>
        <v>0</v>
      </c>
    </row>
    <row r="27867" spans="13:16">
      <c r="M27867" s="49">
        <f>IF($A$4+278&gt;$B$4,"",$A$4+278)</f>
        <v>46301</v>
      </c>
      <c r="N27867">
        <f>IF(M27867="","",'Master Barang'!A61)</f>
        <v>0</v>
      </c>
      <c r="O27867">
        <f>IF(N27867="","",'Master Barang'!B61)</f>
        <v>0</v>
      </c>
      <c r="P27867">
        <f>IF(OR(M27867="",N27867=""),"",SUMIFS('Barang Keluar'!$E:$E,'Barang Keluar'!$A:$A,M27867,'Barang Keluar'!$C:$C,N27867))</f>
        <v>0</v>
      </c>
    </row>
    <row r="27868" spans="13:16">
      <c r="M27868" s="49">
        <f>IF($A$4+278&gt;$B$4,"",$A$4+278)</f>
        <v>46301</v>
      </c>
      <c r="N27868">
        <f>IF(M27868="","",'Master Barang'!A62)</f>
        <v>0</v>
      </c>
      <c r="O27868">
        <f>IF(N27868="","",'Master Barang'!B62)</f>
        <v>0</v>
      </c>
      <c r="P27868">
        <f>IF(OR(M27868="",N27868=""),"",SUMIFS('Barang Keluar'!$E:$E,'Barang Keluar'!$A:$A,M27868,'Barang Keluar'!$C:$C,N27868))</f>
        <v>0</v>
      </c>
    </row>
    <row r="27869" spans="13:16">
      <c r="M27869" s="49">
        <f>IF($A$4+278&gt;$B$4,"",$A$4+278)</f>
        <v>46301</v>
      </c>
      <c r="N27869">
        <f>IF(M27869="","",'Master Barang'!A63)</f>
        <v>0</v>
      </c>
      <c r="O27869">
        <f>IF(N27869="","",'Master Barang'!B63)</f>
        <v>0</v>
      </c>
      <c r="P27869">
        <f>IF(OR(M27869="",N27869=""),"",SUMIFS('Barang Keluar'!$E:$E,'Barang Keluar'!$A:$A,M27869,'Barang Keluar'!$C:$C,N27869))</f>
        <v>0</v>
      </c>
    </row>
    <row r="27870" spans="13:16">
      <c r="M27870" s="49">
        <f>IF($A$4+278&gt;$B$4,"",$A$4+278)</f>
        <v>46301</v>
      </c>
      <c r="N27870">
        <f>IF(M27870="","",'Master Barang'!A64)</f>
        <v>0</v>
      </c>
      <c r="O27870">
        <f>IF(N27870="","",'Master Barang'!B64)</f>
        <v>0</v>
      </c>
      <c r="P27870">
        <f>IF(OR(M27870="",N27870=""),"",SUMIFS('Barang Keluar'!$E:$E,'Barang Keluar'!$A:$A,M27870,'Barang Keluar'!$C:$C,N27870))</f>
        <v>0</v>
      </c>
    </row>
    <row r="27871" spans="13:16">
      <c r="M27871" s="49">
        <f>IF($A$4+278&gt;$B$4,"",$A$4+278)</f>
        <v>46301</v>
      </c>
      <c r="N27871">
        <f>IF(M27871="","",'Master Barang'!A65)</f>
        <v>0</v>
      </c>
      <c r="O27871">
        <f>IF(N27871="","",'Master Barang'!B65)</f>
        <v>0</v>
      </c>
      <c r="P27871">
        <f>IF(OR(M27871="",N27871=""),"",SUMIFS('Barang Keluar'!$E:$E,'Barang Keluar'!$A:$A,M27871,'Barang Keluar'!$C:$C,N27871))</f>
        <v>0</v>
      </c>
    </row>
    <row r="27872" spans="13:16">
      <c r="M27872" s="49">
        <f>IF($A$4+278&gt;$B$4,"",$A$4+278)</f>
        <v>46301</v>
      </c>
      <c r="N27872">
        <f>IF(M27872="","",'Master Barang'!A66)</f>
        <v>0</v>
      </c>
      <c r="O27872">
        <f>IF(N27872="","",'Master Barang'!B66)</f>
        <v>0</v>
      </c>
      <c r="P27872">
        <f>IF(OR(M27872="",N27872=""),"",SUMIFS('Barang Keluar'!$E:$E,'Barang Keluar'!$A:$A,M27872,'Barang Keluar'!$C:$C,N27872))</f>
        <v>0</v>
      </c>
    </row>
    <row r="27873" spans="13:16">
      <c r="M27873" s="49">
        <f>IF($A$4+278&gt;$B$4,"",$A$4+278)</f>
        <v>46301</v>
      </c>
      <c r="N27873">
        <f>IF(M27873="","",'Master Barang'!A67)</f>
        <v>0</v>
      </c>
      <c r="O27873">
        <f>IF(N27873="","",'Master Barang'!B67)</f>
        <v>0</v>
      </c>
      <c r="P27873">
        <f>IF(OR(M27873="",N27873=""),"",SUMIFS('Barang Keluar'!$E:$E,'Barang Keluar'!$A:$A,M27873,'Barang Keluar'!$C:$C,N27873))</f>
        <v>0</v>
      </c>
    </row>
    <row r="27874" spans="13:16">
      <c r="M27874" s="49">
        <f>IF($A$4+278&gt;$B$4,"",$A$4+278)</f>
        <v>46301</v>
      </c>
      <c r="N27874">
        <f>IF(M27874="","",'Master Barang'!A68)</f>
        <v>0</v>
      </c>
      <c r="O27874">
        <f>IF(N27874="","",'Master Barang'!B68)</f>
        <v>0</v>
      </c>
      <c r="P27874">
        <f>IF(OR(M27874="",N27874=""),"",SUMIFS('Barang Keluar'!$E:$E,'Barang Keluar'!$A:$A,M27874,'Barang Keluar'!$C:$C,N27874))</f>
        <v>0</v>
      </c>
    </row>
    <row r="27875" spans="13:16">
      <c r="M27875" s="49">
        <f>IF($A$4+278&gt;$B$4,"",$A$4+278)</f>
        <v>46301</v>
      </c>
      <c r="N27875">
        <f>IF(M27875="","",'Master Barang'!A69)</f>
        <v>0</v>
      </c>
      <c r="O27875">
        <f>IF(N27875="","",'Master Barang'!B69)</f>
        <v>0</v>
      </c>
      <c r="P27875">
        <f>IF(OR(M27875="",N27875=""),"",SUMIFS('Barang Keluar'!$E:$E,'Barang Keluar'!$A:$A,M27875,'Barang Keluar'!$C:$C,N27875))</f>
        <v>0</v>
      </c>
    </row>
    <row r="27876" spans="13:16">
      <c r="M27876" s="49">
        <f>IF($A$4+278&gt;$B$4,"",$A$4+278)</f>
        <v>46301</v>
      </c>
      <c r="N27876">
        <f>IF(M27876="","",'Master Barang'!A70)</f>
        <v>0</v>
      </c>
      <c r="O27876">
        <f>IF(N27876="","",'Master Barang'!B70)</f>
        <v>0</v>
      </c>
      <c r="P27876">
        <f>IF(OR(M27876="",N27876=""),"",SUMIFS('Barang Keluar'!$E:$E,'Barang Keluar'!$A:$A,M27876,'Barang Keluar'!$C:$C,N27876))</f>
        <v>0</v>
      </c>
    </row>
    <row r="27877" spans="13:16">
      <c r="M27877" s="49">
        <f>IF($A$4+278&gt;$B$4,"",$A$4+278)</f>
        <v>46301</v>
      </c>
      <c r="N27877">
        <f>IF(M27877="","",'Master Barang'!A71)</f>
        <v>0</v>
      </c>
      <c r="O27877">
        <f>IF(N27877="","",'Master Barang'!B71)</f>
        <v>0</v>
      </c>
      <c r="P27877">
        <f>IF(OR(M27877="",N27877=""),"",SUMIFS('Barang Keluar'!$E:$E,'Barang Keluar'!$A:$A,M27877,'Barang Keluar'!$C:$C,N27877))</f>
        <v>0</v>
      </c>
    </row>
    <row r="27878" spans="13:16">
      <c r="M27878" s="49">
        <f>IF($A$4+278&gt;$B$4,"",$A$4+278)</f>
        <v>46301</v>
      </c>
      <c r="N27878">
        <f>IF(M27878="","",'Master Barang'!A72)</f>
        <v>0</v>
      </c>
      <c r="O27878">
        <f>IF(N27878="","",'Master Barang'!B72)</f>
        <v>0</v>
      </c>
      <c r="P27878">
        <f>IF(OR(M27878="",N27878=""),"",SUMIFS('Barang Keluar'!$E:$E,'Barang Keluar'!$A:$A,M27878,'Barang Keluar'!$C:$C,N27878))</f>
        <v>0</v>
      </c>
    </row>
    <row r="27879" spans="13:16">
      <c r="M27879" s="49">
        <f>IF($A$4+278&gt;$B$4,"",$A$4+278)</f>
        <v>46301</v>
      </c>
      <c r="N27879">
        <f>IF(M27879="","",'Master Barang'!A73)</f>
        <v>0</v>
      </c>
      <c r="O27879">
        <f>IF(N27879="","",'Master Barang'!B73)</f>
        <v>0</v>
      </c>
      <c r="P27879">
        <f>IF(OR(M27879="",N27879=""),"",SUMIFS('Barang Keluar'!$E:$E,'Barang Keluar'!$A:$A,M27879,'Barang Keluar'!$C:$C,N27879))</f>
        <v>0</v>
      </c>
    </row>
    <row r="27880" spans="13:16">
      <c r="M27880" s="49">
        <f>IF($A$4+278&gt;$B$4,"",$A$4+278)</f>
        <v>46301</v>
      </c>
      <c r="N27880">
        <f>IF(M27880="","",'Master Barang'!A74)</f>
        <v>0</v>
      </c>
      <c r="O27880">
        <f>IF(N27880="","",'Master Barang'!B74)</f>
        <v>0</v>
      </c>
      <c r="P27880">
        <f>IF(OR(M27880="",N27880=""),"",SUMIFS('Barang Keluar'!$E:$E,'Barang Keluar'!$A:$A,M27880,'Barang Keluar'!$C:$C,N27880))</f>
        <v>0</v>
      </c>
    </row>
    <row r="27881" spans="13:16">
      <c r="M27881" s="49">
        <f>IF($A$4+278&gt;$B$4,"",$A$4+278)</f>
        <v>46301</v>
      </c>
      <c r="N27881">
        <f>IF(M27881="","",'Master Barang'!A75)</f>
        <v>0</v>
      </c>
      <c r="O27881">
        <f>IF(N27881="","",'Master Barang'!B75)</f>
        <v>0</v>
      </c>
      <c r="P27881">
        <f>IF(OR(M27881="",N27881=""),"",SUMIFS('Barang Keluar'!$E:$E,'Barang Keluar'!$A:$A,M27881,'Barang Keluar'!$C:$C,N27881))</f>
        <v>0</v>
      </c>
    </row>
    <row r="27882" spans="13:16">
      <c r="M27882" s="49">
        <f>IF($A$4+278&gt;$B$4,"",$A$4+278)</f>
        <v>46301</v>
      </c>
      <c r="N27882">
        <f>IF(M27882="","",'Master Barang'!A76)</f>
        <v>0</v>
      </c>
      <c r="O27882">
        <f>IF(N27882="","",'Master Barang'!B76)</f>
        <v>0</v>
      </c>
      <c r="P27882">
        <f>IF(OR(M27882="",N27882=""),"",SUMIFS('Barang Keluar'!$E:$E,'Barang Keluar'!$A:$A,M27882,'Barang Keluar'!$C:$C,N27882))</f>
        <v>0</v>
      </c>
    </row>
    <row r="27883" spans="13:16">
      <c r="M27883" s="49">
        <f>IF($A$4+278&gt;$B$4,"",$A$4+278)</f>
        <v>46301</v>
      </c>
      <c r="N27883">
        <f>IF(M27883="","",'Master Barang'!A77)</f>
        <v>0</v>
      </c>
      <c r="O27883">
        <f>IF(N27883="","",'Master Barang'!B77)</f>
        <v>0</v>
      </c>
      <c r="P27883">
        <f>IF(OR(M27883="",N27883=""),"",SUMIFS('Barang Keluar'!$E:$E,'Barang Keluar'!$A:$A,M27883,'Barang Keluar'!$C:$C,N27883))</f>
        <v>0</v>
      </c>
    </row>
    <row r="27884" spans="13:16">
      <c r="M27884" s="49">
        <f>IF($A$4+278&gt;$B$4,"",$A$4+278)</f>
        <v>46301</v>
      </c>
      <c r="N27884">
        <f>IF(M27884="","",'Master Barang'!A78)</f>
        <v>0</v>
      </c>
      <c r="O27884">
        <f>IF(N27884="","",'Master Barang'!B78)</f>
        <v>0</v>
      </c>
      <c r="P27884">
        <f>IF(OR(M27884="",N27884=""),"",SUMIFS('Barang Keluar'!$E:$E,'Barang Keluar'!$A:$A,M27884,'Barang Keluar'!$C:$C,N27884))</f>
        <v>0</v>
      </c>
    </row>
    <row r="27885" spans="13:16">
      <c r="M27885" s="49">
        <f>IF($A$4+278&gt;$B$4,"",$A$4+278)</f>
        <v>46301</v>
      </c>
      <c r="N27885">
        <f>IF(M27885="","",'Master Barang'!A79)</f>
        <v>0</v>
      </c>
      <c r="O27885">
        <f>IF(N27885="","",'Master Barang'!B79)</f>
        <v>0</v>
      </c>
      <c r="P27885">
        <f>IF(OR(M27885="",N27885=""),"",SUMIFS('Barang Keluar'!$E:$E,'Barang Keluar'!$A:$A,M27885,'Barang Keluar'!$C:$C,N27885))</f>
        <v>0</v>
      </c>
    </row>
    <row r="27886" spans="13:16">
      <c r="M27886" s="49">
        <f>IF($A$4+278&gt;$B$4,"",$A$4+278)</f>
        <v>46301</v>
      </c>
      <c r="N27886">
        <f>IF(M27886="","",'Master Barang'!A80)</f>
        <v>0</v>
      </c>
      <c r="O27886">
        <f>IF(N27886="","",'Master Barang'!B80)</f>
        <v>0</v>
      </c>
      <c r="P27886">
        <f>IF(OR(M27886="",N27886=""),"",SUMIFS('Barang Keluar'!$E:$E,'Barang Keluar'!$A:$A,M27886,'Barang Keluar'!$C:$C,N27886))</f>
        <v>0</v>
      </c>
    </row>
    <row r="27887" spans="13:16">
      <c r="M27887" s="49">
        <f>IF($A$4+278&gt;$B$4,"",$A$4+278)</f>
        <v>46301</v>
      </c>
      <c r="N27887">
        <f>IF(M27887="","",'Master Barang'!A81)</f>
        <v>0</v>
      </c>
      <c r="O27887">
        <f>IF(N27887="","",'Master Barang'!B81)</f>
        <v>0</v>
      </c>
      <c r="P27887">
        <f>IF(OR(M27887="",N27887=""),"",SUMIFS('Barang Keluar'!$E:$E,'Barang Keluar'!$A:$A,M27887,'Barang Keluar'!$C:$C,N27887))</f>
        <v>0</v>
      </c>
    </row>
    <row r="27888" spans="13:16">
      <c r="M27888" s="49">
        <f>IF($A$4+278&gt;$B$4,"",$A$4+278)</f>
        <v>46301</v>
      </c>
      <c r="N27888">
        <f>IF(M27888="","",'Master Barang'!A82)</f>
        <v>0</v>
      </c>
      <c r="O27888">
        <f>IF(N27888="","",'Master Barang'!B82)</f>
        <v>0</v>
      </c>
      <c r="P27888">
        <f>IF(OR(M27888="",N27888=""),"",SUMIFS('Barang Keluar'!$E:$E,'Barang Keluar'!$A:$A,M27888,'Barang Keluar'!$C:$C,N27888))</f>
        <v>0</v>
      </c>
    </row>
    <row r="27889" spans="13:16">
      <c r="M27889" s="49">
        <f>IF($A$4+278&gt;$B$4,"",$A$4+278)</f>
        <v>46301</v>
      </c>
      <c r="N27889">
        <f>IF(M27889="","",'Master Barang'!A83)</f>
        <v>0</v>
      </c>
      <c r="O27889">
        <f>IF(N27889="","",'Master Barang'!B83)</f>
        <v>0</v>
      </c>
      <c r="P27889">
        <f>IF(OR(M27889="",N27889=""),"",SUMIFS('Barang Keluar'!$E:$E,'Barang Keluar'!$A:$A,M27889,'Barang Keluar'!$C:$C,N27889))</f>
        <v>0</v>
      </c>
    </row>
    <row r="27890" spans="13:16">
      <c r="M27890" s="49">
        <f>IF($A$4+278&gt;$B$4,"",$A$4+278)</f>
        <v>46301</v>
      </c>
      <c r="N27890">
        <f>IF(M27890="","",'Master Barang'!A84)</f>
        <v>0</v>
      </c>
      <c r="O27890">
        <f>IF(N27890="","",'Master Barang'!B84)</f>
        <v>0</v>
      </c>
      <c r="P27890">
        <f>IF(OR(M27890="",N27890=""),"",SUMIFS('Barang Keluar'!$E:$E,'Barang Keluar'!$A:$A,M27890,'Barang Keluar'!$C:$C,N27890))</f>
        <v>0</v>
      </c>
    </row>
    <row r="27891" spans="13:16">
      <c r="M27891" s="49">
        <f>IF($A$4+278&gt;$B$4,"",$A$4+278)</f>
        <v>46301</v>
      </c>
      <c r="N27891">
        <f>IF(M27891="","",'Master Barang'!A85)</f>
        <v>0</v>
      </c>
      <c r="O27891">
        <f>IF(N27891="","",'Master Barang'!B85)</f>
        <v>0</v>
      </c>
      <c r="P27891">
        <f>IF(OR(M27891="",N27891=""),"",SUMIFS('Barang Keluar'!$E:$E,'Barang Keluar'!$A:$A,M27891,'Barang Keluar'!$C:$C,N27891))</f>
        <v>0</v>
      </c>
    </row>
    <row r="27892" spans="13:16">
      <c r="M27892" s="49">
        <f>IF($A$4+278&gt;$B$4,"",$A$4+278)</f>
        <v>46301</v>
      </c>
      <c r="N27892">
        <f>IF(M27892="","",'Master Barang'!A86)</f>
        <v>0</v>
      </c>
      <c r="O27892">
        <f>IF(N27892="","",'Master Barang'!B86)</f>
        <v>0</v>
      </c>
      <c r="P27892">
        <f>IF(OR(M27892="",N27892=""),"",SUMIFS('Barang Keluar'!$E:$E,'Barang Keluar'!$A:$A,M27892,'Barang Keluar'!$C:$C,N27892))</f>
        <v>0</v>
      </c>
    </row>
    <row r="27893" spans="13:16">
      <c r="M27893" s="49">
        <f>IF($A$4+278&gt;$B$4,"",$A$4+278)</f>
        <v>46301</v>
      </c>
      <c r="N27893">
        <f>IF(M27893="","",'Master Barang'!A87)</f>
        <v>0</v>
      </c>
      <c r="O27893">
        <f>IF(N27893="","",'Master Barang'!B87)</f>
        <v>0</v>
      </c>
      <c r="P27893">
        <f>IF(OR(M27893="",N27893=""),"",SUMIFS('Barang Keluar'!$E:$E,'Barang Keluar'!$A:$A,M27893,'Barang Keluar'!$C:$C,N27893))</f>
        <v>0</v>
      </c>
    </row>
    <row r="27894" spans="13:16">
      <c r="M27894" s="49">
        <f>IF($A$4+278&gt;$B$4,"",$A$4+278)</f>
        <v>46301</v>
      </c>
      <c r="N27894">
        <f>IF(M27894="","",'Master Barang'!A88)</f>
        <v>0</v>
      </c>
      <c r="O27894">
        <f>IF(N27894="","",'Master Barang'!B88)</f>
        <v>0</v>
      </c>
      <c r="P27894">
        <f>IF(OR(M27894="",N27894=""),"",SUMIFS('Barang Keluar'!$E:$E,'Barang Keluar'!$A:$A,M27894,'Barang Keluar'!$C:$C,N27894))</f>
        <v>0</v>
      </c>
    </row>
    <row r="27895" spans="13:16">
      <c r="M27895" s="49">
        <f>IF($A$4+278&gt;$B$4,"",$A$4+278)</f>
        <v>46301</v>
      </c>
      <c r="N27895">
        <f>IF(M27895="","",'Master Barang'!A89)</f>
        <v>0</v>
      </c>
      <c r="O27895">
        <f>IF(N27895="","",'Master Barang'!B89)</f>
        <v>0</v>
      </c>
      <c r="P27895">
        <f>IF(OR(M27895="",N27895=""),"",SUMIFS('Barang Keluar'!$E:$E,'Barang Keluar'!$A:$A,M27895,'Barang Keluar'!$C:$C,N27895))</f>
        <v>0</v>
      </c>
    </row>
    <row r="27896" spans="13:16">
      <c r="M27896" s="49">
        <f>IF($A$4+278&gt;$B$4,"",$A$4+278)</f>
        <v>46301</v>
      </c>
      <c r="N27896">
        <f>IF(M27896="","",'Master Barang'!A90)</f>
        <v>0</v>
      </c>
      <c r="O27896">
        <f>IF(N27896="","",'Master Barang'!B90)</f>
        <v>0</v>
      </c>
      <c r="P27896">
        <f>IF(OR(M27896="",N27896=""),"",SUMIFS('Barang Keluar'!$E:$E,'Barang Keluar'!$A:$A,M27896,'Barang Keluar'!$C:$C,N27896))</f>
        <v>0</v>
      </c>
    </row>
    <row r="27897" spans="13:16">
      <c r="M27897" s="49">
        <f>IF($A$4+278&gt;$B$4,"",$A$4+278)</f>
        <v>46301</v>
      </c>
      <c r="N27897">
        <f>IF(M27897="","",'Master Barang'!A91)</f>
        <v>0</v>
      </c>
      <c r="O27897">
        <f>IF(N27897="","",'Master Barang'!B91)</f>
        <v>0</v>
      </c>
      <c r="P27897">
        <f>IF(OR(M27897="",N27897=""),"",SUMIFS('Barang Keluar'!$E:$E,'Barang Keluar'!$A:$A,M27897,'Barang Keluar'!$C:$C,N27897))</f>
        <v>0</v>
      </c>
    </row>
    <row r="27898" spans="13:16">
      <c r="M27898" s="49">
        <f>IF($A$4+278&gt;$B$4,"",$A$4+278)</f>
        <v>46301</v>
      </c>
      <c r="N27898">
        <f>IF(M27898="","",'Master Barang'!A92)</f>
        <v>0</v>
      </c>
      <c r="O27898">
        <f>IF(N27898="","",'Master Barang'!B92)</f>
        <v>0</v>
      </c>
      <c r="P27898">
        <f>IF(OR(M27898="",N27898=""),"",SUMIFS('Barang Keluar'!$E:$E,'Barang Keluar'!$A:$A,M27898,'Barang Keluar'!$C:$C,N27898))</f>
        <v>0</v>
      </c>
    </row>
    <row r="27899" spans="13:16">
      <c r="M27899" s="49">
        <f>IF($A$4+278&gt;$B$4,"",$A$4+278)</f>
        <v>46301</v>
      </c>
      <c r="N27899">
        <f>IF(M27899="","",'Master Barang'!A93)</f>
        <v>0</v>
      </c>
      <c r="O27899">
        <f>IF(N27899="","",'Master Barang'!B93)</f>
        <v>0</v>
      </c>
      <c r="P27899">
        <f>IF(OR(M27899="",N27899=""),"",SUMIFS('Barang Keluar'!$E:$E,'Barang Keluar'!$A:$A,M27899,'Barang Keluar'!$C:$C,N27899))</f>
        <v>0</v>
      </c>
    </row>
    <row r="27900" spans="13:16">
      <c r="M27900" s="49">
        <f>IF($A$4+278&gt;$B$4,"",$A$4+278)</f>
        <v>46301</v>
      </c>
      <c r="N27900">
        <f>IF(M27900="","",'Master Barang'!A94)</f>
        <v>0</v>
      </c>
      <c r="O27900">
        <f>IF(N27900="","",'Master Barang'!B94)</f>
        <v>0</v>
      </c>
      <c r="P27900">
        <f>IF(OR(M27900="",N27900=""),"",SUMIFS('Barang Keluar'!$E:$E,'Barang Keluar'!$A:$A,M27900,'Barang Keluar'!$C:$C,N27900))</f>
        <v>0</v>
      </c>
    </row>
    <row r="27901" spans="13:16">
      <c r="M27901" s="49">
        <f>IF($A$4+278&gt;$B$4,"",$A$4+278)</f>
        <v>46301</v>
      </c>
      <c r="N27901">
        <f>IF(M27901="","",'Master Barang'!A95)</f>
        <v>0</v>
      </c>
      <c r="O27901">
        <f>IF(N27901="","",'Master Barang'!B95)</f>
        <v>0</v>
      </c>
      <c r="P27901">
        <f>IF(OR(M27901="",N27901=""),"",SUMIFS('Barang Keluar'!$E:$E,'Barang Keluar'!$A:$A,M27901,'Barang Keluar'!$C:$C,N27901))</f>
        <v>0</v>
      </c>
    </row>
    <row r="27902" spans="13:16">
      <c r="M27902" s="49">
        <f>IF($A$4+278&gt;$B$4,"",$A$4+278)</f>
        <v>46301</v>
      </c>
      <c r="N27902">
        <f>IF(M27902="","",'Master Barang'!A96)</f>
        <v>0</v>
      </c>
      <c r="O27902">
        <f>IF(N27902="","",'Master Barang'!B96)</f>
        <v>0</v>
      </c>
      <c r="P27902">
        <f>IF(OR(M27902="",N27902=""),"",SUMIFS('Barang Keluar'!$E:$E,'Barang Keluar'!$A:$A,M27902,'Barang Keluar'!$C:$C,N27902))</f>
        <v>0</v>
      </c>
    </row>
    <row r="27903" spans="13:16">
      <c r="M27903" s="49">
        <f>IF($A$4+278&gt;$B$4,"",$A$4+278)</f>
        <v>46301</v>
      </c>
      <c r="N27903">
        <f>IF(M27903="","",'Master Barang'!A97)</f>
        <v>0</v>
      </c>
      <c r="O27903">
        <f>IF(N27903="","",'Master Barang'!B97)</f>
        <v>0</v>
      </c>
      <c r="P27903">
        <f>IF(OR(M27903="",N27903=""),"",SUMIFS('Barang Keluar'!$E:$E,'Barang Keluar'!$A:$A,M27903,'Barang Keluar'!$C:$C,N27903))</f>
        <v>0</v>
      </c>
    </row>
    <row r="27904" spans="13:16">
      <c r="M27904" s="49">
        <f>IF($A$4+278&gt;$B$4,"",$A$4+278)</f>
        <v>46301</v>
      </c>
      <c r="N27904">
        <f>IF(M27904="","",'Master Barang'!A98)</f>
        <v>0</v>
      </c>
      <c r="O27904">
        <f>IF(N27904="","",'Master Barang'!B98)</f>
        <v>0</v>
      </c>
      <c r="P27904">
        <f>IF(OR(M27904="",N27904=""),"",SUMIFS('Barang Keluar'!$E:$E,'Barang Keluar'!$A:$A,M27904,'Barang Keluar'!$C:$C,N27904))</f>
        <v>0</v>
      </c>
    </row>
    <row r="27905" spans="13:16">
      <c r="M27905" s="49">
        <f>IF($A$4+278&gt;$B$4,"",$A$4+278)</f>
        <v>46301</v>
      </c>
      <c r="N27905">
        <f>IF(M27905="","",'Master Barang'!A99)</f>
        <v>0</v>
      </c>
      <c r="O27905">
        <f>IF(N27905="","",'Master Barang'!B99)</f>
        <v>0</v>
      </c>
      <c r="P27905">
        <f>IF(OR(M27905="",N27905=""),"",SUMIFS('Barang Keluar'!$E:$E,'Barang Keluar'!$A:$A,M27905,'Barang Keluar'!$C:$C,N27905))</f>
        <v>0</v>
      </c>
    </row>
    <row r="27906" spans="13:16">
      <c r="M27906" s="49">
        <f>IF($A$4+278&gt;$B$4,"",$A$4+278)</f>
        <v>46301</v>
      </c>
      <c r="N27906">
        <f>IF(M27906="","",'Master Barang'!A100)</f>
        <v>0</v>
      </c>
      <c r="O27906">
        <f>IF(N27906="","",'Master Barang'!B100)</f>
        <v>0</v>
      </c>
      <c r="P27906">
        <f>IF(OR(M27906="",N27906=""),"",SUMIFS('Barang Keluar'!$E:$E,'Barang Keluar'!$A:$A,M27906,'Barang Keluar'!$C:$C,N27906))</f>
        <v>0</v>
      </c>
    </row>
    <row r="27907" spans="13:16">
      <c r="M27907" s="49">
        <f>IF($A$4+278&gt;$B$4,"",$A$4+278)</f>
        <v>46301</v>
      </c>
      <c r="N27907">
        <f>IF(M27907="","",'Master Barang'!A101)</f>
        <v>0</v>
      </c>
      <c r="O27907">
        <f>IF(N27907="","",'Master Barang'!B101)</f>
        <v>0</v>
      </c>
      <c r="P27907">
        <f>IF(OR(M27907="",N27907=""),"",SUMIFS('Barang Keluar'!$E:$E,'Barang Keluar'!$A:$A,M27907,'Barang Keluar'!$C:$C,N27907))</f>
        <v>0</v>
      </c>
    </row>
    <row r="27908" spans="13:16">
      <c r="M27908" s="49">
        <f>IF($A$4+279&gt;$B$4,"",$A$4+279)</f>
        <v>46302</v>
      </c>
      <c r="N27908" t="str">
        <f>IF(M27908="","",'Master Barang'!A2)</f>
        <v>PRL-001</v>
      </c>
      <c r="O27908" t="str">
        <f>IF(N27908="","",'Master Barang'!B2)</f>
        <v>natura desinfectant food grade 5l</v>
      </c>
      <c r="P27908">
        <f>IF(OR(M27908="",N27908=""),"",SUMIFS('Barang Keluar'!$E:$E,'Barang Keluar'!$A:$A,M27908,'Barang Keluar'!$C:$C,N27908))</f>
        <v>0</v>
      </c>
    </row>
    <row r="27909" spans="13:16">
      <c r="M27909" s="49">
        <f>IF($A$4+279&gt;$B$4,"",$A$4+279)</f>
        <v>46302</v>
      </c>
      <c r="N27909" t="str">
        <f>IF(M27909="","",'Master Barang'!A3)</f>
        <v>PRL-002</v>
      </c>
      <c r="O27909" t="str">
        <f>IF(N27909="","",'Master Barang'!B3)</f>
        <v>sunlight cairan pencuci piring 5l</v>
      </c>
      <c r="P27909">
        <f>IF(OR(M27909="",N27909=""),"",SUMIFS('Barang Keluar'!$E:$E,'Barang Keluar'!$A:$A,M27909,'Barang Keluar'!$C:$C,N27909))</f>
        <v>0</v>
      </c>
    </row>
    <row r="27910" spans="13:16">
      <c r="M27910" s="49">
        <f>IF($A$4+279&gt;$B$4,"",$A$4+279)</f>
        <v>46302</v>
      </c>
      <c r="N27910" t="str">
        <f>IF(M27910="","",'Master Barang'!A4)</f>
        <v>PRL-003</v>
      </c>
      <c r="O27910" t="str">
        <f>IF(N27910="","",'Master Barang'!B4)</f>
        <v>oixs cleaner 1l</v>
      </c>
      <c r="P27910">
        <f>IF(OR(M27910="",N27910=""),"",SUMIFS('Barang Keluar'!$E:$E,'Barang Keluar'!$A:$A,M27910,'Barang Keluar'!$C:$C,N27910))</f>
        <v>0</v>
      </c>
    </row>
    <row r="27911" spans="13:16">
      <c r="M27911" s="49">
        <f>IF($A$4+279&gt;$B$4,"",$A$4+279)</f>
        <v>46302</v>
      </c>
      <c r="N27911" t="str">
        <f>IF(M27911="","",'Master Barang'!A5)</f>
        <v>PRL-004</v>
      </c>
      <c r="O27911" t="str">
        <f>IF(N27911="","",'Master Barang'!B5)</f>
        <v>be clean tissue serbaguna</v>
      </c>
      <c r="P27911">
        <f>IF(OR(M27911="",N27911=""),"",SUMIFS('Barang Keluar'!$E:$E,'Barang Keluar'!$A:$A,M27911,'Barang Keluar'!$C:$C,N27911))</f>
        <v>0</v>
      </c>
    </row>
    <row r="27912" spans="13:16">
      <c r="M27912" s="49">
        <f>IF($A$4+279&gt;$B$4,"",$A$4+279)</f>
        <v>46302</v>
      </c>
      <c r="N27912" t="str">
        <f>IF(M27912="","",'Master Barang'!A6)</f>
        <v>PRL-005</v>
      </c>
      <c r="O27912" t="str">
        <f>IF(N27912="","",'Master Barang'!B6)</f>
        <v>spons cuci hijau</v>
      </c>
      <c r="P27912">
        <f>IF(OR(M27912="",N27912=""),"",SUMIFS('Barang Keluar'!$E:$E,'Barang Keluar'!$A:$A,M27912,'Barang Keluar'!$C:$C,N27912))</f>
        <v>0</v>
      </c>
    </row>
    <row r="27913" spans="13:16">
      <c r="M27913" s="49">
        <f>IF($A$4+279&gt;$B$4,"",$A$4+279)</f>
        <v>46302</v>
      </c>
      <c r="N27913" t="str">
        <f>IF(M27913="","",'Master Barang'!A7)</f>
        <v>PRL-006</v>
      </c>
      <c r="O27913" t="str">
        <f>IF(N27913="","",'Master Barang'!B7)</f>
        <v>sabut cuci stainless</v>
      </c>
      <c r="P27913">
        <f>IF(OR(M27913="",N27913=""),"",SUMIFS('Barang Keluar'!$E:$E,'Barang Keluar'!$A:$A,M27913,'Barang Keluar'!$C:$C,N27913))</f>
        <v>0</v>
      </c>
    </row>
    <row r="27914" spans="13:16">
      <c r="M27914" s="49">
        <f>IF($A$4+279&gt;$B$4,"",$A$4+279)</f>
        <v>46302</v>
      </c>
      <c r="N27914" t="str">
        <f>IF(M27914="","",'Master Barang'!A8)</f>
        <v>PRL-007</v>
      </c>
      <c r="O27914" t="str">
        <f>IF(N27914="","",'Master Barang'!B8)</f>
        <v>plastik kresek besar merah 50pc</v>
      </c>
      <c r="P27914">
        <f>IF(OR(M27914="",N27914=""),"",SUMIFS('Barang Keluar'!$E:$E,'Barang Keluar'!$A:$A,M27914,'Barang Keluar'!$C:$C,N27914))</f>
        <v>0</v>
      </c>
    </row>
    <row r="27915" spans="13:16">
      <c r="M27915" s="49">
        <f>IF($A$4+279&gt;$B$4,"",$A$4+279)</f>
        <v>46302</v>
      </c>
      <c r="N27915" t="str">
        <f>IF(M27915="","",'Master Barang'!A9)</f>
        <v>PRL-008</v>
      </c>
      <c r="O27915" t="str">
        <f>IF(N27915="","",'Master Barang'!B9)</f>
        <v>lap besar</v>
      </c>
      <c r="P27915">
        <f>IF(OR(M27915="",N27915=""),"",SUMIFS('Barang Keluar'!$E:$E,'Barang Keluar'!$A:$A,M27915,'Barang Keluar'!$C:$C,N27915))</f>
        <v>0</v>
      </c>
    </row>
    <row r="27916" spans="13:16">
      <c r="M27916" s="49">
        <f>IF($A$4+279&gt;$B$4,"",$A$4+279)</f>
        <v>46302</v>
      </c>
      <c r="N27916" t="str">
        <f>IF(M27916="","",'Master Barang'!A10)</f>
        <v>PRL-009</v>
      </c>
      <c r="O27916" t="str">
        <f>IF(N27916="","",'Master Barang'!B10)</f>
        <v>lap microfiber</v>
      </c>
      <c r="P27916">
        <f>IF(OR(M27916="",N27916=""),"",SUMIFS('Barang Keluar'!$E:$E,'Barang Keluar'!$A:$A,M27916,'Barang Keluar'!$C:$C,N27916))</f>
        <v>0</v>
      </c>
    </row>
    <row r="27917" spans="13:16">
      <c r="M27917" s="49">
        <f>IF($A$4+279&gt;$B$4,"",$A$4+279)</f>
        <v>46302</v>
      </c>
      <c r="N27917" t="str">
        <f>IF(M27917="","",'Master Barang'!A11)</f>
        <v>PRL-010</v>
      </c>
      <c r="O27917" t="str">
        <f>IF(N27917="","",'Master Barang'!B11)</f>
        <v>lap kecil</v>
      </c>
      <c r="P27917">
        <f>IF(OR(M27917="",N27917=""),"",SUMIFS('Barang Keluar'!$E:$E,'Barang Keluar'!$A:$A,M27917,'Barang Keluar'!$C:$C,N27917))</f>
        <v>0</v>
      </c>
    </row>
    <row r="27918" spans="13:16">
      <c r="M27918" s="49">
        <f>IF($A$4+279&gt;$B$4,"",$A$4+279)</f>
        <v>46302</v>
      </c>
      <c r="N27918" t="str">
        <f>IF(M27918="","",'Master Barang'!A12)</f>
        <v>PRL-011</v>
      </c>
      <c r="O27918" t="str">
        <f>IF(N27918="","",'Master Barang'!B12)</f>
        <v>kanebo kecil</v>
      </c>
      <c r="P27918">
        <f>IF(OR(M27918="",N27918=""),"",SUMIFS('Barang Keluar'!$E:$E,'Barang Keluar'!$A:$A,M27918,'Barang Keluar'!$C:$C,N27918))</f>
        <v>0</v>
      </c>
    </row>
    <row r="27919" spans="13:16">
      <c r="M27919" s="49">
        <f>IF($A$4+279&gt;$B$4,"",$A$4+279)</f>
        <v>46302</v>
      </c>
      <c r="N27919" t="str">
        <f>IF(M27919="","",'Master Barang'!A13)</f>
        <v>PRL-012</v>
      </c>
      <c r="O27919" t="str">
        <f>IF(N27919="","",'Master Barang'!B13)</f>
        <v>plastik 1/4kg joyoboyo 100 lembar</v>
      </c>
      <c r="P27919">
        <f>IF(OR(M27919="",N27919=""),"",SUMIFS('Barang Keluar'!$E:$E,'Barang Keluar'!$A:$A,M27919,'Barang Keluar'!$C:$C,N27919))</f>
        <v>0</v>
      </c>
    </row>
    <row r="27920" spans="13:16">
      <c r="M27920" s="49">
        <f>IF($A$4+279&gt;$B$4,"",$A$4+279)</f>
        <v>46302</v>
      </c>
      <c r="N27920" t="str">
        <f>IF(M27920="","",'Master Barang'!A14)</f>
        <v>PRL-013</v>
      </c>
      <c r="O27920" t="str">
        <f>IF(N27920="","",'Master Barang'!B14)</f>
        <v>sarung tangan plastik kaka 100 pcs</v>
      </c>
      <c r="P27920">
        <f>IF(OR(M27920="",N27920=""),"",SUMIFS('Barang Keluar'!$E:$E,'Barang Keluar'!$A:$A,M27920,'Barang Keluar'!$C:$C,N27920))</f>
        <v>0</v>
      </c>
    </row>
    <row r="27921" spans="13:16">
      <c r="M27921" s="49">
        <f>IF($A$4+279&gt;$B$4,"",$A$4+279)</f>
        <v>46302</v>
      </c>
      <c r="N27921" t="str">
        <f>IF(M27921="","",'Master Barang'!A15)</f>
        <v>PRL-014</v>
      </c>
      <c r="O27921" t="str">
        <f>IF(N27921="","",'Master Barang'!B15)</f>
        <v>optima trashbag 80x100</v>
      </c>
      <c r="P27921">
        <f>IF(OR(M27921="",N27921=""),"",SUMIFS('Barang Keluar'!$E:$E,'Barang Keluar'!$A:$A,M27921,'Barang Keluar'!$C:$C,N27921))</f>
        <v>0</v>
      </c>
    </row>
    <row r="27922" spans="13:16">
      <c r="M27922" s="49">
        <f>IF($A$4+279&gt;$B$4,"",$A$4+279)</f>
        <v>46302</v>
      </c>
      <c r="N27922" t="str">
        <f>IF(M27922="","",'Master Barang'!A16)</f>
        <v>PRL-015</v>
      </c>
      <c r="O27922" t="str">
        <f>IF(N27922="","",'Master Barang'!B16)</f>
        <v>optima trashbag 60x100</v>
      </c>
      <c r="P27922">
        <f>IF(OR(M27922="",N27922=""),"",SUMIFS('Barang Keluar'!$E:$E,'Barang Keluar'!$A:$A,M27922,'Barang Keluar'!$C:$C,N27922))</f>
        <v>0</v>
      </c>
    </row>
    <row r="27923" spans="13:16">
      <c r="M27923" s="49">
        <f>IF($A$4+279&gt;$B$4,"",$A$4+279)</f>
        <v>46302</v>
      </c>
      <c r="N27923" t="str">
        <f>IF(M27923="","",'Master Barang'!A17)</f>
        <v>PRL-016</v>
      </c>
      <c r="O27923" t="str">
        <f>IF(N27923="","",'Master Barang'!B17)</f>
        <v>rajawali trashbag 30x40</v>
      </c>
      <c r="P27923">
        <f>IF(OR(M27923="",N27923=""),"",SUMIFS('Barang Keluar'!$E:$E,'Barang Keluar'!$A:$A,M27923,'Barang Keluar'!$C:$C,N27923))</f>
        <v>0</v>
      </c>
    </row>
    <row r="27924" spans="13:16">
      <c r="M27924" s="49">
        <f>IF($A$4+279&gt;$B$4,"",$A$4+279)</f>
        <v>46302</v>
      </c>
      <c r="N27924" t="str">
        <f>IF(M27924="","",'Master Barang'!A18)</f>
        <v>PRL-017</v>
      </c>
      <c r="O27924" t="str">
        <f>IF(N27924="","",'Master Barang'!B18)</f>
        <v>onemed masker biru 3 play 50 pcs</v>
      </c>
      <c r="P27924">
        <f>IF(OR(M27924="",N27924=""),"",SUMIFS('Barang Keluar'!$E:$E,'Barang Keluar'!$A:$A,M27924,'Barang Keluar'!$C:$C,N27924))</f>
        <v>0</v>
      </c>
    </row>
    <row r="27925" spans="13:16">
      <c r="M27925" s="49">
        <f>IF($A$4+279&gt;$B$4,"",$A$4+279)</f>
        <v>46302</v>
      </c>
      <c r="N27925" t="str">
        <f>IF(M27925="","",'Master Barang'!A19)</f>
        <v>PRL-018</v>
      </c>
      <c r="O27925" t="str">
        <f>IF(N27925="","",'Master Barang'!B19)</f>
        <v>onemed masker biru 3 play hijab 50 pcs</v>
      </c>
      <c r="P27925">
        <f>IF(OR(M27925="",N27925=""),"",SUMIFS('Barang Keluar'!$E:$E,'Barang Keluar'!$A:$A,M27925,'Barang Keluar'!$C:$C,N27925))</f>
        <v>0</v>
      </c>
    </row>
    <row r="27926" spans="13:16">
      <c r="M27926" s="49">
        <f>IF($A$4+279&gt;$B$4,"",$A$4+279)</f>
        <v>46302</v>
      </c>
      <c r="N27926" t="str">
        <f>IF(M27926="","",'Master Barang'!A20)</f>
        <v>PRL-019</v>
      </c>
      <c r="O27926" t="str">
        <f>IF(N27926="","",'Master Barang'!B20)</f>
        <v>neo health masker biru 3 play 50 pcs</v>
      </c>
      <c r="P27926">
        <f>IF(OR(M27926="",N27926=""),"",SUMIFS('Barang Keluar'!$E:$E,'Barang Keluar'!$A:$A,M27926,'Barang Keluar'!$C:$C,N27926))</f>
        <v>0</v>
      </c>
    </row>
    <row r="27927" spans="13:16">
      <c r="M27927" s="49">
        <f>IF($A$4+279&gt;$B$4,"",$A$4+279)</f>
        <v>46302</v>
      </c>
      <c r="N27927" t="str">
        <f>IF(M27927="","",'Master Barang'!A21)</f>
        <v>PRL-020</v>
      </c>
      <c r="O27927" t="str">
        <f>IF(N27927="","",'Master Barang'!B21)</f>
        <v>baymed masker hijau 3 play hijau 50 pcs</v>
      </c>
      <c r="P27927">
        <f>IF(OR(M27927="",N27927=""),"",SUMIFS('Barang Keluar'!$E:$E,'Barang Keluar'!$A:$A,M27927,'Barang Keluar'!$C:$C,N27927))</f>
        <v>0</v>
      </c>
    </row>
    <row r="27928" spans="13:16">
      <c r="M27928" s="49">
        <f>IF($A$4+279&gt;$B$4,"",$A$4+279)</f>
        <v>46302</v>
      </c>
      <c r="N27928" t="str">
        <f>IF(M27928="","",'Master Barang'!A22)</f>
        <v>PRL-021</v>
      </c>
      <c r="O27928" t="str">
        <f>IF(N27928="","",'Master Barang'!B22)</f>
        <v>altamed nurse cap penutup kepala 100 pcs</v>
      </c>
      <c r="P27928">
        <f>IF(OR(M27928="",N27928=""),"",SUMIFS('Barang Keluar'!$E:$E,'Barang Keluar'!$A:$A,M27928,'Barang Keluar'!$C:$C,N27928))</f>
        <v>0</v>
      </c>
    </row>
    <row r="27929" spans="13:16">
      <c r="M27929" s="49">
        <f>IF($A$4+279&gt;$B$4,"",$A$4+279)</f>
        <v>46302</v>
      </c>
      <c r="N27929" t="str">
        <f>IF(M27929="","",'Master Barang'!A23)</f>
        <v>PRL-022</v>
      </c>
      <c r="O27929" t="str">
        <f>IF(N27929="","",'Master Barang'!B23)</f>
        <v>sabun cuci tangan</v>
      </c>
      <c r="P27929">
        <f>IF(OR(M27929="",N27929=""),"",SUMIFS('Barang Keluar'!$E:$E,'Barang Keluar'!$A:$A,M27929,'Barang Keluar'!$C:$C,N27929))</f>
        <v>0</v>
      </c>
    </row>
    <row r="27930" spans="13:16">
      <c r="M27930" s="49">
        <f>IF($A$4+279&gt;$B$4,"",$A$4+279)</f>
        <v>46302</v>
      </c>
      <c r="N27930" t="str">
        <f>IF(M27930="","",'Master Barang'!A24)</f>
        <v>PRL-023</v>
      </c>
      <c r="O27930" t="str">
        <f>IF(N27930="","",'Master Barang'!B24)</f>
        <v>gayung kecil</v>
      </c>
      <c r="P27930">
        <f>IF(OR(M27930="",N27930=""),"",SUMIFS('Barang Keluar'!$E:$E,'Barang Keluar'!$A:$A,M27930,'Barang Keluar'!$C:$C,N27930))</f>
        <v>0</v>
      </c>
    </row>
    <row r="27931" spans="13:16">
      <c r="M27931" s="49">
        <f>IF($A$4+279&gt;$B$4,"",$A$4+279)</f>
        <v>46302</v>
      </c>
      <c r="N27931" t="str">
        <f>IF(M27931="","",'Master Barang'!A25)</f>
        <v>PRL-024</v>
      </c>
      <c r="O27931" t="str">
        <f>IF(N27931="","",'Master Barang'!B25)</f>
        <v>cikrak kecil</v>
      </c>
      <c r="P27931">
        <f>IF(OR(M27931="",N27931=""),"",SUMIFS('Barang Keluar'!$E:$E,'Barang Keluar'!$A:$A,M27931,'Barang Keluar'!$C:$C,N27931))</f>
        <v>0</v>
      </c>
    </row>
    <row r="27932" spans="13:16">
      <c r="M27932" s="49">
        <f>IF($A$4+279&gt;$B$4,"",$A$4+279)</f>
        <v>46302</v>
      </c>
      <c r="N27932" t="str">
        <f>IF(M27932="","",'Master Barang'!A26)</f>
        <v>PRL-025</v>
      </c>
      <c r="O27932" t="str">
        <f>IF(N27932="","",'Master Barang'!B26)</f>
        <v>petromax plastik kecil 12x24 100 lembar</v>
      </c>
      <c r="P27932">
        <f>IF(OR(M27932="",N27932=""),"",SUMIFS('Barang Keluar'!$E:$E,'Barang Keluar'!$A:$A,M27932,'Barang Keluar'!$C:$C,N27932))</f>
        <v>0</v>
      </c>
    </row>
    <row r="27933" spans="13:16">
      <c r="M27933" s="49">
        <f>IF($A$4+279&gt;$B$4,"",$A$4+279)</f>
        <v>46302</v>
      </c>
      <c r="N27933" t="str">
        <f>IF(M27933="","",'Master Barang'!A27)</f>
        <v>PRL-026</v>
      </c>
      <c r="O27933" t="str">
        <f>IF(N27933="","",'Master Barang'!B27)</f>
        <v>lancar kresek kecil bening </v>
      </c>
      <c r="P27933">
        <f>IF(OR(M27933="",N27933=""),"",SUMIFS('Barang Keluar'!$E:$E,'Barang Keluar'!$A:$A,M27933,'Barang Keluar'!$C:$C,N27933))</f>
        <v>0</v>
      </c>
    </row>
    <row r="27934" spans="13:16">
      <c r="M27934" s="49">
        <f>IF($A$4+279&gt;$B$4,"",$A$4+279)</f>
        <v>46302</v>
      </c>
      <c r="N27934" t="str">
        <f>IF(M27934="","",'Master Barang'!A28)</f>
        <v>PRL-027</v>
      </c>
      <c r="O27934" t="str">
        <f>IF(N27934="","",'Master Barang'!B28)</f>
        <v>kresek klin warna warni kecil</v>
      </c>
      <c r="P27934">
        <f>IF(OR(M27934="",N27934=""),"",SUMIFS('Barang Keluar'!$E:$E,'Barang Keluar'!$A:$A,M27934,'Barang Keluar'!$C:$C,N27934))</f>
        <v>0</v>
      </c>
    </row>
    <row r="27935" spans="13:16">
      <c r="M27935" s="49">
        <f>IF($A$4+279&gt;$B$4,"",$A$4+279)</f>
        <v>46302</v>
      </c>
      <c r="N27935" t="str">
        <f>IF(M27935="","",'Master Barang'!A29)</f>
        <v>PRL-028</v>
      </c>
      <c r="O27935" t="str">
        <f>IF(N27935="","",'Master Barang'!B29)</f>
        <v>ctik plastik 7x10 100 pcs</v>
      </c>
      <c r="P27935">
        <f>IF(OR(M27935="",N27935=""),"",SUMIFS('Barang Keluar'!$E:$E,'Barang Keluar'!$A:$A,M27935,'Barang Keluar'!$C:$C,N27935))</f>
        <v>0</v>
      </c>
    </row>
    <row r="27936" spans="13:16">
      <c r="M27936" s="49">
        <f>IF($A$4+279&gt;$B$4,"",$A$4+279)</f>
        <v>46302</v>
      </c>
      <c r="N27936" t="str">
        <f>IF(M27936="","",'Master Barang'!A30)</f>
        <v>PRL-029</v>
      </c>
      <c r="O27936" t="str">
        <f>IF(N27936="","",'Master Barang'!B30)</f>
        <v>ctik plastik 6x10 100 pcs</v>
      </c>
      <c r="P27936">
        <f>IF(OR(M27936="",N27936=""),"",SUMIFS('Barang Keluar'!$E:$E,'Barang Keluar'!$A:$A,M27936,'Barang Keluar'!$C:$C,N27936))</f>
        <v>0</v>
      </c>
    </row>
    <row r="27937" spans="13:16">
      <c r="M27937" s="49">
        <f>IF($A$4+279&gt;$B$4,"",$A$4+279)</f>
        <v>46302</v>
      </c>
      <c r="N27937" t="str">
        <f>IF(M27937="","",'Master Barang'!A31)</f>
        <v>PRL-030</v>
      </c>
      <c r="O27937" t="str">
        <f>IF(N27937="","",'Master Barang'!B31)</f>
        <v>klip plastik 25x16 100 pcs</v>
      </c>
      <c r="P27937">
        <f>IF(OR(M27937="",N27937=""),"",SUMIFS('Barang Keluar'!$E:$E,'Barang Keluar'!$A:$A,M27937,'Barang Keluar'!$C:$C,N27937))</f>
        <v>0</v>
      </c>
    </row>
    <row r="27938" spans="13:16">
      <c r="M27938" s="49">
        <f>IF($A$4+279&gt;$B$4,"",$A$4+279)</f>
        <v>46302</v>
      </c>
      <c r="N27938" t="str">
        <f>IF(M27938="","",'Master Barang'!A32)</f>
        <v>PRL-031</v>
      </c>
      <c r="O27938" t="str">
        <f>IF(N27938="","",'Master Barang'!B32)</f>
        <v>tempat saus 20 ml</v>
      </c>
      <c r="P27938">
        <f>IF(OR(M27938="",N27938=""),"",SUMIFS('Barang Keluar'!$E:$E,'Barang Keluar'!$A:$A,M27938,'Barang Keluar'!$C:$C,N27938))</f>
        <v>0</v>
      </c>
    </row>
    <row r="27939" spans="13:16">
      <c r="M27939" s="49">
        <f>IF($A$4+279&gt;$B$4,"",$A$4+279)</f>
        <v>46302</v>
      </c>
      <c r="N27939" t="str">
        <f>IF(M27939="","",'Master Barang'!A33)</f>
        <v>PRL-032</v>
      </c>
      <c r="O27939" t="str">
        <f>IF(N27939="","",'Master Barang'!B33)</f>
        <v>plastik packaging ag box uk sedang</v>
      </c>
      <c r="P27939">
        <f>IF(OR(M27939="",N27939=""),"",SUMIFS('Barang Keluar'!$E:$E,'Barang Keluar'!$A:$A,M27939,'Barang Keluar'!$C:$C,N27939))</f>
        <v>0</v>
      </c>
    </row>
    <row r="27940" spans="13:16">
      <c r="M27940" s="49">
        <f>IF($A$4+279&gt;$B$4,"",$A$4+279)</f>
        <v>46302</v>
      </c>
      <c r="N27940" t="str">
        <f>IF(M27940="","",'Master Barang'!A34)</f>
        <v>PRL-033</v>
      </c>
      <c r="O27940">
        <f>IF(N27940="","",'Master Barang'!B34)</f>
        <v>0</v>
      </c>
      <c r="P27940">
        <f>IF(OR(M27940="",N27940=""),"",SUMIFS('Barang Keluar'!$E:$E,'Barang Keluar'!$A:$A,M27940,'Barang Keluar'!$C:$C,N27940))</f>
        <v>0</v>
      </c>
    </row>
    <row r="27941" spans="13:16">
      <c r="M27941" s="49">
        <f>IF($A$4+279&gt;$B$4,"",$A$4+279)</f>
        <v>46302</v>
      </c>
      <c r="N27941">
        <f>IF(M27941="","",'Master Barang'!A35)</f>
        <v>0</v>
      </c>
      <c r="O27941">
        <f>IF(N27941="","",'Master Barang'!B35)</f>
        <v>0</v>
      </c>
      <c r="P27941">
        <f>IF(OR(M27941="",N27941=""),"",SUMIFS('Barang Keluar'!$E:$E,'Barang Keluar'!$A:$A,M27941,'Barang Keluar'!$C:$C,N27941))</f>
        <v>0</v>
      </c>
    </row>
    <row r="27942" spans="13:16">
      <c r="M27942" s="49">
        <f>IF($A$4+279&gt;$B$4,"",$A$4+279)</f>
        <v>46302</v>
      </c>
      <c r="N27942">
        <f>IF(M27942="","",'Master Barang'!A36)</f>
        <v>0</v>
      </c>
      <c r="O27942">
        <f>IF(N27942="","",'Master Barang'!B36)</f>
        <v>0</v>
      </c>
      <c r="P27942">
        <f>IF(OR(M27942="",N27942=""),"",SUMIFS('Barang Keluar'!$E:$E,'Barang Keluar'!$A:$A,M27942,'Barang Keluar'!$C:$C,N27942))</f>
        <v>0</v>
      </c>
    </row>
    <row r="27943" spans="13:16">
      <c r="M27943" s="49">
        <f>IF($A$4+279&gt;$B$4,"",$A$4+279)</f>
        <v>46302</v>
      </c>
      <c r="N27943">
        <f>IF(M27943="","",'Master Barang'!A37)</f>
        <v>0</v>
      </c>
      <c r="O27943">
        <f>IF(N27943="","",'Master Barang'!B37)</f>
        <v>0</v>
      </c>
      <c r="P27943">
        <f>IF(OR(M27943="",N27943=""),"",SUMIFS('Barang Keluar'!$E:$E,'Barang Keluar'!$A:$A,M27943,'Barang Keluar'!$C:$C,N27943))</f>
        <v>0</v>
      </c>
    </row>
    <row r="27944" spans="13:16">
      <c r="M27944" s="49">
        <f>IF($A$4+279&gt;$B$4,"",$A$4+279)</f>
        <v>46302</v>
      </c>
      <c r="N27944">
        <f>IF(M27944="","",'Master Barang'!A38)</f>
        <v>0</v>
      </c>
      <c r="O27944">
        <f>IF(N27944="","",'Master Barang'!B38)</f>
        <v>0</v>
      </c>
      <c r="P27944">
        <f>IF(OR(M27944="",N27944=""),"",SUMIFS('Barang Keluar'!$E:$E,'Barang Keluar'!$A:$A,M27944,'Barang Keluar'!$C:$C,N27944))</f>
        <v>0</v>
      </c>
    </row>
    <row r="27945" spans="13:16">
      <c r="M27945" s="49">
        <f>IF($A$4+279&gt;$B$4,"",$A$4+279)</f>
        <v>46302</v>
      </c>
      <c r="N27945">
        <f>IF(M27945="","",'Master Barang'!A39)</f>
        <v>0</v>
      </c>
      <c r="O27945">
        <f>IF(N27945="","",'Master Barang'!B39)</f>
        <v>0</v>
      </c>
      <c r="P27945">
        <f>IF(OR(M27945="",N27945=""),"",SUMIFS('Barang Keluar'!$E:$E,'Barang Keluar'!$A:$A,M27945,'Barang Keluar'!$C:$C,N27945))</f>
        <v>0</v>
      </c>
    </row>
    <row r="27946" spans="13:16">
      <c r="M27946" s="49">
        <f>IF($A$4+279&gt;$B$4,"",$A$4+279)</f>
        <v>46302</v>
      </c>
      <c r="N27946">
        <f>IF(M27946="","",'Master Barang'!A40)</f>
        <v>0</v>
      </c>
      <c r="O27946">
        <f>IF(N27946="","",'Master Barang'!B40)</f>
        <v>0</v>
      </c>
      <c r="P27946">
        <f>IF(OR(M27946="",N27946=""),"",SUMIFS('Barang Keluar'!$E:$E,'Barang Keluar'!$A:$A,M27946,'Barang Keluar'!$C:$C,N27946))</f>
        <v>0</v>
      </c>
    </row>
    <row r="27947" spans="13:16">
      <c r="M27947" s="49">
        <f>IF($A$4+279&gt;$B$4,"",$A$4+279)</f>
        <v>46302</v>
      </c>
      <c r="N27947">
        <f>IF(M27947="","",'Master Barang'!A41)</f>
        <v>0</v>
      </c>
      <c r="O27947">
        <f>IF(N27947="","",'Master Barang'!B41)</f>
        <v>0</v>
      </c>
      <c r="P27947">
        <f>IF(OR(M27947="",N27947=""),"",SUMIFS('Barang Keluar'!$E:$E,'Barang Keluar'!$A:$A,M27947,'Barang Keluar'!$C:$C,N27947))</f>
        <v>0</v>
      </c>
    </row>
    <row r="27948" spans="13:16">
      <c r="M27948" s="49">
        <f>IF($A$4+279&gt;$B$4,"",$A$4+279)</f>
        <v>46302</v>
      </c>
      <c r="N27948">
        <f>IF(M27948="","",'Master Barang'!A42)</f>
        <v>0</v>
      </c>
      <c r="O27948">
        <f>IF(N27948="","",'Master Barang'!B42)</f>
        <v>0</v>
      </c>
      <c r="P27948">
        <f>IF(OR(M27948="",N27948=""),"",SUMIFS('Barang Keluar'!$E:$E,'Barang Keluar'!$A:$A,M27948,'Barang Keluar'!$C:$C,N27948))</f>
        <v>0</v>
      </c>
    </row>
    <row r="27949" spans="13:16">
      <c r="M27949" s="49">
        <f>IF($A$4+279&gt;$B$4,"",$A$4+279)</f>
        <v>46302</v>
      </c>
      <c r="N27949">
        <f>IF(M27949="","",'Master Barang'!A43)</f>
        <v>0</v>
      </c>
      <c r="O27949">
        <f>IF(N27949="","",'Master Barang'!B43)</f>
        <v>0</v>
      </c>
      <c r="P27949">
        <f>IF(OR(M27949="",N27949=""),"",SUMIFS('Barang Keluar'!$E:$E,'Barang Keluar'!$A:$A,M27949,'Barang Keluar'!$C:$C,N27949))</f>
        <v>0</v>
      </c>
    </row>
    <row r="27950" spans="13:16">
      <c r="M27950" s="49">
        <f>IF($A$4+279&gt;$B$4,"",$A$4+279)</f>
        <v>46302</v>
      </c>
      <c r="N27950">
        <f>IF(M27950="","",'Master Barang'!A44)</f>
        <v>0</v>
      </c>
      <c r="O27950">
        <f>IF(N27950="","",'Master Barang'!B44)</f>
        <v>0</v>
      </c>
      <c r="P27950">
        <f>IF(OR(M27950="",N27950=""),"",SUMIFS('Barang Keluar'!$E:$E,'Barang Keluar'!$A:$A,M27950,'Barang Keluar'!$C:$C,N27950))</f>
        <v>0</v>
      </c>
    </row>
    <row r="27951" spans="13:16">
      <c r="M27951" s="49">
        <f>IF($A$4+279&gt;$B$4,"",$A$4+279)</f>
        <v>46302</v>
      </c>
      <c r="N27951">
        <f>IF(M27951="","",'Master Barang'!A45)</f>
        <v>0</v>
      </c>
      <c r="O27951">
        <f>IF(N27951="","",'Master Barang'!B45)</f>
        <v>0</v>
      </c>
      <c r="P27951">
        <f>IF(OR(M27951="",N27951=""),"",SUMIFS('Barang Keluar'!$E:$E,'Barang Keluar'!$A:$A,M27951,'Barang Keluar'!$C:$C,N27951))</f>
        <v>0</v>
      </c>
    </row>
    <row r="27952" spans="13:16">
      <c r="M27952" s="49">
        <f>IF($A$4+279&gt;$B$4,"",$A$4+279)</f>
        <v>46302</v>
      </c>
      <c r="N27952">
        <f>IF(M27952="","",'Master Barang'!A46)</f>
        <v>0</v>
      </c>
      <c r="O27952">
        <f>IF(N27952="","",'Master Barang'!B46)</f>
        <v>0</v>
      </c>
      <c r="P27952">
        <f>IF(OR(M27952="",N27952=""),"",SUMIFS('Barang Keluar'!$E:$E,'Barang Keluar'!$A:$A,M27952,'Barang Keluar'!$C:$C,N27952))</f>
        <v>0</v>
      </c>
    </row>
    <row r="27953" spans="13:16">
      <c r="M27953" s="49">
        <f>IF($A$4+279&gt;$B$4,"",$A$4+279)</f>
        <v>46302</v>
      </c>
      <c r="N27953">
        <f>IF(M27953="","",'Master Barang'!A47)</f>
        <v>0</v>
      </c>
      <c r="O27953">
        <f>IF(N27953="","",'Master Barang'!B47)</f>
        <v>0</v>
      </c>
      <c r="P27953">
        <f>IF(OR(M27953="",N27953=""),"",SUMIFS('Barang Keluar'!$E:$E,'Barang Keluar'!$A:$A,M27953,'Barang Keluar'!$C:$C,N27953))</f>
        <v>0</v>
      </c>
    </row>
    <row r="27954" spans="13:16">
      <c r="M27954" s="49">
        <f>IF($A$4+279&gt;$B$4,"",$A$4+279)</f>
        <v>46302</v>
      </c>
      <c r="N27954">
        <f>IF(M27954="","",'Master Barang'!A48)</f>
        <v>0</v>
      </c>
      <c r="O27954">
        <f>IF(N27954="","",'Master Barang'!B48)</f>
        <v>0</v>
      </c>
      <c r="P27954">
        <f>IF(OR(M27954="",N27954=""),"",SUMIFS('Barang Keluar'!$E:$E,'Barang Keluar'!$A:$A,M27954,'Barang Keluar'!$C:$C,N27954))</f>
        <v>0</v>
      </c>
    </row>
    <row r="27955" spans="13:16">
      <c r="M27955" s="49">
        <f>IF($A$4+279&gt;$B$4,"",$A$4+279)</f>
        <v>46302</v>
      </c>
      <c r="N27955">
        <f>IF(M27955="","",'Master Barang'!A49)</f>
        <v>0</v>
      </c>
      <c r="O27955">
        <f>IF(N27955="","",'Master Barang'!B49)</f>
        <v>0</v>
      </c>
      <c r="P27955">
        <f>IF(OR(M27955="",N27955=""),"",SUMIFS('Barang Keluar'!$E:$E,'Barang Keluar'!$A:$A,M27955,'Barang Keluar'!$C:$C,N27955))</f>
        <v>0</v>
      </c>
    </row>
    <row r="27956" spans="13:16">
      <c r="M27956" s="49">
        <f>IF($A$4+279&gt;$B$4,"",$A$4+279)</f>
        <v>46302</v>
      </c>
      <c r="N27956">
        <f>IF(M27956="","",'Master Barang'!A50)</f>
        <v>0</v>
      </c>
      <c r="O27956">
        <f>IF(N27956="","",'Master Barang'!B50)</f>
        <v>0</v>
      </c>
      <c r="P27956">
        <f>IF(OR(M27956="",N27956=""),"",SUMIFS('Barang Keluar'!$E:$E,'Barang Keluar'!$A:$A,M27956,'Barang Keluar'!$C:$C,N27956))</f>
        <v>0</v>
      </c>
    </row>
    <row r="27957" spans="13:16">
      <c r="M27957" s="49">
        <f>IF($A$4+279&gt;$B$4,"",$A$4+279)</f>
        <v>46302</v>
      </c>
      <c r="N27957">
        <f>IF(M27957="","",'Master Barang'!A51)</f>
        <v>0</v>
      </c>
      <c r="O27957">
        <f>IF(N27957="","",'Master Barang'!B51)</f>
        <v>0</v>
      </c>
      <c r="P27957">
        <f>IF(OR(M27957="",N27957=""),"",SUMIFS('Barang Keluar'!$E:$E,'Barang Keluar'!$A:$A,M27957,'Barang Keluar'!$C:$C,N27957))</f>
        <v>0</v>
      </c>
    </row>
    <row r="27958" spans="13:16">
      <c r="M27958" s="49">
        <f>IF($A$4+279&gt;$B$4,"",$A$4+279)</f>
        <v>46302</v>
      </c>
      <c r="N27958">
        <f>IF(M27958="","",'Master Barang'!A52)</f>
        <v>0</v>
      </c>
      <c r="O27958">
        <f>IF(N27958="","",'Master Barang'!B52)</f>
        <v>0</v>
      </c>
      <c r="P27958">
        <f>IF(OR(M27958="",N27958=""),"",SUMIFS('Barang Keluar'!$E:$E,'Barang Keluar'!$A:$A,M27958,'Barang Keluar'!$C:$C,N27958))</f>
        <v>0</v>
      </c>
    </row>
    <row r="27959" spans="13:16">
      <c r="M27959" s="49">
        <f>IF($A$4+279&gt;$B$4,"",$A$4+279)</f>
        <v>46302</v>
      </c>
      <c r="N27959">
        <f>IF(M27959="","",'Master Barang'!A53)</f>
        <v>0</v>
      </c>
      <c r="O27959">
        <f>IF(N27959="","",'Master Barang'!B53)</f>
        <v>0</v>
      </c>
      <c r="P27959">
        <f>IF(OR(M27959="",N27959=""),"",SUMIFS('Barang Keluar'!$E:$E,'Barang Keluar'!$A:$A,M27959,'Barang Keluar'!$C:$C,N27959))</f>
        <v>0</v>
      </c>
    </row>
    <row r="27960" spans="13:16">
      <c r="M27960" s="49">
        <f>IF($A$4+279&gt;$B$4,"",$A$4+279)</f>
        <v>46302</v>
      </c>
      <c r="N27960">
        <f>IF(M27960="","",'Master Barang'!A54)</f>
        <v>0</v>
      </c>
      <c r="O27960">
        <f>IF(N27960="","",'Master Barang'!B54)</f>
        <v>0</v>
      </c>
      <c r="P27960">
        <f>IF(OR(M27960="",N27960=""),"",SUMIFS('Barang Keluar'!$E:$E,'Barang Keluar'!$A:$A,M27960,'Barang Keluar'!$C:$C,N27960))</f>
        <v>0</v>
      </c>
    </row>
    <row r="27961" spans="13:16">
      <c r="M27961" s="49">
        <f>IF($A$4+279&gt;$B$4,"",$A$4+279)</f>
        <v>46302</v>
      </c>
      <c r="N27961">
        <f>IF(M27961="","",'Master Barang'!A55)</f>
        <v>0</v>
      </c>
      <c r="O27961">
        <f>IF(N27961="","",'Master Barang'!B55)</f>
        <v>0</v>
      </c>
      <c r="P27961">
        <f>IF(OR(M27961="",N27961=""),"",SUMIFS('Barang Keluar'!$E:$E,'Barang Keluar'!$A:$A,M27961,'Barang Keluar'!$C:$C,N27961))</f>
        <v>0</v>
      </c>
    </row>
    <row r="27962" spans="13:16">
      <c r="M27962" s="49">
        <f>IF($A$4+279&gt;$B$4,"",$A$4+279)</f>
        <v>46302</v>
      </c>
      <c r="N27962">
        <f>IF(M27962="","",'Master Barang'!A56)</f>
        <v>0</v>
      </c>
      <c r="O27962">
        <f>IF(N27962="","",'Master Barang'!B56)</f>
        <v>0</v>
      </c>
      <c r="P27962">
        <f>IF(OR(M27962="",N27962=""),"",SUMIFS('Barang Keluar'!$E:$E,'Barang Keluar'!$A:$A,M27962,'Barang Keluar'!$C:$C,N27962))</f>
        <v>0</v>
      </c>
    </row>
    <row r="27963" spans="13:16">
      <c r="M27963" s="49">
        <f>IF($A$4+279&gt;$B$4,"",$A$4+279)</f>
        <v>46302</v>
      </c>
      <c r="N27963">
        <f>IF(M27963="","",'Master Barang'!A57)</f>
        <v>0</v>
      </c>
      <c r="O27963">
        <f>IF(N27963="","",'Master Barang'!B57)</f>
        <v>0</v>
      </c>
      <c r="P27963">
        <f>IF(OR(M27963="",N27963=""),"",SUMIFS('Barang Keluar'!$E:$E,'Barang Keluar'!$A:$A,M27963,'Barang Keluar'!$C:$C,N27963))</f>
        <v>0</v>
      </c>
    </row>
    <row r="27964" spans="13:16">
      <c r="M27964" s="49">
        <f>IF($A$4+279&gt;$B$4,"",$A$4+279)</f>
        <v>46302</v>
      </c>
      <c r="N27964">
        <f>IF(M27964="","",'Master Barang'!A58)</f>
        <v>0</v>
      </c>
      <c r="O27964">
        <f>IF(N27964="","",'Master Barang'!B58)</f>
        <v>0</v>
      </c>
      <c r="P27964">
        <f>IF(OR(M27964="",N27964=""),"",SUMIFS('Barang Keluar'!$E:$E,'Barang Keluar'!$A:$A,M27964,'Barang Keluar'!$C:$C,N27964))</f>
        <v>0</v>
      </c>
    </row>
    <row r="27965" spans="13:16">
      <c r="M27965" s="49">
        <f>IF($A$4+279&gt;$B$4,"",$A$4+279)</f>
        <v>46302</v>
      </c>
      <c r="N27965">
        <f>IF(M27965="","",'Master Barang'!A59)</f>
        <v>0</v>
      </c>
      <c r="O27965">
        <f>IF(N27965="","",'Master Barang'!B59)</f>
        <v>0</v>
      </c>
      <c r="P27965">
        <f>IF(OR(M27965="",N27965=""),"",SUMIFS('Barang Keluar'!$E:$E,'Barang Keluar'!$A:$A,M27965,'Barang Keluar'!$C:$C,N27965))</f>
        <v>0</v>
      </c>
    </row>
    <row r="27966" spans="13:16">
      <c r="M27966" s="49">
        <f>IF($A$4+279&gt;$B$4,"",$A$4+279)</f>
        <v>46302</v>
      </c>
      <c r="N27966">
        <f>IF(M27966="","",'Master Barang'!A60)</f>
        <v>0</v>
      </c>
      <c r="O27966">
        <f>IF(N27966="","",'Master Barang'!B60)</f>
        <v>0</v>
      </c>
      <c r="P27966">
        <f>IF(OR(M27966="",N27966=""),"",SUMIFS('Barang Keluar'!$E:$E,'Barang Keluar'!$A:$A,M27966,'Barang Keluar'!$C:$C,N27966))</f>
        <v>0</v>
      </c>
    </row>
    <row r="27967" spans="13:16">
      <c r="M27967" s="49">
        <f>IF($A$4+279&gt;$B$4,"",$A$4+279)</f>
        <v>46302</v>
      </c>
      <c r="N27967">
        <f>IF(M27967="","",'Master Barang'!A61)</f>
        <v>0</v>
      </c>
      <c r="O27967">
        <f>IF(N27967="","",'Master Barang'!B61)</f>
        <v>0</v>
      </c>
      <c r="P27967">
        <f>IF(OR(M27967="",N27967=""),"",SUMIFS('Barang Keluar'!$E:$E,'Barang Keluar'!$A:$A,M27967,'Barang Keluar'!$C:$C,N27967))</f>
        <v>0</v>
      </c>
    </row>
    <row r="27968" spans="13:16">
      <c r="M27968" s="49">
        <f>IF($A$4+279&gt;$B$4,"",$A$4+279)</f>
        <v>46302</v>
      </c>
      <c r="N27968">
        <f>IF(M27968="","",'Master Barang'!A62)</f>
        <v>0</v>
      </c>
      <c r="O27968">
        <f>IF(N27968="","",'Master Barang'!B62)</f>
        <v>0</v>
      </c>
      <c r="P27968">
        <f>IF(OR(M27968="",N27968=""),"",SUMIFS('Barang Keluar'!$E:$E,'Barang Keluar'!$A:$A,M27968,'Barang Keluar'!$C:$C,N27968))</f>
        <v>0</v>
      </c>
    </row>
    <row r="27969" spans="13:16">
      <c r="M27969" s="49">
        <f>IF($A$4+279&gt;$B$4,"",$A$4+279)</f>
        <v>46302</v>
      </c>
      <c r="N27969">
        <f>IF(M27969="","",'Master Barang'!A63)</f>
        <v>0</v>
      </c>
      <c r="O27969">
        <f>IF(N27969="","",'Master Barang'!B63)</f>
        <v>0</v>
      </c>
      <c r="P27969">
        <f>IF(OR(M27969="",N27969=""),"",SUMIFS('Barang Keluar'!$E:$E,'Barang Keluar'!$A:$A,M27969,'Barang Keluar'!$C:$C,N27969))</f>
        <v>0</v>
      </c>
    </row>
    <row r="27970" spans="13:16">
      <c r="M27970" s="49">
        <f>IF($A$4+279&gt;$B$4,"",$A$4+279)</f>
        <v>46302</v>
      </c>
      <c r="N27970">
        <f>IF(M27970="","",'Master Barang'!A64)</f>
        <v>0</v>
      </c>
      <c r="O27970">
        <f>IF(N27970="","",'Master Barang'!B64)</f>
        <v>0</v>
      </c>
      <c r="P27970">
        <f>IF(OR(M27970="",N27970=""),"",SUMIFS('Barang Keluar'!$E:$E,'Barang Keluar'!$A:$A,M27970,'Barang Keluar'!$C:$C,N27970))</f>
        <v>0</v>
      </c>
    </row>
    <row r="27971" spans="13:16">
      <c r="M27971" s="49">
        <f>IF($A$4+279&gt;$B$4,"",$A$4+279)</f>
        <v>46302</v>
      </c>
      <c r="N27971">
        <f>IF(M27971="","",'Master Barang'!A65)</f>
        <v>0</v>
      </c>
      <c r="O27971">
        <f>IF(N27971="","",'Master Barang'!B65)</f>
        <v>0</v>
      </c>
      <c r="P27971">
        <f>IF(OR(M27971="",N27971=""),"",SUMIFS('Barang Keluar'!$E:$E,'Barang Keluar'!$A:$A,M27971,'Barang Keluar'!$C:$C,N27971))</f>
        <v>0</v>
      </c>
    </row>
    <row r="27972" spans="13:16">
      <c r="M27972" s="49">
        <f>IF($A$4+279&gt;$B$4,"",$A$4+279)</f>
        <v>46302</v>
      </c>
      <c r="N27972">
        <f>IF(M27972="","",'Master Barang'!A66)</f>
        <v>0</v>
      </c>
      <c r="O27972">
        <f>IF(N27972="","",'Master Barang'!B66)</f>
        <v>0</v>
      </c>
      <c r="P27972">
        <f>IF(OR(M27972="",N27972=""),"",SUMIFS('Barang Keluar'!$E:$E,'Barang Keluar'!$A:$A,M27972,'Barang Keluar'!$C:$C,N27972))</f>
        <v>0</v>
      </c>
    </row>
    <row r="27973" spans="13:16">
      <c r="M27973" s="49">
        <f>IF($A$4+279&gt;$B$4,"",$A$4+279)</f>
        <v>46302</v>
      </c>
      <c r="N27973">
        <f>IF(M27973="","",'Master Barang'!A67)</f>
        <v>0</v>
      </c>
      <c r="O27973">
        <f>IF(N27973="","",'Master Barang'!B67)</f>
        <v>0</v>
      </c>
      <c r="P27973">
        <f>IF(OR(M27973="",N27973=""),"",SUMIFS('Barang Keluar'!$E:$E,'Barang Keluar'!$A:$A,M27973,'Barang Keluar'!$C:$C,N27973))</f>
        <v>0</v>
      </c>
    </row>
    <row r="27974" spans="13:16">
      <c r="M27974" s="49">
        <f>IF($A$4+279&gt;$B$4,"",$A$4+279)</f>
        <v>46302</v>
      </c>
      <c r="N27974">
        <f>IF(M27974="","",'Master Barang'!A68)</f>
        <v>0</v>
      </c>
      <c r="O27974">
        <f>IF(N27974="","",'Master Barang'!B68)</f>
        <v>0</v>
      </c>
      <c r="P27974">
        <f>IF(OR(M27974="",N27974=""),"",SUMIFS('Barang Keluar'!$E:$E,'Barang Keluar'!$A:$A,M27974,'Barang Keluar'!$C:$C,N27974))</f>
        <v>0</v>
      </c>
    </row>
    <row r="27975" spans="13:16">
      <c r="M27975" s="49">
        <f>IF($A$4+279&gt;$B$4,"",$A$4+279)</f>
        <v>46302</v>
      </c>
      <c r="N27975">
        <f>IF(M27975="","",'Master Barang'!A69)</f>
        <v>0</v>
      </c>
      <c r="O27975">
        <f>IF(N27975="","",'Master Barang'!B69)</f>
        <v>0</v>
      </c>
      <c r="P27975">
        <f>IF(OR(M27975="",N27975=""),"",SUMIFS('Barang Keluar'!$E:$E,'Barang Keluar'!$A:$A,M27975,'Barang Keluar'!$C:$C,N27975))</f>
        <v>0</v>
      </c>
    </row>
    <row r="27976" spans="13:16">
      <c r="M27976" s="49">
        <f>IF($A$4+279&gt;$B$4,"",$A$4+279)</f>
        <v>46302</v>
      </c>
      <c r="N27976">
        <f>IF(M27976="","",'Master Barang'!A70)</f>
        <v>0</v>
      </c>
      <c r="O27976">
        <f>IF(N27976="","",'Master Barang'!B70)</f>
        <v>0</v>
      </c>
      <c r="P27976">
        <f>IF(OR(M27976="",N27976=""),"",SUMIFS('Barang Keluar'!$E:$E,'Barang Keluar'!$A:$A,M27976,'Barang Keluar'!$C:$C,N27976))</f>
        <v>0</v>
      </c>
    </row>
    <row r="27977" spans="13:16">
      <c r="M27977" s="49">
        <f>IF($A$4+279&gt;$B$4,"",$A$4+279)</f>
        <v>46302</v>
      </c>
      <c r="N27977">
        <f>IF(M27977="","",'Master Barang'!A71)</f>
        <v>0</v>
      </c>
      <c r="O27977">
        <f>IF(N27977="","",'Master Barang'!B71)</f>
        <v>0</v>
      </c>
      <c r="P27977">
        <f>IF(OR(M27977="",N27977=""),"",SUMIFS('Barang Keluar'!$E:$E,'Barang Keluar'!$A:$A,M27977,'Barang Keluar'!$C:$C,N27977))</f>
        <v>0</v>
      </c>
    </row>
    <row r="27978" spans="13:16">
      <c r="M27978" s="49">
        <f>IF($A$4+279&gt;$B$4,"",$A$4+279)</f>
        <v>46302</v>
      </c>
      <c r="N27978">
        <f>IF(M27978="","",'Master Barang'!A72)</f>
        <v>0</v>
      </c>
      <c r="O27978">
        <f>IF(N27978="","",'Master Barang'!B72)</f>
        <v>0</v>
      </c>
      <c r="P27978">
        <f>IF(OR(M27978="",N27978=""),"",SUMIFS('Barang Keluar'!$E:$E,'Barang Keluar'!$A:$A,M27978,'Barang Keluar'!$C:$C,N27978))</f>
        <v>0</v>
      </c>
    </row>
    <row r="27979" spans="13:16">
      <c r="M27979" s="49">
        <f>IF($A$4+279&gt;$B$4,"",$A$4+279)</f>
        <v>46302</v>
      </c>
      <c r="N27979">
        <f>IF(M27979="","",'Master Barang'!A73)</f>
        <v>0</v>
      </c>
      <c r="O27979">
        <f>IF(N27979="","",'Master Barang'!B73)</f>
        <v>0</v>
      </c>
      <c r="P27979">
        <f>IF(OR(M27979="",N27979=""),"",SUMIFS('Barang Keluar'!$E:$E,'Barang Keluar'!$A:$A,M27979,'Barang Keluar'!$C:$C,N27979))</f>
        <v>0</v>
      </c>
    </row>
    <row r="27980" spans="13:16">
      <c r="M27980" s="49">
        <f>IF($A$4+279&gt;$B$4,"",$A$4+279)</f>
        <v>46302</v>
      </c>
      <c r="N27980">
        <f>IF(M27980="","",'Master Barang'!A74)</f>
        <v>0</v>
      </c>
      <c r="O27980">
        <f>IF(N27980="","",'Master Barang'!B74)</f>
        <v>0</v>
      </c>
      <c r="P27980">
        <f>IF(OR(M27980="",N27980=""),"",SUMIFS('Barang Keluar'!$E:$E,'Barang Keluar'!$A:$A,M27980,'Barang Keluar'!$C:$C,N27980))</f>
        <v>0</v>
      </c>
    </row>
    <row r="27981" spans="13:16">
      <c r="M27981" s="49">
        <f>IF($A$4+279&gt;$B$4,"",$A$4+279)</f>
        <v>46302</v>
      </c>
      <c r="N27981">
        <f>IF(M27981="","",'Master Barang'!A75)</f>
        <v>0</v>
      </c>
      <c r="O27981">
        <f>IF(N27981="","",'Master Barang'!B75)</f>
        <v>0</v>
      </c>
      <c r="P27981">
        <f>IF(OR(M27981="",N27981=""),"",SUMIFS('Barang Keluar'!$E:$E,'Barang Keluar'!$A:$A,M27981,'Barang Keluar'!$C:$C,N27981))</f>
        <v>0</v>
      </c>
    </row>
    <row r="27982" spans="13:16">
      <c r="M27982" s="49">
        <f>IF($A$4+279&gt;$B$4,"",$A$4+279)</f>
        <v>46302</v>
      </c>
      <c r="N27982">
        <f>IF(M27982="","",'Master Barang'!A76)</f>
        <v>0</v>
      </c>
      <c r="O27982">
        <f>IF(N27982="","",'Master Barang'!B76)</f>
        <v>0</v>
      </c>
      <c r="P27982">
        <f>IF(OR(M27982="",N27982=""),"",SUMIFS('Barang Keluar'!$E:$E,'Barang Keluar'!$A:$A,M27982,'Barang Keluar'!$C:$C,N27982))</f>
        <v>0</v>
      </c>
    </row>
    <row r="27983" spans="13:16">
      <c r="M27983" s="49">
        <f>IF($A$4+279&gt;$B$4,"",$A$4+279)</f>
        <v>46302</v>
      </c>
      <c r="N27983">
        <f>IF(M27983="","",'Master Barang'!A77)</f>
        <v>0</v>
      </c>
      <c r="O27983">
        <f>IF(N27983="","",'Master Barang'!B77)</f>
        <v>0</v>
      </c>
      <c r="P27983">
        <f>IF(OR(M27983="",N27983=""),"",SUMIFS('Barang Keluar'!$E:$E,'Barang Keluar'!$A:$A,M27983,'Barang Keluar'!$C:$C,N27983))</f>
        <v>0</v>
      </c>
    </row>
    <row r="27984" spans="13:16">
      <c r="M27984" s="49">
        <f>IF($A$4+279&gt;$B$4,"",$A$4+279)</f>
        <v>46302</v>
      </c>
      <c r="N27984">
        <f>IF(M27984="","",'Master Barang'!A78)</f>
        <v>0</v>
      </c>
      <c r="O27984">
        <f>IF(N27984="","",'Master Barang'!B78)</f>
        <v>0</v>
      </c>
      <c r="P27984">
        <f>IF(OR(M27984="",N27984=""),"",SUMIFS('Barang Keluar'!$E:$E,'Barang Keluar'!$A:$A,M27984,'Barang Keluar'!$C:$C,N27984))</f>
        <v>0</v>
      </c>
    </row>
    <row r="27985" spans="13:16">
      <c r="M27985" s="49">
        <f>IF($A$4+279&gt;$B$4,"",$A$4+279)</f>
        <v>46302</v>
      </c>
      <c r="N27985">
        <f>IF(M27985="","",'Master Barang'!A79)</f>
        <v>0</v>
      </c>
      <c r="O27985">
        <f>IF(N27985="","",'Master Barang'!B79)</f>
        <v>0</v>
      </c>
      <c r="P27985">
        <f>IF(OR(M27985="",N27985=""),"",SUMIFS('Barang Keluar'!$E:$E,'Barang Keluar'!$A:$A,M27985,'Barang Keluar'!$C:$C,N27985))</f>
        <v>0</v>
      </c>
    </row>
    <row r="27986" spans="13:16">
      <c r="M27986" s="49">
        <f>IF($A$4+279&gt;$B$4,"",$A$4+279)</f>
        <v>46302</v>
      </c>
      <c r="N27986">
        <f>IF(M27986="","",'Master Barang'!A80)</f>
        <v>0</v>
      </c>
      <c r="O27986">
        <f>IF(N27986="","",'Master Barang'!B80)</f>
        <v>0</v>
      </c>
      <c r="P27986">
        <f>IF(OR(M27986="",N27986=""),"",SUMIFS('Barang Keluar'!$E:$E,'Barang Keluar'!$A:$A,M27986,'Barang Keluar'!$C:$C,N27986))</f>
        <v>0</v>
      </c>
    </row>
    <row r="27987" spans="13:16">
      <c r="M27987" s="49">
        <f>IF($A$4+279&gt;$B$4,"",$A$4+279)</f>
        <v>46302</v>
      </c>
      <c r="N27987">
        <f>IF(M27987="","",'Master Barang'!A81)</f>
        <v>0</v>
      </c>
      <c r="O27987">
        <f>IF(N27987="","",'Master Barang'!B81)</f>
        <v>0</v>
      </c>
      <c r="P27987">
        <f>IF(OR(M27987="",N27987=""),"",SUMIFS('Barang Keluar'!$E:$E,'Barang Keluar'!$A:$A,M27987,'Barang Keluar'!$C:$C,N27987))</f>
        <v>0</v>
      </c>
    </row>
    <row r="27988" spans="13:16">
      <c r="M27988" s="49">
        <f>IF($A$4+279&gt;$B$4,"",$A$4+279)</f>
        <v>46302</v>
      </c>
      <c r="N27988">
        <f>IF(M27988="","",'Master Barang'!A82)</f>
        <v>0</v>
      </c>
      <c r="O27988">
        <f>IF(N27988="","",'Master Barang'!B82)</f>
        <v>0</v>
      </c>
      <c r="P27988">
        <f>IF(OR(M27988="",N27988=""),"",SUMIFS('Barang Keluar'!$E:$E,'Barang Keluar'!$A:$A,M27988,'Barang Keluar'!$C:$C,N27988))</f>
        <v>0</v>
      </c>
    </row>
    <row r="27989" spans="13:16">
      <c r="M27989" s="49">
        <f>IF($A$4+279&gt;$B$4,"",$A$4+279)</f>
        <v>46302</v>
      </c>
      <c r="N27989">
        <f>IF(M27989="","",'Master Barang'!A83)</f>
        <v>0</v>
      </c>
      <c r="O27989">
        <f>IF(N27989="","",'Master Barang'!B83)</f>
        <v>0</v>
      </c>
      <c r="P27989">
        <f>IF(OR(M27989="",N27989=""),"",SUMIFS('Barang Keluar'!$E:$E,'Barang Keluar'!$A:$A,M27989,'Barang Keluar'!$C:$C,N27989))</f>
        <v>0</v>
      </c>
    </row>
    <row r="27990" spans="13:16">
      <c r="M27990" s="49">
        <f>IF($A$4+279&gt;$B$4,"",$A$4+279)</f>
        <v>46302</v>
      </c>
      <c r="N27990">
        <f>IF(M27990="","",'Master Barang'!A84)</f>
        <v>0</v>
      </c>
      <c r="O27990">
        <f>IF(N27990="","",'Master Barang'!B84)</f>
        <v>0</v>
      </c>
      <c r="P27990">
        <f>IF(OR(M27990="",N27990=""),"",SUMIFS('Barang Keluar'!$E:$E,'Barang Keluar'!$A:$A,M27990,'Barang Keluar'!$C:$C,N27990))</f>
        <v>0</v>
      </c>
    </row>
    <row r="27991" spans="13:16">
      <c r="M27991" s="49">
        <f>IF($A$4+279&gt;$B$4,"",$A$4+279)</f>
        <v>46302</v>
      </c>
      <c r="N27991">
        <f>IF(M27991="","",'Master Barang'!A85)</f>
        <v>0</v>
      </c>
      <c r="O27991">
        <f>IF(N27991="","",'Master Barang'!B85)</f>
        <v>0</v>
      </c>
      <c r="P27991">
        <f>IF(OR(M27991="",N27991=""),"",SUMIFS('Barang Keluar'!$E:$E,'Barang Keluar'!$A:$A,M27991,'Barang Keluar'!$C:$C,N27991))</f>
        <v>0</v>
      </c>
    </row>
    <row r="27992" spans="13:16">
      <c r="M27992" s="49">
        <f>IF($A$4+279&gt;$B$4,"",$A$4+279)</f>
        <v>46302</v>
      </c>
      <c r="N27992">
        <f>IF(M27992="","",'Master Barang'!A86)</f>
        <v>0</v>
      </c>
      <c r="O27992">
        <f>IF(N27992="","",'Master Barang'!B86)</f>
        <v>0</v>
      </c>
      <c r="P27992">
        <f>IF(OR(M27992="",N27992=""),"",SUMIFS('Barang Keluar'!$E:$E,'Barang Keluar'!$A:$A,M27992,'Barang Keluar'!$C:$C,N27992))</f>
        <v>0</v>
      </c>
    </row>
    <row r="27993" spans="13:16">
      <c r="M27993" s="49">
        <f>IF($A$4+279&gt;$B$4,"",$A$4+279)</f>
        <v>46302</v>
      </c>
      <c r="N27993">
        <f>IF(M27993="","",'Master Barang'!A87)</f>
        <v>0</v>
      </c>
      <c r="O27993">
        <f>IF(N27993="","",'Master Barang'!B87)</f>
        <v>0</v>
      </c>
      <c r="P27993">
        <f>IF(OR(M27993="",N27993=""),"",SUMIFS('Barang Keluar'!$E:$E,'Barang Keluar'!$A:$A,M27993,'Barang Keluar'!$C:$C,N27993))</f>
        <v>0</v>
      </c>
    </row>
    <row r="27994" spans="13:16">
      <c r="M27994" s="49">
        <f>IF($A$4+279&gt;$B$4,"",$A$4+279)</f>
        <v>46302</v>
      </c>
      <c r="N27994">
        <f>IF(M27994="","",'Master Barang'!A88)</f>
        <v>0</v>
      </c>
      <c r="O27994">
        <f>IF(N27994="","",'Master Barang'!B88)</f>
        <v>0</v>
      </c>
      <c r="P27994">
        <f>IF(OR(M27994="",N27994=""),"",SUMIFS('Barang Keluar'!$E:$E,'Barang Keluar'!$A:$A,M27994,'Barang Keluar'!$C:$C,N27994))</f>
        <v>0</v>
      </c>
    </row>
    <row r="27995" spans="13:16">
      <c r="M27995" s="49">
        <f>IF($A$4+279&gt;$B$4,"",$A$4+279)</f>
        <v>46302</v>
      </c>
      <c r="N27995">
        <f>IF(M27995="","",'Master Barang'!A89)</f>
        <v>0</v>
      </c>
      <c r="O27995">
        <f>IF(N27995="","",'Master Barang'!B89)</f>
        <v>0</v>
      </c>
      <c r="P27995">
        <f>IF(OR(M27995="",N27995=""),"",SUMIFS('Barang Keluar'!$E:$E,'Barang Keluar'!$A:$A,M27995,'Barang Keluar'!$C:$C,N27995))</f>
        <v>0</v>
      </c>
    </row>
    <row r="27996" spans="13:16">
      <c r="M27996" s="49">
        <f>IF($A$4+279&gt;$B$4,"",$A$4+279)</f>
        <v>46302</v>
      </c>
      <c r="N27996">
        <f>IF(M27996="","",'Master Barang'!A90)</f>
        <v>0</v>
      </c>
      <c r="O27996">
        <f>IF(N27996="","",'Master Barang'!B90)</f>
        <v>0</v>
      </c>
      <c r="P27996">
        <f>IF(OR(M27996="",N27996=""),"",SUMIFS('Barang Keluar'!$E:$E,'Barang Keluar'!$A:$A,M27996,'Barang Keluar'!$C:$C,N27996))</f>
        <v>0</v>
      </c>
    </row>
    <row r="27997" spans="13:16">
      <c r="M27997" s="49">
        <f>IF($A$4+279&gt;$B$4,"",$A$4+279)</f>
        <v>46302</v>
      </c>
      <c r="N27997">
        <f>IF(M27997="","",'Master Barang'!A91)</f>
        <v>0</v>
      </c>
      <c r="O27997">
        <f>IF(N27997="","",'Master Barang'!B91)</f>
        <v>0</v>
      </c>
      <c r="P27997">
        <f>IF(OR(M27997="",N27997=""),"",SUMIFS('Barang Keluar'!$E:$E,'Barang Keluar'!$A:$A,M27997,'Barang Keluar'!$C:$C,N27997))</f>
        <v>0</v>
      </c>
    </row>
    <row r="27998" spans="13:16">
      <c r="M27998" s="49">
        <f>IF($A$4+279&gt;$B$4,"",$A$4+279)</f>
        <v>46302</v>
      </c>
      <c r="N27998">
        <f>IF(M27998="","",'Master Barang'!A92)</f>
        <v>0</v>
      </c>
      <c r="O27998">
        <f>IF(N27998="","",'Master Barang'!B92)</f>
        <v>0</v>
      </c>
      <c r="P27998">
        <f>IF(OR(M27998="",N27998=""),"",SUMIFS('Barang Keluar'!$E:$E,'Barang Keluar'!$A:$A,M27998,'Barang Keluar'!$C:$C,N27998))</f>
        <v>0</v>
      </c>
    </row>
    <row r="27999" spans="13:16">
      <c r="M27999" s="49">
        <f>IF($A$4+279&gt;$B$4,"",$A$4+279)</f>
        <v>46302</v>
      </c>
      <c r="N27999">
        <f>IF(M27999="","",'Master Barang'!A93)</f>
        <v>0</v>
      </c>
      <c r="O27999">
        <f>IF(N27999="","",'Master Barang'!B93)</f>
        <v>0</v>
      </c>
      <c r="P27999">
        <f>IF(OR(M27999="",N27999=""),"",SUMIFS('Barang Keluar'!$E:$E,'Barang Keluar'!$A:$A,M27999,'Barang Keluar'!$C:$C,N27999))</f>
        <v>0</v>
      </c>
    </row>
    <row r="28000" spans="13:16">
      <c r="M28000" s="49">
        <f>IF($A$4+279&gt;$B$4,"",$A$4+279)</f>
        <v>46302</v>
      </c>
      <c r="N28000">
        <f>IF(M28000="","",'Master Barang'!A94)</f>
        <v>0</v>
      </c>
      <c r="O28000">
        <f>IF(N28000="","",'Master Barang'!B94)</f>
        <v>0</v>
      </c>
      <c r="P28000">
        <f>IF(OR(M28000="",N28000=""),"",SUMIFS('Barang Keluar'!$E:$E,'Barang Keluar'!$A:$A,M28000,'Barang Keluar'!$C:$C,N28000))</f>
        <v>0</v>
      </c>
    </row>
    <row r="28001" spans="13:16">
      <c r="M28001" s="49">
        <f>IF($A$4+279&gt;$B$4,"",$A$4+279)</f>
        <v>46302</v>
      </c>
      <c r="N28001">
        <f>IF(M28001="","",'Master Barang'!A95)</f>
        <v>0</v>
      </c>
      <c r="O28001">
        <f>IF(N28001="","",'Master Barang'!B95)</f>
        <v>0</v>
      </c>
      <c r="P28001">
        <f>IF(OR(M28001="",N28001=""),"",SUMIFS('Barang Keluar'!$E:$E,'Barang Keluar'!$A:$A,M28001,'Barang Keluar'!$C:$C,N28001))</f>
        <v>0</v>
      </c>
    </row>
    <row r="28002" spans="13:16">
      <c r="M28002" s="49">
        <f>IF($A$4+279&gt;$B$4,"",$A$4+279)</f>
        <v>46302</v>
      </c>
      <c r="N28002">
        <f>IF(M28002="","",'Master Barang'!A96)</f>
        <v>0</v>
      </c>
      <c r="O28002">
        <f>IF(N28002="","",'Master Barang'!B96)</f>
        <v>0</v>
      </c>
      <c r="P28002">
        <f>IF(OR(M28002="",N28002=""),"",SUMIFS('Barang Keluar'!$E:$E,'Barang Keluar'!$A:$A,M28002,'Barang Keluar'!$C:$C,N28002))</f>
        <v>0</v>
      </c>
    </row>
    <row r="28003" spans="13:16">
      <c r="M28003" s="49">
        <f>IF($A$4+279&gt;$B$4,"",$A$4+279)</f>
        <v>46302</v>
      </c>
      <c r="N28003">
        <f>IF(M28003="","",'Master Barang'!A97)</f>
        <v>0</v>
      </c>
      <c r="O28003">
        <f>IF(N28003="","",'Master Barang'!B97)</f>
        <v>0</v>
      </c>
      <c r="P28003">
        <f>IF(OR(M28003="",N28003=""),"",SUMIFS('Barang Keluar'!$E:$E,'Barang Keluar'!$A:$A,M28003,'Barang Keluar'!$C:$C,N28003))</f>
        <v>0</v>
      </c>
    </row>
    <row r="28004" spans="13:16">
      <c r="M28004" s="49">
        <f>IF($A$4+279&gt;$B$4,"",$A$4+279)</f>
        <v>46302</v>
      </c>
      <c r="N28004">
        <f>IF(M28004="","",'Master Barang'!A98)</f>
        <v>0</v>
      </c>
      <c r="O28004">
        <f>IF(N28004="","",'Master Barang'!B98)</f>
        <v>0</v>
      </c>
      <c r="P28004">
        <f>IF(OR(M28004="",N28004=""),"",SUMIFS('Barang Keluar'!$E:$E,'Barang Keluar'!$A:$A,M28004,'Barang Keluar'!$C:$C,N28004))</f>
        <v>0</v>
      </c>
    </row>
    <row r="28005" spans="13:16">
      <c r="M28005" s="49">
        <f>IF($A$4+279&gt;$B$4,"",$A$4+279)</f>
        <v>46302</v>
      </c>
      <c r="N28005">
        <f>IF(M28005="","",'Master Barang'!A99)</f>
        <v>0</v>
      </c>
      <c r="O28005">
        <f>IF(N28005="","",'Master Barang'!B99)</f>
        <v>0</v>
      </c>
      <c r="P28005">
        <f>IF(OR(M28005="",N28005=""),"",SUMIFS('Barang Keluar'!$E:$E,'Barang Keluar'!$A:$A,M28005,'Barang Keluar'!$C:$C,N28005))</f>
        <v>0</v>
      </c>
    </row>
    <row r="28006" spans="13:16">
      <c r="M28006" s="49">
        <f>IF($A$4+279&gt;$B$4,"",$A$4+279)</f>
        <v>46302</v>
      </c>
      <c r="N28006">
        <f>IF(M28006="","",'Master Barang'!A100)</f>
        <v>0</v>
      </c>
      <c r="O28006">
        <f>IF(N28006="","",'Master Barang'!B100)</f>
        <v>0</v>
      </c>
      <c r="P28006">
        <f>IF(OR(M28006="",N28006=""),"",SUMIFS('Barang Keluar'!$E:$E,'Barang Keluar'!$A:$A,M28006,'Barang Keluar'!$C:$C,N28006))</f>
        <v>0</v>
      </c>
    </row>
    <row r="28007" spans="13:16">
      <c r="M28007" s="49">
        <f>IF($A$4+279&gt;$B$4,"",$A$4+279)</f>
        <v>46302</v>
      </c>
      <c r="N28007">
        <f>IF(M28007="","",'Master Barang'!A101)</f>
        <v>0</v>
      </c>
      <c r="O28007">
        <f>IF(N28007="","",'Master Barang'!B101)</f>
        <v>0</v>
      </c>
      <c r="P28007">
        <f>IF(OR(M28007="",N28007=""),"",SUMIFS('Barang Keluar'!$E:$E,'Barang Keluar'!$A:$A,M28007,'Barang Keluar'!$C:$C,N28007))</f>
        <v>0</v>
      </c>
    </row>
    <row r="28008" spans="13:16">
      <c r="M28008" s="49">
        <f>IF($A$4+280&gt;$B$4,"",$A$4+280)</f>
        <v>46303</v>
      </c>
      <c r="N28008" t="str">
        <f>IF(M28008="","",'Master Barang'!A2)</f>
        <v>PRL-001</v>
      </c>
      <c r="O28008" t="str">
        <f>IF(N28008="","",'Master Barang'!B2)</f>
        <v>natura desinfectant food grade 5l</v>
      </c>
      <c r="P28008">
        <f>IF(OR(M28008="",N28008=""),"",SUMIFS('Barang Keluar'!$E:$E,'Barang Keluar'!$A:$A,M28008,'Barang Keluar'!$C:$C,N28008))</f>
        <v>0</v>
      </c>
    </row>
    <row r="28009" spans="13:16">
      <c r="M28009" s="49">
        <f>IF($A$4+280&gt;$B$4,"",$A$4+280)</f>
        <v>46303</v>
      </c>
      <c r="N28009" t="str">
        <f>IF(M28009="","",'Master Barang'!A3)</f>
        <v>PRL-002</v>
      </c>
      <c r="O28009" t="str">
        <f>IF(N28009="","",'Master Barang'!B3)</f>
        <v>sunlight cairan pencuci piring 5l</v>
      </c>
      <c r="P28009">
        <f>IF(OR(M28009="",N28009=""),"",SUMIFS('Barang Keluar'!$E:$E,'Barang Keluar'!$A:$A,M28009,'Barang Keluar'!$C:$C,N28009))</f>
        <v>0</v>
      </c>
    </row>
    <row r="28010" spans="13:16">
      <c r="M28010" s="49">
        <f>IF($A$4+280&gt;$B$4,"",$A$4+280)</f>
        <v>46303</v>
      </c>
      <c r="N28010" t="str">
        <f>IF(M28010="","",'Master Barang'!A4)</f>
        <v>PRL-003</v>
      </c>
      <c r="O28010" t="str">
        <f>IF(N28010="","",'Master Barang'!B4)</f>
        <v>oixs cleaner 1l</v>
      </c>
      <c r="P28010">
        <f>IF(OR(M28010="",N28010=""),"",SUMIFS('Barang Keluar'!$E:$E,'Barang Keluar'!$A:$A,M28010,'Barang Keluar'!$C:$C,N28010))</f>
        <v>0</v>
      </c>
    </row>
    <row r="28011" spans="13:16">
      <c r="M28011" s="49">
        <f>IF($A$4+280&gt;$B$4,"",$A$4+280)</f>
        <v>46303</v>
      </c>
      <c r="N28011" t="str">
        <f>IF(M28011="","",'Master Barang'!A5)</f>
        <v>PRL-004</v>
      </c>
      <c r="O28011" t="str">
        <f>IF(N28011="","",'Master Barang'!B5)</f>
        <v>be clean tissue serbaguna</v>
      </c>
      <c r="P28011">
        <f>IF(OR(M28011="",N28011=""),"",SUMIFS('Barang Keluar'!$E:$E,'Barang Keluar'!$A:$A,M28011,'Barang Keluar'!$C:$C,N28011))</f>
        <v>0</v>
      </c>
    </row>
    <row r="28012" spans="13:16">
      <c r="M28012" s="49">
        <f>IF($A$4+280&gt;$B$4,"",$A$4+280)</f>
        <v>46303</v>
      </c>
      <c r="N28012" t="str">
        <f>IF(M28012="","",'Master Barang'!A6)</f>
        <v>PRL-005</v>
      </c>
      <c r="O28012" t="str">
        <f>IF(N28012="","",'Master Barang'!B6)</f>
        <v>spons cuci hijau</v>
      </c>
      <c r="P28012">
        <f>IF(OR(M28012="",N28012=""),"",SUMIFS('Barang Keluar'!$E:$E,'Barang Keluar'!$A:$A,M28012,'Barang Keluar'!$C:$C,N28012))</f>
        <v>0</v>
      </c>
    </row>
    <row r="28013" spans="13:16">
      <c r="M28013" s="49">
        <f>IF($A$4+280&gt;$B$4,"",$A$4+280)</f>
        <v>46303</v>
      </c>
      <c r="N28013" t="str">
        <f>IF(M28013="","",'Master Barang'!A7)</f>
        <v>PRL-006</v>
      </c>
      <c r="O28013" t="str">
        <f>IF(N28013="","",'Master Barang'!B7)</f>
        <v>sabut cuci stainless</v>
      </c>
      <c r="P28013">
        <f>IF(OR(M28013="",N28013=""),"",SUMIFS('Barang Keluar'!$E:$E,'Barang Keluar'!$A:$A,M28013,'Barang Keluar'!$C:$C,N28013))</f>
        <v>0</v>
      </c>
    </row>
    <row r="28014" spans="13:16">
      <c r="M28014" s="49">
        <f>IF($A$4+280&gt;$B$4,"",$A$4+280)</f>
        <v>46303</v>
      </c>
      <c r="N28014" t="str">
        <f>IF(M28014="","",'Master Barang'!A8)</f>
        <v>PRL-007</v>
      </c>
      <c r="O28014" t="str">
        <f>IF(N28014="","",'Master Barang'!B8)</f>
        <v>plastik kresek besar merah 50pc</v>
      </c>
      <c r="P28014">
        <f>IF(OR(M28014="",N28014=""),"",SUMIFS('Barang Keluar'!$E:$E,'Barang Keluar'!$A:$A,M28014,'Barang Keluar'!$C:$C,N28014))</f>
        <v>0</v>
      </c>
    </row>
    <row r="28015" spans="13:16">
      <c r="M28015" s="49">
        <f>IF($A$4+280&gt;$B$4,"",$A$4+280)</f>
        <v>46303</v>
      </c>
      <c r="N28015" t="str">
        <f>IF(M28015="","",'Master Barang'!A9)</f>
        <v>PRL-008</v>
      </c>
      <c r="O28015" t="str">
        <f>IF(N28015="","",'Master Barang'!B9)</f>
        <v>lap besar</v>
      </c>
      <c r="P28015">
        <f>IF(OR(M28015="",N28015=""),"",SUMIFS('Barang Keluar'!$E:$E,'Barang Keluar'!$A:$A,M28015,'Barang Keluar'!$C:$C,N28015))</f>
        <v>0</v>
      </c>
    </row>
    <row r="28016" spans="13:16">
      <c r="M28016" s="49">
        <f>IF($A$4+280&gt;$B$4,"",$A$4+280)</f>
        <v>46303</v>
      </c>
      <c r="N28016" t="str">
        <f>IF(M28016="","",'Master Barang'!A10)</f>
        <v>PRL-009</v>
      </c>
      <c r="O28016" t="str">
        <f>IF(N28016="","",'Master Barang'!B10)</f>
        <v>lap microfiber</v>
      </c>
      <c r="P28016">
        <f>IF(OR(M28016="",N28016=""),"",SUMIFS('Barang Keluar'!$E:$E,'Barang Keluar'!$A:$A,M28016,'Barang Keluar'!$C:$C,N28016))</f>
        <v>0</v>
      </c>
    </row>
    <row r="28017" spans="13:16">
      <c r="M28017" s="49">
        <f>IF($A$4+280&gt;$B$4,"",$A$4+280)</f>
        <v>46303</v>
      </c>
      <c r="N28017" t="str">
        <f>IF(M28017="","",'Master Barang'!A11)</f>
        <v>PRL-010</v>
      </c>
      <c r="O28017" t="str">
        <f>IF(N28017="","",'Master Barang'!B11)</f>
        <v>lap kecil</v>
      </c>
      <c r="P28017">
        <f>IF(OR(M28017="",N28017=""),"",SUMIFS('Barang Keluar'!$E:$E,'Barang Keluar'!$A:$A,M28017,'Barang Keluar'!$C:$C,N28017))</f>
        <v>0</v>
      </c>
    </row>
    <row r="28018" spans="13:16">
      <c r="M28018" s="49">
        <f>IF($A$4+280&gt;$B$4,"",$A$4+280)</f>
        <v>46303</v>
      </c>
      <c r="N28018" t="str">
        <f>IF(M28018="","",'Master Barang'!A12)</f>
        <v>PRL-011</v>
      </c>
      <c r="O28018" t="str">
        <f>IF(N28018="","",'Master Barang'!B12)</f>
        <v>kanebo kecil</v>
      </c>
      <c r="P28018">
        <f>IF(OR(M28018="",N28018=""),"",SUMIFS('Barang Keluar'!$E:$E,'Barang Keluar'!$A:$A,M28018,'Barang Keluar'!$C:$C,N28018))</f>
        <v>0</v>
      </c>
    </row>
    <row r="28019" spans="13:16">
      <c r="M28019" s="49">
        <f>IF($A$4+280&gt;$B$4,"",$A$4+280)</f>
        <v>46303</v>
      </c>
      <c r="N28019" t="str">
        <f>IF(M28019="","",'Master Barang'!A13)</f>
        <v>PRL-012</v>
      </c>
      <c r="O28019" t="str">
        <f>IF(N28019="","",'Master Barang'!B13)</f>
        <v>plastik 1/4kg joyoboyo 100 lembar</v>
      </c>
      <c r="P28019">
        <f>IF(OR(M28019="",N28019=""),"",SUMIFS('Barang Keluar'!$E:$E,'Barang Keluar'!$A:$A,M28019,'Barang Keluar'!$C:$C,N28019))</f>
        <v>0</v>
      </c>
    </row>
    <row r="28020" spans="13:16">
      <c r="M28020" s="49">
        <f>IF($A$4+280&gt;$B$4,"",$A$4+280)</f>
        <v>46303</v>
      </c>
      <c r="N28020" t="str">
        <f>IF(M28020="","",'Master Barang'!A14)</f>
        <v>PRL-013</v>
      </c>
      <c r="O28020" t="str">
        <f>IF(N28020="","",'Master Barang'!B14)</f>
        <v>sarung tangan plastik kaka 100 pcs</v>
      </c>
      <c r="P28020">
        <f>IF(OR(M28020="",N28020=""),"",SUMIFS('Barang Keluar'!$E:$E,'Barang Keluar'!$A:$A,M28020,'Barang Keluar'!$C:$C,N28020))</f>
        <v>0</v>
      </c>
    </row>
    <row r="28021" spans="13:16">
      <c r="M28021" s="49">
        <f>IF($A$4+280&gt;$B$4,"",$A$4+280)</f>
        <v>46303</v>
      </c>
      <c r="N28021" t="str">
        <f>IF(M28021="","",'Master Barang'!A15)</f>
        <v>PRL-014</v>
      </c>
      <c r="O28021" t="str">
        <f>IF(N28021="","",'Master Barang'!B15)</f>
        <v>optima trashbag 80x100</v>
      </c>
      <c r="P28021">
        <f>IF(OR(M28021="",N28021=""),"",SUMIFS('Barang Keluar'!$E:$E,'Barang Keluar'!$A:$A,M28021,'Barang Keluar'!$C:$C,N28021))</f>
        <v>0</v>
      </c>
    </row>
    <row r="28022" spans="13:16">
      <c r="M28022" s="49">
        <f>IF($A$4+280&gt;$B$4,"",$A$4+280)</f>
        <v>46303</v>
      </c>
      <c r="N28022" t="str">
        <f>IF(M28022="","",'Master Barang'!A16)</f>
        <v>PRL-015</v>
      </c>
      <c r="O28022" t="str">
        <f>IF(N28022="","",'Master Barang'!B16)</f>
        <v>optima trashbag 60x100</v>
      </c>
      <c r="P28022">
        <f>IF(OR(M28022="",N28022=""),"",SUMIFS('Barang Keluar'!$E:$E,'Barang Keluar'!$A:$A,M28022,'Barang Keluar'!$C:$C,N28022))</f>
        <v>0</v>
      </c>
    </row>
    <row r="28023" spans="13:16">
      <c r="M28023" s="49">
        <f>IF($A$4+280&gt;$B$4,"",$A$4+280)</f>
        <v>46303</v>
      </c>
      <c r="N28023" t="str">
        <f>IF(M28023="","",'Master Barang'!A17)</f>
        <v>PRL-016</v>
      </c>
      <c r="O28023" t="str">
        <f>IF(N28023="","",'Master Barang'!B17)</f>
        <v>rajawali trashbag 30x40</v>
      </c>
      <c r="P28023">
        <f>IF(OR(M28023="",N28023=""),"",SUMIFS('Barang Keluar'!$E:$E,'Barang Keluar'!$A:$A,M28023,'Barang Keluar'!$C:$C,N28023))</f>
        <v>0</v>
      </c>
    </row>
    <row r="28024" spans="13:16">
      <c r="M28024" s="49">
        <f>IF($A$4+280&gt;$B$4,"",$A$4+280)</f>
        <v>46303</v>
      </c>
      <c r="N28024" t="str">
        <f>IF(M28024="","",'Master Barang'!A18)</f>
        <v>PRL-017</v>
      </c>
      <c r="O28024" t="str">
        <f>IF(N28024="","",'Master Barang'!B18)</f>
        <v>onemed masker biru 3 play 50 pcs</v>
      </c>
      <c r="P28024">
        <f>IF(OR(M28024="",N28024=""),"",SUMIFS('Barang Keluar'!$E:$E,'Barang Keluar'!$A:$A,M28024,'Barang Keluar'!$C:$C,N28024))</f>
        <v>0</v>
      </c>
    </row>
    <row r="28025" spans="13:16">
      <c r="M28025" s="49">
        <f>IF($A$4+280&gt;$B$4,"",$A$4+280)</f>
        <v>46303</v>
      </c>
      <c r="N28025" t="str">
        <f>IF(M28025="","",'Master Barang'!A19)</f>
        <v>PRL-018</v>
      </c>
      <c r="O28025" t="str">
        <f>IF(N28025="","",'Master Barang'!B19)</f>
        <v>onemed masker biru 3 play hijab 50 pcs</v>
      </c>
      <c r="P28025">
        <f>IF(OR(M28025="",N28025=""),"",SUMIFS('Barang Keluar'!$E:$E,'Barang Keluar'!$A:$A,M28025,'Barang Keluar'!$C:$C,N28025))</f>
        <v>0</v>
      </c>
    </row>
    <row r="28026" spans="13:16">
      <c r="M28026" s="49">
        <f>IF($A$4+280&gt;$B$4,"",$A$4+280)</f>
        <v>46303</v>
      </c>
      <c r="N28026" t="str">
        <f>IF(M28026="","",'Master Barang'!A20)</f>
        <v>PRL-019</v>
      </c>
      <c r="O28026" t="str">
        <f>IF(N28026="","",'Master Barang'!B20)</f>
        <v>neo health masker biru 3 play 50 pcs</v>
      </c>
      <c r="P28026">
        <f>IF(OR(M28026="",N28026=""),"",SUMIFS('Barang Keluar'!$E:$E,'Barang Keluar'!$A:$A,M28026,'Barang Keluar'!$C:$C,N28026))</f>
        <v>0</v>
      </c>
    </row>
    <row r="28027" spans="13:16">
      <c r="M28027" s="49">
        <f>IF($A$4+280&gt;$B$4,"",$A$4+280)</f>
        <v>46303</v>
      </c>
      <c r="N28027" t="str">
        <f>IF(M28027="","",'Master Barang'!A21)</f>
        <v>PRL-020</v>
      </c>
      <c r="O28027" t="str">
        <f>IF(N28027="","",'Master Barang'!B21)</f>
        <v>baymed masker hijau 3 play hijau 50 pcs</v>
      </c>
      <c r="P28027">
        <f>IF(OR(M28027="",N28027=""),"",SUMIFS('Barang Keluar'!$E:$E,'Barang Keluar'!$A:$A,M28027,'Barang Keluar'!$C:$C,N28027))</f>
        <v>0</v>
      </c>
    </row>
    <row r="28028" spans="13:16">
      <c r="M28028" s="49">
        <f>IF($A$4+280&gt;$B$4,"",$A$4+280)</f>
        <v>46303</v>
      </c>
      <c r="N28028" t="str">
        <f>IF(M28028="","",'Master Barang'!A22)</f>
        <v>PRL-021</v>
      </c>
      <c r="O28028" t="str">
        <f>IF(N28028="","",'Master Barang'!B22)</f>
        <v>altamed nurse cap penutup kepala 100 pcs</v>
      </c>
      <c r="P28028">
        <f>IF(OR(M28028="",N28028=""),"",SUMIFS('Barang Keluar'!$E:$E,'Barang Keluar'!$A:$A,M28028,'Barang Keluar'!$C:$C,N28028))</f>
        <v>0</v>
      </c>
    </row>
    <row r="28029" spans="13:16">
      <c r="M28029" s="49">
        <f>IF($A$4+280&gt;$B$4,"",$A$4+280)</f>
        <v>46303</v>
      </c>
      <c r="N28029" t="str">
        <f>IF(M28029="","",'Master Barang'!A23)</f>
        <v>PRL-022</v>
      </c>
      <c r="O28029" t="str">
        <f>IF(N28029="","",'Master Barang'!B23)</f>
        <v>sabun cuci tangan</v>
      </c>
      <c r="P28029">
        <f>IF(OR(M28029="",N28029=""),"",SUMIFS('Barang Keluar'!$E:$E,'Barang Keluar'!$A:$A,M28029,'Barang Keluar'!$C:$C,N28029))</f>
        <v>0</v>
      </c>
    </row>
    <row r="28030" spans="13:16">
      <c r="M28030" s="49">
        <f>IF($A$4+280&gt;$B$4,"",$A$4+280)</f>
        <v>46303</v>
      </c>
      <c r="N28030" t="str">
        <f>IF(M28030="","",'Master Barang'!A24)</f>
        <v>PRL-023</v>
      </c>
      <c r="O28030" t="str">
        <f>IF(N28030="","",'Master Barang'!B24)</f>
        <v>gayung kecil</v>
      </c>
      <c r="P28030">
        <f>IF(OR(M28030="",N28030=""),"",SUMIFS('Barang Keluar'!$E:$E,'Barang Keluar'!$A:$A,M28030,'Barang Keluar'!$C:$C,N28030))</f>
        <v>0</v>
      </c>
    </row>
    <row r="28031" spans="13:16">
      <c r="M28031" s="49">
        <f>IF($A$4+280&gt;$B$4,"",$A$4+280)</f>
        <v>46303</v>
      </c>
      <c r="N28031" t="str">
        <f>IF(M28031="","",'Master Barang'!A25)</f>
        <v>PRL-024</v>
      </c>
      <c r="O28031" t="str">
        <f>IF(N28031="","",'Master Barang'!B25)</f>
        <v>cikrak kecil</v>
      </c>
      <c r="P28031">
        <f>IF(OR(M28031="",N28031=""),"",SUMIFS('Barang Keluar'!$E:$E,'Barang Keluar'!$A:$A,M28031,'Barang Keluar'!$C:$C,N28031))</f>
        <v>0</v>
      </c>
    </row>
    <row r="28032" spans="13:16">
      <c r="M28032" s="49">
        <f>IF($A$4+280&gt;$B$4,"",$A$4+280)</f>
        <v>46303</v>
      </c>
      <c r="N28032" t="str">
        <f>IF(M28032="","",'Master Barang'!A26)</f>
        <v>PRL-025</v>
      </c>
      <c r="O28032" t="str">
        <f>IF(N28032="","",'Master Barang'!B26)</f>
        <v>petromax plastik kecil 12x24 100 lembar</v>
      </c>
      <c r="P28032">
        <f>IF(OR(M28032="",N28032=""),"",SUMIFS('Barang Keluar'!$E:$E,'Barang Keluar'!$A:$A,M28032,'Barang Keluar'!$C:$C,N28032))</f>
        <v>0</v>
      </c>
    </row>
    <row r="28033" spans="13:16">
      <c r="M28033" s="49">
        <f>IF($A$4+280&gt;$B$4,"",$A$4+280)</f>
        <v>46303</v>
      </c>
      <c r="N28033" t="str">
        <f>IF(M28033="","",'Master Barang'!A27)</f>
        <v>PRL-026</v>
      </c>
      <c r="O28033" t="str">
        <f>IF(N28033="","",'Master Barang'!B27)</f>
        <v>lancar kresek kecil bening </v>
      </c>
      <c r="P28033">
        <f>IF(OR(M28033="",N28033=""),"",SUMIFS('Barang Keluar'!$E:$E,'Barang Keluar'!$A:$A,M28033,'Barang Keluar'!$C:$C,N28033))</f>
        <v>0</v>
      </c>
    </row>
    <row r="28034" spans="13:16">
      <c r="M28034" s="49">
        <f>IF($A$4+280&gt;$B$4,"",$A$4+280)</f>
        <v>46303</v>
      </c>
      <c r="N28034" t="str">
        <f>IF(M28034="","",'Master Barang'!A28)</f>
        <v>PRL-027</v>
      </c>
      <c r="O28034" t="str">
        <f>IF(N28034="","",'Master Barang'!B28)</f>
        <v>kresek klin warna warni kecil</v>
      </c>
      <c r="P28034">
        <f>IF(OR(M28034="",N28034=""),"",SUMIFS('Barang Keluar'!$E:$E,'Barang Keluar'!$A:$A,M28034,'Barang Keluar'!$C:$C,N28034))</f>
        <v>0</v>
      </c>
    </row>
    <row r="28035" spans="13:16">
      <c r="M28035" s="49">
        <f>IF($A$4+280&gt;$B$4,"",$A$4+280)</f>
        <v>46303</v>
      </c>
      <c r="N28035" t="str">
        <f>IF(M28035="","",'Master Barang'!A29)</f>
        <v>PRL-028</v>
      </c>
      <c r="O28035" t="str">
        <f>IF(N28035="","",'Master Barang'!B29)</f>
        <v>ctik plastik 7x10 100 pcs</v>
      </c>
      <c r="P28035">
        <f>IF(OR(M28035="",N28035=""),"",SUMIFS('Barang Keluar'!$E:$E,'Barang Keluar'!$A:$A,M28035,'Barang Keluar'!$C:$C,N28035))</f>
        <v>0</v>
      </c>
    </row>
    <row r="28036" spans="13:16">
      <c r="M28036" s="49">
        <f>IF($A$4+280&gt;$B$4,"",$A$4+280)</f>
        <v>46303</v>
      </c>
      <c r="N28036" t="str">
        <f>IF(M28036="","",'Master Barang'!A30)</f>
        <v>PRL-029</v>
      </c>
      <c r="O28036" t="str">
        <f>IF(N28036="","",'Master Barang'!B30)</f>
        <v>ctik plastik 6x10 100 pcs</v>
      </c>
      <c r="P28036">
        <f>IF(OR(M28036="",N28036=""),"",SUMIFS('Barang Keluar'!$E:$E,'Barang Keluar'!$A:$A,M28036,'Barang Keluar'!$C:$C,N28036))</f>
        <v>0</v>
      </c>
    </row>
    <row r="28037" spans="13:16">
      <c r="M28037" s="49">
        <f>IF($A$4+280&gt;$B$4,"",$A$4+280)</f>
        <v>46303</v>
      </c>
      <c r="N28037" t="str">
        <f>IF(M28037="","",'Master Barang'!A31)</f>
        <v>PRL-030</v>
      </c>
      <c r="O28037" t="str">
        <f>IF(N28037="","",'Master Barang'!B31)</f>
        <v>klip plastik 25x16 100 pcs</v>
      </c>
      <c r="P28037">
        <f>IF(OR(M28037="",N28037=""),"",SUMIFS('Barang Keluar'!$E:$E,'Barang Keluar'!$A:$A,M28037,'Barang Keluar'!$C:$C,N28037))</f>
        <v>0</v>
      </c>
    </row>
    <row r="28038" spans="13:16">
      <c r="M28038" s="49">
        <f>IF($A$4+280&gt;$B$4,"",$A$4+280)</f>
        <v>46303</v>
      </c>
      <c r="N28038" t="str">
        <f>IF(M28038="","",'Master Barang'!A32)</f>
        <v>PRL-031</v>
      </c>
      <c r="O28038" t="str">
        <f>IF(N28038="","",'Master Barang'!B32)</f>
        <v>tempat saus 20 ml</v>
      </c>
      <c r="P28038">
        <f>IF(OR(M28038="",N28038=""),"",SUMIFS('Barang Keluar'!$E:$E,'Barang Keluar'!$A:$A,M28038,'Barang Keluar'!$C:$C,N28038))</f>
        <v>0</v>
      </c>
    </row>
    <row r="28039" spans="13:16">
      <c r="M28039" s="49">
        <f>IF($A$4+280&gt;$B$4,"",$A$4+280)</f>
        <v>46303</v>
      </c>
      <c r="N28039" t="str">
        <f>IF(M28039="","",'Master Barang'!A33)</f>
        <v>PRL-032</v>
      </c>
      <c r="O28039" t="str">
        <f>IF(N28039="","",'Master Barang'!B33)</f>
        <v>plastik packaging ag box uk sedang</v>
      </c>
      <c r="P28039">
        <f>IF(OR(M28039="",N28039=""),"",SUMIFS('Barang Keluar'!$E:$E,'Barang Keluar'!$A:$A,M28039,'Barang Keluar'!$C:$C,N28039))</f>
        <v>0</v>
      </c>
    </row>
    <row r="28040" spans="13:16">
      <c r="M28040" s="49">
        <f>IF($A$4+280&gt;$B$4,"",$A$4+280)</f>
        <v>46303</v>
      </c>
      <c r="N28040" t="str">
        <f>IF(M28040="","",'Master Barang'!A34)</f>
        <v>PRL-033</v>
      </c>
      <c r="O28040">
        <f>IF(N28040="","",'Master Barang'!B34)</f>
        <v>0</v>
      </c>
      <c r="P28040">
        <f>IF(OR(M28040="",N28040=""),"",SUMIFS('Barang Keluar'!$E:$E,'Barang Keluar'!$A:$A,M28040,'Barang Keluar'!$C:$C,N28040))</f>
        <v>0</v>
      </c>
    </row>
    <row r="28041" spans="13:16">
      <c r="M28041" s="49">
        <f>IF($A$4+280&gt;$B$4,"",$A$4+280)</f>
        <v>46303</v>
      </c>
      <c r="N28041">
        <f>IF(M28041="","",'Master Barang'!A35)</f>
        <v>0</v>
      </c>
      <c r="O28041">
        <f>IF(N28041="","",'Master Barang'!B35)</f>
        <v>0</v>
      </c>
      <c r="P28041">
        <f>IF(OR(M28041="",N28041=""),"",SUMIFS('Barang Keluar'!$E:$E,'Barang Keluar'!$A:$A,M28041,'Barang Keluar'!$C:$C,N28041))</f>
        <v>0</v>
      </c>
    </row>
    <row r="28042" spans="13:16">
      <c r="M28042" s="49">
        <f>IF($A$4+280&gt;$B$4,"",$A$4+280)</f>
        <v>46303</v>
      </c>
      <c r="N28042">
        <f>IF(M28042="","",'Master Barang'!A36)</f>
        <v>0</v>
      </c>
      <c r="O28042">
        <f>IF(N28042="","",'Master Barang'!B36)</f>
        <v>0</v>
      </c>
      <c r="P28042">
        <f>IF(OR(M28042="",N28042=""),"",SUMIFS('Barang Keluar'!$E:$E,'Barang Keluar'!$A:$A,M28042,'Barang Keluar'!$C:$C,N28042))</f>
        <v>0</v>
      </c>
    </row>
    <row r="28043" spans="13:16">
      <c r="M28043" s="49">
        <f>IF($A$4+280&gt;$B$4,"",$A$4+280)</f>
        <v>46303</v>
      </c>
      <c r="N28043">
        <f>IF(M28043="","",'Master Barang'!A37)</f>
        <v>0</v>
      </c>
      <c r="O28043">
        <f>IF(N28043="","",'Master Barang'!B37)</f>
        <v>0</v>
      </c>
      <c r="P28043">
        <f>IF(OR(M28043="",N28043=""),"",SUMIFS('Barang Keluar'!$E:$E,'Barang Keluar'!$A:$A,M28043,'Barang Keluar'!$C:$C,N28043))</f>
        <v>0</v>
      </c>
    </row>
    <row r="28044" spans="13:16">
      <c r="M28044" s="49">
        <f>IF($A$4+280&gt;$B$4,"",$A$4+280)</f>
        <v>46303</v>
      </c>
      <c r="N28044">
        <f>IF(M28044="","",'Master Barang'!A38)</f>
        <v>0</v>
      </c>
      <c r="O28044">
        <f>IF(N28044="","",'Master Barang'!B38)</f>
        <v>0</v>
      </c>
      <c r="P28044">
        <f>IF(OR(M28044="",N28044=""),"",SUMIFS('Barang Keluar'!$E:$E,'Barang Keluar'!$A:$A,M28044,'Barang Keluar'!$C:$C,N28044))</f>
        <v>0</v>
      </c>
    </row>
    <row r="28045" spans="13:16">
      <c r="M28045" s="49">
        <f>IF($A$4+280&gt;$B$4,"",$A$4+280)</f>
        <v>46303</v>
      </c>
      <c r="N28045">
        <f>IF(M28045="","",'Master Barang'!A39)</f>
        <v>0</v>
      </c>
      <c r="O28045">
        <f>IF(N28045="","",'Master Barang'!B39)</f>
        <v>0</v>
      </c>
      <c r="P28045">
        <f>IF(OR(M28045="",N28045=""),"",SUMIFS('Barang Keluar'!$E:$E,'Barang Keluar'!$A:$A,M28045,'Barang Keluar'!$C:$C,N28045))</f>
        <v>0</v>
      </c>
    </row>
    <row r="28046" spans="13:16">
      <c r="M28046" s="49">
        <f>IF($A$4+280&gt;$B$4,"",$A$4+280)</f>
        <v>46303</v>
      </c>
      <c r="N28046">
        <f>IF(M28046="","",'Master Barang'!A40)</f>
        <v>0</v>
      </c>
      <c r="O28046">
        <f>IF(N28046="","",'Master Barang'!B40)</f>
        <v>0</v>
      </c>
      <c r="P28046">
        <f>IF(OR(M28046="",N28046=""),"",SUMIFS('Barang Keluar'!$E:$E,'Barang Keluar'!$A:$A,M28046,'Barang Keluar'!$C:$C,N28046))</f>
        <v>0</v>
      </c>
    </row>
    <row r="28047" spans="13:16">
      <c r="M28047" s="49">
        <f>IF($A$4+280&gt;$B$4,"",$A$4+280)</f>
        <v>46303</v>
      </c>
      <c r="N28047">
        <f>IF(M28047="","",'Master Barang'!A41)</f>
        <v>0</v>
      </c>
      <c r="O28047">
        <f>IF(N28047="","",'Master Barang'!B41)</f>
        <v>0</v>
      </c>
      <c r="P28047">
        <f>IF(OR(M28047="",N28047=""),"",SUMIFS('Barang Keluar'!$E:$E,'Barang Keluar'!$A:$A,M28047,'Barang Keluar'!$C:$C,N28047))</f>
        <v>0</v>
      </c>
    </row>
    <row r="28048" spans="13:16">
      <c r="M28048" s="49">
        <f>IF($A$4+280&gt;$B$4,"",$A$4+280)</f>
        <v>46303</v>
      </c>
      <c r="N28048">
        <f>IF(M28048="","",'Master Barang'!A42)</f>
        <v>0</v>
      </c>
      <c r="O28048">
        <f>IF(N28048="","",'Master Barang'!B42)</f>
        <v>0</v>
      </c>
      <c r="P28048">
        <f>IF(OR(M28048="",N28048=""),"",SUMIFS('Barang Keluar'!$E:$E,'Barang Keluar'!$A:$A,M28048,'Barang Keluar'!$C:$C,N28048))</f>
        <v>0</v>
      </c>
    </row>
    <row r="28049" spans="13:16">
      <c r="M28049" s="49">
        <f>IF($A$4+280&gt;$B$4,"",$A$4+280)</f>
        <v>46303</v>
      </c>
      <c r="N28049">
        <f>IF(M28049="","",'Master Barang'!A43)</f>
        <v>0</v>
      </c>
      <c r="O28049">
        <f>IF(N28049="","",'Master Barang'!B43)</f>
        <v>0</v>
      </c>
      <c r="P28049">
        <f>IF(OR(M28049="",N28049=""),"",SUMIFS('Barang Keluar'!$E:$E,'Barang Keluar'!$A:$A,M28049,'Barang Keluar'!$C:$C,N28049))</f>
        <v>0</v>
      </c>
    </row>
    <row r="28050" spans="13:16">
      <c r="M28050" s="49">
        <f>IF($A$4+280&gt;$B$4,"",$A$4+280)</f>
        <v>46303</v>
      </c>
      <c r="N28050">
        <f>IF(M28050="","",'Master Barang'!A44)</f>
        <v>0</v>
      </c>
      <c r="O28050">
        <f>IF(N28050="","",'Master Barang'!B44)</f>
        <v>0</v>
      </c>
      <c r="P28050">
        <f>IF(OR(M28050="",N28050=""),"",SUMIFS('Barang Keluar'!$E:$E,'Barang Keluar'!$A:$A,M28050,'Barang Keluar'!$C:$C,N28050))</f>
        <v>0</v>
      </c>
    </row>
    <row r="28051" spans="13:16">
      <c r="M28051" s="49">
        <f>IF($A$4+280&gt;$B$4,"",$A$4+280)</f>
        <v>46303</v>
      </c>
      <c r="N28051">
        <f>IF(M28051="","",'Master Barang'!A45)</f>
        <v>0</v>
      </c>
      <c r="O28051">
        <f>IF(N28051="","",'Master Barang'!B45)</f>
        <v>0</v>
      </c>
      <c r="P28051">
        <f>IF(OR(M28051="",N28051=""),"",SUMIFS('Barang Keluar'!$E:$E,'Barang Keluar'!$A:$A,M28051,'Barang Keluar'!$C:$C,N28051))</f>
        <v>0</v>
      </c>
    </row>
    <row r="28052" spans="13:16">
      <c r="M28052" s="49">
        <f>IF($A$4+280&gt;$B$4,"",$A$4+280)</f>
        <v>46303</v>
      </c>
      <c r="N28052">
        <f>IF(M28052="","",'Master Barang'!A46)</f>
        <v>0</v>
      </c>
      <c r="O28052">
        <f>IF(N28052="","",'Master Barang'!B46)</f>
        <v>0</v>
      </c>
      <c r="P28052">
        <f>IF(OR(M28052="",N28052=""),"",SUMIFS('Barang Keluar'!$E:$E,'Barang Keluar'!$A:$A,M28052,'Barang Keluar'!$C:$C,N28052))</f>
        <v>0</v>
      </c>
    </row>
    <row r="28053" spans="13:16">
      <c r="M28053" s="49">
        <f>IF($A$4+280&gt;$B$4,"",$A$4+280)</f>
        <v>46303</v>
      </c>
      <c r="N28053">
        <f>IF(M28053="","",'Master Barang'!A47)</f>
        <v>0</v>
      </c>
      <c r="O28053">
        <f>IF(N28053="","",'Master Barang'!B47)</f>
        <v>0</v>
      </c>
      <c r="P28053">
        <f>IF(OR(M28053="",N28053=""),"",SUMIFS('Barang Keluar'!$E:$E,'Barang Keluar'!$A:$A,M28053,'Barang Keluar'!$C:$C,N28053))</f>
        <v>0</v>
      </c>
    </row>
    <row r="28054" spans="13:16">
      <c r="M28054" s="49">
        <f>IF($A$4+280&gt;$B$4,"",$A$4+280)</f>
        <v>46303</v>
      </c>
      <c r="N28054">
        <f>IF(M28054="","",'Master Barang'!A48)</f>
        <v>0</v>
      </c>
      <c r="O28054">
        <f>IF(N28054="","",'Master Barang'!B48)</f>
        <v>0</v>
      </c>
      <c r="P28054">
        <f>IF(OR(M28054="",N28054=""),"",SUMIFS('Barang Keluar'!$E:$E,'Barang Keluar'!$A:$A,M28054,'Barang Keluar'!$C:$C,N28054))</f>
        <v>0</v>
      </c>
    </row>
    <row r="28055" spans="13:16">
      <c r="M28055" s="49">
        <f>IF($A$4+280&gt;$B$4,"",$A$4+280)</f>
        <v>46303</v>
      </c>
      <c r="N28055">
        <f>IF(M28055="","",'Master Barang'!A49)</f>
        <v>0</v>
      </c>
      <c r="O28055">
        <f>IF(N28055="","",'Master Barang'!B49)</f>
        <v>0</v>
      </c>
      <c r="P28055">
        <f>IF(OR(M28055="",N28055=""),"",SUMIFS('Barang Keluar'!$E:$E,'Barang Keluar'!$A:$A,M28055,'Barang Keluar'!$C:$C,N28055))</f>
        <v>0</v>
      </c>
    </row>
    <row r="28056" spans="13:16">
      <c r="M28056" s="49">
        <f>IF($A$4+280&gt;$B$4,"",$A$4+280)</f>
        <v>46303</v>
      </c>
      <c r="N28056">
        <f>IF(M28056="","",'Master Barang'!A50)</f>
        <v>0</v>
      </c>
      <c r="O28056">
        <f>IF(N28056="","",'Master Barang'!B50)</f>
        <v>0</v>
      </c>
      <c r="P28056">
        <f>IF(OR(M28056="",N28056=""),"",SUMIFS('Barang Keluar'!$E:$E,'Barang Keluar'!$A:$A,M28056,'Barang Keluar'!$C:$C,N28056))</f>
        <v>0</v>
      </c>
    </row>
    <row r="28057" spans="13:16">
      <c r="M28057" s="49">
        <f>IF($A$4+280&gt;$B$4,"",$A$4+280)</f>
        <v>46303</v>
      </c>
      <c r="N28057">
        <f>IF(M28057="","",'Master Barang'!A51)</f>
        <v>0</v>
      </c>
      <c r="O28057">
        <f>IF(N28057="","",'Master Barang'!B51)</f>
        <v>0</v>
      </c>
      <c r="P28057">
        <f>IF(OR(M28057="",N28057=""),"",SUMIFS('Barang Keluar'!$E:$E,'Barang Keluar'!$A:$A,M28057,'Barang Keluar'!$C:$C,N28057))</f>
        <v>0</v>
      </c>
    </row>
    <row r="28058" spans="13:16">
      <c r="M28058" s="49">
        <f>IF($A$4+280&gt;$B$4,"",$A$4+280)</f>
        <v>46303</v>
      </c>
      <c r="N28058">
        <f>IF(M28058="","",'Master Barang'!A52)</f>
        <v>0</v>
      </c>
      <c r="O28058">
        <f>IF(N28058="","",'Master Barang'!B52)</f>
        <v>0</v>
      </c>
      <c r="P28058">
        <f>IF(OR(M28058="",N28058=""),"",SUMIFS('Barang Keluar'!$E:$E,'Barang Keluar'!$A:$A,M28058,'Barang Keluar'!$C:$C,N28058))</f>
        <v>0</v>
      </c>
    </row>
    <row r="28059" spans="13:16">
      <c r="M28059" s="49">
        <f>IF($A$4+280&gt;$B$4,"",$A$4+280)</f>
        <v>46303</v>
      </c>
      <c r="N28059">
        <f>IF(M28059="","",'Master Barang'!A53)</f>
        <v>0</v>
      </c>
      <c r="O28059">
        <f>IF(N28059="","",'Master Barang'!B53)</f>
        <v>0</v>
      </c>
      <c r="P28059">
        <f>IF(OR(M28059="",N28059=""),"",SUMIFS('Barang Keluar'!$E:$E,'Barang Keluar'!$A:$A,M28059,'Barang Keluar'!$C:$C,N28059))</f>
        <v>0</v>
      </c>
    </row>
    <row r="28060" spans="13:16">
      <c r="M28060" s="49">
        <f>IF($A$4+280&gt;$B$4,"",$A$4+280)</f>
        <v>46303</v>
      </c>
      <c r="N28060">
        <f>IF(M28060="","",'Master Barang'!A54)</f>
        <v>0</v>
      </c>
      <c r="O28060">
        <f>IF(N28060="","",'Master Barang'!B54)</f>
        <v>0</v>
      </c>
      <c r="P28060">
        <f>IF(OR(M28060="",N28060=""),"",SUMIFS('Barang Keluar'!$E:$E,'Barang Keluar'!$A:$A,M28060,'Barang Keluar'!$C:$C,N28060))</f>
        <v>0</v>
      </c>
    </row>
    <row r="28061" spans="13:16">
      <c r="M28061" s="49">
        <f>IF($A$4+280&gt;$B$4,"",$A$4+280)</f>
        <v>46303</v>
      </c>
      <c r="N28061">
        <f>IF(M28061="","",'Master Barang'!A55)</f>
        <v>0</v>
      </c>
      <c r="O28061">
        <f>IF(N28061="","",'Master Barang'!B55)</f>
        <v>0</v>
      </c>
      <c r="P28061">
        <f>IF(OR(M28061="",N28061=""),"",SUMIFS('Barang Keluar'!$E:$E,'Barang Keluar'!$A:$A,M28061,'Barang Keluar'!$C:$C,N28061))</f>
        <v>0</v>
      </c>
    </row>
    <row r="28062" spans="13:16">
      <c r="M28062" s="49">
        <f>IF($A$4+280&gt;$B$4,"",$A$4+280)</f>
        <v>46303</v>
      </c>
      <c r="N28062">
        <f>IF(M28062="","",'Master Barang'!A56)</f>
        <v>0</v>
      </c>
      <c r="O28062">
        <f>IF(N28062="","",'Master Barang'!B56)</f>
        <v>0</v>
      </c>
      <c r="P28062">
        <f>IF(OR(M28062="",N28062=""),"",SUMIFS('Barang Keluar'!$E:$E,'Barang Keluar'!$A:$A,M28062,'Barang Keluar'!$C:$C,N28062))</f>
        <v>0</v>
      </c>
    </row>
    <row r="28063" spans="13:16">
      <c r="M28063" s="49">
        <f>IF($A$4+280&gt;$B$4,"",$A$4+280)</f>
        <v>46303</v>
      </c>
      <c r="N28063">
        <f>IF(M28063="","",'Master Barang'!A57)</f>
        <v>0</v>
      </c>
      <c r="O28063">
        <f>IF(N28063="","",'Master Barang'!B57)</f>
        <v>0</v>
      </c>
      <c r="P28063">
        <f>IF(OR(M28063="",N28063=""),"",SUMIFS('Barang Keluar'!$E:$E,'Barang Keluar'!$A:$A,M28063,'Barang Keluar'!$C:$C,N28063))</f>
        <v>0</v>
      </c>
    </row>
    <row r="28064" spans="13:16">
      <c r="M28064" s="49">
        <f>IF($A$4+280&gt;$B$4,"",$A$4+280)</f>
        <v>46303</v>
      </c>
      <c r="N28064">
        <f>IF(M28064="","",'Master Barang'!A58)</f>
        <v>0</v>
      </c>
      <c r="O28064">
        <f>IF(N28064="","",'Master Barang'!B58)</f>
        <v>0</v>
      </c>
      <c r="P28064">
        <f>IF(OR(M28064="",N28064=""),"",SUMIFS('Barang Keluar'!$E:$E,'Barang Keluar'!$A:$A,M28064,'Barang Keluar'!$C:$C,N28064))</f>
        <v>0</v>
      </c>
    </row>
    <row r="28065" spans="13:16">
      <c r="M28065" s="49">
        <f>IF($A$4+280&gt;$B$4,"",$A$4+280)</f>
        <v>46303</v>
      </c>
      <c r="N28065">
        <f>IF(M28065="","",'Master Barang'!A59)</f>
        <v>0</v>
      </c>
      <c r="O28065">
        <f>IF(N28065="","",'Master Barang'!B59)</f>
        <v>0</v>
      </c>
      <c r="P28065">
        <f>IF(OR(M28065="",N28065=""),"",SUMIFS('Barang Keluar'!$E:$E,'Barang Keluar'!$A:$A,M28065,'Barang Keluar'!$C:$C,N28065))</f>
        <v>0</v>
      </c>
    </row>
    <row r="28066" spans="13:16">
      <c r="M28066" s="49">
        <f>IF($A$4+280&gt;$B$4,"",$A$4+280)</f>
        <v>46303</v>
      </c>
      <c r="N28066">
        <f>IF(M28066="","",'Master Barang'!A60)</f>
        <v>0</v>
      </c>
      <c r="O28066">
        <f>IF(N28066="","",'Master Barang'!B60)</f>
        <v>0</v>
      </c>
      <c r="P28066">
        <f>IF(OR(M28066="",N28066=""),"",SUMIFS('Barang Keluar'!$E:$E,'Barang Keluar'!$A:$A,M28066,'Barang Keluar'!$C:$C,N28066))</f>
        <v>0</v>
      </c>
    </row>
    <row r="28067" spans="13:16">
      <c r="M28067" s="49">
        <f>IF($A$4+280&gt;$B$4,"",$A$4+280)</f>
        <v>46303</v>
      </c>
      <c r="N28067">
        <f>IF(M28067="","",'Master Barang'!A61)</f>
        <v>0</v>
      </c>
      <c r="O28067">
        <f>IF(N28067="","",'Master Barang'!B61)</f>
        <v>0</v>
      </c>
      <c r="P28067">
        <f>IF(OR(M28067="",N28067=""),"",SUMIFS('Barang Keluar'!$E:$E,'Barang Keluar'!$A:$A,M28067,'Barang Keluar'!$C:$C,N28067))</f>
        <v>0</v>
      </c>
    </row>
    <row r="28068" spans="13:16">
      <c r="M28068" s="49">
        <f>IF($A$4+280&gt;$B$4,"",$A$4+280)</f>
        <v>46303</v>
      </c>
      <c r="N28068">
        <f>IF(M28068="","",'Master Barang'!A62)</f>
        <v>0</v>
      </c>
      <c r="O28068">
        <f>IF(N28068="","",'Master Barang'!B62)</f>
        <v>0</v>
      </c>
      <c r="P28068">
        <f>IF(OR(M28068="",N28068=""),"",SUMIFS('Barang Keluar'!$E:$E,'Barang Keluar'!$A:$A,M28068,'Barang Keluar'!$C:$C,N28068))</f>
        <v>0</v>
      </c>
    </row>
    <row r="28069" spans="13:16">
      <c r="M28069" s="49">
        <f>IF($A$4+280&gt;$B$4,"",$A$4+280)</f>
        <v>46303</v>
      </c>
      <c r="N28069">
        <f>IF(M28069="","",'Master Barang'!A63)</f>
        <v>0</v>
      </c>
      <c r="O28069">
        <f>IF(N28069="","",'Master Barang'!B63)</f>
        <v>0</v>
      </c>
      <c r="P28069">
        <f>IF(OR(M28069="",N28069=""),"",SUMIFS('Barang Keluar'!$E:$E,'Barang Keluar'!$A:$A,M28069,'Barang Keluar'!$C:$C,N28069))</f>
        <v>0</v>
      </c>
    </row>
    <row r="28070" spans="13:16">
      <c r="M28070" s="49">
        <f>IF($A$4+280&gt;$B$4,"",$A$4+280)</f>
        <v>46303</v>
      </c>
      <c r="N28070">
        <f>IF(M28070="","",'Master Barang'!A64)</f>
        <v>0</v>
      </c>
      <c r="O28070">
        <f>IF(N28070="","",'Master Barang'!B64)</f>
        <v>0</v>
      </c>
      <c r="P28070">
        <f>IF(OR(M28070="",N28070=""),"",SUMIFS('Barang Keluar'!$E:$E,'Barang Keluar'!$A:$A,M28070,'Barang Keluar'!$C:$C,N28070))</f>
        <v>0</v>
      </c>
    </row>
    <row r="28071" spans="13:16">
      <c r="M28071" s="49">
        <f>IF($A$4+280&gt;$B$4,"",$A$4+280)</f>
        <v>46303</v>
      </c>
      <c r="N28071">
        <f>IF(M28071="","",'Master Barang'!A65)</f>
        <v>0</v>
      </c>
      <c r="O28071">
        <f>IF(N28071="","",'Master Barang'!B65)</f>
        <v>0</v>
      </c>
      <c r="P28071">
        <f>IF(OR(M28071="",N28071=""),"",SUMIFS('Barang Keluar'!$E:$E,'Barang Keluar'!$A:$A,M28071,'Barang Keluar'!$C:$C,N28071))</f>
        <v>0</v>
      </c>
    </row>
    <row r="28072" spans="13:16">
      <c r="M28072" s="49">
        <f>IF($A$4+280&gt;$B$4,"",$A$4+280)</f>
        <v>46303</v>
      </c>
      <c r="N28072">
        <f>IF(M28072="","",'Master Barang'!A66)</f>
        <v>0</v>
      </c>
      <c r="O28072">
        <f>IF(N28072="","",'Master Barang'!B66)</f>
        <v>0</v>
      </c>
      <c r="P28072">
        <f>IF(OR(M28072="",N28072=""),"",SUMIFS('Barang Keluar'!$E:$E,'Barang Keluar'!$A:$A,M28072,'Barang Keluar'!$C:$C,N28072))</f>
        <v>0</v>
      </c>
    </row>
    <row r="28073" spans="13:16">
      <c r="M28073" s="49">
        <f>IF($A$4+280&gt;$B$4,"",$A$4+280)</f>
        <v>46303</v>
      </c>
      <c r="N28073">
        <f>IF(M28073="","",'Master Barang'!A67)</f>
        <v>0</v>
      </c>
      <c r="O28073">
        <f>IF(N28073="","",'Master Barang'!B67)</f>
        <v>0</v>
      </c>
      <c r="P28073">
        <f>IF(OR(M28073="",N28073=""),"",SUMIFS('Barang Keluar'!$E:$E,'Barang Keluar'!$A:$A,M28073,'Barang Keluar'!$C:$C,N28073))</f>
        <v>0</v>
      </c>
    </row>
    <row r="28074" spans="13:16">
      <c r="M28074" s="49">
        <f>IF($A$4+280&gt;$B$4,"",$A$4+280)</f>
        <v>46303</v>
      </c>
      <c r="N28074">
        <f>IF(M28074="","",'Master Barang'!A68)</f>
        <v>0</v>
      </c>
      <c r="O28074">
        <f>IF(N28074="","",'Master Barang'!B68)</f>
        <v>0</v>
      </c>
      <c r="P28074">
        <f>IF(OR(M28074="",N28074=""),"",SUMIFS('Barang Keluar'!$E:$E,'Barang Keluar'!$A:$A,M28074,'Barang Keluar'!$C:$C,N28074))</f>
        <v>0</v>
      </c>
    </row>
    <row r="28075" spans="13:16">
      <c r="M28075" s="49">
        <f>IF($A$4+280&gt;$B$4,"",$A$4+280)</f>
        <v>46303</v>
      </c>
      <c r="N28075">
        <f>IF(M28075="","",'Master Barang'!A69)</f>
        <v>0</v>
      </c>
      <c r="O28075">
        <f>IF(N28075="","",'Master Barang'!B69)</f>
        <v>0</v>
      </c>
      <c r="P28075">
        <f>IF(OR(M28075="",N28075=""),"",SUMIFS('Barang Keluar'!$E:$E,'Barang Keluar'!$A:$A,M28075,'Barang Keluar'!$C:$C,N28075))</f>
        <v>0</v>
      </c>
    </row>
    <row r="28076" spans="13:16">
      <c r="M28076" s="49">
        <f>IF($A$4+280&gt;$B$4,"",$A$4+280)</f>
        <v>46303</v>
      </c>
      <c r="N28076">
        <f>IF(M28076="","",'Master Barang'!A70)</f>
        <v>0</v>
      </c>
      <c r="O28076">
        <f>IF(N28076="","",'Master Barang'!B70)</f>
        <v>0</v>
      </c>
      <c r="P28076">
        <f>IF(OR(M28076="",N28076=""),"",SUMIFS('Barang Keluar'!$E:$E,'Barang Keluar'!$A:$A,M28076,'Barang Keluar'!$C:$C,N28076))</f>
        <v>0</v>
      </c>
    </row>
    <row r="28077" spans="13:16">
      <c r="M28077" s="49">
        <f>IF($A$4+280&gt;$B$4,"",$A$4+280)</f>
        <v>46303</v>
      </c>
      <c r="N28077">
        <f>IF(M28077="","",'Master Barang'!A71)</f>
        <v>0</v>
      </c>
      <c r="O28077">
        <f>IF(N28077="","",'Master Barang'!B71)</f>
        <v>0</v>
      </c>
      <c r="P28077">
        <f>IF(OR(M28077="",N28077=""),"",SUMIFS('Barang Keluar'!$E:$E,'Barang Keluar'!$A:$A,M28077,'Barang Keluar'!$C:$C,N28077))</f>
        <v>0</v>
      </c>
    </row>
    <row r="28078" spans="13:16">
      <c r="M28078" s="49">
        <f>IF($A$4+280&gt;$B$4,"",$A$4+280)</f>
        <v>46303</v>
      </c>
      <c r="N28078">
        <f>IF(M28078="","",'Master Barang'!A72)</f>
        <v>0</v>
      </c>
      <c r="O28078">
        <f>IF(N28078="","",'Master Barang'!B72)</f>
        <v>0</v>
      </c>
      <c r="P28078">
        <f>IF(OR(M28078="",N28078=""),"",SUMIFS('Barang Keluar'!$E:$E,'Barang Keluar'!$A:$A,M28078,'Barang Keluar'!$C:$C,N28078))</f>
        <v>0</v>
      </c>
    </row>
    <row r="28079" spans="13:16">
      <c r="M28079" s="49">
        <f>IF($A$4+280&gt;$B$4,"",$A$4+280)</f>
        <v>46303</v>
      </c>
      <c r="N28079">
        <f>IF(M28079="","",'Master Barang'!A73)</f>
        <v>0</v>
      </c>
      <c r="O28079">
        <f>IF(N28079="","",'Master Barang'!B73)</f>
        <v>0</v>
      </c>
      <c r="P28079">
        <f>IF(OR(M28079="",N28079=""),"",SUMIFS('Barang Keluar'!$E:$E,'Barang Keluar'!$A:$A,M28079,'Barang Keluar'!$C:$C,N28079))</f>
        <v>0</v>
      </c>
    </row>
    <row r="28080" spans="13:16">
      <c r="M28080" s="49">
        <f>IF($A$4+280&gt;$B$4,"",$A$4+280)</f>
        <v>46303</v>
      </c>
      <c r="N28080">
        <f>IF(M28080="","",'Master Barang'!A74)</f>
        <v>0</v>
      </c>
      <c r="O28080">
        <f>IF(N28080="","",'Master Barang'!B74)</f>
        <v>0</v>
      </c>
      <c r="P28080">
        <f>IF(OR(M28080="",N28080=""),"",SUMIFS('Barang Keluar'!$E:$E,'Barang Keluar'!$A:$A,M28080,'Barang Keluar'!$C:$C,N28080))</f>
        <v>0</v>
      </c>
    </row>
    <row r="28081" spans="13:16">
      <c r="M28081" s="49">
        <f>IF($A$4+280&gt;$B$4,"",$A$4+280)</f>
        <v>46303</v>
      </c>
      <c r="N28081">
        <f>IF(M28081="","",'Master Barang'!A75)</f>
        <v>0</v>
      </c>
      <c r="O28081">
        <f>IF(N28081="","",'Master Barang'!B75)</f>
        <v>0</v>
      </c>
      <c r="P28081">
        <f>IF(OR(M28081="",N28081=""),"",SUMIFS('Barang Keluar'!$E:$E,'Barang Keluar'!$A:$A,M28081,'Barang Keluar'!$C:$C,N28081))</f>
        <v>0</v>
      </c>
    </row>
    <row r="28082" spans="13:16">
      <c r="M28082" s="49">
        <f>IF($A$4+280&gt;$B$4,"",$A$4+280)</f>
        <v>46303</v>
      </c>
      <c r="N28082">
        <f>IF(M28082="","",'Master Barang'!A76)</f>
        <v>0</v>
      </c>
      <c r="O28082">
        <f>IF(N28082="","",'Master Barang'!B76)</f>
        <v>0</v>
      </c>
      <c r="P28082">
        <f>IF(OR(M28082="",N28082=""),"",SUMIFS('Barang Keluar'!$E:$E,'Barang Keluar'!$A:$A,M28082,'Barang Keluar'!$C:$C,N28082))</f>
        <v>0</v>
      </c>
    </row>
    <row r="28083" spans="13:16">
      <c r="M28083" s="49">
        <f>IF($A$4+280&gt;$B$4,"",$A$4+280)</f>
        <v>46303</v>
      </c>
      <c r="N28083">
        <f>IF(M28083="","",'Master Barang'!A77)</f>
        <v>0</v>
      </c>
      <c r="O28083">
        <f>IF(N28083="","",'Master Barang'!B77)</f>
        <v>0</v>
      </c>
      <c r="P28083">
        <f>IF(OR(M28083="",N28083=""),"",SUMIFS('Barang Keluar'!$E:$E,'Barang Keluar'!$A:$A,M28083,'Barang Keluar'!$C:$C,N28083))</f>
        <v>0</v>
      </c>
    </row>
    <row r="28084" spans="13:16">
      <c r="M28084" s="49">
        <f>IF($A$4+280&gt;$B$4,"",$A$4+280)</f>
        <v>46303</v>
      </c>
      <c r="N28084">
        <f>IF(M28084="","",'Master Barang'!A78)</f>
        <v>0</v>
      </c>
      <c r="O28084">
        <f>IF(N28084="","",'Master Barang'!B78)</f>
        <v>0</v>
      </c>
      <c r="P28084">
        <f>IF(OR(M28084="",N28084=""),"",SUMIFS('Barang Keluar'!$E:$E,'Barang Keluar'!$A:$A,M28084,'Barang Keluar'!$C:$C,N28084))</f>
        <v>0</v>
      </c>
    </row>
    <row r="28085" spans="13:16">
      <c r="M28085" s="49">
        <f>IF($A$4+280&gt;$B$4,"",$A$4+280)</f>
        <v>46303</v>
      </c>
      <c r="N28085">
        <f>IF(M28085="","",'Master Barang'!A79)</f>
        <v>0</v>
      </c>
      <c r="O28085">
        <f>IF(N28085="","",'Master Barang'!B79)</f>
        <v>0</v>
      </c>
      <c r="P28085">
        <f>IF(OR(M28085="",N28085=""),"",SUMIFS('Barang Keluar'!$E:$E,'Barang Keluar'!$A:$A,M28085,'Barang Keluar'!$C:$C,N28085))</f>
        <v>0</v>
      </c>
    </row>
    <row r="28086" spans="13:16">
      <c r="M28086" s="49">
        <f>IF($A$4+280&gt;$B$4,"",$A$4+280)</f>
        <v>46303</v>
      </c>
      <c r="N28086">
        <f>IF(M28086="","",'Master Barang'!A80)</f>
        <v>0</v>
      </c>
      <c r="O28086">
        <f>IF(N28086="","",'Master Barang'!B80)</f>
        <v>0</v>
      </c>
      <c r="P28086">
        <f>IF(OR(M28086="",N28086=""),"",SUMIFS('Barang Keluar'!$E:$E,'Barang Keluar'!$A:$A,M28086,'Barang Keluar'!$C:$C,N28086))</f>
        <v>0</v>
      </c>
    </row>
    <row r="28087" spans="13:16">
      <c r="M28087" s="49">
        <f>IF($A$4+280&gt;$B$4,"",$A$4+280)</f>
        <v>46303</v>
      </c>
      <c r="N28087">
        <f>IF(M28087="","",'Master Barang'!A81)</f>
        <v>0</v>
      </c>
      <c r="O28087">
        <f>IF(N28087="","",'Master Barang'!B81)</f>
        <v>0</v>
      </c>
      <c r="P28087">
        <f>IF(OR(M28087="",N28087=""),"",SUMIFS('Barang Keluar'!$E:$E,'Barang Keluar'!$A:$A,M28087,'Barang Keluar'!$C:$C,N28087))</f>
        <v>0</v>
      </c>
    </row>
    <row r="28088" spans="13:16">
      <c r="M28088" s="49">
        <f>IF($A$4+280&gt;$B$4,"",$A$4+280)</f>
        <v>46303</v>
      </c>
      <c r="N28088">
        <f>IF(M28088="","",'Master Barang'!A82)</f>
        <v>0</v>
      </c>
      <c r="O28088">
        <f>IF(N28088="","",'Master Barang'!B82)</f>
        <v>0</v>
      </c>
      <c r="P28088">
        <f>IF(OR(M28088="",N28088=""),"",SUMIFS('Barang Keluar'!$E:$E,'Barang Keluar'!$A:$A,M28088,'Barang Keluar'!$C:$C,N28088))</f>
        <v>0</v>
      </c>
    </row>
    <row r="28089" spans="13:16">
      <c r="M28089" s="49">
        <f>IF($A$4+280&gt;$B$4,"",$A$4+280)</f>
        <v>46303</v>
      </c>
      <c r="N28089">
        <f>IF(M28089="","",'Master Barang'!A83)</f>
        <v>0</v>
      </c>
      <c r="O28089">
        <f>IF(N28089="","",'Master Barang'!B83)</f>
        <v>0</v>
      </c>
      <c r="P28089">
        <f>IF(OR(M28089="",N28089=""),"",SUMIFS('Barang Keluar'!$E:$E,'Barang Keluar'!$A:$A,M28089,'Barang Keluar'!$C:$C,N28089))</f>
        <v>0</v>
      </c>
    </row>
    <row r="28090" spans="13:16">
      <c r="M28090" s="49">
        <f>IF($A$4+280&gt;$B$4,"",$A$4+280)</f>
        <v>46303</v>
      </c>
      <c r="N28090">
        <f>IF(M28090="","",'Master Barang'!A84)</f>
        <v>0</v>
      </c>
      <c r="O28090">
        <f>IF(N28090="","",'Master Barang'!B84)</f>
        <v>0</v>
      </c>
      <c r="P28090">
        <f>IF(OR(M28090="",N28090=""),"",SUMIFS('Barang Keluar'!$E:$E,'Barang Keluar'!$A:$A,M28090,'Barang Keluar'!$C:$C,N28090))</f>
        <v>0</v>
      </c>
    </row>
    <row r="28091" spans="13:16">
      <c r="M28091" s="49">
        <f>IF($A$4+280&gt;$B$4,"",$A$4+280)</f>
        <v>46303</v>
      </c>
      <c r="N28091">
        <f>IF(M28091="","",'Master Barang'!A85)</f>
        <v>0</v>
      </c>
      <c r="O28091">
        <f>IF(N28091="","",'Master Barang'!B85)</f>
        <v>0</v>
      </c>
      <c r="P28091">
        <f>IF(OR(M28091="",N28091=""),"",SUMIFS('Barang Keluar'!$E:$E,'Barang Keluar'!$A:$A,M28091,'Barang Keluar'!$C:$C,N28091))</f>
        <v>0</v>
      </c>
    </row>
    <row r="28092" spans="13:16">
      <c r="M28092" s="49">
        <f>IF($A$4+280&gt;$B$4,"",$A$4+280)</f>
        <v>46303</v>
      </c>
      <c r="N28092">
        <f>IF(M28092="","",'Master Barang'!A86)</f>
        <v>0</v>
      </c>
      <c r="O28092">
        <f>IF(N28092="","",'Master Barang'!B86)</f>
        <v>0</v>
      </c>
      <c r="P28092">
        <f>IF(OR(M28092="",N28092=""),"",SUMIFS('Barang Keluar'!$E:$E,'Barang Keluar'!$A:$A,M28092,'Barang Keluar'!$C:$C,N28092))</f>
        <v>0</v>
      </c>
    </row>
    <row r="28093" spans="13:16">
      <c r="M28093" s="49">
        <f>IF($A$4+280&gt;$B$4,"",$A$4+280)</f>
        <v>46303</v>
      </c>
      <c r="N28093">
        <f>IF(M28093="","",'Master Barang'!A87)</f>
        <v>0</v>
      </c>
      <c r="O28093">
        <f>IF(N28093="","",'Master Barang'!B87)</f>
        <v>0</v>
      </c>
      <c r="P28093">
        <f>IF(OR(M28093="",N28093=""),"",SUMIFS('Barang Keluar'!$E:$E,'Barang Keluar'!$A:$A,M28093,'Barang Keluar'!$C:$C,N28093))</f>
        <v>0</v>
      </c>
    </row>
    <row r="28094" spans="13:16">
      <c r="M28094" s="49">
        <f>IF($A$4+280&gt;$B$4,"",$A$4+280)</f>
        <v>46303</v>
      </c>
      <c r="N28094">
        <f>IF(M28094="","",'Master Barang'!A88)</f>
        <v>0</v>
      </c>
      <c r="O28094">
        <f>IF(N28094="","",'Master Barang'!B88)</f>
        <v>0</v>
      </c>
      <c r="P28094">
        <f>IF(OR(M28094="",N28094=""),"",SUMIFS('Barang Keluar'!$E:$E,'Barang Keluar'!$A:$A,M28094,'Barang Keluar'!$C:$C,N28094))</f>
        <v>0</v>
      </c>
    </row>
    <row r="28095" spans="13:16">
      <c r="M28095" s="49">
        <f>IF($A$4+280&gt;$B$4,"",$A$4+280)</f>
        <v>46303</v>
      </c>
      <c r="N28095">
        <f>IF(M28095="","",'Master Barang'!A89)</f>
        <v>0</v>
      </c>
      <c r="O28095">
        <f>IF(N28095="","",'Master Barang'!B89)</f>
        <v>0</v>
      </c>
      <c r="P28095">
        <f>IF(OR(M28095="",N28095=""),"",SUMIFS('Barang Keluar'!$E:$E,'Barang Keluar'!$A:$A,M28095,'Barang Keluar'!$C:$C,N28095))</f>
        <v>0</v>
      </c>
    </row>
    <row r="28096" spans="13:16">
      <c r="M28096" s="49">
        <f>IF($A$4+280&gt;$B$4,"",$A$4+280)</f>
        <v>46303</v>
      </c>
      <c r="N28096">
        <f>IF(M28096="","",'Master Barang'!A90)</f>
        <v>0</v>
      </c>
      <c r="O28096">
        <f>IF(N28096="","",'Master Barang'!B90)</f>
        <v>0</v>
      </c>
      <c r="P28096">
        <f>IF(OR(M28096="",N28096=""),"",SUMIFS('Barang Keluar'!$E:$E,'Barang Keluar'!$A:$A,M28096,'Barang Keluar'!$C:$C,N28096))</f>
        <v>0</v>
      </c>
    </row>
    <row r="28097" spans="13:16">
      <c r="M28097" s="49">
        <f>IF($A$4+280&gt;$B$4,"",$A$4+280)</f>
        <v>46303</v>
      </c>
      <c r="N28097">
        <f>IF(M28097="","",'Master Barang'!A91)</f>
        <v>0</v>
      </c>
      <c r="O28097">
        <f>IF(N28097="","",'Master Barang'!B91)</f>
        <v>0</v>
      </c>
      <c r="P28097">
        <f>IF(OR(M28097="",N28097=""),"",SUMIFS('Barang Keluar'!$E:$E,'Barang Keluar'!$A:$A,M28097,'Barang Keluar'!$C:$C,N28097))</f>
        <v>0</v>
      </c>
    </row>
    <row r="28098" spans="13:16">
      <c r="M28098" s="49">
        <f>IF($A$4+280&gt;$B$4,"",$A$4+280)</f>
        <v>46303</v>
      </c>
      <c r="N28098">
        <f>IF(M28098="","",'Master Barang'!A92)</f>
        <v>0</v>
      </c>
      <c r="O28098">
        <f>IF(N28098="","",'Master Barang'!B92)</f>
        <v>0</v>
      </c>
      <c r="P28098">
        <f>IF(OR(M28098="",N28098=""),"",SUMIFS('Barang Keluar'!$E:$E,'Barang Keluar'!$A:$A,M28098,'Barang Keluar'!$C:$C,N28098))</f>
        <v>0</v>
      </c>
    </row>
    <row r="28099" spans="13:16">
      <c r="M28099" s="49">
        <f>IF($A$4+280&gt;$B$4,"",$A$4+280)</f>
        <v>46303</v>
      </c>
      <c r="N28099">
        <f>IF(M28099="","",'Master Barang'!A93)</f>
        <v>0</v>
      </c>
      <c r="O28099">
        <f>IF(N28099="","",'Master Barang'!B93)</f>
        <v>0</v>
      </c>
      <c r="P28099">
        <f>IF(OR(M28099="",N28099=""),"",SUMIFS('Barang Keluar'!$E:$E,'Barang Keluar'!$A:$A,M28099,'Barang Keluar'!$C:$C,N28099))</f>
        <v>0</v>
      </c>
    </row>
    <row r="28100" spans="13:16">
      <c r="M28100" s="49">
        <f>IF($A$4+280&gt;$B$4,"",$A$4+280)</f>
        <v>46303</v>
      </c>
      <c r="N28100">
        <f>IF(M28100="","",'Master Barang'!A94)</f>
        <v>0</v>
      </c>
      <c r="O28100">
        <f>IF(N28100="","",'Master Barang'!B94)</f>
        <v>0</v>
      </c>
      <c r="P28100">
        <f>IF(OR(M28100="",N28100=""),"",SUMIFS('Barang Keluar'!$E:$E,'Barang Keluar'!$A:$A,M28100,'Barang Keluar'!$C:$C,N28100))</f>
        <v>0</v>
      </c>
    </row>
    <row r="28101" spans="13:16">
      <c r="M28101" s="49">
        <f>IF($A$4+280&gt;$B$4,"",$A$4+280)</f>
        <v>46303</v>
      </c>
      <c r="N28101">
        <f>IF(M28101="","",'Master Barang'!A95)</f>
        <v>0</v>
      </c>
      <c r="O28101">
        <f>IF(N28101="","",'Master Barang'!B95)</f>
        <v>0</v>
      </c>
      <c r="P28101">
        <f>IF(OR(M28101="",N28101=""),"",SUMIFS('Barang Keluar'!$E:$E,'Barang Keluar'!$A:$A,M28101,'Barang Keluar'!$C:$C,N28101))</f>
        <v>0</v>
      </c>
    </row>
    <row r="28102" spans="13:16">
      <c r="M28102" s="49">
        <f>IF($A$4+280&gt;$B$4,"",$A$4+280)</f>
        <v>46303</v>
      </c>
      <c r="N28102">
        <f>IF(M28102="","",'Master Barang'!A96)</f>
        <v>0</v>
      </c>
      <c r="O28102">
        <f>IF(N28102="","",'Master Barang'!B96)</f>
        <v>0</v>
      </c>
      <c r="P28102">
        <f>IF(OR(M28102="",N28102=""),"",SUMIFS('Barang Keluar'!$E:$E,'Barang Keluar'!$A:$A,M28102,'Barang Keluar'!$C:$C,N28102))</f>
        <v>0</v>
      </c>
    </row>
    <row r="28103" spans="13:16">
      <c r="M28103" s="49">
        <f>IF($A$4+280&gt;$B$4,"",$A$4+280)</f>
        <v>46303</v>
      </c>
      <c r="N28103">
        <f>IF(M28103="","",'Master Barang'!A97)</f>
        <v>0</v>
      </c>
      <c r="O28103">
        <f>IF(N28103="","",'Master Barang'!B97)</f>
        <v>0</v>
      </c>
      <c r="P28103">
        <f>IF(OR(M28103="",N28103=""),"",SUMIFS('Barang Keluar'!$E:$E,'Barang Keluar'!$A:$A,M28103,'Barang Keluar'!$C:$C,N28103))</f>
        <v>0</v>
      </c>
    </row>
    <row r="28104" spans="13:16">
      <c r="M28104" s="49">
        <f>IF($A$4+280&gt;$B$4,"",$A$4+280)</f>
        <v>46303</v>
      </c>
      <c r="N28104">
        <f>IF(M28104="","",'Master Barang'!A98)</f>
        <v>0</v>
      </c>
      <c r="O28104">
        <f>IF(N28104="","",'Master Barang'!B98)</f>
        <v>0</v>
      </c>
      <c r="P28104">
        <f>IF(OR(M28104="",N28104=""),"",SUMIFS('Barang Keluar'!$E:$E,'Barang Keluar'!$A:$A,M28104,'Barang Keluar'!$C:$C,N28104))</f>
        <v>0</v>
      </c>
    </row>
    <row r="28105" spans="13:16">
      <c r="M28105" s="49">
        <f>IF($A$4+280&gt;$B$4,"",$A$4+280)</f>
        <v>46303</v>
      </c>
      <c r="N28105">
        <f>IF(M28105="","",'Master Barang'!A99)</f>
        <v>0</v>
      </c>
      <c r="O28105">
        <f>IF(N28105="","",'Master Barang'!B99)</f>
        <v>0</v>
      </c>
      <c r="P28105">
        <f>IF(OR(M28105="",N28105=""),"",SUMIFS('Barang Keluar'!$E:$E,'Barang Keluar'!$A:$A,M28105,'Barang Keluar'!$C:$C,N28105))</f>
        <v>0</v>
      </c>
    </row>
    <row r="28106" spans="13:16">
      <c r="M28106" s="49">
        <f>IF($A$4+280&gt;$B$4,"",$A$4+280)</f>
        <v>46303</v>
      </c>
      <c r="N28106">
        <f>IF(M28106="","",'Master Barang'!A100)</f>
        <v>0</v>
      </c>
      <c r="O28106">
        <f>IF(N28106="","",'Master Barang'!B100)</f>
        <v>0</v>
      </c>
      <c r="P28106">
        <f>IF(OR(M28106="",N28106=""),"",SUMIFS('Barang Keluar'!$E:$E,'Barang Keluar'!$A:$A,M28106,'Barang Keluar'!$C:$C,N28106))</f>
        <v>0</v>
      </c>
    </row>
    <row r="28107" spans="13:16">
      <c r="M28107" s="49">
        <f>IF($A$4+280&gt;$B$4,"",$A$4+280)</f>
        <v>46303</v>
      </c>
      <c r="N28107">
        <f>IF(M28107="","",'Master Barang'!A101)</f>
        <v>0</v>
      </c>
      <c r="O28107">
        <f>IF(N28107="","",'Master Barang'!B101)</f>
        <v>0</v>
      </c>
      <c r="P28107">
        <f>IF(OR(M28107="",N28107=""),"",SUMIFS('Barang Keluar'!$E:$E,'Barang Keluar'!$A:$A,M28107,'Barang Keluar'!$C:$C,N28107))</f>
        <v>0</v>
      </c>
    </row>
    <row r="28108" spans="13:16">
      <c r="M28108" s="49">
        <f>IF($A$4+281&gt;$B$4,"",$A$4+281)</f>
        <v>46304</v>
      </c>
      <c r="N28108" t="str">
        <f>IF(M28108="","",'Master Barang'!A2)</f>
        <v>PRL-001</v>
      </c>
      <c r="O28108" t="str">
        <f>IF(N28108="","",'Master Barang'!B2)</f>
        <v>natura desinfectant food grade 5l</v>
      </c>
      <c r="P28108">
        <f>IF(OR(M28108="",N28108=""),"",SUMIFS('Barang Keluar'!$E:$E,'Barang Keluar'!$A:$A,M28108,'Barang Keluar'!$C:$C,N28108))</f>
        <v>0</v>
      </c>
    </row>
    <row r="28109" spans="13:16">
      <c r="M28109" s="49">
        <f>IF($A$4+281&gt;$B$4,"",$A$4+281)</f>
        <v>46304</v>
      </c>
      <c r="N28109" t="str">
        <f>IF(M28109="","",'Master Barang'!A3)</f>
        <v>PRL-002</v>
      </c>
      <c r="O28109" t="str">
        <f>IF(N28109="","",'Master Barang'!B3)</f>
        <v>sunlight cairan pencuci piring 5l</v>
      </c>
      <c r="P28109">
        <f>IF(OR(M28109="",N28109=""),"",SUMIFS('Barang Keluar'!$E:$E,'Barang Keluar'!$A:$A,M28109,'Barang Keluar'!$C:$C,N28109))</f>
        <v>0</v>
      </c>
    </row>
    <row r="28110" spans="13:16">
      <c r="M28110" s="49">
        <f>IF($A$4+281&gt;$B$4,"",$A$4+281)</f>
        <v>46304</v>
      </c>
      <c r="N28110" t="str">
        <f>IF(M28110="","",'Master Barang'!A4)</f>
        <v>PRL-003</v>
      </c>
      <c r="O28110" t="str">
        <f>IF(N28110="","",'Master Barang'!B4)</f>
        <v>oixs cleaner 1l</v>
      </c>
      <c r="P28110">
        <f>IF(OR(M28110="",N28110=""),"",SUMIFS('Barang Keluar'!$E:$E,'Barang Keluar'!$A:$A,M28110,'Barang Keluar'!$C:$C,N28110))</f>
        <v>0</v>
      </c>
    </row>
    <row r="28111" spans="13:16">
      <c r="M28111" s="49">
        <f>IF($A$4+281&gt;$B$4,"",$A$4+281)</f>
        <v>46304</v>
      </c>
      <c r="N28111" t="str">
        <f>IF(M28111="","",'Master Barang'!A5)</f>
        <v>PRL-004</v>
      </c>
      <c r="O28111" t="str">
        <f>IF(N28111="","",'Master Barang'!B5)</f>
        <v>be clean tissue serbaguna</v>
      </c>
      <c r="P28111">
        <f>IF(OR(M28111="",N28111=""),"",SUMIFS('Barang Keluar'!$E:$E,'Barang Keluar'!$A:$A,M28111,'Barang Keluar'!$C:$C,N28111))</f>
        <v>0</v>
      </c>
    </row>
    <row r="28112" spans="13:16">
      <c r="M28112" s="49">
        <f>IF($A$4+281&gt;$B$4,"",$A$4+281)</f>
        <v>46304</v>
      </c>
      <c r="N28112" t="str">
        <f>IF(M28112="","",'Master Barang'!A6)</f>
        <v>PRL-005</v>
      </c>
      <c r="O28112" t="str">
        <f>IF(N28112="","",'Master Barang'!B6)</f>
        <v>spons cuci hijau</v>
      </c>
      <c r="P28112">
        <f>IF(OR(M28112="",N28112=""),"",SUMIFS('Barang Keluar'!$E:$E,'Barang Keluar'!$A:$A,M28112,'Barang Keluar'!$C:$C,N28112))</f>
        <v>0</v>
      </c>
    </row>
    <row r="28113" spans="13:16">
      <c r="M28113" s="49">
        <f>IF($A$4+281&gt;$B$4,"",$A$4+281)</f>
        <v>46304</v>
      </c>
      <c r="N28113" t="str">
        <f>IF(M28113="","",'Master Barang'!A7)</f>
        <v>PRL-006</v>
      </c>
      <c r="O28113" t="str">
        <f>IF(N28113="","",'Master Barang'!B7)</f>
        <v>sabut cuci stainless</v>
      </c>
      <c r="P28113">
        <f>IF(OR(M28113="",N28113=""),"",SUMIFS('Barang Keluar'!$E:$E,'Barang Keluar'!$A:$A,M28113,'Barang Keluar'!$C:$C,N28113))</f>
        <v>0</v>
      </c>
    </row>
    <row r="28114" spans="13:16">
      <c r="M28114" s="49">
        <f>IF($A$4+281&gt;$B$4,"",$A$4+281)</f>
        <v>46304</v>
      </c>
      <c r="N28114" t="str">
        <f>IF(M28114="","",'Master Barang'!A8)</f>
        <v>PRL-007</v>
      </c>
      <c r="O28114" t="str">
        <f>IF(N28114="","",'Master Barang'!B8)</f>
        <v>plastik kresek besar merah 50pc</v>
      </c>
      <c r="P28114">
        <f>IF(OR(M28114="",N28114=""),"",SUMIFS('Barang Keluar'!$E:$E,'Barang Keluar'!$A:$A,M28114,'Barang Keluar'!$C:$C,N28114))</f>
        <v>0</v>
      </c>
    </row>
    <row r="28115" spans="13:16">
      <c r="M28115" s="49">
        <f>IF($A$4+281&gt;$B$4,"",$A$4+281)</f>
        <v>46304</v>
      </c>
      <c r="N28115" t="str">
        <f>IF(M28115="","",'Master Barang'!A9)</f>
        <v>PRL-008</v>
      </c>
      <c r="O28115" t="str">
        <f>IF(N28115="","",'Master Barang'!B9)</f>
        <v>lap besar</v>
      </c>
      <c r="P28115">
        <f>IF(OR(M28115="",N28115=""),"",SUMIFS('Barang Keluar'!$E:$E,'Barang Keluar'!$A:$A,M28115,'Barang Keluar'!$C:$C,N28115))</f>
        <v>0</v>
      </c>
    </row>
    <row r="28116" spans="13:16">
      <c r="M28116" s="49">
        <f>IF($A$4+281&gt;$B$4,"",$A$4+281)</f>
        <v>46304</v>
      </c>
      <c r="N28116" t="str">
        <f>IF(M28116="","",'Master Barang'!A10)</f>
        <v>PRL-009</v>
      </c>
      <c r="O28116" t="str">
        <f>IF(N28116="","",'Master Barang'!B10)</f>
        <v>lap microfiber</v>
      </c>
      <c r="P28116">
        <f>IF(OR(M28116="",N28116=""),"",SUMIFS('Barang Keluar'!$E:$E,'Barang Keluar'!$A:$A,M28116,'Barang Keluar'!$C:$C,N28116))</f>
        <v>0</v>
      </c>
    </row>
    <row r="28117" spans="13:16">
      <c r="M28117" s="49">
        <f>IF($A$4+281&gt;$B$4,"",$A$4+281)</f>
        <v>46304</v>
      </c>
      <c r="N28117" t="str">
        <f>IF(M28117="","",'Master Barang'!A11)</f>
        <v>PRL-010</v>
      </c>
      <c r="O28117" t="str">
        <f>IF(N28117="","",'Master Barang'!B11)</f>
        <v>lap kecil</v>
      </c>
      <c r="P28117">
        <f>IF(OR(M28117="",N28117=""),"",SUMIFS('Barang Keluar'!$E:$E,'Barang Keluar'!$A:$A,M28117,'Barang Keluar'!$C:$C,N28117))</f>
        <v>0</v>
      </c>
    </row>
    <row r="28118" spans="13:16">
      <c r="M28118" s="49">
        <f>IF($A$4+281&gt;$B$4,"",$A$4+281)</f>
        <v>46304</v>
      </c>
      <c r="N28118" t="str">
        <f>IF(M28118="","",'Master Barang'!A12)</f>
        <v>PRL-011</v>
      </c>
      <c r="O28118" t="str">
        <f>IF(N28118="","",'Master Barang'!B12)</f>
        <v>kanebo kecil</v>
      </c>
      <c r="P28118">
        <f>IF(OR(M28118="",N28118=""),"",SUMIFS('Barang Keluar'!$E:$E,'Barang Keluar'!$A:$A,M28118,'Barang Keluar'!$C:$C,N28118))</f>
        <v>0</v>
      </c>
    </row>
    <row r="28119" spans="13:16">
      <c r="M28119" s="49">
        <f>IF($A$4+281&gt;$B$4,"",$A$4+281)</f>
        <v>46304</v>
      </c>
      <c r="N28119" t="str">
        <f>IF(M28119="","",'Master Barang'!A13)</f>
        <v>PRL-012</v>
      </c>
      <c r="O28119" t="str">
        <f>IF(N28119="","",'Master Barang'!B13)</f>
        <v>plastik 1/4kg joyoboyo 100 lembar</v>
      </c>
      <c r="P28119">
        <f>IF(OR(M28119="",N28119=""),"",SUMIFS('Barang Keluar'!$E:$E,'Barang Keluar'!$A:$A,M28119,'Barang Keluar'!$C:$C,N28119))</f>
        <v>0</v>
      </c>
    </row>
    <row r="28120" spans="13:16">
      <c r="M28120" s="49">
        <f>IF($A$4+281&gt;$B$4,"",$A$4+281)</f>
        <v>46304</v>
      </c>
      <c r="N28120" t="str">
        <f>IF(M28120="","",'Master Barang'!A14)</f>
        <v>PRL-013</v>
      </c>
      <c r="O28120" t="str">
        <f>IF(N28120="","",'Master Barang'!B14)</f>
        <v>sarung tangan plastik kaka 100 pcs</v>
      </c>
      <c r="P28120">
        <f>IF(OR(M28120="",N28120=""),"",SUMIFS('Barang Keluar'!$E:$E,'Barang Keluar'!$A:$A,M28120,'Barang Keluar'!$C:$C,N28120))</f>
        <v>0</v>
      </c>
    </row>
    <row r="28121" spans="13:16">
      <c r="M28121" s="49">
        <f>IF($A$4+281&gt;$B$4,"",$A$4+281)</f>
        <v>46304</v>
      </c>
      <c r="N28121" t="str">
        <f>IF(M28121="","",'Master Barang'!A15)</f>
        <v>PRL-014</v>
      </c>
      <c r="O28121" t="str">
        <f>IF(N28121="","",'Master Barang'!B15)</f>
        <v>optima trashbag 80x100</v>
      </c>
      <c r="P28121">
        <f>IF(OR(M28121="",N28121=""),"",SUMIFS('Barang Keluar'!$E:$E,'Barang Keluar'!$A:$A,M28121,'Barang Keluar'!$C:$C,N28121))</f>
        <v>0</v>
      </c>
    </row>
    <row r="28122" spans="13:16">
      <c r="M28122" s="49">
        <f>IF($A$4+281&gt;$B$4,"",$A$4+281)</f>
        <v>46304</v>
      </c>
      <c r="N28122" t="str">
        <f>IF(M28122="","",'Master Barang'!A16)</f>
        <v>PRL-015</v>
      </c>
      <c r="O28122" t="str">
        <f>IF(N28122="","",'Master Barang'!B16)</f>
        <v>optima trashbag 60x100</v>
      </c>
      <c r="P28122">
        <f>IF(OR(M28122="",N28122=""),"",SUMIFS('Barang Keluar'!$E:$E,'Barang Keluar'!$A:$A,M28122,'Barang Keluar'!$C:$C,N28122))</f>
        <v>0</v>
      </c>
    </row>
    <row r="28123" spans="13:16">
      <c r="M28123" s="49">
        <f>IF($A$4+281&gt;$B$4,"",$A$4+281)</f>
        <v>46304</v>
      </c>
      <c r="N28123" t="str">
        <f>IF(M28123="","",'Master Barang'!A17)</f>
        <v>PRL-016</v>
      </c>
      <c r="O28123" t="str">
        <f>IF(N28123="","",'Master Barang'!B17)</f>
        <v>rajawali trashbag 30x40</v>
      </c>
      <c r="P28123">
        <f>IF(OR(M28123="",N28123=""),"",SUMIFS('Barang Keluar'!$E:$E,'Barang Keluar'!$A:$A,M28123,'Barang Keluar'!$C:$C,N28123))</f>
        <v>0</v>
      </c>
    </row>
    <row r="28124" spans="13:16">
      <c r="M28124" s="49">
        <f>IF($A$4+281&gt;$B$4,"",$A$4+281)</f>
        <v>46304</v>
      </c>
      <c r="N28124" t="str">
        <f>IF(M28124="","",'Master Barang'!A18)</f>
        <v>PRL-017</v>
      </c>
      <c r="O28124" t="str">
        <f>IF(N28124="","",'Master Barang'!B18)</f>
        <v>onemed masker biru 3 play 50 pcs</v>
      </c>
      <c r="P28124">
        <f>IF(OR(M28124="",N28124=""),"",SUMIFS('Barang Keluar'!$E:$E,'Barang Keluar'!$A:$A,M28124,'Barang Keluar'!$C:$C,N28124))</f>
        <v>0</v>
      </c>
    </row>
    <row r="28125" spans="13:16">
      <c r="M28125" s="49">
        <f>IF($A$4+281&gt;$B$4,"",$A$4+281)</f>
        <v>46304</v>
      </c>
      <c r="N28125" t="str">
        <f>IF(M28125="","",'Master Barang'!A19)</f>
        <v>PRL-018</v>
      </c>
      <c r="O28125" t="str">
        <f>IF(N28125="","",'Master Barang'!B19)</f>
        <v>onemed masker biru 3 play hijab 50 pcs</v>
      </c>
      <c r="P28125">
        <f>IF(OR(M28125="",N28125=""),"",SUMIFS('Barang Keluar'!$E:$E,'Barang Keluar'!$A:$A,M28125,'Barang Keluar'!$C:$C,N28125))</f>
        <v>0</v>
      </c>
    </row>
    <row r="28126" spans="13:16">
      <c r="M28126" s="49">
        <f>IF($A$4+281&gt;$B$4,"",$A$4+281)</f>
        <v>46304</v>
      </c>
      <c r="N28126" t="str">
        <f>IF(M28126="","",'Master Barang'!A20)</f>
        <v>PRL-019</v>
      </c>
      <c r="O28126" t="str">
        <f>IF(N28126="","",'Master Barang'!B20)</f>
        <v>neo health masker biru 3 play 50 pcs</v>
      </c>
      <c r="P28126">
        <f>IF(OR(M28126="",N28126=""),"",SUMIFS('Barang Keluar'!$E:$E,'Barang Keluar'!$A:$A,M28126,'Barang Keluar'!$C:$C,N28126))</f>
        <v>0</v>
      </c>
    </row>
    <row r="28127" spans="13:16">
      <c r="M28127" s="49">
        <f>IF($A$4+281&gt;$B$4,"",$A$4+281)</f>
        <v>46304</v>
      </c>
      <c r="N28127" t="str">
        <f>IF(M28127="","",'Master Barang'!A21)</f>
        <v>PRL-020</v>
      </c>
      <c r="O28127" t="str">
        <f>IF(N28127="","",'Master Barang'!B21)</f>
        <v>baymed masker hijau 3 play hijau 50 pcs</v>
      </c>
      <c r="P28127">
        <f>IF(OR(M28127="",N28127=""),"",SUMIFS('Barang Keluar'!$E:$E,'Barang Keluar'!$A:$A,M28127,'Barang Keluar'!$C:$C,N28127))</f>
        <v>0</v>
      </c>
    </row>
    <row r="28128" spans="13:16">
      <c r="M28128" s="49">
        <f>IF($A$4+281&gt;$B$4,"",$A$4+281)</f>
        <v>46304</v>
      </c>
      <c r="N28128" t="str">
        <f>IF(M28128="","",'Master Barang'!A22)</f>
        <v>PRL-021</v>
      </c>
      <c r="O28128" t="str">
        <f>IF(N28128="","",'Master Barang'!B22)</f>
        <v>altamed nurse cap penutup kepala 100 pcs</v>
      </c>
      <c r="P28128">
        <f>IF(OR(M28128="",N28128=""),"",SUMIFS('Barang Keluar'!$E:$E,'Barang Keluar'!$A:$A,M28128,'Barang Keluar'!$C:$C,N28128))</f>
        <v>0</v>
      </c>
    </row>
    <row r="28129" spans="13:16">
      <c r="M28129" s="49">
        <f>IF($A$4+281&gt;$B$4,"",$A$4+281)</f>
        <v>46304</v>
      </c>
      <c r="N28129" t="str">
        <f>IF(M28129="","",'Master Barang'!A23)</f>
        <v>PRL-022</v>
      </c>
      <c r="O28129" t="str">
        <f>IF(N28129="","",'Master Barang'!B23)</f>
        <v>sabun cuci tangan</v>
      </c>
      <c r="P28129">
        <f>IF(OR(M28129="",N28129=""),"",SUMIFS('Barang Keluar'!$E:$E,'Barang Keluar'!$A:$A,M28129,'Barang Keluar'!$C:$C,N28129))</f>
        <v>0</v>
      </c>
    </row>
    <row r="28130" spans="13:16">
      <c r="M28130" s="49">
        <f>IF($A$4+281&gt;$B$4,"",$A$4+281)</f>
        <v>46304</v>
      </c>
      <c r="N28130" t="str">
        <f>IF(M28130="","",'Master Barang'!A24)</f>
        <v>PRL-023</v>
      </c>
      <c r="O28130" t="str">
        <f>IF(N28130="","",'Master Barang'!B24)</f>
        <v>gayung kecil</v>
      </c>
      <c r="P28130">
        <f>IF(OR(M28130="",N28130=""),"",SUMIFS('Barang Keluar'!$E:$E,'Barang Keluar'!$A:$A,M28130,'Barang Keluar'!$C:$C,N28130))</f>
        <v>0</v>
      </c>
    </row>
    <row r="28131" spans="13:16">
      <c r="M28131" s="49">
        <f>IF($A$4+281&gt;$B$4,"",$A$4+281)</f>
        <v>46304</v>
      </c>
      <c r="N28131" t="str">
        <f>IF(M28131="","",'Master Barang'!A25)</f>
        <v>PRL-024</v>
      </c>
      <c r="O28131" t="str">
        <f>IF(N28131="","",'Master Barang'!B25)</f>
        <v>cikrak kecil</v>
      </c>
      <c r="P28131">
        <f>IF(OR(M28131="",N28131=""),"",SUMIFS('Barang Keluar'!$E:$E,'Barang Keluar'!$A:$A,M28131,'Barang Keluar'!$C:$C,N28131))</f>
        <v>0</v>
      </c>
    </row>
    <row r="28132" spans="13:16">
      <c r="M28132" s="49">
        <f>IF($A$4+281&gt;$B$4,"",$A$4+281)</f>
        <v>46304</v>
      </c>
      <c r="N28132" t="str">
        <f>IF(M28132="","",'Master Barang'!A26)</f>
        <v>PRL-025</v>
      </c>
      <c r="O28132" t="str">
        <f>IF(N28132="","",'Master Barang'!B26)</f>
        <v>petromax plastik kecil 12x24 100 lembar</v>
      </c>
      <c r="P28132">
        <f>IF(OR(M28132="",N28132=""),"",SUMIFS('Barang Keluar'!$E:$E,'Barang Keluar'!$A:$A,M28132,'Barang Keluar'!$C:$C,N28132))</f>
        <v>0</v>
      </c>
    </row>
    <row r="28133" spans="13:16">
      <c r="M28133" s="49">
        <f>IF($A$4+281&gt;$B$4,"",$A$4+281)</f>
        <v>46304</v>
      </c>
      <c r="N28133" t="str">
        <f>IF(M28133="","",'Master Barang'!A27)</f>
        <v>PRL-026</v>
      </c>
      <c r="O28133" t="str">
        <f>IF(N28133="","",'Master Barang'!B27)</f>
        <v>lancar kresek kecil bening </v>
      </c>
      <c r="P28133">
        <f>IF(OR(M28133="",N28133=""),"",SUMIFS('Barang Keluar'!$E:$E,'Barang Keluar'!$A:$A,M28133,'Barang Keluar'!$C:$C,N28133))</f>
        <v>0</v>
      </c>
    </row>
    <row r="28134" spans="13:16">
      <c r="M28134" s="49">
        <f>IF($A$4+281&gt;$B$4,"",$A$4+281)</f>
        <v>46304</v>
      </c>
      <c r="N28134" t="str">
        <f>IF(M28134="","",'Master Barang'!A28)</f>
        <v>PRL-027</v>
      </c>
      <c r="O28134" t="str">
        <f>IF(N28134="","",'Master Barang'!B28)</f>
        <v>kresek klin warna warni kecil</v>
      </c>
      <c r="P28134">
        <f>IF(OR(M28134="",N28134=""),"",SUMIFS('Barang Keluar'!$E:$E,'Barang Keluar'!$A:$A,M28134,'Barang Keluar'!$C:$C,N28134))</f>
        <v>0</v>
      </c>
    </row>
    <row r="28135" spans="13:16">
      <c r="M28135" s="49">
        <f>IF($A$4+281&gt;$B$4,"",$A$4+281)</f>
        <v>46304</v>
      </c>
      <c r="N28135" t="str">
        <f>IF(M28135="","",'Master Barang'!A29)</f>
        <v>PRL-028</v>
      </c>
      <c r="O28135" t="str">
        <f>IF(N28135="","",'Master Barang'!B29)</f>
        <v>ctik plastik 7x10 100 pcs</v>
      </c>
      <c r="P28135">
        <f>IF(OR(M28135="",N28135=""),"",SUMIFS('Barang Keluar'!$E:$E,'Barang Keluar'!$A:$A,M28135,'Barang Keluar'!$C:$C,N28135))</f>
        <v>0</v>
      </c>
    </row>
    <row r="28136" spans="13:16">
      <c r="M28136" s="49">
        <f>IF($A$4+281&gt;$B$4,"",$A$4+281)</f>
        <v>46304</v>
      </c>
      <c r="N28136" t="str">
        <f>IF(M28136="","",'Master Barang'!A30)</f>
        <v>PRL-029</v>
      </c>
      <c r="O28136" t="str">
        <f>IF(N28136="","",'Master Barang'!B30)</f>
        <v>ctik plastik 6x10 100 pcs</v>
      </c>
      <c r="P28136">
        <f>IF(OR(M28136="",N28136=""),"",SUMIFS('Barang Keluar'!$E:$E,'Barang Keluar'!$A:$A,M28136,'Barang Keluar'!$C:$C,N28136))</f>
        <v>0</v>
      </c>
    </row>
    <row r="28137" spans="13:16">
      <c r="M28137" s="49">
        <f>IF($A$4+281&gt;$B$4,"",$A$4+281)</f>
        <v>46304</v>
      </c>
      <c r="N28137" t="str">
        <f>IF(M28137="","",'Master Barang'!A31)</f>
        <v>PRL-030</v>
      </c>
      <c r="O28137" t="str">
        <f>IF(N28137="","",'Master Barang'!B31)</f>
        <v>klip plastik 25x16 100 pcs</v>
      </c>
      <c r="P28137">
        <f>IF(OR(M28137="",N28137=""),"",SUMIFS('Barang Keluar'!$E:$E,'Barang Keluar'!$A:$A,M28137,'Barang Keluar'!$C:$C,N28137))</f>
        <v>0</v>
      </c>
    </row>
    <row r="28138" spans="13:16">
      <c r="M28138" s="49">
        <f>IF($A$4+281&gt;$B$4,"",$A$4+281)</f>
        <v>46304</v>
      </c>
      <c r="N28138" t="str">
        <f>IF(M28138="","",'Master Barang'!A32)</f>
        <v>PRL-031</v>
      </c>
      <c r="O28138" t="str">
        <f>IF(N28138="","",'Master Barang'!B32)</f>
        <v>tempat saus 20 ml</v>
      </c>
      <c r="P28138">
        <f>IF(OR(M28138="",N28138=""),"",SUMIFS('Barang Keluar'!$E:$E,'Barang Keluar'!$A:$A,M28138,'Barang Keluar'!$C:$C,N28138))</f>
        <v>0</v>
      </c>
    </row>
    <row r="28139" spans="13:16">
      <c r="M28139" s="49">
        <f>IF($A$4+281&gt;$B$4,"",$A$4+281)</f>
        <v>46304</v>
      </c>
      <c r="N28139" t="str">
        <f>IF(M28139="","",'Master Barang'!A33)</f>
        <v>PRL-032</v>
      </c>
      <c r="O28139" t="str">
        <f>IF(N28139="","",'Master Barang'!B33)</f>
        <v>plastik packaging ag box uk sedang</v>
      </c>
      <c r="P28139">
        <f>IF(OR(M28139="",N28139=""),"",SUMIFS('Barang Keluar'!$E:$E,'Barang Keluar'!$A:$A,M28139,'Barang Keluar'!$C:$C,N28139))</f>
        <v>0</v>
      </c>
    </row>
    <row r="28140" spans="13:16">
      <c r="M28140" s="49">
        <f>IF($A$4+281&gt;$B$4,"",$A$4+281)</f>
        <v>46304</v>
      </c>
      <c r="N28140" t="str">
        <f>IF(M28140="","",'Master Barang'!A34)</f>
        <v>PRL-033</v>
      </c>
      <c r="O28140">
        <f>IF(N28140="","",'Master Barang'!B34)</f>
        <v>0</v>
      </c>
      <c r="P28140">
        <f>IF(OR(M28140="",N28140=""),"",SUMIFS('Barang Keluar'!$E:$E,'Barang Keluar'!$A:$A,M28140,'Barang Keluar'!$C:$C,N28140))</f>
        <v>0</v>
      </c>
    </row>
    <row r="28141" spans="13:16">
      <c r="M28141" s="49">
        <f>IF($A$4+281&gt;$B$4,"",$A$4+281)</f>
        <v>46304</v>
      </c>
      <c r="N28141">
        <f>IF(M28141="","",'Master Barang'!A35)</f>
        <v>0</v>
      </c>
      <c r="O28141">
        <f>IF(N28141="","",'Master Barang'!B35)</f>
        <v>0</v>
      </c>
      <c r="P28141">
        <f>IF(OR(M28141="",N28141=""),"",SUMIFS('Barang Keluar'!$E:$E,'Barang Keluar'!$A:$A,M28141,'Barang Keluar'!$C:$C,N28141))</f>
        <v>0</v>
      </c>
    </row>
    <row r="28142" spans="13:16">
      <c r="M28142" s="49">
        <f>IF($A$4+281&gt;$B$4,"",$A$4+281)</f>
        <v>46304</v>
      </c>
      <c r="N28142">
        <f>IF(M28142="","",'Master Barang'!A36)</f>
        <v>0</v>
      </c>
      <c r="O28142">
        <f>IF(N28142="","",'Master Barang'!B36)</f>
        <v>0</v>
      </c>
      <c r="P28142">
        <f>IF(OR(M28142="",N28142=""),"",SUMIFS('Barang Keluar'!$E:$E,'Barang Keluar'!$A:$A,M28142,'Barang Keluar'!$C:$C,N28142))</f>
        <v>0</v>
      </c>
    </row>
    <row r="28143" spans="13:16">
      <c r="M28143" s="49">
        <f>IF($A$4+281&gt;$B$4,"",$A$4+281)</f>
        <v>46304</v>
      </c>
      <c r="N28143">
        <f>IF(M28143="","",'Master Barang'!A37)</f>
        <v>0</v>
      </c>
      <c r="O28143">
        <f>IF(N28143="","",'Master Barang'!B37)</f>
        <v>0</v>
      </c>
      <c r="P28143">
        <f>IF(OR(M28143="",N28143=""),"",SUMIFS('Barang Keluar'!$E:$E,'Barang Keluar'!$A:$A,M28143,'Barang Keluar'!$C:$C,N28143))</f>
        <v>0</v>
      </c>
    </row>
    <row r="28144" spans="13:16">
      <c r="M28144" s="49">
        <f>IF($A$4+281&gt;$B$4,"",$A$4+281)</f>
        <v>46304</v>
      </c>
      <c r="N28144">
        <f>IF(M28144="","",'Master Barang'!A38)</f>
        <v>0</v>
      </c>
      <c r="O28144">
        <f>IF(N28144="","",'Master Barang'!B38)</f>
        <v>0</v>
      </c>
      <c r="P28144">
        <f>IF(OR(M28144="",N28144=""),"",SUMIFS('Barang Keluar'!$E:$E,'Barang Keluar'!$A:$A,M28144,'Barang Keluar'!$C:$C,N28144))</f>
        <v>0</v>
      </c>
    </row>
    <row r="28145" spans="13:16">
      <c r="M28145" s="49">
        <f>IF($A$4+281&gt;$B$4,"",$A$4+281)</f>
        <v>46304</v>
      </c>
      <c r="N28145">
        <f>IF(M28145="","",'Master Barang'!A39)</f>
        <v>0</v>
      </c>
      <c r="O28145">
        <f>IF(N28145="","",'Master Barang'!B39)</f>
        <v>0</v>
      </c>
      <c r="P28145">
        <f>IF(OR(M28145="",N28145=""),"",SUMIFS('Barang Keluar'!$E:$E,'Barang Keluar'!$A:$A,M28145,'Barang Keluar'!$C:$C,N28145))</f>
        <v>0</v>
      </c>
    </row>
    <row r="28146" spans="13:16">
      <c r="M28146" s="49">
        <f>IF($A$4+281&gt;$B$4,"",$A$4+281)</f>
        <v>46304</v>
      </c>
      <c r="N28146">
        <f>IF(M28146="","",'Master Barang'!A40)</f>
        <v>0</v>
      </c>
      <c r="O28146">
        <f>IF(N28146="","",'Master Barang'!B40)</f>
        <v>0</v>
      </c>
      <c r="P28146">
        <f>IF(OR(M28146="",N28146=""),"",SUMIFS('Barang Keluar'!$E:$E,'Barang Keluar'!$A:$A,M28146,'Barang Keluar'!$C:$C,N28146))</f>
        <v>0</v>
      </c>
    </row>
    <row r="28147" spans="13:16">
      <c r="M28147" s="49">
        <f>IF($A$4+281&gt;$B$4,"",$A$4+281)</f>
        <v>46304</v>
      </c>
      <c r="N28147">
        <f>IF(M28147="","",'Master Barang'!A41)</f>
        <v>0</v>
      </c>
      <c r="O28147">
        <f>IF(N28147="","",'Master Barang'!B41)</f>
        <v>0</v>
      </c>
      <c r="P28147">
        <f>IF(OR(M28147="",N28147=""),"",SUMIFS('Barang Keluar'!$E:$E,'Barang Keluar'!$A:$A,M28147,'Barang Keluar'!$C:$C,N28147))</f>
        <v>0</v>
      </c>
    </row>
    <row r="28148" spans="13:16">
      <c r="M28148" s="49">
        <f>IF($A$4+281&gt;$B$4,"",$A$4+281)</f>
        <v>46304</v>
      </c>
      <c r="N28148">
        <f>IF(M28148="","",'Master Barang'!A42)</f>
        <v>0</v>
      </c>
      <c r="O28148">
        <f>IF(N28148="","",'Master Barang'!B42)</f>
        <v>0</v>
      </c>
      <c r="P28148">
        <f>IF(OR(M28148="",N28148=""),"",SUMIFS('Barang Keluar'!$E:$E,'Barang Keluar'!$A:$A,M28148,'Barang Keluar'!$C:$C,N28148))</f>
        <v>0</v>
      </c>
    </row>
    <row r="28149" spans="13:16">
      <c r="M28149" s="49">
        <f>IF($A$4+281&gt;$B$4,"",$A$4+281)</f>
        <v>46304</v>
      </c>
      <c r="N28149">
        <f>IF(M28149="","",'Master Barang'!A43)</f>
        <v>0</v>
      </c>
      <c r="O28149">
        <f>IF(N28149="","",'Master Barang'!B43)</f>
        <v>0</v>
      </c>
      <c r="P28149">
        <f>IF(OR(M28149="",N28149=""),"",SUMIFS('Barang Keluar'!$E:$E,'Barang Keluar'!$A:$A,M28149,'Barang Keluar'!$C:$C,N28149))</f>
        <v>0</v>
      </c>
    </row>
    <row r="28150" spans="13:16">
      <c r="M28150" s="49">
        <f>IF($A$4+281&gt;$B$4,"",$A$4+281)</f>
        <v>46304</v>
      </c>
      <c r="N28150">
        <f>IF(M28150="","",'Master Barang'!A44)</f>
        <v>0</v>
      </c>
      <c r="O28150">
        <f>IF(N28150="","",'Master Barang'!B44)</f>
        <v>0</v>
      </c>
      <c r="P28150">
        <f>IF(OR(M28150="",N28150=""),"",SUMIFS('Barang Keluar'!$E:$E,'Barang Keluar'!$A:$A,M28150,'Barang Keluar'!$C:$C,N28150))</f>
        <v>0</v>
      </c>
    </row>
    <row r="28151" spans="13:16">
      <c r="M28151" s="49">
        <f>IF($A$4+281&gt;$B$4,"",$A$4+281)</f>
        <v>46304</v>
      </c>
      <c r="N28151">
        <f>IF(M28151="","",'Master Barang'!A45)</f>
        <v>0</v>
      </c>
      <c r="O28151">
        <f>IF(N28151="","",'Master Barang'!B45)</f>
        <v>0</v>
      </c>
      <c r="P28151">
        <f>IF(OR(M28151="",N28151=""),"",SUMIFS('Barang Keluar'!$E:$E,'Barang Keluar'!$A:$A,M28151,'Barang Keluar'!$C:$C,N28151))</f>
        <v>0</v>
      </c>
    </row>
    <row r="28152" spans="13:16">
      <c r="M28152" s="49">
        <f>IF($A$4+281&gt;$B$4,"",$A$4+281)</f>
        <v>46304</v>
      </c>
      <c r="N28152">
        <f>IF(M28152="","",'Master Barang'!A46)</f>
        <v>0</v>
      </c>
      <c r="O28152">
        <f>IF(N28152="","",'Master Barang'!B46)</f>
        <v>0</v>
      </c>
      <c r="P28152">
        <f>IF(OR(M28152="",N28152=""),"",SUMIFS('Barang Keluar'!$E:$E,'Barang Keluar'!$A:$A,M28152,'Barang Keluar'!$C:$C,N28152))</f>
        <v>0</v>
      </c>
    </row>
    <row r="28153" spans="13:16">
      <c r="M28153" s="49">
        <f>IF($A$4+281&gt;$B$4,"",$A$4+281)</f>
        <v>46304</v>
      </c>
      <c r="N28153">
        <f>IF(M28153="","",'Master Barang'!A47)</f>
        <v>0</v>
      </c>
      <c r="O28153">
        <f>IF(N28153="","",'Master Barang'!B47)</f>
        <v>0</v>
      </c>
      <c r="P28153">
        <f>IF(OR(M28153="",N28153=""),"",SUMIFS('Barang Keluar'!$E:$E,'Barang Keluar'!$A:$A,M28153,'Barang Keluar'!$C:$C,N28153))</f>
        <v>0</v>
      </c>
    </row>
    <row r="28154" spans="13:16">
      <c r="M28154" s="49">
        <f>IF($A$4+281&gt;$B$4,"",$A$4+281)</f>
        <v>46304</v>
      </c>
      <c r="N28154">
        <f>IF(M28154="","",'Master Barang'!A48)</f>
        <v>0</v>
      </c>
      <c r="O28154">
        <f>IF(N28154="","",'Master Barang'!B48)</f>
        <v>0</v>
      </c>
      <c r="P28154">
        <f>IF(OR(M28154="",N28154=""),"",SUMIFS('Barang Keluar'!$E:$E,'Barang Keluar'!$A:$A,M28154,'Barang Keluar'!$C:$C,N28154))</f>
        <v>0</v>
      </c>
    </row>
    <row r="28155" spans="13:16">
      <c r="M28155" s="49">
        <f>IF($A$4+281&gt;$B$4,"",$A$4+281)</f>
        <v>46304</v>
      </c>
      <c r="N28155">
        <f>IF(M28155="","",'Master Barang'!A49)</f>
        <v>0</v>
      </c>
      <c r="O28155">
        <f>IF(N28155="","",'Master Barang'!B49)</f>
        <v>0</v>
      </c>
      <c r="P28155">
        <f>IF(OR(M28155="",N28155=""),"",SUMIFS('Barang Keluar'!$E:$E,'Barang Keluar'!$A:$A,M28155,'Barang Keluar'!$C:$C,N28155))</f>
        <v>0</v>
      </c>
    </row>
    <row r="28156" spans="13:16">
      <c r="M28156" s="49">
        <f>IF($A$4+281&gt;$B$4,"",$A$4+281)</f>
        <v>46304</v>
      </c>
      <c r="N28156">
        <f>IF(M28156="","",'Master Barang'!A50)</f>
        <v>0</v>
      </c>
      <c r="O28156">
        <f>IF(N28156="","",'Master Barang'!B50)</f>
        <v>0</v>
      </c>
      <c r="P28156">
        <f>IF(OR(M28156="",N28156=""),"",SUMIFS('Barang Keluar'!$E:$E,'Barang Keluar'!$A:$A,M28156,'Barang Keluar'!$C:$C,N28156))</f>
        <v>0</v>
      </c>
    </row>
    <row r="28157" spans="13:16">
      <c r="M28157" s="49">
        <f>IF($A$4+281&gt;$B$4,"",$A$4+281)</f>
        <v>46304</v>
      </c>
      <c r="N28157">
        <f>IF(M28157="","",'Master Barang'!A51)</f>
        <v>0</v>
      </c>
      <c r="O28157">
        <f>IF(N28157="","",'Master Barang'!B51)</f>
        <v>0</v>
      </c>
      <c r="P28157">
        <f>IF(OR(M28157="",N28157=""),"",SUMIFS('Barang Keluar'!$E:$E,'Barang Keluar'!$A:$A,M28157,'Barang Keluar'!$C:$C,N28157))</f>
        <v>0</v>
      </c>
    </row>
    <row r="28158" spans="13:16">
      <c r="M28158" s="49">
        <f>IF($A$4+281&gt;$B$4,"",$A$4+281)</f>
        <v>46304</v>
      </c>
      <c r="N28158">
        <f>IF(M28158="","",'Master Barang'!A52)</f>
        <v>0</v>
      </c>
      <c r="O28158">
        <f>IF(N28158="","",'Master Barang'!B52)</f>
        <v>0</v>
      </c>
      <c r="P28158">
        <f>IF(OR(M28158="",N28158=""),"",SUMIFS('Barang Keluar'!$E:$E,'Barang Keluar'!$A:$A,M28158,'Barang Keluar'!$C:$C,N28158))</f>
        <v>0</v>
      </c>
    </row>
    <row r="28159" spans="13:16">
      <c r="M28159" s="49">
        <f>IF($A$4+281&gt;$B$4,"",$A$4+281)</f>
        <v>46304</v>
      </c>
      <c r="N28159">
        <f>IF(M28159="","",'Master Barang'!A53)</f>
        <v>0</v>
      </c>
      <c r="O28159">
        <f>IF(N28159="","",'Master Barang'!B53)</f>
        <v>0</v>
      </c>
      <c r="P28159">
        <f>IF(OR(M28159="",N28159=""),"",SUMIFS('Barang Keluar'!$E:$E,'Barang Keluar'!$A:$A,M28159,'Barang Keluar'!$C:$C,N28159))</f>
        <v>0</v>
      </c>
    </row>
    <row r="28160" spans="13:16">
      <c r="M28160" s="49">
        <f>IF($A$4+281&gt;$B$4,"",$A$4+281)</f>
        <v>46304</v>
      </c>
      <c r="N28160">
        <f>IF(M28160="","",'Master Barang'!A54)</f>
        <v>0</v>
      </c>
      <c r="O28160">
        <f>IF(N28160="","",'Master Barang'!B54)</f>
        <v>0</v>
      </c>
      <c r="P28160">
        <f>IF(OR(M28160="",N28160=""),"",SUMIFS('Barang Keluar'!$E:$E,'Barang Keluar'!$A:$A,M28160,'Barang Keluar'!$C:$C,N28160))</f>
        <v>0</v>
      </c>
    </row>
    <row r="28161" spans="13:16">
      <c r="M28161" s="49">
        <f>IF($A$4+281&gt;$B$4,"",$A$4+281)</f>
        <v>46304</v>
      </c>
      <c r="N28161">
        <f>IF(M28161="","",'Master Barang'!A55)</f>
        <v>0</v>
      </c>
      <c r="O28161">
        <f>IF(N28161="","",'Master Barang'!B55)</f>
        <v>0</v>
      </c>
      <c r="P28161">
        <f>IF(OR(M28161="",N28161=""),"",SUMIFS('Barang Keluar'!$E:$E,'Barang Keluar'!$A:$A,M28161,'Barang Keluar'!$C:$C,N28161))</f>
        <v>0</v>
      </c>
    </row>
    <row r="28162" spans="13:16">
      <c r="M28162" s="49">
        <f>IF($A$4+281&gt;$B$4,"",$A$4+281)</f>
        <v>46304</v>
      </c>
      <c r="N28162">
        <f>IF(M28162="","",'Master Barang'!A56)</f>
        <v>0</v>
      </c>
      <c r="O28162">
        <f>IF(N28162="","",'Master Barang'!B56)</f>
        <v>0</v>
      </c>
      <c r="P28162">
        <f>IF(OR(M28162="",N28162=""),"",SUMIFS('Barang Keluar'!$E:$E,'Barang Keluar'!$A:$A,M28162,'Barang Keluar'!$C:$C,N28162))</f>
        <v>0</v>
      </c>
    </row>
    <row r="28163" spans="13:16">
      <c r="M28163" s="49">
        <f>IF($A$4+281&gt;$B$4,"",$A$4+281)</f>
        <v>46304</v>
      </c>
      <c r="N28163">
        <f>IF(M28163="","",'Master Barang'!A57)</f>
        <v>0</v>
      </c>
      <c r="O28163">
        <f>IF(N28163="","",'Master Barang'!B57)</f>
        <v>0</v>
      </c>
      <c r="P28163">
        <f>IF(OR(M28163="",N28163=""),"",SUMIFS('Barang Keluar'!$E:$E,'Barang Keluar'!$A:$A,M28163,'Barang Keluar'!$C:$C,N28163))</f>
        <v>0</v>
      </c>
    </row>
    <row r="28164" spans="13:16">
      <c r="M28164" s="49">
        <f>IF($A$4+281&gt;$B$4,"",$A$4+281)</f>
        <v>46304</v>
      </c>
      <c r="N28164">
        <f>IF(M28164="","",'Master Barang'!A58)</f>
        <v>0</v>
      </c>
      <c r="O28164">
        <f>IF(N28164="","",'Master Barang'!B58)</f>
        <v>0</v>
      </c>
      <c r="P28164">
        <f>IF(OR(M28164="",N28164=""),"",SUMIFS('Barang Keluar'!$E:$E,'Barang Keluar'!$A:$A,M28164,'Barang Keluar'!$C:$C,N28164))</f>
        <v>0</v>
      </c>
    </row>
    <row r="28165" spans="13:16">
      <c r="M28165" s="49">
        <f>IF($A$4+281&gt;$B$4,"",$A$4+281)</f>
        <v>46304</v>
      </c>
      <c r="N28165">
        <f>IF(M28165="","",'Master Barang'!A59)</f>
        <v>0</v>
      </c>
      <c r="O28165">
        <f>IF(N28165="","",'Master Barang'!B59)</f>
        <v>0</v>
      </c>
      <c r="P28165">
        <f>IF(OR(M28165="",N28165=""),"",SUMIFS('Barang Keluar'!$E:$E,'Barang Keluar'!$A:$A,M28165,'Barang Keluar'!$C:$C,N28165))</f>
        <v>0</v>
      </c>
    </row>
    <row r="28166" spans="13:16">
      <c r="M28166" s="49">
        <f>IF($A$4+281&gt;$B$4,"",$A$4+281)</f>
        <v>46304</v>
      </c>
      <c r="N28166">
        <f>IF(M28166="","",'Master Barang'!A60)</f>
        <v>0</v>
      </c>
      <c r="O28166">
        <f>IF(N28166="","",'Master Barang'!B60)</f>
        <v>0</v>
      </c>
      <c r="P28166">
        <f>IF(OR(M28166="",N28166=""),"",SUMIFS('Barang Keluar'!$E:$E,'Barang Keluar'!$A:$A,M28166,'Barang Keluar'!$C:$C,N28166))</f>
        <v>0</v>
      </c>
    </row>
    <row r="28167" spans="13:16">
      <c r="M28167" s="49">
        <f>IF($A$4+281&gt;$B$4,"",$A$4+281)</f>
        <v>46304</v>
      </c>
      <c r="N28167">
        <f>IF(M28167="","",'Master Barang'!A61)</f>
        <v>0</v>
      </c>
      <c r="O28167">
        <f>IF(N28167="","",'Master Barang'!B61)</f>
        <v>0</v>
      </c>
      <c r="P28167">
        <f>IF(OR(M28167="",N28167=""),"",SUMIFS('Barang Keluar'!$E:$E,'Barang Keluar'!$A:$A,M28167,'Barang Keluar'!$C:$C,N28167))</f>
        <v>0</v>
      </c>
    </row>
    <row r="28168" spans="13:16">
      <c r="M28168" s="49">
        <f>IF($A$4+281&gt;$B$4,"",$A$4+281)</f>
        <v>46304</v>
      </c>
      <c r="N28168">
        <f>IF(M28168="","",'Master Barang'!A62)</f>
        <v>0</v>
      </c>
      <c r="O28168">
        <f>IF(N28168="","",'Master Barang'!B62)</f>
        <v>0</v>
      </c>
      <c r="P28168">
        <f>IF(OR(M28168="",N28168=""),"",SUMIFS('Barang Keluar'!$E:$E,'Barang Keluar'!$A:$A,M28168,'Barang Keluar'!$C:$C,N28168))</f>
        <v>0</v>
      </c>
    </row>
    <row r="28169" spans="13:16">
      <c r="M28169" s="49">
        <f>IF($A$4+281&gt;$B$4,"",$A$4+281)</f>
        <v>46304</v>
      </c>
      <c r="N28169">
        <f>IF(M28169="","",'Master Barang'!A63)</f>
        <v>0</v>
      </c>
      <c r="O28169">
        <f>IF(N28169="","",'Master Barang'!B63)</f>
        <v>0</v>
      </c>
      <c r="P28169">
        <f>IF(OR(M28169="",N28169=""),"",SUMIFS('Barang Keluar'!$E:$E,'Barang Keluar'!$A:$A,M28169,'Barang Keluar'!$C:$C,N28169))</f>
        <v>0</v>
      </c>
    </row>
    <row r="28170" spans="13:16">
      <c r="M28170" s="49">
        <f>IF($A$4+281&gt;$B$4,"",$A$4+281)</f>
        <v>46304</v>
      </c>
      <c r="N28170">
        <f>IF(M28170="","",'Master Barang'!A64)</f>
        <v>0</v>
      </c>
      <c r="O28170">
        <f>IF(N28170="","",'Master Barang'!B64)</f>
        <v>0</v>
      </c>
      <c r="P28170">
        <f>IF(OR(M28170="",N28170=""),"",SUMIFS('Barang Keluar'!$E:$E,'Barang Keluar'!$A:$A,M28170,'Barang Keluar'!$C:$C,N28170))</f>
        <v>0</v>
      </c>
    </row>
    <row r="28171" spans="13:16">
      <c r="M28171" s="49">
        <f>IF($A$4+281&gt;$B$4,"",$A$4+281)</f>
        <v>46304</v>
      </c>
      <c r="N28171">
        <f>IF(M28171="","",'Master Barang'!A65)</f>
        <v>0</v>
      </c>
      <c r="O28171">
        <f>IF(N28171="","",'Master Barang'!B65)</f>
        <v>0</v>
      </c>
      <c r="P28171">
        <f>IF(OR(M28171="",N28171=""),"",SUMIFS('Barang Keluar'!$E:$E,'Barang Keluar'!$A:$A,M28171,'Barang Keluar'!$C:$C,N28171))</f>
        <v>0</v>
      </c>
    </row>
    <row r="28172" spans="13:16">
      <c r="M28172" s="49">
        <f>IF($A$4+281&gt;$B$4,"",$A$4+281)</f>
        <v>46304</v>
      </c>
      <c r="N28172">
        <f>IF(M28172="","",'Master Barang'!A66)</f>
        <v>0</v>
      </c>
      <c r="O28172">
        <f>IF(N28172="","",'Master Barang'!B66)</f>
        <v>0</v>
      </c>
      <c r="P28172">
        <f>IF(OR(M28172="",N28172=""),"",SUMIFS('Barang Keluar'!$E:$E,'Barang Keluar'!$A:$A,M28172,'Barang Keluar'!$C:$C,N28172))</f>
        <v>0</v>
      </c>
    </row>
    <row r="28173" spans="13:16">
      <c r="M28173" s="49">
        <f>IF($A$4+281&gt;$B$4,"",$A$4+281)</f>
        <v>46304</v>
      </c>
      <c r="N28173">
        <f>IF(M28173="","",'Master Barang'!A67)</f>
        <v>0</v>
      </c>
      <c r="O28173">
        <f>IF(N28173="","",'Master Barang'!B67)</f>
        <v>0</v>
      </c>
      <c r="P28173">
        <f>IF(OR(M28173="",N28173=""),"",SUMIFS('Barang Keluar'!$E:$E,'Barang Keluar'!$A:$A,M28173,'Barang Keluar'!$C:$C,N28173))</f>
        <v>0</v>
      </c>
    </row>
    <row r="28174" spans="13:16">
      <c r="M28174" s="49">
        <f>IF($A$4+281&gt;$B$4,"",$A$4+281)</f>
        <v>46304</v>
      </c>
      <c r="N28174">
        <f>IF(M28174="","",'Master Barang'!A68)</f>
        <v>0</v>
      </c>
      <c r="O28174">
        <f>IF(N28174="","",'Master Barang'!B68)</f>
        <v>0</v>
      </c>
      <c r="P28174">
        <f>IF(OR(M28174="",N28174=""),"",SUMIFS('Barang Keluar'!$E:$E,'Barang Keluar'!$A:$A,M28174,'Barang Keluar'!$C:$C,N28174))</f>
        <v>0</v>
      </c>
    </row>
    <row r="28175" spans="13:16">
      <c r="M28175" s="49">
        <f>IF($A$4+281&gt;$B$4,"",$A$4+281)</f>
        <v>46304</v>
      </c>
      <c r="N28175">
        <f>IF(M28175="","",'Master Barang'!A69)</f>
        <v>0</v>
      </c>
      <c r="O28175">
        <f>IF(N28175="","",'Master Barang'!B69)</f>
        <v>0</v>
      </c>
      <c r="P28175">
        <f>IF(OR(M28175="",N28175=""),"",SUMIFS('Barang Keluar'!$E:$E,'Barang Keluar'!$A:$A,M28175,'Barang Keluar'!$C:$C,N28175))</f>
        <v>0</v>
      </c>
    </row>
    <row r="28176" spans="13:16">
      <c r="M28176" s="49">
        <f>IF($A$4+281&gt;$B$4,"",$A$4+281)</f>
        <v>46304</v>
      </c>
      <c r="N28176">
        <f>IF(M28176="","",'Master Barang'!A70)</f>
        <v>0</v>
      </c>
      <c r="O28176">
        <f>IF(N28176="","",'Master Barang'!B70)</f>
        <v>0</v>
      </c>
      <c r="P28176">
        <f>IF(OR(M28176="",N28176=""),"",SUMIFS('Barang Keluar'!$E:$E,'Barang Keluar'!$A:$A,M28176,'Barang Keluar'!$C:$C,N28176))</f>
        <v>0</v>
      </c>
    </row>
    <row r="28177" spans="13:16">
      <c r="M28177" s="49">
        <f>IF($A$4+281&gt;$B$4,"",$A$4+281)</f>
        <v>46304</v>
      </c>
      <c r="N28177">
        <f>IF(M28177="","",'Master Barang'!A71)</f>
        <v>0</v>
      </c>
      <c r="O28177">
        <f>IF(N28177="","",'Master Barang'!B71)</f>
        <v>0</v>
      </c>
      <c r="P28177">
        <f>IF(OR(M28177="",N28177=""),"",SUMIFS('Barang Keluar'!$E:$E,'Barang Keluar'!$A:$A,M28177,'Barang Keluar'!$C:$C,N28177))</f>
        <v>0</v>
      </c>
    </row>
    <row r="28178" spans="13:16">
      <c r="M28178" s="49">
        <f>IF($A$4+281&gt;$B$4,"",$A$4+281)</f>
        <v>46304</v>
      </c>
      <c r="N28178">
        <f>IF(M28178="","",'Master Barang'!A72)</f>
        <v>0</v>
      </c>
      <c r="O28178">
        <f>IF(N28178="","",'Master Barang'!B72)</f>
        <v>0</v>
      </c>
      <c r="P28178">
        <f>IF(OR(M28178="",N28178=""),"",SUMIFS('Barang Keluar'!$E:$E,'Barang Keluar'!$A:$A,M28178,'Barang Keluar'!$C:$C,N28178))</f>
        <v>0</v>
      </c>
    </row>
    <row r="28179" spans="13:16">
      <c r="M28179" s="49">
        <f>IF($A$4+281&gt;$B$4,"",$A$4+281)</f>
        <v>46304</v>
      </c>
      <c r="N28179">
        <f>IF(M28179="","",'Master Barang'!A73)</f>
        <v>0</v>
      </c>
      <c r="O28179">
        <f>IF(N28179="","",'Master Barang'!B73)</f>
        <v>0</v>
      </c>
      <c r="P28179">
        <f>IF(OR(M28179="",N28179=""),"",SUMIFS('Barang Keluar'!$E:$E,'Barang Keluar'!$A:$A,M28179,'Barang Keluar'!$C:$C,N28179))</f>
        <v>0</v>
      </c>
    </row>
    <row r="28180" spans="13:16">
      <c r="M28180" s="49">
        <f>IF($A$4+281&gt;$B$4,"",$A$4+281)</f>
        <v>46304</v>
      </c>
      <c r="N28180">
        <f>IF(M28180="","",'Master Barang'!A74)</f>
        <v>0</v>
      </c>
      <c r="O28180">
        <f>IF(N28180="","",'Master Barang'!B74)</f>
        <v>0</v>
      </c>
      <c r="P28180">
        <f>IF(OR(M28180="",N28180=""),"",SUMIFS('Barang Keluar'!$E:$E,'Barang Keluar'!$A:$A,M28180,'Barang Keluar'!$C:$C,N28180))</f>
        <v>0</v>
      </c>
    </row>
    <row r="28181" spans="13:16">
      <c r="M28181" s="49">
        <f>IF($A$4+281&gt;$B$4,"",$A$4+281)</f>
        <v>46304</v>
      </c>
      <c r="N28181">
        <f>IF(M28181="","",'Master Barang'!A75)</f>
        <v>0</v>
      </c>
      <c r="O28181">
        <f>IF(N28181="","",'Master Barang'!B75)</f>
        <v>0</v>
      </c>
      <c r="P28181">
        <f>IF(OR(M28181="",N28181=""),"",SUMIFS('Barang Keluar'!$E:$E,'Barang Keluar'!$A:$A,M28181,'Barang Keluar'!$C:$C,N28181))</f>
        <v>0</v>
      </c>
    </row>
    <row r="28182" spans="13:16">
      <c r="M28182" s="49">
        <f>IF($A$4+281&gt;$B$4,"",$A$4+281)</f>
        <v>46304</v>
      </c>
      <c r="N28182">
        <f>IF(M28182="","",'Master Barang'!A76)</f>
        <v>0</v>
      </c>
      <c r="O28182">
        <f>IF(N28182="","",'Master Barang'!B76)</f>
        <v>0</v>
      </c>
      <c r="P28182">
        <f>IF(OR(M28182="",N28182=""),"",SUMIFS('Barang Keluar'!$E:$E,'Barang Keluar'!$A:$A,M28182,'Barang Keluar'!$C:$C,N28182))</f>
        <v>0</v>
      </c>
    </row>
    <row r="28183" spans="13:16">
      <c r="M28183" s="49">
        <f>IF($A$4+281&gt;$B$4,"",$A$4+281)</f>
        <v>46304</v>
      </c>
      <c r="N28183">
        <f>IF(M28183="","",'Master Barang'!A77)</f>
        <v>0</v>
      </c>
      <c r="O28183">
        <f>IF(N28183="","",'Master Barang'!B77)</f>
        <v>0</v>
      </c>
      <c r="P28183">
        <f>IF(OR(M28183="",N28183=""),"",SUMIFS('Barang Keluar'!$E:$E,'Barang Keluar'!$A:$A,M28183,'Barang Keluar'!$C:$C,N28183))</f>
        <v>0</v>
      </c>
    </row>
    <row r="28184" spans="13:16">
      <c r="M28184" s="49">
        <f>IF($A$4+281&gt;$B$4,"",$A$4+281)</f>
        <v>46304</v>
      </c>
      <c r="N28184">
        <f>IF(M28184="","",'Master Barang'!A78)</f>
        <v>0</v>
      </c>
      <c r="O28184">
        <f>IF(N28184="","",'Master Barang'!B78)</f>
        <v>0</v>
      </c>
      <c r="P28184">
        <f>IF(OR(M28184="",N28184=""),"",SUMIFS('Barang Keluar'!$E:$E,'Barang Keluar'!$A:$A,M28184,'Barang Keluar'!$C:$C,N28184))</f>
        <v>0</v>
      </c>
    </row>
    <row r="28185" spans="13:16">
      <c r="M28185" s="49">
        <f>IF($A$4+281&gt;$B$4,"",$A$4+281)</f>
        <v>46304</v>
      </c>
      <c r="N28185">
        <f>IF(M28185="","",'Master Barang'!A79)</f>
        <v>0</v>
      </c>
      <c r="O28185">
        <f>IF(N28185="","",'Master Barang'!B79)</f>
        <v>0</v>
      </c>
      <c r="P28185">
        <f>IF(OR(M28185="",N28185=""),"",SUMIFS('Barang Keluar'!$E:$E,'Barang Keluar'!$A:$A,M28185,'Barang Keluar'!$C:$C,N28185))</f>
        <v>0</v>
      </c>
    </row>
    <row r="28186" spans="13:16">
      <c r="M28186" s="49">
        <f>IF($A$4+281&gt;$B$4,"",$A$4+281)</f>
        <v>46304</v>
      </c>
      <c r="N28186">
        <f>IF(M28186="","",'Master Barang'!A80)</f>
        <v>0</v>
      </c>
      <c r="O28186">
        <f>IF(N28186="","",'Master Barang'!B80)</f>
        <v>0</v>
      </c>
      <c r="P28186">
        <f>IF(OR(M28186="",N28186=""),"",SUMIFS('Barang Keluar'!$E:$E,'Barang Keluar'!$A:$A,M28186,'Barang Keluar'!$C:$C,N28186))</f>
        <v>0</v>
      </c>
    </row>
    <row r="28187" spans="13:16">
      <c r="M28187" s="49">
        <f>IF($A$4+281&gt;$B$4,"",$A$4+281)</f>
        <v>46304</v>
      </c>
      <c r="N28187">
        <f>IF(M28187="","",'Master Barang'!A81)</f>
        <v>0</v>
      </c>
      <c r="O28187">
        <f>IF(N28187="","",'Master Barang'!B81)</f>
        <v>0</v>
      </c>
      <c r="P28187">
        <f>IF(OR(M28187="",N28187=""),"",SUMIFS('Barang Keluar'!$E:$E,'Barang Keluar'!$A:$A,M28187,'Barang Keluar'!$C:$C,N28187))</f>
        <v>0</v>
      </c>
    </row>
    <row r="28188" spans="13:16">
      <c r="M28188" s="49">
        <f>IF($A$4+281&gt;$B$4,"",$A$4+281)</f>
        <v>46304</v>
      </c>
      <c r="N28188">
        <f>IF(M28188="","",'Master Barang'!A82)</f>
        <v>0</v>
      </c>
      <c r="O28188">
        <f>IF(N28188="","",'Master Barang'!B82)</f>
        <v>0</v>
      </c>
      <c r="P28188">
        <f>IF(OR(M28188="",N28188=""),"",SUMIFS('Barang Keluar'!$E:$E,'Barang Keluar'!$A:$A,M28188,'Barang Keluar'!$C:$C,N28188))</f>
        <v>0</v>
      </c>
    </row>
    <row r="28189" spans="13:16">
      <c r="M28189" s="49">
        <f>IF($A$4+281&gt;$B$4,"",$A$4+281)</f>
        <v>46304</v>
      </c>
      <c r="N28189">
        <f>IF(M28189="","",'Master Barang'!A83)</f>
        <v>0</v>
      </c>
      <c r="O28189">
        <f>IF(N28189="","",'Master Barang'!B83)</f>
        <v>0</v>
      </c>
      <c r="P28189">
        <f>IF(OR(M28189="",N28189=""),"",SUMIFS('Barang Keluar'!$E:$E,'Barang Keluar'!$A:$A,M28189,'Barang Keluar'!$C:$C,N28189))</f>
        <v>0</v>
      </c>
    </row>
    <row r="28190" spans="13:16">
      <c r="M28190" s="49">
        <f>IF($A$4+281&gt;$B$4,"",$A$4+281)</f>
        <v>46304</v>
      </c>
      <c r="N28190">
        <f>IF(M28190="","",'Master Barang'!A84)</f>
        <v>0</v>
      </c>
      <c r="O28190">
        <f>IF(N28190="","",'Master Barang'!B84)</f>
        <v>0</v>
      </c>
      <c r="P28190">
        <f>IF(OR(M28190="",N28190=""),"",SUMIFS('Barang Keluar'!$E:$E,'Barang Keluar'!$A:$A,M28190,'Barang Keluar'!$C:$C,N28190))</f>
        <v>0</v>
      </c>
    </row>
    <row r="28191" spans="13:16">
      <c r="M28191" s="49">
        <f>IF($A$4+281&gt;$B$4,"",$A$4+281)</f>
        <v>46304</v>
      </c>
      <c r="N28191">
        <f>IF(M28191="","",'Master Barang'!A85)</f>
        <v>0</v>
      </c>
      <c r="O28191">
        <f>IF(N28191="","",'Master Barang'!B85)</f>
        <v>0</v>
      </c>
      <c r="P28191">
        <f>IF(OR(M28191="",N28191=""),"",SUMIFS('Barang Keluar'!$E:$E,'Barang Keluar'!$A:$A,M28191,'Barang Keluar'!$C:$C,N28191))</f>
        <v>0</v>
      </c>
    </row>
    <row r="28192" spans="13:16">
      <c r="M28192" s="49">
        <f>IF($A$4+281&gt;$B$4,"",$A$4+281)</f>
        <v>46304</v>
      </c>
      <c r="N28192">
        <f>IF(M28192="","",'Master Barang'!A86)</f>
        <v>0</v>
      </c>
      <c r="O28192">
        <f>IF(N28192="","",'Master Barang'!B86)</f>
        <v>0</v>
      </c>
      <c r="P28192">
        <f>IF(OR(M28192="",N28192=""),"",SUMIFS('Barang Keluar'!$E:$E,'Barang Keluar'!$A:$A,M28192,'Barang Keluar'!$C:$C,N28192))</f>
        <v>0</v>
      </c>
    </row>
    <row r="28193" spans="13:16">
      <c r="M28193" s="49">
        <f>IF($A$4+281&gt;$B$4,"",$A$4+281)</f>
        <v>46304</v>
      </c>
      <c r="N28193">
        <f>IF(M28193="","",'Master Barang'!A87)</f>
        <v>0</v>
      </c>
      <c r="O28193">
        <f>IF(N28193="","",'Master Barang'!B87)</f>
        <v>0</v>
      </c>
      <c r="P28193">
        <f>IF(OR(M28193="",N28193=""),"",SUMIFS('Barang Keluar'!$E:$E,'Barang Keluar'!$A:$A,M28193,'Barang Keluar'!$C:$C,N28193))</f>
        <v>0</v>
      </c>
    </row>
    <row r="28194" spans="13:16">
      <c r="M28194" s="49">
        <f>IF($A$4+281&gt;$B$4,"",$A$4+281)</f>
        <v>46304</v>
      </c>
      <c r="N28194">
        <f>IF(M28194="","",'Master Barang'!A88)</f>
        <v>0</v>
      </c>
      <c r="O28194">
        <f>IF(N28194="","",'Master Barang'!B88)</f>
        <v>0</v>
      </c>
      <c r="P28194">
        <f>IF(OR(M28194="",N28194=""),"",SUMIFS('Barang Keluar'!$E:$E,'Barang Keluar'!$A:$A,M28194,'Barang Keluar'!$C:$C,N28194))</f>
        <v>0</v>
      </c>
    </row>
    <row r="28195" spans="13:16">
      <c r="M28195" s="49">
        <f>IF($A$4+281&gt;$B$4,"",$A$4+281)</f>
        <v>46304</v>
      </c>
      <c r="N28195">
        <f>IF(M28195="","",'Master Barang'!A89)</f>
        <v>0</v>
      </c>
      <c r="O28195">
        <f>IF(N28195="","",'Master Barang'!B89)</f>
        <v>0</v>
      </c>
      <c r="P28195">
        <f>IF(OR(M28195="",N28195=""),"",SUMIFS('Barang Keluar'!$E:$E,'Barang Keluar'!$A:$A,M28195,'Barang Keluar'!$C:$C,N28195))</f>
        <v>0</v>
      </c>
    </row>
    <row r="28196" spans="13:16">
      <c r="M28196" s="49">
        <f>IF($A$4+281&gt;$B$4,"",$A$4+281)</f>
        <v>46304</v>
      </c>
      <c r="N28196">
        <f>IF(M28196="","",'Master Barang'!A90)</f>
        <v>0</v>
      </c>
      <c r="O28196">
        <f>IF(N28196="","",'Master Barang'!B90)</f>
        <v>0</v>
      </c>
      <c r="P28196">
        <f>IF(OR(M28196="",N28196=""),"",SUMIFS('Barang Keluar'!$E:$E,'Barang Keluar'!$A:$A,M28196,'Barang Keluar'!$C:$C,N28196))</f>
        <v>0</v>
      </c>
    </row>
    <row r="28197" spans="13:16">
      <c r="M28197" s="49">
        <f>IF($A$4+281&gt;$B$4,"",$A$4+281)</f>
        <v>46304</v>
      </c>
      <c r="N28197">
        <f>IF(M28197="","",'Master Barang'!A91)</f>
        <v>0</v>
      </c>
      <c r="O28197">
        <f>IF(N28197="","",'Master Barang'!B91)</f>
        <v>0</v>
      </c>
      <c r="P28197">
        <f>IF(OR(M28197="",N28197=""),"",SUMIFS('Barang Keluar'!$E:$E,'Barang Keluar'!$A:$A,M28197,'Barang Keluar'!$C:$C,N28197))</f>
        <v>0</v>
      </c>
    </row>
    <row r="28198" spans="13:16">
      <c r="M28198" s="49">
        <f>IF($A$4+281&gt;$B$4,"",$A$4+281)</f>
        <v>46304</v>
      </c>
      <c r="N28198">
        <f>IF(M28198="","",'Master Barang'!A92)</f>
        <v>0</v>
      </c>
      <c r="O28198">
        <f>IF(N28198="","",'Master Barang'!B92)</f>
        <v>0</v>
      </c>
      <c r="P28198">
        <f>IF(OR(M28198="",N28198=""),"",SUMIFS('Barang Keluar'!$E:$E,'Barang Keluar'!$A:$A,M28198,'Barang Keluar'!$C:$C,N28198))</f>
        <v>0</v>
      </c>
    </row>
    <row r="28199" spans="13:16">
      <c r="M28199" s="49">
        <f>IF($A$4+281&gt;$B$4,"",$A$4+281)</f>
        <v>46304</v>
      </c>
      <c r="N28199">
        <f>IF(M28199="","",'Master Barang'!A93)</f>
        <v>0</v>
      </c>
      <c r="O28199">
        <f>IF(N28199="","",'Master Barang'!B93)</f>
        <v>0</v>
      </c>
      <c r="P28199">
        <f>IF(OR(M28199="",N28199=""),"",SUMIFS('Barang Keluar'!$E:$E,'Barang Keluar'!$A:$A,M28199,'Barang Keluar'!$C:$C,N28199))</f>
        <v>0</v>
      </c>
    </row>
    <row r="28200" spans="13:16">
      <c r="M28200" s="49">
        <f>IF($A$4+281&gt;$B$4,"",$A$4+281)</f>
        <v>46304</v>
      </c>
      <c r="N28200">
        <f>IF(M28200="","",'Master Barang'!A94)</f>
        <v>0</v>
      </c>
      <c r="O28200">
        <f>IF(N28200="","",'Master Barang'!B94)</f>
        <v>0</v>
      </c>
      <c r="P28200">
        <f>IF(OR(M28200="",N28200=""),"",SUMIFS('Barang Keluar'!$E:$E,'Barang Keluar'!$A:$A,M28200,'Barang Keluar'!$C:$C,N28200))</f>
        <v>0</v>
      </c>
    </row>
    <row r="28201" spans="13:16">
      <c r="M28201" s="49">
        <f>IF($A$4+281&gt;$B$4,"",$A$4+281)</f>
        <v>46304</v>
      </c>
      <c r="N28201">
        <f>IF(M28201="","",'Master Barang'!A95)</f>
        <v>0</v>
      </c>
      <c r="O28201">
        <f>IF(N28201="","",'Master Barang'!B95)</f>
        <v>0</v>
      </c>
      <c r="P28201">
        <f>IF(OR(M28201="",N28201=""),"",SUMIFS('Barang Keluar'!$E:$E,'Barang Keluar'!$A:$A,M28201,'Barang Keluar'!$C:$C,N28201))</f>
        <v>0</v>
      </c>
    </row>
    <row r="28202" spans="13:16">
      <c r="M28202" s="49">
        <f>IF($A$4+281&gt;$B$4,"",$A$4+281)</f>
        <v>46304</v>
      </c>
      <c r="N28202">
        <f>IF(M28202="","",'Master Barang'!A96)</f>
        <v>0</v>
      </c>
      <c r="O28202">
        <f>IF(N28202="","",'Master Barang'!B96)</f>
        <v>0</v>
      </c>
      <c r="P28202">
        <f>IF(OR(M28202="",N28202=""),"",SUMIFS('Barang Keluar'!$E:$E,'Barang Keluar'!$A:$A,M28202,'Barang Keluar'!$C:$C,N28202))</f>
        <v>0</v>
      </c>
    </row>
    <row r="28203" spans="13:16">
      <c r="M28203" s="49">
        <f>IF($A$4+281&gt;$B$4,"",$A$4+281)</f>
        <v>46304</v>
      </c>
      <c r="N28203">
        <f>IF(M28203="","",'Master Barang'!A97)</f>
        <v>0</v>
      </c>
      <c r="O28203">
        <f>IF(N28203="","",'Master Barang'!B97)</f>
        <v>0</v>
      </c>
      <c r="P28203">
        <f>IF(OR(M28203="",N28203=""),"",SUMIFS('Barang Keluar'!$E:$E,'Barang Keluar'!$A:$A,M28203,'Barang Keluar'!$C:$C,N28203))</f>
        <v>0</v>
      </c>
    </row>
    <row r="28204" spans="13:16">
      <c r="M28204" s="49">
        <f>IF($A$4+281&gt;$B$4,"",$A$4+281)</f>
        <v>46304</v>
      </c>
      <c r="N28204">
        <f>IF(M28204="","",'Master Barang'!A98)</f>
        <v>0</v>
      </c>
      <c r="O28204">
        <f>IF(N28204="","",'Master Barang'!B98)</f>
        <v>0</v>
      </c>
      <c r="P28204">
        <f>IF(OR(M28204="",N28204=""),"",SUMIFS('Barang Keluar'!$E:$E,'Barang Keluar'!$A:$A,M28204,'Barang Keluar'!$C:$C,N28204))</f>
        <v>0</v>
      </c>
    </row>
    <row r="28205" spans="13:16">
      <c r="M28205" s="49">
        <f>IF($A$4+281&gt;$B$4,"",$A$4+281)</f>
        <v>46304</v>
      </c>
      <c r="N28205">
        <f>IF(M28205="","",'Master Barang'!A99)</f>
        <v>0</v>
      </c>
      <c r="O28205">
        <f>IF(N28205="","",'Master Barang'!B99)</f>
        <v>0</v>
      </c>
      <c r="P28205">
        <f>IF(OR(M28205="",N28205=""),"",SUMIFS('Barang Keluar'!$E:$E,'Barang Keluar'!$A:$A,M28205,'Barang Keluar'!$C:$C,N28205))</f>
        <v>0</v>
      </c>
    </row>
    <row r="28206" spans="13:16">
      <c r="M28206" s="49">
        <f>IF($A$4+281&gt;$B$4,"",$A$4+281)</f>
        <v>46304</v>
      </c>
      <c r="N28206">
        <f>IF(M28206="","",'Master Barang'!A100)</f>
        <v>0</v>
      </c>
      <c r="O28206">
        <f>IF(N28206="","",'Master Barang'!B100)</f>
        <v>0</v>
      </c>
      <c r="P28206">
        <f>IF(OR(M28206="",N28206=""),"",SUMIFS('Barang Keluar'!$E:$E,'Barang Keluar'!$A:$A,M28206,'Barang Keluar'!$C:$C,N28206))</f>
        <v>0</v>
      </c>
    </row>
    <row r="28207" spans="13:16">
      <c r="M28207" s="49">
        <f>IF($A$4+281&gt;$B$4,"",$A$4+281)</f>
        <v>46304</v>
      </c>
      <c r="N28207">
        <f>IF(M28207="","",'Master Barang'!A101)</f>
        <v>0</v>
      </c>
      <c r="O28207">
        <f>IF(N28207="","",'Master Barang'!B101)</f>
        <v>0</v>
      </c>
      <c r="P28207">
        <f>IF(OR(M28207="",N28207=""),"",SUMIFS('Barang Keluar'!$E:$E,'Barang Keluar'!$A:$A,M28207,'Barang Keluar'!$C:$C,N28207))</f>
        <v>0</v>
      </c>
    </row>
    <row r="28208" spans="13:16">
      <c r="M28208" s="49">
        <f>IF($A$4+282&gt;$B$4,"",$A$4+282)</f>
        <v>46305</v>
      </c>
      <c r="N28208" t="str">
        <f>IF(M28208="","",'Master Barang'!A2)</f>
        <v>PRL-001</v>
      </c>
      <c r="O28208" t="str">
        <f>IF(N28208="","",'Master Barang'!B2)</f>
        <v>natura desinfectant food grade 5l</v>
      </c>
      <c r="P28208">
        <f>IF(OR(M28208="",N28208=""),"",SUMIFS('Barang Keluar'!$E:$E,'Barang Keluar'!$A:$A,M28208,'Barang Keluar'!$C:$C,N28208))</f>
        <v>0</v>
      </c>
    </row>
    <row r="28209" spans="13:16">
      <c r="M28209" s="49">
        <f>IF($A$4+282&gt;$B$4,"",$A$4+282)</f>
        <v>46305</v>
      </c>
      <c r="N28209" t="str">
        <f>IF(M28209="","",'Master Barang'!A3)</f>
        <v>PRL-002</v>
      </c>
      <c r="O28209" t="str">
        <f>IF(N28209="","",'Master Barang'!B3)</f>
        <v>sunlight cairan pencuci piring 5l</v>
      </c>
      <c r="P28209">
        <f>IF(OR(M28209="",N28209=""),"",SUMIFS('Barang Keluar'!$E:$E,'Barang Keluar'!$A:$A,M28209,'Barang Keluar'!$C:$C,N28209))</f>
        <v>0</v>
      </c>
    </row>
    <row r="28210" spans="13:16">
      <c r="M28210" s="49">
        <f>IF($A$4+282&gt;$B$4,"",$A$4+282)</f>
        <v>46305</v>
      </c>
      <c r="N28210" t="str">
        <f>IF(M28210="","",'Master Barang'!A4)</f>
        <v>PRL-003</v>
      </c>
      <c r="O28210" t="str">
        <f>IF(N28210="","",'Master Barang'!B4)</f>
        <v>oixs cleaner 1l</v>
      </c>
      <c r="P28210">
        <f>IF(OR(M28210="",N28210=""),"",SUMIFS('Barang Keluar'!$E:$E,'Barang Keluar'!$A:$A,M28210,'Barang Keluar'!$C:$C,N28210))</f>
        <v>0</v>
      </c>
    </row>
    <row r="28211" spans="13:16">
      <c r="M28211" s="49">
        <f>IF($A$4+282&gt;$B$4,"",$A$4+282)</f>
        <v>46305</v>
      </c>
      <c r="N28211" t="str">
        <f>IF(M28211="","",'Master Barang'!A5)</f>
        <v>PRL-004</v>
      </c>
      <c r="O28211" t="str">
        <f>IF(N28211="","",'Master Barang'!B5)</f>
        <v>be clean tissue serbaguna</v>
      </c>
      <c r="P28211">
        <f>IF(OR(M28211="",N28211=""),"",SUMIFS('Barang Keluar'!$E:$E,'Barang Keluar'!$A:$A,M28211,'Barang Keluar'!$C:$C,N28211))</f>
        <v>0</v>
      </c>
    </row>
    <row r="28212" spans="13:16">
      <c r="M28212" s="49">
        <f>IF($A$4+282&gt;$B$4,"",$A$4+282)</f>
        <v>46305</v>
      </c>
      <c r="N28212" t="str">
        <f>IF(M28212="","",'Master Barang'!A6)</f>
        <v>PRL-005</v>
      </c>
      <c r="O28212" t="str">
        <f>IF(N28212="","",'Master Barang'!B6)</f>
        <v>spons cuci hijau</v>
      </c>
      <c r="P28212">
        <f>IF(OR(M28212="",N28212=""),"",SUMIFS('Barang Keluar'!$E:$E,'Barang Keluar'!$A:$A,M28212,'Barang Keluar'!$C:$C,N28212))</f>
        <v>0</v>
      </c>
    </row>
    <row r="28213" spans="13:16">
      <c r="M28213" s="49">
        <f>IF($A$4+282&gt;$B$4,"",$A$4+282)</f>
        <v>46305</v>
      </c>
      <c r="N28213" t="str">
        <f>IF(M28213="","",'Master Barang'!A7)</f>
        <v>PRL-006</v>
      </c>
      <c r="O28213" t="str">
        <f>IF(N28213="","",'Master Barang'!B7)</f>
        <v>sabut cuci stainless</v>
      </c>
      <c r="P28213">
        <f>IF(OR(M28213="",N28213=""),"",SUMIFS('Barang Keluar'!$E:$E,'Barang Keluar'!$A:$A,M28213,'Barang Keluar'!$C:$C,N28213))</f>
        <v>0</v>
      </c>
    </row>
    <row r="28214" spans="13:16">
      <c r="M28214" s="49">
        <f>IF($A$4+282&gt;$B$4,"",$A$4+282)</f>
        <v>46305</v>
      </c>
      <c r="N28214" t="str">
        <f>IF(M28214="","",'Master Barang'!A8)</f>
        <v>PRL-007</v>
      </c>
      <c r="O28214" t="str">
        <f>IF(N28214="","",'Master Barang'!B8)</f>
        <v>plastik kresek besar merah 50pc</v>
      </c>
      <c r="P28214">
        <f>IF(OR(M28214="",N28214=""),"",SUMIFS('Barang Keluar'!$E:$E,'Barang Keluar'!$A:$A,M28214,'Barang Keluar'!$C:$C,N28214))</f>
        <v>0</v>
      </c>
    </row>
    <row r="28215" spans="13:16">
      <c r="M28215" s="49">
        <f>IF($A$4+282&gt;$B$4,"",$A$4+282)</f>
        <v>46305</v>
      </c>
      <c r="N28215" t="str">
        <f>IF(M28215="","",'Master Barang'!A9)</f>
        <v>PRL-008</v>
      </c>
      <c r="O28215" t="str">
        <f>IF(N28215="","",'Master Barang'!B9)</f>
        <v>lap besar</v>
      </c>
      <c r="P28215">
        <f>IF(OR(M28215="",N28215=""),"",SUMIFS('Barang Keluar'!$E:$E,'Barang Keluar'!$A:$A,M28215,'Barang Keluar'!$C:$C,N28215))</f>
        <v>0</v>
      </c>
    </row>
    <row r="28216" spans="13:16">
      <c r="M28216" s="49">
        <f>IF($A$4+282&gt;$B$4,"",$A$4+282)</f>
        <v>46305</v>
      </c>
      <c r="N28216" t="str">
        <f>IF(M28216="","",'Master Barang'!A10)</f>
        <v>PRL-009</v>
      </c>
      <c r="O28216" t="str">
        <f>IF(N28216="","",'Master Barang'!B10)</f>
        <v>lap microfiber</v>
      </c>
      <c r="P28216">
        <f>IF(OR(M28216="",N28216=""),"",SUMIFS('Barang Keluar'!$E:$E,'Barang Keluar'!$A:$A,M28216,'Barang Keluar'!$C:$C,N28216))</f>
        <v>0</v>
      </c>
    </row>
    <row r="28217" spans="13:16">
      <c r="M28217" s="49">
        <f>IF($A$4+282&gt;$B$4,"",$A$4+282)</f>
        <v>46305</v>
      </c>
      <c r="N28217" t="str">
        <f>IF(M28217="","",'Master Barang'!A11)</f>
        <v>PRL-010</v>
      </c>
      <c r="O28217" t="str">
        <f>IF(N28217="","",'Master Barang'!B11)</f>
        <v>lap kecil</v>
      </c>
      <c r="P28217">
        <f>IF(OR(M28217="",N28217=""),"",SUMIFS('Barang Keluar'!$E:$E,'Barang Keluar'!$A:$A,M28217,'Barang Keluar'!$C:$C,N28217))</f>
        <v>0</v>
      </c>
    </row>
    <row r="28218" spans="13:16">
      <c r="M28218" s="49">
        <f>IF($A$4+282&gt;$B$4,"",$A$4+282)</f>
        <v>46305</v>
      </c>
      <c r="N28218" t="str">
        <f>IF(M28218="","",'Master Barang'!A12)</f>
        <v>PRL-011</v>
      </c>
      <c r="O28218" t="str">
        <f>IF(N28218="","",'Master Barang'!B12)</f>
        <v>kanebo kecil</v>
      </c>
      <c r="P28218">
        <f>IF(OR(M28218="",N28218=""),"",SUMIFS('Barang Keluar'!$E:$E,'Barang Keluar'!$A:$A,M28218,'Barang Keluar'!$C:$C,N28218))</f>
        <v>0</v>
      </c>
    </row>
    <row r="28219" spans="13:16">
      <c r="M28219" s="49">
        <f>IF($A$4+282&gt;$B$4,"",$A$4+282)</f>
        <v>46305</v>
      </c>
      <c r="N28219" t="str">
        <f>IF(M28219="","",'Master Barang'!A13)</f>
        <v>PRL-012</v>
      </c>
      <c r="O28219" t="str">
        <f>IF(N28219="","",'Master Barang'!B13)</f>
        <v>plastik 1/4kg joyoboyo 100 lembar</v>
      </c>
      <c r="P28219">
        <f>IF(OR(M28219="",N28219=""),"",SUMIFS('Barang Keluar'!$E:$E,'Barang Keluar'!$A:$A,M28219,'Barang Keluar'!$C:$C,N28219))</f>
        <v>0</v>
      </c>
    </row>
    <row r="28220" spans="13:16">
      <c r="M28220" s="49">
        <f>IF($A$4+282&gt;$B$4,"",$A$4+282)</f>
        <v>46305</v>
      </c>
      <c r="N28220" t="str">
        <f>IF(M28220="","",'Master Barang'!A14)</f>
        <v>PRL-013</v>
      </c>
      <c r="O28220" t="str">
        <f>IF(N28220="","",'Master Barang'!B14)</f>
        <v>sarung tangan plastik kaka 100 pcs</v>
      </c>
      <c r="P28220">
        <f>IF(OR(M28220="",N28220=""),"",SUMIFS('Barang Keluar'!$E:$E,'Barang Keluar'!$A:$A,M28220,'Barang Keluar'!$C:$C,N28220))</f>
        <v>0</v>
      </c>
    </row>
    <row r="28221" spans="13:16">
      <c r="M28221" s="49">
        <f>IF($A$4+282&gt;$B$4,"",$A$4+282)</f>
        <v>46305</v>
      </c>
      <c r="N28221" t="str">
        <f>IF(M28221="","",'Master Barang'!A15)</f>
        <v>PRL-014</v>
      </c>
      <c r="O28221" t="str">
        <f>IF(N28221="","",'Master Barang'!B15)</f>
        <v>optima trashbag 80x100</v>
      </c>
      <c r="P28221">
        <f>IF(OR(M28221="",N28221=""),"",SUMIFS('Barang Keluar'!$E:$E,'Barang Keluar'!$A:$A,M28221,'Barang Keluar'!$C:$C,N28221))</f>
        <v>0</v>
      </c>
    </row>
    <row r="28222" spans="13:16">
      <c r="M28222" s="49">
        <f>IF($A$4+282&gt;$B$4,"",$A$4+282)</f>
        <v>46305</v>
      </c>
      <c r="N28222" t="str">
        <f>IF(M28222="","",'Master Barang'!A16)</f>
        <v>PRL-015</v>
      </c>
      <c r="O28222" t="str">
        <f>IF(N28222="","",'Master Barang'!B16)</f>
        <v>optima trashbag 60x100</v>
      </c>
      <c r="P28222">
        <f>IF(OR(M28222="",N28222=""),"",SUMIFS('Barang Keluar'!$E:$E,'Barang Keluar'!$A:$A,M28222,'Barang Keluar'!$C:$C,N28222))</f>
        <v>0</v>
      </c>
    </row>
    <row r="28223" spans="13:16">
      <c r="M28223" s="49">
        <f>IF($A$4+282&gt;$B$4,"",$A$4+282)</f>
        <v>46305</v>
      </c>
      <c r="N28223" t="str">
        <f>IF(M28223="","",'Master Barang'!A17)</f>
        <v>PRL-016</v>
      </c>
      <c r="O28223" t="str">
        <f>IF(N28223="","",'Master Barang'!B17)</f>
        <v>rajawali trashbag 30x40</v>
      </c>
      <c r="P28223">
        <f>IF(OR(M28223="",N28223=""),"",SUMIFS('Barang Keluar'!$E:$E,'Barang Keluar'!$A:$A,M28223,'Barang Keluar'!$C:$C,N28223))</f>
        <v>0</v>
      </c>
    </row>
    <row r="28224" spans="13:16">
      <c r="M28224" s="49">
        <f>IF($A$4+282&gt;$B$4,"",$A$4+282)</f>
        <v>46305</v>
      </c>
      <c r="N28224" t="str">
        <f>IF(M28224="","",'Master Barang'!A18)</f>
        <v>PRL-017</v>
      </c>
      <c r="O28224" t="str">
        <f>IF(N28224="","",'Master Barang'!B18)</f>
        <v>onemed masker biru 3 play 50 pcs</v>
      </c>
      <c r="P28224">
        <f>IF(OR(M28224="",N28224=""),"",SUMIFS('Barang Keluar'!$E:$E,'Barang Keluar'!$A:$A,M28224,'Barang Keluar'!$C:$C,N28224))</f>
        <v>0</v>
      </c>
    </row>
    <row r="28225" spans="13:16">
      <c r="M28225" s="49">
        <f>IF($A$4+282&gt;$B$4,"",$A$4+282)</f>
        <v>46305</v>
      </c>
      <c r="N28225" t="str">
        <f>IF(M28225="","",'Master Barang'!A19)</f>
        <v>PRL-018</v>
      </c>
      <c r="O28225" t="str">
        <f>IF(N28225="","",'Master Barang'!B19)</f>
        <v>onemed masker biru 3 play hijab 50 pcs</v>
      </c>
      <c r="P28225">
        <f>IF(OR(M28225="",N28225=""),"",SUMIFS('Barang Keluar'!$E:$E,'Barang Keluar'!$A:$A,M28225,'Barang Keluar'!$C:$C,N28225))</f>
        <v>0</v>
      </c>
    </row>
    <row r="28226" spans="13:16">
      <c r="M28226" s="49">
        <f>IF($A$4+282&gt;$B$4,"",$A$4+282)</f>
        <v>46305</v>
      </c>
      <c r="N28226" t="str">
        <f>IF(M28226="","",'Master Barang'!A20)</f>
        <v>PRL-019</v>
      </c>
      <c r="O28226" t="str">
        <f>IF(N28226="","",'Master Barang'!B20)</f>
        <v>neo health masker biru 3 play 50 pcs</v>
      </c>
      <c r="P28226">
        <f>IF(OR(M28226="",N28226=""),"",SUMIFS('Barang Keluar'!$E:$E,'Barang Keluar'!$A:$A,M28226,'Barang Keluar'!$C:$C,N28226))</f>
        <v>0</v>
      </c>
    </row>
    <row r="28227" spans="13:16">
      <c r="M28227" s="49">
        <f>IF($A$4+282&gt;$B$4,"",$A$4+282)</f>
        <v>46305</v>
      </c>
      <c r="N28227" t="str">
        <f>IF(M28227="","",'Master Barang'!A21)</f>
        <v>PRL-020</v>
      </c>
      <c r="O28227" t="str">
        <f>IF(N28227="","",'Master Barang'!B21)</f>
        <v>baymed masker hijau 3 play hijau 50 pcs</v>
      </c>
      <c r="P28227">
        <f>IF(OR(M28227="",N28227=""),"",SUMIFS('Barang Keluar'!$E:$E,'Barang Keluar'!$A:$A,M28227,'Barang Keluar'!$C:$C,N28227))</f>
        <v>0</v>
      </c>
    </row>
    <row r="28228" spans="13:16">
      <c r="M28228" s="49">
        <f>IF($A$4+282&gt;$B$4,"",$A$4+282)</f>
        <v>46305</v>
      </c>
      <c r="N28228" t="str">
        <f>IF(M28228="","",'Master Barang'!A22)</f>
        <v>PRL-021</v>
      </c>
      <c r="O28228" t="str">
        <f>IF(N28228="","",'Master Barang'!B22)</f>
        <v>altamed nurse cap penutup kepala 100 pcs</v>
      </c>
      <c r="P28228">
        <f>IF(OR(M28228="",N28228=""),"",SUMIFS('Barang Keluar'!$E:$E,'Barang Keluar'!$A:$A,M28228,'Barang Keluar'!$C:$C,N28228))</f>
        <v>0</v>
      </c>
    </row>
    <row r="28229" spans="13:16">
      <c r="M28229" s="49">
        <f>IF($A$4+282&gt;$B$4,"",$A$4+282)</f>
        <v>46305</v>
      </c>
      <c r="N28229" t="str">
        <f>IF(M28229="","",'Master Barang'!A23)</f>
        <v>PRL-022</v>
      </c>
      <c r="O28229" t="str">
        <f>IF(N28229="","",'Master Barang'!B23)</f>
        <v>sabun cuci tangan</v>
      </c>
      <c r="P28229">
        <f>IF(OR(M28229="",N28229=""),"",SUMIFS('Barang Keluar'!$E:$E,'Barang Keluar'!$A:$A,M28229,'Barang Keluar'!$C:$C,N28229))</f>
        <v>0</v>
      </c>
    </row>
    <row r="28230" spans="13:16">
      <c r="M28230" s="49">
        <f>IF($A$4+282&gt;$B$4,"",$A$4+282)</f>
        <v>46305</v>
      </c>
      <c r="N28230" t="str">
        <f>IF(M28230="","",'Master Barang'!A24)</f>
        <v>PRL-023</v>
      </c>
      <c r="O28230" t="str">
        <f>IF(N28230="","",'Master Barang'!B24)</f>
        <v>gayung kecil</v>
      </c>
      <c r="P28230">
        <f>IF(OR(M28230="",N28230=""),"",SUMIFS('Barang Keluar'!$E:$E,'Barang Keluar'!$A:$A,M28230,'Barang Keluar'!$C:$C,N28230))</f>
        <v>0</v>
      </c>
    </row>
    <row r="28231" spans="13:16">
      <c r="M28231" s="49">
        <f>IF($A$4+282&gt;$B$4,"",$A$4+282)</f>
        <v>46305</v>
      </c>
      <c r="N28231" t="str">
        <f>IF(M28231="","",'Master Barang'!A25)</f>
        <v>PRL-024</v>
      </c>
      <c r="O28231" t="str">
        <f>IF(N28231="","",'Master Barang'!B25)</f>
        <v>cikrak kecil</v>
      </c>
      <c r="P28231">
        <f>IF(OR(M28231="",N28231=""),"",SUMIFS('Barang Keluar'!$E:$E,'Barang Keluar'!$A:$A,M28231,'Barang Keluar'!$C:$C,N28231))</f>
        <v>0</v>
      </c>
    </row>
    <row r="28232" spans="13:16">
      <c r="M28232" s="49">
        <f>IF($A$4+282&gt;$B$4,"",$A$4+282)</f>
        <v>46305</v>
      </c>
      <c r="N28232" t="str">
        <f>IF(M28232="","",'Master Barang'!A26)</f>
        <v>PRL-025</v>
      </c>
      <c r="O28232" t="str">
        <f>IF(N28232="","",'Master Barang'!B26)</f>
        <v>petromax plastik kecil 12x24 100 lembar</v>
      </c>
      <c r="P28232">
        <f>IF(OR(M28232="",N28232=""),"",SUMIFS('Barang Keluar'!$E:$E,'Barang Keluar'!$A:$A,M28232,'Barang Keluar'!$C:$C,N28232))</f>
        <v>0</v>
      </c>
    </row>
    <row r="28233" spans="13:16">
      <c r="M28233" s="49">
        <f>IF($A$4+282&gt;$B$4,"",$A$4+282)</f>
        <v>46305</v>
      </c>
      <c r="N28233" t="str">
        <f>IF(M28233="","",'Master Barang'!A27)</f>
        <v>PRL-026</v>
      </c>
      <c r="O28233" t="str">
        <f>IF(N28233="","",'Master Barang'!B27)</f>
        <v>lancar kresek kecil bening </v>
      </c>
      <c r="P28233">
        <f>IF(OR(M28233="",N28233=""),"",SUMIFS('Barang Keluar'!$E:$E,'Barang Keluar'!$A:$A,M28233,'Barang Keluar'!$C:$C,N28233))</f>
        <v>0</v>
      </c>
    </row>
    <row r="28234" spans="13:16">
      <c r="M28234" s="49">
        <f>IF($A$4+282&gt;$B$4,"",$A$4+282)</f>
        <v>46305</v>
      </c>
      <c r="N28234" t="str">
        <f>IF(M28234="","",'Master Barang'!A28)</f>
        <v>PRL-027</v>
      </c>
      <c r="O28234" t="str">
        <f>IF(N28234="","",'Master Barang'!B28)</f>
        <v>kresek klin warna warni kecil</v>
      </c>
      <c r="P28234">
        <f>IF(OR(M28234="",N28234=""),"",SUMIFS('Barang Keluar'!$E:$E,'Barang Keluar'!$A:$A,M28234,'Barang Keluar'!$C:$C,N28234))</f>
        <v>0</v>
      </c>
    </row>
    <row r="28235" spans="13:16">
      <c r="M28235" s="49">
        <f>IF($A$4+282&gt;$B$4,"",$A$4+282)</f>
        <v>46305</v>
      </c>
      <c r="N28235" t="str">
        <f>IF(M28235="","",'Master Barang'!A29)</f>
        <v>PRL-028</v>
      </c>
      <c r="O28235" t="str">
        <f>IF(N28235="","",'Master Barang'!B29)</f>
        <v>ctik plastik 7x10 100 pcs</v>
      </c>
      <c r="P28235">
        <f>IF(OR(M28235="",N28235=""),"",SUMIFS('Barang Keluar'!$E:$E,'Barang Keluar'!$A:$A,M28235,'Barang Keluar'!$C:$C,N28235))</f>
        <v>0</v>
      </c>
    </row>
    <row r="28236" spans="13:16">
      <c r="M28236" s="49">
        <f>IF($A$4+282&gt;$B$4,"",$A$4+282)</f>
        <v>46305</v>
      </c>
      <c r="N28236" t="str">
        <f>IF(M28236="","",'Master Barang'!A30)</f>
        <v>PRL-029</v>
      </c>
      <c r="O28236" t="str">
        <f>IF(N28236="","",'Master Barang'!B30)</f>
        <v>ctik plastik 6x10 100 pcs</v>
      </c>
      <c r="P28236">
        <f>IF(OR(M28236="",N28236=""),"",SUMIFS('Barang Keluar'!$E:$E,'Barang Keluar'!$A:$A,M28236,'Barang Keluar'!$C:$C,N28236))</f>
        <v>0</v>
      </c>
    </row>
    <row r="28237" spans="13:16">
      <c r="M28237" s="49">
        <f>IF($A$4+282&gt;$B$4,"",$A$4+282)</f>
        <v>46305</v>
      </c>
      <c r="N28237" t="str">
        <f>IF(M28237="","",'Master Barang'!A31)</f>
        <v>PRL-030</v>
      </c>
      <c r="O28237" t="str">
        <f>IF(N28237="","",'Master Barang'!B31)</f>
        <v>klip plastik 25x16 100 pcs</v>
      </c>
      <c r="P28237">
        <f>IF(OR(M28237="",N28237=""),"",SUMIFS('Barang Keluar'!$E:$E,'Barang Keluar'!$A:$A,M28237,'Barang Keluar'!$C:$C,N28237))</f>
        <v>0</v>
      </c>
    </row>
    <row r="28238" spans="13:16">
      <c r="M28238" s="49">
        <f>IF($A$4+282&gt;$B$4,"",$A$4+282)</f>
        <v>46305</v>
      </c>
      <c r="N28238" t="str">
        <f>IF(M28238="","",'Master Barang'!A32)</f>
        <v>PRL-031</v>
      </c>
      <c r="O28238" t="str">
        <f>IF(N28238="","",'Master Barang'!B32)</f>
        <v>tempat saus 20 ml</v>
      </c>
      <c r="P28238">
        <f>IF(OR(M28238="",N28238=""),"",SUMIFS('Barang Keluar'!$E:$E,'Barang Keluar'!$A:$A,M28238,'Barang Keluar'!$C:$C,N28238))</f>
        <v>0</v>
      </c>
    </row>
    <row r="28239" spans="13:16">
      <c r="M28239" s="49">
        <f>IF($A$4+282&gt;$B$4,"",$A$4+282)</f>
        <v>46305</v>
      </c>
      <c r="N28239" t="str">
        <f>IF(M28239="","",'Master Barang'!A33)</f>
        <v>PRL-032</v>
      </c>
      <c r="O28239" t="str">
        <f>IF(N28239="","",'Master Barang'!B33)</f>
        <v>plastik packaging ag box uk sedang</v>
      </c>
      <c r="P28239">
        <f>IF(OR(M28239="",N28239=""),"",SUMIFS('Barang Keluar'!$E:$E,'Barang Keluar'!$A:$A,M28239,'Barang Keluar'!$C:$C,N28239))</f>
        <v>0</v>
      </c>
    </row>
    <row r="28240" spans="13:16">
      <c r="M28240" s="49">
        <f>IF($A$4+282&gt;$B$4,"",$A$4+282)</f>
        <v>46305</v>
      </c>
      <c r="N28240" t="str">
        <f>IF(M28240="","",'Master Barang'!A34)</f>
        <v>PRL-033</v>
      </c>
      <c r="O28240">
        <f>IF(N28240="","",'Master Barang'!B34)</f>
        <v>0</v>
      </c>
      <c r="P28240">
        <f>IF(OR(M28240="",N28240=""),"",SUMIFS('Barang Keluar'!$E:$E,'Barang Keluar'!$A:$A,M28240,'Barang Keluar'!$C:$C,N28240))</f>
        <v>0</v>
      </c>
    </row>
    <row r="28241" spans="13:16">
      <c r="M28241" s="49">
        <f>IF($A$4+282&gt;$B$4,"",$A$4+282)</f>
        <v>46305</v>
      </c>
      <c r="N28241">
        <f>IF(M28241="","",'Master Barang'!A35)</f>
        <v>0</v>
      </c>
      <c r="O28241">
        <f>IF(N28241="","",'Master Barang'!B35)</f>
        <v>0</v>
      </c>
      <c r="P28241">
        <f>IF(OR(M28241="",N28241=""),"",SUMIFS('Barang Keluar'!$E:$E,'Barang Keluar'!$A:$A,M28241,'Barang Keluar'!$C:$C,N28241))</f>
        <v>0</v>
      </c>
    </row>
    <row r="28242" spans="13:16">
      <c r="M28242" s="49">
        <f>IF($A$4+282&gt;$B$4,"",$A$4+282)</f>
        <v>46305</v>
      </c>
      <c r="N28242">
        <f>IF(M28242="","",'Master Barang'!A36)</f>
        <v>0</v>
      </c>
      <c r="O28242">
        <f>IF(N28242="","",'Master Barang'!B36)</f>
        <v>0</v>
      </c>
      <c r="P28242">
        <f>IF(OR(M28242="",N28242=""),"",SUMIFS('Barang Keluar'!$E:$E,'Barang Keluar'!$A:$A,M28242,'Barang Keluar'!$C:$C,N28242))</f>
        <v>0</v>
      </c>
    </row>
    <row r="28243" spans="13:16">
      <c r="M28243" s="49">
        <f>IF($A$4+282&gt;$B$4,"",$A$4+282)</f>
        <v>46305</v>
      </c>
      <c r="N28243">
        <f>IF(M28243="","",'Master Barang'!A37)</f>
        <v>0</v>
      </c>
      <c r="O28243">
        <f>IF(N28243="","",'Master Barang'!B37)</f>
        <v>0</v>
      </c>
      <c r="P28243">
        <f>IF(OR(M28243="",N28243=""),"",SUMIFS('Barang Keluar'!$E:$E,'Barang Keluar'!$A:$A,M28243,'Barang Keluar'!$C:$C,N28243))</f>
        <v>0</v>
      </c>
    </row>
    <row r="28244" spans="13:16">
      <c r="M28244" s="49">
        <f>IF($A$4+282&gt;$B$4,"",$A$4+282)</f>
        <v>46305</v>
      </c>
      <c r="N28244">
        <f>IF(M28244="","",'Master Barang'!A38)</f>
        <v>0</v>
      </c>
      <c r="O28244">
        <f>IF(N28244="","",'Master Barang'!B38)</f>
        <v>0</v>
      </c>
      <c r="P28244">
        <f>IF(OR(M28244="",N28244=""),"",SUMIFS('Barang Keluar'!$E:$E,'Barang Keluar'!$A:$A,M28244,'Barang Keluar'!$C:$C,N28244))</f>
        <v>0</v>
      </c>
    </row>
    <row r="28245" spans="13:16">
      <c r="M28245" s="49">
        <f>IF($A$4+282&gt;$B$4,"",$A$4+282)</f>
        <v>46305</v>
      </c>
      <c r="N28245">
        <f>IF(M28245="","",'Master Barang'!A39)</f>
        <v>0</v>
      </c>
      <c r="O28245">
        <f>IF(N28245="","",'Master Barang'!B39)</f>
        <v>0</v>
      </c>
      <c r="P28245">
        <f>IF(OR(M28245="",N28245=""),"",SUMIFS('Barang Keluar'!$E:$E,'Barang Keluar'!$A:$A,M28245,'Barang Keluar'!$C:$C,N28245))</f>
        <v>0</v>
      </c>
    </row>
    <row r="28246" spans="13:16">
      <c r="M28246" s="49">
        <f>IF($A$4+282&gt;$B$4,"",$A$4+282)</f>
        <v>46305</v>
      </c>
      <c r="N28246">
        <f>IF(M28246="","",'Master Barang'!A40)</f>
        <v>0</v>
      </c>
      <c r="O28246">
        <f>IF(N28246="","",'Master Barang'!B40)</f>
        <v>0</v>
      </c>
      <c r="P28246">
        <f>IF(OR(M28246="",N28246=""),"",SUMIFS('Barang Keluar'!$E:$E,'Barang Keluar'!$A:$A,M28246,'Barang Keluar'!$C:$C,N28246))</f>
        <v>0</v>
      </c>
    </row>
    <row r="28247" spans="13:16">
      <c r="M28247" s="49">
        <f>IF($A$4+282&gt;$B$4,"",$A$4+282)</f>
        <v>46305</v>
      </c>
      <c r="N28247">
        <f>IF(M28247="","",'Master Barang'!A41)</f>
        <v>0</v>
      </c>
      <c r="O28247">
        <f>IF(N28247="","",'Master Barang'!B41)</f>
        <v>0</v>
      </c>
      <c r="P28247">
        <f>IF(OR(M28247="",N28247=""),"",SUMIFS('Barang Keluar'!$E:$E,'Barang Keluar'!$A:$A,M28247,'Barang Keluar'!$C:$C,N28247))</f>
        <v>0</v>
      </c>
    </row>
    <row r="28248" spans="13:16">
      <c r="M28248" s="49">
        <f>IF($A$4+282&gt;$B$4,"",$A$4+282)</f>
        <v>46305</v>
      </c>
      <c r="N28248">
        <f>IF(M28248="","",'Master Barang'!A42)</f>
        <v>0</v>
      </c>
      <c r="O28248">
        <f>IF(N28248="","",'Master Barang'!B42)</f>
        <v>0</v>
      </c>
      <c r="P28248">
        <f>IF(OR(M28248="",N28248=""),"",SUMIFS('Barang Keluar'!$E:$E,'Barang Keluar'!$A:$A,M28248,'Barang Keluar'!$C:$C,N28248))</f>
        <v>0</v>
      </c>
    </row>
    <row r="28249" spans="13:16">
      <c r="M28249" s="49">
        <f>IF($A$4+282&gt;$B$4,"",$A$4+282)</f>
        <v>46305</v>
      </c>
      <c r="N28249">
        <f>IF(M28249="","",'Master Barang'!A43)</f>
        <v>0</v>
      </c>
      <c r="O28249">
        <f>IF(N28249="","",'Master Barang'!B43)</f>
        <v>0</v>
      </c>
      <c r="P28249">
        <f>IF(OR(M28249="",N28249=""),"",SUMIFS('Barang Keluar'!$E:$E,'Barang Keluar'!$A:$A,M28249,'Barang Keluar'!$C:$C,N28249))</f>
        <v>0</v>
      </c>
    </row>
    <row r="28250" spans="13:16">
      <c r="M28250" s="49">
        <f>IF($A$4+282&gt;$B$4,"",$A$4+282)</f>
        <v>46305</v>
      </c>
      <c r="N28250">
        <f>IF(M28250="","",'Master Barang'!A44)</f>
        <v>0</v>
      </c>
      <c r="O28250">
        <f>IF(N28250="","",'Master Barang'!B44)</f>
        <v>0</v>
      </c>
      <c r="P28250">
        <f>IF(OR(M28250="",N28250=""),"",SUMIFS('Barang Keluar'!$E:$E,'Barang Keluar'!$A:$A,M28250,'Barang Keluar'!$C:$C,N28250))</f>
        <v>0</v>
      </c>
    </row>
    <row r="28251" spans="13:16">
      <c r="M28251" s="49">
        <f>IF($A$4+282&gt;$B$4,"",$A$4+282)</f>
        <v>46305</v>
      </c>
      <c r="N28251">
        <f>IF(M28251="","",'Master Barang'!A45)</f>
        <v>0</v>
      </c>
      <c r="O28251">
        <f>IF(N28251="","",'Master Barang'!B45)</f>
        <v>0</v>
      </c>
      <c r="P28251">
        <f>IF(OR(M28251="",N28251=""),"",SUMIFS('Barang Keluar'!$E:$E,'Barang Keluar'!$A:$A,M28251,'Barang Keluar'!$C:$C,N28251))</f>
        <v>0</v>
      </c>
    </row>
    <row r="28252" spans="13:16">
      <c r="M28252" s="49">
        <f>IF($A$4+282&gt;$B$4,"",$A$4+282)</f>
        <v>46305</v>
      </c>
      <c r="N28252">
        <f>IF(M28252="","",'Master Barang'!A46)</f>
        <v>0</v>
      </c>
      <c r="O28252">
        <f>IF(N28252="","",'Master Barang'!B46)</f>
        <v>0</v>
      </c>
      <c r="P28252">
        <f>IF(OR(M28252="",N28252=""),"",SUMIFS('Barang Keluar'!$E:$E,'Barang Keluar'!$A:$A,M28252,'Barang Keluar'!$C:$C,N28252))</f>
        <v>0</v>
      </c>
    </row>
    <row r="28253" spans="13:16">
      <c r="M28253" s="49">
        <f>IF($A$4+282&gt;$B$4,"",$A$4+282)</f>
        <v>46305</v>
      </c>
      <c r="N28253">
        <f>IF(M28253="","",'Master Barang'!A47)</f>
        <v>0</v>
      </c>
      <c r="O28253">
        <f>IF(N28253="","",'Master Barang'!B47)</f>
        <v>0</v>
      </c>
      <c r="P28253">
        <f>IF(OR(M28253="",N28253=""),"",SUMIFS('Barang Keluar'!$E:$E,'Barang Keluar'!$A:$A,M28253,'Barang Keluar'!$C:$C,N28253))</f>
        <v>0</v>
      </c>
    </row>
    <row r="28254" spans="13:16">
      <c r="M28254" s="49">
        <f>IF($A$4+282&gt;$B$4,"",$A$4+282)</f>
        <v>46305</v>
      </c>
      <c r="N28254">
        <f>IF(M28254="","",'Master Barang'!A48)</f>
        <v>0</v>
      </c>
      <c r="O28254">
        <f>IF(N28254="","",'Master Barang'!B48)</f>
        <v>0</v>
      </c>
      <c r="P28254">
        <f>IF(OR(M28254="",N28254=""),"",SUMIFS('Barang Keluar'!$E:$E,'Barang Keluar'!$A:$A,M28254,'Barang Keluar'!$C:$C,N28254))</f>
        <v>0</v>
      </c>
    </row>
    <row r="28255" spans="13:16">
      <c r="M28255" s="49">
        <f>IF($A$4+282&gt;$B$4,"",$A$4+282)</f>
        <v>46305</v>
      </c>
      <c r="N28255">
        <f>IF(M28255="","",'Master Barang'!A49)</f>
        <v>0</v>
      </c>
      <c r="O28255">
        <f>IF(N28255="","",'Master Barang'!B49)</f>
        <v>0</v>
      </c>
      <c r="P28255">
        <f>IF(OR(M28255="",N28255=""),"",SUMIFS('Barang Keluar'!$E:$E,'Barang Keluar'!$A:$A,M28255,'Barang Keluar'!$C:$C,N28255))</f>
        <v>0</v>
      </c>
    </row>
    <row r="28256" spans="13:16">
      <c r="M28256" s="49">
        <f>IF($A$4+282&gt;$B$4,"",$A$4+282)</f>
        <v>46305</v>
      </c>
      <c r="N28256">
        <f>IF(M28256="","",'Master Barang'!A50)</f>
        <v>0</v>
      </c>
      <c r="O28256">
        <f>IF(N28256="","",'Master Barang'!B50)</f>
        <v>0</v>
      </c>
      <c r="P28256">
        <f>IF(OR(M28256="",N28256=""),"",SUMIFS('Barang Keluar'!$E:$E,'Barang Keluar'!$A:$A,M28256,'Barang Keluar'!$C:$C,N28256))</f>
        <v>0</v>
      </c>
    </row>
    <row r="28257" spans="13:16">
      <c r="M28257" s="49">
        <f>IF($A$4+282&gt;$B$4,"",$A$4+282)</f>
        <v>46305</v>
      </c>
      <c r="N28257">
        <f>IF(M28257="","",'Master Barang'!A51)</f>
        <v>0</v>
      </c>
      <c r="O28257">
        <f>IF(N28257="","",'Master Barang'!B51)</f>
        <v>0</v>
      </c>
      <c r="P28257">
        <f>IF(OR(M28257="",N28257=""),"",SUMIFS('Barang Keluar'!$E:$E,'Barang Keluar'!$A:$A,M28257,'Barang Keluar'!$C:$C,N28257))</f>
        <v>0</v>
      </c>
    </row>
    <row r="28258" spans="13:16">
      <c r="M28258" s="49">
        <f>IF($A$4+282&gt;$B$4,"",$A$4+282)</f>
        <v>46305</v>
      </c>
      <c r="N28258">
        <f>IF(M28258="","",'Master Barang'!A52)</f>
        <v>0</v>
      </c>
      <c r="O28258">
        <f>IF(N28258="","",'Master Barang'!B52)</f>
        <v>0</v>
      </c>
      <c r="P28258">
        <f>IF(OR(M28258="",N28258=""),"",SUMIFS('Barang Keluar'!$E:$E,'Barang Keluar'!$A:$A,M28258,'Barang Keluar'!$C:$C,N28258))</f>
        <v>0</v>
      </c>
    </row>
    <row r="28259" spans="13:16">
      <c r="M28259" s="49">
        <f>IF($A$4+282&gt;$B$4,"",$A$4+282)</f>
        <v>46305</v>
      </c>
      <c r="N28259">
        <f>IF(M28259="","",'Master Barang'!A53)</f>
        <v>0</v>
      </c>
      <c r="O28259">
        <f>IF(N28259="","",'Master Barang'!B53)</f>
        <v>0</v>
      </c>
      <c r="P28259">
        <f>IF(OR(M28259="",N28259=""),"",SUMIFS('Barang Keluar'!$E:$E,'Barang Keluar'!$A:$A,M28259,'Barang Keluar'!$C:$C,N28259))</f>
        <v>0</v>
      </c>
    </row>
    <row r="28260" spans="13:16">
      <c r="M28260" s="49">
        <f>IF($A$4+282&gt;$B$4,"",$A$4+282)</f>
        <v>46305</v>
      </c>
      <c r="N28260">
        <f>IF(M28260="","",'Master Barang'!A54)</f>
        <v>0</v>
      </c>
      <c r="O28260">
        <f>IF(N28260="","",'Master Barang'!B54)</f>
        <v>0</v>
      </c>
      <c r="P28260">
        <f>IF(OR(M28260="",N28260=""),"",SUMIFS('Barang Keluar'!$E:$E,'Barang Keluar'!$A:$A,M28260,'Barang Keluar'!$C:$C,N28260))</f>
        <v>0</v>
      </c>
    </row>
    <row r="28261" spans="13:16">
      <c r="M28261" s="49">
        <f>IF($A$4+282&gt;$B$4,"",$A$4+282)</f>
        <v>46305</v>
      </c>
      <c r="N28261">
        <f>IF(M28261="","",'Master Barang'!A55)</f>
        <v>0</v>
      </c>
      <c r="O28261">
        <f>IF(N28261="","",'Master Barang'!B55)</f>
        <v>0</v>
      </c>
      <c r="P28261">
        <f>IF(OR(M28261="",N28261=""),"",SUMIFS('Barang Keluar'!$E:$E,'Barang Keluar'!$A:$A,M28261,'Barang Keluar'!$C:$C,N28261))</f>
        <v>0</v>
      </c>
    </row>
    <row r="28262" spans="13:16">
      <c r="M28262" s="49">
        <f>IF($A$4+282&gt;$B$4,"",$A$4+282)</f>
        <v>46305</v>
      </c>
      <c r="N28262">
        <f>IF(M28262="","",'Master Barang'!A56)</f>
        <v>0</v>
      </c>
      <c r="O28262">
        <f>IF(N28262="","",'Master Barang'!B56)</f>
        <v>0</v>
      </c>
      <c r="P28262">
        <f>IF(OR(M28262="",N28262=""),"",SUMIFS('Barang Keluar'!$E:$E,'Barang Keluar'!$A:$A,M28262,'Barang Keluar'!$C:$C,N28262))</f>
        <v>0</v>
      </c>
    </row>
    <row r="28263" spans="13:16">
      <c r="M28263" s="49">
        <f>IF($A$4+282&gt;$B$4,"",$A$4+282)</f>
        <v>46305</v>
      </c>
      <c r="N28263">
        <f>IF(M28263="","",'Master Barang'!A57)</f>
        <v>0</v>
      </c>
      <c r="O28263">
        <f>IF(N28263="","",'Master Barang'!B57)</f>
        <v>0</v>
      </c>
      <c r="P28263">
        <f>IF(OR(M28263="",N28263=""),"",SUMIFS('Barang Keluar'!$E:$E,'Barang Keluar'!$A:$A,M28263,'Barang Keluar'!$C:$C,N28263))</f>
        <v>0</v>
      </c>
    </row>
    <row r="28264" spans="13:16">
      <c r="M28264" s="49">
        <f>IF($A$4+282&gt;$B$4,"",$A$4+282)</f>
        <v>46305</v>
      </c>
      <c r="N28264">
        <f>IF(M28264="","",'Master Barang'!A58)</f>
        <v>0</v>
      </c>
      <c r="O28264">
        <f>IF(N28264="","",'Master Barang'!B58)</f>
        <v>0</v>
      </c>
      <c r="P28264">
        <f>IF(OR(M28264="",N28264=""),"",SUMIFS('Barang Keluar'!$E:$E,'Barang Keluar'!$A:$A,M28264,'Barang Keluar'!$C:$C,N28264))</f>
        <v>0</v>
      </c>
    </row>
    <row r="28265" spans="13:16">
      <c r="M28265" s="49">
        <f>IF($A$4+282&gt;$B$4,"",$A$4+282)</f>
        <v>46305</v>
      </c>
      <c r="N28265">
        <f>IF(M28265="","",'Master Barang'!A59)</f>
        <v>0</v>
      </c>
      <c r="O28265">
        <f>IF(N28265="","",'Master Barang'!B59)</f>
        <v>0</v>
      </c>
      <c r="P28265">
        <f>IF(OR(M28265="",N28265=""),"",SUMIFS('Barang Keluar'!$E:$E,'Barang Keluar'!$A:$A,M28265,'Barang Keluar'!$C:$C,N28265))</f>
        <v>0</v>
      </c>
    </row>
    <row r="28266" spans="13:16">
      <c r="M28266" s="49">
        <f>IF($A$4+282&gt;$B$4,"",$A$4+282)</f>
        <v>46305</v>
      </c>
      <c r="N28266">
        <f>IF(M28266="","",'Master Barang'!A60)</f>
        <v>0</v>
      </c>
      <c r="O28266">
        <f>IF(N28266="","",'Master Barang'!B60)</f>
        <v>0</v>
      </c>
      <c r="P28266">
        <f>IF(OR(M28266="",N28266=""),"",SUMIFS('Barang Keluar'!$E:$E,'Barang Keluar'!$A:$A,M28266,'Barang Keluar'!$C:$C,N28266))</f>
        <v>0</v>
      </c>
    </row>
    <row r="28267" spans="13:16">
      <c r="M28267" s="49">
        <f>IF($A$4+282&gt;$B$4,"",$A$4+282)</f>
        <v>46305</v>
      </c>
      <c r="N28267">
        <f>IF(M28267="","",'Master Barang'!A61)</f>
        <v>0</v>
      </c>
      <c r="O28267">
        <f>IF(N28267="","",'Master Barang'!B61)</f>
        <v>0</v>
      </c>
      <c r="P28267">
        <f>IF(OR(M28267="",N28267=""),"",SUMIFS('Barang Keluar'!$E:$E,'Barang Keluar'!$A:$A,M28267,'Barang Keluar'!$C:$C,N28267))</f>
        <v>0</v>
      </c>
    </row>
    <row r="28268" spans="13:16">
      <c r="M28268" s="49">
        <f>IF($A$4+282&gt;$B$4,"",$A$4+282)</f>
        <v>46305</v>
      </c>
      <c r="N28268">
        <f>IF(M28268="","",'Master Barang'!A62)</f>
        <v>0</v>
      </c>
      <c r="O28268">
        <f>IF(N28268="","",'Master Barang'!B62)</f>
        <v>0</v>
      </c>
      <c r="P28268">
        <f>IF(OR(M28268="",N28268=""),"",SUMIFS('Barang Keluar'!$E:$E,'Barang Keluar'!$A:$A,M28268,'Barang Keluar'!$C:$C,N28268))</f>
        <v>0</v>
      </c>
    </row>
    <row r="28269" spans="13:16">
      <c r="M28269" s="49">
        <f>IF($A$4+282&gt;$B$4,"",$A$4+282)</f>
        <v>46305</v>
      </c>
      <c r="N28269">
        <f>IF(M28269="","",'Master Barang'!A63)</f>
        <v>0</v>
      </c>
      <c r="O28269">
        <f>IF(N28269="","",'Master Barang'!B63)</f>
        <v>0</v>
      </c>
      <c r="P28269">
        <f>IF(OR(M28269="",N28269=""),"",SUMIFS('Barang Keluar'!$E:$E,'Barang Keluar'!$A:$A,M28269,'Barang Keluar'!$C:$C,N28269))</f>
        <v>0</v>
      </c>
    </row>
    <row r="28270" spans="13:16">
      <c r="M28270" s="49">
        <f>IF($A$4+282&gt;$B$4,"",$A$4+282)</f>
        <v>46305</v>
      </c>
      <c r="N28270">
        <f>IF(M28270="","",'Master Barang'!A64)</f>
        <v>0</v>
      </c>
      <c r="O28270">
        <f>IF(N28270="","",'Master Barang'!B64)</f>
        <v>0</v>
      </c>
      <c r="P28270">
        <f>IF(OR(M28270="",N28270=""),"",SUMIFS('Barang Keluar'!$E:$E,'Barang Keluar'!$A:$A,M28270,'Barang Keluar'!$C:$C,N28270))</f>
        <v>0</v>
      </c>
    </row>
    <row r="28271" spans="13:16">
      <c r="M28271" s="49">
        <f>IF($A$4+282&gt;$B$4,"",$A$4+282)</f>
        <v>46305</v>
      </c>
      <c r="N28271">
        <f>IF(M28271="","",'Master Barang'!A65)</f>
        <v>0</v>
      </c>
      <c r="O28271">
        <f>IF(N28271="","",'Master Barang'!B65)</f>
        <v>0</v>
      </c>
      <c r="P28271">
        <f>IF(OR(M28271="",N28271=""),"",SUMIFS('Barang Keluar'!$E:$E,'Barang Keluar'!$A:$A,M28271,'Barang Keluar'!$C:$C,N28271))</f>
        <v>0</v>
      </c>
    </row>
    <row r="28272" spans="13:16">
      <c r="M28272" s="49">
        <f>IF($A$4+282&gt;$B$4,"",$A$4+282)</f>
        <v>46305</v>
      </c>
      <c r="N28272">
        <f>IF(M28272="","",'Master Barang'!A66)</f>
        <v>0</v>
      </c>
      <c r="O28272">
        <f>IF(N28272="","",'Master Barang'!B66)</f>
        <v>0</v>
      </c>
      <c r="P28272">
        <f>IF(OR(M28272="",N28272=""),"",SUMIFS('Barang Keluar'!$E:$E,'Barang Keluar'!$A:$A,M28272,'Barang Keluar'!$C:$C,N28272))</f>
        <v>0</v>
      </c>
    </row>
    <row r="28273" spans="13:16">
      <c r="M28273" s="49">
        <f>IF($A$4+282&gt;$B$4,"",$A$4+282)</f>
        <v>46305</v>
      </c>
      <c r="N28273">
        <f>IF(M28273="","",'Master Barang'!A67)</f>
        <v>0</v>
      </c>
      <c r="O28273">
        <f>IF(N28273="","",'Master Barang'!B67)</f>
        <v>0</v>
      </c>
      <c r="P28273">
        <f>IF(OR(M28273="",N28273=""),"",SUMIFS('Barang Keluar'!$E:$E,'Barang Keluar'!$A:$A,M28273,'Barang Keluar'!$C:$C,N28273))</f>
        <v>0</v>
      </c>
    </row>
    <row r="28274" spans="13:16">
      <c r="M28274" s="49">
        <f>IF($A$4+282&gt;$B$4,"",$A$4+282)</f>
        <v>46305</v>
      </c>
      <c r="N28274">
        <f>IF(M28274="","",'Master Barang'!A68)</f>
        <v>0</v>
      </c>
      <c r="O28274">
        <f>IF(N28274="","",'Master Barang'!B68)</f>
        <v>0</v>
      </c>
      <c r="P28274">
        <f>IF(OR(M28274="",N28274=""),"",SUMIFS('Barang Keluar'!$E:$E,'Barang Keluar'!$A:$A,M28274,'Barang Keluar'!$C:$C,N28274))</f>
        <v>0</v>
      </c>
    </row>
    <row r="28275" spans="13:16">
      <c r="M28275" s="49">
        <f>IF($A$4+282&gt;$B$4,"",$A$4+282)</f>
        <v>46305</v>
      </c>
      <c r="N28275">
        <f>IF(M28275="","",'Master Barang'!A69)</f>
        <v>0</v>
      </c>
      <c r="O28275">
        <f>IF(N28275="","",'Master Barang'!B69)</f>
        <v>0</v>
      </c>
      <c r="P28275">
        <f>IF(OR(M28275="",N28275=""),"",SUMIFS('Barang Keluar'!$E:$E,'Barang Keluar'!$A:$A,M28275,'Barang Keluar'!$C:$C,N28275))</f>
        <v>0</v>
      </c>
    </row>
    <row r="28276" spans="13:16">
      <c r="M28276" s="49">
        <f>IF($A$4+282&gt;$B$4,"",$A$4+282)</f>
        <v>46305</v>
      </c>
      <c r="N28276">
        <f>IF(M28276="","",'Master Barang'!A70)</f>
        <v>0</v>
      </c>
      <c r="O28276">
        <f>IF(N28276="","",'Master Barang'!B70)</f>
        <v>0</v>
      </c>
      <c r="P28276">
        <f>IF(OR(M28276="",N28276=""),"",SUMIFS('Barang Keluar'!$E:$E,'Barang Keluar'!$A:$A,M28276,'Barang Keluar'!$C:$C,N28276))</f>
        <v>0</v>
      </c>
    </row>
    <row r="28277" spans="13:16">
      <c r="M28277" s="49">
        <f>IF($A$4+282&gt;$B$4,"",$A$4+282)</f>
        <v>46305</v>
      </c>
      <c r="N28277">
        <f>IF(M28277="","",'Master Barang'!A71)</f>
        <v>0</v>
      </c>
      <c r="O28277">
        <f>IF(N28277="","",'Master Barang'!B71)</f>
        <v>0</v>
      </c>
      <c r="P28277">
        <f>IF(OR(M28277="",N28277=""),"",SUMIFS('Barang Keluar'!$E:$E,'Barang Keluar'!$A:$A,M28277,'Barang Keluar'!$C:$C,N28277))</f>
        <v>0</v>
      </c>
    </row>
    <row r="28278" spans="13:16">
      <c r="M28278" s="49">
        <f>IF($A$4+282&gt;$B$4,"",$A$4+282)</f>
        <v>46305</v>
      </c>
      <c r="N28278">
        <f>IF(M28278="","",'Master Barang'!A72)</f>
        <v>0</v>
      </c>
      <c r="O28278">
        <f>IF(N28278="","",'Master Barang'!B72)</f>
        <v>0</v>
      </c>
      <c r="P28278">
        <f>IF(OR(M28278="",N28278=""),"",SUMIFS('Barang Keluar'!$E:$E,'Barang Keluar'!$A:$A,M28278,'Barang Keluar'!$C:$C,N28278))</f>
        <v>0</v>
      </c>
    </row>
    <row r="28279" spans="13:16">
      <c r="M28279" s="49">
        <f>IF($A$4+282&gt;$B$4,"",$A$4+282)</f>
        <v>46305</v>
      </c>
      <c r="N28279">
        <f>IF(M28279="","",'Master Barang'!A73)</f>
        <v>0</v>
      </c>
      <c r="O28279">
        <f>IF(N28279="","",'Master Barang'!B73)</f>
        <v>0</v>
      </c>
      <c r="P28279">
        <f>IF(OR(M28279="",N28279=""),"",SUMIFS('Barang Keluar'!$E:$E,'Barang Keluar'!$A:$A,M28279,'Barang Keluar'!$C:$C,N28279))</f>
        <v>0</v>
      </c>
    </row>
    <row r="28280" spans="13:16">
      <c r="M28280" s="49">
        <f>IF($A$4+282&gt;$B$4,"",$A$4+282)</f>
        <v>46305</v>
      </c>
      <c r="N28280">
        <f>IF(M28280="","",'Master Barang'!A74)</f>
        <v>0</v>
      </c>
      <c r="O28280">
        <f>IF(N28280="","",'Master Barang'!B74)</f>
        <v>0</v>
      </c>
      <c r="P28280">
        <f>IF(OR(M28280="",N28280=""),"",SUMIFS('Barang Keluar'!$E:$E,'Barang Keluar'!$A:$A,M28280,'Barang Keluar'!$C:$C,N28280))</f>
        <v>0</v>
      </c>
    </row>
    <row r="28281" spans="13:16">
      <c r="M28281" s="49">
        <f>IF($A$4+282&gt;$B$4,"",$A$4+282)</f>
        <v>46305</v>
      </c>
      <c r="N28281">
        <f>IF(M28281="","",'Master Barang'!A75)</f>
        <v>0</v>
      </c>
      <c r="O28281">
        <f>IF(N28281="","",'Master Barang'!B75)</f>
        <v>0</v>
      </c>
      <c r="P28281">
        <f>IF(OR(M28281="",N28281=""),"",SUMIFS('Barang Keluar'!$E:$E,'Barang Keluar'!$A:$A,M28281,'Barang Keluar'!$C:$C,N28281))</f>
        <v>0</v>
      </c>
    </row>
    <row r="28282" spans="13:16">
      <c r="M28282" s="49">
        <f>IF($A$4+282&gt;$B$4,"",$A$4+282)</f>
        <v>46305</v>
      </c>
      <c r="N28282">
        <f>IF(M28282="","",'Master Barang'!A76)</f>
        <v>0</v>
      </c>
      <c r="O28282">
        <f>IF(N28282="","",'Master Barang'!B76)</f>
        <v>0</v>
      </c>
      <c r="P28282">
        <f>IF(OR(M28282="",N28282=""),"",SUMIFS('Barang Keluar'!$E:$E,'Barang Keluar'!$A:$A,M28282,'Barang Keluar'!$C:$C,N28282))</f>
        <v>0</v>
      </c>
    </row>
    <row r="28283" spans="13:16">
      <c r="M28283" s="49">
        <f>IF($A$4+282&gt;$B$4,"",$A$4+282)</f>
        <v>46305</v>
      </c>
      <c r="N28283">
        <f>IF(M28283="","",'Master Barang'!A77)</f>
        <v>0</v>
      </c>
      <c r="O28283">
        <f>IF(N28283="","",'Master Barang'!B77)</f>
        <v>0</v>
      </c>
      <c r="P28283">
        <f>IF(OR(M28283="",N28283=""),"",SUMIFS('Barang Keluar'!$E:$E,'Barang Keluar'!$A:$A,M28283,'Barang Keluar'!$C:$C,N28283))</f>
        <v>0</v>
      </c>
    </row>
    <row r="28284" spans="13:16">
      <c r="M28284" s="49">
        <f>IF($A$4+282&gt;$B$4,"",$A$4+282)</f>
        <v>46305</v>
      </c>
      <c r="N28284">
        <f>IF(M28284="","",'Master Barang'!A78)</f>
        <v>0</v>
      </c>
      <c r="O28284">
        <f>IF(N28284="","",'Master Barang'!B78)</f>
        <v>0</v>
      </c>
      <c r="P28284">
        <f>IF(OR(M28284="",N28284=""),"",SUMIFS('Barang Keluar'!$E:$E,'Barang Keluar'!$A:$A,M28284,'Barang Keluar'!$C:$C,N28284))</f>
        <v>0</v>
      </c>
    </row>
    <row r="28285" spans="13:16">
      <c r="M28285" s="49">
        <f>IF($A$4+282&gt;$B$4,"",$A$4+282)</f>
        <v>46305</v>
      </c>
      <c r="N28285">
        <f>IF(M28285="","",'Master Barang'!A79)</f>
        <v>0</v>
      </c>
      <c r="O28285">
        <f>IF(N28285="","",'Master Barang'!B79)</f>
        <v>0</v>
      </c>
      <c r="P28285">
        <f>IF(OR(M28285="",N28285=""),"",SUMIFS('Barang Keluar'!$E:$E,'Barang Keluar'!$A:$A,M28285,'Barang Keluar'!$C:$C,N28285))</f>
        <v>0</v>
      </c>
    </row>
    <row r="28286" spans="13:16">
      <c r="M28286" s="49">
        <f>IF($A$4+282&gt;$B$4,"",$A$4+282)</f>
        <v>46305</v>
      </c>
      <c r="N28286">
        <f>IF(M28286="","",'Master Barang'!A80)</f>
        <v>0</v>
      </c>
      <c r="O28286">
        <f>IF(N28286="","",'Master Barang'!B80)</f>
        <v>0</v>
      </c>
      <c r="P28286">
        <f>IF(OR(M28286="",N28286=""),"",SUMIFS('Barang Keluar'!$E:$E,'Barang Keluar'!$A:$A,M28286,'Barang Keluar'!$C:$C,N28286))</f>
        <v>0</v>
      </c>
    </row>
    <row r="28287" spans="13:16">
      <c r="M28287" s="49">
        <f>IF($A$4+282&gt;$B$4,"",$A$4+282)</f>
        <v>46305</v>
      </c>
      <c r="N28287">
        <f>IF(M28287="","",'Master Barang'!A81)</f>
        <v>0</v>
      </c>
      <c r="O28287">
        <f>IF(N28287="","",'Master Barang'!B81)</f>
        <v>0</v>
      </c>
      <c r="P28287">
        <f>IF(OR(M28287="",N28287=""),"",SUMIFS('Barang Keluar'!$E:$E,'Barang Keluar'!$A:$A,M28287,'Barang Keluar'!$C:$C,N28287))</f>
        <v>0</v>
      </c>
    </row>
    <row r="28288" spans="13:16">
      <c r="M28288" s="49">
        <f>IF($A$4+282&gt;$B$4,"",$A$4+282)</f>
        <v>46305</v>
      </c>
      <c r="N28288">
        <f>IF(M28288="","",'Master Barang'!A82)</f>
        <v>0</v>
      </c>
      <c r="O28288">
        <f>IF(N28288="","",'Master Barang'!B82)</f>
        <v>0</v>
      </c>
      <c r="P28288">
        <f>IF(OR(M28288="",N28288=""),"",SUMIFS('Barang Keluar'!$E:$E,'Barang Keluar'!$A:$A,M28288,'Barang Keluar'!$C:$C,N28288))</f>
        <v>0</v>
      </c>
    </row>
    <row r="28289" spans="13:16">
      <c r="M28289" s="49">
        <f>IF($A$4+282&gt;$B$4,"",$A$4+282)</f>
        <v>46305</v>
      </c>
      <c r="N28289">
        <f>IF(M28289="","",'Master Barang'!A83)</f>
        <v>0</v>
      </c>
      <c r="O28289">
        <f>IF(N28289="","",'Master Barang'!B83)</f>
        <v>0</v>
      </c>
      <c r="P28289">
        <f>IF(OR(M28289="",N28289=""),"",SUMIFS('Barang Keluar'!$E:$E,'Barang Keluar'!$A:$A,M28289,'Barang Keluar'!$C:$C,N28289))</f>
        <v>0</v>
      </c>
    </row>
    <row r="28290" spans="13:16">
      <c r="M28290" s="49">
        <f>IF($A$4+282&gt;$B$4,"",$A$4+282)</f>
        <v>46305</v>
      </c>
      <c r="N28290">
        <f>IF(M28290="","",'Master Barang'!A84)</f>
        <v>0</v>
      </c>
      <c r="O28290">
        <f>IF(N28290="","",'Master Barang'!B84)</f>
        <v>0</v>
      </c>
      <c r="P28290">
        <f>IF(OR(M28290="",N28290=""),"",SUMIFS('Barang Keluar'!$E:$E,'Barang Keluar'!$A:$A,M28290,'Barang Keluar'!$C:$C,N28290))</f>
        <v>0</v>
      </c>
    </row>
    <row r="28291" spans="13:16">
      <c r="M28291" s="49">
        <f>IF($A$4+282&gt;$B$4,"",$A$4+282)</f>
        <v>46305</v>
      </c>
      <c r="N28291">
        <f>IF(M28291="","",'Master Barang'!A85)</f>
        <v>0</v>
      </c>
      <c r="O28291">
        <f>IF(N28291="","",'Master Barang'!B85)</f>
        <v>0</v>
      </c>
      <c r="P28291">
        <f>IF(OR(M28291="",N28291=""),"",SUMIFS('Barang Keluar'!$E:$E,'Barang Keluar'!$A:$A,M28291,'Barang Keluar'!$C:$C,N28291))</f>
        <v>0</v>
      </c>
    </row>
    <row r="28292" spans="13:16">
      <c r="M28292" s="49">
        <f>IF($A$4+282&gt;$B$4,"",$A$4+282)</f>
        <v>46305</v>
      </c>
      <c r="N28292">
        <f>IF(M28292="","",'Master Barang'!A86)</f>
        <v>0</v>
      </c>
      <c r="O28292">
        <f>IF(N28292="","",'Master Barang'!B86)</f>
        <v>0</v>
      </c>
      <c r="P28292">
        <f>IF(OR(M28292="",N28292=""),"",SUMIFS('Barang Keluar'!$E:$E,'Barang Keluar'!$A:$A,M28292,'Barang Keluar'!$C:$C,N28292))</f>
        <v>0</v>
      </c>
    </row>
    <row r="28293" spans="13:16">
      <c r="M28293" s="49">
        <f>IF($A$4+282&gt;$B$4,"",$A$4+282)</f>
        <v>46305</v>
      </c>
      <c r="N28293">
        <f>IF(M28293="","",'Master Barang'!A87)</f>
        <v>0</v>
      </c>
      <c r="O28293">
        <f>IF(N28293="","",'Master Barang'!B87)</f>
        <v>0</v>
      </c>
      <c r="P28293">
        <f>IF(OR(M28293="",N28293=""),"",SUMIFS('Barang Keluar'!$E:$E,'Barang Keluar'!$A:$A,M28293,'Barang Keluar'!$C:$C,N28293))</f>
        <v>0</v>
      </c>
    </row>
    <row r="28294" spans="13:16">
      <c r="M28294" s="49">
        <f>IF($A$4+282&gt;$B$4,"",$A$4+282)</f>
        <v>46305</v>
      </c>
      <c r="N28294">
        <f>IF(M28294="","",'Master Barang'!A88)</f>
        <v>0</v>
      </c>
      <c r="O28294">
        <f>IF(N28294="","",'Master Barang'!B88)</f>
        <v>0</v>
      </c>
      <c r="P28294">
        <f>IF(OR(M28294="",N28294=""),"",SUMIFS('Barang Keluar'!$E:$E,'Barang Keluar'!$A:$A,M28294,'Barang Keluar'!$C:$C,N28294))</f>
        <v>0</v>
      </c>
    </row>
    <row r="28295" spans="13:16">
      <c r="M28295" s="49">
        <f>IF($A$4+282&gt;$B$4,"",$A$4+282)</f>
        <v>46305</v>
      </c>
      <c r="N28295">
        <f>IF(M28295="","",'Master Barang'!A89)</f>
        <v>0</v>
      </c>
      <c r="O28295">
        <f>IF(N28295="","",'Master Barang'!B89)</f>
        <v>0</v>
      </c>
      <c r="P28295">
        <f>IF(OR(M28295="",N28295=""),"",SUMIFS('Barang Keluar'!$E:$E,'Barang Keluar'!$A:$A,M28295,'Barang Keluar'!$C:$C,N28295))</f>
        <v>0</v>
      </c>
    </row>
    <row r="28296" spans="13:16">
      <c r="M28296" s="49">
        <f>IF($A$4+282&gt;$B$4,"",$A$4+282)</f>
        <v>46305</v>
      </c>
      <c r="N28296">
        <f>IF(M28296="","",'Master Barang'!A90)</f>
        <v>0</v>
      </c>
      <c r="O28296">
        <f>IF(N28296="","",'Master Barang'!B90)</f>
        <v>0</v>
      </c>
      <c r="P28296">
        <f>IF(OR(M28296="",N28296=""),"",SUMIFS('Barang Keluar'!$E:$E,'Barang Keluar'!$A:$A,M28296,'Barang Keluar'!$C:$C,N28296))</f>
        <v>0</v>
      </c>
    </row>
    <row r="28297" spans="13:16">
      <c r="M28297" s="49">
        <f>IF($A$4+282&gt;$B$4,"",$A$4+282)</f>
        <v>46305</v>
      </c>
      <c r="N28297">
        <f>IF(M28297="","",'Master Barang'!A91)</f>
        <v>0</v>
      </c>
      <c r="O28297">
        <f>IF(N28297="","",'Master Barang'!B91)</f>
        <v>0</v>
      </c>
      <c r="P28297">
        <f>IF(OR(M28297="",N28297=""),"",SUMIFS('Barang Keluar'!$E:$E,'Barang Keluar'!$A:$A,M28297,'Barang Keluar'!$C:$C,N28297))</f>
        <v>0</v>
      </c>
    </row>
    <row r="28298" spans="13:16">
      <c r="M28298" s="49">
        <f>IF($A$4+282&gt;$B$4,"",$A$4+282)</f>
        <v>46305</v>
      </c>
      <c r="N28298">
        <f>IF(M28298="","",'Master Barang'!A92)</f>
        <v>0</v>
      </c>
      <c r="O28298">
        <f>IF(N28298="","",'Master Barang'!B92)</f>
        <v>0</v>
      </c>
      <c r="P28298">
        <f>IF(OR(M28298="",N28298=""),"",SUMIFS('Barang Keluar'!$E:$E,'Barang Keluar'!$A:$A,M28298,'Barang Keluar'!$C:$C,N28298))</f>
        <v>0</v>
      </c>
    </row>
    <row r="28299" spans="13:16">
      <c r="M28299" s="49">
        <f>IF($A$4+282&gt;$B$4,"",$A$4+282)</f>
        <v>46305</v>
      </c>
      <c r="N28299">
        <f>IF(M28299="","",'Master Barang'!A93)</f>
        <v>0</v>
      </c>
      <c r="O28299">
        <f>IF(N28299="","",'Master Barang'!B93)</f>
        <v>0</v>
      </c>
      <c r="P28299">
        <f>IF(OR(M28299="",N28299=""),"",SUMIFS('Barang Keluar'!$E:$E,'Barang Keluar'!$A:$A,M28299,'Barang Keluar'!$C:$C,N28299))</f>
        <v>0</v>
      </c>
    </row>
    <row r="28300" spans="13:16">
      <c r="M28300" s="49">
        <f>IF($A$4+282&gt;$B$4,"",$A$4+282)</f>
        <v>46305</v>
      </c>
      <c r="N28300">
        <f>IF(M28300="","",'Master Barang'!A94)</f>
        <v>0</v>
      </c>
      <c r="O28300">
        <f>IF(N28300="","",'Master Barang'!B94)</f>
        <v>0</v>
      </c>
      <c r="P28300">
        <f>IF(OR(M28300="",N28300=""),"",SUMIFS('Barang Keluar'!$E:$E,'Barang Keluar'!$A:$A,M28300,'Barang Keluar'!$C:$C,N28300))</f>
        <v>0</v>
      </c>
    </row>
    <row r="28301" spans="13:16">
      <c r="M28301" s="49">
        <f>IF($A$4+282&gt;$B$4,"",$A$4+282)</f>
        <v>46305</v>
      </c>
      <c r="N28301">
        <f>IF(M28301="","",'Master Barang'!A95)</f>
        <v>0</v>
      </c>
      <c r="O28301">
        <f>IF(N28301="","",'Master Barang'!B95)</f>
        <v>0</v>
      </c>
      <c r="P28301">
        <f>IF(OR(M28301="",N28301=""),"",SUMIFS('Barang Keluar'!$E:$E,'Barang Keluar'!$A:$A,M28301,'Barang Keluar'!$C:$C,N28301))</f>
        <v>0</v>
      </c>
    </row>
    <row r="28302" spans="13:16">
      <c r="M28302" s="49">
        <f>IF($A$4+282&gt;$B$4,"",$A$4+282)</f>
        <v>46305</v>
      </c>
      <c r="N28302">
        <f>IF(M28302="","",'Master Barang'!A96)</f>
        <v>0</v>
      </c>
      <c r="O28302">
        <f>IF(N28302="","",'Master Barang'!B96)</f>
        <v>0</v>
      </c>
      <c r="P28302">
        <f>IF(OR(M28302="",N28302=""),"",SUMIFS('Barang Keluar'!$E:$E,'Barang Keluar'!$A:$A,M28302,'Barang Keluar'!$C:$C,N28302))</f>
        <v>0</v>
      </c>
    </row>
    <row r="28303" spans="13:16">
      <c r="M28303" s="49">
        <f>IF($A$4+282&gt;$B$4,"",$A$4+282)</f>
        <v>46305</v>
      </c>
      <c r="N28303">
        <f>IF(M28303="","",'Master Barang'!A97)</f>
        <v>0</v>
      </c>
      <c r="O28303">
        <f>IF(N28303="","",'Master Barang'!B97)</f>
        <v>0</v>
      </c>
      <c r="P28303">
        <f>IF(OR(M28303="",N28303=""),"",SUMIFS('Barang Keluar'!$E:$E,'Barang Keluar'!$A:$A,M28303,'Barang Keluar'!$C:$C,N28303))</f>
        <v>0</v>
      </c>
    </row>
    <row r="28304" spans="13:16">
      <c r="M28304" s="49">
        <f>IF($A$4+282&gt;$B$4,"",$A$4+282)</f>
        <v>46305</v>
      </c>
      <c r="N28304">
        <f>IF(M28304="","",'Master Barang'!A98)</f>
        <v>0</v>
      </c>
      <c r="O28304">
        <f>IF(N28304="","",'Master Barang'!B98)</f>
        <v>0</v>
      </c>
      <c r="P28304">
        <f>IF(OR(M28304="",N28304=""),"",SUMIFS('Barang Keluar'!$E:$E,'Barang Keluar'!$A:$A,M28304,'Barang Keluar'!$C:$C,N28304))</f>
        <v>0</v>
      </c>
    </row>
    <row r="28305" spans="13:16">
      <c r="M28305" s="49">
        <f>IF($A$4+282&gt;$B$4,"",$A$4+282)</f>
        <v>46305</v>
      </c>
      <c r="N28305">
        <f>IF(M28305="","",'Master Barang'!A99)</f>
        <v>0</v>
      </c>
      <c r="O28305">
        <f>IF(N28305="","",'Master Barang'!B99)</f>
        <v>0</v>
      </c>
      <c r="P28305">
        <f>IF(OR(M28305="",N28305=""),"",SUMIFS('Barang Keluar'!$E:$E,'Barang Keluar'!$A:$A,M28305,'Barang Keluar'!$C:$C,N28305))</f>
        <v>0</v>
      </c>
    </row>
    <row r="28306" spans="13:16">
      <c r="M28306" s="49">
        <f>IF($A$4+282&gt;$B$4,"",$A$4+282)</f>
        <v>46305</v>
      </c>
      <c r="N28306">
        <f>IF(M28306="","",'Master Barang'!A100)</f>
        <v>0</v>
      </c>
      <c r="O28306">
        <f>IF(N28306="","",'Master Barang'!B100)</f>
        <v>0</v>
      </c>
      <c r="P28306">
        <f>IF(OR(M28306="",N28306=""),"",SUMIFS('Barang Keluar'!$E:$E,'Barang Keluar'!$A:$A,M28306,'Barang Keluar'!$C:$C,N28306))</f>
        <v>0</v>
      </c>
    </row>
    <row r="28307" spans="13:16">
      <c r="M28307" s="49">
        <f>IF($A$4+282&gt;$B$4,"",$A$4+282)</f>
        <v>46305</v>
      </c>
      <c r="N28307">
        <f>IF(M28307="","",'Master Barang'!A101)</f>
        <v>0</v>
      </c>
      <c r="O28307">
        <f>IF(N28307="","",'Master Barang'!B101)</f>
        <v>0</v>
      </c>
      <c r="P28307">
        <f>IF(OR(M28307="",N28307=""),"",SUMIFS('Barang Keluar'!$E:$E,'Barang Keluar'!$A:$A,M28307,'Barang Keluar'!$C:$C,N28307))</f>
        <v>0</v>
      </c>
    </row>
    <row r="28308" spans="13:16">
      <c r="M28308" s="49">
        <f>IF($A$4+283&gt;$B$4,"",$A$4+283)</f>
        <v>46306</v>
      </c>
      <c r="N28308" t="str">
        <f>IF(M28308="","",'Master Barang'!A2)</f>
        <v>PRL-001</v>
      </c>
      <c r="O28308" t="str">
        <f>IF(N28308="","",'Master Barang'!B2)</f>
        <v>natura desinfectant food grade 5l</v>
      </c>
      <c r="P28308">
        <f>IF(OR(M28308="",N28308=""),"",SUMIFS('Barang Keluar'!$E:$E,'Barang Keluar'!$A:$A,M28308,'Barang Keluar'!$C:$C,N28308))</f>
        <v>0</v>
      </c>
    </row>
    <row r="28309" spans="13:16">
      <c r="M28309" s="49">
        <f>IF($A$4+283&gt;$B$4,"",$A$4+283)</f>
        <v>46306</v>
      </c>
      <c r="N28309" t="str">
        <f>IF(M28309="","",'Master Barang'!A3)</f>
        <v>PRL-002</v>
      </c>
      <c r="O28309" t="str">
        <f>IF(N28309="","",'Master Barang'!B3)</f>
        <v>sunlight cairan pencuci piring 5l</v>
      </c>
      <c r="P28309">
        <f>IF(OR(M28309="",N28309=""),"",SUMIFS('Barang Keluar'!$E:$E,'Barang Keluar'!$A:$A,M28309,'Barang Keluar'!$C:$C,N28309))</f>
        <v>0</v>
      </c>
    </row>
    <row r="28310" spans="13:16">
      <c r="M28310" s="49">
        <f>IF($A$4+283&gt;$B$4,"",$A$4+283)</f>
        <v>46306</v>
      </c>
      <c r="N28310" t="str">
        <f>IF(M28310="","",'Master Barang'!A4)</f>
        <v>PRL-003</v>
      </c>
      <c r="O28310" t="str">
        <f>IF(N28310="","",'Master Barang'!B4)</f>
        <v>oixs cleaner 1l</v>
      </c>
      <c r="P28310">
        <f>IF(OR(M28310="",N28310=""),"",SUMIFS('Barang Keluar'!$E:$E,'Barang Keluar'!$A:$A,M28310,'Barang Keluar'!$C:$C,N28310))</f>
        <v>0</v>
      </c>
    </row>
    <row r="28311" spans="13:16">
      <c r="M28311" s="49">
        <f>IF($A$4+283&gt;$B$4,"",$A$4+283)</f>
        <v>46306</v>
      </c>
      <c r="N28311" t="str">
        <f>IF(M28311="","",'Master Barang'!A5)</f>
        <v>PRL-004</v>
      </c>
      <c r="O28311" t="str">
        <f>IF(N28311="","",'Master Barang'!B5)</f>
        <v>be clean tissue serbaguna</v>
      </c>
      <c r="P28311">
        <f>IF(OR(M28311="",N28311=""),"",SUMIFS('Barang Keluar'!$E:$E,'Barang Keluar'!$A:$A,M28311,'Barang Keluar'!$C:$C,N28311))</f>
        <v>0</v>
      </c>
    </row>
    <row r="28312" spans="13:16">
      <c r="M28312" s="49">
        <f>IF($A$4+283&gt;$B$4,"",$A$4+283)</f>
        <v>46306</v>
      </c>
      <c r="N28312" t="str">
        <f>IF(M28312="","",'Master Barang'!A6)</f>
        <v>PRL-005</v>
      </c>
      <c r="O28312" t="str">
        <f>IF(N28312="","",'Master Barang'!B6)</f>
        <v>spons cuci hijau</v>
      </c>
      <c r="P28312">
        <f>IF(OR(M28312="",N28312=""),"",SUMIFS('Barang Keluar'!$E:$E,'Barang Keluar'!$A:$A,M28312,'Barang Keluar'!$C:$C,N28312))</f>
        <v>0</v>
      </c>
    </row>
    <row r="28313" spans="13:16">
      <c r="M28313" s="49">
        <f>IF($A$4+283&gt;$B$4,"",$A$4+283)</f>
        <v>46306</v>
      </c>
      <c r="N28313" t="str">
        <f>IF(M28313="","",'Master Barang'!A7)</f>
        <v>PRL-006</v>
      </c>
      <c r="O28313" t="str">
        <f>IF(N28313="","",'Master Barang'!B7)</f>
        <v>sabut cuci stainless</v>
      </c>
      <c r="P28313">
        <f>IF(OR(M28313="",N28313=""),"",SUMIFS('Barang Keluar'!$E:$E,'Barang Keluar'!$A:$A,M28313,'Barang Keluar'!$C:$C,N28313))</f>
        <v>0</v>
      </c>
    </row>
    <row r="28314" spans="13:16">
      <c r="M28314" s="49">
        <f>IF($A$4+283&gt;$B$4,"",$A$4+283)</f>
        <v>46306</v>
      </c>
      <c r="N28314" t="str">
        <f>IF(M28314="","",'Master Barang'!A8)</f>
        <v>PRL-007</v>
      </c>
      <c r="O28314" t="str">
        <f>IF(N28314="","",'Master Barang'!B8)</f>
        <v>plastik kresek besar merah 50pc</v>
      </c>
      <c r="P28314">
        <f>IF(OR(M28314="",N28314=""),"",SUMIFS('Barang Keluar'!$E:$E,'Barang Keluar'!$A:$A,M28314,'Barang Keluar'!$C:$C,N28314))</f>
        <v>0</v>
      </c>
    </row>
    <row r="28315" spans="13:16">
      <c r="M28315" s="49">
        <f>IF($A$4+283&gt;$B$4,"",$A$4+283)</f>
        <v>46306</v>
      </c>
      <c r="N28315" t="str">
        <f>IF(M28315="","",'Master Barang'!A9)</f>
        <v>PRL-008</v>
      </c>
      <c r="O28315" t="str">
        <f>IF(N28315="","",'Master Barang'!B9)</f>
        <v>lap besar</v>
      </c>
      <c r="P28315">
        <f>IF(OR(M28315="",N28315=""),"",SUMIFS('Barang Keluar'!$E:$E,'Barang Keluar'!$A:$A,M28315,'Barang Keluar'!$C:$C,N28315))</f>
        <v>0</v>
      </c>
    </row>
    <row r="28316" spans="13:16">
      <c r="M28316" s="49">
        <f>IF($A$4+283&gt;$B$4,"",$A$4+283)</f>
        <v>46306</v>
      </c>
      <c r="N28316" t="str">
        <f>IF(M28316="","",'Master Barang'!A10)</f>
        <v>PRL-009</v>
      </c>
      <c r="O28316" t="str">
        <f>IF(N28316="","",'Master Barang'!B10)</f>
        <v>lap microfiber</v>
      </c>
      <c r="P28316">
        <f>IF(OR(M28316="",N28316=""),"",SUMIFS('Barang Keluar'!$E:$E,'Barang Keluar'!$A:$A,M28316,'Barang Keluar'!$C:$C,N28316))</f>
        <v>0</v>
      </c>
    </row>
    <row r="28317" spans="13:16">
      <c r="M28317" s="49">
        <f>IF($A$4+283&gt;$B$4,"",$A$4+283)</f>
        <v>46306</v>
      </c>
      <c r="N28317" t="str">
        <f>IF(M28317="","",'Master Barang'!A11)</f>
        <v>PRL-010</v>
      </c>
      <c r="O28317" t="str">
        <f>IF(N28317="","",'Master Barang'!B11)</f>
        <v>lap kecil</v>
      </c>
      <c r="P28317">
        <f>IF(OR(M28317="",N28317=""),"",SUMIFS('Barang Keluar'!$E:$E,'Barang Keluar'!$A:$A,M28317,'Barang Keluar'!$C:$C,N28317))</f>
        <v>0</v>
      </c>
    </row>
    <row r="28318" spans="13:16">
      <c r="M28318" s="49">
        <f>IF($A$4+283&gt;$B$4,"",$A$4+283)</f>
        <v>46306</v>
      </c>
      <c r="N28318" t="str">
        <f>IF(M28318="","",'Master Barang'!A12)</f>
        <v>PRL-011</v>
      </c>
      <c r="O28318" t="str">
        <f>IF(N28318="","",'Master Barang'!B12)</f>
        <v>kanebo kecil</v>
      </c>
      <c r="P28318">
        <f>IF(OR(M28318="",N28318=""),"",SUMIFS('Barang Keluar'!$E:$E,'Barang Keluar'!$A:$A,M28318,'Barang Keluar'!$C:$C,N28318))</f>
        <v>0</v>
      </c>
    </row>
    <row r="28319" spans="13:16">
      <c r="M28319" s="49">
        <f>IF($A$4+283&gt;$B$4,"",$A$4+283)</f>
        <v>46306</v>
      </c>
      <c r="N28319" t="str">
        <f>IF(M28319="","",'Master Barang'!A13)</f>
        <v>PRL-012</v>
      </c>
      <c r="O28319" t="str">
        <f>IF(N28319="","",'Master Barang'!B13)</f>
        <v>plastik 1/4kg joyoboyo 100 lembar</v>
      </c>
      <c r="P28319">
        <f>IF(OR(M28319="",N28319=""),"",SUMIFS('Barang Keluar'!$E:$E,'Barang Keluar'!$A:$A,M28319,'Barang Keluar'!$C:$C,N28319))</f>
        <v>0</v>
      </c>
    </row>
    <row r="28320" spans="13:16">
      <c r="M28320" s="49">
        <f>IF($A$4+283&gt;$B$4,"",$A$4+283)</f>
        <v>46306</v>
      </c>
      <c r="N28320" t="str">
        <f>IF(M28320="","",'Master Barang'!A14)</f>
        <v>PRL-013</v>
      </c>
      <c r="O28320" t="str">
        <f>IF(N28320="","",'Master Barang'!B14)</f>
        <v>sarung tangan plastik kaka 100 pcs</v>
      </c>
      <c r="P28320">
        <f>IF(OR(M28320="",N28320=""),"",SUMIFS('Barang Keluar'!$E:$E,'Barang Keluar'!$A:$A,M28320,'Barang Keluar'!$C:$C,N28320))</f>
        <v>0</v>
      </c>
    </row>
    <row r="28321" spans="13:16">
      <c r="M28321" s="49">
        <f>IF($A$4+283&gt;$B$4,"",$A$4+283)</f>
        <v>46306</v>
      </c>
      <c r="N28321" t="str">
        <f>IF(M28321="","",'Master Barang'!A15)</f>
        <v>PRL-014</v>
      </c>
      <c r="O28321" t="str">
        <f>IF(N28321="","",'Master Barang'!B15)</f>
        <v>optima trashbag 80x100</v>
      </c>
      <c r="P28321">
        <f>IF(OR(M28321="",N28321=""),"",SUMIFS('Barang Keluar'!$E:$E,'Barang Keluar'!$A:$A,M28321,'Barang Keluar'!$C:$C,N28321))</f>
        <v>0</v>
      </c>
    </row>
    <row r="28322" spans="13:16">
      <c r="M28322" s="49">
        <f>IF($A$4+283&gt;$B$4,"",$A$4+283)</f>
        <v>46306</v>
      </c>
      <c r="N28322" t="str">
        <f>IF(M28322="","",'Master Barang'!A16)</f>
        <v>PRL-015</v>
      </c>
      <c r="O28322" t="str">
        <f>IF(N28322="","",'Master Barang'!B16)</f>
        <v>optima trashbag 60x100</v>
      </c>
      <c r="P28322">
        <f>IF(OR(M28322="",N28322=""),"",SUMIFS('Barang Keluar'!$E:$E,'Barang Keluar'!$A:$A,M28322,'Barang Keluar'!$C:$C,N28322))</f>
        <v>0</v>
      </c>
    </row>
    <row r="28323" spans="13:16">
      <c r="M28323" s="49">
        <f>IF($A$4+283&gt;$B$4,"",$A$4+283)</f>
        <v>46306</v>
      </c>
      <c r="N28323" t="str">
        <f>IF(M28323="","",'Master Barang'!A17)</f>
        <v>PRL-016</v>
      </c>
      <c r="O28323" t="str">
        <f>IF(N28323="","",'Master Barang'!B17)</f>
        <v>rajawali trashbag 30x40</v>
      </c>
      <c r="P28323">
        <f>IF(OR(M28323="",N28323=""),"",SUMIFS('Barang Keluar'!$E:$E,'Barang Keluar'!$A:$A,M28323,'Barang Keluar'!$C:$C,N28323))</f>
        <v>0</v>
      </c>
    </row>
    <row r="28324" spans="13:16">
      <c r="M28324" s="49">
        <f>IF($A$4+283&gt;$B$4,"",$A$4+283)</f>
        <v>46306</v>
      </c>
      <c r="N28324" t="str">
        <f>IF(M28324="","",'Master Barang'!A18)</f>
        <v>PRL-017</v>
      </c>
      <c r="O28324" t="str">
        <f>IF(N28324="","",'Master Barang'!B18)</f>
        <v>onemed masker biru 3 play 50 pcs</v>
      </c>
      <c r="P28324">
        <f>IF(OR(M28324="",N28324=""),"",SUMIFS('Barang Keluar'!$E:$E,'Barang Keluar'!$A:$A,M28324,'Barang Keluar'!$C:$C,N28324))</f>
        <v>0</v>
      </c>
    </row>
    <row r="28325" spans="13:16">
      <c r="M28325" s="49">
        <f>IF($A$4+283&gt;$B$4,"",$A$4+283)</f>
        <v>46306</v>
      </c>
      <c r="N28325" t="str">
        <f>IF(M28325="","",'Master Barang'!A19)</f>
        <v>PRL-018</v>
      </c>
      <c r="O28325" t="str">
        <f>IF(N28325="","",'Master Barang'!B19)</f>
        <v>onemed masker biru 3 play hijab 50 pcs</v>
      </c>
      <c r="P28325">
        <f>IF(OR(M28325="",N28325=""),"",SUMIFS('Barang Keluar'!$E:$E,'Barang Keluar'!$A:$A,M28325,'Barang Keluar'!$C:$C,N28325))</f>
        <v>0</v>
      </c>
    </row>
    <row r="28326" spans="13:16">
      <c r="M28326" s="49">
        <f>IF($A$4+283&gt;$B$4,"",$A$4+283)</f>
        <v>46306</v>
      </c>
      <c r="N28326" t="str">
        <f>IF(M28326="","",'Master Barang'!A20)</f>
        <v>PRL-019</v>
      </c>
      <c r="O28326" t="str">
        <f>IF(N28326="","",'Master Barang'!B20)</f>
        <v>neo health masker biru 3 play 50 pcs</v>
      </c>
      <c r="P28326">
        <f>IF(OR(M28326="",N28326=""),"",SUMIFS('Barang Keluar'!$E:$E,'Barang Keluar'!$A:$A,M28326,'Barang Keluar'!$C:$C,N28326))</f>
        <v>0</v>
      </c>
    </row>
    <row r="28327" spans="13:16">
      <c r="M28327" s="49">
        <f>IF($A$4+283&gt;$B$4,"",$A$4+283)</f>
        <v>46306</v>
      </c>
      <c r="N28327" t="str">
        <f>IF(M28327="","",'Master Barang'!A21)</f>
        <v>PRL-020</v>
      </c>
      <c r="O28327" t="str">
        <f>IF(N28327="","",'Master Barang'!B21)</f>
        <v>baymed masker hijau 3 play hijau 50 pcs</v>
      </c>
      <c r="P28327">
        <f>IF(OR(M28327="",N28327=""),"",SUMIFS('Barang Keluar'!$E:$E,'Barang Keluar'!$A:$A,M28327,'Barang Keluar'!$C:$C,N28327))</f>
        <v>0</v>
      </c>
    </row>
    <row r="28328" spans="13:16">
      <c r="M28328" s="49">
        <f>IF($A$4+283&gt;$B$4,"",$A$4+283)</f>
        <v>46306</v>
      </c>
      <c r="N28328" t="str">
        <f>IF(M28328="","",'Master Barang'!A22)</f>
        <v>PRL-021</v>
      </c>
      <c r="O28328" t="str">
        <f>IF(N28328="","",'Master Barang'!B22)</f>
        <v>altamed nurse cap penutup kepala 100 pcs</v>
      </c>
      <c r="P28328">
        <f>IF(OR(M28328="",N28328=""),"",SUMIFS('Barang Keluar'!$E:$E,'Barang Keluar'!$A:$A,M28328,'Barang Keluar'!$C:$C,N28328))</f>
        <v>0</v>
      </c>
    </row>
    <row r="28329" spans="13:16">
      <c r="M28329" s="49">
        <f>IF($A$4+283&gt;$B$4,"",$A$4+283)</f>
        <v>46306</v>
      </c>
      <c r="N28329" t="str">
        <f>IF(M28329="","",'Master Barang'!A23)</f>
        <v>PRL-022</v>
      </c>
      <c r="O28329" t="str">
        <f>IF(N28329="","",'Master Barang'!B23)</f>
        <v>sabun cuci tangan</v>
      </c>
      <c r="P28329">
        <f>IF(OR(M28329="",N28329=""),"",SUMIFS('Barang Keluar'!$E:$E,'Barang Keluar'!$A:$A,M28329,'Barang Keluar'!$C:$C,N28329))</f>
        <v>0</v>
      </c>
    </row>
    <row r="28330" spans="13:16">
      <c r="M28330" s="49">
        <f>IF($A$4+283&gt;$B$4,"",$A$4+283)</f>
        <v>46306</v>
      </c>
      <c r="N28330" t="str">
        <f>IF(M28330="","",'Master Barang'!A24)</f>
        <v>PRL-023</v>
      </c>
      <c r="O28330" t="str">
        <f>IF(N28330="","",'Master Barang'!B24)</f>
        <v>gayung kecil</v>
      </c>
      <c r="P28330">
        <f>IF(OR(M28330="",N28330=""),"",SUMIFS('Barang Keluar'!$E:$E,'Barang Keluar'!$A:$A,M28330,'Barang Keluar'!$C:$C,N28330))</f>
        <v>0</v>
      </c>
    </row>
    <row r="28331" spans="13:16">
      <c r="M28331" s="49">
        <f>IF($A$4+283&gt;$B$4,"",$A$4+283)</f>
        <v>46306</v>
      </c>
      <c r="N28331" t="str">
        <f>IF(M28331="","",'Master Barang'!A25)</f>
        <v>PRL-024</v>
      </c>
      <c r="O28331" t="str">
        <f>IF(N28331="","",'Master Barang'!B25)</f>
        <v>cikrak kecil</v>
      </c>
      <c r="P28331">
        <f>IF(OR(M28331="",N28331=""),"",SUMIFS('Barang Keluar'!$E:$E,'Barang Keluar'!$A:$A,M28331,'Barang Keluar'!$C:$C,N28331))</f>
        <v>0</v>
      </c>
    </row>
    <row r="28332" spans="13:16">
      <c r="M28332" s="49">
        <f>IF($A$4+283&gt;$B$4,"",$A$4+283)</f>
        <v>46306</v>
      </c>
      <c r="N28332" t="str">
        <f>IF(M28332="","",'Master Barang'!A26)</f>
        <v>PRL-025</v>
      </c>
      <c r="O28332" t="str">
        <f>IF(N28332="","",'Master Barang'!B26)</f>
        <v>petromax plastik kecil 12x24 100 lembar</v>
      </c>
      <c r="P28332">
        <f>IF(OR(M28332="",N28332=""),"",SUMIFS('Barang Keluar'!$E:$E,'Barang Keluar'!$A:$A,M28332,'Barang Keluar'!$C:$C,N28332))</f>
        <v>0</v>
      </c>
    </row>
    <row r="28333" spans="13:16">
      <c r="M28333" s="49">
        <f>IF($A$4+283&gt;$B$4,"",$A$4+283)</f>
        <v>46306</v>
      </c>
      <c r="N28333" t="str">
        <f>IF(M28333="","",'Master Barang'!A27)</f>
        <v>PRL-026</v>
      </c>
      <c r="O28333" t="str">
        <f>IF(N28333="","",'Master Barang'!B27)</f>
        <v>lancar kresek kecil bening </v>
      </c>
      <c r="P28333">
        <f>IF(OR(M28333="",N28333=""),"",SUMIFS('Barang Keluar'!$E:$E,'Barang Keluar'!$A:$A,M28333,'Barang Keluar'!$C:$C,N28333))</f>
        <v>0</v>
      </c>
    </row>
    <row r="28334" spans="13:16">
      <c r="M28334" s="49">
        <f>IF($A$4+283&gt;$B$4,"",$A$4+283)</f>
        <v>46306</v>
      </c>
      <c r="N28334" t="str">
        <f>IF(M28334="","",'Master Barang'!A28)</f>
        <v>PRL-027</v>
      </c>
      <c r="O28334" t="str">
        <f>IF(N28334="","",'Master Barang'!B28)</f>
        <v>kresek klin warna warni kecil</v>
      </c>
      <c r="P28334">
        <f>IF(OR(M28334="",N28334=""),"",SUMIFS('Barang Keluar'!$E:$E,'Barang Keluar'!$A:$A,M28334,'Barang Keluar'!$C:$C,N28334))</f>
        <v>0</v>
      </c>
    </row>
    <row r="28335" spans="13:16">
      <c r="M28335" s="49">
        <f>IF($A$4+283&gt;$B$4,"",$A$4+283)</f>
        <v>46306</v>
      </c>
      <c r="N28335" t="str">
        <f>IF(M28335="","",'Master Barang'!A29)</f>
        <v>PRL-028</v>
      </c>
      <c r="O28335" t="str">
        <f>IF(N28335="","",'Master Barang'!B29)</f>
        <v>ctik plastik 7x10 100 pcs</v>
      </c>
      <c r="P28335">
        <f>IF(OR(M28335="",N28335=""),"",SUMIFS('Barang Keluar'!$E:$E,'Barang Keluar'!$A:$A,M28335,'Barang Keluar'!$C:$C,N28335))</f>
        <v>0</v>
      </c>
    </row>
    <row r="28336" spans="13:16">
      <c r="M28336" s="49">
        <f>IF($A$4+283&gt;$B$4,"",$A$4+283)</f>
        <v>46306</v>
      </c>
      <c r="N28336" t="str">
        <f>IF(M28336="","",'Master Barang'!A30)</f>
        <v>PRL-029</v>
      </c>
      <c r="O28336" t="str">
        <f>IF(N28336="","",'Master Barang'!B30)</f>
        <v>ctik plastik 6x10 100 pcs</v>
      </c>
      <c r="P28336">
        <f>IF(OR(M28336="",N28336=""),"",SUMIFS('Barang Keluar'!$E:$E,'Barang Keluar'!$A:$A,M28336,'Barang Keluar'!$C:$C,N28336))</f>
        <v>0</v>
      </c>
    </row>
    <row r="28337" spans="13:16">
      <c r="M28337" s="49">
        <f>IF($A$4+283&gt;$B$4,"",$A$4+283)</f>
        <v>46306</v>
      </c>
      <c r="N28337" t="str">
        <f>IF(M28337="","",'Master Barang'!A31)</f>
        <v>PRL-030</v>
      </c>
      <c r="O28337" t="str">
        <f>IF(N28337="","",'Master Barang'!B31)</f>
        <v>klip plastik 25x16 100 pcs</v>
      </c>
      <c r="P28337">
        <f>IF(OR(M28337="",N28337=""),"",SUMIFS('Barang Keluar'!$E:$E,'Barang Keluar'!$A:$A,M28337,'Barang Keluar'!$C:$C,N28337))</f>
        <v>0</v>
      </c>
    </row>
    <row r="28338" spans="13:16">
      <c r="M28338" s="49">
        <f>IF($A$4+283&gt;$B$4,"",$A$4+283)</f>
        <v>46306</v>
      </c>
      <c r="N28338" t="str">
        <f>IF(M28338="","",'Master Barang'!A32)</f>
        <v>PRL-031</v>
      </c>
      <c r="O28338" t="str">
        <f>IF(N28338="","",'Master Barang'!B32)</f>
        <v>tempat saus 20 ml</v>
      </c>
      <c r="P28338">
        <f>IF(OR(M28338="",N28338=""),"",SUMIFS('Barang Keluar'!$E:$E,'Barang Keluar'!$A:$A,M28338,'Barang Keluar'!$C:$C,N28338))</f>
        <v>0</v>
      </c>
    </row>
    <row r="28339" spans="13:16">
      <c r="M28339" s="49">
        <f>IF($A$4+283&gt;$B$4,"",$A$4+283)</f>
        <v>46306</v>
      </c>
      <c r="N28339" t="str">
        <f>IF(M28339="","",'Master Barang'!A33)</f>
        <v>PRL-032</v>
      </c>
      <c r="O28339" t="str">
        <f>IF(N28339="","",'Master Barang'!B33)</f>
        <v>plastik packaging ag box uk sedang</v>
      </c>
      <c r="P28339">
        <f>IF(OR(M28339="",N28339=""),"",SUMIFS('Barang Keluar'!$E:$E,'Barang Keluar'!$A:$A,M28339,'Barang Keluar'!$C:$C,N28339))</f>
        <v>0</v>
      </c>
    </row>
    <row r="28340" spans="13:16">
      <c r="M28340" s="49">
        <f>IF($A$4+283&gt;$B$4,"",$A$4+283)</f>
        <v>46306</v>
      </c>
      <c r="N28340" t="str">
        <f>IF(M28340="","",'Master Barang'!A34)</f>
        <v>PRL-033</v>
      </c>
      <c r="O28340">
        <f>IF(N28340="","",'Master Barang'!B34)</f>
        <v>0</v>
      </c>
      <c r="P28340">
        <f>IF(OR(M28340="",N28340=""),"",SUMIFS('Barang Keluar'!$E:$E,'Barang Keluar'!$A:$A,M28340,'Barang Keluar'!$C:$C,N28340))</f>
        <v>0</v>
      </c>
    </row>
    <row r="28341" spans="13:16">
      <c r="M28341" s="49">
        <f>IF($A$4+283&gt;$B$4,"",$A$4+283)</f>
        <v>46306</v>
      </c>
      <c r="N28341">
        <f>IF(M28341="","",'Master Barang'!A35)</f>
        <v>0</v>
      </c>
      <c r="O28341">
        <f>IF(N28341="","",'Master Barang'!B35)</f>
        <v>0</v>
      </c>
      <c r="P28341">
        <f>IF(OR(M28341="",N28341=""),"",SUMIFS('Barang Keluar'!$E:$E,'Barang Keluar'!$A:$A,M28341,'Barang Keluar'!$C:$C,N28341))</f>
        <v>0</v>
      </c>
    </row>
    <row r="28342" spans="13:16">
      <c r="M28342" s="49">
        <f>IF($A$4+283&gt;$B$4,"",$A$4+283)</f>
        <v>46306</v>
      </c>
      <c r="N28342">
        <f>IF(M28342="","",'Master Barang'!A36)</f>
        <v>0</v>
      </c>
      <c r="O28342">
        <f>IF(N28342="","",'Master Barang'!B36)</f>
        <v>0</v>
      </c>
      <c r="P28342">
        <f>IF(OR(M28342="",N28342=""),"",SUMIFS('Barang Keluar'!$E:$E,'Barang Keluar'!$A:$A,M28342,'Barang Keluar'!$C:$C,N28342))</f>
        <v>0</v>
      </c>
    </row>
    <row r="28343" spans="13:16">
      <c r="M28343" s="49">
        <f>IF($A$4+283&gt;$B$4,"",$A$4+283)</f>
        <v>46306</v>
      </c>
      <c r="N28343">
        <f>IF(M28343="","",'Master Barang'!A37)</f>
        <v>0</v>
      </c>
      <c r="O28343">
        <f>IF(N28343="","",'Master Barang'!B37)</f>
        <v>0</v>
      </c>
      <c r="P28343">
        <f>IF(OR(M28343="",N28343=""),"",SUMIFS('Barang Keluar'!$E:$E,'Barang Keluar'!$A:$A,M28343,'Barang Keluar'!$C:$C,N28343))</f>
        <v>0</v>
      </c>
    </row>
    <row r="28344" spans="13:16">
      <c r="M28344" s="49">
        <f>IF($A$4+283&gt;$B$4,"",$A$4+283)</f>
        <v>46306</v>
      </c>
      <c r="N28344">
        <f>IF(M28344="","",'Master Barang'!A38)</f>
        <v>0</v>
      </c>
      <c r="O28344">
        <f>IF(N28344="","",'Master Barang'!B38)</f>
        <v>0</v>
      </c>
      <c r="P28344">
        <f>IF(OR(M28344="",N28344=""),"",SUMIFS('Barang Keluar'!$E:$E,'Barang Keluar'!$A:$A,M28344,'Barang Keluar'!$C:$C,N28344))</f>
        <v>0</v>
      </c>
    </row>
    <row r="28345" spans="13:16">
      <c r="M28345" s="49">
        <f>IF($A$4+283&gt;$B$4,"",$A$4+283)</f>
        <v>46306</v>
      </c>
      <c r="N28345">
        <f>IF(M28345="","",'Master Barang'!A39)</f>
        <v>0</v>
      </c>
      <c r="O28345">
        <f>IF(N28345="","",'Master Barang'!B39)</f>
        <v>0</v>
      </c>
      <c r="P28345">
        <f>IF(OR(M28345="",N28345=""),"",SUMIFS('Barang Keluar'!$E:$E,'Barang Keluar'!$A:$A,M28345,'Barang Keluar'!$C:$C,N28345))</f>
        <v>0</v>
      </c>
    </row>
    <row r="28346" spans="13:16">
      <c r="M28346" s="49">
        <f>IF($A$4+283&gt;$B$4,"",$A$4+283)</f>
        <v>46306</v>
      </c>
      <c r="N28346">
        <f>IF(M28346="","",'Master Barang'!A40)</f>
        <v>0</v>
      </c>
      <c r="O28346">
        <f>IF(N28346="","",'Master Barang'!B40)</f>
        <v>0</v>
      </c>
      <c r="P28346">
        <f>IF(OR(M28346="",N28346=""),"",SUMIFS('Barang Keluar'!$E:$E,'Barang Keluar'!$A:$A,M28346,'Barang Keluar'!$C:$C,N28346))</f>
        <v>0</v>
      </c>
    </row>
    <row r="28347" spans="13:16">
      <c r="M28347" s="49">
        <f>IF($A$4+283&gt;$B$4,"",$A$4+283)</f>
        <v>46306</v>
      </c>
      <c r="N28347">
        <f>IF(M28347="","",'Master Barang'!A41)</f>
        <v>0</v>
      </c>
      <c r="O28347">
        <f>IF(N28347="","",'Master Barang'!B41)</f>
        <v>0</v>
      </c>
      <c r="P28347">
        <f>IF(OR(M28347="",N28347=""),"",SUMIFS('Barang Keluar'!$E:$E,'Barang Keluar'!$A:$A,M28347,'Barang Keluar'!$C:$C,N28347))</f>
        <v>0</v>
      </c>
    </row>
    <row r="28348" spans="13:16">
      <c r="M28348" s="49">
        <f>IF($A$4+283&gt;$B$4,"",$A$4+283)</f>
        <v>46306</v>
      </c>
      <c r="N28348">
        <f>IF(M28348="","",'Master Barang'!A42)</f>
        <v>0</v>
      </c>
      <c r="O28348">
        <f>IF(N28348="","",'Master Barang'!B42)</f>
        <v>0</v>
      </c>
      <c r="P28348">
        <f>IF(OR(M28348="",N28348=""),"",SUMIFS('Barang Keluar'!$E:$E,'Barang Keluar'!$A:$A,M28348,'Barang Keluar'!$C:$C,N28348))</f>
        <v>0</v>
      </c>
    </row>
    <row r="28349" spans="13:16">
      <c r="M28349" s="49">
        <f>IF($A$4+283&gt;$B$4,"",$A$4+283)</f>
        <v>46306</v>
      </c>
      <c r="N28349">
        <f>IF(M28349="","",'Master Barang'!A43)</f>
        <v>0</v>
      </c>
      <c r="O28349">
        <f>IF(N28349="","",'Master Barang'!B43)</f>
        <v>0</v>
      </c>
      <c r="P28349">
        <f>IF(OR(M28349="",N28349=""),"",SUMIFS('Barang Keluar'!$E:$E,'Barang Keluar'!$A:$A,M28349,'Barang Keluar'!$C:$C,N28349))</f>
        <v>0</v>
      </c>
    </row>
    <row r="28350" spans="13:16">
      <c r="M28350" s="49">
        <f>IF($A$4+283&gt;$B$4,"",$A$4+283)</f>
        <v>46306</v>
      </c>
      <c r="N28350">
        <f>IF(M28350="","",'Master Barang'!A44)</f>
        <v>0</v>
      </c>
      <c r="O28350">
        <f>IF(N28350="","",'Master Barang'!B44)</f>
        <v>0</v>
      </c>
      <c r="P28350">
        <f>IF(OR(M28350="",N28350=""),"",SUMIFS('Barang Keluar'!$E:$E,'Barang Keluar'!$A:$A,M28350,'Barang Keluar'!$C:$C,N28350))</f>
        <v>0</v>
      </c>
    </row>
    <row r="28351" spans="13:16">
      <c r="M28351" s="49">
        <f>IF($A$4+283&gt;$B$4,"",$A$4+283)</f>
        <v>46306</v>
      </c>
      <c r="N28351">
        <f>IF(M28351="","",'Master Barang'!A45)</f>
        <v>0</v>
      </c>
      <c r="O28351">
        <f>IF(N28351="","",'Master Barang'!B45)</f>
        <v>0</v>
      </c>
      <c r="P28351">
        <f>IF(OR(M28351="",N28351=""),"",SUMIFS('Barang Keluar'!$E:$E,'Barang Keluar'!$A:$A,M28351,'Barang Keluar'!$C:$C,N28351))</f>
        <v>0</v>
      </c>
    </row>
    <row r="28352" spans="13:16">
      <c r="M28352" s="49">
        <f>IF($A$4+283&gt;$B$4,"",$A$4+283)</f>
        <v>46306</v>
      </c>
      <c r="N28352">
        <f>IF(M28352="","",'Master Barang'!A46)</f>
        <v>0</v>
      </c>
      <c r="O28352">
        <f>IF(N28352="","",'Master Barang'!B46)</f>
        <v>0</v>
      </c>
      <c r="P28352">
        <f>IF(OR(M28352="",N28352=""),"",SUMIFS('Barang Keluar'!$E:$E,'Barang Keluar'!$A:$A,M28352,'Barang Keluar'!$C:$C,N28352))</f>
        <v>0</v>
      </c>
    </row>
    <row r="28353" spans="13:16">
      <c r="M28353" s="49">
        <f>IF($A$4+283&gt;$B$4,"",$A$4+283)</f>
        <v>46306</v>
      </c>
      <c r="N28353">
        <f>IF(M28353="","",'Master Barang'!A47)</f>
        <v>0</v>
      </c>
      <c r="O28353">
        <f>IF(N28353="","",'Master Barang'!B47)</f>
        <v>0</v>
      </c>
      <c r="P28353">
        <f>IF(OR(M28353="",N28353=""),"",SUMIFS('Barang Keluar'!$E:$E,'Barang Keluar'!$A:$A,M28353,'Barang Keluar'!$C:$C,N28353))</f>
        <v>0</v>
      </c>
    </row>
    <row r="28354" spans="13:16">
      <c r="M28354" s="49">
        <f>IF($A$4+283&gt;$B$4,"",$A$4+283)</f>
        <v>46306</v>
      </c>
      <c r="N28354">
        <f>IF(M28354="","",'Master Barang'!A48)</f>
        <v>0</v>
      </c>
      <c r="O28354">
        <f>IF(N28354="","",'Master Barang'!B48)</f>
        <v>0</v>
      </c>
      <c r="P28354">
        <f>IF(OR(M28354="",N28354=""),"",SUMIFS('Barang Keluar'!$E:$E,'Barang Keluar'!$A:$A,M28354,'Barang Keluar'!$C:$C,N28354))</f>
        <v>0</v>
      </c>
    </row>
    <row r="28355" spans="13:16">
      <c r="M28355" s="49">
        <f>IF($A$4+283&gt;$B$4,"",$A$4+283)</f>
        <v>46306</v>
      </c>
      <c r="N28355">
        <f>IF(M28355="","",'Master Barang'!A49)</f>
        <v>0</v>
      </c>
      <c r="O28355">
        <f>IF(N28355="","",'Master Barang'!B49)</f>
        <v>0</v>
      </c>
      <c r="P28355">
        <f>IF(OR(M28355="",N28355=""),"",SUMIFS('Barang Keluar'!$E:$E,'Barang Keluar'!$A:$A,M28355,'Barang Keluar'!$C:$C,N28355))</f>
        <v>0</v>
      </c>
    </row>
    <row r="28356" spans="13:16">
      <c r="M28356" s="49">
        <f>IF($A$4+283&gt;$B$4,"",$A$4+283)</f>
        <v>46306</v>
      </c>
      <c r="N28356">
        <f>IF(M28356="","",'Master Barang'!A50)</f>
        <v>0</v>
      </c>
      <c r="O28356">
        <f>IF(N28356="","",'Master Barang'!B50)</f>
        <v>0</v>
      </c>
      <c r="P28356">
        <f>IF(OR(M28356="",N28356=""),"",SUMIFS('Barang Keluar'!$E:$E,'Barang Keluar'!$A:$A,M28356,'Barang Keluar'!$C:$C,N28356))</f>
        <v>0</v>
      </c>
    </row>
    <row r="28357" spans="13:16">
      <c r="M28357" s="49">
        <f>IF($A$4+283&gt;$B$4,"",$A$4+283)</f>
        <v>46306</v>
      </c>
      <c r="N28357">
        <f>IF(M28357="","",'Master Barang'!A51)</f>
        <v>0</v>
      </c>
      <c r="O28357">
        <f>IF(N28357="","",'Master Barang'!B51)</f>
        <v>0</v>
      </c>
      <c r="P28357">
        <f>IF(OR(M28357="",N28357=""),"",SUMIFS('Barang Keluar'!$E:$E,'Barang Keluar'!$A:$A,M28357,'Barang Keluar'!$C:$C,N28357))</f>
        <v>0</v>
      </c>
    </row>
    <row r="28358" spans="13:16">
      <c r="M28358" s="49">
        <f>IF($A$4+283&gt;$B$4,"",$A$4+283)</f>
        <v>46306</v>
      </c>
      <c r="N28358">
        <f>IF(M28358="","",'Master Barang'!A52)</f>
        <v>0</v>
      </c>
      <c r="O28358">
        <f>IF(N28358="","",'Master Barang'!B52)</f>
        <v>0</v>
      </c>
      <c r="P28358">
        <f>IF(OR(M28358="",N28358=""),"",SUMIFS('Barang Keluar'!$E:$E,'Barang Keluar'!$A:$A,M28358,'Barang Keluar'!$C:$C,N28358))</f>
        <v>0</v>
      </c>
    </row>
    <row r="28359" spans="13:16">
      <c r="M28359" s="49">
        <f>IF($A$4+283&gt;$B$4,"",$A$4+283)</f>
        <v>46306</v>
      </c>
      <c r="N28359">
        <f>IF(M28359="","",'Master Barang'!A53)</f>
        <v>0</v>
      </c>
      <c r="O28359">
        <f>IF(N28359="","",'Master Barang'!B53)</f>
        <v>0</v>
      </c>
      <c r="P28359">
        <f>IF(OR(M28359="",N28359=""),"",SUMIFS('Barang Keluar'!$E:$E,'Barang Keluar'!$A:$A,M28359,'Barang Keluar'!$C:$C,N28359))</f>
        <v>0</v>
      </c>
    </row>
    <row r="28360" spans="13:16">
      <c r="M28360" s="49">
        <f>IF($A$4+283&gt;$B$4,"",$A$4+283)</f>
        <v>46306</v>
      </c>
      <c r="N28360">
        <f>IF(M28360="","",'Master Barang'!A54)</f>
        <v>0</v>
      </c>
      <c r="O28360">
        <f>IF(N28360="","",'Master Barang'!B54)</f>
        <v>0</v>
      </c>
      <c r="P28360">
        <f>IF(OR(M28360="",N28360=""),"",SUMIFS('Barang Keluar'!$E:$E,'Barang Keluar'!$A:$A,M28360,'Barang Keluar'!$C:$C,N28360))</f>
        <v>0</v>
      </c>
    </row>
    <row r="28361" spans="13:16">
      <c r="M28361" s="49">
        <f>IF($A$4+283&gt;$B$4,"",$A$4+283)</f>
        <v>46306</v>
      </c>
      <c r="N28361">
        <f>IF(M28361="","",'Master Barang'!A55)</f>
        <v>0</v>
      </c>
      <c r="O28361">
        <f>IF(N28361="","",'Master Barang'!B55)</f>
        <v>0</v>
      </c>
      <c r="P28361">
        <f>IF(OR(M28361="",N28361=""),"",SUMIFS('Barang Keluar'!$E:$E,'Barang Keluar'!$A:$A,M28361,'Barang Keluar'!$C:$C,N28361))</f>
        <v>0</v>
      </c>
    </row>
    <row r="28362" spans="13:16">
      <c r="M28362" s="49">
        <f>IF($A$4+283&gt;$B$4,"",$A$4+283)</f>
        <v>46306</v>
      </c>
      <c r="N28362">
        <f>IF(M28362="","",'Master Barang'!A56)</f>
        <v>0</v>
      </c>
      <c r="O28362">
        <f>IF(N28362="","",'Master Barang'!B56)</f>
        <v>0</v>
      </c>
      <c r="P28362">
        <f>IF(OR(M28362="",N28362=""),"",SUMIFS('Barang Keluar'!$E:$E,'Barang Keluar'!$A:$A,M28362,'Barang Keluar'!$C:$C,N28362))</f>
        <v>0</v>
      </c>
    </row>
    <row r="28363" spans="13:16">
      <c r="M28363" s="49">
        <f>IF($A$4+283&gt;$B$4,"",$A$4+283)</f>
        <v>46306</v>
      </c>
      <c r="N28363">
        <f>IF(M28363="","",'Master Barang'!A57)</f>
        <v>0</v>
      </c>
      <c r="O28363">
        <f>IF(N28363="","",'Master Barang'!B57)</f>
        <v>0</v>
      </c>
      <c r="P28363">
        <f>IF(OR(M28363="",N28363=""),"",SUMIFS('Barang Keluar'!$E:$E,'Barang Keluar'!$A:$A,M28363,'Barang Keluar'!$C:$C,N28363))</f>
        <v>0</v>
      </c>
    </row>
    <row r="28364" spans="13:16">
      <c r="M28364" s="49">
        <f>IF($A$4+283&gt;$B$4,"",$A$4+283)</f>
        <v>46306</v>
      </c>
      <c r="N28364">
        <f>IF(M28364="","",'Master Barang'!A58)</f>
        <v>0</v>
      </c>
      <c r="O28364">
        <f>IF(N28364="","",'Master Barang'!B58)</f>
        <v>0</v>
      </c>
      <c r="P28364">
        <f>IF(OR(M28364="",N28364=""),"",SUMIFS('Barang Keluar'!$E:$E,'Barang Keluar'!$A:$A,M28364,'Barang Keluar'!$C:$C,N28364))</f>
        <v>0</v>
      </c>
    </row>
    <row r="28365" spans="13:16">
      <c r="M28365" s="49">
        <f>IF($A$4+283&gt;$B$4,"",$A$4+283)</f>
        <v>46306</v>
      </c>
      <c r="N28365">
        <f>IF(M28365="","",'Master Barang'!A59)</f>
        <v>0</v>
      </c>
      <c r="O28365">
        <f>IF(N28365="","",'Master Barang'!B59)</f>
        <v>0</v>
      </c>
      <c r="P28365">
        <f>IF(OR(M28365="",N28365=""),"",SUMIFS('Barang Keluar'!$E:$E,'Barang Keluar'!$A:$A,M28365,'Barang Keluar'!$C:$C,N28365))</f>
        <v>0</v>
      </c>
    </row>
    <row r="28366" spans="13:16">
      <c r="M28366" s="49">
        <f>IF($A$4+283&gt;$B$4,"",$A$4+283)</f>
        <v>46306</v>
      </c>
      <c r="N28366">
        <f>IF(M28366="","",'Master Barang'!A60)</f>
        <v>0</v>
      </c>
      <c r="O28366">
        <f>IF(N28366="","",'Master Barang'!B60)</f>
        <v>0</v>
      </c>
      <c r="P28366">
        <f>IF(OR(M28366="",N28366=""),"",SUMIFS('Barang Keluar'!$E:$E,'Barang Keluar'!$A:$A,M28366,'Barang Keluar'!$C:$C,N28366))</f>
        <v>0</v>
      </c>
    </row>
    <row r="28367" spans="13:16">
      <c r="M28367" s="49">
        <f>IF($A$4+283&gt;$B$4,"",$A$4+283)</f>
        <v>46306</v>
      </c>
      <c r="N28367">
        <f>IF(M28367="","",'Master Barang'!A61)</f>
        <v>0</v>
      </c>
      <c r="O28367">
        <f>IF(N28367="","",'Master Barang'!B61)</f>
        <v>0</v>
      </c>
      <c r="P28367">
        <f>IF(OR(M28367="",N28367=""),"",SUMIFS('Barang Keluar'!$E:$E,'Barang Keluar'!$A:$A,M28367,'Barang Keluar'!$C:$C,N28367))</f>
        <v>0</v>
      </c>
    </row>
    <row r="28368" spans="13:16">
      <c r="M28368" s="49">
        <f>IF($A$4+283&gt;$B$4,"",$A$4+283)</f>
        <v>46306</v>
      </c>
      <c r="N28368">
        <f>IF(M28368="","",'Master Barang'!A62)</f>
        <v>0</v>
      </c>
      <c r="O28368">
        <f>IF(N28368="","",'Master Barang'!B62)</f>
        <v>0</v>
      </c>
      <c r="P28368">
        <f>IF(OR(M28368="",N28368=""),"",SUMIFS('Barang Keluar'!$E:$E,'Barang Keluar'!$A:$A,M28368,'Barang Keluar'!$C:$C,N28368))</f>
        <v>0</v>
      </c>
    </row>
    <row r="28369" spans="13:16">
      <c r="M28369" s="49">
        <f>IF($A$4+283&gt;$B$4,"",$A$4+283)</f>
        <v>46306</v>
      </c>
      <c r="N28369">
        <f>IF(M28369="","",'Master Barang'!A63)</f>
        <v>0</v>
      </c>
      <c r="O28369">
        <f>IF(N28369="","",'Master Barang'!B63)</f>
        <v>0</v>
      </c>
      <c r="P28369">
        <f>IF(OR(M28369="",N28369=""),"",SUMIFS('Barang Keluar'!$E:$E,'Barang Keluar'!$A:$A,M28369,'Barang Keluar'!$C:$C,N28369))</f>
        <v>0</v>
      </c>
    </row>
    <row r="28370" spans="13:16">
      <c r="M28370" s="49">
        <f>IF($A$4+283&gt;$B$4,"",$A$4+283)</f>
        <v>46306</v>
      </c>
      <c r="N28370">
        <f>IF(M28370="","",'Master Barang'!A64)</f>
        <v>0</v>
      </c>
      <c r="O28370">
        <f>IF(N28370="","",'Master Barang'!B64)</f>
        <v>0</v>
      </c>
      <c r="P28370">
        <f>IF(OR(M28370="",N28370=""),"",SUMIFS('Barang Keluar'!$E:$E,'Barang Keluar'!$A:$A,M28370,'Barang Keluar'!$C:$C,N28370))</f>
        <v>0</v>
      </c>
    </row>
    <row r="28371" spans="13:16">
      <c r="M28371" s="49">
        <f>IF($A$4+283&gt;$B$4,"",$A$4+283)</f>
        <v>46306</v>
      </c>
      <c r="N28371">
        <f>IF(M28371="","",'Master Barang'!A65)</f>
        <v>0</v>
      </c>
      <c r="O28371">
        <f>IF(N28371="","",'Master Barang'!B65)</f>
        <v>0</v>
      </c>
      <c r="P28371">
        <f>IF(OR(M28371="",N28371=""),"",SUMIFS('Barang Keluar'!$E:$E,'Barang Keluar'!$A:$A,M28371,'Barang Keluar'!$C:$C,N28371))</f>
        <v>0</v>
      </c>
    </row>
    <row r="28372" spans="13:16">
      <c r="M28372" s="49">
        <f>IF($A$4+283&gt;$B$4,"",$A$4+283)</f>
        <v>46306</v>
      </c>
      <c r="N28372">
        <f>IF(M28372="","",'Master Barang'!A66)</f>
        <v>0</v>
      </c>
      <c r="O28372">
        <f>IF(N28372="","",'Master Barang'!B66)</f>
        <v>0</v>
      </c>
      <c r="P28372">
        <f>IF(OR(M28372="",N28372=""),"",SUMIFS('Barang Keluar'!$E:$E,'Barang Keluar'!$A:$A,M28372,'Barang Keluar'!$C:$C,N28372))</f>
        <v>0</v>
      </c>
    </row>
    <row r="28373" spans="13:16">
      <c r="M28373" s="49">
        <f>IF($A$4+283&gt;$B$4,"",$A$4+283)</f>
        <v>46306</v>
      </c>
      <c r="N28373">
        <f>IF(M28373="","",'Master Barang'!A67)</f>
        <v>0</v>
      </c>
      <c r="O28373">
        <f>IF(N28373="","",'Master Barang'!B67)</f>
        <v>0</v>
      </c>
      <c r="P28373">
        <f>IF(OR(M28373="",N28373=""),"",SUMIFS('Barang Keluar'!$E:$E,'Barang Keluar'!$A:$A,M28373,'Barang Keluar'!$C:$C,N28373))</f>
        <v>0</v>
      </c>
    </row>
    <row r="28374" spans="13:16">
      <c r="M28374" s="49">
        <f>IF($A$4+283&gt;$B$4,"",$A$4+283)</f>
        <v>46306</v>
      </c>
      <c r="N28374">
        <f>IF(M28374="","",'Master Barang'!A68)</f>
        <v>0</v>
      </c>
      <c r="O28374">
        <f>IF(N28374="","",'Master Barang'!B68)</f>
        <v>0</v>
      </c>
      <c r="P28374">
        <f>IF(OR(M28374="",N28374=""),"",SUMIFS('Barang Keluar'!$E:$E,'Barang Keluar'!$A:$A,M28374,'Barang Keluar'!$C:$C,N28374))</f>
        <v>0</v>
      </c>
    </row>
    <row r="28375" spans="13:16">
      <c r="M28375" s="49">
        <f>IF($A$4+283&gt;$B$4,"",$A$4+283)</f>
        <v>46306</v>
      </c>
      <c r="N28375">
        <f>IF(M28375="","",'Master Barang'!A69)</f>
        <v>0</v>
      </c>
      <c r="O28375">
        <f>IF(N28375="","",'Master Barang'!B69)</f>
        <v>0</v>
      </c>
      <c r="P28375">
        <f>IF(OR(M28375="",N28375=""),"",SUMIFS('Barang Keluar'!$E:$E,'Barang Keluar'!$A:$A,M28375,'Barang Keluar'!$C:$C,N28375))</f>
        <v>0</v>
      </c>
    </row>
    <row r="28376" spans="13:16">
      <c r="M28376" s="49">
        <f>IF($A$4+283&gt;$B$4,"",$A$4+283)</f>
        <v>46306</v>
      </c>
      <c r="N28376">
        <f>IF(M28376="","",'Master Barang'!A70)</f>
        <v>0</v>
      </c>
      <c r="O28376">
        <f>IF(N28376="","",'Master Barang'!B70)</f>
        <v>0</v>
      </c>
      <c r="P28376">
        <f>IF(OR(M28376="",N28376=""),"",SUMIFS('Barang Keluar'!$E:$E,'Barang Keluar'!$A:$A,M28376,'Barang Keluar'!$C:$C,N28376))</f>
        <v>0</v>
      </c>
    </row>
    <row r="28377" spans="13:16">
      <c r="M28377" s="49">
        <f>IF($A$4+283&gt;$B$4,"",$A$4+283)</f>
        <v>46306</v>
      </c>
      <c r="N28377">
        <f>IF(M28377="","",'Master Barang'!A71)</f>
        <v>0</v>
      </c>
      <c r="O28377">
        <f>IF(N28377="","",'Master Barang'!B71)</f>
        <v>0</v>
      </c>
      <c r="P28377">
        <f>IF(OR(M28377="",N28377=""),"",SUMIFS('Barang Keluar'!$E:$E,'Barang Keluar'!$A:$A,M28377,'Barang Keluar'!$C:$C,N28377))</f>
        <v>0</v>
      </c>
    </row>
    <row r="28378" spans="13:16">
      <c r="M28378" s="49">
        <f>IF($A$4+283&gt;$B$4,"",$A$4+283)</f>
        <v>46306</v>
      </c>
      <c r="N28378">
        <f>IF(M28378="","",'Master Barang'!A72)</f>
        <v>0</v>
      </c>
      <c r="O28378">
        <f>IF(N28378="","",'Master Barang'!B72)</f>
        <v>0</v>
      </c>
      <c r="P28378">
        <f>IF(OR(M28378="",N28378=""),"",SUMIFS('Barang Keluar'!$E:$E,'Barang Keluar'!$A:$A,M28378,'Barang Keluar'!$C:$C,N28378))</f>
        <v>0</v>
      </c>
    </row>
    <row r="28379" spans="13:16">
      <c r="M28379" s="49">
        <f>IF($A$4+283&gt;$B$4,"",$A$4+283)</f>
        <v>46306</v>
      </c>
      <c r="N28379">
        <f>IF(M28379="","",'Master Barang'!A73)</f>
        <v>0</v>
      </c>
      <c r="O28379">
        <f>IF(N28379="","",'Master Barang'!B73)</f>
        <v>0</v>
      </c>
      <c r="P28379">
        <f>IF(OR(M28379="",N28379=""),"",SUMIFS('Barang Keluar'!$E:$E,'Barang Keluar'!$A:$A,M28379,'Barang Keluar'!$C:$C,N28379))</f>
        <v>0</v>
      </c>
    </row>
    <row r="28380" spans="13:16">
      <c r="M28380" s="49">
        <f>IF($A$4+283&gt;$B$4,"",$A$4+283)</f>
        <v>46306</v>
      </c>
      <c r="N28380">
        <f>IF(M28380="","",'Master Barang'!A74)</f>
        <v>0</v>
      </c>
      <c r="O28380">
        <f>IF(N28380="","",'Master Barang'!B74)</f>
        <v>0</v>
      </c>
      <c r="P28380">
        <f>IF(OR(M28380="",N28380=""),"",SUMIFS('Barang Keluar'!$E:$E,'Barang Keluar'!$A:$A,M28380,'Barang Keluar'!$C:$C,N28380))</f>
        <v>0</v>
      </c>
    </row>
    <row r="28381" spans="13:16">
      <c r="M28381" s="49">
        <f>IF($A$4+283&gt;$B$4,"",$A$4+283)</f>
        <v>46306</v>
      </c>
      <c r="N28381">
        <f>IF(M28381="","",'Master Barang'!A75)</f>
        <v>0</v>
      </c>
      <c r="O28381">
        <f>IF(N28381="","",'Master Barang'!B75)</f>
        <v>0</v>
      </c>
      <c r="P28381">
        <f>IF(OR(M28381="",N28381=""),"",SUMIFS('Barang Keluar'!$E:$E,'Barang Keluar'!$A:$A,M28381,'Barang Keluar'!$C:$C,N28381))</f>
        <v>0</v>
      </c>
    </row>
    <row r="28382" spans="13:16">
      <c r="M28382" s="49">
        <f>IF($A$4+283&gt;$B$4,"",$A$4+283)</f>
        <v>46306</v>
      </c>
      <c r="N28382">
        <f>IF(M28382="","",'Master Barang'!A76)</f>
        <v>0</v>
      </c>
      <c r="O28382">
        <f>IF(N28382="","",'Master Barang'!B76)</f>
        <v>0</v>
      </c>
      <c r="P28382">
        <f>IF(OR(M28382="",N28382=""),"",SUMIFS('Barang Keluar'!$E:$E,'Barang Keluar'!$A:$A,M28382,'Barang Keluar'!$C:$C,N28382))</f>
        <v>0</v>
      </c>
    </row>
    <row r="28383" spans="13:16">
      <c r="M28383" s="49">
        <f>IF($A$4+283&gt;$B$4,"",$A$4+283)</f>
        <v>46306</v>
      </c>
      <c r="N28383">
        <f>IF(M28383="","",'Master Barang'!A77)</f>
        <v>0</v>
      </c>
      <c r="O28383">
        <f>IF(N28383="","",'Master Barang'!B77)</f>
        <v>0</v>
      </c>
      <c r="P28383">
        <f>IF(OR(M28383="",N28383=""),"",SUMIFS('Barang Keluar'!$E:$E,'Barang Keluar'!$A:$A,M28383,'Barang Keluar'!$C:$C,N28383))</f>
        <v>0</v>
      </c>
    </row>
    <row r="28384" spans="13:16">
      <c r="M28384" s="49">
        <f>IF($A$4+283&gt;$B$4,"",$A$4+283)</f>
        <v>46306</v>
      </c>
      <c r="N28384">
        <f>IF(M28384="","",'Master Barang'!A78)</f>
        <v>0</v>
      </c>
      <c r="O28384">
        <f>IF(N28384="","",'Master Barang'!B78)</f>
        <v>0</v>
      </c>
      <c r="P28384">
        <f>IF(OR(M28384="",N28384=""),"",SUMIFS('Barang Keluar'!$E:$E,'Barang Keluar'!$A:$A,M28384,'Barang Keluar'!$C:$C,N28384))</f>
        <v>0</v>
      </c>
    </row>
    <row r="28385" spans="13:16">
      <c r="M28385" s="49">
        <f>IF($A$4+283&gt;$B$4,"",$A$4+283)</f>
        <v>46306</v>
      </c>
      <c r="N28385">
        <f>IF(M28385="","",'Master Barang'!A79)</f>
        <v>0</v>
      </c>
      <c r="O28385">
        <f>IF(N28385="","",'Master Barang'!B79)</f>
        <v>0</v>
      </c>
      <c r="P28385">
        <f>IF(OR(M28385="",N28385=""),"",SUMIFS('Barang Keluar'!$E:$E,'Barang Keluar'!$A:$A,M28385,'Barang Keluar'!$C:$C,N28385))</f>
        <v>0</v>
      </c>
    </row>
    <row r="28386" spans="13:16">
      <c r="M28386" s="49">
        <f>IF($A$4+283&gt;$B$4,"",$A$4+283)</f>
        <v>46306</v>
      </c>
      <c r="N28386">
        <f>IF(M28386="","",'Master Barang'!A80)</f>
        <v>0</v>
      </c>
      <c r="O28386">
        <f>IF(N28386="","",'Master Barang'!B80)</f>
        <v>0</v>
      </c>
      <c r="P28386">
        <f>IF(OR(M28386="",N28386=""),"",SUMIFS('Barang Keluar'!$E:$E,'Barang Keluar'!$A:$A,M28386,'Barang Keluar'!$C:$C,N28386))</f>
        <v>0</v>
      </c>
    </row>
    <row r="28387" spans="13:16">
      <c r="M28387" s="49">
        <f>IF($A$4+283&gt;$B$4,"",$A$4+283)</f>
        <v>46306</v>
      </c>
      <c r="N28387">
        <f>IF(M28387="","",'Master Barang'!A81)</f>
        <v>0</v>
      </c>
      <c r="O28387">
        <f>IF(N28387="","",'Master Barang'!B81)</f>
        <v>0</v>
      </c>
      <c r="P28387">
        <f>IF(OR(M28387="",N28387=""),"",SUMIFS('Barang Keluar'!$E:$E,'Barang Keluar'!$A:$A,M28387,'Barang Keluar'!$C:$C,N28387))</f>
        <v>0</v>
      </c>
    </row>
    <row r="28388" spans="13:16">
      <c r="M28388" s="49">
        <f>IF($A$4+283&gt;$B$4,"",$A$4+283)</f>
        <v>46306</v>
      </c>
      <c r="N28388">
        <f>IF(M28388="","",'Master Barang'!A82)</f>
        <v>0</v>
      </c>
      <c r="O28388">
        <f>IF(N28388="","",'Master Barang'!B82)</f>
        <v>0</v>
      </c>
      <c r="P28388">
        <f>IF(OR(M28388="",N28388=""),"",SUMIFS('Barang Keluar'!$E:$E,'Barang Keluar'!$A:$A,M28388,'Barang Keluar'!$C:$C,N28388))</f>
        <v>0</v>
      </c>
    </row>
    <row r="28389" spans="13:16">
      <c r="M28389" s="49">
        <f>IF($A$4+283&gt;$B$4,"",$A$4+283)</f>
        <v>46306</v>
      </c>
      <c r="N28389">
        <f>IF(M28389="","",'Master Barang'!A83)</f>
        <v>0</v>
      </c>
      <c r="O28389">
        <f>IF(N28389="","",'Master Barang'!B83)</f>
        <v>0</v>
      </c>
      <c r="P28389">
        <f>IF(OR(M28389="",N28389=""),"",SUMIFS('Barang Keluar'!$E:$E,'Barang Keluar'!$A:$A,M28389,'Barang Keluar'!$C:$C,N28389))</f>
        <v>0</v>
      </c>
    </row>
    <row r="28390" spans="13:16">
      <c r="M28390" s="49">
        <f>IF($A$4+283&gt;$B$4,"",$A$4+283)</f>
        <v>46306</v>
      </c>
      <c r="N28390">
        <f>IF(M28390="","",'Master Barang'!A84)</f>
        <v>0</v>
      </c>
      <c r="O28390">
        <f>IF(N28390="","",'Master Barang'!B84)</f>
        <v>0</v>
      </c>
      <c r="P28390">
        <f>IF(OR(M28390="",N28390=""),"",SUMIFS('Barang Keluar'!$E:$E,'Barang Keluar'!$A:$A,M28390,'Barang Keluar'!$C:$C,N28390))</f>
        <v>0</v>
      </c>
    </row>
    <row r="28391" spans="13:16">
      <c r="M28391" s="49">
        <f>IF($A$4+283&gt;$B$4,"",$A$4+283)</f>
        <v>46306</v>
      </c>
      <c r="N28391">
        <f>IF(M28391="","",'Master Barang'!A85)</f>
        <v>0</v>
      </c>
      <c r="O28391">
        <f>IF(N28391="","",'Master Barang'!B85)</f>
        <v>0</v>
      </c>
      <c r="P28391">
        <f>IF(OR(M28391="",N28391=""),"",SUMIFS('Barang Keluar'!$E:$E,'Barang Keluar'!$A:$A,M28391,'Barang Keluar'!$C:$C,N28391))</f>
        <v>0</v>
      </c>
    </row>
    <row r="28392" spans="13:16">
      <c r="M28392" s="49">
        <f>IF($A$4+283&gt;$B$4,"",$A$4+283)</f>
        <v>46306</v>
      </c>
      <c r="N28392">
        <f>IF(M28392="","",'Master Barang'!A86)</f>
        <v>0</v>
      </c>
      <c r="O28392">
        <f>IF(N28392="","",'Master Barang'!B86)</f>
        <v>0</v>
      </c>
      <c r="P28392">
        <f>IF(OR(M28392="",N28392=""),"",SUMIFS('Barang Keluar'!$E:$E,'Barang Keluar'!$A:$A,M28392,'Barang Keluar'!$C:$C,N28392))</f>
        <v>0</v>
      </c>
    </row>
    <row r="28393" spans="13:16">
      <c r="M28393" s="49">
        <f>IF($A$4+283&gt;$B$4,"",$A$4+283)</f>
        <v>46306</v>
      </c>
      <c r="N28393">
        <f>IF(M28393="","",'Master Barang'!A87)</f>
        <v>0</v>
      </c>
      <c r="O28393">
        <f>IF(N28393="","",'Master Barang'!B87)</f>
        <v>0</v>
      </c>
      <c r="P28393">
        <f>IF(OR(M28393="",N28393=""),"",SUMIFS('Barang Keluar'!$E:$E,'Barang Keluar'!$A:$A,M28393,'Barang Keluar'!$C:$C,N28393))</f>
        <v>0</v>
      </c>
    </row>
    <row r="28394" spans="13:16">
      <c r="M28394" s="49">
        <f>IF($A$4+283&gt;$B$4,"",$A$4+283)</f>
        <v>46306</v>
      </c>
      <c r="N28394">
        <f>IF(M28394="","",'Master Barang'!A88)</f>
        <v>0</v>
      </c>
      <c r="O28394">
        <f>IF(N28394="","",'Master Barang'!B88)</f>
        <v>0</v>
      </c>
      <c r="P28394">
        <f>IF(OR(M28394="",N28394=""),"",SUMIFS('Barang Keluar'!$E:$E,'Barang Keluar'!$A:$A,M28394,'Barang Keluar'!$C:$C,N28394))</f>
        <v>0</v>
      </c>
    </row>
    <row r="28395" spans="13:16">
      <c r="M28395" s="49">
        <f>IF($A$4+283&gt;$B$4,"",$A$4+283)</f>
        <v>46306</v>
      </c>
      <c r="N28395">
        <f>IF(M28395="","",'Master Barang'!A89)</f>
        <v>0</v>
      </c>
      <c r="O28395">
        <f>IF(N28395="","",'Master Barang'!B89)</f>
        <v>0</v>
      </c>
      <c r="P28395">
        <f>IF(OR(M28395="",N28395=""),"",SUMIFS('Barang Keluar'!$E:$E,'Barang Keluar'!$A:$A,M28395,'Barang Keluar'!$C:$C,N28395))</f>
        <v>0</v>
      </c>
    </row>
    <row r="28396" spans="13:16">
      <c r="M28396" s="49">
        <f>IF($A$4+283&gt;$B$4,"",$A$4+283)</f>
        <v>46306</v>
      </c>
      <c r="N28396">
        <f>IF(M28396="","",'Master Barang'!A90)</f>
        <v>0</v>
      </c>
      <c r="O28396">
        <f>IF(N28396="","",'Master Barang'!B90)</f>
        <v>0</v>
      </c>
      <c r="P28396">
        <f>IF(OR(M28396="",N28396=""),"",SUMIFS('Barang Keluar'!$E:$E,'Barang Keluar'!$A:$A,M28396,'Barang Keluar'!$C:$C,N28396))</f>
        <v>0</v>
      </c>
    </row>
    <row r="28397" spans="13:16">
      <c r="M28397" s="49">
        <f>IF($A$4+283&gt;$B$4,"",$A$4+283)</f>
        <v>46306</v>
      </c>
      <c r="N28397">
        <f>IF(M28397="","",'Master Barang'!A91)</f>
        <v>0</v>
      </c>
      <c r="O28397">
        <f>IF(N28397="","",'Master Barang'!B91)</f>
        <v>0</v>
      </c>
      <c r="P28397">
        <f>IF(OR(M28397="",N28397=""),"",SUMIFS('Barang Keluar'!$E:$E,'Barang Keluar'!$A:$A,M28397,'Barang Keluar'!$C:$C,N28397))</f>
        <v>0</v>
      </c>
    </row>
    <row r="28398" spans="13:16">
      <c r="M28398" s="49">
        <f>IF($A$4+283&gt;$B$4,"",$A$4+283)</f>
        <v>46306</v>
      </c>
      <c r="N28398">
        <f>IF(M28398="","",'Master Barang'!A92)</f>
        <v>0</v>
      </c>
      <c r="O28398">
        <f>IF(N28398="","",'Master Barang'!B92)</f>
        <v>0</v>
      </c>
      <c r="P28398">
        <f>IF(OR(M28398="",N28398=""),"",SUMIFS('Barang Keluar'!$E:$E,'Barang Keluar'!$A:$A,M28398,'Barang Keluar'!$C:$C,N28398))</f>
        <v>0</v>
      </c>
    </row>
    <row r="28399" spans="13:16">
      <c r="M28399" s="49">
        <f>IF($A$4+283&gt;$B$4,"",$A$4+283)</f>
        <v>46306</v>
      </c>
      <c r="N28399">
        <f>IF(M28399="","",'Master Barang'!A93)</f>
        <v>0</v>
      </c>
      <c r="O28399">
        <f>IF(N28399="","",'Master Barang'!B93)</f>
        <v>0</v>
      </c>
      <c r="P28399">
        <f>IF(OR(M28399="",N28399=""),"",SUMIFS('Barang Keluar'!$E:$E,'Barang Keluar'!$A:$A,M28399,'Barang Keluar'!$C:$C,N28399))</f>
        <v>0</v>
      </c>
    </row>
    <row r="28400" spans="13:16">
      <c r="M28400" s="49">
        <f>IF($A$4+283&gt;$B$4,"",$A$4+283)</f>
        <v>46306</v>
      </c>
      <c r="N28400">
        <f>IF(M28400="","",'Master Barang'!A94)</f>
        <v>0</v>
      </c>
      <c r="O28400">
        <f>IF(N28400="","",'Master Barang'!B94)</f>
        <v>0</v>
      </c>
      <c r="P28400">
        <f>IF(OR(M28400="",N28400=""),"",SUMIFS('Barang Keluar'!$E:$E,'Barang Keluar'!$A:$A,M28400,'Barang Keluar'!$C:$C,N28400))</f>
        <v>0</v>
      </c>
    </row>
    <row r="28401" spans="13:16">
      <c r="M28401" s="49">
        <f>IF($A$4+283&gt;$B$4,"",$A$4+283)</f>
        <v>46306</v>
      </c>
      <c r="N28401">
        <f>IF(M28401="","",'Master Barang'!A95)</f>
        <v>0</v>
      </c>
      <c r="O28401">
        <f>IF(N28401="","",'Master Barang'!B95)</f>
        <v>0</v>
      </c>
      <c r="P28401">
        <f>IF(OR(M28401="",N28401=""),"",SUMIFS('Barang Keluar'!$E:$E,'Barang Keluar'!$A:$A,M28401,'Barang Keluar'!$C:$C,N28401))</f>
        <v>0</v>
      </c>
    </row>
    <row r="28402" spans="13:16">
      <c r="M28402" s="49">
        <f>IF($A$4+283&gt;$B$4,"",$A$4+283)</f>
        <v>46306</v>
      </c>
      <c r="N28402">
        <f>IF(M28402="","",'Master Barang'!A96)</f>
        <v>0</v>
      </c>
      <c r="O28402">
        <f>IF(N28402="","",'Master Barang'!B96)</f>
        <v>0</v>
      </c>
      <c r="P28402">
        <f>IF(OR(M28402="",N28402=""),"",SUMIFS('Barang Keluar'!$E:$E,'Barang Keluar'!$A:$A,M28402,'Barang Keluar'!$C:$C,N28402))</f>
        <v>0</v>
      </c>
    </row>
    <row r="28403" spans="13:16">
      <c r="M28403" s="49">
        <f>IF($A$4+283&gt;$B$4,"",$A$4+283)</f>
        <v>46306</v>
      </c>
      <c r="N28403">
        <f>IF(M28403="","",'Master Barang'!A97)</f>
        <v>0</v>
      </c>
      <c r="O28403">
        <f>IF(N28403="","",'Master Barang'!B97)</f>
        <v>0</v>
      </c>
      <c r="P28403">
        <f>IF(OR(M28403="",N28403=""),"",SUMIFS('Barang Keluar'!$E:$E,'Barang Keluar'!$A:$A,M28403,'Barang Keluar'!$C:$C,N28403))</f>
        <v>0</v>
      </c>
    </row>
    <row r="28404" spans="13:16">
      <c r="M28404" s="49">
        <f>IF($A$4+283&gt;$B$4,"",$A$4+283)</f>
        <v>46306</v>
      </c>
      <c r="N28404">
        <f>IF(M28404="","",'Master Barang'!A98)</f>
        <v>0</v>
      </c>
      <c r="O28404">
        <f>IF(N28404="","",'Master Barang'!B98)</f>
        <v>0</v>
      </c>
      <c r="P28404">
        <f>IF(OR(M28404="",N28404=""),"",SUMIFS('Barang Keluar'!$E:$E,'Barang Keluar'!$A:$A,M28404,'Barang Keluar'!$C:$C,N28404))</f>
        <v>0</v>
      </c>
    </row>
    <row r="28405" spans="13:16">
      <c r="M28405" s="49">
        <f>IF($A$4+283&gt;$B$4,"",$A$4+283)</f>
        <v>46306</v>
      </c>
      <c r="N28405">
        <f>IF(M28405="","",'Master Barang'!A99)</f>
        <v>0</v>
      </c>
      <c r="O28405">
        <f>IF(N28405="","",'Master Barang'!B99)</f>
        <v>0</v>
      </c>
      <c r="P28405">
        <f>IF(OR(M28405="",N28405=""),"",SUMIFS('Barang Keluar'!$E:$E,'Barang Keluar'!$A:$A,M28405,'Barang Keluar'!$C:$C,N28405))</f>
        <v>0</v>
      </c>
    </row>
    <row r="28406" spans="13:16">
      <c r="M28406" s="49">
        <f>IF($A$4+283&gt;$B$4,"",$A$4+283)</f>
        <v>46306</v>
      </c>
      <c r="N28406">
        <f>IF(M28406="","",'Master Barang'!A100)</f>
        <v>0</v>
      </c>
      <c r="O28406">
        <f>IF(N28406="","",'Master Barang'!B100)</f>
        <v>0</v>
      </c>
      <c r="P28406">
        <f>IF(OR(M28406="",N28406=""),"",SUMIFS('Barang Keluar'!$E:$E,'Barang Keluar'!$A:$A,M28406,'Barang Keluar'!$C:$C,N28406))</f>
        <v>0</v>
      </c>
    </row>
    <row r="28407" spans="13:16">
      <c r="M28407" s="49">
        <f>IF($A$4+283&gt;$B$4,"",$A$4+283)</f>
        <v>46306</v>
      </c>
      <c r="N28407">
        <f>IF(M28407="","",'Master Barang'!A101)</f>
        <v>0</v>
      </c>
      <c r="O28407">
        <f>IF(N28407="","",'Master Barang'!B101)</f>
        <v>0</v>
      </c>
      <c r="P28407">
        <f>IF(OR(M28407="",N28407=""),"",SUMIFS('Barang Keluar'!$E:$E,'Barang Keluar'!$A:$A,M28407,'Barang Keluar'!$C:$C,N28407))</f>
        <v>0</v>
      </c>
    </row>
    <row r="28408" spans="13:16">
      <c r="M28408" s="49">
        <f>IF($A$4+284&gt;$B$4,"",$A$4+284)</f>
        <v>46307</v>
      </c>
      <c r="N28408" t="str">
        <f>IF(M28408="","",'Master Barang'!A2)</f>
        <v>PRL-001</v>
      </c>
      <c r="O28408" t="str">
        <f>IF(N28408="","",'Master Barang'!B2)</f>
        <v>natura desinfectant food grade 5l</v>
      </c>
      <c r="P28408">
        <f>IF(OR(M28408="",N28408=""),"",SUMIFS('Barang Keluar'!$E:$E,'Barang Keluar'!$A:$A,M28408,'Barang Keluar'!$C:$C,N28408))</f>
        <v>0</v>
      </c>
    </row>
    <row r="28409" spans="13:16">
      <c r="M28409" s="49">
        <f>IF($A$4+284&gt;$B$4,"",$A$4+284)</f>
        <v>46307</v>
      </c>
      <c r="N28409" t="str">
        <f>IF(M28409="","",'Master Barang'!A3)</f>
        <v>PRL-002</v>
      </c>
      <c r="O28409" t="str">
        <f>IF(N28409="","",'Master Barang'!B3)</f>
        <v>sunlight cairan pencuci piring 5l</v>
      </c>
      <c r="P28409">
        <f>IF(OR(M28409="",N28409=""),"",SUMIFS('Barang Keluar'!$E:$E,'Barang Keluar'!$A:$A,M28409,'Barang Keluar'!$C:$C,N28409))</f>
        <v>0</v>
      </c>
    </row>
    <row r="28410" spans="13:16">
      <c r="M28410" s="49">
        <f>IF($A$4+284&gt;$B$4,"",$A$4+284)</f>
        <v>46307</v>
      </c>
      <c r="N28410" t="str">
        <f>IF(M28410="","",'Master Barang'!A4)</f>
        <v>PRL-003</v>
      </c>
      <c r="O28410" t="str">
        <f>IF(N28410="","",'Master Barang'!B4)</f>
        <v>oixs cleaner 1l</v>
      </c>
      <c r="P28410">
        <f>IF(OR(M28410="",N28410=""),"",SUMIFS('Barang Keluar'!$E:$E,'Barang Keluar'!$A:$A,M28410,'Barang Keluar'!$C:$C,N28410))</f>
        <v>0</v>
      </c>
    </row>
    <row r="28411" spans="13:16">
      <c r="M28411" s="49">
        <f>IF($A$4+284&gt;$B$4,"",$A$4+284)</f>
        <v>46307</v>
      </c>
      <c r="N28411" t="str">
        <f>IF(M28411="","",'Master Barang'!A5)</f>
        <v>PRL-004</v>
      </c>
      <c r="O28411" t="str">
        <f>IF(N28411="","",'Master Barang'!B5)</f>
        <v>be clean tissue serbaguna</v>
      </c>
      <c r="P28411">
        <f>IF(OR(M28411="",N28411=""),"",SUMIFS('Barang Keluar'!$E:$E,'Barang Keluar'!$A:$A,M28411,'Barang Keluar'!$C:$C,N28411))</f>
        <v>0</v>
      </c>
    </row>
    <row r="28412" spans="13:16">
      <c r="M28412" s="49">
        <f>IF($A$4+284&gt;$B$4,"",$A$4+284)</f>
        <v>46307</v>
      </c>
      <c r="N28412" t="str">
        <f>IF(M28412="","",'Master Barang'!A6)</f>
        <v>PRL-005</v>
      </c>
      <c r="O28412" t="str">
        <f>IF(N28412="","",'Master Barang'!B6)</f>
        <v>spons cuci hijau</v>
      </c>
      <c r="P28412">
        <f>IF(OR(M28412="",N28412=""),"",SUMIFS('Barang Keluar'!$E:$E,'Barang Keluar'!$A:$A,M28412,'Barang Keluar'!$C:$C,N28412))</f>
        <v>0</v>
      </c>
    </row>
    <row r="28413" spans="13:16">
      <c r="M28413" s="49">
        <f>IF($A$4+284&gt;$B$4,"",$A$4+284)</f>
        <v>46307</v>
      </c>
      <c r="N28413" t="str">
        <f>IF(M28413="","",'Master Barang'!A7)</f>
        <v>PRL-006</v>
      </c>
      <c r="O28413" t="str">
        <f>IF(N28413="","",'Master Barang'!B7)</f>
        <v>sabut cuci stainless</v>
      </c>
      <c r="P28413">
        <f>IF(OR(M28413="",N28413=""),"",SUMIFS('Barang Keluar'!$E:$E,'Barang Keluar'!$A:$A,M28413,'Barang Keluar'!$C:$C,N28413))</f>
        <v>0</v>
      </c>
    </row>
    <row r="28414" spans="13:16">
      <c r="M28414" s="49">
        <f>IF($A$4+284&gt;$B$4,"",$A$4+284)</f>
        <v>46307</v>
      </c>
      <c r="N28414" t="str">
        <f>IF(M28414="","",'Master Barang'!A8)</f>
        <v>PRL-007</v>
      </c>
      <c r="O28414" t="str">
        <f>IF(N28414="","",'Master Barang'!B8)</f>
        <v>plastik kresek besar merah 50pc</v>
      </c>
      <c r="P28414">
        <f>IF(OR(M28414="",N28414=""),"",SUMIFS('Barang Keluar'!$E:$E,'Barang Keluar'!$A:$A,M28414,'Barang Keluar'!$C:$C,N28414))</f>
        <v>0</v>
      </c>
    </row>
    <row r="28415" spans="13:16">
      <c r="M28415" s="49">
        <f>IF($A$4+284&gt;$B$4,"",$A$4+284)</f>
        <v>46307</v>
      </c>
      <c r="N28415" t="str">
        <f>IF(M28415="","",'Master Barang'!A9)</f>
        <v>PRL-008</v>
      </c>
      <c r="O28415" t="str">
        <f>IF(N28415="","",'Master Barang'!B9)</f>
        <v>lap besar</v>
      </c>
      <c r="P28415">
        <f>IF(OR(M28415="",N28415=""),"",SUMIFS('Barang Keluar'!$E:$E,'Barang Keluar'!$A:$A,M28415,'Barang Keluar'!$C:$C,N28415))</f>
        <v>0</v>
      </c>
    </row>
    <row r="28416" spans="13:16">
      <c r="M28416" s="49">
        <f>IF($A$4+284&gt;$B$4,"",$A$4+284)</f>
        <v>46307</v>
      </c>
      <c r="N28416" t="str">
        <f>IF(M28416="","",'Master Barang'!A10)</f>
        <v>PRL-009</v>
      </c>
      <c r="O28416" t="str">
        <f>IF(N28416="","",'Master Barang'!B10)</f>
        <v>lap microfiber</v>
      </c>
      <c r="P28416">
        <f>IF(OR(M28416="",N28416=""),"",SUMIFS('Barang Keluar'!$E:$E,'Barang Keluar'!$A:$A,M28416,'Barang Keluar'!$C:$C,N28416))</f>
        <v>0</v>
      </c>
    </row>
    <row r="28417" spans="13:16">
      <c r="M28417" s="49">
        <f>IF($A$4+284&gt;$B$4,"",$A$4+284)</f>
        <v>46307</v>
      </c>
      <c r="N28417" t="str">
        <f>IF(M28417="","",'Master Barang'!A11)</f>
        <v>PRL-010</v>
      </c>
      <c r="O28417" t="str">
        <f>IF(N28417="","",'Master Barang'!B11)</f>
        <v>lap kecil</v>
      </c>
      <c r="P28417">
        <f>IF(OR(M28417="",N28417=""),"",SUMIFS('Barang Keluar'!$E:$E,'Barang Keluar'!$A:$A,M28417,'Barang Keluar'!$C:$C,N28417))</f>
        <v>0</v>
      </c>
    </row>
    <row r="28418" spans="13:16">
      <c r="M28418" s="49">
        <f>IF($A$4+284&gt;$B$4,"",$A$4+284)</f>
        <v>46307</v>
      </c>
      <c r="N28418" t="str">
        <f>IF(M28418="","",'Master Barang'!A12)</f>
        <v>PRL-011</v>
      </c>
      <c r="O28418" t="str">
        <f>IF(N28418="","",'Master Barang'!B12)</f>
        <v>kanebo kecil</v>
      </c>
      <c r="P28418">
        <f>IF(OR(M28418="",N28418=""),"",SUMIFS('Barang Keluar'!$E:$E,'Barang Keluar'!$A:$A,M28418,'Barang Keluar'!$C:$C,N28418))</f>
        <v>0</v>
      </c>
    </row>
    <row r="28419" spans="13:16">
      <c r="M28419" s="49">
        <f>IF($A$4+284&gt;$B$4,"",$A$4+284)</f>
        <v>46307</v>
      </c>
      <c r="N28419" t="str">
        <f>IF(M28419="","",'Master Barang'!A13)</f>
        <v>PRL-012</v>
      </c>
      <c r="O28419" t="str">
        <f>IF(N28419="","",'Master Barang'!B13)</f>
        <v>plastik 1/4kg joyoboyo 100 lembar</v>
      </c>
      <c r="P28419">
        <f>IF(OR(M28419="",N28419=""),"",SUMIFS('Barang Keluar'!$E:$E,'Barang Keluar'!$A:$A,M28419,'Barang Keluar'!$C:$C,N28419))</f>
        <v>0</v>
      </c>
    </row>
    <row r="28420" spans="13:16">
      <c r="M28420" s="49">
        <f>IF($A$4+284&gt;$B$4,"",$A$4+284)</f>
        <v>46307</v>
      </c>
      <c r="N28420" t="str">
        <f>IF(M28420="","",'Master Barang'!A14)</f>
        <v>PRL-013</v>
      </c>
      <c r="O28420" t="str">
        <f>IF(N28420="","",'Master Barang'!B14)</f>
        <v>sarung tangan plastik kaka 100 pcs</v>
      </c>
      <c r="P28420">
        <f>IF(OR(M28420="",N28420=""),"",SUMIFS('Barang Keluar'!$E:$E,'Barang Keluar'!$A:$A,M28420,'Barang Keluar'!$C:$C,N28420))</f>
        <v>0</v>
      </c>
    </row>
    <row r="28421" spans="13:16">
      <c r="M28421" s="49">
        <f>IF($A$4+284&gt;$B$4,"",$A$4+284)</f>
        <v>46307</v>
      </c>
      <c r="N28421" t="str">
        <f>IF(M28421="","",'Master Barang'!A15)</f>
        <v>PRL-014</v>
      </c>
      <c r="O28421" t="str">
        <f>IF(N28421="","",'Master Barang'!B15)</f>
        <v>optima trashbag 80x100</v>
      </c>
      <c r="P28421">
        <f>IF(OR(M28421="",N28421=""),"",SUMIFS('Barang Keluar'!$E:$E,'Barang Keluar'!$A:$A,M28421,'Barang Keluar'!$C:$C,N28421))</f>
        <v>0</v>
      </c>
    </row>
    <row r="28422" spans="13:16">
      <c r="M28422" s="49">
        <f>IF($A$4+284&gt;$B$4,"",$A$4+284)</f>
        <v>46307</v>
      </c>
      <c r="N28422" t="str">
        <f>IF(M28422="","",'Master Barang'!A16)</f>
        <v>PRL-015</v>
      </c>
      <c r="O28422" t="str">
        <f>IF(N28422="","",'Master Barang'!B16)</f>
        <v>optima trashbag 60x100</v>
      </c>
      <c r="P28422">
        <f>IF(OR(M28422="",N28422=""),"",SUMIFS('Barang Keluar'!$E:$E,'Barang Keluar'!$A:$A,M28422,'Barang Keluar'!$C:$C,N28422))</f>
        <v>0</v>
      </c>
    </row>
    <row r="28423" spans="13:16">
      <c r="M28423" s="49">
        <f>IF($A$4+284&gt;$B$4,"",$A$4+284)</f>
        <v>46307</v>
      </c>
      <c r="N28423" t="str">
        <f>IF(M28423="","",'Master Barang'!A17)</f>
        <v>PRL-016</v>
      </c>
      <c r="O28423" t="str">
        <f>IF(N28423="","",'Master Barang'!B17)</f>
        <v>rajawali trashbag 30x40</v>
      </c>
      <c r="P28423">
        <f>IF(OR(M28423="",N28423=""),"",SUMIFS('Barang Keluar'!$E:$E,'Barang Keluar'!$A:$A,M28423,'Barang Keluar'!$C:$C,N28423))</f>
        <v>0</v>
      </c>
    </row>
    <row r="28424" spans="13:16">
      <c r="M28424" s="49">
        <f>IF($A$4+284&gt;$B$4,"",$A$4+284)</f>
        <v>46307</v>
      </c>
      <c r="N28424" t="str">
        <f>IF(M28424="","",'Master Barang'!A18)</f>
        <v>PRL-017</v>
      </c>
      <c r="O28424" t="str">
        <f>IF(N28424="","",'Master Barang'!B18)</f>
        <v>onemed masker biru 3 play 50 pcs</v>
      </c>
      <c r="P28424">
        <f>IF(OR(M28424="",N28424=""),"",SUMIFS('Barang Keluar'!$E:$E,'Barang Keluar'!$A:$A,M28424,'Barang Keluar'!$C:$C,N28424))</f>
        <v>0</v>
      </c>
    </row>
    <row r="28425" spans="13:16">
      <c r="M28425" s="49">
        <f>IF($A$4+284&gt;$B$4,"",$A$4+284)</f>
        <v>46307</v>
      </c>
      <c r="N28425" t="str">
        <f>IF(M28425="","",'Master Barang'!A19)</f>
        <v>PRL-018</v>
      </c>
      <c r="O28425" t="str">
        <f>IF(N28425="","",'Master Barang'!B19)</f>
        <v>onemed masker biru 3 play hijab 50 pcs</v>
      </c>
      <c r="P28425">
        <f>IF(OR(M28425="",N28425=""),"",SUMIFS('Barang Keluar'!$E:$E,'Barang Keluar'!$A:$A,M28425,'Barang Keluar'!$C:$C,N28425))</f>
        <v>0</v>
      </c>
    </row>
    <row r="28426" spans="13:16">
      <c r="M28426" s="49">
        <f>IF($A$4+284&gt;$B$4,"",$A$4+284)</f>
        <v>46307</v>
      </c>
      <c r="N28426" t="str">
        <f>IF(M28426="","",'Master Barang'!A20)</f>
        <v>PRL-019</v>
      </c>
      <c r="O28426" t="str">
        <f>IF(N28426="","",'Master Barang'!B20)</f>
        <v>neo health masker biru 3 play 50 pcs</v>
      </c>
      <c r="P28426">
        <f>IF(OR(M28426="",N28426=""),"",SUMIFS('Barang Keluar'!$E:$E,'Barang Keluar'!$A:$A,M28426,'Barang Keluar'!$C:$C,N28426))</f>
        <v>0</v>
      </c>
    </row>
    <row r="28427" spans="13:16">
      <c r="M28427" s="49">
        <f>IF($A$4+284&gt;$B$4,"",$A$4+284)</f>
        <v>46307</v>
      </c>
      <c r="N28427" t="str">
        <f>IF(M28427="","",'Master Barang'!A21)</f>
        <v>PRL-020</v>
      </c>
      <c r="O28427" t="str">
        <f>IF(N28427="","",'Master Barang'!B21)</f>
        <v>baymed masker hijau 3 play hijau 50 pcs</v>
      </c>
      <c r="P28427">
        <f>IF(OR(M28427="",N28427=""),"",SUMIFS('Barang Keluar'!$E:$E,'Barang Keluar'!$A:$A,M28427,'Barang Keluar'!$C:$C,N28427))</f>
        <v>0</v>
      </c>
    </row>
    <row r="28428" spans="13:16">
      <c r="M28428" s="49">
        <f>IF($A$4+284&gt;$B$4,"",$A$4+284)</f>
        <v>46307</v>
      </c>
      <c r="N28428" t="str">
        <f>IF(M28428="","",'Master Barang'!A22)</f>
        <v>PRL-021</v>
      </c>
      <c r="O28428" t="str">
        <f>IF(N28428="","",'Master Barang'!B22)</f>
        <v>altamed nurse cap penutup kepala 100 pcs</v>
      </c>
      <c r="P28428">
        <f>IF(OR(M28428="",N28428=""),"",SUMIFS('Barang Keluar'!$E:$E,'Barang Keluar'!$A:$A,M28428,'Barang Keluar'!$C:$C,N28428))</f>
        <v>0</v>
      </c>
    </row>
    <row r="28429" spans="13:16">
      <c r="M28429" s="49">
        <f>IF($A$4+284&gt;$B$4,"",$A$4+284)</f>
        <v>46307</v>
      </c>
      <c r="N28429" t="str">
        <f>IF(M28429="","",'Master Barang'!A23)</f>
        <v>PRL-022</v>
      </c>
      <c r="O28429" t="str">
        <f>IF(N28429="","",'Master Barang'!B23)</f>
        <v>sabun cuci tangan</v>
      </c>
      <c r="P28429">
        <f>IF(OR(M28429="",N28429=""),"",SUMIFS('Barang Keluar'!$E:$E,'Barang Keluar'!$A:$A,M28429,'Barang Keluar'!$C:$C,N28429))</f>
        <v>0</v>
      </c>
    </row>
    <row r="28430" spans="13:16">
      <c r="M28430" s="49">
        <f>IF($A$4+284&gt;$B$4,"",$A$4+284)</f>
        <v>46307</v>
      </c>
      <c r="N28430" t="str">
        <f>IF(M28430="","",'Master Barang'!A24)</f>
        <v>PRL-023</v>
      </c>
      <c r="O28430" t="str">
        <f>IF(N28430="","",'Master Barang'!B24)</f>
        <v>gayung kecil</v>
      </c>
      <c r="P28430">
        <f>IF(OR(M28430="",N28430=""),"",SUMIFS('Barang Keluar'!$E:$E,'Barang Keluar'!$A:$A,M28430,'Barang Keluar'!$C:$C,N28430))</f>
        <v>0</v>
      </c>
    </row>
    <row r="28431" spans="13:16">
      <c r="M28431" s="49">
        <f>IF($A$4+284&gt;$B$4,"",$A$4+284)</f>
        <v>46307</v>
      </c>
      <c r="N28431" t="str">
        <f>IF(M28431="","",'Master Barang'!A25)</f>
        <v>PRL-024</v>
      </c>
      <c r="O28431" t="str">
        <f>IF(N28431="","",'Master Barang'!B25)</f>
        <v>cikrak kecil</v>
      </c>
      <c r="P28431">
        <f>IF(OR(M28431="",N28431=""),"",SUMIFS('Barang Keluar'!$E:$E,'Barang Keluar'!$A:$A,M28431,'Barang Keluar'!$C:$C,N28431))</f>
        <v>0</v>
      </c>
    </row>
    <row r="28432" spans="13:16">
      <c r="M28432" s="49">
        <f>IF($A$4+284&gt;$B$4,"",$A$4+284)</f>
        <v>46307</v>
      </c>
      <c r="N28432" t="str">
        <f>IF(M28432="","",'Master Barang'!A26)</f>
        <v>PRL-025</v>
      </c>
      <c r="O28432" t="str">
        <f>IF(N28432="","",'Master Barang'!B26)</f>
        <v>petromax plastik kecil 12x24 100 lembar</v>
      </c>
      <c r="P28432">
        <f>IF(OR(M28432="",N28432=""),"",SUMIFS('Barang Keluar'!$E:$E,'Barang Keluar'!$A:$A,M28432,'Barang Keluar'!$C:$C,N28432))</f>
        <v>0</v>
      </c>
    </row>
    <row r="28433" spans="13:16">
      <c r="M28433" s="49">
        <f>IF($A$4+284&gt;$B$4,"",$A$4+284)</f>
        <v>46307</v>
      </c>
      <c r="N28433" t="str">
        <f>IF(M28433="","",'Master Barang'!A27)</f>
        <v>PRL-026</v>
      </c>
      <c r="O28433" t="str">
        <f>IF(N28433="","",'Master Barang'!B27)</f>
        <v>lancar kresek kecil bening </v>
      </c>
      <c r="P28433">
        <f>IF(OR(M28433="",N28433=""),"",SUMIFS('Barang Keluar'!$E:$E,'Barang Keluar'!$A:$A,M28433,'Barang Keluar'!$C:$C,N28433))</f>
        <v>0</v>
      </c>
    </row>
    <row r="28434" spans="13:16">
      <c r="M28434" s="49">
        <f>IF($A$4+284&gt;$B$4,"",$A$4+284)</f>
        <v>46307</v>
      </c>
      <c r="N28434" t="str">
        <f>IF(M28434="","",'Master Barang'!A28)</f>
        <v>PRL-027</v>
      </c>
      <c r="O28434" t="str">
        <f>IF(N28434="","",'Master Barang'!B28)</f>
        <v>kresek klin warna warni kecil</v>
      </c>
      <c r="P28434">
        <f>IF(OR(M28434="",N28434=""),"",SUMIFS('Barang Keluar'!$E:$E,'Barang Keluar'!$A:$A,M28434,'Barang Keluar'!$C:$C,N28434))</f>
        <v>0</v>
      </c>
    </row>
    <row r="28435" spans="13:16">
      <c r="M28435" s="49">
        <f>IF($A$4+284&gt;$B$4,"",$A$4+284)</f>
        <v>46307</v>
      </c>
      <c r="N28435" t="str">
        <f>IF(M28435="","",'Master Barang'!A29)</f>
        <v>PRL-028</v>
      </c>
      <c r="O28435" t="str">
        <f>IF(N28435="","",'Master Barang'!B29)</f>
        <v>ctik plastik 7x10 100 pcs</v>
      </c>
      <c r="P28435">
        <f>IF(OR(M28435="",N28435=""),"",SUMIFS('Barang Keluar'!$E:$E,'Barang Keluar'!$A:$A,M28435,'Barang Keluar'!$C:$C,N28435))</f>
        <v>0</v>
      </c>
    </row>
    <row r="28436" spans="13:16">
      <c r="M28436" s="49">
        <f>IF($A$4+284&gt;$B$4,"",$A$4+284)</f>
        <v>46307</v>
      </c>
      <c r="N28436" t="str">
        <f>IF(M28436="","",'Master Barang'!A30)</f>
        <v>PRL-029</v>
      </c>
      <c r="O28436" t="str">
        <f>IF(N28436="","",'Master Barang'!B30)</f>
        <v>ctik plastik 6x10 100 pcs</v>
      </c>
      <c r="P28436">
        <f>IF(OR(M28436="",N28436=""),"",SUMIFS('Barang Keluar'!$E:$E,'Barang Keluar'!$A:$A,M28436,'Barang Keluar'!$C:$C,N28436))</f>
        <v>0</v>
      </c>
    </row>
    <row r="28437" spans="13:16">
      <c r="M28437" s="49">
        <f>IF($A$4+284&gt;$B$4,"",$A$4+284)</f>
        <v>46307</v>
      </c>
      <c r="N28437" t="str">
        <f>IF(M28437="","",'Master Barang'!A31)</f>
        <v>PRL-030</v>
      </c>
      <c r="O28437" t="str">
        <f>IF(N28437="","",'Master Barang'!B31)</f>
        <v>klip plastik 25x16 100 pcs</v>
      </c>
      <c r="P28437">
        <f>IF(OR(M28437="",N28437=""),"",SUMIFS('Barang Keluar'!$E:$E,'Barang Keluar'!$A:$A,M28437,'Barang Keluar'!$C:$C,N28437))</f>
        <v>0</v>
      </c>
    </row>
    <row r="28438" spans="13:16">
      <c r="M28438" s="49">
        <f>IF($A$4+284&gt;$B$4,"",$A$4+284)</f>
        <v>46307</v>
      </c>
      <c r="N28438" t="str">
        <f>IF(M28438="","",'Master Barang'!A32)</f>
        <v>PRL-031</v>
      </c>
      <c r="O28438" t="str">
        <f>IF(N28438="","",'Master Barang'!B32)</f>
        <v>tempat saus 20 ml</v>
      </c>
      <c r="P28438">
        <f>IF(OR(M28438="",N28438=""),"",SUMIFS('Barang Keluar'!$E:$E,'Barang Keluar'!$A:$A,M28438,'Barang Keluar'!$C:$C,N28438))</f>
        <v>0</v>
      </c>
    </row>
    <row r="28439" spans="13:16">
      <c r="M28439" s="49">
        <f>IF($A$4+284&gt;$B$4,"",$A$4+284)</f>
        <v>46307</v>
      </c>
      <c r="N28439" t="str">
        <f>IF(M28439="","",'Master Barang'!A33)</f>
        <v>PRL-032</v>
      </c>
      <c r="O28439" t="str">
        <f>IF(N28439="","",'Master Barang'!B33)</f>
        <v>plastik packaging ag box uk sedang</v>
      </c>
      <c r="P28439">
        <f>IF(OR(M28439="",N28439=""),"",SUMIFS('Barang Keluar'!$E:$E,'Barang Keluar'!$A:$A,M28439,'Barang Keluar'!$C:$C,N28439))</f>
        <v>0</v>
      </c>
    </row>
    <row r="28440" spans="13:16">
      <c r="M28440" s="49">
        <f>IF($A$4+284&gt;$B$4,"",$A$4+284)</f>
        <v>46307</v>
      </c>
      <c r="N28440" t="str">
        <f>IF(M28440="","",'Master Barang'!A34)</f>
        <v>PRL-033</v>
      </c>
      <c r="O28440">
        <f>IF(N28440="","",'Master Barang'!B34)</f>
        <v>0</v>
      </c>
      <c r="P28440">
        <f>IF(OR(M28440="",N28440=""),"",SUMIFS('Barang Keluar'!$E:$E,'Barang Keluar'!$A:$A,M28440,'Barang Keluar'!$C:$C,N28440))</f>
        <v>0</v>
      </c>
    </row>
    <row r="28441" spans="13:16">
      <c r="M28441" s="49">
        <f>IF($A$4+284&gt;$B$4,"",$A$4+284)</f>
        <v>46307</v>
      </c>
      <c r="N28441">
        <f>IF(M28441="","",'Master Barang'!A35)</f>
        <v>0</v>
      </c>
      <c r="O28441">
        <f>IF(N28441="","",'Master Barang'!B35)</f>
        <v>0</v>
      </c>
      <c r="P28441">
        <f>IF(OR(M28441="",N28441=""),"",SUMIFS('Barang Keluar'!$E:$E,'Barang Keluar'!$A:$A,M28441,'Barang Keluar'!$C:$C,N28441))</f>
        <v>0</v>
      </c>
    </row>
    <row r="28442" spans="13:16">
      <c r="M28442" s="49">
        <f>IF($A$4+284&gt;$B$4,"",$A$4+284)</f>
        <v>46307</v>
      </c>
      <c r="N28442">
        <f>IF(M28442="","",'Master Barang'!A36)</f>
        <v>0</v>
      </c>
      <c r="O28442">
        <f>IF(N28442="","",'Master Barang'!B36)</f>
        <v>0</v>
      </c>
      <c r="P28442">
        <f>IF(OR(M28442="",N28442=""),"",SUMIFS('Barang Keluar'!$E:$E,'Barang Keluar'!$A:$A,M28442,'Barang Keluar'!$C:$C,N28442))</f>
        <v>0</v>
      </c>
    </row>
    <row r="28443" spans="13:16">
      <c r="M28443" s="49">
        <f>IF($A$4+284&gt;$B$4,"",$A$4+284)</f>
        <v>46307</v>
      </c>
      <c r="N28443">
        <f>IF(M28443="","",'Master Barang'!A37)</f>
        <v>0</v>
      </c>
      <c r="O28443">
        <f>IF(N28443="","",'Master Barang'!B37)</f>
        <v>0</v>
      </c>
      <c r="P28443">
        <f>IF(OR(M28443="",N28443=""),"",SUMIFS('Barang Keluar'!$E:$E,'Barang Keluar'!$A:$A,M28443,'Barang Keluar'!$C:$C,N28443))</f>
        <v>0</v>
      </c>
    </row>
    <row r="28444" spans="13:16">
      <c r="M28444" s="49">
        <f>IF($A$4+284&gt;$B$4,"",$A$4+284)</f>
        <v>46307</v>
      </c>
      <c r="N28444">
        <f>IF(M28444="","",'Master Barang'!A38)</f>
        <v>0</v>
      </c>
      <c r="O28444">
        <f>IF(N28444="","",'Master Barang'!B38)</f>
        <v>0</v>
      </c>
      <c r="P28444">
        <f>IF(OR(M28444="",N28444=""),"",SUMIFS('Barang Keluar'!$E:$E,'Barang Keluar'!$A:$A,M28444,'Barang Keluar'!$C:$C,N28444))</f>
        <v>0</v>
      </c>
    </row>
    <row r="28445" spans="13:16">
      <c r="M28445" s="49">
        <f>IF($A$4+284&gt;$B$4,"",$A$4+284)</f>
        <v>46307</v>
      </c>
      <c r="N28445">
        <f>IF(M28445="","",'Master Barang'!A39)</f>
        <v>0</v>
      </c>
      <c r="O28445">
        <f>IF(N28445="","",'Master Barang'!B39)</f>
        <v>0</v>
      </c>
      <c r="P28445">
        <f>IF(OR(M28445="",N28445=""),"",SUMIFS('Barang Keluar'!$E:$E,'Barang Keluar'!$A:$A,M28445,'Barang Keluar'!$C:$C,N28445))</f>
        <v>0</v>
      </c>
    </row>
    <row r="28446" spans="13:16">
      <c r="M28446" s="49">
        <f>IF($A$4+284&gt;$B$4,"",$A$4+284)</f>
        <v>46307</v>
      </c>
      <c r="N28446">
        <f>IF(M28446="","",'Master Barang'!A40)</f>
        <v>0</v>
      </c>
      <c r="O28446">
        <f>IF(N28446="","",'Master Barang'!B40)</f>
        <v>0</v>
      </c>
      <c r="P28446">
        <f>IF(OR(M28446="",N28446=""),"",SUMIFS('Barang Keluar'!$E:$E,'Barang Keluar'!$A:$A,M28446,'Barang Keluar'!$C:$C,N28446))</f>
        <v>0</v>
      </c>
    </row>
    <row r="28447" spans="13:16">
      <c r="M28447" s="49">
        <f>IF($A$4+284&gt;$B$4,"",$A$4+284)</f>
        <v>46307</v>
      </c>
      <c r="N28447">
        <f>IF(M28447="","",'Master Barang'!A41)</f>
        <v>0</v>
      </c>
      <c r="O28447">
        <f>IF(N28447="","",'Master Barang'!B41)</f>
        <v>0</v>
      </c>
      <c r="P28447">
        <f>IF(OR(M28447="",N28447=""),"",SUMIFS('Barang Keluar'!$E:$E,'Barang Keluar'!$A:$A,M28447,'Barang Keluar'!$C:$C,N28447))</f>
        <v>0</v>
      </c>
    </row>
    <row r="28448" spans="13:16">
      <c r="M28448" s="49">
        <f>IF($A$4+284&gt;$B$4,"",$A$4+284)</f>
        <v>46307</v>
      </c>
      <c r="N28448">
        <f>IF(M28448="","",'Master Barang'!A42)</f>
        <v>0</v>
      </c>
      <c r="O28448">
        <f>IF(N28448="","",'Master Barang'!B42)</f>
        <v>0</v>
      </c>
      <c r="P28448">
        <f>IF(OR(M28448="",N28448=""),"",SUMIFS('Barang Keluar'!$E:$E,'Barang Keluar'!$A:$A,M28448,'Barang Keluar'!$C:$C,N28448))</f>
        <v>0</v>
      </c>
    </row>
    <row r="28449" spans="13:16">
      <c r="M28449" s="49">
        <f>IF($A$4+284&gt;$B$4,"",$A$4+284)</f>
        <v>46307</v>
      </c>
      <c r="N28449">
        <f>IF(M28449="","",'Master Barang'!A43)</f>
        <v>0</v>
      </c>
      <c r="O28449">
        <f>IF(N28449="","",'Master Barang'!B43)</f>
        <v>0</v>
      </c>
      <c r="P28449">
        <f>IF(OR(M28449="",N28449=""),"",SUMIFS('Barang Keluar'!$E:$E,'Barang Keluar'!$A:$A,M28449,'Barang Keluar'!$C:$C,N28449))</f>
        <v>0</v>
      </c>
    </row>
    <row r="28450" spans="13:16">
      <c r="M28450" s="49">
        <f>IF($A$4+284&gt;$B$4,"",$A$4+284)</f>
        <v>46307</v>
      </c>
      <c r="N28450">
        <f>IF(M28450="","",'Master Barang'!A44)</f>
        <v>0</v>
      </c>
      <c r="O28450">
        <f>IF(N28450="","",'Master Barang'!B44)</f>
        <v>0</v>
      </c>
      <c r="P28450">
        <f>IF(OR(M28450="",N28450=""),"",SUMIFS('Barang Keluar'!$E:$E,'Barang Keluar'!$A:$A,M28450,'Barang Keluar'!$C:$C,N28450))</f>
        <v>0</v>
      </c>
    </row>
    <row r="28451" spans="13:16">
      <c r="M28451" s="49">
        <f>IF($A$4+284&gt;$B$4,"",$A$4+284)</f>
        <v>46307</v>
      </c>
      <c r="N28451">
        <f>IF(M28451="","",'Master Barang'!A45)</f>
        <v>0</v>
      </c>
      <c r="O28451">
        <f>IF(N28451="","",'Master Barang'!B45)</f>
        <v>0</v>
      </c>
      <c r="P28451">
        <f>IF(OR(M28451="",N28451=""),"",SUMIFS('Barang Keluar'!$E:$E,'Barang Keluar'!$A:$A,M28451,'Barang Keluar'!$C:$C,N28451))</f>
        <v>0</v>
      </c>
    </row>
    <row r="28452" spans="13:16">
      <c r="M28452" s="49">
        <f>IF($A$4+284&gt;$B$4,"",$A$4+284)</f>
        <v>46307</v>
      </c>
      <c r="N28452">
        <f>IF(M28452="","",'Master Barang'!A46)</f>
        <v>0</v>
      </c>
      <c r="O28452">
        <f>IF(N28452="","",'Master Barang'!B46)</f>
        <v>0</v>
      </c>
      <c r="P28452">
        <f>IF(OR(M28452="",N28452=""),"",SUMIFS('Barang Keluar'!$E:$E,'Barang Keluar'!$A:$A,M28452,'Barang Keluar'!$C:$C,N28452))</f>
        <v>0</v>
      </c>
    </row>
    <row r="28453" spans="13:16">
      <c r="M28453" s="49">
        <f>IF($A$4+284&gt;$B$4,"",$A$4+284)</f>
        <v>46307</v>
      </c>
      <c r="N28453">
        <f>IF(M28453="","",'Master Barang'!A47)</f>
        <v>0</v>
      </c>
      <c r="O28453">
        <f>IF(N28453="","",'Master Barang'!B47)</f>
        <v>0</v>
      </c>
      <c r="P28453">
        <f>IF(OR(M28453="",N28453=""),"",SUMIFS('Barang Keluar'!$E:$E,'Barang Keluar'!$A:$A,M28453,'Barang Keluar'!$C:$C,N28453))</f>
        <v>0</v>
      </c>
    </row>
    <row r="28454" spans="13:16">
      <c r="M28454" s="49">
        <f>IF($A$4+284&gt;$B$4,"",$A$4+284)</f>
        <v>46307</v>
      </c>
      <c r="N28454">
        <f>IF(M28454="","",'Master Barang'!A48)</f>
        <v>0</v>
      </c>
      <c r="O28454">
        <f>IF(N28454="","",'Master Barang'!B48)</f>
        <v>0</v>
      </c>
      <c r="P28454">
        <f>IF(OR(M28454="",N28454=""),"",SUMIFS('Barang Keluar'!$E:$E,'Barang Keluar'!$A:$A,M28454,'Barang Keluar'!$C:$C,N28454))</f>
        <v>0</v>
      </c>
    </row>
    <row r="28455" spans="13:16">
      <c r="M28455" s="49">
        <f>IF($A$4+284&gt;$B$4,"",$A$4+284)</f>
        <v>46307</v>
      </c>
      <c r="N28455">
        <f>IF(M28455="","",'Master Barang'!A49)</f>
        <v>0</v>
      </c>
      <c r="O28455">
        <f>IF(N28455="","",'Master Barang'!B49)</f>
        <v>0</v>
      </c>
      <c r="P28455">
        <f>IF(OR(M28455="",N28455=""),"",SUMIFS('Barang Keluar'!$E:$E,'Barang Keluar'!$A:$A,M28455,'Barang Keluar'!$C:$C,N28455))</f>
        <v>0</v>
      </c>
    </row>
    <row r="28456" spans="13:16">
      <c r="M28456" s="49">
        <f>IF($A$4+284&gt;$B$4,"",$A$4+284)</f>
        <v>46307</v>
      </c>
      <c r="N28456">
        <f>IF(M28456="","",'Master Barang'!A50)</f>
        <v>0</v>
      </c>
      <c r="O28456">
        <f>IF(N28456="","",'Master Barang'!B50)</f>
        <v>0</v>
      </c>
      <c r="P28456">
        <f>IF(OR(M28456="",N28456=""),"",SUMIFS('Barang Keluar'!$E:$E,'Barang Keluar'!$A:$A,M28456,'Barang Keluar'!$C:$C,N28456))</f>
        <v>0</v>
      </c>
    </row>
    <row r="28457" spans="13:16">
      <c r="M28457" s="49">
        <f>IF($A$4+284&gt;$B$4,"",$A$4+284)</f>
        <v>46307</v>
      </c>
      <c r="N28457">
        <f>IF(M28457="","",'Master Barang'!A51)</f>
        <v>0</v>
      </c>
      <c r="O28457">
        <f>IF(N28457="","",'Master Barang'!B51)</f>
        <v>0</v>
      </c>
      <c r="P28457">
        <f>IF(OR(M28457="",N28457=""),"",SUMIFS('Barang Keluar'!$E:$E,'Barang Keluar'!$A:$A,M28457,'Barang Keluar'!$C:$C,N28457))</f>
        <v>0</v>
      </c>
    </row>
    <row r="28458" spans="13:16">
      <c r="M28458" s="49">
        <f>IF($A$4+284&gt;$B$4,"",$A$4+284)</f>
        <v>46307</v>
      </c>
      <c r="N28458">
        <f>IF(M28458="","",'Master Barang'!A52)</f>
        <v>0</v>
      </c>
      <c r="O28458">
        <f>IF(N28458="","",'Master Barang'!B52)</f>
        <v>0</v>
      </c>
      <c r="P28458">
        <f>IF(OR(M28458="",N28458=""),"",SUMIFS('Barang Keluar'!$E:$E,'Barang Keluar'!$A:$A,M28458,'Barang Keluar'!$C:$C,N28458))</f>
        <v>0</v>
      </c>
    </row>
    <row r="28459" spans="13:16">
      <c r="M28459" s="49">
        <f>IF($A$4+284&gt;$B$4,"",$A$4+284)</f>
        <v>46307</v>
      </c>
      <c r="N28459">
        <f>IF(M28459="","",'Master Barang'!A53)</f>
        <v>0</v>
      </c>
      <c r="O28459">
        <f>IF(N28459="","",'Master Barang'!B53)</f>
        <v>0</v>
      </c>
      <c r="P28459">
        <f>IF(OR(M28459="",N28459=""),"",SUMIFS('Barang Keluar'!$E:$E,'Barang Keluar'!$A:$A,M28459,'Barang Keluar'!$C:$C,N28459))</f>
        <v>0</v>
      </c>
    </row>
    <row r="28460" spans="13:16">
      <c r="M28460" s="49">
        <f>IF($A$4+284&gt;$B$4,"",$A$4+284)</f>
        <v>46307</v>
      </c>
      <c r="N28460">
        <f>IF(M28460="","",'Master Barang'!A54)</f>
        <v>0</v>
      </c>
      <c r="O28460">
        <f>IF(N28460="","",'Master Barang'!B54)</f>
        <v>0</v>
      </c>
      <c r="P28460">
        <f>IF(OR(M28460="",N28460=""),"",SUMIFS('Barang Keluar'!$E:$E,'Barang Keluar'!$A:$A,M28460,'Barang Keluar'!$C:$C,N28460))</f>
        <v>0</v>
      </c>
    </row>
    <row r="28461" spans="13:16">
      <c r="M28461" s="49">
        <f>IF($A$4+284&gt;$B$4,"",$A$4+284)</f>
        <v>46307</v>
      </c>
      <c r="N28461">
        <f>IF(M28461="","",'Master Barang'!A55)</f>
        <v>0</v>
      </c>
      <c r="O28461">
        <f>IF(N28461="","",'Master Barang'!B55)</f>
        <v>0</v>
      </c>
      <c r="P28461">
        <f>IF(OR(M28461="",N28461=""),"",SUMIFS('Barang Keluar'!$E:$E,'Barang Keluar'!$A:$A,M28461,'Barang Keluar'!$C:$C,N28461))</f>
        <v>0</v>
      </c>
    </row>
    <row r="28462" spans="13:16">
      <c r="M28462" s="49">
        <f>IF($A$4+284&gt;$B$4,"",$A$4+284)</f>
        <v>46307</v>
      </c>
      <c r="N28462">
        <f>IF(M28462="","",'Master Barang'!A56)</f>
        <v>0</v>
      </c>
      <c r="O28462">
        <f>IF(N28462="","",'Master Barang'!B56)</f>
        <v>0</v>
      </c>
      <c r="P28462">
        <f>IF(OR(M28462="",N28462=""),"",SUMIFS('Barang Keluar'!$E:$E,'Barang Keluar'!$A:$A,M28462,'Barang Keluar'!$C:$C,N28462))</f>
        <v>0</v>
      </c>
    </row>
    <row r="28463" spans="13:16">
      <c r="M28463" s="49">
        <f>IF($A$4+284&gt;$B$4,"",$A$4+284)</f>
        <v>46307</v>
      </c>
      <c r="N28463">
        <f>IF(M28463="","",'Master Barang'!A57)</f>
        <v>0</v>
      </c>
      <c r="O28463">
        <f>IF(N28463="","",'Master Barang'!B57)</f>
        <v>0</v>
      </c>
      <c r="P28463">
        <f>IF(OR(M28463="",N28463=""),"",SUMIFS('Barang Keluar'!$E:$E,'Barang Keluar'!$A:$A,M28463,'Barang Keluar'!$C:$C,N28463))</f>
        <v>0</v>
      </c>
    </row>
    <row r="28464" spans="13:16">
      <c r="M28464" s="49">
        <f>IF($A$4+284&gt;$B$4,"",$A$4+284)</f>
        <v>46307</v>
      </c>
      <c r="N28464">
        <f>IF(M28464="","",'Master Barang'!A58)</f>
        <v>0</v>
      </c>
      <c r="O28464">
        <f>IF(N28464="","",'Master Barang'!B58)</f>
        <v>0</v>
      </c>
      <c r="P28464">
        <f>IF(OR(M28464="",N28464=""),"",SUMIFS('Barang Keluar'!$E:$E,'Barang Keluar'!$A:$A,M28464,'Barang Keluar'!$C:$C,N28464))</f>
        <v>0</v>
      </c>
    </row>
    <row r="28465" spans="13:16">
      <c r="M28465" s="49">
        <f>IF($A$4+284&gt;$B$4,"",$A$4+284)</f>
        <v>46307</v>
      </c>
      <c r="N28465">
        <f>IF(M28465="","",'Master Barang'!A59)</f>
        <v>0</v>
      </c>
      <c r="O28465">
        <f>IF(N28465="","",'Master Barang'!B59)</f>
        <v>0</v>
      </c>
      <c r="P28465">
        <f>IF(OR(M28465="",N28465=""),"",SUMIFS('Barang Keluar'!$E:$E,'Barang Keluar'!$A:$A,M28465,'Barang Keluar'!$C:$C,N28465))</f>
        <v>0</v>
      </c>
    </row>
    <row r="28466" spans="13:16">
      <c r="M28466" s="49">
        <f>IF($A$4+284&gt;$B$4,"",$A$4+284)</f>
        <v>46307</v>
      </c>
      <c r="N28466">
        <f>IF(M28466="","",'Master Barang'!A60)</f>
        <v>0</v>
      </c>
      <c r="O28466">
        <f>IF(N28466="","",'Master Barang'!B60)</f>
        <v>0</v>
      </c>
      <c r="P28466">
        <f>IF(OR(M28466="",N28466=""),"",SUMIFS('Barang Keluar'!$E:$E,'Barang Keluar'!$A:$A,M28466,'Barang Keluar'!$C:$C,N28466))</f>
        <v>0</v>
      </c>
    </row>
    <row r="28467" spans="13:16">
      <c r="M28467" s="49">
        <f>IF($A$4+284&gt;$B$4,"",$A$4+284)</f>
        <v>46307</v>
      </c>
      <c r="N28467">
        <f>IF(M28467="","",'Master Barang'!A61)</f>
        <v>0</v>
      </c>
      <c r="O28467">
        <f>IF(N28467="","",'Master Barang'!B61)</f>
        <v>0</v>
      </c>
      <c r="P28467">
        <f>IF(OR(M28467="",N28467=""),"",SUMIFS('Barang Keluar'!$E:$E,'Barang Keluar'!$A:$A,M28467,'Barang Keluar'!$C:$C,N28467))</f>
        <v>0</v>
      </c>
    </row>
    <row r="28468" spans="13:16">
      <c r="M28468" s="49">
        <f>IF($A$4+284&gt;$B$4,"",$A$4+284)</f>
        <v>46307</v>
      </c>
      <c r="N28468">
        <f>IF(M28468="","",'Master Barang'!A62)</f>
        <v>0</v>
      </c>
      <c r="O28468">
        <f>IF(N28468="","",'Master Barang'!B62)</f>
        <v>0</v>
      </c>
      <c r="P28468">
        <f>IF(OR(M28468="",N28468=""),"",SUMIFS('Barang Keluar'!$E:$E,'Barang Keluar'!$A:$A,M28468,'Barang Keluar'!$C:$C,N28468))</f>
        <v>0</v>
      </c>
    </row>
    <row r="28469" spans="13:16">
      <c r="M28469" s="49">
        <f>IF($A$4+284&gt;$B$4,"",$A$4+284)</f>
        <v>46307</v>
      </c>
      <c r="N28469">
        <f>IF(M28469="","",'Master Barang'!A63)</f>
        <v>0</v>
      </c>
      <c r="O28469">
        <f>IF(N28469="","",'Master Barang'!B63)</f>
        <v>0</v>
      </c>
      <c r="P28469">
        <f>IF(OR(M28469="",N28469=""),"",SUMIFS('Barang Keluar'!$E:$E,'Barang Keluar'!$A:$A,M28469,'Barang Keluar'!$C:$C,N28469))</f>
        <v>0</v>
      </c>
    </row>
    <row r="28470" spans="13:16">
      <c r="M28470" s="49">
        <f>IF($A$4+284&gt;$B$4,"",$A$4+284)</f>
        <v>46307</v>
      </c>
      <c r="N28470">
        <f>IF(M28470="","",'Master Barang'!A64)</f>
        <v>0</v>
      </c>
      <c r="O28470">
        <f>IF(N28470="","",'Master Barang'!B64)</f>
        <v>0</v>
      </c>
      <c r="P28470">
        <f>IF(OR(M28470="",N28470=""),"",SUMIFS('Barang Keluar'!$E:$E,'Barang Keluar'!$A:$A,M28470,'Barang Keluar'!$C:$C,N28470))</f>
        <v>0</v>
      </c>
    </row>
    <row r="28471" spans="13:16">
      <c r="M28471" s="49">
        <f>IF($A$4+284&gt;$B$4,"",$A$4+284)</f>
        <v>46307</v>
      </c>
      <c r="N28471">
        <f>IF(M28471="","",'Master Barang'!A65)</f>
        <v>0</v>
      </c>
      <c r="O28471">
        <f>IF(N28471="","",'Master Barang'!B65)</f>
        <v>0</v>
      </c>
      <c r="P28471">
        <f>IF(OR(M28471="",N28471=""),"",SUMIFS('Barang Keluar'!$E:$E,'Barang Keluar'!$A:$A,M28471,'Barang Keluar'!$C:$C,N28471))</f>
        <v>0</v>
      </c>
    </row>
    <row r="28472" spans="13:16">
      <c r="M28472" s="49">
        <f>IF($A$4+284&gt;$B$4,"",$A$4+284)</f>
        <v>46307</v>
      </c>
      <c r="N28472">
        <f>IF(M28472="","",'Master Barang'!A66)</f>
        <v>0</v>
      </c>
      <c r="O28472">
        <f>IF(N28472="","",'Master Barang'!B66)</f>
        <v>0</v>
      </c>
      <c r="P28472">
        <f>IF(OR(M28472="",N28472=""),"",SUMIFS('Barang Keluar'!$E:$E,'Barang Keluar'!$A:$A,M28472,'Barang Keluar'!$C:$C,N28472))</f>
        <v>0</v>
      </c>
    </row>
    <row r="28473" spans="13:16">
      <c r="M28473" s="49">
        <f>IF($A$4+284&gt;$B$4,"",$A$4+284)</f>
        <v>46307</v>
      </c>
      <c r="N28473">
        <f>IF(M28473="","",'Master Barang'!A67)</f>
        <v>0</v>
      </c>
      <c r="O28473">
        <f>IF(N28473="","",'Master Barang'!B67)</f>
        <v>0</v>
      </c>
      <c r="P28473">
        <f>IF(OR(M28473="",N28473=""),"",SUMIFS('Barang Keluar'!$E:$E,'Barang Keluar'!$A:$A,M28473,'Barang Keluar'!$C:$C,N28473))</f>
        <v>0</v>
      </c>
    </row>
    <row r="28474" spans="13:16">
      <c r="M28474" s="49">
        <f>IF($A$4+284&gt;$B$4,"",$A$4+284)</f>
        <v>46307</v>
      </c>
      <c r="N28474">
        <f>IF(M28474="","",'Master Barang'!A68)</f>
        <v>0</v>
      </c>
      <c r="O28474">
        <f>IF(N28474="","",'Master Barang'!B68)</f>
        <v>0</v>
      </c>
      <c r="P28474">
        <f>IF(OR(M28474="",N28474=""),"",SUMIFS('Barang Keluar'!$E:$E,'Barang Keluar'!$A:$A,M28474,'Barang Keluar'!$C:$C,N28474))</f>
        <v>0</v>
      </c>
    </row>
    <row r="28475" spans="13:16">
      <c r="M28475" s="49">
        <f>IF($A$4+284&gt;$B$4,"",$A$4+284)</f>
        <v>46307</v>
      </c>
      <c r="N28475">
        <f>IF(M28475="","",'Master Barang'!A69)</f>
        <v>0</v>
      </c>
      <c r="O28475">
        <f>IF(N28475="","",'Master Barang'!B69)</f>
        <v>0</v>
      </c>
      <c r="P28475">
        <f>IF(OR(M28475="",N28475=""),"",SUMIFS('Barang Keluar'!$E:$E,'Barang Keluar'!$A:$A,M28475,'Barang Keluar'!$C:$C,N28475))</f>
        <v>0</v>
      </c>
    </row>
    <row r="28476" spans="13:16">
      <c r="M28476" s="49">
        <f>IF($A$4+284&gt;$B$4,"",$A$4+284)</f>
        <v>46307</v>
      </c>
      <c r="N28476">
        <f>IF(M28476="","",'Master Barang'!A70)</f>
        <v>0</v>
      </c>
      <c r="O28476">
        <f>IF(N28476="","",'Master Barang'!B70)</f>
        <v>0</v>
      </c>
      <c r="P28476">
        <f>IF(OR(M28476="",N28476=""),"",SUMIFS('Barang Keluar'!$E:$E,'Barang Keluar'!$A:$A,M28476,'Barang Keluar'!$C:$C,N28476))</f>
        <v>0</v>
      </c>
    </row>
    <row r="28477" spans="13:16">
      <c r="M28477" s="49">
        <f>IF($A$4+284&gt;$B$4,"",$A$4+284)</f>
        <v>46307</v>
      </c>
      <c r="N28477">
        <f>IF(M28477="","",'Master Barang'!A71)</f>
        <v>0</v>
      </c>
      <c r="O28477">
        <f>IF(N28477="","",'Master Barang'!B71)</f>
        <v>0</v>
      </c>
      <c r="P28477">
        <f>IF(OR(M28477="",N28477=""),"",SUMIFS('Barang Keluar'!$E:$E,'Barang Keluar'!$A:$A,M28477,'Barang Keluar'!$C:$C,N28477))</f>
        <v>0</v>
      </c>
    </row>
    <row r="28478" spans="13:16">
      <c r="M28478" s="49">
        <f>IF($A$4+284&gt;$B$4,"",$A$4+284)</f>
        <v>46307</v>
      </c>
      <c r="N28478">
        <f>IF(M28478="","",'Master Barang'!A72)</f>
        <v>0</v>
      </c>
      <c r="O28478">
        <f>IF(N28478="","",'Master Barang'!B72)</f>
        <v>0</v>
      </c>
      <c r="P28478">
        <f>IF(OR(M28478="",N28478=""),"",SUMIFS('Barang Keluar'!$E:$E,'Barang Keluar'!$A:$A,M28478,'Barang Keluar'!$C:$C,N28478))</f>
        <v>0</v>
      </c>
    </row>
    <row r="28479" spans="13:16">
      <c r="M28479" s="49">
        <f>IF($A$4+284&gt;$B$4,"",$A$4+284)</f>
        <v>46307</v>
      </c>
      <c r="N28479">
        <f>IF(M28479="","",'Master Barang'!A73)</f>
        <v>0</v>
      </c>
      <c r="O28479">
        <f>IF(N28479="","",'Master Barang'!B73)</f>
        <v>0</v>
      </c>
      <c r="P28479">
        <f>IF(OR(M28479="",N28479=""),"",SUMIFS('Barang Keluar'!$E:$E,'Barang Keluar'!$A:$A,M28479,'Barang Keluar'!$C:$C,N28479))</f>
        <v>0</v>
      </c>
    </row>
    <row r="28480" spans="13:16">
      <c r="M28480" s="49">
        <f>IF($A$4+284&gt;$B$4,"",$A$4+284)</f>
        <v>46307</v>
      </c>
      <c r="N28480">
        <f>IF(M28480="","",'Master Barang'!A74)</f>
        <v>0</v>
      </c>
      <c r="O28480">
        <f>IF(N28480="","",'Master Barang'!B74)</f>
        <v>0</v>
      </c>
      <c r="P28480">
        <f>IF(OR(M28480="",N28480=""),"",SUMIFS('Barang Keluar'!$E:$E,'Barang Keluar'!$A:$A,M28480,'Barang Keluar'!$C:$C,N28480))</f>
        <v>0</v>
      </c>
    </row>
    <row r="28481" spans="13:16">
      <c r="M28481" s="49">
        <f>IF($A$4+284&gt;$B$4,"",$A$4+284)</f>
        <v>46307</v>
      </c>
      <c r="N28481">
        <f>IF(M28481="","",'Master Barang'!A75)</f>
        <v>0</v>
      </c>
      <c r="O28481">
        <f>IF(N28481="","",'Master Barang'!B75)</f>
        <v>0</v>
      </c>
      <c r="P28481">
        <f>IF(OR(M28481="",N28481=""),"",SUMIFS('Barang Keluar'!$E:$E,'Barang Keluar'!$A:$A,M28481,'Barang Keluar'!$C:$C,N28481))</f>
        <v>0</v>
      </c>
    </row>
    <row r="28482" spans="13:16">
      <c r="M28482" s="49">
        <f>IF($A$4+284&gt;$B$4,"",$A$4+284)</f>
        <v>46307</v>
      </c>
      <c r="N28482">
        <f>IF(M28482="","",'Master Barang'!A76)</f>
        <v>0</v>
      </c>
      <c r="O28482">
        <f>IF(N28482="","",'Master Barang'!B76)</f>
        <v>0</v>
      </c>
      <c r="P28482">
        <f>IF(OR(M28482="",N28482=""),"",SUMIFS('Barang Keluar'!$E:$E,'Barang Keluar'!$A:$A,M28482,'Barang Keluar'!$C:$C,N28482))</f>
        <v>0</v>
      </c>
    </row>
    <row r="28483" spans="13:16">
      <c r="M28483" s="49">
        <f>IF($A$4+284&gt;$B$4,"",$A$4+284)</f>
        <v>46307</v>
      </c>
      <c r="N28483">
        <f>IF(M28483="","",'Master Barang'!A77)</f>
        <v>0</v>
      </c>
      <c r="O28483">
        <f>IF(N28483="","",'Master Barang'!B77)</f>
        <v>0</v>
      </c>
      <c r="P28483">
        <f>IF(OR(M28483="",N28483=""),"",SUMIFS('Barang Keluar'!$E:$E,'Barang Keluar'!$A:$A,M28483,'Barang Keluar'!$C:$C,N28483))</f>
        <v>0</v>
      </c>
    </row>
    <row r="28484" spans="13:16">
      <c r="M28484" s="49">
        <f>IF($A$4+284&gt;$B$4,"",$A$4+284)</f>
        <v>46307</v>
      </c>
      <c r="N28484">
        <f>IF(M28484="","",'Master Barang'!A78)</f>
        <v>0</v>
      </c>
      <c r="O28484">
        <f>IF(N28484="","",'Master Barang'!B78)</f>
        <v>0</v>
      </c>
      <c r="P28484">
        <f>IF(OR(M28484="",N28484=""),"",SUMIFS('Barang Keluar'!$E:$E,'Barang Keluar'!$A:$A,M28484,'Barang Keluar'!$C:$C,N28484))</f>
        <v>0</v>
      </c>
    </row>
    <row r="28485" spans="13:16">
      <c r="M28485" s="49">
        <f>IF($A$4+284&gt;$B$4,"",$A$4+284)</f>
        <v>46307</v>
      </c>
      <c r="N28485">
        <f>IF(M28485="","",'Master Barang'!A79)</f>
        <v>0</v>
      </c>
      <c r="O28485">
        <f>IF(N28485="","",'Master Barang'!B79)</f>
        <v>0</v>
      </c>
      <c r="P28485">
        <f>IF(OR(M28485="",N28485=""),"",SUMIFS('Barang Keluar'!$E:$E,'Barang Keluar'!$A:$A,M28485,'Barang Keluar'!$C:$C,N28485))</f>
        <v>0</v>
      </c>
    </row>
    <row r="28486" spans="13:16">
      <c r="M28486" s="49">
        <f>IF($A$4+284&gt;$B$4,"",$A$4+284)</f>
        <v>46307</v>
      </c>
      <c r="N28486">
        <f>IF(M28486="","",'Master Barang'!A80)</f>
        <v>0</v>
      </c>
      <c r="O28486">
        <f>IF(N28486="","",'Master Barang'!B80)</f>
        <v>0</v>
      </c>
      <c r="P28486">
        <f>IF(OR(M28486="",N28486=""),"",SUMIFS('Barang Keluar'!$E:$E,'Barang Keluar'!$A:$A,M28486,'Barang Keluar'!$C:$C,N28486))</f>
        <v>0</v>
      </c>
    </row>
    <row r="28487" spans="13:16">
      <c r="M28487" s="49">
        <f>IF($A$4+284&gt;$B$4,"",$A$4+284)</f>
        <v>46307</v>
      </c>
      <c r="N28487">
        <f>IF(M28487="","",'Master Barang'!A81)</f>
        <v>0</v>
      </c>
      <c r="O28487">
        <f>IF(N28487="","",'Master Barang'!B81)</f>
        <v>0</v>
      </c>
      <c r="P28487">
        <f>IF(OR(M28487="",N28487=""),"",SUMIFS('Barang Keluar'!$E:$E,'Barang Keluar'!$A:$A,M28487,'Barang Keluar'!$C:$C,N28487))</f>
        <v>0</v>
      </c>
    </row>
    <row r="28488" spans="13:16">
      <c r="M28488" s="49">
        <f>IF($A$4+284&gt;$B$4,"",$A$4+284)</f>
        <v>46307</v>
      </c>
      <c r="N28488">
        <f>IF(M28488="","",'Master Barang'!A82)</f>
        <v>0</v>
      </c>
      <c r="O28488">
        <f>IF(N28488="","",'Master Barang'!B82)</f>
        <v>0</v>
      </c>
      <c r="P28488">
        <f>IF(OR(M28488="",N28488=""),"",SUMIFS('Barang Keluar'!$E:$E,'Barang Keluar'!$A:$A,M28488,'Barang Keluar'!$C:$C,N28488))</f>
        <v>0</v>
      </c>
    </row>
    <row r="28489" spans="13:16">
      <c r="M28489" s="49">
        <f>IF($A$4+284&gt;$B$4,"",$A$4+284)</f>
        <v>46307</v>
      </c>
      <c r="N28489">
        <f>IF(M28489="","",'Master Barang'!A83)</f>
        <v>0</v>
      </c>
      <c r="O28489">
        <f>IF(N28489="","",'Master Barang'!B83)</f>
        <v>0</v>
      </c>
      <c r="P28489">
        <f>IF(OR(M28489="",N28489=""),"",SUMIFS('Barang Keluar'!$E:$E,'Barang Keluar'!$A:$A,M28489,'Barang Keluar'!$C:$C,N28489))</f>
        <v>0</v>
      </c>
    </row>
    <row r="28490" spans="13:16">
      <c r="M28490" s="49">
        <f>IF($A$4+284&gt;$B$4,"",$A$4+284)</f>
        <v>46307</v>
      </c>
      <c r="N28490">
        <f>IF(M28490="","",'Master Barang'!A84)</f>
        <v>0</v>
      </c>
      <c r="O28490">
        <f>IF(N28490="","",'Master Barang'!B84)</f>
        <v>0</v>
      </c>
      <c r="P28490">
        <f>IF(OR(M28490="",N28490=""),"",SUMIFS('Barang Keluar'!$E:$E,'Barang Keluar'!$A:$A,M28490,'Barang Keluar'!$C:$C,N28490))</f>
        <v>0</v>
      </c>
    </row>
    <row r="28491" spans="13:16">
      <c r="M28491" s="49">
        <f>IF($A$4+284&gt;$B$4,"",$A$4+284)</f>
        <v>46307</v>
      </c>
      <c r="N28491">
        <f>IF(M28491="","",'Master Barang'!A85)</f>
        <v>0</v>
      </c>
      <c r="O28491">
        <f>IF(N28491="","",'Master Barang'!B85)</f>
        <v>0</v>
      </c>
      <c r="P28491">
        <f>IF(OR(M28491="",N28491=""),"",SUMIFS('Barang Keluar'!$E:$E,'Barang Keluar'!$A:$A,M28491,'Barang Keluar'!$C:$C,N28491))</f>
        <v>0</v>
      </c>
    </row>
    <row r="28492" spans="13:16">
      <c r="M28492" s="49">
        <f>IF($A$4+284&gt;$B$4,"",$A$4+284)</f>
        <v>46307</v>
      </c>
      <c r="N28492">
        <f>IF(M28492="","",'Master Barang'!A86)</f>
        <v>0</v>
      </c>
      <c r="O28492">
        <f>IF(N28492="","",'Master Barang'!B86)</f>
        <v>0</v>
      </c>
      <c r="P28492">
        <f>IF(OR(M28492="",N28492=""),"",SUMIFS('Barang Keluar'!$E:$E,'Barang Keluar'!$A:$A,M28492,'Barang Keluar'!$C:$C,N28492))</f>
        <v>0</v>
      </c>
    </row>
    <row r="28493" spans="13:16">
      <c r="M28493" s="49">
        <f>IF($A$4+284&gt;$B$4,"",$A$4+284)</f>
        <v>46307</v>
      </c>
      <c r="N28493">
        <f>IF(M28493="","",'Master Barang'!A87)</f>
        <v>0</v>
      </c>
      <c r="O28493">
        <f>IF(N28493="","",'Master Barang'!B87)</f>
        <v>0</v>
      </c>
      <c r="P28493">
        <f>IF(OR(M28493="",N28493=""),"",SUMIFS('Barang Keluar'!$E:$E,'Barang Keluar'!$A:$A,M28493,'Barang Keluar'!$C:$C,N28493))</f>
        <v>0</v>
      </c>
    </row>
    <row r="28494" spans="13:16">
      <c r="M28494" s="49">
        <f>IF($A$4+284&gt;$B$4,"",$A$4+284)</f>
        <v>46307</v>
      </c>
      <c r="N28494">
        <f>IF(M28494="","",'Master Barang'!A88)</f>
        <v>0</v>
      </c>
      <c r="O28494">
        <f>IF(N28494="","",'Master Barang'!B88)</f>
        <v>0</v>
      </c>
      <c r="P28494">
        <f>IF(OR(M28494="",N28494=""),"",SUMIFS('Barang Keluar'!$E:$E,'Barang Keluar'!$A:$A,M28494,'Barang Keluar'!$C:$C,N28494))</f>
        <v>0</v>
      </c>
    </row>
    <row r="28495" spans="13:16">
      <c r="M28495" s="49">
        <f>IF($A$4+284&gt;$B$4,"",$A$4+284)</f>
        <v>46307</v>
      </c>
      <c r="N28495">
        <f>IF(M28495="","",'Master Barang'!A89)</f>
        <v>0</v>
      </c>
      <c r="O28495">
        <f>IF(N28495="","",'Master Barang'!B89)</f>
        <v>0</v>
      </c>
      <c r="P28495">
        <f>IF(OR(M28495="",N28495=""),"",SUMIFS('Barang Keluar'!$E:$E,'Barang Keluar'!$A:$A,M28495,'Barang Keluar'!$C:$C,N28495))</f>
        <v>0</v>
      </c>
    </row>
    <row r="28496" spans="13:16">
      <c r="M28496" s="49">
        <f>IF($A$4+284&gt;$B$4,"",$A$4+284)</f>
        <v>46307</v>
      </c>
      <c r="N28496">
        <f>IF(M28496="","",'Master Barang'!A90)</f>
        <v>0</v>
      </c>
      <c r="O28496">
        <f>IF(N28496="","",'Master Barang'!B90)</f>
        <v>0</v>
      </c>
      <c r="P28496">
        <f>IF(OR(M28496="",N28496=""),"",SUMIFS('Barang Keluar'!$E:$E,'Barang Keluar'!$A:$A,M28496,'Barang Keluar'!$C:$C,N28496))</f>
        <v>0</v>
      </c>
    </row>
    <row r="28497" spans="13:16">
      <c r="M28497" s="49">
        <f>IF($A$4+284&gt;$B$4,"",$A$4+284)</f>
        <v>46307</v>
      </c>
      <c r="N28497">
        <f>IF(M28497="","",'Master Barang'!A91)</f>
        <v>0</v>
      </c>
      <c r="O28497">
        <f>IF(N28497="","",'Master Barang'!B91)</f>
        <v>0</v>
      </c>
      <c r="P28497">
        <f>IF(OR(M28497="",N28497=""),"",SUMIFS('Barang Keluar'!$E:$E,'Barang Keluar'!$A:$A,M28497,'Barang Keluar'!$C:$C,N28497))</f>
        <v>0</v>
      </c>
    </row>
    <row r="28498" spans="13:16">
      <c r="M28498" s="49">
        <f>IF($A$4+284&gt;$B$4,"",$A$4+284)</f>
        <v>46307</v>
      </c>
      <c r="N28498">
        <f>IF(M28498="","",'Master Barang'!A92)</f>
        <v>0</v>
      </c>
      <c r="O28498">
        <f>IF(N28498="","",'Master Barang'!B92)</f>
        <v>0</v>
      </c>
      <c r="P28498">
        <f>IF(OR(M28498="",N28498=""),"",SUMIFS('Barang Keluar'!$E:$E,'Barang Keluar'!$A:$A,M28498,'Barang Keluar'!$C:$C,N28498))</f>
        <v>0</v>
      </c>
    </row>
    <row r="28499" spans="13:16">
      <c r="M28499" s="49">
        <f>IF($A$4+284&gt;$B$4,"",$A$4+284)</f>
        <v>46307</v>
      </c>
      <c r="N28499">
        <f>IF(M28499="","",'Master Barang'!A93)</f>
        <v>0</v>
      </c>
      <c r="O28499">
        <f>IF(N28499="","",'Master Barang'!B93)</f>
        <v>0</v>
      </c>
      <c r="P28499">
        <f>IF(OR(M28499="",N28499=""),"",SUMIFS('Barang Keluar'!$E:$E,'Barang Keluar'!$A:$A,M28499,'Barang Keluar'!$C:$C,N28499))</f>
        <v>0</v>
      </c>
    </row>
    <row r="28500" spans="13:16">
      <c r="M28500" s="49">
        <f>IF($A$4+284&gt;$B$4,"",$A$4+284)</f>
        <v>46307</v>
      </c>
      <c r="N28500">
        <f>IF(M28500="","",'Master Barang'!A94)</f>
        <v>0</v>
      </c>
      <c r="O28500">
        <f>IF(N28500="","",'Master Barang'!B94)</f>
        <v>0</v>
      </c>
      <c r="P28500">
        <f>IF(OR(M28500="",N28500=""),"",SUMIFS('Barang Keluar'!$E:$E,'Barang Keluar'!$A:$A,M28500,'Barang Keluar'!$C:$C,N28500))</f>
        <v>0</v>
      </c>
    </row>
    <row r="28501" spans="13:16">
      <c r="M28501" s="49">
        <f>IF($A$4+284&gt;$B$4,"",$A$4+284)</f>
        <v>46307</v>
      </c>
      <c r="N28501">
        <f>IF(M28501="","",'Master Barang'!A95)</f>
        <v>0</v>
      </c>
      <c r="O28501">
        <f>IF(N28501="","",'Master Barang'!B95)</f>
        <v>0</v>
      </c>
      <c r="P28501">
        <f>IF(OR(M28501="",N28501=""),"",SUMIFS('Barang Keluar'!$E:$E,'Barang Keluar'!$A:$A,M28501,'Barang Keluar'!$C:$C,N28501))</f>
        <v>0</v>
      </c>
    </row>
    <row r="28502" spans="13:16">
      <c r="M28502" s="49">
        <f>IF($A$4+284&gt;$B$4,"",$A$4+284)</f>
        <v>46307</v>
      </c>
      <c r="N28502">
        <f>IF(M28502="","",'Master Barang'!A96)</f>
        <v>0</v>
      </c>
      <c r="O28502">
        <f>IF(N28502="","",'Master Barang'!B96)</f>
        <v>0</v>
      </c>
      <c r="P28502">
        <f>IF(OR(M28502="",N28502=""),"",SUMIFS('Barang Keluar'!$E:$E,'Barang Keluar'!$A:$A,M28502,'Barang Keluar'!$C:$C,N28502))</f>
        <v>0</v>
      </c>
    </row>
    <row r="28503" spans="13:16">
      <c r="M28503" s="49">
        <f>IF($A$4+284&gt;$B$4,"",$A$4+284)</f>
        <v>46307</v>
      </c>
      <c r="N28503">
        <f>IF(M28503="","",'Master Barang'!A97)</f>
        <v>0</v>
      </c>
      <c r="O28503">
        <f>IF(N28503="","",'Master Barang'!B97)</f>
        <v>0</v>
      </c>
      <c r="P28503">
        <f>IF(OR(M28503="",N28503=""),"",SUMIFS('Barang Keluar'!$E:$E,'Barang Keluar'!$A:$A,M28503,'Barang Keluar'!$C:$C,N28503))</f>
        <v>0</v>
      </c>
    </row>
    <row r="28504" spans="13:16">
      <c r="M28504" s="49">
        <f>IF($A$4+284&gt;$B$4,"",$A$4+284)</f>
        <v>46307</v>
      </c>
      <c r="N28504">
        <f>IF(M28504="","",'Master Barang'!A98)</f>
        <v>0</v>
      </c>
      <c r="O28504">
        <f>IF(N28504="","",'Master Barang'!B98)</f>
        <v>0</v>
      </c>
      <c r="P28504">
        <f>IF(OR(M28504="",N28504=""),"",SUMIFS('Barang Keluar'!$E:$E,'Barang Keluar'!$A:$A,M28504,'Barang Keluar'!$C:$C,N28504))</f>
        <v>0</v>
      </c>
    </row>
    <row r="28505" spans="13:16">
      <c r="M28505" s="49">
        <f>IF($A$4+284&gt;$B$4,"",$A$4+284)</f>
        <v>46307</v>
      </c>
      <c r="N28505">
        <f>IF(M28505="","",'Master Barang'!A99)</f>
        <v>0</v>
      </c>
      <c r="O28505">
        <f>IF(N28505="","",'Master Barang'!B99)</f>
        <v>0</v>
      </c>
      <c r="P28505">
        <f>IF(OR(M28505="",N28505=""),"",SUMIFS('Barang Keluar'!$E:$E,'Barang Keluar'!$A:$A,M28505,'Barang Keluar'!$C:$C,N28505))</f>
        <v>0</v>
      </c>
    </row>
    <row r="28506" spans="13:16">
      <c r="M28506" s="49">
        <f>IF($A$4+284&gt;$B$4,"",$A$4+284)</f>
        <v>46307</v>
      </c>
      <c r="N28506">
        <f>IF(M28506="","",'Master Barang'!A100)</f>
        <v>0</v>
      </c>
      <c r="O28506">
        <f>IF(N28506="","",'Master Barang'!B100)</f>
        <v>0</v>
      </c>
      <c r="P28506">
        <f>IF(OR(M28506="",N28506=""),"",SUMIFS('Barang Keluar'!$E:$E,'Barang Keluar'!$A:$A,M28506,'Barang Keluar'!$C:$C,N28506))</f>
        <v>0</v>
      </c>
    </row>
    <row r="28507" spans="13:16">
      <c r="M28507" s="49">
        <f>IF($A$4+284&gt;$B$4,"",$A$4+284)</f>
        <v>46307</v>
      </c>
      <c r="N28507">
        <f>IF(M28507="","",'Master Barang'!A101)</f>
        <v>0</v>
      </c>
      <c r="O28507">
        <f>IF(N28507="","",'Master Barang'!B101)</f>
        <v>0</v>
      </c>
      <c r="P28507">
        <f>IF(OR(M28507="",N28507=""),"",SUMIFS('Barang Keluar'!$E:$E,'Barang Keluar'!$A:$A,M28507,'Barang Keluar'!$C:$C,N28507))</f>
        <v>0</v>
      </c>
    </row>
    <row r="28508" spans="13:16">
      <c r="M28508" s="49">
        <f>IF($A$4+285&gt;$B$4,"",$A$4+285)</f>
        <v>46308</v>
      </c>
      <c r="N28508" t="str">
        <f>IF(M28508="","",'Master Barang'!A2)</f>
        <v>PRL-001</v>
      </c>
      <c r="O28508" t="str">
        <f>IF(N28508="","",'Master Barang'!B2)</f>
        <v>natura desinfectant food grade 5l</v>
      </c>
      <c r="P28508">
        <f>IF(OR(M28508="",N28508=""),"",SUMIFS('Barang Keluar'!$E:$E,'Barang Keluar'!$A:$A,M28508,'Barang Keluar'!$C:$C,N28508))</f>
        <v>0</v>
      </c>
    </row>
    <row r="28509" spans="13:16">
      <c r="M28509" s="49">
        <f>IF($A$4+285&gt;$B$4,"",$A$4+285)</f>
        <v>46308</v>
      </c>
      <c r="N28509" t="str">
        <f>IF(M28509="","",'Master Barang'!A3)</f>
        <v>PRL-002</v>
      </c>
      <c r="O28509" t="str">
        <f>IF(N28509="","",'Master Barang'!B3)</f>
        <v>sunlight cairan pencuci piring 5l</v>
      </c>
      <c r="P28509">
        <f>IF(OR(M28509="",N28509=""),"",SUMIFS('Barang Keluar'!$E:$E,'Barang Keluar'!$A:$A,M28509,'Barang Keluar'!$C:$C,N28509))</f>
        <v>0</v>
      </c>
    </row>
    <row r="28510" spans="13:16">
      <c r="M28510" s="49">
        <f>IF($A$4+285&gt;$B$4,"",$A$4+285)</f>
        <v>46308</v>
      </c>
      <c r="N28510" t="str">
        <f>IF(M28510="","",'Master Barang'!A4)</f>
        <v>PRL-003</v>
      </c>
      <c r="O28510" t="str">
        <f>IF(N28510="","",'Master Barang'!B4)</f>
        <v>oixs cleaner 1l</v>
      </c>
      <c r="P28510">
        <f>IF(OR(M28510="",N28510=""),"",SUMIFS('Barang Keluar'!$E:$E,'Barang Keluar'!$A:$A,M28510,'Barang Keluar'!$C:$C,N28510))</f>
        <v>0</v>
      </c>
    </row>
    <row r="28511" spans="13:16">
      <c r="M28511" s="49">
        <f>IF($A$4+285&gt;$B$4,"",$A$4+285)</f>
        <v>46308</v>
      </c>
      <c r="N28511" t="str">
        <f>IF(M28511="","",'Master Barang'!A5)</f>
        <v>PRL-004</v>
      </c>
      <c r="O28511" t="str">
        <f>IF(N28511="","",'Master Barang'!B5)</f>
        <v>be clean tissue serbaguna</v>
      </c>
      <c r="P28511">
        <f>IF(OR(M28511="",N28511=""),"",SUMIFS('Barang Keluar'!$E:$E,'Barang Keluar'!$A:$A,M28511,'Barang Keluar'!$C:$C,N28511))</f>
        <v>0</v>
      </c>
    </row>
    <row r="28512" spans="13:16">
      <c r="M28512" s="49">
        <f>IF($A$4+285&gt;$B$4,"",$A$4+285)</f>
        <v>46308</v>
      </c>
      <c r="N28512" t="str">
        <f>IF(M28512="","",'Master Barang'!A6)</f>
        <v>PRL-005</v>
      </c>
      <c r="O28512" t="str">
        <f>IF(N28512="","",'Master Barang'!B6)</f>
        <v>spons cuci hijau</v>
      </c>
      <c r="P28512">
        <f>IF(OR(M28512="",N28512=""),"",SUMIFS('Barang Keluar'!$E:$E,'Barang Keluar'!$A:$A,M28512,'Barang Keluar'!$C:$C,N28512))</f>
        <v>0</v>
      </c>
    </row>
    <row r="28513" spans="13:16">
      <c r="M28513" s="49">
        <f>IF($A$4+285&gt;$B$4,"",$A$4+285)</f>
        <v>46308</v>
      </c>
      <c r="N28513" t="str">
        <f>IF(M28513="","",'Master Barang'!A7)</f>
        <v>PRL-006</v>
      </c>
      <c r="O28513" t="str">
        <f>IF(N28513="","",'Master Barang'!B7)</f>
        <v>sabut cuci stainless</v>
      </c>
      <c r="P28513">
        <f>IF(OR(M28513="",N28513=""),"",SUMIFS('Barang Keluar'!$E:$E,'Barang Keluar'!$A:$A,M28513,'Barang Keluar'!$C:$C,N28513))</f>
        <v>0</v>
      </c>
    </row>
    <row r="28514" spans="13:16">
      <c r="M28514" s="49">
        <f>IF($A$4+285&gt;$B$4,"",$A$4+285)</f>
        <v>46308</v>
      </c>
      <c r="N28514" t="str">
        <f>IF(M28514="","",'Master Barang'!A8)</f>
        <v>PRL-007</v>
      </c>
      <c r="O28514" t="str">
        <f>IF(N28514="","",'Master Barang'!B8)</f>
        <v>plastik kresek besar merah 50pc</v>
      </c>
      <c r="P28514">
        <f>IF(OR(M28514="",N28514=""),"",SUMIFS('Barang Keluar'!$E:$E,'Barang Keluar'!$A:$A,M28514,'Barang Keluar'!$C:$C,N28514))</f>
        <v>0</v>
      </c>
    </row>
    <row r="28515" spans="13:16">
      <c r="M28515" s="49">
        <f>IF($A$4+285&gt;$B$4,"",$A$4+285)</f>
        <v>46308</v>
      </c>
      <c r="N28515" t="str">
        <f>IF(M28515="","",'Master Barang'!A9)</f>
        <v>PRL-008</v>
      </c>
      <c r="O28515" t="str">
        <f>IF(N28515="","",'Master Barang'!B9)</f>
        <v>lap besar</v>
      </c>
      <c r="P28515">
        <f>IF(OR(M28515="",N28515=""),"",SUMIFS('Barang Keluar'!$E:$E,'Barang Keluar'!$A:$A,M28515,'Barang Keluar'!$C:$C,N28515))</f>
        <v>0</v>
      </c>
    </row>
    <row r="28516" spans="13:16">
      <c r="M28516" s="49">
        <f>IF($A$4+285&gt;$B$4,"",$A$4+285)</f>
        <v>46308</v>
      </c>
      <c r="N28516" t="str">
        <f>IF(M28516="","",'Master Barang'!A10)</f>
        <v>PRL-009</v>
      </c>
      <c r="O28516" t="str">
        <f>IF(N28516="","",'Master Barang'!B10)</f>
        <v>lap microfiber</v>
      </c>
      <c r="P28516">
        <f>IF(OR(M28516="",N28516=""),"",SUMIFS('Barang Keluar'!$E:$E,'Barang Keluar'!$A:$A,M28516,'Barang Keluar'!$C:$C,N28516))</f>
        <v>0</v>
      </c>
    </row>
    <row r="28517" spans="13:16">
      <c r="M28517" s="49">
        <f>IF($A$4+285&gt;$B$4,"",$A$4+285)</f>
        <v>46308</v>
      </c>
      <c r="N28517" t="str">
        <f>IF(M28517="","",'Master Barang'!A11)</f>
        <v>PRL-010</v>
      </c>
      <c r="O28517" t="str">
        <f>IF(N28517="","",'Master Barang'!B11)</f>
        <v>lap kecil</v>
      </c>
      <c r="P28517">
        <f>IF(OR(M28517="",N28517=""),"",SUMIFS('Barang Keluar'!$E:$E,'Barang Keluar'!$A:$A,M28517,'Barang Keluar'!$C:$C,N28517))</f>
        <v>0</v>
      </c>
    </row>
    <row r="28518" spans="13:16">
      <c r="M28518" s="49">
        <f>IF($A$4+285&gt;$B$4,"",$A$4+285)</f>
        <v>46308</v>
      </c>
      <c r="N28518" t="str">
        <f>IF(M28518="","",'Master Barang'!A12)</f>
        <v>PRL-011</v>
      </c>
      <c r="O28518" t="str">
        <f>IF(N28518="","",'Master Barang'!B12)</f>
        <v>kanebo kecil</v>
      </c>
      <c r="P28518">
        <f>IF(OR(M28518="",N28518=""),"",SUMIFS('Barang Keluar'!$E:$E,'Barang Keluar'!$A:$A,M28518,'Barang Keluar'!$C:$C,N28518))</f>
        <v>0</v>
      </c>
    </row>
    <row r="28519" spans="13:16">
      <c r="M28519" s="49">
        <f>IF($A$4+285&gt;$B$4,"",$A$4+285)</f>
        <v>46308</v>
      </c>
      <c r="N28519" t="str">
        <f>IF(M28519="","",'Master Barang'!A13)</f>
        <v>PRL-012</v>
      </c>
      <c r="O28519" t="str">
        <f>IF(N28519="","",'Master Barang'!B13)</f>
        <v>plastik 1/4kg joyoboyo 100 lembar</v>
      </c>
      <c r="P28519">
        <f>IF(OR(M28519="",N28519=""),"",SUMIFS('Barang Keluar'!$E:$E,'Barang Keluar'!$A:$A,M28519,'Barang Keluar'!$C:$C,N28519))</f>
        <v>0</v>
      </c>
    </row>
    <row r="28520" spans="13:16">
      <c r="M28520" s="49">
        <f>IF($A$4+285&gt;$B$4,"",$A$4+285)</f>
        <v>46308</v>
      </c>
      <c r="N28520" t="str">
        <f>IF(M28520="","",'Master Barang'!A14)</f>
        <v>PRL-013</v>
      </c>
      <c r="O28520" t="str">
        <f>IF(N28520="","",'Master Barang'!B14)</f>
        <v>sarung tangan plastik kaka 100 pcs</v>
      </c>
      <c r="P28520">
        <f>IF(OR(M28520="",N28520=""),"",SUMIFS('Barang Keluar'!$E:$E,'Barang Keluar'!$A:$A,M28520,'Barang Keluar'!$C:$C,N28520))</f>
        <v>0</v>
      </c>
    </row>
    <row r="28521" spans="13:16">
      <c r="M28521" s="49">
        <f>IF($A$4+285&gt;$B$4,"",$A$4+285)</f>
        <v>46308</v>
      </c>
      <c r="N28521" t="str">
        <f>IF(M28521="","",'Master Barang'!A15)</f>
        <v>PRL-014</v>
      </c>
      <c r="O28521" t="str">
        <f>IF(N28521="","",'Master Barang'!B15)</f>
        <v>optima trashbag 80x100</v>
      </c>
      <c r="P28521">
        <f>IF(OR(M28521="",N28521=""),"",SUMIFS('Barang Keluar'!$E:$E,'Barang Keluar'!$A:$A,M28521,'Barang Keluar'!$C:$C,N28521))</f>
        <v>0</v>
      </c>
    </row>
    <row r="28522" spans="13:16">
      <c r="M28522" s="49">
        <f>IF($A$4+285&gt;$B$4,"",$A$4+285)</f>
        <v>46308</v>
      </c>
      <c r="N28522" t="str">
        <f>IF(M28522="","",'Master Barang'!A16)</f>
        <v>PRL-015</v>
      </c>
      <c r="O28522" t="str">
        <f>IF(N28522="","",'Master Barang'!B16)</f>
        <v>optima trashbag 60x100</v>
      </c>
      <c r="P28522">
        <f>IF(OR(M28522="",N28522=""),"",SUMIFS('Barang Keluar'!$E:$E,'Barang Keluar'!$A:$A,M28522,'Barang Keluar'!$C:$C,N28522))</f>
        <v>0</v>
      </c>
    </row>
    <row r="28523" spans="13:16">
      <c r="M28523" s="49">
        <f>IF($A$4+285&gt;$B$4,"",$A$4+285)</f>
        <v>46308</v>
      </c>
      <c r="N28523" t="str">
        <f>IF(M28523="","",'Master Barang'!A17)</f>
        <v>PRL-016</v>
      </c>
      <c r="O28523" t="str">
        <f>IF(N28523="","",'Master Barang'!B17)</f>
        <v>rajawali trashbag 30x40</v>
      </c>
      <c r="P28523">
        <f>IF(OR(M28523="",N28523=""),"",SUMIFS('Barang Keluar'!$E:$E,'Barang Keluar'!$A:$A,M28523,'Barang Keluar'!$C:$C,N28523))</f>
        <v>0</v>
      </c>
    </row>
    <row r="28524" spans="13:16">
      <c r="M28524" s="49">
        <f>IF($A$4+285&gt;$B$4,"",$A$4+285)</f>
        <v>46308</v>
      </c>
      <c r="N28524" t="str">
        <f>IF(M28524="","",'Master Barang'!A18)</f>
        <v>PRL-017</v>
      </c>
      <c r="O28524" t="str">
        <f>IF(N28524="","",'Master Barang'!B18)</f>
        <v>onemed masker biru 3 play 50 pcs</v>
      </c>
      <c r="P28524">
        <f>IF(OR(M28524="",N28524=""),"",SUMIFS('Barang Keluar'!$E:$E,'Barang Keluar'!$A:$A,M28524,'Barang Keluar'!$C:$C,N28524))</f>
        <v>0</v>
      </c>
    </row>
    <row r="28525" spans="13:16">
      <c r="M28525" s="49">
        <f>IF($A$4+285&gt;$B$4,"",$A$4+285)</f>
        <v>46308</v>
      </c>
      <c r="N28525" t="str">
        <f>IF(M28525="","",'Master Barang'!A19)</f>
        <v>PRL-018</v>
      </c>
      <c r="O28525" t="str">
        <f>IF(N28525="","",'Master Barang'!B19)</f>
        <v>onemed masker biru 3 play hijab 50 pcs</v>
      </c>
      <c r="P28525">
        <f>IF(OR(M28525="",N28525=""),"",SUMIFS('Barang Keluar'!$E:$E,'Barang Keluar'!$A:$A,M28525,'Barang Keluar'!$C:$C,N28525))</f>
        <v>0</v>
      </c>
    </row>
    <row r="28526" spans="13:16">
      <c r="M28526" s="49">
        <f>IF($A$4+285&gt;$B$4,"",$A$4+285)</f>
        <v>46308</v>
      </c>
      <c r="N28526" t="str">
        <f>IF(M28526="","",'Master Barang'!A20)</f>
        <v>PRL-019</v>
      </c>
      <c r="O28526" t="str">
        <f>IF(N28526="","",'Master Barang'!B20)</f>
        <v>neo health masker biru 3 play 50 pcs</v>
      </c>
      <c r="P28526">
        <f>IF(OR(M28526="",N28526=""),"",SUMIFS('Barang Keluar'!$E:$E,'Barang Keluar'!$A:$A,M28526,'Barang Keluar'!$C:$C,N28526))</f>
        <v>0</v>
      </c>
    </row>
    <row r="28527" spans="13:16">
      <c r="M28527" s="49">
        <f>IF($A$4+285&gt;$B$4,"",$A$4+285)</f>
        <v>46308</v>
      </c>
      <c r="N28527" t="str">
        <f>IF(M28527="","",'Master Barang'!A21)</f>
        <v>PRL-020</v>
      </c>
      <c r="O28527" t="str">
        <f>IF(N28527="","",'Master Barang'!B21)</f>
        <v>baymed masker hijau 3 play hijau 50 pcs</v>
      </c>
      <c r="P28527">
        <f>IF(OR(M28527="",N28527=""),"",SUMIFS('Barang Keluar'!$E:$E,'Barang Keluar'!$A:$A,M28527,'Barang Keluar'!$C:$C,N28527))</f>
        <v>0</v>
      </c>
    </row>
    <row r="28528" spans="13:16">
      <c r="M28528" s="49">
        <f>IF($A$4+285&gt;$B$4,"",$A$4+285)</f>
        <v>46308</v>
      </c>
      <c r="N28528" t="str">
        <f>IF(M28528="","",'Master Barang'!A22)</f>
        <v>PRL-021</v>
      </c>
      <c r="O28528" t="str">
        <f>IF(N28528="","",'Master Barang'!B22)</f>
        <v>altamed nurse cap penutup kepala 100 pcs</v>
      </c>
      <c r="P28528">
        <f>IF(OR(M28528="",N28528=""),"",SUMIFS('Barang Keluar'!$E:$E,'Barang Keluar'!$A:$A,M28528,'Barang Keluar'!$C:$C,N28528))</f>
        <v>0</v>
      </c>
    </row>
    <row r="28529" spans="13:16">
      <c r="M28529" s="49">
        <f>IF($A$4+285&gt;$B$4,"",$A$4+285)</f>
        <v>46308</v>
      </c>
      <c r="N28529" t="str">
        <f>IF(M28529="","",'Master Barang'!A23)</f>
        <v>PRL-022</v>
      </c>
      <c r="O28529" t="str">
        <f>IF(N28529="","",'Master Barang'!B23)</f>
        <v>sabun cuci tangan</v>
      </c>
      <c r="P28529">
        <f>IF(OR(M28529="",N28529=""),"",SUMIFS('Barang Keluar'!$E:$E,'Barang Keluar'!$A:$A,M28529,'Barang Keluar'!$C:$C,N28529))</f>
        <v>0</v>
      </c>
    </row>
    <row r="28530" spans="13:16">
      <c r="M28530" s="49">
        <f>IF($A$4+285&gt;$B$4,"",$A$4+285)</f>
        <v>46308</v>
      </c>
      <c r="N28530" t="str">
        <f>IF(M28530="","",'Master Barang'!A24)</f>
        <v>PRL-023</v>
      </c>
      <c r="O28530" t="str">
        <f>IF(N28530="","",'Master Barang'!B24)</f>
        <v>gayung kecil</v>
      </c>
      <c r="P28530">
        <f>IF(OR(M28530="",N28530=""),"",SUMIFS('Barang Keluar'!$E:$E,'Barang Keluar'!$A:$A,M28530,'Barang Keluar'!$C:$C,N28530))</f>
        <v>0</v>
      </c>
    </row>
    <row r="28531" spans="13:16">
      <c r="M28531" s="49">
        <f>IF($A$4+285&gt;$B$4,"",$A$4+285)</f>
        <v>46308</v>
      </c>
      <c r="N28531" t="str">
        <f>IF(M28531="","",'Master Barang'!A25)</f>
        <v>PRL-024</v>
      </c>
      <c r="O28531" t="str">
        <f>IF(N28531="","",'Master Barang'!B25)</f>
        <v>cikrak kecil</v>
      </c>
      <c r="P28531">
        <f>IF(OR(M28531="",N28531=""),"",SUMIFS('Barang Keluar'!$E:$E,'Barang Keluar'!$A:$A,M28531,'Barang Keluar'!$C:$C,N28531))</f>
        <v>0</v>
      </c>
    </row>
    <row r="28532" spans="13:16">
      <c r="M28532" s="49">
        <f>IF($A$4+285&gt;$B$4,"",$A$4+285)</f>
        <v>46308</v>
      </c>
      <c r="N28532" t="str">
        <f>IF(M28532="","",'Master Barang'!A26)</f>
        <v>PRL-025</v>
      </c>
      <c r="O28532" t="str">
        <f>IF(N28532="","",'Master Barang'!B26)</f>
        <v>petromax plastik kecil 12x24 100 lembar</v>
      </c>
      <c r="P28532">
        <f>IF(OR(M28532="",N28532=""),"",SUMIFS('Barang Keluar'!$E:$E,'Barang Keluar'!$A:$A,M28532,'Barang Keluar'!$C:$C,N28532))</f>
        <v>0</v>
      </c>
    </row>
    <row r="28533" spans="13:16">
      <c r="M28533" s="49">
        <f>IF($A$4+285&gt;$B$4,"",$A$4+285)</f>
        <v>46308</v>
      </c>
      <c r="N28533" t="str">
        <f>IF(M28533="","",'Master Barang'!A27)</f>
        <v>PRL-026</v>
      </c>
      <c r="O28533" t="str">
        <f>IF(N28533="","",'Master Barang'!B27)</f>
        <v>lancar kresek kecil bening </v>
      </c>
      <c r="P28533">
        <f>IF(OR(M28533="",N28533=""),"",SUMIFS('Barang Keluar'!$E:$E,'Barang Keluar'!$A:$A,M28533,'Barang Keluar'!$C:$C,N28533))</f>
        <v>0</v>
      </c>
    </row>
    <row r="28534" spans="13:16">
      <c r="M28534" s="49">
        <f>IF($A$4+285&gt;$B$4,"",$A$4+285)</f>
        <v>46308</v>
      </c>
      <c r="N28534" t="str">
        <f>IF(M28534="","",'Master Barang'!A28)</f>
        <v>PRL-027</v>
      </c>
      <c r="O28534" t="str">
        <f>IF(N28534="","",'Master Barang'!B28)</f>
        <v>kresek klin warna warni kecil</v>
      </c>
      <c r="P28534">
        <f>IF(OR(M28534="",N28534=""),"",SUMIFS('Barang Keluar'!$E:$E,'Barang Keluar'!$A:$A,M28534,'Barang Keluar'!$C:$C,N28534))</f>
        <v>0</v>
      </c>
    </row>
    <row r="28535" spans="13:16">
      <c r="M28535" s="49">
        <f>IF($A$4+285&gt;$B$4,"",$A$4+285)</f>
        <v>46308</v>
      </c>
      <c r="N28535" t="str">
        <f>IF(M28535="","",'Master Barang'!A29)</f>
        <v>PRL-028</v>
      </c>
      <c r="O28535" t="str">
        <f>IF(N28535="","",'Master Barang'!B29)</f>
        <v>ctik plastik 7x10 100 pcs</v>
      </c>
      <c r="P28535">
        <f>IF(OR(M28535="",N28535=""),"",SUMIFS('Barang Keluar'!$E:$E,'Barang Keluar'!$A:$A,M28535,'Barang Keluar'!$C:$C,N28535))</f>
        <v>0</v>
      </c>
    </row>
    <row r="28536" spans="13:16">
      <c r="M28536" s="49">
        <f>IF($A$4+285&gt;$B$4,"",$A$4+285)</f>
        <v>46308</v>
      </c>
      <c r="N28536" t="str">
        <f>IF(M28536="","",'Master Barang'!A30)</f>
        <v>PRL-029</v>
      </c>
      <c r="O28536" t="str">
        <f>IF(N28536="","",'Master Barang'!B30)</f>
        <v>ctik plastik 6x10 100 pcs</v>
      </c>
      <c r="P28536">
        <f>IF(OR(M28536="",N28536=""),"",SUMIFS('Barang Keluar'!$E:$E,'Barang Keluar'!$A:$A,M28536,'Barang Keluar'!$C:$C,N28536))</f>
        <v>0</v>
      </c>
    </row>
    <row r="28537" spans="13:16">
      <c r="M28537" s="49">
        <f>IF($A$4+285&gt;$B$4,"",$A$4+285)</f>
        <v>46308</v>
      </c>
      <c r="N28537" t="str">
        <f>IF(M28537="","",'Master Barang'!A31)</f>
        <v>PRL-030</v>
      </c>
      <c r="O28537" t="str">
        <f>IF(N28537="","",'Master Barang'!B31)</f>
        <v>klip plastik 25x16 100 pcs</v>
      </c>
      <c r="P28537">
        <f>IF(OR(M28537="",N28537=""),"",SUMIFS('Barang Keluar'!$E:$E,'Barang Keluar'!$A:$A,M28537,'Barang Keluar'!$C:$C,N28537))</f>
        <v>0</v>
      </c>
    </row>
    <row r="28538" spans="13:16">
      <c r="M28538" s="49">
        <f>IF($A$4+285&gt;$B$4,"",$A$4+285)</f>
        <v>46308</v>
      </c>
      <c r="N28538" t="str">
        <f>IF(M28538="","",'Master Barang'!A32)</f>
        <v>PRL-031</v>
      </c>
      <c r="O28538" t="str">
        <f>IF(N28538="","",'Master Barang'!B32)</f>
        <v>tempat saus 20 ml</v>
      </c>
      <c r="P28538">
        <f>IF(OR(M28538="",N28538=""),"",SUMIFS('Barang Keluar'!$E:$E,'Barang Keluar'!$A:$A,M28538,'Barang Keluar'!$C:$C,N28538))</f>
        <v>0</v>
      </c>
    </row>
    <row r="28539" spans="13:16">
      <c r="M28539" s="49">
        <f>IF($A$4+285&gt;$B$4,"",$A$4+285)</f>
        <v>46308</v>
      </c>
      <c r="N28539" t="str">
        <f>IF(M28539="","",'Master Barang'!A33)</f>
        <v>PRL-032</v>
      </c>
      <c r="O28539" t="str">
        <f>IF(N28539="","",'Master Barang'!B33)</f>
        <v>plastik packaging ag box uk sedang</v>
      </c>
      <c r="P28539">
        <f>IF(OR(M28539="",N28539=""),"",SUMIFS('Barang Keluar'!$E:$E,'Barang Keluar'!$A:$A,M28539,'Barang Keluar'!$C:$C,N28539))</f>
        <v>0</v>
      </c>
    </row>
    <row r="28540" spans="13:16">
      <c r="M28540" s="49">
        <f>IF($A$4+285&gt;$B$4,"",$A$4+285)</f>
        <v>46308</v>
      </c>
      <c r="N28540" t="str">
        <f>IF(M28540="","",'Master Barang'!A34)</f>
        <v>PRL-033</v>
      </c>
      <c r="O28540">
        <f>IF(N28540="","",'Master Barang'!B34)</f>
        <v>0</v>
      </c>
      <c r="P28540">
        <f>IF(OR(M28540="",N28540=""),"",SUMIFS('Barang Keluar'!$E:$E,'Barang Keluar'!$A:$A,M28540,'Barang Keluar'!$C:$C,N28540))</f>
        <v>0</v>
      </c>
    </row>
    <row r="28541" spans="13:16">
      <c r="M28541" s="49">
        <f>IF($A$4+285&gt;$B$4,"",$A$4+285)</f>
        <v>46308</v>
      </c>
      <c r="N28541">
        <f>IF(M28541="","",'Master Barang'!A35)</f>
        <v>0</v>
      </c>
      <c r="O28541">
        <f>IF(N28541="","",'Master Barang'!B35)</f>
        <v>0</v>
      </c>
      <c r="P28541">
        <f>IF(OR(M28541="",N28541=""),"",SUMIFS('Barang Keluar'!$E:$E,'Barang Keluar'!$A:$A,M28541,'Barang Keluar'!$C:$C,N28541))</f>
        <v>0</v>
      </c>
    </row>
    <row r="28542" spans="13:16">
      <c r="M28542" s="49">
        <f>IF($A$4+285&gt;$B$4,"",$A$4+285)</f>
        <v>46308</v>
      </c>
      <c r="N28542">
        <f>IF(M28542="","",'Master Barang'!A36)</f>
        <v>0</v>
      </c>
      <c r="O28542">
        <f>IF(N28542="","",'Master Barang'!B36)</f>
        <v>0</v>
      </c>
      <c r="P28542">
        <f>IF(OR(M28542="",N28542=""),"",SUMIFS('Barang Keluar'!$E:$E,'Barang Keluar'!$A:$A,M28542,'Barang Keluar'!$C:$C,N28542))</f>
        <v>0</v>
      </c>
    </row>
    <row r="28543" spans="13:16">
      <c r="M28543" s="49">
        <f>IF($A$4+285&gt;$B$4,"",$A$4+285)</f>
        <v>46308</v>
      </c>
      <c r="N28543">
        <f>IF(M28543="","",'Master Barang'!A37)</f>
        <v>0</v>
      </c>
      <c r="O28543">
        <f>IF(N28543="","",'Master Barang'!B37)</f>
        <v>0</v>
      </c>
      <c r="P28543">
        <f>IF(OR(M28543="",N28543=""),"",SUMIFS('Barang Keluar'!$E:$E,'Barang Keluar'!$A:$A,M28543,'Barang Keluar'!$C:$C,N28543))</f>
        <v>0</v>
      </c>
    </row>
    <row r="28544" spans="13:16">
      <c r="M28544" s="49">
        <f>IF($A$4+285&gt;$B$4,"",$A$4+285)</f>
        <v>46308</v>
      </c>
      <c r="N28544">
        <f>IF(M28544="","",'Master Barang'!A38)</f>
        <v>0</v>
      </c>
      <c r="O28544">
        <f>IF(N28544="","",'Master Barang'!B38)</f>
        <v>0</v>
      </c>
      <c r="P28544">
        <f>IF(OR(M28544="",N28544=""),"",SUMIFS('Barang Keluar'!$E:$E,'Barang Keluar'!$A:$A,M28544,'Barang Keluar'!$C:$C,N28544))</f>
        <v>0</v>
      </c>
    </row>
    <row r="28545" spans="13:16">
      <c r="M28545" s="49">
        <f>IF($A$4+285&gt;$B$4,"",$A$4+285)</f>
        <v>46308</v>
      </c>
      <c r="N28545">
        <f>IF(M28545="","",'Master Barang'!A39)</f>
        <v>0</v>
      </c>
      <c r="O28545">
        <f>IF(N28545="","",'Master Barang'!B39)</f>
        <v>0</v>
      </c>
      <c r="P28545">
        <f>IF(OR(M28545="",N28545=""),"",SUMIFS('Barang Keluar'!$E:$E,'Barang Keluar'!$A:$A,M28545,'Barang Keluar'!$C:$C,N28545))</f>
        <v>0</v>
      </c>
    </row>
    <row r="28546" spans="13:16">
      <c r="M28546" s="49">
        <f>IF($A$4+285&gt;$B$4,"",$A$4+285)</f>
        <v>46308</v>
      </c>
      <c r="N28546">
        <f>IF(M28546="","",'Master Barang'!A40)</f>
        <v>0</v>
      </c>
      <c r="O28546">
        <f>IF(N28546="","",'Master Barang'!B40)</f>
        <v>0</v>
      </c>
      <c r="P28546">
        <f>IF(OR(M28546="",N28546=""),"",SUMIFS('Barang Keluar'!$E:$E,'Barang Keluar'!$A:$A,M28546,'Barang Keluar'!$C:$C,N28546))</f>
        <v>0</v>
      </c>
    </row>
    <row r="28547" spans="13:16">
      <c r="M28547" s="49">
        <f>IF($A$4+285&gt;$B$4,"",$A$4+285)</f>
        <v>46308</v>
      </c>
      <c r="N28547">
        <f>IF(M28547="","",'Master Barang'!A41)</f>
        <v>0</v>
      </c>
      <c r="O28547">
        <f>IF(N28547="","",'Master Barang'!B41)</f>
        <v>0</v>
      </c>
      <c r="P28547">
        <f>IF(OR(M28547="",N28547=""),"",SUMIFS('Barang Keluar'!$E:$E,'Barang Keluar'!$A:$A,M28547,'Barang Keluar'!$C:$C,N28547))</f>
        <v>0</v>
      </c>
    </row>
    <row r="28548" spans="13:16">
      <c r="M28548" s="49">
        <f>IF($A$4+285&gt;$B$4,"",$A$4+285)</f>
        <v>46308</v>
      </c>
      <c r="N28548">
        <f>IF(M28548="","",'Master Barang'!A42)</f>
        <v>0</v>
      </c>
      <c r="O28548">
        <f>IF(N28548="","",'Master Barang'!B42)</f>
        <v>0</v>
      </c>
      <c r="P28548">
        <f>IF(OR(M28548="",N28548=""),"",SUMIFS('Barang Keluar'!$E:$E,'Barang Keluar'!$A:$A,M28548,'Barang Keluar'!$C:$C,N28548))</f>
        <v>0</v>
      </c>
    </row>
    <row r="28549" spans="13:16">
      <c r="M28549" s="49">
        <f>IF($A$4+285&gt;$B$4,"",$A$4+285)</f>
        <v>46308</v>
      </c>
      <c r="N28549">
        <f>IF(M28549="","",'Master Barang'!A43)</f>
        <v>0</v>
      </c>
      <c r="O28549">
        <f>IF(N28549="","",'Master Barang'!B43)</f>
        <v>0</v>
      </c>
      <c r="P28549">
        <f>IF(OR(M28549="",N28549=""),"",SUMIFS('Barang Keluar'!$E:$E,'Barang Keluar'!$A:$A,M28549,'Barang Keluar'!$C:$C,N28549))</f>
        <v>0</v>
      </c>
    </row>
    <row r="28550" spans="13:16">
      <c r="M28550" s="49">
        <f>IF($A$4+285&gt;$B$4,"",$A$4+285)</f>
        <v>46308</v>
      </c>
      <c r="N28550">
        <f>IF(M28550="","",'Master Barang'!A44)</f>
        <v>0</v>
      </c>
      <c r="O28550">
        <f>IF(N28550="","",'Master Barang'!B44)</f>
        <v>0</v>
      </c>
      <c r="P28550">
        <f>IF(OR(M28550="",N28550=""),"",SUMIFS('Barang Keluar'!$E:$E,'Barang Keluar'!$A:$A,M28550,'Barang Keluar'!$C:$C,N28550))</f>
        <v>0</v>
      </c>
    </row>
    <row r="28551" spans="13:16">
      <c r="M28551" s="49">
        <f>IF($A$4+285&gt;$B$4,"",$A$4+285)</f>
        <v>46308</v>
      </c>
      <c r="N28551">
        <f>IF(M28551="","",'Master Barang'!A45)</f>
        <v>0</v>
      </c>
      <c r="O28551">
        <f>IF(N28551="","",'Master Barang'!B45)</f>
        <v>0</v>
      </c>
      <c r="P28551">
        <f>IF(OR(M28551="",N28551=""),"",SUMIFS('Barang Keluar'!$E:$E,'Barang Keluar'!$A:$A,M28551,'Barang Keluar'!$C:$C,N28551))</f>
        <v>0</v>
      </c>
    </row>
    <row r="28552" spans="13:16">
      <c r="M28552" s="49">
        <f>IF($A$4+285&gt;$B$4,"",$A$4+285)</f>
        <v>46308</v>
      </c>
      <c r="N28552">
        <f>IF(M28552="","",'Master Barang'!A46)</f>
        <v>0</v>
      </c>
      <c r="O28552">
        <f>IF(N28552="","",'Master Barang'!B46)</f>
        <v>0</v>
      </c>
      <c r="P28552">
        <f>IF(OR(M28552="",N28552=""),"",SUMIFS('Barang Keluar'!$E:$E,'Barang Keluar'!$A:$A,M28552,'Barang Keluar'!$C:$C,N28552))</f>
        <v>0</v>
      </c>
    </row>
    <row r="28553" spans="13:16">
      <c r="M28553" s="49">
        <f>IF($A$4+285&gt;$B$4,"",$A$4+285)</f>
        <v>46308</v>
      </c>
      <c r="N28553">
        <f>IF(M28553="","",'Master Barang'!A47)</f>
        <v>0</v>
      </c>
      <c r="O28553">
        <f>IF(N28553="","",'Master Barang'!B47)</f>
        <v>0</v>
      </c>
      <c r="P28553">
        <f>IF(OR(M28553="",N28553=""),"",SUMIFS('Barang Keluar'!$E:$E,'Barang Keluar'!$A:$A,M28553,'Barang Keluar'!$C:$C,N28553))</f>
        <v>0</v>
      </c>
    </row>
    <row r="28554" spans="13:16">
      <c r="M28554" s="49">
        <f>IF($A$4+285&gt;$B$4,"",$A$4+285)</f>
        <v>46308</v>
      </c>
      <c r="N28554">
        <f>IF(M28554="","",'Master Barang'!A48)</f>
        <v>0</v>
      </c>
      <c r="O28554">
        <f>IF(N28554="","",'Master Barang'!B48)</f>
        <v>0</v>
      </c>
      <c r="P28554">
        <f>IF(OR(M28554="",N28554=""),"",SUMIFS('Barang Keluar'!$E:$E,'Barang Keluar'!$A:$A,M28554,'Barang Keluar'!$C:$C,N28554))</f>
        <v>0</v>
      </c>
    </row>
    <row r="28555" spans="13:16">
      <c r="M28555" s="49">
        <f>IF($A$4+285&gt;$B$4,"",$A$4+285)</f>
        <v>46308</v>
      </c>
      <c r="N28555">
        <f>IF(M28555="","",'Master Barang'!A49)</f>
        <v>0</v>
      </c>
      <c r="O28555">
        <f>IF(N28555="","",'Master Barang'!B49)</f>
        <v>0</v>
      </c>
      <c r="P28555">
        <f>IF(OR(M28555="",N28555=""),"",SUMIFS('Barang Keluar'!$E:$E,'Barang Keluar'!$A:$A,M28555,'Barang Keluar'!$C:$C,N28555))</f>
        <v>0</v>
      </c>
    </row>
    <row r="28556" spans="13:16">
      <c r="M28556" s="49">
        <f>IF($A$4+285&gt;$B$4,"",$A$4+285)</f>
        <v>46308</v>
      </c>
      <c r="N28556">
        <f>IF(M28556="","",'Master Barang'!A50)</f>
        <v>0</v>
      </c>
      <c r="O28556">
        <f>IF(N28556="","",'Master Barang'!B50)</f>
        <v>0</v>
      </c>
      <c r="P28556">
        <f>IF(OR(M28556="",N28556=""),"",SUMIFS('Barang Keluar'!$E:$E,'Barang Keluar'!$A:$A,M28556,'Barang Keluar'!$C:$C,N28556))</f>
        <v>0</v>
      </c>
    </row>
    <row r="28557" spans="13:16">
      <c r="M28557" s="49">
        <f>IF($A$4+285&gt;$B$4,"",$A$4+285)</f>
        <v>46308</v>
      </c>
      <c r="N28557">
        <f>IF(M28557="","",'Master Barang'!A51)</f>
        <v>0</v>
      </c>
      <c r="O28557">
        <f>IF(N28557="","",'Master Barang'!B51)</f>
        <v>0</v>
      </c>
      <c r="P28557">
        <f>IF(OR(M28557="",N28557=""),"",SUMIFS('Barang Keluar'!$E:$E,'Barang Keluar'!$A:$A,M28557,'Barang Keluar'!$C:$C,N28557))</f>
        <v>0</v>
      </c>
    </row>
    <row r="28558" spans="13:16">
      <c r="M28558" s="49">
        <f>IF($A$4+285&gt;$B$4,"",$A$4+285)</f>
        <v>46308</v>
      </c>
      <c r="N28558">
        <f>IF(M28558="","",'Master Barang'!A52)</f>
        <v>0</v>
      </c>
      <c r="O28558">
        <f>IF(N28558="","",'Master Barang'!B52)</f>
        <v>0</v>
      </c>
      <c r="P28558">
        <f>IF(OR(M28558="",N28558=""),"",SUMIFS('Barang Keluar'!$E:$E,'Barang Keluar'!$A:$A,M28558,'Barang Keluar'!$C:$C,N28558))</f>
        <v>0</v>
      </c>
    </row>
    <row r="28559" spans="13:16">
      <c r="M28559" s="49">
        <f>IF($A$4+285&gt;$B$4,"",$A$4+285)</f>
        <v>46308</v>
      </c>
      <c r="N28559">
        <f>IF(M28559="","",'Master Barang'!A53)</f>
        <v>0</v>
      </c>
      <c r="O28559">
        <f>IF(N28559="","",'Master Barang'!B53)</f>
        <v>0</v>
      </c>
      <c r="P28559">
        <f>IF(OR(M28559="",N28559=""),"",SUMIFS('Barang Keluar'!$E:$E,'Barang Keluar'!$A:$A,M28559,'Barang Keluar'!$C:$C,N28559))</f>
        <v>0</v>
      </c>
    </row>
    <row r="28560" spans="13:16">
      <c r="M28560" s="49">
        <f>IF($A$4+285&gt;$B$4,"",$A$4+285)</f>
        <v>46308</v>
      </c>
      <c r="N28560">
        <f>IF(M28560="","",'Master Barang'!A54)</f>
        <v>0</v>
      </c>
      <c r="O28560">
        <f>IF(N28560="","",'Master Barang'!B54)</f>
        <v>0</v>
      </c>
      <c r="P28560">
        <f>IF(OR(M28560="",N28560=""),"",SUMIFS('Barang Keluar'!$E:$E,'Barang Keluar'!$A:$A,M28560,'Barang Keluar'!$C:$C,N28560))</f>
        <v>0</v>
      </c>
    </row>
    <row r="28561" spans="13:16">
      <c r="M28561" s="49">
        <f>IF($A$4+285&gt;$B$4,"",$A$4+285)</f>
        <v>46308</v>
      </c>
      <c r="N28561">
        <f>IF(M28561="","",'Master Barang'!A55)</f>
        <v>0</v>
      </c>
      <c r="O28561">
        <f>IF(N28561="","",'Master Barang'!B55)</f>
        <v>0</v>
      </c>
      <c r="P28561">
        <f>IF(OR(M28561="",N28561=""),"",SUMIFS('Barang Keluar'!$E:$E,'Barang Keluar'!$A:$A,M28561,'Barang Keluar'!$C:$C,N28561))</f>
        <v>0</v>
      </c>
    </row>
    <row r="28562" spans="13:16">
      <c r="M28562" s="49">
        <f>IF($A$4+285&gt;$B$4,"",$A$4+285)</f>
        <v>46308</v>
      </c>
      <c r="N28562">
        <f>IF(M28562="","",'Master Barang'!A56)</f>
        <v>0</v>
      </c>
      <c r="O28562">
        <f>IF(N28562="","",'Master Barang'!B56)</f>
        <v>0</v>
      </c>
      <c r="P28562">
        <f>IF(OR(M28562="",N28562=""),"",SUMIFS('Barang Keluar'!$E:$E,'Barang Keluar'!$A:$A,M28562,'Barang Keluar'!$C:$C,N28562))</f>
        <v>0</v>
      </c>
    </row>
    <row r="28563" spans="13:16">
      <c r="M28563" s="49">
        <f>IF($A$4+285&gt;$B$4,"",$A$4+285)</f>
        <v>46308</v>
      </c>
      <c r="N28563">
        <f>IF(M28563="","",'Master Barang'!A57)</f>
        <v>0</v>
      </c>
      <c r="O28563">
        <f>IF(N28563="","",'Master Barang'!B57)</f>
        <v>0</v>
      </c>
      <c r="P28563">
        <f>IF(OR(M28563="",N28563=""),"",SUMIFS('Barang Keluar'!$E:$E,'Barang Keluar'!$A:$A,M28563,'Barang Keluar'!$C:$C,N28563))</f>
        <v>0</v>
      </c>
    </row>
    <row r="28564" spans="13:16">
      <c r="M28564" s="49">
        <f>IF($A$4+285&gt;$B$4,"",$A$4+285)</f>
        <v>46308</v>
      </c>
      <c r="N28564">
        <f>IF(M28564="","",'Master Barang'!A58)</f>
        <v>0</v>
      </c>
      <c r="O28564">
        <f>IF(N28564="","",'Master Barang'!B58)</f>
        <v>0</v>
      </c>
      <c r="P28564">
        <f>IF(OR(M28564="",N28564=""),"",SUMIFS('Barang Keluar'!$E:$E,'Barang Keluar'!$A:$A,M28564,'Barang Keluar'!$C:$C,N28564))</f>
        <v>0</v>
      </c>
    </row>
    <row r="28565" spans="13:16">
      <c r="M28565" s="49">
        <f>IF($A$4+285&gt;$B$4,"",$A$4+285)</f>
        <v>46308</v>
      </c>
      <c r="N28565">
        <f>IF(M28565="","",'Master Barang'!A59)</f>
        <v>0</v>
      </c>
      <c r="O28565">
        <f>IF(N28565="","",'Master Barang'!B59)</f>
        <v>0</v>
      </c>
      <c r="P28565">
        <f>IF(OR(M28565="",N28565=""),"",SUMIFS('Barang Keluar'!$E:$E,'Barang Keluar'!$A:$A,M28565,'Barang Keluar'!$C:$C,N28565))</f>
        <v>0</v>
      </c>
    </row>
    <row r="28566" spans="13:16">
      <c r="M28566" s="49">
        <f>IF($A$4+285&gt;$B$4,"",$A$4+285)</f>
        <v>46308</v>
      </c>
      <c r="N28566">
        <f>IF(M28566="","",'Master Barang'!A60)</f>
        <v>0</v>
      </c>
      <c r="O28566">
        <f>IF(N28566="","",'Master Barang'!B60)</f>
        <v>0</v>
      </c>
      <c r="P28566">
        <f>IF(OR(M28566="",N28566=""),"",SUMIFS('Barang Keluar'!$E:$E,'Barang Keluar'!$A:$A,M28566,'Barang Keluar'!$C:$C,N28566))</f>
        <v>0</v>
      </c>
    </row>
    <row r="28567" spans="13:16">
      <c r="M28567" s="49">
        <f>IF($A$4+285&gt;$B$4,"",$A$4+285)</f>
        <v>46308</v>
      </c>
      <c r="N28567">
        <f>IF(M28567="","",'Master Barang'!A61)</f>
        <v>0</v>
      </c>
      <c r="O28567">
        <f>IF(N28567="","",'Master Barang'!B61)</f>
        <v>0</v>
      </c>
      <c r="P28567">
        <f>IF(OR(M28567="",N28567=""),"",SUMIFS('Barang Keluar'!$E:$E,'Barang Keluar'!$A:$A,M28567,'Barang Keluar'!$C:$C,N28567))</f>
        <v>0</v>
      </c>
    </row>
    <row r="28568" spans="13:16">
      <c r="M28568" s="49">
        <f>IF($A$4+285&gt;$B$4,"",$A$4+285)</f>
        <v>46308</v>
      </c>
      <c r="N28568">
        <f>IF(M28568="","",'Master Barang'!A62)</f>
        <v>0</v>
      </c>
      <c r="O28568">
        <f>IF(N28568="","",'Master Barang'!B62)</f>
        <v>0</v>
      </c>
      <c r="P28568">
        <f>IF(OR(M28568="",N28568=""),"",SUMIFS('Barang Keluar'!$E:$E,'Barang Keluar'!$A:$A,M28568,'Barang Keluar'!$C:$C,N28568))</f>
        <v>0</v>
      </c>
    </row>
    <row r="28569" spans="13:16">
      <c r="M28569" s="49">
        <f>IF($A$4+285&gt;$B$4,"",$A$4+285)</f>
        <v>46308</v>
      </c>
      <c r="N28569">
        <f>IF(M28569="","",'Master Barang'!A63)</f>
        <v>0</v>
      </c>
      <c r="O28569">
        <f>IF(N28569="","",'Master Barang'!B63)</f>
        <v>0</v>
      </c>
      <c r="P28569">
        <f>IF(OR(M28569="",N28569=""),"",SUMIFS('Barang Keluar'!$E:$E,'Barang Keluar'!$A:$A,M28569,'Barang Keluar'!$C:$C,N28569))</f>
        <v>0</v>
      </c>
    </row>
    <row r="28570" spans="13:16">
      <c r="M28570" s="49">
        <f>IF($A$4+285&gt;$B$4,"",$A$4+285)</f>
        <v>46308</v>
      </c>
      <c r="N28570">
        <f>IF(M28570="","",'Master Barang'!A64)</f>
        <v>0</v>
      </c>
      <c r="O28570">
        <f>IF(N28570="","",'Master Barang'!B64)</f>
        <v>0</v>
      </c>
      <c r="P28570">
        <f>IF(OR(M28570="",N28570=""),"",SUMIFS('Barang Keluar'!$E:$E,'Barang Keluar'!$A:$A,M28570,'Barang Keluar'!$C:$C,N28570))</f>
        <v>0</v>
      </c>
    </row>
    <row r="28571" spans="13:16">
      <c r="M28571" s="49">
        <f>IF($A$4+285&gt;$B$4,"",$A$4+285)</f>
        <v>46308</v>
      </c>
      <c r="N28571">
        <f>IF(M28571="","",'Master Barang'!A65)</f>
        <v>0</v>
      </c>
      <c r="O28571">
        <f>IF(N28571="","",'Master Barang'!B65)</f>
        <v>0</v>
      </c>
      <c r="P28571">
        <f>IF(OR(M28571="",N28571=""),"",SUMIFS('Barang Keluar'!$E:$E,'Barang Keluar'!$A:$A,M28571,'Barang Keluar'!$C:$C,N28571))</f>
        <v>0</v>
      </c>
    </row>
    <row r="28572" spans="13:16">
      <c r="M28572" s="49">
        <f>IF($A$4+285&gt;$B$4,"",$A$4+285)</f>
        <v>46308</v>
      </c>
      <c r="N28572">
        <f>IF(M28572="","",'Master Barang'!A66)</f>
        <v>0</v>
      </c>
      <c r="O28572">
        <f>IF(N28572="","",'Master Barang'!B66)</f>
        <v>0</v>
      </c>
      <c r="P28572">
        <f>IF(OR(M28572="",N28572=""),"",SUMIFS('Barang Keluar'!$E:$E,'Barang Keluar'!$A:$A,M28572,'Barang Keluar'!$C:$C,N28572))</f>
        <v>0</v>
      </c>
    </row>
    <row r="28573" spans="13:16">
      <c r="M28573" s="49">
        <f>IF($A$4+285&gt;$B$4,"",$A$4+285)</f>
        <v>46308</v>
      </c>
      <c r="N28573">
        <f>IF(M28573="","",'Master Barang'!A67)</f>
        <v>0</v>
      </c>
      <c r="O28573">
        <f>IF(N28573="","",'Master Barang'!B67)</f>
        <v>0</v>
      </c>
      <c r="P28573">
        <f>IF(OR(M28573="",N28573=""),"",SUMIFS('Barang Keluar'!$E:$E,'Barang Keluar'!$A:$A,M28573,'Barang Keluar'!$C:$C,N28573))</f>
        <v>0</v>
      </c>
    </row>
    <row r="28574" spans="13:16">
      <c r="M28574" s="49">
        <f>IF($A$4+285&gt;$B$4,"",$A$4+285)</f>
        <v>46308</v>
      </c>
      <c r="N28574">
        <f>IF(M28574="","",'Master Barang'!A68)</f>
        <v>0</v>
      </c>
      <c r="O28574">
        <f>IF(N28574="","",'Master Barang'!B68)</f>
        <v>0</v>
      </c>
      <c r="P28574">
        <f>IF(OR(M28574="",N28574=""),"",SUMIFS('Barang Keluar'!$E:$E,'Barang Keluar'!$A:$A,M28574,'Barang Keluar'!$C:$C,N28574))</f>
        <v>0</v>
      </c>
    </row>
    <row r="28575" spans="13:16">
      <c r="M28575" s="49">
        <f>IF($A$4+285&gt;$B$4,"",$A$4+285)</f>
        <v>46308</v>
      </c>
      <c r="N28575">
        <f>IF(M28575="","",'Master Barang'!A69)</f>
        <v>0</v>
      </c>
      <c r="O28575">
        <f>IF(N28575="","",'Master Barang'!B69)</f>
        <v>0</v>
      </c>
      <c r="P28575">
        <f>IF(OR(M28575="",N28575=""),"",SUMIFS('Barang Keluar'!$E:$E,'Barang Keluar'!$A:$A,M28575,'Barang Keluar'!$C:$C,N28575))</f>
        <v>0</v>
      </c>
    </row>
    <row r="28576" spans="13:16">
      <c r="M28576" s="49">
        <f>IF($A$4+285&gt;$B$4,"",$A$4+285)</f>
        <v>46308</v>
      </c>
      <c r="N28576">
        <f>IF(M28576="","",'Master Barang'!A70)</f>
        <v>0</v>
      </c>
      <c r="O28576">
        <f>IF(N28576="","",'Master Barang'!B70)</f>
        <v>0</v>
      </c>
      <c r="P28576">
        <f>IF(OR(M28576="",N28576=""),"",SUMIFS('Barang Keluar'!$E:$E,'Barang Keluar'!$A:$A,M28576,'Barang Keluar'!$C:$C,N28576))</f>
        <v>0</v>
      </c>
    </row>
    <row r="28577" spans="13:16">
      <c r="M28577" s="49">
        <f>IF($A$4+285&gt;$B$4,"",$A$4+285)</f>
        <v>46308</v>
      </c>
      <c r="N28577">
        <f>IF(M28577="","",'Master Barang'!A71)</f>
        <v>0</v>
      </c>
      <c r="O28577">
        <f>IF(N28577="","",'Master Barang'!B71)</f>
        <v>0</v>
      </c>
      <c r="P28577">
        <f>IF(OR(M28577="",N28577=""),"",SUMIFS('Barang Keluar'!$E:$E,'Barang Keluar'!$A:$A,M28577,'Barang Keluar'!$C:$C,N28577))</f>
        <v>0</v>
      </c>
    </row>
    <row r="28578" spans="13:16">
      <c r="M28578" s="49">
        <f>IF($A$4+285&gt;$B$4,"",$A$4+285)</f>
        <v>46308</v>
      </c>
      <c r="N28578">
        <f>IF(M28578="","",'Master Barang'!A72)</f>
        <v>0</v>
      </c>
      <c r="O28578">
        <f>IF(N28578="","",'Master Barang'!B72)</f>
        <v>0</v>
      </c>
      <c r="P28578">
        <f>IF(OR(M28578="",N28578=""),"",SUMIFS('Barang Keluar'!$E:$E,'Barang Keluar'!$A:$A,M28578,'Barang Keluar'!$C:$C,N28578))</f>
        <v>0</v>
      </c>
    </row>
    <row r="28579" spans="13:16">
      <c r="M28579" s="49">
        <f>IF($A$4+285&gt;$B$4,"",$A$4+285)</f>
        <v>46308</v>
      </c>
      <c r="N28579">
        <f>IF(M28579="","",'Master Barang'!A73)</f>
        <v>0</v>
      </c>
      <c r="O28579">
        <f>IF(N28579="","",'Master Barang'!B73)</f>
        <v>0</v>
      </c>
      <c r="P28579">
        <f>IF(OR(M28579="",N28579=""),"",SUMIFS('Barang Keluar'!$E:$E,'Barang Keluar'!$A:$A,M28579,'Barang Keluar'!$C:$C,N28579))</f>
        <v>0</v>
      </c>
    </row>
    <row r="28580" spans="13:16">
      <c r="M28580" s="49">
        <f>IF($A$4+285&gt;$B$4,"",$A$4+285)</f>
        <v>46308</v>
      </c>
      <c r="N28580">
        <f>IF(M28580="","",'Master Barang'!A74)</f>
        <v>0</v>
      </c>
      <c r="O28580">
        <f>IF(N28580="","",'Master Barang'!B74)</f>
        <v>0</v>
      </c>
      <c r="P28580">
        <f>IF(OR(M28580="",N28580=""),"",SUMIFS('Barang Keluar'!$E:$E,'Barang Keluar'!$A:$A,M28580,'Barang Keluar'!$C:$C,N28580))</f>
        <v>0</v>
      </c>
    </row>
    <row r="28581" spans="13:16">
      <c r="M28581" s="49">
        <f>IF($A$4+285&gt;$B$4,"",$A$4+285)</f>
        <v>46308</v>
      </c>
      <c r="N28581">
        <f>IF(M28581="","",'Master Barang'!A75)</f>
        <v>0</v>
      </c>
      <c r="O28581">
        <f>IF(N28581="","",'Master Barang'!B75)</f>
        <v>0</v>
      </c>
      <c r="P28581">
        <f>IF(OR(M28581="",N28581=""),"",SUMIFS('Barang Keluar'!$E:$E,'Barang Keluar'!$A:$A,M28581,'Barang Keluar'!$C:$C,N28581))</f>
        <v>0</v>
      </c>
    </row>
    <row r="28582" spans="13:16">
      <c r="M28582" s="49">
        <f>IF($A$4+285&gt;$B$4,"",$A$4+285)</f>
        <v>46308</v>
      </c>
      <c r="N28582">
        <f>IF(M28582="","",'Master Barang'!A76)</f>
        <v>0</v>
      </c>
      <c r="O28582">
        <f>IF(N28582="","",'Master Barang'!B76)</f>
        <v>0</v>
      </c>
      <c r="P28582">
        <f>IF(OR(M28582="",N28582=""),"",SUMIFS('Barang Keluar'!$E:$E,'Barang Keluar'!$A:$A,M28582,'Barang Keluar'!$C:$C,N28582))</f>
        <v>0</v>
      </c>
    </row>
    <row r="28583" spans="13:16">
      <c r="M28583" s="49">
        <f>IF($A$4+285&gt;$B$4,"",$A$4+285)</f>
        <v>46308</v>
      </c>
      <c r="N28583">
        <f>IF(M28583="","",'Master Barang'!A77)</f>
        <v>0</v>
      </c>
      <c r="O28583">
        <f>IF(N28583="","",'Master Barang'!B77)</f>
        <v>0</v>
      </c>
      <c r="P28583">
        <f>IF(OR(M28583="",N28583=""),"",SUMIFS('Barang Keluar'!$E:$E,'Barang Keluar'!$A:$A,M28583,'Barang Keluar'!$C:$C,N28583))</f>
        <v>0</v>
      </c>
    </row>
    <row r="28584" spans="13:16">
      <c r="M28584" s="49">
        <f>IF($A$4+285&gt;$B$4,"",$A$4+285)</f>
        <v>46308</v>
      </c>
      <c r="N28584">
        <f>IF(M28584="","",'Master Barang'!A78)</f>
        <v>0</v>
      </c>
      <c r="O28584">
        <f>IF(N28584="","",'Master Barang'!B78)</f>
        <v>0</v>
      </c>
      <c r="P28584">
        <f>IF(OR(M28584="",N28584=""),"",SUMIFS('Barang Keluar'!$E:$E,'Barang Keluar'!$A:$A,M28584,'Barang Keluar'!$C:$C,N28584))</f>
        <v>0</v>
      </c>
    </row>
    <row r="28585" spans="13:16">
      <c r="M28585" s="49">
        <f>IF($A$4+285&gt;$B$4,"",$A$4+285)</f>
        <v>46308</v>
      </c>
      <c r="N28585">
        <f>IF(M28585="","",'Master Barang'!A79)</f>
        <v>0</v>
      </c>
      <c r="O28585">
        <f>IF(N28585="","",'Master Barang'!B79)</f>
        <v>0</v>
      </c>
      <c r="P28585">
        <f>IF(OR(M28585="",N28585=""),"",SUMIFS('Barang Keluar'!$E:$E,'Barang Keluar'!$A:$A,M28585,'Barang Keluar'!$C:$C,N28585))</f>
        <v>0</v>
      </c>
    </row>
    <row r="28586" spans="13:16">
      <c r="M28586" s="49">
        <f>IF($A$4+285&gt;$B$4,"",$A$4+285)</f>
        <v>46308</v>
      </c>
      <c r="N28586">
        <f>IF(M28586="","",'Master Barang'!A80)</f>
        <v>0</v>
      </c>
      <c r="O28586">
        <f>IF(N28586="","",'Master Barang'!B80)</f>
        <v>0</v>
      </c>
      <c r="P28586">
        <f>IF(OR(M28586="",N28586=""),"",SUMIFS('Barang Keluar'!$E:$E,'Barang Keluar'!$A:$A,M28586,'Barang Keluar'!$C:$C,N28586))</f>
        <v>0</v>
      </c>
    </row>
    <row r="28587" spans="13:16">
      <c r="M28587" s="49">
        <f>IF($A$4+285&gt;$B$4,"",$A$4+285)</f>
        <v>46308</v>
      </c>
      <c r="N28587">
        <f>IF(M28587="","",'Master Barang'!A81)</f>
        <v>0</v>
      </c>
      <c r="O28587">
        <f>IF(N28587="","",'Master Barang'!B81)</f>
        <v>0</v>
      </c>
      <c r="P28587">
        <f>IF(OR(M28587="",N28587=""),"",SUMIFS('Barang Keluar'!$E:$E,'Barang Keluar'!$A:$A,M28587,'Barang Keluar'!$C:$C,N28587))</f>
        <v>0</v>
      </c>
    </row>
    <row r="28588" spans="13:16">
      <c r="M28588" s="49">
        <f>IF($A$4+285&gt;$B$4,"",$A$4+285)</f>
        <v>46308</v>
      </c>
      <c r="N28588">
        <f>IF(M28588="","",'Master Barang'!A82)</f>
        <v>0</v>
      </c>
      <c r="O28588">
        <f>IF(N28588="","",'Master Barang'!B82)</f>
        <v>0</v>
      </c>
      <c r="P28588">
        <f>IF(OR(M28588="",N28588=""),"",SUMIFS('Barang Keluar'!$E:$E,'Barang Keluar'!$A:$A,M28588,'Barang Keluar'!$C:$C,N28588))</f>
        <v>0</v>
      </c>
    </row>
    <row r="28589" spans="13:16">
      <c r="M28589" s="49">
        <f>IF($A$4+285&gt;$B$4,"",$A$4+285)</f>
        <v>46308</v>
      </c>
      <c r="N28589">
        <f>IF(M28589="","",'Master Barang'!A83)</f>
        <v>0</v>
      </c>
      <c r="O28589">
        <f>IF(N28589="","",'Master Barang'!B83)</f>
        <v>0</v>
      </c>
      <c r="P28589">
        <f>IF(OR(M28589="",N28589=""),"",SUMIFS('Barang Keluar'!$E:$E,'Barang Keluar'!$A:$A,M28589,'Barang Keluar'!$C:$C,N28589))</f>
        <v>0</v>
      </c>
    </row>
    <row r="28590" spans="13:16">
      <c r="M28590" s="49">
        <f>IF($A$4+285&gt;$B$4,"",$A$4+285)</f>
        <v>46308</v>
      </c>
      <c r="N28590">
        <f>IF(M28590="","",'Master Barang'!A84)</f>
        <v>0</v>
      </c>
      <c r="O28590">
        <f>IF(N28590="","",'Master Barang'!B84)</f>
        <v>0</v>
      </c>
      <c r="P28590">
        <f>IF(OR(M28590="",N28590=""),"",SUMIFS('Barang Keluar'!$E:$E,'Barang Keluar'!$A:$A,M28590,'Barang Keluar'!$C:$C,N28590))</f>
        <v>0</v>
      </c>
    </row>
    <row r="28591" spans="13:16">
      <c r="M28591" s="49">
        <f>IF($A$4+285&gt;$B$4,"",$A$4+285)</f>
        <v>46308</v>
      </c>
      <c r="N28591">
        <f>IF(M28591="","",'Master Barang'!A85)</f>
        <v>0</v>
      </c>
      <c r="O28591">
        <f>IF(N28591="","",'Master Barang'!B85)</f>
        <v>0</v>
      </c>
      <c r="P28591">
        <f>IF(OR(M28591="",N28591=""),"",SUMIFS('Barang Keluar'!$E:$E,'Barang Keluar'!$A:$A,M28591,'Barang Keluar'!$C:$C,N28591))</f>
        <v>0</v>
      </c>
    </row>
    <row r="28592" spans="13:16">
      <c r="M28592" s="49">
        <f>IF($A$4+285&gt;$B$4,"",$A$4+285)</f>
        <v>46308</v>
      </c>
      <c r="N28592">
        <f>IF(M28592="","",'Master Barang'!A86)</f>
        <v>0</v>
      </c>
      <c r="O28592">
        <f>IF(N28592="","",'Master Barang'!B86)</f>
        <v>0</v>
      </c>
      <c r="P28592">
        <f>IF(OR(M28592="",N28592=""),"",SUMIFS('Barang Keluar'!$E:$E,'Barang Keluar'!$A:$A,M28592,'Barang Keluar'!$C:$C,N28592))</f>
        <v>0</v>
      </c>
    </row>
    <row r="28593" spans="13:16">
      <c r="M28593" s="49">
        <f>IF($A$4+285&gt;$B$4,"",$A$4+285)</f>
        <v>46308</v>
      </c>
      <c r="N28593">
        <f>IF(M28593="","",'Master Barang'!A87)</f>
        <v>0</v>
      </c>
      <c r="O28593">
        <f>IF(N28593="","",'Master Barang'!B87)</f>
        <v>0</v>
      </c>
      <c r="P28593">
        <f>IF(OR(M28593="",N28593=""),"",SUMIFS('Barang Keluar'!$E:$E,'Barang Keluar'!$A:$A,M28593,'Barang Keluar'!$C:$C,N28593))</f>
        <v>0</v>
      </c>
    </row>
    <row r="28594" spans="13:16">
      <c r="M28594" s="49">
        <f>IF($A$4+285&gt;$B$4,"",$A$4+285)</f>
        <v>46308</v>
      </c>
      <c r="N28594">
        <f>IF(M28594="","",'Master Barang'!A88)</f>
        <v>0</v>
      </c>
      <c r="O28594">
        <f>IF(N28594="","",'Master Barang'!B88)</f>
        <v>0</v>
      </c>
      <c r="P28594">
        <f>IF(OR(M28594="",N28594=""),"",SUMIFS('Barang Keluar'!$E:$E,'Barang Keluar'!$A:$A,M28594,'Barang Keluar'!$C:$C,N28594))</f>
        <v>0</v>
      </c>
    </row>
    <row r="28595" spans="13:16">
      <c r="M28595" s="49">
        <f>IF($A$4+285&gt;$B$4,"",$A$4+285)</f>
        <v>46308</v>
      </c>
      <c r="N28595">
        <f>IF(M28595="","",'Master Barang'!A89)</f>
        <v>0</v>
      </c>
      <c r="O28595">
        <f>IF(N28595="","",'Master Barang'!B89)</f>
        <v>0</v>
      </c>
      <c r="P28595">
        <f>IF(OR(M28595="",N28595=""),"",SUMIFS('Barang Keluar'!$E:$E,'Barang Keluar'!$A:$A,M28595,'Barang Keluar'!$C:$C,N28595))</f>
        <v>0</v>
      </c>
    </row>
    <row r="28596" spans="13:16">
      <c r="M28596" s="49">
        <f>IF($A$4+285&gt;$B$4,"",$A$4+285)</f>
        <v>46308</v>
      </c>
      <c r="N28596">
        <f>IF(M28596="","",'Master Barang'!A90)</f>
        <v>0</v>
      </c>
      <c r="O28596">
        <f>IF(N28596="","",'Master Barang'!B90)</f>
        <v>0</v>
      </c>
      <c r="P28596">
        <f>IF(OR(M28596="",N28596=""),"",SUMIFS('Barang Keluar'!$E:$E,'Barang Keluar'!$A:$A,M28596,'Barang Keluar'!$C:$C,N28596))</f>
        <v>0</v>
      </c>
    </row>
    <row r="28597" spans="13:16">
      <c r="M28597" s="49">
        <f>IF($A$4+285&gt;$B$4,"",$A$4+285)</f>
        <v>46308</v>
      </c>
      <c r="N28597">
        <f>IF(M28597="","",'Master Barang'!A91)</f>
        <v>0</v>
      </c>
      <c r="O28597">
        <f>IF(N28597="","",'Master Barang'!B91)</f>
        <v>0</v>
      </c>
      <c r="P28597">
        <f>IF(OR(M28597="",N28597=""),"",SUMIFS('Barang Keluar'!$E:$E,'Barang Keluar'!$A:$A,M28597,'Barang Keluar'!$C:$C,N28597))</f>
        <v>0</v>
      </c>
    </row>
    <row r="28598" spans="13:16">
      <c r="M28598" s="49">
        <f>IF($A$4+285&gt;$B$4,"",$A$4+285)</f>
        <v>46308</v>
      </c>
      <c r="N28598">
        <f>IF(M28598="","",'Master Barang'!A92)</f>
        <v>0</v>
      </c>
      <c r="O28598">
        <f>IF(N28598="","",'Master Barang'!B92)</f>
        <v>0</v>
      </c>
      <c r="P28598">
        <f>IF(OR(M28598="",N28598=""),"",SUMIFS('Barang Keluar'!$E:$E,'Barang Keluar'!$A:$A,M28598,'Barang Keluar'!$C:$C,N28598))</f>
        <v>0</v>
      </c>
    </row>
    <row r="28599" spans="13:16">
      <c r="M28599" s="49">
        <f>IF($A$4+285&gt;$B$4,"",$A$4+285)</f>
        <v>46308</v>
      </c>
      <c r="N28599">
        <f>IF(M28599="","",'Master Barang'!A93)</f>
        <v>0</v>
      </c>
      <c r="O28599">
        <f>IF(N28599="","",'Master Barang'!B93)</f>
        <v>0</v>
      </c>
      <c r="P28599">
        <f>IF(OR(M28599="",N28599=""),"",SUMIFS('Barang Keluar'!$E:$E,'Barang Keluar'!$A:$A,M28599,'Barang Keluar'!$C:$C,N28599))</f>
        <v>0</v>
      </c>
    </row>
    <row r="28600" spans="13:16">
      <c r="M28600" s="49">
        <f>IF($A$4+285&gt;$B$4,"",$A$4+285)</f>
        <v>46308</v>
      </c>
      <c r="N28600">
        <f>IF(M28600="","",'Master Barang'!A94)</f>
        <v>0</v>
      </c>
      <c r="O28600">
        <f>IF(N28600="","",'Master Barang'!B94)</f>
        <v>0</v>
      </c>
      <c r="P28600">
        <f>IF(OR(M28600="",N28600=""),"",SUMIFS('Barang Keluar'!$E:$E,'Barang Keluar'!$A:$A,M28600,'Barang Keluar'!$C:$C,N28600))</f>
        <v>0</v>
      </c>
    </row>
    <row r="28601" spans="13:16">
      <c r="M28601" s="49">
        <f>IF($A$4+285&gt;$B$4,"",$A$4+285)</f>
        <v>46308</v>
      </c>
      <c r="N28601">
        <f>IF(M28601="","",'Master Barang'!A95)</f>
        <v>0</v>
      </c>
      <c r="O28601">
        <f>IF(N28601="","",'Master Barang'!B95)</f>
        <v>0</v>
      </c>
      <c r="P28601">
        <f>IF(OR(M28601="",N28601=""),"",SUMIFS('Barang Keluar'!$E:$E,'Barang Keluar'!$A:$A,M28601,'Barang Keluar'!$C:$C,N28601))</f>
        <v>0</v>
      </c>
    </row>
    <row r="28602" spans="13:16">
      <c r="M28602" s="49">
        <f>IF($A$4+285&gt;$B$4,"",$A$4+285)</f>
        <v>46308</v>
      </c>
      <c r="N28602">
        <f>IF(M28602="","",'Master Barang'!A96)</f>
        <v>0</v>
      </c>
      <c r="O28602">
        <f>IF(N28602="","",'Master Barang'!B96)</f>
        <v>0</v>
      </c>
      <c r="P28602">
        <f>IF(OR(M28602="",N28602=""),"",SUMIFS('Barang Keluar'!$E:$E,'Barang Keluar'!$A:$A,M28602,'Barang Keluar'!$C:$C,N28602))</f>
        <v>0</v>
      </c>
    </row>
    <row r="28603" spans="13:16">
      <c r="M28603" s="49">
        <f>IF($A$4+285&gt;$B$4,"",$A$4+285)</f>
        <v>46308</v>
      </c>
      <c r="N28603">
        <f>IF(M28603="","",'Master Barang'!A97)</f>
        <v>0</v>
      </c>
      <c r="O28603">
        <f>IF(N28603="","",'Master Barang'!B97)</f>
        <v>0</v>
      </c>
      <c r="P28603">
        <f>IF(OR(M28603="",N28603=""),"",SUMIFS('Barang Keluar'!$E:$E,'Barang Keluar'!$A:$A,M28603,'Barang Keluar'!$C:$C,N28603))</f>
        <v>0</v>
      </c>
    </row>
    <row r="28604" spans="13:16">
      <c r="M28604" s="49">
        <f>IF($A$4+285&gt;$B$4,"",$A$4+285)</f>
        <v>46308</v>
      </c>
      <c r="N28604">
        <f>IF(M28604="","",'Master Barang'!A98)</f>
        <v>0</v>
      </c>
      <c r="O28604">
        <f>IF(N28604="","",'Master Barang'!B98)</f>
        <v>0</v>
      </c>
      <c r="P28604">
        <f>IF(OR(M28604="",N28604=""),"",SUMIFS('Barang Keluar'!$E:$E,'Barang Keluar'!$A:$A,M28604,'Barang Keluar'!$C:$C,N28604))</f>
        <v>0</v>
      </c>
    </row>
    <row r="28605" spans="13:16">
      <c r="M28605" s="49">
        <f>IF($A$4+285&gt;$B$4,"",$A$4+285)</f>
        <v>46308</v>
      </c>
      <c r="N28605">
        <f>IF(M28605="","",'Master Barang'!A99)</f>
        <v>0</v>
      </c>
      <c r="O28605">
        <f>IF(N28605="","",'Master Barang'!B99)</f>
        <v>0</v>
      </c>
      <c r="P28605">
        <f>IF(OR(M28605="",N28605=""),"",SUMIFS('Barang Keluar'!$E:$E,'Barang Keluar'!$A:$A,M28605,'Barang Keluar'!$C:$C,N28605))</f>
        <v>0</v>
      </c>
    </row>
    <row r="28606" spans="13:16">
      <c r="M28606" s="49">
        <f>IF($A$4+285&gt;$B$4,"",$A$4+285)</f>
        <v>46308</v>
      </c>
      <c r="N28606">
        <f>IF(M28606="","",'Master Barang'!A100)</f>
        <v>0</v>
      </c>
      <c r="O28606">
        <f>IF(N28606="","",'Master Barang'!B100)</f>
        <v>0</v>
      </c>
      <c r="P28606">
        <f>IF(OR(M28606="",N28606=""),"",SUMIFS('Barang Keluar'!$E:$E,'Barang Keluar'!$A:$A,M28606,'Barang Keluar'!$C:$C,N28606))</f>
        <v>0</v>
      </c>
    </row>
    <row r="28607" spans="13:16">
      <c r="M28607" s="49">
        <f>IF($A$4+285&gt;$B$4,"",$A$4+285)</f>
        <v>46308</v>
      </c>
      <c r="N28607">
        <f>IF(M28607="","",'Master Barang'!A101)</f>
        <v>0</v>
      </c>
      <c r="O28607">
        <f>IF(N28607="","",'Master Barang'!B101)</f>
        <v>0</v>
      </c>
      <c r="P28607">
        <f>IF(OR(M28607="",N28607=""),"",SUMIFS('Barang Keluar'!$E:$E,'Barang Keluar'!$A:$A,M28607,'Barang Keluar'!$C:$C,N28607))</f>
        <v>0</v>
      </c>
    </row>
    <row r="28608" spans="13:16">
      <c r="M28608" s="49">
        <f>IF($A$4+286&gt;$B$4,"",$A$4+286)</f>
        <v>46309</v>
      </c>
      <c r="N28608" t="str">
        <f>IF(M28608="","",'Master Barang'!A2)</f>
        <v>PRL-001</v>
      </c>
      <c r="O28608" t="str">
        <f>IF(N28608="","",'Master Barang'!B2)</f>
        <v>natura desinfectant food grade 5l</v>
      </c>
      <c r="P28608">
        <f>IF(OR(M28608="",N28608=""),"",SUMIFS('Barang Keluar'!$E:$E,'Barang Keluar'!$A:$A,M28608,'Barang Keluar'!$C:$C,N28608))</f>
        <v>0</v>
      </c>
    </row>
    <row r="28609" spans="13:16">
      <c r="M28609" s="49">
        <f>IF($A$4+286&gt;$B$4,"",$A$4+286)</f>
        <v>46309</v>
      </c>
      <c r="N28609" t="str">
        <f>IF(M28609="","",'Master Barang'!A3)</f>
        <v>PRL-002</v>
      </c>
      <c r="O28609" t="str">
        <f>IF(N28609="","",'Master Barang'!B3)</f>
        <v>sunlight cairan pencuci piring 5l</v>
      </c>
      <c r="P28609">
        <f>IF(OR(M28609="",N28609=""),"",SUMIFS('Barang Keluar'!$E:$E,'Barang Keluar'!$A:$A,M28609,'Barang Keluar'!$C:$C,N28609))</f>
        <v>0</v>
      </c>
    </row>
    <row r="28610" spans="13:16">
      <c r="M28610" s="49">
        <f>IF($A$4+286&gt;$B$4,"",$A$4+286)</f>
        <v>46309</v>
      </c>
      <c r="N28610" t="str">
        <f>IF(M28610="","",'Master Barang'!A4)</f>
        <v>PRL-003</v>
      </c>
      <c r="O28610" t="str">
        <f>IF(N28610="","",'Master Barang'!B4)</f>
        <v>oixs cleaner 1l</v>
      </c>
      <c r="P28610">
        <f>IF(OR(M28610="",N28610=""),"",SUMIFS('Barang Keluar'!$E:$E,'Barang Keluar'!$A:$A,M28610,'Barang Keluar'!$C:$C,N28610))</f>
        <v>0</v>
      </c>
    </row>
    <row r="28611" spans="13:16">
      <c r="M28611" s="49">
        <f>IF($A$4+286&gt;$B$4,"",$A$4+286)</f>
        <v>46309</v>
      </c>
      <c r="N28611" t="str">
        <f>IF(M28611="","",'Master Barang'!A5)</f>
        <v>PRL-004</v>
      </c>
      <c r="O28611" t="str">
        <f>IF(N28611="","",'Master Barang'!B5)</f>
        <v>be clean tissue serbaguna</v>
      </c>
      <c r="P28611">
        <f>IF(OR(M28611="",N28611=""),"",SUMIFS('Barang Keluar'!$E:$E,'Barang Keluar'!$A:$A,M28611,'Barang Keluar'!$C:$C,N28611))</f>
        <v>0</v>
      </c>
    </row>
    <row r="28612" spans="13:16">
      <c r="M28612" s="49">
        <f>IF($A$4+286&gt;$B$4,"",$A$4+286)</f>
        <v>46309</v>
      </c>
      <c r="N28612" t="str">
        <f>IF(M28612="","",'Master Barang'!A6)</f>
        <v>PRL-005</v>
      </c>
      <c r="O28612" t="str">
        <f>IF(N28612="","",'Master Barang'!B6)</f>
        <v>spons cuci hijau</v>
      </c>
      <c r="P28612">
        <f>IF(OR(M28612="",N28612=""),"",SUMIFS('Barang Keluar'!$E:$E,'Barang Keluar'!$A:$A,M28612,'Barang Keluar'!$C:$C,N28612))</f>
        <v>0</v>
      </c>
    </row>
    <row r="28613" spans="13:16">
      <c r="M28613" s="49">
        <f>IF($A$4+286&gt;$B$4,"",$A$4+286)</f>
        <v>46309</v>
      </c>
      <c r="N28613" t="str">
        <f>IF(M28613="","",'Master Barang'!A7)</f>
        <v>PRL-006</v>
      </c>
      <c r="O28613" t="str">
        <f>IF(N28613="","",'Master Barang'!B7)</f>
        <v>sabut cuci stainless</v>
      </c>
      <c r="P28613">
        <f>IF(OR(M28613="",N28613=""),"",SUMIFS('Barang Keluar'!$E:$E,'Barang Keluar'!$A:$A,M28613,'Barang Keluar'!$C:$C,N28613))</f>
        <v>0</v>
      </c>
    </row>
    <row r="28614" spans="13:16">
      <c r="M28614" s="49">
        <f>IF($A$4+286&gt;$B$4,"",$A$4+286)</f>
        <v>46309</v>
      </c>
      <c r="N28614" t="str">
        <f>IF(M28614="","",'Master Barang'!A8)</f>
        <v>PRL-007</v>
      </c>
      <c r="O28614" t="str">
        <f>IF(N28614="","",'Master Barang'!B8)</f>
        <v>plastik kresek besar merah 50pc</v>
      </c>
      <c r="P28614">
        <f>IF(OR(M28614="",N28614=""),"",SUMIFS('Barang Keluar'!$E:$E,'Barang Keluar'!$A:$A,M28614,'Barang Keluar'!$C:$C,N28614))</f>
        <v>0</v>
      </c>
    </row>
    <row r="28615" spans="13:16">
      <c r="M28615" s="49">
        <f>IF($A$4+286&gt;$B$4,"",$A$4+286)</f>
        <v>46309</v>
      </c>
      <c r="N28615" t="str">
        <f>IF(M28615="","",'Master Barang'!A9)</f>
        <v>PRL-008</v>
      </c>
      <c r="O28615" t="str">
        <f>IF(N28615="","",'Master Barang'!B9)</f>
        <v>lap besar</v>
      </c>
      <c r="P28615">
        <f>IF(OR(M28615="",N28615=""),"",SUMIFS('Barang Keluar'!$E:$E,'Barang Keluar'!$A:$A,M28615,'Barang Keluar'!$C:$C,N28615))</f>
        <v>0</v>
      </c>
    </row>
    <row r="28616" spans="13:16">
      <c r="M28616" s="49">
        <f>IF($A$4+286&gt;$B$4,"",$A$4+286)</f>
        <v>46309</v>
      </c>
      <c r="N28616" t="str">
        <f>IF(M28616="","",'Master Barang'!A10)</f>
        <v>PRL-009</v>
      </c>
      <c r="O28616" t="str">
        <f>IF(N28616="","",'Master Barang'!B10)</f>
        <v>lap microfiber</v>
      </c>
      <c r="P28616">
        <f>IF(OR(M28616="",N28616=""),"",SUMIFS('Barang Keluar'!$E:$E,'Barang Keluar'!$A:$A,M28616,'Barang Keluar'!$C:$C,N28616))</f>
        <v>0</v>
      </c>
    </row>
    <row r="28617" spans="13:16">
      <c r="M28617" s="49">
        <f>IF($A$4+286&gt;$B$4,"",$A$4+286)</f>
        <v>46309</v>
      </c>
      <c r="N28617" t="str">
        <f>IF(M28617="","",'Master Barang'!A11)</f>
        <v>PRL-010</v>
      </c>
      <c r="O28617" t="str">
        <f>IF(N28617="","",'Master Barang'!B11)</f>
        <v>lap kecil</v>
      </c>
      <c r="P28617">
        <f>IF(OR(M28617="",N28617=""),"",SUMIFS('Barang Keluar'!$E:$E,'Barang Keluar'!$A:$A,M28617,'Barang Keluar'!$C:$C,N28617))</f>
        <v>0</v>
      </c>
    </row>
    <row r="28618" spans="13:16">
      <c r="M28618" s="49">
        <f>IF($A$4+286&gt;$B$4,"",$A$4+286)</f>
        <v>46309</v>
      </c>
      <c r="N28618" t="str">
        <f>IF(M28618="","",'Master Barang'!A12)</f>
        <v>PRL-011</v>
      </c>
      <c r="O28618" t="str">
        <f>IF(N28618="","",'Master Barang'!B12)</f>
        <v>kanebo kecil</v>
      </c>
      <c r="P28618">
        <f>IF(OR(M28618="",N28618=""),"",SUMIFS('Barang Keluar'!$E:$E,'Barang Keluar'!$A:$A,M28618,'Barang Keluar'!$C:$C,N28618))</f>
        <v>0</v>
      </c>
    </row>
    <row r="28619" spans="13:16">
      <c r="M28619" s="49">
        <f>IF($A$4+286&gt;$B$4,"",$A$4+286)</f>
        <v>46309</v>
      </c>
      <c r="N28619" t="str">
        <f>IF(M28619="","",'Master Barang'!A13)</f>
        <v>PRL-012</v>
      </c>
      <c r="O28619" t="str">
        <f>IF(N28619="","",'Master Barang'!B13)</f>
        <v>plastik 1/4kg joyoboyo 100 lembar</v>
      </c>
      <c r="P28619">
        <f>IF(OR(M28619="",N28619=""),"",SUMIFS('Barang Keluar'!$E:$E,'Barang Keluar'!$A:$A,M28619,'Barang Keluar'!$C:$C,N28619))</f>
        <v>0</v>
      </c>
    </row>
    <row r="28620" spans="13:16">
      <c r="M28620" s="49">
        <f>IF($A$4+286&gt;$B$4,"",$A$4+286)</f>
        <v>46309</v>
      </c>
      <c r="N28620" t="str">
        <f>IF(M28620="","",'Master Barang'!A14)</f>
        <v>PRL-013</v>
      </c>
      <c r="O28620" t="str">
        <f>IF(N28620="","",'Master Barang'!B14)</f>
        <v>sarung tangan plastik kaka 100 pcs</v>
      </c>
      <c r="P28620">
        <f>IF(OR(M28620="",N28620=""),"",SUMIFS('Barang Keluar'!$E:$E,'Barang Keluar'!$A:$A,M28620,'Barang Keluar'!$C:$C,N28620))</f>
        <v>0</v>
      </c>
    </row>
    <row r="28621" spans="13:16">
      <c r="M28621" s="49">
        <f>IF($A$4+286&gt;$B$4,"",$A$4+286)</f>
        <v>46309</v>
      </c>
      <c r="N28621" t="str">
        <f>IF(M28621="","",'Master Barang'!A15)</f>
        <v>PRL-014</v>
      </c>
      <c r="O28621" t="str">
        <f>IF(N28621="","",'Master Barang'!B15)</f>
        <v>optima trashbag 80x100</v>
      </c>
      <c r="P28621">
        <f>IF(OR(M28621="",N28621=""),"",SUMIFS('Barang Keluar'!$E:$E,'Barang Keluar'!$A:$A,M28621,'Barang Keluar'!$C:$C,N28621))</f>
        <v>0</v>
      </c>
    </row>
    <row r="28622" spans="13:16">
      <c r="M28622" s="49">
        <f>IF($A$4+286&gt;$B$4,"",$A$4+286)</f>
        <v>46309</v>
      </c>
      <c r="N28622" t="str">
        <f>IF(M28622="","",'Master Barang'!A16)</f>
        <v>PRL-015</v>
      </c>
      <c r="O28622" t="str">
        <f>IF(N28622="","",'Master Barang'!B16)</f>
        <v>optima trashbag 60x100</v>
      </c>
      <c r="P28622">
        <f>IF(OR(M28622="",N28622=""),"",SUMIFS('Barang Keluar'!$E:$E,'Barang Keluar'!$A:$A,M28622,'Barang Keluar'!$C:$C,N28622))</f>
        <v>0</v>
      </c>
    </row>
    <row r="28623" spans="13:16">
      <c r="M28623" s="49">
        <f>IF($A$4+286&gt;$B$4,"",$A$4+286)</f>
        <v>46309</v>
      </c>
      <c r="N28623" t="str">
        <f>IF(M28623="","",'Master Barang'!A17)</f>
        <v>PRL-016</v>
      </c>
      <c r="O28623" t="str">
        <f>IF(N28623="","",'Master Barang'!B17)</f>
        <v>rajawali trashbag 30x40</v>
      </c>
      <c r="P28623">
        <f>IF(OR(M28623="",N28623=""),"",SUMIFS('Barang Keluar'!$E:$E,'Barang Keluar'!$A:$A,M28623,'Barang Keluar'!$C:$C,N28623))</f>
        <v>0</v>
      </c>
    </row>
    <row r="28624" spans="13:16">
      <c r="M28624" s="49">
        <f>IF($A$4+286&gt;$B$4,"",$A$4+286)</f>
        <v>46309</v>
      </c>
      <c r="N28624" t="str">
        <f>IF(M28624="","",'Master Barang'!A18)</f>
        <v>PRL-017</v>
      </c>
      <c r="O28624" t="str">
        <f>IF(N28624="","",'Master Barang'!B18)</f>
        <v>onemed masker biru 3 play 50 pcs</v>
      </c>
      <c r="P28624">
        <f>IF(OR(M28624="",N28624=""),"",SUMIFS('Barang Keluar'!$E:$E,'Barang Keluar'!$A:$A,M28624,'Barang Keluar'!$C:$C,N28624))</f>
        <v>0</v>
      </c>
    </row>
    <row r="28625" spans="13:16">
      <c r="M28625" s="49">
        <f>IF($A$4+286&gt;$B$4,"",$A$4+286)</f>
        <v>46309</v>
      </c>
      <c r="N28625" t="str">
        <f>IF(M28625="","",'Master Barang'!A19)</f>
        <v>PRL-018</v>
      </c>
      <c r="O28625" t="str">
        <f>IF(N28625="","",'Master Barang'!B19)</f>
        <v>onemed masker biru 3 play hijab 50 pcs</v>
      </c>
      <c r="P28625">
        <f>IF(OR(M28625="",N28625=""),"",SUMIFS('Barang Keluar'!$E:$E,'Barang Keluar'!$A:$A,M28625,'Barang Keluar'!$C:$C,N28625))</f>
        <v>0</v>
      </c>
    </row>
    <row r="28626" spans="13:16">
      <c r="M28626" s="49">
        <f>IF($A$4+286&gt;$B$4,"",$A$4+286)</f>
        <v>46309</v>
      </c>
      <c r="N28626" t="str">
        <f>IF(M28626="","",'Master Barang'!A20)</f>
        <v>PRL-019</v>
      </c>
      <c r="O28626" t="str">
        <f>IF(N28626="","",'Master Barang'!B20)</f>
        <v>neo health masker biru 3 play 50 pcs</v>
      </c>
      <c r="P28626">
        <f>IF(OR(M28626="",N28626=""),"",SUMIFS('Barang Keluar'!$E:$E,'Barang Keluar'!$A:$A,M28626,'Barang Keluar'!$C:$C,N28626))</f>
        <v>0</v>
      </c>
    </row>
    <row r="28627" spans="13:16">
      <c r="M28627" s="49">
        <f>IF($A$4+286&gt;$B$4,"",$A$4+286)</f>
        <v>46309</v>
      </c>
      <c r="N28627" t="str">
        <f>IF(M28627="","",'Master Barang'!A21)</f>
        <v>PRL-020</v>
      </c>
      <c r="O28627" t="str">
        <f>IF(N28627="","",'Master Barang'!B21)</f>
        <v>baymed masker hijau 3 play hijau 50 pcs</v>
      </c>
      <c r="P28627">
        <f>IF(OR(M28627="",N28627=""),"",SUMIFS('Barang Keluar'!$E:$E,'Barang Keluar'!$A:$A,M28627,'Barang Keluar'!$C:$C,N28627))</f>
        <v>0</v>
      </c>
    </row>
    <row r="28628" spans="13:16">
      <c r="M28628" s="49">
        <f>IF($A$4+286&gt;$B$4,"",$A$4+286)</f>
        <v>46309</v>
      </c>
      <c r="N28628" t="str">
        <f>IF(M28628="","",'Master Barang'!A22)</f>
        <v>PRL-021</v>
      </c>
      <c r="O28628" t="str">
        <f>IF(N28628="","",'Master Barang'!B22)</f>
        <v>altamed nurse cap penutup kepala 100 pcs</v>
      </c>
      <c r="P28628">
        <f>IF(OR(M28628="",N28628=""),"",SUMIFS('Barang Keluar'!$E:$E,'Barang Keluar'!$A:$A,M28628,'Barang Keluar'!$C:$C,N28628))</f>
        <v>0</v>
      </c>
    </row>
    <row r="28629" spans="13:16">
      <c r="M28629" s="49">
        <f>IF($A$4+286&gt;$B$4,"",$A$4+286)</f>
        <v>46309</v>
      </c>
      <c r="N28629" t="str">
        <f>IF(M28629="","",'Master Barang'!A23)</f>
        <v>PRL-022</v>
      </c>
      <c r="O28629" t="str">
        <f>IF(N28629="","",'Master Barang'!B23)</f>
        <v>sabun cuci tangan</v>
      </c>
      <c r="P28629">
        <f>IF(OR(M28629="",N28629=""),"",SUMIFS('Barang Keluar'!$E:$E,'Barang Keluar'!$A:$A,M28629,'Barang Keluar'!$C:$C,N28629))</f>
        <v>0</v>
      </c>
    </row>
    <row r="28630" spans="13:16">
      <c r="M28630" s="49">
        <f>IF($A$4+286&gt;$B$4,"",$A$4+286)</f>
        <v>46309</v>
      </c>
      <c r="N28630" t="str">
        <f>IF(M28630="","",'Master Barang'!A24)</f>
        <v>PRL-023</v>
      </c>
      <c r="O28630" t="str">
        <f>IF(N28630="","",'Master Barang'!B24)</f>
        <v>gayung kecil</v>
      </c>
      <c r="P28630">
        <f>IF(OR(M28630="",N28630=""),"",SUMIFS('Barang Keluar'!$E:$E,'Barang Keluar'!$A:$A,M28630,'Barang Keluar'!$C:$C,N28630))</f>
        <v>0</v>
      </c>
    </row>
    <row r="28631" spans="13:16">
      <c r="M28631" s="49">
        <f>IF($A$4+286&gt;$B$4,"",$A$4+286)</f>
        <v>46309</v>
      </c>
      <c r="N28631" t="str">
        <f>IF(M28631="","",'Master Barang'!A25)</f>
        <v>PRL-024</v>
      </c>
      <c r="O28631" t="str">
        <f>IF(N28631="","",'Master Barang'!B25)</f>
        <v>cikrak kecil</v>
      </c>
      <c r="P28631">
        <f>IF(OR(M28631="",N28631=""),"",SUMIFS('Barang Keluar'!$E:$E,'Barang Keluar'!$A:$A,M28631,'Barang Keluar'!$C:$C,N28631))</f>
        <v>0</v>
      </c>
    </row>
    <row r="28632" spans="13:16">
      <c r="M28632" s="49">
        <f>IF($A$4+286&gt;$B$4,"",$A$4+286)</f>
        <v>46309</v>
      </c>
      <c r="N28632" t="str">
        <f>IF(M28632="","",'Master Barang'!A26)</f>
        <v>PRL-025</v>
      </c>
      <c r="O28632" t="str">
        <f>IF(N28632="","",'Master Barang'!B26)</f>
        <v>petromax plastik kecil 12x24 100 lembar</v>
      </c>
      <c r="P28632">
        <f>IF(OR(M28632="",N28632=""),"",SUMIFS('Barang Keluar'!$E:$E,'Barang Keluar'!$A:$A,M28632,'Barang Keluar'!$C:$C,N28632))</f>
        <v>0</v>
      </c>
    </row>
    <row r="28633" spans="13:16">
      <c r="M28633" s="49">
        <f>IF($A$4+286&gt;$B$4,"",$A$4+286)</f>
        <v>46309</v>
      </c>
      <c r="N28633" t="str">
        <f>IF(M28633="","",'Master Barang'!A27)</f>
        <v>PRL-026</v>
      </c>
      <c r="O28633" t="str">
        <f>IF(N28633="","",'Master Barang'!B27)</f>
        <v>lancar kresek kecil bening </v>
      </c>
      <c r="P28633">
        <f>IF(OR(M28633="",N28633=""),"",SUMIFS('Barang Keluar'!$E:$E,'Barang Keluar'!$A:$A,M28633,'Barang Keluar'!$C:$C,N28633))</f>
        <v>0</v>
      </c>
    </row>
    <row r="28634" spans="13:16">
      <c r="M28634" s="49">
        <f>IF($A$4+286&gt;$B$4,"",$A$4+286)</f>
        <v>46309</v>
      </c>
      <c r="N28634" t="str">
        <f>IF(M28634="","",'Master Barang'!A28)</f>
        <v>PRL-027</v>
      </c>
      <c r="O28634" t="str">
        <f>IF(N28634="","",'Master Barang'!B28)</f>
        <v>kresek klin warna warni kecil</v>
      </c>
      <c r="P28634">
        <f>IF(OR(M28634="",N28634=""),"",SUMIFS('Barang Keluar'!$E:$E,'Barang Keluar'!$A:$A,M28634,'Barang Keluar'!$C:$C,N28634))</f>
        <v>0</v>
      </c>
    </row>
    <row r="28635" spans="13:16">
      <c r="M28635" s="49">
        <f>IF($A$4+286&gt;$B$4,"",$A$4+286)</f>
        <v>46309</v>
      </c>
      <c r="N28635" t="str">
        <f>IF(M28635="","",'Master Barang'!A29)</f>
        <v>PRL-028</v>
      </c>
      <c r="O28635" t="str">
        <f>IF(N28635="","",'Master Barang'!B29)</f>
        <v>ctik plastik 7x10 100 pcs</v>
      </c>
      <c r="P28635">
        <f>IF(OR(M28635="",N28635=""),"",SUMIFS('Barang Keluar'!$E:$E,'Barang Keluar'!$A:$A,M28635,'Barang Keluar'!$C:$C,N28635))</f>
        <v>0</v>
      </c>
    </row>
    <row r="28636" spans="13:16">
      <c r="M28636" s="49">
        <f>IF($A$4+286&gt;$B$4,"",$A$4+286)</f>
        <v>46309</v>
      </c>
      <c r="N28636" t="str">
        <f>IF(M28636="","",'Master Barang'!A30)</f>
        <v>PRL-029</v>
      </c>
      <c r="O28636" t="str">
        <f>IF(N28636="","",'Master Barang'!B30)</f>
        <v>ctik plastik 6x10 100 pcs</v>
      </c>
      <c r="P28636">
        <f>IF(OR(M28636="",N28636=""),"",SUMIFS('Barang Keluar'!$E:$E,'Barang Keluar'!$A:$A,M28636,'Barang Keluar'!$C:$C,N28636))</f>
        <v>0</v>
      </c>
    </row>
    <row r="28637" spans="13:16">
      <c r="M28637" s="49">
        <f>IF($A$4+286&gt;$B$4,"",$A$4+286)</f>
        <v>46309</v>
      </c>
      <c r="N28637" t="str">
        <f>IF(M28637="","",'Master Barang'!A31)</f>
        <v>PRL-030</v>
      </c>
      <c r="O28637" t="str">
        <f>IF(N28637="","",'Master Barang'!B31)</f>
        <v>klip plastik 25x16 100 pcs</v>
      </c>
      <c r="P28637">
        <f>IF(OR(M28637="",N28637=""),"",SUMIFS('Barang Keluar'!$E:$E,'Barang Keluar'!$A:$A,M28637,'Barang Keluar'!$C:$C,N28637))</f>
        <v>0</v>
      </c>
    </row>
    <row r="28638" spans="13:16">
      <c r="M28638" s="49">
        <f>IF($A$4+286&gt;$B$4,"",$A$4+286)</f>
        <v>46309</v>
      </c>
      <c r="N28638" t="str">
        <f>IF(M28638="","",'Master Barang'!A32)</f>
        <v>PRL-031</v>
      </c>
      <c r="O28638" t="str">
        <f>IF(N28638="","",'Master Barang'!B32)</f>
        <v>tempat saus 20 ml</v>
      </c>
      <c r="P28638">
        <f>IF(OR(M28638="",N28638=""),"",SUMIFS('Barang Keluar'!$E:$E,'Barang Keluar'!$A:$A,M28638,'Barang Keluar'!$C:$C,N28638))</f>
        <v>0</v>
      </c>
    </row>
    <row r="28639" spans="13:16">
      <c r="M28639" s="49">
        <f>IF($A$4+286&gt;$B$4,"",$A$4+286)</f>
        <v>46309</v>
      </c>
      <c r="N28639" t="str">
        <f>IF(M28639="","",'Master Barang'!A33)</f>
        <v>PRL-032</v>
      </c>
      <c r="O28639" t="str">
        <f>IF(N28639="","",'Master Barang'!B33)</f>
        <v>plastik packaging ag box uk sedang</v>
      </c>
      <c r="P28639">
        <f>IF(OR(M28639="",N28639=""),"",SUMIFS('Barang Keluar'!$E:$E,'Barang Keluar'!$A:$A,M28639,'Barang Keluar'!$C:$C,N28639))</f>
        <v>0</v>
      </c>
    </row>
    <row r="28640" spans="13:16">
      <c r="M28640" s="49">
        <f>IF($A$4+286&gt;$B$4,"",$A$4+286)</f>
        <v>46309</v>
      </c>
      <c r="N28640" t="str">
        <f>IF(M28640="","",'Master Barang'!A34)</f>
        <v>PRL-033</v>
      </c>
      <c r="O28640">
        <f>IF(N28640="","",'Master Barang'!B34)</f>
        <v>0</v>
      </c>
      <c r="P28640">
        <f>IF(OR(M28640="",N28640=""),"",SUMIFS('Barang Keluar'!$E:$E,'Barang Keluar'!$A:$A,M28640,'Barang Keluar'!$C:$C,N28640))</f>
        <v>0</v>
      </c>
    </row>
    <row r="28641" spans="13:16">
      <c r="M28641" s="49">
        <f>IF($A$4+286&gt;$B$4,"",$A$4+286)</f>
        <v>46309</v>
      </c>
      <c r="N28641">
        <f>IF(M28641="","",'Master Barang'!A35)</f>
        <v>0</v>
      </c>
      <c r="O28641">
        <f>IF(N28641="","",'Master Barang'!B35)</f>
        <v>0</v>
      </c>
      <c r="P28641">
        <f>IF(OR(M28641="",N28641=""),"",SUMIFS('Barang Keluar'!$E:$E,'Barang Keluar'!$A:$A,M28641,'Barang Keluar'!$C:$C,N28641))</f>
        <v>0</v>
      </c>
    </row>
    <row r="28642" spans="13:16">
      <c r="M28642" s="49">
        <f>IF($A$4+286&gt;$B$4,"",$A$4+286)</f>
        <v>46309</v>
      </c>
      <c r="N28642">
        <f>IF(M28642="","",'Master Barang'!A36)</f>
        <v>0</v>
      </c>
      <c r="O28642">
        <f>IF(N28642="","",'Master Barang'!B36)</f>
        <v>0</v>
      </c>
      <c r="P28642">
        <f>IF(OR(M28642="",N28642=""),"",SUMIFS('Barang Keluar'!$E:$E,'Barang Keluar'!$A:$A,M28642,'Barang Keluar'!$C:$C,N28642))</f>
        <v>0</v>
      </c>
    </row>
    <row r="28643" spans="13:16">
      <c r="M28643" s="49">
        <f>IF($A$4+286&gt;$B$4,"",$A$4+286)</f>
        <v>46309</v>
      </c>
      <c r="N28643">
        <f>IF(M28643="","",'Master Barang'!A37)</f>
        <v>0</v>
      </c>
      <c r="O28643">
        <f>IF(N28643="","",'Master Barang'!B37)</f>
        <v>0</v>
      </c>
      <c r="P28643">
        <f>IF(OR(M28643="",N28643=""),"",SUMIFS('Barang Keluar'!$E:$E,'Barang Keluar'!$A:$A,M28643,'Barang Keluar'!$C:$C,N28643))</f>
        <v>0</v>
      </c>
    </row>
    <row r="28644" spans="13:16">
      <c r="M28644" s="49">
        <f>IF($A$4+286&gt;$B$4,"",$A$4+286)</f>
        <v>46309</v>
      </c>
      <c r="N28644">
        <f>IF(M28644="","",'Master Barang'!A38)</f>
        <v>0</v>
      </c>
      <c r="O28644">
        <f>IF(N28644="","",'Master Barang'!B38)</f>
        <v>0</v>
      </c>
      <c r="P28644">
        <f>IF(OR(M28644="",N28644=""),"",SUMIFS('Barang Keluar'!$E:$E,'Barang Keluar'!$A:$A,M28644,'Barang Keluar'!$C:$C,N28644))</f>
        <v>0</v>
      </c>
    </row>
    <row r="28645" spans="13:16">
      <c r="M28645" s="49">
        <f>IF($A$4+286&gt;$B$4,"",$A$4+286)</f>
        <v>46309</v>
      </c>
      <c r="N28645">
        <f>IF(M28645="","",'Master Barang'!A39)</f>
        <v>0</v>
      </c>
      <c r="O28645">
        <f>IF(N28645="","",'Master Barang'!B39)</f>
        <v>0</v>
      </c>
      <c r="P28645">
        <f>IF(OR(M28645="",N28645=""),"",SUMIFS('Barang Keluar'!$E:$E,'Barang Keluar'!$A:$A,M28645,'Barang Keluar'!$C:$C,N28645))</f>
        <v>0</v>
      </c>
    </row>
    <row r="28646" spans="13:16">
      <c r="M28646" s="49">
        <f>IF($A$4+286&gt;$B$4,"",$A$4+286)</f>
        <v>46309</v>
      </c>
      <c r="N28646">
        <f>IF(M28646="","",'Master Barang'!A40)</f>
        <v>0</v>
      </c>
      <c r="O28646">
        <f>IF(N28646="","",'Master Barang'!B40)</f>
        <v>0</v>
      </c>
      <c r="P28646">
        <f>IF(OR(M28646="",N28646=""),"",SUMIFS('Barang Keluar'!$E:$E,'Barang Keluar'!$A:$A,M28646,'Barang Keluar'!$C:$C,N28646))</f>
        <v>0</v>
      </c>
    </row>
    <row r="28647" spans="13:16">
      <c r="M28647" s="49">
        <f>IF($A$4+286&gt;$B$4,"",$A$4+286)</f>
        <v>46309</v>
      </c>
      <c r="N28647">
        <f>IF(M28647="","",'Master Barang'!A41)</f>
        <v>0</v>
      </c>
      <c r="O28647">
        <f>IF(N28647="","",'Master Barang'!B41)</f>
        <v>0</v>
      </c>
      <c r="P28647">
        <f>IF(OR(M28647="",N28647=""),"",SUMIFS('Barang Keluar'!$E:$E,'Barang Keluar'!$A:$A,M28647,'Barang Keluar'!$C:$C,N28647))</f>
        <v>0</v>
      </c>
    </row>
    <row r="28648" spans="13:16">
      <c r="M28648" s="49">
        <f>IF($A$4+286&gt;$B$4,"",$A$4+286)</f>
        <v>46309</v>
      </c>
      <c r="N28648">
        <f>IF(M28648="","",'Master Barang'!A42)</f>
        <v>0</v>
      </c>
      <c r="O28648">
        <f>IF(N28648="","",'Master Barang'!B42)</f>
        <v>0</v>
      </c>
      <c r="P28648">
        <f>IF(OR(M28648="",N28648=""),"",SUMIFS('Barang Keluar'!$E:$E,'Barang Keluar'!$A:$A,M28648,'Barang Keluar'!$C:$C,N28648))</f>
        <v>0</v>
      </c>
    </row>
    <row r="28649" spans="13:16">
      <c r="M28649" s="49">
        <f>IF($A$4+286&gt;$B$4,"",$A$4+286)</f>
        <v>46309</v>
      </c>
      <c r="N28649">
        <f>IF(M28649="","",'Master Barang'!A43)</f>
        <v>0</v>
      </c>
      <c r="O28649">
        <f>IF(N28649="","",'Master Barang'!B43)</f>
        <v>0</v>
      </c>
      <c r="P28649">
        <f>IF(OR(M28649="",N28649=""),"",SUMIFS('Barang Keluar'!$E:$E,'Barang Keluar'!$A:$A,M28649,'Barang Keluar'!$C:$C,N28649))</f>
        <v>0</v>
      </c>
    </row>
    <row r="28650" spans="13:16">
      <c r="M28650" s="49">
        <f>IF($A$4+286&gt;$B$4,"",$A$4+286)</f>
        <v>46309</v>
      </c>
      <c r="N28650">
        <f>IF(M28650="","",'Master Barang'!A44)</f>
        <v>0</v>
      </c>
      <c r="O28650">
        <f>IF(N28650="","",'Master Barang'!B44)</f>
        <v>0</v>
      </c>
      <c r="P28650">
        <f>IF(OR(M28650="",N28650=""),"",SUMIFS('Barang Keluar'!$E:$E,'Barang Keluar'!$A:$A,M28650,'Barang Keluar'!$C:$C,N28650))</f>
        <v>0</v>
      </c>
    </row>
    <row r="28651" spans="13:16">
      <c r="M28651" s="49">
        <f>IF($A$4+286&gt;$B$4,"",$A$4+286)</f>
        <v>46309</v>
      </c>
      <c r="N28651">
        <f>IF(M28651="","",'Master Barang'!A45)</f>
        <v>0</v>
      </c>
      <c r="O28651">
        <f>IF(N28651="","",'Master Barang'!B45)</f>
        <v>0</v>
      </c>
      <c r="P28651">
        <f>IF(OR(M28651="",N28651=""),"",SUMIFS('Barang Keluar'!$E:$E,'Barang Keluar'!$A:$A,M28651,'Barang Keluar'!$C:$C,N28651))</f>
        <v>0</v>
      </c>
    </row>
    <row r="28652" spans="13:16">
      <c r="M28652" s="49">
        <f>IF($A$4+286&gt;$B$4,"",$A$4+286)</f>
        <v>46309</v>
      </c>
      <c r="N28652">
        <f>IF(M28652="","",'Master Barang'!A46)</f>
        <v>0</v>
      </c>
      <c r="O28652">
        <f>IF(N28652="","",'Master Barang'!B46)</f>
        <v>0</v>
      </c>
      <c r="P28652">
        <f>IF(OR(M28652="",N28652=""),"",SUMIFS('Barang Keluar'!$E:$E,'Barang Keluar'!$A:$A,M28652,'Barang Keluar'!$C:$C,N28652))</f>
        <v>0</v>
      </c>
    </row>
    <row r="28653" spans="13:16">
      <c r="M28653" s="49">
        <f>IF($A$4+286&gt;$B$4,"",$A$4+286)</f>
        <v>46309</v>
      </c>
      <c r="N28653">
        <f>IF(M28653="","",'Master Barang'!A47)</f>
        <v>0</v>
      </c>
      <c r="O28653">
        <f>IF(N28653="","",'Master Barang'!B47)</f>
        <v>0</v>
      </c>
      <c r="P28653">
        <f>IF(OR(M28653="",N28653=""),"",SUMIFS('Barang Keluar'!$E:$E,'Barang Keluar'!$A:$A,M28653,'Barang Keluar'!$C:$C,N28653))</f>
        <v>0</v>
      </c>
    </row>
    <row r="28654" spans="13:16">
      <c r="M28654" s="49">
        <f>IF($A$4+286&gt;$B$4,"",$A$4+286)</f>
        <v>46309</v>
      </c>
      <c r="N28654">
        <f>IF(M28654="","",'Master Barang'!A48)</f>
        <v>0</v>
      </c>
      <c r="O28654">
        <f>IF(N28654="","",'Master Barang'!B48)</f>
        <v>0</v>
      </c>
      <c r="P28654">
        <f>IF(OR(M28654="",N28654=""),"",SUMIFS('Barang Keluar'!$E:$E,'Barang Keluar'!$A:$A,M28654,'Barang Keluar'!$C:$C,N28654))</f>
        <v>0</v>
      </c>
    </row>
    <row r="28655" spans="13:16">
      <c r="M28655" s="49">
        <f>IF($A$4+286&gt;$B$4,"",$A$4+286)</f>
        <v>46309</v>
      </c>
      <c r="N28655">
        <f>IF(M28655="","",'Master Barang'!A49)</f>
        <v>0</v>
      </c>
      <c r="O28655">
        <f>IF(N28655="","",'Master Barang'!B49)</f>
        <v>0</v>
      </c>
      <c r="P28655">
        <f>IF(OR(M28655="",N28655=""),"",SUMIFS('Barang Keluar'!$E:$E,'Barang Keluar'!$A:$A,M28655,'Barang Keluar'!$C:$C,N28655))</f>
        <v>0</v>
      </c>
    </row>
    <row r="28656" spans="13:16">
      <c r="M28656" s="49">
        <f>IF($A$4+286&gt;$B$4,"",$A$4+286)</f>
        <v>46309</v>
      </c>
      <c r="N28656">
        <f>IF(M28656="","",'Master Barang'!A50)</f>
        <v>0</v>
      </c>
      <c r="O28656">
        <f>IF(N28656="","",'Master Barang'!B50)</f>
        <v>0</v>
      </c>
      <c r="P28656">
        <f>IF(OR(M28656="",N28656=""),"",SUMIFS('Barang Keluar'!$E:$E,'Barang Keluar'!$A:$A,M28656,'Barang Keluar'!$C:$C,N28656))</f>
        <v>0</v>
      </c>
    </row>
    <row r="28657" spans="13:16">
      <c r="M28657" s="49">
        <f>IF($A$4+286&gt;$B$4,"",$A$4+286)</f>
        <v>46309</v>
      </c>
      <c r="N28657">
        <f>IF(M28657="","",'Master Barang'!A51)</f>
        <v>0</v>
      </c>
      <c r="O28657">
        <f>IF(N28657="","",'Master Barang'!B51)</f>
        <v>0</v>
      </c>
      <c r="P28657">
        <f>IF(OR(M28657="",N28657=""),"",SUMIFS('Barang Keluar'!$E:$E,'Barang Keluar'!$A:$A,M28657,'Barang Keluar'!$C:$C,N28657))</f>
        <v>0</v>
      </c>
    </row>
    <row r="28658" spans="13:16">
      <c r="M28658" s="49">
        <f>IF($A$4+286&gt;$B$4,"",$A$4+286)</f>
        <v>46309</v>
      </c>
      <c r="N28658">
        <f>IF(M28658="","",'Master Barang'!A52)</f>
        <v>0</v>
      </c>
      <c r="O28658">
        <f>IF(N28658="","",'Master Barang'!B52)</f>
        <v>0</v>
      </c>
      <c r="P28658">
        <f>IF(OR(M28658="",N28658=""),"",SUMIFS('Barang Keluar'!$E:$E,'Barang Keluar'!$A:$A,M28658,'Barang Keluar'!$C:$C,N28658))</f>
        <v>0</v>
      </c>
    </row>
    <row r="28659" spans="13:16">
      <c r="M28659" s="49">
        <f>IF($A$4+286&gt;$B$4,"",$A$4+286)</f>
        <v>46309</v>
      </c>
      <c r="N28659">
        <f>IF(M28659="","",'Master Barang'!A53)</f>
        <v>0</v>
      </c>
      <c r="O28659">
        <f>IF(N28659="","",'Master Barang'!B53)</f>
        <v>0</v>
      </c>
      <c r="P28659">
        <f>IF(OR(M28659="",N28659=""),"",SUMIFS('Barang Keluar'!$E:$E,'Barang Keluar'!$A:$A,M28659,'Barang Keluar'!$C:$C,N28659))</f>
        <v>0</v>
      </c>
    </row>
    <row r="28660" spans="13:16">
      <c r="M28660" s="49">
        <f>IF($A$4+286&gt;$B$4,"",$A$4+286)</f>
        <v>46309</v>
      </c>
      <c r="N28660">
        <f>IF(M28660="","",'Master Barang'!A54)</f>
        <v>0</v>
      </c>
      <c r="O28660">
        <f>IF(N28660="","",'Master Barang'!B54)</f>
        <v>0</v>
      </c>
      <c r="P28660">
        <f>IF(OR(M28660="",N28660=""),"",SUMIFS('Barang Keluar'!$E:$E,'Barang Keluar'!$A:$A,M28660,'Barang Keluar'!$C:$C,N28660))</f>
        <v>0</v>
      </c>
    </row>
    <row r="28661" spans="13:16">
      <c r="M28661" s="49">
        <f>IF($A$4+286&gt;$B$4,"",$A$4+286)</f>
        <v>46309</v>
      </c>
      <c r="N28661">
        <f>IF(M28661="","",'Master Barang'!A55)</f>
        <v>0</v>
      </c>
      <c r="O28661">
        <f>IF(N28661="","",'Master Barang'!B55)</f>
        <v>0</v>
      </c>
      <c r="P28661">
        <f>IF(OR(M28661="",N28661=""),"",SUMIFS('Barang Keluar'!$E:$E,'Barang Keluar'!$A:$A,M28661,'Barang Keluar'!$C:$C,N28661))</f>
        <v>0</v>
      </c>
    </row>
    <row r="28662" spans="13:16">
      <c r="M28662" s="49">
        <f>IF($A$4+286&gt;$B$4,"",$A$4+286)</f>
        <v>46309</v>
      </c>
      <c r="N28662">
        <f>IF(M28662="","",'Master Barang'!A56)</f>
        <v>0</v>
      </c>
      <c r="O28662">
        <f>IF(N28662="","",'Master Barang'!B56)</f>
        <v>0</v>
      </c>
      <c r="P28662">
        <f>IF(OR(M28662="",N28662=""),"",SUMIFS('Barang Keluar'!$E:$E,'Barang Keluar'!$A:$A,M28662,'Barang Keluar'!$C:$C,N28662))</f>
        <v>0</v>
      </c>
    </row>
    <row r="28663" spans="13:16">
      <c r="M28663" s="49">
        <f>IF($A$4+286&gt;$B$4,"",$A$4+286)</f>
        <v>46309</v>
      </c>
      <c r="N28663">
        <f>IF(M28663="","",'Master Barang'!A57)</f>
        <v>0</v>
      </c>
      <c r="O28663">
        <f>IF(N28663="","",'Master Barang'!B57)</f>
        <v>0</v>
      </c>
      <c r="P28663">
        <f>IF(OR(M28663="",N28663=""),"",SUMIFS('Barang Keluar'!$E:$E,'Barang Keluar'!$A:$A,M28663,'Barang Keluar'!$C:$C,N28663))</f>
        <v>0</v>
      </c>
    </row>
    <row r="28664" spans="13:16">
      <c r="M28664" s="49">
        <f>IF($A$4+286&gt;$B$4,"",$A$4+286)</f>
        <v>46309</v>
      </c>
      <c r="N28664">
        <f>IF(M28664="","",'Master Barang'!A58)</f>
        <v>0</v>
      </c>
      <c r="O28664">
        <f>IF(N28664="","",'Master Barang'!B58)</f>
        <v>0</v>
      </c>
      <c r="P28664">
        <f>IF(OR(M28664="",N28664=""),"",SUMIFS('Barang Keluar'!$E:$E,'Barang Keluar'!$A:$A,M28664,'Barang Keluar'!$C:$C,N28664))</f>
        <v>0</v>
      </c>
    </row>
    <row r="28665" spans="13:16">
      <c r="M28665" s="49">
        <f>IF($A$4+286&gt;$B$4,"",$A$4+286)</f>
        <v>46309</v>
      </c>
      <c r="N28665">
        <f>IF(M28665="","",'Master Barang'!A59)</f>
        <v>0</v>
      </c>
      <c r="O28665">
        <f>IF(N28665="","",'Master Barang'!B59)</f>
        <v>0</v>
      </c>
      <c r="P28665">
        <f>IF(OR(M28665="",N28665=""),"",SUMIFS('Barang Keluar'!$E:$E,'Barang Keluar'!$A:$A,M28665,'Barang Keluar'!$C:$C,N28665))</f>
        <v>0</v>
      </c>
    </row>
    <row r="28666" spans="13:16">
      <c r="M28666" s="49">
        <f>IF($A$4+286&gt;$B$4,"",$A$4+286)</f>
        <v>46309</v>
      </c>
      <c r="N28666">
        <f>IF(M28666="","",'Master Barang'!A60)</f>
        <v>0</v>
      </c>
      <c r="O28666">
        <f>IF(N28666="","",'Master Barang'!B60)</f>
        <v>0</v>
      </c>
      <c r="P28666">
        <f>IF(OR(M28666="",N28666=""),"",SUMIFS('Barang Keluar'!$E:$E,'Barang Keluar'!$A:$A,M28666,'Barang Keluar'!$C:$C,N28666))</f>
        <v>0</v>
      </c>
    </row>
    <row r="28667" spans="13:16">
      <c r="M28667" s="49">
        <f>IF($A$4+286&gt;$B$4,"",$A$4+286)</f>
        <v>46309</v>
      </c>
      <c r="N28667">
        <f>IF(M28667="","",'Master Barang'!A61)</f>
        <v>0</v>
      </c>
      <c r="O28667">
        <f>IF(N28667="","",'Master Barang'!B61)</f>
        <v>0</v>
      </c>
      <c r="P28667">
        <f>IF(OR(M28667="",N28667=""),"",SUMIFS('Barang Keluar'!$E:$E,'Barang Keluar'!$A:$A,M28667,'Barang Keluar'!$C:$C,N28667))</f>
        <v>0</v>
      </c>
    </row>
    <row r="28668" spans="13:16">
      <c r="M28668" s="49">
        <f>IF($A$4+286&gt;$B$4,"",$A$4+286)</f>
        <v>46309</v>
      </c>
      <c r="N28668">
        <f>IF(M28668="","",'Master Barang'!A62)</f>
        <v>0</v>
      </c>
      <c r="O28668">
        <f>IF(N28668="","",'Master Barang'!B62)</f>
        <v>0</v>
      </c>
      <c r="P28668">
        <f>IF(OR(M28668="",N28668=""),"",SUMIFS('Barang Keluar'!$E:$E,'Barang Keluar'!$A:$A,M28668,'Barang Keluar'!$C:$C,N28668))</f>
        <v>0</v>
      </c>
    </row>
    <row r="28669" spans="13:16">
      <c r="M28669" s="49">
        <f>IF($A$4+286&gt;$B$4,"",$A$4+286)</f>
        <v>46309</v>
      </c>
      <c r="N28669">
        <f>IF(M28669="","",'Master Barang'!A63)</f>
        <v>0</v>
      </c>
      <c r="O28669">
        <f>IF(N28669="","",'Master Barang'!B63)</f>
        <v>0</v>
      </c>
      <c r="P28669">
        <f>IF(OR(M28669="",N28669=""),"",SUMIFS('Barang Keluar'!$E:$E,'Barang Keluar'!$A:$A,M28669,'Barang Keluar'!$C:$C,N28669))</f>
        <v>0</v>
      </c>
    </row>
    <row r="28670" spans="13:16">
      <c r="M28670" s="49">
        <f>IF($A$4+286&gt;$B$4,"",$A$4+286)</f>
        <v>46309</v>
      </c>
      <c r="N28670">
        <f>IF(M28670="","",'Master Barang'!A64)</f>
        <v>0</v>
      </c>
      <c r="O28670">
        <f>IF(N28670="","",'Master Barang'!B64)</f>
        <v>0</v>
      </c>
      <c r="P28670">
        <f>IF(OR(M28670="",N28670=""),"",SUMIFS('Barang Keluar'!$E:$E,'Barang Keluar'!$A:$A,M28670,'Barang Keluar'!$C:$C,N28670))</f>
        <v>0</v>
      </c>
    </row>
    <row r="28671" spans="13:16">
      <c r="M28671" s="49">
        <f>IF($A$4+286&gt;$B$4,"",$A$4+286)</f>
        <v>46309</v>
      </c>
      <c r="N28671">
        <f>IF(M28671="","",'Master Barang'!A65)</f>
        <v>0</v>
      </c>
      <c r="O28671">
        <f>IF(N28671="","",'Master Barang'!B65)</f>
        <v>0</v>
      </c>
      <c r="P28671">
        <f>IF(OR(M28671="",N28671=""),"",SUMIFS('Barang Keluar'!$E:$E,'Barang Keluar'!$A:$A,M28671,'Barang Keluar'!$C:$C,N28671))</f>
        <v>0</v>
      </c>
    </row>
    <row r="28672" spans="13:16">
      <c r="M28672" s="49">
        <f>IF($A$4+286&gt;$B$4,"",$A$4+286)</f>
        <v>46309</v>
      </c>
      <c r="N28672">
        <f>IF(M28672="","",'Master Barang'!A66)</f>
        <v>0</v>
      </c>
      <c r="O28672">
        <f>IF(N28672="","",'Master Barang'!B66)</f>
        <v>0</v>
      </c>
      <c r="P28672">
        <f>IF(OR(M28672="",N28672=""),"",SUMIFS('Barang Keluar'!$E:$E,'Barang Keluar'!$A:$A,M28672,'Barang Keluar'!$C:$C,N28672))</f>
        <v>0</v>
      </c>
    </row>
    <row r="28673" spans="13:16">
      <c r="M28673" s="49">
        <f>IF($A$4+286&gt;$B$4,"",$A$4+286)</f>
        <v>46309</v>
      </c>
      <c r="N28673">
        <f>IF(M28673="","",'Master Barang'!A67)</f>
        <v>0</v>
      </c>
      <c r="O28673">
        <f>IF(N28673="","",'Master Barang'!B67)</f>
        <v>0</v>
      </c>
      <c r="P28673">
        <f>IF(OR(M28673="",N28673=""),"",SUMIFS('Barang Keluar'!$E:$E,'Barang Keluar'!$A:$A,M28673,'Barang Keluar'!$C:$C,N28673))</f>
        <v>0</v>
      </c>
    </row>
    <row r="28674" spans="13:16">
      <c r="M28674" s="49">
        <f>IF($A$4+286&gt;$B$4,"",$A$4+286)</f>
        <v>46309</v>
      </c>
      <c r="N28674">
        <f>IF(M28674="","",'Master Barang'!A68)</f>
        <v>0</v>
      </c>
      <c r="O28674">
        <f>IF(N28674="","",'Master Barang'!B68)</f>
        <v>0</v>
      </c>
      <c r="P28674">
        <f>IF(OR(M28674="",N28674=""),"",SUMIFS('Barang Keluar'!$E:$E,'Barang Keluar'!$A:$A,M28674,'Barang Keluar'!$C:$C,N28674))</f>
        <v>0</v>
      </c>
    </row>
    <row r="28675" spans="13:16">
      <c r="M28675" s="49">
        <f>IF($A$4+286&gt;$B$4,"",$A$4+286)</f>
        <v>46309</v>
      </c>
      <c r="N28675">
        <f>IF(M28675="","",'Master Barang'!A69)</f>
        <v>0</v>
      </c>
      <c r="O28675">
        <f>IF(N28675="","",'Master Barang'!B69)</f>
        <v>0</v>
      </c>
      <c r="P28675">
        <f>IF(OR(M28675="",N28675=""),"",SUMIFS('Barang Keluar'!$E:$E,'Barang Keluar'!$A:$A,M28675,'Barang Keluar'!$C:$C,N28675))</f>
        <v>0</v>
      </c>
    </row>
    <row r="28676" spans="13:16">
      <c r="M28676" s="49">
        <f>IF($A$4+286&gt;$B$4,"",$A$4+286)</f>
        <v>46309</v>
      </c>
      <c r="N28676">
        <f>IF(M28676="","",'Master Barang'!A70)</f>
        <v>0</v>
      </c>
      <c r="O28676">
        <f>IF(N28676="","",'Master Barang'!B70)</f>
        <v>0</v>
      </c>
      <c r="P28676">
        <f>IF(OR(M28676="",N28676=""),"",SUMIFS('Barang Keluar'!$E:$E,'Barang Keluar'!$A:$A,M28676,'Barang Keluar'!$C:$C,N28676))</f>
        <v>0</v>
      </c>
    </row>
    <row r="28677" spans="13:16">
      <c r="M28677" s="49">
        <f>IF($A$4+286&gt;$B$4,"",$A$4+286)</f>
        <v>46309</v>
      </c>
      <c r="N28677">
        <f>IF(M28677="","",'Master Barang'!A71)</f>
        <v>0</v>
      </c>
      <c r="O28677">
        <f>IF(N28677="","",'Master Barang'!B71)</f>
        <v>0</v>
      </c>
      <c r="P28677">
        <f>IF(OR(M28677="",N28677=""),"",SUMIFS('Barang Keluar'!$E:$E,'Barang Keluar'!$A:$A,M28677,'Barang Keluar'!$C:$C,N28677))</f>
        <v>0</v>
      </c>
    </row>
    <row r="28678" spans="13:16">
      <c r="M28678" s="49">
        <f>IF($A$4+286&gt;$B$4,"",$A$4+286)</f>
        <v>46309</v>
      </c>
      <c r="N28678">
        <f>IF(M28678="","",'Master Barang'!A72)</f>
        <v>0</v>
      </c>
      <c r="O28678">
        <f>IF(N28678="","",'Master Barang'!B72)</f>
        <v>0</v>
      </c>
      <c r="P28678">
        <f>IF(OR(M28678="",N28678=""),"",SUMIFS('Barang Keluar'!$E:$E,'Barang Keluar'!$A:$A,M28678,'Barang Keluar'!$C:$C,N28678))</f>
        <v>0</v>
      </c>
    </row>
    <row r="28679" spans="13:16">
      <c r="M28679" s="49">
        <f>IF($A$4+286&gt;$B$4,"",$A$4+286)</f>
        <v>46309</v>
      </c>
      <c r="N28679">
        <f>IF(M28679="","",'Master Barang'!A73)</f>
        <v>0</v>
      </c>
      <c r="O28679">
        <f>IF(N28679="","",'Master Barang'!B73)</f>
        <v>0</v>
      </c>
      <c r="P28679">
        <f>IF(OR(M28679="",N28679=""),"",SUMIFS('Barang Keluar'!$E:$E,'Barang Keluar'!$A:$A,M28679,'Barang Keluar'!$C:$C,N28679))</f>
        <v>0</v>
      </c>
    </row>
    <row r="28680" spans="13:16">
      <c r="M28680" s="49">
        <f>IF($A$4+286&gt;$B$4,"",$A$4+286)</f>
        <v>46309</v>
      </c>
      <c r="N28680">
        <f>IF(M28680="","",'Master Barang'!A74)</f>
        <v>0</v>
      </c>
      <c r="O28680">
        <f>IF(N28680="","",'Master Barang'!B74)</f>
        <v>0</v>
      </c>
      <c r="P28680">
        <f>IF(OR(M28680="",N28680=""),"",SUMIFS('Barang Keluar'!$E:$E,'Barang Keluar'!$A:$A,M28680,'Barang Keluar'!$C:$C,N28680))</f>
        <v>0</v>
      </c>
    </row>
    <row r="28681" spans="13:16">
      <c r="M28681" s="49">
        <f>IF($A$4+286&gt;$B$4,"",$A$4+286)</f>
        <v>46309</v>
      </c>
      <c r="N28681">
        <f>IF(M28681="","",'Master Barang'!A75)</f>
        <v>0</v>
      </c>
      <c r="O28681">
        <f>IF(N28681="","",'Master Barang'!B75)</f>
        <v>0</v>
      </c>
      <c r="P28681">
        <f>IF(OR(M28681="",N28681=""),"",SUMIFS('Barang Keluar'!$E:$E,'Barang Keluar'!$A:$A,M28681,'Barang Keluar'!$C:$C,N28681))</f>
        <v>0</v>
      </c>
    </row>
    <row r="28682" spans="13:16">
      <c r="M28682" s="49">
        <f>IF($A$4+286&gt;$B$4,"",$A$4+286)</f>
        <v>46309</v>
      </c>
      <c r="N28682">
        <f>IF(M28682="","",'Master Barang'!A76)</f>
        <v>0</v>
      </c>
      <c r="O28682">
        <f>IF(N28682="","",'Master Barang'!B76)</f>
        <v>0</v>
      </c>
      <c r="P28682">
        <f>IF(OR(M28682="",N28682=""),"",SUMIFS('Barang Keluar'!$E:$E,'Barang Keluar'!$A:$A,M28682,'Barang Keluar'!$C:$C,N28682))</f>
        <v>0</v>
      </c>
    </row>
    <row r="28683" spans="13:16">
      <c r="M28683" s="49">
        <f>IF($A$4+286&gt;$B$4,"",$A$4+286)</f>
        <v>46309</v>
      </c>
      <c r="N28683">
        <f>IF(M28683="","",'Master Barang'!A77)</f>
        <v>0</v>
      </c>
      <c r="O28683">
        <f>IF(N28683="","",'Master Barang'!B77)</f>
        <v>0</v>
      </c>
      <c r="P28683">
        <f>IF(OR(M28683="",N28683=""),"",SUMIFS('Barang Keluar'!$E:$E,'Barang Keluar'!$A:$A,M28683,'Barang Keluar'!$C:$C,N28683))</f>
        <v>0</v>
      </c>
    </row>
    <row r="28684" spans="13:16">
      <c r="M28684" s="49">
        <f>IF($A$4+286&gt;$B$4,"",$A$4+286)</f>
        <v>46309</v>
      </c>
      <c r="N28684">
        <f>IF(M28684="","",'Master Barang'!A78)</f>
        <v>0</v>
      </c>
      <c r="O28684">
        <f>IF(N28684="","",'Master Barang'!B78)</f>
        <v>0</v>
      </c>
      <c r="P28684">
        <f>IF(OR(M28684="",N28684=""),"",SUMIFS('Barang Keluar'!$E:$E,'Barang Keluar'!$A:$A,M28684,'Barang Keluar'!$C:$C,N28684))</f>
        <v>0</v>
      </c>
    </row>
    <row r="28685" spans="13:16">
      <c r="M28685" s="49">
        <f>IF($A$4+286&gt;$B$4,"",$A$4+286)</f>
        <v>46309</v>
      </c>
      <c r="N28685">
        <f>IF(M28685="","",'Master Barang'!A79)</f>
        <v>0</v>
      </c>
      <c r="O28685">
        <f>IF(N28685="","",'Master Barang'!B79)</f>
        <v>0</v>
      </c>
      <c r="P28685">
        <f>IF(OR(M28685="",N28685=""),"",SUMIFS('Barang Keluar'!$E:$E,'Barang Keluar'!$A:$A,M28685,'Barang Keluar'!$C:$C,N28685))</f>
        <v>0</v>
      </c>
    </row>
    <row r="28686" spans="13:16">
      <c r="M28686" s="49">
        <f>IF($A$4+286&gt;$B$4,"",$A$4+286)</f>
        <v>46309</v>
      </c>
      <c r="N28686">
        <f>IF(M28686="","",'Master Barang'!A80)</f>
        <v>0</v>
      </c>
      <c r="O28686">
        <f>IF(N28686="","",'Master Barang'!B80)</f>
        <v>0</v>
      </c>
      <c r="P28686">
        <f>IF(OR(M28686="",N28686=""),"",SUMIFS('Barang Keluar'!$E:$E,'Barang Keluar'!$A:$A,M28686,'Barang Keluar'!$C:$C,N28686))</f>
        <v>0</v>
      </c>
    </row>
    <row r="28687" spans="13:16">
      <c r="M28687" s="49">
        <f>IF($A$4+286&gt;$B$4,"",$A$4+286)</f>
        <v>46309</v>
      </c>
      <c r="N28687">
        <f>IF(M28687="","",'Master Barang'!A81)</f>
        <v>0</v>
      </c>
      <c r="O28687">
        <f>IF(N28687="","",'Master Barang'!B81)</f>
        <v>0</v>
      </c>
      <c r="P28687">
        <f>IF(OR(M28687="",N28687=""),"",SUMIFS('Barang Keluar'!$E:$E,'Barang Keluar'!$A:$A,M28687,'Barang Keluar'!$C:$C,N28687))</f>
        <v>0</v>
      </c>
    </row>
    <row r="28688" spans="13:16">
      <c r="M28688" s="49">
        <f>IF($A$4+286&gt;$B$4,"",$A$4+286)</f>
        <v>46309</v>
      </c>
      <c r="N28688">
        <f>IF(M28688="","",'Master Barang'!A82)</f>
        <v>0</v>
      </c>
      <c r="O28688">
        <f>IF(N28688="","",'Master Barang'!B82)</f>
        <v>0</v>
      </c>
      <c r="P28688">
        <f>IF(OR(M28688="",N28688=""),"",SUMIFS('Barang Keluar'!$E:$E,'Barang Keluar'!$A:$A,M28688,'Barang Keluar'!$C:$C,N28688))</f>
        <v>0</v>
      </c>
    </row>
    <row r="28689" spans="13:16">
      <c r="M28689" s="49">
        <f>IF($A$4+286&gt;$B$4,"",$A$4+286)</f>
        <v>46309</v>
      </c>
      <c r="N28689">
        <f>IF(M28689="","",'Master Barang'!A83)</f>
        <v>0</v>
      </c>
      <c r="O28689">
        <f>IF(N28689="","",'Master Barang'!B83)</f>
        <v>0</v>
      </c>
      <c r="P28689">
        <f>IF(OR(M28689="",N28689=""),"",SUMIFS('Barang Keluar'!$E:$E,'Barang Keluar'!$A:$A,M28689,'Barang Keluar'!$C:$C,N28689))</f>
        <v>0</v>
      </c>
    </row>
    <row r="28690" spans="13:16">
      <c r="M28690" s="49">
        <f>IF($A$4+286&gt;$B$4,"",$A$4+286)</f>
        <v>46309</v>
      </c>
      <c r="N28690">
        <f>IF(M28690="","",'Master Barang'!A84)</f>
        <v>0</v>
      </c>
      <c r="O28690">
        <f>IF(N28690="","",'Master Barang'!B84)</f>
        <v>0</v>
      </c>
      <c r="P28690">
        <f>IF(OR(M28690="",N28690=""),"",SUMIFS('Barang Keluar'!$E:$E,'Barang Keluar'!$A:$A,M28690,'Barang Keluar'!$C:$C,N28690))</f>
        <v>0</v>
      </c>
    </row>
    <row r="28691" spans="13:16">
      <c r="M28691" s="49">
        <f>IF($A$4+286&gt;$B$4,"",$A$4+286)</f>
        <v>46309</v>
      </c>
      <c r="N28691">
        <f>IF(M28691="","",'Master Barang'!A85)</f>
        <v>0</v>
      </c>
      <c r="O28691">
        <f>IF(N28691="","",'Master Barang'!B85)</f>
        <v>0</v>
      </c>
      <c r="P28691">
        <f>IF(OR(M28691="",N28691=""),"",SUMIFS('Barang Keluar'!$E:$E,'Barang Keluar'!$A:$A,M28691,'Barang Keluar'!$C:$C,N28691))</f>
        <v>0</v>
      </c>
    </row>
    <row r="28692" spans="13:16">
      <c r="M28692" s="49">
        <f>IF($A$4+286&gt;$B$4,"",$A$4+286)</f>
        <v>46309</v>
      </c>
      <c r="N28692">
        <f>IF(M28692="","",'Master Barang'!A86)</f>
        <v>0</v>
      </c>
      <c r="O28692">
        <f>IF(N28692="","",'Master Barang'!B86)</f>
        <v>0</v>
      </c>
      <c r="P28692">
        <f>IF(OR(M28692="",N28692=""),"",SUMIFS('Barang Keluar'!$E:$E,'Barang Keluar'!$A:$A,M28692,'Barang Keluar'!$C:$C,N28692))</f>
        <v>0</v>
      </c>
    </row>
    <row r="28693" spans="13:16">
      <c r="M28693" s="49">
        <f>IF($A$4+286&gt;$B$4,"",$A$4+286)</f>
        <v>46309</v>
      </c>
      <c r="N28693">
        <f>IF(M28693="","",'Master Barang'!A87)</f>
        <v>0</v>
      </c>
      <c r="O28693">
        <f>IF(N28693="","",'Master Barang'!B87)</f>
        <v>0</v>
      </c>
      <c r="P28693">
        <f>IF(OR(M28693="",N28693=""),"",SUMIFS('Barang Keluar'!$E:$E,'Barang Keluar'!$A:$A,M28693,'Barang Keluar'!$C:$C,N28693))</f>
        <v>0</v>
      </c>
    </row>
    <row r="28694" spans="13:16">
      <c r="M28694" s="49">
        <f>IF($A$4+286&gt;$B$4,"",$A$4+286)</f>
        <v>46309</v>
      </c>
      <c r="N28694">
        <f>IF(M28694="","",'Master Barang'!A88)</f>
        <v>0</v>
      </c>
      <c r="O28694">
        <f>IF(N28694="","",'Master Barang'!B88)</f>
        <v>0</v>
      </c>
      <c r="P28694">
        <f>IF(OR(M28694="",N28694=""),"",SUMIFS('Barang Keluar'!$E:$E,'Barang Keluar'!$A:$A,M28694,'Barang Keluar'!$C:$C,N28694))</f>
        <v>0</v>
      </c>
    </row>
    <row r="28695" spans="13:16">
      <c r="M28695" s="49">
        <f>IF($A$4+286&gt;$B$4,"",$A$4+286)</f>
        <v>46309</v>
      </c>
      <c r="N28695">
        <f>IF(M28695="","",'Master Barang'!A89)</f>
        <v>0</v>
      </c>
      <c r="O28695">
        <f>IF(N28695="","",'Master Barang'!B89)</f>
        <v>0</v>
      </c>
      <c r="P28695">
        <f>IF(OR(M28695="",N28695=""),"",SUMIFS('Barang Keluar'!$E:$E,'Barang Keluar'!$A:$A,M28695,'Barang Keluar'!$C:$C,N28695))</f>
        <v>0</v>
      </c>
    </row>
    <row r="28696" spans="13:16">
      <c r="M28696" s="49">
        <f>IF($A$4+286&gt;$B$4,"",$A$4+286)</f>
        <v>46309</v>
      </c>
      <c r="N28696">
        <f>IF(M28696="","",'Master Barang'!A90)</f>
        <v>0</v>
      </c>
      <c r="O28696">
        <f>IF(N28696="","",'Master Barang'!B90)</f>
        <v>0</v>
      </c>
      <c r="P28696">
        <f>IF(OR(M28696="",N28696=""),"",SUMIFS('Barang Keluar'!$E:$E,'Barang Keluar'!$A:$A,M28696,'Barang Keluar'!$C:$C,N28696))</f>
        <v>0</v>
      </c>
    </row>
    <row r="28697" spans="13:16">
      <c r="M28697" s="49">
        <f>IF($A$4+286&gt;$B$4,"",$A$4+286)</f>
        <v>46309</v>
      </c>
      <c r="N28697">
        <f>IF(M28697="","",'Master Barang'!A91)</f>
        <v>0</v>
      </c>
      <c r="O28697">
        <f>IF(N28697="","",'Master Barang'!B91)</f>
        <v>0</v>
      </c>
      <c r="P28697">
        <f>IF(OR(M28697="",N28697=""),"",SUMIFS('Barang Keluar'!$E:$E,'Barang Keluar'!$A:$A,M28697,'Barang Keluar'!$C:$C,N28697))</f>
        <v>0</v>
      </c>
    </row>
    <row r="28698" spans="13:16">
      <c r="M28698" s="49">
        <f>IF($A$4+286&gt;$B$4,"",$A$4+286)</f>
        <v>46309</v>
      </c>
      <c r="N28698">
        <f>IF(M28698="","",'Master Barang'!A92)</f>
        <v>0</v>
      </c>
      <c r="O28698">
        <f>IF(N28698="","",'Master Barang'!B92)</f>
        <v>0</v>
      </c>
      <c r="P28698">
        <f>IF(OR(M28698="",N28698=""),"",SUMIFS('Barang Keluar'!$E:$E,'Barang Keluar'!$A:$A,M28698,'Barang Keluar'!$C:$C,N28698))</f>
        <v>0</v>
      </c>
    </row>
    <row r="28699" spans="13:16">
      <c r="M28699" s="49">
        <f>IF($A$4+286&gt;$B$4,"",$A$4+286)</f>
        <v>46309</v>
      </c>
      <c r="N28699">
        <f>IF(M28699="","",'Master Barang'!A93)</f>
        <v>0</v>
      </c>
      <c r="O28699">
        <f>IF(N28699="","",'Master Barang'!B93)</f>
        <v>0</v>
      </c>
      <c r="P28699">
        <f>IF(OR(M28699="",N28699=""),"",SUMIFS('Barang Keluar'!$E:$E,'Barang Keluar'!$A:$A,M28699,'Barang Keluar'!$C:$C,N28699))</f>
        <v>0</v>
      </c>
    </row>
    <row r="28700" spans="13:16">
      <c r="M28700" s="49">
        <f>IF($A$4+286&gt;$B$4,"",$A$4+286)</f>
        <v>46309</v>
      </c>
      <c r="N28700">
        <f>IF(M28700="","",'Master Barang'!A94)</f>
        <v>0</v>
      </c>
      <c r="O28700">
        <f>IF(N28700="","",'Master Barang'!B94)</f>
        <v>0</v>
      </c>
      <c r="P28700">
        <f>IF(OR(M28700="",N28700=""),"",SUMIFS('Barang Keluar'!$E:$E,'Barang Keluar'!$A:$A,M28700,'Barang Keluar'!$C:$C,N28700))</f>
        <v>0</v>
      </c>
    </row>
    <row r="28701" spans="13:16">
      <c r="M28701" s="49">
        <f>IF($A$4+286&gt;$B$4,"",$A$4+286)</f>
        <v>46309</v>
      </c>
      <c r="N28701">
        <f>IF(M28701="","",'Master Barang'!A95)</f>
        <v>0</v>
      </c>
      <c r="O28701">
        <f>IF(N28701="","",'Master Barang'!B95)</f>
        <v>0</v>
      </c>
      <c r="P28701">
        <f>IF(OR(M28701="",N28701=""),"",SUMIFS('Barang Keluar'!$E:$E,'Barang Keluar'!$A:$A,M28701,'Barang Keluar'!$C:$C,N28701))</f>
        <v>0</v>
      </c>
    </row>
    <row r="28702" spans="13:16">
      <c r="M28702" s="49">
        <f>IF($A$4+286&gt;$B$4,"",$A$4+286)</f>
        <v>46309</v>
      </c>
      <c r="N28702">
        <f>IF(M28702="","",'Master Barang'!A96)</f>
        <v>0</v>
      </c>
      <c r="O28702">
        <f>IF(N28702="","",'Master Barang'!B96)</f>
        <v>0</v>
      </c>
      <c r="P28702">
        <f>IF(OR(M28702="",N28702=""),"",SUMIFS('Barang Keluar'!$E:$E,'Barang Keluar'!$A:$A,M28702,'Barang Keluar'!$C:$C,N28702))</f>
        <v>0</v>
      </c>
    </row>
    <row r="28703" spans="13:16">
      <c r="M28703" s="49">
        <f>IF($A$4+286&gt;$B$4,"",$A$4+286)</f>
        <v>46309</v>
      </c>
      <c r="N28703">
        <f>IF(M28703="","",'Master Barang'!A97)</f>
        <v>0</v>
      </c>
      <c r="O28703">
        <f>IF(N28703="","",'Master Barang'!B97)</f>
        <v>0</v>
      </c>
      <c r="P28703">
        <f>IF(OR(M28703="",N28703=""),"",SUMIFS('Barang Keluar'!$E:$E,'Barang Keluar'!$A:$A,M28703,'Barang Keluar'!$C:$C,N28703))</f>
        <v>0</v>
      </c>
    </row>
    <row r="28704" spans="13:16">
      <c r="M28704" s="49">
        <f>IF($A$4+286&gt;$B$4,"",$A$4+286)</f>
        <v>46309</v>
      </c>
      <c r="N28704">
        <f>IF(M28704="","",'Master Barang'!A98)</f>
        <v>0</v>
      </c>
      <c r="O28704">
        <f>IF(N28704="","",'Master Barang'!B98)</f>
        <v>0</v>
      </c>
      <c r="P28704">
        <f>IF(OR(M28704="",N28704=""),"",SUMIFS('Barang Keluar'!$E:$E,'Barang Keluar'!$A:$A,M28704,'Barang Keluar'!$C:$C,N28704))</f>
        <v>0</v>
      </c>
    </row>
    <row r="28705" spans="13:16">
      <c r="M28705" s="49">
        <f>IF($A$4+286&gt;$B$4,"",$A$4+286)</f>
        <v>46309</v>
      </c>
      <c r="N28705">
        <f>IF(M28705="","",'Master Barang'!A99)</f>
        <v>0</v>
      </c>
      <c r="O28705">
        <f>IF(N28705="","",'Master Barang'!B99)</f>
        <v>0</v>
      </c>
      <c r="P28705">
        <f>IF(OR(M28705="",N28705=""),"",SUMIFS('Barang Keluar'!$E:$E,'Barang Keluar'!$A:$A,M28705,'Barang Keluar'!$C:$C,N28705))</f>
        <v>0</v>
      </c>
    </row>
    <row r="28706" spans="13:16">
      <c r="M28706" s="49">
        <f>IF($A$4+286&gt;$B$4,"",$A$4+286)</f>
        <v>46309</v>
      </c>
      <c r="N28706">
        <f>IF(M28706="","",'Master Barang'!A100)</f>
        <v>0</v>
      </c>
      <c r="O28706">
        <f>IF(N28706="","",'Master Barang'!B100)</f>
        <v>0</v>
      </c>
      <c r="P28706">
        <f>IF(OR(M28706="",N28706=""),"",SUMIFS('Barang Keluar'!$E:$E,'Barang Keluar'!$A:$A,M28706,'Barang Keluar'!$C:$C,N28706))</f>
        <v>0</v>
      </c>
    </row>
    <row r="28707" spans="13:16">
      <c r="M28707" s="49">
        <f>IF($A$4+286&gt;$B$4,"",$A$4+286)</f>
        <v>46309</v>
      </c>
      <c r="N28707">
        <f>IF(M28707="","",'Master Barang'!A101)</f>
        <v>0</v>
      </c>
      <c r="O28707">
        <f>IF(N28707="","",'Master Barang'!B101)</f>
        <v>0</v>
      </c>
      <c r="P28707">
        <f>IF(OR(M28707="",N28707=""),"",SUMIFS('Barang Keluar'!$E:$E,'Barang Keluar'!$A:$A,M28707,'Barang Keluar'!$C:$C,N28707))</f>
        <v>0</v>
      </c>
    </row>
    <row r="28708" spans="13:16">
      <c r="M28708" s="49">
        <f>IF($A$4+287&gt;$B$4,"",$A$4+287)</f>
        <v>46310</v>
      </c>
      <c r="N28708" t="str">
        <f>IF(M28708="","",'Master Barang'!A2)</f>
        <v>PRL-001</v>
      </c>
      <c r="O28708" t="str">
        <f>IF(N28708="","",'Master Barang'!B2)</f>
        <v>natura desinfectant food grade 5l</v>
      </c>
      <c r="P28708">
        <f>IF(OR(M28708="",N28708=""),"",SUMIFS('Barang Keluar'!$E:$E,'Barang Keluar'!$A:$A,M28708,'Barang Keluar'!$C:$C,N28708))</f>
        <v>0</v>
      </c>
    </row>
    <row r="28709" spans="13:16">
      <c r="M28709" s="49">
        <f>IF($A$4+287&gt;$B$4,"",$A$4+287)</f>
        <v>46310</v>
      </c>
      <c r="N28709" t="str">
        <f>IF(M28709="","",'Master Barang'!A3)</f>
        <v>PRL-002</v>
      </c>
      <c r="O28709" t="str">
        <f>IF(N28709="","",'Master Barang'!B3)</f>
        <v>sunlight cairan pencuci piring 5l</v>
      </c>
      <c r="P28709">
        <f>IF(OR(M28709="",N28709=""),"",SUMIFS('Barang Keluar'!$E:$E,'Barang Keluar'!$A:$A,M28709,'Barang Keluar'!$C:$C,N28709))</f>
        <v>0</v>
      </c>
    </row>
    <row r="28710" spans="13:16">
      <c r="M28710" s="49">
        <f>IF($A$4+287&gt;$B$4,"",$A$4+287)</f>
        <v>46310</v>
      </c>
      <c r="N28710" t="str">
        <f>IF(M28710="","",'Master Barang'!A4)</f>
        <v>PRL-003</v>
      </c>
      <c r="O28710" t="str">
        <f>IF(N28710="","",'Master Barang'!B4)</f>
        <v>oixs cleaner 1l</v>
      </c>
      <c r="P28710">
        <f>IF(OR(M28710="",N28710=""),"",SUMIFS('Barang Keluar'!$E:$E,'Barang Keluar'!$A:$A,M28710,'Barang Keluar'!$C:$C,N28710))</f>
        <v>0</v>
      </c>
    </row>
    <row r="28711" spans="13:16">
      <c r="M28711" s="49">
        <f>IF($A$4+287&gt;$B$4,"",$A$4+287)</f>
        <v>46310</v>
      </c>
      <c r="N28711" t="str">
        <f>IF(M28711="","",'Master Barang'!A5)</f>
        <v>PRL-004</v>
      </c>
      <c r="O28711" t="str">
        <f>IF(N28711="","",'Master Barang'!B5)</f>
        <v>be clean tissue serbaguna</v>
      </c>
      <c r="P28711">
        <f>IF(OR(M28711="",N28711=""),"",SUMIFS('Barang Keluar'!$E:$E,'Barang Keluar'!$A:$A,M28711,'Barang Keluar'!$C:$C,N28711))</f>
        <v>0</v>
      </c>
    </row>
    <row r="28712" spans="13:16">
      <c r="M28712" s="49">
        <f>IF($A$4+287&gt;$B$4,"",$A$4+287)</f>
        <v>46310</v>
      </c>
      <c r="N28712" t="str">
        <f>IF(M28712="","",'Master Barang'!A6)</f>
        <v>PRL-005</v>
      </c>
      <c r="O28712" t="str">
        <f>IF(N28712="","",'Master Barang'!B6)</f>
        <v>spons cuci hijau</v>
      </c>
      <c r="P28712">
        <f>IF(OR(M28712="",N28712=""),"",SUMIFS('Barang Keluar'!$E:$E,'Barang Keluar'!$A:$A,M28712,'Barang Keluar'!$C:$C,N28712))</f>
        <v>0</v>
      </c>
    </row>
    <row r="28713" spans="13:16">
      <c r="M28713" s="49">
        <f>IF($A$4+287&gt;$B$4,"",$A$4+287)</f>
        <v>46310</v>
      </c>
      <c r="N28713" t="str">
        <f>IF(M28713="","",'Master Barang'!A7)</f>
        <v>PRL-006</v>
      </c>
      <c r="O28713" t="str">
        <f>IF(N28713="","",'Master Barang'!B7)</f>
        <v>sabut cuci stainless</v>
      </c>
      <c r="P28713">
        <f>IF(OR(M28713="",N28713=""),"",SUMIFS('Barang Keluar'!$E:$E,'Barang Keluar'!$A:$A,M28713,'Barang Keluar'!$C:$C,N28713))</f>
        <v>0</v>
      </c>
    </row>
    <row r="28714" spans="13:16">
      <c r="M28714" s="49">
        <f>IF($A$4+287&gt;$B$4,"",$A$4+287)</f>
        <v>46310</v>
      </c>
      <c r="N28714" t="str">
        <f>IF(M28714="","",'Master Barang'!A8)</f>
        <v>PRL-007</v>
      </c>
      <c r="O28714" t="str">
        <f>IF(N28714="","",'Master Barang'!B8)</f>
        <v>plastik kresek besar merah 50pc</v>
      </c>
      <c r="P28714">
        <f>IF(OR(M28714="",N28714=""),"",SUMIFS('Barang Keluar'!$E:$E,'Barang Keluar'!$A:$A,M28714,'Barang Keluar'!$C:$C,N28714))</f>
        <v>0</v>
      </c>
    </row>
    <row r="28715" spans="13:16">
      <c r="M28715" s="49">
        <f>IF($A$4+287&gt;$B$4,"",$A$4+287)</f>
        <v>46310</v>
      </c>
      <c r="N28715" t="str">
        <f>IF(M28715="","",'Master Barang'!A9)</f>
        <v>PRL-008</v>
      </c>
      <c r="O28715" t="str">
        <f>IF(N28715="","",'Master Barang'!B9)</f>
        <v>lap besar</v>
      </c>
      <c r="P28715">
        <f>IF(OR(M28715="",N28715=""),"",SUMIFS('Barang Keluar'!$E:$E,'Barang Keluar'!$A:$A,M28715,'Barang Keluar'!$C:$C,N28715))</f>
        <v>0</v>
      </c>
    </row>
    <row r="28716" spans="13:16">
      <c r="M28716" s="49">
        <f>IF($A$4+287&gt;$B$4,"",$A$4+287)</f>
        <v>46310</v>
      </c>
      <c r="N28716" t="str">
        <f>IF(M28716="","",'Master Barang'!A10)</f>
        <v>PRL-009</v>
      </c>
      <c r="O28716" t="str">
        <f>IF(N28716="","",'Master Barang'!B10)</f>
        <v>lap microfiber</v>
      </c>
      <c r="P28716">
        <f>IF(OR(M28716="",N28716=""),"",SUMIFS('Barang Keluar'!$E:$E,'Barang Keluar'!$A:$A,M28716,'Barang Keluar'!$C:$C,N28716))</f>
        <v>0</v>
      </c>
    </row>
    <row r="28717" spans="13:16">
      <c r="M28717" s="49">
        <f>IF($A$4+287&gt;$B$4,"",$A$4+287)</f>
        <v>46310</v>
      </c>
      <c r="N28717" t="str">
        <f>IF(M28717="","",'Master Barang'!A11)</f>
        <v>PRL-010</v>
      </c>
      <c r="O28717" t="str">
        <f>IF(N28717="","",'Master Barang'!B11)</f>
        <v>lap kecil</v>
      </c>
      <c r="P28717">
        <f>IF(OR(M28717="",N28717=""),"",SUMIFS('Barang Keluar'!$E:$E,'Barang Keluar'!$A:$A,M28717,'Barang Keluar'!$C:$C,N28717))</f>
        <v>0</v>
      </c>
    </row>
    <row r="28718" spans="13:16">
      <c r="M28718" s="49">
        <f>IF($A$4+287&gt;$B$4,"",$A$4+287)</f>
        <v>46310</v>
      </c>
      <c r="N28718" t="str">
        <f>IF(M28718="","",'Master Barang'!A12)</f>
        <v>PRL-011</v>
      </c>
      <c r="O28718" t="str">
        <f>IF(N28718="","",'Master Barang'!B12)</f>
        <v>kanebo kecil</v>
      </c>
      <c r="P28718">
        <f>IF(OR(M28718="",N28718=""),"",SUMIFS('Barang Keluar'!$E:$E,'Barang Keluar'!$A:$A,M28718,'Barang Keluar'!$C:$C,N28718))</f>
        <v>0</v>
      </c>
    </row>
    <row r="28719" spans="13:16">
      <c r="M28719" s="49">
        <f>IF($A$4+287&gt;$B$4,"",$A$4+287)</f>
        <v>46310</v>
      </c>
      <c r="N28719" t="str">
        <f>IF(M28719="","",'Master Barang'!A13)</f>
        <v>PRL-012</v>
      </c>
      <c r="O28719" t="str">
        <f>IF(N28719="","",'Master Barang'!B13)</f>
        <v>plastik 1/4kg joyoboyo 100 lembar</v>
      </c>
      <c r="P28719">
        <f>IF(OR(M28719="",N28719=""),"",SUMIFS('Barang Keluar'!$E:$E,'Barang Keluar'!$A:$A,M28719,'Barang Keluar'!$C:$C,N28719))</f>
        <v>0</v>
      </c>
    </row>
    <row r="28720" spans="13:16">
      <c r="M28720" s="49">
        <f>IF($A$4+287&gt;$B$4,"",$A$4+287)</f>
        <v>46310</v>
      </c>
      <c r="N28720" t="str">
        <f>IF(M28720="","",'Master Barang'!A14)</f>
        <v>PRL-013</v>
      </c>
      <c r="O28720" t="str">
        <f>IF(N28720="","",'Master Barang'!B14)</f>
        <v>sarung tangan plastik kaka 100 pcs</v>
      </c>
      <c r="P28720">
        <f>IF(OR(M28720="",N28720=""),"",SUMIFS('Barang Keluar'!$E:$E,'Barang Keluar'!$A:$A,M28720,'Barang Keluar'!$C:$C,N28720))</f>
        <v>0</v>
      </c>
    </row>
    <row r="28721" spans="13:16">
      <c r="M28721" s="49">
        <f>IF($A$4+287&gt;$B$4,"",$A$4+287)</f>
        <v>46310</v>
      </c>
      <c r="N28721" t="str">
        <f>IF(M28721="","",'Master Barang'!A15)</f>
        <v>PRL-014</v>
      </c>
      <c r="O28721" t="str">
        <f>IF(N28721="","",'Master Barang'!B15)</f>
        <v>optima trashbag 80x100</v>
      </c>
      <c r="P28721">
        <f>IF(OR(M28721="",N28721=""),"",SUMIFS('Barang Keluar'!$E:$E,'Barang Keluar'!$A:$A,M28721,'Barang Keluar'!$C:$C,N28721))</f>
        <v>0</v>
      </c>
    </row>
    <row r="28722" spans="13:16">
      <c r="M28722" s="49">
        <f>IF($A$4+287&gt;$B$4,"",$A$4+287)</f>
        <v>46310</v>
      </c>
      <c r="N28722" t="str">
        <f>IF(M28722="","",'Master Barang'!A16)</f>
        <v>PRL-015</v>
      </c>
      <c r="O28722" t="str">
        <f>IF(N28722="","",'Master Barang'!B16)</f>
        <v>optima trashbag 60x100</v>
      </c>
      <c r="P28722">
        <f>IF(OR(M28722="",N28722=""),"",SUMIFS('Barang Keluar'!$E:$E,'Barang Keluar'!$A:$A,M28722,'Barang Keluar'!$C:$C,N28722))</f>
        <v>0</v>
      </c>
    </row>
    <row r="28723" spans="13:16">
      <c r="M28723" s="49">
        <f>IF($A$4+287&gt;$B$4,"",$A$4+287)</f>
        <v>46310</v>
      </c>
      <c r="N28723" t="str">
        <f>IF(M28723="","",'Master Barang'!A17)</f>
        <v>PRL-016</v>
      </c>
      <c r="O28723" t="str">
        <f>IF(N28723="","",'Master Barang'!B17)</f>
        <v>rajawali trashbag 30x40</v>
      </c>
      <c r="P28723">
        <f>IF(OR(M28723="",N28723=""),"",SUMIFS('Barang Keluar'!$E:$E,'Barang Keluar'!$A:$A,M28723,'Barang Keluar'!$C:$C,N28723))</f>
        <v>0</v>
      </c>
    </row>
    <row r="28724" spans="13:16">
      <c r="M28724" s="49">
        <f>IF($A$4+287&gt;$B$4,"",$A$4+287)</f>
        <v>46310</v>
      </c>
      <c r="N28724" t="str">
        <f>IF(M28724="","",'Master Barang'!A18)</f>
        <v>PRL-017</v>
      </c>
      <c r="O28724" t="str">
        <f>IF(N28724="","",'Master Barang'!B18)</f>
        <v>onemed masker biru 3 play 50 pcs</v>
      </c>
      <c r="P28724">
        <f>IF(OR(M28724="",N28724=""),"",SUMIFS('Barang Keluar'!$E:$E,'Barang Keluar'!$A:$A,M28724,'Barang Keluar'!$C:$C,N28724))</f>
        <v>0</v>
      </c>
    </row>
    <row r="28725" spans="13:16">
      <c r="M28725" s="49">
        <f>IF($A$4+287&gt;$B$4,"",$A$4+287)</f>
        <v>46310</v>
      </c>
      <c r="N28725" t="str">
        <f>IF(M28725="","",'Master Barang'!A19)</f>
        <v>PRL-018</v>
      </c>
      <c r="O28725" t="str">
        <f>IF(N28725="","",'Master Barang'!B19)</f>
        <v>onemed masker biru 3 play hijab 50 pcs</v>
      </c>
      <c r="P28725">
        <f>IF(OR(M28725="",N28725=""),"",SUMIFS('Barang Keluar'!$E:$E,'Barang Keluar'!$A:$A,M28725,'Barang Keluar'!$C:$C,N28725))</f>
        <v>0</v>
      </c>
    </row>
    <row r="28726" spans="13:16">
      <c r="M28726" s="49">
        <f>IF($A$4+287&gt;$B$4,"",$A$4+287)</f>
        <v>46310</v>
      </c>
      <c r="N28726" t="str">
        <f>IF(M28726="","",'Master Barang'!A20)</f>
        <v>PRL-019</v>
      </c>
      <c r="O28726" t="str">
        <f>IF(N28726="","",'Master Barang'!B20)</f>
        <v>neo health masker biru 3 play 50 pcs</v>
      </c>
      <c r="P28726">
        <f>IF(OR(M28726="",N28726=""),"",SUMIFS('Barang Keluar'!$E:$E,'Barang Keluar'!$A:$A,M28726,'Barang Keluar'!$C:$C,N28726))</f>
        <v>0</v>
      </c>
    </row>
    <row r="28727" spans="13:16">
      <c r="M28727" s="49">
        <f>IF($A$4+287&gt;$B$4,"",$A$4+287)</f>
        <v>46310</v>
      </c>
      <c r="N28727" t="str">
        <f>IF(M28727="","",'Master Barang'!A21)</f>
        <v>PRL-020</v>
      </c>
      <c r="O28727" t="str">
        <f>IF(N28727="","",'Master Barang'!B21)</f>
        <v>baymed masker hijau 3 play hijau 50 pcs</v>
      </c>
      <c r="P28727">
        <f>IF(OR(M28727="",N28727=""),"",SUMIFS('Barang Keluar'!$E:$E,'Barang Keluar'!$A:$A,M28727,'Barang Keluar'!$C:$C,N28727))</f>
        <v>0</v>
      </c>
    </row>
    <row r="28728" spans="13:16">
      <c r="M28728" s="49">
        <f>IF($A$4+287&gt;$B$4,"",$A$4+287)</f>
        <v>46310</v>
      </c>
      <c r="N28728" t="str">
        <f>IF(M28728="","",'Master Barang'!A22)</f>
        <v>PRL-021</v>
      </c>
      <c r="O28728" t="str">
        <f>IF(N28728="","",'Master Barang'!B22)</f>
        <v>altamed nurse cap penutup kepala 100 pcs</v>
      </c>
      <c r="P28728">
        <f>IF(OR(M28728="",N28728=""),"",SUMIFS('Barang Keluar'!$E:$E,'Barang Keluar'!$A:$A,M28728,'Barang Keluar'!$C:$C,N28728))</f>
        <v>0</v>
      </c>
    </row>
    <row r="28729" spans="13:16">
      <c r="M28729" s="49">
        <f>IF($A$4+287&gt;$B$4,"",$A$4+287)</f>
        <v>46310</v>
      </c>
      <c r="N28729" t="str">
        <f>IF(M28729="","",'Master Barang'!A23)</f>
        <v>PRL-022</v>
      </c>
      <c r="O28729" t="str">
        <f>IF(N28729="","",'Master Barang'!B23)</f>
        <v>sabun cuci tangan</v>
      </c>
      <c r="P28729">
        <f>IF(OR(M28729="",N28729=""),"",SUMIFS('Barang Keluar'!$E:$E,'Barang Keluar'!$A:$A,M28729,'Barang Keluar'!$C:$C,N28729))</f>
        <v>0</v>
      </c>
    </row>
    <row r="28730" spans="13:16">
      <c r="M28730" s="49">
        <f>IF($A$4+287&gt;$B$4,"",$A$4+287)</f>
        <v>46310</v>
      </c>
      <c r="N28730" t="str">
        <f>IF(M28730="","",'Master Barang'!A24)</f>
        <v>PRL-023</v>
      </c>
      <c r="O28730" t="str">
        <f>IF(N28730="","",'Master Barang'!B24)</f>
        <v>gayung kecil</v>
      </c>
      <c r="P28730">
        <f>IF(OR(M28730="",N28730=""),"",SUMIFS('Barang Keluar'!$E:$E,'Barang Keluar'!$A:$A,M28730,'Barang Keluar'!$C:$C,N28730))</f>
        <v>0</v>
      </c>
    </row>
    <row r="28731" spans="13:16">
      <c r="M28731" s="49">
        <f>IF($A$4+287&gt;$B$4,"",$A$4+287)</f>
        <v>46310</v>
      </c>
      <c r="N28731" t="str">
        <f>IF(M28731="","",'Master Barang'!A25)</f>
        <v>PRL-024</v>
      </c>
      <c r="O28731" t="str">
        <f>IF(N28731="","",'Master Barang'!B25)</f>
        <v>cikrak kecil</v>
      </c>
      <c r="P28731">
        <f>IF(OR(M28731="",N28731=""),"",SUMIFS('Barang Keluar'!$E:$E,'Barang Keluar'!$A:$A,M28731,'Barang Keluar'!$C:$C,N28731))</f>
        <v>0</v>
      </c>
    </row>
    <row r="28732" spans="13:16">
      <c r="M28732" s="49">
        <f>IF($A$4+287&gt;$B$4,"",$A$4+287)</f>
        <v>46310</v>
      </c>
      <c r="N28732" t="str">
        <f>IF(M28732="","",'Master Barang'!A26)</f>
        <v>PRL-025</v>
      </c>
      <c r="O28732" t="str">
        <f>IF(N28732="","",'Master Barang'!B26)</f>
        <v>petromax plastik kecil 12x24 100 lembar</v>
      </c>
      <c r="P28732">
        <f>IF(OR(M28732="",N28732=""),"",SUMIFS('Barang Keluar'!$E:$E,'Barang Keluar'!$A:$A,M28732,'Barang Keluar'!$C:$C,N28732))</f>
        <v>0</v>
      </c>
    </row>
    <row r="28733" spans="13:16">
      <c r="M28733" s="49">
        <f>IF($A$4+287&gt;$B$4,"",$A$4+287)</f>
        <v>46310</v>
      </c>
      <c r="N28733" t="str">
        <f>IF(M28733="","",'Master Barang'!A27)</f>
        <v>PRL-026</v>
      </c>
      <c r="O28733" t="str">
        <f>IF(N28733="","",'Master Barang'!B27)</f>
        <v>lancar kresek kecil bening </v>
      </c>
      <c r="P28733">
        <f>IF(OR(M28733="",N28733=""),"",SUMIFS('Barang Keluar'!$E:$E,'Barang Keluar'!$A:$A,M28733,'Barang Keluar'!$C:$C,N28733))</f>
        <v>0</v>
      </c>
    </row>
    <row r="28734" spans="13:16">
      <c r="M28734" s="49">
        <f>IF($A$4+287&gt;$B$4,"",$A$4+287)</f>
        <v>46310</v>
      </c>
      <c r="N28734" t="str">
        <f>IF(M28734="","",'Master Barang'!A28)</f>
        <v>PRL-027</v>
      </c>
      <c r="O28734" t="str">
        <f>IF(N28734="","",'Master Barang'!B28)</f>
        <v>kresek klin warna warni kecil</v>
      </c>
      <c r="P28734">
        <f>IF(OR(M28734="",N28734=""),"",SUMIFS('Barang Keluar'!$E:$E,'Barang Keluar'!$A:$A,M28734,'Barang Keluar'!$C:$C,N28734))</f>
        <v>0</v>
      </c>
    </row>
    <row r="28735" spans="13:16">
      <c r="M28735" s="49">
        <f>IF($A$4+287&gt;$B$4,"",$A$4+287)</f>
        <v>46310</v>
      </c>
      <c r="N28735" t="str">
        <f>IF(M28735="","",'Master Barang'!A29)</f>
        <v>PRL-028</v>
      </c>
      <c r="O28735" t="str">
        <f>IF(N28735="","",'Master Barang'!B29)</f>
        <v>ctik plastik 7x10 100 pcs</v>
      </c>
      <c r="P28735">
        <f>IF(OR(M28735="",N28735=""),"",SUMIFS('Barang Keluar'!$E:$E,'Barang Keluar'!$A:$A,M28735,'Barang Keluar'!$C:$C,N28735))</f>
        <v>0</v>
      </c>
    </row>
    <row r="28736" spans="13:16">
      <c r="M28736" s="49">
        <f>IF($A$4+287&gt;$B$4,"",$A$4+287)</f>
        <v>46310</v>
      </c>
      <c r="N28736" t="str">
        <f>IF(M28736="","",'Master Barang'!A30)</f>
        <v>PRL-029</v>
      </c>
      <c r="O28736" t="str">
        <f>IF(N28736="","",'Master Barang'!B30)</f>
        <v>ctik plastik 6x10 100 pcs</v>
      </c>
      <c r="P28736">
        <f>IF(OR(M28736="",N28736=""),"",SUMIFS('Barang Keluar'!$E:$E,'Barang Keluar'!$A:$A,M28736,'Barang Keluar'!$C:$C,N28736))</f>
        <v>0</v>
      </c>
    </row>
    <row r="28737" spans="13:16">
      <c r="M28737" s="49">
        <f>IF($A$4+287&gt;$B$4,"",$A$4+287)</f>
        <v>46310</v>
      </c>
      <c r="N28737" t="str">
        <f>IF(M28737="","",'Master Barang'!A31)</f>
        <v>PRL-030</v>
      </c>
      <c r="O28737" t="str">
        <f>IF(N28737="","",'Master Barang'!B31)</f>
        <v>klip plastik 25x16 100 pcs</v>
      </c>
      <c r="P28737">
        <f>IF(OR(M28737="",N28737=""),"",SUMIFS('Barang Keluar'!$E:$E,'Barang Keluar'!$A:$A,M28737,'Barang Keluar'!$C:$C,N28737))</f>
        <v>0</v>
      </c>
    </row>
    <row r="28738" spans="13:16">
      <c r="M28738" s="49">
        <f>IF($A$4+287&gt;$B$4,"",$A$4+287)</f>
        <v>46310</v>
      </c>
      <c r="N28738" t="str">
        <f>IF(M28738="","",'Master Barang'!A32)</f>
        <v>PRL-031</v>
      </c>
      <c r="O28738" t="str">
        <f>IF(N28738="","",'Master Barang'!B32)</f>
        <v>tempat saus 20 ml</v>
      </c>
      <c r="P28738">
        <f>IF(OR(M28738="",N28738=""),"",SUMIFS('Barang Keluar'!$E:$E,'Barang Keluar'!$A:$A,M28738,'Barang Keluar'!$C:$C,N28738))</f>
        <v>0</v>
      </c>
    </row>
    <row r="28739" spans="13:16">
      <c r="M28739" s="49">
        <f>IF($A$4+287&gt;$B$4,"",$A$4+287)</f>
        <v>46310</v>
      </c>
      <c r="N28739" t="str">
        <f>IF(M28739="","",'Master Barang'!A33)</f>
        <v>PRL-032</v>
      </c>
      <c r="O28739" t="str">
        <f>IF(N28739="","",'Master Barang'!B33)</f>
        <v>plastik packaging ag box uk sedang</v>
      </c>
      <c r="P28739">
        <f>IF(OR(M28739="",N28739=""),"",SUMIFS('Barang Keluar'!$E:$E,'Barang Keluar'!$A:$A,M28739,'Barang Keluar'!$C:$C,N28739))</f>
        <v>0</v>
      </c>
    </row>
    <row r="28740" spans="13:16">
      <c r="M28740" s="49">
        <f>IF($A$4+287&gt;$B$4,"",$A$4+287)</f>
        <v>46310</v>
      </c>
      <c r="N28740" t="str">
        <f>IF(M28740="","",'Master Barang'!A34)</f>
        <v>PRL-033</v>
      </c>
      <c r="O28740">
        <f>IF(N28740="","",'Master Barang'!B34)</f>
        <v>0</v>
      </c>
      <c r="P28740">
        <f>IF(OR(M28740="",N28740=""),"",SUMIFS('Barang Keluar'!$E:$E,'Barang Keluar'!$A:$A,M28740,'Barang Keluar'!$C:$C,N28740))</f>
        <v>0</v>
      </c>
    </row>
    <row r="28741" spans="13:16">
      <c r="M28741" s="49">
        <f>IF($A$4+287&gt;$B$4,"",$A$4+287)</f>
        <v>46310</v>
      </c>
      <c r="N28741">
        <f>IF(M28741="","",'Master Barang'!A35)</f>
        <v>0</v>
      </c>
      <c r="O28741">
        <f>IF(N28741="","",'Master Barang'!B35)</f>
        <v>0</v>
      </c>
      <c r="P28741">
        <f>IF(OR(M28741="",N28741=""),"",SUMIFS('Barang Keluar'!$E:$E,'Barang Keluar'!$A:$A,M28741,'Barang Keluar'!$C:$C,N28741))</f>
        <v>0</v>
      </c>
    </row>
    <row r="28742" spans="13:16">
      <c r="M28742" s="49">
        <f>IF($A$4+287&gt;$B$4,"",$A$4+287)</f>
        <v>46310</v>
      </c>
      <c r="N28742">
        <f>IF(M28742="","",'Master Barang'!A36)</f>
        <v>0</v>
      </c>
      <c r="O28742">
        <f>IF(N28742="","",'Master Barang'!B36)</f>
        <v>0</v>
      </c>
      <c r="P28742">
        <f>IF(OR(M28742="",N28742=""),"",SUMIFS('Barang Keluar'!$E:$E,'Barang Keluar'!$A:$A,M28742,'Barang Keluar'!$C:$C,N28742))</f>
        <v>0</v>
      </c>
    </row>
    <row r="28743" spans="13:16">
      <c r="M28743" s="49">
        <f>IF($A$4+287&gt;$B$4,"",$A$4+287)</f>
        <v>46310</v>
      </c>
      <c r="N28743">
        <f>IF(M28743="","",'Master Barang'!A37)</f>
        <v>0</v>
      </c>
      <c r="O28743">
        <f>IF(N28743="","",'Master Barang'!B37)</f>
        <v>0</v>
      </c>
      <c r="P28743">
        <f>IF(OR(M28743="",N28743=""),"",SUMIFS('Barang Keluar'!$E:$E,'Barang Keluar'!$A:$A,M28743,'Barang Keluar'!$C:$C,N28743))</f>
        <v>0</v>
      </c>
    </row>
    <row r="28744" spans="13:16">
      <c r="M28744" s="49">
        <f>IF($A$4+287&gt;$B$4,"",$A$4+287)</f>
        <v>46310</v>
      </c>
      <c r="N28744">
        <f>IF(M28744="","",'Master Barang'!A38)</f>
        <v>0</v>
      </c>
      <c r="O28744">
        <f>IF(N28744="","",'Master Barang'!B38)</f>
        <v>0</v>
      </c>
      <c r="P28744">
        <f>IF(OR(M28744="",N28744=""),"",SUMIFS('Barang Keluar'!$E:$E,'Barang Keluar'!$A:$A,M28744,'Barang Keluar'!$C:$C,N28744))</f>
        <v>0</v>
      </c>
    </row>
    <row r="28745" spans="13:16">
      <c r="M28745" s="49">
        <f>IF($A$4+287&gt;$B$4,"",$A$4+287)</f>
        <v>46310</v>
      </c>
      <c r="N28745">
        <f>IF(M28745="","",'Master Barang'!A39)</f>
        <v>0</v>
      </c>
      <c r="O28745">
        <f>IF(N28745="","",'Master Barang'!B39)</f>
        <v>0</v>
      </c>
      <c r="P28745">
        <f>IF(OR(M28745="",N28745=""),"",SUMIFS('Barang Keluar'!$E:$E,'Barang Keluar'!$A:$A,M28745,'Barang Keluar'!$C:$C,N28745))</f>
        <v>0</v>
      </c>
    </row>
    <row r="28746" spans="13:16">
      <c r="M28746" s="49">
        <f>IF($A$4+287&gt;$B$4,"",$A$4+287)</f>
        <v>46310</v>
      </c>
      <c r="N28746">
        <f>IF(M28746="","",'Master Barang'!A40)</f>
        <v>0</v>
      </c>
      <c r="O28746">
        <f>IF(N28746="","",'Master Barang'!B40)</f>
        <v>0</v>
      </c>
      <c r="P28746">
        <f>IF(OR(M28746="",N28746=""),"",SUMIFS('Barang Keluar'!$E:$E,'Barang Keluar'!$A:$A,M28746,'Barang Keluar'!$C:$C,N28746))</f>
        <v>0</v>
      </c>
    </row>
    <row r="28747" spans="13:16">
      <c r="M28747" s="49">
        <f>IF($A$4+287&gt;$B$4,"",$A$4+287)</f>
        <v>46310</v>
      </c>
      <c r="N28747">
        <f>IF(M28747="","",'Master Barang'!A41)</f>
        <v>0</v>
      </c>
      <c r="O28747">
        <f>IF(N28747="","",'Master Barang'!B41)</f>
        <v>0</v>
      </c>
      <c r="P28747">
        <f>IF(OR(M28747="",N28747=""),"",SUMIFS('Barang Keluar'!$E:$E,'Barang Keluar'!$A:$A,M28747,'Barang Keluar'!$C:$C,N28747))</f>
        <v>0</v>
      </c>
    </row>
    <row r="28748" spans="13:16">
      <c r="M28748" s="49">
        <f>IF($A$4+287&gt;$B$4,"",$A$4+287)</f>
        <v>46310</v>
      </c>
      <c r="N28748">
        <f>IF(M28748="","",'Master Barang'!A42)</f>
        <v>0</v>
      </c>
      <c r="O28748">
        <f>IF(N28748="","",'Master Barang'!B42)</f>
        <v>0</v>
      </c>
      <c r="P28748">
        <f>IF(OR(M28748="",N28748=""),"",SUMIFS('Barang Keluar'!$E:$E,'Barang Keluar'!$A:$A,M28748,'Barang Keluar'!$C:$C,N28748))</f>
        <v>0</v>
      </c>
    </row>
    <row r="28749" spans="13:16">
      <c r="M28749" s="49">
        <f>IF($A$4+287&gt;$B$4,"",$A$4+287)</f>
        <v>46310</v>
      </c>
      <c r="N28749">
        <f>IF(M28749="","",'Master Barang'!A43)</f>
        <v>0</v>
      </c>
      <c r="O28749">
        <f>IF(N28749="","",'Master Barang'!B43)</f>
        <v>0</v>
      </c>
      <c r="P28749">
        <f>IF(OR(M28749="",N28749=""),"",SUMIFS('Barang Keluar'!$E:$E,'Barang Keluar'!$A:$A,M28749,'Barang Keluar'!$C:$C,N28749))</f>
        <v>0</v>
      </c>
    </row>
    <row r="28750" spans="13:16">
      <c r="M28750" s="49">
        <f>IF($A$4+287&gt;$B$4,"",$A$4+287)</f>
        <v>46310</v>
      </c>
      <c r="N28750">
        <f>IF(M28750="","",'Master Barang'!A44)</f>
        <v>0</v>
      </c>
      <c r="O28750">
        <f>IF(N28750="","",'Master Barang'!B44)</f>
        <v>0</v>
      </c>
      <c r="P28750">
        <f>IF(OR(M28750="",N28750=""),"",SUMIFS('Barang Keluar'!$E:$E,'Barang Keluar'!$A:$A,M28750,'Barang Keluar'!$C:$C,N28750))</f>
        <v>0</v>
      </c>
    </row>
    <row r="28751" spans="13:16">
      <c r="M28751" s="49">
        <f>IF($A$4+287&gt;$B$4,"",$A$4+287)</f>
        <v>46310</v>
      </c>
      <c r="N28751">
        <f>IF(M28751="","",'Master Barang'!A45)</f>
        <v>0</v>
      </c>
      <c r="O28751">
        <f>IF(N28751="","",'Master Barang'!B45)</f>
        <v>0</v>
      </c>
      <c r="P28751">
        <f>IF(OR(M28751="",N28751=""),"",SUMIFS('Barang Keluar'!$E:$E,'Barang Keluar'!$A:$A,M28751,'Barang Keluar'!$C:$C,N28751))</f>
        <v>0</v>
      </c>
    </row>
    <row r="28752" spans="13:16">
      <c r="M28752" s="49">
        <f>IF($A$4+287&gt;$B$4,"",$A$4+287)</f>
        <v>46310</v>
      </c>
      <c r="N28752">
        <f>IF(M28752="","",'Master Barang'!A46)</f>
        <v>0</v>
      </c>
      <c r="O28752">
        <f>IF(N28752="","",'Master Barang'!B46)</f>
        <v>0</v>
      </c>
      <c r="P28752">
        <f>IF(OR(M28752="",N28752=""),"",SUMIFS('Barang Keluar'!$E:$E,'Barang Keluar'!$A:$A,M28752,'Barang Keluar'!$C:$C,N28752))</f>
        <v>0</v>
      </c>
    </row>
    <row r="28753" spans="13:16">
      <c r="M28753" s="49">
        <f>IF($A$4+287&gt;$B$4,"",$A$4+287)</f>
        <v>46310</v>
      </c>
      <c r="N28753">
        <f>IF(M28753="","",'Master Barang'!A47)</f>
        <v>0</v>
      </c>
      <c r="O28753">
        <f>IF(N28753="","",'Master Barang'!B47)</f>
        <v>0</v>
      </c>
      <c r="P28753">
        <f>IF(OR(M28753="",N28753=""),"",SUMIFS('Barang Keluar'!$E:$E,'Barang Keluar'!$A:$A,M28753,'Barang Keluar'!$C:$C,N28753))</f>
        <v>0</v>
      </c>
    </row>
    <row r="28754" spans="13:16">
      <c r="M28754" s="49">
        <f>IF($A$4+287&gt;$B$4,"",$A$4+287)</f>
        <v>46310</v>
      </c>
      <c r="N28754">
        <f>IF(M28754="","",'Master Barang'!A48)</f>
        <v>0</v>
      </c>
      <c r="O28754">
        <f>IF(N28754="","",'Master Barang'!B48)</f>
        <v>0</v>
      </c>
      <c r="P28754">
        <f>IF(OR(M28754="",N28754=""),"",SUMIFS('Barang Keluar'!$E:$E,'Barang Keluar'!$A:$A,M28754,'Barang Keluar'!$C:$C,N28754))</f>
        <v>0</v>
      </c>
    </row>
    <row r="28755" spans="13:16">
      <c r="M28755" s="49">
        <f>IF($A$4+287&gt;$B$4,"",$A$4+287)</f>
        <v>46310</v>
      </c>
      <c r="N28755">
        <f>IF(M28755="","",'Master Barang'!A49)</f>
        <v>0</v>
      </c>
      <c r="O28755">
        <f>IF(N28755="","",'Master Barang'!B49)</f>
        <v>0</v>
      </c>
      <c r="P28755">
        <f>IF(OR(M28755="",N28755=""),"",SUMIFS('Barang Keluar'!$E:$E,'Barang Keluar'!$A:$A,M28755,'Barang Keluar'!$C:$C,N28755))</f>
        <v>0</v>
      </c>
    </row>
    <row r="28756" spans="13:16">
      <c r="M28756" s="49">
        <f>IF($A$4+287&gt;$B$4,"",$A$4+287)</f>
        <v>46310</v>
      </c>
      <c r="N28756">
        <f>IF(M28756="","",'Master Barang'!A50)</f>
        <v>0</v>
      </c>
      <c r="O28756">
        <f>IF(N28756="","",'Master Barang'!B50)</f>
        <v>0</v>
      </c>
      <c r="P28756">
        <f>IF(OR(M28756="",N28756=""),"",SUMIFS('Barang Keluar'!$E:$E,'Barang Keluar'!$A:$A,M28756,'Barang Keluar'!$C:$C,N28756))</f>
        <v>0</v>
      </c>
    </row>
    <row r="28757" spans="13:16">
      <c r="M28757" s="49">
        <f>IF($A$4+287&gt;$B$4,"",$A$4+287)</f>
        <v>46310</v>
      </c>
      <c r="N28757">
        <f>IF(M28757="","",'Master Barang'!A51)</f>
        <v>0</v>
      </c>
      <c r="O28757">
        <f>IF(N28757="","",'Master Barang'!B51)</f>
        <v>0</v>
      </c>
      <c r="P28757">
        <f>IF(OR(M28757="",N28757=""),"",SUMIFS('Barang Keluar'!$E:$E,'Barang Keluar'!$A:$A,M28757,'Barang Keluar'!$C:$C,N28757))</f>
        <v>0</v>
      </c>
    </row>
    <row r="28758" spans="13:16">
      <c r="M28758" s="49">
        <f>IF($A$4+287&gt;$B$4,"",$A$4+287)</f>
        <v>46310</v>
      </c>
      <c r="N28758">
        <f>IF(M28758="","",'Master Barang'!A52)</f>
        <v>0</v>
      </c>
      <c r="O28758">
        <f>IF(N28758="","",'Master Barang'!B52)</f>
        <v>0</v>
      </c>
      <c r="P28758">
        <f>IF(OR(M28758="",N28758=""),"",SUMIFS('Barang Keluar'!$E:$E,'Barang Keluar'!$A:$A,M28758,'Barang Keluar'!$C:$C,N28758))</f>
        <v>0</v>
      </c>
    </row>
    <row r="28759" spans="13:16">
      <c r="M28759" s="49">
        <f>IF($A$4+287&gt;$B$4,"",$A$4+287)</f>
        <v>46310</v>
      </c>
      <c r="N28759">
        <f>IF(M28759="","",'Master Barang'!A53)</f>
        <v>0</v>
      </c>
      <c r="O28759">
        <f>IF(N28759="","",'Master Barang'!B53)</f>
        <v>0</v>
      </c>
      <c r="P28759">
        <f>IF(OR(M28759="",N28759=""),"",SUMIFS('Barang Keluar'!$E:$E,'Barang Keluar'!$A:$A,M28759,'Barang Keluar'!$C:$C,N28759))</f>
        <v>0</v>
      </c>
    </row>
    <row r="28760" spans="13:16">
      <c r="M28760" s="49">
        <f>IF($A$4+287&gt;$B$4,"",$A$4+287)</f>
        <v>46310</v>
      </c>
      <c r="N28760">
        <f>IF(M28760="","",'Master Barang'!A54)</f>
        <v>0</v>
      </c>
      <c r="O28760">
        <f>IF(N28760="","",'Master Barang'!B54)</f>
        <v>0</v>
      </c>
      <c r="P28760">
        <f>IF(OR(M28760="",N28760=""),"",SUMIFS('Barang Keluar'!$E:$E,'Barang Keluar'!$A:$A,M28760,'Barang Keluar'!$C:$C,N28760))</f>
        <v>0</v>
      </c>
    </row>
    <row r="28761" spans="13:16">
      <c r="M28761" s="49">
        <f>IF($A$4+287&gt;$B$4,"",$A$4+287)</f>
        <v>46310</v>
      </c>
      <c r="N28761">
        <f>IF(M28761="","",'Master Barang'!A55)</f>
        <v>0</v>
      </c>
      <c r="O28761">
        <f>IF(N28761="","",'Master Barang'!B55)</f>
        <v>0</v>
      </c>
      <c r="P28761">
        <f>IF(OR(M28761="",N28761=""),"",SUMIFS('Barang Keluar'!$E:$E,'Barang Keluar'!$A:$A,M28761,'Barang Keluar'!$C:$C,N28761))</f>
        <v>0</v>
      </c>
    </row>
    <row r="28762" spans="13:16">
      <c r="M28762" s="49">
        <f>IF($A$4+287&gt;$B$4,"",$A$4+287)</f>
        <v>46310</v>
      </c>
      <c r="N28762">
        <f>IF(M28762="","",'Master Barang'!A56)</f>
        <v>0</v>
      </c>
      <c r="O28762">
        <f>IF(N28762="","",'Master Barang'!B56)</f>
        <v>0</v>
      </c>
      <c r="P28762">
        <f>IF(OR(M28762="",N28762=""),"",SUMIFS('Barang Keluar'!$E:$E,'Barang Keluar'!$A:$A,M28762,'Barang Keluar'!$C:$C,N28762))</f>
        <v>0</v>
      </c>
    </row>
    <row r="28763" spans="13:16">
      <c r="M28763" s="49">
        <f>IF($A$4+287&gt;$B$4,"",$A$4+287)</f>
        <v>46310</v>
      </c>
      <c r="N28763">
        <f>IF(M28763="","",'Master Barang'!A57)</f>
        <v>0</v>
      </c>
      <c r="O28763">
        <f>IF(N28763="","",'Master Barang'!B57)</f>
        <v>0</v>
      </c>
      <c r="P28763">
        <f>IF(OR(M28763="",N28763=""),"",SUMIFS('Barang Keluar'!$E:$E,'Barang Keluar'!$A:$A,M28763,'Barang Keluar'!$C:$C,N28763))</f>
        <v>0</v>
      </c>
    </row>
    <row r="28764" spans="13:16">
      <c r="M28764" s="49">
        <f>IF($A$4+287&gt;$B$4,"",$A$4+287)</f>
        <v>46310</v>
      </c>
      <c r="N28764">
        <f>IF(M28764="","",'Master Barang'!A58)</f>
        <v>0</v>
      </c>
      <c r="O28764">
        <f>IF(N28764="","",'Master Barang'!B58)</f>
        <v>0</v>
      </c>
      <c r="P28764">
        <f>IF(OR(M28764="",N28764=""),"",SUMIFS('Barang Keluar'!$E:$E,'Barang Keluar'!$A:$A,M28764,'Barang Keluar'!$C:$C,N28764))</f>
        <v>0</v>
      </c>
    </row>
    <row r="28765" spans="13:16">
      <c r="M28765" s="49">
        <f>IF($A$4+287&gt;$B$4,"",$A$4+287)</f>
        <v>46310</v>
      </c>
      <c r="N28765">
        <f>IF(M28765="","",'Master Barang'!A59)</f>
        <v>0</v>
      </c>
      <c r="O28765">
        <f>IF(N28765="","",'Master Barang'!B59)</f>
        <v>0</v>
      </c>
      <c r="P28765">
        <f>IF(OR(M28765="",N28765=""),"",SUMIFS('Barang Keluar'!$E:$E,'Barang Keluar'!$A:$A,M28765,'Barang Keluar'!$C:$C,N28765))</f>
        <v>0</v>
      </c>
    </row>
    <row r="28766" spans="13:16">
      <c r="M28766" s="49">
        <f>IF($A$4+287&gt;$B$4,"",$A$4+287)</f>
        <v>46310</v>
      </c>
      <c r="N28766">
        <f>IF(M28766="","",'Master Barang'!A60)</f>
        <v>0</v>
      </c>
      <c r="O28766">
        <f>IF(N28766="","",'Master Barang'!B60)</f>
        <v>0</v>
      </c>
      <c r="P28766">
        <f>IF(OR(M28766="",N28766=""),"",SUMIFS('Barang Keluar'!$E:$E,'Barang Keluar'!$A:$A,M28766,'Barang Keluar'!$C:$C,N28766))</f>
        <v>0</v>
      </c>
    </row>
    <row r="28767" spans="13:16">
      <c r="M28767" s="49">
        <f>IF($A$4+287&gt;$B$4,"",$A$4+287)</f>
        <v>46310</v>
      </c>
      <c r="N28767">
        <f>IF(M28767="","",'Master Barang'!A61)</f>
        <v>0</v>
      </c>
      <c r="O28767">
        <f>IF(N28767="","",'Master Barang'!B61)</f>
        <v>0</v>
      </c>
      <c r="P28767">
        <f>IF(OR(M28767="",N28767=""),"",SUMIFS('Barang Keluar'!$E:$E,'Barang Keluar'!$A:$A,M28767,'Barang Keluar'!$C:$C,N28767))</f>
        <v>0</v>
      </c>
    </row>
    <row r="28768" spans="13:16">
      <c r="M28768" s="49">
        <f>IF($A$4+287&gt;$B$4,"",$A$4+287)</f>
        <v>46310</v>
      </c>
      <c r="N28768">
        <f>IF(M28768="","",'Master Barang'!A62)</f>
        <v>0</v>
      </c>
      <c r="O28768">
        <f>IF(N28768="","",'Master Barang'!B62)</f>
        <v>0</v>
      </c>
      <c r="P28768">
        <f>IF(OR(M28768="",N28768=""),"",SUMIFS('Barang Keluar'!$E:$E,'Barang Keluar'!$A:$A,M28768,'Barang Keluar'!$C:$C,N28768))</f>
        <v>0</v>
      </c>
    </row>
    <row r="28769" spans="13:16">
      <c r="M28769" s="49">
        <f>IF($A$4+287&gt;$B$4,"",$A$4+287)</f>
        <v>46310</v>
      </c>
      <c r="N28769">
        <f>IF(M28769="","",'Master Barang'!A63)</f>
        <v>0</v>
      </c>
      <c r="O28769">
        <f>IF(N28769="","",'Master Barang'!B63)</f>
        <v>0</v>
      </c>
      <c r="P28769">
        <f>IF(OR(M28769="",N28769=""),"",SUMIFS('Barang Keluar'!$E:$E,'Barang Keluar'!$A:$A,M28769,'Barang Keluar'!$C:$C,N28769))</f>
        <v>0</v>
      </c>
    </row>
    <row r="28770" spans="13:16">
      <c r="M28770" s="49">
        <f>IF($A$4+287&gt;$B$4,"",$A$4+287)</f>
        <v>46310</v>
      </c>
      <c r="N28770">
        <f>IF(M28770="","",'Master Barang'!A64)</f>
        <v>0</v>
      </c>
      <c r="O28770">
        <f>IF(N28770="","",'Master Barang'!B64)</f>
        <v>0</v>
      </c>
      <c r="P28770">
        <f>IF(OR(M28770="",N28770=""),"",SUMIFS('Barang Keluar'!$E:$E,'Barang Keluar'!$A:$A,M28770,'Barang Keluar'!$C:$C,N28770))</f>
        <v>0</v>
      </c>
    </row>
    <row r="28771" spans="13:16">
      <c r="M28771" s="49">
        <f>IF($A$4+287&gt;$B$4,"",$A$4+287)</f>
        <v>46310</v>
      </c>
      <c r="N28771">
        <f>IF(M28771="","",'Master Barang'!A65)</f>
        <v>0</v>
      </c>
      <c r="O28771">
        <f>IF(N28771="","",'Master Barang'!B65)</f>
        <v>0</v>
      </c>
      <c r="P28771">
        <f>IF(OR(M28771="",N28771=""),"",SUMIFS('Barang Keluar'!$E:$E,'Barang Keluar'!$A:$A,M28771,'Barang Keluar'!$C:$C,N28771))</f>
        <v>0</v>
      </c>
    </row>
    <row r="28772" spans="13:16">
      <c r="M28772" s="49">
        <f>IF($A$4+287&gt;$B$4,"",$A$4+287)</f>
        <v>46310</v>
      </c>
      <c r="N28772">
        <f>IF(M28772="","",'Master Barang'!A66)</f>
        <v>0</v>
      </c>
      <c r="O28772">
        <f>IF(N28772="","",'Master Barang'!B66)</f>
        <v>0</v>
      </c>
      <c r="P28772">
        <f>IF(OR(M28772="",N28772=""),"",SUMIFS('Barang Keluar'!$E:$E,'Barang Keluar'!$A:$A,M28772,'Barang Keluar'!$C:$C,N28772))</f>
        <v>0</v>
      </c>
    </row>
    <row r="28773" spans="13:16">
      <c r="M28773" s="49">
        <f>IF($A$4+287&gt;$B$4,"",$A$4+287)</f>
        <v>46310</v>
      </c>
      <c r="N28773">
        <f>IF(M28773="","",'Master Barang'!A67)</f>
        <v>0</v>
      </c>
      <c r="O28773">
        <f>IF(N28773="","",'Master Barang'!B67)</f>
        <v>0</v>
      </c>
      <c r="P28773">
        <f>IF(OR(M28773="",N28773=""),"",SUMIFS('Barang Keluar'!$E:$E,'Barang Keluar'!$A:$A,M28773,'Barang Keluar'!$C:$C,N28773))</f>
        <v>0</v>
      </c>
    </row>
    <row r="28774" spans="13:16">
      <c r="M28774" s="49">
        <f>IF($A$4+287&gt;$B$4,"",$A$4+287)</f>
        <v>46310</v>
      </c>
      <c r="N28774">
        <f>IF(M28774="","",'Master Barang'!A68)</f>
        <v>0</v>
      </c>
      <c r="O28774">
        <f>IF(N28774="","",'Master Barang'!B68)</f>
        <v>0</v>
      </c>
      <c r="P28774">
        <f>IF(OR(M28774="",N28774=""),"",SUMIFS('Barang Keluar'!$E:$E,'Barang Keluar'!$A:$A,M28774,'Barang Keluar'!$C:$C,N28774))</f>
        <v>0</v>
      </c>
    </row>
    <row r="28775" spans="13:16">
      <c r="M28775" s="49">
        <f>IF($A$4+287&gt;$B$4,"",$A$4+287)</f>
        <v>46310</v>
      </c>
      <c r="N28775">
        <f>IF(M28775="","",'Master Barang'!A69)</f>
        <v>0</v>
      </c>
      <c r="O28775">
        <f>IF(N28775="","",'Master Barang'!B69)</f>
        <v>0</v>
      </c>
      <c r="P28775">
        <f>IF(OR(M28775="",N28775=""),"",SUMIFS('Barang Keluar'!$E:$E,'Barang Keluar'!$A:$A,M28775,'Barang Keluar'!$C:$C,N28775))</f>
        <v>0</v>
      </c>
    </row>
    <row r="28776" spans="13:16">
      <c r="M28776" s="49">
        <f>IF($A$4+287&gt;$B$4,"",$A$4+287)</f>
        <v>46310</v>
      </c>
      <c r="N28776">
        <f>IF(M28776="","",'Master Barang'!A70)</f>
        <v>0</v>
      </c>
      <c r="O28776">
        <f>IF(N28776="","",'Master Barang'!B70)</f>
        <v>0</v>
      </c>
      <c r="P28776">
        <f>IF(OR(M28776="",N28776=""),"",SUMIFS('Barang Keluar'!$E:$E,'Barang Keluar'!$A:$A,M28776,'Barang Keluar'!$C:$C,N28776))</f>
        <v>0</v>
      </c>
    </row>
    <row r="28777" spans="13:16">
      <c r="M28777" s="49">
        <f>IF($A$4+287&gt;$B$4,"",$A$4+287)</f>
        <v>46310</v>
      </c>
      <c r="N28777">
        <f>IF(M28777="","",'Master Barang'!A71)</f>
        <v>0</v>
      </c>
      <c r="O28777">
        <f>IF(N28777="","",'Master Barang'!B71)</f>
        <v>0</v>
      </c>
      <c r="P28777">
        <f>IF(OR(M28777="",N28777=""),"",SUMIFS('Barang Keluar'!$E:$E,'Barang Keluar'!$A:$A,M28777,'Barang Keluar'!$C:$C,N28777))</f>
        <v>0</v>
      </c>
    </row>
    <row r="28778" spans="13:16">
      <c r="M28778" s="49">
        <f>IF($A$4+287&gt;$B$4,"",$A$4+287)</f>
        <v>46310</v>
      </c>
      <c r="N28778">
        <f>IF(M28778="","",'Master Barang'!A72)</f>
        <v>0</v>
      </c>
      <c r="O28778">
        <f>IF(N28778="","",'Master Barang'!B72)</f>
        <v>0</v>
      </c>
      <c r="P28778">
        <f>IF(OR(M28778="",N28778=""),"",SUMIFS('Barang Keluar'!$E:$E,'Barang Keluar'!$A:$A,M28778,'Barang Keluar'!$C:$C,N28778))</f>
        <v>0</v>
      </c>
    </row>
    <row r="28779" spans="13:16">
      <c r="M28779" s="49">
        <f>IF($A$4+287&gt;$B$4,"",$A$4+287)</f>
        <v>46310</v>
      </c>
      <c r="N28779">
        <f>IF(M28779="","",'Master Barang'!A73)</f>
        <v>0</v>
      </c>
      <c r="O28779">
        <f>IF(N28779="","",'Master Barang'!B73)</f>
        <v>0</v>
      </c>
      <c r="P28779">
        <f>IF(OR(M28779="",N28779=""),"",SUMIFS('Barang Keluar'!$E:$E,'Barang Keluar'!$A:$A,M28779,'Barang Keluar'!$C:$C,N28779))</f>
        <v>0</v>
      </c>
    </row>
    <row r="28780" spans="13:16">
      <c r="M28780" s="49">
        <f>IF($A$4+287&gt;$B$4,"",$A$4+287)</f>
        <v>46310</v>
      </c>
      <c r="N28780">
        <f>IF(M28780="","",'Master Barang'!A74)</f>
        <v>0</v>
      </c>
      <c r="O28780">
        <f>IF(N28780="","",'Master Barang'!B74)</f>
        <v>0</v>
      </c>
      <c r="P28780">
        <f>IF(OR(M28780="",N28780=""),"",SUMIFS('Barang Keluar'!$E:$E,'Barang Keluar'!$A:$A,M28780,'Barang Keluar'!$C:$C,N28780))</f>
        <v>0</v>
      </c>
    </row>
    <row r="28781" spans="13:16">
      <c r="M28781" s="49">
        <f>IF($A$4+287&gt;$B$4,"",$A$4+287)</f>
        <v>46310</v>
      </c>
      <c r="N28781">
        <f>IF(M28781="","",'Master Barang'!A75)</f>
        <v>0</v>
      </c>
      <c r="O28781">
        <f>IF(N28781="","",'Master Barang'!B75)</f>
        <v>0</v>
      </c>
      <c r="P28781">
        <f>IF(OR(M28781="",N28781=""),"",SUMIFS('Barang Keluar'!$E:$E,'Barang Keluar'!$A:$A,M28781,'Barang Keluar'!$C:$C,N28781))</f>
        <v>0</v>
      </c>
    </row>
    <row r="28782" spans="13:16">
      <c r="M28782" s="49">
        <f>IF($A$4+287&gt;$B$4,"",$A$4+287)</f>
        <v>46310</v>
      </c>
      <c r="N28782">
        <f>IF(M28782="","",'Master Barang'!A76)</f>
        <v>0</v>
      </c>
      <c r="O28782">
        <f>IF(N28782="","",'Master Barang'!B76)</f>
        <v>0</v>
      </c>
      <c r="P28782">
        <f>IF(OR(M28782="",N28782=""),"",SUMIFS('Barang Keluar'!$E:$E,'Barang Keluar'!$A:$A,M28782,'Barang Keluar'!$C:$C,N28782))</f>
        <v>0</v>
      </c>
    </row>
    <row r="28783" spans="13:16">
      <c r="M28783" s="49">
        <f>IF($A$4+287&gt;$B$4,"",$A$4+287)</f>
        <v>46310</v>
      </c>
      <c r="N28783">
        <f>IF(M28783="","",'Master Barang'!A77)</f>
        <v>0</v>
      </c>
      <c r="O28783">
        <f>IF(N28783="","",'Master Barang'!B77)</f>
        <v>0</v>
      </c>
      <c r="P28783">
        <f>IF(OR(M28783="",N28783=""),"",SUMIFS('Barang Keluar'!$E:$E,'Barang Keluar'!$A:$A,M28783,'Barang Keluar'!$C:$C,N28783))</f>
        <v>0</v>
      </c>
    </row>
    <row r="28784" spans="13:16">
      <c r="M28784" s="49">
        <f>IF($A$4+287&gt;$B$4,"",$A$4+287)</f>
        <v>46310</v>
      </c>
      <c r="N28784">
        <f>IF(M28784="","",'Master Barang'!A78)</f>
        <v>0</v>
      </c>
      <c r="O28784">
        <f>IF(N28784="","",'Master Barang'!B78)</f>
        <v>0</v>
      </c>
      <c r="P28784">
        <f>IF(OR(M28784="",N28784=""),"",SUMIFS('Barang Keluar'!$E:$E,'Barang Keluar'!$A:$A,M28784,'Barang Keluar'!$C:$C,N28784))</f>
        <v>0</v>
      </c>
    </row>
    <row r="28785" spans="13:16">
      <c r="M28785" s="49">
        <f>IF($A$4+287&gt;$B$4,"",$A$4+287)</f>
        <v>46310</v>
      </c>
      <c r="N28785">
        <f>IF(M28785="","",'Master Barang'!A79)</f>
        <v>0</v>
      </c>
      <c r="O28785">
        <f>IF(N28785="","",'Master Barang'!B79)</f>
        <v>0</v>
      </c>
      <c r="P28785">
        <f>IF(OR(M28785="",N28785=""),"",SUMIFS('Barang Keluar'!$E:$E,'Barang Keluar'!$A:$A,M28785,'Barang Keluar'!$C:$C,N28785))</f>
        <v>0</v>
      </c>
    </row>
    <row r="28786" spans="13:16">
      <c r="M28786" s="49">
        <f>IF($A$4+287&gt;$B$4,"",$A$4+287)</f>
        <v>46310</v>
      </c>
      <c r="N28786">
        <f>IF(M28786="","",'Master Barang'!A80)</f>
        <v>0</v>
      </c>
      <c r="O28786">
        <f>IF(N28786="","",'Master Barang'!B80)</f>
        <v>0</v>
      </c>
      <c r="P28786">
        <f>IF(OR(M28786="",N28786=""),"",SUMIFS('Barang Keluar'!$E:$E,'Barang Keluar'!$A:$A,M28786,'Barang Keluar'!$C:$C,N28786))</f>
        <v>0</v>
      </c>
    </row>
    <row r="28787" spans="13:16">
      <c r="M28787" s="49">
        <f>IF($A$4+287&gt;$B$4,"",$A$4+287)</f>
        <v>46310</v>
      </c>
      <c r="N28787">
        <f>IF(M28787="","",'Master Barang'!A81)</f>
        <v>0</v>
      </c>
      <c r="O28787">
        <f>IF(N28787="","",'Master Barang'!B81)</f>
        <v>0</v>
      </c>
      <c r="P28787">
        <f>IF(OR(M28787="",N28787=""),"",SUMIFS('Barang Keluar'!$E:$E,'Barang Keluar'!$A:$A,M28787,'Barang Keluar'!$C:$C,N28787))</f>
        <v>0</v>
      </c>
    </row>
    <row r="28788" spans="13:16">
      <c r="M28788" s="49">
        <f>IF($A$4+287&gt;$B$4,"",$A$4+287)</f>
        <v>46310</v>
      </c>
      <c r="N28788">
        <f>IF(M28788="","",'Master Barang'!A82)</f>
        <v>0</v>
      </c>
      <c r="O28788">
        <f>IF(N28788="","",'Master Barang'!B82)</f>
        <v>0</v>
      </c>
      <c r="P28788">
        <f>IF(OR(M28788="",N28788=""),"",SUMIFS('Barang Keluar'!$E:$E,'Barang Keluar'!$A:$A,M28788,'Barang Keluar'!$C:$C,N28788))</f>
        <v>0</v>
      </c>
    </row>
    <row r="28789" spans="13:16">
      <c r="M28789" s="49">
        <f>IF($A$4+287&gt;$B$4,"",$A$4+287)</f>
        <v>46310</v>
      </c>
      <c r="N28789">
        <f>IF(M28789="","",'Master Barang'!A83)</f>
        <v>0</v>
      </c>
      <c r="O28789">
        <f>IF(N28789="","",'Master Barang'!B83)</f>
        <v>0</v>
      </c>
      <c r="P28789">
        <f>IF(OR(M28789="",N28789=""),"",SUMIFS('Barang Keluar'!$E:$E,'Barang Keluar'!$A:$A,M28789,'Barang Keluar'!$C:$C,N28789))</f>
        <v>0</v>
      </c>
    </row>
    <row r="28790" spans="13:16">
      <c r="M28790" s="49">
        <f>IF($A$4+287&gt;$B$4,"",$A$4+287)</f>
        <v>46310</v>
      </c>
      <c r="N28790">
        <f>IF(M28790="","",'Master Barang'!A84)</f>
        <v>0</v>
      </c>
      <c r="O28790">
        <f>IF(N28790="","",'Master Barang'!B84)</f>
        <v>0</v>
      </c>
      <c r="P28790">
        <f>IF(OR(M28790="",N28790=""),"",SUMIFS('Barang Keluar'!$E:$E,'Barang Keluar'!$A:$A,M28790,'Barang Keluar'!$C:$C,N28790))</f>
        <v>0</v>
      </c>
    </row>
    <row r="28791" spans="13:16">
      <c r="M28791" s="49">
        <f>IF($A$4+287&gt;$B$4,"",$A$4+287)</f>
        <v>46310</v>
      </c>
      <c r="N28791">
        <f>IF(M28791="","",'Master Barang'!A85)</f>
        <v>0</v>
      </c>
      <c r="O28791">
        <f>IF(N28791="","",'Master Barang'!B85)</f>
        <v>0</v>
      </c>
      <c r="P28791">
        <f>IF(OR(M28791="",N28791=""),"",SUMIFS('Barang Keluar'!$E:$E,'Barang Keluar'!$A:$A,M28791,'Barang Keluar'!$C:$C,N28791))</f>
        <v>0</v>
      </c>
    </row>
    <row r="28792" spans="13:16">
      <c r="M28792" s="49">
        <f>IF($A$4+287&gt;$B$4,"",$A$4+287)</f>
        <v>46310</v>
      </c>
      <c r="N28792">
        <f>IF(M28792="","",'Master Barang'!A86)</f>
        <v>0</v>
      </c>
      <c r="O28792">
        <f>IF(N28792="","",'Master Barang'!B86)</f>
        <v>0</v>
      </c>
      <c r="P28792">
        <f>IF(OR(M28792="",N28792=""),"",SUMIFS('Barang Keluar'!$E:$E,'Barang Keluar'!$A:$A,M28792,'Barang Keluar'!$C:$C,N28792))</f>
        <v>0</v>
      </c>
    </row>
    <row r="28793" spans="13:16">
      <c r="M28793" s="49">
        <f>IF($A$4+287&gt;$B$4,"",$A$4+287)</f>
        <v>46310</v>
      </c>
      <c r="N28793">
        <f>IF(M28793="","",'Master Barang'!A87)</f>
        <v>0</v>
      </c>
      <c r="O28793">
        <f>IF(N28793="","",'Master Barang'!B87)</f>
        <v>0</v>
      </c>
      <c r="P28793">
        <f>IF(OR(M28793="",N28793=""),"",SUMIFS('Barang Keluar'!$E:$E,'Barang Keluar'!$A:$A,M28793,'Barang Keluar'!$C:$C,N28793))</f>
        <v>0</v>
      </c>
    </row>
    <row r="28794" spans="13:16">
      <c r="M28794" s="49">
        <f>IF($A$4+287&gt;$B$4,"",$A$4+287)</f>
        <v>46310</v>
      </c>
      <c r="N28794">
        <f>IF(M28794="","",'Master Barang'!A88)</f>
        <v>0</v>
      </c>
      <c r="O28794">
        <f>IF(N28794="","",'Master Barang'!B88)</f>
        <v>0</v>
      </c>
      <c r="P28794">
        <f>IF(OR(M28794="",N28794=""),"",SUMIFS('Barang Keluar'!$E:$E,'Barang Keluar'!$A:$A,M28794,'Barang Keluar'!$C:$C,N28794))</f>
        <v>0</v>
      </c>
    </row>
    <row r="28795" spans="13:16">
      <c r="M28795" s="49">
        <f>IF($A$4+287&gt;$B$4,"",$A$4+287)</f>
        <v>46310</v>
      </c>
      <c r="N28795">
        <f>IF(M28795="","",'Master Barang'!A89)</f>
        <v>0</v>
      </c>
      <c r="O28795">
        <f>IF(N28795="","",'Master Barang'!B89)</f>
        <v>0</v>
      </c>
      <c r="P28795">
        <f>IF(OR(M28795="",N28795=""),"",SUMIFS('Barang Keluar'!$E:$E,'Barang Keluar'!$A:$A,M28795,'Barang Keluar'!$C:$C,N28795))</f>
        <v>0</v>
      </c>
    </row>
    <row r="28796" spans="13:16">
      <c r="M28796" s="49">
        <f>IF($A$4+287&gt;$B$4,"",$A$4+287)</f>
        <v>46310</v>
      </c>
      <c r="N28796">
        <f>IF(M28796="","",'Master Barang'!A90)</f>
        <v>0</v>
      </c>
      <c r="O28796">
        <f>IF(N28796="","",'Master Barang'!B90)</f>
        <v>0</v>
      </c>
      <c r="P28796">
        <f>IF(OR(M28796="",N28796=""),"",SUMIFS('Barang Keluar'!$E:$E,'Barang Keluar'!$A:$A,M28796,'Barang Keluar'!$C:$C,N28796))</f>
        <v>0</v>
      </c>
    </row>
    <row r="28797" spans="13:16">
      <c r="M28797" s="49">
        <f>IF($A$4+287&gt;$B$4,"",$A$4+287)</f>
        <v>46310</v>
      </c>
      <c r="N28797">
        <f>IF(M28797="","",'Master Barang'!A91)</f>
        <v>0</v>
      </c>
      <c r="O28797">
        <f>IF(N28797="","",'Master Barang'!B91)</f>
        <v>0</v>
      </c>
      <c r="P28797">
        <f>IF(OR(M28797="",N28797=""),"",SUMIFS('Barang Keluar'!$E:$E,'Barang Keluar'!$A:$A,M28797,'Barang Keluar'!$C:$C,N28797))</f>
        <v>0</v>
      </c>
    </row>
    <row r="28798" spans="13:16">
      <c r="M28798" s="49">
        <f>IF($A$4+287&gt;$B$4,"",$A$4+287)</f>
        <v>46310</v>
      </c>
      <c r="N28798">
        <f>IF(M28798="","",'Master Barang'!A92)</f>
        <v>0</v>
      </c>
      <c r="O28798">
        <f>IF(N28798="","",'Master Barang'!B92)</f>
        <v>0</v>
      </c>
      <c r="P28798">
        <f>IF(OR(M28798="",N28798=""),"",SUMIFS('Barang Keluar'!$E:$E,'Barang Keluar'!$A:$A,M28798,'Barang Keluar'!$C:$C,N28798))</f>
        <v>0</v>
      </c>
    </row>
    <row r="28799" spans="13:16">
      <c r="M28799" s="49">
        <f>IF($A$4+287&gt;$B$4,"",$A$4+287)</f>
        <v>46310</v>
      </c>
      <c r="N28799">
        <f>IF(M28799="","",'Master Barang'!A93)</f>
        <v>0</v>
      </c>
      <c r="O28799">
        <f>IF(N28799="","",'Master Barang'!B93)</f>
        <v>0</v>
      </c>
      <c r="P28799">
        <f>IF(OR(M28799="",N28799=""),"",SUMIFS('Barang Keluar'!$E:$E,'Barang Keluar'!$A:$A,M28799,'Barang Keluar'!$C:$C,N28799))</f>
        <v>0</v>
      </c>
    </row>
    <row r="28800" spans="13:16">
      <c r="M28800" s="49">
        <f>IF($A$4+287&gt;$B$4,"",$A$4+287)</f>
        <v>46310</v>
      </c>
      <c r="N28800">
        <f>IF(M28800="","",'Master Barang'!A94)</f>
        <v>0</v>
      </c>
      <c r="O28800">
        <f>IF(N28800="","",'Master Barang'!B94)</f>
        <v>0</v>
      </c>
      <c r="P28800">
        <f>IF(OR(M28800="",N28800=""),"",SUMIFS('Barang Keluar'!$E:$E,'Barang Keluar'!$A:$A,M28800,'Barang Keluar'!$C:$C,N28800))</f>
        <v>0</v>
      </c>
    </row>
    <row r="28801" spans="13:16">
      <c r="M28801" s="49">
        <f>IF($A$4+287&gt;$B$4,"",$A$4+287)</f>
        <v>46310</v>
      </c>
      <c r="N28801">
        <f>IF(M28801="","",'Master Barang'!A95)</f>
        <v>0</v>
      </c>
      <c r="O28801">
        <f>IF(N28801="","",'Master Barang'!B95)</f>
        <v>0</v>
      </c>
      <c r="P28801">
        <f>IF(OR(M28801="",N28801=""),"",SUMIFS('Barang Keluar'!$E:$E,'Barang Keluar'!$A:$A,M28801,'Barang Keluar'!$C:$C,N28801))</f>
        <v>0</v>
      </c>
    </row>
    <row r="28802" spans="13:16">
      <c r="M28802" s="49">
        <f>IF($A$4+287&gt;$B$4,"",$A$4+287)</f>
        <v>46310</v>
      </c>
      <c r="N28802">
        <f>IF(M28802="","",'Master Barang'!A96)</f>
        <v>0</v>
      </c>
      <c r="O28802">
        <f>IF(N28802="","",'Master Barang'!B96)</f>
        <v>0</v>
      </c>
      <c r="P28802">
        <f>IF(OR(M28802="",N28802=""),"",SUMIFS('Barang Keluar'!$E:$E,'Barang Keluar'!$A:$A,M28802,'Barang Keluar'!$C:$C,N28802))</f>
        <v>0</v>
      </c>
    </row>
    <row r="28803" spans="13:16">
      <c r="M28803" s="49">
        <f>IF($A$4+287&gt;$B$4,"",$A$4+287)</f>
        <v>46310</v>
      </c>
      <c r="N28803">
        <f>IF(M28803="","",'Master Barang'!A97)</f>
        <v>0</v>
      </c>
      <c r="O28803">
        <f>IF(N28803="","",'Master Barang'!B97)</f>
        <v>0</v>
      </c>
      <c r="P28803">
        <f>IF(OR(M28803="",N28803=""),"",SUMIFS('Barang Keluar'!$E:$E,'Barang Keluar'!$A:$A,M28803,'Barang Keluar'!$C:$C,N28803))</f>
        <v>0</v>
      </c>
    </row>
    <row r="28804" spans="13:16">
      <c r="M28804" s="49">
        <f>IF($A$4+287&gt;$B$4,"",$A$4+287)</f>
        <v>46310</v>
      </c>
      <c r="N28804">
        <f>IF(M28804="","",'Master Barang'!A98)</f>
        <v>0</v>
      </c>
      <c r="O28804">
        <f>IF(N28804="","",'Master Barang'!B98)</f>
        <v>0</v>
      </c>
      <c r="P28804">
        <f>IF(OR(M28804="",N28804=""),"",SUMIFS('Barang Keluar'!$E:$E,'Barang Keluar'!$A:$A,M28804,'Barang Keluar'!$C:$C,N28804))</f>
        <v>0</v>
      </c>
    </row>
    <row r="28805" spans="13:16">
      <c r="M28805" s="49">
        <f>IF($A$4+287&gt;$B$4,"",$A$4+287)</f>
        <v>46310</v>
      </c>
      <c r="N28805">
        <f>IF(M28805="","",'Master Barang'!A99)</f>
        <v>0</v>
      </c>
      <c r="O28805">
        <f>IF(N28805="","",'Master Barang'!B99)</f>
        <v>0</v>
      </c>
      <c r="P28805">
        <f>IF(OR(M28805="",N28805=""),"",SUMIFS('Barang Keluar'!$E:$E,'Barang Keluar'!$A:$A,M28805,'Barang Keluar'!$C:$C,N28805))</f>
        <v>0</v>
      </c>
    </row>
    <row r="28806" spans="13:16">
      <c r="M28806" s="49">
        <f>IF($A$4+287&gt;$B$4,"",$A$4+287)</f>
        <v>46310</v>
      </c>
      <c r="N28806">
        <f>IF(M28806="","",'Master Barang'!A100)</f>
        <v>0</v>
      </c>
      <c r="O28806">
        <f>IF(N28806="","",'Master Barang'!B100)</f>
        <v>0</v>
      </c>
      <c r="P28806">
        <f>IF(OR(M28806="",N28806=""),"",SUMIFS('Barang Keluar'!$E:$E,'Barang Keluar'!$A:$A,M28806,'Barang Keluar'!$C:$C,N28806))</f>
        <v>0</v>
      </c>
    </row>
    <row r="28807" spans="13:16">
      <c r="M28807" s="49">
        <f>IF($A$4+287&gt;$B$4,"",$A$4+287)</f>
        <v>46310</v>
      </c>
      <c r="N28807">
        <f>IF(M28807="","",'Master Barang'!A101)</f>
        <v>0</v>
      </c>
      <c r="O28807">
        <f>IF(N28807="","",'Master Barang'!B101)</f>
        <v>0</v>
      </c>
      <c r="P28807">
        <f>IF(OR(M28807="",N28807=""),"",SUMIFS('Barang Keluar'!$E:$E,'Barang Keluar'!$A:$A,M28807,'Barang Keluar'!$C:$C,N28807))</f>
        <v>0</v>
      </c>
    </row>
    <row r="28808" spans="13:16">
      <c r="M28808" s="49">
        <f>IF($A$4+288&gt;$B$4,"",$A$4+288)</f>
        <v>46311</v>
      </c>
      <c r="N28808" t="str">
        <f>IF(M28808="","",'Master Barang'!A2)</f>
        <v>PRL-001</v>
      </c>
      <c r="O28808" t="str">
        <f>IF(N28808="","",'Master Barang'!B2)</f>
        <v>natura desinfectant food grade 5l</v>
      </c>
      <c r="P28808">
        <f>IF(OR(M28808="",N28808=""),"",SUMIFS('Barang Keluar'!$E:$E,'Barang Keluar'!$A:$A,M28808,'Barang Keluar'!$C:$C,N28808))</f>
        <v>0</v>
      </c>
    </row>
    <row r="28809" spans="13:16">
      <c r="M28809" s="49">
        <f>IF($A$4+288&gt;$B$4,"",$A$4+288)</f>
        <v>46311</v>
      </c>
      <c r="N28809" t="str">
        <f>IF(M28809="","",'Master Barang'!A3)</f>
        <v>PRL-002</v>
      </c>
      <c r="O28809" t="str">
        <f>IF(N28809="","",'Master Barang'!B3)</f>
        <v>sunlight cairan pencuci piring 5l</v>
      </c>
      <c r="P28809">
        <f>IF(OR(M28809="",N28809=""),"",SUMIFS('Barang Keluar'!$E:$E,'Barang Keluar'!$A:$A,M28809,'Barang Keluar'!$C:$C,N28809))</f>
        <v>0</v>
      </c>
    </row>
    <row r="28810" spans="13:16">
      <c r="M28810" s="49">
        <f>IF($A$4+288&gt;$B$4,"",$A$4+288)</f>
        <v>46311</v>
      </c>
      <c r="N28810" t="str">
        <f>IF(M28810="","",'Master Barang'!A4)</f>
        <v>PRL-003</v>
      </c>
      <c r="O28810" t="str">
        <f>IF(N28810="","",'Master Barang'!B4)</f>
        <v>oixs cleaner 1l</v>
      </c>
      <c r="P28810">
        <f>IF(OR(M28810="",N28810=""),"",SUMIFS('Barang Keluar'!$E:$E,'Barang Keluar'!$A:$A,M28810,'Barang Keluar'!$C:$C,N28810))</f>
        <v>0</v>
      </c>
    </row>
    <row r="28811" spans="13:16">
      <c r="M28811" s="49">
        <f>IF($A$4+288&gt;$B$4,"",$A$4+288)</f>
        <v>46311</v>
      </c>
      <c r="N28811" t="str">
        <f>IF(M28811="","",'Master Barang'!A5)</f>
        <v>PRL-004</v>
      </c>
      <c r="O28811" t="str">
        <f>IF(N28811="","",'Master Barang'!B5)</f>
        <v>be clean tissue serbaguna</v>
      </c>
      <c r="P28811">
        <f>IF(OR(M28811="",N28811=""),"",SUMIFS('Barang Keluar'!$E:$E,'Barang Keluar'!$A:$A,M28811,'Barang Keluar'!$C:$C,N28811))</f>
        <v>0</v>
      </c>
    </row>
    <row r="28812" spans="13:16">
      <c r="M28812" s="49">
        <f>IF($A$4+288&gt;$B$4,"",$A$4+288)</f>
        <v>46311</v>
      </c>
      <c r="N28812" t="str">
        <f>IF(M28812="","",'Master Barang'!A6)</f>
        <v>PRL-005</v>
      </c>
      <c r="O28812" t="str">
        <f>IF(N28812="","",'Master Barang'!B6)</f>
        <v>spons cuci hijau</v>
      </c>
      <c r="P28812">
        <f>IF(OR(M28812="",N28812=""),"",SUMIFS('Barang Keluar'!$E:$E,'Barang Keluar'!$A:$A,M28812,'Barang Keluar'!$C:$C,N28812))</f>
        <v>0</v>
      </c>
    </row>
    <row r="28813" spans="13:16">
      <c r="M28813" s="49">
        <f>IF($A$4+288&gt;$B$4,"",$A$4+288)</f>
        <v>46311</v>
      </c>
      <c r="N28813" t="str">
        <f>IF(M28813="","",'Master Barang'!A7)</f>
        <v>PRL-006</v>
      </c>
      <c r="O28813" t="str">
        <f>IF(N28813="","",'Master Barang'!B7)</f>
        <v>sabut cuci stainless</v>
      </c>
      <c r="P28813">
        <f>IF(OR(M28813="",N28813=""),"",SUMIFS('Barang Keluar'!$E:$E,'Barang Keluar'!$A:$A,M28813,'Barang Keluar'!$C:$C,N28813))</f>
        <v>0</v>
      </c>
    </row>
    <row r="28814" spans="13:16">
      <c r="M28814" s="49">
        <f>IF($A$4+288&gt;$B$4,"",$A$4+288)</f>
        <v>46311</v>
      </c>
      <c r="N28814" t="str">
        <f>IF(M28814="","",'Master Barang'!A8)</f>
        <v>PRL-007</v>
      </c>
      <c r="O28814" t="str">
        <f>IF(N28814="","",'Master Barang'!B8)</f>
        <v>plastik kresek besar merah 50pc</v>
      </c>
      <c r="P28814">
        <f>IF(OR(M28814="",N28814=""),"",SUMIFS('Barang Keluar'!$E:$E,'Barang Keluar'!$A:$A,M28814,'Barang Keluar'!$C:$C,N28814))</f>
        <v>0</v>
      </c>
    </row>
    <row r="28815" spans="13:16">
      <c r="M28815" s="49">
        <f>IF($A$4+288&gt;$B$4,"",$A$4+288)</f>
        <v>46311</v>
      </c>
      <c r="N28815" t="str">
        <f>IF(M28815="","",'Master Barang'!A9)</f>
        <v>PRL-008</v>
      </c>
      <c r="O28815" t="str">
        <f>IF(N28815="","",'Master Barang'!B9)</f>
        <v>lap besar</v>
      </c>
      <c r="P28815">
        <f>IF(OR(M28815="",N28815=""),"",SUMIFS('Barang Keluar'!$E:$E,'Barang Keluar'!$A:$A,M28815,'Barang Keluar'!$C:$C,N28815))</f>
        <v>0</v>
      </c>
    </row>
    <row r="28816" spans="13:16">
      <c r="M28816" s="49">
        <f>IF($A$4+288&gt;$B$4,"",$A$4+288)</f>
        <v>46311</v>
      </c>
      <c r="N28816" t="str">
        <f>IF(M28816="","",'Master Barang'!A10)</f>
        <v>PRL-009</v>
      </c>
      <c r="O28816" t="str">
        <f>IF(N28816="","",'Master Barang'!B10)</f>
        <v>lap microfiber</v>
      </c>
      <c r="P28816">
        <f>IF(OR(M28816="",N28816=""),"",SUMIFS('Barang Keluar'!$E:$E,'Barang Keluar'!$A:$A,M28816,'Barang Keluar'!$C:$C,N28816))</f>
        <v>0</v>
      </c>
    </row>
    <row r="28817" spans="13:16">
      <c r="M28817" s="49">
        <f>IF($A$4+288&gt;$B$4,"",$A$4+288)</f>
        <v>46311</v>
      </c>
      <c r="N28817" t="str">
        <f>IF(M28817="","",'Master Barang'!A11)</f>
        <v>PRL-010</v>
      </c>
      <c r="O28817" t="str">
        <f>IF(N28817="","",'Master Barang'!B11)</f>
        <v>lap kecil</v>
      </c>
      <c r="P28817">
        <f>IF(OR(M28817="",N28817=""),"",SUMIFS('Barang Keluar'!$E:$E,'Barang Keluar'!$A:$A,M28817,'Barang Keluar'!$C:$C,N28817))</f>
        <v>0</v>
      </c>
    </row>
    <row r="28818" spans="13:16">
      <c r="M28818" s="49">
        <f>IF($A$4+288&gt;$B$4,"",$A$4+288)</f>
        <v>46311</v>
      </c>
      <c r="N28818" t="str">
        <f>IF(M28818="","",'Master Barang'!A12)</f>
        <v>PRL-011</v>
      </c>
      <c r="O28818" t="str">
        <f>IF(N28818="","",'Master Barang'!B12)</f>
        <v>kanebo kecil</v>
      </c>
      <c r="P28818">
        <f>IF(OR(M28818="",N28818=""),"",SUMIFS('Barang Keluar'!$E:$E,'Barang Keluar'!$A:$A,M28818,'Barang Keluar'!$C:$C,N28818))</f>
        <v>0</v>
      </c>
    </row>
    <row r="28819" spans="13:16">
      <c r="M28819" s="49">
        <f>IF($A$4+288&gt;$B$4,"",$A$4+288)</f>
        <v>46311</v>
      </c>
      <c r="N28819" t="str">
        <f>IF(M28819="","",'Master Barang'!A13)</f>
        <v>PRL-012</v>
      </c>
      <c r="O28819" t="str">
        <f>IF(N28819="","",'Master Barang'!B13)</f>
        <v>plastik 1/4kg joyoboyo 100 lembar</v>
      </c>
      <c r="P28819">
        <f>IF(OR(M28819="",N28819=""),"",SUMIFS('Barang Keluar'!$E:$E,'Barang Keluar'!$A:$A,M28819,'Barang Keluar'!$C:$C,N28819))</f>
        <v>0</v>
      </c>
    </row>
    <row r="28820" spans="13:16">
      <c r="M28820" s="49">
        <f>IF($A$4+288&gt;$B$4,"",$A$4+288)</f>
        <v>46311</v>
      </c>
      <c r="N28820" t="str">
        <f>IF(M28820="","",'Master Barang'!A14)</f>
        <v>PRL-013</v>
      </c>
      <c r="O28820" t="str">
        <f>IF(N28820="","",'Master Barang'!B14)</f>
        <v>sarung tangan plastik kaka 100 pcs</v>
      </c>
      <c r="P28820">
        <f>IF(OR(M28820="",N28820=""),"",SUMIFS('Barang Keluar'!$E:$E,'Barang Keluar'!$A:$A,M28820,'Barang Keluar'!$C:$C,N28820))</f>
        <v>0</v>
      </c>
    </row>
    <row r="28821" spans="13:16">
      <c r="M28821" s="49">
        <f>IF($A$4+288&gt;$B$4,"",$A$4+288)</f>
        <v>46311</v>
      </c>
      <c r="N28821" t="str">
        <f>IF(M28821="","",'Master Barang'!A15)</f>
        <v>PRL-014</v>
      </c>
      <c r="O28821" t="str">
        <f>IF(N28821="","",'Master Barang'!B15)</f>
        <v>optima trashbag 80x100</v>
      </c>
      <c r="P28821">
        <f>IF(OR(M28821="",N28821=""),"",SUMIFS('Barang Keluar'!$E:$E,'Barang Keluar'!$A:$A,M28821,'Barang Keluar'!$C:$C,N28821))</f>
        <v>0</v>
      </c>
    </row>
    <row r="28822" spans="13:16">
      <c r="M28822" s="49">
        <f>IF($A$4+288&gt;$B$4,"",$A$4+288)</f>
        <v>46311</v>
      </c>
      <c r="N28822" t="str">
        <f>IF(M28822="","",'Master Barang'!A16)</f>
        <v>PRL-015</v>
      </c>
      <c r="O28822" t="str">
        <f>IF(N28822="","",'Master Barang'!B16)</f>
        <v>optima trashbag 60x100</v>
      </c>
      <c r="P28822">
        <f>IF(OR(M28822="",N28822=""),"",SUMIFS('Barang Keluar'!$E:$E,'Barang Keluar'!$A:$A,M28822,'Barang Keluar'!$C:$C,N28822))</f>
        <v>0</v>
      </c>
    </row>
    <row r="28823" spans="13:16">
      <c r="M28823" s="49">
        <f>IF($A$4+288&gt;$B$4,"",$A$4+288)</f>
        <v>46311</v>
      </c>
      <c r="N28823" t="str">
        <f>IF(M28823="","",'Master Barang'!A17)</f>
        <v>PRL-016</v>
      </c>
      <c r="O28823" t="str">
        <f>IF(N28823="","",'Master Barang'!B17)</f>
        <v>rajawali trashbag 30x40</v>
      </c>
      <c r="P28823">
        <f>IF(OR(M28823="",N28823=""),"",SUMIFS('Barang Keluar'!$E:$E,'Barang Keluar'!$A:$A,M28823,'Barang Keluar'!$C:$C,N28823))</f>
        <v>0</v>
      </c>
    </row>
    <row r="28824" spans="13:16">
      <c r="M28824" s="49">
        <f>IF($A$4+288&gt;$B$4,"",$A$4+288)</f>
        <v>46311</v>
      </c>
      <c r="N28824" t="str">
        <f>IF(M28824="","",'Master Barang'!A18)</f>
        <v>PRL-017</v>
      </c>
      <c r="O28824" t="str">
        <f>IF(N28824="","",'Master Barang'!B18)</f>
        <v>onemed masker biru 3 play 50 pcs</v>
      </c>
      <c r="P28824">
        <f>IF(OR(M28824="",N28824=""),"",SUMIFS('Barang Keluar'!$E:$E,'Barang Keluar'!$A:$A,M28824,'Barang Keluar'!$C:$C,N28824))</f>
        <v>0</v>
      </c>
    </row>
    <row r="28825" spans="13:16">
      <c r="M28825" s="49">
        <f>IF($A$4+288&gt;$B$4,"",$A$4+288)</f>
        <v>46311</v>
      </c>
      <c r="N28825" t="str">
        <f>IF(M28825="","",'Master Barang'!A19)</f>
        <v>PRL-018</v>
      </c>
      <c r="O28825" t="str">
        <f>IF(N28825="","",'Master Barang'!B19)</f>
        <v>onemed masker biru 3 play hijab 50 pcs</v>
      </c>
      <c r="P28825">
        <f>IF(OR(M28825="",N28825=""),"",SUMIFS('Barang Keluar'!$E:$E,'Barang Keluar'!$A:$A,M28825,'Barang Keluar'!$C:$C,N28825))</f>
        <v>0</v>
      </c>
    </row>
    <row r="28826" spans="13:16">
      <c r="M28826" s="49">
        <f>IF($A$4+288&gt;$B$4,"",$A$4+288)</f>
        <v>46311</v>
      </c>
      <c r="N28826" t="str">
        <f>IF(M28826="","",'Master Barang'!A20)</f>
        <v>PRL-019</v>
      </c>
      <c r="O28826" t="str">
        <f>IF(N28826="","",'Master Barang'!B20)</f>
        <v>neo health masker biru 3 play 50 pcs</v>
      </c>
      <c r="P28826">
        <f>IF(OR(M28826="",N28826=""),"",SUMIFS('Barang Keluar'!$E:$E,'Barang Keluar'!$A:$A,M28826,'Barang Keluar'!$C:$C,N28826))</f>
        <v>0</v>
      </c>
    </row>
    <row r="28827" spans="13:16">
      <c r="M28827" s="49">
        <f>IF($A$4+288&gt;$B$4,"",$A$4+288)</f>
        <v>46311</v>
      </c>
      <c r="N28827" t="str">
        <f>IF(M28827="","",'Master Barang'!A21)</f>
        <v>PRL-020</v>
      </c>
      <c r="O28827" t="str">
        <f>IF(N28827="","",'Master Barang'!B21)</f>
        <v>baymed masker hijau 3 play hijau 50 pcs</v>
      </c>
      <c r="P28827">
        <f>IF(OR(M28827="",N28827=""),"",SUMIFS('Barang Keluar'!$E:$E,'Barang Keluar'!$A:$A,M28827,'Barang Keluar'!$C:$C,N28827))</f>
        <v>0</v>
      </c>
    </row>
    <row r="28828" spans="13:16">
      <c r="M28828" s="49">
        <f>IF($A$4+288&gt;$B$4,"",$A$4+288)</f>
        <v>46311</v>
      </c>
      <c r="N28828" t="str">
        <f>IF(M28828="","",'Master Barang'!A22)</f>
        <v>PRL-021</v>
      </c>
      <c r="O28828" t="str">
        <f>IF(N28828="","",'Master Barang'!B22)</f>
        <v>altamed nurse cap penutup kepala 100 pcs</v>
      </c>
      <c r="P28828">
        <f>IF(OR(M28828="",N28828=""),"",SUMIFS('Barang Keluar'!$E:$E,'Barang Keluar'!$A:$A,M28828,'Barang Keluar'!$C:$C,N28828))</f>
        <v>0</v>
      </c>
    </row>
    <row r="28829" spans="13:16">
      <c r="M28829" s="49">
        <f>IF($A$4+288&gt;$B$4,"",$A$4+288)</f>
        <v>46311</v>
      </c>
      <c r="N28829" t="str">
        <f>IF(M28829="","",'Master Barang'!A23)</f>
        <v>PRL-022</v>
      </c>
      <c r="O28829" t="str">
        <f>IF(N28829="","",'Master Barang'!B23)</f>
        <v>sabun cuci tangan</v>
      </c>
      <c r="P28829">
        <f>IF(OR(M28829="",N28829=""),"",SUMIFS('Barang Keluar'!$E:$E,'Barang Keluar'!$A:$A,M28829,'Barang Keluar'!$C:$C,N28829))</f>
        <v>0</v>
      </c>
    </row>
    <row r="28830" spans="13:16">
      <c r="M28830" s="49">
        <f>IF($A$4+288&gt;$B$4,"",$A$4+288)</f>
        <v>46311</v>
      </c>
      <c r="N28830" t="str">
        <f>IF(M28830="","",'Master Barang'!A24)</f>
        <v>PRL-023</v>
      </c>
      <c r="O28830" t="str">
        <f>IF(N28830="","",'Master Barang'!B24)</f>
        <v>gayung kecil</v>
      </c>
      <c r="P28830">
        <f>IF(OR(M28830="",N28830=""),"",SUMIFS('Barang Keluar'!$E:$E,'Barang Keluar'!$A:$A,M28830,'Barang Keluar'!$C:$C,N28830))</f>
        <v>0</v>
      </c>
    </row>
    <row r="28831" spans="13:16">
      <c r="M28831" s="49">
        <f>IF($A$4+288&gt;$B$4,"",$A$4+288)</f>
        <v>46311</v>
      </c>
      <c r="N28831" t="str">
        <f>IF(M28831="","",'Master Barang'!A25)</f>
        <v>PRL-024</v>
      </c>
      <c r="O28831" t="str">
        <f>IF(N28831="","",'Master Barang'!B25)</f>
        <v>cikrak kecil</v>
      </c>
      <c r="P28831">
        <f>IF(OR(M28831="",N28831=""),"",SUMIFS('Barang Keluar'!$E:$E,'Barang Keluar'!$A:$A,M28831,'Barang Keluar'!$C:$C,N28831))</f>
        <v>0</v>
      </c>
    </row>
    <row r="28832" spans="13:16">
      <c r="M28832" s="49">
        <f>IF($A$4+288&gt;$B$4,"",$A$4+288)</f>
        <v>46311</v>
      </c>
      <c r="N28832" t="str">
        <f>IF(M28832="","",'Master Barang'!A26)</f>
        <v>PRL-025</v>
      </c>
      <c r="O28832" t="str">
        <f>IF(N28832="","",'Master Barang'!B26)</f>
        <v>petromax plastik kecil 12x24 100 lembar</v>
      </c>
      <c r="P28832">
        <f>IF(OR(M28832="",N28832=""),"",SUMIFS('Barang Keluar'!$E:$E,'Barang Keluar'!$A:$A,M28832,'Barang Keluar'!$C:$C,N28832))</f>
        <v>0</v>
      </c>
    </row>
    <row r="28833" spans="13:16">
      <c r="M28833" s="49">
        <f>IF($A$4+288&gt;$B$4,"",$A$4+288)</f>
        <v>46311</v>
      </c>
      <c r="N28833" t="str">
        <f>IF(M28833="","",'Master Barang'!A27)</f>
        <v>PRL-026</v>
      </c>
      <c r="O28833" t="str">
        <f>IF(N28833="","",'Master Barang'!B27)</f>
        <v>lancar kresek kecil bening </v>
      </c>
      <c r="P28833">
        <f>IF(OR(M28833="",N28833=""),"",SUMIFS('Barang Keluar'!$E:$E,'Barang Keluar'!$A:$A,M28833,'Barang Keluar'!$C:$C,N28833))</f>
        <v>0</v>
      </c>
    </row>
    <row r="28834" spans="13:16">
      <c r="M28834" s="49">
        <f>IF($A$4+288&gt;$B$4,"",$A$4+288)</f>
        <v>46311</v>
      </c>
      <c r="N28834" t="str">
        <f>IF(M28834="","",'Master Barang'!A28)</f>
        <v>PRL-027</v>
      </c>
      <c r="O28834" t="str">
        <f>IF(N28834="","",'Master Barang'!B28)</f>
        <v>kresek klin warna warni kecil</v>
      </c>
      <c r="P28834">
        <f>IF(OR(M28834="",N28834=""),"",SUMIFS('Barang Keluar'!$E:$E,'Barang Keluar'!$A:$A,M28834,'Barang Keluar'!$C:$C,N28834))</f>
        <v>0</v>
      </c>
    </row>
    <row r="28835" spans="13:16">
      <c r="M28835" s="49">
        <f>IF($A$4+288&gt;$B$4,"",$A$4+288)</f>
        <v>46311</v>
      </c>
      <c r="N28835" t="str">
        <f>IF(M28835="","",'Master Barang'!A29)</f>
        <v>PRL-028</v>
      </c>
      <c r="O28835" t="str">
        <f>IF(N28835="","",'Master Barang'!B29)</f>
        <v>ctik plastik 7x10 100 pcs</v>
      </c>
      <c r="P28835">
        <f>IF(OR(M28835="",N28835=""),"",SUMIFS('Barang Keluar'!$E:$E,'Barang Keluar'!$A:$A,M28835,'Barang Keluar'!$C:$C,N28835))</f>
        <v>0</v>
      </c>
    </row>
    <row r="28836" spans="13:16">
      <c r="M28836" s="49">
        <f>IF($A$4+288&gt;$B$4,"",$A$4+288)</f>
        <v>46311</v>
      </c>
      <c r="N28836" t="str">
        <f>IF(M28836="","",'Master Barang'!A30)</f>
        <v>PRL-029</v>
      </c>
      <c r="O28836" t="str">
        <f>IF(N28836="","",'Master Barang'!B30)</f>
        <v>ctik plastik 6x10 100 pcs</v>
      </c>
      <c r="P28836">
        <f>IF(OR(M28836="",N28836=""),"",SUMIFS('Barang Keluar'!$E:$E,'Barang Keluar'!$A:$A,M28836,'Barang Keluar'!$C:$C,N28836))</f>
        <v>0</v>
      </c>
    </row>
    <row r="28837" spans="13:16">
      <c r="M28837" s="49">
        <f>IF($A$4+288&gt;$B$4,"",$A$4+288)</f>
        <v>46311</v>
      </c>
      <c r="N28837" t="str">
        <f>IF(M28837="","",'Master Barang'!A31)</f>
        <v>PRL-030</v>
      </c>
      <c r="O28837" t="str">
        <f>IF(N28837="","",'Master Barang'!B31)</f>
        <v>klip plastik 25x16 100 pcs</v>
      </c>
      <c r="P28837">
        <f>IF(OR(M28837="",N28837=""),"",SUMIFS('Barang Keluar'!$E:$E,'Barang Keluar'!$A:$A,M28837,'Barang Keluar'!$C:$C,N28837))</f>
        <v>0</v>
      </c>
    </row>
    <row r="28838" spans="13:16">
      <c r="M28838" s="49">
        <f>IF($A$4+288&gt;$B$4,"",$A$4+288)</f>
        <v>46311</v>
      </c>
      <c r="N28838" t="str">
        <f>IF(M28838="","",'Master Barang'!A32)</f>
        <v>PRL-031</v>
      </c>
      <c r="O28838" t="str">
        <f>IF(N28838="","",'Master Barang'!B32)</f>
        <v>tempat saus 20 ml</v>
      </c>
      <c r="P28838">
        <f>IF(OR(M28838="",N28838=""),"",SUMIFS('Barang Keluar'!$E:$E,'Barang Keluar'!$A:$A,M28838,'Barang Keluar'!$C:$C,N28838))</f>
        <v>0</v>
      </c>
    </row>
    <row r="28839" spans="13:16">
      <c r="M28839" s="49">
        <f>IF($A$4+288&gt;$B$4,"",$A$4+288)</f>
        <v>46311</v>
      </c>
      <c r="N28839" t="str">
        <f>IF(M28839="","",'Master Barang'!A33)</f>
        <v>PRL-032</v>
      </c>
      <c r="O28839" t="str">
        <f>IF(N28839="","",'Master Barang'!B33)</f>
        <v>plastik packaging ag box uk sedang</v>
      </c>
      <c r="P28839">
        <f>IF(OR(M28839="",N28839=""),"",SUMIFS('Barang Keluar'!$E:$E,'Barang Keluar'!$A:$A,M28839,'Barang Keluar'!$C:$C,N28839))</f>
        <v>0</v>
      </c>
    </row>
    <row r="28840" spans="13:16">
      <c r="M28840" s="49">
        <f>IF($A$4+288&gt;$B$4,"",$A$4+288)</f>
        <v>46311</v>
      </c>
      <c r="N28840" t="str">
        <f>IF(M28840="","",'Master Barang'!A34)</f>
        <v>PRL-033</v>
      </c>
      <c r="O28840">
        <f>IF(N28840="","",'Master Barang'!B34)</f>
        <v>0</v>
      </c>
      <c r="P28840">
        <f>IF(OR(M28840="",N28840=""),"",SUMIFS('Barang Keluar'!$E:$E,'Barang Keluar'!$A:$A,M28840,'Barang Keluar'!$C:$C,N28840))</f>
        <v>0</v>
      </c>
    </row>
    <row r="28841" spans="13:16">
      <c r="M28841" s="49">
        <f>IF($A$4+288&gt;$B$4,"",$A$4+288)</f>
        <v>46311</v>
      </c>
      <c r="N28841">
        <f>IF(M28841="","",'Master Barang'!A35)</f>
        <v>0</v>
      </c>
      <c r="O28841">
        <f>IF(N28841="","",'Master Barang'!B35)</f>
        <v>0</v>
      </c>
      <c r="P28841">
        <f>IF(OR(M28841="",N28841=""),"",SUMIFS('Barang Keluar'!$E:$E,'Barang Keluar'!$A:$A,M28841,'Barang Keluar'!$C:$C,N28841))</f>
        <v>0</v>
      </c>
    </row>
    <row r="28842" spans="13:16">
      <c r="M28842" s="49">
        <f>IF($A$4+288&gt;$B$4,"",$A$4+288)</f>
        <v>46311</v>
      </c>
      <c r="N28842">
        <f>IF(M28842="","",'Master Barang'!A36)</f>
        <v>0</v>
      </c>
      <c r="O28842">
        <f>IF(N28842="","",'Master Barang'!B36)</f>
        <v>0</v>
      </c>
      <c r="P28842">
        <f>IF(OR(M28842="",N28842=""),"",SUMIFS('Barang Keluar'!$E:$E,'Barang Keluar'!$A:$A,M28842,'Barang Keluar'!$C:$C,N28842))</f>
        <v>0</v>
      </c>
    </row>
    <row r="28843" spans="13:16">
      <c r="M28843" s="49">
        <f>IF($A$4+288&gt;$B$4,"",$A$4+288)</f>
        <v>46311</v>
      </c>
      <c r="N28843">
        <f>IF(M28843="","",'Master Barang'!A37)</f>
        <v>0</v>
      </c>
      <c r="O28843">
        <f>IF(N28843="","",'Master Barang'!B37)</f>
        <v>0</v>
      </c>
      <c r="P28843">
        <f>IF(OR(M28843="",N28843=""),"",SUMIFS('Barang Keluar'!$E:$E,'Barang Keluar'!$A:$A,M28843,'Barang Keluar'!$C:$C,N28843))</f>
        <v>0</v>
      </c>
    </row>
    <row r="28844" spans="13:16">
      <c r="M28844" s="49">
        <f>IF($A$4+288&gt;$B$4,"",$A$4+288)</f>
        <v>46311</v>
      </c>
      <c r="N28844">
        <f>IF(M28844="","",'Master Barang'!A38)</f>
        <v>0</v>
      </c>
      <c r="O28844">
        <f>IF(N28844="","",'Master Barang'!B38)</f>
        <v>0</v>
      </c>
      <c r="P28844">
        <f>IF(OR(M28844="",N28844=""),"",SUMIFS('Barang Keluar'!$E:$E,'Barang Keluar'!$A:$A,M28844,'Barang Keluar'!$C:$C,N28844))</f>
        <v>0</v>
      </c>
    </row>
    <row r="28845" spans="13:16">
      <c r="M28845" s="49">
        <f>IF($A$4+288&gt;$B$4,"",$A$4+288)</f>
        <v>46311</v>
      </c>
      <c r="N28845">
        <f>IF(M28845="","",'Master Barang'!A39)</f>
        <v>0</v>
      </c>
      <c r="O28845">
        <f>IF(N28845="","",'Master Barang'!B39)</f>
        <v>0</v>
      </c>
      <c r="P28845">
        <f>IF(OR(M28845="",N28845=""),"",SUMIFS('Barang Keluar'!$E:$E,'Barang Keluar'!$A:$A,M28845,'Barang Keluar'!$C:$C,N28845))</f>
        <v>0</v>
      </c>
    </row>
    <row r="28846" spans="13:16">
      <c r="M28846" s="49">
        <f>IF($A$4+288&gt;$B$4,"",$A$4+288)</f>
        <v>46311</v>
      </c>
      <c r="N28846">
        <f>IF(M28846="","",'Master Barang'!A40)</f>
        <v>0</v>
      </c>
      <c r="O28846">
        <f>IF(N28846="","",'Master Barang'!B40)</f>
        <v>0</v>
      </c>
      <c r="P28846">
        <f>IF(OR(M28846="",N28846=""),"",SUMIFS('Barang Keluar'!$E:$E,'Barang Keluar'!$A:$A,M28846,'Barang Keluar'!$C:$C,N28846))</f>
        <v>0</v>
      </c>
    </row>
    <row r="28847" spans="13:16">
      <c r="M28847" s="49">
        <f>IF($A$4+288&gt;$B$4,"",$A$4+288)</f>
        <v>46311</v>
      </c>
      <c r="N28847">
        <f>IF(M28847="","",'Master Barang'!A41)</f>
        <v>0</v>
      </c>
      <c r="O28847">
        <f>IF(N28847="","",'Master Barang'!B41)</f>
        <v>0</v>
      </c>
      <c r="P28847">
        <f>IF(OR(M28847="",N28847=""),"",SUMIFS('Barang Keluar'!$E:$E,'Barang Keluar'!$A:$A,M28847,'Barang Keluar'!$C:$C,N28847))</f>
        <v>0</v>
      </c>
    </row>
    <row r="28848" spans="13:16">
      <c r="M28848" s="49">
        <f>IF($A$4+288&gt;$B$4,"",$A$4+288)</f>
        <v>46311</v>
      </c>
      <c r="N28848">
        <f>IF(M28848="","",'Master Barang'!A42)</f>
        <v>0</v>
      </c>
      <c r="O28848">
        <f>IF(N28848="","",'Master Barang'!B42)</f>
        <v>0</v>
      </c>
      <c r="P28848">
        <f>IF(OR(M28848="",N28848=""),"",SUMIFS('Barang Keluar'!$E:$E,'Barang Keluar'!$A:$A,M28848,'Barang Keluar'!$C:$C,N28848))</f>
        <v>0</v>
      </c>
    </row>
    <row r="28849" spans="13:16">
      <c r="M28849" s="49">
        <f>IF($A$4+288&gt;$B$4,"",$A$4+288)</f>
        <v>46311</v>
      </c>
      <c r="N28849">
        <f>IF(M28849="","",'Master Barang'!A43)</f>
        <v>0</v>
      </c>
      <c r="O28849">
        <f>IF(N28849="","",'Master Barang'!B43)</f>
        <v>0</v>
      </c>
      <c r="P28849">
        <f>IF(OR(M28849="",N28849=""),"",SUMIFS('Barang Keluar'!$E:$E,'Barang Keluar'!$A:$A,M28849,'Barang Keluar'!$C:$C,N28849))</f>
        <v>0</v>
      </c>
    </row>
    <row r="28850" spans="13:16">
      <c r="M28850" s="49">
        <f>IF($A$4+288&gt;$B$4,"",$A$4+288)</f>
        <v>46311</v>
      </c>
      <c r="N28850">
        <f>IF(M28850="","",'Master Barang'!A44)</f>
        <v>0</v>
      </c>
      <c r="O28850">
        <f>IF(N28850="","",'Master Barang'!B44)</f>
        <v>0</v>
      </c>
      <c r="P28850">
        <f>IF(OR(M28850="",N28850=""),"",SUMIFS('Barang Keluar'!$E:$E,'Barang Keluar'!$A:$A,M28850,'Barang Keluar'!$C:$C,N28850))</f>
        <v>0</v>
      </c>
    </row>
    <row r="28851" spans="13:16">
      <c r="M28851" s="49">
        <f>IF($A$4+288&gt;$B$4,"",$A$4+288)</f>
        <v>46311</v>
      </c>
      <c r="N28851">
        <f>IF(M28851="","",'Master Barang'!A45)</f>
        <v>0</v>
      </c>
      <c r="O28851">
        <f>IF(N28851="","",'Master Barang'!B45)</f>
        <v>0</v>
      </c>
      <c r="P28851">
        <f>IF(OR(M28851="",N28851=""),"",SUMIFS('Barang Keluar'!$E:$E,'Barang Keluar'!$A:$A,M28851,'Barang Keluar'!$C:$C,N28851))</f>
        <v>0</v>
      </c>
    </row>
    <row r="28852" spans="13:16">
      <c r="M28852" s="49">
        <f>IF($A$4+288&gt;$B$4,"",$A$4+288)</f>
        <v>46311</v>
      </c>
      <c r="N28852">
        <f>IF(M28852="","",'Master Barang'!A46)</f>
        <v>0</v>
      </c>
      <c r="O28852">
        <f>IF(N28852="","",'Master Barang'!B46)</f>
        <v>0</v>
      </c>
      <c r="P28852">
        <f>IF(OR(M28852="",N28852=""),"",SUMIFS('Barang Keluar'!$E:$E,'Barang Keluar'!$A:$A,M28852,'Barang Keluar'!$C:$C,N28852))</f>
        <v>0</v>
      </c>
    </row>
    <row r="28853" spans="13:16">
      <c r="M28853" s="49">
        <f>IF($A$4+288&gt;$B$4,"",$A$4+288)</f>
        <v>46311</v>
      </c>
      <c r="N28853">
        <f>IF(M28853="","",'Master Barang'!A47)</f>
        <v>0</v>
      </c>
      <c r="O28853">
        <f>IF(N28853="","",'Master Barang'!B47)</f>
        <v>0</v>
      </c>
      <c r="P28853">
        <f>IF(OR(M28853="",N28853=""),"",SUMIFS('Barang Keluar'!$E:$E,'Barang Keluar'!$A:$A,M28853,'Barang Keluar'!$C:$C,N28853))</f>
        <v>0</v>
      </c>
    </row>
    <row r="28854" spans="13:16">
      <c r="M28854" s="49">
        <f>IF($A$4+288&gt;$B$4,"",$A$4+288)</f>
        <v>46311</v>
      </c>
      <c r="N28854">
        <f>IF(M28854="","",'Master Barang'!A48)</f>
        <v>0</v>
      </c>
      <c r="O28854">
        <f>IF(N28854="","",'Master Barang'!B48)</f>
        <v>0</v>
      </c>
      <c r="P28854">
        <f>IF(OR(M28854="",N28854=""),"",SUMIFS('Barang Keluar'!$E:$E,'Barang Keluar'!$A:$A,M28854,'Barang Keluar'!$C:$C,N28854))</f>
        <v>0</v>
      </c>
    </row>
    <row r="28855" spans="13:16">
      <c r="M28855" s="49">
        <f>IF($A$4+288&gt;$B$4,"",$A$4+288)</f>
        <v>46311</v>
      </c>
      <c r="N28855">
        <f>IF(M28855="","",'Master Barang'!A49)</f>
        <v>0</v>
      </c>
      <c r="O28855">
        <f>IF(N28855="","",'Master Barang'!B49)</f>
        <v>0</v>
      </c>
      <c r="P28855">
        <f>IF(OR(M28855="",N28855=""),"",SUMIFS('Barang Keluar'!$E:$E,'Barang Keluar'!$A:$A,M28855,'Barang Keluar'!$C:$C,N28855))</f>
        <v>0</v>
      </c>
    </row>
    <row r="28856" spans="13:16">
      <c r="M28856" s="49">
        <f>IF($A$4+288&gt;$B$4,"",$A$4+288)</f>
        <v>46311</v>
      </c>
      <c r="N28856">
        <f>IF(M28856="","",'Master Barang'!A50)</f>
        <v>0</v>
      </c>
      <c r="O28856">
        <f>IF(N28856="","",'Master Barang'!B50)</f>
        <v>0</v>
      </c>
      <c r="P28856">
        <f>IF(OR(M28856="",N28856=""),"",SUMIFS('Barang Keluar'!$E:$E,'Barang Keluar'!$A:$A,M28856,'Barang Keluar'!$C:$C,N28856))</f>
        <v>0</v>
      </c>
    </row>
    <row r="28857" spans="13:16">
      <c r="M28857" s="49">
        <f>IF($A$4+288&gt;$B$4,"",$A$4+288)</f>
        <v>46311</v>
      </c>
      <c r="N28857">
        <f>IF(M28857="","",'Master Barang'!A51)</f>
        <v>0</v>
      </c>
      <c r="O28857">
        <f>IF(N28857="","",'Master Barang'!B51)</f>
        <v>0</v>
      </c>
      <c r="P28857">
        <f>IF(OR(M28857="",N28857=""),"",SUMIFS('Barang Keluar'!$E:$E,'Barang Keluar'!$A:$A,M28857,'Barang Keluar'!$C:$C,N28857))</f>
        <v>0</v>
      </c>
    </row>
    <row r="28858" spans="13:16">
      <c r="M28858" s="49">
        <f>IF($A$4+288&gt;$B$4,"",$A$4+288)</f>
        <v>46311</v>
      </c>
      <c r="N28858">
        <f>IF(M28858="","",'Master Barang'!A52)</f>
        <v>0</v>
      </c>
      <c r="O28858">
        <f>IF(N28858="","",'Master Barang'!B52)</f>
        <v>0</v>
      </c>
      <c r="P28858">
        <f>IF(OR(M28858="",N28858=""),"",SUMIFS('Barang Keluar'!$E:$E,'Barang Keluar'!$A:$A,M28858,'Barang Keluar'!$C:$C,N28858))</f>
        <v>0</v>
      </c>
    </row>
    <row r="28859" spans="13:16">
      <c r="M28859" s="49">
        <f>IF($A$4+288&gt;$B$4,"",$A$4+288)</f>
        <v>46311</v>
      </c>
      <c r="N28859">
        <f>IF(M28859="","",'Master Barang'!A53)</f>
        <v>0</v>
      </c>
      <c r="O28859">
        <f>IF(N28859="","",'Master Barang'!B53)</f>
        <v>0</v>
      </c>
      <c r="P28859">
        <f>IF(OR(M28859="",N28859=""),"",SUMIFS('Barang Keluar'!$E:$E,'Barang Keluar'!$A:$A,M28859,'Barang Keluar'!$C:$C,N28859))</f>
        <v>0</v>
      </c>
    </row>
    <row r="28860" spans="13:16">
      <c r="M28860" s="49">
        <f>IF($A$4+288&gt;$B$4,"",$A$4+288)</f>
        <v>46311</v>
      </c>
      <c r="N28860">
        <f>IF(M28860="","",'Master Barang'!A54)</f>
        <v>0</v>
      </c>
      <c r="O28860">
        <f>IF(N28860="","",'Master Barang'!B54)</f>
        <v>0</v>
      </c>
      <c r="P28860">
        <f>IF(OR(M28860="",N28860=""),"",SUMIFS('Barang Keluar'!$E:$E,'Barang Keluar'!$A:$A,M28860,'Barang Keluar'!$C:$C,N28860))</f>
        <v>0</v>
      </c>
    </row>
    <row r="28861" spans="13:16">
      <c r="M28861" s="49">
        <f>IF($A$4+288&gt;$B$4,"",$A$4+288)</f>
        <v>46311</v>
      </c>
      <c r="N28861">
        <f>IF(M28861="","",'Master Barang'!A55)</f>
        <v>0</v>
      </c>
      <c r="O28861">
        <f>IF(N28861="","",'Master Barang'!B55)</f>
        <v>0</v>
      </c>
      <c r="P28861">
        <f>IF(OR(M28861="",N28861=""),"",SUMIFS('Barang Keluar'!$E:$E,'Barang Keluar'!$A:$A,M28861,'Barang Keluar'!$C:$C,N28861))</f>
        <v>0</v>
      </c>
    </row>
    <row r="28862" spans="13:16">
      <c r="M28862" s="49">
        <f>IF($A$4+288&gt;$B$4,"",$A$4+288)</f>
        <v>46311</v>
      </c>
      <c r="N28862">
        <f>IF(M28862="","",'Master Barang'!A56)</f>
        <v>0</v>
      </c>
      <c r="O28862">
        <f>IF(N28862="","",'Master Barang'!B56)</f>
        <v>0</v>
      </c>
      <c r="P28862">
        <f>IF(OR(M28862="",N28862=""),"",SUMIFS('Barang Keluar'!$E:$E,'Barang Keluar'!$A:$A,M28862,'Barang Keluar'!$C:$C,N28862))</f>
        <v>0</v>
      </c>
    </row>
    <row r="28863" spans="13:16">
      <c r="M28863" s="49">
        <f>IF($A$4+288&gt;$B$4,"",$A$4+288)</f>
        <v>46311</v>
      </c>
      <c r="N28863">
        <f>IF(M28863="","",'Master Barang'!A57)</f>
        <v>0</v>
      </c>
      <c r="O28863">
        <f>IF(N28863="","",'Master Barang'!B57)</f>
        <v>0</v>
      </c>
      <c r="P28863">
        <f>IF(OR(M28863="",N28863=""),"",SUMIFS('Barang Keluar'!$E:$E,'Barang Keluar'!$A:$A,M28863,'Barang Keluar'!$C:$C,N28863))</f>
        <v>0</v>
      </c>
    </row>
    <row r="28864" spans="13:16">
      <c r="M28864" s="49">
        <f>IF($A$4+288&gt;$B$4,"",$A$4+288)</f>
        <v>46311</v>
      </c>
      <c r="N28864">
        <f>IF(M28864="","",'Master Barang'!A58)</f>
        <v>0</v>
      </c>
      <c r="O28864">
        <f>IF(N28864="","",'Master Barang'!B58)</f>
        <v>0</v>
      </c>
      <c r="P28864">
        <f>IF(OR(M28864="",N28864=""),"",SUMIFS('Barang Keluar'!$E:$E,'Barang Keluar'!$A:$A,M28864,'Barang Keluar'!$C:$C,N28864))</f>
        <v>0</v>
      </c>
    </row>
    <row r="28865" spans="13:16">
      <c r="M28865" s="49">
        <f>IF($A$4+288&gt;$B$4,"",$A$4+288)</f>
        <v>46311</v>
      </c>
      <c r="N28865">
        <f>IF(M28865="","",'Master Barang'!A59)</f>
        <v>0</v>
      </c>
      <c r="O28865">
        <f>IF(N28865="","",'Master Barang'!B59)</f>
        <v>0</v>
      </c>
      <c r="P28865">
        <f>IF(OR(M28865="",N28865=""),"",SUMIFS('Barang Keluar'!$E:$E,'Barang Keluar'!$A:$A,M28865,'Barang Keluar'!$C:$C,N28865))</f>
        <v>0</v>
      </c>
    </row>
    <row r="28866" spans="13:16">
      <c r="M28866" s="49">
        <f>IF($A$4+288&gt;$B$4,"",$A$4+288)</f>
        <v>46311</v>
      </c>
      <c r="N28866">
        <f>IF(M28866="","",'Master Barang'!A60)</f>
        <v>0</v>
      </c>
      <c r="O28866">
        <f>IF(N28866="","",'Master Barang'!B60)</f>
        <v>0</v>
      </c>
      <c r="P28866">
        <f>IF(OR(M28866="",N28866=""),"",SUMIFS('Barang Keluar'!$E:$E,'Barang Keluar'!$A:$A,M28866,'Barang Keluar'!$C:$C,N28866))</f>
        <v>0</v>
      </c>
    </row>
    <row r="28867" spans="13:16">
      <c r="M28867" s="49">
        <f>IF($A$4+288&gt;$B$4,"",$A$4+288)</f>
        <v>46311</v>
      </c>
      <c r="N28867">
        <f>IF(M28867="","",'Master Barang'!A61)</f>
        <v>0</v>
      </c>
      <c r="O28867">
        <f>IF(N28867="","",'Master Barang'!B61)</f>
        <v>0</v>
      </c>
      <c r="P28867">
        <f>IF(OR(M28867="",N28867=""),"",SUMIFS('Barang Keluar'!$E:$E,'Barang Keluar'!$A:$A,M28867,'Barang Keluar'!$C:$C,N28867))</f>
        <v>0</v>
      </c>
    </row>
    <row r="28868" spans="13:16">
      <c r="M28868" s="49">
        <f>IF($A$4+288&gt;$B$4,"",$A$4+288)</f>
        <v>46311</v>
      </c>
      <c r="N28868">
        <f>IF(M28868="","",'Master Barang'!A62)</f>
        <v>0</v>
      </c>
      <c r="O28868">
        <f>IF(N28868="","",'Master Barang'!B62)</f>
        <v>0</v>
      </c>
      <c r="P28868">
        <f>IF(OR(M28868="",N28868=""),"",SUMIFS('Barang Keluar'!$E:$E,'Barang Keluar'!$A:$A,M28868,'Barang Keluar'!$C:$C,N28868))</f>
        <v>0</v>
      </c>
    </row>
    <row r="28869" spans="13:16">
      <c r="M28869" s="49">
        <f>IF($A$4+288&gt;$B$4,"",$A$4+288)</f>
        <v>46311</v>
      </c>
      <c r="N28869">
        <f>IF(M28869="","",'Master Barang'!A63)</f>
        <v>0</v>
      </c>
      <c r="O28869">
        <f>IF(N28869="","",'Master Barang'!B63)</f>
        <v>0</v>
      </c>
      <c r="P28869">
        <f>IF(OR(M28869="",N28869=""),"",SUMIFS('Barang Keluar'!$E:$E,'Barang Keluar'!$A:$A,M28869,'Barang Keluar'!$C:$C,N28869))</f>
        <v>0</v>
      </c>
    </row>
    <row r="28870" spans="13:16">
      <c r="M28870" s="49">
        <f>IF($A$4+288&gt;$B$4,"",$A$4+288)</f>
        <v>46311</v>
      </c>
      <c r="N28870">
        <f>IF(M28870="","",'Master Barang'!A64)</f>
        <v>0</v>
      </c>
      <c r="O28870">
        <f>IF(N28870="","",'Master Barang'!B64)</f>
        <v>0</v>
      </c>
      <c r="P28870">
        <f>IF(OR(M28870="",N28870=""),"",SUMIFS('Barang Keluar'!$E:$E,'Barang Keluar'!$A:$A,M28870,'Barang Keluar'!$C:$C,N28870))</f>
        <v>0</v>
      </c>
    </row>
    <row r="28871" spans="13:16">
      <c r="M28871" s="49">
        <f>IF($A$4+288&gt;$B$4,"",$A$4+288)</f>
        <v>46311</v>
      </c>
      <c r="N28871">
        <f>IF(M28871="","",'Master Barang'!A65)</f>
        <v>0</v>
      </c>
      <c r="O28871">
        <f>IF(N28871="","",'Master Barang'!B65)</f>
        <v>0</v>
      </c>
      <c r="P28871">
        <f>IF(OR(M28871="",N28871=""),"",SUMIFS('Barang Keluar'!$E:$E,'Barang Keluar'!$A:$A,M28871,'Barang Keluar'!$C:$C,N28871))</f>
        <v>0</v>
      </c>
    </row>
    <row r="28872" spans="13:16">
      <c r="M28872" s="49">
        <f>IF($A$4+288&gt;$B$4,"",$A$4+288)</f>
        <v>46311</v>
      </c>
      <c r="N28872">
        <f>IF(M28872="","",'Master Barang'!A66)</f>
        <v>0</v>
      </c>
      <c r="O28872">
        <f>IF(N28872="","",'Master Barang'!B66)</f>
        <v>0</v>
      </c>
      <c r="P28872">
        <f>IF(OR(M28872="",N28872=""),"",SUMIFS('Barang Keluar'!$E:$E,'Barang Keluar'!$A:$A,M28872,'Barang Keluar'!$C:$C,N28872))</f>
        <v>0</v>
      </c>
    </row>
    <row r="28873" spans="13:16">
      <c r="M28873" s="49">
        <f>IF($A$4+288&gt;$B$4,"",$A$4+288)</f>
        <v>46311</v>
      </c>
      <c r="N28873">
        <f>IF(M28873="","",'Master Barang'!A67)</f>
        <v>0</v>
      </c>
      <c r="O28873">
        <f>IF(N28873="","",'Master Barang'!B67)</f>
        <v>0</v>
      </c>
      <c r="P28873">
        <f>IF(OR(M28873="",N28873=""),"",SUMIFS('Barang Keluar'!$E:$E,'Barang Keluar'!$A:$A,M28873,'Barang Keluar'!$C:$C,N28873))</f>
        <v>0</v>
      </c>
    </row>
    <row r="28874" spans="13:16">
      <c r="M28874" s="49">
        <f>IF($A$4+288&gt;$B$4,"",$A$4+288)</f>
        <v>46311</v>
      </c>
      <c r="N28874">
        <f>IF(M28874="","",'Master Barang'!A68)</f>
        <v>0</v>
      </c>
      <c r="O28874">
        <f>IF(N28874="","",'Master Barang'!B68)</f>
        <v>0</v>
      </c>
      <c r="P28874">
        <f>IF(OR(M28874="",N28874=""),"",SUMIFS('Barang Keluar'!$E:$E,'Barang Keluar'!$A:$A,M28874,'Barang Keluar'!$C:$C,N28874))</f>
        <v>0</v>
      </c>
    </row>
    <row r="28875" spans="13:16">
      <c r="M28875" s="49">
        <f>IF($A$4+288&gt;$B$4,"",$A$4+288)</f>
        <v>46311</v>
      </c>
      <c r="N28875">
        <f>IF(M28875="","",'Master Barang'!A69)</f>
        <v>0</v>
      </c>
      <c r="O28875">
        <f>IF(N28875="","",'Master Barang'!B69)</f>
        <v>0</v>
      </c>
      <c r="P28875">
        <f>IF(OR(M28875="",N28875=""),"",SUMIFS('Barang Keluar'!$E:$E,'Barang Keluar'!$A:$A,M28875,'Barang Keluar'!$C:$C,N28875))</f>
        <v>0</v>
      </c>
    </row>
    <row r="28876" spans="13:16">
      <c r="M28876" s="49">
        <f>IF($A$4+288&gt;$B$4,"",$A$4+288)</f>
        <v>46311</v>
      </c>
      <c r="N28876">
        <f>IF(M28876="","",'Master Barang'!A70)</f>
        <v>0</v>
      </c>
      <c r="O28876">
        <f>IF(N28876="","",'Master Barang'!B70)</f>
        <v>0</v>
      </c>
      <c r="P28876">
        <f>IF(OR(M28876="",N28876=""),"",SUMIFS('Barang Keluar'!$E:$E,'Barang Keluar'!$A:$A,M28876,'Barang Keluar'!$C:$C,N28876))</f>
        <v>0</v>
      </c>
    </row>
    <row r="28877" spans="13:16">
      <c r="M28877" s="49">
        <f>IF($A$4+288&gt;$B$4,"",$A$4+288)</f>
        <v>46311</v>
      </c>
      <c r="N28877">
        <f>IF(M28877="","",'Master Barang'!A71)</f>
        <v>0</v>
      </c>
      <c r="O28877">
        <f>IF(N28877="","",'Master Barang'!B71)</f>
        <v>0</v>
      </c>
      <c r="P28877">
        <f>IF(OR(M28877="",N28877=""),"",SUMIFS('Barang Keluar'!$E:$E,'Barang Keluar'!$A:$A,M28877,'Barang Keluar'!$C:$C,N28877))</f>
        <v>0</v>
      </c>
    </row>
    <row r="28878" spans="13:16">
      <c r="M28878" s="49">
        <f>IF($A$4+288&gt;$B$4,"",$A$4+288)</f>
        <v>46311</v>
      </c>
      <c r="N28878">
        <f>IF(M28878="","",'Master Barang'!A72)</f>
        <v>0</v>
      </c>
      <c r="O28878">
        <f>IF(N28878="","",'Master Barang'!B72)</f>
        <v>0</v>
      </c>
      <c r="P28878">
        <f>IF(OR(M28878="",N28878=""),"",SUMIFS('Barang Keluar'!$E:$E,'Barang Keluar'!$A:$A,M28878,'Barang Keluar'!$C:$C,N28878))</f>
        <v>0</v>
      </c>
    </row>
    <row r="28879" spans="13:16">
      <c r="M28879" s="49">
        <f>IF($A$4+288&gt;$B$4,"",$A$4+288)</f>
        <v>46311</v>
      </c>
      <c r="N28879">
        <f>IF(M28879="","",'Master Barang'!A73)</f>
        <v>0</v>
      </c>
      <c r="O28879">
        <f>IF(N28879="","",'Master Barang'!B73)</f>
        <v>0</v>
      </c>
      <c r="P28879">
        <f>IF(OR(M28879="",N28879=""),"",SUMIFS('Barang Keluar'!$E:$E,'Barang Keluar'!$A:$A,M28879,'Barang Keluar'!$C:$C,N28879))</f>
        <v>0</v>
      </c>
    </row>
    <row r="28880" spans="13:16">
      <c r="M28880" s="49">
        <f>IF($A$4+288&gt;$B$4,"",$A$4+288)</f>
        <v>46311</v>
      </c>
      <c r="N28880">
        <f>IF(M28880="","",'Master Barang'!A74)</f>
        <v>0</v>
      </c>
      <c r="O28880">
        <f>IF(N28880="","",'Master Barang'!B74)</f>
        <v>0</v>
      </c>
      <c r="P28880">
        <f>IF(OR(M28880="",N28880=""),"",SUMIFS('Barang Keluar'!$E:$E,'Barang Keluar'!$A:$A,M28880,'Barang Keluar'!$C:$C,N28880))</f>
        <v>0</v>
      </c>
    </row>
    <row r="28881" spans="13:16">
      <c r="M28881" s="49">
        <f>IF($A$4+288&gt;$B$4,"",$A$4+288)</f>
        <v>46311</v>
      </c>
      <c r="N28881">
        <f>IF(M28881="","",'Master Barang'!A75)</f>
        <v>0</v>
      </c>
      <c r="O28881">
        <f>IF(N28881="","",'Master Barang'!B75)</f>
        <v>0</v>
      </c>
      <c r="P28881">
        <f>IF(OR(M28881="",N28881=""),"",SUMIFS('Barang Keluar'!$E:$E,'Barang Keluar'!$A:$A,M28881,'Barang Keluar'!$C:$C,N28881))</f>
        <v>0</v>
      </c>
    </row>
    <row r="28882" spans="13:16">
      <c r="M28882" s="49">
        <f>IF($A$4+288&gt;$B$4,"",$A$4+288)</f>
        <v>46311</v>
      </c>
      <c r="N28882">
        <f>IF(M28882="","",'Master Barang'!A76)</f>
        <v>0</v>
      </c>
      <c r="O28882">
        <f>IF(N28882="","",'Master Barang'!B76)</f>
        <v>0</v>
      </c>
      <c r="P28882">
        <f>IF(OR(M28882="",N28882=""),"",SUMIFS('Barang Keluar'!$E:$E,'Barang Keluar'!$A:$A,M28882,'Barang Keluar'!$C:$C,N28882))</f>
        <v>0</v>
      </c>
    </row>
    <row r="28883" spans="13:16">
      <c r="M28883" s="49">
        <f>IF($A$4+288&gt;$B$4,"",$A$4+288)</f>
        <v>46311</v>
      </c>
      <c r="N28883">
        <f>IF(M28883="","",'Master Barang'!A77)</f>
        <v>0</v>
      </c>
      <c r="O28883">
        <f>IF(N28883="","",'Master Barang'!B77)</f>
        <v>0</v>
      </c>
      <c r="P28883">
        <f>IF(OR(M28883="",N28883=""),"",SUMIFS('Barang Keluar'!$E:$E,'Barang Keluar'!$A:$A,M28883,'Barang Keluar'!$C:$C,N28883))</f>
        <v>0</v>
      </c>
    </row>
    <row r="28884" spans="13:16">
      <c r="M28884" s="49">
        <f>IF($A$4+288&gt;$B$4,"",$A$4+288)</f>
        <v>46311</v>
      </c>
      <c r="N28884">
        <f>IF(M28884="","",'Master Barang'!A78)</f>
        <v>0</v>
      </c>
      <c r="O28884">
        <f>IF(N28884="","",'Master Barang'!B78)</f>
        <v>0</v>
      </c>
      <c r="P28884">
        <f>IF(OR(M28884="",N28884=""),"",SUMIFS('Barang Keluar'!$E:$E,'Barang Keluar'!$A:$A,M28884,'Barang Keluar'!$C:$C,N28884))</f>
        <v>0</v>
      </c>
    </row>
    <row r="28885" spans="13:16">
      <c r="M28885" s="49">
        <f>IF($A$4+288&gt;$B$4,"",$A$4+288)</f>
        <v>46311</v>
      </c>
      <c r="N28885">
        <f>IF(M28885="","",'Master Barang'!A79)</f>
        <v>0</v>
      </c>
      <c r="O28885">
        <f>IF(N28885="","",'Master Barang'!B79)</f>
        <v>0</v>
      </c>
      <c r="P28885">
        <f>IF(OR(M28885="",N28885=""),"",SUMIFS('Barang Keluar'!$E:$E,'Barang Keluar'!$A:$A,M28885,'Barang Keluar'!$C:$C,N28885))</f>
        <v>0</v>
      </c>
    </row>
    <row r="28886" spans="13:16">
      <c r="M28886" s="49">
        <f>IF($A$4+288&gt;$B$4,"",$A$4+288)</f>
        <v>46311</v>
      </c>
      <c r="N28886">
        <f>IF(M28886="","",'Master Barang'!A80)</f>
        <v>0</v>
      </c>
      <c r="O28886">
        <f>IF(N28886="","",'Master Barang'!B80)</f>
        <v>0</v>
      </c>
      <c r="P28886">
        <f>IF(OR(M28886="",N28886=""),"",SUMIFS('Barang Keluar'!$E:$E,'Barang Keluar'!$A:$A,M28886,'Barang Keluar'!$C:$C,N28886))</f>
        <v>0</v>
      </c>
    </row>
    <row r="28887" spans="13:16">
      <c r="M28887" s="49">
        <f>IF($A$4+288&gt;$B$4,"",$A$4+288)</f>
        <v>46311</v>
      </c>
      <c r="N28887">
        <f>IF(M28887="","",'Master Barang'!A81)</f>
        <v>0</v>
      </c>
      <c r="O28887">
        <f>IF(N28887="","",'Master Barang'!B81)</f>
        <v>0</v>
      </c>
      <c r="P28887">
        <f>IF(OR(M28887="",N28887=""),"",SUMIFS('Barang Keluar'!$E:$E,'Barang Keluar'!$A:$A,M28887,'Barang Keluar'!$C:$C,N28887))</f>
        <v>0</v>
      </c>
    </row>
    <row r="28888" spans="13:16">
      <c r="M28888" s="49">
        <f>IF($A$4+288&gt;$B$4,"",$A$4+288)</f>
        <v>46311</v>
      </c>
      <c r="N28888">
        <f>IF(M28888="","",'Master Barang'!A82)</f>
        <v>0</v>
      </c>
      <c r="O28888">
        <f>IF(N28888="","",'Master Barang'!B82)</f>
        <v>0</v>
      </c>
      <c r="P28888">
        <f>IF(OR(M28888="",N28888=""),"",SUMIFS('Barang Keluar'!$E:$E,'Barang Keluar'!$A:$A,M28888,'Barang Keluar'!$C:$C,N28888))</f>
        <v>0</v>
      </c>
    </row>
    <row r="28889" spans="13:16">
      <c r="M28889" s="49">
        <f>IF($A$4+288&gt;$B$4,"",$A$4+288)</f>
        <v>46311</v>
      </c>
      <c r="N28889">
        <f>IF(M28889="","",'Master Barang'!A83)</f>
        <v>0</v>
      </c>
      <c r="O28889">
        <f>IF(N28889="","",'Master Barang'!B83)</f>
        <v>0</v>
      </c>
      <c r="P28889">
        <f>IF(OR(M28889="",N28889=""),"",SUMIFS('Barang Keluar'!$E:$E,'Barang Keluar'!$A:$A,M28889,'Barang Keluar'!$C:$C,N28889))</f>
        <v>0</v>
      </c>
    </row>
    <row r="28890" spans="13:16">
      <c r="M28890" s="49">
        <f>IF($A$4+288&gt;$B$4,"",$A$4+288)</f>
        <v>46311</v>
      </c>
      <c r="N28890">
        <f>IF(M28890="","",'Master Barang'!A84)</f>
        <v>0</v>
      </c>
      <c r="O28890">
        <f>IF(N28890="","",'Master Barang'!B84)</f>
        <v>0</v>
      </c>
      <c r="P28890">
        <f>IF(OR(M28890="",N28890=""),"",SUMIFS('Barang Keluar'!$E:$E,'Barang Keluar'!$A:$A,M28890,'Barang Keluar'!$C:$C,N28890))</f>
        <v>0</v>
      </c>
    </row>
    <row r="28891" spans="13:16">
      <c r="M28891" s="49">
        <f>IF($A$4+288&gt;$B$4,"",$A$4+288)</f>
        <v>46311</v>
      </c>
      <c r="N28891">
        <f>IF(M28891="","",'Master Barang'!A85)</f>
        <v>0</v>
      </c>
      <c r="O28891">
        <f>IF(N28891="","",'Master Barang'!B85)</f>
        <v>0</v>
      </c>
      <c r="P28891">
        <f>IF(OR(M28891="",N28891=""),"",SUMIFS('Barang Keluar'!$E:$E,'Barang Keluar'!$A:$A,M28891,'Barang Keluar'!$C:$C,N28891))</f>
        <v>0</v>
      </c>
    </row>
    <row r="28892" spans="13:16">
      <c r="M28892" s="49">
        <f>IF($A$4+288&gt;$B$4,"",$A$4+288)</f>
        <v>46311</v>
      </c>
      <c r="N28892">
        <f>IF(M28892="","",'Master Barang'!A86)</f>
        <v>0</v>
      </c>
      <c r="O28892">
        <f>IF(N28892="","",'Master Barang'!B86)</f>
        <v>0</v>
      </c>
      <c r="P28892">
        <f>IF(OR(M28892="",N28892=""),"",SUMIFS('Barang Keluar'!$E:$E,'Barang Keluar'!$A:$A,M28892,'Barang Keluar'!$C:$C,N28892))</f>
        <v>0</v>
      </c>
    </row>
    <row r="28893" spans="13:16">
      <c r="M28893" s="49">
        <f>IF($A$4+288&gt;$B$4,"",$A$4+288)</f>
        <v>46311</v>
      </c>
      <c r="N28893">
        <f>IF(M28893="","",'Master Barang'!A87)</f>
        <v>0</v>
      </c>
      <c r="O28893">
        <f>IF(N28893="","",'Master Barang'!B87)</f>
        <v>0</v>
      </c>
      <c r="P28893">
        <f>IF(OR(M28893="",N28893=""),"",SUMIFS('Barang Keluar'!$E:$E,'Barang Keluar'!$A:$A,M28893,'Barang Keluar'!$C:$C,N28893))</f>
        <v>0</v>
      </c>
    </row>
    <row r="28894" spans="13:16">
      <c r="M28894" s="49">
        <f>IF($A$4+288&gt;$B$4,"",$A$4+288)</f>
        <v>46311</v>
      </c>
      <c r="N28894">
        <f>IF(M28894="","",'Master Barang'!A88)</f>
        <v>0</v>
      </c>
      <c r="O28894">
        <f>IF(N28894="","",'Master Barang'!B88)</f>
        <v>0</v>
      </c>
      <c r="P28894">
        <f>IF(OR(M28894="",N28894=""),"",SUMIFS('Barang Keluar'!$E:$E,'Barang Keluar'!$A:$A,M28894,'Barang Keluar'!$C:$C,N28894))</f>
        <v>0</v>
      </c>
    </row>
    <row r="28895" spans="13:16">
      <c r="M28895" s="49">
        <f>IF($A$4+288&gt;$B$4,"",$A$4+288)</f>
        <v>46311</v>
      </c>
      <c r="N28895">
        <f>IF(M28895="","",'Master Barang'!A89)</f>
        <v>0</v>
      </c>
      <c r="O28895">
        <f>IF(N28895="","",'Master Barang'!B89)</f>
        <v>0</v>
      </c>
      <c r="P28895">
        <f>IF(OR(M28895="",N28895=""),"",SUMIFS('Barang Keluar'!$E:$E,'Barang Keluar'!$A:$A,M28895,'Barang Keluar'!$C:$C,N28895))</f>
        <v>0</v>
      </c>
    </row>
    <row r="28896" spans="13:16">
      <c r="M28896" s="49">
        <f>IF($A$4+288&gt;$B$4,"",$A$4+288)</f>
        <v>46311</v>
      </c>
      <c r="N28896">
        <f>IF(M28896="","",'Master Barang'!A90)</f>
        <v>0</v>
      </c>
      <c r="O28896">
        <f>IF(N28896="","",'Master Barang'!B90)</f>
        <v>0</v>
      </c>
      <c r="P28896">
        <f>IF(OR(M28896="",N28896=""),"",SUMIFS('Barang Keluar'!$E:$E,'Barang Keluar'!$A:$A,M28896,'Barang Keluar'!$C:$C,N28896))</f>
        <v>0</v>
      </c>
    </row>
    <row r="28897" spans="13:16">
      <c r="M28897" s="49">
        <f>IF($A$4+288&gt;$B$4,"",$A$4+288)</f>
        <v>46311</v>
      </c>
      <c r="N28897">
        <f>IF(M28897="","",'Master Barang'!A91)</f>
        <v>0</v>
      </c>
      <c r="O28897">
        <f>IF(N28897="","",'Master Barang'!B91)</f>
        <v>0</v>
      </c>
      <c r="P28897">
        <f>IF(OR(M28897="",N28897=""),"",SUMIFS('Barang Keluar'!$E:$E,'Barang Keluar'!$A:$A,M28897,'Barang Keluar'!$C:$C,N28897))</f>
        <v>0</v>
      </c>
    </row>
    <row r="28898" spans="13:16">
      <c r="M28898" s="49">
        <f>IF($A$4+288&gt;$B$4,"",$A$4+288)</f>
        <v>46311</v>
      </c>
      <c r="N28898">
        <f>IF(M28898="","",'Master Barang'!A92)</f>
        <v>0</v>
      </c>
      <c r="O28898">
        <f>IF(N28898="","",'Master Barang'!B92)</f>
        <v>0</v>
      </c>
      <c r="P28898">
        <f>IF(OR(M28898="",N28898=""),"",SUMIFS('Barang Keluar'!$E:$E,'Barang Keluar'!$A:$A,M28898,'Barang Keluar'!$C:$C,N28898))</f>
        <v>0</v>
      </c>
    </row>
    <row r="28899" spans="13:16">
      <c r="M28899" s="49">
        <f>IF($A$4+288&gt;$B$4,"",$A$4+288)</f>
        <v>46311</v>
      </c>
      <c r="N28899">
        <f>IF(M28899="","",'Master Barang'!A93)</f>
        <v>0</v>
      </c>
      <c r="O28899">
        <f>IF(N28899="","",'Master Barang'!B93)</f>
        <v>0</v>
      </c>
      <c r="P28899">
        <f>IF(OR(M28899="",N28899=""),"",SUMIFS('Barang Keluar'!$E:$E,'Barang Keluar'!$A:$A,M28899,'Barang Keluar'!$C:$C,N28899))</f>
        <v>0</v>
      </c>
    </row>
    <row r="28900" spans="13:16">
      <c r="M28900" s="49">
        <f>IF($A$4+288&gt;$B$4,"",$A$4+288)</f>
        <v>46311</v>
      </c>
      <c r="N28900">
        <f>IF(M28900="","",'Master Barang'!A94)</f>
        <v>0</v>
      </c>
      <c r="O28900">
        <f>IF(N28900="","",'Master Barang'!B94)</f>
        <v>0</v>
      </c>
      <c r="P28900">
        <f>IF(OR(M28900="",N28900=""),"",SUMIFS('Barang Keluar'!$E:$E,'Barang Keluar'!$A:$A,M28900,'Barang Keluar'!$C:$C,N28900))</f>
        <v>0</v>
      </c>
    </row>
    <row r="28901" spans="13:16">
      <c r="M28901" s="49">
        <f>IF($A$4+288&gt;$B$4,"",$A$4+288)</f>
        <v>46311</v>
      </c>
      <c r="N28901">
        <f>IF(M28901="","",'Master Barang'!A95)</f>
        <v>0</v>
      </c>
      <c r="O28901">
        <f>IF(N28901="","",'Master Barang'!B95)</f>
        <v>0</v>
      </c>
      <c r="P28901">
        <f>IF(OR(M28901="",N28901=""),"",SUMIFS('Barang Keluar'!$E:$E,'Barang Keluar'!$A:$A,M28901,'Barang Keluar'!$C:$C,N28901))</f>
        <v>0</v>
      </c>
    </row>
    <row r="28902" spans="13:16">
      <c r="M28902" s="49">
        <f>IF($A$4+288&gt;$B$4,"",$A$4+288)</f>
        <v>46311</v>
      </c>
      <c r="N28902">
        <f>IF(M28902="","",'Master Barang'!A96)</f>
        <v>0</v>
      </c>
      <c r="O28902">
        <f>IF(N28902="","",'Master Barang'!B96)</f>
        <v>0</v>
      </c>
      <c r="P28902">
        <f>IF(OR(M28902="",N28902=""),"",SUMIFS('Barang Keluar'!$E:$E,'Barang Keluar'!$A:$A,M28902,'Barang Keluar'!$C:$C,N28902))</f>
        <v>0</v>
      </c>
    </row>
    <row r="28903" spans="13:16">
      <c r="M28903" s="49">
        <f>IF($A$4+288&gt;$B$4,"",$A$4+288)</f>
        <v>46311</v>
      </c>
      <c r="N28903">
        <f>IF(M28903="","",'Master Barang'!A97)</f>
        <v>0</v>
      </c>
      <c r="O28903">
        <f>IF(N28903="","",'Master Barang'!B97)</f>
        <v>0</v>
      </c>
      <c r="P28903">
        <f>IF(OR(M28903="",N28903=""),"",SUMIFS('Barang Keluar'!$E:$E,'Barang Keluar'!$A:$A,M28903,'Barang Keluar'!$C:$C,N28903))</f>
        <v>0</v>
      </c>
    </row>
    <row r="28904" spans="13:16">
      <c r="M28904" s="49">
        <f>IF($A$4+288&gt;$B$4,"",$A$4+288)</f>
        <v>46311</v>
      </c>
      <c r="N28904">
        <f>IF(M28904="","",'Master Barang'!A98)</f>
        <v>0</v>
      </c>
      <c r="O28904">
        <f>IF(N28904="","",'Master Barang'!B98)</f>
        <v>0</v>
      </c>
      <c r="P28904">
        <f>IF(OR(M28904="",N28904=""),"",SUMIFS('Barang Keluar'!$E:$E,'Barang Keluar'!$A:$A,M28904,'Barang Keluar'!$C:$C,N28904))</f>
        <v>0</v>
      </c>
    </row>
    <row r="28905" spans="13:16">
      <c r="M28905" s="49">
        <f>IF($A$4+288&gt;$B$4,"",$A$4+288)</f>
        <v>46311</v>
      </c>
      <c r="N28905">
        <f>IF(M28905="","",'Master Barang'!A99)</f>
        <v>0</v>
      </c>
      <c r="O28905">
        <f>IF(N28905="","",'Master Barang'!B99)</f>
        <v>0</v>
      </c>
      <c r="P28905">
        <f>IF(OR(M28905="",N28905=""),"",SUMIFS('Barang Keluar'!$E:$E,'Barang Keluar'!$A:$A,M28905,'Barang Keluar'!$C:$C,N28905))</f>
        <v>0</v>
      </c>
    </row>
    <row r="28906" spans="13:16">
      <c r="M28906" s="49">
        <f>IF($A$4+288&gt;$B$4,"",$A$4+288)</f>
        <v>46311</v>
      </c>
      <c r="N28906">
        <f>IF(M28906="","",'Master Barang'!A100)</f>
        <v>0</v>
      </c>
      <c r="O28906">
        <f>IF(N28906="","",'Master Barang'!B100)</f>
        <v>0</v>
      </c>
      <c r="P28906">
        <f>IF(OR(M28906="",N28906=""),"",SUMIFS('Barang Keluar'!$E:$E,'Barang Keluar'!$A:$A,M28906,'Barang Keluar'!$C:$C,N28906))</f>
        <v>0</v>
      </c>
    </row>
    <row r="28907" spans="13:16">
      <c r="M28907" s="49">
        <f>IF($A$4+288&gt;$B$4,"",$A$4+288)</f>
        <v>46311</v>
      </c>
      <c r="N28907">
        <f>IF(M28907="","",'Master Barang'!A101)</f>
        <v>0</v>
      </c>
      <c r="O28907">
        <f>IF(N28907="","",'Master Barang'!B101)</f>
        <v>0</v>
      </c>
      <c r="P28907">
        <f>IF(OR(M28907="",N28907=""),"",SUMIFS('Barang Keluar'!$E:$E,'Barang Keluar'!$A:$A,M28907,'Barang Keluar'!$C:$C,N28907))</f>
        <v>0</v>
      </c>
    </row>
    <row r="28908" spans="13:16">
      <c r="M28908" s="49">
        <f>IF($A$4+289&gt;$B$4,"",$A$4+289)</f>
        <v>46312</v>
      </c>
      <c r="N28908" t="str">
        <f>IF(M28908="","",'Master Barang'!A2)</f>
        <v>PRL-001</v>
      </c>
      <c r="O28908" t="str">
        <f>IF(N28908="","",'Master Barang'!B2)</f>
        <v>natura desinfectant food grade 5l</v>
      </c>
      <c r="P28908">
        <f>IF(OR(M28908="",N28908=""),"",SUMIFS('Barang Keluar'!$E:$E,'Barang Keluar'!$A:$A,M28908,'Barang Keluar'!$C:$C,N28908))</f>
        <v>0</v>
      </c>
    </row>
    <row r="28909" spans="13:16">
      <c r="M28909" s="49">
        <f>IF($A$4+289&gt;$B$4,"",$A$4+289)</f>
        <v>46312</v>
      </c>
      <c r="N28909" t="str">
        <f>IF(M28909="","",'Master Barang'!A3)</f>
        <v>PRL-002</v>
      </c>
      <c r="O28909" t="str">
        <f>IF(N28909="","",'Master Barang'!B3)</f>
        <v>sunlight cairan pencuci piring 5l</v>
      </c>
      <c r="P28909">
        <f>IF(OR(M28909="",N28909=""),"",SUMIFS('Barang Keluar'!$E:$E,'Barang Keluar'!$A:$A,M28909,'Barang Keluar'!$C:$C,N28909))</f>
        <v>0</v>
      </c>
    </row>
    <row r="28910" spans="13:16">
      <c r="M28910" s="49">
        <f>IF($A$4+289&gt;$B$4,"",$A$4+289)</f>
        <v>46312</v>
      </c>
      <c r="N28910" t="str">
        <f>IF(M28910="","",'Master Barang'!A4)</f>
        <v>PRL-003</v>
      </c>
      <c r="O28910" t="str">
        <f>IF(N28910="","",'Master Barang'!B4)</f>
        <v>oixs cleaner 1l</v>
      </c>
      <c r="P28910">
        <f>IF(OR(M28910="",N28910=""),"",SUMIFS('Barang Keluar'!$E:$E,'Barang Keluar'!$A:$A,M28910,'Barang Keluar'!$C:$C,N28910))</f>
        <v>0</v>
      </c>
    </row>
    <row r="28911" spans="13:16">
      <c r="M28911" s="49">
        <f>IF($A$4+289&gt;$B$4,"",$A$4+289)</f>
        <v>46312</v>
      </c>
      <c r="N28911" t="str">
        <f>IF(M28911="","",'Master Barang'!A5)</f>
        <v>PRL-004</v>
      </c>
      <c r="O28911" t="str">
        <f>IF(N28911="","",'Master Barang'!B5)</f>
        <v>be clean tissue serbaguna</v>
      </c>
      <c r="P28911">
        <f>IF(OR(M28911="",N28911=""),"",SUMIFS('Barang Keluar'!$E:$E,'Barang Keluar'!$A:$A,M28911,'Barang Keluar'!$C:$C,N28911))</f>
        <v>0</v>
      </c>
    </row>
    <row r="28912" spans="13:16">
      <c r="M28912" s="49">
        <f>IF($A$4+289&gt;$B$4,"",$A$4+289)</f>
        <v>46312</v>
      </c>
      <c r="N28912" t="str">
        <f>IF(M28912="","",'Master Barang'!A6)</f>
        <v>PRL-005</v>
      </c>
      <c r="O28912" t="str">
        <f>IF(N28912="","",'Master Barang'!B6)</f>
        <v>spons cuci hijau</v>
      </c>
      <c r="P28912">
        <f>IF(OR(M28912="",N28912=""),"",SUMIFS('Barang Keluar'!$E:$E,'Barang Keluar'!$A:$A,M28912,'Barang Keluar'!$C:$C,N28912))</f>
        <v>0</v>
      </c>
    </row>
    <row r="28913" spans="13:16">
      <c r="M28913" s="49">
        <f>IF($A$4+289&gt;$B$4,"",$A$4+289)</f>
        <v>46312</v>
      </c>
      <c r="N28913" t="str">
        <f>IF(M28913="","",'Master Barang'!A7)</f>
        <v>PRL-006</v>
      </c>
      <c r="O28913" t="str">
        <f>IF(N28913="","",'Master Barang'!B7)</f>
        <v>sabut cuci stainless</v>
      </c>
      <c r="P28913">
        <f>IF(OR(M28913="",N28913=""),"",SUMIFS('Barang Keluar'!$E:$E,'Barang Keluar'!$A:$A,M28913,'Barang Keluar'!$C:$C,N28913))</f>
        <v>0</v>
      </c>
    </row>
    <row r="28914" spans="13:16">
      <c r="M28914" s="49">
        <f>IF($A$4+289&gt;$B$4,"",$A$4+289)</f>
        <v>46312</v>
      </c>
      <c r="N28914" t="str">
        <f>IF(M28914="","",'Master Barang'!A8)</f>
        <v>PRL-007</v>
      </c>
      <c r="O28914" t="str">
        <f>IF(N28914="","",'Master Barang'!B8)</f>
        <v>plastik kresek besar merah 50pc</v>
      </c>
      <c r="P28914">
        <f>IF(OR(M28914="",N28914=""),"",SUMIFS('Barang Keluar'!$E:$E,'Barang Keluar'!$A:$A,M28914,'Barang Keluar'!$C:$C,N28914))</f>
        <v>0</v>
      </c>
    </row>
    <row r="28915" spans="13:16">
      <c r="M28915" s="49">
        <f>IF($A$4+289&gt;$B$4,"",$A$4+289)</f>
        <v>46312</v>
      </c>
      <c r="N28915" t="str">
        <f>IF(M28915="","",'Master Barang'!A9)</f>
        <v>PRL-008</v>
      </c>
      <c r="O28915" t="str">
        <f>IF(N28915="","",'Master Barang'!B9)</f>
        <v>lap besar</v>
      </c>
      <c r="P28915">
        <f>IF(OR(M28915="",N28915=""),"",SUMIFS('Barang Keluar'!$E:$E,'Barang Keluar'!$A:$A,M28915,'Barang Keluar'!$C:$C,N28915))</f>
        <v>0</v>
      </c>
    </row>
    <row r="28916" spans="13:16">
      <c r="M28916" s="49">
        <f>IF($A$4+289&gt;$B$4,"",$A$4+289)</f>
        <v>46312</v>
      </c>
      <c r="N28916" t="str">
        <f>IF(M28916="","",'Master Barang'!A10)</f>
        <v>PRL-009</v>
      </c>
      <c r="O28916" t="str">
        <f>IF(N28916="","",'Master Barang'!B10)</f>
        <v>lap microfiber</v>
      </c>
      <c r="P28916">
        <f>IF(OR(M28916="",N28916=""),"",SUMIFS('Barang Keluar'!$E:$E,'Barang Keluar'!$A:$A,M28916,'Barang Keluar'!$C:$C,N28916))</f>
        <v>0</v>
      </c>
    </row>
    <row r="28917" spans="13:16">
      <c r="M28917" s="49">
        <f>IF($A$4+289&gt;$B$4,"",$A$4+289)</f>
        <v>46312</v>
      </c>
      <c r="N28917" t="str">
        <f>IF(M28917="","",'Master Barang'!A11)</f>
        <v>PRL-010</v>
      </c>
      <c r="O28917" t="str">
        <f>IF(N28917="","",'Master Barang'!B11)</f>
        <v>lap kecil</v>
      </c>
      <c r="P28917">
        <f>IF(OR(M28917="",N28917=""),"",SUMIFS('Barang Keluar'!$E:$E,'Barang Keluar'!$A:$A,M28917,'Barang Keluar'!$C:$C,N28917))</f>
        <v>0</v>
      </c>
    </row>
    <row r="28918" spans="13:16">
      <c r="M28918" s="49">
        <f>IF($A$4+289&gt;$B$4,"",$A$4+289)</f>
        <v>46312</v>
      </c>
      <c r="N28918" t="str">
        <f>IF(M28918="","",'Master Barang'!A12)</f>
        <v>PRL-011</v>
      </c>
      <c r="O28918" t="str">
        <f>IF(N28918="","",'Master Barang'!B12)</f>
        <v>kanebo kecil</v>
      </c>
      <c r="P28918">
        <f>IF(OR(M28918="",N28918=""),"",SUMIFS('Barang Keluar'!$E:$E,'Barang Keluar'!$A:$A,M28918,'Barang Keluar'!$C:$C,N28918))</f>
        <v>0</v>
      </c>
    </row>
    <row r="28919" spans="13:16">
      <c r="M28919" s="49">
        <f>IF($A$4+289&gt;$B$4,"",$A$4+289)</f>
        <v>46312</v>
      </c>
      <c r="N28919" t="str">
        <f>IF(M28919="","",'Master Barang'!A13)</f>
        <v>PRL-012</v>
      </c>
      <c r="O28919" t="str">
        <f>IF(N28919="","",'Master Barang'!B13)</f>
        <v>plastik 1/4kg joyoboyo 100 lembar</v>
      </c>
      <c r="P28919">
        <f>IF(OR(M28919="",N28919=""),"",SUMIFS('Barang Keluar'!$E:$E,'Barang Keluar'!$A:$A,M28919,'Barang Keluar'!$C:$C,N28919))</f>
        <v>0</v>
      </c>
    </row>
    <row r="28920" spans="13:16">
      <c r="M28920" s="49">
        <f>IF($A$4+289&gt;$B$4,"",$A$4+289)</f>
        <v>46312</v>
      </c>
      <c r="N28920" t="str">
        <f>IF(M28920="","",'Master Barang'!A14)</f>
        <v>PRL-013</v>
      </c>
      <c r="O28920" t="str">
        <f>IF(N28920="","",'Master Barang'!B14)</f>
        <v>sarung tangan plastik kaka 100 pcs</v>
      </c>
      <c r="P28920">
        <f>IF(OR(M28920="",N28920=""),"",SUMIFS('Barang Keluar'!$E:$E,'Barang Keluar'!$A:$A,M28920,'Barang Keluar'!$C:$C,N28920))</f>
        <v>0</v>
      </c>
    </row>
    <row r="28921" spans="13:16">
      <c r="M28921" s="49">
        <f>IF($A$4+289&gt;$B$4,"",$A$4+289)</f>
        <v>46312</v>
      </c>
      <c r="N28921" t="str">
        <f>IF(M28921="","",'Master Barang'!A15)</f>
        <v>PRL-014</v>
      </c>
      <c r="O28921" t="str">
        <f>IF(N28921="","",'Master Barang'!B15)</f>
        <v>optima trashbag 80x100</v>
      </c>
      <c r="P28921">
        <f>IF(OR(M28921="",N28921=""),"",SUMIFS('Barang Keluar'!$E:$E,'Barang Keluar'!$A:$A,M28921,'Barang Keluar'!$C:$C,N28921))</f>
        <v>0</v>
      </c>
    </row>
    <row r="28922" spans="13:16">
      <c r="M28922" s="49">
        <f>IF($A$4+289&gt;$B$4,"",$A$4+289)</f>
        <v>46312</v>
      </c>
      <c r="N28922" t="str">
        <f>IF(M28922="","",'Master Barang'!A16)</f>
        <v>PRL-015</v>
      </c>
      <c r="O28922" t="str">
        <f>IF(N28922="","",'Master Barang'!B16)</f>
        <v>optima trashbag 60x100</v>
      </c>
      <c r="P28922">
        <f>IF(OR(M28922="",N28922=""),"",SUMIFS('Barang Keluar'!$E:$E,'Barang Keluar'!$A:$A,M28922,'Barang Keluar'!$C:$C,N28922))</f>
        <v>0</v>
      </c>
    </row>
    <row r="28923" spans="13:16">
      <c r="M28923" s="49">
        <f>IF($A$4+289&gt;$B$4,"",$A$4+289)</f>
        <v>46312</v>
      </c>
      <c r="N28923" t="str">
        <f>IF(M28923="","",'Master Barang'!A17)</f>
        <v>PRL-016</v>
      </c>
      <c r="O28923" t="str">
        <f>IF(N28923="","",'Master Barang'!B17)</f>
        <v>rajawali trashbag 30x40</v>
      </c>
      <c r="P28923">
        <f>IF(OR(M28923="",N28923=""),"",SUMIFS('Barang Keluar'!$E:$E,'Barang Keluar'!$A:$A,M28923,'Barang Keluar'!$C:$C,N28923))</f>
        <v>0</v>
      </c>
    </row>
    <row r="28924" spans="13:16">
      <c r="M28924" s="49">
        <f>IF($A$4+289&gt;$B$4,"",$A$4+289)</f>
        <v>46312</v>
      </c>
      <c r="N28924" t="str">
        <f>IF(M28924="","",'Master Barang'!A18)</f>
        <v>PRL-017</v>
      </c>
      <c r="O28924" t="str">
        <f>IF(N28924="","",'Master Barang'!B18)</f>
        <v>onemed masker biru 3 play 50 pcs</v>
      </c>
      <c r="P28924">
        <f>IF(OR(M28924="",N28924=""),"",SUMIFS('Barang Keluar'!$E:$E,'Barang Keluar'!$A:$A,M28924,'Barang Keluar'!$C:$C,N28924))</f>
        <v>0</v>
      </c>
    </row>
    <row r="28925" spans="13:16">
      <c r="M28925" s="49">
        <f>IF($A$4+289&gt;$B$4,"",$A$4+289)</f>
        <v>46312</v>
      </c>
      <c r="N28925" t="str">
        <f>IF(M28925="","",'Master Barang'!A19)</f>
        <v>PRL-018</v>
      </c>
      <c r="O28925" t="str">
        <f>IF(N28925="","",'Master Barang'!B19)</f>
        <v>onemed masker biru 3 play hijab 50 pcs</v>
      </c>
      <c r="P28925">
        <f>IF(OR(M28925="",N28925=""),"",SUMIFS('Barang Keluar'!$E:$E,'Barang Keluar'!$A:$A,M28925,'Barang Keluar'!$C:$C,N28925))</f>
        <v>0</v>
      </c>
    </row>
    <row r="28926" spans="13:16">
      <c r="M28926" s="49">
        <f>IF($A$4+289&gt;$B$4,"",$A$4+289)</f>
        <v>46312</v>
      </c>
      <c r="N28926" t="str">
        <f>IF(M28926="","",'Master Barang'!A20)</f>
        <v>PRL-019</v>
      </c>
      <c r="O28926" t="str">
        <f>IF(N28926="","",'Master Barang'!B20)</f>
        <v>neo health masker biru 3 play 50 pcs</v>
      </c>
      <c r="P28926">
        <f>IF(OR(M28926="",N28926=""),"",SUMIFS('Barang Keluar'!$E:$E,'Barang Keluar'!$A:$A,M28926,'Barang Keluar'!$C:$C,N28926))</f>
        <v>0</v>
      </c>
    </row>
    <row r="28927" spans="13:16">
      <c r="M28927" s="49">
        <f>IF($A$4+289&gt;$B$4,"",$A$4+289)</f>
        <v>46312</v>
      </c>
      <c r="N28927" t="str">
        <f>IF(M28927="","",'Master Barang'!A21)</f>
        <v>PRL-020</v>
      </c>
      <c r="O28927" t="str">
        <f>IF(N28927="","",'Master Barang'!B21)</f>
        <v>baymed masker hijau 3 play hijau 50 pcs</v>
      </c>
      <c r="P28927">
        <f>IF(OR(M28927="",N28927=""),"",SUMIFS('Barang Keluar'!$E:$E,'Barang Keluar'!$A:$A,M28927,'Barang Keluar'!$C:$C,N28927))</f>
        <v>0</v>
      </c>
    </row>
    <row r="28928" spans="13:16">
      <c r="M28928" s="49">
        <f>IF($A$4+289&gt;$B$4,"",$A$4+289)</f>
        <v>46312</v>
      </c>
      <c r="N28928" t="str">
        <f>IF(M28928="","",'Master Barang'!A22)</f>
        <v>PRL-021</v>
      </c>
      <c r="O28928" t="str">
        <f>IF(N28928="","",'Master Barang'!B22)</f>
        <v>altamed nurse cap penutup kepala 100 pcs</v>
      </c>
      <c r="P28928">
        <f>IF(OR(M28928="",N28928=""),"",SUMIFS('Barang Keluar'!$E:$E,'Barang Keluar'!$A:$A,M28928,'Barang Keluar'!$C:$C,N28928))</f>
        <v>0</v>
      </c>
    </row>
    <row r="28929" spans="13:16">
      <c r="M28929" s="49">
        <f>IF($A$4+289&gt;$B$4,"",$A$4+289)</f>
        <v>46312</v>
      </c>
      <c r="N28929" t="str">
        <f>IF(M28929="","",'Master Barang'!A23)</f>
        <v>PRL-022</v>
      </c>
      <c r="O28929" t="str">
        <f>IF(N28929="","",'Master Barang'!B23)</f>
        <v>sabun cuci tangan</v>
      </c>
      <c r="P28929">
        <f>IF(OR(M28929="",N28929=""),"",SUMIFS('Barang Keluar'!$E:$E,'Barang Keluar'!$A:$A,M28929,'Barang Keluar'!$C:$C,N28929))</f>
        <v>0</v>
      </c>
    </row>
    <row r="28930" spans="13:16">
      <c r="M28930" s="49">
        <f>IF($A$4+289&gt;$B$4,"",$A$4+289)</f>
        <v>46312</v>
      </c>
      <c r="N28930" t="str">
        <f>IF(M28930="","",'Master Barang'!A24)</f>
        <v>PRL-023</v>
      </c>
      <c r="O28930" t="str">
        <f>IF(N28930="","",'Master Barang'!B24)</f>
        <v>gayung kecil</v>
      </c>
      <c r="P28930">
        <f>IF(OR(M28930="",N28930=""),"",SUMIFS('Barang Keluar'!$E:$E,'Barang Keluar'!$A:$A,M28930,'Barang Keluar'!$C:$C,N28930))</f>
        <v>0</v>
      </c>
    </row>
    <row r="28931" spans="13:16">
      <c r="M28931" s="49">
        <f>IF($A$4+289&gt;$B$4,"",$A$4+289)</f>
        <v>46312</v>
      </c>
      <c r="N28931" t="str">
        <f>IF(M28931="","",'Master Barang'!A25)</f>
        <v>PRL-024</v>
      </c>
      <c r="O28931" t="str">
        <f>IF(N28931="","",'Master Barang'!B25)</f>
        <v>cikrak kecil</v>
      </c>
      <c r="P28931">
        <f>IF(OR(M28931="",N28931=""),"",SUMIFS('Barang Keluar'!$E:$E,'Barang Keluar'!$A:$A,M28931,'Barang Keluar'!$C:$C,N28931))</f>
        <v>0</v>
      </c>
    </row>
    <row r="28932" spans="13:16">
      <c r="M28932" s="49">
        <f>IF($A$4+289&gt;$B$4,"",$A$4+289)</f>
        <v>46312</v>
      </c>
      <c r="N28932" t="str">
        <f>IF(M28932="","",'Master Barang'!A26)</f>
        <v>PRL-025</v>
      </c>
      <c r="O28932" t="str">
        <f>IF(N28932="","",'Master Barang'!B26)</f>
        <v>petromax plastik kecil 12x24 100 lembar</v>
      </c>
      <c r="P28932">
        <f>IF(OR(M28932="",N28932=""),"",SUMIFS('Barang Keluar'!$E:$E,'Barang Keluar'!$A:$A,M28932,'Barang Keluar'!$C:$C,N28932))</f>
        <v>0</v>
      </c>
    </row>
    <row r="28933" spans="13:16">
      <c r="M28933" s="49">
        <f>IF($A$4+289&gt;$B$4,"",$A$4+289)</f>
        <v>46312</v>
      </c>
      <c r="N28933" t="str">
        <f>IF(M28933="","",'Master Barang'!A27)</f>
        <v>PRL-026</v>
      </c>
      <c r="O28933" t="str">
        <f>IF(N28933="","",'Master Barang'!B27)</f>
        <v>lancar kresek kecil bening </v>
      </c>
      <c r="P28933">
        <f>IF(OR(M28933="",N28933=""),"",SUMIFS('Barang Keluar'!$E:$E,'Barang Keluar'!$A:$A,M28933,'Barang Keluar'!$C:$C,N28933))</f>
        <v>0</v>
      </c>
    </row>
    <row r="28934" spans="13:16">
      <c r="M28934" s="49">
        <f>IF($A$4+289&gt;$B$4,"",$A$4+289)</f>
        <v>46312</v>
      </c>
      <c r="N28934" t="str">
        <f>IF(M28934="","",'Master Barang'!A28)</f>
        <v>PRL-027</v>
      </c>
      <c r="O28934" t="str">
        <f>IF(N28934="","",'Master Barang'!B28)</f>
        <v>kresek klin warna warni kecil</v>
      </c>
      <c r="P28934">
        <f>IF(OR(M28934="",N28934=""),"",SUMIFS('Barang Keluar'!$E:$E,'Barang Keluar'!$A:$A,M28934,'Barang Keluar'!$C:$C,N28934))</f>
        <v>0</v>
      </c>
    </row>
    <row r="28935" spans="13:16">
      <c r="M28935" s="49">
        <f>IF($A$4+289&gt;$B$4,"",$A$4+289)</f>
        <v>46312</v>
      </c>
      <c r="N28935" t="str">
        <f>IF(M28935="","",'Master Barang'!A29)</f>
        <v>PRL-028</v>
      </c>
      <c r="O28935" t="str">
        <f>IF(N28935="","",'Master Barang'!B29)</f>
        <v>ctik plastik 7x10 100 pcs</v>
      </c>
      <c r="P28935">
        <f>IF(OR(M28935="",N28935=""),"",SUMIFS('Barang Keluar'!$E:$E,'Barang Keluar'!$A:$A,M28935,'Barang Keluar'!$C:$C,N28935))</f>
        <v>0</v>
      </c>
    </row>
    <row r="28936" spans="13:16">
      <c r="M28936" s="49">
        <f>IF($A$4+289&gt;$B$4,"",$A$4+289)</f>
        <v>46312</v>
      </c>
      <c r="N28936" t="str">
        <f>IF(M28936="","",'Master Barang'!A30)</f>
        <v>PRL-029</v>
      </c>
      <c r="O28936" t="str">
        <f>IF(N28936="","",'Master Barang'!B30)</f>
        <v>ctik plastik 6x10 100 pcs</v>
      </c>
      <c r="P28936">
        <f>IF(OR(M28936="",N28936=""),"",SUMIFS('Barang Keluar'!$E:$E,'Barang Keluar'!$A:$A,M28936,'Barang Keluar'!$C:$C,N28936))</f>
        <v>0</v>
      </c>
    </row>
    <row r="28937" spans="13:16">
      <c r="M28937" s="49">
        <f>IF($A$4+289&gt;$B$4,"",$A$4+289)</f>
        <v>46312</v>
      </c>
      <c r="N28937" t="str">
        <f>IF(M28937="","",'Master Barang'!A31)</f>
        <v>PRL-030</v>
      </c>
      <c r="O28937" t="str">
        <f>IF(N28937="","",'Master Barang'!B31)</f>
        <v>klip plastik 25x16 100 pcs</v>
      </c>
      <c r="P28937">
        <f>IF(OR(M28937="",N28937=""),"",SUMIFS('Barang Keluar'!$E:$E,'Barang Keluar'!$A:$A,M28937,'Barang Keluar'!$C:$C,N28937))</f>
        <v>0</v>
      </c>
    </row>
    <row r="28938" spans="13:16">
      <c r="M28938" s="49">
        <f>IF($A$4+289&gt;$B$4,"",$A$4+289)</f>
        <v>46312</v>
      </c>
      <c r="N28938" t="str">
        <f>IF(M28938="","",'Master Barang'!A32)</f>
        <v>PRL-031</v>
      </c>
      <c r="O28938" t="str">
        <f>IF(N28938="","",'Master Barang'!B32)</f>
        <v>tempat saus 20 ml</v>
      </c>
      <c r="P28938">
        <f>IF(OR(M28938="",N28938=""),"",SUMIFS('Barang Keluar'!$E:$E,'Barang Keluar'!$A:$A,M28938,'Barang Keluar'!$C:$C,N28938))</f>
        <v>0</v>
      </c>
    </row>
    <row r="28939" spans="13:16">
      <c r="M28939" s="49">
        <f>IF($A$4+289&gt;$B$4,"",$A$4+289)</f>
        <v>46312</v>
      </c>
      <c r="N28939" t="str">
        <f>IF(M28939="","",'Master Barang'!A33)</f>
        <v>PRL-032</v>
      </c>
      <c r="O28939" t="str">
        <f>IF(N28939="","",'Master Barang'!B33)</f>
        <v>plastik packaging ag box uk sedang</v>
      </c>
      <c r="P28939">
        <f>IF(OR(M28939="",N28939=""),"",SUMIFS('Barang Keluar'!$E:$E,'Barang Keluar'!$A:$A,M28939,'Barang Keluar'!$C:$C,N28939))</f>
        <v>0</v>
      </c>
    </row>
    <row r="28940" spans="13:16">
      <c r="M28940" s="49">
        <f>IF($A$4+289&gt;$B$4,"",$A$4+289)</f>
        <v>46312</v>
      </c>
      <c r="N28940" t="str">
        <f>IF(M28940="","",'Master Barang'!A34)</f>
        <v>PRL-033</v>
      </c>
      <c r="O28940">
        <f>IF(N28940="","",'Master Barang'!B34)</f>
        <v>0</v>
      </c>
      <c r="P28940">
        <f>IF(OR(M28940="",N28940=""),"",SUMIFS('Barang Keluar'!$E:$E,'Barang Keluar'!$A:$A,M28940,'Barang Keluar'!$C:$C,N28940))</f>
        <v>0</v>
      </c>
    </row>
    <row r="28941" spans="13:16">
      <c r="M28941" s="49">
        <f>IF($A$4+289&gt;$B$4,"",$A$4+289)</f>
        <v>46312</v>
      </c>
      <c r="N28941">
        <f>IF(M28941="","",'Master Barang'!A35)</f>
        <v>0</v>
      </c>
      <c r="O28941">
        <f>IF(N28941="","",'Master Barang'!B35)</f>
        <v>0</v>
      </c>
      <c r="P28941">
        <f>IF(OR(M28941="",N28941=""),"",SUMIFS('Barang Keluar'!$E:$E,'Barang Keluar'!$A:$A,M28941,'Barang Keluar'!$C:$C,N28941))</f>
        <v>0</v>
      </c>
    </row>
    <row r="28942" spans="13:16">
      <c r="M28942" s="49">
        <f>IF($A$4+289&gt;$B$4,"",$A$4+289)</f>
        <v>46312</v>
      </c>
      <c r="N28942">
        <f>IF(M28942="","",'Master Barang'!A36)</f>
        <v>0</v>
      </c>
      <c r="O28942">
        <f>IF(N28942="","",'Master Barang'!B36)</f>
        <v>0</v>
      </c>
      <c r="P28942">
        <f>IF(OR(M28942="",N28942=""),"",SUMIFS('Barang Keluar'!$E:$E,'Barang Keluar'!$A:$A,M28942,'Barang Keluar'!$C:$C,N28942))</f>
        <v>0</v>
      </c>
    </row>
    <row r="28943" spans="13:16">
      <c r="M28943" s="49">
        <f>IF($A$4+289&gt;$B$4,"",$A$4+289)</f>
        <v>46312</v>
      </c>
      <c r="N28943">
        <f>IF(M28943="","",'Master Barang'!A37)</f>
        <v>0</v>
      </c>
      <c r="O28943">
        <f>IF(N28943="","",'Master Barang'!B37)</f>
        <v>0</v>
      </c>
      <c r="P28943">
        <f>IF(OR(M28943="",N28943=""),"",SUMIFS('Barang Keluar'!$E:$E,'Barang Keluar'!$A:$A,M28943,'Barang Keluar'!$C:$C,N28943))</f>
        <v>0</v>
      </c>
    </row>
    <row r="28944" spans="13:16">
      <c r="M28944" s="49">
        <f>IF($A$4+289&gt;$B$4,"",$A$4+289)</f>
        <v>46312</v>
      </c>
      <c r="N28944">
        <f>IF(M28944="","",'Master Barang'!A38)</f>
        <v>0</v>
      </c>
      <c r="O28944">
        <f>IF(N28944="","",'Master Barang'!B38)</f>
        <v>0</v>
      </c>
      <c r="P28944">
        <f>IF(OR(M28944="",N28944=""),"",SUMIFS('Barang Keluar'!$E:$E,'Barang Keluar'!$A:$A,M28944,'Barang Keluar'!$C:$C,N28944))</f>
        <v>0</v>
      </c>
    </row>
    <row r="28945" spans="13:16">
      <c r="M28945" s="49">
        <f>IF($A$4+289&gt;$B$4,"",$A$4+289)</f>
        <v>46312</v>
      </c>
      <c r="N28945">
        <f>IF(M28945="","",'Master Barang'!A39)</f>
        <v>0</v>
      </c>
      <c r="O28945">
        <f>IF(N28945="","",'Master Barang'!B39)</f>
        <v>0</v>
      </c>
      <c r="P28945">
        <f>IF(OR(M28945="",N28945=""),"",SUMIFS('Barang Keluar'!$E:$E,'Barang Keluar'!$A:$A,M28945,'Barang Keluar'!$C:$C,N28945))</f>
        <v>0</v>
      </c>
    </row>
    <row r="28946" spans="13:16">
      <c r="M28946" s="49">
        <f>IF($A$4+289&gt;$B$4,"",$A$4+289)</f>
        <v>46312</v>
      </c>
      <c r="N28946">
        <f>IF(M28946="","",'Master Barang'!A40)</f>
        <v>0</v>
      </c>
      <c r="O28946">
        <f>IF(N28946="","",'Master Barang'!B40)</f>
        <v>0</v>
      </c>
      <c r="P28946">
        <f>IF(OR(M28946="",N28946=""),"",SUMIFS('Barang Keluar'!$E:$E,'Barang Keluar'!$A:$A,M28946,'Barang Keluar'!$C:$C,N28946))</f>
        <v>0</v>
      </c>
    </row>
    <row r="28947" spans="13:16">
      <c r="M28947" s="49">
        <f>IF($A$4+289&gt;$B$4,"",$A$4+289)</f>
        <v>46312</v>
      </c>
      <c r="N28947">
        <f>IF(M28947="","",'Master Barang'!A41)</f>
        <v>0</v>
      </c>
      <c r="O28947">
        <f>IF(N28947="","",'Master Barang'!B41)</f>
        <v>0</v>
      </c>
      <c r="P28947">
        <f>IF(OR(M28947="",N28947=""),"",SUMIFS('Barang Keluar'!$E:$E,'Barang Keluar'!$A:$A,M28947,'Barang Keluar'!$C:$C,N28947))</f>
        <v>0</v>
      </c>
    </row>
    <row r="28948" spans="13:16">
      <c r="M28948" s="49">
        <f>IF($A$4+289&gt;$B$4,"",$A$4+289)</f>
        <v>46312</v>
      </c>
      <c r="N28948">
        <f>IF(M28948="","",'Master Barang'!A42)</f>
        <v>0</v>
      </c>
      <c r="O28948">
        <f>IF(N28948="","",'Master Barang'!B42)</f>
        <v>0</v>
      </c>
      <c r="P28948">
        <f>IF(OR(M28948="",N28948=""),"",SUMIFS('Barang Keluar'!$E:$E,'Barang Keluar'!$A:$A,M28948,'Barang Keluar'!$C:$C,N28948))</f>
        <v>0</v>
      </c>
    </row>
    <row r="28949" spans="13:16">
      <c r="M28949" s="49">
        <f>IF($A$4+289&gt;$B$4,"",$A$4+289)</f>
        <v>46312</v>
      </c>
      <c r="N28949">
        <f>IF(M28949="","",'Master Barang'!A43)</f>
        <v>0</v>
      </c>
      <c r="O28949">
        <f>IF(N28949="","",'Master Barang'!B43)</f>
        <v>0</v>
      </c>
      <c r="P28949">
        <f>IF(OR(M28949="",N28949=""),"",SUMIFS('Barang Keluar'!$E:$E,'Barang Keluar'!$A:$A,M28949,'Barang Keluar'!$C:$C,N28949))</f>
        <v>0</v>
      </c>
    </row>
    <row r="28950" spans="13:16">
      <c r="M28950" s="49">
        <f>IF($A$4+289&gt;$B$4,"",$A$4+289)</f>
        <v>46312</v>
      </c>
      <c r="N28950">
        <f>IF(M28950="","",'Master Barang'!A44)</f>
        <v>0</v>
      </c>
      <c r="O28950">
        <f>IF(N28950="","",'Master Barang'!B44)</f>
        <v>0</v>
      </c>
      <c r="P28950">
        <f>IF(OR(M28950="",N28950=""),"",SUMIFS('Barang Keluar'!$E:$E,'Barang Keluar'!$A:$A,M28950,'Barang Keluar'!$C:$C,N28950))</f>
        <v>0</v>
      </c>
    </row>
    <row r="28951" spans="13:16">
      <c r="M28951" s="49">
        <f>IF($A$4+289&gt;$B$4,"",$A$4+289)</f>
        <v>46312</v>
      </c>
      <c r="N28951">
        <f>IF(M28951="","",'Master Barang'!A45)</f>
        <v>0</v>
      </c>
      <c r="O28951">
        <f>IF(N28951="","",'Master Barang'!B45)</f>
        <v>0</v>
      </c>
      <c r="P28951">
        <f>IF(OR(M28951="",N28951=""),"",SUMIFS('Barang Keluar'!$E:$E,'Barang Keluar'!$A:$A,M28951,'Barang Keluar'!$C:$C,N28951))</f>
        <v>0</v>
      </c>
    </row>
    <row r="28952" spans="13:16">
      <c r="M28952" s="49">
        <f>IF($A$4+289&gt;$B$4,"",$A$4+289)</f>
        <v>46312</v>
      </c>
      <c r="N28952">
        <f>IF(M28952="","",'Master Barang'!A46)</f>
        <v>0</v>
      </c>
      <c r="O28952">
        <f>IF(N28952="","",'Master Barang'!B46)</f>
        <v>0</v>
      </c>
      <c r="P28952">
        <f>IF(OR(M28952="",N28952=""),"",SUMIFS('Barang Keluar'!$E:$E,'Barang Keluar'!$A:$A,M28952,'Barang Keluar'!$C:$C,N28952))</f>
        <v>0</v>
      </c>
    </row>
    <row r="28953" spans="13:16">
      <c r="M28953" s="49">
        <f>IF($A$4+289&gt;$B$4,"",$A$4+289)</f>
        <v>46312</v>
      </c>
      <c r="N28953">
        <f>IF(M28953="","",'Master Barang'!A47)</f>
        <v>0</v>
      </c>
      <c r="O28953">
        <f>IF(N28953="","",'Master Barang'!B47)</f>
        <v>0</v>
      </c>
      <c r="P28953">
        <f>IF(OR(M28953="",N28953=""),"",SUMIFS('Barang Keluar'!$E:$E,'Barang Keluar'!$A:$A,M28953,'Barang Keluar'!$C:$C,N28953))</f>
        <v>0</v>
      </c>
    </row>
    <row r="28954" spans="13:16">
      <c r="M28954" s="49">
        <f>IF($A$4+289&gt;$B$4,"",$A$4+289)</f>
        <v>46312</v>
      </c>
      <c r="N28954">
        <f>IF(M28954="","",'Master Barang'!A48)</f>
        <v>0</v>
      </c>
      <c r="O28954">
        <f>IF(N28954="","",'Master Barang'!B48)</f>
        <v>0</v>
      </c>
      <c r="P28954">
        <f>IF(OR(M28954="",N28954=""),"",SUMIFS('Barang Keluar'!$E:$E,'Barang Keluar'!$A:$A,M28954,'Barang Keluar'!$C:$C,N28954))</f>
        <v>0</v>
      </c>
    </row>
    <row r="28955" spans="13:16">
      <c r="M28955" s="49">
        <f>IF($A$4+289&gt;$B$4,"",$A$4+289)</f>
        <v>46312</v>
      </c>
      <c r="N28955">
        <f>IF(M28955="","",'Master Barang'!A49)</f>
        <v>0</v>
      </c>
      <c r="O28955">
        <f>IF(N28955="","",'Master Barang'!B49)</f>
        <v>0</v>
      </c>
      <c r="P28955">
        <f>IF(OR(M28955="",N28955=""),"",SUMIFS('Barang Keluar'!$E:$E,'Barang Keluar'!$A:$A,M28955,'Barang Keluar'!$C:$C,N28955))</f>
        <v>0</v>
      </c>
    </row>
    <row r="28956" spans="13:16">
      <c r="M28956" s="49">
        <f>IF($A$4+289&gt;$B$4,"",$A$4+289)</f>
        <v>46312</v>
      </c>
      <c r="N28956">
        <f>IF(M28956="","",'Master Barang'!A50)</f>
        <v>0</v>
      </c>
      <c r="O28956">
        <f>IF(N28956="","",'Master Barang'!B50)</f>
        <v>0</v>
      </c>
      <c r="P28956">
        <f>IF(OR(M28956="",N28956=""),"",SUMIFS('Barang Keluar'!$E:$E,'Barang Keluar'!$A:$A,M28956,'Barang Keluar'!$C:$C,N28956))</f>
        <v>0</v>
      </c>
    </row>
    <row r="28957" spans="13:16">
      <c r="M28957" s="49">
        <f>IF($A$4+289&gt;$B$4,"",$A$4+289)</f>
        <v>46312</v>
      </c>
      <c r="N28957">
        <f>IF(M28957="","",'Master Barang'!A51)</f>
        <v>0</v>
      </c>
      <c r="O28957">
        <f>IF(N28957="","",'Master Barang'!B51)</f>
        <v>0</v>
      </c>
      <c r="P28957">
        <f>IF(OR(M28957="",N28957=""),"",SUMIFS('Barang Keluar'!$E:$E,'Barang Keluar'!$A:$A,M28957,'Barang Keluar'!$C:$C,N28957))</f>
        <v>0</v>
      </c>
    </row>
    <row r="28958" spans="13:16">
      <c r="M28958" s="49">
        <f>IF($A$4+289&gt;$B$4,"",$A$4+289)</f>
        <v>46312</v>
      </c>
      <c r="N28958">
        <f>IF(M28958="","",'Master Barang'!A52)</f>
        <v>0</v>
      </c>
      <c r="O28958">
        <f>IF(N28958="","",'Master Barang'!B52)</f>
        <v>0</v>
      </c>
      <c r="P28958">
        <f>IF(OR(M28958="",N28958=""),"",SUMIFS('Barang Keluar'!$E:$E,'Barang Keluar'!$A:$A,M28958,'Barang Keluar'!$C:$C,N28958))</f>
        <v>0</v>
      </c>
    </row>
    <row r="28959" spans="13:16">
      <c r="M28959" s="49">
        <f>IF($A$4+289&gt;$B$4,"",$A$4+289)</f>
        <v>46312</v>
      </c>
      <c r="N28959">
        <f>IF(M28959="","",'Master Barang'!A53)</f>
        <v>0</v>
      </c>
      <c r="O28959">
        <f>IF(N28959="","",'Master Barang'!B53)</f>
        <v>0</v>
      </c>
      <c r="P28959">
        <f>IF(OR(M28959="",N28959=""),"",SUMIFS('Barang Keluar'!$E:$E,'Barang Keluar'!$A:$A,M28959,'Barang Keluar'!$C:$C,N28959))</f>
        <v>0</v>
      </c>
    </row>
    <row r="28960" spans="13:16">
      <c r="M28960" s="49">
        <f>IF($A$4+289&gt;$B$4,"",$A$4+289)</f>
        <v>46312</v>
      </c>
      <c r="N28960">
        <f>IF(M28960="","",'Master Barang'!A54)</f>
        <v>0</v>
      </c>
      <c r="O28960">
        <f>IF(N28960="","",'Master Barang'!B54)</f>
        <v>0</v>
      </c>
      <c r="P28960">
        <f>IF(OR(M28960="",N28960=""),"",SUMIFS('Barang Keluar'!$E:$E,'Barang Keluar'!$A:$A,M28960,'Barang Keluar'!$C:$C,N28960))</f>
        <v>0</v>
      </c>
    </row>
    <row r="28961" spans="13:16">
      <c r="M28961" s="49">
        <f>IF($A$4+289&gt;$B$4,"",$A$4+289)</f>
        <v>46312</v>
      </c>
      <c r="N28961">
        <f>IF(M28961="","",'Master Barang'!A55)</f>
        <v>0</v>
      </c>
      <c r="O28961">
        <f>IF(N28961="","",'Master Barang'!B55)</f>
        <v>0</v>
      </c>
      <c r="P28961">
        <f>IF(OR(M28961="",N28961=""),"",SUMIFS('Barang Keluar'!$E:$E,'Barang Keluar'!$A:$A,M28961,'Barang Keluar'!$C:$C,N28961))</f>
        <v>0</v>
      </c>
    </row>
    <row r="28962" spans="13:16">
      <c r="M28962" s="49">
        <f>IF($A$4+289&gt;$B$4,"",$A$4+289)</f>
        <v>46312</v>
      </c>
      <c r="N28962">
        <f>IF(M28962="","",'Master Barang'!A56)</f>
        <v>0</v>
      </c>
      <c r="O28962">
        <f>IF(N28962="","",'Master Barang'!B56)</f>
        <v>0</v>
      </c>
      <c r="P28962">
        <f>IF(OR(M28962="",N28962=""),"",SUMIFS('Barang Keluar'!$E:$E,'Barang Keluar'!$A:$A,M28962,'Barang Keluar'!$C:$C,N28962))</f>
        <v>0</v>
      </c>
    </row>
    <row r="28963" spans="13:16">
      <c r="M28963" s="49">
        <f>IF($A$4+289&gt;$B$4,"",$A$4+289)</f>
        <v>46312</v>
      </c>
      <c r="N28963">
        <f>IF(M28963="","",'Master Barang'!A57)</f>
        <v>0</v>
      </c>
      <c r="O28963">
        <f>IF(N28963="","",'Master Barang'!B57)</f>
        <v>0</v>
      </c>
      <c r="P28963">
        <f>IF(OR(M28963="",N28963=""),"",SUMIFS('Barang Keluar'!$E:$E,'Barang Keluar'!$A:$A,M28963,'Barang Keluar'!$C:$C,N28963))</f>
        <v>0</v>
      </c>
    </row>
    <row r="28964" spans="13:16">
      <c r="M28964" s="49">
        <f>IF($A$4+289&gt;$B$4,"",$A$4+289)</f>
        <v>46312</v>
      </c>
      <c r="N28964">
        <f>IF(M28964="","",'Master Barang'!A58)</f>
        <v>0</v>
      </c>
      <c r="O28964">
        <f>IF(N28964="","",'Master Barang'!B58)</f>
        <v>0</v>
      </c>
      <c r="P28964">
        <f>IF(OR(M28964="",N28964=""),"",SUMIFS('Barang Keluar'!$E:$E,'Barang Keluar'!$A:$A,M28964,'Barang Keluar'!$C:$C,N28964))</f>
        <v>0</v>
      </c>
    </row>
    <row r="28965" spans="13:16">
      <c r="M28965" s="49">
        <f>IF($A$4+289&gt;$B$4,"",$A$4+289)</f>
        <v>46312</v>
      </c>
      <c r="N28965">
        <f>IF(M28965="","",'Master Barang'!A59)</f>
        <v>0</v>
      </c>
      <c r="O28965">
        <f>IF(N28965="","",'Master Barang'!B59)</f>
        <v>0</v>
      </c>
      <c r="P28965">
        <f>IF(OR(M28965="",N28965=""),"",SUMIFS('Barang Keluar'!$E:$E,'Barang Keluar'!$A:$A,M28965,'Barang Keluar'!$C:$C,N28965))</f>
        <v>0</v>
      </c>
    </row>
    <row r="28966" spans="13:16">
      <c r="M28966" s="49">
        <f>IF($A$4+289&gt;$B$4,"",$A$4+289)</f>
        <v>46312</v>
      </c>
      <c r="N28966">
        <f>IF(M28966="","",'Master Barang'!A60)</f>
        <v>0</v>
      </c>
      <c r="O28966">
        <f>IF(N28966="","",'Master Barang'!B60)</f>
        <v>0</v>
      </c>
      <c r="P28966">
        <f>IF(OR(M28966="",N28966=""),"",SUMIFS('Barang Keluar'!$E:$E,'Barang Keluar'!$A:$A,M28966,'Barang Keluar'!$C:$C,N28966))</f>
        <v>0</v>
      </c>
    </row>
    <row r="28967" spans="13:16">
      <c r="M28967" s="49">
        <f>IF($A$4+289&gt;$B$4,"",$A$4+289)</f>
        <v>46312</v>
      </c>
      <c r="N28967">
        <f>IF(M28967="","",'Master Barang'!A61)</f>
        <v>0</v>
      </c>
      <c r="O28967">
        <f>IF(N28967="","",'Master Barang'!B61)</f>
        <v>0</v>
      </c>
      <c r="P28967">
        <f>IF(OR(M28967="",N28967=""),"",SUMIFS('Barang Keluar'!$E:$E,'Barang Keluar'!$A:$A,M28967,'Barang Keluar'!$C:$C,N28967))</f>
        <v>0</v>
      </c>
    </row>
    <row r="28968" spans="13:16">
      <c r="M28968" s="49">
        <f>IF($A$4+289&gt;$B$4,"",$A$4+289)</f>
        <v>46312</v>
      </c>
      <c r="N28968">
        <f>IF(M28968="","",'Master Barang'!A62)</f>
        <v>0</v>
      </c>
      <c r="O28968">
        <f>IF(N28968="","",'Master Barang'!B62)</f>
        <v>0</v>
      </c>
      <c r="P28968">
        <f>IF(OR(M28968="",N28968=""),"",SUMIFS('Barang Keluar'!$E:$E,'Barang Keluar'!$A:$A,M28968,'Barang Keluar'!$C:$C,N28968))</f>
        <v>0</v>
      </c>
    </row>
    <row r="28969" spans="13:16">
      <c r="M28969" s="49">
        <f>IF($A$4+289&gt;$B$4,"",$A$4+289)</f>
        <v>46312</v>
      </c>
      <c r="N28969">
        <f>IF(M28969="","",'Master Barang'!A63)</f>
        <v>0</v>
      </c>
      <c r="O28969">
        <f>IF(N28969="","",'Master Barang'!B63)</f>
        <v>0</v>
      </c>
      <c r="P28969">
        <f>IF(OR(M28969="",N28969=""),"",SUMIFS('Barang Keluar'!$E:$E,'Barang Keluar'!$A:$A,M28969,'Barang Keluar'!$C:$C,N28969))</f>
        <v>0</v>
      </c>
    </row>
    <row r="28970" spans="13:16">
      <c r="M28970" s="49">
        <f>IF($A$4+289&gt;$B$4,"",$A$4+289)</f>
        <v>46312</v>
      </c>
      <c r="N28970">
        <f>IF(M28970="","",'Master Barang'!A64)</f>
        <v>0</v>
      </c>
      <c r="O28970">
        <f>IF(N28970="","",'Master Barang'!B64)</f>
        <v>0</v>
      </c>
      <c r="P28970">
        <f>IF(OR(M28970="",N28970=""),"",SUMIFS('Barang Keluar'!$E:$E,'Barang Keluar'!$A:$A,M28970,'Barang Keluar'!$C:$C,N28970))</f>
        <v>0</v>
      </c>
    </row>
    <row r="28971" spans="13:16">
      <c r="M28971" s="49">
        <f>IF($A$4+289&gt;$B$4,"",$A$4+289)</f>
        <v>46312</v>
      </c>
      <c r="N28971">
        <f>IF(M28971="","",'Master Barang'!A65)</f>
        <v>0</v>
      </c>
      <c r="O28971">
        <f>IF(N28971="","",'Master Barang'!B65)</f>
        <v>0</v>
      </c>
      <c r="P28971">
        <f>IF(OR(M28971="",N28971=""),"",SUMIFS('Barang Keluar'!$E:$E,'Barang Keluar'!$A:$A,M28971,'Barang Keluar'!$C:$C,N28971))</f>
        <v>0</v>
      </c>
    </row>
    <row r="28972" spans="13:16">
      <c r="M28972" s="49">
        <f>IF($A$4+289&gt;$B$4,"",$A$4+289)</f>
        <v>46312</v>
      </c>
      <c r="N28972">
        <f>IF(M28972="","",'Master Barang'!A66)</f>
        <v>0</v>
      </c>
      <c r="O28972">
        <f>IF(N28972="","",'Master Barang'!B66)</f>
        <v>0</v>
      </c>
      <c r="P28972">
        <f>IF(OR(M28972="",N28972=""),"",SUMIFS('Barang Keluar'!$E:$E,'Barang Keluar'!$A:$A,M28972,'Barang Keluar'!$C:$C,N28972))</f>
        <v>0</v>
      </c>
    </row>
    <row r="28973" spans="13:16">
      <c r="M28973" s="49">
        <f>IF($A$4+289&gt;$B$4,"",$A$4+289)</f>
        <v>46312</v>
      </c>
      <c r="N28973">
        <f>IF(M28973="","",'Master Barang'!A67)</f>
        <v>0</v>
      </c>
      <c r="O28973">
        <f>IF(N28973="","",'Master Barang'!B67)</f>
        <v>0</v>
      </c>
      <c r="P28973">
        <f>IF(OR(M28973="",N28973=""),"",SUMIFS('Barang Keluar'!$E:$E,'Barang Keluar'!$A:$A,M28973,'Barang Keluar'!$C:$C,N28973))</f>
        <v>0</v>
      </c>
    </row>
    <row r="28974" spans="13:16">
      <c r="M28974" s="49">
        <f>IF($A$4+289&gt;$B$4,"",$A$4+289)</f>
        <v>46312</v>
      </c>
      <c r="N28974">
        <f>IF(M28974="","",'Master Barang'!A68)</f>
        <v>0</v>
      </c>
      <c r="O28974">
        <f>IF(N28974="","",'Master Barang'!B68)</f>
        <v>0</v>
      </c>
      <c r="P28974">
        <f>IF(OR(M28974="",N28974=""),"",SUMIFS('Barang Keluar'!$E:$E,'Barang Keluar'!$A:$A,M28974,'Barang Keluar'!$C:$C,N28974))</f>
        <v>0</v>
      </c>
    </row>
    <row r="28975" spans="13:16">
      <c r="M28975" s="49">
        <f>IF($A$4+289&gt;$B$4,"",$A$4+289)</f>
        <v>46312</v>
      </c>
      <c r="N28975">
        <f>IF(M28975="","",'Master Barang'!A69)</f>
        <v>0</v>
      </c>
      <c r="O28975">
        <f>IF(N28975="","",'Master Barang'!B69)</f>
        <v>0</v>
      </c>
      <c r="P28975">
        <f>IF(OR(M28975="",N28975=""),"",SUMIFS('Barang Keluar'!$E:$E,'Barang Keluar'!$A:$A,M28975,'Barang Keluar'!$C:$C,N28975))</f>
        <v>0</v>
      </c>
    </row>
    <row r="28976" spans="13:16">
      <c r="M28976" s="49">
        <f>IF($A$4+289&gt;$B$4,"",$A$4+289)</f>
        <v>46312</v>
      </c>
      <c r="N28976">
        <f>IF(M28976="","",'Master Barang'!A70)</f>
        <v>0</v>
      </c>
      <c r="O28976">
        <f>IF(N28976="","",'Master Barang'!B70)</f>
        <v>0</v>
      </c>
      <c r="P28976">
        <f>IF(OR(M28976="",N28976=""),"",SUMIFS('Barang Keluar'!$E:$E,'Barang Keluar'!$A:$A,M28976,'Barang Keluar'!$C:$C,N28976))</f>
        <v>0</v>
      </c>
    </row>
    <row r="28977" spans="13:16">
      <c r="M28977" s="49">
        <f>IF($A$4+289&gt;$B$4,"",$A$4+289)</f>
        <v>46312</v>
      </c>
      <c r="N28977">
        <f>IF(M28977="","",'Master Barang'!A71)</f>
        <v>0</v>
      </c>
      <c r="O28977">
        <f>IF(N28977="","",'Master Barang'!B71)</f>
        <v>0</v>
      </c>
      <c r="P28977">
        <f>IF(OR(M28977="",N28977=""),"",SUMIFS('Barang Keluar'!$E:$E,'Barang Keluar'!$A:$A,M28977,'Barang Keluar'!$C:$C,N28977))</f>
        <v>0</v>
      </c>
    </row>
    <row r="28978" spans="13:16">
      <c r="M28978" s="49">
        <f>IF($A$4+289&gt;$B$4,"",$A$4+289)</f>
        <v>46312</v>
      </c>
      <c r="N28978">
        <f>IF(M28978="","",'Master Barang'!A72)</f>
        <v>0</v>
      </c>
      <c r="O28978">
        <f>IF(N28978="","",'Master Barang'!B72)</f>
        <v>0</v>
      </c>
      <c r="P28978">
        <f>IF(OR(M28978="",N28978=""),"",SUMIFS('Barang Keluar'!$E:$E,'Barang Keluar'!$A:$A,M28978,'Barang Keluar'!$C:$C,N28978))</f>
        <v>0</v>
      </c>
    </row>
    <row r="28979" spans="13:16">
      <c r="M28979" s="49">
        <f>IF($A$4+289&gt;$B$4,"",$A$4+289)</f>
        <v>46312</v>
      </c>
      <c r="N28979">
        <f>IF(M28979="","",'Master Barang'!A73)</f>
        <v>0</v>
      </c>
      <c r="O28979">
        <f>IF(N28979="","",'Master Barang'!B73)</f>
        <v>0</v>
      </c>
      <c r="P28979">
        <f>IF(OR(M28979="",N28979=""),"",SUMIFS('Barang Keluar'!$E:$E,'Barang Keluar'!$A:$A,M28979,'Barang Keluar'!$C:$C,N28979))</f>
        <v>0</v>
      </c>
    </row>
    <row r="28980" spans="13:16">
      <c r="M28980" s="49">
        <f>IF($A$4+289&gt;$B$4,"",$A$4+289)</f>
        <v>46312</v>
      </c>
      <c r="N28980">
        <f>IF(M28980="","",'Master Barang'!A74)</f>
        <v>0</v>
      </c>
      <c r="O28980">
        <f>IF(N28980="","",'Master Barang'!B74)</f>
        <v>0</v>
      </c>
      <c r="P28980">
        <f>IF(OR(M28980="",N28980=""),"",SUMIFS('Barang Keluar'!$E:$E,'Barang Keluar'!$A:$A,M28980,'Barang Keluar'!$C:$C,N28980))</f>
        <v>0</v>
      </c>
    </row>
    <row r="28981" spans="13:16">
      <c r="M28981" s="49">
        <f>IF($A$4+289&gt;$B$4,"",$A$4+289)</f>
        <v>46312</v>
      </c>
      <c r="N28981">
        <f>IF(M28981="","",'Master Barang'!A75)</f>
        <v>0</v>
      </c>
      <c r="O28981">
        <f>IF(N28981="","",'Master Barang'!B75)</f>
        <v>0</v>
      </c>
      <c r="P28981">
        <f>IF(OR(M28981="",N28981=""),"",SUMIFS('Barang Keluar'!$E:$E,'Barang Keluar'!$A:$A,M28981,'Barang Keluar'!$C:$C,N28981))</f>
        <v>0</v>
      </c>
    </row>
    <row r="28982" spans="13:16">
      <c r="M28982" s="49">
        <f>IF($A$4+289&gt;$B$4,"",$A$4+289)</f>
        <v>46312</v>
      </c>
      <c r="N28982">
        <f>IF(M28982="","",'Master Barang'!A76)</f>
        <v>0</v>
      </c>
      <c r="O28982">
        <f>IF(N28982="","",'Master Barang'!B76)</f>
        <v>0</v>
      </c>
      <c r="P28982">
        <f>IF(OR(M28982="",N28982=""),"",SUMIFS('Barang Keluar'!$E:$E,'Barang Keluar'!$A:$A,M28982,'Barang Keluar'!$C:$C,N28982))</f>
        <v>0</v>
      </c>
    </row>
    <row r="28983" spans="13:16">
      <c r="M28983" s="49">
        <f>IF($A$4+289&gt;$B$4,"",$A$4+289)</f>
        <v>46312</v>
      </c>
      <c r="N28983">
        <f>IF(M28983="","",'Master Barang'!A77)</f>
        <v>0</v>
      </c>
      <c r="O28983">
        <f>IF(N28983="","",'Master Barang'!B77)</f>
        <v>0</v>
      </c>
      <c r="P28983">
        <f>IF(OR(M28983="",N28983=""),"",SUMIFS('Barang Keluar'!$E:$E,'Barang Keluar'!$A:$A,M28983,'Barang Keluar'!$C:$C,N28983))</f>
        <v>0</v>
      </c>
    </row>
    <row r="28984" spans="13:16">
      <c r="M28984" s="49">
        <f>IF($A$4+289&gt;$B$4,"",$A$4+289)</f>
        <v>46312</v>
      </c>
      <c r="N28984">
        <f>IF(M28984="","",'Master Barang'!A78)</f>
        <v>0</v>
      </c>
      <c r="O28984">
        <f>IF(N28984="","",'Master Barang'!B78)</f>
        <v>0</v>
      </c>
      <c r="P28984">
        <f>IF(OR(M28984="",N28984=""),"",SUMIFS('Barang Keluar'!$E:$E,'Barang Keluar'!$A:$A,M28984,'Barang Keluar'!$C:$C,N28984))</f>
        <v>0</v>
      </c>
    </row>
    <row r="28985" spans="13:16">
      <c r="M28985" s="49">
        <f>IF($A$4+289&gt;$B$4,"",$A$4+289)</f>
        <v>46312</v>
      </c>
      <c r="N28985">
        <f>IF(M28985="","",'Master Barang'!A79)</f>
        <v>0</v>
      </c>
      <c r="O28985">
        <f>IF(N28985="","",'Master Barang'!B79)</f>
        <v>0</v>
      </c>
      <c r="P28985">
        <f>IF(OR(M28985="",N28985=""),"",SUMIFS('Barang Keluar'!$E:$E,'Barang Keluar'!$A:$A,M28985,'Barang Keluar'!$C:$C,N28985))</f>
        <v>0</v>
      </c>
    </row>
    <row r="28986" spans="13:16">
      <c r="M28986" s="49">
        <f>IF($A$4+289&gt;$B$4,"",$A$4+289)</f>
        <v>46312</v>
      </c>
      <c r="N28986">
        <f>IF(M28986="","",'Master Barang'!A80)</f>
        <v>0</v>
      </c>
      <c r="O28986">
        <f>IF(N28986="","",'Master Barang'!B80)</f>
        <v>0</v>
      </c>
      <c r="P28986">
        <f>IF(OR(M28986="",N28986=""),"",SUMIFS('Barang Keluar'!$E:$E,'Barang Keluar'!$A:$A,M28986,'Barang Keluar'!$C:$C,N28986))</f>
        <v>0</v>
      </c>
    </row>
    <row r="28987" spans="13:16">
      <c r="M28987" s="49">
        <f>IF($A$4+289&gt;$B$4,"",$A$4+289)</f>
        <v>46312</v>
      </c>
      <c r="N28987">
        <f>IF(M28987="","",'Master Barang'!A81)</f>
        <v>0</v>
      </c>
      <c r="O28987">
        <f>IF(N28987="","",'Master Barang'!B81)</f>
        <v>0</v>
      </c>
      <c r="P28987">
        <f>IF(OR(M28987="",N28987=""),"",SUMIFS('Barang Keluar'!$E:$E,'Barang Keluar'!$A:$A,M28987,'Barang Keluar'!$C:$C,N28987))</f>
        <v>0</v>
      </c>
    </row>
    <row r="28988" spans="13:16">
      <c r="M28988" s="49">
        <f>IF($A$4+289&gt;$B$4,"",$A$4+289)</f>
        <v>46312</v>
      </c>
      <c r="N28988">
        <f>IF(M28988="","",'Master Barang'!A82)</f>
        <v>0</v>
      </c>
      <c r="O28988">
        <f>IF(N28988="","",'Master Barang'!B82)</f>
        <v>0</v>
      </c>
      <c r="P28988">
        <f>IF(OR(M28988="",N28988=""),"",SUMIFS('Barang Keluar'!$E:$E,'Barang Keluar'!$A:$A,M28988,'Barang Keluar'!$C:$C,N28988))</f>
        <v>0</v>
      </c>
    </row>
    <row r="28989" spans="13:16">
      <c r="M28989" s="49">
        <f>IF($A$4+289&gt;$B$4,"",$A$4+289)</f>
        <v>46312</v>
      </c>
      <c r="N28989">
        <f>IF(M28989="","",'Master Barang'!A83)</f>
        <v>0</v>
      </c>
      <c r="O28989">
        <f>IF(N28989="","",'Master Barang'!B83)</f>
        <v>0</v>
      </c>
      <c r="P28989">
        <f>IF(OR(M28989="",N28989=""),"",SUMIFS('Barang Keluar'!$E:$E,'Barang Keluar'!$A:$A,M28989,'Barang Keluar'!$C:$C,N28989))</f>
        <v>0</v>
      </c>
    </row>
    <row r="28990" spans="13:16">
      <c r="M28990" s="49">
        <f>IF($A$4+289&gt;$B$4,"",$A$4+289)</f>
        <v>46312</v>
      </c>
      <c r="N28990">
        <f>IF(M28990="","",'Master Barang'!A84)</f>
        <v>0</v>
      </c>
      <c r="O28990">
        <f>IF(N28990="","",'Master Barang'!B84)</f>
        <v>0</v>
      </c>
      <c r="P28990">
        <f>IF(OR(M28990="",N28990=""),"",SUMIFS('Barang Keluar'!$E:$E,'Barang Keluar'!$A:$A,M28990,'Barang Keluar'!$C:$C,N28990))</f>
        <v>0</v>
      </c>
    </row>
    <row r="28991" spans="13:16">
      <c r="M28991" s="49">
        <f>IF($A$4+289&gt;$B$4,"",$A$4+289)</f>
        <v>46312</v>
      </c>
      <c r="N28991">
        <f>IF(M28991="","",'Master Barang'!A85)</f>
        <v>0</v>
      </c>
      <c r="O28991">
        <f>IF(N28991="","",'Master Barang'!B85)</f>
        <v>0</v>
      </c>
      <c r="P28991">
        <f>IF(OR(M28991="",N28991=""),"",SUMIFS('Barang Keluar'!$E:$E,'Barang Keluar'!$A:$A,M28991,'Barang Keluar'!$C:$C,N28991))</f>
        <v>0</v>
      </c>
    </row>
    <row r="28992" spans="13:16">
      <c r="M28992" s="49">
        <f>IF($A$4+289&gt;$B$4,"",$A$4+289)</f>
        <v>46312</v>
      </c>
      <c r="N28992">
        <f>IF(M28992="","",'Master Barang'!A86)</f>
        <v>0</v>
      </c>
      <c r="O28992">
        <f>IF(N28992="","",'Master Barang'!B86)</f>
        <v>0</v>
      </c>
      <c r="P28992">
        <f>IF(OR(M28992="",N28992=""),"",SUMIFS('Barang Keluar'!$E:$E,'Barang Keluar'!$A:$A,M28992,'Barang Keluar'!$C:$C,N28992))</f>
        <v>0</v>
      </c>
    </row>
    <row r="28993" spans="13:16">
      <c r="M28993" s="49">
        <f>IF($A$4+289&gt;$B$4,"",$A$4+289)</f>
        <v>46312</v>
      </c>
      <c r="N28993">
        <f>IF(M28993="","",'Master Barang'!A87)</f>
        <v>0</v>
      </c>
      <c r="O28993">
        <f>IF(N28993="","",'Master Barang'!B87)</f>
        <v>0</v>
      </c>
      <c r="P28993">
        <f>IF(OR(M28993="",N28993=""),"",SUMIFS('Barang Keluar'!$E:$E,'Barang Keluar'!$A:$A,M28993,'Barang Keluar'!$C:$C,N28993))</f>
        <v>0</v>
      </c>
    </row>
    <row r="28994" spans="13:16">
      <c r="M28994" s="49">
        <f>IF($A$4+289&gt;$B$4,"",$A$4+289)</f>
        <v>46312</v>
      </c>
      <c r="N28994">
        <f>IF(M28994="","",'Master Barang'!A88)</f>
        <v>0</v>
      </c>
      <c r="O28994">
        <f>IF(N28994="","",'Master Barang'!B88)</f>
        <v>0</v>
      </c>
      <c r="P28994">
        <f>IF(OR(M28994="",N28994=""),"",SUMIFS('Barang Keluar'!$E:$E,'Barang Keluar'!$A:$A,M28994,'Barang Keluar'!$C:$C,N28994))</f>
        <v>0</v>
      </c>
    </row>
    <row r="28995" spans="13:16">
      <c r="M28995" s="49">
        <f>IF($A$4+289&gt;$B$4,"",$A$4+289)</f>
        <v>46312</v>
      </c>
      <c r="N28995">
        <f>IF(M28995="","",'Master Barang'!A89)</f>
        <v>0</v>
      </c>
      <c r="O28995">
        <f>IF(N28995="","",'Master Barang'!B89)</f>
        <v>0</v>
      </c>
      <c r="P28995">
        <f>IF(OR(M28995="",N28995=""),"",SUMIFS('Barang Keluar'!$E:$E,'Barang Keluar'!$A:$A,M28995,'Barang Keluar'!$C:$C,N28995))</f>
        <v>0</v>
      </c>
    </row>
    <row r="28996" spans="13:16">
      <c r="M28996" s="49">
        <f>IF($A$4+289&gt;$B$4,"",$A$4+289)</f>
        <v>46312</v>
      </c>
      <c r="N28996">
        <f>IF(M28996="","",'Master Barang'!A90)</f>
        <v>0</v>
      </c>
      <c r="O28996">
        <f>IF(N28996="","",'Master Barang'!B90)</f>
        <v>0</v>
      </c>
      <c r="P28996">
        <f>IF(OR(M28996="",N28996=""),"",SUMIFS('Barang Keluar'!$E:$E,'Barang Keluar'!$A:$A,M28996,'Barang Keluar'!$C:$C,N28996))</f>
        <v>0</v>
      </c>
    </row>
    <row r="28997" spans="13:16">
      <c r="M28997" s="49">
        <f>IF($A$4+289&gt;$B$4,"",$A$4+289)</f>
        <v>46312</v>
      </c>
      <c r="N28997">
        <f>IF(M28997="","",'Master Barang'!A91)</f>
        <v>0</v>
      </c>
      <c r="O28997">
        <f>IF(N28997="","",'Master Barang'!B91)</f>
        <v>0</v>
      </c>
      <c r="P28997">
        <f>IF(OR(M28997="",N28997=""),"",SUMIFS('Barang Keluar'!$E:$E,'Barang Keluar'!$A:$A,M28997,'Barang Keluar'!$C:$C,N28997))</f>
        <v>0</v>
      </c>
    </row>
    <row r="28998" spans="13:16">
      <c r="M28998" s="49">
        <f>IF($A$4+289&gt;$B$4,"",$A$4+289)</f>
        <v>46312</v>
      </c>
      <c r="N28998">
        <f>IF(M28998="","",'Master Barang'!A92)</f>
        <v>0</v>
      </c>
      <c r="O28998">
        <f>IF(N28998="","",'Master Barang'!B92)</f>
        <v>0</v>
      </c>
      <c r="P28998">
        <f>IF(OR(M28998="",N28998=""),"",SUMIFS('Barang Keluar'!$E:$E,'Barang Keluar'!$A:$A,M28998,'Barang Keluar'!$C:$C,N28998))</f>
        <v>0</v>
      </c>
    </row>
    <row r="28999" spans="13:16">
      <c r="M28999" s="49">
        <f>IF($A$4+289&gt;$B$4,"",$A$4+289)</f>
        <v>46312</v>
      </c>
      <c r="N28999">
        <f>IF(M28999="","",'Master Barang'!A93)</f>
        <v>0</v>
      </c>
      <c r="O28999">
        <f>IF(N28999="","",'Master Barang'!B93)</f>
        <v>0</v>
      </c>
      <c r="P28999">
        <f>IF(OR(M28999="",N28999=""),"",SUMIFS('Barang Keluar'!$E:$E,'Barang Keluar'!$A:$A,M28999,'Barang Keluar'!$C:$C,N28999))</f>
        <v>0</v>
      </c>
    </row>
    <row r="29000" spans="13:16">
      <c r="M29000" s="49">
        <f>IF($A$4+289&gt;$B$4,"",$A$4+289)</f>
        <v>46312</v>
      </c>
      <c r="N29000">
        <f>IF(M29000="","",'Master Barang'!A94)</f>
        <v>0</v>
      </c>
      <c r="O29000">
        <f>IF(N29000="","",'Master Barang'!B94)</f>
        <v>0</v>
      </c>
      <c r="P29000">
        <f>IF(OR(M29000="",N29000=""),"",SUMIFS('Barang Keluar'!$E:$E,'Barang Keluar'!$A:$A,M29000,'Barang Keluar'!$C:$C,N29000))</f>
        <v>0</v>
      </c>
    </row>
    <row r="29001" spans="13:16">
      <c r="M29001" s="49">
        <f>IF($A$4+289&gt;$B$4,"",$A$4+289)</f>
        <v>46312</v>
      </c>
      <c r="N29001">
        <f>IF(M29001="","",'Master Barang'!A95)</f>
        <v>0</v>
      </c>
      <c r="O29001">
        <f>IF(N29001="","",'Master Barang'!B95)</f>
        <v>0</v>
      </c>
      <c r="P29001">
        <f>IF(OR(M29001="",N29001=""),"",SUMIFS('Barang Keluar'!$E:$E,'Barang Keluar'!$A:$A,M29001,'Barang Keluar'!$C:$C,N29001))</f>
        <v>0</v>
      </c>
    </row>
    <row r="29002" spans="13:16">
      <c r="M29002" s="49">
        <f>IF($A$4+289&gt;$B$4,"",$A$4+289)</f>
        <v>46312</v>
      </c>
      <c r="N29002">
        <f>IF(M29002="","",'Master Barang'!A96)</f>
        <v>0</v>
      </c>
      <c r="O29002">
        <f>IF(N29002="","",'Master Barang'!B96)</f>
        <v>0</v>
      </c>
      <c r="P29002">
        <f>IF(OR(M29002="",N29002=""),"",SUMIFS('Barang Keluar'!$E:$E,'Barang Keluar'!$A:$A,M29002,'Barang Keluar'!$C:$C,N29002))</f>
        <v>0</v>
      </c>
    </row>
    <row r="29003" spans="13:16">
      <c r="M29003" s="49">
        <f>IF($A$4+289&gt;$B$4,"",$A$4+289)</f>
        <v>46312</v>
      </c>
      <c r="N29003">
        <f>IF(M29003="","",'Master Barang'!A97)</f>
        <v>0</v>
      </c>
      <c r="O29003">
        <f>IF(N29003="","",'Master Barang'!B97)</f>
        <v>0</v>
      </c>
      <c r="P29003">
        <f>IF(OR(M29003="",N29003=""),"",SUMIFS('Barang Keluar'!$E:$E,'Barang Keluar'!$A:$A,M29003,'Barang Keluar'!$C:$C,N29003))</f>
        <v>0</v>
      </c>
    </row>
    <row r="29004" spans="13:16">
      <c r="M29004" s="49">
        <f>IF($A$4+289&gt;$B$4,"",$A$4+289)</f>
        <v>46312</v>
      </c>
      <c r="N29004">
        <f>IF(M29004="","",'Master Barang'!A98)</f>
        <v>0</v>
      </c>
      <c r="O29004">
        <f>IF(N29004="","",'Master Barang'!B98)</f>
        <v>0</v>
      </c>
      <c r="P29004">
        <f>IF(OR(M29004="",N29004=""),"",SUMIFS('Barang Keluar'!$E:$E,'Barang Keluar'!$A:$A,M29004,'Barang Keluar'!$C:$C,N29004))</f>
        <v>0</v>
      </c>
    </row>
    <row r="29005" spans="13:16">
      <c r="M29005" s="49">
        <f>IF($A$4+289&gt;$B$4,"",$A$4+289)</f>
        <v>46312</v>
      </c>
      <c r="N29005">
        <f>IF(M29005="","",'Master Barang'!A99)</f>
        <v>0</v>
      </c>
      <c r="O29005">
        <f>IF(N29005="","",'Master Barang'!B99)</f>
        <v>0</v>
      </c>
      <c r="P29005">
        <f>IF(OR(M29005="",N29005=""),"",SUMIFS('Barang Keluar'!$E:$E,'Barang Keluar'!$A:$A,M29005,'Barang Keluar'!$C:$C,N29005))</f>
        <v>0</v>
      </c>
    </row>
    <row r="29006" spans="13:16">
      <c r="M29006" s="49">
        <f>IF($A$4+289&gt;$B$4,"",$A$4+289)</f>
        <v>46312</v>
      </c>
      <c r="N29006">
        <f>IF(M29006="","",'Master Barang'!A100)</f>
        <v>0</v>
      </c>
      <c r="O29006">
        <f>IF(N29006="","",'Master Barang'!B100)</f>
        <v>0</v>
      </c>
      <c r="P29006">
        <f>IF(OR(M29006="",N29006=""),"",SUMIFS('Barang Keluar'!$E:$E,'Barang Keluar'!$A:$A,M29006,'Barang Keluar'!$C:$C,N29006))</f>
        <v>0</v>
      </c>
    </row>
    <row r="29007" spans="13:16">
      <c r="M29007" s="49">
        <f>IF($A$4+289&gt;$B$4,"",$A$4+289)</f>
        <v>46312</v>
      </c>
      <c r="N29007">
        <f>IF(M29007="","",'Master Barang'!A101)</f>
        <v>0</v>
      </c>
      <c r="O29007">
        <f>IF(N29007="","",'Master Barang'!B101)</f>
        <v>0</v>
      </c>
      <c r="P29007">
        <f>IF(OR(M29007="",N29007=""),"",SUMIFS('Barang Keluar'!$E:$E,'Barang Keluar'!$A:$A,M29007,'Barang Keluar'!$C:$C,N29007))</f>
        <v>0</v>
      </c>
    </row>
    <row r="29008" spans="13:16">
      <c r="M29008" s="49">
        <f>IF($A$4+290&gt;$B$4,"",$A$4+290)</f>
        <v>46313</v>
      </c>
      <c r="N29008" t="str">
        <f>IF(M29008="","",'Master Barang'!A2)</f>
        <v>PRL-001</v>
      </c>
      <c r="O29008" t="str">
        <f>IF(N29008="","",'Master Barang'!B2)</f>
        <v>natura desinfectant food grade 5l</v>
      </c>
      <c r="P29008">
        <f>IF(OR(M29008="",N29008=""),"",SUMIFS('Barang Keluar'!$E:$E,'Barang Keluar'!$A:$A,M29008,'Barang Keluar'!$C:$C,N29008))</f>
        <v>0</v>
      </c>
    </row>
    <row r="29009" spans="13:16">
      <c r="M29009" s="49">
        <f>IF($A$4+290&gt;$B$4,"",$A$4+290)</f>
        <v>46313</v>
      </c>
      <c r="N29009" t="str">
        <f>IF(M29009="","",'Master Barang'!A3)</f>
        <v>PRL-002</v>
      </c>
      <c r="O29009" t="str">
        <f>IF(N29009="","",'Master Barang'!B3)</f>
        <v>sunlight cairan pencuci piring 5l</v>
      </c>
      <c r="P29009">
        <f>IF(OR(M29009="",N29009=""),"",SUMIFS('Barang Keluar'!$E:$E,'Barang Keluar'!$A:$A,M29009,'Barang Keluar'!$C:$C,N29009))</f>
        <v>0</v>
      </c>
    </row>
    <row r="29010" spans="13:16">
      <c r="M29010" s="49">
        <f>IF($A$4+290&gt;$B$4,"",$A$4+290)</f>
        <v>46313</v>
      </c>
      <c r="N29010" t="str">
        <f>IF(M29010="","",'Master Barang'!A4)</f>
        <v>PRL-003</v>
      </c>
      <c r="O29010" t="str">
        <f>IF(N29010="","",'Master Barang'!B4)</f>
        <v>oixs cleaner 1l</v>
      </c>
      <c r="P29010">
        <f>IF(OR(M29010="",N29010=""),"",SUMIFS('Barang Keluar'!$E:$E,'Barang Keluar'!$A:$A,M29010,'Barang Keluar'!$C:$C,N29010))</f>
        <v>0</v>
      </c>
    </row>
    <row r="29011" spans="13:16">
      <c r="M29011" s="49">
        <f>IF($A$4+290&gt;$B$4,"",$A$4+290)</f>
        <v>46313</v>
      </c>
      <c r="N29011" t="str">
        <f>IF(M29011="","",'Master Barang'!A5)</f>
        <v>PRL-004</v>
      </c>
      <c r="O29011" t="str">
        <f>IF(N29011="","",'Master Barang'!B5)</f>
        <v>be clean tissue serbaguna</v>
      </c>
      <c r="P29011">
        <f>IF(OR(M29011="",N29011=""),"",SUMIFS('Barang Keluar'!$E:$E,'Barang Keluar'!$A:$A,M29011,'Barang Keluar'!$C:$C,N29011))</f>
        <v>0</v>
      </c>
    </row>
    <row r="29012" spans="13:16">
      <c r="M29012" s="49">
        <f>IF($A$4+290&gt;$B$4,"",$A$4+290)</f>
        <v>46313</v>
      </c>
      <c r="N29012" t="str">
        <f>IF(M29012="","",'Master Barang'!A6)</f>
        <v>PRL-005</v>
      </c>
      <c r="O29012" t="str">
        <f>IF(N29012="","",'Master Barang'!B6)</f>
        <v>spons cuci hijau</v>
      </c>
      <c r="P29012">
        <f>IF(OR(M29012="",N29012=""),"",SUMIFS('Barang Keluar'!$E:$E,'Barang Keluar'!$A:$A,M29012,'Barang Keluar'!$C:$C,N29012))</f>
        <v>0</v>
      </c>
    </row>
    <row r="29013" spans="13:16">
      <c r="M29013" s="49">
        <f>IF($A$4+290&gt;$B$4,"",$A$4+290)</f>
        <v>46313</v>
      </c>
      <c r="N29013" t="str">
        <f>IF(M29013="","",'Master Barang'!A7)</f>
        <v>PRL-006</v>
      </c>
      <c r="O29013" t="str">
        <f>IF(N29013="","",'Master Barang'!B7)</f>
        <v>sabut cuci stainless</v>
      </c>
      <c r="P29013">
        <f>IF(OR(M29013="",N29013=""),"",SUMIFS('Barang Keluar'!$E:$E,'Barang Keluar'!$A:$A,M29013,'Barang Keluar'!$C:$C,N29013))</f>
        <v>0</v>
      </c>
    </row>
    <row r="29014" spans="13:16">
      <c r="M29014" s="49">
        <f>IF($A$4+290&gt;$B$4,"",$A$4+290)</f>
        <v>46313</v>
      </c>
      <c r="N29014" t="str">
        <f>IF(M29014="","",'Master Barang'!A8)</f>
        <v>PRL-007</v>
      </c>
      <c r="O29014" t="str">
        <f>IF(N29014="","",'Master Barang'!B8)</f>
        <v>plastik kresek besar merah 50pc</v>
      </c>
      <c r="P29014">
        <f>IF(OR(M29014="",N29014=""),"",SUMIFS('Barang Keluar'!$E:$E,'Barang Keluar'!$A:$A,M29014,'Barang Keluar'!$C:$C,N29014))</f>
        <v>0</v>
      </c>
    </row>
    <row r="29015" spans="13:16">
      <c r="M29015" s="49">
        <f>IF($A$4+290&gt;$B$4,"",$A$4+290)</f>
        <v>46313</v>
      </c>
      <c r="N29015" t="str">
        <f>IF(M29015="","",'Master Barang'!A9)</f>
        <v>PRL-008</v>
      </c>
      <c r="O29015" t="str">
        <f>IF(N29015="","",'Master Barang'!B9)</f>
        <v>lap besar</v>
      </c>
      <c r="P29015">
        <f>IF(OR(M29015="",N29015=""),"",SUMIFS('Barang Keluar'!$E:$E,'Barang Keluar'!$A:$A,M29015,'Barang Keluar'!$C:$C,N29015))</f>
        <v>0</v>
      </c>
    </row>
    <row r="29016" spans="13:16">
      <c r="M29016" s="49">
        <f>IF($A$4+290&gt;$B$4,"",$A$4+290)</f>
        <v>46313</v>
      </c>
      <c r="N29016" t="str">
        <f>IF(M29016="","",'Master Barang'!A10)</f>
        <v>PRL-009</v>
      </c>
      <c r="O29016" t="str">
        <f>IF(N29016="","",'Master Barang'!B10)</f>
        <v>lap microfiber</v>
      </c>
      <c r="P29016">
        <f>IF(OR(M29016="",N29016=""),"",SUMIFS('Barang Keluar'!$E:$E,'Barang Keluar'!$A:$A,M29016,'Barang Keluar'!$C:$C,N29016))</f>
        <v>0</v>
      </c>
    </row>
    <row r="29017" spans="13:16">
      <c r="M29017" s="49">
        <f>IF($A$4+290&gt;$B$4,"",$A$4+290)</f>
        <v>46313</v>
      </c>
      <c r="N29017" t="str">
        <f>IF(M29017="","",'Master Barang'!A11)</f>
        <v>PRL-010</v>
      </c>
      <c r="O29017" t="str">
        <f>IF(N29017="","",'Master Barang'!B11)</f>
        <v>lap kecil</v>
      </c>
      <c r="P29017">
        <f>IF(OR(M29017="",N29017=""),"",SUMIFS('Barang Keluar'!$E:$E,'Barang Keluar'!$A:$A,M29017,'Barang Keluar'!$C:$C,N29017))</f>
        <v>0</v>
      </c>
    </row>
    <row r="29018" spans="13:16">
      <c r="M29018" s="49">
        <f>IF($A$4+290&gt;$B$4,"",$A$4+290)</f>
        <v>46313</v>
      </c>
      <c r="N29018" t="str">
        <f>IF(M29018="","",'Master Barang'!A12)</f>
        <v>PRL-011</v>
      </c>
      <c r="O29018" t="str">
        <f>IF(N29018="","",'Master Barang'!B12)</f>
        <v>kanebo kecil</v>
      </c>
      <c r="P29018">
        <f>IF(OR(M29018="",N29018=""),"",SUMIFS('Barang Keluar'!$E:$E,'Barang Keluar'!$A:$A,M29018,'Barang Keluar'!$C:$C,N29018))</f>
        <v>0</v>
      </c>
    </row>
    <row r="29019" spans="13:16">
      <c r="M29019" s="49">
        <f>IF($A$4+290&gt;$B$4,"",$A$4+290)</f>
        <v>46313</v>
      </c>
      <c r="N29019" t="str">
        <f>IF(M29019="","",'Master Barang'!A13)</f>
        <v>PRL-012</v>
      </c>
      <c r="O29019" t="str">
        <f>IF(N29019="","",'Master Barang'!B13)</f>
        <v>plastik 1/4kg joyoboyo 100 lembar</v>
      </c>
      <c r="P29019">
        <f>IF(OR(M29019="",N29019=""),"",SUMIFS('Barang Keluar'!$E:$E,'Barang Keluar'!$A:$A,M29019,'Barang Keluar'!$C:$C,N29019))</f>
        <v>0</v>
      </c>
    </row>
    <row r="29020" spans="13:16">
      <c r="M29020" s="49">
        <f>IF($A$4+290&gt;$B$4,"",$A$4+290)</f>
        <v>46313</v>
      </c>
      <c r="N29020" t="str">
        <f>IF(M29020="","",'Master Barang'!A14)</f>
        <v>PRL-013</v>
      </c>
      <c r="O29020" t="str">
        <f>IF(N29020="","",'Master Barang'!B14)</f>
        <v>sarung tangan plastik kaka 100 pcs</v>
      </c>
      <c r="P29020">
        <f>IF(OR(M29020="",N29020=""),"",SUMIFS('Barang Keluar'!$E:$E,'Barang Keluar'!$A:$A,M29020,'Barang Keluar'!$C:$C,N29020))</f>
        <v>0</v>
      </c>
    </row>
    <row r="29021" spans="13:16">
      <c r="M29021" s="49">
        <f>IF($A$4+290&gt;$B$4,"",$A$4+290)</f>
        <v>46313</v>
      </c>
      <c r="N29021" t="str">
        <f>IF(M29021="","",'Master Barang'!A15)</f>
        <v>PRL-014</v>
      </c>
      <c r="O29021" t="str">
        <f>IF(N29021="","",'Master Barang'!B15)</f>
        <v>optima trashbag 80x100</v>
      </c>
      <c r="P29021">
        <f>IF(OR(M29021="",N29021=""),"",SUMIFS('Barang Keluar'!$E:$E,'Barang Keluar'!$A:$A,M29021,'Barang Keluar'!$C:$C,N29021))</f>
        <v>0</v>
      </c>
    </row>
    <row r="29022" spans="13:16">
      <c r="M29022" s="49">
        <f>IF($A$4+290&gt;$B$4,"",$A$4+290)</f>
        <v>46313</v>
      </c>
      <c r="N29022" t="str">
        <f>IF(M29022="","",'Master Barang'!A16)</f>
        <v>PRL-015</v>
      </c>
      <c r="O29022" t="str">
        <f>IF(N29022="","",'Master Barang'!B16)</f>
        <v>optima trashbag 60x100</v>
      </c>
      <c r="P29022">
        <f>IF(OR(M29022="",N29022=""),"",SUMIFS('Barang Keluar'!$E:$E,'Barang Keluar'!$A:$A,M29022,'Barang Keluar'!$C:$C,N29022))</f>
        <v>0</v>
      </c>
    </row>
    <row r="29023" spans="13:16">
      <c r="M29023" s="49">
        <f>IF($A$4+290&gt;$B$4,"",$A$4+290)</f>
        <v>46313</v>
      </c>
      <c r="N29023" t="str">
        <f>IF(M29023="","",'Master Barang'!A17)</f>
        <v>PRL-016</v>
      </c>
      <c r="O29023" t="str">
        <f>IF(N29023="","",'Master Barang'!B17)</f>
        <v>rajawali trashbag 30x40</v>
      </c>
      <c r="P29023">
        <f>IF(OR(M29023="",N29023=""),"",SUMIFS('Barang Keluar'!$E:$E,'Barang Keluar'!$A:$A,M29023,'Barang Keluar'!$C:$C,N29023))</f>
        <v>0</v>
      </c>
    </row>
    <row r="29024" spans="13:16">
      <c r="M29024" s="49">
        <f>IF($A$4+290&gt;$B$4,"",$A$4+290)</f>
        <v>46313</v>
      </c>
      <c r="N29024" t="str">
        <f>IF(M29024="","",'Master Barang'!A18)</f>
        <v>PRL-017</v>
      </c>
      <c r="O29024" t="str">
        <f>IF(N29024="","",'Master Barang'!B18)</f>
        <v>onemed masker biru 3 play 50 pcs</v>
      </c>
      <c r="P29024">
        <f>IF(OR(M29024="",N29024=""),"",SUMIFS('Barang Keluar'!$E:$E,'Barang Keluar'!$A:$A,M29024,'Barang Keluar'!$C:$C,N29024))</f>
        <v>0</v>
      </c>
    </row>
    <row r="29025" spans="13:16">
      <c r="M29025" s="49">
        <f>IF($A$4+290&gt;$B$4,"",$A$4+290)</f>
        <v>46313</v>
      </c>
      <c r="N29025" t="str">
        <f>IF(M29025="","",'Master Barang'!A19)</f>
        <v>PRL-018</v>
      </c>
      <c r="O29025" t="str">
        <f>IF(N29025="","",'Master Barang'!B19)</f>
        <v>onemed masker biru 3 play hijab 50 pcs</v>
      </c>
      <c r="P29025">
        <f>IF(OR(M29025="",N29025=""),"",SUMIFS('Barang Keluar'!$E:$E,'Barang Keluar'!$A:$A,M29025,'Barang Keluar'!$C:$C,N29025))</f>
        <v>0</v>
      </c>
    </row>
    <row r="29026" spans="13:16">
      <c r="M29026" s="49">
        <f>IF($A$4+290&gt;$B$4,"",$A$4+290)</f>
        <v>46313</v>
      </c>
      <c r="N29026" t="str">
        <f>IF(M29026="","",'Master Barang'!A20)</f>
        <v>PRL-019</v>
      </c>
      <c r="O29026" t="str">
        <f>IF(N29026="","",'Master Barang'!B20)</f>
        <v>neo health masker biru 3 play 50 pcs</v>
      </c>
      <c r="P29026">
        <f>IF(OR(M29026="",N29026=""),"",SUMIFS('Barang Keluar'!$E:$E,'Barang Keluar'!$A:$A,M29026,'Barang Keluar'!$C:$C,N29026))</f>
        <v>0</v>
      </c>
    </row>
    <row r="29027" spans="13:16">
      <c r="M29027" s="49">
        <f>IF($A$4+290&gt;$B$4,"",$A$4+290)</f>
        <v>46313</v>
      </c>
      <c r="N29027" t="str">
        <f>IF(M29027="","",'Master Barang'!A21)</f>
        <v>PRL-020</v>
      </c>
      <c r="O29027" t="str">
        <f>IF(N29027="","",'Master Barang'!B21)</f>
        <v>baymed masker hijau 3 play hijau 50 pcs</v>
      </c>
      <c r="P29027">
        <f>IF(OR(M29027="",N29027=""),"",SUMIFS('Barang Keluar'!$E:$E,'Barang Keluar'!$A:$A,M29027,'Barang Keluar'!$C:$C,N29027))</f>
        <v>0</v>
      </c>
    </row>
    <row r="29028" spans="13:16">
      <c r="M29028" s="49">
        <f>IF($A$4+290&gt;$B$4,"",$A$4+290)</f>
        <v>46313</v>
      </c>
      <c r="N29028" t="str">
        <f>IF(M29028="","",'Master Barang'!A22)</f>
        <v>PRL-021</v>
      </c>
      <c r="O29028" t="str">
        <f>IF(N29028="","",'Master Barang'!B22)</f>
        <v>altamed nurse cap penutup kepala 100 pcs</v>
      </c>
      <c r="P29028">
        <f>IF(OR(M29028="",N29028=""),"",SUMIFS('Barang Keluar'!$E:$E,'Barang Keluar'!$A:$A,M29028,'Barang Keluar'!$C:$C,N29028))</f>
        <v>0</v>
      </c>
    </row>
    <row r="29029" spans="13:16">
      <c r="M29029" s="49">
        <f>IF($A$4+290&gt;$B$4,"",$A$4+290)</f>
        <v>46313</v>
      </c>
      <c r="N29029" t="str">
        <f>IF(M29029="","",'Master Barang'!A23)</f>
        <v>PRL-022</v>
      </c>
      <c r="O29029" t="str">
        <f>IF(N29029="","",'Master Barang'!B23)</f>
        <v>sabun cuci tangan</v>
      </c>
      <c r="P29029">
        <f>IF(OR(M29029="",N29029=""),"",SUMIFS('Barang Keluar'!$E:$E,'Barang Keluar'!$A:$A,M29029,'Barang Keluar'!$C:$C,N29029))</f>
        <v>0</v>
      </c>
    </row>
    <row r="29030" spans="13:16">
      <c r="M29030" s="49">
        <f>IF($A$4+290&gt;$B$4,"",$A$4+290)</f>
        <v>46313</v>
      </c>
      <c r="N29030" t="str">
        <f>IF(M29030="","",'Master Barang'!A24)</f>
        <v>PRL-023</v>
      </c>
      <c r="O29030" t="str">
        <f>IF(N29030="","",'Master Barang'!B24)</f>
        <v>gayung kecil</v>
      </c>
      <c r="P29030">
        <f>IF(OR(M29030="",N29030=""),"",SUMIFS('Barang Keluar'!$E:$E,'Barang Keluar'!$A:$A,M29030,'Barang Keluar'!$C:$C,N29030))</f>
        <v>0</v>
      </c>
    </row>
    <row r="29031" spans="13:16">
      <c r="M29031" s="49">
        <f>IF($A$4+290&gt;$B$4,"",$A$4+290)</f>
        <v>46313</v>
      </c>
      <c r="N29031" t="str">
        <f>IF(M29031="","",'Master Barang'!A25)</f>
        <v>PRL-024</v>
      </c>
      <c r="O29031" t="str">
        <f>IF(N29031="","",'Master Barang'!B25)</f>
        <v>cikrak kecil</v>
      </c>
      <c r="P29031">
        <f>IF(OR(M29031="",N29031=""),"",SUMIFS('Barang Keluar'!$E:$E,'Barang Keluar'!$A:$A,M29031,'Barang Keluar'!$C:$C,N29031))</f>
        <v>0</v>
      </c>
    </row>
    <row r="29032" spans="13:16">
      <c r="M29032" s="49">
        <f>IF($A$4+290&gt;$B$4,"",$A$4+290)</f>
        <v>46313</v>
      </c>
      <c r="N29032" t="str">
        <f>IF(M29032="","",'Master Barang'!A26)</f>
        <v>PRL-025</v>
      </c>
      <c r="O29032" t="str">
        <f>IF(N29032="","",'Master Barang'!B26)</f>
        <v>petromax plastik kecil 12x24 100 lembar</v>
      </c>
      <c r="P29032">
        <f>IF(OR(M29032="",N29032=""),"",SUMIFS('Barang Keluar'!$E:$E,'Barang Keluar'!$A:$A,M29032,'Barang Keluar'!$C:$C,N29032))</f>
        <v>0</v>
      </c>
    </row>
    <row r="29033" spans="13:16">
      <c r="M29033" s="49">
        <f>IF($A$4+290&gt;$B$4,"",$A$4+290)</f>
        <v>46313</v>
      </c>
      <c r="N29033" t="str">
        <f>IF(M29033="","",'Master Barang'!A27)</f>
        <v>PRL-026</v>
      </c>
      <c r="O29033" t="str">
        <f>IF(N29033="","",'Master Barang'!B27)</f>
        <v>lancar kresek kecil bening </v>
      </c>
      <c r="P29033">
        <f>IF(OR(M29033="",N29033=""),"",SUMIFS('Barang Keluar'!$E:$E,'Barang Keluar'!$A:$A,M29033,'Barang Keluar'!$C:$C,N29033))</f>
        <v>0</v>
      </c>
    </row>
    <row r="29034" spans="13:16">
      <c r="M29034" s="49">
        <f>IF($A$4+290&gt;$B$4,"",$A$4+290)</f>
        <v>46313</v>
      </c>
      <c r="N29034" t="str">
        <f>IF(M29034="","",'Master Barang'!A28)</f>
        <v>PRL-027</v>
      </c>
      <c r="O29034" t="str">
        <f>IF(N29034="","",'Master Barang'!B28)</f>
        <v>kresek klin warna warni kecil</v>
      </c>
      <c r="P29034">
        <f>IF(OR(M29034="",N29034=""),"",SUMIFS('Barang Keluar'!$E:$E,'Barang Keluar'!$A:$A,M29034,'Barang Keluar'!$C:$C,N29034))</f>
        <v>0</v>
      </c>
    </row>
    <row r="29035" spans="13:16">
      <c r="M29035" s="49">
        <f>IF($A$4+290&gt;$B$4,"",$A$4+290)</f>
        <v>46313</v>
      </c>
      <c r="N29035" t="str">
        <f>IF(M29035="","",'Master Barang'!A29)</f>
        <v>PRL-028</v>
      </c>
      <c r="O29035" t="str">
        <f>IF(N29035="","",'Master Barang'!B29)</f>
        <v>ctik plastik 7x10 100 pcs</v>
      </c>
      <c r="P29035">
        <f>IF(OR(M29035="",N29035=""),"",SUMIFS('Barang Keluar'!$E:$E,'Barang Keluar'!$A:$A,M29035,'Barang Keluar'!$C:$C,N29035))</f>
        <v>0</v>
      </c>
    </row>
    <row r="29036" spans="13:16">
      <c r="M29036" s="49">
        <f>IF($A$4+290&gt;$B$4,"",$A$4+290)</f>
        <v>46313</v>
      </c>
      <c r="N29036" t="str">
        <f>IF(M29036="","",'Master Barang'!A30)</f>
        <v>PRL-029</v>
      </c>
      <c r="O29036" t="str">
        <f>IF(N29036="","",'Master Barang'!B30)</f>
        <v>ctik plastik 6x10 100 pcs</v>
      </c>
      <c r="P29036">
        <f>IF(OR(M29036="",N29036=""),"",SUMIFS('Barang Keluar'!$E:$E,'Barang Keluar'!$A:$A,M29036,'Barang Keluar'!$C:$C,N29036))</f>
        <v>0</v>
      </c>
    </row>
    <row r="29037" spans="13:16">
      <c r="M29037" s="49">
        <f>IF($A$4+290&gt;$B$4,"",$A$4+290)</f>
        <v>46313</v>
      </c>
      <c r="N29037" t="str">
        <f>IF(M29037="","",'Master Barang'!A31)</f>
        <v>PRL-030</v>
      </c>
      <c r="O29037" t="str">
        <f>IF(N29037="","",'Master Barang'!B31)</f>
        <v>klip plastik 25x16 100 pcs</v>
      </c>
      <c r="P29037">
        <f>IF(OR(M29037="",N29037=""),"",SUMIFS('Barang Keluar'!$E:$E,'Barang Keluar'!$A:$A,M29037,'Barang Keluar'!$C:$C,N29037))</f>
        <v>0</v>
      </c>
    </row>
    <row r="29038" spans="13:16">
      <c r="M29038" s="49">
        <f>IF($A$4+290&gt;$B$4,"",$A$4+290)</f>
        <v>46313</v>
      </c>
      <c r="N29038" t="str">
        <f>IF(M29038="","",'Master Barang'!A32)</f>
        <v>PRL-031</v>
      </c>
      <c r="O29038" t="str">
        <f>IF(N29038="","",'Master Barang'!B32)</f>
        <v>tempat saus 20 ml</v>
      </c>
      <c r="P29038">
        <f>IF(OR(M29038="",N29038=""),"",SUMIFS('Barang Keluar'!$E:$E,'Barang Keluar'!$A:$A,M29038,'Barang Keluar'!$C:$C,N29038))</f>
        <v>0</v>
      </c>
    </row>
    <row r="29039" spans="13:16">
      <c r="M29039" s="49">
        <f>IF($A$4+290&gt;$B$4,"",$A$4+290)</f>
        <v>46313</v>
      </c>
      <c r="N29039" t="str">
        <f>IF(M29039="","",'Master Barang'!A33)</f>
        <v>PRL-032</v>
      </c>
      <c r="O29039" t="str">
        <f>IF(N29039="","",'Master Barang'!B33)</f>
        <v>plastik packaging ag box uk sedang</v>
      </c>
      <c r="P29039">
        <f>IF(OR(M29039="",N29039=""),"",SUMIFS('Barang Keluar'!$E:$E,'Barang Keluar'!$A:$A,M29039,'Barang Keluar'!$C:$C,N29039))</f>
        <v>0</v>
      </c>
    </row>
    <row r="29040" spans="13:16">
      <c r="M29040" s="49">
        <f>IF($A$4+290&gt;$B$4,"",$A$4+290)</f>
        <v>46313</v>
      </c>
      <c r="N29040" t="str">
        <f>IF(M29040="","",'Master Barang'!A34)</f>
        <v>PRL-033</v>
      </c>
      <c r="O29040">
        <f>IF(N29040="","",'Master Barang'!B34)</f>
        <v>0</v>
      </c>
      <c r="P29040">
        <f>IF(OR(M29040="",N29040=""),"",SUMIFS('Barang Keluar'!$E:$E,'Barang Keluar'!$A:$A,M29040,'Barang Keluar'!$C:$C,N29040))</f>
        <v>0</v>
      </c>
    </row>
    <row r="29041" spans="13:16">
      <c r="M29041" s="49">
        <f>IF($A$4+290&gt;$B$4,"",$A$4+290)</f>
        <v>46313</v>
      </c>
      <c r="N29041">
        <f>IF(M29041="","",'Master Barang'!A35)</f>
        <v>0</v>
      </c>
      <c r="O29041">
        <f>IF(N29041="","",'Master Barang'!B35)</f>
        <v>0</v>
      </c>
      <c r="P29041">
        <f>IF(OR(M29041="",N29041=""),"",SUMIFS('Barang Keluar'!$E:$E,'Barang Keluar'!$A:$A,M29041,'Barang Keluar'!$C:$C,N29041))</f>
        <v>0</v>
      </c>
    </row>
    <row r="29042" spans="13:16">
      <c r="M29042" s="49">
        <f>IF($A$4+290&gt;$B$4,"",$A$4+290)</f>
        <v>46313</v>
      </c>
      <c r="N29042">
        <f>IF(M29042="","",'Master Barang'!A36)</f>
        <v>0</v>
      </c>
      <c r="O29042">
        <f>IF(N29042="","",'Master Barang'!B36)</f>
        <v>0</v>
      </c>
      <c r="P29042">
        <f>IF(OR(M29042="",N29042=""),"",SUMIFS('Barang Keluar'!$E:$E,'Barang Keluar'!$A:$A,M29042,'Barang Keluar'!$C:$C,N29042))</f>
        <v>0</v>
      </c>
    </row>
    <row r="29043" spans="13:16">
      <c r="M29043" s="49">
        <f>IF($A$4+290&gt;$B$4,"",$A$4+290)</f>
        <v>46313</v>
      </c>
      <c r="N29043">
        <f>IF(M29043="","",'Master Barang'!A37)</f>
        <v>0</v>
      </c>
      <c r="O29043">
        <f>IF(N29043="","",'Master Barang'!B37)</f>
        <v>0</v>
      </c>
      <c r="P29043">
        <f>IF(OR(M29043="",N29043=""),"",SUMIFS('Barang Keluar'!$E:$E,'Barang Keluar'!$A:$A,M29043,'Barang Keluar'!$C:$C,N29043))</f>
        <v>0</v>
      </c>
    </row>
    <row r="29044" spans="13:16">
      <c r="M29044" s="49">
        <f>IF($A$4+290&gt;$B$4,"",$A$4+290)</f>
        <v>46313</v>
      </c>
      <c r="N29044">
        <f>IF(M29044="","",'Master Barang'!A38)</f>
        <v>0</v>
      </c>
      <c r="O29044">
        <f>IF(N29044="","",'Master Barang'!B38)</f>
        <v>0</v>
      </c>
      <c r="P29044">
        <f>IF(OR(M29044="",N29044=""),"",SUMIFS('Barang Keluar'!$E:$E,'Barang Keluar'!$A:$A,M29044,'Barang Keluar'!$C:$C,N29044))</f>
        <v>0</v>
      </c>
    </row>
    <row r="29045" spans="13:16">
      <c r="M29045" s="49">
        <f>IF($A$4+290&gt;$B$4,"",$A$4+290)</f>
        <v>46313</v>
      </c>
      <c r="N29045">
        <f>IF(M29045="","",'Master Barang'!A39)</f>
        <v>0</v>
      </c>
      <c r="O29045">
        <f>IF(N29045="","",'Master Barang'!B39)</f>
        <v>0</v>
      </c>
      <c r="P29045">
        <f>IF(OR(M29045="",N29045=""),"",SUMIFS('Barang Keluar'!$E:$E,'Barang Keluar'!$A:$A,M29045,'Barang Keluar'!$C:$C,N29045))</f>
        <v>0</v>
      </c>
    </row>
    <row r="29046" spans="13:16">
      <c r="M29046" s="49">
        <f>IF($A$4+290&gt;$B$4,"",$A$4+290)</f>
        <v>46313</v>
      </c>
      <c r="N29046">
        <f>IF(M29046="","",'Master Barang'!A40)</f>
        <v>0</v>
      </c>
      <c r="O29046">
        <f>IF(N29046="","",'Master Barang'!B40)</f>
        <v>0</v>
      </c>
      <c r="P29046">
        <f>IF(OR(M29046="",N29046=""),"",SUMIFS('Barang Keluar'!$E:$E,'Barang Keluar'!$A:$A,M29046,'Barang Keluar'!$C:$C,N29046))</f>
        <v>0</v>
      </c>
    </row>
    <row r="29047" spans="13:16">
      <c r="M29047" s="49">
        <f>IF($A$4+290&gt;$B$4,"",$A$4+290)</f>
        <v>46313</v>
      </c>
      <c r="N29047">
        <f>IF(M29047="","",'Master Barang'!A41)</f>
        <v>0</v>
      </c>
      <c r="O29047">
        <f>IF(N29047="","",'Master Barang'!B41)</f>
        <v>0</v>
      </c>
      <c r="P29047">
        <f>IF(OR(M29047="",N29047=""),"",SUMIFS('Barang Keluar'!$E:$E,'Barang Keluar'!$A:$A,M29047,'Barang Keluar'!$C:$C,N29047))</f>
        <v>0</v>
      </c>
    </row>
    <row r="29048" spans="13:16">
      <c r="M29048" s="49">
        <f>IF($A$4+290&gt;$B$4,"",$A$4+290)</f>
        <v>46313</v>
      </c>
      <c r="N29048">
        <f>IF(M29048="","",'Master Barang'!A42)</f>
        <v>0</v>
      </c>
      <c r="O29048">
        <f>IF(N29048="","",'Master Barang'!B42)</f>
        <v>0</v>
      </c>
      <c r="P29048">
        <f>IF(OR(M29048="",N29048=""),"",SUMIFS('Barang Keluar'!$E:$E,'Barang Keluar'!$A:$A,M29048,'Barang Keluar'!$C:$C,N29048))</f>
        <v>0</v>
      </c>
    </row>
    <row r="29049" spans="13:16">
      <c r="M29049" s="49">
        <f>IF($A$4+290&gt;$B$4,"",$A$4+290)</f>
        <v>46313</v>
      </c>
      <c r="N29049">
        <f>IF(M29049="","",'Master Barang'!A43)</f>
        <v>0</v>
      </c>
      <c r="O29049">
        <f>IF(N29049="","",'Master Barang'!B43)</f>
        <v>0</v>
      </c>
      <c r="P29049">
        <f>IF(OR(M29049="",N29049=""),"",SUMIFS('Barang Keluar'!$E:$E,'Barang Keluar'!$A:$A,M29049,'Barang Keluar'!$C:$C,N29049))</f>
        <v>0</v>
      </c>
    </row>
    <row r="29050" spans="13:16">
      <c r="M29050" s="49">
        <f>IF($A$4+290&gt;$B$4,"",$A$4+290)</f>
        <v>46313</v>
      </c>
      <c r="N29050">
        <f>IF(M29050="","",'Master Barang'!A44)</f>
        <v>0</v>
      </c>
      <c r="O29050">
        <f>IF(N29050="","",'Master Barang'!B44)</f>
        <v>0</v>
      </c>
      <c r="P29050">
        <f>IF(OR(M29050="",N29050=""),"",SUMIFS('Barang Keluar'!$E:$E,'Barang Keluar'!$A:$A,M29050,'Barang Keluar'!$C:$C,N29050))</f>
        <v>0</v>
      </c>
    </row>
    <row r="29051" spans="13:16">
      <c r="M29051" s="49">
        <f>IF($A$4+290&gt;$B$4,"",$A$4+290)</f>
        <v>46313</v>
      </c>
      <c r="N29051">
        <f>IF(M29051="","",'Master Barang'!A45)</f>
        <v>0</v>
      </c>
      <c r="O29051">
        <f>IF(N29051="","",'Master Barang'!B45)</f>
        <v>0</v>
      </c>
      <c r="P29051">
        <f>IF(OR(M29051="",N29051=""),"",SUMIFS('Barang Keluar'!$E:$E,'Barang Keluar'!$A:$A,M29051,'Barang Keluar'!$C:$C,N29051))</f>
        <v>0</v>
      </c>
    </row>
    <row r="29052" spans="13:16">
      <c r="M29052" s="49">
        <f>IF($A$4+290&gt;$B$4,"",$A$4+290)</f>
        <v>46313</v>
      </c>
      <c r="N29052">
        <f>IF(M29052="","",'Master Barang'!A46)</f>
        <v>0</v>
      </c>
      <c r="O29052">
        <f>IF(N29052="","",'Master Barang'!B46)</f>
        <v>0</v>
      </c>
      <c r="P29052">
        <f>IF(OR(M29052="",N29052=""),"",SUMIFS('Barang Keluar'!$E:$E,'Barang Keluar'!$A:$A,M29052,'Barang Keluar'!$C:$C,N29052))</f>
        <v>0</v>
      </c>
    </row>
    <row r="29053" spans="13:16">
      <c r="M29053" s="49">
        <f>IF($A$4+290&gt;$B$4,"",$A$4+290)</f>
        <v>46313</v>
      </c>
      <c r="N29053">
        <f>IF(M29053="","",'Master Barang'!A47)</f>
        <v>0</v>
      </c>
      <c r="O29053">
        <f>IF(N29053="","",'Master Barang'!B47)</f>
        <v>0</v>
      </c>
      <c r="P29053">
        <f>IF(OR(M29053="",N29053=""),"",SUMIFS('Barang Keluar'!$E:$E,'Barang Keluar'!$A:$A,M29053,'Barang Keluar'!$C:$C,N29053))</f>
        <v>0</v>
      </c>
    </row>
    <row r="29054" spans="13:16">
      <c r="M29054" s="49">
        <f>IF($A$4+290&gt;$B$4,"",$A$4+290)</f>
        <v>46313</v>
      </c>
      <c r="N29054">
        <f>IF(M29054="","",'Master Barang'!A48)</f>
        <v>0</v>
      </c>
      <c r="O29054">
        <f>IF(N29054="","",'Master Barang'!B48)</f>
        <v>0</v>
      </c>
      <c r="P29054">
        <f>IF(OR(M29054="",N29054=""),"",SUMIFS('Barang Keluar'!$E:$E,'Barang Keluar'!$A:$A,M29054,'Barang Keluar'!$C:$C,N29054))</f>
        <v>0</v>
      </c>
    </row>
    <row r="29055" spans="13:16">
      <c r="M29055" s="49">
        <f>IF($A$4+290&gt;$B$4,"",$A$4+290)</f>
        <v>46313</v>
      </c>
      <c r="N29055">
        <f>IF(M29055="","",'Master Barang'!A49)</f>
        <v>0</v>
      </c>
      <c r="O29055">
        <f>IF(N29055="","",'Master Barang'!B49)</f>
        <v>0</v>
      </c>
      <c r="P29055">
        <f>IF(OR(M29055="",N29055=""),"",SUMIFS('Barang Keluar'!$E:$E,'Barang Keluar'!$A:$A,M29055,'Barang Keluar'!$C:$C,N29055))</f>
        <v>0</v>
      </c>
    </row>
    <row r="29056" spans="13:16">
      <c r="M29056" s="49">
        <f>IF($A$4+290&gt;$B$4,"",$A$4+290)</f>
        <v>46313</v>
      </c>
      <c r="N29056">
        <f>IF(M29056="","",'Master Barang'!A50)</f>
        <v>0</v>
      </c>
      <c r="O29056">
        <f>IF(N29056="","",'Master Barang'!B50)</f>
        <v>0</v>
      </c>
      <c r="P29056">
        <f>IF(OR(M29056="",N29056=""),"",SUMIFS('Barang Keluar'!$E:$E,'Barang Keluar'!$A:$A,M29056,'Barang Keluar'!$C:$C,N29056))</f>
        <v>0</v>
      </c>
    </row>
    <row r="29057" spans="13:16">
      <c r="M29057" s="49">
        <f>IF($A$4+290&gt;$B$4,"",$A$4+290)</f>
        <v>46313</v>
      </c>
      <c r="N29057">
        <f>IF(M29057="","",'Master Barang'!A51)</f>
        <v>0</v>
      </c>
      <c r="O29057">
        <f>IF(N29057="","",'Master Barang'!B51)</f>
        <v>0</v>
      </c>
      <c r="P29057">
        <f>IF(OR(M29057="",N29057=""),"",SUMIFS('Barang Keluar'!$E:$E,'Barang Keluar'!$A:$A,M29057,'Barang Keluar'!$C:$C,N29057))</f>
        <v>0</v>
      </c>
    </row>
    <row r="29058" spans="13:16">
      <c r="M29058" s="49">
        <f>IF($A$4+290&gt;$B$4,"",$A$4+290)</f>
        <v>46313</v>
      </c>
      <c r="N29058">
        <f>IF(M29058="","",'Master Barang'!A52)</f>
        <v>0</v>
      </c>
      <c r="O29058">
        <f>IF(N29058="","",'Master Barang'!B52)</f>
        <v>0</v>
      </c>
      <c r="P29058">
        <f>IF(OR(M29058="",N29058=""),"",SUMIFS('Barang Keluar'!$E:$E,'Barang Keluar'!$A:$A,M29058,'Barang Keluar'!$C:$C,N29058))</f>
        <v>0</v>
      </c>
    </row>
    <row r="29059" spans="13:16">
      <c r="M29059" s="49">
        <f>IF($A$4+290&gt;$B$4,"",$A$4+290)</f>
        <v>46313</v>
      </c>
      <c r="N29059">
        <f>IF(M29059="","",'Master Barang'!A53)</f>
        <v>0</v>
      </c>
      <c r="O29059">
        <f>IF(N29059="","",'Master Barang'!B53)</f>
        <v>0</v>
      </c>
      <c r="P29059">
        <f>IF(OR(M29059="",N29059=""),"",SUMIFS('Barang Keluar'!$E:$E,'Barang Keluar'!$A:$A,M29059,'Barang Keluar'!$C:$C,N29059))</f>
        <v>0</v>
      </c>
    </row>
    <row r="29060" spans="13:16">
      <c r="M29060" s="49">
        <f>IF($A$4+290&gt;$B$4,"",$A$4+290)</f>
        <v>46313</v>
      </c>
      <c r="N29060">
        <f>IF(M29060="","",'Master Barang'!A54)</f>
        <v>0</v>
      </c>
      <c r="O29060">
        <f>IF(N29060="","",'Master Barang'!B54)</f>
        <v>0</v>
      </c>
      <c r="P29060">
        <f>IF(OR(M29060="",N29060=""),"",SUMIFS('Barang Keluar'!$E:$E,'Barang Keluar'!$A:$A,M29060,'Barang Keluar'!$C:$C,N29060))</f>
        <v>0</v>
      </c>
    </row>
    <row r="29061" spans="13:16">
      <c r="M29061" s="49">
        <f>IF($A$4+290&gt;$B$4,"",$A$4+290)</f>
        <v>46313</v>
      </c>
      <c r="N29061">
        <f>IF(M29061="","",'Master Barang'!A55)</f>
        <v>0</v>
      </c>
      <c r="O29061">
        <f>IF(N29061="","",'Master Barang'!B55)</f>
        <v>0</v>
      </c>
      <c r="P29061">
        <f>IF(OR(M29061="",N29061=""),"",SUMIFS('Barang Keluar'!$E:$E,'Barang Keluar'!$A:$A,M29061,'Barang Keluar'!$C:$C,N29061))</f>
        <v>0</v>
      </c>
    </row>
    <row r="29062" spans="13:16">
      <c r="M29062" s="49">
        <f>IF($A$4+290&gt;$B$4,"",$A$4+290)</f>
        <v>46313</v>
      </c>
      <c r="N29062">
        <f>IF(M29062="","",'Master Barang'!A56)</f>
        <v>0</v>
      </c>
      <c r="O29062">
        <f>IF(N29062="","",'Master Barang'!B56)</f>
        <v>0</v>
      </c>
      <c r="P29062">
        <f>IF(OR(M29062="",N29062=""),"",SUMIFS('Barang Keluar'!$E:$E,'Barang Keluar'!$A:$A,M29062,'Barang Keluar'!$C:$C,N29062))</f>
        <v>0</v>
      </c>
    </row>
    <row r="29063" spans="13:16">
      <c r="M29063" s="49">
        <f>IF($A$4+290&gt;$B$4,"",$A$4+290)</f>
        <v>46313</v>
      </c>
      <c r="N29063">
        <f>IF(M29063="","",'Master Barang'!A57)</f>
        <v>0</v>
      </c>
      <c r="O29063">
        <f>IF(N29063="","",'Master Barang'!B57)</f>
        <v>0</v>
      </c>
      <c r="P29063">
        <f>IF(OR(M29063="",N29063=""),"",SUMIFS('Barang Keluar'!$E:$E,'Barang Keluar'!$A:$A,M29063,'Barang Keluar'!$C:$C,N29063))</f>
        <v>0</v>
      </c>
    </row>
    <row r="29064" spans="13:16">
      <c r="M29064" s="49">
        <f>IF($A$4+290&gt;$B$4,"",$A$4+290)</f>
        <v>46313</v>
      </c>
      <c r="N29064">
        <f>IF(M29064="","",'Master Barang'!A58)</f>
        <v>0</v>
      </c>
      <c r="O29064">
        <f>IF(N29064="","",'Master Barang'!B58)</f>
        <v>0</v>
      </c>
      <c r="P29064">
        <f>IF(OR(M29064="",N29064=""),"",SUMIFS('Barang Keluar'!$E:$E,'Barang Keluar'!$A:$A,M29064,'Barang Keluar'!$C:$C,N29064))</f>
        <v>0</v>
      </c>
    </row>
    <row r="29065" spans="13:16">
      <c r="M29065" s="49">
        <f>IF($A$4+290&gt;$B$4,"",$A$4+290)</f>
        <v>46313</v>
      </c>
      <c r="N29065">
        <f>IF(M29065="","",'Master Barang'!A59)</f>
        <v>0</v>
      </c>
      <c r="O29065">
        <f>IF(N29065="","",'Master Barang'!B59)</f>
        <v>0</v>
      </c>
      <c r="P29065">
        <f>IF(OR(M29065="",N29065=""),"",SUMIFS('Barang Keluar'!$E:$E,'Barang Keluar'!$A:$A,M29065,'Barang Keluar'!$C:$C,N29065))</f>
        <v>0</v>
      </c>
    </row>
    <row r="29066" spans="13:16">
      <c r="M29066" s="49">
        <f>IF($A$4+290&gt;$B$4,"",$A$4+290)</f>
        <v>46313</v>
      </c>
      <c r="N29066">
        <f>IF(M29066="","",'Master Barang'!A60)</f>
        <v>0</v>
      </c>
      <c r="O29066">
        <f>IF(N29066="","",'Master Barang'!B60)</f>
        <v>0</v>
      </c>
      <c r="P29066">
        <f>IF(OR(M29066="",N29066=""),"",SUMIFS('Barang Keluar'!$E:$E,'Barang Keluar'!$A:$A,M29066,'Barang Keluar'!$C:$C,N29066))</f>
        <v>0</v>
      </c>
    </row>
    <row r="29067" spans="13:16">
      <c r="M29067" s="49">
        <f>IF($A$4+290&gt;$B$4,"",$A$4+290)</f>
        <v>46313</v>
      </c>
      <c r="N29067">
        <f>IF(M29067="","",'Master Barang'!A61)</f>
        <v>0</v>
      </c>
      <c r="O29067">
        <f>IF(N29067="","",'Master Barang'!B61)</f>
        <v>0</v>
      </c>
      <c r="P29067">
        <f>IF(OR(M29067="",N29067=""),"",SUMIFS('Barang Keluar'!$E:$E,'Barang Keluar'!$A:$A,M29067,'Barang Keluar'!$C:$C,N29067))</f>
        <v>0</v>
      </c>
    </row>
    <row r="29068" spans="13:16">
      <c r="M29068" s="49">
        <f>IF($A$4+290&gt;$B$4,"",$A$4+290)</f>
        <v>46313</v>
      </c>
      <c r="N29068">
        <f>IF(M29068="","",'Master Barang'!A62)</f>
        <v>0</v>
      </c>
      <c r="O29068">
        <f>IF(N29068="","",'Master Barang'!B62)</f>
        <v>0</v>
      </c>
      <c r="P29068">
        <f>IF(OR(M29068="",N29068=""),"",SUMIFS('Barang Keluar'!$E:$E,'Barang Keluar'!$A:$A,M29068,'Barang Keluar'!$C:$C,N29068))</f>
        <v>0</v>
      </c>
    </row>
    <row r="29069" spans="13:16">
      <c r="M29069" s="49">
        <f>IF($A$4+290&gt;$B$4,"",$A$4+290)</f>
        <v>46313</v>
      </c>
      <c r="N29069">
        <f>IF(M29069="","",'Master Barang'!A63)</f>
        <v>0</v>
      </c>
      <c r="O29069">
        <f>IF(N29069="","",'Master Barang'!B63)</f>
        <v>0</v>
      </c>
      <c r="P29069">
        <f>IF(OR(M29069="",N29069=""),"",SUMIFS('Barang Keluar'!$E:$E,'Barang Keluar'!$A:$A,M29069,'Barang Keluar'!$C:$C,N29069))</f>
        <v>0</v>
      </c>
    </row>
    <row r="29070" spans="13:16">
      <c r="M29070" s="49">
        <f>IF($A$4+290&gt;$B$4,"",$A$4+290)</f>
        <v>46313</v>
      </c>
      <c r="N29070">
        <f>IF(M29070="","",'Master Barang'!A64)</f>
        <v>0</v>
      </c>
      <c r="O29070">
        <f>IF(N29070="","",'Master Barang'!B64)</f>
        <v>0</v>
      </c>
      <c r="P29070">
        <f>IF(OR(M29070="",N29070=""),"",SUMIFS('Barang Keluar'!$E:$E,'Barang Keluar'!$A:$A,M29070,'Barang Keluar'!$C:$C,N29070))</f>
        <v>0</v>
      </c>
    </row>
    <row r="29071" spans="13:16">
      <c r="M29071" s="49">
        <f>IF($A$4+290&gt;$B$4,"",$A$4+290)</f>
        <v>46313</v>
      </c>
      <c r="N29071">
        <f>IF(M29071="","",'Master Barang'!A65)</f>
        <v>0</v>
      </c>
      <c r="O29071">
        <f>IF(N29071="","",'Master Barang'!B65)</f>
        <v>0</v>
      </c>
      <c r="P29071">
        <f>IF(OR(M29071="",N29071=""),"",SUMIFS('Barang Keluar'!$E:$E,'Barang Keluar'!$A:$A,M29071,'Barang Keluar'!$C:$C,N29071))</f>
        <v>0</v>
      </c>
    </row>
    <row r="29072" spans="13:16">
      <c r="M29072" s="49">
        <f>IF($A$4+290&gt;$B$4,"",$A$4+290)</f>
        <v>46313</v>
      </c>
      <c r="N29072">
        <f>IF(M29072="","",'Master Barang'!A66)</f>
        <v>0</v>
      </c>
      <c r="O29072">
        <f>IF(N29072="","",'Master Barang'!B66)</f>
        <v>0</v>
      </c>
      <c r="P29072">
        <f>IF(OR(M29072="",N29072=""),"",SUMIFS('Barang Keluar'!$E:$E,'Barang Keluar'!$A:$A,M29072,'Barang Keluar'!$C:$C,N29072))</f>
        <v>0</v>
      </c>
    </row>
    <row r="29073" spans="13:16">
      <c r="M29073" s="49">
        <f>IF($A$4+290&gt;$B$4,"",$A$4+290)</f>
        <v>46313</v>
      </c>
      <c r="N29073">
        <f>IF(M29073="","",'Master Barang'!A67)</f>
        <v>0</v>
      </c>
      <c r="O29073">
        <f>IF(N29073="","",'Master Barang'!B67)</f>
        <v>0</v>
      </c>
      <c r="P29073">
        <f>IF(OR(M29073="",N29073=""),"",SUMIFS('Barang Keluar'!$E:$E,'Barang Keluar'!$A:$A,M29073,'Barang Keluar'!$C:$C,N29073))</f>
        <v>0</v>
      </c>
    </row>
    <row r="29074" spans="13:16">
      <c r="M29074" s="49">
        <f>IF($A$4+290&gt;$B$4,"",$A$4+290)</f>
        <v>46313</v>
      </c>
      <c r="N29074">
        <f>IF(M29074="","",'Master Barang'!A68)</f>
        <v>0</v>
      </c>
      <c r="O29074">
        <f>IF(N29074="","",'Master Barang'!B68)</f>
        <v>0</v>
      </c>
      <c r="P29074">
        <f>IF(OR(M29074="",N29074=""),"",SUMIFS('Barang Keluar'!$E:$E,'Barang Keluar'!$A:$A,M29074,'Barang Keluar'!$C:$C,N29074))</f>
        <v>0</v>
      </c>
    </row>
    <row r="29075" spans="13:16">
      <c r="M29075" s="49">
        <f>IF($A$4+290&gt;$B$4,"",$A$4+290)</f>
        <v>46313</v>
      </c>
      <c r="N29075">
        <f>IF(M29075="","",'Master Barang'!A69)</f>
        <v>0</v>
      </c>
      <c r="O29075">
        <f>IF(N29075="","",'Master Barang'!B69)</f>
        <v>0</v>
      </c>
      <c r="P29075">
        <f>IF(OR(M29075="",N29075=""),"",SUMIFS('Barang Keluar'!$E:$E,'Barang Keluar'!$A:$A,M29075,'Barang Keluar'!$C:$C,N29075))</f>
        <v>0</v>
      </c>
    </row>
    <row r="29076" spans="13:16">
      <c r="M29076" s="49">
        <f>IF($A$4+290&gt;$B$4,"",$A$4+290)</f>
        <v>46313</v>
      </c>
      <c r="N29076">
        <f>IF(M29076="","",'Master Barang'!A70)</f>
        <v>0</v>
      </c>
      <c r="O29076">
        <f>IF(N29076="","",'Master Barang'!B70)</f>
        <v>0</v>
      </c>
      <c r="P29076">
        <f>IF(OR(M29076="",N29076=""),"",SUMIFS('Barang Keluar'!$E:$E,'Barang Keluar'!$A:$A,M29076,'Barang Keluar'!$C:$C,N29076))</f>
        <v>0</v>
      </c>
    </row>
    <row r="29077" spans="13:16">
      <c r="M29077" s="49">
        <f>IF($A$4+290&gt;$B$4,"",$A$4+290)</f>
        <v>46313</v>
      </c>
      <c r="N29077">
        <f>IF(M29077="","",'Master Barang'!A71)</f>
        <v>0</v>
      </c>
      <c r="O29077">
        <f>IF(N29077="","",'Master Barang'!B71)</f>
        <v>0</v>
      </c>
      <c r="P29077">
        <f>IF(OR(M29077="",N29077=""),"",SUMIFS('Barang Keluar'!$E:$E,'Barang Keluar'!$A:$A,M29077,'Barang Keluar'!$C:$C,N29077))</f>
        <v>0</v>
      </c>
    </row>
    <row r="29078" spans="13:16">
      <c r="M29078" s="49">
        <f>IF($A$4+290&gt;$B$4,"",$A$4+290)</f>
        <v>46313</v>
      </c>
      <c r="N29078">
        <f>IF(M29078="","",'Master Barang'!A72)</f>
        <v>0</v>
      </c>
      <c r="O29078">
        <f>IF(N29078="","",'Master Barang'!B72)</f>
        <v>0</v>
      </c>
      <c r="P29078">
        <f>IF(OR(M29078="",N29078=""),"",SUMIFS('Barang Keluar'!$E:$E,'Barang Keluar'!$A:$A,M29078,'Barang Keluar'!$C:$C,N29078))</f>
        <v>0</v>
      </c>
    </row>
    <row r="29079" spans="13:16">
      <c r="M29079" s="49">
        <f>IF($A$4+290&gt;$B$4,"",$A$4+290)</f>
        <v>46313</v>
      </c>
      <c r="N29079">
        <f>IF(M29079="","",'Master Barang'!A73)</f>
        <v>0</v>
      </c>
      <c r="O29079">
        <f>IF(N29079="","",'Master Barang'!B73)</f>
        <v>0</v>
      </c>
      <c r="P29079">
        <f>IF(OR(M29079="",N29079=""),"",SUMIFS('Barang Keluar'!$E:$E,'Barang Keluar'!$A:$A,M29079,'Barang Keluar'!$C:$C,N29079))</f>
        <v>0</v>
      </c>
    </row>
    <row r="29080" spans="13:16">
      <c r="M29080" s="49">
        <f>IF($A$4+290&gt;$B$4,"",$A$4+290)</f>
        <v>46313</v>
      </c>
      <c r="N29080">
        <f>IF(M29080="","",'Master Barang'!A74)</f>
        <v>0</v>
      </c>
      <c r="O29080">
        <f>IF(N29080="","",'Master Barang'!B74)</f>
        <v>0</v>
      </c>
      <c r="P29080">
        <f>IF(OR(M29080="",N29080=""),"",SUMIFS('Barang Keluar'!$E:$E,'Barang Keluar'!$A:$A,M29080,'Barang Keluar'!$C:$C,N29080))</f>
        <v>0</v>
      </c>
    </row>
    <row r="29081" spans="13:16">
      <c r="M29081" s="49">
        <f>IF($A$4+290&gt;$B$4,"",$A$4+290)</f>
        <v>46313</v>
      </c>
      <c r="N29081">
        <f>IF(M29081="","",'Master Barang'!A75)</f>
        <v>0</v>
      </c>
      <c r="O29081">
        <f>IF(N29081="","",'Master Barang'!B75)</f>
        <v>0</v>
      </c>
      <c r="P29081">
        <f>IF(OR(M29081="",N29081=""),"",SUMIFS('Barang Keluar'!$E:$E,'Barang Keluar'!$A:$A,M29081,'Barang Keluar'!$C:$C,N29081))</f>
        <v>0</v>
      </c>
    </row>
    <row r="29082" spans="13:16">
      <c r="M29082" s="49">
        <f>IF($A$4+290&gt;$B$4,"",$A$4+290)</f>
        <v>46313</v>
      </c>
      <c r="N29082">
        <f>IF(M29082="","",'Master Barang'!A76)</f>
        <v>0</v>
      </c>
      <c r="O29082">
        <f>IF(N29082="","",'Master Barang'!B76)</f>
        <v>0</v>
      </c>
      <c r="P29082">
        <f>IF(OR(M29082="",N29082=""),"",SUMIFS('Barang Keluar'!$E:$E,'Barang Keluar'!$A:$A,M29082,'Barang Keluar'!$C:$C,N29082))</f>
        <v>0</v>
      </c>
    </row>
    <row r="29083" spans="13:16">
      <c r="M29083" s="49">
        <f>IF($A$4+290&gt;$B$4,"",$A$4+290)</f>
        <v>46313</v>
      </c>
      <c r="N29083">
        <f>IF(M29083="","",'Master Barang'!A77)</f>
        <v>0</v>
      </c>
      <c r="O29083">
        <f>IF(N29083="","",'Master Barang'!B77)</f>
        <v>0</v>
      </c>
      <c r="P29083">
        <f>IF(OR(M29083="",N29083=""),"",SUMIFS('Barang Keluar'!$E:$E,'Barang Keluar'!$A:$A,M29083,'Barang Keluar'!$C:$C,N29083))</f>
        <v>0</v>
      </c>
    </row>
    <row r="29084" spans="13:16">
      <c r="M29084" s="49">
        <f>IF($A$4+290&gt;$B$4,"",$A$4+290)</f>
        <v>46313</v>
      </c>
      <c r="N29084">
        <f>IF(M29084="","",'Master Barang'!A78)</f>
        <v>0</v>
      </c>
      <c r="O29084">
        <f>IF(N29084="","",'Master Barang'!B78)</f>
        <v>0</v>
      </c>
      <c r="P29084">
        <f>IF(OR(M29084="",N29084=""),"",SUMIFS('Barang Keluar'!$E:$E,'Barang Keluar'!$A:$A,M29084,'Barang Keluar'!$C:$C,N29084))</f>
        <v>0</v>
      </c>
    </row>
    <row r="29085" spans="13:16">
      <c r="M29085" s="49">
        <f>IF($A$4+290&gt;$B$4,"",$A$4+290)</f>
        <v>46313</v>
      </c>
      <c r="N29085">
        <f>IF(M29085="","",'Master Barang'!A79)</f>
        <v>0</v>
      </c>
      <c r="O29085">
        <f>IF(N29085="","",'Master Barang'!B79)</f>
        <v>0</v>
      </c>
      <c r="P29085">
        <f>IF(OR(M29085="",N29085=""),"",SUMIFS('Barang Keluar'!$E:$E,'Barang Keluar'!$A:$A,M29085,'Barang Keluar'!$C:$C,N29085))</f>
        <v>0</v>
      </c>
    </row>
    <row r="29086" spans="13:16">
      <c r="M29086" s="49">
        <f>IF($A$4+290&gt;$B$4,"",$A$4+290)</f>
        <v>46313</v>
      </c>
      <c r="N29086">
        <f>IF(M29086="","",'Master Barang'!A80)</f>
        <v>0</v>
      </c>
      <c r="O29086">
        <f>IF(N29086="","",'Master Barang'!B80)</f>
        <v>0</v>
      </c>
      <c r="P29086">
        <f>IF(OR(M29086="",N29086=""),"",SUMIFS('Barang Keluar'!$E:$E,'Barang Keluar'!$A:$A,M29086,'Barang Keluar'!$C:$C,N29086))</f>
        <v>0</v>
      </c>
    </row>
    <row r="29087" spans="13:16">
      <c r="M29087" s="49">
        <f>IF($A$4+290&gt;$B$4,"",$A$4+290)</f>
        <v>46313</v>
      </c>
      <c r="N29087">
        <f>IF(M29087="","",'Master Barang'!A81)</f>
        <v>0</v>
      </c>
      <c r="O29087">
        <f>IF(N29087="","",'Master Barang'!B81)</f>
        <v>0</v>
      </c>
      <c r="P29087">
        <f>IF(OR(M29087="",N29087=""),"",SUMIFS('Barang Keluar'!$E:$E,'Barang Keluar'!$A:$A,M29087,'Barang Keluar'!$C:$C,N29087))</f>
        <v>0</v>
      </c>
    </row>
    <row r="29088" spans="13:16">
      <c r="M29088" s="49">
        <f>IF($A$4+290&gt;$B$4,"",$A$4+290)</f>
        <v>46313</v>
      </c>
      <c r="N29088">
        <f>IF(M29088="","",'Master Barang'!A82)</f>
        <v>0</v>
      </c>
      <c r="O29088">
        <f>IF(N29088="","",'Master Barang'!B82)</f>
        <v>0</v>
      </c>
      <c r="P29088">
        <f>IF(OR(M29088="",N29088=""),"",SUMIFS('Barang Keluar'!$E:$E,'Barang Keluar'!$A:$A,M29088,'Barang Keluar'!$C:$C,N29088))</f>
        <v>0</v>
      </c>
    </row>
    <row r="29089" spans="13:16">
      <c r="M29089" s="49">
        <f>IF($A$4+290&gt;$B$4,"",$A$4+290)</f>
        <v>46313</v>
      </c>
      <c r="N29089">
        <f>IF(M29089="","",'Master Barang'!A83)</f>
        <v>0</v>
      </c>
      <c r="O29089">
        <f>IF(N29089="","",'Master Barang'!B83)</f>
        <v>0</v>
      </c>
      <c r="P29089">
        <f>IF(OR(M29089="",N29089=""),"",SUMIFS('Barang Keluar'!$E:$E,'Barang Keluar'!$A:$A,M29089,'Barang Keluar'!$C:$C,N29089))</f>
        <v>0</v>
      </c>
    </row>
    <row r="29090" spans="13:16">
      <c r="M29090" s="49">
        <f>IF($A$4+290&gt;$B$4,"",$A$4+290)</f>
        <v>46313</v>
      </c>
      <c r="N29090">
        <f>IF(M29090="","",'Master Barang'!A84)</f>
        <v>0</v>
      </c>
      <c r="O29090">
        <f>IF(N29090="","",'Master Barang'!B84)</f>
        <v>0</v>
      </c>
      <c r="P29090">
        <f>IF(OR(M29090="",N29090=""),"",SUMIFS('Barang Keluar'!$E:$E,'Barang Keluar'!$A:$A,M29090,'Barang Keluar'!$C:$C,N29090))</f>
        <v>0</v>
      </c>
    </row>
    <row r="29091" spans="13:16">
      <c r="M29091" s="49">
        <f>IF($A$4+290&gt;$B$4,"",$A$4+290)</f>
        <v>46313</v>
      </c>
      <c r="N29091">
        <f>IF(M29091="","",'Master Barang'!A85)</f>
        <v>0</v>
      </c>
      <c r="O29091">
        <f>IF(N29091="","",'Master Barang'!B85)</f>
        <v>0</v>
      </c>
      <c r="P29091">
        <f>IF(OR(M29091="",N29091=""),"",SUMIFS('Barang Keluar'!$E:$E,'Barang Keluar'!$A:$A,M29091,'Barang Keluar'!$C:$C,N29091))</f>
        <v>0</v>
      </c>
    </row>
    <row r="29092" spans="13:16">
      <c r="M29092" s="49">
        <f>IF($A$4+290&gt;$B$4,"",$A$4+290)</f>
        <v>46313</v>
      </c>
      <c r="N29092">
        <f>IF(M29092="","",'Master Barang'!A86)</f>
        <v>0</v>
      </c>
      <c r="O29092">
        <f>IF(N29092="","",'Master Barang'!B86)</f>
        <v>0</v>
      </c>
      <c r="P29092">
        <f>IF(OR(M29092="",N29092=""),"",SUMIFS('Barang Keluar'!$E:$E,'Barang Keluar'!$A:$A,M29092,'Barang Keluar'!$C:$C,N29092))</f>
        <v>0</v>
      </c>
    </row>
    <row r="29093" spans="13:16">
      <c r="M29093" s="49">
        <f>IF($A$4+290&gt;$B$4,"",$A$4+290)</f>
        <v>46313</v>
      </c>
      <c r="N29093">
        <f>IF(M29093="","",'Master Barang'!A87)</f>
        <v>0</v>
      </c>
      <c r="O29093">
        <f>IF(N29093="","",'Master Barang'!B87)</f>
        <v>0</v>
      </c>
      <c r="P29093">
        <f>IF(OR(M29093="",N29093=""),"",SUMIFS('Barang Keluar'!$E:$E,'Barang Keluar'!$A:$A,M29093,'Barang Keluar'!$C:$C,N29093))</f>
        <v>0</v>
      </c>
    </row>
    <row r="29094" spans="13:16">
      <c r="M29094" s="49">
        <f>IF($A$4+290&gt;$B$4,"",$A$4+290)</f>
        <v>46313</v>
      </c>
      <c r="N29094">
        <f>IF(M29094="","",'Master Barang'!A88)</f>
        <v>0</v>
      </c>
      <c r="O29094">
        <f>IF(N29094="","",'Master Barang'!B88)</f>
        <v>0</v>
      </c>
      <c r="P29094">
        <f>IF(OR(M29094="",N29094=""),"",SUMIFS('Barang Keluar'!$E:$E,'Barang Keluar'!$A:$A,M29094,'Barang Keluar'!$C:$C,N29094))</f>
        <v>0</v>
      </c>
    </row>
    <row r="29095" spans="13:16">
      <c r="M29095" s="49">
        <f>IF($A$4+290&gt;$B$4,"",$A$4+290)</f>
        <v>46313</v>
      </c>
      <c r="N29095">
        <f>IF(M29095="","",'Master Barang'!A89)</f>
        <v>0</v>
      </c>
      <c r="O29095">
        <f>IF(N29095="","",'Master Barang'!B89)</f>
        <v>0</v>
      </c>
      <c r="P29095">
        <f>IF(OR(M29095="",N29095=""),"",SUMIFS('Barang Keluar'!$E:$E,'Barang Keluar'!$A:$A,M29095,'Barang Keluar'!$C:$C,N29095))</f>
        <v>0</v>
      </c>
    </row>
    <row r="29096" spans="13:16">
      <c r="M29096" s="49">
        <f>IF($A$4+290&gt;$B$4,"",$A$4+290)</f>
        <v>46313</v>
      </c>
      <c r="N29096">
        <f>IF(M29096="","",'Master Barang'!A90)</f>
        <v>0</v>
      </c>
      <c r="O29096">
        <f>IF(N29096="","",'Master Barang'!B90)</f>
        <v>0</v>
      </c>
      <c r="P29096">
        <f>IF(OR(M29096="",N29096=""),"",SUMIFS('Barang Keluar'!$E:$E,'Barang Keluar'!$A:$A,M29096,'Barang Keluar'!$C:$C,N29096))</f>
        <v>0</v>
      </c>
    </row>
    <row r="29097" spans="13:16">
      <c r="M29097" s="49">
        <f>IF($A$4+290&gt;$B$4,"",$A$4+290)</f>
        <v>46313</v>
      </c>
      <c r="N29097">
        <f>IF(M29097="","",'Master Barang'!A91)</f>
        <v>0</v>
      </c>
      <c r="O29097">
        <f>IF(N29097="","",'Master Barang'!B91)</f>
        <v>0</v>
      </c>
      <c r="P29097">
        <f>IF(OR(M29097="",N29097=""),"",SUMIFS('Barang Keluar'!$E:$E,'Barang Keluar'!$A:$A,M29097,'Barang Keluar'!$C:$C,N29097))</f>
        <v>0</v>
      </c>
    </row>
    <row r="29098" spans="13:16">
      <c r="M29098" s="49">
        <f>IF($A$4+290&gt;$B$4,"",$A$4+290)</f>
        <v>46313</v>
      </c>
      <c r="N29098">
        <f>IF(M29098="","",'Master Barang'!A92)</f>
        <v>0</v>
      </c>
      <c r="O29098">
        <f>IF(N29098="","",'Master Barang'!B92)</f>
        <v>0</v>
      </c>
      <c r="P29098">
        <f>IF(OR(M29098="",N29098=""),"",SUMIFS('Barang Keluar'!$E:$E,'Barang Keluar'!$A:$A,M29098,'Barang Keluar'!$C:$C,N29098))</f>
        <v>0</v>
      </c>
    </row>
    <row r="29099" spans="13:16">
      <c r="M29099" s="49">
        <f>IF($A$4+290&gt;$B$4,"",$A$4+290)</f>
        <v>46313</v>
      </c>
      <c r="N29099">
        <f>IF(M29099="","",'Master Barang'!A93)</f>
        <v>0</v>
      </c>
      <c r="O29099">
        <f>IF(N29099="","",'Master Barang'!B93)</f>
        <v>0</v>
      </c>
      <c r="P29099">
        <f>IF(OR(M29099="",N29099=""),"",SUMIFS('Barang Keluar'!$E:$E,'Barang Keluar'!$A:$A,M29099,'Barang Keluar'!$C:$C,N29099))</f>
        <v>0</v>
      </c>
    </row>
    <row r="29100" spans="13:16">
      <c r="M29100" s="49">
        <f>IF($A$4+290&gt;$B$4,"",$A$4+290)</f>
        <v>46313</v>
      </c>
      <c r="N29100">
        <f>IF(M29100="","",'Master Barang'!A94)</f>
        <v>0</v>
      </c>
      <c r="O29100">
        <f>IF(N29100="","",'Master Barang'!B94)</f>
        <v>0</v>
      </c>
      <c r="P29100">
        <f>IF(OR(M29100="",N29100=""),"",SUMIFS('Barang Keluar'!$E:$E,'Barang Keluar'!$A:$A,M29100,'Barang Keluar'!$C:$C,N29100))</f>
        <v>0</v>
      </c>
    </row>
    <row r="29101" spans="13:16">
      <c r="M29101" s="49">
        <f>IF($A$4+290&gt;$B$4,"",$A$4+290)</f>
        <v>46313</v>
      </c>
      <c r="N29101">
        <f>IF(M29101="","",'Master Barang'!A95)</f>
        <v>0</v>
      </c>
      <c r="O29101">
        <f>IF(N29101="","",'Master Barang'!B95)</f>
        <v>0</v>
      </c>
      <c r="P29101">
        <f>IF(OR(M29101="",N29101=""),"",SUMIFS('Barang Keluar'!$E:$E,'Barang Keluar'!$A:$A,M29101,'Barang Keluar'!$C:$C,N29101))</f>
        <v>0</v>
      </c>
    </row>
    <row r="29102" spans="13:16">
      <c r="M29102" s="49">
        <f>IF($A$4+290&gt;$B$4,"",$A$4+290)</f>
        <v>46313</v>
      </c>
      <c r="N29102">
        <f>IF(M29102="","",'Master Barang'!A96)</f>
        <v>0</v>
      </c>
      <c r="O29102">
        <f>IF(N29102="","",'Master Barang'!B96)</f>
        <v>0</v>
      </c>
      <c r="P29102">
        <f>IF(OR(M29102="",N29102=""),"",SUMIFS('Barang Keluar'!$E:$E,'Barang Keluar'!$A:$A,M29102,'Barang Keluar'!$C:$C,N29102))</f>
        <v>0</v>
      </c>
    </row>
    <row r="29103" spans="13:16">
      <c r="M29103" s="49">
        <f>IF($A$4+290&gt;$B$4,"",$A$4+290)</f>
        <v>46313</v>
      </c>
      <c r="N29103">
        <f>IF(M29103="","",'Master Barang'!A97)</f>
        <v>0</v>
      </c>
      <c r="O29103">
        <f>IF(N29103="","",'Master Barang'!B97)</f>
        <v>0</v>
      </c>
      <c r="P29103">
        <f>IF(OR(M29103="",N29103=""),"",SUMIFS('Barang Keluar'!$E:$E,'Barang Keluar'!$A:$A,M29103,'Barang Keluar'!$C:$C,N29103))</f>
        <v>0</v>
      </c>
    </row>
    <row r="29104" spans="13:16">
      <c r="M29104" s="49">
        <f>IF($A$4+290&gt;$B$4,"",$A$4+290)</f>
        <v>46313</v>
      </c>
      <c r="N29104">
        <f>IF(M29104="","",'Master Barang'!A98)</f>
        <v>0</v>
      </c>
      <c r="O29104">
        <f>IF(N29104="","",'Master Barang'!B98)</f>
        <v>0</v>
      </c>
      <c r="P29104">
        <f>IF(OR(M29104="",N29104=""),"",SUMIFS('Barang Keluar'!$E:$E,'Barang Keluar'!$A:$A,M29104,'Barang Keluar'!$C:$C,N29104))</f>
        <v>0</v>
      </c>
    </row>
    <row r="29105" spans="13:16">
      <c r="M29105" s="49">
        <f>IF($A$4+290&gt;$B$4,"",$A$4+290)</f>
        <v>46313</v>
      </c>
      <c r="N29105">
        <f>IF(M29105="","",'Master Barang'!A99)</f>
        <v>0</v>
      </c>
      <c r="O29105">
        <f>IF(N29105="","",'Master Barang'!B99)</f>
        <v>0</v>
      </c>
      <c r="P29105">
        <f>IF(OR(M29105="",N29105=""),"",SUMIFS('Barang Keluar'!$E:$E,'Barang Keluar'!$A:$A,M29105,'Barang Keluar'!$C:$C,N29105))</f>
        <v>0</v>
      </c>
    </row>
    <row r="29106" spans="13:16">
      <c r="M29106" s="49">
        <f>IF($A$4+290&gt;$B$4,"",$A$4+290)</f>
        <v>46313</v>
      </c>
      <c r="N29106">
        <f>IF(M29106="","",'Master Barang'!A100)</f>
        <v>0</v>
      </c>
      <c r="O29106">
        <f>IF(N29106="","",'Master Barang'!B100)</f>
        <v>0</v>
      </c>
      <c r="P29106">
        <f>IF(OR(M29106="",N29106=""),"",SUMIFS('Barang Keluar'!$E:$E,'Barang Keluar'!$A:$A,M29106,'Barang Keluar'!$C:$C,N29106))</f>
        <v>0</v>
      </c>
    </row>
    <row r="29107" spans="13:16">
      <c r="M29107" s="49">
        <f>IF($A$4+290&gt;$B$4,"",$A$4+290)</f>
        <v>46313</v>
      </c>
      <c r="N29107">
        <f>IF(M29107="","",'Master Barang'!A101)</f>
        <v>0</v>
      </c>
      <c r="O29107">
        <f>IF(N29107="","",'Master Barang'!B101)</f>
        <v>0</v>
      </c>
      <c r="P29107">
        <f>IF(OR(M29107="",N29107=""),"",SUMIFS('Barang Keluar'!$E:$E,'Barang Keluar'!$A:$A,M29107,'Barang Keluar'!$C:$C,N29107))</f>
        <v>0</v>
      </c>
    </row>
    <row r="29108" spans="13:16">
      <c r="M29108" s="49">
        <f>IF($A$4+291&gt;$B$4,"",$A$4+291)</f>
        <v>46314</v>
      </c>
      <c r="N29108" t="str">
        <f>IF(M29108="","",'Master Barang'!A2)</f>
        <v>PRL-001</v>
      </c>
      <c r="O29108" t="str">
        <f>IF(N29108="","",'Master Barang'!B2)</f>
        <v>natura desinfectant food grade 5l</v>
      </c>
      <c r="P29108">
        <f>IF(OR(M29108="",N29108=""),"",SUMIFS('Barang Keluar'!$E:$E,'Barang Keluar'!$A:$A,M29108,'Barang Keluar'!$C:$C,N29108))</f>
        <v>0</v>
      </c>
    </row>
    <row r="29109" spans="13:16">
      <c r="M29109" s="49">
        <f>IF($A$4+291&gt;$B$4,"",$A$4+291)</f>
        <v>46314</v>
      </c>
      <c r="N29109" t="str">
        <f>IF(M29109="","",'Master Barang'!A3)</f>
        <v>PRL-002</v>
      </c>
      <c r="O29109" t="str">
        <f>IF(N29109="","",'Master Barang'!B3)</f>
        <v>sunlight cairan pencuci piring 5l</v>
      </c>
      <c r="P29109">
        <f>IF(OR(M29109="",N29109=""),"",SUMIFS('Barang Keluar'!$E:$E,'Barang Keluar'!$A:$A,M29109,'Barang Keluar'!$C:$C,N29109))</f>
        <v>0</v>
      </c>
    </row>
    <row r="29110" spans="13:16">
      <c r="M29110" s="49">
        <f>IF($A$4+291&gt;$B$4,"",$A$4+291)</f>
        <v>46314</v>
      </c>
      <c r="N29110" t="str">
        <f>IF(M29110="","",'Master Barang'!A4)</f>
        <v>PRL-003</v>
      </c>
      <c r="O29110" t="str">
        <f>IF(N29110="","",'Master Barang'!B4)</f>
        <v>oixs cleaner 1l</v>
      </c>
      <c r="P29110">
        <f>IF(OR(M29110="",N29110=""),"",SUMIFS('Barang Keluar'!$E:$E,'Barang Keluar'!$A:$A,M29110,'Barang Keluar'!$C:$C,N29110))</f>
        <v>0</v>
      </c>
    </row>
    <row r="29111" spans="13:16">
      <c r="M29111" s="49">
        <f>IF($A$4+291&gt;$B$4,"",$A$4+291)</f>
        <v>46314</v>
      </c>
      <c r="N29111" t="str">
        <f>IF(M29111="","",'Master Barang'!A5)</f>
        <v>PRL-004</v>
      </c>
      <c r="O29111" t="str">
        <f>IF(N29111="","",'Master Barang'!B5)</f>
        <v>be clean tissue serbaguna</v>
      </c>
      <c r="P29111">
        <f>IF(OR(M29111="",N29111=""),"",SUMIFS('Barang Keluar'!$E:$E,'Barang Keluar'!$A:$A,M29111,'Barang Keluar'!$C:$C,N29111))</f>
        <v>0</v>
      </c>
    </row>
    <row r="29112" spans="13:16">
      <c r="M29112" s="49">
        <f>IF($A$4+291&gt;$B$4,"",$A$4+291)</f>
        <v>46314</v>
      </c>
      <c r="N29112" t="str">
        <f>IF(M29112="","",'Master Barang'!A6)</f>
        <v>PRL-005</v>
      </c>
      <c r="O29112" t="str">
        <f>IF(N29112="","",'Master Barang'!B6)</f>
        <v>spons cuci hijau</v>
      </c>
      <c r="P29112">
        <f>IF(OR(M29112="",N29112=""),"",SUMIFS('Barang Keluar'!$E:$E,'Barang Keluar'!$A:$A,M29112,'Barang Keluar'!$C:$C,N29112))</f>
        <v>0</v>
      </c>
    </row>
    <row r="29113" spans="13:16">
      <c r="M29113" s="49">
        <f>IF($A$4+291&gt;$B$4,"",$A$4+291)</f>
        <v>46314</v>
      </c>
      <c r="N29113" t="str">
        <f>IF(M29113="","",'Master Barang'!A7)</f>
        <v>PRL-006</v>
      </c>
      <c r="O29113" t="str">
        <f>IF(N29113="","",'Master Barang'!B7)</f>
        <v>sabut cuci stainless</v>
      </c>
      <c r="P29113">
        <f>IF(OR(M29113="",N29113=""),"",SUMIFS('Barang Keluar'!$E:$E,'Barang Keluar'!$A:$A,M29113,'Barang Keluar'!$C:$C,N29113))</f>
        <v>0</v>
      </c>
    </row>
    <row r="29114" spans="13:16">
      <c r="M29114" s="49">
        <f>IF($A$4+291&gt;$B$4,"",$A$4+291)</f>
        <v>46314</v>
      </c>
      <c r="N29114" t="str">
        <f>IF(M29114="","",'Master Barang'!A8)</f>
        <v>PRL-007</v>
      </c>
      <c r="O29114" t="str">
        <f>IF(N29114="","",'Master Barang'!B8)</f>
        <v>plastik kresek besar merah 50pc</v>
      </c>
      <c r="P29114">
        <f>IF(OR(M29114="",N29114=""),"",SUMIFS('Barang Keluar'!$E:$E,'Barang Keluar'!$A:$A,M29114,'Barang Keluar'!$C:$C,N29114))</f>
        <v>0</v>
      </c>
    </row>
    <row r="29115" spans="13:16">
      <c r="M29115" s="49">
        <f>IF($A$4+291&gt;$B$4,"",$A$4+291)</f>
        <v>46314</v>
      </c>
      <c r="N29115" t="str">
        <f>IF(M29115="","",'Master Barang'!A9)</f>
        <v>PRL-008</v>
      </c>
      <c r="O29115" t="str">
        <f>IF(N29115="","",'Master Barang'!B9)</f>
        <v>lap besar</v>
      </c>
      <c r="P29115">
        <f>IF(OR(M29115="",N29115=""),"",SUMIFS('Barang Keluar'!$E:$E,'Barang Keluar'!$A:$A,M29115,'Barang Keluar'!$C:$C,N29115))</f>
        <v>0</v>
      </c>
    </row>
    <row r="29116" spans="13:16">
      <c r="M29116" s="49">
        <f>IF($A$4+291&gt;$B$4,"",$A$4+291)</f>
        <v>46314</v>
      </c>
      <c r="N29116" t="str">
        <f>IF(M29116="","",'Master Barang'!A10)</f>
        <v>PRL-009</v>
      </c>
      <c r="O29116" t="str">
        <f>IF(N29116="","",'Master Barang'!B10)</f>
        <v>lap microfiber</v>
      </c>
      <c r="P29116">
        <f>IF(OR(M29116="",N29116=""),"",SUMIFS('Barang Keluar'!$E:$E,'Barang Keluar'!$A:$A,M29116,'Barang Keluar'!$C:$C,N29116))</f>
        <v>0</v>
      </c>
    </row>
    <row r="29117" spans="13:16">
      <c r="M29117" s="49">
        <f>IF($A$4+291&gt;$B$4,"",$A$4+291)</f>
        <v>46314</v>
      </c>
      <c r="N29117" t="str">
        <f>IF(M29117="","",'Master Barang'!A11)</f>
        <v>PRL-010</v>
      </c>
      <c r="O29117" t="str">
        <f>IF(N29117="","",'Master Barang'!B11)</f>
        <v>lap kecil</v>
      </c>
      <c r="P29117">
        <f>IF(OR(M29117="",N29117=""),"",SUMIFS('Barang Keluar'!$E:$E,'Barang Keluar'!$A:$A,M29117,'Barang Keluar'!$C:$C,N29117))</f>
        <v>0</v>
      </c>
    </row>
    <row r="29118" spans="13:16">
      <c r="M29118" s="49">
        <f>IF($A$4+291&gt;$B$4,"",$A$4+291)</f>
        <v>46314</v>
      </c>
      <c r="N29118" t="str">
        <f>IF(M29118="","",'Master Barang'!A12)</f>
        <v>PRL-011</v>
      </c>
      <c r="O29118" t="str">
        <f>IF(N29118="","",'Master Barang'!B12)</f>
        <v>kanebo kecil</v>
      </c>
      <c r="P29118">
        <f>IF(OR(M29118="",N29118=""),"",SUMIFS('Barang Keluar'!$E:$E,'Barang Keluar'!$A:$A,M29118,'Barang Keluar'!$C:$C,N29118))</f>
        <v>0</v>
      </c>
    </row>
    <row r="29119" spans="13:16">
      <c r="M29119" s="49">
        <f>IF($A$4+291&gt;$B$4,"",$A$4+291)</f>
        <v>46314</v>
      </c>
      <c r="N29119" t="str">
        <f>IF(M29119="","",'Master Barang'!A13)</f>
        <v>PRL-012</v>
      </c>
      <c r="O29119" t="str">
        <f>IF(N29119="","",'Master Barang'!B13)</f>
        <v>plastik 1/4kg joyoboyo 100 lembar</v>
      </c>
      <c r="P29119">
        <f>IF(OR(M29119="",N29119=""),"",SUMIFS('Barang Keluar'!$E:$E,'Barang Keluar'!$A:$A,M29119,'Barang Keluar'!$C:$C,N29119))</f>
        <v>0</v>
      </c>
    </row>
    <row r="29120" spans="13:16">
      <c r="M29120" s="49">
        <f>IF($A$4+291&gt;$B$4,"",$A$4+291)</f>
        <v>46314</v>
      </c>
      <c r="N29120" t="str">
        <f>IF(M29120="","",'Master Barang'!A14)</f>
        <v>PRL-013</v>
      </c>
      <c r="O29120" t="str">
        <f>IF(N29120="","",'Master Barang'!B14)</f>
        <v>sarung tangan plastik kaka 100 pcs</v>
      </c>
      <c r="P29120">
        <f>IF(OR(M29120="",N29120=""),"",SUMIFS('Barang Keluar'!$E:$E,'Barang Keluar'!$A:$A,M29120,'Barang Keluar'!$C:$C,N29120))</f>
        <v>0</v>
      </c>
    </row>
    <row r="29121" spans="13:16">
      <c r="M29121" s="49">
        <f>IF($A$4+291&gt;$B$4,"",$A$4+291)</f>
        <v>46314</v>
      </c>
      <c r="N29121" t="str">
        <f>IF(M29121="","",'Master Barang'!A15)</f>
        <v>PRL-014</v>
      </c>
      <c r="O29121" t="str">
        <f>IF(N29121="","",'Master Barang'!B15)</f>
        <v>optima trashbag 80x100</v>
      </c>
      <c r="P29121">
        <f>IF(OR(M29121="",N29121=""),"",SUMIFS('Barang Keluar'!$E:$E,'Barang Keluar'!$A:$A,M29121,'Barang Keluar'!$C:$C,N29121))</f>
        <v>0</v>
      </c>
    </row>
    <row r="29122" spans="13:16">
      <c r="M29122" s="49">
        <f>IF($A$4+291&gt;$B$4,"",$A$4+291)</f>
        <v>46314</v>
      </c>
      <c r="N29122" t="str">
        <f>IF(M29122="","",'Master Barang'!A16)</f>
        <v>PRL-015</v>
      </c>
      <c r="O29122" t="str">
        <f>IF(N29122="","",'Master Barang'!B16)</f>
        <v>optima trashbag 60x100</v>
      </c>
      <c r="P29122">
        <f>IF(OR(M29122="",N29122=""),"",SUMIFS('Barang Keluar'!$E:$E,'Barang Keluar'!$A:$A,M29122,'Barang Keluar'!$C:$C,N29122))</f>
        <v>0</v>
      </c>
    </row>
    <row r="29123" spans="13:16">
      <c r="M29123" s="49">
        <f>IF($A$4+291&gt;$B$4,"",$A$4+291)</f>
        <v>46314</v>
      </c>
      <c r="N29123" t="str">
        <f>IF(M29123="","",'Master Barang'!A17)</f>
        <v>PRL-016</v>
      </c>
      <c r="O29123" t="str">
        <f>IF(N29123="","",'Master Barang'!B17)</f>
        <v>rajawali trashbag 30x40</v>
      </c>
      <c r="P29123">
        <f>IF(OR(M29123="",N29123=""),"",SUMIFS('Barang Keluar'!$E:$E,'Barang Keluar'!$A:$A,M29123,'Barang Keluar'!$C:$C,N29123))</f>
        <v>0</v>
      </c>
    </row>
    <row r="29124" spans="13:16">
      <c r="M29124" s="49">
        <f>IF($A$4+291&gt;$B$4,"",$A$4+291)</f>
        <v>46314</v>
      </c>
      <c r="N29124" t="str">
        <f>IF(M29124="","",'Master Barang'!A18)</f>
        <v>PRL-017</v>
      </c>
      <c r="O29124" t="str">
        <f>IF(N29124="","",'Master Barang'!B18)</f>
        <v>onemed masker biru 3 play 50 pcs</v>
      </c>
      <c r="P29124">
        <f>IF(OR(M29124="",N29124=""),"",SUMIFS('Barang Keluar'!$E:$E,'Barang Keluar'!$A:$A,M29124,'Barang Keluar'!$C:$C,N29124))</f>
        <v>0</v>
      </c>
    </row>
    <row r="29125" spans="13:16">
      <c r="M29125" s="49">
        <f>IF($A$4+291&gt;$B$4,"",$A$4+291)</f>
        <v>46314</v>
      </c>
      <c r="N29125" t="str">
        <f>IF(M29125="","",'Master Barang'!A19)</f>
        <v>PRL-018</v>
      </c>
      <c r="O29125" t="str">
        <f>IF(N29125="","",'Master Barang'!B19)</f>
        <v>onemed masker biru 3 play hijab 50 pcs</v>
      </c>
      <c r="P29125">
        <f>IF(OR(M29125="",N29125=""),"",SUMIFS('Barang Keluar'!$E:$E,'Barang Keluar'!$A:$A,M29125,'Barang Keluar'!$C:$C,N29125))</f>
        <v>0</v>
      </c>
    </row>
    <row r="29126" spans="13:16">
      <c r="M29126" s="49">
        <f>IF($A$4+291&gt;$B$4,"",$A$4+291)</f>
        <v>46314</v>
      </c>
      <c r="N29126" t="str">
        <f>IF(M29126="","",'Master Barang'!A20)</f>
        <v>PRL-019</v>
      </c>
      <c r="O29126" t="str">
        <f>IF(N29126="","",'Master Barang'!B20)</f>
        <v>neo health masker biru 3 play 50 pcs</v>
      </c>
      <c r="P29126">
        <f>IF(OR(M29126="",N29126=""),"",SUMIFS('Barang Keluar'!$E:$E,'Barang Keluar'!$A:$A,M29126,'Barang Keluar'!$C:$C,N29126))</f>
        <v>0</v>
      </c>
    </row>
    <row r="29127" spans="13:16">
      <c r="M29127" s="49">
        <f>IF($A$4+291&gt;$B$4,"",$A$4+291)</f>
        <v>46314</v>
      </c>
      <c r="N29127" t="str">
        <f>IF(M29127="","",'Master Barang'!A21)</f>
        <v>PRL-020</v>
      </c>
      <c r="O29127" t="str">
        <f>IF(N29127="","",'Master Barang'!B21)</f>
        <v>baymed masker hijau 3 play hijau 50 pcs</v>
      </c>
      <c r="P29127">
        <f>IF(OR(M29127="",N29127=""),"",SUMIFS('Barang Keluar'!$E:$E,'Barang Keluar'!$A:$A,M29127,'Barang Keluar'!$C:$C,N29127))</f>
        <v>0</v>
      </c>
    </row>
    <row r="29128" spans="13:16">
      <c r="M29128" s="49">
        <f>IF($A$4+291&gt;$B$4,"",$A$4+291)</f>
        <v>46314</v>
      </c>
      <c r="N29128" t="str">
        <f>IF(M29128="","",'Master Barang'!A22)</f>
        <v>PRL-021</v>
      </c>
      <c r="O29128" t="str">
        <f>IF(N29128="","",'Master Barang'!B22)</f>
        <v>altamed nurse cap penutup kepala 100 pcs</v>
      </c>
      <c r="P29128">
        <f>IF(OR(M29128="",N29128=""),"",SUMIFS('Barang Keluar'!$E:$E,'Barang Keluar'!$A:$A,M29128,'Barang Keluar'!$C:$C,N29128))</f>
        <v>0</v>
      </c>
    </row>
    <row r="29129" spans="13:16">
      <c r="M29129" s="49">
        <f>IF($A$4+291&gt;$B$4,"",$A$4+291)</f>
        <v>46314</v>
      </c>
      <c r="N29129" t="str">
        <f>IF(M29129="","",'Master Barang'!A23)</f>
        <v>PRL-022</v>
      </c>
      <c r="O29129" t="str">
        <f>IF(N29129="","",'Master Barang'!B23)</f>
        <v>sabun cuci tangan</v>
      </c>
      <c r="P29129">
        <f>IF(OR(M29129="",N29129=""),"",SUMIFS('Barang Keluar'!$E:$E,'Barang Keluar'!$A:$A,M29129,'Barang Keluar'!$C:$C,N29129))</f>
        <v>0</v>
      </c>
    </row>
    <row r="29130" spans="13:16">
      <c r="M29130" s="49">
        <f>IF($A$4+291&gt;$B$4,"",$A$4+291)</f>
        <v>46314</v>
      </c>
      <c r="N29130" t="str">
        <f>IF(M29130="","",'Master Barang'!A24)</f>
        <v>PRL-023</v>
      </c>
      <c r="O29130" t="str">
        <f>IF(N29130="","",'Master Barang'!B24)</f>
        <v>gayung kecil</v>
      </c>
      <c r="P29130">
        <f>IF(OR(M29130="",N29130=""),"",SUMIFS('Barang Keluar'!$E:$E,'Barang Keluar'!$A:$A,M29130,'Barang Keluar'!$C:$C,N29130))</f>
        <v>0</v>
      </c>
    </row>
    <row r="29131" spans="13:16">
      <c r="M29131" s="49">
        <f>IF($A$4+291&gt;$B$4,"",$A$4+291)</f>
        <v>46314</v>
      </c>
      <c r="N29131" t="str">
        <f>IF(M29131="","",'Master Barang'!A25)</f>
        <v>PRL-024</v>
      </c>
      <c r="O29131" t="str">
        <f>IF(N29131="","",'Master Barang'!B25)</f>
        <v>cikrak kecil</v>
      </c>
      <c r="P29131">
        <f>IF(OR(M29131="",N29131=""),"",SUMIFS('Barang Keluar'!$E:$E,'Barang Keluar'!$A:$A,M29131,'Barang Keluar'!$C:$C,N29131))</f>
        <v>0</v>
      </c>
    </row>
    <row r="29132" spans="13:16">
      <c r="M29132" s="49">
        <f>IF($A$4+291&gt;$B$4,"",$A$4+291)</f>
        <v>46314</v>
      </c>
      <c r="N29132" t="str">
        <f>IF(M29132="","",'Master Barang'!A26)</f>
        <v>PRL-025</v>
      </c>
      <c r="O29132" t="str">
        <f>IF(N29132="","",'Master Barang'!B26)</f>
        <v>petromax plastik kecil 12x24 100 lembar</v>
      </c>
      <c r="P29132">
        <f>IF(OR(M29132="",N29132=""),"",SUMIFS('Barang Keluar'!$E:$E,'Barang Keluar'!$A:$A,M29132,'Barang Keluar'!$C:$C,N29132))</f>
        <v>0</v>
      </c>
    </row>
    <row r="29133" spans="13:16">
      <c r="M29133" s="49">
        <f>IF($A$4+291&gt;$B$4,"",$A$4+291)</f>
        <v>46314</v>
      </c>
      <c r="N29133" t="str">
        <f>IF(M29133="","",'Master Barang'!A27)</f>
        <v>PRL-026</v>
      </c>
      <c r="O29133" t="str">
        <f>IF(N29133="","",'Master Barang'!B27)</f>
        <v>lancar kresek kecil bening </v>
      </c>
      <c r="P29133">
        <f>IF(OR(M29133="",N29133=""),"",SUMIFS('Barang Keluar'!$E:$E,'Barang Keluar'!$A:$A,M29133,'Barang Keluar'!$C:$C,N29133))</f>
        <v>0</v>
      </c>
    </row>
    <row r="29134" spans="13:16">
      <c r="M29134" s="49">
        <f>IF($A$4+291&gt;$B$4,"",$A$4+291)</f>
        <v>46314</v>
      </c>
      <c r="N29134" t="str">
        <f>IF(M29134="","",'Master Barang'!A28)</f>
        <v>PRL-027</v>
      </c>
      <c r="O29134" t="str">
        <f>IF(N29134="","",'Master Barang'!B28)</f>
        <v>kresek klin warna warni kecil</v>
      </c>
      <c r="P29134">
        <f>IF(OR(M29134="",N29134=""),"",SUMIFS('Barang Keluar'!$E:$E,'Barang Keluar'!$A:$A,M29134,'Barang Keluar'!$C:$C,N29134))</f>
        <v>0</v>
      </c>
    </row>
    <row r="29135" spans="13:16">
      <c r="M29135" s="49">
        <f>IF($A$4+291&gt;$B$4,"",$A$4+291)</f>
        <v>46314</v>
      </c>
      <c r="N29135" t="str">
        <f>IF(M29135="","",'Master Barang'!A29)</f>
        <v>PRL-028</v>
      </c>
      <c r="O29135" t="str">
        <f>IF(N29135="","",'Master Barang'!B29)</f>
        <v>ctik plastik 7x10 100 pcs</v>
      </c>
      <c r="P29135">
        <f>IF(OR(M29135="",N29135=""),"",SUMIFS('Barang Keluar'!$E:$E,'Barang Keluar'!$A:$A,M29135,'Barang Keluar'!$C:$C,N29135))</f>
        <v>0</v>
      </c>
    </row>
    <row r="29136" spans="13:16">
      <c r="M29136" s="49">
        <f>IF($A$4+291&gt;$B$4,"",$A$4+291)</f>
        <v>46314</v>
      </c>
      <c r="N29136" t="str">
        <f>IF(M29136="","",'Master Barang'!A30)</f>
        <v>PRL-029</v>
      </c>
      <c r="O29136" t="str">
        <f>IF(N29136="","",'Master Barang'!B30)</f>
        <v>ctik plastik 6x10 100 pcs</v>
      </c>
      <c r="P29136">
        <f>IF(OR(M29136="",N29136=""),"",SUMIFS('Barang Keluar'!$E:$E,'Barang Keluar'!$A:$A,M29136,'Barang Keluar'!$C:$C,N29136))</f>
        <v>0</v>
      </c>
    </row>
    <row r="29137" spans="13:16">
      <c r="M29137" s="49">
        <f>IF($A$4+291&gt;$B$4,"",$A$4+291)</f>
        <v>46314</v>
      </c>
      <c r="N29137" t="str">
        <f>IF(M29137="","",'Master Barang'!A31)</f>
        <v>PRL-030</v>
      </c>
      <c r="O29137" t="str">
        <f>IF(N29137="","",'Master Barang'!B31)</f>
        <v>klip plastik 25x16 100 pcs</v>
      </c>
      <c r="P29137">
        <f>IF(OR(M29137="",N29137=""),"",SUMIFS('Barang Keluar'!$E:$E,'Barang Keluar'!$A:$A,M29137,'Barang Keluar'!$C:$C,N29137))</f>
        <v>0</v>
      </c>
    </row>
    <row r="29138" spans="13:16">
      <c r="M29138" s="49">
        <f>IF($A$4+291&gt;$B$4,"",$A$4+291)</f>
        <v>46314</v>
      </c>
      <c r="N29138" t="str">
        <f>IF(M29138="","",'Master Barang'!A32)</f>
        <v>PRL-031</v>
      </c>
      <c r="O29138" t="str">
        <f>IF(N29138="","",'Master Barang'!B32)</f>
        <v>tempat saus 20 ml</v>
      </c>
      <c r="P29138">
        <f>IF(OR(M29138="",N29138=""),"",SUMIFS('Barang Keluar'!$E:$E,'Barang Keluar'!$A:$A,M29138,'Barang Keluar'!$C:$C,N29138))</f>
        <v>0</v>
      </c>
    </row>
    <row r="29139" spans="13:16">
      <c r="M29139" s="49">
        <f>IF($A$4+291&gt;$B$4,"",$A$4+291)</f>
        <v>46314</v>
      </c>
      <c r="N29139" t="str">
        <f>IF(M29139="","",'Master Barang'!A33)</f>
        <v>PRL-032</v>
      </c>
      <c r="O29139" t="str">
        <f>IF(N29139="","",'Master Barang'!B33)</f>
        <v>plastik packaging ag box uk sedang</v>
      </c>
      <c r="P29139">
        <f>IF(OR(M29139="",N29139=""),"",SUMIFS('Barang Keluar'!$E:$E,'Barang Keluar'!$A:$A,M29139,'Barang Keluar'!$C:$C,N29139))</f>
        <v>0</v>
      </c>
    </row>
    <row r="29140" spans="13:16">
      <c r="M29140" s="49">
        <f>IF($A$4+291&gt;$B$4,"",$A$4+291)</f>
        <v>46314</v>
      </c>
      <c r="N29140" t="str">
        <f>IF(M29140="","",'Master Barang'!A34)</f>
        <v>PRL-033</v>
      </c>
      <c r="O29140">
        <f>IF(N29140="","",'Master Barang'!B34)</f>
        <v>0</v>
      </c>
      <c r="P29140">
        <f>IF(OR(M29140="",N29140=""),"",SUMIFS('Barang Keluar'!$E:$E,'Barang Keluar'!$A:$A,M29140,'Barang Keluar'!$C:$C,N29140))</f>
        <v>0</v>
      </c>
    </row>
    <row r="29141" spans="13:16">
      <c r="M29141" s="49">
        <f>IF($A$4+291&gt;$B$4,"",$A$4+291)</f>
        <v>46314</v>
      </c>
      <c r="N29141">
        <f>IF(M29141="","",'Master Barang'!A35)</f>
        <v>0</v>
      </c>
      <c r="O29141">
        <f>IF(N29141="","",'Master Barang'!B35)</f>
        <v>0</v>
      </c>
      <c r="P29141">
        <f>IF(OR(M29141="",N29141=""),"",SUMIFS('Barang Keluar'!$E:$E,'Barang Keluar'!$A:$A,M29141,'Barang Keluar'!$C:$C,N29141))</f>
        <v>0</v>
      </c>
    </row>
    <row r="29142" spans="13:16">
      <c r="M29142" s="49">
        <f>IF($A$4+291&gt;$B$4,"",$A$4+291)</f>
        <v>46314</v>
      </c>
      <c r="N29142">
        <f>IF(M29142="","",'Master Barang'!A36)</f>
        <v>0</v>
      </c>
      <c r="O29142">
        <f>IF(N29142="","",'Master Barang'!B36)</f>
        <v>0</v>
      </c>
      <c r="P29142">
        <f>IF(OR(M29142="",N29142=""),"",SUMIFS('Barang Keluar'!$E:$E,'Barang Keluar'!$A:$A,M29142,'Barang Keluar'!$C:$C,N29142))</f>
        <v>0</v>
      </c>
    </row>
    <row r="29143" spans="13:16">
      <c r="M29143" s="49">
        <f>IF($A$4+291&gt;$B$4,"",$A$4+291)</f>
        <v>46314</v>
      </c>
      <c r="N29143">
        <f>IF(M29143="","",'Master Barang'!A37)</f>
        <v>0</v>
      </c>
      <c r="O29143">
        <f>IF(N29143="","",'Master Barang'!B37)</f>
        <v>0</v>
      </c>
      <c r="P29143">
        <f>IF(OR(M29143="",N29143=""),"",SUMIFS('Barang Keluar'!$E:$E,'Barang Keluar'!$A:$A,M29143,'Barang Keluar'!$C:$C,N29143))</f>
        <v>0</v>
      </c>
    </row>
    <row r="29144" spans="13:16">
      <c r="M29144" s="49">
        <f>IF($A$4+291&gt;$B$4,"",$A$4+291)</f>
        <v>46314</v>
      </c>
      <c r="N29144">
        <f>IF(M29144="","",'Master Barang'!A38)</f>
        <v>0</v>
      </c>
      <c r="O29144">
        <f>IF(N29144="","",'Master Barang'!B38)</f>
        <v>0</v>
      </c>
      <c r="P29144">
        <f>IF(OR(M29144="",N29144=""),"",SUMIFS('Barang Keluar'!$E:$E,'Barang Keluar'!$A:$A,M29144,'Barang Keluar'!$C:$C,N29144))</f>
        <v>0</v>
      </c>
    </row>
    <row r="29145" spans="13:16">
      <c r="M29145" s="49">
        <f>IF($A$4+291&gt;$B$4,"",$A$4+291)</f>
        <v>46314</v>
      </c>
      <c r="N29145">
        <f>IF(M29145="","",'Master Barang'!A39)</f>
        <v>0</v>
      </c>
      <c r="O29145">
        <f>IF(N29145="","",'Master Barang'!B39)</f>
        <v>0</v>
      </c>
      <c r="P29145">
        <f>IF(OR(M29145="",N29145=""),"",SUMIFS('Barang Keluar'!$E:$E,'Barang Keluar'!$A:$A,M29145,'Barang Keluar'!$C:$C,N29145))</f>
        <v>0</v>
      </c>
    </row>
    <row r="29146" spans="13:16">
      <c r="M29146" s="49">
        <f>IF($A$4+291&gt;$B$4,"",$A$4+291)</f>
        <v>46314</v>
      </c>
      <c r="N29146">
        <f>IF(M29146="","",'Master Barang'!A40)</f>
        <v>0</v>
      </c>
      <c r="O29146">
        <f>IF(N29146="","",'Master Barang'!B40)</f>
        <v>0</v>
      </c>
      <c r="P29146">
        <f>IF(OR(M29146="",N29146=""),"",SUMIFS('Barang Keluar'!$E:$E,'Barang Keluar'!$A:$A,M29146,'Barang Keluar'!$C:$C,N29146))</f>
        <v>0</v>
      </c>
    </row>
    <row r="29147" spans="13:16">
      <c r="M29147" s="49">
        <f>IF($A$4+291&gt;$B$4,"",$A$4+291)</f>
        <v>46314</v>
      </c>
      <c r="N29147">
        <f>IF(M29147="","",'Master Barang'!A41)</f>
        <v>0</v>
      </c>
      <c r="O29147">
        <f>IF(N29147="","",'Master Barang'!B41)</f>
        <v>0</v>
      </c>
      <c r="P29147">
        <f>IF(OR(M29147="",N29147=""),"",SUMIFS('Barang Keluar'!$E:$E,'Barang Keluar'!$A:$A,M29147,'Barang Keluar'!$C:$C,N29147))</f>
        <v>0</v>
      </c>
    </row>
    <row r="29148" spans="13:16">
      <c r="M29148" s="49">
        <f>IF($A$4+291&gt;$B$4,"",$A$4+291)</f>
        <v>46314</v>
      </c>
      <c r="N29148">
        <f>IF(M29148="","",'Master Barang'!A42)</f>
        <v>0</v>
      </c>
      <c r="O29148">
        <f>IF(N29148="","",'Master Barang'!B42)</f>
        <v>0</v>
      </c>
      <c r="P29148">
        <f>IF(OR(M29148="",N29148=""),"",SUMIFS('Barang Keluar'!$E:$E,'Barang Keluar'!$A:$A,M29148,'Barang Keluar'!$C:$C,N29148))</f>
        <v>0</v>
      </c>
    </row>
    <row r="29149" spans="13:16">
      <c r="M29149" s="49">
        <f>IF($A$4+291&gt;$B$4,"",$A$4+291)</f>
        <v>46314</v>
      </c>
      <c r="N29149">
        <f>IF(M29149="","",'Master Barang'!A43)</f>
        <v>0</v>
      </c>
      <c r="O29149">
        <f>IF(N29149="","",'Master Barang'!B43)</f>
        <v>0</v>
      </c>
      <c r="P29149">
        <f>IF(OR(M29149="",N29149=""),"",SUMIFS('Barang Keluar'!$E:$E,'Barang Keluar'!$A:$A,M29149,'Barang Keluar'!$C:$C,N29149))</f>
        <v>0</v>
      </c>
    </row>
    <row r="29150" spans="13:16">
      <c r="M29150" s="49">
        <f>IF($A$4+291&gt;$B$4,"",$A$4+291)</f>
        <v>46314</v>
      </c>
      <c r="N29150">
        <f>IF(M29150="","",'Master Barang'!A44)</f>
        <v>0</v>
      </c>
      <c r="O29150">
        <f>IF(N29150="","",'Master Barang'!B44)</f>
        <v>0</v>
      </c>
      <c r="P29150">
        <f>IF(OR(M29150="",N29150=""),"",SUMIFS('Barang Keluar'!$E:$E,'Barang Keluar'!$A:$A,M29150,'Barang Keluar'!$C:$C,N29150))</f>
        <v>0</v>
      </c>
    </row>
    <row r="29151" spans="13:16">
      <c r="M29151" s="49">
        <f>IF($A$4+291&gt;$B$4,"",$A$4+291)</f>
        <v>46314</v>
      </c>
      <c r="N29151">
        <f>IF(M29151="","",'Master Barang'!A45)</f>
        <v>0</v>
      </c>
      <c r="O29151">
        <f>IF(N29151="","",'Master Barang'!B45)</f>
        <v>0</v>
      </c>
      <c r="P29151">
        <f>IF(OR(M29151="",N29151=""),"",SUMIFS('Barang Keluar'!$E:$E,'Barang Keluar'!$A:$A,M29151,'Barang Keluar'!$C:$C,N29151))</f>
        <v>0</v>
      </c>
    </row>
    <row r="29152" spans="13:16">
      <c r="M29152" s="49">
        <f>IF($A$4+291&gt;$B$4,"",$A$4+291)</f>
        <v>46314</v>
      </c>
      <c r="N29152">
        <f>IF(M29152="","",'Master Barang'!A46)</f>
        <v>0</v>
      </c>
      <c r="O29152">
        <f>IF(N29152="","",'Master Barang'!B46)</f>
        <v>0</v>
      </c>
      <c r="P29152">
        <f>IF(OR(M29152="",N29152=""),"",SUMIFS('Barang Keluar'!$E:$E,'Barang Keluar'!$A:$A,M29152,'Barang Keluar'!$C:$C,N29152))</f>
        <v>0</v>
      </c>
    </row>
    <row r="29153" spans="13:16">
      <c r="M29153" s="49">
        <f>IF($A$4+291&gt;$B$4,"",$A$4+291)</f>
        <v>46314</v>
      </c>
      <c r="N29153">
        <f>IF(M29153="","",'Master Barang'!A47)</f>
        <v>0</v>
      </c>
      <c r="O29153">
        <f>IF(N29153="","",'Master Barang'!B47)</f>
        <v>0</v>
      </c>
      <c r="P29153">
        <f>IF(OR(M29153="",N29153=""),"",SUMIFS('Barang Keluar'!$E:$E,'Barang Keluar'!$A:$A,M29153,'Barang Keluar'!$C:$C,N29153))</f>
        <v>0</v>
      </c>
    </row>
    <row r="29154" spans="13:16">
      <c r="M29154" s="49">
        <f>IF($A$4+291&gt;$B$4,"",$A$4+291)</f>
        <v>46314</v>
      </c>
      <c r="N29154">
        <f>IF(M29154="","",'Master Barang'!A48)</f>
        <v>0</v>
      </c>
      <c r="O29154">
        <f>IF(N29154="","",'Master Barang'!B48)</f>
        <v>0</v>
      </c>
      <c r="P29154">
        <f>IF(OR(M29154="",N29154=""),"",SUMIFS('Barang Keluar'!$E:$E,'Barang Keluar'!$A:$A,M29154,'Barang Keluar'!$C:$C,N29154))</f>
        <v>0</v>
      </c>
    </row>
    <row r="29155" spans="13:16">
      <c r="M29155" s="49">
        <f>IF($A$4+291&gt;$B$4,"",$A$4+291)</f>
        <v>46314</v>
      </c>
      <c r="N29155">
        <f>IF(M29155="","",'Master Barang'!A49)</f>
        <v>0</v>
      </c>
      <c r="O29155">
        <f>IF(N29155="","",'Master Barang'!B49)</f>
        <v>0</v>
      </c>
      <c r="P29155">
        <f>IF(OR(M29155="",N29155=""),"",SUMIFS('Barang Keluar'!$E:$E,'Barang Keluar'!$A:$A,M29155,'Barang Keluar'!$C:$C,N29155))</f>
        <v>0</v>
      </c>
    </row>
    <row r="29156" spans="13:16">
      <c r="M29156" s="49">
        <f>IF($A$4+291&gt;$B$4,"",$A$4+291)</f>
        <v>46314</v>
      </c>
      <c r="N29156">
        <f>IF(M29156="","",'Master Barang'!A50)</f>
        <v>0</v>
      </c>
      <c r="O29156">
        <f>IF(N29156="","",'Master Barang'!B50)</f>
        <v>0</v>
      </c>
      <c r="P29156">
        <f>IF(OR(M29156="",N29156=""),"",SUMIFS('Barang Keluar'!$E:$E,'Barang Keluar'!$A:$A,M29156,'Barang Keluar'!$C:$C,N29156))</f>
        <v>0</v>
      </c>
    </row>
    <row r="29157" spans="13:16">
      <c r="M29157" s="49">
        <f>IF($A$4+291&gt;$B$4,"",$A$4+291)</f>
        <v>46314</v>
      </c>
      <c r="N29157">
        <f>IF(M29157="","",'Master Barang'!A51)</f>
        <v>0</v>
      </c>
      <c r="O29157">
        <f>IF(N29157="","",'Master Barang'!B51)</f>
        <v>0</v>
      </c>
      <c r="P29157">
        <f>IF(OR(M29157="",N29157=""),"",SUMIFS('Barang Keluar'!$E:$E,'Barang Keluar'!$A:$A,M29157,'Barang Keluar'!$C:$C,N29157))</f>
        <v>0</v>
      </c>
    </row>
    <row r="29158" spans="13:16">
      <c r="M29158" s="49">
        <f>IF($A$4+291&gt;$B$4,"",$A$4+291)</f>
        <v>46314</v>
      </c>
      <c r="N29158">
        <f>IF(M29158="","",'Master Barang'!A52)</f>
        <v>0</v>
      </c>
      <c r="O29158">
        <f>IF(N29158="","",'Master Barang'!B52)</f>
        <v>0</v>
      </c>
      <c r="P29158">
        <f>IF(OR(M29158="",N29158=""),"",SUMIFS('Barang Keluar'!$E:$E,'Barang Keluar'!$A:$A,M29158,'Barang Keluar'!$C:$C,N29158))</f>
        <v>0</v>
      </c>
    </row>
    <row r="29159" spans="13:16">
      <c r="M29159" s="49">
        <f>IF($A$4+291&gt;$B$4,"",$A$4+291)</f>
        <v>46314</v>
      </c>
      <c r="N29159">
        <f>IF(M29159="","",'Master Barang'!A53)</f>
        <v>0</v>
      </c>
      <c r="O29159">
        <f>IF(N29159="","",'Master Barang'!B53)</f>
        <v>0</v>
      </c>
      <c r="P29159">
        <f>IF(OR(M29159="",N29159=""),"",SUMIFS('Barang Keluar'!$E:$E,'Barang Keluar'!$A:$A,M29159,'Barang Keluar'!$C:$C,N29159))</f>
        <v>0</v>
      </c>
    </row>
    <row r="29160" spans="13:16">
      <c r="M29160" s="49">
        <f>IF($A$4+291&gt;$B$4,"",$A$4+291)</f>
        <v>46314</v>
      </c>
      <c r="N29160">
        <f>IF(M29160="","",'Master Barang'!A54)</f>
        <v>0</v>
      </c>
      <c r="O29160">
        <f>IF(N29160="","",'Master Barang'!B54)</f>
        <v>0</v>
      </c>
      <c r="P29160">
        <f>IF(OR(M29160="",N29160=""),"",SUMIFS('Barang Keluar'!$E:$E,'Barang Keluar'!$A:$A,M29160,'Barang Keluar'!$C:$C,N29160))</f>
        <v>0</v>
      </c>
    </row>
    <row r="29161" spans="13:16">
      <c r="M29161" s="49">
        <f>IF($A$4+291&gt;$B$4,"",$A$4+291)</f>
        <v>46314</v>
      </c>
      <c r="N29161">
        <f>IF(M29161="","",'Master Barang'!A55)</f>
        <v>0</v>
      </c>
      <c r="O29161">
        <f>IF(N29161="","",'Master Barang'!B55)</f>
        <v>0</v>
      </c>
      <c r="P29161">
        <f>IF(OR(M29161="",N29161=""),"",SUMIFS('Barang Keluar'!$E:$E,'Barang Keluar'!$A:$A,M29161,'Barang Keluar'!$C:$C,N29161))</f>
        <v>0</v>
      </c>
    </row>
    <row r="29162" spans="13:16">
      <c r="M29162" s="49">
        <f>IF($A$4+291&gt;$B$4,"",$A$4+291)</f>
        <v>46314</v>
      </c>
      <c r="N29162">
        <f>IF(M29162="","",'Master Barang'!A56)</f>
        <v>0</v>
      </c>
      <c r="O29162">
        <f>IF(N29162="","",'Master Barang'!B56)</f>
        <v>0</v>
      </c>
      <c r="P29162">
        <f>IF(OR(M29162="",N29162=""),"",SUMIFS('Barang Keluar'!$E:$E,'Barang Keluar'!$A:$A,M29162,'Barang Keluar'!$C:$C,N29162))</f>
        <v>0</v>
      </c>
    </row>
    <row r="29163" spans="13:16">
      <c r="M29163" s="49">
        <f>IF($A$4+291&gt;$B$4,"",$A$4+291)</f>
        <v>46314</v>
      </c>
      <c r="N29163">
        <f>IF(M29163="","",'Master Barang'!A57)</f>
        <v>0</v>
      </c>
      <c r="O29163">
        <f>IF(N29163="","",'Master Barang'!B57)</f>
        <v>0</v>
      </c>
      <c r="P29163">
        <f>IF(OR(M29163="",N29163=""),"",SUMIFS('Barang Keluar'!$E:$E,'Barang Keluar'!$A:$A,M29163,'Barang Keluar'!$C:$C,N29163))</f>
        <v>0</v>
      </c>
    </row>
    <row r="29164" spans="13:16">
      <c r="M29164" s="49">
        <f>IF($A$4+291&gt;$B$4,"",$A$4+291)</f>
        <v>46314</v>
      </c>
      <c r="N29164">
        <f>IF(M29164="","",'Master Barang'!A58)</f>
        <v>0</v>
      </c>
      <c r="O29164">
        <f>IF(N29164="","",'Master Barang'!B58)</f>
        <v>0</v>
      </c>
      <c r="P29164">
        <f>IF(OR(M29164="",N29164=""),"",SUMIFS('Barang Keluar'!$E:$E,'Barang Keluar'!$A:$A,M29164,'Barang Keluar'!$C:$C,N29164))</f>
        <v>0</v>
      </c>
    </row>
    <row r="29165" spans="13:16">
      <c r="M29165" s="49">
        <f>IF($A$4+291&gt;$B$4,"",$A$4+291)</f>
        <v>46314</v>
      </c>
      <c r="N29165">
        <f>IF(M29165="","",'Master Barang'!A59)</f>
        <v>0</v>
      </c>
      <c r="O29165">
        <f>IF(N29165="","",'Master Barang'!B59)</f>
        <v>0</v>
      </c>
      <c r="P29165">
        <f>IF(OR(M29165="",N29165=""),"",SUMIFS('Barang Keluar'!$E:$E,'Barang Keluar'!$A:$A,M29165,'Barang Keluar'!$C:$C,N29165))</f>
        <v>0</v>
      </c>
    </row>
    <row r="29166" spans="13:16">
      <c r="M29166" s="49">
        <f>IF($A$4+291&gt;$B$4,"",$A$4+291)</f>
        <v>46314</v>
      </c>
      <c r="N29166">
        <f>IF(M29166="","",'Master Barang'!A60)</f>
        <v>0</v>
      </c>
      <c r="O29166">
        <f>IF(N29166="","",'Master Barang'!B60)</f>
        <v>0</v>
      </c>
      <c r="P29166">
        <f>IF(OR(M29166="",N29166=""),"",SUMIFS('Barang Keluar'!$E:$E,'Barang Keluar'!$A:$A,M29166,'Barang Keluar'!$C:$C,N29166))</f>
        <v>0</v>
      </c>
    </row>
    <row r="29167" spans="13:16">
      <c r="M29167" s="49">
        <f>IF($A$4+291&gt;$B$4,"",$A$4+291)</f>
        <v>46314</v>
      </c>
      <c r="N29167">
        <f>IF(M29167="","",'Master Barang'!A61)</f>
        <v>0</v>
      </c>
      <c r="O29167">
        <f>IF(N29167="","",'Master Barang'!B61)</f>
        <v>0</v>
      </c>
      <c r="P29167">
        <f>IF(OR(M29167="",N29167=""),"",SUMIFS('Barang Keluar'!$E:$E,'Barang Keluar'!$A:$A,M29167,'Barang Keluar'!$C:$C,N29167))</f>
        <v>0</v>
      </c>
    </row>
    <row r="29168" spans="13:16">
      <c r="M29168" s="49">
        <f>IF($A$4+291&gt;$B$4,"",$A$4+291)</f>
        <v>46314</v>
      </c>
      <c r="N29168">
        <f>IF(M29168="","",'Master Barang'!A62)</f>
        <v>0</v>
      </c>
      <c r="O29168">
        <f>IF(N29168="","",'Master Barang'!B62)</f>
        <v>0</v>
      </c>
      <c r="P29168">
        <f>IF(OR(M29168="",N29168=""),"",SUMIFS('Barang Keluar'!$E:$E,'Barang Keluar'!$A:$A,M29168,'Barang Keluar'!$C:$C,N29168))</f>
        <v>0</v>
      </c>
    </row>
    <row r="29169" spans="13:16">
      <c r="M29169" s="49">
        <f>IF($A$4+291&gt;$B$4,"",$A$4+291)</f>
        <v>46314</v>
      </c>
      <c r="N29169">
        <f>IF(M29169="","",'Master Barang'!A63)</f>
        <v>0</v>
      </c>
      <c r="O29169">
        <f>IF(N29169="","",'Master Barang'!B63)</f>
        <v>0</v>
      </c>
      <c r="P29169">
        <f>IF(OR(M29169="",N29169=""),"",SUMIFS('Barang Keluar'!$E:$E,'Barang Keluar'!$A:$A,M29169,'Barang Keluar'!$C:$C,N29169))</f>
        <v>0</v>
      </c>
    </row>
    <row r="29170" spans="13:16">
      <c r="M29170" s="49">
        <f>IF($A$4+291&gt;$B$4,"",$A$4+291)</f>
        <v>46314</v>
      </c>
      <c r="N29170">
        <f>IF(M29170="","",'Master Barang'!A64)</f>
        <v>0</v>
      </c>
      <c r="O29170">
        <f>IF(N29170="","",'Master Barang'!B64)</f>
        <v>0</v>
      </c>
      <c r="P29170">
        <f>IF(OR(M29170="",N29170=""),"",SUMIFS('Barang Keluar'!$E:$E,'Barang Keluar'!$A:$A,M29170,'Barang Keluar'!$C:$C,N29170))</f>
        <v>0</v>
      </c>
    </row>
    <row r="29171" spans="13:16">
      <c r="M29171" s="49">
        <f>IF($A$4+291&gt;$B$4,"",$A$4+291)</f>
        <v>46314</v>
      </c>
      <c r="N29171">
        <f>IF(M29171="","",'Master Barang'!A65)</f>
        <v>0</v>
      </c>
      <c r="O29171">
        <f>IF(N29171="","",'Master Barang'!B65)</f>
        <v>0</v>
      </c>
      <c r="P29171">
        <f>IF(OR(M29171="",N29171=""),"",SUMIFS('Barang Keluar'!$E:$E,'Barang Keluar'!$A:$A,M29171,'Barang Keluar'!$C:$C,N29171))</f>
        <v>0</v>
      </c>
    </row>
    <row r="29172" spans="13:16">
      <c r="M29172" s="49">
        <f>IF($A$4+291&gt;$B$4,"",$A$4+291)</f>
        <v>46314</v>
      </c>
      <c r="N29172">
        <f>IF(M29172="","",'Master Barang'!A66)</f>
        <v>0</v>
      </c>
      <c r="O29172">
        <f>IF(N29172="","",'Master Barang'!B66)</f>
        <v>0</v>
      </c>
      <c r="P29172">
        <f>IF(OR(M29172="",N29172=""),"",SUMIFS('Barang Keluar'!$E:$E,'Barang Keluar'!$A:$A,M29172,'Barang Keluar'!$C:$C,N29172))</f>
        <v>0</v>
      </c>
    </row>
    <row r="29173" spans="13:16">
      <c r="M29173" s="49">
        <f>IF($A$4+291&gt;$B$4,"",$A$4+291)</f>
        <v>46314</v>
      </c>
      <c r="N29173">
        <f>IF(M29173="","",'Master Barang'!A67)</f>
        <v>0</v>
      </c>
      <c r="O29173">
        <f>IF(N29173="","",'Master Barang'!B67)</f>
        <v>0</v>
      </c>
      <c r="P29173">
        <f>IF(OR(M29173="",N29173=""),"",SUMIFS('Barang Keluar'!$E:$E,'Barang Keluar'!$A:$A,M29173,'Barang Keluar'!$C:$C,N29173))</f>
        <v>0</v>
      </c>
    </row>
    <row r="29174" spans="13:16">
      <c r="M29174" s="49">
        <f>IF($A$4+291&gt;$B$4,"",$A$4+291)</f>
        <v>46314</v>
      </c>
      <c r="N29174">
        <f>IF(M29174="","",'Master Barang'!A68)</f>
        <v>0</v>
      </c>
      <c r="O29174">
        <f>IF(N29174="","",'Master Barang'!B68)</f>
        <v>0</v>
      </c>
      <c r="P29174">
        <f>IF(OR(M29174="",N29174=""),"",SUMIFS('Barang Keluar'!$E:$E,'Barang Keluar'!$A:$A,M29174,'Barang Keluar'!$C:$C,N29174))</f>
        <v>0</v>
      </c>
    </row>
    <row r="29175" spans="13:16">
      <c r="M29175" s="49">
        <f>IF($A$4+291&gt;$B$4,"",$A$4+291)</f>
        <v>46314</v>
      </c>
      <c r="N29175">
        <f>IF(M29175="","",'Master Barang'!A69)</f>
        <v>0</v>
      </c>
      <c r="O29175">
        <f>IF(N29175="","",'Master Barang'!B69)</f>
        <v>0</v>
      </c>
      <c r="P29175">
        <f>IF(OR(M29175="",N29175=""),"",SUMIFS('Barang Keluar'!$E:$E,'Barang Keluar'!$A:$A,M29175,'Barang Keluar'!$C:$C,N29175))</f>
        <v>0</v>
      </c>
    </row>
    <row r="29176" spans="13:16">
      <c r="M29176" s="49">
        <f>IF($A$4+291&gt;$B$4,"",$A$4+291)</f>
        <v>46314</v>
      </c>
      <c r="N29176">
        <f>IF(M29176="","",'Master Barang'!A70)</f>
        <v>0</v>
      </c>
      <c r="O29176">
        <f>IF(N29176="","",'Master Barang'!B70)</f>
        <v>0</v>
      </c>
      <c r="P29176">
        <f>IF(OR(M29176="",N29176=""),"",SUMIFS('Barang Keluar'!$E:$E,'Barang Keluar'!$A:$A,M29176,'Barang Keluar'!$C:$C,N29176))</f>
        <v>0</v>
      </c>
    </row>
    <row r="29177" spans="13:16">
      <c r="M29177" s="49">
        <f>IF($A$4+291&gt;$B$4,"",$A$4+291)</f>
        <v>46314</v>
      </c>
      <c r="N29177">
        <f>IF(M29177="","",'Master Barang'!A71)</f>
        <v>0</v>
      </c>
      <c r="O29177">
        <f>IF(N29177="","",'Master Barang'!B71)</f>
        <v>0</v>
      </c>
      <c r="P29177">
        <f>IF(OR(M29177="",N29177=""),"",SUMIFS('Barang Keluar'!$E:$E,'Barang Keluar'!$A:$A,M29177,'Barang Keluar'!$C:$C,N29177))</f>
        <v>0</v>
      </c>
    </row>
    <row r="29178" spans="13:16">
      <c r="M29178" s="49">
        <f>IF($A$4+291&gt;$B$4,"",$A$4+291)</f>
        <v>46314</v>
      </c>
      <c r="N29178">
        <f>IF(M29178="","",'Master Barang'!A72)</f>
        <v>0</v>
      </c>
      <c r="O29178">
        <f>IF(N29178="","",'Master Barang'!B72)</f>
        <v>0</v>
      </c>
      <c r="P29178">
        <f>IF(OR(M29178="",N29178=""),"",SUMIFS('Barang Keluar'!$E:$E,'Barang Keluar'!$A:$A,M29178,'Barang Keluar'!$C:$C,N29178))</f>
        <v>0</v>
      </c>
    </row>
    <row r="29179" spans="13:16">
      <c r="M29179" s="49">
        <f>IF($A$4+291&gt;$B$4,"",$A$4+291)</f>
        <v>46314</v>
      </c>
      <c r="N29179">
        <f>IF(M29179="","",'Master Barang'!A73)</f>
        <v>0</v>
      </c>
      <c r="O29179">
        <f>IF(N29179="","",'Master Barang'!B73)</f>
        <v>0</v>
      </c>
      <c r="P29179">
        <f>IF(OR(M29179="",N29179=""),"",SUMIFS('Barang Keluar'!$E:$E,'Barang Keluar'!$A:$A,M29179,'Barang Keluar'!$C:$C,N29179))</f>
        <v>0</v>
      </c>
    </row>
    <row r="29180" spans="13:16">
      <c r="M29180" s="49">
        <f>IF($A$4+291&gt;$B$4,"",$A$4+291)</f>
        <v>46314</v>
      </c>
      <c r="N29180">
        <f>IF(M29180="","",'Master Barang'!A74)</f>
        <v>0</v>
      </c>
      <c r="O29180">
        <f>IF(N29180="","",'Master Barang'!B74)</f>
        <v>0</v>
      </c>
      <c r="P29180">
        <f>IF(OR(M29180="",N29180=""),"",SUMIFS('Barang Keluar'!$E:$E,'Barang Keluar'!$A:$A,M29180,'Barang Keluar'!$C:$C,N29180))</f>
        <v>0</v>
      </c>
    </row>
    <row r="29181" spans="13:16">
      <c r="M29181" s="49">
        <f>IF($A$4+291&gt;$B$4,"",$A$4+291)</f>
        <v>46314</v>
      </c>
      <c r="N29181">
        <f>IF(M29181="","",'Master Barang'!A75)</f>
        <v>0</v>
      </c>
      <c r="O29181">
        <f>IF(N29181="","",'Master Barang'!B75)</f>
        <v>0</v>
      </c>
      <c r="P29181">
        <f>IF(OR(M29181="",N29181=""),"",SUMIFS('Barang Keluar'!$E:$E,'Barang Keluar'!$A:$A,M29181,'Barang Keluar'!$C:$C,N29181))</f>
        <v>0</v>
      </c>
    </row>
    <row r="29182" spans="13:16">
      <c r="M29182" s="49">
        <f>IF($A$4+291&gt;$B$4,"",$A$4+291)</f>
        <v>46314</v>
      </c>
      <c r="N29182">
        <f>IF(M29182="","",'Master Barang'!A76)</f>
        <v>0</v>
      </c>
      <c r="O29182">
        <f>IF(N29182="","",'Master Barang'!B76)</f>
        <v>0</v>
      </c>
      <c r="P29182">
        <f>IF(OR(M29182="",N29182=""),"",SUMIFS('Barang Keluar'!$E:$E,'Barang Keluar'!$A:$A,M29182,'Barang Keluar'!$C:$C,N29182))</f>
        <v>0</v>
      </c>
    </row>
    <row r="29183" spans="13:16">
      <c r="M29183" s="49">
        <f>IF($A$4+291&gt;$B$4,"",$A$4+291)</f>
        <v>46314</v>
      </c>
      <c r="N29183">
        <f>IF(M29183="","",'Master Barang'!A77)</f>
        <v>0</v>
      </c>
      <c r="O29183">
        <f>IF(N29183="","",'Master Barang'!B77)</f>
        <v>0</v>
      </c>
      <c r="P29183">
        <f>IF(OR(M29183="",N29183=""),"",SUMIFS('Barang Keluar'!$E:$E,'Barang Keluar'!$A:$A,M29183,'Barang Keluar'!$C:$C,N29183))</f>
        <v>0</v>
      </c>
    </row>
    <row r="29184" spans="13:16">
      <c r="M29184" s="49">
        <f>IF($A$4+291&gt;$B$4,"",$A$4+291)</f>
        <v>46314</v>
      </c>
      <c r="N29184">
        <f>IF(M29184="","",'Master Barang'!A78)</f>
        <v>0</v>
      </c>
      <c r="O29184">
        <f>IF(N29184="","",'Master Barang'!B78)</f>
        <v>0</v>
      </c>
      <c r="P29184">
        <f>IF(OR(M29184="",N29184=""),"",SUMIFS('Barang Keluar'!$E:$E,'Barang Keluar'!$A:$A,M29184,'Barang Keluar'!$C:$C,N29184))</f>
        <v>0</v>
      </c>
    </row>
    <row r="29185" spans="13:16">
      <c r="M29185" s="49">
        <f>IF($A$4+291&gt;$B$4,"",$A$4+291)</f>
        <v>46314</v>
      </c>
      <c r="N29185">
        <f>IF(M29185="","",'Master Barang'!A79)</f>
        <v>0</v>
      </c>
      <c r="O29185">
        <f>IF(N29185="","",'Master Barang'!B79)</f>
        <v>0</v>
      </c>
      <c r="P29185">
        <f>IF(OR(M29185="",N29185=""),"",SUMIFS('Barang Keluar'!$E:$E,'Barang Keluar'!$A:$A,M29185,'Barang Keluar'!$C:$C,N29185))</f>
        <v>0</v>
      </c>
    </row>
    <row r="29186" spans="13:16">
      <c r="M29186" s="49">
        <f>IF($A$4+291&gt;$B$4,"",$A$4+291)</f>
        <v>46314</v>
      </c>
      <c r="N29186">
        <f>IF(M29186="","",'Master Barang'!A80)</f>
        <v>0</v>
      </c>
      <c r="O29186">
        <f>IF(N29186="","",'Master Barang'!B80)</f>
        <v>0</v>
      </c>
      <c r="P29186">
        <f>IF(OR(M29186="",N29186=""),"",SUMIFS('Barang Keluar'!$E:$E,'Barang Keluar'!$A:$A,M29186,'Barang Keluar'!$C:$C,N29186))</f>
        <v>0</v>
      </c>
    </row>
    <row r="29187" spans="13:16">
      <c r="M29187" s="49">
        <f>IF($A$4+291&gt;$B$4,"",$A$4+291)</f>
        <v>46314</v>
      </c>
      <c r="N29187">
        <f>IF(M29187="","",'Master Barang'!A81)</f>
        <v>0</v>
      </c>
      <c r="O29187">
        <f>IF(N29187="","",'Master Barang'!B81)</f>
        <v>0</v>
      </c>
      <c r="P29187">
        <f>IF(OR(M29187="",N29187=""),"",SUMIFS('Barang Keluar'!$E:$E,'Barang Keluar'!$A:$A,M29187,'Barang Keluar'!$C:$C,N29187))</f>
        <v>0</v>
      </c>
    </row>
    <row r="29188" spans="13:16">
      <c r="M29188" s="49">
        <f>IF($A$4+291&gt;$B$4,"",$A$4+291)</f>
        <v>46314</v>
      </c>
      <c r="N29188">
        <f>IF(M29188="","",'Master Barang'!A82)</f>
        <v>0</v>
      </c>
      <c r="O29188">
        <f>IF(N29188="","",'Master Barang'!B82)</f>
        <v>0</v>
      </c>
      <c r="P29188">
        <f>IF(OR(M29188="",N29188=""),"",SUMIFS('Barang Keluar'!$E:$E,'Barang Keluar'!$A:$A,M29188,'Barang Keluar'!$C:$C,N29188))</f>
        <v>0</v>
      </c>
    </row>
    <row r="29189" spans="13:16">
      <c r="M29189" s="49">
        <f>IF($A$4+291&gt;$B$4,"",$A$4+291)</f>
        <v>46314</v>
      </c>
      <c r="N29189">
        <f>IF(M29189="","",'Master Barang'!A83)</f>
        <v>0</v>
      </c>
      <c r="O29189">
        <f>IF(N29189="","",'Master Barang'!B83)</f>
        <v>0</v>
      </c>
      <c r="P29189">
        <f>IF(OR(M29189="",N29189=""),"",SUMIFS('Barang Keluar'!$E:$E,'Barang Keluar'!$A:$A,M29189,'Barang Keluar'!$C:$C,N29189))</f>
        <v>0</v>
      </c>
    </row>
    <row r="29190" spans="13:16">
      <c r="M29190" s="49">
        <f>IF($A$4+291&gt;$B$4,"",$A$4+291)</f>
        <v>46314</v>
      </c>
      <c r="N29190">
        <f>IF(M29190="","",'Master Barang'!A84)</f>
        <v>0</v>
      </c>
      <c r="O29190">
        <f>IF(N29190="","",'Master Barang'!B84)</f>
        <v>0</v>
      </c>
      <c r="P29190">
        <f>IF(OR(M29190="",N29190=""),"",SUMIFS('Barang Keluar'!$E:$E,'Barang Keluar'!$A:$A,M29190,'Barang Keluar'!$C:$C,N29190))</f>
        <v>0</v>
      </c>
    </row>
    <row r="29191" spans="13:16">
      <c r="M29191" s="49">
        <f>IF($A$4+291&gt;$B$4,"",$A$4+291)</f>
        <v>46314</v>
      </c>
      <c r="N29191">
        <f>IF(M29191="","",'Master Barang'!A85)</f>
        <v>0</v>
      </c>
      <c r="O29191">
        <f>IF(N29191="","",'Master Barang'!B85)</f>
        <v>0</v>
      </c>
      <c r="P29191">
        <f>IF(OR(M29191="",N29191=""),"",SUMIFS('Barang Keluar'!$E:$E,'Barang Keluar'!$A:$A,M29191,'Barang Keluar'!$C:$C,N29191))</f>
        <v>0</v>
      </c>
    </row>
    <row r="29192" spans="13:16">
      <c r="M29192" s="49">
        <f>IF($A$4+291&gt;$B$4,"",$A$4+291)</f>
        <v>46314</v>
      </c>
      <c r="N29192">
        <f>IF(M29192="","",'Master Barang'!A86)</f>
        <v>0</v>
      </c>
      <c r="O29192">
        <f>IF(N29192="","",'Master Barang'!B86)</f>
        <v>0</v>
      </c>
      <c r="P29192">
        <f>IF(OR(M29192="",N29192=""),"",SUMIFS('Barang Keluar'!$E:$E,'Barang Keluar'!$A:$A,M29192,'Barang Keluar'!$C:$C,N29192))</f>
        <v>0</v>
      </c>
    </row>
    <row r="29193" spans="13:16">
      <c r="M29193" s="49">
        <f>IF($A$4+291&gt;$B$4,"",$A$4+291)</f>
        <v>46314</v>
      </c>
      <c r="N29193">
        <f>IF(M29193="","",'Master Barang'!A87)</f>
        <v>0</v>
      </c>
      <c r="O29193">
        <f>IF(N29193="","",'Master Barang'!B87)</f>
        <v>0</v>
      </c>
      <c r="P29193">
        <f>IF(OR(M29193="",N29193=""),"",SUMIFS('Barang Keluar'!$E:$E,'Barang Keluar'!$A:$A,M29193,'Barang Keluar'!$C:$C,N29193))</f>
        <v>0</v>
      </c>
    </row>
    <row r="29194" spans="13:16">
      <c r="M29194" s="49">
        <f>IF($A$4+291&gt;$B$4,"",$A$4+291)</f>
        <v>46314</v>
      </c>
      <c r="N29194">
        <f>IF(M29194="","",'Master Barang'!A88)</f>
        <v>0</v>
      </c>
      <c r="O29194">
        <f>IF(N29194="","",'Master Barang'!B88)</f>
        <v>0</v>
      </c>
      <c r="P29194">
        <f>IF(OR(M29194="",N29194=""),"",SUMIFS('Barang Keluar'!$E:$E,'Barang Keluar'!$A:$A,M29194,'Barang Keluar'!$C:$C,N29194))</f>
        <v>0</v>
      </c>
    </row>
    <row r="29195" spans="13:16">
      <c r="M29195" s="49">
        <f>IF($A$4+291&gt;$B$4,"",$A$4+291)</f>
        <v>46314</v>
      </c>
      <c r="N29195">
        <f>IF(M29195="","",'Master Barang'!A89)</f>
        <v>0</v>
      </c>
      <c r="O29195">
        <f>IF(N29195="","",'Master Barang'!B89)</f>
        <v>0</v>
      </c>
      <c r="P29195">
        <f>IF(OR(M29195="",N29195=""),"",SUMIFS('Barang Keluar'!$E:$E,'Barang Keluar'!$A:$A,M29195,'Barang Keluar'!$C:$C,N29195))</f>
        <v>0</v>
      </c>
    </row>
    <row r="29196" spans="13:16">
      <c r="M29196" s="49">
        <f>IF($A$4+291&gt;$B$4,"",$A$4+291)</f>
        <v>46314</v>
      </c>
      <c r="N29196">
        <f>IF(M29196="","",'Master Barang'!A90)</f>
        <v>0</v>
      </c>
      <c r="O29196">
        <f>IF(N29196="","",'Master Barang'!B90)</f>
        <v>0</v>
      </c>
      <c r="P29196">
        <f>IF(OR(M29196="",N29196=""),"",SUMIFS('Barang Keluar'!$E:$E,'Barang Keluar'!$A:$A,M29196,'Barang Keluar'!$C:$C,N29196))</f>
        <v>0</v>
      </c>
    </row>
    <row r="29197" spans="13:16">
      <c r="M29197" s="49">
        <f>IF($A$4+291&gt;$B$4,"",$A$4+291)</f>
        <v>46314</v>
      </c>
      <c r="N29197">
        <f>IF(M29197="","",'Master Barang'!A91)</f>
        <v>0</v>
      </c>
      <c r="O29197">
        <f>IF(N29197="","",'Master Barang'!B91)</f>
        <v>0</v>
      </c>
      <c r="P29197">
        <f>IF(OR(M29197="",N29197=""),"",SUMIFS('Barang Keluar'!$E:$E,'Barang Keluar'!$A:$A,M29197,'Barang Keluar'!$C:$C,N29197))</f>
        <v>0</v>
      </c>
    </row>
    <row r="29198" spans="13:16">
      <c r="M29198" s="49">
        <f>IF($A$4+291&gt;$B$4,"",$A$4+291)</f>
        <v>46314</v>
      </c>
      <c r="N29198">
        <f>IF(M29198="","",'Master Barang'!A92)</f>
        <v>0</v>
      </c>
      <c r="O29198">
        <f>IF(N29198="","",'Master Barang'!B92)</f>
        <v>0</v>
      </c>
      <c r="P29198">
        <f>IF(OR(M29198="",N29198=""),"",SUMIFS('Barang Keluar'!$E:$E,'Barang Keluar'!$A:$A,M29198,'Barang Keluar'!$C:$C,N29198))</f>
        <v>0</v>
      </c>
    </row>
    <row r="29199" spans="13:16">
      <c r="M29199" s="49">
        <f>IF($A$4+291&gt;$B$4,"",$A$4+291)</f>
        <v>46314</v>
      </c>
      <c r="N29199">
        <f>IF(M29199="","",'Master Barang'!A93)</f>
        <v>0</v>
      </c>
      <c r="O29199">
        <f>IF(N29199="","",'Master Barang'!B93)</f>
        <v>0</v>
      </c>
      <c r="P29199">
        <f>IF(OR(M29199="",N29199=""),"",SUMIFS('Barang Keluar'!$E:$E,'Barang Keluar'!$A:$A,M29199,'Barang Keluar'!$C:$C,N29199))</f>
        <v>0</v>
      </c>
    </row>
    <row r="29200" spans="13:16">
      <c r="M29200" s="49">
        <f>IF($A$4+291&gt;$B$4,"",$A$4+291)</f>
        <v>46314</v>
      </c>
      <c r="N29200">
        <f>IF(M29200="","",'Master Barang'!A94)</f>
        <v>0</v>
      </c>
      <c r="O29200">
        <f>IF(N29200="","",'Master Barang'!B94)</f>
        <v>0</v>
      </c>
      <c r="P29200">
        <f>IF(OR(M29200="",N29200=""),"",SUMIFS('Barang Keluar'!$E:$E,'Barang Keluar'!$A:$A,M29200,'Barang Keluar'!$C:$C,N29200))</f>
        <v>0</v>
      </c>
    </row>
    <row r="29201" spans="13:16">
      <c r="M29201" s="49">
        <f>IF($A$4+291&gt;$B$4,"",$A$4+291)</f>
        <v>46314</v>
      </c>
      <c r="N29201">
        <f>IF(M29201="","",'Master Barang'!A95)</f>
        <v>0</v>
      </c>
      <c r="O29201">
        <f>IF(N29201="","",'Master Barang'!B95)</f>
        <v>0</v>
      </c>
      <c r="P29201">
        <f>IF(OR(M29201="",N29201=""),"",SUMIFS('Barang Keluar'!$E:$E,'Barang Keluar'!$A:$A,M29201,'Barang Keluar'!$C:$C,N29201))</f>
        <v>0</v>
      </c>
    </row>
    <row r="29202" spans="13:16">
      <c r="M29202" s="49">
        <f>IF($A$4+291&gt;$B$4,"",$A$4+291)</f>
        <v>46314</v>
      </c>
      <c r="N29202">
        <f>IF(M29202="","",'Master Barang'!A96)</f>
        <v>0</v>
      </c>
      <c r="O29202">
        <f>IF(N29202="","",'Master Barang'!B96)</f>
        <v>0</v>
      </c>
      <c r="P29202">
        <f>IF(OR(M29202="",N29202=""),"",SUMIFS('Barang Keluar'!$E:$E,'Barang Keluar'!$A:$A,M29202,'Barang Keluar'!$C:$C,N29202))</f>
        <v>0</v>
      </c>
    </row>
    <row r="29203" spans="13:16">
      <c r="M29203" s="49">
        <f>IF($A$4+291&gt;$B$4,"",$A$4+291)</f>
        <v>46314</v>
      </c>
      <c r="N29203">
        <f>IF(M29203="","",'Master Barang'!A97)</f>
        <v>0</v>
      </c>
      <c r="O29203">
        <f>IF(N29203="","",'Master Barang'!B97)</f>
        <v>0</v>
      </c>
      <c r="P29203">
        <f>IF(OR(M29203="",N29203=""),"",SUMIFS('Barang Keluar'!$E:$E,'Barang Keluar'!$A:$A,M29203,'Barang Keluar'!$C:$C,N29203))</f>
        <v>0</v>
      </c>
    </row>
    <row r="29204" spans="13:16">
      <c r="M29204" s="49">
        <f>IF($A$4+291&gt;$B$4,"",$A$4+291)</f>
        <v>46314</v>
      </c>
      <c r="N29204">
        <f>IF(M29204="","",'Master Barang'!A98)</f>
        <v>0</v>
      </c>
      <c r="O29204">
        <f>IF(N29204="","",'Master Barang'!B98)</f>
        <v>0</v>
      </c>
      <c r="P29204">
        <f>IF(OR(M29204="",N29204=""),"",SUMIFS('Barang Keluar'!$E:$E,'Barang Keluar'!$A:$A,M29204,'Barang Keluar'!$C:$C,N29204))</f>
        <v>0</v>
      </c>
    </row>
    <row r="29205" spans="13:16">
      <c r="M29205" s="49">
        <f>IF($A$4+291&gt;$B$4,"",$A$4+291)</f>
        <v>46314</v>
      </c>
      <c r="N29205">
        <f>IF(M29205="","",'Master Barang'!A99)</f>
        <v>0</v>
      </c>
      <c r="O29205">
        <f>IF(N29205="","",'Master Barang'!B99)</f>
        <v>0</v>
      </c>
      <c r="P29205">
        <f>IF(OR(M29205="",N29205=""),"",SUMIFS('Barang Keluar'!$E:$E,'Barang Keluar'!$A:$A,M29205,'Barang Keluar'!$C:$C,N29205))</f>
        <v>0</v>
      </c>
    </row>
    <row r="29206" spans="13:16">
      <c r="M29206" s="49">
        <f>IF($A$4+291&gt;$B$4,"",$A$4+291)</f>
        <v>46314</v>
      </c>
      <c r="N29206">
        <f>IF(M29206="","",'Master Barang'!A100)</f>
        <v>0</v>
      </c>
      <c r="O29206">
        <f>IF(N29206="","",'Master Barang'!B100)</f>
        <v>0</v>
      </c>
      <c r="P29206">
        <f>IF(OR(M29206="",N29206=""),"",SUMIFS('Barang Keluar'!$E:$E,'Barang Keluar'!$A:$A,M29206,'Barang Keluar'!$C:$C,N29206))</f>
        <v>0</v>
      </c>
    </row>
    <row r="29207" spans="13:16">
      <c r="M29207" s="49">
        <f>IF($A$4+291&gt;$B$4,"",$A$4+291)</f>
        <v>46314</v>
      </c>
      <c r="N29207">
        <f>IF(M29207="","",'Master Barang'!A101)</f>
        <v>0</v>
      </c>
      <c r="O29207">
        <f>IF(N29207="","",'Master Barang'!B101)</f>
        <v>0</v>
      </c>
      <c r="P29207">
        <f>IF(OR(M29207="",N29207=""),"",SUMIFS('Barang Keluar'!$E:$E,'Barang Keluar'!$A:$A,M29207,'Barang Keluar'!$C:$C,N29207))</f>
        <v>0</v>
      </c>
    </row>
    <row r="29208" spans="13:16">
      <c r="M29208" s="49">
        <f>IF($A$4+292&gt;$B$4,"",$A$4+292)</f>
        <v>46315</v>
      </c>
      <c r="N29208" t="str">
        <f>IF(M29208="","",'Master Barang'!A2)</f>
        <v>PRL-001</v>
      </c>
      <c r="O29208" t="str">
        <f>IF(N29208="","",'Master Barang'!B2)</f>
        <v>natura desinfectant food grade 5l</v>
      </c>
      <c r="P29208">
        <f>IF(OR(M29208="",N29208=""),"",SUMIFS('Barang Keluar'!$E:$E,'Barang Keluar'!$A:$A,M29208,'Barang Keluar'!$C:$C,N29208))</f>
        <v>0</v>
      </c>
    </row>
    <row r="29209" spans="13:16">
      <c r="M29209" s="49">
        <f>IF($A$4+292&gt;$B$4,"",$A$4+292)</f>
        <v>46315</v>
      </c>
      <c r="N29209" t="str">
        <f>IF(M29209="","",'Master Barang'!A3)</f>
        <v>PRL-002</v>
      </c>
      <c r="O29209" t="str">
        <f>IF(N29209="","",'Master Barang'!B3)</f>
        <v>sunlight cairan pencuci piring 5l</v>
      </c>
      <c r="P29209">
        <f>IF(OR(M29209="",N29209=""),"",SUMIFS('Barang Keluar'!$E:$E,'Barang Keluar'!$A:$A,M29209,'Barang Keluar'!$C:$C,N29209))</f>
        <v>0</v>
      </c>
    </row>
    <row r="29210" spans="13:16">
      <c r="M29210" s="49">
        <f>IF($A$4+292&gt;$B$4,"",$A$4+292)</f>
        <v>46315</v>
      </c>
      <c r="N29210" t="str">
        <f>IF(M29210="","",'Master Barang'!A4)</f>
        <v>PRL-003</v>
      </c>
      <c r="O29210" t="str">
        <f>IF(N29210="","",'Master Barang'!B4)</f>
        <v>oixs cleaner 1l</v>
      </c>
      <c r="P29210">
        <f>IF(OR(M29210="",N29210=""),"",SUMIFS('Barang Keluar'!$E:$E,'Barang Keluar'!$A:$A,M29210,'Barang Keluar'!$C:$C,N29210))</f>
        <v>0</v>
      </c>
    </row>
    <row r="29211" spans="13:16">
      <c r="M29211" s="49">
        <f>IF($A$4+292&gt;$B$4,"",$A$4+292)</f>
        <v>46315</v>
      </c>
      <c r="N29211" t="str">
        <f>IF(M29211="","",'Master Barang'!A5)</f>
        <v>PRL-004</v>
      </c>
      <c r="O29211" t="str">
        <f>IF(N29211="","",'Master Barang'!B5)</f>
        <v>be clean tissue serbaguna</v>
      </c>
      <c r="P29211">
        <f>IF(OR(M29211="",N29211=""),"",SUMIFS('Barang Keluar'!$E:$E,'Barang Keluar'!$A:$A,M29211,'Barang Keluar'!$C:$C,N29211))</f>
        <v>0</v>
      </c>
    </row>
    <row r="29212" spans="13:16">
      <c r="M29212" s="49">
        <f>IF($A$4+292&gt;$B$4,"",$A$4+292)</f>
        <v>46315</v>
      </c>
      <c r="N29212" t="str">
        <f>IF(M29212="","",'Master Barang'!A6)</f>
        <v>PRL-005</v>
      </c>
      <c r="O29212" t="str">
        <f>IF(N29212="","",'Master Barang'!B6)</f>
        <v>spons cuci hijau</v>
      </c>
      <c r="P29212">
        <f>IF(OR(M29212="",N29212=""),"",SUMIFS('Barang Keluar'!$E:$E,'Barang Keluar'!$A:$A,M29212,'Barang Keluar'!$C:$C,N29212))</f>
        <v>0</v>
      </c>
    </row>
    <row r="29213" spans="13:16">
      <c r="M29213" s="49">
        <f>IF($A$4+292&gt;$B$4,"",$A$4+292)</f>
        <v>46315</v>
      </c>
      <c r="N29213" t="str">
        <f>IF(M29213="","",'Master Barang'!A7)</f>
        <v>PRL-006</v>
      </c>
      <c r="O29213" t="str">
        <f>IF(N29213="","",'Master Barang'!B7)</f>
        <v>sabut cuci stainless</v>
      </c>
      <c r="P29213">
        <f>IF(OR(M29213="",N29213=""),"",SUMIFS('Barang Keluar'!$E:$E,'Barang Keluar'!$A:$A,M29213,'Barang Keluar'!$C:$C,N29213))</f>
        <v>0</v>
      </c>
    </row>
    <row r="29214" spans="13:16">
      <c r="M29214" s="49">
        <f>IF($A$4+292&gt;$B$4,"",$A$4+292)</f>
        <v>46315</v>
      </c>
      <c r="N29214" t="str">
        <f>IF(M29214="","",'Master Barang'!A8)</f>
        <v>PRL-007</v>
      </c>
      <c r="O29214" t="str">
        <f>IF(N29214="","",'Master Barang'!B8)</f>
        <v>plastik kresek besar merah 50pc</v>
      </c>
      <c r="P29214">
        <f>IF(OR(M29214="",N29214=""),"",SUMIFS('Barang Keluar'!$E:$E,'Barang Keluar'!$A:$A,M29214,'Barang Keluar'!$C:$C,N29214))</f>
        <v>0</v>
      </c>
    </row>
    <row r="29215" spans="13:16">
      <c r="M29215" s="49">
        <f>IF($A$4+292&gt;$B$4,"",$A$4+292)</f>
        <v>46315</v>
      </c>
      <c r="N29215" t="str">
        <f>IF(M29215="","",'Master Barang'!A9)</f>
        <v>PRL-008</v>
      </c>
      <c r="O29215" t="str">
        <f>IF(N29215="","",'Master Barang'!B9)</f>
        <v>lap besar</v>
      </c>
      <c r="P29215">
        <f>IF(OR(M29215="",N29215=""),"",SUMIFS('Barang Keluar'!$E:$E,'Barang Keluar'!$A:$A,M29215,'Barang Keluar'!$C:$C,N29215))</f>
        <v>0</v>
      </c>
    </row>
    <row r="29216" spans="13:16">
      <c r="M29216" s="49">
        <f>IF($A$4+292&gt;$B$4,"",$A$4+292)</f>
        <v>46315</v>
      </c>
      <c r="N29216" t="str">
        <f>IF(M29216="","",'Master Barang'!A10)</f>
        <v>PRL-009</v>
      </c>
      <c r="O29216" t="str">
        <f>IF(N29216="","",'Master Barang'!B10)</f>
        <v>lap microfiber</v>
      </c>
      <c r="P29216">
        <f>IF(OR(M29216="",N29216=""),"",SUMIFS('Barang Keluar'!$E:$E,'Barang Keluar'!$A:$A,M29216,'Barang Keluar'!$C:$C,N29216))</f>
        <v>0</v>
      </c>
    </row>
    <row r="29217" spans="13:16">
      <c r="M29217" s="49">
        <f>IF($A$4+292&gt;$B$4,"",$A$4+292)</f>
        <v>46315</v>
      </c>
      <c r="N29217" t="str">
        <f>IF(M29217="","",'Master Barang'!A11)</f>
        <v>PRL-010</v>
      </c>
      <c r="O29217" t="str">
        <f>IF(N29217="","",'Master Barang'!B11)</f>
        <v>lap kecil</v>
      </c>
      <c r="P29217">
        <f>IF(OR(M29217="",N29217=""),"",SUMIFS('Barang Keluar'!$E:$E,'Barang Keluar'!$A:$A,M29217,'Barang Keluar'!$C:$C,N29217))</f>
        <v>0</v>
      </c>
    </row>
    <row r="29218" spans="13:16">
      <c r="M29218" s="49">
        <f>IF($A$4+292&gt;$B$4,"",$A$4+292)</f>
        <v>46315</v>
      </c>
      <c r="N29218" t="str">
        <f>IF(M29218="","",'Master Barang'!A12)</f>
        <v>PRL-011</v>
      </c>
      <c r="O29218" t="str">
        <f>IF(N29218="","",'Master Barang'!B12)</f>
        <v>kanebo kecil</v>
      </c>
      <c r="P29218">
        <f>IF(OR(M29218="",N29218=""),"",SUMIFS('Barang Keluar'!$E:$E,'Barang Keluar'!$A:$A,M29218,'Barang Keluar'!$C:$C,N29218))</f>
        <v>0</v>
      </c>
    </row>
    <row r="29219" spans="13:16">
      <c r="M29219" s="49">
        <f>IF($A$4+292&gt;$B$4,"",$A$4+292)</f>
        <v>46315</v>
      </c>
      <c r="N29219" t="str">
        <f>IF(M29219="","",'Master Barang'!A13)</f>
        <v>PRL-012</v>
      </c>
      <c r="O29219" t="str">
        <f>IF(N29219="","",'Master Barang'!B13)</f>
        <v>plastik 1/4kg joyoboyo 100 lembar</v>
      </c>
      <c r="P29219">
        <f>IF(OR(M29219="",N29219=""),"",SUMIFS('Barang Keluar'!$E:$E,'Barang Keluar'!$A:$A,M29219,'Barang Keluar'!$C:$C,N29219))</f>
        <v>0</v>
      </c>
    </row>
    <row r="29220" spans="13:16">
      <c r="M29220" s="49">
        <f>IF($A$4+292&gt;$B$4,"",$A$4+292)</f>
        <v>46315</v>
      </c>
      <c r="N29220" t="str">
        <f>IF(M29220="","",'Master Barang'!A14)</f>
        <v>PRL-013</v>
      </c>
      <c r="O29220" t="str">
        <f>IF(N29220="","",'Master Barang'!B14)</f>
        <v>sarung tangan plastik kaka 100 pcs</v>
      </c>
      <c r="P29220">
        <f>IF(OR(M29220="",N29220=""),"",SUMIFS('Barang Keluar'!$E:$E,'Barang Keluar'!$A:$A,M29220,'Barang Keluar'!$C:$C,N29220))</f>
        <v>0</v>
      </c>
    </row>
    <row r="29221" spans="13:16">
      <c r="M29221" s="49">
        <f>IF($A$4+292&gt;$B$4,"",$A$4+292)</f>
        <v>46315</v>
      </c>
      <c r="N29221" t="str">
        <f>IF(M29221="","",'Master Barang'!A15)</f>
        <v>PRL-014</v>
      </c>
      <c r="O29221" t="str">
        <f>IF(N29221="","",'Master Barang'!B15)</f>
        <v>optima trashbag 80x100</v>
      </c>
      <c r="P29221">
        <f>IF(OR(M29221="",N29221=""),"",SUMIFS('Barang Keluar'!$E:$E,'Barang Keluar'!$A:$A,M29221,'Barang Keluar'!$C:$C,N29221))</f>
        <v>0</v>
      </c>
    </row>
    <row r="29222" spans="13:16">
      <c r="M29222" s="49">
        <f>IF($A$4+292&gt;$B$4,"",$A$4+292)</f>
        <v>46315</v>
      </c>
      <c r="N29222" t="str">
        <f>IF(M29222="","",'Master Barang'!A16)</f>
        <v>PRL-015</v>
      </c>
      <c r="O29222" t="str">
        <f>IF(N29222="","",'Master Barang'!B16)</f>
        <v>optima trashbag 60x100</v>
      </c>
      <c r="P29222">
        <f>IF(OR(M29222="",N29222=""),"",SUMIFS('Barang Keluar'!$E:$E,'Barang Keluar'!$A:$A,M29222,'Barang Keluar'!$C:$C,N29222))</f>
        <v>0</v>
      </c>
    </row>
    <row r="29223" spans="13:16">
      <c r="M29223" s="49">
        <f>IF($A$4+292&gt;$B$4,"",$A$4+292)</f>
        <v>46315</v>
      </c>
      <c r="N29223" t="str">
        <f>IF(M29223="","",'Master Barang'!A17)</f>
        <v>PRL-016</v>
      </c>
      <c r="O29223" t="str">
        <f>IF(N29223="","",'Master Barang'!B17)</f>
        <v>rajawali trashbag 30x40</v>
      </c>
      <c r="P29223">
        <f>IF(OR(M29223="",N29223=""),"",SUMIFS('Barang Keluar'!$E:$E,'Barang Keluar'!$A:$A,M29223,'Barang Keluar'!$C:$C,N29223))</f>
        <v>0</v>
      </c>
    </row>
    <row r="29224" spans="13:16">
      <c r="M29224" s="49">
        <f>IF($A$4+292&gt;$B$4,"",$A$4+292)</f>
        <v>46315</v>
      </c>
      <c r="N29224" t="str">
        <f>IF(M29224="","",'Master Barang'!A18)</f>
        <v>PRL-017</v>
      </c>
      <c r="O29224" t="str">
        <f>IF(N29224="","",'Master Barang'!B18)</f>
        <v>onemed masker biru 3 play 50 pcs</v>
      </c>
      <c r="P29224">
        <f>IF(OR(M29224="",N29224=""),"",SUMIFS('Barang Keluar'!$E:$E,'Barang Keluar'!$A:$A,M29224,'Barang Keluar'!$C:$C,N29224))</f>
        <v>0</v>
      </c>
    </row>
    <row r="29225" spans="13:16">
      <c r="M29225" s="49">
        <f>IF($A$4+292&gt;$B$4,"",$A$4+292)</f>
        <v>46315</v>
      </c>
      <c r="N29225" t="str">
        <f>IF(M29225="","",'Master Barang'!A19)</f>
        <v>PRL-018</v>
      </c>
      <c r="O29225" t="str">
        <f>IF(N29225="","",'Master Barang'!B19)</f>
        <v>onemed masker biru 3 play hijab 50 pcs</v>
      </c>
      <c r="P29225">
        <f>IF(OR(M29225="",N29225=""),"",SUMIFS('Barang Keluar'!$E:$E,'Barang Keluar'!$A:$A,M29225,'Barang Keluar'!$C:$C,N29225))</f>
        <v>0</v>
      </c>
    </row>
    <row r="29226" spans="13:16">
      <c r="M29226" s="49">
        <f>IF($A$4+292&gt;$B$4,"",$A$4+292)</f>
        <v>46315</v>
      </c>
      <c r="N29226" t="str">
        <f>IF(M29226="","",'Master Barang'!A20)</f>
        <v>PRL-019</v>
      </c>
      <c r="O29226" t="str">
        <f>IF(N29226="","",'Master Barang'!B20)</f>
        <v>neo health masker biru 3 play 50 pcs</v>
      </c>
      <c r="P29226">
        <f>IF(OR(M29226="",N29226=""),"",SUMIFS('Barang Keluar'!$E:$E,'Barang Keluar'!$A:$A,M29226,'Barang Keluar'!$C:$C,N29226))</f>
        <v>0</v>
      </c>
    </row>
    <row r="29227" spans="13:16">
      <c r="M29227" s="49">
        <f>IF($A$4+292&gt;$B$4,"",$A$4+292)</f>
        <v>46315</v>
      </c>
      <c r="N29227" t="str">
        <f>IF(M29227="","",'Master Barang'!A21)</f>
        <v>PRL-020</v>
      </c>
      <c r="O29227" t="str">
        <f>IF(N29227="","",'Master Barang'!B21)</f>
        <v>baymed masker hijau 3 play hijau 50 pcs</v>
      </c>
      <c r="P29227">
        <f>IF(OR(M29227="",N29227=""),"",SUMIFS('Barang Keluar'!$E:$E,'Barang Keluar'!$A:$A,M29227,'Barang Keluar'!$C:$C,N29227))</f>
        <v>0</v>
      </c>
    </row>
    <row r="29228" spans="13:16">
      <c r="M29228" s="49">
        <f>IF($A$4+292&gt;$B$4,"",$A$4+292)</f>
        <v>46315</v>
      </c>
      <c r="N29228" t="str">
        <f>IF(M29228="","",'Master Barang'!A22)</f>
        <v>PRL-021</v>
      </c>
      <c r="O29228" t="str">
        <f>IF(N29228="","",'Master Barang'!B22)</f>
        <v>altamed nurse cap penutup kepala 100 pcs</v>
      </c>
      <c r="P29228">
        <f>IF(OR(M29228="",N29228=""),"",SUMIFS('Barang Keluar'!$E:$E,'Barang Keluar'!$A:$A,M29228,'Barang Keluar'!$C:$C,N29228))</f>
        <v>0</v>
      </c>
    </row>
    <row r="29229" spans="13:16">
      <c r="M29229" s="49">
        <f>IF($A$4+292&gt;$B$4,"",$A$4+292)</f>
        <v>46315</v>
      </c>
      <c r="N29229" t="str">
        <f>IF(M29229="","",'Master Barang'!A23)</f>
        <v>PRL-022</v>
      </c>
      <c r="O29229" t="str">
        <f>IF(N29229="","",'Master Barang'!B23)</f>
        <v>sabun cuci tangan</v>
      </c>
      <c r="P29229">
        <f>IF(OR(M29229="",N29229=""),"",SUMIFS('Barang Keluar'!$E:$E,'Barang Keluar'!$A:$A,M29229,'Barang Keluar'!$C:$C,N29229))</f>
        <v>0</v>
      </c>
    </row>
    <row r="29230" spans="13:16">
      <c r="M29230" s="49">
        <f>IF($A$4+292&gt;$B$4,"",$A$4+292)</f>
        <v>46315</v>
      </c>
      <c r="N29230" t="str">
        <f>IF(M29230="","",'Master Barang'!A24)</f>
        <v>PRL-023</v>
      </c>
      <c r="O29230" t="str">
        <f>IF(N29230="","",'Master Barang'!B24)</f>
        <v>gayung kecil</v>
      </c>
      <c r="P29230">
        <f>IF(OR(M29230="",N29230=""),"",SUMIFS('Barang Keluar'!$E:$E,'Barang Keluar'!$A:$A,M29230,'Barang Keluar'!$C:$C,N29230))</f>
        <v>0</v>
      </c>
    </row>
    <row r="29231" spans="13:16">
      <c r="M29231" s="49">
        <f>IF($A$4+292&gt;$B$4,"",$A$4+292)</f>
        <v>46315</v>
      </c>
      <c r="N29231" t="str">
        <f>IF(M29231="","",'Master Barang'!A25)</f>
        <v>PRL-024</v>
      </c>
      <c r="O29231" t="str">
        <f>IF(N29231="","",'Master Barang'!B25)</f>
        <v>cikrak kecil</v>
      </c>
      <c r="P29231">
        <f>IF(OR(M29231="",N29231=""),"",SUMIFS('Barang Keluar'!$E:$E,'Barang Keluar'!$A:$A,M29231,'Barang Keluar'!$C:$C,N29231))</f>
        <v>0</v>
      </c>
    </row>
    <row r="29232" spans="13:16">
      <c r="M29232" s="49">
        <f>IF($A$4+292&gt;$B$4,"",$A$4+292)</f>
        <v>46315</v>
      </c>
      <c r="N29232" t="str">
        <f>IF(M29232="","",'Master Barang'!A26)</f>
        <v>PRL-025</v>
      </c>
      <c r="O29232" t="str">
        <f>IF(N29232="","",'Master Barang'!B26)</f>
        <v>petromax plastik kecil 12x24 100 lembar</v>
      </c>
      <c r="P29232">
        <f>IF(OR(M29232="",N29232=""),"",SUMIFS('Barang Keluar'!$E:$E,'Barang Keluar'!$A:$A,M29232,'Barang Keluar'!$C:$C,N29232))</f>
        <v>0</v>
      </c>
    </row>
    <row r="29233" spans="13:16">
      <c r="M29233" s="49">
        <f>IF($A$4+292&gt;$B$4,"",$A$4+292)</f>
        <v>46315</v>
      </c>
      <c r="N29233" t="str">
        <f>IF(M29233="","",'Master Barang'!A27)</f>
        <v>PRL-026</v>
      </c>
      <c r="O29233" t="str">
        <f>IF(N29233="","",'Master Barang'!B27)</f>
        <v>lancar kresek kecil bening </v>
      </c>
      <c r="P29233">
        <f>IF(OR(M29233="",N29233=""),"",SUMIFS('Barang Keluar'!$E:$E,'Barang Keluar'!$A:$A,M29233,'Barang Keluar'!$C:$C,N29233))</f>
        <v>0</v>
      </c>
    </row>
    <row r="29234" spans="13:16">
      <c r="M29234" s="49">
        <f>IF($A$4+292&gt;$B$4,"",$A$4+292)</f>
        <v>46315</v>
      </c>
      <c r="N29234" t="str">
        <f>IF(M29234="","",'Master Barang'!A28)</f>
        <v>PRL-027</v>
      </c>
      <c r="O29234" t="str">
        <f>IF(N29234="","",'Master Barang'!B28)</f>
        <v>kresek klin warna warni kecil</v>
      </c>
      <c r="P29234">
        <f>IF(OR(M29234="",N29234=""),"",SUMIFS('Barang Keluar'!$E:$E,'Barang Keluar'!$A:$A,M29234,'Barang Keluar'!$C:$C,N29234))</f>
        <v>0</v>
      </c>
    </row>
    <row r="29235" spans="13:16">
      <c r="M29235" s="49">
        <f>IF($A$4+292&gt;$B$4,"",$A$4+292)</f>
        <v>46315</v>
      </c>
      <c r="N29235" t="str">
        <f>IF(M29235="","",'Master Barang'!A29)</f>
        <v>PRL-028</v>
      </c>
      <c r="O29235" t="str">
        <f>IF(N29235="","",'Master Barang'!B29)</f>
        <v>ctik plastik 7x10 100 pcs</v>
      </c>
      <c r="P29235">
        <f>IF(OR(M29235="",N29235=""),"",SUMIFS('Barang Keluar'!$E:$E,'Barang Keluar'!$A:$A,M29235,'Barang Keluar'!$C:$C,N29235))</f>
        <v>0</v>
      </c>
    </row>
    <row r="29236" spans="13:16">
      <c r="M29236" s="49">
        <f>IF($A$4+292&gt;$B$4,"",$A$4+292)</f>
        <v>46315</v>
      </c>
      <c r="N29236" t="str">
        <f>IF(M29236="","",'Master Barang'!A30)</f>
        <v>PRL-029</v>
      </c>
      <c r="O29236" t="str">
        <f>IF(N29236="","",'Master Barang'!B30)</f>
        <v>ctik plastik 6x10 100 pcs</v>
      </c>
      <c r="P29236">
        <f>IF(OR(M29236="",N29236=""),"",SUMIFS('Barang Keluar'!$E:$E,'Barang Keluar'!$A:$A,M29236,'Barang Keluar'!$C:$C,N29236))</f>
        <v>0</v>
      </c>
    </row>
    <row r="29237" spans="13:16">
      <c r="M29237" s="49">
        <f>IF($A$4+292&gt;$B$4,"",$A$4+292)</f>
        <v>46315</v>
      </c>
      <c r="N29237" t="str">
        <f>IF(M29237="","",'Master Barang'!A31)</f>
        <v>PRL-030</v>
      </c>
      <c r="O29237" t="str">
        <f>IF(N29237="","",'Master Barang'!B31)</f>
        <v>klip plastik 25x16 100 pcs</v>
      </c>
      <c r="P29237">
        <f>IF(OR(M29237="",N29237=""),"",SUMIFS('Barang Keluar'!$E:$E,'Barang Keluar'!$A:$A,M29237,'Barang Keluar'!$C:$C,N29237))</f>
        <v>0</v>
      </c>
    </row>
    <row r="29238" spans="13:16">
      <c r="M29238" s="49">
        <f>IF($A$4+292&gt;$B$4,"",$A$4+292)</f>
        <v>46315</v>
      </c>
      <c r="N29238" t="str">
        <f>IF(M29238="","",'Master Barang'!A32)</f>
        <v>PRL-031</v>
      </c>
      <c r="O29238" t="str">
        <f>IF(N29238="","",'Master Barang'!B32)</f>
        <v>tempat saus 20 ml</v>
      </c>
      <c r="P29238">
        <f>IF(OR(M29238="",N29238=""),"",SUMIFS('Barang Keluar'!$E:$E,'Barang Keluar'!$A:$A,M29238,'Barang Keluar'!$C:$C,N29238))</f>
        <v>0</v>
      </c>
    </row>
    <row r="29239" spans="13:16">
      <c r="M29239" s="49">
        <f>IF($A$4+292&gt;$B$4,"",$A$4+292)</f>
        <v>46315</v>
      </c>
      <c r="N29239" t="str">
        <f>IF(M29239="","",'Master Barang'!A33)</f>
        <v>PRL-032</v>
      </c>
      <c r="O29239" t="str">
        <f>IF(N29239="","",'Master Barang'!B33)</f>
        <v>plastik packaging ag box uk sedang</v>
      </c>
      <c r="P29239">
        <f>IF(OR(M29239="",N29239=""),"",SUMIFS('Barang Keluar'!$E:$E,'Barang Keluar'!$A:$A,M29239,'Barang Keluar'!$C:$C,N29239))</f>
        <v>0</v>
      </c>
    </row>
    <row r="29240" spans="13:16">
      <c r="M29240" s="49">
        <f>IF($A$4+292&gt;$B$4,"",$A$4+292)</f>
        <v>46315</v>
      </c>
      <c r="N29240" t="str">
        <f>IF(M29240="","",'Master Barang'!A34)</f>
        <v>PRL-033</v>
      </c>
      <c r="O29240">
        <f>IF(N29240="","",'Master Barang'!B34)</f>
        <v>0</v>
      </c>
      <c r="P29240">
        <f>IF(OR(M29240="",N29240=""),"",SUMIFS('Barang Keluar'!$E:$E,'Barang Keluar'!$A:$A,M29240,'Barang Keluar'!$C:$C,N29240))</f>
        <v>0</v>
      </c>
    </row>
    <row r="29241" spans="13:16">
      <c r="M29241" s="49">
        <f>IF($A$4+292&gt;$B$4,"",$A$4+292)</f>
        <v>46315</v>
      </c>
      <c r="N29241">
        <f>IF(M29241="","",'Master Barang'!A35)</f>
        <v>0</v>
      </c>
      <c r="O29241">
        <f>IF(N29241="","",'Master Barang'!B35)</f>
        <v>0</v>
      </c>
      <c r="P29241">
        <f>IF(OR(M29241="",N29241=""),"",SUMIFS('Barang Keluar'!$E:$E,'Barang Keluar'!$A:$A,M29241,'Barang Keluar'!$C:$C,N29241))</f>
        <v>0</v>
      </c>
    </row>
    <row r="29242" spans="13:16">
      <c r="M29242" s="49">
        <f>IF($A$4+292&gt;$B$4,"",$A$4+292)</f>
        <v>46315</v>
      </c>
      <c r="N29242">
        <f>IF(M29242="","",'Master Barang'!A36)</f>
        <v>0</v>
      </c>
      <c r="O29242">
        <f>IF(N29242="","",'Master Barang'!B36)</f>
        <v>0</v>
      </c>
      <c r="P29242">
        <f>IF(OR(M29242="",N29242=""),"",SUMIFS('Barang Keluar'!$E:$E,'Barang Keluar'!$A:$A,M29242,'Barang Keluar'!$C:$C,N29242))</f>
        <v>0</v>
      </c>
    </row>
    <row r="29243" spans="13:16">
      <c r="M29243" s="49">
        <f>IF($A$4+292&gt;$B$4,"",$A$4+292)</f>
        <v>46315</v>
      </c>
      <c r="N29243">
        <f>IF(M29243="","",'Master Barang'!A37)</f>
        <v>0</v>
      </c>
      <c r="O29243">
        <f>IF(N29243="","",'Master Barang'!B37)</f>
        <v>0</v>
      </c>
      <c r="P29243">
        <f>IF(OR(M29243="",N29243=""),"",SUMIFS('Barang Keluar'!$E:$E,'Barang Keluar'!$A:$A,M29243,'Barang Keluar'!$C:$C,N29243))</f>
        <v>0</v>
      </c>
    </row>
    <row r="29244" spans="13:16">
      <c r="M29244" s="49">
        <f>IF($A$4+292&gt;$B$4,"",$A$4+292)</f>
        <v>46315</v>
      </c>
      <c r="N29244">
        <f>IF(M29244="","",'Master Barang'!A38)</f>
        <v>0</v>
      </c>
      <c r="O29244">
        <f>IF(N29244="","",'Master Barang'!B38)</f>
        <v>0</v>
      </c>
      <c r="P29244">
        <f>IF(OR(M29244="",N29244=""),"",SUMIFS('Barang Keluar'!$E:$E,'Barang Keluar'!$A:$A,M29244,'Barang Keluar'!$C:$C,N29244))</f>
        <v>0</v>
      </c>
    </row>
    <row r="29245" spans="13:16">
      <c r="M29245" s="49">
        <f>IF($A$4+292&gt;$B$4,"",$A$4+292)</f>
        <v>46315</v>
      </c>
      <c r="N29245">
        <f>IF(M29245="","",'Master Barang'!A39)</f>
        <v>0</v>
      </c>
      <c r="O29245">
        <f>IF(N29245="","",'Master Barang'!B39)</f>
        <v>0</v>
      </c>
      <c r="P29245">
        <f>IF(OR(M29245="",N29245=""),"",SUMIFS('Barang Keluar'!$E:$E,'Barang Keluar'!$A:$A,M29245,'Barang Keluar'!$C:$C,N29245))</f>
        <v>0</v>
      </c>
    </row>
    <row r="29246" spans="13:16">
      <c r="M29246" s="49">
        <f>IF($A$4+292&gt;$B$4,"",$A$4+292)</f>
        <v>46315</v>
      </c>
      <c r="N29246">
        <f>IF(M29246="","",'Master Barang'!A40)</f>
        <v>0</v>
      </c>
      <c r="O29246">
        <f>IF(N29246="","",'Master Barang'!B40)</f>
        <v>0</v>
      </c>
      <c r="P29246">
        <f>IF(OR(M29246="",N29246=""),"",SUMIFS('Barang Keluar'!$E:$E,'Barang Keluar'!$A:$A,M29246,'Barang Keluar'!$C:$C,N29246))</f>
        <v>0</v>
      </c>
    </row>
    <row r="29247" spans="13:16">
      <c r="M29247" s="49">
        <f>IF($A$4+292&gt;$B$4,"",$A$4+292)</f>
        <v>46315</v>
      </c>
      <c r="N29247">
        <f>IF(M29247="","",'Master Barang'!A41)</f>
        <v>0</v>
      </c>
      <c r="O29247">
        <f>IF(N29247="","",'Master Barang'!B41)</f>
        <v>0</v>
      </c>
      <c r="P29247">
        <f>IF(OR(M29247="",N29247=""),"",SUMIFS('Barang Keluar'!$E:$E,'Barang Keluar'!$A:$A,M29247,'Barang Keluar'!$C:$C,N29247))</f>
        <v>0</v>
      </c>
    </row>
    <row r="29248" spans="13:16">
      <c r="M29248" s="49">
        <f>IF($A$4+292&gt;$B$4,"",$A$4+292)</f>
        <v>46315</v>
      </c>
      <c r="N29248">
        <f>IF(M29248="","",'Master Barang'!A42)</f>
        <v>0</v>
      </c>
      <c r="O29248">
        <f>IF(N29248="","",'Master Barang'!B42)</f>
        <v>0</v>
      </c>
      <c r="P29248">
        <f>IF(OR(M29248="",N29248=""),"",SUMIFS('Barang Keluar'!$E:$E,'Barang Keluar'!$A:$A,M29248,'Barang Keluar'!$C:$C,N29248))</f>
        <v>0</v>
      </c>
    </row>
    <row r="29249" spans="13:16">
      <c r="M29249" s="49">
        <f>IF($A$4+292&gt;$B$4,"",$A$4+292)</f>
        <v>46315</v>
      </c>
      <c r="N29249">
        <f>IF(M29249="","",'Master Barang'!A43)</f>
        <v>0</v>
      </c>
      <c r="O29249">
        <f>IF(N29249="","",'Master Barang'!B43)</f>
        <v>0</v>
      </c>
      <c r="P29249">
        <f>IF(OR(M29249="",N29249=""),"",SUMIFS('Barang Keluar'!$E:$E,'Barang Keluar'!$A:$A,M29249,'Barang Keluar'!$C:$C,N29249))</f>
        <v>0</v>
      </c>
    </row>
    <row r="29250" spans="13:16">
      <c r="M29250" s="49">
        <f>IF($A$4+292&gt;$B$4,"",$A$4+292)</f>
        <v>46315</v>
      </c>
      <c r="N29250">
        <f>IF(M29250="","",'Master Barang'!A44)</f>
        <v>0</v>
      </c>
      <c r="O29250">
        <f>IF(N29250="","",'Master Barang'!B44)</f>
        <v>0</v>
      </c>
      <c r="P29250">
        <f>IF(OR(M29250="",N29250=""),"",SUMIFS('Barang Keluar'!$E:$E,'Barang Keluar'!$A:$A,M29250,'Barang Keluar'!$C:$C,N29250))</f>
        <v>0</v>
      </c>
    </row>
    <row r="29251" spans="13:16">
      <c r="M29251" s="49">
        <f>IF($A$4+292&gt;$B$4,"",$A$4+292)</f>
        <v>46315</v>
      </c>
      <c r="N29251">
        <f>IF(M29251="","",'Master Barang'!A45)</f>
        <v>0</v>
      </c>
      <c r="O29251">
        <f>IF(N29251="","",'Master Barang'!B45)</f>
        <v>0</v>
      </c>
      <c r="P29251">
        <f>IF(OR(M29251="",N29251=""),"",SUMIFS('Barang Keluar'!$E:$E,'Barang Keluar'!$A:$A,M29251,'Barang Keluar'!$C:$C,N29251))</f>
        <v>0</v>
      </c>
    </row>
    <row r="29252" spans="13:16">
      <c r="M29252" s="49">
        <f>IF($A$4+292&gt;$B$4,"",$A$4+292)</f>
        <v>46315</v>
      </c>
      <c r="N29252">
        <f>IF(M29252="","",'Master Barang'!A46)</f>
        <v>0</v>
      </c>
      <c r="O29252">
        <f>IF(N29252="","",'Master Barang'!B46)</f>
        <v>0</v>
      </c>
      <c r="P29252">
        <f>IF(OR(M29252="",N29252=""),"",SUMIFS('Barang Keluar'!$E:$E,'Barang Keluar'!$A:$A,M29252,'Barang Keluar'!$C:$C,N29252))</f>
        <v>0</v>
      </c>
    </row>
    <row r="29253" spans="13:16">
      <c r="M29253" s="49">
        <f>IF($A$4+292&gt;$B$4,"",$A$4+292)</f>
        <v>46315</v>
      </c>
      <c r="N29253">
        <f>IF(M29253="","",'Master Barang'!A47)</f>
        <v>0</v>
      </c>
      <c r="O29253">
        <f>IF(N29253="","",'Master Barang'!B47)</f>
        <v>0</v>
      </c>
      <c r="P29253">
        <f>IF(OR(M29253="",N29253=""),"",SUMIFS('Barang Keluar'!$E:$E,'Barang Keluar'!$A:$A,M29253,'Barang Keluar'!$C:$C,N29253))</f>
        <v>0</v>
      </c>
    </row>
    <row r="29254" spans="13:16">
      <c r="M29254" s="49">
        <f>IF($A$4+292&gt;$B$4,"",$A$4+292)</f>
        <v>46315</v>
      </c>
      <c r="N29254">
        <f>IF(M29254="","",'Master Barang'!A48)</f>
        <v>0</v>
      </c>
      <c r="O29254">
        <f>IF(N29254="","",'Master Barang'!B48)</f>
        <v>0</v>
      </c>
      <c r="P29254">
        <f>IF(OR(M29254="",N29254=""),"",SUMIFS('Barang Keluar'!$E:$E,'Barang Keluar'!$A:$A,M29254,'Barang Keluar'!$C:$C,N29254))</f>
        <v>0</v>
      </c>
    </row>
    <row r="29255" spans="13:16">
      <c r="M29255" s="49">
        <f>IF($A$4+292&gt;$B$4,"",$A$4+292)</f>
        <v>46315</v>
      </c>
      <c r="N29255">
        <f>IF(M29255="","",'Master Barang'!A49)</f>
        <v>0</v>
      </c>
      <c r="O29255">
        <f>IF(N29255="","",'Master Barang'!B49)</f>
        <v>0</v>
      </c>
      <c r="P29255">
        <f>IF(OR(M29255="",N29255=""),"",SUMIFS('Barang Keluar'!$E:$E,'Barang Keluar'!$A:$A,M29255,'Barang Keluar'!$C:$C,N29255))</f>
        <v>0</v>
      </c>
    </row>
    <row r="29256" spans="13:16">
      <c r="M29256" s="49">
        <f>IF($A$4+292&gt;$B$4,"",$A$4+292)</f>
        <v>46315</v>
      </c>
      <c r="N29256">
        <f>IF(M29256="","",'Master Barang'!A50)</f>
        <v>0</v>
      </c>
      <c r="O29256">
        <f>IF(N29256="","",'Master Barang'!B50)</f>
        <v>0</v>
      </c>
      <c r="P29256">
        <f>IF(OR(M29256="",N29256=""),"",SUMIFS('Barang Keluar'!$E:$E,'Barang Keluar'!$A:$A,M29256,'Barang Keluar'!$C:$C,N29256))</f>
        <v>0</v>
      </c>
    </row>
    <row r="29257" spans="13:16">
      <c r="M29257" s="49">
        <f>IF($A$4+292&gt;$B$4,"",$A$4+292)</f>
        <v>46315</v>
      </c>
      <c r="N29257">
        <f>IF(M29257="","",'Master Barang'!A51)</f>
        <v>0</v>
      </c>
      <c r="O29257">
        <f>IF(N29257="","",'Master Barang'!B51)</f>
        <v>0</v>
      </c>
      <c r="P29257">
        <f>IF(OR(M29257="",N29257=""),"",SUMIFS('Barang Keluar'!$E:$E,'Barang Keluar'!$A:$A,M29257,'Barang Keluar'!$C:$C,N29257))</f>
        <v>0</v>
      </c>
    </row>
    <row r="29258" spans="13:16">
      <c r="M29258" s="49">
        <f>IF($A$4+292&gt;$B$4,"",$A$4+292)</f>
        <v>46315</v>
      </c>
      <c r="N29258">
        <f>IF(M29258="","",'Master Barang'!A52)</f>
        <v>0</v>
      </c>
      <c r="O29258">
        <f>IF(N29258="","",'Master Barang'!B52)</f>
        <v>0</v>
      </c>
      <c r="P29258">
        <f>IF(OR(M29258="",N29258=""),"",SUMIFS('Barang Keluar'!$E:$E,'Barang Keluar'!$A:$A,M29258,'Barang Keluar'!$C:$C,N29258))</f>
        <v>0</v>
      </c>
    </row>
    <row r="29259" spans="13:16">
      <c r="M29259" s="49">
        <f>IF($A$4+292&gt;$B$4,"",$A$4+292)</f>
        <v>46315</v>
      </c>
      <c r="N29259">
        <f>IF(M29259="","",'Master Barang'!A53)</f>
        <v>0</v>
      </c>
      <c r="O29259">
        <f>IF(N29259="","",'Master Barang'!B53)</f>
        <v>0</v>
      </c>
      <c r="P29259">
        <f>IF(OR(M29259="",N29259=""),"",SUMIFS('Barang Keluar'!$E:$E,'Barang Keluar'!$A:$A,M29259,'Barang Keluar'!$C:$C,N29259))</f>
        <v>0</v>
      </c>
    </row>
    <row r="29260" spans="13:16">
      <c r="M29260" s="49">
        <f>IF($A$4+292&gt;$B$4,"",$A$4+292)</f>
        <v>46315</v>
      </c>
      <c r="N29260">
        <f>IF(M29260="","",'Master Barang'!A54)</f>
        <v>0</v>
      </c>
      <c r="O29260">
        <f>IF(N29260="","",'Master Barang'!B54)</f>
        <v>0</v>
      </c>
      <c r="P29260">
        <f>IF(OR(M29260="",N29260=""),"",SUMIFS('Barang Keluar'!$E:$E,'Barang Keluar'!$A:$A,M29260,'Barang Keluar'!$C:$C,N29260))</f>
        <v>0</v>
      </c>
    </row>
    <row r="29261" spans="13:16">
      <c r="M29261" s="49">
        <f>IF($A$4+292&gt;$B$4,"",$A$4+292)</f>
        <v>46315</v>
      </c>
      <c r="N29261">
        <f>IF(M29261="","",'Master Barang'!A55)</f>
        <v>0</v>
      </c>
      <c r="O29261">
        <f>IF(N29261="","",'Master Barang'!B55)</f>
        <v>0</v>
      </c>
      <c r="P29261">
        <f>IF(OR(M29261="",N29261=""),"",SUMIFS('Barang Keluar'!$E:$E,'Barang Keluar'!$A:$A,M29261,'Barang Keluar'!$C:$C,N29261))</f>
        <v>0</v>
      </c>
    </row>
    <row r="29262" spans="13:16">
      <c r="M29262" s="49">
        <f>IF($A$4+292&gt;$B$4,"",$A$4+292)</f>
        <v>46315</v>
      </c>
      <c r="N29262">
        <f>IF(M29262="","",'Master Barang'!A56)</f>
        <v>0</v>
      </c>
      <c r="O29262">
        <f>IF(N29262="","",'Master Barang'!B56)</f>
        <v>0</v>
      </c>
      <c r="P29262">
        <f>IF(OR(M29262="",N29262=""),"",SUMIFS('Barang Keluar'!$E:$E,'Barang Keluar'!$A:$A,M29262,'Barang Keluar'!$C:$C,N29262))</f>
        <v>0</v>
      </c>
    </row>
    <row r="29263" spans="13:16">
      <c r="M29263" s="49">
        <f>IF($A$4+292&gt;$B$4,"",$A$4+292)</f>
        <v>46315</v>
      </c>
      <c r="N29263">
        <f>IF(M29263="","",'Master Barang'!A57)</f>
        <v>0</v>
      </c>
      <c r="O29263">
        <f>IF(N29263="","",'Master Barang'!B57)</f>
        <v>0</v>
      </c>
      <c r="P29263">
        <f>IF(OR(M29263="",N29263=""),"",SUMIFS('Barang Keluar'!$E:$E,'Barang Keluar'!$A:$A,M29263,'Barang Keluar'!$C:$C,N29263))</f>
        <v>0</v>
      </c>
    </row>
    <row r="29264" spans="13:16">
      <c r="M29264" s="49">
        <f>IF($A$4+292&gt;$B$4,"",$A$4+292)</f>
        <v>46315</v>
      </c>
      <c r="N29264">
        <f>IF(M29264="","",'Master Barang'!A58)</f>
        <v>0</v>
      </c>
      <c r="O29264">
        <f>IF(N29264="","",'Master Barang'!B58)</f>
        <v>0</v>
      </c>
      <c r="P29264">
        <f>IF(OR(M29264="",N29264=""),"",SUMIFS('Barang Keluar'!$E:$E,'Barang Keluar'!$A:$A,M29264,'Barang Keluar'!$C:$C,N29264))</f>
        <v>0</v>
      </c>
    </row>
    <row r="29265" spans="13:16">
      <c r="M29265" s="49">
        <f>IF($A$4+292&gt;$B$4,"",$A$4+292)</f>
        <v>46315</v>
      </c>
      <c r="N29265">
        <f>IF(M29265="","",'Master Barang'!A59)</f>
        <v>0</v>
      </c>
      <c r="O29265">
        <f>IF(N29265="","",'Master Barang'!B59)</f>
        <v>0</v>
      </c>
      <c r="P29265">
        <f>IF(OR(M29265="",N29265=""),"",SUMIFS('Barang Keluar'!$E:$E,'Barang Keluar'!$A:$A,M29265,'Barang Keluar'!$C:$C,N29265))</f>
        <v>0</v>
      </c>
    </row>
    <row r="29266" spans="13:16">
      <c r="M29266" s="49">
        <f>IF($A$4+292&gt;$B$4,"",$A$4+292)</f>
        <v>46315</v>
      </c>
      <c r="N29266">
        <f>IF(M29266="","",'Master Barang'!A60)</f>
        <v>0</v>
      </c>
      <c r="O29266">
        <f>IF(N29266="","",'Master Barang'!B60)</f>
        <v>0</v>
      </c>
      <c r="P29266">
        <f>IF(OR(M29266="",N29266=""),"",SUMIFS('Barang Keluar'!$E:$E,'Barang Keluar'!$A:$A,M29266,'Barang Keluar'!$C:$C,N29266))</f>
        <v>0</v>
      </c>
    </row>
    <row r="29267" spans="13:16">
      <c r="M29267" s="49">
        <f>IF($A$4+292&gt;$B$4,"",$A$4+292)</f>
        <v>46315</v>
      </c>
      <c r="N29267">
        <f>IF(M29267="","",'Master Barang'!A61)</f>
        <v>0</v>
      </c>
      <c r="O29267">
        <f>IF(N29267="","",'Master Barang'!B61)</f>
        <v>0</v>
      </c>
      <c r="P29267">
        <f>IF(OR(M29267="",N29267=""),"",SUMIFS('Barang Keluar'!$E:$E,'Barang Keluar'!$A:$A,M29267,'Barang Keluar'!$C:$C,N29267))</f>
        <v>0</v>
      </c>
    </row>
    <row r="29268" spans="13:16">
      <c r="M29268" s="49">
        <f>IF($A$4+292&gt;$B$4,"",$A$4+292)</f>
        <v>46315</v>
      </c>
      <c r="N29268">
        <f>IF(M29268="","",'Master Barang'!A62)</f>
        <v>0</v>
      </c>
      <c r="O29268">
        <f>IF(N29268="","",'Master Barang'!B62)</f>
        <v>0</v>
      </c>
      <c r="P29268">
        <f>IF(OR(M29268="",N29268=""),"",SUMIFS('Barang Keluar'!$E:$E,'Barang Keluar'!$A:$A,M29268,'Barang Keluar'!$C:$C,N29268))</f>
        <v>0</v>
      </c>
    </row>
    <row r="29269" spans="13:16">
      <c r="M29269" s="49">
        <f>IF($A$4+292&gt;$B$4,"",$A$4+292)</f>
        <v>46315</v>
      </c>
      <c r="N29269">
        <f>IF(M29269="","",'Master Barang'!A63)</f>
        <v>0</v>
      </c>
      <c r="O29269">
        <f>IF(N29269="","",'Master Barang'!B63)</f>
        <v>0</v>
      </c>
      <c r="P29269">
        <f>IF(OR(M29269="",N29269=""),"",SUMIFS('Barang Keluar'!$E:$E,'Barang Keluar'!$A:$A,M29269,'Barang Keluar'!$C:$C,N29269))</f>
        <v>0</v>
      </c>
    </row>
    <row r="29270" spans="13:16">
      <c r="M29270" s="49">
        <f>IF($A$4+292&gt;$B$4,"",$A$4+292)</f>
        <v>46315</v>
      </c>
      <c r="N29270">
        <f>IF(M29270="","",'Master Barang'!A64)</f>
        <v>0</v>
      </c>
      <c r="O29270">
        <f>IF(N29270="","",'Master Barang'!B64)</f>
        <v>0</v>
      </c>
      <c r="P29270">
        <f>IF(OR(M29270="",N29270=""),"",SUMIFS('Barang Keluar'!$E:$E,'Barang Keluar'!$A:$A,M29270,'Barang Keluar'!$C:$C,N29270))</f>
        <v>0</v>
      </c>
    </row>
    <row r="29271" spans="13:16">
      <c r="M29271" s="49">
        <f>IF($A$4+292&gt;$B$4,"",$A$4+292)</f>
        <v>46315</v>
      </c>
      <c r="N29271">
        <f>IF(M29271="","",'Master Barang'!A65)</f>
        <v>0</v>
      </c>
      <c r="O29271">
        <f>IF(N29271="","",'Master Barang'!B65)</f>
        <v>0</v>
      </c>
      <c r="P29271">
        <f>IF(OR(M29271="",N29271=""),"",SUMIFS('Barang Keluar'!$E:$E,'Barang Keluar'!$A:$A,M29271,'Barang Keluar'!$C:$C,N29271))</f>
        <v>0</v>
      </c>
    </row>
    <row r="29272" spans="13:16">
      <c r="M29272" s="49">
        <f>IF($A$4+292&gt;$B$4,"",$A$4+292)</f>
        <v>46315</v>
      </c>
      <c r="N29272">
        <f>IF(M29272="","",'Master Barang'!A66)</f>
        <v>0</v>
      </c>
      <c r="O29272">
        <f>IF(N29272="","",'Master Barang'!B66)</f>
        <v>0</v>
      </c>
      <c r="P29272">
        <f>IF(OR(M29272="",N29272=""),"",SUMIFS('Barang Keluar'!$E:$E,'Barang Keluar'!$A:$A,M29272,'Barang Keluar'!$C:$C,N29272))</f>
        <v>0</v>
      </c>
    </row>
    <row r="29273" spans="13:16">
      <c r="M29273" s="49">
        <f>IF($A$4+292&gt;$B$4,"",$A$4+292)</f>
        <v>46315</v>
      </c>
      <c r="N29273">
        <f>IF(M29273="","",'Master Barang'!A67)</f>
        <v>0</v>
      </c>
      <c r="O29273">
        <f>IF(N29273="","",'Master Barang'!B67)</f>
        <v>0</v>
      </c>
      <c r="P29273">
        <f>IF(OR(M29273="",N29273=""),"",SUMIFS('Barang Keluar'!$E:$E,'Barang Keluar'!$A:$A,M29273,'Barang Keluar'!$C:$C,N29273))</f>
        <v>0</v>
      </c>
    </row>
    <row r="29274" spans="13:16">
      <c r="M29274" s="49">
        <f>IF($A$4+292&gt;$B$4,"",$A$4+292)</f>
        <v>46315</v>
      </c>
      <c r="N29274">
        <f>IF(M29274="","",'Master Barang'!A68)</f>
        <v>0</v>
      </c>
      <c r="O29274">
        <f>IF(N29274="","",'Master Barang'!B68)</f>
        <v>0</v>
      </c>
      <c r="P29274">
        <f>IF(OR(M29274="",N29274=""),"",SUMIFS('Barang Keluar'!$E:$E,'Barang Keluar'!$A:$A,M29274,'Barang Keluar'!$C:$C,N29274))</f>
        <v>0</v>
      </c>
    </row>
    <row r="29275" spans="13:16">
      <c r="M29275" s="49">
        <f>IF($A$4+292&gt;$B$4,"",$A$4+292)</f>
        <v>46315</v>
      </c>
      <c r="N29275">
        <f>IF(M29275="","",'Master Barang'!A69)</f>
        <v>0</v>
      </c>
      <c r="O29275">
        <f>IF(N29275="","",'Master Barang'!B69)</f>
        <v>0</v>
      </c>
      <c r="P29275">
        <f>IF(OR(M29275="",N29275=""),"",SUMIFS('Barang Keluar'!$E:$E,'Barang Keluar'!$A:$A,M29275,'Barang Keluar'!$C:$C,N29275))</f>
        <v>0</v>
      </c>
    </row>
    <row r="29276" spans="13:16">
      <c r="M29276" s="49">
        <f>IF($A$4+292&gt;$B$4,"",$A$4+292)</f>
        <v>46315</v>
      </c>
      <c r="N29276">
        <f>IF(M29276="","",'Master Barang'!A70)</f>
        <v>0</v>
      </c>
      <c r="O29276">
        <f>IF(N29276="","",'Master Barang'!B70)</f>
        <v>0</v>
      </c>
      <c r="P29276">
        <f>IF(OR(M29276="",N29276=""),"",SUMIFS('Barang Keluar'!$E:$E,'Barang Keluar'!$A:$A,M29276,'Barang Keluar'!$C:$C,N29276))</f>
        <v>0</v>
      </c>
    </row>
    <row r="29277" spans="13:16">
      <c r="M29277" s="49">
        <f>IF($A$4+292&gt;$B$4,"",$A$4+292)</f>
        <v>46315</v>
      </c>
      <c r="N29277">
        <f>IF(M29277="","",'Master Barang'!A71)</f>
        <v>0</v>
      </c>
      <c r="O29277">
        <f>IF(N29277="","",'Master Barang'!B71)</f>
        <v>0</v>
      </c>
      <c r="P29277">
        <f>IF(OR(M29277="",N29277=""),"",SUMIFS('Barang Keluar'!$E:$E,'Barang Keluar'!$A:$A,M29277,'Barang Keluar'!$C:$C,N29277))</f>
        <v>0</v>
      </c>
    </row>
    <row r="29278" spans="13:16">
      <c r="M29278" s="49">
        <f>IF($A$4+292&gt;$B$4,"",$A$4+292)</f>
        <v>46315</v>
      </c>
      <c r="N29278">
        <f>IF(M29278="","",'Master Barang'!A72)</f>
        <v>0</v>
      </c>
      <c r="O29278">
        <f>IF(N29278="","",'Master Barang'!B72)</f>
        <v>0</v>
      </c>
      <c r="P29278">
        <f>IF(OR(M29278="",N29278=""),"",SUMIFS('Barang Keluar'!$E:$E,'Barang Keluar'!$A:$A,M29278,'Barang Keluar'!$C:$C,N29278))</f>
        <v>0</v>
      </c>
    </row>
    <row r="29279" spans="13:16">
      <c r="M29279" s="49">
        <f>IF($A$4+292&gt;$B$4,"",$A$4+292)</f>
        <v>46315</v>
      </c>
      <c r="N29279">
        <f>IF(M29279="","",'Master Barang'!A73)</f>
        <v>0</v>
      </c>
      <c r="O29279">
        <f>IF(N29279="","",'Master Barang'!B73)</f>
        <v>0</v>
      </c>
      <c r="P29279">
        <f>IF(OR(M29279="",N29279=""),"",SUMIFS('Barang Keluar'!$E:$E,'Barang Keluar'!$A:$A,M29279,'Barang Keluar'!$C:$C,N29279))</f>
        <v>0</v>
      </c>
    </row>
    <row r="29280" spans="13:16">
      <c r="M29280" s="49">
        <f>IF($A$4+292&gt;$B$4,"",$A$4+292)</f>
        <v>46315</v>
      </c>
      <c r="N29280">
        <f>IF(M29280="","",'Master Barang'!A74)</f>
        <v>0</v>
      </c>
      <c r="O29280">
        <f>IF(N29280="","",'Master Barang'!B74)</f>
        <v>0</v>
      </c>
      <c r="P29280">
        <f>IF(OR(M29280="",N29280=""),"",SUMIFS('Barang Keluar'!$E:$E,'Barang Keluar'!$A:$A,M29280,'Barang Keluar'!$C:$C,N29280))</f>
        <v>0</v>
      </c>
    </row>
    <row r="29281" spans="13:16">
      <c r="M29281" s="49">
        <f>IF($A$4+292&gt;$B$4,"",$A$4+292)</f>
        <v>46315</v>
      </c>
      <c r="N29281">
        <f>IF(M29281="","",'Master Barang'!A75)</f>
        <v>0</v>
      </c>
      <c r="O29281">
        <f>IF(N29281="","",'Master Barang'!B75)</f>
        <v>0</v>
      </c>
      <c r="P29281">
        <f>IF(OR(M29281="",N29281=""),"",SUMIFS('Barang Keluar'!$E:$E,'Barang Keluar'!$A:$A,M29281,'Barang Keluar'!$C:$C,N29281))</f>
        <v>0</v>
      </c>
    </row>
    <row r="29282" spans="13:16">
      <c r="M29282" s="49">
        <f>IF($A$4+292&gt;$B$4,"",$A$4+292)</f>
        <v>46315</v>
      </c>
      <c r="N29282">
        <f>IF(M29282="","",'Master Barang'!A76)</f>
        <v>0</v>
      </c>
      <c r="O29282">
        <f>IF(N29282="","",'Master Barang'!B76)</f>
        <v>0</v>
      </c>
      <c r="P29282">
        <f>IF(OR(M29282="",N29282=""),"",SUMIFS('Barang Keluar'!$E:$E,'Barang Keluar'!$A:$A,M29282,'Barang Keluar'!$C:$C,N29282))</f>
        <v>0</v>
      </c>
    </row>
    <row r="29283" spans="13:16">
      <c r="M29283" s="49">
        <f>IF($A$4+292&gt;$B$4,"",$A$4+292)</f>
        <v>46315</v>
      </c>
      <c r="N29283">
        <f>IF(M29283="","",'Master Barang'!A77)</f>
        <v>0</v>
      </c>
      <c r="O29283">
        <f>IF(N29283="","",'Master Barang'!B77)</f>
        <v>0</v>
      </c>
      <c r="P29283">
        <f>IF(OR(M29283="",N29283=""),"",SUMIFS('Barang Keluar'!$E:$E,'Barang Keluar'!$A:$A,M29283,'Barang Keluar'!$C:$C,N29283))</f>
        <v>0</v>
      </c>
    </row>
    <row r="29284" spans="13:16">
      <c r="M29284" s="49">
        <f>IF($A$4+292&gt;$B$4,"",$A$4+292)</f>
        <v>46315</v>
      </c>
      <c r="N29284">
        <f>IF(M29284="","",'Master Barang'!A78)</f>
        <v>0</v>
      </c>
      <c r="O29284">
        <f>IF(N29284="","",'Master Barang'!B78)</f>
        <v>0</v>
      </c>
      <c r="P29284">
        <f>IF(OR(M29284="",N29284=""),"",SUMIFS('Barang Keluar'!$E:$E,'Barang Keluar'!$A:$A,M29284,'Barang Keluar'!$C:$C,N29284))</f>
        <v>0</v>
      </c>
    </row>
    <row r="29285" spans="13:16">
      <c r="M29285" s="49">
        <f>IF($A$4+292&gt;$B$4,"",$A$4+292)</f>
        <v>46315</v>
      </c>
      <c r="N29285">
        <f>IF(M29285="","",'Master Barang'!A79)</f>
        <v>0</v>
      </c>
      <c r="O29285">
        <f>IF(N29285="","",'Master Barang'!B79)</f>
        <v>0</v>
      </c>
      <c r="P29285">
        <f>IF(OR(M29285="",N29285=""),"",SUMIFS('Barang Keluar'!$E:$E,'Barang Keluar'!$A:$A,M29285,'Barang Keluar'!$C:$C,N29285))</f>
        <v>0</v>
      </c>
    </row>
    <row r="29286" spans="13:16">
      <c r="M29286" s="49">
        <f>IF($A$4+292&gt;$B$4,"",$A$4+292)</f>
        <v>46315</v>
      </c>
      <c r="N29286">
        <f>IF(M29286="","",'Master Barang'!A80)</f>
        <v>0</v>
      </c>
      <c r="O29286">
        <f>IF(N29286="","",'Master Barang'!B80)</f>
        <v>0</v>
      </c>
      <c r="P29286">
        <f>IF(OR(M29286="",N29286=""),"",SUMIFS('Barang Keluar'!$E:$E,'Barang Keluar'!$A:$A,M29286,'Barang Keluar'!$C:$C,N29286))</f>
        <v>0</v>
      </c>
    </row>
    <row r="29287" spans="13:16">
      <c r="M29287" s="49">
        <f>IF($A$4+292&gt;$B$4,"",$A$4+292)</f>
        <v>46315</v>
      </c>
      <c r="N29287">
        <f>IF(M29287="","",'Master Barang'!A81)</f>
        <v>0</v>
      </c>
      <c r="O29287">
        <f>IF(N29287="","",'Master Barang'!B81)</f>
        <v>0</v>
      </c>
      <c r="P29287">
        <f>IF(OR(M29287="",N29287=""),"",SUMIFS('Barang Keluar'!$E:$E,'Barang Keluar'!$A:$A,M29287,'Barang Keluar'!$C:$C,N29287))</f>
        <v>0</v>
      </c>
    </row>
    <row r="29288" spans="13:16">
      <c r="M29288" s="49">
        <f>IF($A$4+292&gt;$B$4,"",$A$4+292)</f>
        <v>46315</v>
      </c>
      <c r="N29288">
        <f>IF(M29288="","",'Master Barang'!A82)</f>
        <v>0</v>
      </c>
      <c r="O29288">
        <f>IF(N29288="","",'Master Barang'!B82)</f>
        <v>0</v>
      </c>
      <c r="P29288">
        <f>IF(OR(M29288="",N29288=""),"",SUMIFS('Barang Keluar'!$E:$E,'Barang Keluar'!$A:$A,M29288,'Barang Keluar'!$C:$C,N29288))</f>
        <v>0</v>
      </c>
    </row>
    <row r="29289" spans="13:16">
      <c r="M29289" s="49">
        <f>IF($A$4+292&gt;$B$4,"",$A$4+292)</f>
        <v>46315</v>
      </c>
      <c r="N29289">
        <f>IF(M29289="","",'Master Barang'!A83)</f>
        <v>0</v>
      </c>
      <c r="O29289">
        <f>IF(N29289="","",'Master Barang'!B83)</f>
        <v>0</v>
      </c>
      <c r="P29289">
        <f>IF(OR(M29289="",N29289=""),"",SUMIFS('Barang Keluar'!$E:$E,'Barang Keluar'!$A:$A,M29289,'Barang Keluar'!$C:$C,N29289))</f>
        <v>0</v>
      </c>
    </row>
    <row r="29290" spans="13:16">
      <c r="M29290" s="49">
        <f>IF($A$4+292&gt;$B$4,"",$A$4+292)</f>
        <v>46315</v>
      </c>
      <c r="N29290">
        <f>IF(M29290="","",'Master Barang'!A84)</f>
        <v>0</v>
      </c>
      <c r="O29290">
        <f>IF(N29290="","",'Master Barang'!B84)</f>
        <v>0</v>
      </c>
      <c r="P29290">
        <f>IF(OR(M29290="",N29290=""),"",SUMIFS('Barang Keluar'!$E:$E,'Barang Keluar'!$A:$A,M29290,'Barang Keluar'!$C:$C,N29290))</f>
        <v>0</v>
      </c>
    </row>
    <row r="29291" spans="13:16">
      <c r="M29291" s="49">
        <f>IF($A$4+292&gt;$B$4,"",$A$4+292)</f>
        <v>46315</v>
      </c>
      <c r="N29291">
        <f>IF(M29291="","",'Master Barang'!A85)</f>
        <v>0</v>
      </c>
      <c r="O29291">
        <f>IF(N29291="","",'Master Barang'!B85)</f>
        <v>0</v>
      </c>
      <c r="P29291">
        <f>IF(OR(M29291="",N29291=""),"",SUMIFS('Barang Keluar'!$E:$E,'Barang Keluar'!$A:$A,M29291,'Barang Keluar'!$C:$C,N29291))</f>
        <v>0</v>
      </c>
    </row>
    <row r="29292" spans="13:16">
      <c r="M29292" s="49">
        <f>IF($A$4+292&gt;$B$4,"",$A$4+292)</f>
        <v>46315</v>
      </c>
      <c r="N29292">
        <f>IF(M29292="","",'Master Barang'!A86)</f>
        <v>0</v>
      </c>
      <c r="O29292">
        <f>IF(N29292="","",'Master Barang'!B86)</f>
        <v>0</v>
      </c>
      <c r="P29292">
        <f>IF(OR(M29292="",N29292=""),"",SUMIFS('Barang Keluar'!$E:$E,'Barang Keluar'!$A:$A,M29292,'Barang Keluar'!$C:$C,N29292))</f>
        <v>0</v>
      </c>
    </row>
    <row r="29293" spans="13:16">
      <c r="M29293" s="49">
        <f>IF($A$4+292&gt;$B$4,"",$A$4+292)</f>
        <v>46315</v>
      </c>
      <c r="N29293">
        <f>IF(M29293="","",'Master Barang'!A87)</f>
        <v>0</v>
      </c>
      <c r="O29293">
        <f>IF(N29293="","",'Master Barang'!B87)</f>
        <v>0</v>
      </c>
      <c r="P29293">
        <f>IF(OR(M29293="",N29293=""),"",SUMIFS('Barang Keluar'!$E:$E,'Barang Keluar'!$A:$A,M29293,'Barang Keluar'!$C:$C,N29293))</f>
        <v>0</v>
      </c>
    </row>
    <row r="29294" spans="13:16">
      <c r="M29294" s="49">
        <f>IF($A$4+292&gt;$B$4,"",$A$4+292)</f>
        <v>46315</v>
      </c>
      <c r="N29294">
        <f>IF(M29294="","",'Master Barang'!A88)</f>
        <v>0</v>
      </c>
      <c r="O29294">
        <f>IF(N29294="","",'Master Barang'!B88)</f>
        <v>0</v>
      </c>
      <c r="P29294">
        <f>IF(OR(M29294="",N29294=""),"",SUMIFS('Barang Keluar'!$E:$E,'Barang Keluar'!$A:$A,M29294,'Barang Keluar'!$C:$C,N29294))</f>
        <v>0</v>
      </c>
    </row>
    <row r="29295" spans="13:16">
      <c r="M29295" s="49">
        <f>IF($A$4+292&gt;$B$4,"",$A$4+292)</f>
        <v>46315</v>
      </c>
      <c r="N29295">
        <f>IF(M29295="","",'Master Barang'!A89)</f>
        <v>0</v>
      </c>
      <c r="O29295">
        <f>IF(N29295="","",'Master Barang'!B89)</f>
        <v>0</v>
      </c>
      <c r="P29295">
        <f>IF(OR(M29295="",N29295=""),"",SUMIFS('Barang Keluar'!$E:$E,'Barang Keluar'!$A:$A,M29295,'Barang Keluar'!$C:$C,N29295))</f>
        <v>0</v>
      </c>
    </row>
    <row r="29296" spans="13:16">
      <c r="M29296" s="49">
        <f>IF($A$4+292&gt;$B$4,"",$A$4+292)</f>
        <v>46315</v>
      </c>
      <c r="N29296">
        <f>IF(M29296="","",'Master Barang'!A90)</f>
        <v>0</v>
      </c>
      <c r="O29296">
        <f>IF(N29296="","",'Master Barang'!B90)</f>
        <v>0</v>
      </c>
      <c r="P29296">
        <f>IF(OR(M29296="",N29296=""),"",SUMIFS('Barang Keluar'!$E:$E,'Barang Keluar'!$A:$A,M29296,'Barang Keluar'!$C:$C,N29296))</f>
        <v>0</v>
      </c>
    </row>
    <row r="29297" spans="13:16">
      <c r="M29297" s="49">
        <f>IF($A$4+292&gt;$B$4,"",$A$4+292)</f>
        <v>46315</v>
      </c>
      <c r="N29297">
        <f>IF(M29297="","",'Master Barang'!A91)</f>
        <v>0</v>
      </c>
      <c r="O29297">
        <f>IF(N29297="","",'Master Barang'!B91)</f>
        <v>0</v>
      </c>
      <c r="P29297">
        <f>IF(OR(M29297="",N29297=""),"",SUMIFS('Barang Keluar'!$E:$E,'Barang Keluar'!$A:$A,M29297,'Barang Keluar'!$C:$C,N29297))</f>
        <v>0</v>
      </c>
    </row>
    <row r="29298" spans="13:16">
      <c r="M29298" s="49">
        <f>IF($A$4+292&gt;$B$4,"",$A$4+292)</f>
        <v>46315</v>
      </c>
      <c r="N29298">
        <f>IF(M29298="","",'Master Barang'!A92)</f>
        <v>0</v>
      </c>
      <c r="O29298">
        <f>IF(N29298="","",'Master Barang'!B92)</f>
        <v>0</v>
      </c>
      <c r="P29298">
        <f>IF(OR(M29298="",N29298=""),"",SUMIFS('Barang Keluar'!$E:$E,'Barang Keluar'!$A:$A,M29298,'Barang Keluar'!$C:$C,N29298))</f>
        <v>0</v>
      </c>
    </row>
    <row r="29299" spans="13:16">
      <c r="M29299" s="49">
        <f>IF($A$4+292&gt;$B$4,"",$A$4+292)</f>
        <v>46315</v>
      </c>
      <c r="N29299">
        <f>IF(M29299="","",'Master Barang'!A93)</f>
        <v>0</v>
      </c>
      <c r="O29299">
        <f>IF(N29299="","",'Master Barang'!B93)</f>
        <v>0</v>
      </c>
      <c r="P29299">
        <f>IF(OR(M29299="",N29299=""),"",SUMIFS('Barang Keluar'!$E:$E,'Barang Keluar'!$A:$A,M29299,'Barang Keluar'!$C:$C,N29299))</f>
        <v>0</v>
      </c>
    </row>
    <row r="29300" spans="13:16">
      <c r="M29300" s="49">
        <f>IF($A$4+292&gt;$B$4,"",$A$4+292)</f>
        <v>46315</v>
      </c>
      <c r="N29300">
        <f>IF(M29300="","",'Master Barang'!A94)</f>
        <v>0</v>
      </c>
      <c r="O29300">
        <f>IF(N29300="","",'Master Barang'!B94)</f>
        <v>0</v>
      </c>
      <c r="P29300">
        <f>IF(OR(M29300="",N29300=""),"",SUMIFS('Barang Keluar'!$E:$E,'Barang Keluar'!$A:$A,M29300,'Barang Keluar'!$C:$C,N29300))</f>
        <v>0</v>
      </c>
    </row>
    <row r="29301" spans="13:16">
      <c r="M29301" s="49">
        <f>IF($A$4+292&gt;$B$4,"",$A$4+292)</f>
        <v>46315</v>
      </c>
      <c r="N29301">
        <f>IF(M29301="","",'Master Barang'!A95)</f>
        <v>0</v>
      </c>
      <c r="O29301">
        <f>IF(N29301="","",'Master Barang'!B95)</f>
        <v>0</v>
      </c>
      <c r="P29301">
        <f>IF(OR(M29301="",N29301=""),"",SUMIFS('Barang Keluar'!$E:$E,'Barang Keluar'!$A:$A,M29301,'Barang Keluar'!$C:$C,N29301))</f>
        <v>0</v>
      </c>
    </row>
    <row r="29302" spans="13:16">
      <c r="M29302" s="49">
        <f>IF($A$4+292&gt;$B$4,"",$A$4+292)</f>
        <v>46315</v>
      </c>
      <c r="N29302">
        <f>IF(M29302="","",'Master Barang'!A96)</f>
        <v>0</v>
      </c>
      <c r="O29302">
        <f>IF(N29302="","",'Master Barang'!B96)</f>
        <v>0</v>
      </c>
      <c r="P29302">
        <f>IF(OR(M29302="",N29302=""),"",SUMIFS('Barang Keluar'!$E:$E,'Barang Keluar'!$A:$A,M29302,'Barang Keluar'!$C:$C,N29302))</f>
        <v>0</v>
      </c>
    </row>
    <row r="29303" spans="13:16">
      <c r="M29303" s="49">
        <f>IF($A$4+292&gt;$B$4,"",$A$4+292)</f>
        <v>46315</v>
      </c>
      <c r="N29303">
        <f>IF(M29303="","",'Master Barang'!A97)</f>
        <v>0</v>
      </c>
      <c r="O29303">
        <f>IF(N29303="","",'Master Barang'!B97)</f>
        <v>0</v>
      </c>
      <c r="P29303">
        <f>IF(OR(M29303="",N29303=""),"",SUMIFS('Barang Keluar'!$E:$E,'Barang Keluar'!$A:$A,M29303,'Barang Keluar'!$C:$C,N29303))</f>
        <v>0</v>
      </c>
    </row>
    <row r="29304" spans="13:16">
      <c r="M29304" s="49">
        <f>IF($A$4+292&gt;$B$4,"",$A$4+292)</f>
        <v>46315</v>
      </c>
      <c r="N29304">
        <f>IF(M29304="","",'Master Barang'!A98)</f>
        <v>0</v>
      </c>
      <c r="O29304">
        <f>IF(N29304="","",'Master Barang'!B98)</f>
        <v>0</v>
      </c>
      <c r="P29304">
        <f>IF(OR(M29304="",N29304=""),"",SUMIFS('Barang Keluar'!$E:$E,'Barang Keluar'!$A:$A,M29304,'Barang Keluar'!$C:$C,N29304))</f>
        <v>0</v>
      </c>
    </row>
    <row r="29305" spans="13:16">
      <c r="M29305" s="49">
        <f>IF($A$4+292&gt;$B$4,"",$A$4+292)</f>
        <v>46315</v>
      </c>
      <c r="N29305">
        <f>IF(M29305="","",'Master Barang'!A99)</f>
        <v>0</v>
      </c>
      <c r="O29305">
        <f>IF(N29305="","",'Master Barang'!B99)</f>
        <v>0</v>
      </c>
      <c r="P29305">
        <f>IF(OR(M29305="",N29305=""),"",SUMIFS('Barang Keluar'!$E:$E,'Barang Keluar'!$A:$A,M29305,'Barang Keluar'!$C:$C,N29305))</f>
        <v>0</v>
      </c>
    </row>
    <row r="29306" spans="13:16">
      <c r="M29306" s="49">
        <f>IF($A$4+292&gt;$B$4,"",$A$4+292)</f>
        <v>46315</v>
      </c>
      <c r="N29306">
        <f>IF(M29306="","",'Master Barang'!A100)</f>
        <v>0</v>
      </c>
      <c r="O29306">
        <f>IF(N29306="","",'Master Barang'!B100)</f>
        <v>0</v>
      </c>
      <c r="P29306">
        <f>IF(OR(M29306="",N29306=""),"",SUMIFS('Barang Keluar'!$E:$E,'Barang Keluar'!$A:$A,M29306,'Barang Keluar'!$C:$C,N29306))</f>
        <v>0</v>
      </c>
    </row>
    <row r="29307" spans="13:16">
      <c r="M29307" s="49">
        <f>IF($A$4+292&gt;$B$4,"",$A$4+292)</f>
        <v>46315</v>
      </c>
      <c r="N29307">
        <f>IF(M29307="","",'Master Barang'!A101)</f>
        <v>0</v>
      </c>
      <c r="O29307">
        <f>IF(N29307="","",'Master Barang'!B101)</f>
        <v>0</v>
      </c>
      <c r="P29307">
        <f>IF(OR(M29307="",N29307=""),"",SUMIFS('Barang Keluar'!$E:$E,'Barang Keluar'!$A:$A,M29307,'Barang Keluar'!$C:$C,N29307))</f>
        <v>0</v>
      </c>
    </row>
    <row r="29308" spans="13:16">
      <c r="M29308" s="49">
        <f>IF($A$4+293&gt;$B$4,"",$A$4+293)</f>
        <v>46316</v>
      </c>
      <c r="N29308" t="str">
        <f>IF(M29308="","",'Master Barang'!A2)</f>
        <v>PRL-001</v>
      </c>
      <c r="O29308" t="str">
        <f>IF(N29308="","",'Master Barang'!B2)</f>
        <v>natura desinfectant food grade 5l</v>
      </c>
      <c r="P29308">
        <f>IF(OR(M29308="",N29308=""),"",SUMIFS('Barang Keluar'!$E:$E,'Barang Keluar'!$A:$A,M29308,'Barang Keluar'!$C:$C,N29308))</f>
        <v>0</v>
      </c>
    </row>
    <row r="29309" spans="13:16">
      <c r="M29309" s="49">
        <f>IF($A$4+293&gt;$B$4,"",$A$4+293)</f>
        <v>46316</v>
      </c>
      <c r="N29309" t="str">
        <f>IF(M29309="","",'Master Barang'!A3)</f>
        <v>PRL-002</v>
      </c>
      <c r="O29309" t="str">
        <f>IF(N29309="","",'Master Barang'!B3)</f>
        <v>sunlight cairan pencuci piring 5l</v>
      </c>
      <c r="P29309">
        <f>IF(OR(M29309="",N29309=""),"",SUMIFS('Barang Keluar'!$E:$E,'Barang Keluar'!$A:$A,M29309,'Barang Keluar'!$C:$C,N29309))</f>
        <v>0</v>
      </c>
    </row>
    <row r="29310" spans="13:16">
      <c r="M29310" s="49">
        <f>IF($A$4+293&gt;$B$4,"",$A$4+293)</f>
        <v>46316</v>
      </c>
      <c r="N29310" t="str">
        <f>IF(M29310="","",'Master Barang'!A4)</f>
        <v>PRL-003</v>
      </c>
      <c r="O29310" t="str">
        <f>IF(N29310="","",'Master Barang'!B4)</f>
        <v>oixs cleaner 1l</v>
      </c>
      <c r="P29310">
        <f>IF(OR(M29310="",N29310=""),"",SUMIFS('Barang Keluar'!$E:$E,'Barang Keluar'!$A:$A,M29310,'Barang Keluar'!$C:$C,N29310))</f>
        <v>0</v>
      </c>
    </row>
    <row r="29311" spans="13:16">
      <c r="M29311" s="49">
        <f>IF($A$4+293&gt;$B$4,"",$A$4+293)</f>
        <v>46316</v>
      </c>
      <c r="N29311" t="str">
        <f>IF(M29311="","",'Master Barang'!A5)</f>
        <v>PRL-004</v>
      </c>
      <c r="O29311" t="str">
        <f>IF(N29311="","",'Master Barang'!B5)</f>
        <v>be clean tissue serbaguna</v>
      </c>
      <c r="P29311">
        <f>IF(OR(M29311="",N29311=""),"",SUMIFS('Barang Keluar'!$E:$E,'Barang Keluar'!$A:$A,M29311,'Barang Keluar'!$C:$C,N29311))</f>
        <v>0</v>
      </c>
    </row>
    <row r="29312" spans="13:16">
      <c r="M29312" s="49">
        <f>IF($A$4+293&gt;$B$4,"",$A$4+293)</f>
        <v>46316</v>
      </c>
      <c r="N29312" t="str">
        <f>IF(M29312="","",'Master Barang'!A6)</f>
        <v>PRL-005</v>
      </c>
      <c r="O29312" t="str">
        <f>IF(N29312="","",'Master Barang'!B6)</f>
        <v>spons cuci hijau</v>
      </c>
      <c r="P29312">
        <f>IF(OR(M29312="",N29312=""),"",SUMIFS('Barang Keluar'!$E:$E,'Barang Keluar'!$A:$A,M29312,'Barang Keluar'!$C:$C,N29312))</f>
        <v>0</v>
      </c>
    </row>
    <row r="29313" spans="13:16">
      <c r="M29313" s="49">
        <f>IF($A$4+293&gt;$B$4,"",$A$4+293)</f>
        <v>46316</v>
      </c>
      <c r="N29313" t="str">
        <f>IF(M29313="","",'Master Barang'!A7)</f>
        <v>PRL-006</v>
      </c>
      <c r="O29313" t="str">
        <f>IF(N29313="","",'Master Barang'!B7)</f>
        <v>sabut cuci stainless</v>
      </c>
      <c r="P29313">
        <f>IF(OR(M29313="",N29313=""),"",SUMIFS('Barang Keluar'!$E:$E,'Barang Keluar'!$A:$A,M29313,'Barang Keluar'!$C:$C,N29313))</f>
        <v>0</v>
      </c>
    </row>
    <row r="29314" spans="13:16">
      <c r="M29314" s="49">
        <f>IF($A$4+293&gt;$B$4,"",$A$4+293)</f>
        <v>46316</v>
      </c>
      <c r="N29314" t="str">
        <f>IF(M29314="","",'Master Barang'!A8)</f>
        <v>PRL-007</v>
      </c>
      <c r="O29314" t="str">
        <f>IF(N29314="","",'Master Barang'!B8)</f>
        <v>plastik kresek besar merah 50pc</v>
      </c>
      <c r="P29314">
        <f>IF(OR(M29314="",N29314=""),"",SUMIFS('Barang Keluar'!$E:$E,'Barang Keluar'!$A:$A,M29314,'Barang Keluar'!$C:$C,N29314))</f>
        <v>0</v>
      </c>
    </row>
    <row r="29315" spans="13:16">
      <c r="M29315" s="49">
        <f>IF($A$4+293&gt;$B$4,"",$A$4+293)</f>
        <v>46316</v>
      </c>
      <c r="N29315" t="str">
        <f>IF(M29315="","",'Master Barang'!A9)</f>
        <v>PRL-008</v>
      </c>
      <c r="O29315" t="str">
        <f>IF(N29315="","",'Master Barang'!B9)</f>
        <v>lap besar</v>
      </c>
      <c r="P29315">
        <f>IF(OR(M29315="",N29315=""),"",SUMIFS('Barang Keluar'!$E:$E,'Barang Keluar'!$A:$A,M29315,'Barang Keluar'!$C:$C,N29315))</f>
        <v>0</v>
      </c>
    </row>
    <row r="29316" spans="13:16">
      <c r="M29316" s="49">
        <f>IF($A$4+293&gt;$B$4,"",$A$4+293)</f>
        <v>46316</v>
      </c>
      <c r="N29316" t="str">
        <f>IF(M29316="","",'Master Barang'!A10)</f>
        <v>PRL-009</v>
      </c>
      <c r="O29316" t="str">
        <f>IF(N29316="","",'Master Barang'!B10)</f>
        <v>lap microfiber</v>
      </c>
      <c r="P29316">
        <f>IF(OR(M29316="",N29316=""),"",SUMIFS('Barang Keluar'!$E:$E,'Barang Keluar'!$A:$A,M29316,'Barang Keluar'!$C:$C,N29316))</f>
        <v>0</v>
      </c>
    </row>
    <row r="29317" spans="13:16">
      <c r="M29317" s="49">
        <f>IF($A$4+293&gt;$B$4,"",$A$4+293)</f>
        <v>46316</v>
      </c>
      <c r="N29317" t="str">
        <f>IF(M29317="","",'Master Barang'!A11)</f>
        <v>PRL-010</v>
      </c>
      <c r="O29317" t="str">
        <f>IF(N29317="","",'Master Barang'!B11)</f>
        <v>lap kecil</v>
      </c>
      <c r="P29317">
        <f>IF(OR(M29317="",N29317=""),"",SUMIFS('Barang Keluar'!$E:$E,'Barang Keluar'!$A:$A,M29317,'Barang Keluar'!$C:$C,N29317))</f>
        <v>0</v>
      </c>
    </row>
    <row r="29318" spans="13:16">
      <c r="M29318" s="49">
        <f>IF($A$4+293&gt;$B$4,"",$A$4+293)</f>
        <v>46316</v>
      </c>
      <c r="N29318" t="str">
        <f>IF(M29318="","",'Master Barang'!A12)</f>
        <v>PRL-011</v>
      </c>
      <c r="O29318" t="str">
        <f>IF(N29318="","",'Master Barang'!B12)</f>
        <v>kanebo kecil</v>
      </c>
      <c r="P29318">
        <f>IF(OR(M29318="",N29318=""),"",SUMIFS('Barang Keluar'!$E:$E,'Barang Keluar'!$A:$A,M29318,'Barang Keluar'!$C:$C,N29318))</f>
        <v>0</v>
      </c>
    </row>
    <row r="29319" spans="13:16">
      <c r="M29319" s="49">
        <f>IF($A$4+293&gt;$B$4,"",$A$4+293)</f>
        <v>46316</v>
      </c>
      <c r="N29319" t="str">
        <f>IF(M29319="","",'Master Barang'!A13)</f>
        <v>PRL-012</v>
      </c>
      <c r="O29319" t="str">
        <f>IF(N29319="","",'Master Barang'!B13)</f>
        <v>plastik 1/4kg joyoboyo 100 lembar</v>
      </c>
      <c r="P29319">
        <f>IF(OR(M29319="",N29319=""),"",SUMIFS('Barang Keluar'!$E:$E,'Barang Keluar'!$A:$A,M29319,'Barang Keluar'!$C:$C,N29319))</f>
        <v>0</v>
      </c>
    </row>
    <row r="29320" spans="13:16">
      <c r="M29320" s="49">
        <f>IF($A$4+293&gt;$B$4,"",$A$4+293)</f>
        <v>46316</v>
      </c>
      <c r="N29320" t="str">
        <f>IF(M29320="","",'Master Barang'!A14)</f>
        <v>PRL-013</v>
      </c>
      <c r="O29320" t="str">
        <f>IF(N29320="","",'Master Barang'!B14)</f>
        <v>sarung tangan plastik kaka 100 pcs</v>
      </c>
      <c r="P29320">
        <f>IF(OR(M29320="",N29320=""),"",SUMIFS('Barang Keluar'!$E:$E,'Barang Keluar'!$A:$A,M29320,'Barang Keluar'!$C:$C,N29320))</f>
        <v>0</v>
      </c>
    </row>
    <row r="29321" spans="13:16">
      <c r="M29321" s="49">
        <f>IF($A$4+293&gt;$B$4,"",$A$4+293)</f>
        <v>46316</v>
      </c>
      <c r="N29321" t="str">
        <f>IF(M29321="","",'Master Barang'!A15)</f>
        <v>PRL-014</v>
      </c>
      <c r="O29321" t="str">
        <f>IF(N29321="","",'Master Barang'!B15)</f>
        <v>optima trashbag 80x100</v>
      </c>
      <c r="P29321">
        <f>IF(OR(M29321="",N29321=""),"",SUMIFS('Barang Keluar'!$E:$E,'Barang Keluar'!$A:$A,M29321,'Barang Keluar'!$C:$C,N29321))</f>
        <v>0</v>
      </c>
    </row>
    <row r="29322" spans="13:16">
      <c r="M29322" s="49">
        <f>IF($A$4+293&gt;$B$4,"",$A$4+293)</f>
        <v>46316</v>
      </c>
      <c r="N29322" t="str">
        <f>IF(M29322="","",'Master Barang'!A16)</f>
        <v>PRL-015</v>
      </c>
      <c r="O29322" t="str">
        <f>IF(N29322="","",'Master Barang'!B16)</f>
        <v>optima trashbag 60x100</v>
      </c>
      <c r="P29322">
        <f>IF(OR(M29322="",N29322=""),"",SUMIFS('Barang Keluar'!$E:$E,'Barang Keluar'!$A:$A,M29322,'Barang Keluar'!$C:$C,N29322))</f>
        <v>0</v>
      </c>
    </row>
    <row r="29323" spans="13:16">
      <c r="M29323" s="49">
        <f>IF($A$4+293&gt;$B$4,"",$A$4+293)</f>
        <v>46316</v>
      </c>
      <c r="N29323" t="str">
        <f>IF(M29323="","",'Master Barang'!A17)</f>
        <v>PRL-016</v>
      </c>
      <c r="O29323" t="str">
        <f>IF(N29323="","",'Master Barang'!B17)</f>
        <v>rajawali trashbag 30x40</v>
      </c>
      <c r="P29323">
        <f>IF(OR(M29323="",N29323=""),"",SUMIFS('Barang Keluar'!$E:$E,'Barang Keluar'!$A:$A,M29323,'Barang Keluar'!$C:$C,N29323))</f>
        <v>0</v>
      </c>
    </row>
    <row r="29324" spans="13:16">
      <c r="M29324" s="49">
        <f>IF($A$4+293&gt;$B$4,"",$A$4+293)</f>
        <v>46316</v>
      </c>
      <c r="N29324" t="str">
        <f>IF(M29324="","",'Master Barang'!A18)</f>
        <v>PRL-017</v>
      </c>
      <c r="O29324" t="str">
        <f>IF(N29324="","",'Master Barang'!B18)</f>
        <v>onemed masker biru 3 play 50 pcs</v>
      </c>
      <c r="P29324">
        <f>IF(OR(M29324="",N29324=""),"",SUMIFS('Barang Keluar'!$E:$E,'Barang Keluar'!$A:$A,M29324,'Barang Keluar'!$C:$C,N29324))</f>
        <v>0</v>
      </c>
    </row>
    <row r="29325" spans="13:16">
      <c r="M29325" s="49">
        <f>IF($A$4+293&gt;$B$4,"",$A$4+293)</f>
        <v>46316</v>
      </c>
      <c r="N29325" t="str">
        <f>IF(M29325="","",'Master Barang'!A19)</f>
        <v>PRL-018</v>
      </c>
      <c r="O29325" t="str">
        <f>IF(N29325="","",'Master Barang'!B19)</f>
        <v>onemed masker biru 3 play hijab 50 pcs</v>
      </c>
      <c r="P29325">
        <f>IF(OR(M29325="",N29325=""),"",SUMIFS('Barang Keluar'!$E:$E,'Barang Keluar'!$A:$A,M29325,'Barang Keluar'!$C:$C,N29325))</f>
        <v>0</v>
      </c>
    </row>
    <row r="29326" spans="13:16">
      <c r="M29326" s="49">
        <f>IF($A$4+293&gt;$B$4,"",$A$4+293)</f>
        <v>46316</v>
      </c>
      <c r="N29326" t="str">
        <f>IF(M29326="","",'Master Barang'!A20)</f>
        <v>PRL-019</v>
      </c>
      <c r="O29326" t="str">
        <f>IF(N29326="","",'Master Barang'!B20)</f>
        <v>neo health masker biru 3 play 50 pcs</v>
      </c>
      <c r="P29326">
        <f>IF(OR(M29326="",N29326=""),"",SUMIFS('Barang Keluar'!$E:$E,'Barang Keluar'!$A:$A,M29326,'Barang Keluar'!$C:$C,N29326))</f>
        <v>0</v>
      </c>
    </row>
    <row r="29327" spans="13:16">
      <c r="M29327" s="49">
        <f>IF($A$4+293&gt;$B$4,"",$A$4+293)</f>
        <v>46316</v>
      </c>
      <c r="N29327" t="str">
        <f>IF(M29327="","",'Master Barang'!A21)</f>
        <v>PRL-020</v>
      </c>
      <c r="O29327" t="str">
        <f>IF(N29327="","",'Master Barang'!B21)</f>
        <v>baymed masker hijau 3 play hijau 50 pcs</v>
      </c>
      <c r="P29327">
        <f>IF(OR(M29327="",N29327=""),"",SUMIFS('Barang Keluar'!$E:$E,'Barang Keluar'!$A:$A,M29327,'Barang Keluar'!$C:$C,N29327))</f>
        <v>0</v>
      </c>
    </row>
    <row r="29328" spans="13:16">
      <c r="M29328" s="49">
        <f>IF($A$4+293&gt;$B$4,"",$A$4+293)</f>
        <v>46316</v>
      </c>
      <c r="N29328" t="str">
        <f>IF(M29328="","",'Master Barang'!A22)</f>
        <v>PRL-021</v>
      </c>
      <c r="O29328" t="str">
        <f>IF(N29328="","",'Master Barang'!B22)</f>
        <v>altamed nurse cap penutup kepala 100 pcs</v>
      </c>
      <c r="P29328">
        <f>IF(OR(M29328="",N29328=""),"",SUMIFS('Barang Keluar'!$E:$E,'Barang Keluar'!$A:$A,M29328,'Barang Keluar'!$C:$C,N29328))</f>
        <v>0</v>
      </c>
    </row>
    <row r="29329" spans="13:16">
      <c r="M29329" s="49">
        <f>IF($A$4+293&gt;$B$4,"",$A$4+293)</f>
        <v>46316</v>
      </c>
      <c r="N29329" t="str">
        <f>IF(M29329="","",'Master Barang'!A23)</f>
        <v>PRL-022</v>
      </c>
      <c r="O29329" t="str">
        <f>IF(N29329="","",'Master Barang'!B23)</f>
        <v>sabun cuci tangan</v>
      </c>
      <c r="P29329">
        <f>IF(OR(M29329="",N29329=""),"",SUMIFS('Barang Keluar'!$E:$E,'Barang Keluar'!$A:$A,M29329,'Barang Keluar'!$C:$C,N29329))</f>
        <v>0</v>
      </c>
    </row>
    <row r="29330" spans="13:16">
      <c r="M29330" s="49">
        <f>IF($A$4+293&gt;$B$4,"",$A$4+293)</f>
        <v>46316</v>
      </c>
      <c r="N29330" t="str">
        <f>IF(M29330="","",'Master Barang'!A24)</f>
        <v>PRL-023</v>
      </c>
      <c r="O29330" t="str">
        <f>IF(N29330="","",'Master Barang'!B24)</f>
        <v>gayung kecil</v>
      </c>
      <c r="P29330">
        <f>IF(OR(M29330="",N29330=""),"",SUMIFS('Barang Keluar'!$E:$E,'Barang Keluar'!$A:$A,M29330,'Barang Keluar'!$C:$C,N29330))</f>
        <v>0</v>
      </c>
    </row>
    <row r="29331" spans="13:16">
      <c r="M29331" s="49">
        <f>IF($A$4+293&gt;$B$4,"",$A$4+293)</f>
        <v>46316</v>
      </c>
      <c r="N29331" t="str">
        <f>IF(M29331="","",'Master Barang'!A25)</f>
        <v>PRL-024</v>
      </c>
      <c r="O29331" t="str">
        <f>IF(N29331="","",'Master Barang'!B25)</f>
        <v>cikrak kecil</v>
      </c>
      <c r="P29331">
        <f>IF(OR(M29331="",N29331=""),"",SUMIFS('Barang Keluar'!$E:$E,'Barang Keluar'!$A:$A,M29331,'Barang Keluar'!$C:$C,N29331))</f>
        <v>0</v>
      </c>
    </row>
    <row r="29332" spans="13:16">
      <c r="M29332" s="49">
        <f>IF($A$4+293&gt;$B$4,"",$A$4+293)</f>
        <v>46316</v>
      </c>
      <c r="N29332" t="str">
        <f>IF(M29332="","",'Master Barang'!A26)</f>
        <v>PRL-025</v>
      </c>
      <c r="O29332" t="str">
        <f>IF(N29332="","",'Master Barang'!B26)</f>
        <v>petromax plastik kecil 12x24 100 lembar</v>
      </c>
      <c r="P29332">
        <f>IF(OR(M29332="",N29332=""),"",SUMIFS('Barang Keluar'!$E:$E,'Barang Keluar'!$A:$A,M29332,'Barang Keluar'!$C:$C,N29332))</f>
        <v>0</v>
      </c>
    </row>
    <row r="29333" spans="13:16">
      <c r="M29333" s="49">
        <f>IF($A$4+293&gt;$B$4,"",$A$4+293)</f>
        <v>46316</v>
      </c>
      <c r="N29333" t="str">
        <f>IF(M29333="","",'Master Barang'!A27)</f>
        <v>PRL-026</v>
      </c>
      <c r="O29333" t="str">
        <f>IF(N29333="","",'Master Barang'!B27)</f>
        <v>lancar kresek kecil bening </v>
      </c>
      <c r="P29333">
        <f>IF(OR(M29333="",N29333=""),"",SUMIFS('Barang Keluar'!$E:$E,'Barang Keluar'!$A:$A,M29333,'Barang Keluar'!$C:$C,N29333))</f>
        <v>0</v>
      </c>
    </row>
    <row r="29334" spans="13:16">
      <c r="M29334" s="49">
        <f>IF($A$4+293&gt;$B$4,"",$A$4+293)</f>
        <v>46316</v>
      </c>
      <c r="N29334" t="str">
        <f>IF(M29334="","",'Master Barang'!A28)</f>
        <v>PRL-027</v>
      </c>
      <c r="O29334" t="str">
        <f>IF(N29334="","",'Master Barang'!B28)</f>
        <v>kresek klin warna warni kecil</v>
      </c>
      <c r="P29334">
        <f>IF(OR(M29334="",N29334=""),"",SUMIFS('Barang Keluar'!$E:$E,'Barang Keluar'!$A:$A,M29334,'Barang Keluar'!$C:$C,N29334))</f>
        <v>0</v>
      </c>
    </row>
    <row r="29335" spans="13:16">
      <c r="M29335" s="49">
        <f>IF($A$4+293&gt;$B$4,"",$A$4+293)</f>
        <v>46316</v>
      </c>
      <c r="N29335" t="str">
        <f>IF(M29335="","",'Master Barang'!A29)</f>
        <v>PRL-028</v>
      </c>
      <c r="O29335" t="str">
        <f>IF(N29335="","",'Master Barang'!B29)</f>
        <v>ctik plastik 7x10 100 pcs</v>
      </c>
      <c r="P29335">
        <f>IF(OR(M29335="",N29335=""),"",SUMIFS('Barang Keluar'!$E:$E,'Barang Keluar'!$A:$A,M29335,'Barang Keluar'!$C:$C,N29335))</f>
        <v>0</v>
      </c>
    </row>
    <row r="29336" spans="13:16">
      <c r="M29336" s="49">
        <f>IF($A$4+293&gt;$B$4,"",$A$4+293)</f>
        <v>46316</v>
      </c>
      <c r="N29336" t="str">
        <f>IF(M29336="","",'Master Barang'!A30)</f>
        <v>PRL-029</v>
      </c>
      <c r="O29336" t="str">
        <f>IF(N29336="","",'Master Barang'!B30)</f>
        <v>ctik plastik 6x10 100 pcs</v>
      </c>
      <c r="P29336">
        <f>IF(OR(M29336="",N29336=""),"",SUMIFS('Barang Keluar'!$E:$E,'Barang Keluar'!$A:$A,M29336,'Barang Keluar'!$C:$C,N29336))</f>
        <v>0</v>
      </c>
    </row>
    <row r="29337" spans="13:16">
      <c r="M29337" s="49">
        <f>IF($A$4+293&gt;$B$4,"",$A$4+293)</f>
        <v>46316</v>
      </c>
      <c r="N29337" t="str">
        <f>IF(M29337="","",'Master Barang'!A31)</f>
        <v>PRL-030</v>
      </c>
      <c r="O29337" t="str">
        <f>IF(N29337="","",'Master Barang'!B31)</f>
        <v>klip plastik 25x16 100 pcs</v>
      </c>
      <c r="P29337">
        <f>IF(OR(M29337="",N29337=""),"",SUMIFS('Barang Keluar'!$E:$E,'Barang Keluar'!$A:$A,M29337,'Barang Keluar'!$C:$C,N29337))</f>
        <v>0</v>
      </c>
    </row>
    <row r="29338" spans="13:16">
      <c r="M29338" s="49">
        <f>IF($A$4+293&gt;$B$4,"",$A$4+293)</f>
        <v>46316</v>
      </c>
      <c r="N29338" t="str">
        <f>IF(M29338="","",'Master Barang'!A32)</f>
        <v>PRL-031</v>
      </c>
      <c r="O29338" t="str">
        <f>IF(N29338="","",'Master Barang'!B32)</f>
        <v>tempat saus 20 ml</v>
      </c>
      <c r="P29338">
        <f>IF(OR(M29338="",N29338=""),"",SUMIFS('Barang Keluar'!$E:$E,'Barang Keluar'!$A:$A,M29338,'Barang Keluar'!$C:$C,N29338))</f>
        <v>0</v>
      </c>
    </row>
    <row r="29339" spans="13:16">
      <c r="M29339" s="49">
        <f>IF($A$4+293&gt;$B$4,"",$A$4+293)</f>
        <v>46316</v>
      </c>
      <c r="N29339" t="str">
        <f>IF(M29339="","",'Master Barang'!A33)</f>
        <v>PRL-032</v>
      </c>
      <c r="O29339" t="str">
        <f>IF(N29339="","",'Master Barang'!B33)</f>
        <v>plastik packaging ag box uk sedang</v>
      </c>
      <c r="P29339">
        <f>IF(OR(M29339="",N29339=""),"",SUMIFS('Barang Keluar'!$E:$E,'Barang Keluar'!$A:$A,M29339,'Barang Keluar'!$C:$C,N29339))</f>
        <v>0</v>
      </c>
    </row>
    <row r="29340" spans="13:16">
      <c r="M29340" s="49">
        <f>IF($A$4+293&gt;$B$4,"",$A$4+293)</f>
        <v>46316</v>
      </c>
      <c r="N29340" t="str">
        <f>IF(M29340="","",'Master Barang'!A34)</f>
        <v>PRL-033</v>
      </c>
      <c r="O29340">
        <f>IF(N29340="","",'Master Barang'!B34)</f>
        <v>0</v>
      </c>
      <c r="P29340">
        <f>IF(OR(M29340="",N29340=""),"",SUMIFS('Barang Keluar'!$E:$E,'Barang Keluar'!$A:$A,M29340,'Barang Keluar'!$C:$C,N29340))</f>
        <v>0</v>
      </c>
    </row>
    <row r="29341" spans="13:16">
      <c r="M29341" s="49">
        <f>IF($A$4+293&gt;$B$4,"",$A$4+293)</f>
        <v>46316</v>
      </c>
      <c r="N29341">
        <f>IF(M29341="","",'Master Barang'!A35)</f>
        <v>0</v>
      </c>
      <c r="O29341">
        <f>IF(N29341="","",'Master Barang'!B35)</f>
        <v>0</v>
      </c>
      <c r="P29341">
        <f>IF(OR(M29341="",N29341=""),"",SUMIFS('Barang Keluar'!$E:$E,'Barang Keluar'!$A:$A,M29341,'Barang Keluar'!$C:$C,N29341))</f>
        <v>0</v>
      </c>
    </row>
    <row r="29342" spans="13:16">
      <c r="M29342" s="49">
        <f>IF($A$4+293&gt;$B$4,"",$A$4+293)</f>
        <v>46316</v>
      </c>
      <c r="N29342">
        <f>IF(M29342="","",'Master Barang'!A36)</f>
        <v>0</v>
      </c>
      <c r="O29342">
        <f>IF(N29342="","",'Master Barang'!B36)</f>
        <v>0</v>
      </c>
      <c r="P29342">
        <f>IF(OR(M29342="",N29342=""),"",SUMIFS('Barang Keluar'!$E:$E,'Barang Keluar'!$A:$A,M29342,'Barang Keluar'!$C:$C,N29342))</f>
        <v>0</v>
      </c>
    </row>
    <row r="29343" spans="13:16">
      <c r="M29343" s="49">
        <f>IF($A$4+293&gt;$B$4,"",$A$4+293)</f>
        <v>46316</v>
      </c>
      <c r="N29343">
        <f>IF(M29343="","",'Master Barang'!A37)</f>
        <v>0</v>
      </c>
      <c r="O29343">
        <f>IF(N29343="","",'Master Barang'!B37)</f>
        <v>0</v>
      </c>
      <c r="P29343">
        <f>IF(OR(M29343="",N29343=""),"",SUMIFS('Barang Keluar'!$E:$E,'Barang Keluar'!$A:$A,M29343,'Barang Keluar'!$C:$C,N29343))</f>
        <v>0</v>
      </c>
    </row>
    <row r="29344" spans="13:16">
      <c r="M29344" s="49">
        <f>IF($A$4+293&gt;$B$4,"",$A$4+293)</f>
        <v>46316</v>
      </c>
      <c r="N29344">
        <f>IF(M29344="","",'Master Barang'!A38)</f>
        <v>0</v>
      </c>
      <c r="O29344">
        <f>IF(N29344="","",'Master Barang'!B38)</f>
        <v>0</v>
      </c>
      <c r="P29344">
        <f>IF(OR(M29344="",N29344=""),"",SUMIFS('Barang Keluar'!$E:$E,'Barang Keluar'!$A:$A,M29344,'Barang Keluar'!$C:$C,N29344))</f>
        <v>0</v>
      </c>
    </row>
    <row r="29345" spans="13:16">
      <c r="M29345" s="49">
        <f>IF($A$4+293&gt;$B$4,"",$A$4+293)</f>
        <v>46316</v>
      </c>
      <c r="N29345">
        <f>IF(M29345="","",'Master Barang'!A39)</f>
        <v>0</v>
      </c>
      <c r="O29345">
        <f>IF(N29345="","",'Master Barang'!B39)</f>
        <v>0</v>
      </c>
      <c r="P29345">
        <f>IF(OR(M29345="",N29345=""),"",SUMIFS('Barang Keluar'!$E:$E,'Barang Keluar'!$A:$A,M29345,'Barang Keluar'!$C:$C,N29345))</f>
        <v>0</v>
      </c>
    </row>
    <row r="29346" spans="13:16">
      <c r="M29346" s="49">
        <f>IF($A$4+293&gt;$B$4,"",$A$4+293)</f>
        <v>46316</v>
      </c>
      <c r="N29346">
        <f>IF(M29346="","",'Master Barang'!A40)</f>
        <v>0</v>
      </c>
      <c r="O29346">
        <f>IF(N29346="","",'Master Barang'!B40)</f>
        <v>0</v>
      </c>
      <c r="P29346">
        <f>IF(OR(M29346="",N29346=""),"",SUMIFS('Barang Keluar'!$E:$E,'Barang Keluar'!$A:$A,M29346,'Barang Keluar'!$C:$C,N29346))</f>
        <v>0</v>
      </c>
    </row>
    <row r="29347" spans="13:16">
      <c r="M29347" s="49">
        <f>IF($A$4+293&gt;$B$4,"",$A$4+293)</f>
        <v>46316</v>
      </c>
      <c r="N29347">
        <f>IF(M29347="","",'Master Barang'!A41)</f>
        <v>0</v>
      </c>
      <c r="O29347">
        <f>IF(N29347="","",'Master Barang'!B41)</f>
        <v>0</v>
      </c>
      <c r="P29347">
        <f>IF(OR(M29347="",N29347=""),"",SUMIFS('Barang Keluar'!$E:$E,'Barang Keluar'!$A:$A,M29347,'Barang Keluar'!$C:$C,N29347))</f>
        <v>0</v>
      </c>
    </row>
    <row r="29348" spans="13:16">
      <c r="M29348" s="49">
        <f>IF($A$4+293&gt;$B$4,"",$A$4+293)</f>
        <v>46316</v>
      </c>
      <c r="N29348">
        <f>IF(M29348="","",'Master Barang'!A42)</f>
        <v>0</v>
      </c>
      <c r="O29348">
        <f>IF(N29348="","",'Master Barang'!B42)</f>
        <v>0</v>
      </c>
      <c r="P29348">
        <f>IF(OR(M29348="",N29348=""),"",SUMIFS('Barang Keluar'!$E:$E,'Barang Keluar'!$A:$A,M29348,'Barang Keluar'!$C:$C,N29348))</f>
        <v>0</v>
      </c>
    </row>
    <row r="29349" spans="13:16">
      <c r="M29349" s="49">
        <f>IF($A$4+293&gt;$B$4,"",$A$4+293)</f>
        <v>46316</v>
      </c>
      <c r="N29349">
        <f>IF(M29349="","",'Master Barang'!A43)</f>
        <v>0</v>
      </c>
      <c r="O29349">
        <f>IF(N29349="","",'Master Barang'!B43)</f>
        <v>0</v>
      </c>
      <c r="P29349">
        <f>IF(OR(M29349="",N29349=""),"",SUMIFS('Barang Keluar'!$E:$E,'Barang Keluar'!$A:$A,M29349,'Barang Keluar'!$C:$C,N29349))</f>
        <v>0</v>
      </c>
    </row>
    <row r="29350" spans="13:16">
      <c r="M29350" s="49">
        <f>IF($A$4+293&gt;$B$4,"",$A$4+293)</f>
        <v>46316</v>
      </c>
      <c r="N29350">
        <f>IF(M29350="","",'Master Barang'!A44)</f>
        <v>0</v>
      </c>
      <c r="O29350">
        <f>IF(N29350="","",'Master Barang'!B44)</f>
        <v>0</v>
      </c>
      <c r="P29350">
        <f>IF(OR(M29350="",N29350=""),"",SUMIFS('Barang Keluar'!$E:$E,'Barang Keluar'!$A:$A,M29350,'Barang Keluar'!$C:$C,N29350))</f>
        <v>0</v>
      </c>
    </row>
    <row r="29351" spans="13:16">
      <c r="M29351" s="49">
        <f>IF($A$4+293&gt;$B$4,"",$A$4+293)</f>
        <v>46316</v>
      </c>
      <c r="N29351">
        <f>IF(M29351="","",'Master Barang'!A45)</f>
        <v>0</v>
      </c>
      <c r="O29351">
        <f>IF(N29351="","",'Master Barang'!B45)</f>
        <v>0</v>
      </c>
      <c r="P29351">
        <f>IF(OR(M29351="",N29351=""),"",SUMIFS('Barang Keluar'!$E:$E,'Barang Keluar'!$A:$A,M29351,'Barang Keluar'!$C:$C,N29351))</f>
        <v>0</v>
      </c>
    </row>
    <row r="29352" spans="13:16">
      <c r="M29352" s="49">
        <f>IF($A$4+293&gt;$B$4,"",$A$4+293)</f>
        <v>46316</v>
      </c>
      <c r="N29352">
        <f>IF(M29352="","",'Master Barang'!A46)</f>
        <v>0</v>
      </c>
      <c r="O29352">
        <f>IF(N29352="","",'Master Barang'!B46)</f>
        <v>0</v>
      </c>
      <c r="P29352">
        <f>IF(OR(M29352="",N29352=""),"",SUMIFS('Barang Keluar'!$E:$E,'Barang Keluar'!$A:$A,M29352,'Barang Keluar'!$C:$C,N29352))</f>
        <v>0</v>
      </c>
    </row>
    <row r="29353" spans="13:16">
      <c r="M29353" s="49">
        <f>IF($A$4+293&gt;$B$4,"",$A$4+293)</f>
        <v>46316</v>
      </c>
      <c r="N29353">
        <f>IF(M29353="","",'Master Barang'!A47)</f>
        <v>0</v>
      </c>
      <c r="O29353">
        <f>IF(N29353="","",'Master Barang'!B47)</f>
        <v>0</v>
      </c>
      <c r="P29353">
        <f>IF(OR(M29353="",N29353=""),"",SUMIFS('Barang Keluar'!$E:$E,'Barang Keluar'!$A:$A,M29353,'Barang Keluar'!$C:$C,N29353))</f>
        <v>0</v>
      </c>
    </row>
    <row r="29354" spans="13:16">
      <c r="M29354" s="49">
        <f>IF($A$4+293&gt;$B$4,"",$A$4+293)</f>
        <v>46316</v>
      </c>
      <c r="N29354">
        <f>IF(M29354="","",'Master Barang'!A48)</f>
        <v>0</v>
      </c>
      <c r="O29354">
        <f>IF(N29354="","",'Master Barang'!B48)</f>
        <v>0</v>
      </c>
      <c r="P29354">
        <f>IF(OR(M29354="",N29354=""),"",SUMIFS('Barang Keluar'!$E:$E,'Barang Keluar'!$A:$A,M29354,'Barang Keluar'!$C:$C,N29354))</f>
        <v>0</v>
      </c>
    </row>
    <row r="29355" spans="13:16">
      <c r="M29355" s="49">
        <f>IF($A$4+293&gt;$B$4,"",$A$4+293)</f>
        <v>46316</v>
      </c>
      <c r="N29355">
        <f>IF(M29355="","",'Master Barang'!A49)</f>
        <v>0</v>
      </c>
      <c r="O29355">
        <f>IF(N29355="","",'Master Barang'!B49)</f>
        <v>0</v>
      </c>
      <c r="P29355">
        <f>IF(OR(M29355="",N29355=""),"",SUMIFS('Barang Keluar'!$E:$E,'Barang Keluar'!$A:$A,M29355,'Barang Keluar'!$C:$C,N29355))</f>
        <v>0</v>
      </c>
    </row>
    <row r="29356" spans="13:16">
      <c r="M29356" s="49">
        <f>IF($A$4+293&gt;$B$4,"",$A$4+293)</f>
        <v>46316</v>
      </c>
      <c r="N29356">
        <f>IF(M29356="","",'Master Barang'!A50)</f>
        <v>0</v>
      </c>
      <c r="O29356">
        <f>IF(N29356="","",'Master Barang'!B50)</f>
        <v>0</v>
      </c>
      <c r="P29356">
        <f>IF(OR(M29356="",N29356=""),"",SUMIFS('Barang Keluar'!$E:$E,'Barang Keluar'!$A:$A,M29356,'Barang Keluar'!$C:$C,N29356))</f>
        <v>0</v>
      </c>
    </row>
    <row r="29357" spans="13:16">
      <c r="M29357" s="49">
        <f>IF($A$4+293&gt;$B$4,"",$A$4+293)</f>
        <v>46316</v>
      </c>
      <c r="N29357">
        <f>IF(M29357="","",'Master Barang'!A51)</f>
        <v>0</v>
      </c>
      <c r="O29357">
        <f>IF(N29357="","",'Master Barang'!B51)</f>
        <v>0</v>
      </c>
      <c r="P29357">
        <f>IF(OR(M29357="",N29357=""),"",SUMIFS('Barang Keluar'!$E:$E,'Barang Keluar'!$A:$A,M29357,'Barang Keluar'!$C:$C,N29357))</f>
        <v>0</v>
      </c>
    </row>
    <row r="29358" spans="13:16">
      <c r="M29358" s="49">
        <f>IF($A$4+293&gt;$B$4,"",$A$4+293)</f>
        <v>46316</v>
      </c>
      <c r="N29358">
        <f>IF(M29358="","",'Master Barang'!A52)</f>
        <v>0</v>
      </c>
      <c r="O29358">
        <f>IF(N29358="","",'Master Barang'!B52)</f>
        <v>0</v>
      </c>
      <c r="P29358">
        <f>IF(OR(M29358="",N29358=""),"",SUMIFS('Barang Keluar'!$E:$E,'Barang Keluar'!$A:$A,M29358,'Barang Keluar'!$C:$C,N29358))</f>
        <v>0</v>
      </c>
    </row>
    <row r="29359" spans="13:16">
      <c r="M29359" s="49">
        <f>IF($A$4+293&gt;$B$4,"",$A$4+293)</f>
        <v>46316</v>
      </c>
      <c r="N29359">
        <f>IF(M29359="","",'Master Barang'!A53)</f>
        <v>0</v>
      </c>
      <c r="O29359">
        <f>IF(N29359="","",'Master Barang'!B53)</f>
        <v>0</v>
      </c>
      <c r="P29359">
        <f>IF(OR(M29359="",N29359=""),"",SUMIFS('Barang Keluar'!$E:$E,'Barang Keluar'!$A:$A,M29359,'Barang Keluar'!$C:$C,N29359))</f>
        <v>0</v>
      </c>
    </row>
    <row r="29360" spans="13:16">
      <c r="M29360" s="49">
        <f>IF($A$4+293&gt;$B$4,"",$A$4+293)</f>
        <v>46316</v>
      </c>
      <c r="N29360">
        <f>IF(M29360="","",'Master Barang'!A54)</f>
        <v>0</v>
      </c>
      <c r="O29360">
        <f>IF(N29360="","",'Master Barang'!B54)</f>
        <v>0</v>
      </c>
      <c r="P29360">
        <f>IF(OR(M29360="",N29360=""),"",SUMIFS('Barang Keluar'!$E:$E,'Barang Keluar'!$A:$A,M29360,'Barang Keluar'!$C:$C,N29360))</f>
        <v>0</v>
      </c>
    </row>
    <row r="29361" spans="13:16">
      <c r="M29361" s="49">
        <f>IF($A$4+293&gt;$B$4,"",$A$4+293)</f>
        <v>46316</v>
      </c>
      <c r="N29361">
        <f>IF(M29361="","",'Master Barang'!A55)</f>
        <v>0</v>
      </c>
      <c r="O29361">
        <f>IF(N29361="","",'Master Barang'!B55)</f>
        <v>0</v>
      </c>
      <c r="P29361">
        <f>IF(OR(M29361="",N29361=""),"",SUMIFS('Barang Keluar'!$E:$E,'Barang Keluar'!$A:$A,M29361,'Barang Keluar'!$C:$C,N29361))</f>
        <v>0</v>
      </c>
    </row>
    <row r="29362" spans="13:16">
      <c r="M29362" s="49">
        <f>IF($A$4+293&gt;$B$4,"",$A$4+293)</f>
        <v>46316</v>
      </c>
      <c r="N29362">
        <f>IF(M29362="","",'Master Barang'!A56)</f>
        <v>0</v>
      </c>
      <c r="O29362">
        <f>IF(N29362="","",'Master Barang'!B56)</f>
        <v>0</v>
      </c>
      <c r="P29362">
        <f>IF(OR(M29362="",N29362=""),"",SUMIFS('Barang Keluar'!$E:$E,'Barang Keluar'!$A:$A,M29362,'Barang Keluar'!$C:$C,N29362))</f>
        <v>0</v>
      </c>
    </row>
    <row r="29363" spans="13:16">
      <c r="M29363" s="49">
        <f>IF($A$4+293&gt;$B$4,"",$A$4+293)</f>
        <v>46316</v>
      </c>
      <c r="N29363">
        <f>IF(M29363="","",'Master Barang'!A57)</f>
        <v>0</v>
      </c>
      <c r="O29363">
        <f>IF(N29363="","",'Master Barang'!B57)</f>
        <v>0</v>
      </c>
      <c r="P29363">
        <f>IF(OR(M29363="",N29363=""),"",SUMIFS('Barang Keluar'!$E:$E,'Barang Keluar'!$A:$A,M29363,'Barang Keluar'!$C:$C,N29363))</f>
        <v>0</v>
      </c>
    </row>
    <row r="29364" spans="13:16">
      <c r="M29364" s="49">
        <f>IF($A$4+293&gt;$B$4,"",$A$4+293)</f>
        <v>46316</v>
      </c>
      <c r="N29364">
        <f>IF(M29364="","",'Master Barang'!A58)</f>
        <v>0</v>
      </c>
      <c r="O29364">
        <f>IF(N29364="","",'Master Barang'!B58)</f>
        <v>0</v>
      </c>
      <c r="P29364">
        <f>IF(OR(M29364="",N29364=""),"",SUMIFS('Barang Keluar'!$E:$E,'Barang Keluar'!$A:$A,M29364,'Barang Keluar'!$C:$C,N29364))</f>
        <v>0</v>
      </c>
    </row>
    <row r="29365" spans="13:16">
      <c r="M29365" s="49">
        <f>IF($A$4+293&gt;$B$4,"",$A$4+293)</f>
        <v>46316</v>
      </c>
      <c r="N29365">
        <f>IF(M29365="","",'Master Barang'!A59)</f>
        <v>0</v>
      </c>
      <c r="O29365">
        <f>IF(N29365="","",'Master Barang'!B59)</f>
        <v>0</v>
      </c>
      <c r="P29365">
        <f>IF(OR(M29365="",N29365=""),"",SUMIFS('Barang Keluar'!$E:$E,'Barang Keluar'!$A:$A,M29365,'Barang Keluar'!$C:$C,N29365))</f>
        <v>0</v>
      </c>
    </row>
    <row r="29366" spans="13:16">
      <c r="M29366" s="49">
        <f>IF($A$4+293&gt;$B$4,"",$A$4+293)</f>
        <v>46316</v>
      </c>
      <c r="N29366">
        <f>IF(M29366="","",'Master Barang'!A60)</f>
        <v>0</v>
      </c>
      <c r="O29366">
        <f>IF(N29366="","",'Master Barang'!B60)</f>
        <v>0</v>
      </c>
      <c r="P29366">
        <f>IF(OR(M29366="",N29366=""),"",SUMIFS('Barang Keluar'!$E:$E,'Barang Keluar'!$A:$A,M29366,'Barang Keluar'!$C:$C,N29366))</f>
        <v>0</v>
      </c>
    </row>
    <row r="29367" spans="13:16">
      <c r="M29367" s="49">
        <f>IF($A$4+293&gt;$B$4,"",$A$4+293)</f>
        <v>46316</v>
      </c>
      <c r="N29367">
        <f>IF(M29367="","",'Master Barang'!A61)</f>
        <v>0</v>
      </c>
      <c r="O29367">
        <f>IF(N29367="","",'Master Barang'!B61)</f>
        <v>0</v>
      </c>
      <c r="P29367">
        <f>IF(OR(M29367="",N29367=""),"",SUMIFS('Barang Keluar'!$E:$E,'Barang Keluar'!$A:$A,M29367,'Barang Keluar'!$C:$C,N29367))</f>
        <v>0</v>
      </c>
    </row>
    <row r="29368" spans="13:16">
      <c r="M29368" s="49">
        <f>IF($A$4+293&gt;$B$4,"",$A$4+293)</f>
        <v>46316</v>
      </c>
      <c r="N29368">
        <f>IF(M29368="","",'Master Barang'!A62)</f>
        <v>0</v>
      </c>
      <c r="O29368">
        <f>IF(N29368="","",'Master Barang'!B62)</f>
        <v>0</v>
      </c>
      <c r="P29368">
        <f>IF(OR(M29368="",N29368=""),"",SUMIFS('Barang Keluar'!$E:$E,'Barang Keluar'!$A:$A,M29368,'Barang Keluar'!$C:$C,N29368))</f>
        <v>0</v>
      </c>
    </row>
    <row r="29369" spans="13:16">
      <c r="M29369" s="49">
        <f>IF($A$4+293&gt;$B$4,"",$A$4+293)</f>
        <v>46316</v>
      </c>
      <c r="N29369">
        <f>IF(M29369="","",'Master Barang'!A63)</f>
        <v>0</v>
      </c>
      <c r="O29369">
        <f>IF(N29369="","",'Master Barang'!B63)</f>
        <v>0</v>
      </c>
      <c r="P29369">
        <f>IF(OR(M29369="",N29369=""),"",SUMIFS('Barang Keluar'!$E:$E,'Barang Keluar'!$A:$A,M29369,'Barang Keluar'!$C:$C,N29369))</f>
        <v>0</v>
      </c>
    </row>
    <row r="29370" spans="13:16">
      <c r="M29370" s="49">
        <f>IF($A$4+293&gt;$B$4,"",$A$4+293)</f>
        <v>46316</v>
      </c>
      <c r="N29370">
        <f>IF(M29370="","",'Master Barang'!A64)</f>
        <v>0</v>
      </c>
      <c r="O29370">
        <f>IF(N29370="","",'Master Barang'!B64)</f>
        <v>0</v>
      </c>
      <c r="P29370">
        <f>IF(OR(M29370="",N29370=""),"",SUMIFS('Barang Keluar'!$E:$E,'Barang Keluar'!$A:$A,M29370,'Barang Keluar'!$C:$C,N29370))</f>
        <v>0</v>
      </c>
    </row>
    <row r="29371" spans="13:16">
      <c r="M29371" s="49">
        <f>IF($A$4+293&gt;$B$4,"",$A$4+293)</f>
        <v>46316</v>
      </c>
      <c r="N29371">
        <f>IF(M29371="","",'Master Barang'!A65)</f>
        <v>0</v>
      </c>
      <c r="O29371">
        <f>IF(N29371="","",'Master Barang'!B65)</f>
        <v>0</v>
      </c>
      <c r="P29371">
        <f>IF(OR(M29371="",N29371=""),"",SUMIFS('Barang Keluar'!$E:$E,'Barang Keluar'!$A:$A,M29371,'Barang Keluar'!$C:$C,N29371))</f>
        <v>0</v>
      </c>
    </row>
    <row r="29372" spans="13:16">
      <c r="M29372" s="49">
        <f>IF($A$4+293&gt;$B$4,"",$A$4+293)</f>
        <v>46316</v>
      </c>
      <c r="N29372">
        <f>IF(M29372="","",'Master Barang'!A66)</f>
        <v>0</v>
      </c>
      <c r="O29372">
        <f>IF(N29372="","",'Master Barang'!B66)</f>
        <v>0</v>
      </c>
      <c r="P29372">
        <f>IF(OR(M29372="",N29372=""),"",SUMIFS('Barang Keluar'!$E:$E,'Barang Keluar'!$A:$A,M29372,'Barang Keluar'!$C:$C,N29372))</f>
        <v>0</v>
      </c>
    </row>
    <row r="29373" spans="13:16">
      <c r="M29373" s="49">
        <f>IF($A$4+293&gt;$B$4,"",$A$4+293)</f>
        <v>46316</v>
      </c>
      <c r="N29373">
        <f>IF(M29373="","",'Master Barang'!A67)</f>
        <v>0</v>
      </c>
      <c r="O29373">
        <f>IF(N29373="","",'Master Barang'!B67)</f>
        <v>0</v>
      </c>
      <c r="P29373">
        <f>IF(OR(M29373="",N29373=""),"",SUMIFS('Barang Keluar'!$E:$E,'Barang Keluar'!$A:$A,M29373,'Barang Keluar'!$C:$C,N29373))</f>
        <v>0</v>
      </c>
    </row>
    <row r="29374" spans="13:16">
      <c r="M29374" s="49">
        <f>IF($A$4+293&gt;$B$4,"",$A$4+293)</f>
        <v>46316</v>
      </c>
      <c r="N29374">
        <f>IF(M29374="","",'Master Barang'!A68)</f>
        <v>0</v>
      </c>
      <c r="O29374">
        <f>IF(N29374="","",'Master Barang'!B68)</f>
        <v>0</v>
      </c>
      <c r="P29374">
        <f>IF(OR(M29374="",N29374=""),"",SUMIFS('Barang Keluar'!$E:$E,'Barang Keluar'!$A:$A,M29374,'Barang Keluar'!$C:$C,N29374))</f>
        <v>0</v>
      </c>
    </row>
    <row r="29375" spans="13:16">
      <c r="M29375" s="49">
        <f>IF($A$4+293&gt;$B$4,"",$A$4+293)</f>
        <v>46316</v>
      </c>
      <c r="N29375">
        <f>IF(M29375="","",'Master Barang'!A69)</f>
        <v>0</v>
      </c>
      <c r="O29375">
        <f>IF(N29375="","",'Master Barang'!B69)</f>
        <v>0</v>
      </c>
      <c r="P29375">
        <f>IF(OR(M29375="",N29375=""),"",SUMIFS('Barang Keluar'!$E:$E,'Barang Keluar'!$A:$A,M29375,'Barang Keluar'!$C:$C,N29375))</f>
        <v>0</v>
      </c>
    </row>
    <row r="29376" spans="13:16">
      <c r="M29376" s="49">
        <f>IF($A$4+293&gt;$B$4,"",$A$4+293)</f>
        <v>46316</v>
      </c>
      <c r="N29376">
        <f>IF(M29376="","",'Master Barang'!A70)</f>
        <v>0</v>
      </c>
      <c r="O29376">
        <f>IF(N29376="","",'Master Barang'!B70)</f>
        <v>0</v>
      </c>
      <c r="P29376">
        <f>IF(OR(M29376="",N29376=""),"",SUMIFS('Barang Keluar'!$E:$E,'Barang Keluar'!$A:$A,M29376,'Barang Keluar'!$C:$C,N29376))</f>
        <v>0</v>
      </c>
    </row>
    <row r="29377" spans="13:16">
      <c r="M29377" s="49">
        <f>IF($A$4+293&gt;$B$4,"",$A$4+293)</f>
        <v>46316</v>
      </c>
      <c r="N29377">
        <f>IF(M29377="","",'Master Barang'!A71)</f>
        <v>0</v>
      </c>
      <c r="O29377">
        <f>IF(N29377="","",'Master Barang'!B71)</f>
        <v>0</v>
      </c>
      <c r="P29377">
        <f>IF(OR(M29377="",N29377=""),"",SUMIFS('Barang Keluar'!$E:$E,'Barang Keluar'!$A:$A,M29377,'Barang Keluar'!$C:$C,N29377))</f>
        <v>0</v>
      </c>
    </row>
    <row r="29378" spans="13:16">
      <c r="M29378" s="49">
        <f>IF($A$4+293&gt;$B$4,"",$A$4+293)</f>
        <v>46316</v>
      </c>
      <c r="N29378">
        <f>IF(M29378="","",'Master Barang'!A72)</f>
        <v>0</v>
      </c>
      <c r="O29378">
        <f>IF(N29378="","",'Master Barang'!B72)</f>
        <v>0</v>
      </c>
      <c r="P29378">
        <f>IF(OR(M29378="",N29378=""),"",SUMIFS('Barang Keluar'!$E:$E,'Barang Keluar'!$A:$A,M29378,'Barang Keluar'!$C:$C,N29378))</f>
        <v>0</v>
      </c>
    </row>
    <row r="29379" spans="13:16">
      <c r="M29379" s="49">
        <f>IF($A$4+293&gt;$B$4,"",$A$4+293)</f>
        <v>46316</v>
      </c>
      <c r="N29379">
        <f>IF(M29379="","",'Master Barang'!A73)</f>
        <v>0</v>
      </c>
      <c r="O29379">
        <f>IF(N29379="","",'Master Barang'!B73)</f>
        <v>0</v>
      </c>
      <c r="P29379">
        <f>IF(OR(M29379="",N29379=""),"",SUMIFS('Barang Keluar'!$E:$E,'Barang Keluar'!$A:$A,M29379,'Barang Keluar'!$C:$C,N29379))</f>
        <v>0</v>
      </c>
    </row>
    <row r="29380" spans="13:16">
      <c r="M29380" s="49">
        <f>IF($A$4+293&gt;$B$4,"",$A$4+293)</f>
        <v>46316</v>
      </c>
      <c r="N29380">
        <f>IF(M29380="","",'Master Barang'!A74)</f>
        <v>0</v>
      </c>
      <c r="O29380">
        <f>IF(N29380="","",'Master Barang'!B74)</f>
        <v>0</v>
      </c>
      <c r="P29380">
        <f>IF(OR(M29380="",N29380=""),"",SUMIFS('Barang Keluar'!$E:$E,'Barang Keluar'!$A:$A,M29380,'Barang Keluar'!$C:$C,N29380))</f>
        <v>0</v>
      </c>
    </row>
    <row r="29381" spans="13:16">
      <c r="M29381" s="49">
        <f>IF($A$4+293&gt;$B$4,"",$A$4+293)</f>
        <v>46316</v>
      </c>
      <c r="N29381">
        <f>IF(M29381="","",'Master Barang'!A75)</f>
        <v>0</v>
      </c>
      <c r="O29381">
        <f>IF(N29381="","",'Master Barang'!B75)</f>
        <v>0</v>
      </c>
      <c r="P29381">
        <f>IF(OR(M29381="",N29381=""),"",SUMIFS('Barang Keluar'!$E:$E,'Barang Keluar'!$A:$A,M29381,'Barang Keluar'!$C:$C,N29381))</f>
        <v>0</v>
      </c>
    </row>
    <row r="29382" spans="13:16">
      <c r="M29382" s="49">
        <f>IF($A$4+293&gt;$B$4,"",$A$4+293)</f>
        <v>46316</v>
      </c>
      <c r="N29382">
        <f>IF(M29382="","",'Master Barang'!A76)</f>
        <v>0</v>
      </c>
      <c r="O29382">
        <f>IF(N29382="","",'Master Barang'!B76)</f>
        <v>0</v>
      </c>
      <c r="P29382">
        <f>IF(OR(M29382="",N29382=""),"",SUMIFS('Barang Keluar'!$E:$E,'Barang Keluar'!$A:$A,M29382,'Barang Keluar'!$C:$C,N29382))</f>
        <v>0</v>
      </c>
    </row>
    <row r="29383" spans="13:16">
      <c r="M29383" s="49">
        <f>IF($A$4+293&gt;$B$4,"",$A$4+293)</f>
        <v>46316</v>
      </c>
      <c r="N29383">
        <f>IF(M29383="","",'Master Barang'!A77)</f>
        <v>0</v>
      </c>
      <c r="O29383">
        <f>IF(N29383="","",'Master Barang'!B77)</f>
        <v>0</v>
      </c>
      <c r="P29383">
        <f>IF(OR(M29383="",N29383=""),"",SUMIFS('Barang Keluar'!$E:$E,'Barang Keluar'!$A:$A,M29383,'Barang Keluar'!$C:$C,N29383))</f>
        <v>0</v>
      </c>
    </row>
    <row r="29384" spans="13:16">
      <c r="M29384" s="49">
        <f>IF($A$4+293&gt;$B$4,"",$A$4+293)</f>
        <v>46316</v>
      </c>
      <c r="N29384">
        <f>IF(M29384="","",'Master Barang'!A78)</f>
        <v>0</v>
      </c>
      <c r="O29384">
        <f>IF(N29384="","",'Master Barang'!B78)</f>
        <v>0</v>
      </c>
      <c r="P29384">
        <f>IF(OR(M29384="",N29384=""),"",SUMIFS('Barang Keluar'!$E:$E,'Barang Keluar'!$A:$A,M29384,'Barang Keluar'!$C:$C,N29384))</f>
        <v>0</v>
      </c>
    </row>
    <row r="29385" spans="13:16">
      <c r="M29385" s="49">
        <f>IF($A$4+293&gt;$B$4,"",$A$4+293)</f>
        <v>46316</v>
      </c>
      <c r="N29385">
        <f>IF(M29385="","",'Master Barang'!A79)</f>
        <v>0</v>
      </c>
      <c r="O29385">
        <f>IF(N29385="","",'Master Barang'!B79)</f>
        <v>0</v>
      </c>
      <c r="P29385">
        <f>IF(OR(M29385="",N29385=""),"",SUMIFS('Barang Keluar'!$E:$E,'Barang Keluar'!$A:$A,M29385,'Barang Keluar'!$C:$C,N29385))</f>
        <v>0</v>
      </c>
    </row>
    <row r="29386" spans="13:16">
      <c r="M29386" s="49">
        <f>IF($A$4+293&gt;$B$4,"",$A$4+293)</f>
        <v>46316</v>
      </c>
      <c r="N29386">
        <f>IF(M29386="","",'Master Barang'!A80)</f>
        <v>0</v>
      </c>
      <c r="O29386">
        <f>IF(N29386="","",'Master Barang'!B80)</f>
        <v>0</v>
      </c>
      <c r="P29386">
        <f>IF(OR(M29386="",N29386=""),"",SUMIFS('Barang Keluar'!$E:$E,'Barang Keluar'!$A:$A,M29386,'Barang Keluar'!$C:$C,N29386))</f>
        <v>0</v>
      </c>
    </row>
    <row r="29387" spans="13:16">
      <c r="M29387" s="49">
        <f>IF($A$4+293&gt;$B$4,"",$A$4+293)</f>
        <v>46316</v>
      </c>
      <c r="N29387">
        <f>IF(M29387="","",'Master Barang'!A81)</f>
        <v>0</v>
      </c>
      <c r="O29387">
        <f>IF(N29387="","",'Master Barang'!B81)</f>
        <v>0</v>
      </c>
      <c r="P29387">
        <f>IF(OR(M29387="",N29387=""),"",SUMIFS('Barang Keluar'!$E:$E,'Barang Keluar'!$A:$A,M29387,'Barang Keluar'!$C:$C,N29387))</f>
        <v>0</v>
      </c>
    </row>
    <row r="29388" spans="13:16">
      <c r="M29388" s="49">
        <f>IF($A$4+293&gt;$B$4,"",$A$4+293)</f>
        <v>46316</v>
      </c>
      <c r="N29388">
        <f>IF(M29388="","",'Master Barang'!A82)</f>
        <v>0</v>
      </c>
      <c r="O29388">
        <f>IF(N29388="","",'Master Barang'!B82)</f>
        <v>0</v>
      </c>
      <c r="P29388">
        <f>IF(OR(M29388="",N29388=""),"",SUMIFS('Barang Keluar'!$E:$E,'Barang Keluar'!$A:$A,M29388,'Barang Keluar'!$C:$C,N29388))</f>
        <v>0</v>
      </c>
    </row>
    <row r="29389" spans="13:16">
      <c r="M29389" s="49">
        <f>IF($A$4+293&gt;$B$4,"",$A$4+293)</f>
        <v>46316</v>
      </c>
      <c r="N29389">
        <f>IF(M29389="","",'Master Barang'!A83)</f>
        <v>0</v>
      </c>
      <c r="O29389">
        <f>IF(N29389="","",'Master Barang'!B83)</f>
        <v>0</v>
      </c>
      <c r="P29389">
        <f>IF(OR(M29389="",N29389=""),"",SUMIFS('Barang Keluar'!$E:$E,'Barang Keluar'!$A:$A,M29389,'Barang Keluar'!$C:$C,N29389))</f>
        <v>0</v>
      </c>
    </row>
    <row r="29390" spans="13:16">
      <c r="M29390" s="49">
        <f>IF($A$4+293&gt;$B$4,"",$A$4+293)</f>
        <v>46316</v>
      </c>
      <c r="N29390">
        <f>IF(M29390="","",'Master Barang'!A84)</f>
        <v>0</v>
      </c>
      <c r="O29390">
        <f>IF(N29390="","",'Master Barang'!B84)</f>
        <v>0</v>
      </c>
      <c r="P29390">
        <f>IF(OR(M29390="",N29390=""),"",SUMIFS('Barang Keluar'!$E:$E,'Barang Keluar'!$A:$A,M29390,'Barang Keluar'!$C:$C,N29390))</f>
        <v>0</v>
      </c>
    </row>
    <row r="29391" spans="13:16">
      <c r="M29391" s="49">
        <f>IF($A$4+293&gt;$B$4,"",$A$4+293)</f>
        <v>46316</v>
      </c>
      <c r="N29391">
        <f>IF(M29391="","",'Master Barang'!A85)</f>
        <v>0</v>
      </c>
      <c r="O29391">
        <f>IF(N29391="","",'Master Barang'!B85)</f>
        <v>0</v>
      </c>
      <c r="P29391">
        <f>IF(OR(M29391="",N29391=""),"",SUMIFS('Barang Keluar'!$E:$E,'Barang Keluar'!$A:$A,M29391,'Barang Keluar'!$C:$C,N29391))</f>
        <v>0</v>
      </c>
    </row>
    <row r="29392" spans="13:16">
      <c r="M29392" s="49">
        <f>IF($A$4+293&gt;$B$4,"",$A$4+293)</f>
        <v>46316</v>
      </c>
      <c r="N29392">
        <f>IF(M29392="","",'Master Barang'!A86)</f>
        <v>0</v>
      </c>
      <c r="O29392">
        <f>IF(N29392="","",'Master Barang'!B86)</f>
        <v>0</v>
      </c>
      <c r="P29392">
        <f>IF(OR(M29392="",N29392=""),"",SUMIFS('Barang Keluar'!$E:$E,'Barang Keluar'!$A:$A,M29392,'Barang Keluar'!$C:$C,N29392))</f>
        <v>0</v>
      </c>
    </row>
    <row r="29393" spans="13:16">
      <c r="M29393" s="49">
        <f>IF($A$4+293&gt;$B$4,"",$A$4+293)</f>
        <v>46316</v>
      </c>
      <c r="N29393">
        <f>IF(M29393="","",'Master Barang'!A87)</f>
        <v>0</v>
      </c>
      <c r="O29393">
        <f>IF(N29393="","",'Master Barang'!B87)</f>
        <v>0</v>
      </c>
      <c r="P29393">
        <f>IF(OR(M29393="",N29393=""),"",SUMIFS('Barang Keluar'!$E:$E,'Barang Keluar'!$A:$A,M29393,'Barang Keluar'!$C:$C,N29393))</f>
        <v>0</v>
      </c>
    </row>
    <row r="29394" spans="13:16">
      <c r="M29394" s="49">
        <f>IF($A$4+293&gt;$B$4,"",$A$4+293)</f>
        <v>46316</v>
      </c>
      <c r="N29394">
        <f>IF(M29394="","",'Master Barang'!A88)</f>
        <v>0</v>
      </c>
      <c r="O29394">
        <f>IF(N29394="","",'Master Barang'!B88)</f>
        <v>0</v>
      </c>
      <c r="P29394">
        <f>IF(OR(M29394="",N29394=""),"",SUMIFS('Barang Keluar'!$E:$E,'Barang Keluar'!$A:$A,M29394,'Barang Keluar'!$C:$C,N29394))</f>
        <v>0</v>
      </c>
    </row>
    <row r="29395" spans="13:16">
      <c r="M29395" s="49">
        <f>IF($A$4+293&gt;$B$4,"",$A$4+293)</f>
        <v>46316</v>
      </c>
      <c r="N29395">
        <f>IF(M29395="","",'Master Barang'!A89)</f>
        <v>0</v>
      </c>
      <c r="O29395">
        <f>IF(N29395="","",'Master Barang'!B89)</f>
        <v>0</v>
      </c>
      <c r="P29395">
        <f>IF(OR(M29395="",N29395=""),"",SUMIFS('Barang Keluar'!$E:$E,'Barang Keluar'!$A:$A,M29395,'Barang Keluar'!$C:$C,N29395))</f>
        <v>0</v>
      </c>
    </row>
    <row r="29396" spans="13:16">
      <c r="M29396" s="49">
        <f>IF($A$4+293&gt;$B$4,"",$A$4+293)</f>
        <v>46316</v>
      </c>
      <c r="N29396">
        <f>IF(M29396="","",'Master Barang'!A90)</f>
        <v>0</v>
      </c>
      <c r="O29396">
        <f>IF(N29396="","",'Master Barang'!B90)</f>
        <v>0</v>
      </c>
      <c r="P29396">
        <f>IF(OR(M29396="",N29396=""),"",SUMIFS('Barang Keluar'!$E:$E,'Barang Keluar'!$A:$A,M29396,'Barang Keluar'!$C:$C,N29396))</f>
        <v>0</v>
      </c>
    </row>
    <row r="29397" spans="13:16">
      <c r="M29397" s="49">
        <f>IF($A$4+293&gt;$B$4,"",$A$4+293)</f>
        <v>46316</v>
      </c>
      <c r="N29397">
        <f>IF(M29397="","",'Master Barang'!A91)</f>
        <v>0</v>
      </c>
      <c r="O29397">
        <f>IF(N29397="","",'Master Barang'!B91)</f>
        <v>0</v>
      </c>
      <c r="P29397">
        <f>IF(OR(M29397="",N29397=""),"",SUMIFS('Barang Keluar'!$E:$E,'Barang Keluar'!$A:$A,M29397,'Barang Keluar'!$C:$C,N29397))</f>
        <v>0</v>
      </c>
    </row>
    <row r="29398" spans="13:16">
      <c r="M29398" s="49">
        <f>IF($A$4+293&gt;$B$4,"",$A$4+293)</f>
        <v>46316</v>
      </c>
      <c r="N29398">
        <f>IF(M29398="","",'Master Barang'!A92)</f>
        <v>0</v>
      </c>
      <c r="O29398">
        <f>IF(N29398="","",'Master Barang'!B92)</f>
        <v>0</v>
      </c>
      <c r="P29398">
        <f>IF(OR(M29398="",N29398=""),"",SUMIFS('Barang Keluar'!$E:$E,'Barang Keluar'!$A:$A,M29398,'Barang Keluar'!$C:$C,N29398))</f>
        <v>0</v>
      </c>
    </row>
    <row r="29399" spans="13:16">
      <c r="M29399" s="49">
        <f>IF($A$4+293&gt;$B$4,"",$A$4+293)</f>
        <v>46316</v>
      </c>
      <c r="N29399">
        <f>IF(M29399="","",'Master Barang'!A93)</f>
        <v>0</v>
      </c>
      <c r="O29399">
        <f>IF(N29399="","",'Master Barang'!B93)</f>
        <v>0</v>
      </c>
      <c r="P29399">
        <f>IF(OR(M29399="",N29399=""),"",SUMIFS('Barang Keluar'!$E:$E,'Barang Keluar'!$A:$A,M29399,'Barang Keluar'!$C:$C,N29399))</f>
        <v>0</v>
      </c>
    </row>
    <row r="29400" spans="13:16">
      <c r="M29400" s="49">
        <f>IF($A$4+293&gt;$B$4,"",$A$4+293)</f>
        <v>46316</v>
      </c>
      <c r="N29400">
        <f>IF(M29400="","",'Master Barang'!A94)</f>
        <v>0</v>
      </c>
      <c r="O29400">
        <f>IF(N29400="","",'Master Barang'!B94)</f>
        <v>0</v>
      </c>
      <c r="P29400">
        <f>IF(OR(M29400="",N29400=""),"",SUMIFS('Barang Keluar'!$E:$E,'Barang Keluar'!$A:$A,M29400,'Barang Keluar'!$C:$C,N29400))</f>
        <v>0</v>
      </c>
    </row>
    <row r="29401" spans="13:16">
      <c r="M29401" s="49">
        <f>IF($A$4+293&gt;$B$4,"",$A$4+293)</f>
        <v>46316</v>
      </c>
      <c r="N29401">
        <f>IF(M29401="","",'Master Barang'!A95)</f>
        <v>0</v>
      </c>
      <c r="O29401">
        <f>IF(N29401="","",'Master Barang'!B95)</f>
        <v>0</v>
      </c>
      <c r="P29401">
        <f>IF(OR(M29401="",N29401=""),"",SUMIFS('Barang Keluar'!$E:$E,'Barang Keluar'!$A:$A,M29401,'Barang Keluar'!$C:$C,N29401))</f>
        <v>0</v>
      </c>
    </row>
    <row r="29402" spans="13:16">
      <c r="M29402" s="49">
        <f>IF($A$4+293&gt;$B$4,"",$A$4+293)</f>
        <v>46316</v>
      </c>
      <c r="N29402">
        <f>IF(M29402="","",'Master Barang'!A96)</f>
        <v>0</v>
      </c>
      <c r="O29402">
        <f>IF(N29402="","",'Master Barang'!B96)</f>
        <v>0</v>
      </c>
      <c r="P29402">
        <f>IF(OR(M29402="",N29402=""),"",SUMIFS('Barang Keluar'!$E:$E,'Barang Keluar'!$A:$A,M29402,'Barang Keluar'!$C:$C,N29402))</f>
        <v>0</v>
      </c>
    </row>
    <row r="29403" spans="13:16">
      <c r="M29403" s="49">
        <f>IF($A$4+293&gt;$B$4,"",$A$4+293)</f>
        <v>46316</v>
      </c>
      <c r="N29403">
        <f>IF(M29403="","",'Master Barang'!A97)</f>
        <v>0</v>
      </c>
      <c r="O29403">
        <f>IF(N29403="","",'Master Barang'!B97)</f>
        <v>0</v>
      </c>
      <c r="P29403">
        <f>IF(OR(M29403="",N29403=""),"",SUMIFS('Barang Keluar'!$E:$E,'Barang Keluar'!$A:$A,M29403,'Barang Keluar'!$C:$C,N29403))</f>
        <v>0</v>
      </c>
    </row>
    <row r="29404" spans="13:16">
      <c r="M29404" s="49">
        <f>IF($A$4+293&gt;$B$4,"",$A$4+293)</f>
        <v>46316</v>
      </c>
      <c r="N29404">
        <f>IF(M29404="","",'Master Barang'!A98)</f>
        <v>0</v>
      </c>
      <c r="O29404">
        <f>IF(N29404="","",'Master Barang'!B98)</f>
        <v>0</v>
      </c>
      <c r="P29404">
        <f>IF(OR(M29404="",N29404=""),"",SUMIFS('Barang Keluar'!$E:$E,'Barang Keluar'!$A:$A,M29404,'Barang Keluar'!$C:$C,N29404))</f>
        <v>0</v>
      </c>
    </row>
    <row r="29405" spans="13:16">
      <c r="M29405" s="49">
        <f>IF($A$4+293&gt;$B$4,"",$A$4+293)</f>
        <v>46316</v>
      </c>
      <c r="N29405">
        <f>IF(M29405="","",'Master Barang'!A99)</f>
        <v>0</v>
      </c>
      <c r="O29405">
        <f>IF(N29405="","",'Master Barang'!B99)</f>
        <v>0</v>
      </c>
      <c r="P29405">
        <f>IF(OR(M29405="",N29405=""),"",SUMIFS('Barang Keluar'!$E:$E,'Barang Keluar'!$A:$A,M29405,'Barang Keluar'!$C:$C,N29405))</f>
        <v>0</v>
      </c>
    </row>
    <row r="29406" spans="13:16">
      <c r="M29406" s="49">
        <f>IF($A$4+293&gt;$B$4,"",$A$4+293)</f>
        <v>46316</v>
      </c>
      <c r="N29406">
        <f>IF(M29406="","",'Master Barang'!A100)</f>
        <v>0</v>
      </c>
      <c r="O29406">
        <f>IF(N29406="","",'Master Barang'!B100)</f>
        <v>0</v>
      </c>
      <c r="P29406">
        <f>IF(OR(M29406="",N29406=""),"",SUMIFS('Barang Keluar'!$E:$E,'Barang Keluar'!$A:$A,M29406,'Barang Keluar'!$C:$C,N29406))</f>
        <v>0</v>
      </c>
    </row>
    <row r="29407" spans="13:16">
      <c r="M29407" s="49">
        <f>IF($A$4+293&gt;$B$4,"",$A$4+293)</f>
        <v>46316</v>
      </c>
      <c r="N29407">
        <f>IF(M29407="","",'Master Barang'!A101)</f>
        <v>0</v>
      </c>
      <c r="O29407">
        <f>IF(N29407="","",'Master Barang'!B101)</f>
        <v>0</v>
      </c>
      <c r="P29407">
        <f>IF(OR(M29407="",N29407=""),"",SUMIFS('Barang Keluar'!$E:$E,'Barang Keluar'!$A:$A,M29407,'Barang Keluar'!$C:$C,N29407))</f>
        <v>0</v>
      </c>
    </row>
    <row r="29408" spans="13:16">
      <c r="M29408" s="49">
        <f>IF($A$4+294&gt;$B$4,"",$A$4+294)</f>
        <v>46317</v>
      </c>
      <c r="N29408" t="str">
        <f>IF(M29408="","",'Master Barang'!A2)</f>
        <v>PRL-001</v>
      </c>
      <c r="O29408" t="str">
        <f>IF(N29408="","",'Master Barang'!B2)</f>
        <v>natura desinfectant food grade 5l</v>
      </c>
      <c r="P29408">
        <f>IF(OR(M29408="",N29408=""),"",SUMIFS('Barang Keluar'!$E:$E,'Barang Keluar'!$A:$A,M29408,'Barang Keluar'!$C:$C,N29408))</f>
        <v>0</v>
      </c>
    </row>
    <row r="29409" spans="13:16">
      <c r="M29409" s="49">
        <f>IF($A$4+294&gt;$B$4,"",$A$4+294)</f>
        <v>46317</v>
      </c>
      <c r="N29409" t="str">
        <f>IF(M29409="","",'Master Barang'!A3)</f>
        <v>PRL-002</v>
      </c>
      <c r="O29409" t="str">
        <f>IF(N29409="","",'Master Barang'!B3)</f>
        <v>sunlight cairan pencuci piring 5l</v>
      </c>
      <c r="P29409">
        <f>IF(OR(M29409="",N29409=""),"",SUMIFS('Barang Keluar'!$E:$E,'Barang Keluar'!$A:$A,M29409,'Barang Keluar'!$C:$C,N29409))</f>
        <v>0</v>
      </c>
    </row>
    <row r="29410" spans="13:16">
      <c r="M29410" s="49">
        <f>IF($A$4+294&gt;$B$4,"",$A$4+294)</f>
        <v>46317</v>
      </c>
      <c r="N29410" t="str">
        <f>IF(M29410="","",'Master Barang'!A4)</f>
        <v>PRL-003</v>
      </c>
      <c r="O29410" t="str">
        <f>IF(N29410="","",'Master Barang'!B4)</f>
        <v>oixs cleaner 1l</v>
      </c>
      <c r="P29410">
        <f>IF(OR(M29410="",N29410=""),"",SUMIFS('Barang Keluar'!$E:$E,'Barang Keluar'!$A:$A,M29410,'Barang Keluar'!$C:$C,N29410))</f>
        <v>0</v>
      </c>
    </row>
    <row r="29411" spans="13:16">
      <c r="M29411" s="49">
        <f>IF($A$4+294&gt;$B$4,"",$A$4+294)</f>
        <v>46317</v>
      </c>
      <c r="N29411" t="str">
        <f>IF(M29411="","",'Master Barang'!A5)</f>
        <v>PRL-004</v>
      </c>
      <c r="O29411" t="str">
        <f>IF(N29411="","",'Master Barang'!B5)</f>
        <v>be clean tissue serbaguna</v>
      </c>
      <c r="P29411">
        <f>IF(OR(M29411="",N29411=""),"",SUMIFS('Barang Keluar'!$E:$E,'Barang Keluar'!$A:$A,M29411,'Barang Keluar'!$C:$C,N29411))</f>
        <v>0</v>
      </c>
    </row>
    <row r="29412" spans="13:16">
      <c r="M29412" s="49">
        <f>IF($A$4+294&gt;$B$4,"",$A$4+294)</f>
        <v>46317</v>
      </c>
      <c r="N29412" t="str">
        <f>IF(M29412="","",'Master Barang'!A6)</f>
        <v>PRL-005</v>
      </c>
      <c r="O29412" t="str">
        <f>IF(N29412="","",'Master Barang'!B6)</f>
        <v>spons cuci hijau</v>
      </c>
      <c r="P29412">
        <f>IF(OR(M29412="",N29412=""),"",SUMIFS('Barang Keluar'!$E:$E,'Barang Keluar'!$A:$A,M29412,'Barang Keluar'!$C:$C,N29412))</f>
        <v>0</v>
      </c>
    </row>
    <row r="29413" spans="13:16">
      <c r="M29413" s="49">
        <f>IF($A$4+294&gt;$B$4,"",$A$4+294)</f>
        <v>46317</v>
      </c>
      <c r="N29413" t="str">
        <f>IF(M29413="","",'Master Barang'!A7)</f>
        <v>PRL-006</v>
      </c>
      <c r="O29413" t="str">
        <f>IF(N29413="","",'Master Barang'!B7)</f>
        <v>sabut cuci stainless</v>
      </c>
      <c r="P29413">
        <f>IF(OR(M29413="",N29413=""),"",SUMIFS('Barang Keluar'!$E:$E,'Barang Keluar'!$A:$A,M29413,'Barang Keluar'!$C:$C,N29413))</f>
        <v>0</v>
      </c>
    </row>
    <row r="29414" spans="13:16">
      <c r="M29414" s="49">
        <f>IF($A$4+294&gt;$B$4,"",$A$4+294)</f>
        <v>46317</v>
      </c>
      <c r="N29414" t="str">
        <f>IF(M29414="","",'Master Barang'!A8)</f>
        <v>PRL-007</v>
      </c>
      <c r="O29414" t="str">
        <f>IF(N29414="","",'Master Barang'!B8)</f>
        <v>plastik kresek besar merah 50pc</v>
      </c>
      <c r="P29414">
        <f>IF(OR(M29414="",N29414=""),"",SUMIFS('Barang Keluar'!$E:$E,'Barang Keluar'!$A:$A,M29414,'Barang Keluar'!$C:$C,N29414))</f>
        <v>0</v>
      </c>
    </row>
    <row r="29415" spans="13:16">
      <c r="M29415" s="49">
        <f>IF($A$4+294&gt;$B$4,"",$A$4+294)</f>
        <v>46317</v>
      </c>
      <c r="N29415" t="str">
        <f>IF(M29415="","",'Master Barang'!A9)</f>
        <v>PRL-008</v>
      </c>
      <c r="O29415" t="str">
        <f>IF(N29415="","",'Master Barang'!B9)</f>
        <v>lap besar</v>
      </c>
      <c r="P29415">
        <f>IF(OR(M29415="",N29415=""),"",SUMIFS('Barang Keluar'!$E:$E,'Barang Keluar'!$A:$A,M29415,'Barang Keluar'!$C:$C,N29415))</f>
        <v>0</v>
      </c>
    </row>
    <row r="29416" spans="13:16">
      <c r="M29416" s="49">
        <f>IF($A$4+294&gt;$B$4,"",$A$4+294)</f>
        <v>46317</v>
      </c>
      <c r="N29416" t="str">
        <f>IF(M29416="","",'Master Barang'!A10)</f>
        <v>PRL-009</v>
      </c>
      <c r="O29416" t="str">
        <f>IF(N29416="","",'Master Barang'!B10)</f>
        <v>lap microfiber</v>
      </c>
      <c r="P29416">
        <f>IF(OR(M29416="",N29416=""),"",SUMIFS('Barang Keluar'!$E:$E,'Barang Keluar'!$A:$A,M29416,'Barang Keluar'!$C:$C,N29416))</f>
        <v>0</v>
      </c>
    </row>
    <row r="29417" spans="13:16">
      <c r="M29417" s="49">
        <f>IF($A$4+294&gt;$B$4,"",$A$4+294)</f>
        <v>46317</v>
      </c>
      <c r="N29417" t="str">
        <f>IF(M29417="","",'Master Barang'!A11)</f>
        <v>PRL-010</v>
      </c>
      <c r="O29417" t="str">
        <f>IF(N29417="","",'Master Barang'!B11)</f>
        <v>lap kecil</v>
      </c>
      <c r="P29417">
        <f>IF(OR(M29417="",N29417=""),"",SUMIFS('Barang Keluar'!$E:$E,'Barang Keluar'!$A:$A,M29417,'Barang Keluar'!$C:$C,N29417))</f>
        <v>0</v>
      </c>
    </row>
    <row r="29418" spans="13:16">
      <c r="M29418" s="49">
        <f>IF($A$4+294&gt;$B$4,"",$A$4+294)</f>
        <v>46317</v>
      </c>
      <c r="N29418" t="str">
        <f>IF(M29418="","",'Master Barang'!A12)</f>
        <v>PRL-011</v>
      </c>
      <c r="O29418" t="str">
        <f>IF(N29418="","",'Master Barang'!B12)</f>
        <v>kanebo kecil</v>
      </c>
      <c r="P29418">
        <f>IF(OR(M29418="",N29418=""),"",SUMIFS('Barang Keluar'!$E:$E,'Barang Keluar'!$A:$A,M29418,'Barang Keluar'!$C:$C,N29418))</f>
        <v>0</v>
      </c>
    </row>
    <row r="29419" spans="13:16">
      <c r="M29419" s="49">
        <f>IF($A$4+294&gt;$B$4,"",$A$4+294)</f>
        <v>46317</v>
      </c>
      <c r="N29419" t="str">
        <f>IF(M29419="","",'Master Barang'!A13)</f>
        <v>PRL-012</v>
      </c>
      <c r="O29419" t="str">
        <f>IF(N29419="","",'Master Barang'!B13)</f>
        <v>plastik 1/4kg joyoboyo 100 lembar</v>
      </c>
      <c r="P29419">
        <f>IF(OR(M29419="",N29419=""),"",SUMIFS('Barang Keluar'!$E:$E,'Barang Keluar'!$A:$A,M29419,'Barang Keluar'!$C:$C,N29419))</f>
        <v>0</v>
      </c>
    </row>
    <row r="29420" spans="13:16">
      <c r="M29420" s="49">
        <f>IF($A$4+294&gt;$B$4,"",$A$4+294)</f>
        <v>46317</v>
      </c>
      <c r="N29420" t="str">
        <f>IF(M29420="","",'Master Barang'!A14)</f>
        <v>PRL-013</v>
      </c>
      <c r="O29420" t="str">
        <f>IF(N29420="","",'Master Barang'!B14)</f>
        <v>sarung tangan plastik kaka 100 pcs</v>
      </c>
      <c r="P29420">
        <f>IF(OR(M29420="",N29420=""),"",SUMIFS('Barang Keluar'!$E:$E,'Barang Keluar'!$A:$A,M29420,'Barang Keluar'!$C:$C,N29420))</f>
        <v>0</v>
      </c>
    </row>
    <row r="29421" spans="13:16">
      <c r="M29421" s="49">
        <f>IF($A$4+294&gt;$B$4,"",$A$4+294)</f>
        <v>46317</v>
      </c>
      <c r="N29421" t="str">
        <f>IF(M29421="","",'Master Barang'!A15)</f>
        <v>PRL-014</v>
      </c>
      <c r="O29421" t="str">
        <f>IF(N29421="","",'Master Barang'!B15)</f>
        <v>optima trashbag 80x100</v>
      </c>
      <c r="P29421">
        <f>IF(OR(M29421="",N29421=""),"",SUMIFS('Barang Keluar'!$E:$E,'Barang Keluar'!$A:$A,M29421,'Barang Keluar'!$C:$C,N29421))</f>
        <v>0</v>
      </c>
    </row>
    <row r="29422" spans="13:16">
      <c r="M29422" s="49">
        <f>IF($A$4+294&gt;$B$4,"",$A$4+294)</f>
        <v>46317</v>
      </c>
      <c r="N29422" t="str">
        <f>IF(M29422="","",'Master Barang'!A16)</f>
        <v>PRL-015</v>
      </c>
      <c r="O29422" t="str">
        <f>IF(N29422="","",'Master Barang'!B16)</f>
        <v>optima trashbag 60x100</v>
      </c>
      <c r="P29422">
        <f>IF(OR(M29422="",N29422=""),"",SUMIFS('Barang Keluar'!$E:$E,'Barang Keluar'!$A:$A,M29422,'Barang Keluar'!$C:$C,N29422))</f>
        <v>0</v>
      </c>
    </row>
    <row r="29423" spans="13:16">
      <c r="M29423" s="49">
        <f>IF($A$4+294&gt;$B$4,"",$A$4+294)</f>
        <v>46317</v>
      </c>
      <c r="N29423" t="str">
        <f>IF(M29423="","",'Master Barang'!A17)</f>
        <v>PRL-016</v>
      </c>
      <c r="O29423" t="str">
        <f>IF(N29423="","",'Master Barang'!B17)</f>
        <v>rajawali trashbag 30x40</v>
      </c>
      <c r="P29423">
        <f>IF(OR(M29423="",N29423=""),"",SUMIFS('Barang Keluar'!$E:$E,'Barang Keluar'!$A:$A,M29423,'Barang Keluar'!$C:$C,N29423))</f>
        <v>0</v>
      </c>
    </row>
    <row r="29424" spans="13:16">
      <c r="M29424" s="49">
        <f>IF($A$4+294&gt;$B$4,"",$A$4+294)</f>
        <v>46317</v>
      </c>
      <c r="N29424" t="str">
        <f>IF(M29424="","",'Master Barang'!A18)</f>
        <v>PRL-017</v>
      </c>
      <c r="O29424" t="str">
        <f>IF(N29424="","",'Master Barang'!B18)</f>
        <v>onemed masker biru 3 play 50 pcs</v>
      </c>
      <c r="P29424">
        <f>IF(OR(M29424="",N29424=""),"",SUMIFS('Barang Keluar'!$E:$E,'Barang Keluar'!$A:$A,M29424,'Barang Keluar'!$C:$C,N29424))</f>
        <v>0</v>
      </c>
    </row>
    <row r="29425" spans="13:16">
      <c r="M29425" s="49">
        <f>IF($A$4+294&gt;$B$4,"",$A$4+294)</f>
        <v>46317</v>
      </c>
      <c r="N29425" t="str">
        <f>IF(M29425="","",'Master Barang'!A19)</f>
        <v>PRL-018</v>
      </c>
      <c r="O29425" t="str">
        <f>IF(N29425="","",'Master Barang'!B19)</f>
        <v>onemed masker biru 3 play hijab 50 pcs</v>
      </c>
      <c r="P29425">
        <f>IF(OR(M29425="",N29425=""),"",SUMIFS('Barang Keluar'!$E:$E,'Barang Keluar'!$A:$A,M29425,'Barang Keluar'!$C:$C,N29425))</f>
        <v>0</v>
      </c>
    </row>
    <row r="29426" spans="13:16">
      <c r="M29426" s="49">
        <f>IF($A$4+294&gt;$B$4,"",$A$4+294)</f>
        <v>46317</v>
      </c>
      <c r="N29426" t="str">
        <f>IF(M29426="","",'Master Barang'!A20)</f>
        <v>PRL-019</v>
      </c>
      <c r="O29426" t="str">
        <f>IF(N29426="","",'Master Barang'!B20)</f>
        <v>neo health masker biru 3 play 50 pcs</v>
      </c>
      <c r="P29426">
        <f>IF(OR(M29426="",N29426=""),"",SUMIFS('Barang Keluar'!$E:$E,'Barang Keluar'!$A:$A,M29426,'Barang Keluar'!$C:$C,N29426))</f>
        <v>0</v>
      </c>
    </row>
    <row r="29427" spans="13:16">
      <c r="M29427" s="49">
        <f>IF($A$4+294&gt;$B$4,"",$A$4+294)</f>
        <v>46317</v>
      </c>
      <c r="N29427" t="str">
        <f>IF(M29427="","",'Master Barang'!A21)</f>
        <v>PRL-020</v>
      </c>
      <c r="O29427" t="str">
        <f>IF(N29427="","",'Master Barang'!B21)</f>
        <v>baymed masker hijau 3 play hijau 50 pcs</v>
      </c>
      <c r="P29427">
        <f>IF(OR(M29427="",N29427=""),"",SUMIFS('Barang Keluar'!$E:$E,'Barang Keluar'!$A:$A,M29427,'Barang Keluar'!$C:$C,N29427))</f>
        <v>0</v>
      </c>
    </row>
    <row r="29428" spans="13:16">
      <c r="M29428" s="49">
        <f>IF($A$4+294&gt;$B$4,"",$A$4+294)</f>
        <v>46317</v>
      </c>
      <c r="N29428" t="str">
        <f>IF(M29428="","",'Master Barang'!A22)</f>
        <v>PRL-021</v>
      </c>
      <c r="O29428" t="str">
        <f>IF(N29428="","",'Master Barang'!B22)</f>
        <v>altamed nurse cap penutup kepala 100 pcs</v>
      </c>
      <c r="P29428">
        <f>IF(OR(M29428="",N29428=""),"",SUMIFS('Barang Keluar'!$E:$E,'Barang Keluar'!$A:$A,M29428,'Barang Keluar'!$C:$C,N29428))</f>
        <v>0</v>
      </c>
    </row>
    <row r="29429" spans="13:16">
      <c r="M29429" s="49">
        <f>IF($A$4+294&gt;$B$4,"",$A$4+294)</f>
        <v>46317</v>
      </c>
      <c r="N29429" t="str">
        <f>IF(M29429="","",'Master Barang'!A23)</f>
        <v>PRL-022</v>
      </c>
      <c r="O29429" t="str">
        <f>IF(N29429="","",'Master Barang'!B23)</f>
        <v>sabun cuci tangan</v>
      </c>
      <c r="P29429">
        <f>IF(OR(M29429="",N29429=""),"",SUMIFS('Barang Keluar'!$E:$E,'Barang Keluar'!$A:$A,M29429,'Barang Keluar'!$C:$C,N29429))</f>
        <v>0</v>
      </c>
    </row>
    <row r="29430" spans="13:16">
      <c r="M29430" s="49">
        <f>IF($A$4+294&gt;$B$4,"",$A$4+294)</f>
        <v>46317</v>
      </c>
      <c r="N29430" t="str">
        <f>IF(M29430="","",'Master Barang'!A24)</f>
        <v>PRL-023</v>
      </c>
      <c r="O29430" t="str">
        <f>IF(N29430="","",'Master Barang'!B24)</f>
        <v>gayung kecil</v>
      </c>
      <c r="P29430">
        <f>IF(OR(M29430="",N29430=""),"",SUMIFS('Barang Keluar'!$E:$E,'Barang Keluar'!$A:$A,M29430,'Barang Keluar'!$C:$C,N29430))</f>
        <v>0</v>
      </c>
    </row>
    <row r="29431" spans="13:16">
      <c r="M29431" s="49">
        <f>IF($A$4+294&gt;$B$4,"",$A$4+294)</f>
        <v>46317</v>
      </c>
      <c r="N29431" t="str">
        <f>IF(M29431="","",'Master Barang'!A25)</f>
        <v>PRL-024</v>
      </c>
      <c r="O29431" t="str">
        <f>IF(N29431="","",'Master Barang'!B25)</f>
        <v>cikrak kecil</v>
      </c>
      <c r="P29431">
        <f>IF(OR(M29431="",N29431=""),"",SUMIFS('Barang Keluar'!$E:$E,'Barang Keluar'!$A:$A,M29431,'Barang Keluar'!$C:$C,N29431))</f>
        <v>0</v>
      </c>
    </row>
    <row r="29432" spans="13:16">
      <c r="M29432" s="49">
        <f>IF($A$4+294&gt;$B$4,"",$A$4+294)</f>
        <v>46317</v>
      </c>
      <c r="N29432" t="str">
        <f>IF(M29432="","",'Master Barang'!A26)</f>
        <v>PRL-025</v>
      </c>
      <c r="O29432" t="str">
        <f>IF(N29432="","",'Master Barang'!B26)</f>
        <v>petromax plastik kecil 12x24 100 lembar</v>
      </c>
      <c r="P29432">
        <f>IF(OR(M29432="",N29432=""),"",SUMIFS('Barang Keluar'!$E:$E,'Barang Keluar'!$A:$A,M29432,'Barang Keluar'!$C:$C,N29432))</f>
        <v>0</v>
      </c>
    </row>
    <row r="29433" spans="13:16">
      <c r="M29433" s="49">
        <f>IF($A$4+294&gt;$B$4,"",$A$4+294)</f>
        <v>46317</v>
      </c>
      <c r="N29433" t="str">
        <f>IF(M29433="","",'Master Barang'!A27)</f>
        <v>PRL-026</v>
      </c>
      <c r="O29433" t="str">
        <f>IF(N29433="","",'Master Barang'!B27)</f>
        <v>lancar kresek kecil bening </v>
      </c>
      <c r="P29433">
        <f>IF(OR(M29433="",N29433=""),"",SUMIFS('Barang Keluar'!$E:$E,'Barang Keluar'!$A:$A,M29433,'Barang Keluar'!$C:$C,N29433))</f>
        <v>0</v>
      </c>
    </row>
    <row r="29434" spans="13:16">
      <c r="M29434" s="49">
        <f>IF($A$4+294&gt;$B$4,"",$A$4+294)</f>
        <v>46317</v>
      </c>
      <c r="N29434" t="str">
        <f>IF(M29434="","",'Master Barang'!A28)</f>
        <v>PRL-027</v>
      </c>
      <c r="O29434" t="str">
        <f>IF(N29434="","",'Master Barang'!B28)</f>
        <v>kresek klin warna warni kecil</v>
      </c>
      <c r="P29434">
        <f>IF(OR(M29434="",N29434=""),"",SUMIFS('Barang Keluar'!$E:$E,'Barang Keluar'!$A:$A,M29434,'Barang Keluar'!$C:$C,N29434))</f>
        <v>0</v>
      </c>
    </row>
    <row r="29435" spans="13:16">
      <c r="M29435" s="49">
        <f>IF($A$4+294&gt;$B$4,"",$A$4+294)</f>
        <v>46317</v>
      </c>
      <c r="N29435" t="str">
        <f>IF(M29435="","",'Master Barang'!A29)</f>
        <v>PRL-028</v>
      </c>
      <c r="O29435" t="str">
        <f>IF(N29435="","",'Master Barang'!B29)</f>
        <v>ctik plastik 7x10 100 pcs</v>
      </c>
      <c r="P29435">
        <f>IF(OR(M29435="",N29435=""),"",SUMIFS('Barang Keluar'!$E:$E,'Barang Keluar'!$A:$A,M29435,'Barang Keluar'!$C:$C,N29435))</f>
        <v>0</v>
      </c>
    </row>
    <row r="29436" spans="13:16">
      <c r="M29436" s="49">
        <f>IF($A$4+294&gt;$B$4,"",$A$4+294)</f>
        <v>46317</v>
      </c>
      <c r="N29436" t="str">
        <f>IF(M29436="","",'Master Barang'!A30)</f>
        <v>PRL-029</v>
      </c>
      <c r="O29436" t="str">
        <f>IF(N29436="","",'Master Barang'!B30)</f>
        <v>ctik plastik 6x10 100 pcs</v>
      </c>
      <c r="P29436">
        <f>IF(OR(M29436="",N29436=""),"",SUMIFS('Barang Keluar'!$E:$E,'Barang Keluar'!$A:$A,M29436,'Barang Keluar'!$C:$C,N29436))</f>
        <v>0</v>
      </c>
    </row>
    <row r="29437" spans="13:16">
      <c r="M29437" s="49">
        <f>IF($A$4+294&gt;$B$4,"",$A$4+294)</f>
        <v>46317</v>
      </c>
      <c r="N29437" t="str">
        <f>IF(M29437="","",'Master Barang'!A31)</f>
        <v>PRL-030</v>
      </c>
      <c r="O29437" t="str">
        <f>IF(N29437="","",'Master Barang'!B31)</f>
        <v>klip plastik 25x16 100 pcs</v>
      </c>
      <c r="P29437">
        <f>IF(OR(M29437="",N29437=""),"",SUMIFS('Barang Keluar'!$E:$E,'Barang Keluar'!$A:$A,M29437,'Barang Keluar'!$C:$C,N29437))</f>
        <v>0</v>
      </c>
    </row>
    <row r="29438" spans="13:16">
      <c r="M29438" s="49">
        <f>IF($A$4+294&gt;$B$4,"",$A$4+294)</f>
        <v>46317</v>
      </c>
      <c r="N29438" t="str">
        <f>IF(M29438="","",'Master Barang'!A32)</f>
        <v>PRL-031</v>
      </c>
      <c r="O29438" t="str">
        <f>IF(N29438="","",'Master Barang'!B32)</f>
        <v>tempat saus 20 ml</v>
      </c>
      <c r="P29438">
        <f>IF(OR(M29438="",N29438=""),"",SUMIFS('Barang Keluar'!$E:$E,'Barang Keluar'!$A:$A,M29438,'Barang Keluar'!$C:$C,N29438))</f>
        <v>0</v>
      </c>
    </row>
    <row r="29439" spans="13:16">
      <c r="M29439" s="49">
        <f>IF($A$4+294&gt;$B$4,"",$A$4+294)</f>
        <v>46317</v>
      </c>
      <c r="N29439" t="str">
        <f>IF(M29439="","",'Master Barang'!A33)</f>
        <v>PRL-032</v>
      </c>
      <c r="O29439" t="str">
        <f>IF(N29439="","",'Master Barang'!B33)</f>
        <v>plastik packaging ag box uk sedang</v>
      </c>
      <c r="P29439">
        <f>IF(OR(M29439="",N29439=""),"",SUMIFS('Barang Keluar'!$E:$E,'Barang Keluar'!$A:$A,M29439,'Barang Keluar'!$C:$C,N29439))</f>
        <v>0</v>
      </c>
    </row>
    <row r="29440" spans="13:16">
      <c r="M29440" s="49">
        <f>IF($A$4+294&gt;$B$4,"",$A$4+294)</f>
        <v>46317</v>
      </c>
      <c r="N29440" t="str">
        <f>IF(M29440="","",'Master Barang'!A34)</f>
        <v>PRL-033</v>
      </c>
      <c r="O29440">
        <f>IF(N29440="","",'Master Barang'!B34)</f>
        <v>0</v>
      </c>
      <c r="P29440">
        <f>IF(OR(M29440="",N29440=""),"",SUMIFS('Barang Keluar'!$E:$E,'Barang Keluar'!$A:$A,M29440,'Barang Keluar'!$C:$C,N29440))</f>
        <v>0</v>
      </c>
    </row>
    <row r="29441" spans="13:16">
      <c r="M29441" s="49">
        <f>IF($A$4+294&gt;$B$4,"",$A$4+294)</f>
        <v>46317</v>
      </c>
      <c r="N29441">
        <f>IF(M29441="","",'Master Barang'!A35)</f>
        <v>0</v>
      </c>
      <c r="O29441">
        <f>IF(N29441="","",'Master Barang'!B35)</f>
        <v>0</v>
      </c>
      <c r="P29441">
        <f>IF(OR(M29441="",N29441=""),"",SUMIFS('Barang Keluar'!$E:$E,'Barang Keluar'!$A:$A,M29441,'Barang Keluar'!$C:$C,N29441))</f>
        <v>0</v>
      </c>
    </row>
    <row r="29442" spans="13:16">
      <c r="M29442" s="49">
        <f>IF($A$4+294&gt;$B$4,"",$A$4+294)</f>
        <v>46317</v>
      </c>
      <c r="N29442">
        <f>IF(M29442="","",'Master Barang'!A36)</f>
        <v>0</v>
      </c>
      <c r="O29442">
        <f>IF(N29442="","",'Master Barang'!B36)</f>
        <v>0</v>
      </c>
      <c r="P29442">
        <f>IF(OR(M29442="",N29442=""),"",SUMIFS('Barang Keluar'!$E:$E,'Barang Keluar'!$A:$A,M29442,'Barang Keluar'!$C:$C,N29442))</f>
        <v>0</v>
      </c>
    </row>
    <row r="29443" spans="13:16">
      <c r="M29443" s="49">
        <f>IF($A$4+294&gt;$B$4,"",$A$4+294)</f>
        <v>46317</v>
      </c>
      <c r="N29443">
        <f>IF(M29443="","",'Master Barang'!A37)</f>
        <v>0</v>
      </c>
      <c r="O29443">
        <f>IF(N29443="","",'Master Barang'!B37)</f>
        <v>0</v>
      </c>
      <c r="P29443">
        <f>IF(OR(M29443="",N29443=""),"",SUMIFS('Barang Keluar'!$E:$E,'Barang Keluar'!$A:$A,M29443,'Barang Keluar'!$C:$C,N29443))</f>
        <v>0</v>
      </c>
    </row>
    <row r="29444" spans="13:16">
      <c r="M29444" s="49">
        <f>IF($A$4+294&gt;$B$4,"",$A$4+294)</f>
        <v>46317</v>
      </c>
      <c r="N29444">
        <f>IF(M29444="","",'Master Barang'!A38)</f>
        <v>0</v>
      </c>
      <c r="O29444">
        <f>IF(N29444="","",'Master Barang'!B38)</f>
        <v>0</v>
      </c>
      <c r="P29444">
        <f>IF(OR(M29444="",N29444=""),"",SUMIFS('Barang Keluar'!$E:$E,'Barang Keluar'!$A:$A,M29444,'Barang Keluar'!$C:$C,N29444))</f>
        <v>0</v>
      </c>
    </row>
    <row r="29445" spans="13:16">
      <c r="M29445" s="49">
        <f>IF($A$4+294&gt;$B$4,"",$A$4+294)</f>
        <v>46317</v>
      </c>
      <c r="N29445">
        <f>IF(M29445="","",'Master Barang'!A39)</f>
        <v>0</v>
      </c>
      <c r="O29445">
        <f>IF(N29445="","",'Master Barang'!B39)</f>
        <v>0</v>
      </c>
      <c r="P29445">
        <f>IF(OR(M29445="",N29445=""),"",SUMIFS('Barang Keluar'!$E:$E,'Barang Keluar'!$A:$A,M29445,'Barang Keluar'!$C:$C,N29445))</f>
        <v>0</v>
      </c>
    </row>
    <row r="29446" spans="13:16">
      <c r="M29446" s="49">
        <f>IF($A$4+294&gt;$B$4,"",$A$4+294)</f>
        <v>46317</v>
      </c>
      <c r="N29446">
        <f>IF(M29446="","",'Master Barang'!A40)</f>
        <v>0</v>
      </c>
      <c r="O29446">
        <f>IF(N29446="","",'Master Barang'!B40)</f>
        <v>0</v>
      </c>
      <c r="P29446">
        <f>IF(OR(M29446="",N29446=""),"",SUMIFS('Barang Keluar'!$E:$E,'Barang Keluar'!$A:$A,M29446,'Barang Keluar'!$C:$C,N29446))</f>
        <v>0</v>
      </c>
    </row>
    <row r="29447" spans="13:16">
      <c r="M29447" s="49">
        <f>IF($A$4+294&gt;$B$4,"",$A$4+294)</f>
        <v>46317</v>
      </c>
      <c r="N29447">
        <f>IF(M29447="","",'Master Barang'!A41)</f>
        <v>0</v>
      </c>
      <c r="O29447">
        <f>IF(N29447="","",'Master Barang'!B41)</f>
        <v>0</v>
      </c>
      <c r="P29447">
        <f>IF(OR(M29447="",N29447=""),"",SUMIFS('Barang Keluar'!$E:$E,'Barang Keluar'!$A:$A,M29447,'Barang Keluar'!$C:$C,N29447))</f>
        <v>0</v>
      </c>
    </row>
    <row r="29448" spans="13:16">
      <c r="M29448" s="49">
        <f>IF($A$4+294&gt;$B$4,"",$A$4+294)</f>
        <v>46317</v>
      </c>
      <c r="N29448">
        <f>IF(M29448="","",'Master Barang'!A42)</f>
        <v>0</v>
      </c>
      <c r="O29448">
        <f>IF(N29448="","",'Master Barang'!B42)</f>
        <v>0</v>
      </c>
      <c r="P29448">
        <f>IF(OR(M29448="",N29448=""),"",SUMIFS('Barang Keluar'!$E:$E,'Barang Keluar'!$A:$A,M29448,'Barang Keluar'!$C:$C,N29448))</f>
        <v>0</v>
      </c>
    </row>
    <row r="29449" spans="13:16">
      <c r="M29449" s="49">
        <f>IF($A$4+294&gt;$B$4,"",$A$4+294)</f>
        <v>46317</v>
      </c>
      <c r="N29449">
        <f>IF(M29449="","",'Master Barang'!A43)</f>
        <v>0</v>
      </c>
      <c r="O29449">
        <f>IF(N29449="","",'Master Barang'!B43)</f>
        <v>0</v>
      </c>
      <c r="P29449">
        <f>IF(OR(M29449="",N29449=""),"",SUMIFS('Barang Keluar'!$E:$E,'Barang Keluar'!$A:$A,M29449,'Barang Keluar'!$C:$C,N29449))</f>
        <v>0</v>
      </c>
    </row>
    <row r="29450" spans="13:16">
      <c r="M29450" s="49">
        <f>IF($A$4+294&gt;$B$4,"",$A$4+294)</f>
        <v>46317</v>
      </c>
      <c r="N29450">
        <f>IF(M29450="","",'Master Barang'!A44)</f>
        <v>0</v>
      </c>
      <c r="O29450">
        <f>IF(N29450="","",'Master Barang'!B44)</f>
        <v>0</v>
      </c>
      <c r="P29450">
        <f>IF(OR(M29450="",N29450=""),"",SUMIFS('Barang Keluar'!$E:$E,'Barang Keluar'!$A:$A,M29450,'Barang Keluar'!$C:$C,N29450))</f>
        <v>0</v>
      </c>
    </row>
    <row r="29451" spans="13:16">
      <c r="M29451" s="49">
        <f>IF($A$4+294&gt;$B$4,"",$A$4+294)</f>
        <v>46317</v>
      </c>
      <c r="N29451">
        <f>IF(M29451="","",'Master Barang'!A45)</f>
        <v>0</v>
      </c>
      <c r="O29451">
        <f>IF(N29451="","",'Master Barang'!B45)</f>
        <v>0</v>
      </c>
      <c r="P29451">
        <f>IF(OR(M29451="",N29451=""),"",SUMIFS('Barang Keluar'!$E:$E,'Barang Keluar'!$A:$A,M29451,'Barang Keluar'!$C:$C,N29451))</f>
        <v>0</v>
      </c>
    </row>
    <row r="29452" spans="13:16">
      <c r="M29452" s="49">
        <f>IF($A$4+294&gt;$B$4,"",$A$4+294)</f>
        <v>46317</v>
      </c>
      <c r="N29452">
        <f>IF(M29452="","",'Master Barang'!A46)</f>
        <v>0</v>
      </c>
      <c r="O29452">
        <f>IF(N29452="","",'Master Barang'!B46)</f>
        <v>0</v>
      </c>
      <c r="P29452">
        <f>IF(OR(M29452="",N29452=""),"",SUMIFS('Barang Keluar'!$E:$E,'Barang Keluar'!$A:$A,M29452,'Barang Keluar'!$C:$C,N29452))</f>
        <v>0</v>
      </c>
    </row>
    <row r="29453" spans="13:16">
      <c r="M29453" s="49">
        <f>IF($A$4+294&gt;$B$4,"",$A$4+294)</f>
        <v>46317</v>
      </c>
      <c r="N29453">
        <f>IF(M29453="","",'Master Barang'!A47)</f>
        <v>0</v>
      </c>
      <c r="O29453">
        <f>IF(N29453="","",'Master Barang'!B47)</f>
        <v>0</v>
      </c>
      <c r="P29453">
        <f>IF(OR(M29453="",N29453=""),"",SUMIFS('Barang Keluar'!$E:$E,'Barang Keluar'!$A:$A,M29453,'Barang Keluar'!$C:$C,N29453))</f>
        <v>0</v>
      </c>
    </row>
    <row r="29454" spans="13:16">
      <c r="M29454" s="49">
        <f>IF($A$4+294&gt;$B$4,"",$A$4+294)</f>
        <v>46317</v>
      </c>
      <c r="N29454">
        <f>IF(M29454="","",'Master Barang'!A48)</f>
        <v>0</v>
      </c>
      <c r="O29454">
        <f>IF(N29454="","",'Master Barang'!B48)</f>
        <v>0</v>
      </c>
      <c r="P29454">
        <f>IF(OR(M29454="",N29454=""),"",SUMIFS('Barang Keluar'!$E:$E,'Barang Keluar'!$A:$A,M29454,'Barang Keluar'!$C:$C,N29454))</f>
        <v>0</v>
      </c>
    </row>
    <row r="29455" spans="13:16">
      <c r="M29455" s="49">
        <f>IF($A$4+294&gt;$B$4,"",$A$4+294)</f>
        <v>46317</v>
      </c>
      <c r="N29455">
        <f>IF(M29455="","",'Master Barang'!A49)</f>
        <v>0</v>
      </c>
      <c r="O29455">
        <f>IF(N29455="","",'Master Barang'!B49)</f>
        <v>0</v>
      </c>
      <c r="P29455">
        <f>IF(OR(M29455="",N29455=""),"",SUMIFS('Barang Keluar'!$E:$E,'Barang Keluar'!$A:$A,M29455,'Barang Keluar'!$C:$C,N29455))</f>
        <v>0</v>
      </c>
    </row>
    <row r="29456" spans="13:16">
      <c r="M29456" s="49">
        <f>IF($A$4+294&gt;$B$4,"",$A$4+294)</f>
        <v>46317</v>
      </c>
      <c r="N29456">
        <f>IF(M29456="","",'Master Barang'!A50)</f>
        <v>0</v>
      </c>
      <c r="O29456">
        <f>IF(N29456="","",'Master Barang'!B50)</f>
        <v>0</v>
      </c>
      <c r="P29456">
        <f>IF(OR(M29456="",N29456=""),"",SUMIFS('Barang Keluar'!$E:$E,'Barang Keluar'!$A:$A,M29456,'Barang Keluar'!$C:$C,N29456))</f>
        <v>0</v>
      </c>
    </row>
    <row r="29457" spans="13:16">
      <c r="M29457" s="49">
        <f>IF($A$4+294&gt;$B$4,"",$A$4+294)</f>
        <v>46317</v>
      </c>
      <c r="N29457">
        <f>IF(M29457="","",'Master Barang'!A51)</f>
        <v>0</v>
      </c>
      <c r="O29457">
        <f>IF(N29457="","",'Master Barang'!B51)</f>
        <v>0</v>
      </c>
      <c r="P29457">
        <f>IF(OR(M29457="",N29457=""),"",SUMIFS('Barang Keluar'!$E:$E,'Barang Keluar'!$A:$A,M29457,'Barang Keluar'!$C:$C,N29457))</f>
        <v>0</v>
      </c>
    </row>
    <row r="29458" spans="13:16">
      <c r="M29458" s="49">
        <f>IF($A$4+294&gt;$B$4,"",$A$4+294)</f>
        <v>46317</v>
      </c>
      <c r="N29458">
        <f>IF(M29458="","",'Master Barang'!A52)</f>
        <v>0</v>
      </c>
      <c r="O29458">
        <f>IF(N29458="","",'Master Barang'!B52)</f>
        <v>0</v>
      </c>
      <c r="P29458">
        <f>IF(OR(M29458="",N29458=""),"",SUMIFS('Barang Keluar'!$E:$E,'Barang Keluar'!$A:$A,M29458,'Barang Keluar'!$C:$C,N29458))</f>
        <v>0</v>
      </c>
    </row>
    <row r="29459" spans="13:16">
      <c r="M29459" s="49">
        <f>IF($A$4+294&gt;$B$4,"",$A$4+294)</f>
        <v>46317</v>
      </c>
      <c r="N29459">
        <f>IF(M29459="","",'Master Barang'!A53)</f>
        <v>0</v>
      </c>
      <c r="O29459">
        <f>IF(N29459="","",'Master Barang'!B53)</f>
        <v>0</v>
      </c>
      <c r="P29459">
        <f>IF(OR(M29459="",N29459=""),"",SUMIFS('Barang Keluar'!$E:$E,'Barang Keluar'!$A:$A,M29459,'Barang Keluar'!$C:$C,N29459))</f>
        <v>0</v>
      </c>
    </row>
    <row r="29460" spans="13:16">
      <c r="M29460" s="49">
        <f>IF($A$4+294&gt;$B$4,"",$A$4+294)</f>
        <v>46317</v>
      </c>
      <c r="N29460">
        <f>IF(M29460="","",'Master Barang'!A54)</f>
        <v>0</v>
      </c>
      <c r="O29460">
        <f>IF(N29460="","",'Master Barang'!B54)</f>
        <v>0</v>
      </c>
      <c r="P29460">
        <f>IF(OR(M29460="",N29460=""),"",SUMIFS('Barang Keluar'!$E:$E,'Barang Keluar'!$A:$A,M29460,'Barang Keluar'!$C:$C,N29460))</f>
        <v>0</v>
      </c>
    </row>
    <row r="29461" spans="13:16">
      <c r="M29461" s="49">
        <f>IF($A$4+294&gt;$B$4,"",$A$4+294)</f>
        <v>46317</v>
      </c>
      <c r="N29461">
        <f>IF(M29461="","",'Master Barang'!A55)</f>
        <v>0</v>
      </c>
      <c r="O29461">
        <f>IF(N29461="","",'Master Barang'!B55)</f>
        <v>0</v>
      </c>
      <c r="P29461">
        <f>IF(OR(M29461="",N29461=""),"",SUMIFS('Barang Keluar'!$E:$E,'Barang Keluar'!$A:$A,M29461,'Barang Keluar'!$C:$C,N29461))</f>
        <v>0</v>
      </c>
    </row>
    <row r="29462" spans="13:16">
      <c r="M29462" s="49">
        <f>IF($A$4+294&gt;$B$4,"",$A$4+294)</f>
        <v>46317</v>
      </c>
      <c r="N29462">
        <f>IF(M29462="","",'Master Barang'!A56)</f>
        <v>0</v>
      </c>
      <c r="O29462">
        <f>IF(N29462="","",'Master Barang'!B56)</f>
        <v>0</v>
      </c>
      <c r="P29462">
        <f>IF(OR(M29462="",N29462=""),"",SUMIFS('Barang Keluar'!$E:$E,'Barang Keluar'!$A:$A,M29462,'Barang Keluar'!$C:$C,N29462))</f>
        <v>0</v>
      </c>
    </row>
    <row r="29463" spans="13:16">
      <c r="M29463" s="49">
        <f>IF($A$4+294&gt;$B$4,"",$A$4+294)</f>
        <v>46317</v>
      </c>
      <c r="N29463">
        <f>IF(M29463="","",'Master Barang'!A57)</f>
        <v>0</v>
      </c>
      <c r="O29463">
        <f>IF(N29463="","",'Master Barang'!B57)</f>
        <v>0</v>
      </c>
      <c r="P29463">
        <f>IF(OR(M29463="",N29463=""),"",SUMIFS('Barang Keluar'!$E:$E,'Barang Keluar'!$A:$A,M29463,'Barang Keluar'!$C:$C,N29463))</f>
        <v>0</v>
      </c>
    </row>
    <row r="29464" spans="13:16">
      <c r="M29464" s="49">
        <f>IF($A$4+294&gt;$B$4,"",$A$4+294)</f>
        <v>46317</v>
      </c>
      <c r="N29464">
        <f>IF(M29464="","",'Master Barang'!A58)</f>
        <v>0</v>
      </c>
      <c r="O29464">
        <f>IF(N29464="","",'Master Barang'!B58)</f>
        <v>0</v>
      </c>
      <c r="P29464">
        <f>IF(OR(M29464="",N29464=""),"",SUMIFS('Barang Keluar'!$E:$E,'Barang Keluar'!$A:$A,M29464,'Barang Keluar'!$C:$C,N29464))</f>
        <v>0</v>
      </c>
    </row>
    <row r="29465" spans="13:16">
      <c r="M29465" s="49">
        <f>IF($A$4+294&gt;$B$4,"",$A$4+294)</f>
        <v>46317</v>
      </c>
      <c r="N29465">
        <f>IF(M29465="","",'Master Barang'!A59)</f>
        <v>0</v>
      </c>
      <c r="O29465">
        <f>IF(N29465="","",'Master Barang'!B59)</f>
        <v>0</v>
      </c>
      <c r="P29465">
        <f>IF(OR(M29465="",N29465=""),"",SUMIFS('Barang Keluar'!$E:$E,'Barang Keluar'!$A:$A,M29465,'Barang Keluar'!$C:$C,N29465))</f>
        <v>0</v>
      </c>
    </row>
    <row r="29466" spans="13:16">
      <c r="M29466" s="49">
        <f>IF($A$4+294&gt;$B$4,"",$A$4+294)</f>
        <v>46317</v>
      </c>
      <c r="N29466">
        <f>IF(M29466="","",'Master Barang'!A60)</f>
        <v>0</v>
      </c>
      <c r="O29466">
        <f>IF(N29466="","",'Master Barang'!B60)</f>
        <v>0</v>
      </c>
      <c r="P29466">
        <f>IF(OR(M29466="",N29466=""),"",SUMIFS('Barang Keluar'!$E:$E,'Barang Keluar'!$A:$A,M29466,'Barang Keluar'!$C:$C,N29466))</f>
        <v>0</v>
      </c>
    </row>
    <row r="29467" spans="13:16">
      <c r="M29467" s="49">
        <f>IF($A$4+294&gt;$B$4,"",$A$4+294)</f>
        <v>46317</v>
      </c>
      <c r="N29467">
        <f>IF(M29467="","",'Master Barang'!A61)</f>
        <v>0</v>
      </c>
      <c r="O29467">
        <f>IF(N29467="","",'Master Barang'!B61)</f>
        <v>0</v>
      </c>
      <c r="P29467">
        <f>IF(OR(M29467="",N29467=""),"",SUMIFS('Barang Keluar'!$E:$E,'Barang Keluar'!$A:$A,M29467,'Barang Keluar'!$C:$C,N29467))</f>
        <v>0</v>
      </c>
    </row>
    <row r="29468" spans="13:16">
      <c r="M29468" s="49">
        <f>IF($A$4+294&gt;$B$4,"",$A$4+294)</f>
        <v>46317</v>
      </c>
      <c r="N29468">
        <f>IF(M29468="","",'Master Barang'!A62)</f>
        <v>0</v>
      </c>
      <c r="O29468">
        <f>IF(N29468="","",'Master Barang'!B62)</f>
        <v>0</v>
      </c>
      <c r="P29468">
        <f>IF(OR(M29468="",N29468=""),"",SUMIFS('Barang Keluar'!$E:$E,'Barang Keluar'!$A:$A,M29468,'Barang Keluar'!$C:$C,N29468))</f>
        <v>0</v>
      </c>
    </row>
    <row r="29469" spans="13:16">
      <c r="M29469" s="49">
        <f>IF($A$4+294&gt;$B$4,"",$A$4+294)</f>
        <v>46317</v>
      </c>
      <c r="N29469">
        <f>IF(M29469="","",'Master Barang'!A63)</f>
        <v>0</v>
      </c>
      <c r="O29469">
        <f>IF(N29469="","",'Master Barang'!B63)</f>
        <v>0</v>
      </c>
      <c r="P29469">
        <f>IF(OR(M29469="",N29469=""),"",SUMIFS('Barang Keluar'!$E:$E,'Barang Keluar'!$A:$A,M29469,'Barang Keluar'!$C:$C,N29469))</f>
        <v>0</v>
      </c>
    </row>
    <row r="29470" spans="13:16">
      <c r="M29470" s="49">
        <f>IF($A$4+294&gt;$B$4,"",$A$4+294)</f>
        <v>46317</v>
      </c>
      <c r="N29470">
        <f>IF(M29470="","",'Master Barang'!A64)</f>
        <v>0</v>
      </c>
      <c r="O29470">
        <f>IF(N29470="","",'Master Barang'!B64)</f>
        <v>0</v>
      </c>
      <c r="P29470">
        <f>IF(OR(M29470="",N29470=""),"",SUMIFS('Barang Keluar'!$E:$E,'Barang Keluar'!$A:$A,M29470,'Barang Keluar'!$C:$C,N29470))</f>
        <v>0</v>
      </c>
    </row>
    <row r="29471" spans="13:16">
      <c r="M29471" s="49">
        <f>IF($A$4+294&gt;$B$4,"",$A$4+294)</f>
        <v>46317</v>
      </c>
      <c r="N29471">
        <f>IF(M29471="","",'Master Barang'!A65)</f>
        <v>0</v>
      </c>
      <c r="O29471">
        <f>IF(N29471="","",'Master Barang'!B65)</f>
        <v>0</v>
      </c>
      <c r="P29471">
        <f>IF(OR(M29471="",N29471=""),"",SUMIFS('Barang Keluar'!$E:$E,'Barang Keluar'!$A:$A,M29471,'Barang Keluar'!$C:$C,N29471))</f>
        <v>0</v>
      </c>
    </row>
    <row r="29472" spans="13:16">
      <c r="M29472" s="49">
        <f>IF($A$4+294&gt;$B$4,"",$A$4+294)</f>
        <v>46317</v>
      </c>
      <c r="N29472">
        <f>IF(M29472="","",'Master Barang'!A66)</f>
        <v>0</v>
      </c>
      <c r="O29472">
        <f>IF(N29472="","",'Master Barang'!B66)</f>
        <v>0</v>
      </c>
      <c r="P29472">
        <f>IF(OR(M29472="",N29472=""),"",SUMIFS('Barang Keluar'!$E:$E,'Barang Keluar'!$A:$A,M29472,'Barang Keluar'!$C:$C,N29472))</f>
        <v>0</v>
      </c>
    </row>
    <row r="29473" spans="13:16">
      <c r="M29473" s="49">
        <f>IF($A$4+294&gt;$B$4,"",$A$4+294)</f>
        <v>46317</v>
      </c>
      <c r="N29473">
        <f>IF(M29473="","",'Master Barang'!A67)</f>
        <v>0</v>
      </c>
      <c r="O29473">
        <f>IF(N29473="","",'Master Barang'!B67)</f>
        <v>0</v>
      </c>
      <c r="P29473">
        <f>IF(OR(M29473="",N29473=""),"",SUMIFS('Barang Keluar'!$E:$E,'Barang Keluar'!$A:$A,M29473,'Barang Keluar'!$C:$C,N29473))</f>
        <v>0</v>
      </c>
    </row>
    <row r="29474" spans="13:16">
      <c r="M29474" s="49">
        <f>IF($A$4+294&gt;$B$4,"",$A$4+294)</f>
        <v>46317</v>
      </c>
      <c r="N29474">
        <f>IF(M29474="","",'Master Barang'!A68)</f>
        <v>0</v>
      </c>
      <c r="O29474">
        <f>IF(N29474="","",'Master Barang'!B68)</f>
        <v>0</v>
      </c>
      <c r="P29474">
        <f>IF(OR(M29474="",N29474=""),"",SUMIFS('Barang Keluar'!$E:$E,'Barang Keluar'!$A:$A,M29474,'Barang Keluar'!$C:$C,N29474))</f>
        <v>0</v>
      </c>
    </row>
    <row r="29475" spans="13:16">
      <c r="M29475" s="49">
        <f>IF($A$4+294&gt;$B$4,"",$A$4+294)</f>
        <v>46317</v>
      </c>
      <c r="N29475">
        <f>IF(M29475="","",'Master Barang'!A69)</f>
        <v>0</v>
      </c>
      <c r="O29475">
        <f>IF(N29475="","",'Master Barang'!B69)</f>
        <v>0</v>
      </c>
      <c r="P29475">
        <f>IF(OR(M29475="",N29475=""),"",SUMIFS('Barang Keluar'!$E:$E,'Barang Keluar'!$A:$A,M29475,'Barang Keluar'!$C:$C,N29475))</f>
        <v>0</v>
      </c>
    </row>
    <row r="29476" spans="13:16">
      <c r="M29476" s="49">
        <f>IF($A$4+294&gt;$B$4,"",$A$4+294)</f>
        <v>46317</v>
      </c>
      <c r="N29476">
        <f>IF(M29476="","",'Master Barang'!A70)</f>
        <v>0</v>
      </c>
      <c r="O29476">
        <f>IF(N29476="","",'Master Barang'!B70)</f>
        <v>0</v>
      </c>
      <c r="P29476">
        <f>IF(OR(M29476="",N29476=""),"",SUMIFS('Barang Keluar'!$E:$E,'Barang Keluar'!$A:$A,M29476,'Barang Keluar'!$C:$C,N29476))</f>
        <v>0</v>
      </c>
    </row>
    <row r="29477" spans="13:16">
      <c r="M29477" s="49">
        <f>IF($A$4+294&gt;$B$4,"",$A$4+294)</f>
        <v>46317</v>
      </c>
      <c r="N29477">
        <f>IF(M29477="","",'Master Barang'!A71)</f>
        <v>0</v>
      </c>
      <c r="O29477">
        <f>IF(N29477="","",'Master Barang'!B71)</f>
        <v>0</v>
      </c>
      <c r="P29477">
        <f>IF(OR(M29477="",N29477=""),"",SUMIFS('Barang Keluar'!$E:$E,'Barang Keluar'!$A:$A,M29477,'Barang Keluar'!$C:$C,N29477))</f>
        <v>0</v>
      </c>
    </row>
    <row r="29478" spans="13:16">
      <c r="M29478" s="49">
        <f>IF($A$4+294&gt;$B$4,"",$A$4+294)</f>
        <v>46317</v>
      </c>
      <c r="N29478">
        <f>IF(M29478="","",'Master Barang'!A72)</f>
        <v>0</v>
      </c>
      <c r="O29478">
        <f>IF(N29478="","",'Master Barang'!B72)</f>
        <v>0</v>
      </c>
      <c r="P29478">
        <f>IF(OR(M29478="",N29478=""),"",SUMIFS('Barang Keluar'!$E:$E,'Barang Keluar'!$A:$A,M29478,'Barang Keluar'!$C:$C,N29478))</f>
        <v>0</v>
      </c>
    </row>
    <row r="29479" spans="13:16">
      <c r="M29479" s="49">
        <f>IF($A$4+294&gt;$B$4,"",$A$4+294)</f>
        <v>46317</v>
      </c>
      <c r="N29479">
        <f>IF(M29479="","",'Master Barang'!A73)</f>
        <v>0</v>
      </c>
      <c r="O29479">
        <f>IF(N29479="","",'Master Barang'!B73)</f>
        <v>0</v>
      </c>
      <c r="P29479">
        <f>IF(OR(M29479="",N29479=""),"",SUMIFS('Barang Keluar'!$E:$E,'Barang Keluar'!$A:$A,M29479,'Barang Keluar'!$C:$C,N29479))</f>
        <v>0</v>
      </c>
    </row>
    <row r="29480" spans="13:16">
      <c r="M29480" s="49">
        <f>IF($A$4+294&gt;$B$4,"",$A$4+294)</f>
        <v>46317</v>
      </c>
      <c r="N29480">
        <f>IF(M29480="","",'Master Barang'!A74)</f>
        <v>0</v>
      </c>
      <c r="O29480">
        <f>IF(N29480="","",'Master Barang'!B74)</f>
        <v>0</v>
      </c>
      <c r="P29480">
        <f>IF(OR(M29480="",N29480=""),"",SUMIFS('Barang Keluar'!$E:$E,'Barang Keluar'!$A:$A,M29480,'Barang Keluar'!$C:$C,N29480))</f>
        <v>0</v>
      </c>
    </row>
    <row r="29481" spans="13:16">
      <c r="M29481" s="49">
        <f>IF($A$4+294&gt;$B$4,"",$A$4+294)</f>
        <v>46317</v>
      </c>
      <c r="N29481">
        <f>IF(M29481="","",'Master Barang'!A75)</f>
        <v>0</v>
      </c>
      <c r="O29481">
        <f>IF(N29481="","",'Master Barang'!B75)</f>
        <v>0</v>
      </c>
      <c r="P29481">
        <f>IF(OR(M29481="",N29481=""),"",SUMIFS('Barang Keluar'!$E:$E,'Barang Keluar'!$A:$A,M29481,'Barang Keluar'!$C:$C,N29481))</f>
        <v>0</v>
      </c>
    </row>
    <row r="29482" spans="13:16">
      <c r="M29482" s="49">
        <f>IF($A$4+294&gt;$B$4,"",$A$4+294)</f>
        <v>46317</v>
      </c>
      <c r="N29482">
        <f>IF(M29482="","",'Master Barang'!A76)</f>
        <v>0</v>
      </c>
      <c r="O29482">
        <f>IF(N29482="","",'Master Barang'!B76)</f>
        <v>0</v>
      </c>
      <c r="P29482">
        <f>IF(OR(M29482="",N29482=""),"",SUMIFS('Barang Keluar'!$E:$E,'Barang Keluar'!$A:$A,M29482,'Barang Keluar'!$C:$C,N29482))</f>
        <v>0</v>
      </c>
    </row>
    <row r="29483" spans="13:16">
      <c r="M29483" s="49">
        <f>IF($A$4+294&gt;$B$4,"",$A$4+294)</f>
        <v>46317</v>
      </c>
      <c r="N29483">
        <f>IF(M29483="","",'Master Barang'!A77)</f>
        <v>0</v>
      </c>
      <c r="O29483">
        <f>IF(N29483="","",'Master Barang'!B77)</f>
        <v>0</v>
      </c>
      <c r="P29483">
        <f>IF(OR(M29483="",N29483=""),"",SUMIFS('Barang Keluar'!$E:$E,'Barang Keluar'!$A:$A,M29483,'Barang Keluar'!$C:$C,N29483))</f>
        <v>0</v>
      </c>
    </row>
    <row r="29484" spans="13:16">
      <c r="M29484" s="49">
        <f>IF($A$4+294&gt;$B$4,"",$A$4+294)</f>
        <v>46317</v>
      </c>
      <c r="N29484">
        <f>IF(M29484="","",'Master Barang'!A78)</f>
        <v>0</v>
      </c>
      <c r="O29484">
        <f>IF(N29484="","",'Master Barang'!B78)</f>
        <v>0</v>
      </c>
      <c r="P29484">
        <f>IF(OR(M29484="",N29484=""),"",SUMIFS('Barang Keluar'!$E:$E,'Barang Keluar'!$A:$A,M29484,'Barang Keluar'!$C:$C,N29484))</f>
        <v>0</v>
      </c>
    </row>
    <row r="29485" spans="13:16">
      <c r="M29485" s="49">
        <f>IF($A$4+294&gt;$B$4,"",$A$4+294)</f>
        <v>46317</v>
      </c>
      <c r="N29485">
        <f>IF(M29485="","",'Master Barang'!A79)</f>
        <v>0</v>
      </c>
      <c r="O29485">
        <f>IF(N29485="","",'Master Barang'!B79)</f>
        <v>0</v>
      </c>
      <c r="P29485">
        <f>IF(OR(M29485="",N29485=""),"",SUMIFS('Barang Keluar'!$E:$E,'Barang Keluar'!$A:$A,M29485,'Barang Keluar'!$C:$C,N29485))</f>
        <v>0</v>
      </c>
    </row>
    <row r="29486" spans="13:16">
      <c r="M29486" s="49">
        <f>IF($A$4+294&gt;$B$4,"",$A$4+294)</f>
        <v>46317</v>
      </c>
      <c r="N29486">
        <f>IF(M29486="","",'Master Barang'!A80)</f>
        <v>0</v>
      </c>
      <c r="O29486">
        <f>IF(N29486="","",'Master Barang'!B80)</f>
        <v>0</v>
      </c>
      <c r="P29486">
        <f>IF(OR(M29486="",N29486=""),"",SUMIFS('Barang Keluar'!$E:$E,'Barang Keluar'!$A:$A,M29486,'Barang Keluar'!$C:$C,N29486))</f>
        <v>0</v>
      </c>
    </row>
    <row r="29487" spans="13:16">
      <c r="M29487" s="49">
        <f>IF($A$4+294&gt;$B$4,"",$A$4+294)</f>
        <v>46317</v>
      </c>
      <c r="N29487">
        <f>IF(M29487="","",'Master Barang'!A81)</f>
        <v>0</v>
      </c>
      <c r="O29487">
        <f>IF(N29487="","",'Master Barang'!B81)</f>
        <v>0</v>
      </c>
      <c r="P29487">
        <f>IF(OR(M29487="",N29487=""),"",SUMIFS('Barang Keluar'!$E:$E,'Barang Keluar'!$A:$A,M29487,'Barang Keluar'!$C:$C,N29487))</f>
        <v>0</v>
      </c>
    </row>
    <row r="29488" spans="13:16">
      <c r="M29488" s="49">
        <f>IF($A$4+294&gt;$B$4,"",$A$4+294)</f>
        <v>46317</v>
      </c>
      <c r="N29488">
        <f>IF(M29488="","",'Master Barang'!A82)</f>
        <v>0</v>
      </c>
      <c r="O29488">
        <f>IF(N29488="","",'Master Barang'!B82)</f>
        <v>0</v>
      </c>
      <c r="P29488">
        <f>IF(OR(M29488="",N29488=""),"",SUMIFS('Barang Keluar'!$E:$E,'Barang Keluar'!$A:$A,M29488,'Barang Keluar'!$C:$C,N29488))</f>
        <v>0</v>
      </c>
    </row>
    <row r="29489" spans="13:16">
      <c r="M29489" s="49">
        <f>IF($A$4+294&gt;$B$4,"",$A$4+294)</f>
        <v>46317</v>
      </c>
      <c r="N29489">
        <f>IF(M29489="","",'Master Barang'!A83)</f>
        <v>0</v>
      </c>
      <c r="O29489">
        <f>IF(N29489="","",'Master Barang'!B83)</f>
        <v>0</v>
      </c>
      <c r="P29489">
        <f>IF(OR(M29489="",N29489=""),"",SUMIFS('Barang Keluar'!$E:$E,'Barang Keluar'!$A:$A,M29489,'Barang Keluar'!$C:$C,N29489))</f>
        <v>0</v>
      </c>
    </row>
    <row r="29490" spans="13:16">
      <c r="M29490" s="49">
        <f>IF($A$4+294&gt;$B$4,"",$A$4+294)</f>
        <v>46317</v>
      </c>
      <c r="N29490">
        <f>IF(M29490="","",'Master Barang'!A84)</f>
        <v>0</v>
      </c>
      <c r="O29490">
        <f>IF(N29490="","",'Master Barang'!B84)</f>
        <v>0</v>
      </c>
      <c r="P29490">
        <f>IF(OR(M29490="",N29490=""),"",SUMIFS('Barang Keluar'!$E:$E,'Barang Keluar'!$A:$A,M29490,'Barang Keluar'!$C:$C,N29490))</f>
        <v>0</v>
      </c>
    </row>
    <row r="29491" spans="13:16">
      <c r="M29491" s="49">
        <f>IF($A$4+294&gt;$B$4,"",$A$4+294)</f>
        <v>46317</v>
      </c>
      <c r="N29491">
        <f>IF(M29491="","",'Master Barang'!A85)</f>
        <v>0</v>
      </c>
      <c r="O29491">
        <f>IF(N29491="","",'Master Barang'!B85)</f>
        <v>0</v>
      </c>
      <c r="P29491">
        <f>IF(OR(M29491="",N29491=""),"",SUMIFS('Barang Keluar'!$E:$E,'Barang Keluar'!$A:$A,M29491,'Barang Keluar'!$C:$C,N29491))</f>
        <v>0</v>
      </c>
    </row>
    <row r="29492" spans="13:16">
      <c r="M29492" s="49">
        <f>IF($A$4+294&gt;$B$4,"",$A$4+294)</f>
        <v>46317</v>
      </c>
      <c r="N29492">
        <f>IF(M29492="","",'Master Barang'!A86)</f>
        <v>0</v>
      </c>
      <c r="O29492">
        <f>IF(N29492="","",'Master Barang'!B86)</f>
        <v>0</v>
      </c>
      <c r="P29492">
        <f>IF(OR(M29492="",N29492=""),"",SUMIFS('Barang Keluar'!$E:$E,'Barang Keluar'!$A:$A,M29492,'Barang Keluar'!$C:$C,N29492))</f>
        <v>0</v>
      </c>
    </row>
    <row r="29493" spans="13:16">
      <c r="M29493" s="49">
        <f>IF($A$4+294&gt;$B$4,"",$A$4+294)</f>
        <v>46317</v>
      </c>
      <c r="N29493">
        <f>IF(M29493="","",'Master Barang'!A87)</f>
        <v>0</v>
      </c>
      <c r="O29493">
        <f>IF(N29493="","",'Master Barang'!B87)</f>
        <v>0</v>
      </c>
      <c r="P29493">
        <f>IF(OR(M29493="",N29493=""),"",SUMIFS('Barang Keluar'!$E:$E,'Barang Keluar'!$A:$A,M29493,'Barang Keluar'!$C:$C,N29493))</f>
        <v>0</v>
      </c>
    </row>
    <row r="29494" spans="13:16">
      <c r="M29494" s="49">
        <f>IF($A$4+294&gt;$B$4,"",$A$4+294)</f>
        <v>46317</v>
      </c>
      <c r="N29494">
        <f>IF(M29494="","",'Master Barang'!A88)</f>
        <v>0</v>
      </c>
      <c r="O29494">
        <f>IF(N29494="","",'Master Barang'!B88)</f>
        <v>0</v>
      </c>
      <c r="P29494">
        <f>IF(OR(M29494="",N29494=""),"",SUMIFS('Barang Keluar'!$E:$E,'Barang Keluar'!$A:$A,M29494,'Barang Keluar'!$C:$C,N29494))</f>
        <v>0</v>
      </c>
    </row>
    <row r="29495" spans="13:16">
      <c r="M29495" s="49">
        <f>IF($A$4+294&gt;$B$4,"",$A$4+294)</f>
        <v>46317</v>
      </c>
      <c r="N29495">
        <f>IF(M29495="","",'Master Barang'!A89)</f>
        <v>0</v>
      </c>
      <c r="O29495">
        <f>IF(N29495="","",'Master Barang'!B89)</f>
        <v>0</v>
      </c>
      <c r="P29495">
        <f>IF(OR(M29495="",N29495=""),"",SUMIFS('Barang Keluar'!$E:$E,'Barang Keluar'!$A:$A,M29495,'Barang Keluar'!$C:$C,N29495))</f>
        <v>0</v>
      </c>
    </row>
    <row r="29496" spans="13:16">
      <c r="M29496" s="49">
        <f>IF($A$4+294&gt;$B$4,"",$A$4+294)</f>
        <v>46317</v>
      </c>
      <c r="N29496">
        <f>IF(M29496="","",'Master Barang'!A90)</f>
        <v>0</v>
      </c>
      <c r="O29496">
        <f>IF(N29496="","",'Master Barang'!B90)</f>
        <v>0</v>
      </c>
      <c r="P29496">
        <f>IF(OR(M29496="",N29496=""),"",SUMIFS('Barang Keluar'!$E:$E,'Barang Keluar'!$A:$A,M29496,'Barang Keluar'!$C:$C,N29496))</f>
        <v>0</v>
      </c>
    </row>
    <row r="29497" spans="13:16">
      <c r="M29497" s="49">
        <f>IF($A$4+294&gt;$B$4,"",$A$4+294)</f>
        <v>46317</v>
      </c>
      <c r="N29497">
        <f>IF(M29497="","",'Master Barang'!A91)</f>
        <v>0</v>
      </c>
      <c r="O29497">
        <f>IF(N29497="","",'Master Barang'!B91)</f>
        <v>0</v>
      </c>
      <c r="P29497">
        <f>IF(OR(M29497="",N29497=""),"",SUMIFS('Barang Keluar'!$E:$E,'Barang Keluar'!$A:$A,M29497,'Barang Keluar'!$C:$C,N29497))</f>
        <v>0</v>
      </c>
    </row>
    <row r="29498" spans="13:16">
      <c r="M29498" s="49">
        <f>IF($A$4+294&gt;$B$4,"",$A$4+294)</f>
        <v>46317</v>
      </c>
      <c r="N29498">
        <f>IF(M29498="","",'Master Barang'!A92)</f>
        <v>0</v>
      </c>
      <c r="O29498">
        <f>IF(N29498="","",'Master Barang'!B92)</f>
        <v>0</v>
      </c>
      <c r="P29498">
        <f>IF(OR(M29498="",N29498=""),"",SUMIFS('Barang Keluar'!$E:$E,'Barang Keluar'!$A:$A,M29498,'Barang Keluar'!$C:$C,N29498))</f>
        <v>0</v>
      </c>
    </row>
    <row r="29499" spans="13:16">
      <c r="M29499" s="49">
        <f>IF($A$4+294&gt;$B$4,"",$A$4+294)</f>
        <v>46317</v>
      </c>
      <c r="N29499">
        <f>IF(M29499="","",'Master Barang'!A93)</f>
        <v>0</v>
      </c>
      <c r="O29499">
        <f>IF(N29499="","",'Master Barang'!B93)</f>
        <v>0</v>
      </c>
      <c r="P29499">
        <f>IF(OR(M29499="",N29499=""),"",SUMIFS('Barang Keluar'!$E:$E,'Barang Keluar'!$A:$A,M29499,'Barang Keluar'!$C:$C,N29499))</f>
        <v>0</v>
      </c>
    </row>
    <row r="29500" spans="13:16">
      <c r="M29500" s="49">
        <f>IF($A$4+294&gt;$B$4,"",$A$4+294)</f>
        <v>46317</v>
      </c>
      <c r="N29500">
        <f>IF(M29500="","",'Master Barang'!A94)</f>
        <v>0</v>
      </c>
      <c r="O29500">
        <f>IF(N29500="","",'Master Barang'!B94)</f>
        <v>0</v>
      </c>
      <c r="P29500">
        <f>IF(OR(M29500="",N29500=""),"",SUMIFS('Barang Keluar'!$E:$E,'Barang Keluar'!$A:$A,M29500,'Barang Keluar'!$C:$C,N29500))</f>
        <v>0</v>
      </c>
    </row>
    <row r="29501" spans="13:16">
      <c r="M29501" s="49">
        <f>IF($A$4+294&gt;$B$4,"",$A$4+294)</f>
        <v>46317</v>
      </c>
      <c r="N29501">
        <f>IF(M29501="","",'Master Barang'!A95)</f>
        <v>0</v>
      </c>
      <c r="O29501">
        <f>IF(N29501="","",'Master Barang'!B95)</f>
        <v>0</v>
      </c>
      <c r="P29501">
        <f>IF(OR(M29501="",N29501=""),"",SUMIFS('Barang Keluar'!$E:$E,'Barang Keluar'!$A:$A,M29501,'Barang Keluar'!$C:$C,N29501))</f>
        <v>0</v>
      </c>
    </row>
    <row r="29502" spans="13:16">
      <c r="M29502" s="49">
        <f>IF($A$4+294&gt;$B$4,"",$A$4+294)</f>
        <v>46317</v>
      </c>
      <c r="N29502">
        <f>IF(M29502="","",'Master Barang'!A96)</f>
        <v>0</v>
      </c>
      <c r="O29502">
        <f>IF(N29502="","",'Master Barang'!B96)</f>
        <v>0</v>
      </c>
      <c r="P29502">
        <f>IF(OR(M29502="",N29502=""),"",SUMIFS('Barang Keluar'!$E:$E,'Barang Keluar'!$A:$A,M29502,'Barang Keluar'!$C:$C,N29502))</f>
        <v>0</v>
      </c>
    </row>
    <row r="29503" spans="13:16">
      <c r="M29503" s="49">
        <f>IF($A$4+294&gt;$B$4,"",$A$4+294)</f>
        <v>46317</v>
      </c>
      <c r="N29503">
        <f>IF(M29503="","",'Master Barang'!A97)</f>
        <v>0</v>
      </c>
      <c r="O29503">
        <f>IF(N29503="","",'Master Barang'!B97)</f>
        <v>0</v>
      </c>
      <c r="P29503">
        <f>IF(OR(M29503="",N29503=""),"",SUMIFS('Barang Keluar'!$E:$E,'Barang Keluar'!$A:$A,M29503,'Barang Keluar'!$C:$C,N29503))</f>
        <v>0</v>
      </c>
    </row>
    <row r="29504" spans="13:16">
      <c r="M29504" s="49">
        <f>IF($A$4+294&gt;$B$4,"",$A$4+294)</f>
        <v>46317</v>
      </c>
      <c r="N29504">
        <f>IF(M29504="","",'Master Barang'!A98)</f>
        <v>0</v>
      </c>
      <c r="O29504">
        <f>IF(N29504="","",'Master Barang'!B98)</f>
        <v>0</v>
      </c>
      <c r="P29504">
        <f>IF(OR(M29504="",N29504=""),"",SUMIFS('Barang Keluar'!$E:$E,'Barang Keluar'!$A:$A,M29504,'Barang Keluar'!$C:$C,N29504))</f>
        <v>0</v>
      </c>
    </row>
    <row r="29505" spans="13:16">
      <c r="M29505" s="49">
        <f>IF($A$4+294&gt;$B$4,"",$A$4+294)</f>
        <v>46317</v>
      </c>
      <c r="N29505">
        <f>IF(M29505="","",'Master Barang'!A99)</f>
        <v>0</v>
      </c>
      <c r="O29505">
        <f>IF(N29505="","",'Master Barang'!B99)</f>
        <v>0</v>
      </c>
      <c r="P29505">
        <f>IF(OR(M29505="",N29505=""),"",SUMIFS('Barang Keluar'!$E:$E,'Barang Keluar'!$A:$A,M29505,'Barang Keluar'!$C:$C,N29505))</f>
        <v>0</v>
      </c>
    </row>
    <row r="29506" spans="13:16">
      <c r="M29506" s="49">
        <f>IF($A$4+294&gt;$B$4,"",$A$4+294)</f>
        <v>46317</v>
      </c>
      <c r="N29506">
        <f>IF(M29506="","",'Master Barang'!A100)</f>
        <v>0</v>
      </c>
      <c r="O29506">
        <f>IF(N29506="","",'Master Barang'!B100)</f>
        <v>0</v>
      </c>
      <c r="P29506">
        <f>IF(OR(M29506="",N29506=""),"",SUMIFS('Barang Keluar'!$E:$E,'Barang Keluar'!$A:$A,M29506,'Barang Keluar'!$C:$C,N29506))</f>
        <v>0</v>
      </c>
    </row>
    <row r="29507" spans="13:16">
      <c r="M29507" s="49">
        <f>IF($A$4+294&gt;$B$4,"",$A$4+294)</f>
        <v>46317</v>
      </c>
      <c r="N29507">
        <f>IF(M29507="","",'Master Barang'!A101)</f>
        <v>0</v>
      </c>
      <c r="O29507">
        <f>IF(N29507="","",'Master Barang'!B101)</f>
        <v>0</v>
      </c>
      <c r="P29507">
        <f>IF(OR(M29507="",N29507=""),"",SUMIFS('Barang Keluar'!$E:$E,'Barang Keluar'!$A:$A,M29507,'Barang Keluar'!$C:$C,N29507))</f>
        <v>0</v>
      </c>
    </row>
    <row r="29508" spans="13:16">
      <c r="M29508" s="49">
        <f>IF($A$4+295&gt;$B$4,"",$A$4+295)</f>
        <v>46318</v>
      </c>
      <c r="N29508" t="str">
        <f>IF(M29508="","",'Master Barang'!A2)</f>
        <v>PRL-001</v>
      </c>
      <c r="O29508" t="str">
        <f>IF(N29508="","",'Master Barang'!B2)</f>
        <v>natura desinfectant food grade 5l</v>
      </c>
      <c r="P29508">
        <f>IF(OR(M29508="",N29508=""),"",SUMIFS('Barang Keluar'!$E:$E,'Barang Keluar'!$A:$A,M29508,'Barang Keluar'!$C:$C,N29508))</f>
        <v>0</v>
      </c>
    </row>
    <row r="29509" spans="13:16">
      <c r="M29509" s="49">
        <f>IF($A$4+295&gt;$B$4,"",$A$4+295)</f>
        <v>46318</v>
      </c>
      <c r="N29509" t="str">
        <f>IF(M29509="","",'Master Barang'!A3)</f>
        <v>PRL-002</v>
      </c>
      <c r="O29509" t="str">
        <f>IF(N29509="","",'Master Barang'!B3)</f>
        <v>sunlight cairan pencuci piring 5l</v>
      </c>
      <c r="P29509">
        <f>IF(OR(M29509="",N29509=""),"",SUMIFS('Barang Keluar'!$E:$E,'Barang Keluar'!$A:$A,M29509,'Barang Keluar'!$C:$C,N29509))</f>
        <v>0</v>
      </c>
    </row>
    <row r="29510" spans="13:16">
      <c r="M29510" s="49">
        <f>IF($A$4+295&gt;$B$4,"",$A$4+295)</f>
        <v>46318</v>
      </c>
      <c r="N29510" t="str">
        <f>IF(M29510="","",'Master Barang'!A4)</f>
        <v>PRL-003</v>
      </c>
      <c r="O29510" t="str">
        <f>IF(N29510="","",'Master Barang'!B4)</f>
        <v>oixs cleaner 1l</v>
      </c>
      <c r="P29510">
        <f>IF(OR(M29510="",N29510=""),"",SUMIFS('Barang Keluar'!$E:$E,'Barang Keluar'!$A:$A,M29510,'Barang Keluar'!$C:$C,N29510))</f>
        <v>0</v>
      </c>
    </row>
    <row r="29511" spans="13:16">
      <c r="M29511" s="49">
        <f>IF($A$4+295&gt;$B$4,"",$A$4+295)</f>
        <v>46318</v>
      </c>
      <c r="N29511" t="str">
        <f>IF(M29511="","",'Master Barang'!A5)</f>
        <v>PRL-004</v>
      </c>
      <c r="O29511" t="str">
        <f>IF(N29511="","",'Master Barang'!B5)</f>
        <v>be clean tissue serbaguna</v>
      </c>
      <c r="P29511">
        <f>IF(OR(M29511="",N29511=""),"",SUMIFS('Barang Keluar'!$E:$E,'Barang Keluar'!$A:$A,M29511,'Barang Keluar'!$C:$C,N29511))</f>
        <v>0</v>
      </c>
    </row>
    <row r="29512" spans="13:16">
      <c r="M29512" s="49">
        <f>IF($A$4+295&gt;$B$4,"",$A$4+295)</f>
        <v>46318</v>
      </c>
      <c r="N29512" t="str">
        <f>IF(M29512="","",'Master Barang'!A6)</f>
        <v>PRL-005</v>
      </c>
      <c r="O29512" t="str">
        <f>IF(N29512="","",'Master Barang'!B6)</f>
        <v>spons cuci hijau</v>
      </c>
      <c r="P29512">
        <f>IF(OR(M29512="",N29512=""),"",SUMIFS('Barang Keluar'!$E:$E,'Barang Keluar'!$A:$A,M29512,'Barang Keluar'!$C:$C,N29512))</f>
        <v>0</v>
      </c>
    </row>
    <row r="29513" spans="13:16">
      <c r="M29513" s="49">
        <f>IF($A$4+295&gt;$B$4,"",$A$4+295)</f>
        <v>46318</v>
      </c>
      <c r="N29513" t="str">
        <f>IF(M29513="","",'Master Barang'!A7)</f>
        <v>PRL-006</v>
      </c>
      <c r="O29513" t="str">
        <f>IF(N29513="","",'Master Barang'!B7)</f>
        <v>sabut cuci stainless</v>
      </c>
      <c r="P29513">
        <f>IF(OR(M29513="",N29513=""),"",SUMIFS('Barang Keluar'!$E:$E,'Barang Keluar'!$A:$A,M29513,'Barang Keluar'!$C:$C,N29513))</f>
        <v>0</v>
      </c>
    </row>
    <row r="29514" spans="13:16">
      <c r="M29514" s="49">
        <f>IF($A$4+295&gt;$B$4,"",$A$4+295)</f>
        <v>46318</v>
      </c>
      <c r="N29514" t="str">
        <f>IF(M29514="","",'Master Barang'!A8)</f>
        <v>PRL-007</v>
      </c>
      <c r="O29514" t="str">
        <f>IF(N29514="","",'Master Barang'!B8)</f>
        <v>plastik kresek besar merah 50pc</v>
      </c>
      <c r="P29514">
        <f>IF(OR(M29514="",N29514=""),"",SUMIFS('Barang Keluar'!$E:$E,'Barang Keluar'!$A:$A,M29514,'Barang Keluar'!$C:$C,N29514))</f>
        <v>0</v>
      </c>
    </row>
    <row r="29515" spans="13:16">
      <c r="M29515" s="49">
        <f>IF($A$4+295&gt;$B$4,"",$A$4+295)</f>
        <v>46318</v>
      </c>
      <c r="N29515" t="str">
        <f>IF(M29515="","",'Master Barang'!A9)</f>
        <v>PRL-008</v>
      </c>
      <c r="O29515" t="str">
        <f>IF(N29515="","",'Master Barang'!B9)</f>
        <v>lap besar</v>
      </c>
      <c r="P29515">
        <f>IF(OR(M29515="",N29515=""),"",SUMIFS('Barang Keluar'!$E:$E,'Barang Keluar'!$A:$A,M29515,'Barang Keluar'!$C:$C,N29515))</f>
        <v>0</v>
      </c>
    </row>
    <row r="29516" spans="13:16">
      <c r="M29516" s="49">
        <f>IF($A$4+295&gt;$B$4,"",$A$4+295)</f>
        <v>46318</v>
      </c>
      <c r="N29516" t="str">
        <f>IF(M29516="","",'Master Barang'!A10)</f>
        <v>PRL-009</v>
      </c>
      <c r="O29516" t="str">
        <f>IF(N29516="","",'Master Barang'!B10)</f>
        <v>lap microfiber</v>
      </c>
      <c r="P29516">
        <f>IF(OR(M29516="",N29516=""),"",SUMIFS('Barang Keluar'!$E:$E,'Barang Keluar'!$A:$A,M29516,'Barang Keluar'!$C:$C,N29516))</f>
        <v>0</v>
      </c>
    </row>
    <row r="29517" spans="13:16">
      <c r="M29517" s="49">
        <f>IF($A$4+295&gt;$B$4,"",$A$4+295)</f>
        <v>46318</v>
      </c>
      <c r="N29517" t="str">
        <f>IF(M29517="","",'Master Barang'!A11)</f>
        <v>PRL-010</v>
      </c>
      <c r="O29517" t="str">
        <f>IF(N29517="","",'Master Barang'!B11)</f>
        <v>lap kecil</v>
      </c>
      <c r="P29517">
        <f>IF(OR(M29517="",N29517=""),"",SUMIFS('Barang Keluar'!$E:$E,'Barang Keluar'!$A:$A,M29517,'Barang Keluar'!$C:$C,N29517))</f>
        <v>0</v>
      </c>
    </row>
    <row r="29518" spans="13:16">
      <c r="M29518" s="49">
        <f>IF($A$4+295&gt;$B$4,"",$A$4+295)</f>
        <v>46318</v>
      </c>
      <c r="N29518" t="str">
        <f>IF(M29518="","",'Master Barang'!A12)</f>
        <v>PRL-011</v>
      </c>
      <c r="O29518" t="str">
        <f>IF(N29518="","",'Master Barang'!B12)</f>
        <v>kanebo kecil</v>
      </c>
      <c r="P29518">
        <f>IF(OR(M29518="",N29518=""),"",SUMIFS('Barang Keluar'!$E:$E,'Barang Keluar'!$A:$A,M29518,'Barang Keluar'!$C:$C,N29518))</f>
        <v>0</v>
      </c>
    </row>
    <row r="29519" spans="13:16">
      <c r="M29519" s="49">
        <f>IF($A$4+295&gt;$B$4,"",$A$4+295)</f>
        <v>46318</v>
      </c>
      <c r="N29519" t="str">
        <f>IF(M29519="","",'Master Barang'!A13)</f>
        <v>PRL-012</v>
      </c>
      <c r="O29519" t="str">
        <f>IF(N29519="","",'Master Barang'!B13)</f>
        <v>plastik 1/4kg joyoboyo 100 lembar</v>
      </c>
      <c r="P29519">
        <f>IF(OR(M29519="",N29519=""),"",SUMIFS('Barang Keluar'!$E:$E,'Barang Keluar'!$A:$A,M29519,'Barang Keluar'!$C:$C,N29519))</f>
        <v>0</v>
      </c>
    </row>
    <row r="29520" spans="13:16">
      <c r="M29520" s="49">
        <f>IF($A$4+295&gt;$B$4,"",$A$4+295)</f>
        <v>46318</v>
      </c>
      <c r="N29520" t="str">
        <f>IF(M29520="","",'Master Barang'!A14)</f>
        <v>PRL-013</v>
      </c>
      <c r="O29520" t="str">
        <f>IF(N29520="","",'Master Barang'!B14)</f>
        <v>sarung tangan plastik kaka 100 pcs</v>
      </c>
      <c r="P29520">
        <f>IF(OR(M29520="",N29520=""),"",SUMIFS('Barang Keluar'!$E:$E,'Barang Keluar'!$A:$A,M29520,'Barang Keluar'!$C:$C,N29520))</f>
        <v>0</v>
      </c>
    </row>
    <row r="29521" spans="13:16">
      <c r="M29521" s="49">
        <f>IF($A$4+295&gt;$B$4,"",$A$4+295)</f>
        <v>46318</v>
      </c>
      <c r="N29521" t="str">
        <f>IF(M29521="","",'Master Barang'!A15)</f>
        <v>PRL-014</v>
      </c>
      <c r="O29521" t="str">
        <f>IF(N29521="","",'Master Barang'!B15)</f>
        <v>optima trashbag 80x100</v>
      </c>
      <c r="P29521">
        <f>IF(OR(M29521="",N29521=""),"",SUMIFS('Barang Keluar'!$E:$E,'Barang Keluar'!$A:$A,M29521,'Barang Keluar'!$C:$C,N29521))</f>
        <v>0</v>
      </c>
    </row>
    <row r="29522" spans="13:16">
      <c r="M29522" s="49">
        <f>IF($A$4+295&gt;$B$4,"",$A$4+295)</f>
        <v>46318</v>
      </c>
      <c r="N29522" t="str">
        <f>IF(M29522="","",'Master Barang'!A16)</f>
        <v>PRL-015</v>
      </c>
      <c r="O29522" t="str">
        <f>IF(N29522="","",'Master Barang'!B16)</f>
        <v>optima trashbag 60x100</v>
      </c>
      <c r="P29522">
        <f>IF(OR(M29522="",N29522=""),"",SUMIFS('Barang Keluar'!$E:$E,'Barang Keluar'!$A:$A,M29522,'Barang Keluar'!$C:$C,N29522))</f>
        <v>0</v>
      </c>
    </row>
    <row r="29523" spans="13:16">
      <c r="M29523" s="49">
        <f>IF($A$4+295&gt;$B$4,"",$A$4+295)</f>
        <v>46318</v>
      </c>
      <c r="N29523" t="str">
        <f>IF(M29523="","",'Master Barang'!A17)</f>
        <v>PRL-016</v>
      </c>
      <c r="O29523" t="str">
        <f>IF(N29523="","",'Master Barang'!B17)</f>
        <v>rajawali trashbag 30x40</v>
      </c>
      <c r="P29523">
        <f>IF(OR(M29523="",N29523=""),"",SUMIFS('Barang Keluar'!$E:$E,'Barang Keluar'!$A:$A,M29523,'Barang Keluar'!$C:$C,N29523))</f>
        <v>0</v>
      </c>
    </row>
    <row r="29524" spans="13:16">
      <c r="M29524" s="49">
        <f>IF($A$4+295&gt;$B$4,"",$A$4+295)</f>
        <v>46318</v>
      </c>
      <c r="N29524" t="str">
        <f>IF(M29524="","",'Master Barang'!A18)</f>
        <v>PRL-017</v>
      </c>
      <c r="O29524" t="str">
        <f>IF(N29524="","",'Master Barang'!B18)</f>
        <v>onemed masker biru 3 play 50 pcs</v>
      </c>
      <c r="P29524">
        <f>IF(OR(M29524="",N29524=""),"",SUMIFS('Barang Keluar'!$E:$E,'Barang Keluar'!$A:$A,M29524,'Barang Keluar'!$C:$C,N29524))</f>
        <v>0</v>
      </c>
    </row>
    <row r="29525" spans="13:16">
      <c r="M29525" s="49">
        <f>IF($A$4+295&gt;$B$4,"",$A$4+295)</f>
        <v>46318</v>
      </c>
      <c r="N29525" t="str">
        <f>IF(M29525="","",'Master Barang'!A19)</f>
        <v>PRL-018</v>
      </c>
      <c r="O29525" t="str">
        <f>IF(N29525="","",'Master Barang'!B19)</f>
        <v>onemed masker biru 3 play hijab 50 pcs</v>
      </c>
      <c r="P29525">
        <f>IF(OR(M29525="",N29525=""),"",SUMIFS('Barang Keluar'!$E:$E,'Barang Keluar'!$A:$A,M29525,'Barang Keluar'!$C:$C,N29525))</f>
        <v>0</v>
      </c>
    </row>
    <row r="29526" spans="13:16">
      <c r="M29526" s="49">
        <f>IF($A$4+295&gt;$B$4,"",$A$4+295)</f>
        <v>46318</v>
      </c>
      <c r="N29526" t="str">
        <f>IF(M29526="","",'Master Barang'!A20)</f>
        <v>PRL-019</v>
      </c>
      <c r="O29526" t="str">
        <f>IF(N29526="","",'Master Barang'!B20)</f>
        <v>neo health masker biru 3 play 50 pcs</v>
      </c>
      <c r="P29526">
        <f>IF(OR(M29526="",N29526=""),"",SUMIFS('Barang Keluar'!$E:$E,'Barang Keluar'!$A:$A,M29526,'Barang Keluar'!$C:$C,N29526))</f>
        <v>0</v>
      </c>
    </row>
    <row r="29527" spans="13:16">
      <c r="M29527" s="49">
        <f>IF($A$4+295&gt;$B$4,"",$A$4+295)</f>
        <v>46318</v>
      </c>
      <c r="N29527" t="str">
        <f>IF(M29527="","",'Master Barang'!A21)</f>
        <v>PRL-020</v>
      </c>
      <c r="O29527" t="str">
        <f>IF(N29527="","",'Master Barang'!B21)</f>
        <v>baymed masker hijau 3 play hijau 50 pcs</v>
      </c>
      <c r="P29527">
        <f>IF(OR(M29527="",N29527=""),"",SUMIFS('Barang Keluar'!$E:$E,'Barang Keluar'!$A:$A,M29527,'Barang Keluar'!$C:$C,N29527))</f>
        <v>0</v>
      </c>
    </row>
    <row r="29528" spans="13:16">
      <c r="M29528" s="49">
        <f>IF($A$4+295&gt;$B$4,"",$A$4+295)</f>
        <v>46318</v>
      </c>
      <c r="N29528" t="str">
        <f>IF(M29528="","",'Master Barang'!A22)</f>
        <v>PRL-021</v>
      </c>
      <c r="O29528" t="str">
        <f>IF(N29528="","",'Master Barang'!B22)</f>
        <v>altamed nurse cap penutup kepala 100 pcs</v>
      </c>
      <c r="P29528">
        <f>IF(OR(M29528="",N29528=""),"",SUMIFS('Barang Keluar'!$E:$E,'Barang Keluar'!$A:$A,M29528,'Barang Keluar'!$C:$C,N29528))</f>
        <v>0</v>
      </c>
    </row>
    <row r="29529" spans="13:16">
      <c r="M29529" s="49">
        <f>IF($A$4+295&gt;$B$4,"",$A$4+295)</f>
        <v>46318</v>
      </c>
      <c r="N29529" t="str">
        <f>IF(M29529="","",'Master Barang'!A23)</f>
        <v>PRL-022</v>
      </c>
      <c r="O29529" t="str">
        <f>IF(N29529="","",'Master Barang'!B23)</f>
        <v>sabun cuci tangan</v>
      </c>
      <c r="P29529">
        <f>IF(OR(M29529="",N29529=""),"",SUMIFS('Barang Keluar'!$E:$E,'Barang Keluar'!$A:$A,M29529,'Barang Keluar'!$C:$C,N29529))</f>
        <v>0</v>
      </c>
    </row>
    <row r="29530" spans="13:16">
      <c r="M29530" s="49">
        <f>IF($A$4+295&gt;$B$4,"",$A$4+295)</f>
        <v>46318</v>
      </c>
      <c r="N29530" t="str">
        <f>IF(M29530="","",'Master Barang'!A24)</f>
        <v>PRL-023</v>
      </c>
      <c r="O29530" t="str">
        <f>IF(N29530="","",'Master Barang'!B24)</f>
        <v>gayung kecil</v>
      </c>
      <c r="P29530">
        <f>IF(OR(M29530="",N29530=""),"",SUMIFS('Barang Keluar'!$E:$E,'Barang Keluar'!$A:$A,M29530,'Barang Keluar'!$C:$C,N29530))</f>
        <v>0</v>
      </c>
    </row>
    <row r="29531" spans="13:16">
      <c r="M29531" s="49">
        <f>IF($A$4+295&gt;$B$4,"",$A$4+295)</f>
        <v>46318</v>
      </c>
      <c r="N29531" t="str">
        <f>IF(M29531="","",'Master Barang'!A25)</f>
        <v>PRL-024</v>
      </c>
      <c r="O29531" t="str">
        <f>IF(N29531="","",'Master Barang'!B25)</f>
        <v>cikrak kecil</v>
      </c>
      <c r="P29531">
        <f>IF(OR(M29531="",N29531=""),"",SUMIFS('Barang Keluar'!$E:$E,'Barang Keluar'!$A:$A,M29531,'Barang Keluar'!$C:$C,N29531))</f>
        <v>0</v>
      </c>
    </row>
    <row r="29532" spans="13:16">
      <c r="M29532" s="49">
        <f>IF($A$4+295&gt;$B$4,"",$A$4+295)</f>
        <v>46318</v>
      </c>
      <c r="N29532" t="str">
        <f>IF(M29532="","",'Master Barang'!A26)</f>
        <v>PRL-025</v>
      </c>
      <c r="O29532" t="str">
        <f>IF(N29532="","",'Master Barang'!B26)</f>
        <v>petromax plastik kecil 12x24 100 lembar</v>
      </c>
      <c r="P29532">
        <f>IF(OR(M29532="",N29532=""),"",SUMIFS('Barang Keluar'!$E:$E,'Barang Keluar'!$A:$A,M29532,'Barang Keluar'!$C:$C,N29532))</f>
        <v>0</v>
      </c>
    </row>
    <row r="29533" spans="13:16">
      <c r="M29533" s="49">
        <f>IF($A$4+295&gt;$B$4,"",$A$4+295)</f>
        <v>46318</v>
      </c>
      <c r="N29533" t="str">
        <f>IF(M29533="","",'Master Barang'!A27)</f>
        <v>PRL-026</v>
      </c>
      <c r="O29533" t="str">
        <f>IF(N29533="","",'Master Barang'!B27)</f>
        <v>lancar kresek kecil bening </v>
      </c>
      <c r="P29533">
        <f>IF(OR(M29533="",N29533=""),"",SUMIFS('Barang Keluar'!$E:$E,'Barang Keluar'!$A:$A,M29533,'Barang Keluar'!$C:$C,N29533))</f>
        <v>0</v>
      </c>
    </row>
    <row r="29534" spans="13:16">
      <c r="M29534" s="49">
        <f>IF($A$4+295&gt;$B$4,"",$A$4+295)</f>
        <v>46318</v>
      </c>
      <c r="N29534" t="str">
        <f>IF(M29534="","",'Master Barang'!A28)</f>
        <v>PRL-027</v>
      </c>
      <c r="O29534" t="str">
        <f>IF(N29534="","",'Master Barang'!B28)</f>
        <v>kresek klin warna warni kecil</v>
      </c>
      <c r="P29534">
        <f>IF(OR(M29534="",N29534=""),"",SUMIFS('Barang Keluar'!$E:$E,'Barang Keluar'!$A:$A,M29534,'Barang Keluar'!$C:$C,N29534))</f>
        <v>0</v>
      </c>
    </row>
    <row r="29535" spans="13:16">
      <c r="M29535" s="49">
        <f>IF($A$4+295&gt;$B$4,"",$A$4+295)</f>
        <v>46318</v>
      </c>
      <c r="N29535" t="str">
        <f>IF(M29535="","",'Master Barang'!A29)</f>
        <v>PRL-028</v>
      </c>
      <c r="O29535" t="str">
        <f>IF(N29535="","",'Master Barang'!B29)</f>
        <v>ctik plastik 7x10 100 pcs</v>
      </c>
      <c r="P29535">
        <f>IF(OR(M29535="",N29535=""),"",SUMIFS('Barang Keluar'!$E:$E,'Barang Keluar'!$A:$A,M29535,'Barang Keluar'!$C:$C,N29535))</f>
        <v>0</v>
      </c>
    </row>
    <row r="29536" spans="13:16">
      <c r="M29536" s="49">
        <f>IF($A$4+295&gt;$B$4,"",$A$4+295)</f>
        <v>46318</v>
      </c>
      <c r="N29536" t="str">
        <f>IF(M29536="","",'Master Barang'!A30)</f>
        <v>PRL-029</v>
      </c>
      <c r="O29536" t="str">
        <f>IF(N29536="","",'Master Barang'!B30)</f>
        <v>ctik plastik 6x10 100 pcs</v>
      </c>
      <c r="P29536">
        <f>IF(OR(M29536="",N29536=""),"",SUMIFS('Barang Keluar'!$E:$E,'Barang Keluar'!$A:$A,M29536,'Barang Keluar'!$C:$C,N29536))</f>
        <v>0</v>
      </c>
    </row>
    <row r="29537" spans="13:16">
      <c r="M29537" s="49">
        <f>IF($A$4+295&gt;$B$4,"",$A$4+295)</f>
        <v>46318</v>
      </c>
      <c r="N29537" t="str">
        <f>IF(M29537="","",'Master Barang'!A31)</f>
        <v>PRL-030</v>
      </c>
      <c r="O29537" t="str">
        <f>IF(N29537="","",'Master Barang'!B31)</f>
        <v>klip plastik 25x16 100 pcs</v>
      </c>
      <c r="P29537">
        <f>IF(OR(M29537="",N29537=""),"",SUMIFS('Barang Keluar'!$E:$E,'Barang Keluar'!$A:$A,M29537,'Barang Keluar'!$C:$C,N29537))</f>
        <v>0</v>
      </c>
    </row>
    <row r="29538" spans="13:16">
      <c r="M29538" s="49">
        <f>IF($A$4+295&gt;$B$4,"",$A$4+295)</f>
        <v>46318</v>
      </c>
      <c r="N29538" t="str">
        <f>IF(M29538="","",'Master Barang'!A32)</f>
        <v>PRL-031</v>
      </c>
      <c r="O29538" t="str">
        <f>IF(N29538="","",'Master Barang'!B32)</f>
        <v>tempat saus 20 ml</v>
      </c>
      <c r="P29538">
        <f>IF(OR(M29538="",N29538=""),"",SUMIFS('Barang Keluar'!$E:$E,'Barang Keluar'!$A:$A,M29538,'Barang Keluar'!$C:$C,N29538))</f>
        <v>0</v>
      </c>
    </row>
    <row r="29539" spans="13:16">
      <c r="M29539" s="49">
        <f>IF($A$4+295&gt;$B$4,"",$A$4+295)</f>
        <v>46318</v>
      </c>
      <c r="N29539" t="str">
        <f>IF(M29539="","",'Master Barang'!A33)</f>
        <v>PRL-032</v>
      </c>
      <c r="O29539" t="str">
        <f>IF(N29539="","",'Master Barang'!B33)</f>
        <v>plastik packaging ag box uk sedang</v>
      </c>
      <c r="P29539">
        <f>IF(OR(M29539="",N29539=""),"",SUMIFS('Barang Keluar'!$E:$E,'Barang Keluar'!$A:$A,M29539,'Barang Keluar'!$C:$C,N29539))</f>
        <v>0</v>
      </c>
    </row>
    <row r="29540" spans="13:16">
      <c r="M29540" s="49">
        <f>IF($A$4+295&gt;$B$4,"",$A$4+295)</f>
        <v>46318</v>
      </c>
      <c r="N29540" t="str">
        <f>IF(M29540="","",'Master Barang'!A34)</f>
        <v>PRL-033</v>
      </c>
      <c r="O29540">
        <f>IF(N29540="","",'Master Barang'!B34)</f>
        <v>0</v>
      </c>
      <c r="P29540">
        <f>IF(OR(M29540="",N29540=""),"",SUMIFS('Barang Keluar'!$E:$E,'Barang Keluar'!$A:$A,M29540,'Barang Keluar'!$C:$C,N29540))</f>
        <v>0</v>
      </c>
    </row>
    <row r="29541" spans="13:16">
      <c r="M29541" s="49">
        <f>IF($A$4+295&gt;$B$4,"",$A$4+295)</f>
        <v>46318</v>
      </c>
      <c r="N29541">
        <f>IF(M29541="","",'Master Barang'!A35)</f>
        <v>0</v>
      </c>
      <c r="O29541">
        <f>IF(N29541="","",'Master Barang'!B35)</f>
        <v>0</v>
      </c>
      <c r="P29541">
        <f>IF(OR(M29541="",N29541=""),"",SUMIFS('Barang Keluar'!$E:$E,'Barang Keluar'!$A:$A,M29541,'Barang Keluar'!$C:$C,N29541))</f>
        <v>0</v>
      </c>
    </row>
    <row r="29542" spans="13:16">
      <c r="M29542" s="49">
        <f>IF($A$4+295&gt;$B$4,"",$A$4+295)</f>
        <v>46318</v>
      </c>
      <c r="N29542">
        <f>IF(M29542="","",'Master Barang'!A36)</f>
        <v>0</v>
      </c>
      <c r="O29542">
        <f>IF(N29542="","",'Master Barang'!B36)</f>
        <v>0</v>
      </c>
      <c r="P29542">
        <f>IF(OR(M29542="",N29542=""),"",SUMIFS('Barang Keluar'!$E:$E,'Barang Keluar'!$A:$A,M29542,'Barang Keluar'!$C:$C,N29542))</f>
        <v>0</v>
      </c>
    </row>
    <row r="29543" spans="13:16">
      <c r="M29543" s="49">
        <f>IF($A$4+295&gt;$B$4,"",$A$4+295)</f>
        <v>46318</v>
      </c>
      <c r="N29543">
        <f>IF(M29543="","",'Master Barang'!A37)</f>
        <v>0</v>
      </c>
      <c r="O29543">
        <f>IF(N29543="","",'Master Barang'!B37)</f>
        <v>0</v>
      </c>
      <c r="P29543">
        <f>IF(OR(M29543="",N29543=""),"",SUMIFS('Barang Keluar'!$E:$E,'Barang Keluar'!$A:$A,M29543,'Barang Keluar'!$C:$C,N29543))</f>
        <v>0</v>
      </c>
    </row>
    <row r="29544" spans="13:16">
      <c r="M29544" s="49">
        <f>IF($A$4+295&gt;$B$4,"",$A$4+295)</f>
        <v>46318</v>
      </c>
      <c r="N29544">
        <f>IF(M29544="","",'Master Barang'!A38)</f>
        <v>0</v>
      </c>
      <c r="O29544">
        <f>IF(N29544="","",'Master Barang'!B38)</f>
        <v>0</v>
      </c>
      <c r="P29544">
        <f>IF(OR(M29544="",N29544=""),"",SUMIFS('Barang Keluar'!$E:$E,'Barang Keluar'!$A:$A,M29544,'Barang Keluar'!$C:$C,N29544))</f>
        <v>0</v>
      </c>
    </row>
    <row r="29545" spans="13:16">
      <c r="M29545" s="49">
        <f>IF($A$4+295&gt;$B$4,"",$A$4+295)</f>
        <v>46318</v>
      </c>
      <c r="N29545">
        <f>IF(M29545="","",'Master Barang'!A39)</f>
        <v>0</v>
      </c>
      <c r="O29545">
        <f>IF(N29545="","",'Master Barang'!B39)</f>
        <v>0</v>
      </c>
      <c r="P29545">
        <f>IF(OR(M29545="",N29545=""),"",SUMIFS('Barang Keluar'!$E:$E,'Barang Keluar'!$A:$A,M29545,'Barang Keluar'!$C:$C,N29545))</f>
        <v>0</v>
      </c>
    </row>
    <row r="29546" spans="13:16">
      <c r="M29546" s="49">
        <f>IF($A$4+295&gt;$B$4,"",$A$4+295)</f>
        <v>46318</v>
      </c>
      <c r="N29546">
        <f>IF(M29546="","",'Master Barang'!A40)</f>
        <v>0</v>
      </c>
      <c r="O29546">
        <f>IF(N29546="","",'Master Barang'!B40)</f>
        <v>0</v>
      </c>
      <c r="P29546">
        <f>IF(OR(M29546="",N29546=""),"",SUMIFS('Barang Keluar'!$E:$E,'Barang Keluar'!$A:$A,M29546,'Barang Keluar'!$C:$C,N29546))</f>
        <v>0</v>
      </c>
    </row>
    <row r="29547" spans="13:16">
      <c r="M29547" s="49">
        <f>IF($A$4+295&gt;$B$4,"",$A$4+295)</f>
        <v>46318</v>
      </c>
      <c r="N29547">
        <f>IF(M29547="","",'Master Barang'!A41)</f>
        <v>0</v>
      </c>
      <c r="O29547">
        <f>IF(N29547="","",'Master Barang'!B41)</f>
        <v>0</v>
      </c>
      <c r="P29547">
        <f>IF(OR(M29547="",N29547=""),"",SUMIFS('Barang Keluar'!$E:$E,'Barang Keluar'!$A:$A,M29547,'Barang Keluar'!$C:$C,N29547))</f>
        <v>0</v>
      </c>
    </row>
    <row r="29548" spans="13:16">
      <c r="M29548" s="49">
        <f>IF($A$4+295&gt;$B$4,"",$A$4+295)</f>
        <v>46318</v>
      </c>
      <c r="N29548">
        <f>IF(M29548="","",'Master Barang'!A42)</f>
        <v>0</v>
      </c>
      <c r="O29548">
        <f>IF(N29548="","",'Master Barang'!B42)</f>
        <v>0</v>
      </c>
      <c r="P29548">
        <f>IF(OR(M29548="",N29548=""),"",SUMIFS('Barang Keluar'!$E:$E,'Barang Keluar'!$A:$A,M29548,'Barang Keluar'!$C:$C,N29548))</f>
        <v>0</v>
      </c>
    </row>
    <row r="29549" spans="13:16">
      <c r="M29549" s="49">
        <f>IF($A$4+295&gt;$B$4,"",$A$4+295)</f>
        <v>46318</v>
      </c>
      <c r="N29549">
        <f>IF(M29549="","",'Master Barang'!A43)</f>
        <v>0</v>
      </c>
      <c r="O29549">
        <f>IF(N29549="","",'Master Barang'!B43)</f>
        <v>0</v>
      </c>
      <c r="P29549">
        <f>IF(OR(M29549="",N29549=""),"",SUMIFS('Barang Keluar'!$E:$E,'Barang Keluar'!$A:$A,M29549,'Barang Keluar'!$C:$C,N29549))</f>
        <v>0</v>
      </c>
    </row>
    <row r="29550" spans="13:16">
      <c r="M29550" s="49">
        <f>IF($A$4+295&gt;$B$4,"",$A$4+295)</f>
        <v>46318</v>
      </c>
      <c r="N29550">
        <f>IF(M29550="","",'Master Barang'!A44)</f>
        <v>0</v>
      </c>
      <c r="O29550">
        <f>IF(N29550="","",'Master Barang'!B44)</f>
        <v>0</v>
      </c>
      <c r="P29550">
        <f>IF(OR(M29550="",N29550=""),"",SUMIFS('Barang Keluar'!$E:$E,'Barang Keluar'!$A:$A,M29550,'Barang Keluar'!$C:$C,N29550))</f>
        <v>0</v>
      </c>
    </row>
    <row r="29551" spans="13:16">
      <c r="M29551" s="49">
        <f>IF($A$4+295&gt;$B$4,"",$A$4+295)</f>
        <v>46318</v>
      </c>
      <c r="N29551">
        <f>IF(M29551="","",'Master Barang'!A45)</f>
        <v>0</v>
      </c>
      <c r="O29551">
        <f>IF(N29551="","",'Master Barang'!B45)</f>
        <v>0</v>
      </c>
      <c r="P29551">
        <f>IF(OR(M29551="",N29551=""),"",SUMIFS('Barang Keluar'!$E:$E,'Barang Keluar'!$A:$A,M29551,'Barang Keluar'!$C:$C,N29551))</f>
        <v>0</v>
      </c>
    </row>
    <row r="29552" spans="13:16">
      <c r="M29552" s="49">
        <f>IF($A$4+295&gt;$B$4,"",$A$4+295)</f>
        <v>46318</v>
      </c>
      <c r="N29552">
        <f>IF(M29552="","",'Master Barang'!A46)</f>
        <v>0</v>
      </c>
      <c r="O29552">
        <f>IF(N29552="","",'Master Barang'!B46)</f>
        <v>0</v>
      </c>
      <c r="P29552">
        <f>IF(OR(M29552="",N29552=""),"",SUMIFS('Barang Keluar'!$E:$E,'Barang Keluar'!$A:$A,M29552,'Barang Keluar'!$C:$C,N29552))</f>
        <v>0</v>
      </c>
    </row>
    <row r="29553" spans="13:16">
      <c r="M29553" s="49">
        <f>IF($A$4+295&gt;$B$4,"",$A$4+295)</f>
        <v>46318</v>
      </c>
      <c r="N29553">
        <f>IF(M29553="","",'Master Barang'!A47)</f>
        <v>0</v>
      </c>
      <c r="O29553">
        <f>IF(N29553="","",'Master Barang'!B47)</f>
        <v>0</v>
      </c>
      <c r="P29553">
        <f>IF(OR(M29553="",N29553=""),"",SUMIFS('Barang Keluar'!$E:$E,'Barang Keluar'!$A:$A,M29553,'Barang Keluar'!$C:$C,N29553))</f>
        <v>0</v>
      </c>
    </row>
    <row r="29554" spans="13:16">
      <c r="M29554" s="49">
        <f>IF($A$4+295&gt;$B$4,"",$A$4+295)</f>
        <v>46318</v>
      </c>
      <c r="N29554">
        <f>IF(M29554="","",'Master Barang'!A48)</f>
        <v>0</v>
      </c>
      <c r="O29554">
        <f>IF(N29554="","",'Master Barang'!B48)</f>
        <v>0</v>
      </c>
      <c r="P29554">
        <f>IF(OR(M29554="",N29554=""),"",SUMIFS('Barang Keluar'!$E:$E,'Barang Keluar'!$A:$A,M29554,'Barang Keluar'!$C:$C,N29554))</f>
        <v>0</v>
      </c>
    </row>
    <row r="29555" spans="13:16">
      <c r="M29555" s="49">
        <f>IF($A$4+295&gt;$B$4,"",$A$4+295)</f>
        <v>46318</v>
      </c>
      <c r="N29555">
        <f>IF(M29555="","",'Master Barang'!A49)</f>
        <v>0</v>
      </c>
      <c r="O29555">
        <f>IF(N29555="","",'Master Barang'!B49)</f>
        <v>0</v>
      </c>
      <c r="P29555">
        <f>IF(OR(M29555="",N29555=""),"",SUMIFS('Barang Keluar'!$E:$E,'Barang Keluar'!$A:$A,M29555,'Barang Keluar'!$C:$C,N29555))</f>
        <v>0</v>
      </c>
    </row>
    <row r="29556" spans="13:16">
      <c r="M29556" s="49">
        <f>IF($A$4+295&gt;$B$4,"",$A$4+295)</f>
        <v>46318</v>
      </c>
      <c r="N29556">
        <f>IF(M29556="","",'Master Barang'!A50)</f>
        <v>0</v>
      </c>
      <c r="O29556">
        <f>IF(N29556="","",'Master Barang'!B50)</f>
        <v>0</v>
      </c>
      <c r="P29556">
        <f>IF(OR(M29556="",N29556=""),"",SUMIFS('Barang Keluar'!$E:$E,'Barang Keluar'!$A:$A,M29556,'Barang Keluar'!$C:$C,N29556))</f>
        <v>0</v>
      </c>
    </row>
    <row r="29557" spans="13:16">
      <c r="M29557" s="49">
        <f>IF($A$4+295&gt;$B$4,"",$A$4+295)</f>
        <v>46318</v>
      </c>
      <c r="N29557">
        <f>IF(M29557="","",'Master Barang'!A51)</f>
        <v>0</v>
      </c>
      <c r="O29557">
        <f>IF(N29557="","",'Master Barang'!B51)</f>
        <v>0</v>
      </c>
      <c r="P29557">
        <f>IF(OR(M29557="",N29557=""),"",SUMIFS('Barang Keluar'!$E:$E,'Barang Keluar'!$A:$A,M29557,'Barang Keluar'!$C:$C,N29557))</f>
        <v>0</v>
      </c>
    </row>
    <row r="29558" spans="13:16">
      <c r="M29558" s="49">
        <f>IF($A$4+295&gt;$B$4,"",$A$4+295)</f>
        <v>46318</v>
      </c>
      <c r="N29558">
        <f>IF(M29558="","",'Master Barang'!A52)</f>
        <v>0</v>
      </c>
      <c r="O29558">
        <f>IF(N29558="","",'Master Barang'!B52)</f>
        <v>0</v>
      </c>
      <c r="P29558">
        <f>IF(OR(M29558="",N29558=""),"",SUMIFS('Barang Keluar'!$E:$E,'Barang Keluar'!$A:$A,M29558,'Barang Keluar'!$C:$C,N29558))</f>
        <v>0</v>
      </c>
    </row>
    <row r="29559" spans="13:16">
      <c r="M29559" s="49">
        <f>IF($A$4+295&gt;$B$4,"",$A$4+295)</f>
        <v>46318</v>
      </c>
      <c r="N29559">
        <f>IF(M29559="","",'Master Barang'!A53)</f>
        <v>0</v>
      </c>
      <c r="O29559">
        <f>IF(N29559="","",'Master Barang'!B53)</f>
        <v>0</v>
      </c>
      <c r="P29559">
        <f>IF(OR(M29559="",N29559=""),"",SUMIFS('Barang Keluar'!$E:$E,'Barang Keluar'!$A:$A,M29559,'Barang Keluar'!$C:$C,N29559))</f>
        <v>0</v>
      </c>
    </row>
    <row r="29560" spans="13:16">
      <c r="M29560" s="49">
        <f>IF($A$4+295&gt;$B$4,"",$A$4+295)</f>
        <v>46318</v>
      </c>
      <c r="N29560">
        <f>IF(M29560="","",'Master Barang'!A54)</f>
        <v>0</v>
      </c>
      <c r="O29560">
        <f>IF(N29560="","",'Master Barang'!B54)</f>
        <v>0</v>
      </c>
      <c r="P29560">
        <f>IF(OR(M29560="",N29560=""),"",SUMIFS('Barang Keluar'!$E:$E,'Barang Keluar'!$A:$A,M29560,'Barang Keluar'!$C:$C,N29560))</f>
        <v>0</v>
      </c>
    </row>
    <row r="29561" spans="13:16">
      <c r="M29561" s="49">
        <f>IF($A$4+295&gt;$B$4,"",$A$4+295)</f>
        <v>46318</v>
      </c>
      <c r="N29561">
        <f>IF(M29561="","",'Master Barang'!A55)</f>
        <v>0</v>
      </c>
      <c r="O29561">
        <f>IF(N29561="","",'Master Barang'!B55)</f>
        <v>0</v>
      </c>
      <c r="P29561">
        <f>IF(OR(M29561="",N29561=""),"",SUMIFS('Barang Keluar'!$E:$E,'Barang Keluar'!$A:$A,M29561,'Barang Keluar'!$C:$C,N29561))</f>
        <v>0</v>
      </c>
    </row>
    <row r="29562" spans="13:16">
      <c r="M29562" s="49">
        <f>IF($A$4+295&gt;$B$4,"",$A$4+295)</f>
        <v>46318</v>
      </c>
      <c r="N29562">
        <f>IF(M29562="","",'Master Barang'!A56)</f>
        <v>0</v>
      </c>
      <c r="O29562">
        <f>IF(N29562="","",'Master Barang'!B56)</f>
        <v>0</v>
      </c>
      <c r="P29562">
        <f>IF(OR(M29562="",N29562=""),"",SUMIFS('Barang Keluar'!$E:$E,'Barang Keluar'!$A:$A,M29562,'Barang Keluar'!$C:$C,N29562))</f>
        <v>0</v>
      </c>
    </row>
    <row r="29563" spans="13:16">
      <c r="M29563" s="49">
        <f>IF($A$4+295&gt;$B$4,"",$A$4+295)</f>
        <v>46318</v>
      </c>
      <c r="N29563">
        <f>IF(M29563="","",'Master Barang'!A57)</f>
        <v>0</v>
      </c>
      <c r="O29563">
        <f>IF(N29563="","",'Master Barang'!B57)</f>
        <v>0</v>
      </c>
      <c r="P29563">
        <f>IF(OR(M29563="",N29563=""),"",SUMIFS('Barang Keluar'!$E:$E,'Barang Keluar'!$A:$A,M29563,'Barang Keluar'!$C:$C,N29563))</f>
        <v>0</v>
      </c>
    </row>
    <row r="29564" spans="13:16">
      <c r="M29564" s="49">
        <f>IF($A$4+295&gt;$B$4,"",$A$4+295)</f>
        <v>46318</v>
      </c>
      <c r="N29564">
        <f>IF(M29564="","",'Master Barang'!A58)</f>
        <v>0</v>
      </c>
      <c r="O29564">
        <f>IF(N29564="","",'Master Barang'!B58)</f>
        <v>0</v>
      </c>
      <c r="P29564">
        <f>IF(OR(M29564="",N29564=""),"",SUMIFS('Barang Keluar'!$E:$E,'Barang Keluar'!$A:$A,M29564,'Barang Keluar'!$C:$C,N29564))</f>
        <v>0</v>
      </c>
    </row>
    <row r="29565" spans="13:16">
      <c r="M29565" s="49">
        <f>IF($A$4+295&gt;$B$4,"",$A$4+295)</f>
        <v>46318</v>
      </c>
      <c r="N29565">
        <f>IF(M29565="","",'Master Barang'!A59)</f>
        <v>0</v>
      </c>
      <c r="O29565">
        <f>IF(N29565="","",'Master Barang'!B59)</f>
        <v>0</v>
      </c>
      <c r="P29565">
        <f>IF(OR(M29565="",N29565=""),"",SUMIFS('Barang Keluar'!$E:$E,'Barang Keluar'!$A:$A,M29565,'Barang Keluar'!$C:$C,N29565))</f>
        <v>0</v>
      </c>
    </row>
    <row r="29566" spans="13:16">
      <c r="M29566" s="49">
        <f>IF($A$4+295&gt;$B$4,"",$A$4+295)</f>
        <v>46318</v>
      </c>
      <c r="N29566">
        <f>IF(M29566="","",'Master Barang'!A60)</f>
        <v>0</v>
      </c>
      <c r="O29566">
        <f>IF(N29566="","",'Master Barang'!B60)</f>
        <v>0</v>
      </c>
      <c r="P29566">
        <f>IF(OR(M29566="",N29566=""),"",SUMIFS('Barang Keluar'!$E:$E,'Barang Keluar'!$A:$A,M29566,'Barang Keluar'!$C:$C,N29566))</f>
        <v>0</v>
      </c>
    </row>
    <row r="29567" spans="13:16">
      <c r="M29567" s="49">
        <f>IF($A$4+295&gt;$B$4,"",$A$4+295)</f>
        <v>46318</v>
      </c>
      <c r="N29567">
        <f>IF(M29567="","",'Master Barang'!A61)</f>
        <v>0</v>
      </c>
      <c r="O29567">
        <f>IF(N29567="","",'Master Barang'!B61)</f>
        <v>0</v>
      </c>
      <c r="P29567">
        <f>IF(OR(M29567="",N29567=""),"",SUMIFS('Barang Keluar'!$E:$E,'Barang Keluar'!$A:$A,M29567,'Barang Keluar'!$C:$C,N29567))</f>
        <v>0</v>
      </c>
    </row>
    <row r="29568" spans="13:16">
      <c r="M29568" s="49">
        <f>IF($A$4+295&gt;$B$4,"",$A$4+295)</f>
        <v>46318</v>
      </c>
      <c r="N29568">
        <f>IF(M29568="","",'Master Barang'!A62)</f>
        <v>0</v>
      </c>
      <c r="O29568">
        <f>IF(N29568="","",'Master Barang'!B62)</f>
        <v>0</v>
      </c>
      <c r="P29568">
        <f>IF(OR(M29568="",N29568=""),"",SUMIFS('Barang Keluar'!$E:$E,'Barang Keluar'!$A:$A,M29568,'Barang Keluar'!$C:$C,N29568))</f>
        <v>0</v>
      </c>
    </row>
    <row r="29569" spans="13:16">
      <c r="M29569" s="49">
        <f>IF($A$4+295&gt;$B$4,"",$A$4+295)</f>
        <v>46318</v>
      </c>
      <c r="N29569">
        <f>IF(M29569="","",'Master Barang'!A63)</f>
        <v>0</v>
      </c>
      <c r="O29569">
        <f>IF(N29569="","",'Master Barang'!B63)</f>
        <v>0</v>
      </c>
      <c r="P29569">
        <f>IF(OR(M29569="",N29569=""),"",SUMIFS('Barang Keluar'!$E:$E,'Barang Keluar'!$A:$A,M29569,'Barang Keluar'!$C:$C,N29569))</f>
        <v>0</v>
      </c>
    </row>
    <row r="29570" spans="13:16">
      <c r="M29570" s="49">
        <f>IF($A$4+295&gt;$B$4,"",$A$4+295)</f>
        <v>46318</v>
      </c>
      <c r="N29570">
        <f>IF(M29570="","",'Master Barang'!A64)</f>
        <v>0</v>
      </c>
      <c r="O29570">
        <f>IF(N29570="","",'Master Barang'!B64)</f>
        <v>0</v>
      </c>
      <c r="P29570">
        <f>IF(OR(M29570="",N29570=""),"",SUMIFS('Barang Keluar'!$E:$E,'Barang Keluar'!$A:$A,M29570,'Barang Keluar'!$C:$C,N29570))</f>
        <v>0</v>
      </c>
    </row>
    <row r="29571" spans="13:16">
      <c r="M29571" s="49">
        <f>IF($A$4+295&gt;$B$4,"",$A$4+295)</f>
        <v>46318</v>
      </c>
      <c r="N29571">
        <f>IF(M29571="","",'Master Barang'!A65)</f>
        <v>0</v>
      </c>
      <c r="O29571">
        <f>IF(N29571="","",'Master Barang'!B65)</f>
        <v>0</v>
      </c>
      <c r="P29571">
        <f>IF(OR(M29571="",N29571=""),"",SUMIFS('Barang Keluar'!$E:$E,'Barang Keluar'!$A:$A,M29571,'Barang Keluar'!$C:$C,N29571))</f>
        <v>0</v>
      </c>
    </row>
    <row r="29572" spans="13:16">
      <c r="M29572" s="49">
        <f>IF($A$4+295&gt;$B$4,"",$A$4+295)</f>
        <v>46318</v>
      </c>
      <c r="N29572">
        <f>IF(M29572="","",'Master Barang'!A66)</f>
        <v>0</v>
      </c>
      <c r="O29572">
        <f>IF(N29572="","",'Master Barang'!B66)</f>
        <v>0</v>
      </c>
      <c r="P29572">
        <f>IF(OR(M29572="",N29572=""),"",SUMIFS('Barang Keluar'!$E:$E,'Barang Keluar'!$A:$A,M29572,'Barang Keluar'!$C:$C,N29572))</f>
        <v>0</v>
      </c>
    </row>
    <row r="29573" spans="13:16">
      <c r="M29573" s="49">
        <f>IF($A$4+295&gt;$B$4,"",$A$4+295)</f>
        <v>46318</v>
      </c>
      <c r="N29573">
        <f>IF(M29573="","",'Master Barang'!A67)</f>
        <v>0</v>
      </c>
      <c r="O29573">
        <f>IF(N29573="","",'Master Barang'!B67)</f>
        <v>0</v>
      </c>
      <c r="P29573">
        <f>IF(OR(M29573="",N29573=""),"",SUMIFS('Barang Keluar'!$E:$E,'Barang Keluar'!$A:$A,M29573,'Barang Keluar'!$C:$C,N29573))</f>
        <v>0</v>
      </c>
    </row>
    <row r="29574" spans="13:16">
      <c r="M29574" s="49">
        <f>IF($A$4+295&gt;$B$4,"",$A$4+295)</f>
        <v>46318</v>
      </c>
      <c r="N29574">
        <f>IF(M29574="","",'Master Barang'!A68)</f>
        <v>0</v>
      </c>
      <c r="O29574">
        <f>IF(N29574="","",'Master Barang'!B68)</f>
        <v>0</v>
      </c>
      <c r="P29574">
        <f>IF(OR(M29574="",N29574=""),"",SUMIFS('Barang Keluar'!$E:$E,'Barang Keluar'!$A:$A,M29574,'Barang Keluar'!$C:$C,N29574))</f>
        <v>0</v>
      </c>
    </row>
    <row r="29575" spans="13:16">
      <c r="M29575" s="49">
        <f>IF($A$4+295&gt;$B$4,"",$A$4+295)</f>
        <v>46318</v>
      </c>
      <c r="N29575">
        <f>IF(M29575="","",'Master Barang'!A69)</f>
        <v>0</v>
      </c>
      <c r="O29575">
        <f>IF(N29575="","",'Master Barang'!B69)</f>
        <v>0</v>
      </c>
      <c r="P29575">
        <f>IF(OR(M29575="",N29575=""),"",SUMIFS('Barang Keluar'!$E:$E,'Barang Keluar'!$A:$A,M29575,'Barang Keluar'!$C:$C,N29575))</f>
        <v>0</v>
      </c>
    </row>
    <row r="29576" spans="13:16">
      <c r="M29576" s="49">
        <f>IF($A$4+295&gt;$B$4,"",$A$4+295)</f>
        <v>46318</v>
      </c>
      <c r="N29576">
        <f>IF(M29576="","",'Master Barang'!A70)</f>
        <v>0</v>
      </c>
      <c r="O29576">
        <f>IF(N29576="","",'Master Barang'!B70)</f>
        <v>0</v>
      </c>
      <c r="P29576">
        <f>IF(OR(M29576="",N29576=""),"",SUMIFS('Barang Keluar'!$E:$E,'Barang Keluar'!$A:$A,M29576,'Barang Keluar'!$C:$C,N29576))</f>
        <v>0</v>
      </c>
    </row>
    <row r="29577" spans="13:16">
      <c r="M29577" s="49">
        <f>IF($A$4+295&gt;$B$4,"",$A$4+295)</f>
        <v>46318</v>
      </c>
      <c r="N29577">
        <f>IF(M29577="","",'Master Barang'!A71)</f>
        <v>0</v>
      </c>
      <c r="O29577">
        <f>IF(N29577="","",'Master Barang'!B71)</f>
        <v>0</v>
      </c>
      <c r="P29577">
        <f>IF(OR(M29577="",N29577=""),"",SUMIFS('Barang Keluar'!$E:$E,'Barang Keluar'!$A:$A,M29577,'Barang Keluar'!$C:$C,N29577))</f>
        <v>0</v>
      </c>
    </row>
    <row r="29578" spans="13:16">
      <c r="M29578" s="49">
        <f>IF($A$4+295&gt;$B$4,"",$A$4+295)</f>
        <v>46318</v>
      </c>
      <c r="N29578">
        <f>IF(M29578="","",'Master Barang'!A72)</f>
        <v>0</v>
      </c>
      <c r="O29578">
        <f>IF(N29578="","",'Master Barang'!B72)</f>
        <v>0</v>
      </c>
      <c r="P29578">
        <f>IF(OR(M29578="",N29578=""),"",SUMIFS('Barang Keluar'!$E:$E,'Barang Keluar'!$A:$A,M29578,'Barang Keluar'!$C:$C,N29578))</f>
        <v>0</v>
      </c>
    </row>
    <row r="29579" spans="13:16">
      <c r="M29579" s="49">
        <f>IF($A$4+295&gt;$B$4,"",$A$4+295)</f>
        <v>46318</v>
      </c>
      <c r="N29579">
        <f>IF(M29579="","",'Master Barang'!A73)</f>
        <v>0</v>
      </c>
      <c r="O29579">
        <f>IF(N29579="","",'Master Barang'!B73)</f>
        <v>0</v>
      </c>
      <c r="P29579">
        <f>IF(OR(M29579="",N29579=""),"",SUMIFS('Barang Keluar'!$E:$E,'Barang Keluar'!$A:$A,M29579,'Barang Keluar'!$C:$C,N29579))</f>
        <v>0</v>
      </c>
    </row>
    <row r="29580" spans="13:16">
      <c r="M29580" s="49">
        <f>IF($A$4+295&gt;$B$4,"",$A$4+295)</f>
        <v>46318</v>
      </c>
      <c r="N29580">
        <f>IF(M29580="","",'Master Barang'!A74)</f>
        <v>0</v>
      </c>
      <c r="O29580">
        <f>IF(N29580="","",'Master Barang'!B74)</f>
        <v>0</v>
      </c>
      <c r="P29580">
        <f>IF(OR(M29580="",N29580=""),"",SUMIFS('Barang Keluar'!$E:$E,'Barang Keluar'!$A:$A,M29580,'Barang Keluar'!$C:$C,N29580))</f>
        <v>0</v>
      </c>
    </row>
    <row r="29581" spans="13:16">
      <c r="M29581" s="49">
        <f>IF($A$4+295&gt;$B$4,"",$A$4+295)</f>
        <v>46318</v>
      </c>
      <c r="N29581">
        <f>IF(M29581="","",'Master Barang'!A75)</f>
        <v>0</v>
      </c>
      <c r="O29581">
        <f>IF(N29581="","",'Master Barang'!B75)</f>
        <v>0</v>
      </c>
      <c r="P29581">
        <f>IF(OR(M29581="",N29581=""),"",SUMIFS('Barang Keluar'!$E:$E,'Barang Keluar'!$A:$A,M29581,'Barang Keluar'!$C:$C,N29581))</f>
        <v>0</v>
      </c>
    </row>
    <row r="29582" spans="13:16">
      <c r="M29582" s="49">
        <f>IF($A$4+295&gt;$B$4,"",$A$4+295)</f>
        <v>46318</v>
      </c>
      <c r="N29582">
        <f>IF(M29582="","",'Master Barang'!A76)</f>
        <v>0</v>
      </c>
      <c r="O29582">
        <f>IF(N29582="","",'Master Barang'!B76)</f>
        <v>0</v>
      </c>
      <c r="P29582">
        <f>IF(OR(M29582="",N29582=""),"",SUMIFS('Barang Keluar'!$E:$E,'Barang Keluar'!$A:$A,M29582,'Barang Keluar'!$C:$C,N29582))</f>
        <v>0</v>
      </c>
    </row>
    <row r="29583" spans="13:16">
      <c r="M29583" s="49">
        <f>IF($A$4+295&gt;$B$4,"",$A$4+295)</f>
        <v>46318</v>
      </c>
      <c r="N29583">
        <f>IF(M29583="","",'Master Barang'!A77)</f>
        <v>0</v>
      </c>
      <c r="O29583">
        <f>IF(N29583="","",'Master Barang'!B77)</f>
        <v>0</v>
      </c>
      <c r="P29583">
        <f>IF(OR(M29583="",N29583=""),"",SUMIFS('Barang Keluar'!$E:$E,'Barang Keluar'!$A:$A,M29583,'Barang Keluar'!$C:$C,N29583))</f>
        <v>0</v>
      </c>
    </row>
    <row r="29584" spans="13:16">
      <c r="M29584" s="49">
        <f>IF($A$4+295&gt;$B$4,"",$A$4+295)</f>
        <v>46318</v>
      </c>
      <c r="N29584">
        <f>IF(M29584="","",'Master Barang'!A78)</f>
        <v>0</v>
      </c>
      <c r="O29584">
        <f>IF(N29584="","",'Master Barang'!B78)</f>
        <v>0</v>
      </c>
      <c r="P29584">
        <f>IF(OR(M29584="",N29584=""),"",SUMIFS('Barang Keluar'!$E:$E,'Barang Keluar'!$A:$A,M29584,'Barang Keluar'!$C:$C,N29584))</f>
        <v>0</v>
      </c>
    </row>
    <row r="29585" spans="13:16">
      <c r="M29585" s="49">
        <f>IF($A$4+295&gt;$B$4,"",$A$4+295)</f>
        <v>46318</v>
      </c>
      <c r="N29585">
        <f>IF(M29585="","",'Master Barang'!A79)</f>
        <v>0</v>
      </c>
      <c r="O29585">
        <f>IF(N29585="","",'Master Barang'!B79)</f>
        <v>0</v>
      </c>
      <c r="P29585">
        <f>IF(OR(M29585="",N29585=""),"",SUMIFS('Barang Keluar'!$E:$E,'Barang Keluar'!$A:$A,M29585,'Barang Keluar'!$C:$C,N29585))</f>
        <v>0</v>
      </c>
    </row>
    <row r="29586" spans="13:16">
      <c r="M29586" s="49">
        <f>IF($A$4+295&gt;$B$4,"",$A$4+295)</f>
        <v>46318</v>
      </c>
      <c r="N29586">
        <f>IF(M29586="","",'Master Barang'!A80)</f>
        <v>0</v>
      </c>
      <c r="O29586">
        <f>IF(N29586="","",'Master Barang'!B80)</f>
        <v>0</v>
      </c>
      <c r="P29586">
        <f>IF(OR(M29586="",N29586=""),"",SUMIFS('Barang Keluar'!$E:$E,'Barang Keluar'!$A:$A,M29586,'Barang Keluar'!$C:$C,N29586))</f>
        <v>0</v>
      </c>
    </row>
    <row r="29587" spans="13:16">
      <c r="M29587" s="49">
        <f>IF($A$4+295&gt;$B$4,"",$A$4+295)</f>
        <v>46318</v>
      </c>
      <c r="N29587">
        <f>IF(M29587="","",'Master Barang'!A81)</f>
        <v>0</v>
      </c>
      <c r="O29587">
        <f>IF(N29587="","",'Master Barang'!B81)</f>
        <v>0</v>
      </c>
      <c r="P29587">
        <f>IF(OR(M29587="",N29587=""),"",SUMIFS('Barang Keluar'!$E:$E,'Barang Keluar'!$A:$A,M29587,'Barang Keluar'!$C:$C,N29587))</f>
        <v>0</v>
      </c>
    </row>
    <row r="29588" spans="13:16">
      <c r="M29588" s="49">
        <f>IF($A$4+295&gt;$B$4,"",$A$4+295)</f>
        <v>46318</v>
      </c>
      <c r="N29588">
        <f>IF(M29588="","",'Master Barang'!A82)</f>
        <v>0</v>
      </c>
      <c r="O29588">
        <f>IF(N29588="","",'Master Barang'!B82)</f>
        <v>0</v>
      </c>
      <c r="P29588">
        <f>IF(OR(M29588="",N29588=""),"",SUMIFS('Barang Keluar'!$E:$E,'Barang Keluar'!$A:$A,M29588,'Barang Keluar'!$C:$C,N29588))</f>
        <v>0</v>
      </c>
    </row>
    <row r="29589" spans="13:16">
      <c r="M29589" s="49">
        <f>IF($A$4+295&gt;$B$4,"",$A$4+295)</f>
        <v>46318</v>
      </c>
      <c r="N29589">
        <f>IF(M29589="","",'Master Barang'!A83)</f>
        <v>0</v>
      </c>
      <c r="O29589">
        <f>IF(N29589="","",'Master Barang'!B83)</f>
        <v>0</v>
      </c>
      <c r="P29589">
        <f>IF(OR(M29589="",N29589=""),"",SUMIFS('Barang Keluar'!$E:$E,'Barang Keluar'!$A:$A,M29589,'Barang Keluar'!$C:$C,N29589))</f>
        <v>0</v>
      </c>
    </row>
    <row r="29590" spans="13:16">
      <c r="M29590" s="49">
        <f>IF($A$4+295&gt;$B$4,"",$A$4+295)</f>
        <v>46318</v>
      </c>
      <c r="N29590">
        <f>IF(M29590="","",'Master Barang'!A84)</f>
        <v>0</v>
      </c>
      <c r="O29590">
        <f>IF(N29590="","",'Master Barang'!B84)</f>
        <v>0</v>
      </c>
      <c r="P29590">
        <f>IF(OR(M29590="",N29590=""),"",SUMIFS('Barang Keluar'!$E:$E,'Barang Keluar'!$A:$A,M29590,'Barang Keluar'!$C:$C,N29590))</f>
        <v>0</v>
      </c>
    </row>
    <row r="29591" spans="13:16">
      <c r="M29591" s="49">
        <f>IF($A$4+295&gt;$B$4,"",$A$4+295)</f>
        <v>46318</v>
      </c>
      <c r="N29591">
        <f>IF(M29591="","",'Master Barang'!A85)</f>
        <v>0</v>
      </c>
      <c r="O29591">
        <f>IF(N29591="","",'Master Barang'!B85)</f>
        <v>0</v>
      </c>
      <c r="P29591">
        <f>IF(OR(M29591="",N29591=""),"",SUMIFS('Barang Keluar'!$E:$E,'Barang Keluar'!$A:$A,M29591,'Barang Keluar'!$C:$C,N29591))</f>
        <v>0</v>
      </c>
    </row>
    <row r="29592" spans="13:16">
      <c r="M29592" s="49">
        <f>IF($A$4+295&gt;$B$4,"",$A$4+295)</f>
        <v>46318</v>
      </c>
      <c r="N29592">
        <f>IF(M29592="","",'Master Barang'!A86)</f>
        <v>0</v>
      </c>
      <c r="O29592">
        <f>IF(N29592="","",'Master Barang'!B86)</f>
        <v>0</v>
      </c>
      <c r="P29592">
        <f>IF(OR(M29592="",N29592=""),"",SUMIFS('Barang Keluar'!$E:$E,'Barang Keluar'!$A:$A,M29592,'Barang Keluar'!$C:$C,N29592))</f>
        <v>0</v>
      </c>
    </row>
    <row r="29593" spans="13:16">
      <c r="M29593" s="49">
        <f>IF($A$4+295&gt;$B$4,"",$A$4+295)</f>
        <v>46318</v>
      </c>
      <c r="N29593">
        <f>IF(M29593="","",'Master Barang'!A87)</f>
        <v>0</v>
      </c>
      <c r="O29593">
        <f>IF(N29593="","",'Master Barang'!B87)</f>
        <v>0</v>
      </c>
      <c r="P29593">
        <f>IF(OR(M29593="",N29593=""),"",SUMIFS('Barang Keluar'!$E:$E,'Barang Keluar'!$A:$A,M29593,'Barang Keluar'!$C:$C,N29593))</f>
        <v>0</v>
      </c>
    </row>
    <row r="29594" spans="13:16">
      <c r="M29594" s="49">
        <f>IF($A$4+295&gt;$B$4,"",$A$4+295)</f>
        <v>46318</v>
      </c>
      <c r="N29594">
        <f>IF(M29594="","",'Master Barang'!A88)</f>
        <v>0</v>
      </c>
      <c r="O29594">
        <f>IF(N29594="","",'Master Barang'!B88)</f>
        <v>0</v>
      </c>
      <c r="P29594">
        <f>IF(OR(M29594="",N29594=""),"",SUMIFS('Barang Keluar'!$E:$E,'Barang Keluar'!$A:$A,M29594,'Barang Keluar'!$C:$C,N29594))</f>
        <v>0</v>
      </c>
    </row>
    <row r="29595" spans="13:16">
      <c r="M29595" s="49">
        <f>IF($A$4+295&gt;$B$4,"",$A$4+295)</f>
        <v>46318</v>
      </c>
      <c r="N29595">
        <f>IF(M29595="","",'Master Barang'!A89)</f>
        <v>0</v>
      </c>
      <c r="O29595">
        <f>IF(N29595="","",'Master Barang'!B89)</f>
        <v>0</v>
      </c>
      <c r="P29595">
        <f>IF(OR(M29595="",N29595=""),"",SUMIFS('Barang Keluar'!$E:$E,'Barang Keluar'!$A:$A,M29595,'Barang Keluar'!$C:$C,N29595))</f>
        <v>0</v>
      </c>
    </row>
    <row r="29596" spans="13:16">
      <c r="M29596" s="49">
        <f>IF($A$4+295&gt;$B$4,"",$A$4+295)</f>
        <v>46318</v>
      </c>
      <c r="N29596">
        <f>IF(M29596="","",'Master Barang'!A90)</f>
        <v>0</v>
      </c>
      <c r="O29596">
        <f>IF(N29596="","",'Master Barang'!B90)</f>
        <v>0</v>
      </c>
      <c r="P29596">
        <f>IF(OR(M29596="",N29596=""),"",SUMIFS('Barang Keluar'!$E:$E,'Barang Keluar'!$A:$A,M29596,'Barang Keluar'!$C:$C,N29596))</f>
        <v>0</v>
      </c>
    </row>
    <row r="29597" spans="13:16">
      <c r="M29597" s="49">
        <f>IF($A$4+295&gt;$B$4,"",$A$4+295)</f>
        <v>46318</v>
      </c>
      <c r="N29597">
        <f>IF(M29597="","",'Master Barang'!A91)</f>
        <v>0</v>
      </c>
      <c r="O29597">
        <f>IF(N29597="","",'Master Barang'!B91)</f>
        <v>0</v>
      </c>
      <c r="P29597">
        <f>IF(OR(M29597="",N29597=""),"",SUMIFS('Barang Keluar'!$E:$E,'Barang Keluar'!$A:$A,M29597,'Barang Keluar'!$C:$C,N29597))</f>
        <v>0</v>
      </c>
    </row>
    <row r="29598" spans="13:16">
      <c r="M29598" s="49">
        <f>IF($A$4+295&gt;$B$4,"",$A$4+295)</f>
        <v>46318</v>
      </c>
      <c r="N29598">
        <f>IF(M29598="","",'Master Barang'!A92)</f>
        <v>0</v>
      </c>
      <c r="O29598">
        <f>IF(N29598="","",'Master Barang'!B92)</f>
        <v>0</v>
      </c>
      <c r="P29598">
        <f>IF(OR(M29598="",N29598=""),"",SUMIFS('Barang Keluar'!$E:$E,'Barang Keluar'!$A:$A,M29598,'Barang Keluar'!$C:$C,N29598))</f>
        <v>0</v>
      </c>
    </row>
    <row r="29599" spans="13:16">
      <c r="M29599" s="49">
        <f>IF($A$4+295&gt;$B$4,"",$A$4+295)</f>
        <v>46318</v>
      </c>
      <c r="N29599">
        <f>IF(M29599="","",'Master Barang'!A93)</f>
        <v>0</v>
      </c>
      <c r="O29599">
        <f>IF(N29599="","",'Master Barang'!B93)</f>
        <v>0</v>
      </c>
      <c r="P29599">
        <f>IF(OR(M29599="",N29599=""),"",SUMIFS('Barang Keluar'!$E:$E,'Barang Keluar'!$A:$A,M29599,'Barang Keluar'!$C:$C,N29599))</f>
        <v>0</v>
      </c>
    </row>
    <row r="29600" spans="13:16">
      <c r="M29600" s="49">
        <f>IF($A$4+295&gt;$B$4,"",$A$4+295)</f>
        <v>46318</v>
      </c>
      <c r="N29600">
        <f>IF(M29600="","",'Master Barang'!A94)</f>
        <v>0</v>
      </c>
      <c r="O29600">
        <f>IF(N29600="","",'Master Barang'!B94)</f>
        <v>0</v>
      </c>
      <c r="P29600">
        <f>IF(OR(M29600="",N29600=""),"",SUMIFS('Barang Keluar'!$E:$E,'Barang Keluar'!$A:$A,M29600,'Barang Keluar'!$C:$C,N29600))</f>
        <v>0</v>
      </c>
    </row>
    <row r="29601" spans="13:16">
      <c r="M29601" s="49">
        <f>IF($A$4+295&gt;$B$4,"",$A$4+295)</f>
        <v>46318</v>
      </c>
      <c r="N29601">
        <f>IF(M29601="","",'Master Barang'!A95)</f>
        <v>0</v>
      </c>
      <c r="O29601">
        <f>IF(N29601="","",'Master Barang'!B95)</f>
        <v>0</v>
      </c>
      <c r="P29601">
        <f>IF(OR(M29601="",N29601=""),"",SUMIFS('Barang Keluar'!$E:$E,'Barang Keluar'!$A:$A,M29601,'Barang Keluar'!$C:$C,N29601))</f>
        <v>0</v>
      </c>
    </row>
    <row r="29602" spans="13:16">
      <c r="M29602" s="49">
        <f>IF($A$4+295&gt;$B$4,"",$A$4+295)</f>
        <v>46318</v>
      </c>
      <c r="N29602">
        <f>IF(M29602="","",'Master Barang'!A96)</f>
        <v>0</v>
      </c>
      <c r="O29602">
        <f>IF(N29602="","",'Master Barang'!B96)</f>
        <v>0</v>
      </c>
      <c r="P29602">
        <f>IF(OR(M29602="",N29602=""),"",SUMIFS('Barang Keluar'!$E:$E,'Barang Keluar'!$A:$A,M29602,'Barang Keluar'!$C:$C,N29602))</f>
        <v>0</v>
      </c>
    </row>
    <row r="29603" spans="13:16">
      <c r="M29603" s="49">
        <f>IF($A$4+295&gt;$B$4,"",$A$4+295)</f>
        <v>46318</v>
      </c>
      <c r="N29603">
        <f>IF(M29603="","",'Master Barang'!A97)</f>
        <v>0</v>
      </c>
      <c r="O29603">
        <f>IF(N29603="","",'Master Barang'!B97)</f>
        <v>0</v>
      </c>
      <c r="P29603">
        <f>IF(OR(M29603="",N29603=""),"",SUMIFS('Barang Keluar'!$E:$E,'Barang Keluar'!$A:$A,M29603,'Barang Keluar'!$C:$C,N29603))</f>
        <v>0</v>
      </c>
    </row>
    <row r="29604" spans="13:16">
      <c r="M29604" s="49">
        <f>IF($A$4+295&gt;$B$4,"",$A$4+295)</f>
        <v>46318</v>
      </c>
      <c r="N29604">
        <f>IF(M29604="","",'Master Barang'!A98)</f>
        <v>0</v>
      </c>
      <c r="O29604">
        <f>IF(N29604="","",'Master Barang'!B98)</f>
        <v>0</v>
      </c>
      <c r="P29604">
        <f>IF(OR(M29604="",N29604=""),"",SUMIFS('Barang Keluar'!$E:$E,'Barang Keluar'!$A:$A,M29604,'Barang Keluar'!$C:$C,N29604))</f>
        <v>0</v>
      </c>
    </row>
    <row r="29605" spans="13:16">
      <c r="M29605" s="49">
        <f>IF($A$4+295&gt;$B$4,"",$A$4+295)</f>
        <v>46318</v>
      </c>
      <c r="N29605">
        <f>IF(M29605="","",'Master Barang'!A99)</f>
        <v>0</v>
      </c>
      <c r="O29605">
        <f>IF(N29605="","",'Master Barang'!B99)</f>
        <v>0</v>
      </c>
      <c r="P29605">
        <f>IF(OR(M29605="",N29605=""),"",SUMIFS('Barang Keluar'!$E:$E,'Barang Keluar'!$A:$A,M29605,'Barang Keluar'!$C:$C,N29605))</f>
        <v>0</v>
      </c>
    </row>
    <row r="29606" spans="13:16">
      <c r="M29606" s="49">
        <f>IF($A$4+295&gt;$B$4,"",$A$4+295)</f>
        <v>46318</v>
      </c>
      <c r="N29606">
        <f>IF(M29606="","",'Master Barang'!A100)</f>
        <v>0</v>
      </c>
      <c r="O29606">
        <f>IF(N29606="","",'Master Barang'!B100)</f>
        <v>0</v>
      </c>
      <c r="P29606">
        <f>IF(OR(M29606="",N29606=""),"",SUMIFS('Barang Keluar'!$E:$E,'Barang Keluar'!$A:$A,M29606,'Barang Keluar'!$C:$C,N29606))</f>
        <v>0</v>
      </c>
    </row>
    <row r="29607" spans="13:16">
      <c r="M29607" s="49">
        <f>IF($A$4+295&gt;$B$4,"",$A$4+295)</f>
        <v>46318</v>
      </c>
      <c r="N29607">
        <f>IF(M29607="","",'Master Barang'!A101)</f>
        <v>0</v>
      </c>
      <c r="O29607">
        <f>IF(N29607="","",'Master Barang'!B101)</f>
        <v>0</v>
      </c>
      <c r="P29607">
        <f>IF(OR(M29607="",N29607=""),"",SUMIFS('Barang Keluar'!$E:$E,'Barang Keluar'!$A:$A,M29607,'Barang Keluar'!$C:$C,N29607))</f>
        <v>0</v>
      </c>
    </row>
    <row r="29608" spans="13:16">
      <c r="M29608" s="49">
        <f>IF($A$4+296&gt;$B$4,"",$A$4+296)</f>
        <v>46319</v>
      </c>
      <c r="N29608" t="str">
        <f>IF(M29608="","",'Master Barang'!A2)</f>
        <v>PRL-001</v>
      </c>
      <c r="O29608" t="str">
        <f>IF(N29608="","",'Master Barang'!B2)</f>
        <v>natura desinfectant food grade 5l</v>
      </c>
      <c r="P29608">
        <f>IF(OR(M29608="",N29608=""),"",SUMIFS('Barang Keluar'!$E:$E,'Barang Keluar'!$A:$A,M29608,'Barang Keluar'!$C:$C,N29608))</f>
        <v>0</v>
      </c>
    </row>
    <row r="29609" spans="13:16">
      <c r="M29609" s="49">
        <f>IF($A$4+296&gt;$B$4,"",$A$4+296)</f>
        <v>46319</v>
      </c>
      <c r="N29609" t="str">
        <f>IF(M29609="","",'Master Barang'!A3)</f>
        <v>PRL-002</v>
      </c>
      <c r="O29609" t="str">
        <f>IF(N29609="","",'Master Barang'!B3)</f>
        <v>sunlight cairan pencuci piring 5l</v>
      </c>
      <c r="P29609">
        <f>IF(OR(M29609="",N29609=""),"",SUMIFS('Barang Keluar'!$E:$E,'Barang Keluar'!$A:$A,M29609,'Barang Keluar'!$C:$C,N29609))</f>
        <v>0</v>
      </c>
    </row>
    <row r="29610" spans="13:16">
      <c r="M29610" s="49">
        <f>IF($A$4+296&gt;$B$4,"",$A$4+296)</f>
        <v>46319</v>
      </c>
      <c r="N29610" t="str">
        <f>IF(M29610="","",'Master Barang'!A4)</f>
        <v>PRL-003</v>
      </c>
      <c r="O29610" t="str">
        <f>IF(N29610="","",'Master Barang'!B4)</f>
        <v>oixs cleaner 1l</v>
      </c>
      <c r="P29610">
        <f>IF(OR(M29610="",N29610=""),"",SUMIFS('Barang Keluar'!$E:$E,'Barang Keluar'!$A:$A,M29610,'Barang Keluar'!$C:$C,N29610))</f>
        <v>0</v>
      </c>
    </row>
    <row r="29611" spans="13:16">
      <c r="M29611" s="49">
        <f>IF($A$4+296&gt;$B$4,"",$A$4+296)</f>
        <v>46319</v>
      </c>
      <c r="N29611" t="str">
        <f>IF(M29611="","",'Master Barang'!A5)</f>
        <v>PRL-004</v>
      </c>
      <c r="O29611" t="str">
        <f>IF(N29611="","",'Master Barang'!B5)</f>
        <v>be clean tissue serbaguna</v>
      </c>
      <c r="P29611">
        <f>IF(OR(M29611="",N29611=""),"",SUMIFS('Barang Keluar'!$E:$E,'Barang Keluar'!$A:$A,M29611,'Barang Keluar'!$C:$C,N29611))</f>
        <v>0</v>
      </c>
    </row>
    <row r="29612" spans="13:16">
      <c r="M29612" s="49">
        <f>IF($A$4+296&gt;$B$4,"",$A$4+296)</f>
        <v>46319</v>
      </c>
      <c r="N29612" t="str">
        <f>IF(M29612="","",'Master Barang'!A6)</f>
        <v>PRL-005</v>
      </c>
      <c r="O29612" t="str">
        <f>IF(N29612="","",'Master Barang'!B6)</f>
        <v>spons cuci hijau</v>
      </c>
      <c r="P29612">
        <f>IF(OR(M29612="",N29612=""),"",SUMIFS('Barang Keluar'!$E:$E,'Barang Keluar'!$A:$A,M29612,'Barang Keluar'!$C:$C,N29612))</f>
        <v>0</v>
      </c>
    </row>
    <row r="29613" spans="13:16">
      <c r="M29613" s="49">
        <f>IF($A$4+296&gt;$B$4,"",$A$4+296)</f>
        <v>46319</v>
      </c>
      <c r="N29613" t="str">
        <f>IF(M29613="","",'Master Barang'!A7)</f>
        <v>PRL-006</v>
      </c>
      <c r="O29613" t="str">
        <f>IF(N29613="","",'Master Barang'!B7)</f>
        <v>sabut cuci stainless</v>
      </c>
      <c r="P29613">
        <f>IF(OR(M29613="",N29613=""),"",SUMIFS('Barang Keluar'!$E:$E,'Barang Keluar'!$A:$A,M29613,'Barang Keluar'!$C:$C,N29613))</f>
        <v>0</v>
      </c>
    </row>
    <row r="29614" spans="13:16">
      <c r="M29614" s="49">
        <f>IF($A$4+296&gt;$B$4,"",$A$4+296)</f>
        <v>46319</v>
      </c>
      <c r="N29614" t="str">
        <f>IF(M29614="","",'Master Barang'!A8)</f>
        <v>PRL-007</v>
      </c>
      <c r="O29614" t="str">
        <f>IF(N29614="","",'Master Barang'!B8)</f>
        <v>plastik kresek besar merah 50pc</v>
      </c>
      <c r="P29614">
        <f>IF(OR(M29614="",N29614=""),"",SUMIFS('Barang Keluar'!$E:$E,'Barang Keluar'!$A:$A,M29614,'Barang Keluar'!$C:$C,N29614))</f>
        <v>0</v>
      </c>
    </row>
    <row r="29615" spans="13:16">
      <c r="M29615" s="49">
        <f>IF($A$4+296&gt;$B$4,"",$A$4+296)</f>
        <v>46319</v>
      </c>
      <c r="N29615" t="str">
        <f>IF(M29615="","",'Master Barang'!A9)</f>
        <v>PRL-008</v>
      </c>
      <c r="O29615" t="str">
        <f>IF(N29615="","",'Master Barang'!B9)</f>
        <v>lap besar</v>
      </c>
      <c r="P29615">
        <f>IF(OR(M29615="",N29615=""),"",SUMIFS('Barang Keluar'!$E:$E,'Barang Keluar'!$A:$A,M29615,'Barang Keluar'!$C:$C,N29615))</f>
        <v>0</v>
      </c>
    </row>
    <row r="29616" spans="13:16">
      <c r="M29616" s="49">
        <f>IF($A$4+296&gt;$B$4,"",$A$4+296)</f>
        <v>46319</v>
      </c>
      <c r="N29616" t="str">
        <f>IF(M29616="","",'Master Barang'!A10)</f>
        <v>PRL-009</v>
      </c>
      <c r="O29616" t="str">
        <f>IF(N29616="","",'Master Barang'!B10)</f>
        <v>lap microfiber</v>
      </c>
      <c r="P29616">
        <f>IF(OR(M29616="",N29616=""),"",SUMIFS('Barang Keluar'!$E:$E,'Barang Keluar'!$A:$A,M29616,'Barang Keluar'!$C:$C,N29616))</f>
        <v>0</v>
      </c>
    </row>
    <row r="29617" spans="13:16">
      <c r="M29617" s="49">
        <f>IF($A$4+296&gt;$B$4,"",$A$4+296)</f>
        <v>46319</v>
      </c>
      <c r="N29617" t="str">
        <f>IF(M29617="","",'Master Barang'!A11)</f>
        <v>PRL-010</v>
      </c>
      <c r="O29617" t="str">
        <f>IF(N29617="","",'Master Barang'!B11)</f>
        <v>lap kecil</v>
      </c>
      <c r="P29617">
        <f>IF(OR(M29617="",N29617=""),"",SUMIFS('Barang Keluar'!$E:$E,'Barang Keluar'!$A:$A,M29617,'Barang Keluar'!$C:$C,N29617))</f>
        <v>0</v>
      </c>
    </row>
    <row r="29618" spans="13:16">
      <c r="M29618" s="49">
        <f>IF($A$4+296&gt;$B$4,"",$A$4+296)</f>
        <v>46319</v>
      </c>
      <c r="N29618" t="str">
        <f>IF(M29618="","",'Master Barang'!A12)</f>
        <v>PRL-011</v>
      </c>
      <c r="O29618" t="str">
        <f>IF(N29618="","",'Master Barang'!B12)</f>
        <v>kanebo kecil</v>
      </c>
      <c r="P29618">
        <f>IF(OR(M29618="",N29618=""),"",SUMIFS('Barang Keluar'!$E:$E,'Barang Keluar'!$A:$A,M29618,'Barang Keluar'!$C:$C,N29618))</f>
        <v>0</v>
      </c>
    </row>
    <row r="29619" spans="13:16">
      <c r="M29619" s="49">
        <f>IF($A$4+296&gt;$B$4,"",$A$4+296)</f>
        <v>46319</v>
      </c>
      <c r="N29619" t="str">
        <f>IF(M29619="","",'Master Barang'!A13)</f>
        <v>PRL-012</v>
      </c>
      <c r="O29619" t="str">
        <f>IF(N29619="","",'Master Barang'!B13)</f>
        <v>plastik 1/4kg joyoboyo 100 lembar</v>
      </c>
      <c r="P29619">
        <f>IF(OR(M29619="",N29619=""),"",SUMIFS('Barang Keluar'!$E:$E,'Barang Keluar'!$A:$A,M29619,'Barang Keluar'!$C:$C,N29619))</f>
        <v>0</v>
      </c>
    </row>
    <row r="29620" spans="13:16">
      <c r="M29620" s="49">
        <f>IF($A$4+296&gt;$B$4,"",$A$4+296)</f>
        <v>46319</v>
      </c>
      <c r="N29620" t="str">
        <f>IF(M29620="","",'Master Barang'!A14)</f>
        <v>PRL-013</v>
      </c>
      <c r="O29620" t="str">
        <f>IF(N29620="","",'Master Barang'!B14)</f>
        <v>sarung tangan plastik kaka 100 pcs</v>
      </c>
      <c r="P29620">
        <f>IF(OR(M29620="",N29620=""),"",SUMIFS('Barang Keluar'!$E:$E,'Barang Keluar'!$A:$A,M29620,'Barang Keluar'!$C:$C,N29620))</f>
        <v>0</v>
      </c>
    </row>
    <row r="29621" spans="13:16">
      <c r="M29621" s="49">
        <f>IF($A$4+296&gt;$B$4,"",$A$4+296)</f>
        <v>46319</v>
      </c>
      <c r="N29621" t="str">
        <f>IF(M29621="","",'Master Barang'!A15)</f>
        <v>PRL-014</v>
      </c>
      <c r="O29621" t="str">
        <f>IF(N29621="","",'Master Barang'!B15)</f>
        <v>optima trashbag 80x100</v>
      </c>
      <c r="P29621">
        <f>IF(OR(M29621="",N29621=""),"",SUMIFS('Barang Keluar'!$E:$E,'Barang Keluar'!$A:$A,M29621,'Barang Keluar'!$C:$C,N29621))</f>
        <v>0</v>
      </c>
    </row>
    <row r="29622" spans="13:16">
      <c r="M29622" s="49">
        <f>IF($A$4+296&gt;$B$4,"",$A$4+296)</f>
        <v>46319</v>
      </c>
      <c r="N29622" t="str">
        <f>IF(M29622="","",'Master Barang'!A16)</f>
        <v>PRL-015</v>
      </c>
      <c r="O29622" t="str">
        <f>IF(N29622="","",'Master Barang'!B16)</f>
        <v>optima trashbag 60x100</v>
      </c>
      <c r="P29622">
        <f>IF(OR(M29622="",N29622=""),"",SUMIFS('Barang Keluar'!$E:$E,'Barang Keluar'!$A:$A,M29622,'Barang Keluar'!$C:$C,N29622))</f>
        <v>0</v>
      </c>
    </row>
    <row r="29623" spans="13:16">
      <c r="M29623" s="49">
        <f>IF($A$4+296&gt;$B$4,"",$A$4+296)</f>
        <v>46319</v>
      </c>
      <c r="N29623" t="str">
        <f>IF(M29623="","",'Master Barang'!A17)</f>
        <v>PRL-016</v>
      </c>
      <c r="O29623" t="str">
        <f>IF(N29623="","",'Master Barang'!B17)</f>
        <v>rajawali trashbag 30x40</v>
      </c>
      <c r="P29623">
        <f>IF(OR(M29623="",N29623=""),"",SUMIFS('Barang Keluar'!$E:$E,'Barang Keluar'!$A:$A,M29623,'Barang Keluar'!$C:$C,N29623))</f>
        <v>0</v>
      </c>
    </row>
    <row r="29624" spans="13:16">
      <c r="M29624" s="49">
        <f>IF($A$4+296&gt;$B$4,"",$A$4+296)</f>
        <v>46319</v>
      </c>
      <c r="N29624" t="str">
        <f>IF(M29624="","",'Master Barang'!A18)</f>
        <v>PRL-017</v>
      </c>
      <c r="O29624" t="str">
        <f>IF(N29624="","",'Master Barang'!B18)</f>
        <v>onemed masker biru 3 play 50 pcs</v>
      </c>
      <c r="P29624">
        <f>IF(OR(M29624="",N29624=""),"",SUMIFS('Barang Keluar'!$E:$E,'Barang Keluar'!$A:$A,M29624,'Barang Keluar'!$C:$C,N29624))</f>
        <v>0</v>
      </c>
    </row>
    <row r="29625" spans="13:16">
      <c r="M29625" s="49">
        <f>IF($A$4+296&gt;$B$4,"",$A$4+296)</f>
        <v>46319</v>
      </c>
      <c r="N29625" t="str">
        <f>IF(M29625="","",'Master Barang'!A19)</f>
        <v>PRL-018</v>
      </c>
      <c r="O29625" t="str">
        <f>IF(N29625="","",'Master Barang'!B19)</f>
        <v>onemed masker biru 3 play hijab 50 pcs</v>
      </c>
      <c r="P29625">
        <f>IF(OR(M29625="",N29625=""),"",SUMIFS('Barang Keluar'!$E:$E,'Barang Keluar'!$A:$A,M29625,'Barang Keluar'!$C:$C,N29625))</f>
        <v>0</v>
      </c>
    </row>
    <row r="29626" spans="13:16">
      <c r="M29626" s="49">
        <f>IF($A$4+296&gt;$B$4,"",$A$4+296)</f>
        <v>46319</v>
      </c>
      <c r="N29626" t="str">
        <f>IF(M29626="","",'Master Barang'!A20)</f>
        <v>PRL-019</v>
      </c>
      <c r="O29626" t="str">
        <f>IF(N29626="","",'Master Barang'!B20)</f>
        <v>neo health masker biru 3 play 50 pcs</v>
      </c>
      <c r="P29626">
        <f>IF(OR(M29626="",N29626=""),"",SUMIFS('Barang Keluar'!$E:$E,'Barang Keluar'!$A:$A,M29626,'Barang Keluar'!$C:$C,N29626))</f>
        <v>0</v>
      </c>
    </row>
    <row r="29627" spans="13:16">
      <c r="M29627" s="49">
        <f>IF($A$4+296&gt;$B$4,"",$A$4+296)</f>
        <v>46319</v>
      </c>
      <c r="N29627" t="str">
        <f>IF(M29627="","",'Master Barang'!A21)</f>
        <v>PRL-020</v>
      </c>
      <c r="O29627" t="str">
        <f>IF(N29627="","",'Master Barang'!B21)</f>
        <v>baymed masker hijau 3 play hijau 50 pcs</v>
      </c>
      <c r="P29627">
        <f>IF(OR(M29627="",N29627=""),"",SUMIFS('Barang Keluar'!$E:$E,'Barang Keluar'!$A:$A,M29627,'Barang Keluar'!$C:$C,N29627))</f>
        <v>0</v>
      </c>
    </row>
    <row r="29628" spans="13:16">
      <c r="M29628" s="49">
        <f>IF($A$4+296&gt;$B$4,"",$A$4+296)</f>
        <v>46319</v>
      </c>
      <c r="N29628" t="str">
        <f>IF(M29628="","",'Master Barang'!A22)</f>
        <v>PRL-021</v>
      </c>
      <c r="O29628" t="str">
        <f>IF(N29628="","",'Master Barang'!B22)</f>
        <v>altamed nurse cap penutup kepala 100 pcs</v>
      </c>
      <c r="P29628">
        <f>IF(OR(M29628="",N29628=""),"",SUMIFS('Barang Keluar'!$E:$E,'Barang Keluar'!$A:$A,M29628,'Barang Keluar'!$C:$C,N29628))</f>
        <v>0</v>
      </c>
    </row>
    <row r="29629" spans="13:16">
      <c r="M29629" s="49">
        <f>IF($A$4+296&gt;$B$4,"",$A$4+296)</f>
        <v>46319</v>
      </c>
      <c r="N29629" t="str">
        <f>IF(M29629="","",'Master Barang'!A23)</f>
        <v>PRL-022</v>
      </c>
      <c r="O29629" t="str">
        <f>IF(N29629="","",'Master Barang'!B23)</f>
        <v>sabun cuci tangan</v>
      </c>
      <c r="P29629">
        <f>IF(OR(M29629="",N29629=""),"",SUMIFS('Barang Keluar'!$E:$E,'Barang Keluar'!$A:$A,M29629,'Barang Keluar'!$C:$C,N29629))</f>
        <v>0</v>
      </c>
    </row>
    <row r="29630" spans="13:16">
      <c r="M29630" s="49">
        <f>IF($A$4+296&gt;$B$4,"",$A$4+296)</f>
        <v>46319</v>
      </c>
      <c r="N29630" t="str">
        <f>IF(M29630="","",'Master Barang'!A24)</f>
        <v>PRL-023</v>
      </c>
      <c r="O29630" t="str">
        <f>IF(N29630="","",'Master Barang'!B24)</f>
        <v>gayung kecil</v>
      </c>
      <c r="P29630">
        <f>IF(OR(M29630="",N29630=""),"",SUMIFS('Barang Keluar'!$E:$E,'Barang Keluar'!$A:$A,M29630,'Barang Keluar'!$C:$C,N29630))</f>
        <v>0</v>
      </c>
    </row>
    <row r="29631" spans="13:16">
      <c r="M29631" s="49">
        <f>IF($A$4+296&gt;$B$4,"",$A$4+296)</f>
        <v>46319</v>
      </c>
      <c r="N29631" t="str">
        <f>IF(M29631="","",'Master Barang'!A25)</f>
        <v>PRL-024</v>
      </c>
      <c r="O29631" t="str">
        <f>IF(N29631="","",'Master Barang'!B25)</f>
        <v>cikrak kecil</v>
      </c>
      <c r="P29631">
        <f>IF(OR(M29631="",N29631=""),"",SUMIFS('Barang Keluar'!$E:$E,'Barang Keluar'!$A:$A,M29631,'Barang Keluar'!$C:$C,N29631))</f>
        <v>0</v>
      </c>
    </row>
    <row r="29632" spans="13:16">
      <c r="M29632" s="49">
        <f>IF($A$4+296&gt;$B$4,"",$A$4+296)</f>
        <v>46319</v>
      </c>
      <c r="N29632" t="str">
        <f>IF(M29632="","",'Master Barang'!A26)</f>
        <v>PRL-025</v>
      </c>
      <c r="O29632" t="str">
        <f>IF(N29632="","",'Master Barang'!B26)</f>
        <v>petromax plastik kecil 12x24 100 lembar</v>
      </c>
      <c r="P29632">
        <f>IF(OR(M29632="",N29632=""),"",SUMIFS('Barang Keluar'!$E:$E,'Barang Keluar'!$A:$A,M29632,'Barang Keluar'!$C:$C,N29632))</f>
        <v>0</v>
      </c>
    </row>
    <row r="29633" spans="13:16">
      <c r="M29633" s="49">
        <f>IF($A$4+296&gt;$B$4,"",$A$4+296)</f>
        <v>46319</v>
      </c>
      <c r="N29633" t="str">
        <f>IF(M29633="","",'Master Barang'!A27)</f>
        <v>PRL-026</v>
      </c>
      <c r="O29633" t="str">
        <f>IF(N29633="","",'Master Barang'!B27)</f>
        <v>lancar kresek kecil bening </v>
      </c>
      <c r="P29633">
        <f>IF(OR(M29633="",N29633=""),"",SUMIFS('Barang Keluar'!$E:$E,'Barang Keluar'!$A:$A,M29633,'Barang Keluar'!$C:$C,N29633))</f>
        <v>0</v>
      </c>
    </row>
    <row r="29634" spans="13:16">
      <c r="M29634" s="49">
        <f>IF($A$4+296&gt;$B$4,"",$A$4+296)</f>
        <v>46319</v>
      </c>
      <c r="N29634" t="str">
        <f>IF(M29634="","",'Master Barang'!A28)</f>
        <v>PRL-027</v>
      </c>
      <c r="O29634" t="str">
        <f>IF(N29634="","",'Master Barang'!B28)</f>
        <v>kresek klin warna warni kecil</v>
      </c>
      <c r="P29634">
        <f>IF(OR(M29634="",N29634=""),"",SUMIFS('Barang Keluar'!$E:$E,'Barang Keluar'!$A:$A,M29634,'Barang Keluar'!$C:$C,N29634))</f>
        <v>0</v>
      </c>
    </row>
    <row r="29635" spans="13:16">
      <c r="M29635" s="49">
        <f>IF($A$4+296&gt;$B$4,"",$A$4+296)</f>
        <v>46319</v>
      </c>
      <c r="N29635" t="str">
        <f>IF(M29635="","",'Master Barang'!A29)</f>
        <v>PRL-028</v>
      </c>
      <c r="O29635" t="str">
        <f>IF(N29635="","",'Master Barang'!B29)</f>
        <v>ctik plastik 7x10 100 pcs</v>
      </c>
      <c r="P29635">
        <f>IF(OR(M29635="",N29635=""),"",SUMIFS('Barang Keluar'!$E:$E,'Barang Keluar'!$A:$A,M29635,'Barang Keluar'!$C:$C,N29635))</f>
        <v>0</v>
      </c>
    </row>
    <row r="29636" spans="13:16">
      <c r="M29636" s="49">
        <f>IF($A$4+296&gt;$B$4,"",$A$4+296)</f>
        <v>46319</v>
      </c>
      <c r="N29636" t="str">
        <f>IF(M29636="","",'Master Barang'!A30)</f>
        <v>PRL-029</v>
      </c>
      <c r="O29636" t="str">
        <f>IF(N29636="","",'Master Barang'!B30)</f>
        <v>ctik plastik 6x10 100 pcs</v>
      </c>
      <c r="P29636">
        <f>IF(OR(M29636="",N29636=""),"",SUMIFS('Barang Keluar'!$E:$E,'Barang Keluar'!$A:$A,M29636,'Barang Keluar'!$C:$C,N29636))</f>
        <v>0</v>
      </c>
    </row>
    <row r="29637" spans="13:16">
      <c r="M29637" s="49">
        <f>IF($A$4+296&gt;$B$4,"",$A$4+296)</f>
        <v>46319</v>
      </c>
      <c r="N29637" t="str">
        <f>IF(M29637="","",'Master Barang'!A31)</f>
        <v>PRL-030</v>
      </c>
      <c r="O29637" t="str">
        <f>IF(N29637="","",'Master Barang'!B31)</f>
        <v>klip plastik 25x16 100 pcs</v>
      </c>
      <c r="P29637">
        <f>IF(OR(M29637="",N29637=""),"",SUMIFS('Barang Keluar'!$E:$E,'Barang Keluar'!$A:$A,M29637,'Barang Keluar'!$C:$C,N29637))</f>
        <v>0</v>
      </c>
    </row>
    <row r="29638" spans="13:16">
      <c r="M29638" s="49">
        <f>IF($A$4+296&gt;$B$4,"",$A$4+296)</f>
        <v>46319</v>
      </c>
      <c r="N29638" t="str">
        <f>IF(M29638="","",'Master Barang'!A32)</f>
        <v>PRL-031</v>
      </c>
      <c r="O29638" t="str">
        <f>IF(N29638="","",'Master Barang'!B32)</f>
        <v>tempat saus 20 ml</v>
      </c>
      <c r="P29638">
        <f>IF(OR(M29638="",N29638=""),"",SUMIFS('Barang Keluar'!$E:$E,'Barang Keluar'!$A:$A,M29638,'Barang Keluar'!$C:$C,N29638))</f>
        <v>0</v>
      </c>
    </row>
    <row r="29639" spans="13:16">
      <c r="M29639" s="49">
        <f>IF($A$4+296&gt;$B$4,"",$A$4+296)</f>
        <v>46319</v>
      </c>
      <c r="N29639" t="str">
        <f>IF(M29639="","",'Master Barang'!A33)</f>
        <v>PRL-032</v>
      </c>
      <c r="O29639" t="str">
        <f>IF(N29639="","",'Master Barang'!B33)</f>
        <v>plastik packaging ag box uk sedang</v>
      </c>
      <c r="P29639">
        <f>IF(OR(M29639="",N29639=""),"",SUMIFS('Barang Keluar'!$E:$E,'Barang Keluar'!$A:$A,M29639,'Barang Keluar'!$C:$C,N29639))</f>
        <v>0</v>
      </c>
    </row>
    <row r="29640" spans="13:16">
      <c r="M29640" s="49">
        <f>IF($A$4+296&gt;$B$4,"",$A$4+296)</f>
        <v>46319</v>
      </c>
      <c r="N29640" t="str">
        <f>IF(M29640="","",'Master Barang'!A34)</f>
        <v>PRL-033</v>
      </c>
      <c r="O29640">
        <f>IF(N29640="","",'Master Barang'!B34)</f>
        <v>0</v>
      </c>
      <c r="P29640">
        <f>IF(OR(M29640="",N29640=""),"",SUMIFS('Barang Keluar'!$E:$E,'Barang Keluar'!$A:$A,M29640,'Barang Keluar'!$C:$C,N29640))</f>
        <v>0</v>
      </c>
    </row>
    <row r="29641" spans="13:16">
      <c r="M29641" s="49">
        <f>IF($A$4+296&gt;$B$4,"",$A$4+296)</f>
        <v>46319</v>
      </c>
      <c r="N29641">
        <f>IF(M29641="","",'Master Barang'!A35)</f>
        <v>0</v>
      </c>
      <c r="O29641">
        <f>IF(N29641="","",'Master Barang'!B35)</f>
        <v>0</v>
      </c>
      <c r="P29641">
        <f>IF(OR(M29641="",N29641=""),"",SUMIFS('Barang Keluar'!$E:$E,'Barang Keluar'!$A:$A,M29641,'Barang Keluar'!$C:$C,N29641))</f>
        <v>0</v>
      </c>
    </row>
    <row r="29642" spans="13:16">
      <c r="M29642" s="49">
        <f>IF($A$4+296&gt;$B$4,"",$A$4+296)</f>
        <v>46319</v>
      </c>
      <c r="N29642">
        <f>IF(M29642="","",'Master Barang'!A36)</f>
        <v>0</v>
      </c>
      <c r="O29642">
        <f>IF(N29642="","",'Master Barang'!B36)</f>
        <v>0</v>
      </c>
      <c r="P29642">
        <f>IF(OR(M29642="",N29642=""),"",SUMIFS('Barang Keluar'!$E:$E,'Barang Keluar'!$A:$A,M29642,'Barang Keluar'!$C:$C,N29642))</f>
        <v>0</v>
      </c>
    </row>
    <row r="29643" spans="13:16">
      <c r="M29643" s="49">
        <f>IF($A$4+296&gt;$B$4,"",$A$4+296)</f>
        <v>46319</v>
      </c>
      <c r="N29643">
        <f>IF(M29643="","",'Master Barang'!A37)</f>
        <v>0</v>
      </c>
      <c r="O29643">
        <f>IF(N29643="","",'Master Barang'!B37)</f>
        <v>0</v>
      </c>
      <c r="P29643">
        <f>IF(OR(M29643="",N29643=""),"",SUMIFS('Barang Keluar'!$E:$E,'Barang Keluar'!$A:$A,M29643,'Barang Keluar'!$C:$C,N29643))</f>
        <v>0</v>
      </c>
    </row>
    <row r="29644" spans="13:16">
      <c r="M29644" s="49">
        <f>IF($A$4+296&gt;$B$4,"",$A$4+296)</f>
        <v>46319</v>
      </c>
      <c r="N29644">
        <f>IF(M29644="","",'Master Barang'!A38)</f>
        <v>0</v>
      </c>
      <c r="O29644">
        <f>IF(N29644="","",'Master Barang'!B38)</f>
        <v>0</v>
      </c>
      <c r="P29644">
        <f>IF(OR(M29644="",N29644=""),"",SUMIFS('Barang Keluar'!$E:$E,'Barang Keluar'!$A:$A,M29644,'Barang Keluar'!$C:$C,N29644))</f>
        <v>0</v>
      </c>
    </row>
    <row r="29645" spans="13:16">
      <c r="M29645" s="49">
        <f>IF($A$4+296&gt;$B$4,"",$A$4+296)</f>
        <v>46319</v>
      </c>
      <c r="N29645">
        <f>IF(M29645="","",'Master Barang'!A39)</f>
        <v>0</v>
      </c>
      <c r="O29645">
        <f>IF(N29645="","",'Master Barang'!B39)</f>
        <v>0</v>
      </c>
      <c r="P29645">
        <f>IF(OR(M29645="",N29645=""),"",SUMIFS('Barang Keluar'!$E:$E,'Barang Keluar'!$A:$A,M29645,'Barang Keluar'!$C:$C,N29645))</f>
        <v>0</v>
      </c>
    </row>
    <row r="29646" spans="13:16">
      <c r="M29646" s="49">
        <f>IF($A$4+296&gt;$B$4,"",$A$4+296)</f>
        <v>46319</v>
      </c>
      <c r="N29646">
        <f>IF(M29646="","",'Master Barang'!A40)</f>
        <v>0</v>
      </c>
      <c r="O29646">
        <f>IF(N29646="","",'Master Barang'!B40)</f>
        <v>0</v>
      </c>
      <c r="P29646">
        <f>IF(OR(M29646="",N29646=""),"",SUMIFS('Barang Keluar'!$E:$E,'Barang Keluar'!$A:$A,M29646,'Barang Keluar'!$C:$C,N29646))</f>
        <v>0</v>
      </c>
    </row>
    <row r="29647" spans="13:16">
      <c r="M29647" s="49">
        <f>IF($A$4+296&gt;$B$4,"",$A$4+296)</f>
        <v>46319</v>
      </c>
      <c r="N29647">
        <f>IF(M29647="","",'Master Barang'!A41)</f>
        <v>0</v>
      </c>
      <c r="O29647">
        <f>IF(N29647="","",'Master Barang'!B41)</f>
        <v>0</v>
      </c>
      <c r="P29647">
        <f>IF(OR(M29647="",N29647=""),"",SUMIFS('Barang Keluar'!$E:$E,'Barang Keluar'!$A:$A,M29647,'Barang Keluar'!$C:$C,N29647))</f>
        <v>0</v>
      </c>
    </row>
    <row r="29648" spans="13:16">
      <c r="M29648" s="49">
        <f>IF($A$4+296&gt;$B$4,"",$A$4+296)</f>
        <v>46319</v>
      </c>
      <c r="N29648">
        <f>IF(M29648="","",'Master Barang'!A42)</f>
        <v>0</v>
      </c>
      <c r="O29648">
        <f>IF(N29648="","",'Master Barang'!B42)</f>
        <v>0</v>
      </c>
      <c r="P29648">
        <f>IF(OR(M29648="",N29648=""),"",SUMIFS('Barang Keluar'!$E:$E,'Barang Keluar'!$A:$A,M29648,'Barang Keluar'!$C:$C,N29648))</f>
        <v>0</v>
      </c>
    </row>
    <row r="29649" spans="13:16">
      <c r="M29649" s="49">
        <f>IF($A$4+296&gt;$B$4,"",$A$4+296)</f>
        <v>46319</v>
      </c>
      <c r="N29649">
        <f>IF(M29649="","",'Master Barang'!A43)</f>
        <v>0</v>
      </c>
      <c r="O29649">
        <f>IF(N29649="","",'Master Barang'!B43)</f>
        <v>0</v>
      </c>
      <c r="P29649">
        <f>IF(OR(M29649="",N29649=""),"",SUMIFS('Barang Keluar'!$E:$E,'Barang Keluar'!$A:$A,M29649,'Barang Keluar'!$C:$C,N29649))</f>
        <v>0</v>
      </c>
    </row>
    <row r="29650" spans="13:16">
      <c r="M29650" s="49">
        <f>IF($A$4+296&gt;$B$4,"",$A$4+296)</f>
        <v>46319</v>
      </c>
      <c r="N29650">
        <f>IF(M29650="","",'Master Barang'!A44)</f>
        <v>0</v>
      </c>
      <c r="O29650">
        <f>IF(N29650="","",'Master Barang'!B44)</f>
        <v>0</v>
      </c>
      <c r="P29650">
        <f>IF(OR(M29650="",N29650=""),"",SUMIFS('Barang Keluar'!$E:$E,'Barang Keluar'!$A:$A,M29650,'Barang Keluar'!$C:$C,N29650))</f>
        <v>0</v>
      </c>
    </row>
    <row r="29651" spans="13:16">
      <c r="M29651" s="49">
        <f>IF($A$4+296&gt;$B$4,"",$A$4+296)</f>
        <v>46319</v>
      </c>
      <c r="N29651">
        <f>IF(M29651="","",'Master Barang'!A45)</f>
        <v>0</v>
      </c>
      <c r="O29651">
        <f>IF(N29651="","",'Master Barang'!B45)</f>
        <v>0</v>
      </c>
      <c r="P29651">
        <f>IF(OR(M29651="",N29651=""),"",SUMIFS('Barang Keluar'!$E:$E,'Barang Keluar'!$A:$A,M29651,'Barang Keluar'!$C:$C,N29651))</f>
        <v>0</v>
      </c>
    </row>
    <row r="29652" spans="13:16">
      <c r="M29652" s="49">
        <f>IF($A$4+296&gt;$B$4,"",$A$4+296)</f>
        <v>46319</v>
      </c>
      <c r="N29652">
        <f>IF(M29652="","",'Master Barang'!A46)</f>
        <v>0</v>
      </c>
      <c r="O29652">
        <f>IF(N29652="","",'Master Barang'!B46)</f>
        <v>0</v>
      </c>
      <c r="P29652">
        <f>IF(OR(M29652="",N29652=""),"",SUMIFS('Barang Keluar'!$E:$E,'Barang Keluar'!$A:$A,M29652,'Barang Keluar'!$C:$C,N29652))</f>
        <v>0</v>
      </c>
    </row>
    <row r="29653" spans="13:16">
      <c r="M29653" s="49">
        <f>IF($A$4+296&gt;$B$4,"",$A$4+296)</f>
        <v>46319</v>
      </c>
      <c r="N29653">
        <f>IF(M29653="","",'Master Barang'!A47)</f>
        <v>0</v>
      </c>
      <c r="O29653">
        <f>IF(N29653="","",'Master Barang'!B47)</f>
        <v>0</v>
      </c>
      <c r="P29653">
        <f>IF(OR(M29653="",N29653=""),"",SUMIFS('Barang Keluar'!$E:$E,'Barang Keluar'!$A:$A,M29653,'Barang Keluar'!$C:$C,N29653))</f>
        <v>0</v>
      </c>
    </row>
    <row r="29654" spans="13:16">
      <c r="M29654" s="49">
        <f>IF($A$4+296&gt;$B$4,"",$A$4+296)</f>
        <v>46319</v>
      </c>
      <c r="N29654">
        <f>IF(M29654="","",'Master Barang'!A48)</f>
        <v>0</v>
      </c>
      <c r="O29654">
        <f>IF(N29654="","",'Master Barang'!B48)</f>
        <v>0</v>
      </c>
      <c r="P29654">
        <f>IF(OR(M29654="",N29654=""),"",SUMIFS('Barang Keluar'!$E:$E,'Barang Keluar'!$A:$A,M29654,'Barang Keluar'!$C:$C,N29654))</f>
        <v>0</v>
      </c>
    </row>
    <row r="29655" spans="13:16">
      <c r="M29655" s="49">
        <f>IF($A$4+296&gt;$B$4,"",$A$4+296)</f>
        <v>46319</v>
      </c>
      <c r="N29655">
        <f>IF(M29655="","",'Master Barang'!A49)</f>
        <v>0</v>
      </c>
      <c r="O29655">
        <f>IF(N29655="","",'Master Barang'!B49)</f>
        <v>0</v>
      </c>
      <c r="P29655">
        <f>IF(OR(M29655="",N29655=""),"",SUMIFS('Barang Keluar'!$E:$E,'Barang Keluar'!$A:$A,M29655,'Barang Keluar'!$C:$C,N29655))</f>
        <v>0</v>
      </c>
    </row>
    <row r="29656" spans="13:16">
      <c r="M29656" s="49">
        <f>IF($A$4+296&gt;$B$4,"",$A$4+296)</f>
        <v>46319</v>
      </c>
      <c r="N29656">
        <f>IF(M29656="","",'Master Barang'!A50)</f>
        <v>0</v>
      </c>
      <c r="O29656">
        <f>IF(N29656="","",'Master Barang'!B50)</f>
        <v>0</v>
      </c>
      <c r="P29656">
        <f>IF(OR(M29656="",N29656=""),"",SUMIFS('Barang Keluar'!$E:$E,'Barang Keluar'!$A:$A,M29656,'Barang Keluar'!$C:$C,N29656))</f>
        <v>0</v>
      </c>
    </row>
    <row r="29657" spans="13:16">
      <c r="M29657" s="49">
        <f>IF($A$4+296&gt;$B$4,"",$A$4+296)</f>
        <v>46319</v>
      </c>
      <c r="N29657">
        <f>IF(M29657="","",'Master Barang'!A51)</f>
        <v>0</v>
      </c>
      <c r="O29657">
        <f>IF(N29657="","",'Master Barang'!B51)</f>
        <v>0</v>
      </c>
      <c r="P29657">
        <f>IF(OR(M29657="",N29657=""),"",SUMIFS('Barang Keluar'!$E:$E,'Barang Keluar'!$A:$A,M29657,'Barang Keluar'!$C:$C,N29657))</f>
        <v>0</v>
      </c>
    </row>
    <row r="29658" spans="13:16">
      <c r="M29658" s="49">
        <f>IF($A$4+296&gt;$B$4,"",$A$4+296)</f>
        <v>46319</v>
      </c>
      <c r="N29658">
        <f>IF(M29658="","",'Master Barang'!A52)</f>
        <v>0</v>
      </c>
      <c r="O29658">
        <f>IF(N29658="","",'Master Barang'!B52)</f>
        <v>0</v>
      </c>
      <c r="P29658">
        <f>IF(OR(M29658="",N29658=""),"",SUMIFS('Barang Keluar'!$E:$E,'Barang Keluar'!$A:$A,M29658,'Barang Keluar'!$C:$C,N29658))</f>
        <v>0</v>
      </c>
    </row>
    <row r="29659" spans="13:16">
      <c r="M29659" s="49">
        <f>IF($A$4+296&gt;$B$4,"",$A$4+296)</f>
        <v>46319</v>
      </c>
      <c r="N29659">
        <f>IF(M29659="","",'Master Barang'!A53)</f>
        <v>0</v>
      </c>
      <c r="O29659">
        <f>IF(N29659="","",'Master Barang'!B53)</f>
        <v>0</v>
      </c>
      <c r="P29659">
        <f>IF(OR(M29659="",N29659=""),"",SUMIFS('Barang Keluar'!$E:$E,'Barang Keluar'!$A:$A,M29659,'Barang Keluar'!$C:$C,N29659))</f>
        <v>0</v>
      </c>
    </row>
    <row r="29660" spans="13:16">
      <c r="M29660" s="49">
        <f>IF($A$4+296&gt;$B$4,"",$A$4+296)</f>
        <v>46319</v>
      </c>
      <c r="N29660">
        <f>IF(M29660="","",'Master Barang'!A54)</f>
        <v>0</v>
      </c>
      <c r="O29660">
        <f>IF(N29660="","",'Master Barang'!B54)</f>
        <v>0</v>
      </c>
      <c r="P29660">
        <f>IF(OR(M29660="",N29660=""),"",SUMIFS('Barang Keluar'!$E:$E,'Barang Keluar'!$A:$A,M29660,'Barang Keluar'!$C:$C,N29660))</f>
        <v>0</v>
      </c>
    </row>
    <row r="29661" spans="13:16">
      <c r="M29661" s="49">
        <f>IF($A$4+296&gt;$B$4,"",$A$4+296)</f>
        <v>46319</v>
      </c>
      <c r="N29661">
        <f>IF(M29661="","",'Master Barang'!A55)</f>
        <v>0</v>
      </c>
      <c r="O29661">
        <f>IF(N29661="","",'Master Barang'!B55)</f>
        <v>0</v>
      </c>
      <c r="P29661">
        <f>IF(OR(M29661="",N29661=""),"",SUMIFS('Barang Keluar'!$E:$E,'Barang Keluar'!$A:$A,M29661,'Barang Keluar'!$C:$C,N29661))</f>
        <v>0</v>
      </c>
    </row>
    <row r="29662" spans="13:16">
      <c r="M29662" s="49">
        <f>IF($A$4+296&gt;$B$4,"",$A$4+296)</f>
        <v>46319</v>
      </c>
      <c r="N29662">
        <f>IF(M29662="","",'Master Barang'!A56)</f>
        <v>0</v>
      </c>
      <c r="O29662">
        <f>IF(N29662="","",'Master Barang'!B56)</f>
        <v>0</v>
      </c>
      <c r="P29662">
        <f>IF(OR(M29662="",N29662=""),"",SUMIFS('Barang Keluar'!$E:$E,'Barang Keluar'!$A:$A,M29662,'Barang Keluar'!$C:$C,N29662))</f>
        <v>0</v>
      </c>
    </row>
    <row r="29663" spans="13:16">
      <c r="M29663" s="49">
        <f>IF($A$4+296&gt;$B$4,"",$A$4+296)</f>
        <v>46319</v>
      </c>
      <c r="N29663">
        <f>IF(M29663="","",'Master Barang'!A57)</f>
        <v>0</v>
      </c>
      <c r="O29663">
        <f>IF(N29663="","",'Master Barang'!B57)</f>
        <v>0</v>
      </c>
      <c r="P29663">
        <f>IF(OR(M29663="",N29663=""),"",SUMIFS('Barang Keluar'!$E:$E,'Barang Keluar'!$A:$A,M29663,'Barang Keluar'!$C:$C,N29663))</f>
        <v>0</v>
      </c>
    </row>
    <row r="29664" spans="13:16">
      <c r="M29664" s="49">
        <f>IF($A$4+296&gt;$B$4,"",$A$4+296)</f>
        <v>46319</v>
      </c>
      <c r="N29664">
        <f>IF(M29664="","",'Master Barang'!A58)</f>
        <v>0</v>
      </c>
      <c r="O29664">
        <f>IF(N29664="","",'Master Barang'!B58)</f>
        <v>0</v>
      </c>
      <c r="P29664">
        <f>IF(OR(M29664="",N29664=""),"",SUMIFS('Barang Keluar'!$E:$E,'Barang Keluar'!$A:$A,M29664,'Barang Keluar'!$C:$C,N29664))</f>
        <v>0</v>
      </c>
    </row>
    <row r="29665" spans="13:16">
      <c r="M29665" s="49">
        <f>IF($A$4+296&gt;$B$4,"",$A$4+296)</f>
        <v>46319</v>
      </c>
      <c r="N29665">
        <f>IF(M29665="","",'Master Barang'!A59)</f>
        <v>0</v>
      </c>
      <c r="O29665">
        <f>IF(N29665="","",'Master Barang'!B59)</f>
        <v>0</v>
      </c>
      <c r="P29665">
        <f>IF(OR(M29665="",N29665=""),"",SUMIFS('Barang Keluar'!$E:$E,'Barang Keluar'!$A:$A,M29665,'Barang Keluar'!$C:$C,N29665))</f>
        <v>0</v>
      </c>
    </row>
    <row r="29666" spans="13:16">
      <c r="M29666" s="49">
        <f>IF($A$4+296&gt;$B$4,"",$A$4+296)</f>
        <v>46319</v>
      </c>
      <c r="N29666">
        <f>IF(M29666="","",'Master Barang'!A60)</f>
        <v>0</v>
      </c>
      <c r="O29666">
        <f>IF(N29666="","",'Master Barang'!B60)</f>
        <v>0</v>
      </c>
      <c r="P29666">
        <f>IF(OR(M29666="",N29666=""),"",SUMIFS('Barang Keluar'!$E:$E,'Barang Keluar'!$A:$A,M29666,'Barang Keluar'!$C:$C,N29666))</f>
        <v>0</v>
      </c>
    </row>
    <row r="29667" spans="13:16">
      <c r="M29667" s="49">
        <f>IF($A$4+296&gt;$B$4,"",$A$4+296)</f>
        <v>46319</v>
      </c>
      <c r="N29667">
        <f>IF(M29667="","",'Master Barang'!A61)</f>
        <v>0</v>
      </c>
      <c r="O29667">
        <f>IF(N29667="","",'Master Barang'!B61)</f>
        <v>0</v>
      </c>
      <c r="P29667">
        <f>IF(OR(M29667="",N29667=""),"",SUMIFS('Barang Keluar'!$E:$E,'Barang Keluar'!$A:$A,M29667,'Barang Keluar'!$C:$C,N29667))</f>
        <v>0</v>
      </c>
    </row>
    <row r="29668" spans="13:16">
      <c r="M29668" s="49">
        <f>IF($A$4+296&gt;$B$4,"",$A$4+296)</f>
        <v>46319</v>
      </c>
      <c r="N29668">
        <f>IF(M29668="","",'Master Barang'!A62)</f>
        <v>0</v>
      </c>
      <c r="O29668">
        <f>IF(N29668="","",'Master Barang'!B62)</f>
        <v>0</v>
      </c>
      <c r="P29668">
        <f>IF(OR(M29668="",N29668=""),"",SUMIFS('Barang Keluar'!$E:$E,'Barang Keluar'!$A:$A,M29668,'Barang Keluar'!$C:$C,N29668))</f>
        <v>0</v>
      </c>
    </row>
    <row r="29669" spans="13:16">
      <c r="M29669" s="49">
        <f>IF($A$4+296&gt;$B$4,"",$A$4+296)</f>
        <v>46319</v>
      </c>
      <c r="N29669">
        <f>IF(M29669="","",'Master Barang'!A63)</f>
        <v>0</v>
      </c>
      <c r="O29669">
        <f>IF(N29669="","",'Master Barang'!B63)</f>
        <v>0</v>
      </c>
      <c r="P29669">
        <f>IF(OR(M29669="",N29669=""),"",SUMIFS('Barang Keluar'!$E:$E,'Barang Keluar'!$A:$A,M29669,'Barang Keluar'!$C:$C,N29669))</f>
        <v>0</v>
      </c>
    </row>
    <row r="29670" spans="13:16">
      <c r="M29670" s="49">
        <f>IF($A$4+296&gt;$B$4,"",$A$4+296)</f>
        <v>46319</v>
      </c>
      <c r="N29670">
        <f>IF(M29670="","",'Master Barang'!A64)</f>
        <v>0</v>
      </c>
      <c r="O29670">
        <f>IF(N29670="","",'Master Barang'!B64)</f>
        <v>0</v>
      </c>
      <c r="P29670">
        <f>IF(OR(M29670="",N29670=""),"",SUMIFS('Barang Keluar'!$E:$E,'Barang Keluar'!$A:$A,M29670,'Barang Keluar'!$C:$C,N29670))</f>
        <v>0</v>
      </c>
    </row>
    <row r="29671" spans="13:16">
      <c r="M29671" s="49">
        <f>IF($A$4+296&gt;$B$4,"",$A$4+296)</f>
        <v>46319</v>
      </c>
      <c r="N29671">
        <f>IF(M29671="","",'Master Barang'!A65)</f>
        <v>0</v>
      </c>
      <c r="O29671">
        <f>IF(N29671="","",'Master Barang'!B65)</f>
        <v>0</v>
      </c>
      <c r="P29671">
        <f>IF(OR(M29671="",N29671=""),"",SUMIFS('Barang Keluar'!$E:$E,'Barang Keluar'!$A:$A,M29671,'Barang Keluar'!$C:$C,N29671))</f>
        <v>0</v>
      </c>
    </row>
    <row r="29672" spans="13:16">
      <c r="M29672" s="49">
        <f>IF($A$4+296&gt;$B$4,"",$A$4+296)</f>
        <v>46319</v>
      </c>
      <c r="N29672">
        <f>IF(M29672="","",'Master Barang'!A66)</f>
        <v>0</v>
      </c>
      <c r="O29672">
        <f>IF(N29672="","",'Master Barang'!B66)</f>
        <v>0</v>
      </c>
      <c r="P29672">
        <f>IF(OR(M29672="",N29672=""),"",SUMIFS('Barang Keluar'!$E:$E,'Barang Keluar'!$A:$A,M29672,'Barang Keluar'!$C:$C,N29672))</f>
        <v>0</v>
      </c>
    </row>
    <row r="29673" spans="13:16">
      <c r="M29673" s="49">
        <f>IF($A$4+296&gt;$B$4,"",$A$4+296)</f>
        <v>46319</v>
      </c>
      <c r="N29673">
        <f>IF(M29673="","",'Master Barang'!A67)</f>
        <v>0</v>
      </c>
      <c r="O29673">
        <f>IF(N29673="","",'Master Barang'!B67)</f>
        <v>0</v>
      </c>
      <c r="P29673">
        <f>IF(OR(M29673="",N29673=""),"",SUMIFS('Barang Keluar'!$E:$E,'Barang Keluar'!$A:$A,M29673,'Barang Keluar'!$C:$C,N29673))</f>
        <v>0</v>
      </c>
    </row>
    <row r="29674" spans="13:16">
      <c r="M29674" s="49">
        <f>IF($A$4+296&gt;$B$4,"",$A$4+296)</f>
        <v>46319</v>
      </c>
      <c r="N29674">
        <f>IF(M29674="","",'Master Barang'!A68)</f>
        <v>0</v>
      </c>
      <c r="O29674">
        <f>IF(N29674="","",'Master Barang'!B68)</f>
        <v>0</v>
      </c>
      <c r="P29674">
        <f>IF(OR(M29674="",N29674=""),"",SUMIFS('Barang Keluar'!$E:$E,'Barang Keluar'!$A:$A,M29674,'Barang Keluar'!$C:$C,N29674))</f>
        <v>0</v>
      </c>
    </row>
    <row r="29675" spans="13:16">
      <c r="M29675" s="49">
        <f>IF($A$4+296&gt;$B$4,"",$A$4+296)</f>
        <v>46319</v>
      </c>
      <c r="N29675">
        <f>IF(M29675="","",'Master Barang'!A69)</f>
        <v>0</v>
      </c>
      <c r="O29675">
        <f>IF(N29675="","",'Master Barang'!B69)</f>
        <v>0</v>
      </c>
      <c r="P29675">
        <f>IF(OR(M29675="",N29675=""),"",SUMIFS('Barang Keluar'!$E:$E,'Barang Keluar'!$A:$A,M29675,'Barang Keluar'!$C:$C,N29675))</f>
        <v>0</v>
      </c>
    </row>
    <row r="29676" spans="13:16">
      <c r="M29676" s="49">
        <f>IF($A$4+296&gt;$B$4,"",$A$4+296)</f>
        <v>46319</v>
      </c>
      <c r="N29676">
        <f>IF(M29676="","",'Master Barang'!A70)</f>
        <v>0</v>
      </c>
      <c r="O29676">
        <f>IF(N29676="","",'Master Barang'!B70)</f>
        <v>0</v>
      </c>
      <c r="P29676">
        <f>IF(OR(M29676="",N29676=""),"",SUMIFS('Barang Keluar'!$E:$E,'Barang Keluar'!$A:$A,M29676,'Barang Keluar'!$C:$C,N29676))</f>
        <v>0</v>
      </c>
    </row>
    <row r="29677" spans="13:16">
      <c r="M29677" s="49">
        <f>IF($A$4+296&gt;$B$4,"",$A$4+296)</f>
        <v>46319</v>
      </c>
      <c r="N29677">
        <f>IF(M29677="","",'Master Barang'!A71)</f>
        <v>0</v>
      </c>
      <c r="O29677">
        <f>IF(N29677="","",'Master Barang'!B71)</f>
        <v>0</v>
      </c>
      <c r="P29677">
        <f>IF(OR(M29677="",N29677=""),"",SUMIFS('Barang Keluar'!$E:$E,'Barang Keluar'!$A:$A,M29677,'Barang Keluar'!$C:$C,N29677))</f>
        <v>0</v>
      </c>
    </row>
    <row r="29678" spans="13:16">
      <c r="M29678" s="49">
        <f>IF($A$4+296&gt;$B$4,"",$A$4+296)</f>
        <v>46319</v>
      </c>
      <c r="N29678">
        <f>IF(M29678="","",'Master Barang'!A72)</f>
        <v>0</v>
      </c>
      <c r="O29678">
        <f>IF(N29678="","",'Master Barang'!B72)</f>
        <v>0</v>
      </c>
      <c r="P29678">
        <f>IF(OR(M29678="",N29678=""),"",SUMIFS('Barang Keluar'!$E:$E,'Barang Keluar'!$A:$A,M29678,'Barang Keluar'!$C:$C,N29678))</f>
        <v>0</v>
      </c>
    </row>
    <row r="29679" spans="13:16">
      <c r="M29679" s="49">
        <f>IF($A$4+296&gt;$B$4,"",$A$4+296)</f>
        <v>46319</v>
      </c>
      <c r="N29679">
        <f>IF(M29679="","",'Master Barang'!A73)</f>
        <v>0</v>
      </c>
      <c r="O29679">
        <f>IF(N29679="","",'Master Barang'!B73)</f>
        <v>0</v>
      </c>
      <c r="P29679">
        <f>IF(OR(M29679="",N29679=""),"",SUMIFS('Barang Keluar'!$E:$E,'Barang Keluar'!$A:$A,M29679,'Barang Keluar'!$C:$C,N29679))</f>
        <v>0</v>
      </c>
    </row>
    <row r="29680" spans="13:16">
      <c r="M29680" s="49">
        <f>IF($A$4+296&gt;$B$4,"",$A$4+296)</f>
        <v>46319</v>
      </c>
      <c r="N29680">
        <f>IF(M29680="","",'Master Barang'!A74)</f>
        <v>0</v>
      </c>
      <c r="O29680">
        <f>IF(N29680="","",'Master Barang'!B74)</f>
        <v>0</v>
      </c>
      <c r="P29680">
        <f>IF(OR(M29680="",N29680=""),"",SUMIFS('Barang Keluar'!$E:$E,'Barang Keluar'!$A:$A,M29680,'Barang Keluar'!$C:$C,N29680))</f>
        <v>0</v>
      </c>
    </row>
    <row r="29681" spans="13:16">
      <c r="M29681" s="49">
        <f>IF($A$4+296&gt;$B$4,"",$A$4+296)</f>
        <v>46319</v>
      </c>
      <c r="N29681">
        <f>IF(M29681="","",'Master Barang'!A75)</f>
        <v>0</v>
      </c>
      <c r="O29681">
        <f>IF(N29681="","",'Master Barang'!B75)</f>
        <v>0</v>
      </c>
      <c r="P29681">
        <f>IF(OR(M29681="",N29681=""),"",SUMIFS('Barang Keluar'!$E:$E,'Barang Keluar'!$A:$A,M29681,'Barang Keluar'!$C:$C,N29681))</f>
        <v>0</v>
      </c>
    </row>
    <row r="29682" spans="13:16">
      <c r="M29682" s="49">
        <f>IF($A$4+296&gt;$B$4,"",$A$4+296)</f>
        <v>46319</v>
      </c>
      <c r="N29682">
        <f>IF(M29682="","",'Master Barang'!A76)</f>
        <v>0</v>
      </c>
      <c r="O29682">
        <f>IF(N29682="","",'Master Barang'!B76)</f>
        <v>0</v>
      </c>
      <c r="P29682">
        <f>IF(OR(M29682="",N29682=""),"",SUMIFS('Barang Keluar'!$E:$E,'Barang Keluar'!$A:$A,M29682,'Barang Keluar'!$C:$C,N29682))</f>
        <v>0</v>
      </c>
    </row>
    <row r="29683" spans="13:16">
      <c r="M29683" s="49">
        <f>IF($A$4+296&gt;$B$4,"",$A$4+296)</f>
        <v>46319</v>
      </c>
      <c r="N29683">
        <f>IF(M29683="","",'Master Barang'!A77)</f>
        <v>0</v>
      </c>
      <c r="O29683">
        <f>IF(N29683="","",'Master Barang'!B77)</f>
        <v>0</v>
      </c>
      <c r="P29683">
        <f>IF(OR(M29683="",N29683=""),"",SUMIFS('Barang Keluar'!$E:$E,'Barang Keluar'!$A:$A,M29683,'Barang Keluar'!$C:$C,N29683))</f>
        <v>0</v>
      </c>
    </row>
    <row r="29684" spans="13:16">
      <c r="M29684" s="49">
        <f>IF($A$4+296&gt;$B$4,"",$A$4+296)</f>
        <v>46319</v>
      </c>
      <c r="N29684">
        <f>IF(M29684="","",'Master Barang'!A78)</f>
        <v>0</v>
      </c>
      <c r="O29684">
        <f>IF(N29684="","",'Master Barang'!B78)</f>
        <v>0</v>
      </c>
      <c r="P29684">
        <f>IF(OR(M29684="",N29684=""),"",SUMIFS('Barang Keluar'!$E:$E,'Barang Keluar'!$A:$A,M29684,'Barang Keluar'!$C:$C,N29684))</f>
        <v>0</v>
      </c>
    </row>
    <row r="29685" spans="13:16">
      <c r="M29685" s="49">
        <f>IF($A$4+296&gt;$B$4,"",$A$4+296)</f>
        <v>46319</v>
      </c>
      <c r="N29685">
        <f>IF(M29685="","",'Master Barang'!A79)</f>
        <v>0</v>
      </c>
      <c r="O29685">
        <f>IF(N29685="","",'Master Barang'!B79)</f>
        <v>0</v>
      </c>
      <c r="P29685">
        <f>IF(OR(M29685="",N29685=""),"",SUMIFS('Barang Keluar'!$E:$E,'Barang Keluar'!$A:$A,M29685,'Barang Keluar'!$C:$C,N29685))</f>
        <v>0</v>
      </c>
    </row>
    <row r="29686" spans="13:16">
      <c r="M29686" s="49">
        <f>IF($A$4+296&gt;$B$4,"",$A$4+296)</f>
        <v>46319</v>
      </c>
      <c r="N29686">
        <f>IF(M29686="","",'Master Barang'!A80)</f>
        <v>0</v>
      </c>
      <c r="O29686">
        <f>IF(N29686="","",'Master Barang'!B80)</f>
        <v>0</v>
      </c>
      <c r="P29686">
        <f>IF(OR(M29686="",N29686=""),"",SUMIFS('Barang Keluar'!$E:$E,'Barang Keluar'!$A:$A,M29686,'Barang Keluar'!$C:$C,N29686))</f>
        <v>0</v>
      </c>
    </row>
    <row r="29687" spans="13:16">
      <c r="M29687" s="49">
        <f>IF($A$4+296&gt;$B$4,"",$A$4+296)</f>
        <v>46319</v>
      </c>
      <c r="N29687">
        <f>IF(M29687="","",'Master Barang'!A81)</f>
        <v>0</v>
      </c>
      <c r="O29687">
        <f>IF(N29687="","",'Master Barang'!B81)</f>
        <v>0</v>
      </c>
      <c r="P29687">
        <f>IF(OR(M29687="",N29687=""),"",SUMIFS('Barang Keluar'!$E:$E,'Barang Keluar'!$A:$A,M29687,'Barang Keluar'!$C:$C,N29687))</f>
        <v>0</v>
      </c>
    </row>
    <row r="29688" spans="13:16">
      <c r="M29688" s="49">
        <f>IF($A$4+296&gt;$B$4,"",$A$4+296)</f>
        <v>46319</v>
      </c>
      <c r="N29688">
        <f>IF(M29688="","",'Master Barang'!A82)</f>
        <v>0</v>
      </c>
      <c r="O29688">
        <f>IF(N29688="","",'Master Barang'!B82)</f>
        <v>0</v>
      </c>
      <c r="P29688">
        <f>IF(OR(M29688="",N29688=""),"",SUMIFS('Barang Keluar'!$E:$E,'Barang Keluar'!$A:$A,M29688,'Barang Keluar'!$C:$C,N29688))</f>
        <v>0</v>
      </c>
    </row>
    <row r="29689" spans="13:16">
      <c r="M29689" s="49">
        <f>IF($A$4+296&gt;$B$4,"",$A$4+296)</f>
        <v>46319</v>
      </c>
      <c r="N29689">
        <f>IF(M29689="","",'Master Barang'!A83)</f>
        <v>0</v>
      </c>
      <c r="O29689">
        <f>IF(N29689="","",'Master Barang'!B83)</f>
        <v>0</v>
      </c>
      <c r="P29689">
        <f>IF(OR(M29689="",N29689=""),"",SUMIFS('Barang Keluar'!$E:$E,'Barang Keluar'!$A:$A,M29689,'Barang Keluar'!$C:$C,N29689))</f>
        <v>0</v>
      </c>
    </row>
    <row r="29690" spans="13:16">
      <c r="M29690" s="49">
        <f>IF($A$4+296&gt;$B$4,"",$A$4+296)</f>
        <v>46319</v>
      </c>
      <c r="N29690">
        <f>IF(M29690="","",'Master Barang'!A84)</f>
        <v>0</v>
      </c>
      <c r="O29690">
        <f>IF(N29690="","",'Master Barang'!B84)</f>
        <v>0</v>
      </c>
      <c r="P29690">
        <f>IF(OR(M29690="",N29690=""),"",SUMIFS('Barang Keluar'!$E:$E,'Barang Keluar'!$A:$A,M29690,'Barang Keluar'!$C:$C,N29690))</f>
        <v>0</v>
      </c>
    </row>
    <row r="29691" spans="13:16">
      <c r="M29691" s="49">
        <f>IF($A$4+296&gt;$B$4,"",$A$4+296)</f>
        <v>46319</v>
      </c>
      <c r="N29691">
        <f>IF(M29691="","",'Master Barang'!A85)</f>
        <v>0</v>
      </c>
      <c r="O29691">
        <f>IF(N29691="","",'Master Barang'!B85)</f>
        <v>0</v>
      </c>
      <c r="P29691">
        <f>IF(OR(M29691="",N29691=""),"",SUMIFS('Barang Keluar'!$E:$E,'Barang Keluar'!$A:$A,M29691,'Barang Keluar'!$C:$C,N29691))</f>
        <v>0</v>
      </c>
    </row>
    <row r="29692" spans="13:16">
      <c r="M29692" s="49">
        <f>IF($A$4+296&gt;$B$4,"",$A$4+296)</f>
        <v>46319</v>
      </c>
      <c r="N29692">
        <f>IF(M29692="","",'Master Barang'!A86)</f>
        <v>0</v>
      </c>
      <c r="O29692">
        <f>IF(N29692="","",'Master Barang'!B86)</f>
        <v>0</v>
      </c>
      <c r="P29692">
        <f>IF(OR(M29692="",N29692=""),"",SUMIFS('Barang Keluar'!$E:$E,'Barang Keluar'!$A:$A,M29692,'Barang Keluar'!$C:$C,N29692))</f>
        <v>0</v>
      </c>
    </row>
    <row r="29693" spans="13:16">
      <c r="M29693" s="49">
        <f>IF($A$4+296&gt;$B$4,"",$A$4+296)</f>
        <v>46319</v>
      </c>
      <c r="N29693">
        <f>IF(M29693="","",'Master Barang'!A87)</f>
        <v>0</v>
      </c>
      <c r="O29693">
        <f>IF(N29693="","",'Master Barang'!B87)</f>
        <v>0</v>
      </c>
      <c r="P29693">
        <f>IF(OR(M29693="",N29693=""),"",SUMIFS('Barang Keluar'!$E:$E,'Barang Keluar'!$A:$A,M29693,'Barang Keluar'!$C:$C,N29693))</f>
        <v>0</v>
      </c>
    </row>
    <row r="29694" spans="13:16">
      <c r="M29694" s="49">
        <f>IF($A$4+296&gt;$B$4,"",$A$4+296)</f>
        <v>46319</v>
      </c>
      <c r="N29694">
        <f>IF(M29694="","",'Master Barang'!A88)</f>
        <v>0</v>
      </c>
      <c r="O29694">
        <f>IF(N29694="","",'Master Barang'!B88)</f>
        <v>0</v>
      </c>
      <c r="P29694">
        <f>IF(OR(M29694="",N29694=""),"",SUMIFS('Barang Keluar'!$E:$E,'Barang Keluar'!$A:$A,M29694,'Barang Keluar'!$C:$C,N29694))</f>
        <v>0</v>
      </c>
    </row>
    <row r="29695" spans="13:16">
      <c r="M29695" s="49">
        <f>IF($A$4+296&gt;$B$4,"",$A$4+296)</f>
        <v>46319</v>
      </c>
      <c r="N29695">
        <f>IF(M29695="","",'Master Barang'!A89)</f>
        <v>0</v>
      </c>
      <c r="O29695">
        <f>IF(N29695="","",'Master Barang'!B89)</f>
        <v>0</v>
      </c>
      <c r="P29695">
        <f>IF(OR(M29695="",N29695=""),"",SUMIFS('Barang Keluar'!$E:$E,'Barang Keluar'!$A:$A,M29695,'Barang Keluar'!$C:$C,N29695))</f>
        <v>0</v>
      </c>
    </row>
    <row r="29696" spans="13:16">
      <c r="M29696" s="49">
        <f>IF($A$4+296&gt;$B$4,"",$A$4+296)</f>
        <v>46319</v>
      </c>
      <c r="N29696">
        <f>IF(M29696="","",'Master Barang'!A90)</f>
        <v>0</v>
      </c>
      <c r="O29696">
        <f>IF(N29696="","",'Master Barang'!B90)</f>
        <v>0</v>
      </c>
      <c r="P29696">
        <f>IF(OR(M29696="",N29696=""),"",SUMIFS('Barang Keluar'!$E:$E,'Barang Keluar'!$A:$A,M29696,'Barang Keluar'!$C:$C,N29696))</f>
        <v>0</v>
      </c>
    </row>
    <row r="29697" spans="13:16">
      <c r="M29697" s="49">
        <f>IF($A$4+296&gt;$B$4,"",$A$4+296)</f>
        <v>46319</v>
      </c>
      <c r="N29697">
        <f>IF(M29697="","",'Master Barang'!A91)</f>
        <v>0</v>
      </c>
      <c r="O29697">
        <f>IF(N29697="","",'Master Barang'!B91)</f>
        <v>0</v>
      </c>
      <c r="P29697">
        <f>IF(OR(M29697="",N29697=""),"",SUMIFS('Barang Keluar'!$E:$E,'Barang Keluar'!$A:$A,M29697,'Barang Keluar'!$C:$C,N29697))</f>
        <v>0</v>
      </c>
    </row>
    <row r="29698" spans="13:16">
      <c r="M29698" s="49">
        <f>IF($A$4+296&gt;$B$4,"",$A$4+296)</f>
        <v>46319</v>
      </c>
      <c r="N29698">
        <f>IF(M29698="","",'Master Barang'!A92)</f>
        <v>0</v>
      </c>
      <c r="O29698">
        <f>IF(N29698="","",'Master Barang'!B92)</f>
        <v>0</v>
      </c>
      <c r="P29698">
        <f>IF(OR(M29698="",N29698=""),"",SUMIFS('Barang Keluar'!$E:$E,'Barang Keluar'!$A:$A,M29698,'Barang Keluar'!$C:$C,N29698))</f>
        <v>0</v>
      </c>
    </row>
    <row r="29699" spans="13:16">
      <c r="M29699" s="49">
        <f>IF($A$4+296&gt;$B$4,"",$A$4+296)</f>
        <v>46319</v>
      </c>
      <c r="N29699">
        <f>IF(M29699="","",'Master Barang'!A93)</f>
        <v>0</v>
      </c>
      <c r="O29699">
        <f>IF(N29699="","",'Master Barang'!B93)</f>
        <v>0</v>
      </c>
      <c r="P29699">
        <f>IF(OR(M29699="",N29699=""),"",SUMIFS('Barang Keluar'!$E:$E,'Barang Keluar'!$A:$A,M29699,'Barang Keluar'!$C:$C,N29699))</f>
        <v>0</v>
      </c>
    </row>
    <row r="29700" spans="13:16">
      <c r="M29700" s="49">
        <f>IF($A$4+296&gt;$B$4,"",$A$4+296)</f>
        <v>46319</v>
      </c>
      <c r="N29700">
        <f>IF(M29700="","",'Master Barang'!A94)</f>
        <v>0</v>
      </c>
      <c r="O29700">
        <f>IF(N29700="","",'Master Barang'!B94)</f>
        <v>0</v>
      </c>
      <c r="P29700">
        <f>IF(OR(M29700="",N29700=""),"",SUMIFS('Barang Keluar'!$E:$E,'Barang Keluar'!$A:$A,M29700,'Barang Keluar'!$C:$C,N29700))</f>
        <v>0</v>
      </c>
    </row>
    <row r="29701" spans="13:16">
      <c r="M29701" s="49">
        <f>IF($A$4+296&gt;$B$4,"",$A$4+296)</f>
        <v>46319</v>
      </c>
      <c r="N29701">
        <f>IF(M29701="","",'Master Barang'!A95)</f>
        <v>0</v>
      </c>
      <c r="O29701">
        <f>IF(N29701="","",'Master Barang'!B95)</f>
        <v>0</v>
      </c>
      <c r="P29701">
        <f>IF(OR(M29701="",N29701=""),"",SUMIFS('Barang Keluar'!$E:$E,'Barang Keluar'!$A:$A,M29701,'Barang Keluar'!$C:$C,N29701))</f>
        <v>0</v>
      </c>
    </row>
    <row r="29702" spans="13:16">
      <c r="M29702" s="49">
        <f>IF($A$4+296&gt;$B$4,"",$A$4+296)</f>
        <v>46319</v>
      </c>
      <c r="N29702">
        <f>IF(M29702="","",'Master Barang'!A96)</f>
        <v>0</v>
      </c>
      <c r="O29702">
        <f>IF(N29702="","",'Master Barang'!B96)</f>
        <v>0</v>
      </c>
      <c r="P29702">
        <f>IF(OR(M29702="",N29702=""),"",SUMIFS('Barang Keluar'!$E:$E,'Barang Keluar'!$A:$A,M29702,'Barang Keluar'!$C:$C,N29702))</f>
        <v>0</v>
      </c>
    </row>
    <row r="29703" spans="13:16">
      <c r="M29703" s="49">
        <f>IF($A$4+296&gt;$B$4,"",$A$4+296)</f>
        <v>46319</v>
      </c>
      <c r="N29703">
        <f>IF(M29703="","",'Master Barang'!A97)</f>
        <v>0</v>
      </c>
      <c r="O29703">
        <f>IF(N29703="","",'Master Barang'!B97)</f>
        <v>0</v>
      </c>
      <c r="P29703">
        <f>IF(OR(M29703="",N29703=""),"",SUMIFS('Barang Keluar'!$E:$E,'Barang Keluar'!$A:$A,M29703,'Barang Keluar'!$C:$C,N29703))</f>
        <v>0</v>
      </c>
    </row>
    <row r="29704" spans="13:16">
      <c r="M29704" s="49">
        <f>IF($A$4+296&gt;$B$4,"",$A$4+296)</f>
        <v>46319</v>
      </c>
      <c r="N29704">
        <f>IF(M29704="","",'Master Barang'!A98)</f>
        <v>0</v>
      </c>
      <c r="O29704">
        <f>IF(N29704="","",'Master Barang'!B98)</f>
        <v>0</v>
      </c>
      <c r="P29704">
        <f>IF(OR(M29704="",N29704=""),"",SUMIFS('Barang Keluar'!$E:$E,'Barang Keluar'!$A:$A,M29704,'Barang Keluar'!$C:$C,N29704))</f>
        <v>0</v>
      </c>
    </row>
    <row r="29705" spans="13:16">
      <c r="M29705" s="49">
        <f>IF($A$4+296&gt;$B$4,"",$A$4+296)</f>
        <v>46319</v>
      </c>
      <c r="N29705">
        <f>IF(M29705="","",'Master Barang'!A99)</f>
        <v>0</v>
      </c>
      <c r="O29705">
        <f>IF(N29705="","",'Master Barang'!B99)</f>
        <v>0</v>
      </c>
      <c r="P29705">
        <f>IF(OR(M29705="",N29705=""),"",SUMIFS('Barang Keluar'!$E:$E,'Barang Keluar'!$A:$A,M29705,'Barang Keluar'!$C:$C,N29705))</f>
        <v>0</v>
      </c>
    </row>
    <row r="29706" spans="13:16">
      <c r="M29706" s="49">
        <f>IF($A$4+296&gt;$B$4,"",$A$4+296)</f>
        <v>46319</v>
      </c>
      <c r="N29706">
        <f>IF(M29706="","",'Master Barang'!A100)</f>
        <v>0</v>
      </c>
      <c r="O29706">
        <f>IF(N29706="","",'Master Barang'!B100)</f>
        <v>0</v>
      </c>
      <c r="P29706">
        <f>IF(OR(M29706="",N29706=""),"",SUMIFS('Barang Keluar'!$E:$E,'Barang Keluar'!$A:$A,M29706,'Barang Keluar'!$C:$C,N29706))</f>
        <v>0</v>
      </c>
    </row>
    <row r="29707" spans="13:16">
      <c r="M29707" s="49">
        <f>IF($A$4+296&gt;$B$4,"",$A$4+296)</f>
        <v>46319</v>
      </c>
      <c r="N29707">
        <f>IF(M29707="","",'Master Barang'!A101)</f>
        <v>0</v>
      </c>
      <c r="O29707">
        <f>IF(N29707="","",'Master Barang'!B101)</f>
        <v>0</v>
      </c>
      <c r="P29707">
        <f>IF(OR(M29707="",N29707=""),"",SUMIFS('Barang Keluar'!$E:$E,'Barang Keluar'!$A:$A,M29707,'Barang Keluar'!$C:$C,N29707))</f>
        <v>0</v>
      </c>
    </row>
    <row r="29708" spans="13:16">
      <c r="M29708" s="49">
        <f>IF($A$4+297&gt;$B$4,"",$A$4+297)</f>
        <v>46320</v>
      </c>
      <c r="N29708" t="str">
        <f>IF(M29708="","",'Master Barang'!A2)</f>
        <v>PRL-001</v>
      </c>
      <c r="O29708" t="str">
        <f>IF(N29708="","",'Master Barang'!B2)</f>
        <v>natura desinfectant food grade 5l</v>
      </c>
      <c r="P29708">
        <f>IF(OR(M29708="",N29708=""),"",SUMIFS('Barang Keluar'!$E:$E,'Barang Keluar'!$A:$A,M29708,'Barang Keluar'!$C:$C,N29708))</f>
        <v>0</v>
      </c>
    </row>
    <row r="29709" spans="13:16">
      <c r="M29709" s="49">
        <f>IF($A$4+297&gt;$B$4,"",$A$4+297)</f>
        <v>46320</v>
      </c>
      <c r="N29709" t="str">
        <f>IF(M29709="","",'Master Barang'!A3)</f>
        <v>PRL-002</v>
      </c>
      <c r="O29709" t="str">
        <f>IF(N29709="","",'Master Barang'!B3)</f>
        <v>sunlight cairan pencuci piring 5l</v>
      </c>
      <c r="P29709">
        <f>IF(OR(M29709="",N29709=""),"",SUMIFS('Barang Keluar'!$E:$E,'Barang Keluar'!$A:$A,M29709,'Barang Keluar'!$C:$C,N29709))</f>
        <v>0</v>
      </c>
    </row>
    <row r="29710" spans="13:16">
      <c r="M29710" s="49">
        <f>IF($A$4+297&gt;$B$4,"",$A$4+297)</f>
        <v>46320</v>
      </c>
      <c r="N29710" t="str">
        <f>IF(M29710="","",'Master Barang'!A4)</f>
        <v>PRL-003</v>
      </c>
      <c r="O29710" t="str">
        <f>IF(N29710="","",'Master Barang'!B4)</f>
        <v>oixs cleaner 1l</v>
      </c>
      <c r="P29710">
        <f>IF(OR(M29710="",N29710=""),"",SUMIFS('Barang Keluar'!$E:$E,'Barang Keluar'!$A:$A,M29710,'Barang Keluar'!$C:$C,N29710))</f>
        <v>0</v>
      </c>
    </row>
    <row r="29711" spans="13:16">
      <c r="M29711" s="49">
        <f>IF($A$4+297&gt;$B$4,"",$A$4+297)</f>
        <v>46320</v>
      </c>
      <c r="N29711" t="str">
        <f>IF(M29711="","",'Master Barang'!A5)</f>
        <v>PRL-004</v>
      </c>
      <c r="O29711" t="str">
        <f>IF(N29711="","",'Master Barang'!B5)</f>
        <v>be clean tissue serbaguna</v>
      </c>
      <c r="P29711">
        <f>IF(OR(M29711="",N29711=""),"",SUMIFS('Barang Keluar'!$E:$E,'Barang Keluar'!$A:$A,M29711,'Barang Keluar'!$C:$C,N29711))</f>
        <v>0</v>
      </c>
    </row>
    <row r="29712" spans="13:16">
      <c r="M29712" s="49">
        <f>IF($A$4+297&gt;$B$4,"",$A$4+297)</f>
        <v>46320</v>
      </c>
      <c r="N29712" t="str">
        <f>IF(M29712="","",'Master Barang'!A6)</f>
        <v>PRL-005</v>
      </c>
      <c r="O29712" t="str">
        <f>IF(N29712="","",'Master Barang'!B6)</f>
        <v>spons cuci hijau</v>
      </c>
      <c r="P29712">
        <f>IF(OR(M29712="",N29712=""),"",SUMIFS('Barang Keluar'!$E:$E,'Barang Keluar'!$A:$A,M29712,'Barang Keluar'!$C:$C,N29712))</f>
        <v>0</v>
      </c>
    </row>
    <row r="29713" spans="13:16">
      <c r="M29713" s="49">
        <f>IF($A$4+297&gt;$B$4,"",$A$4+297)</f>
        <v>46320</v>
      </c>
      <c r="N29713" t="str">
        <f>IF(M29713="","",'Master Barang'!A7)</f>
        <v>PRL-006</v>
      </c>
      <c r="O29713" t="str">
        <f>IF(N29713="","",'Master Barang'!B7)</f>
        <v>sabut cuci stainless</v>
      </c>
      <c r="P29713">
        <f>IF(OR(M29713="",N29713=""),"",SUMIFS('Barang Keluar'!$E:$E,'Barang Keluar'!$A:$A,M29713,'Barang Keluar'!$C:$C,N29713))</f>
        <v>0</v>
      </c>
    </row>
    <row r="29714" spans="13:16">
      <c r="M29714" s="49">
        <f>IF($A$4+297&gt;$B$4,"",$A$4+297)</f>
        <v>46320</v>
      </c>
      <c r="N29714" t="str">
        <f>IF(M29714="","",'Master Barang'!A8)</f>
        <v>PRL-007</v>
      </c>
      <c r="O29714" t="str">
        <f>IF(N29714="","",'Master Barang'!B8)</f>
        <v>plastik kresek besar merah 50pc</v>
      </c>
      <c r="P29714">
        <f>IF(OR(M29714="",N29714=""),"",SUMIFS('Barang Keluar'!$E:$E,'Barang Keluar'!$A:$A,M29714,'Barang Keluar'!$C:$C,N29714))</f>
        <v>0</v>
      </c>
    </row>
    <row r="29715" spans="13:16">
      <c r="M29715" s="49">
        <f>IF($A$4+297&gt;$B$4,"",$A$4+297)</f>
        <v>46320</v>
      </c>
      <c r="N29715" t="str">
        <f>IF(M29715="","",'Master Barang'!A9)</f>
        <v>PRL-008</v>
      </c>
      <c r="O29715" t="str">
        <f>IF(N29715="","",'Master Barang'!B9)</f>
        <v>lap besar</v>
      </c>
      <c r="P29715">
        <f>IF(OR(M29715="",N29715=""),"",SUMIFS('Barang Keluar'!$E:$E,'Barang Keluar'!$A:$A,M29715,'Barang Keluar'!$C:$C,N29715))</f>
        <v>0</v>
      </c>
    </row>
    <row r="29716" spans="13:16">
      <c r="M29716" s="49">
        <f>IF($A$4+297&gt;$B$4,"",$A$4+297)</f>
        <v>46320</v>
      </c>
      <c r="N29716" t="str">
        <f>IF(M29716="","",'Master Barang'!A10)</f>
        <v>PRL-009</v>
      </c>
      <c r="O29716" t="str">
        <f>IF(N29716="","",'Master Barang'!B10)</f>
        <v>lap microfiber</v>
      </c>
      <c r="P29716">
        <f>IF(OR(M29716="",N29716=""),"",SUMIFS('Barang Keluar'!$E:$E,'Barang Keluar'!$A:$A,M29716,'Barang Keluar'!$C:$C,N29716))</f>
        <v>0</v>
      </c>
    </row>
    <row r="29717" spans="13:16">
      <c r="M29717" s="49">
        <f>IF($A$4+297&gt;$B$4,"",$A$4+297)</f>
        <v>46320</v>
      </c>
      <c r="N29717" t="str">
        <f>IF(M29717="","",'Master Barang'!A11)</f>
        <v>PRL-010</v>
      </c>
      <c r="O29717" t="str">
        <f>IF(N29717="","",'Master Barang'!B11)</f>
        <v>lap kecil</v>
      </c>
      <c r="P29717">
        <f>IF(OR(M29717="",N29717=""),"",SUMIFS('Barang Keluar'!$E:$E,'Barang Keluar'!$A:$A,M29717,'Barang Keluar'!$C:$C,N29717))</f>
        <v>0</v>
      </c>
    </row>
    <row r="29718" spans="13:16">
      <c r="M29718" s="49">
        <f>IF($A$4+297&gt;$B$4,"",$A$4+297)</f>
        <v>46320</v>
      </c>
      <c r="N29718" t="str">
        <f>IF(M29718="","",'Master Barang'!A12)</f>
        <v>PRL-011</v>
      </c>
      <c r="O29718" t="str">
        <f>IF(N29718="","",'Master Barang'!B12)</f>
        <v>kanebo kecil</v>
      </c>
      <c r="P29718">
        <f>IF(OR(M29718="",N29718=""),"",SUMIFS('Barang Keluar'!$E:$E,'Barang Keluar'!$A:$A,M29718,'Barang Keluar'!$C:$C,N29718))</f>
        <v>0</v>
      </c>
    </row>
    <row r="29719" spans="13:16">
      <c r="M29719" s="49">
        <f>IF($A$4+297&gt;$B$4,"",$A$4+297)</f>
        <v>46320</v>
      </c>
      <c r="N29719" t="str">
        <f>IF(M29719="","",'Master Barang'!A13)</f>
        <v>PRL-012</v>
      </c>
      <c r="O29719" t="str">
        <f>IF(N29719="","",'Master Barang'!B13)</f>
        <v>plastik 1/4kg joyoboyo 100 lembar</v>
      </c>
      <c r="P29719">
        <f>IF(OR(M29719="",N29719=""),"",SUMIFS('Barang Keluar'!$E:$E,'Barang Keluar'!$A:$A,M29719,'Barang Keluar'!$C:$C,N29719))</f>
        <v>0</v>
      </c>
    </row>
    <row r="29720" spans="13:16">
      <c r="M29720" s="49">
        <f>IF($A$4+297&gt;$B$4,"",$A$4+297)</f>
        <v>46320</v>
      </c>
      <c r="N29720" t="str">
        <f>IF(M29720="","",'Master Barang'!A14)</f>
        <v>PRL-013</v>
      </c>
      <c r="O29720" t="str">
        <f>IF(N29720="","",'Master Barang'!B14)</f>
        <v>sarung tangan plastik kaka 100 pcs</v>
      </c>
      <c r="P29720">
        <f>IF(OR(M29720="",N29720=""),"",SUMIFS('Barang Keluar'!$E:$E,'Barang Keluar'!$A:$A,M29720,'Barang Keluar'!$C:$C,N29720))</f>
        <v>0</v>
      </c>
    </row>
    <row r="29721" spans="13:16">
      <c r="M29721" s="49">
        <f>IF($A$4+297&gt;$B$4,"",$A$4+297)</f>
        <v>46320</v>
      </c>
      <c r="N29721" t="str">
        <f>IF(M29721="","",'Master Barang'!A15)</f>
        <v>PRL-014</v>
      </c>
      <c r="O29721" t="str">
        <f>IF(N29721="","",'Master Barang'!B15)</f>
        <v>optima trashbag 80x100</v>
      </c>
      <c r="P29721">
        <f>IF(OR(M29721="",N29721=""),"",SUMIFS('Barang Keluar'!$E:$E,'Barang Keluar'!$A:$A,M29721,'Barang Keluar'!$C:$C,N29721))</f>
        <v>0</v>
      </c>
    </row>
    <row r="29722" spans="13:16">
      <c r="M29722" s="49">
        <f>IF($A$4+297&gt;$B$4,"",$A$4+297)</f>
        <v>46320</v>
      </c>
      <c r="N29722" t="str">
        <f>IF(M29722="","",'Master Barang'!A16)</f>
        <v>PRL-015</v>
      </c>
      <c r="O29722" t="str">
        <f>IF(N29722="","",'Master Barang'!B16)</f>
        <v>optima trashbag 60x100</v>
      </c>
      <c r="P29722">
        <f>IF(OR(M29722="",N29722=""),"",SUMIFS('Barang Keluar'!$E:$E,'Barang Keluar'!$A:$A,M29722,'Barang Keluar'!$C:$C,N29722))</f>
        <v>0</v>
      </c>
    </row>
    <row r="29723" spans="13:16">
      <c r="M29723" s="49">
        <f>IF($A$4+297&gt;$B$4,"",$A$4+297)</f>
        <v>46320</v>
      </c>
      <c r="N29723" t="str">
        <f>IF(M29723="","",'Master Barang'!A17)</f>
        <v>PRL-016</v>
      </c>
      <c r="O29723" t="str">
        <f>IF(N29723="","",'Master Barang'!B17)</f>
        <v>rajawali trashbag 30x40</v>
      </c>
      <c r="P29723">
        <f>IF(OR(M29723="",N29723=""),"",SUMIFS('Barang Keluar'!$E:$E,'Barang Keluar'!$A:$A,M29723,'Barang Keluar'!$C:$C,N29723))</f>
        <v>0</v>
      </c>
    </row>
    <row r="29724" spans="13:16">
      <c r="M29724" s="49">
        <f>IF($A$4+297&gt;$B$4,"",$A$4+297)</f>
        <v>46320</v>
      </c>
      <c r="N29724" t="str">
        <f>IF(M29724="","",'Master Barang'!A18)</f>
        <v>PRL-017</v>
      </c>
      <c r="O29724" t="str">
        <f>IF(N29724="","",'Master Barang'!B18)</f>
        <v>onemed masker biru 3 play 50 pcs</v>
      </c>
      <c r="P29724">
        <f>IF(OR(M29724="",N29724=""),"",SUMIFS('Barang Keluar'!$E:$E,'Barang Keluar'!$A:$A,M29724,'Barang Keluar'!$C:$C,N29724))</f>
        <v>0</v>
      </c>
    </row>
    <row r="29725" spans="13:16">
      <c r="M29725" s="49">
        <f>IF($A$4+297&gt;$B$4,"",$A$4+297)</f>
        <v>46320</v>
      </c>
      <c r="N29725" t="str">
        <f>IF(M29725="","",'Master Barang'!A19)</f>
        <v>PRL-018</v>
      </c>
      <c r="O29725" t="str">
        <f>IF(N29725="","",'Master Barang'!B19)</f>
        <v>onemed masker biru 3 play hijab 50 pcs</v>
      </c>
      <c r="P29725">
        <f>IF(OR(M29725="",N29725=""),"",SUMIFS('Barang Keluar'!$E:$E,'Barang Keluar'!$A:$A,M29725,'Barang Keluar'!$C:$C,N29725))</f>
        <v>0</v>
      </c>
    </row>
    <row r="29726" spans="13:16">
      <c r="M29726" s="49">
        <f>IF($A$4+297&gt;$B$4,"",$A$4+297)</f>
        <v>46320</v>
      </c>
      <c r="N29726" t="str">
        <f>IF(M29726="","",'Master Barang'!A20)</f>
        <v>PRL-019</v>
      </c>
      <c r="O29726" t="str">
        <f>IF(N29726="","",'Master Barang'!B20)</f>
        <v>neo health masker biru 3 play 50 pcs</v>
      </c>
      <c r="P29726">
        <f>IF(OR(M29726="",N29726=""),"",SUMIFS('Barang Keluar'!$E:$E,'Barang Keluar'!$A:$A,M29726,'Barang Keluar'!$C:$C,N29726))</f>
        <v>0</v>
      </c>
    </row>
    <row r="29727" spans="13:16">
      <c r="M29727" s="49">
        <f>IF($A$4+297&gt;$B$4,"",$A$4+297)</f>
        <v>46320</v>
      </c>
      <c r="N29727" t="str">
        <f>IF(M29727="","",'Master Barang'!A21)</f>
        <v>PRL-020</v>
      </c>
      <c r="O29727" t="str">
        <f>IF(N29727="","",'Master Barang'!B21)</f>
        <v>baymed masker hijau 3 play hijau 50 pcs</v>
      </c>
      <c r="P29727">
        <f>IF(OR(M29727="",N29727=""),"",SUMIFS('Barang Keluar'!$E:$E,'Barang Keluar'!$A:$A,M29727,'Barang Keluar'!$C:$C,N29727))</f>
        <v>0</v>
      </c>
    </row>
    <row r="29728" spans="13:16">
      <c r="M29728" s="49">
        <f>IF($A$4+297&gt;$B$4,"",$A$4+297)</f>
        <v>46320</v>
      </c>
      <c r="N29728" t="str">
        <f>IF(M29728="","",'Master Barang'!A22)</f>
        <v>PRL-021</v>
      </c>
      <c r="O29728" t="str">
        <f>IF(N29728="","",'Master Barang'!B22)</f>
        <v>altamed nurse cap penutup kepala 100 pcs</v>
      </c>
      <c r="P29728">
        <f>IF(OR(M29728="",N29728=""),"",SUMIFS('Barang Keluar'!$E:$E,'Barang Keluar'!$A:$A,M29728,'Barang Keluar'!$C:$C,N29728))</f>
        <v>0</v>
      </c>
    </row>
    <row r="29729" spans="13:16">
      <c r="M29729" s="49">
        <f>IF($A$4+297&gt;$B$4,"",$A$4+297)</f>
        <v>46320</v>
      </c>
      <c r="N29729" t="str">
        <f>IF(M29729="","",'Master Barang'!A23)</f>
        <v>PRL-022</v>
      </c>
      <c r="O29729" t="str">
        <f>IF(N29729="","",'Master Barang'!B23)</f>
        <v>sabun cuci tangan</v>
      </c>
      <c r="P29729">
        <f>IF(OR(M29729="",N29729=""),"",SUMIFS('Barang Keluar'!$E:$E,'Barang Keluar'!$A:$A,M29729,'Barang Keluar'!$C:$C,N29729))</f>
        <v>0</v>
      </c>
    </row>
    <row r="29730" spans="13:16">
      <c r="M29730" s="49">
        <f>IF($A$4+297&gt;$B$4,"",$A$4+297)</f>
        <v>46320</v>
      </c>
      <c r="N29730" t="str">
        <f>IF(M29730="","",'Master Barang'!A24)</f>
        <v>PRL-023</v>
      </c>
      <c r="O29730" t="str">
        <f>IF(N29730="","",'Master Barang'!B24)</f>
        <v>gayung kecil</v>
      </c>
      <c r="P29730">
        <f>IF(OR(M29730="",N29730=""),"",SUMIFS('Barang Keluar'!$E:$E,'Barang Keluar'!$A:$A,M29730,'Barang Keluar'!$C:$C,N29730))</f>
        <v>0</v>
      </c>
    </row>
    <row r="29731" spans="13:16">
      <c r="M29731" s="49">
        <f>IF($A$4+297&gt;$B$4,"",$A$4+297)</f>
        <v>46320</v>
      </c>
      <c r="N29731" t="str">
        <f>IF(M29731="","",'Master Barang'!A25)</f>
        <v>PRL-024</v>
      </c>
      <c r="O29731" t="str">
        <f>IF(N29731="","",'Master Barang'!B25)</f>
        <v>cikrak kecil</v>
      </c>
      <c r="P29731">
        <f>IF(OR(M29731="",N29731=""),"",SUMIFS('Barang Keluar'!$E:$E,'Barang Keluar'!$A:$A,M29731,'Barang Keluar'!$C:$C,N29731))</f>
        <v>0</v>
      </c>
    </row>
    <row r="29732" spans="13:16">
      <c r="M29732" s="49">
        <f>IF($A$4+297&gt;$B$4,"",$A$4+297)</f>
        <v>46320</v>
      </c>
      <c r="N29732" t="str">
        <f>IF(M29732="","",'Master Barang'!A26)</f>
        <v>PRL-025</v>
      </c>
      <c r="O29732" t="str">
        <f>IF(N29732="","",'Master Barang'!B26)</f>
        <v>petromax plastik kecil 12x24 100 lembar</v>
      </c>
      <c r="P29732">
        <f>IF(OR(M29732="",N29732=""),"",SUMIFS('Barang Keluar'!$E:$E,'Barang Keluar'!$A:$A,M29732,'Barang Keluar'!$C:$C,N29732))</f>
        <v>0</v>
      </c>
    </row>
    <row r="29733" spans="13:16">
      <c r="M29733" s="49">
        <f>IF($A$4+297&gt;$B$4,"",$A$4+297)</f>
        <v>46320</v>
      </c>
      <c r="N29733" t="str">
        <f>IF(M29733="","",'Master Barang'!A27)</f>
        <v>PRL-026</v>
      </c>
      <c r="O29733" t="str">
        <f>IF(N29733="","",'Master Barang'!B27)</f>
        <v>lancar kresek kecil bening </v>
      </c>
      <c r="P29733">
        <f>IF(OR(M29733="",N29733=""),"",SUMIFS('Barang Keluar'!$E:$E,'Barang Keluar'!$A:$A,M29733,'Barang Keluar'!$C:$C,N29733))</f>
        <v>0</v>
      </c>
    </row>
    <row r="29734" spans="13:16">
      <c r="M29734" s="49">
        <f>IF($A$4+297&gt;$B$4,"",$A$4+297)</f>
        <v>46320</v>
      </c>
      <c r="N29734" t="str">
        <f>IF(M29734="","",'Master Barang'!A28)</f>
        <v>PRL-027</v>
      </c>
      <c r="O29734" t="str">
        <f>IF(N29734="","",'Master Barang'!B28)</f>
        <v>kresek klin warna warni kecil</v>
      </c>
      <c r="P29734">
        <f>IF(OR(M29734="",N29734=""),"",SUMIFS('Barang Keluar'!$E:$E,'Barang Keluar'!$A:$A,M29734,'Barang Keluar'!$C:$C,N29734))</f>
        <v>0</v>
      </c>
    </row>
    <row r="29735" spans="13:16">
      <c r="M29735" s="49">
        <f>IF($A$4+297&gt;$B$4,"",$A$4+297)</f>
        <v>46320</v>
      </c>
      <c r="N29735" t="str">
        <f>IF(M29735="","",'Master Barang'!A29)</f>
        <v>PRL-028</v>
      </c>
      <c r="O29735" t="str">
        <f>IF(N29735="","",'Master Barang'!B29)</f>
        <v>ctik plastik 7x10 100 pcs</v>
      </c>
      <c r="P29735">
        <f>IF(OR(M29735="",N29735=""),"",SUMIFS('Barang Keluar'!$E:$E,'Barang Keluar'!$A:$A,M29735,'Barang Keluar'!$C:$C,N29735))</f>
        <v>0</v>
      </c>
    </row>
    <row r="29736" spans="13:16">
      <c r="M29736" s="49">
        <f>IF($A$4+297&gt;$B$4,"",$A$4+297)</f>
        <v>46320</v>
      </c>
      <c r="N29736" t="str">
        <f>IF(M29736="","",'Master Barang'!A30)</f>
        <v>PRL-029</v>
      </c>
      <c r="O29736" t="str">
        <f>IF(N29736="","",'Master Barang'!B30)</f>
        <v>ctik plastik 6x10 100 pcs</v>
      </c>
      <c r="P29736">
        <f>IF(OR(M29736="",N29736=""),"",SUMIFS('Barang Keluar'!$E:$E,'Barang Keluar'!$A:$A,M29736,'Barang Keluar'!$C:$C,N29736))</f>
        <v>0</v>
      </c>
    </row>
    <row r="29737" spans="13:16">
      <c r="M29737" s="49">
        <f>IF($A$4+297&gt;$B$4,"",$A$4+297)</f>
        <v>46320</v>
      </c>
      <c r="N29737" t="str">
        <f>IF(M29737="","",'Master Barang'!A31)</f>
        <v>PRL-030</v>
      </c>
      <c r="O29737" t="str">
        <f>IF(N29737="","",'Master Barang'!B31)</f>
        <v>klip plastik 25x16 100 pcs</v>
      </c>
      <c r="P29737">
        <f>IF(OR(M29737="",N29737=""),"",SUMIFS('Barang Keluar'!$E:$E,'Barang Keluar'!$A:$A,M29737,'Barang Keluar'!$C:$C,N29737))</f>
        <v>0</v>
      </c>
    </row>
    <row r="29738" spans="13:16">
      <c r="M29738" s="49">
        <f>IF($A$4+297&gt;$B$4,"",$A$4+297)</f>
        <v>46320</v>
      </c>
      <c r="N29738" t="str">
        <f>IF(M29738="","",'Master Barang'!A32)</f>
        <v>PRL-031</v>
      </c>
      <c r="O29738" t="str">
        <f>IF(N29738="","",'Master Barang'!B32)</f>
        <v>tempat saus 20 ml</v>
      </c>
      <c r="P29738">
        <f>IF(OR(M29738="",N29738=""),"",SUMIFS('Barang Keluar'!$E:$E,'Barang Keluar'!$A:$A,M29738,'Barang Keluar'!$C:$C,N29738))</f>
        <v>0</v>
      </c>
    </row>
    <row r="29739" spans="13:16">
      <c r="M29739" s="49">
        <f>IF($A$4+297&gt;$B$4,"",$A$4+297)</f>
        <v>46320</v>
      </c>
      <c r="N29739" t="str">
        <f>IF(M29739="","",'Master Barang'!A33)</f>
        <v>PRL-032</v>
      </c>
      <c r="O29739" t="str">
        <f>IF(N29739="","",'Master Barang'!B33)</f>
        <v>plastik packaging ag box uk sedang</v>
      </c>
      <c r="P29739">
        <f>IF(OR(M29739="",N29739=""),"",SUMIFS('Barang Keluar'!$E:$E,'Barang Keluar'!$A:$A,M29739,'Barang Keluar'!$C:$C,N29739))</f>
        <v>0</v>
      </c>
    </row>
    <row r="29740" spans="13:16">
      <c r="M29740" s="49">
        <f>IF($A$4+297&gt;$B$4,"",$A$4+297)</f>
        <v>46320</v>
      </c>
      <c r="N29740" t="str">
        <f>IF(M29740="","",'Master Barang'!A34)</f>
        <v>PRL-033</v>
      </c>
      <c r="O29740">
        <f>IF(N29740="","",'Master Barang'!B34)</f>
        <v>0</v>
      </c>
      <c r="P29740">
        <f>IF(OR(M29740="",N29740=""),"",SUMIFS('Barang Keluar'!$E:$E,'Barang Keluar'!$A:$A,M29740,'Barang Keluar'!$C:$C,N29740))</f>
        <v>0</v>
      </c>
    </row>
    <row r="29741" spans="13:16">
      <c r="M29741" s="49">
        <f>IF($A$4+297&gt;$B$4,"",$A$4+297)</f>
        <v>46320</v>
      </c>
      <c r="N29741">
        <f>IF(M29741="","",'Master Barang'!A35)</f>
        <v>0</v>
      </c>
      <c r="O29741">
        <f>IF(N29741="","",'Master Barang'!B35)</f>
        <v>0</v>
      </c>
      <c r="P29741">
        <f>IF(OR(M29741="",N29741=""),"",SUMIFS('Barang Keluar'!$E:$E,'Barang Keluar'!$A:$A,M29741,'Barang Keluar'!$C:$C,N29741))</f>
        <v>0</v>
      </c>
    </row>
    <row r="29742" spans="13:16">
      <c r="M29742" s="49">
        <f>IF($A$4+297&gt;$B$4,"",$A$4+297)</f>
        <v>46320</v>
      </c>
      <c r="N29742">
        <f>IF(M29742="","",'Master Barang'!A36)</f>
        <v>0</v>
      </c>
      <c r="O29742">
        <f>IF(N29742="","",'Master Barang'!B36)</f>
        <v>0</v>
      </c>
      <c r="P29742">
        <f>IF(OR(M29742="",N29742=""),"",SUMIFS('Barang Keluar'!$E:$E,'Barang Keluar'!$A:$A,M29742,'Barang Keluar'!$C:$C,N29742))</f>
        <v>0</v>
      </c>
    </row>
    <row r="29743" spans="13:16">
      <c r="M29743" s="49">
        <f>IF($A$4+297&gt;$B$4,"",$A$4+297)</f>
        <v>46320</v>
      </c>
      <c r="N29743">
        <f>IF(M29743="","",'Master Barang'!A37)</f>
        <v>0</v>
      </c>
      <c r="O29743">
        <f>IF(N29743="","",'Master Barang'!B37)</f>
        <v>0</v>
      </c>
      <c r="P29743">
        <f>IF(OR(M29743="",N29743=""),"",SUMIFS('Barang Keluar'!$E:$E,'Barang Keluar'!$A:$A,M29743,'Barang Keluar'!$C:$C,N29743))</f>
        <v>0</v>
      </c>
    </row>
    <row r="29744" spans="13:16">
      <c r="M29744" s="49">
        <f>IF($A$4+297&gt;$B$4,"",$A$4+297)</f>
        <v>46320</v>
      </c>
      <c r="N29744">
        <f>IF(M29744="","",'Master Barang'!A38)</f>
        <v>0</v>
      </c>
      <c r="O29744">
        <f>IF(N29744="","",'Master Barang'!B38)</f>
        <v>0</v>
      </c>
      <c r="P29744">
        <f>IF(OR(M29744="",N29744=""),"",SUMIFS('Barang Keluar'!$E:$E,'Barang Keluar'!$A:$A,M29744,'Barang Keluar'!$C:$C,N29744))</f>
        <v>0</v>
      </c>
    </row>
    <row r="29745" spans="13:16">
      <c r="M29745" s="49">
        <f>IF($A$4+297&gt;$B$4,"",$A$4+297)</f>
        <v>46320</v>
      </c>
      <c r="N29745">
        <f>IF(M29745="","",'Master Barang'!A39)</f>
        <v>0</v>
      </c>
      <c r="O29745">
        <f>IF(N29745="","",'Master Barang'!B39)</f>
        <v>0</v>
      </c>
      <c r="P29745">
        <f>IF(OR(M29745="",N29745=""),"",SUMIFS('Barang Keluar'!$E:$E,'Barang Keluar'!$A:$A,M29745,'Barang Keluar'!$C:$C,N29745))</f>
        <v>0</v>
      </c>
    </row>
    <row r="29746" spans="13:16">
      <c r="M29746" s="49">
        <f>IF($A$4+297&gt;$B$4,"",$A$4+297)</f>
        <v>46320</v>
      </c>
      <c r="N29746">
        <f>IF(M29746="","",'Master Barang'!A40)</f>
        <v>0</v>
      </c>
      <c r="O29746">
        <f>IF(N29746="","",'Master Barang'!B40)</f>
        <v>0</v>
      </c>
      <c r="P29746">
        <f>IF(OR(M29746="",N29746=""),"",SUMIFS('Barang Keluar'!$E:$E,'Barang Keluar'!$A:$A,M29746,'Barang Keluar'!$C:$C,N29746))</f>
        <v>0</v>
      </c>
    </row>
    <row r="29747" spans="13:16">
      <c r="M29747" s="49">
        <f>IF($A$4+297&gt;$B$4,"",$A$4+297)</f>
        <v>46320</v>
      </c>
      <c r="N29747">
        <f>IF(M29747="","",'Master Barang'!A41)</f>
        <v>0</v>
      </c>
      <c r="O29747">
        <f>IF(N29747="","",'Master Barang'!B41)</f>
        <v>0</v>
      </c>
      <c r="P29747">
        <f>IF(OR(M29747="",N29747=""),"",SUMIFS('Barang Keluar'!$E:$E,'Barang Keluar'!$A:$A,M29747,'Barang Keluar'!$C:$C,N29747))</f>
        <v>0</v>
      </c>
    </row>
    <row r="29748" spans="13:16">
      <c r="M29748" s="49">
        <f>IF($A$4+297&gt;$B$4,"",$A$4+297)</f>
        <v>46320</v>
      </c>
      <c r="N29748">
        <f>IF(M29748="","",'Master Barang'!A42)</f>
        <v>0</v>
      </c>
      <c r="O29748">
        <f>IF(N29748="","",'Master Barang'!B42)</f>
        <v>0</v>
      </c>
      <c r="P29748">
        <f>IF(OR(M29748="",N29748=""),"",SUMIFS('Barang Keluar'!$E:$E,'Barang Keluar'!$A:$A,M29748,'Barang Keluar'!$C:$C,N29748))</f>
        <v>0</v>
      </c>
    </row>
    <row r="29749" spans="13:16">
      <c r="M29749" s="49">
        <f>IF($A$4+297&gt;$B$4,"",$A$4+297)</f>
        <v>46320</v>
      </c>
      <c r="N29749">
        <f>IF(M29749="","",'Master Barang'!A43)</f>
        <v>0</v>
      </c>
      <c r="O29749">
        <f>IF(N29749="","",'Master Barang'!B43)</f>
        <v>0</v>
      </c>
      <c r="P29749">
        <f>IF(OR(M29749="",N29749=""),"",SUMIFS('Barang Keluar'!$E:$E,'Barang Keluar'!$A:$A,M29749,'Barang Keluar'!$C:$C,N29749))</f>
        <v>0</v>
      </c>
    </row>
    <row r="29750" spans="13:16">
      <c r="M29750" s="49">
        <f>IF($A$4+297&gt;$B$4,"",$A$4+297)</f>
        <v>46320</v>
      </c>
      <c r="N29750">
        <f>IF(M29750="","",'Master Barang'!A44)</f>
        <v>0</v>
      </c>
      <c r="O29750">
        <f>IF(N29750="","",'Master Barang'!B44)</f>
        <v>0</v>
      </c>
      <c r="P29750">
        <f>IF(OR(M29750="",N29750=""),"",SUMIFS('Barang Keluar'!$E:$E,'Barang Keluar'!$A:$A,M29750,'Barang Keluar'!$C:$C,N29750))</f>
        <v>0</v>
      </c>
    </row>
    <row r="29751" spans="13:16">
      <c r="M29751" s="49">
        <f>IF($A$4+297&gt;$B$4,"",$A$4+297)</f>
        <v>46320</v>
      </c>
      <c r="N29751">
        <f>IF(M29751="","",'Master Barang'!A45)</f>
        <v>0</v>
      </c>
      <c r="O29751">
        <f>IF(N29751="","",'Master Barang'!B45)</f>
        <v>0</v>
      </c>
      <c r="P29751">
        <f>IF(OR(M29751="",N29751=""),"",SUMIFS('Barang Keluar'!$E:$E,'Barang Keluar'!$A:$A,M29751,'Barang Keluar'!$C:$C,N29751))</f>
        <v>0</v>
      </c>
    </row>
    <row r="29752" spans="13:16">
      <c r="M29752" s="49">
        <f>IF($A$4+297&gt;$B$4,"",$A$4+297)</f>
        <v>46320</v>
      </c>
      <c r="N29752">
        <f>IF(M29752="","",'Master Barang'!A46)</f>
        <v>0</v>
      </c>
      <c r="O29752">
        <f>IF(N29752="","",'Master Barang'!B46)</f>
        <v>0</v>
      </c>
      <c r="P29752">
        <f>IF(OR(M29752="",N29752=""),"",SUMIFS('Barang Keluar'!$E:$E,'Barang Keluar'!$A:$A,M29752,'Barang Keluar'!$C:$C,N29752))</f>
        <v>0</v>
      </c>
    </row>
    <row r="29753" spans="13:16">
      <c r="M29753" s="49">
        <f>IF($A$4+297&gt;$B$4,"",$A$4+297)</f>
        <v>46320</v>
      </c>
      <c r="N29753">
        <f>IF(M29753="","",'Master Barang'!A47)</f>
        <v>0</v>
      </c>
      <c r="O29753">
        <f>IF(N29753="","",'Master Barang'!B47)</f>
        <v>0</v>
      </c>
      <c r="P29753">
        <f>IF(OR(M29753="",N29753=""),"",SUMIFS('Barang Keluar'!$E:$E,'Barang Keluar'!$A:$A,M29753,'Barang Keluar'!$C:$C,N29753))</f>
        <v>0</v>
      </c>
    </row>
    <row r="29754" spans="13:16">
      <c r="M29754" s="49">
        <f>IF($A$4+297&gt;$B$4,"",$A$4+297)</f>
        <v>46320</v>
      </c>
      <c r="N29754">
        <f>IF(M29754="","",'Master Barang'!A48)</f>
        <v>0</v>
      </c>
      <c r="O29754">
        <f>IF(N29754="","",'Master Barang'!B48)</f>
        <v>0</v>
      </c>
      <c r="P29754">
        <f>IF(OR(M29754="",N29754=""),"",SUMIFS('Barang Keluar'!$E:$E,'Barang Keluar'!$A:$A,M29754,'Barang Keluar'!$C:$C,N29754))</f>
        <v>0</v>
      </c>
    </row>
    <row r="29755" spans="13:16">
      <c r="M29755" s="49">
        <f>IF($A$4+297&gt;$B$4,"",$A$4+297)</f>
        <v>46320</v>
      </c>
      <c r="N29755">
        <f>IF(M29755="","",'Master Barang'!A49)</f>
        <v>0</v>
      </c>
      <c r="O29755">
        <f>IF(N29755="","",'Master Barang'!B49)</f>
        <v>0</v>
      </c>
      <c r="P29755">
        <f>IF(OR(M29755="",N29755=""),"",SUMIFS('Barang Keluar'!$E:$E,'Barang Keluar'!$A:$A,M29755,'Barang Keluar'!$C:$C,N29755))</f>
        <v>0</v>
      </c>
    </row>
    <row r="29756" spans="13:16">
      <c r="M29756" s="49">
        <f>IF($A$4+297&gt;$B$4,"",$A$4+297)</f>
        <v>46320</v>
      </c>
      <c r="N29756">
        <f>IF(M29756="","",'Master Barang'!A50)</f>
        <v>0</v>
      </c>
      <c r="O29756">
        <f>IF(N29756="","",'Master Barang'!B50)</f>
        <v>0</v>
      </c>
      <c r="P29756">
        <f>IF(OR(M29756="",N29756=""),"",SUMIFS('Barang Keluar'!$E:$E,'Barang Keluar'!$A:$A,M29756,'Barang Keluar'!$C:$C,N29756))</f>
        <v>0</v>
      </c>
    </row>
    <row r="29757" spans="13:16">
      <c r="M29757" s="49">
        <f>IF($A$4+297&gt;$B$4,"",$A$4+297)</f>
        <v>46320</v>
      </c>
      <c r="N29757">
        <f>IF(M29757="","",'Master Barang'!A51)</f>
        <v>0</v>
      </c>
      <c r="O29757">
        <f>IF(N29757="","",'Master Barang'!B51)</f>
        <v>0</v>
      </c>
      <c r="P29757">
        <f>IF(OR(M29757="",N29757=""),"",SUMIFS('Barang Keluar'!$E:$E,'Barang Keluar'!$A:$A,M29757,'Barang Keluar'!$C:$C,N29757))</f>
        <v>0</v>
      </c>
    </row>
    <row r="29758" spans="13:16">
      <c r="M29758" s="49">
        <f>IF($A$4+297&gt;$B$4,"",$A$4+297)</f>
        <v>46320</v>
      </c>
      <c r="N29758">
        <f>IF(M29758="","",'Master Barang'!A52)</f>
        <v>0</v>
      </c>
      <c r="O29758">
        <f>IF(N29758="","",'Master Barang'!B52)</f>
        <v>0</v>
      </c>
      <c r="P29758">
        <f>IF(OR(M29758="",N29758=""),"",SUMIFS('Barang Keluar'!$E:$E,'Barang Keluar'!$A:$A,M29758,'Barang Keluar'!$C:$C,N29758))</f>
        <v>0</v>
      </c>
    </row>
    <row r="29759" spans="13:16">
      <c r="M29759" s="49">
        <f>IF($A$4+297&gt;$B$4,"",$A$4+297)</f>
        <v>46320</v>
      </c>
      <c r="N29759">
        <f>IF(M29759="","",'Master Barang'!A53)</f>
        <v>0</v>
      </c>
      <c r="O29759">
        <f>IF(N29759="","",'Master Barang'!B53)</f>
        <v>0</v>
      </c>
      <c r="P29759">
        <f>IF(OR(M29759="",N29759=""),"",SUMIFS('Barang Keluar'!$E:$E,'Barang Keluar'!$A:$A,M29759,'Barang Keluar'!$C:$C,N29759))</f>
        <v>0</v>
      </c>
    </row>
    <row r="29760" spans="13:16">
      <c r="M29760" s="49">
        <f>IF($A$4+297&gt;$B$4,"",$A$4+297)</f>
        <v>46320</v>
      </c>
      <c r="N29760">
        <f>IF(M29760="","",'Master Barang'!A54)</f>
        <v>0</v>
      </c>
      <c r="O29760">
        <f>IF(N29760="","",'Master Barang'!B54)</f>
        <v>0</v>
      </c>
      <c r="P29760">
        <f>IF(OR(M29760="",N29760=""),"",SUMIFS('Barang Keluar'!$E:$E,'Barang Keluar'!$A:$A,M29760,'Barang Keluar'!$C:$C,N29760))</f>
        <v>0</v>
      </c>
    </row>
    <row r="29761" spans="13:16">
      <c r="M29761" s="49">
        <f>IF($A$4+297&gt;$B$4,"",$A$4+297)</f>
        <v>46320</v>
      </c>
      <c r="N29761">
        <f>IF(M29761="","",'Master Barang'!A55)</f>
        <v>0</v>
      </c>
      <c r="O29761">
        <f>IF(N29761="","",'Master Barang'!B55)</f>
        <v>0</v>
      </c>
      <c r="P29761">
        <f>IF(OR(M29761="",N29761=""),"",SUMIFS('Barang Keluar'!$E:$E,'Barang Keluar'!$A:$A,M29761,'Barang Keluar'!$C:$C,N29761))</f>
        <v>0</v>
      </c>
    </row>
    <row r="29762" spans="13:16">
      <c r="M29762" s="49">
        <f>IF($A$4+297&gt;$B$4,"",$A$4+297)</f>
        <v>46320</v>
      </c>
      <c r="N29762">
        <f>IF(M29762="","",'Master Barang'!A56)</f>
        <v>0</v>
      </c>
      <c r="O29762">
        <f>IF(N29762="","",'Master Barang'!B56)</f>
        <v>0</v>
      </c>
      <c r="P29762">
        <f>IF(OR(M29762="",N29762=""),"",SUMIFS('Barang Keluar'!$E:$E,'Barang Keluar'!$A:$A,M29762,'Barang Keluar'!$C:$C,N29762))</f>
        <v>0</v>
      </c>
    </row>
    <row r="29763" spans="13:16">
      <c r="M29763" s="49">
        <f>IF($A$4+297&gt;$B$4,"",$A$4+297)</f>
        <v>46320</v>
      </c>
      <c r="N29763">
        <f>IF(M29763="","",'Master Barang'!A57)</f>
        <v>0</v>
      </c>
      <c r="O29763">
        <f>IF(N29763="","",'Master Barang'!B57)</f>
        <v>0</v>
      </c>
      <c r="P29763">
        <f>IF(OR(M29763="",N29763=""),"",SUMIFS('Barang Keluar'!$E:$E,'Barang Keluar'!$A:$A,M29763,'Barang Keluar'!$C:$C,N29763))</f>
        <v>0</v>
      </c>
    </row>
    <row r="29764" spans="13:16">
      <c r="M29764" s="49">
        <f>IF($A$4+297&gt;$B$4,"",$A$4+297)</f>
        <v>46320</v>
      </c>
      <c r="N29764">
        <f>IF(M29764="","",'Master Barang'!A58)</f>
        <v>0</v>
      </c>
      <c r="O29764">
        <f>IF(N29764="","",'Master Barang'!B58)</f>
        <v>0</v>
      </c>
      <c r="P29764">
        <f>IF(OR(M29764="",N29764=""),"",SUMIFS('Barang Keluar'!$E:$E,'Barang Keluar'!$A:$A,M29764,'Barang Keluar'!$C:$C,N29764))</f>
        <v>0</v>
      </c>
    </row>
    <row r="29765" spans="13:16">
      <c r="M29765" s="49">
        <f>IF($A$4+297&gt;$B$4,"",$A$4+297)</f>
        <v>46320</v>
      </c>
      <c r="N29765">
        <f>IF(M29765="","",'Master Barang'!A59)</f>
        <v>0</v>
      </c>
      <c r="O29765">
        <f>IF(N29765="","",'Master Barang'!B59)</f>
        <v>0</v>
      </c>
      <c r="P29765">
        <f>IF(OR(M29765="",N29765=""),"",SUMIFS('Barang Keluar'!$E:$E,'Barang Keluar'!$A:$A,M29765,'Barang Keluar'!$C:$C,N29765))</f>
        <v>0</v>
      </c>
    </row>
    <row r="29766" spans="13:16">
      <c r="M29766" s="49">
        <f>IF($A$4+297&gt;$B$4,"",$A$4+297)</f>
        <v>46320</v>
      </c>
      <c r="N29766">
        <f>IF(M29766="","",'Master Barang'!A60)</f>
        <v>0</v>
      </c>
      <c r="O29766">
        <f>IF(N29766="","",'Master Barang'!B60)</f>
        <v>0</v>
      </c>
      <c r="P29766">
        <f>IF(OR(M29766="",N29766=""),"",SUMIFS('Barang Keluar'!$E:$E,'Barang Keluar'!$A:$A,M29766,'Barang Keluar'!$C:$C,N29766))</f>
        <v>0</v>
      </c>
    </row>
    <row r="29767" spans="13:16">
      <c r="M29767" s="49">
        <f>IF($A$4+297&gt;$B$4,"",$A$4+297)</f>
        <v>46320</v>
      </c>
      <c r="N29767">
        <f>IF(M29767="","",'Master Barang'!A61)</f>
        <v>0</v>
      </c>
      <c r="O29767">
        <f>IF(N29767="","",'Master Barang'!B61)</f>
        <v>0</v>
      </c>
      <c r="P29767">
        <f>IF(OR(M29767="",N29767=""),"",SUMIFS('Barang Keluar'!$E:$E,'Barang Keluar'!$A:$A,M29767,'Barang Keluar'!$C:$C,N29767))</f>
        <v>0</v>
      </c>
    </row>
    <row r="29768" spans="13:16">
      <c r="M29768" s="49">
        <f>IF($A$4+297&gt;$B$4,"",$A$4+297)</f>
        <v>46320</v>
      </c>
      <c r="N29768">
        <f>IF(M29768="","",'Master Barang'!A62)</f>
        <v>0</v>
      </c>
      <c r="O29768">
        <f>IF(N29768="","",'Master Barang'!B62)</f>
        <v>0</v>
      </c>
      <c r="P29768">
        <f>IF(OR(M29768="",N29768=""),"",SUMIFS('Barang Keluar'!$E:$E,'Barang Keluar'!$A:$A,M29768,'Barang Keluar'!$C:$C,N29768))</f>
        <v>0</v>
      </c>
    </row>
    <row r="29769" spans="13:16">
      <c r="M29769" s="49">
        <f>IF($A$4+297&gt;$B$4,"",$A$4+297)</f>
        <v>46320</v>
      </c>
      <c r="N29769">
        <f>IF(M29769="","",'Master Barang'!A63)</f>
        <v>0</v>
      </c>
      <c r="O29769">
        <f>IF(N29769="","",'Master Barang'!B63)</f>
        <v>0</v>
      </c>
      <c r="P29769">
        <f>IF(OR(M29769="",N29769=""),"",SUMIFS('Barang Keluar'!$E:$E,'Barang Keluar'!$A:$A,M29769,'Barang Keluar'!$C:$C,N29769))</f>
        <v>0</v>
      </c>
    </row>
    <row r="29770" spans="13:16">
      <c r="M29770" s="49">
        <f>IF($A$4+297&gt;$B$4,"",$A$4+297)</f>
        <v>46320</v>
      </c>
      <c r="N29770">
        <f>IF(M29770="","",'Master Barang'!A64)</f>
        <v>0</v>
      </c>
      <c r="O29770">
        <f>IF(N29770="","",'Master Barang'!B64)</f>
        <v>0</v>
      </c>
      <c r="P29770">
        <f>IF(OR(M29770="",N29770=""),"",SUMIFS('Barang Keluar'!$E:$E,'Barang Keluar'!$A:$A,M29770,'Barang Keluar'!$C:$C,N29770))</f>
        <v>0</v>
      </c>
    </row>
    <row r="29771" spans="13:16">
      <c r="M29771" s="49">
        <f>IF($A$4+297&gt;$B$4,"",$A$4+297)</f>
        <v>46320</v>
      </c>
      <c r="N29771">
        <f>IF(M29771="","",'Master Barang'!A65)</f>
        <v>0</v>
      </c>
      <c r="O29771">
        <f>IF(N29771="","",'Master Barang'!B65)</f>
        <v>0</v>
      </c>
      <c r="P29771">
        <f>IF(OR(M29771="",N29771=""),"",SUMIFS('Barang Keluar'!$E:$E,'Barang Keluar'!$A:$A,M29771,'Barang Keluar'!$C:$C,N29771))</f>
        <v>0</v>
      </c>
    </row>
    <row r="29772" spans="13:16">
      <c r="M29772" s="49">
        <f>IF($A$4+297&gt;$B$4,"",$A$4+297)</f>
        <v>46320</v>
      </c>
      <c r="N29772">
        <f>IF(M29772="","",'Master Barang'!A66)</f>
        <v>0</v>
      </c>
      <c r="O29772">
        <f>IF(N29772="","",'Master Barang'!B66)</f>
        <v>0</v>
      </c>
      <c r="P29772">
        <f>IF(OR(M29772="",N29772=""),"",SUMIFS('Barang Keluar'!$E:$E,'Barang Keluar'!$A:$A,M29772,'Barang Keluar'!$C:$C,N29772))</f>
        <v>0</v>
      </c>
    </row>
    <row r="29773" spans="13:16">
      <c r="M29773" s="49">
        <f>IF($A$4+297&gt;$B$4,"",$A$4+297)</f>
        <v>46320</v>
      </c>
      <c r="N29773">
        <f>IF(M29773="","",'Master Barang'!A67)</f>
        <v>0</v>
      </c>
      <c r="O29773">
        <f>IF(N29773="","",'Master Barang'!B67)</f>
        <v>0</v>
      </c>
      <c r="P29773">
        <f>IF(OR(M29773="",N29773=""),"",SUMIFS('Barang Keluar'!$E:$E,'Barang Keluar'!$A:$A,M29773,'Barang Keluar'!$C:$C,N29773))</f>
        <v>0</v>
      </c>
    </row>
    <row r="29774" spans="13:16">
      <c r="M29774" s="49">
        <f>IF($A$4+297&gt;$B$4,"",$A$4+297)</f>
        <v>46320</v>
      </c>
      <c r="N29774">
        <f>IF(M29774="","",'Master Barang'!A68)</f>
        <v>0</v>
      </c>
      <c r="O29774">
        <f>IF(N29774="","",'Master Barang'!B68)</f>
        <v>0</v>
      </c>
      <c r="P29774">
        <f>IF(OR(M29774="",N29774=""),"",SUMIFS('Barang Keluar'!$E:$E,'Barang Keluar'!$A:$A,M29774,'Barang Keluar'!$C:$C,N29774))</f>
        <v>0</v>
      </c>
    </row>
    <row r="29775" spans="13:16">
      <c r="M29775" s="49">
        <f>IF($A$4+297&gt;$B$4,"",$A$4+297)</f>
        <v>46320</v>
      </c>
      <c r="N29775">
        <f>IF(M29775="","",'Master Barang'!A69)</f>
        <v>0</v>
      </c>
      <c r="O29775">
        <f>IF(N29775="","",'Master Barang'!B69)</f>
        <v>0</v>
      </c>
      <c r="P29775">
        <f>IF(OR(M29775="",N29775=""),"",SUMIFS('Barang Keluar'!$E:$E,'Barang Keluar'!$A:$A,M29775,'Barang Keluar'!$C:$C,N29775))</f>
        <v>0</v>
      </c>
    </row>
    <row r="29776" spans="13:16">
      <c r="M29776" s="49">
        <f>IF($A$4+297&gt;$B$4,"",$A$4+297)</f>
        <v>46320</v>
      </c>
      <c r="N29776">
        <f>IF(M29776="","",'Master Barang'!A70)</f>
        <v>0</v>
      </c>
      <c r="O29776">
        <f>IF(N29776="","",'Master Barang'!B70)</f>
        <v>0</v>
      </c>
      <c r="P29776">
        <f>IF(OR(M29776="",N29776=""),"",SUMIFS('Barang Keluar'!$E:$E,'Barang Keluar'!$A:$A,M29776,'Barang Keluar'!$C:$C,N29776))</f>
        <v>0</v>
      </c>
    </row>
    <row r="29777" spans="13:16">
      <c r="M29777" s="49">
        <f>IF($A$4+297&gt;$B$4,"",$A$4+297)</f>
        <v>46320</v>
      </c>
      <c r="N29777">
        <f>IF(M29777="","",'Master Barang'!A71)</f>
        <v>0</v>
      </c>
      <c r="O29777">
        <f>IF(N29777="","",'Master Barang'!B71)</f>
        <v>0</v>
      </c>
      <c r="P29777">
        <f>IF(OR(M29777="",N29777=""),"",SUMIFS('Barang Keluar'!$E:$E,'Barang Keluar'!$A:$A,M29777,'Barang Keluar'!$C:$C,N29777))</f>
        <v>0</v>
      </c>
    </row>
    <row r="29778" spans="13:16">
      <c r="M29778" s="49">
        <f>IF($A$4+297&gt;$B$4,"",$A$4+297)</f>
        <v>46320</v>
      </c>
      <c r="N29778">
        <f>IF(M29778="","",'Master Barang'!A72)</f>
        <v>0</v>
      </c>
      <c r="O29778">
        <f>IF(N29778="","",'Master Barang'!B72)</f>
        <v>0</v>
      </c>
      <c r="P29778">
        <f>IF(OR(M29778="",N29778=""),"",SUMIFS('Barang Keluar'!$E:$E,'Barang Keluar'!$A:$A,M29778,'Barang Keluar'!$C:$C,N29778))</f>
        <v>0</v>
      </c>
    </row>
    <row r="29779" spans="13:16">
      <c r="M29779" s="49">
        <f>IF($A$4+297&gt;$B$4,"",$A$4+297)</f>
        <v>46320</v>
      </c>
      <c r="N29779">
        <f>IF(M29779="","",'Master Barang'!A73)</f>
        <v>0</v>
      </c>
      <c r="O29779">
        <f>IF(N29779="","",'Master Barang'!B73)</f>
        <v>0</v>
      </c>
      <c r="P29779">
        <f>IF(OR(M29779="",N29779=""),"",SUMIFS('Barang Keluar'!$E:$E,'Barang Keluar'!$A:$A,M29779,'Barang Keluar'!$C:$C,N29779))</f>
        <v>0</v>
      </c>
    </row>
    <row r="29780" spans="13:16">
      <c r="M29780" s="49">
        <f>IF($A$4+297&gt;$B$4,"",$A$4+297)</f>
        <v>46320</v>
      </c>
      <c r="N29780">
        <f>IF(M29780="","",'Master Barang'!A74)</f>
        <v>0</v>
      </c>
      <c r="O29780">
        <f>IF(N29780="","",'Master Barang'!B74)</f>
        <v>0</v>
      </c>
      <c r="P29780">
        <f>IF(OR(M29780="",N29780=""),"",SUMIFS('Barang Keluar'!$E:$E,'Barang Keluar'!$A:$A,M29780,'Barang Keluar'!$C:$C,N29780))</f>
        <v>0</v>
      </c>
    </row>
    <row r="29781" spans="13:16">
      <c r="M29781" s="49">
        <f>IF($A$4+297&gt;$B$4,"",$A$4+297)</f>
        <v>46320</v>
      </c>
      <c r="N29781">
        <f>IF(M29781="","",'Master Barang'!A75)</f>
        <v>0</v>
      </c>
      <c r="O29781">
        <f>IF(N29781="","",'Master Barang'!B75)</f>
        <v>0</v>
      </c>
      <c r="P29781">
        <f>IF(OR(M29781="",N29781=""),"",SUMIFS('Barang Keluar'!$E:$E,'Barang Keluar'!$A:$A,M29781,'Barang Keluar'!$C:$C,N29781))</f>
        <v>0</v>
      </c>
    </row>
    <row r="29782" spans="13:16">
      <c r="M29782" s="49">
        <f>IF($A$4+297&gt;$B$4,"",$A$4+297)</f>
        <v>46320</v>
      </c>
      <c r="N29782">
        <f>IF(M29782="","",'Master Barang'!A76)</f>
        <v>0</v>
      </c>
      <c r="O29782">
        <f>IF(N29782="","",'Master Barang'!B76)</f>
        <v>0</v>
      </c>
      <c r="P29782">
        <f>IF(OR(M29782="",N29782=""),"",SUMIFS('Barang Keluar'!$E:$E,'Barang Keluar'!$A:$A,M29782,'Barang Keluar'!$C:$C,N29782))</f>
        <v>0</v>
      </c>
    </row>
    <row r="29783" spans="13:16">
      <c r="M29783" s="49">
        <f>IF($A$4+297&gt;$B$4,"",$A$4+297)</f>
        <v>46320</v>
      </c>
      <c r="N29783">
        <f>IF(M29783="","",'Master Barang'!A77)</f>
        <v>0</v>
      </c>
      <c r="O29783">
        <f>IF(N29783="","",'Master Barang'!B77)</f>
        <v>0</v>
      </c>
      <c r="P29783">
        <f>IF(OR(M29783="",N29783=""),"",SUMIFS('Barang Keluar'!$E:$E,'Barang Keluar'!$A:$A,M29783,'Barang Keluar'!$C:$C,N29783))</f>
        <v>0</v>
      </c>
    </row>
    <row r="29784" spans="13:16">
      <c r="M29784" s="49">
        <f>IF($A$4+297&gt;$B$4,"",$A$4+297)</f>
        <v>46320</v>
      </c>
      <c r="N29784">
        <f>IF(M29784="","",'Master Barang'!A78)</f>
        <v>0</v>
      </c>
      <c r="O29784">
        <f>IF(N29784="","",'Master Barang'!B78)</f>
        <v>0</v>
      </c>
      <c r="P29784">
        <f>IF(OR(M29784="",N29784=""),"",SUMIFS('Barang Keluar'!$E:$E,'Barang Keluar'!$A:$A,M29784,'Barang Keluar'!$C:$C,N29784))</f>
        <v>0</v>
      </c>
    </row>
    <row r="29785" spans="13:16">
      <c r="M29785" s="49">
        <f>IF($A$4+297&gt;$B$4,"",$A$4+297)</f>
        <v>46320</v>
      </c>
      <c r="N29785">
        <f>IF(M29785="","",'Master Barang'!A79)</f>
        <v>0</v>
      </c>
      <c r="O29785">
        <f>IF(N29785="","",'Master Barang'!B79)</f>
        <v>0</v>
      </c>
      <c r="P29785">
        <f>IF(OR(M29785="",N29785=""),"",SUMIFS('Barang Keluar'!$E:$E,'Barang Keluar'!$A:$A,M29785,'Barang Keluar'!$C:$C,N29785))</f>
        <v>0</v>
      </c>
    </row>
    <row r="29786" spans="13:16">
      <c r="M29786" s="49">
        <f>IF($A$4+297&gt;$B$4,"",$A$4+297)</f>
        <v>46320</v>
      </c>
      <c r="N29786">
        <f>IF(M29786="","",'Master Barang'!A80)</f>
        <v>0</v>
      </c>
      <c r="O29786">
        <f>IF(N29786="","",'Master Barang'!B80)</f>
        <v>0</v>
      </c>
      <c r="P29786">
        <f>IF(OR(M29786="",N29786=""),"",SUMIFS('Barang Keluar'!$E:$E,'Barang Keluar'!$A:$A,M29786,'Barang Keluar'!$C:$C,N29786))</f>
        <v>0</v>
      </c>
    </row>
    <row r="29787" spans="13:16">
      <c r="M29787" s="49">
        <f>IF($A$4+297&gt;$B$4,"",$A$4+297)</f>
        <v>46320</v>
      </c>
      <c r="N29787">
        <f>IF(M29787="","",'Master Barang'!A81)</f>
        <v>0</v>
      </c>
      <c r="O29787">
        <f>IF(N29787="","",'Master Barang'!B81)</f>
        <v>0</v>
      </c>
      <c r="P29787">
        <f>IF(OR(M29787="",N29787=""),"",SUMIFS('Barang Keluar'!$E:$E,'Barang Keluar'!$A:$A,M29787,'Barang Keluar'!$C:$C,N29787))</f>
        <v>0</v>
      </c>
    </row>
    <row r="29788" spans="13:16">
      <c r="M29788" s="49">
        <f>IF($A$4+297&gt;$B$4,"",$A$4+297)</f>
        <v>46320</v>
      </c>
      <c r="N29788">
        <f>IF(M29788="","",'Master Barang'!A82)</f>
        <v>0</v>
      </c>
      <c r="O29788">
        <f>IF(N29788="","",'Master Barang'!B82)</f>
        <v>0</v>
      </c>
      <c r="P29788">
        <f>IF(OR(M29788="",N29788=""),"",SUMIFS('Barang Keluar'!$E:$E,'Barang Keluar'!$A:$A,M29788,'Barang Keluar'!$C:$C,N29788))</f>
        <v>0</v>
      </c>
    </row>
    <row r="29789" spans="13:16">
      <c r="M29789" s="49">
        <f>IF($A$4+297&gt;$B$4,"",$A$4+297)</f>
        <v>46320</v>
      </c>
      <c r="N29789">
        <f>IF(M29789="","",'Master Barang'!A83)</f>
        <v>0</v>
      </c>
      <c r="O29789">
        <f>IF(N29789="","",'Master Barang'!B83)</f>
        <v>0</v>
      </c>
      <c r="P29789">
        <f>IF(OR(M29789="",N29789=""),"",SUMIFS('Barang Keluar'!$E:$E,'Barang Keluar'!$A:$A,M29789,'Barang Keluar'!$C:$C,N29789))</f>
        <v>0</v>
      </c>
    </row>
    <row r="29790" spans="13:16">
      <c r="M29790" s="49">
        <f>IF($A$4+297&gt;$B$4,"",$A$4+297)</f>
        <v>46320</v>
      </c>
      <c r="N29790">
        <f>IF(M29790="","",'Master Barang'!A84)</f>
        <v>0</v>
      </c>
      <c r="O29790">
        <f>IF(N29790="","",'Master Barang'!B84)</f>
        <v>0</v>
      </c>
      <c r="P29790">
        <f>IF(OR(M29790="",N29790=""),"",SUMIFS('Barang Keluar'!$E:$E,'Barang Keluar'!$A:$A,M29790,'Barang Keluar'!$C:$C,N29790))</f>
        <v>0</v>
      </c>
    </row>
    <row r="29791" spans="13:16">
      <c r="M29791" s="49">
        <f>IF($A$4+297&gt;$B$4,"",$A$4+297)</f>
        <v>46320</v>
      </c>
      <c r="N29791">
        <f>IF(M29791="","",'Master Barang'!A85)</f>
        <v>0</v>
      </c>
      <c r="O29791">
        <f>IF(N29791="","",'Master Barang'!B85)</f>
        <v>0</v>
      </c>
      <c r="P29791">
        <f>IF(OR(M29791="",N29791=""),"",SUMIFS('Barang Keluar'!$E:$E,'Barang Keluar'!$A:$A,M29791,'Barang Keluar'!$C:$C,N29791))</f>
        <v>0</v>
      </c>
    </row>
    <row r="29792" spans="13:16">
      <c r="M29792" s="49">
        <f>IF($A$4+297&gt;$B$4,"",$A$4+297)</f>
        <v>46320</v>
      </c>
      <c r="N29792">
        <f>IF(M29792="","",'Master Barang'!A86)</f>
        <v>0</v>
      </c>
      <c r="O29792">
        <f>IF(N29792="","",'Master Barang'!B86)</f>
        <v>0</v>
      </c>
      <c r="P29792">
        <f>IF(OR(M29792="",N29792=""),"",SUMIFS('Barang Keluar'!$E:$E,'Barang Keluar'!$A:$A,M29792,'Barang Keluar'!$C:$C,N29792))</f>
        <v>0</v>
      </c>
    </row>
    <row r="29793" spans="13:16">
      <c r="M29793" s="49">
        <f>IF($A$4+297&gt;$B$4,"",$A$4+297)</f>
        <v>46320</v>
      </c>
      <c r="N29793">
        <f>IF(M29793="","",'Master Barang'!A87)</f>
        <v>0</v>
      </c>
      <c r="O29793">
        <f>IF(N29793="","",'Master Barang'!B87)</f>
        <v>0</v>
      </c>
      <c r="P29793">
        <f>IF(OR(M29793="",N29793=""),"",SUMIFS('Barang Keluar'!$E:$E,'Barang Keluar'!$A:$A,M29793,'Barang Keluar'!$C:$C,N29793))</f>
        <v>0</v>
      </c>
    </row>
    <row r="29794" spans="13:16">
      <c r="M29794" s="49">
        <f>IF($A$4+297&gt;$B$4,"",$A$4+297)</f>
        <v>46320</v>
      </c>
      <c r="N29794">
        <f>IF(M29794="","",'Master Barang'!A88)</f>
        <v>0</v>
      </c>
      <c r="O29794">
        <f>IF(N29794="","",'Master Barang'!B88)</f>
        <v>0</v>
      </c>
      <c r="P29794">
        <f>IF(OR(M29794="",N29794=""),"",SUMIFS('Barang Keluar'!$E:$E,'Barang Keluar'!$A:$A,M29794,'Barang Keluar'!$C:$C,N29794))</f>
        <v>0</v>
      </c>
    </row>
    <row r="29795" spans="13:16">
      <c r="M29795" s="49">
        <f>IF($A$4+297&gt;$B$4,"",$A$4+297)</f>
        <v>46320</v>
      </c>
      <c r="N29795">
        <f>IF(M29795="","",'Master Barang'!A89)</f>
        <v>0</v>
      </c>
      <c r="O29795">
        <f>IF(N29795="","",'Master Barang'!B89)</f>
        <v>0</v>
      </c>
      <c r="P29795">
        <f>IF(OR(M29795="",N29795=""),"",SUMIFS('Barang Keluar'!$E:$E,'Barang Keluar'!$A:$A,M29795,'Barang Keluar'!$C:$C,N29795))</f>
        <v>0</v>
      </c>
    </row>
    <row r="29796" spans="13:16">
      <c r="M29796" s="49">
        <f>IF($A$4+297&gt;$B$4,"",$A$4+297)</f>
        <v>46320</v>
      </c>
      <c r="N29796">
        <f>IF(M29796="","",'Master Barang'!A90)</f>
        <v>0</v>
      </c>
      <c r="O29796">
        <f>IF(N29796="","",'Master Barang'!B90)</f>
        <v>0</v>
      </c>
      <c r="P29796">
        <f>IF(OR(M29796="",N29796=""),"",SUMIFS('Barang Keluar'!$E:$E,'Barang Keluar'!$A:$A,M29796,'Barang Keluar'!$C:$C,N29796))</f>
        <v>0</v>
      </c>
    </row>
    <row r="29797" spans="13:16">
      <c r="M29797" s="49">
        <f>IF($A$4+297&gt;$B$4,"",$A$4+297)</f>
        <v>46320</v>
      </c>
      <c r="N29797">
        <f>IF(M29797="","",'Master Barang'!A91)</f>
        <v>0</v>
      </c>
      <c r="O29797">
        <f>IF(N29797="","",'Master Barang'!B91)</f>
        <v>0</v>
      </c>
      <c r="P29797">
        <f>IF(OR(M29797="",N29797=""),"",SUMIFS('Barang Keluar'!$E:$E,'Barang Keluar'!$A:$A,M29797,'Barang Keluar'!$C:$C,N29797))</f>
        <v>0</v>
      </c>
    </row>
    <row r="29798" spans="13:16">
      <c r="M29798" s="49">
        <f>IF($A$4+297&gt;$B$4,"",$A$4+297)</f>
        <v>46320</v>
      </c>
      <c r="N29798">
        <f>IF(M29798="","",'Master Barang'!A92)</f>
        <v>0</v>
      </c>
      <c r="O29798">
        <f>IF(N29798="","",'Master Barang'!B92)</f>
        <v>0</v>
      </c>
      <c r="P29798">
        <f>IF(OR(M29798="",N29798=""),"",SUMIFS('Barang Keluar'!$E:$E,'Barang Keluar'!$A:$A,M29798,'Barang Keluar'!$C:$C,N29798))</f>
        <v>0</v>
      </c>
    </row>
    <row r="29799" spans="13:16">
      <c r="M29799" s="49">
        <f>IF($A$4+297&gt;$B$4,"",$A$4+297)</f>
        <v>46320</v>
      </c>
      <c r="N29799">
        <f>IF(M29799="","",'Master Barang'!A93)</f>
        <v>0</v>
      </c>
      <c r="O29799">
        <f>IF(N29799="","",'Master Barang'!B93)</f>
        <v>0</v>
      </c>
      <c r="P29799">
        <f>IF(OR(M29799="",N29799=""),"",SUMIFS('Barang Keluar'!$E:$E,'Barang Keluar'!$A:$A,M29799,'Barang Keluar'!$C:$C,N29799))</f>
        <v>0</v>
      </c>
    </row>
    <row r="29800" spans="13:16">
      <c r="M29800" s="49">
        <f>IF($A$4+297&gt;$B$4,"",$A$4+297)</f>
        <v>46320</v>
      </c>
      <c r="N29800">
        <f>IF(M29800="","",'Master Barang'!A94)</f>
        <v>0</v>
      </c>
      <c r="O29800">
        <f>IF(N29800="","",'Master Barang'!B94)</f>
        <v>0</v>
      </c>
      <c r="P29800">
        <f>IF(OR(M29800="",N29800=""),"",SUMIFS('Barang Keluar'!$E:$E,'Barang Keluar'!$A:$A,M29800,'Barang Keluar'!$C:$C,N29800))</f>
        <v>0</v>
      </c>
    </row>
    <row r="29801" spans="13:16">
      <c r="M29801" s="49">
        <f>IF($A$4+297&gt;$B$4,"",$A$4+297)</f>
        <v>46320</v>
      </c>
      <c r="N29801">
        <f>IF(M29801="","",'Master Barang'!A95)</f>
        <v>0</v>
      </c>
      <c r="O29801">
        <f>IF(N29801="","",'Master Barang'!B95)</f>
        <v>0</v>
      </c>
      <c r="P29801">
        <f>IF(OR(M29801="",N29801=""),"",SUMIFS('Barang Keluar'!$E:$E,'Barang Keluar'!$A:$A,M29801,'Barang Keluar'!$C:$C,N29801))</f>
        <v>0</v>
      </c>
    </row>
    <row r="29802" spans="13:16">
      <c r="M29802" s="49">
        <f>IF($A$4+297&gt;$B$4,"",$A$4+297)</f>
        <v>46320</v>
      </c>
      <c r="N29802">
        <f>IF(M29802="","",'Master Barang'!A96)</f>
        <v>0</v>
      </c>
      <c r="O29802">
        <f>IF(N29802="","",'Master Barang'!B96)</f>
        <v>0</v>
      </c>
      <c r="P29802">
        <f>IF(OR(M29802="",N29802=""),"",SUMIFS('Barang Keluar'!$E:$E,'Barang Keluar'!$A:$A,M29802,'Barang Keluar'!$C:$C,N29802))</f>
        <v>0</v>
      </c>
    </row>
    <row r="29803" spans="13:16">
      <c r="M29803" s="49">
        <f>IF($A$4+297&gt;$B$4,"",$A$4+297)</f>
        <v>46320</v>
      </c>
      <c r="N29803">
        <f>IF(M29803="","",'Master Barang'!A97)</f>
        <v>0</v>
      </c>
      <c r="O29803">
        <f>IF(N29803="","",'Master Barang'!B97)</f>
        <v>0</v>
      </c>
      <c r="P29803">
        <f>IF(OR(M29803="",N29803=""),"",SUMIFS('Barang Keluar'!$E:$E,'Barang Keluar'!$A:$A,M29803,'Barang Keluar'!$C:$C,N29803))</f>
        <v>0</v>
      </c>
    </row>
    <row r="29804" spans="13:16">
      <c r="M29804" s="49">
        <f>IF($A$4+297&gt;$B$4,"",$A$4+297)</f>
        <v>46320</v>
      </c>
      <c r="N29804">
        <f>IF(M29804="","",'Master Barang'!A98)</f>
        <v>0</v>
      </c>
      <c r="O29804">
        <f>IF(N29804="","",'Master Barang'!B98)</f>
        <v>0</v>
      </c>
      <c r="P29804">
        <f>IF(OR(M29804="",N29804=""),"",SUMIFS('Barang Keluar'!$E:$E,'Barang Keluar'!$A:$A,M29804,'Barang Keluar'!$C:$C,N29804))</f>
        <v>0</v>
      </c>
    </row>
    <row r="29805" spans="13:16">
      <c r="M29805" s="49">
        <f>IF($A$4+297&gt;$B$4,"",$A$4+297)</f>
        <v>46320</v>
      </c>
      <c r="N29805">
        <f>IF(M29805="","",'Master Barang'!A99)</f>
        <v>0</v>
      </c>
      <c r="O29805">
        <f>IF(N29805="","",'Master Barang'!B99)</f>
        <v>0</v>
      </c>
      <c r="P29805">
        <f>IF(OR(M29805="",N29805=""),"",SUMIFS('Barang Keluar'!$E:$E,'Barang Keluar'!$A:$A,M29805,'Barang Keluar'!$C:$C,N29805))</f>
        <v>0</v>
      </c>
    </row>
    <row r="29806" spans="13:16">
      <c r="M29806" s="49">
        <f>IF($A$4+297&gt;$B$4,"",$A$4+297)</f>
        <v>46320</v>
      </c>
      <c r="N29806">
        <f>IF(M29806="","",'Master Barang'!A100)</f>
        <v>0</v>
      </c>
      <c r="O29806">
        <f>IF(N29806="","",'Master Barang'!B100)</f>
        <v>0</v>
      </c>
      <c r="P29806">
        <f>IF(OR(M29806="",N29806=""),"",SUMIFS('Barang Keluar'!$E:$E,'Barang Keluar'!$A:$A,M29806,'Barang Keluar'!$C:$C,N29806))</f>
        <v>0</v>
      </c>
    </row>
    <row r="29807" spans="13:16">
      <c r="M29807" s="49">
        <f>IF($A$4+297&gt;$B$4,"",$A$4+297)</f>
        <v>46320</v>
      </c>
      <c r="N29807">
        <f>IF(M29807="","",'Master Barang'!A101)</f>
        <v>0</v>
      </c>
      <c r="O29807">
        <f>IF(N29807="","",'Master Barang'!B101)</f>
        <v>0</v>
      </c>
      <c r="P29807">
        <f>IF(OR(M29807="",N29807=""),"",SUMIFS('Barang Keluar'!$E:$E,'Barang Keluar'!$A:$A,M29807,'Barang Keluar'!$C:$C,N29807))</f>
        <v>0</v>
      </c>
    </row>
    <row r="29808" spans="13:16">
      <c r="M29808" s="49">
        <f>IF($A$4+298&gt;$B$4,"",$A$4+298)</f>
        <v>46321</v>
      </c>
      <c r="N29808" t="str">
        <f>IF(M29808="","",'Master Barang'!A2)</f>
        <v>PRL-001</v>
      </c>
      <c r="O29808" t="str">
        <f>IF(N29808="","",'Master Barang'!B2)</f>
        <v>natura desinfectant food grade 5l</v>
      </c>
      <c r="P29808">
        <f>IF(OR(M29808="",N29808=""),"",SUMIFS('Barang Keluar'!$E:$E,'Barang Keluar'!$A:$A,M29808,'Barang Keluar'!$C:$C,N29808))</f>
        <v>0</v>
      </c>
    </row>
    <row r="29809" spans="13:16">
      <c r="M29809" s="49">
        <f>IF($A$4+298&gt;$B$4,"",$A$4+298)</f>
        <v>46321</v>
      </c>
      <c r="N29809" t="str">
        <f>IF(M29809="","",'Master Barang'!A3)</f>
        <v>PRL-002</v>
      </c>
      <c r="O29809" t="str">
        <f>IF(N29809="","",'Master Barang'!B3)</f>
        <v>sunlight cairan pencuci piring 5l</v>
      </c>
      <c r="P29809">
        <f>IF(OR(M29809="",N29809=""),"",SUMIFS('Barang Keluar'!$E:$E,'Barang Keluar'!$A:$A,M29809,'Barang Keluar'!$C:$C,N29809))</f>
        <v>0</v>
      </c>
    </row>
    <row r="29810" spans="13:16">
      <c r="M29810" s="49">
        <f>IF($A$4+298&gt;$B$4,"",$A$4+298)</f>
        <v>46321</v>
      </c>
      <c r="N29810" t="str">
        <f>IF(M29810="","",'Master Barang'!A4)</f>
        <v>PRL-003</v>
      </c>
      <c r="O29810" t="str">
        <f>IF(N29810="","",'Master Barang'!B4)</f>
        <v>oixs cleaner 1l</v>
      </c>
      <c r="P29810">
        <f>IF(OR(M29810="",N29810=""),"",SUMIFS('Barang Keluar'!$E:$E,'Barang Keluar'!$A:$A,M29810,'Barang Keluar'!$C:$C,N29810))</f>
        <v>0</v>
      </c>
    </row>
    <row r="29811" spans="13:16">
      <c r="M29811" s="49">
        <f>IF($A$4+298&gt;$B$4,"",$A$4+298)</f>
        <v>46321</v>
      </c>
      <c r="N29811" t="str">
        <f>IF(M29811="","",'Master Barang'!A5)</f>
        <v>PRL-004</v>
      </c>
      <c r="O29811" t="str">
        <f>IF(N29811="","",'Master Barang'!B5)</f>
        <v>be clean tissue serbaguna</v>
      </c>
      <c r="P29811">
        <f>IF(OR(M29811="",N29811=""),"",SUMIFS('Barang Keluar'!$E:$E,'Barang Keluar'!$A:$A,M29811,'Barang Keluar'!$C:$C,N29811))</f>
        <v>0</v>
      </c>
    </row>
    <row r="29812" spans="13:16">
      <c r="M29812" s="49">
        <f>IF($A$4+298&gt;$B$4,"",$A$4+298)</f>
        <v>46321</v>
      </c>
      <c r="N29812" t="str">
        <f>IF(M29812="","",'Master Barang'!A6)</f>
        <v>PRL-005</v>
      </c>
      <c r="O29812" t="str">
        <f>IF(N29812="","",'Master Barang'!B6)</f>
        <v>spons cuci hijau</v>
      </c>
      <c r="P29812">
        <f>IF(OR(M29812="",N29812=""),"",SUMIFS('Barang Keluar'!$E:$E,'Barang Keluar'!$A:$A,M29812,'Barang Keluar'!$C:$C,N29812))</f>
        <v>0</v>
      </c>
    </row>
    <row r="29813" spans="13:16">
      <c r="M29813" s="49">
        <f>IF($A$4+298&gt;$B$4,"",$A$4+298)</f>
        <v>46321</v>
      </c>
      <c r="N29813" t="str">
        <f>IF(M29813="","",'Master Barang'!A7)</f>
        <v>PRL-006</v>
      </c>
      <c r="O29813" t="str">
        <f>IF(N29813="","",'Master Barang'!B7)</f>
        <v>sabut cuci stainless</v>
      </c>
      <c r="P29813">
        <f>IF(OR(M29813="",N29813=""),"",SUMIFS('Barang Keluar'!$E:$E,'Barang Keluar'!$A:$A,M29813,'Barang Keluar'!$C:$C,N29813))</f>
        <v>0</v>
      </c>
    </row>
    <row r="29814" spans="13:16">
      <c r="M29814" s="49">
        <f>IF($A$4+298&gt;$B$4,"",$A$4+298)</f>
        <v>46321</v>
      </c>
      <c r="N29814" t="str">
        <f>IF(M29814="","",'Master Barang'!A8)</f>
        <v>PRL-007</v>
      </c>
      <c r="O29814" t="str">
        <f>IF(N29814="","",'Master Barang'!B8)</f>
        <v>plastik kresek besar merah 50pc</v>
      </c>
      <c r="P29814">
        <f>IF(OR(M29814="",N29814=""),"",SUMIFS('Barang Keluar'!$E:$E,'Barang Keluar'!$A:$A,M29814,'Barang Keluar'!$C:$C,N29814))</f>
        <v>0</v>
      </c>
    </row>
    <row r="29815" spans="13:16">
      <c r="M29815" s="49">
        <f>IF($A$4+298&gt;$B$4,"",$A$4+298)</f>
        <v>46321</v>
      </c>
      <c r="N29815" t="str">
        <f>IF(M29815="","",'Master Barang'!A9)</f>
        <v>PRL-008</v>
      </c>
      <c r="O29815" t="str">
        <f>IF(N29815="","",'Master Barang'!B9)</f>
        <v>lap besar</v>
      </c>
      <c r="P29815">
        <f>IF(OR(M29815="",N29815=""),"",SUMIFS('Barang Keluar'!$E:$E,'Barang Keluar'!$A:$A,M29815,'Barang Keluar'!$C:$C,N29815))</f>
        <v>0</v>
      </c>
    </row>
    <row r="29816" spans="13:16">
      <c r="M29816" s="49">
        <f>IF($A$4+298&gt;$B$4,"",$A$4+298)</f>
        <v>46321</v>
      </c>
      <c r="N29816" t="str">
        <f>IF(M29816="","",'Master Barang'!A10)</f>
        <v>PRL-009</v>
      </c>
      <c r="O29816" t="str">
        <f>IF(N29816="","",'Master Barang'!B10)</f>
        <v>lap microfiber</v>
      </c>
      <c r="P29816">
        <f>IF(OR(M29816="",N29816=""),"",SUMIFS('Barang Keluar'!$E:$E,'Barang Keluar'!$A:$A,M29816,'Barang Keluar'!$C:$C,N29816))</f>
        <v>0</v>
      </c>
    </row>
    <row r="29817" spans="13:16">
      <c r="M29817" s="49">
        <f>IF($A$4+298&gt;$B$4,"",$A$4+298)</f>
        <v>46321</v>
      </c>
      <c r="N29817" t="str">
        <f>IF(M29817="","",'Master Barang'!A11)</f>
        <v>PRL-010</v>
      </c>
      <c r="O29817" t="str">
        <f>IF(N29817="","",'Master Barang'!B11)</f>
        <v>lap kecil</v>
      </c>
      <c r="P29817">
        <f>IF(OR(M29817="",N29817=""),"",SUMIFS('Barang Keluar'!$E:$E,'Barang Keluar'!$A:$A,M29817,'Barang Keluar'!$C:$C,N29817))</f>
        <v>0</v>
      </c>
    </row>
    <row r="29818" spans="13:16">
      <c r="M29818" s="49">
        <f>IF($A$4+298&gt;$B$4,"",$A$4+298)</f>
        <v>46321</v>
      </c>
      <c r="N29818" t="str">
        <f>IF(M29818="","",'Master Barang'!A12)</f>
        <v>PRL-011</v>
      </c>
      <c r="O29818" t="str">
        <f>IF(N29818="","",'Master Barang'!B12)</f>
        <v>kanebo kecil</v>
      </c>
      <c r="P29818">
        <f>IF(OR(M29818="",N29818=""),"",SUMIFS('Barang Keluar'!$E:$E,'Barang Keluar'!$A:$A,M29818,'Barang Keluar'!$C:$C,N29818))</f>
        <v>0</v>
      </c>
    </row>
    <row r="29819" spans="13:16">
      <c r="M29819" s="49">
        <f>IF($A$4+298&gt;$B$4,"",$A$4+298)</f>
        <v>46321</v>
      </c>
      <c r="N29819" t="str">
        <f>IF(M29819="","",'Master Barang'!A13)</f>
        <v>PRL-012</v>
      </c>
      <c r="O29819" t="str">
        <f>IF(N29819="","",'Master Barang'!B13)</f>
        <v>plastik 1/4kg joyoboyo 100 lembar</v>
      </c>
      <c r="P29819">
        <f>IF(OR(M29819="",N29819=""),"",SUMIFS('Barang Keluar'!$E:$E,'Barang Keluar'!$A:$A,M29819,'Barang Keluar'!$C:$C,N29819))</f>
        <v>0</v>
      </c>
    </row>
    <row r="29820" spans="13:16">
      <c r="M29820" s="49">
        <f>IF($A$4+298&gt;$B$4,"",$A$4+298)</f>
        <v>46321</v>
      </c>
      <c r="N29820" t="str">
        <f>IF(M29820="","",'Master Barang'!A14)</f>
        <v>PRL-013</v>
      </c>
      <c r="O29820" t="str">
        <f>IF(N29820="","",'Master Barang'!B14)</f>
        <v>sarung tangan plastik kaka 100 pcs</v>
      </c>
      <c r="P29820">
        <f>IF(OR(M29820="",N29820=""),"",SUMIFS('Barang Keluar'!$E:$E,'Barang Keluar'!$A:$A,M29820,'Barang Keluar'!$C:$C,N29820))</f>
        <v>0</v>
      </c>
    </row>
    <row r="29821" spans="13:16">
      <c r="M29821" s="49">
        <f>IF($A$4+298&gt;$B$4,"",$A$4+298)</f>
        <v>46321</v>
      </c>
      <c r="N29821" t="str">
        <f>IF(M29821="","",'Master Barang'!A15)</f>
        <v>PRL-014</v>
      </c>
      <c r="O29821" t="str">
        <f>IF(N29821="","",'Master Barang'!B15)</f>
        <v>optima trashbag 80x100</v>
      </c>
      <c r="P29821">
        <f>IF(OR(M29821="",N29821=""),"",SUMIFS('Barang Keluar'!$E:$E,'Barang Keluar'!$A:$A,M29821,'Barang Keluar'!$C:$C,N29821))</f>
        <v>0</v>
      </c>
    </row>
    <row r="29822" spans="13:16">
      <c r="M29822" s="49">
        <f>IF($A$4+298&gt;$B$4,"",$A$4+298)</f>
        <v>46321</v>
      </c>
      <c r="N29822" t="str">
        <f>IF(M29822="","",'Master Barang'!A16)</f>
        <v>PRL-015</v>
      </c>
      <c r="O29822" t="str">
        <f>IF(N29822="","",'Master Barang'!B16)</f>
        <v>optima trashbag 60x100</v>
      </c>
      <c r="P29822">
        <f>IF(OR(M29822="",N29822=""),"",SUMIFS('Barang Keluar'!$E:$E,'Barang Keluar'!$A:$A,M29822,'Barang Keluar'!$C:$C,N29822))</f>
        <v>0</v>
      </c>
    </row>
    <row r="29823" spans="13:16">
      <c r="M29823" s="49">
        <f>IF($A$4+298&gt;$B$4,"",$A$4+298)</f>
        <v>46321</v>
      </c>
      <c r="N29823" t="str">
        <f>IF(M29823="","",'Master Barang'!A17)</f>
        <v>PRL-016</v>
      </c>
      <c r="O29823" t="str">
        <f>IF(N29823="","",'Master Barang'!B17)</f>
        <v>rajawali trashbag 30x40</v>
      </c>
      <c r="P29823">
        <f>IF(OR(M29823="",N29823=""),"",SUMIFS('Barang Keluar'!$E:$E,'Barang Keluar'!$A:$A,M29823,'Barang Keluar'!$C:$C,N29823))</f>
        <v>0</v>
      </c>
    </row>
    <row r="29824" spans="13:16">
      <c r="M29824" s="49">
        <f>IF($A$4+298&gt;$B$4,"",$A$4+298)</f>
        <v>46321</v>
      </c>
      <c r="N29824" t="str">
        <f>IF(M29824="","",'Master Barang'!A18)</f>
        <v>PRL-017</v>
      </c>
      <c r="O29824" t="str">
        <f>IF(N29824="","",'Master Barang'!B18)</f>
        <v>onemed masker biru 3 play 50 pcs</v>
      </c>
      <c r="P29824">
        <f>IF(OR(M29824="",N29824=""),"",SUMIFS('Barang Keluar'!$E:$E,'Barang Keluar'!$A:$A,M29824,'Barang Keluar'!$C:$C,N29824))</f>
        <v>0</v>
      </c>
    </row>
    <row r="29825" spans="13:16">
      <c r="M29825" s="49">
        <f>IF($A$4+298&gt;$B$4,"",$A$4+298)</f>
        <v>46321</v>
      </c>
      <c r="N29825" t="str">
        <f>IF(M29825="","",'Master Barang'!A19)</f>
        <v>PRL-018</v>
      </c>
      <c r="O29825" t="str">
        <f>IF(N29825="","",'Master Barang'!B19)</f>
        <v>onemed masker biru 3 play hijab 50 pcs</v>
      </c>
      <c r="P29825">
        <f>IF(OR(M29825="",N29825=""),"",SUMIFS('Barang Keluar'!$E:$E,'Barang Keluar'!$A:$A,M29825,'Barang Keluar'!$C:$C,N29825))</f>
        <v>0</v>
      </c>
    </row>
    <row r="29826" spans="13:16">
      <c r="M29826" s="49">
        <f>IF($A$4+298&gt;$B$4,"",$A$4+298)</f>
        <v>46321</v>
      </c>
      <c r="N29826" t="str">
        <f>IF(M29826="","",'Master Barang'!A20)</f>
        <v>PRL-019</v>
      </c>
      <c r="O29826" t="str">
        <f>IF(N29826="","",'Master Barang'!B20)</f>
        <v>neo health masker biru 3 play 50 pcs</v>
      </c>
      <c r="P29826">
        <f>IF(OR(M29826="",N29826=""),"",SUMIFS('Barang Keluar'!$E:$E,'Barang Keluar'!$A:$A,M29826,'Barang Keluar'!$C:$C,N29826))</f>
        <v>0</v>
      </c>
    </row>
    <row r="29827" spans="13:16">
      <c r="M29827" s="49">
        <f>IF($A$4+298&gt;$B$4,"",$A$4+298)</f>
        <v>46321</v>
      </c>
      <c r="N29827" t="str">
        <f>IF(M29827="","",'Master Barang'!A21)</f>
        <v>PRL-020</v>
      </c>
      <c r="O29827" t="str">
        <f>IF(N29827="","",'Master Barang'!B21)</f>
        <v>baymed masker hijau 3 play hijau 50 pcs</v>
      </c>
      <c r="P29827">
        <f>IF(OR(M29827="",N29827=""),"",SUMIFS('Barang Keluar'!$E:$E,'Barang Keluar'!$A:$A,M29827,'Barang Keluar'!$C:$C,N29827))</f>
        <v>0</v>
      </c>
    </row>
    <row r="29828" spans="13:16">
      <c r="M29828" s="49">
        <f>IF($A$4+298&gt;$B$4,"",$A$4+298)</f>
        <v>46321</v>
      </c>
      <c r="N29828" t="str">
        <f>IF(M29828="","",'Master Barang'!A22)</f>
        <v>PRL-021</v>
      </c>
      <c r="O29828" t="str">
        <f>IF(N29828="","",'Master Barang'!B22)</f>
        <v>altamed nurse cap penutup kepala 100 pcs</v>
      </c>
      <c r="P29828">
        <f>IF(OR(M29828="",N29828=""),"",SUMIFS('Barang Keluar'!$E:$E,'Barang Keluar'!$A:$A,M29828,'Barang Keluar'!$C:$C,N29828))</f>
        <v>0</v>
      </c>
    </row>
    <row r="29829" spans="13:16">
      <c r="M29829" s="49">
        <f>IF($A$4+298&gt;$B$4,"",$A$4+298)</f>
        <v>46321</v>
      </c>
      <c r="N29829" t="str">
        <f>IF(M29829="","",'Master Barang'!A23)</f>
        <v>PRL-022</v>
      </c>
      <c r="O29829" t="str">
        <f>IF(N29829="","",'Master Barang'!B23)</f>
        <v>sabun cuci tangan</v>
      </c>
      <c r="P29829">
        <f>IF(OR(M29829="",N29829=""),"",SUMIFS('Barang Keluar'!$E:$E,'Barang Keluar'!$A:$A,M29829,'Barang Keluar'!$C:$C,N29829))</f>
        <v>0</v>
      </c>
    </row>
    <row r="29830" spans="13:16">
      <c r="M29830" s="49">
        <f>IF($A$4+298&gt;$B$4,"",$A$4+298)</f>
        <v>46321</v>
      </c>
      <c r="N29830" t="str">
        <f>IF(M29830="","",'Master Barang'!A24)</f>
        <v>PRL-023</v>
      </c>
      <c r="O29830" t="str">
        <f>IF(N29830="","",'Master Barang'!B24)</f>
        <v>gayung kecil</v>
      </c>
      <c r="P29830">
        <f>IF(OR(M29830="",N29830=""),"",SUMIFS('Barang Keluar'!$E:$E,'Barang Keluar'!$A:$A,M29830,'Barang Keluar'!$C:$C,N29830))</f>
        <v>0</v>
      </c>
    </row>
    <row r="29831" spans="13:16">
      <c r="M29831" s="49">
        <f>IF($A$4+298&gt;$B$4,"",$A$4+298)</f>
        <v>46321</v>
      </c>
      <c r="N29831" t="str">
        <f>IF(M29831="","",'Master Barang'!A25)</f>
        <v>PRL-024</v>
      </c>
      <c r="O29831" t="str">
        <f>IF(N29831="","",'Master Barang'!B25)</f>
        <v>cikrak kecil</v>
      </c>
      <c r="P29831">
        <f>IF(OR(M29831="",N29831=""),"",SUMIFS('Barang Keluar'!$E:$E,'Barang Keluar'!$A:$A,M29831,'Barang Keluar'!$C:$C,N29831))</f>
        <v>0</v>
      </c>
    </row>
    <row r="29832" spans="13:16">
      <c r="M29832" s="49">
        <f>IF($A$4+298&gt;$B$4,"",$A$4+298)</f>
        <v>46321</v>
      </c>
      <c r="N29832" t="str">
        <f>IF(M29832="","",'Master Barang'!A26)</f>
        <v>PRL-025</v>
      </c>
      <c r="O29832" t="str">
        <f>IF(N29832="","",'Master Barang'!B26)</f>
        <v>petromax plastik kecil 12x24 100 lembar</v>
      </c>
      <c r="P29832">
        <f>IF(OR(M29832="",N29832=""),"",SUMIFS('Barang Keluar'!$E:$E,'Barang Keluar'!$A:$A,M29832,'Barang Keluar'!$C:$C,N29832))</f>
        <v>0</v>
      </c>
    </row>
    <row r="29833" spans="13:16">
      <c r="M29833" s="49">
        <f>IF($A$4+298&gt;$B$4,"",$A$4+298)</f>
        <v>46321</v>
      </c>
      <c r="N29833" t="str">
        <f>IF(M29833="","",'Master Barang'!A27)</f>
        <v>PRL-026</v>
      </c>
      <c r="O29833" t="str">
        <f>IF(N29833="","",'Master Barang'!B27)</f>
        <v>lancar kresek kecil bening </v>
      </c>
      <c r="P29833">
        <f>IF(OR(M29833="",N29833=""),"",SUMIFS('Barang Keluar'!$E:$E,'Barang Keluar'!$A:$A,M29833,'Barang Keluar'!$C:$C,N29833))</f>
        <v>0</v>
      </c>
    </row>
    <row r="29834" spans="13:16">
      <c r="M29834" s="49">
        <f>IF($A$4+298&gt;$B$4,"",$A$4+298)</f>
        <v>46321</v>
      </c>
      <c r="N29834" t="str">
        <f>IF(M29834="","",'Master Barang'!A28)</f>
        <v>PRL-027</v>
      </c>
      <c r="O29834" t="str">
        <f>IF(N29834="","",'Master Barang'!B28)</f>
        <v>kresek klin warna warni kecil</v>
      </c>
      <c r="P29834">
        <f>IF(OR(M29834="",N29834=""),"",SUMIFS('Barang Keluar'!$E:$E,'Barang Keluar'!$A:$A,M29834,'Barang Keluar'!$C:$C,N29834))</f>
        <v>0</v>
      </c>
    </row>
    <row r="29835" spans="13:16">
      <c r="M29835" s="49">
        <f>IF($A$4+298&gt;$B$4,"",$A$4+298)</f>
        <v>46321</v>
      </c>
      <c r="N29835" t="str">
        <f>IF(M29835="","",'Master Barang'!A29)</f>
        <v>PRL-028</v>
      </c>
      <c r="O29835" t="str">
        <f>IF(N29835="","",'Master Barang'!B29)</f>
        <v>ctik plastik 7x10 100 pcs</v>
      </c>
      <c r="P29835">
        <f>IF(OR(M29835="",N29835=""),"",SUMIFS('Barang Keluar'!$E:$E,'Barang Keluar'!$A:$A,M29835,'Barang Keluar'!$C:$C,N29835))</f>
        <v>0</v>
      </c>
    </row>
    <row r="29836" spans="13:16">
      <c r="M29836" s="49">
        <f>IF($A$4+298&gt;$B$4,"",$A$4+298)</f>
        <v>46321</v>
      </c>
      <c r="N29836" t="str">
        <f>IF(M29836="","",'Master Barang'!A30)</f>
        <v>PRL-029</v>
      </c>
      <c r="O29836" t="str">
        <f>IF(N29836="","",'Master Barang'!B30)</f>
        <v>ctik plastik 6x10 100 pcs</v>
      </c>
      <c r="P29836">
        <f>IF(OR(M29836="",N29836=""),"",SUMIFS('Barang Keluar'!$E:$E,'Barang Keluar'!$A:$A,M29836,'Barang Keluar'!$C:$C,N29836))</f>
        <v>0</v>
      </c>
    </row>
    <row r="29837" spans="13:16">
      <c r="M29837" s="49">
        <f>IF($A$4+298&gt;$B$4,"",$A$4+298)</f>
        <v>46321</v>
      </c>
      <c r="N29837" t="str">
        <f>IF(M29837="","",'Master Barang'!A31)</f>
        <v>PRL-030</v>
      </c>
      <c r="O29837" t="str">
        <f>IF(N29837="","",'Master Barang'!B31)</f>
        <v>klip plastik 25x16 100 pcs</v>
      </c>
      <c r="P29837">
        <f>IF(OR(M29837="",N29837=""),"",SUMIFS('Barang Keluar'!$E:$E,'Barang Keluar'!$A:$A,M29837,'Barang Keluar'!$C:$C,N29837))</f>
        <v>0</v>
      </c>
    </row>
    <row r="29838" spans="13:16">
      <c r="M29838" s="49">
        <f>IF($A$4+298&gt;$B$4,"",$A$4+298)</f>
        <v>46321</v>
      </c>
      <c r="N29838" t="str">
        <f>IF(M29838="","",'Master Barang'!A32)</f>
        <v>PRL-031</v>
      </c>
      <c r="O29838" t="str">
        <f>IF(N29838="","",'Master Barang'!B32)</f>
        <v>tempat saus 20 ml</v>
      </c>
      <c r="P29838">
        <f>IF(OR(M29838="",N29838=""),"",SUMIFS('Barang Keluar'!$E:$E,'Barang Keluar'!$A:$A,M29838,'Barang Keluar'!$C:$C,N29838))</f>
        <v>0</v>
      </c>
    </row>
    <row r="29839" spans="13:16">
      <c r="M29839" s="49">
        <f>IF($A$4+298&gt;$B$4,"",$A$4+298)</f>
        <v>46321</v>
      </c>
      <c r="N29839" t="str">
        <f>IF(M29839="","",'Master Barang'!A33)</f>
        <v>PRL-032</v>
      </c>
      <c r="O29839" t="str">
        <f>IF(N29839="","",'Master Barang'!B33)</f>
        <v>plastik packaging ag box uk sedang</v>
      </c>
      <c r="P29839">
        <f>IF(OR(M29839="",N29839=""),"",SUMIFS('Barang Keluar'!$E:$E,'Barang Keluar'!$A:$A,M29839,'Barang Keluar'!$C:$C,N29839))</f>
        <v>0</v>
      </c>
    </row>
    <row r="29840" spans="13:16">
      <c r="M29840" s="49">
        <f>IF($A$4+298&gt;$B$4,"",$A$4+298)</f>
        <v>46321</v>
      </c>
      <c r="N29840" t="str">
        <f>IF(M29840="","",'Master Barang'!A34)</f>
        <v>PRL-033</v>
      </c>
      <c r="O29840">
        <f>IF(N29840="","",'Master Barang'!B34)</f>
        <v>0</v>
      </c>
      <c r="P29840">
        <f>IF(OR(M29840="",N29840=""),"",SUMIFS('Barang Keluar'!$E:$E,'Barang Keluar'!$A:$A,M29840,'Barang Keluar'!$C:$C,N29840))</f>
        <v>0</v>
      </c>
    </row>
    <row r="29841" spans="13:16">
      <c r="M29841" s="49">
        <f>IF($A$4+298&gt;$B$4,"",$A$4+298)</f>
        <v>46321</v>
      </c>
      <c r="N29841">
        <f>IF(M29841="","",'Master Barang'!A35)</f>
        <v>0</v>
      </c>
      <c r="O29841">
        <f>IF(N29841="","",'Master Barang'!B35)</f>
        <v>0</v>
      </c>
      <c r="P29841">
        <f>IF(OR(M29841="",N29841=""),"",SUMIFS('Barang Keluar'!$E:$E,'Barang Keluar'!$A:$A,M29841,'Barang Keluar'!$C:$C,N29841))</f>
        <v>0</v>
      </c>
    </row>
    <row r="29842" spans="13:16">
      <c r="M29842" s="49">
        <f>IF($A$4+298&gt;$B$4,"",$A$4+298)</f>
        <v>46321</v>
      </c>
      <c r="N29842">
        <f>IF(M29842="","",'Master Barang'!A36)</f>
        <v>0</v>
      </c>
      <c r="O29842">
        <f>IF(N29842="","",'Master Barang'!B36)</f>
        <v>0</v>
      </c>
      <c r="P29842">
        <f>IF(OR(M29842="",N29842=""),"",SUMIFS('Barang Keluar'!$E:$E,'Barang Keluar'!$A:$A,M29842,'Barang Keluar'!$C:$C,N29842))</f>
        <v>0</v>
      </c>
    </row>
    <row r="29843" spans="13:16">
      <c r="M29843" s="49">
        <f>IF($A$4+298&gt;$B$4,"",$A$4+298)</f>
        <v>46321</v>
      </c>
      <c r="N29843">
        <f>IF(M29843="","",'Master Barang'!A37)</f>
        <v>0</v>
      </c>
      <c r="O29843">
        <f>IF(N29843="","",'Master Barang'!B37)</f>
        <v>0</v>
      </c>
      <c r="P29843">
        <f>IF(OR(M29843="",N29843=""),"",SUMIFS('Barang Keluar'!$E:$E,'Barang Keluar'!$A:$A,M29843,'Barang Keluar'!$C:$C,N29843))</f>
        <v>0</v>
      </c>
    </row>
    <row r="29844" spans="13:16">
      <c r="M29844" s="49">
        <f>IF($A$4+298&gt;$B$4,"",$A$4+298)</f>
        <v>46321</v>
      </c>
      <c r="N29844">
        <f>IF(M29844="","",'Master Barang'!A38)</f>
        <v>0</v>
      </c>
      <c r="O29844">
        <f>IF(N29844="","",'Master Barang'!B38)</f>
        <v>0</v>
      </c>
      <c r="P29844">
        <f>IF(OR(M29844="",N29844=""),"",SUMIFS('Barang Keluar'!$E:$E,'Barang Keluar'!$A:$A,M29844,'Barang Keluar'!$C:$C,N29844))</f>
        <v>0</v>
      </c>
    </row>
    <row r="29845" spans="13:16">
      <c r="M29845" s="49">
        <f>IF($A$4+298&gt;$B$4,"",$A$4+298)</f>
        <v>46321</v>
      </c>
      <c r="N29845">
        <f>IF(M29845="","",'Master Barang'!A39)</f>
        <v>0</v>
      </c>
      <c r="O29845">
        <f>IF(N29845="","",'Master Barang'!B39)</f>
        <v>0</v>
      </c>
      <c r="P29845">
        <f>IF(OR(M29845="",N29845=""),"",SUMIFS('Barang Keluar'!$E:$E,'Barang Keluar'!$A:$A,M29845,'Barang Keluar'!$C:$C,N29845))</f>
        <v>0</v>
      </c>
    </row>
    <row r="29846" spans="13:16">
      <c r="M29846" s="49">
        <f>IF($A$4+298&gt;$B$4,"",$A$4+298)</f>
        <v>46321</v>
      </c>
      <c r="N29846">
        <f>IF(M29846="","",'Master Barang'!A40)</f>
        <v>0</v>
      </c>
      <c r="O29846">
        <f>IF(N29846="","",'Master Barang'!B40)</f>
        <v>0</v>
      </c>
      <c r="P29846">
        <f>IF(OR(M29846="",N29846=""),"",SUMIFS('Barang Keluar'!$E:$E,'Barang Keluar'!$A:$A,M29846,'Barang Keluar'!$C:$C,N29846))</f>
        <v>0</v>
      </c>
    </row>
    <row r="29847" spans="13:16">
      <c r="M29847" s="49">
        <f>IF($A$4+298&gt;$B$4,"",$A$4+298)</f>
        <v>46321</v>
      </c>
      <c r="N29847">
        <f>IF(M29847="","",'Master Barang'!A41)</f>
        <v>0</v>
      </c>
      <c r="O29847">
        <f>IF(N29847="","",'Master Barang'!B41)</f>
        <v>0</v>
      </c>
      <c r="P29847">
        <f>IF(OR(M29847="",N29847=""),"",SUMIFS('Barang Keluar'!$E:$E,'Barang Keluar'!$A:$A,M29847,'Barang Keluar'!$C:$C,N29847))</f>
        <v>0</v>
      </c>
    </row>
    <row r="29848" spans="13:16">
      <c r="M29848" s="49">
        <f>IF($A$4+298&gt;$B$4,"",$A$4+298)</f>
        <v>46321</v>
      </c>
      <c r="N29848">
        <f>IF(M29848="","",'Master Barang'!A42)</f>
        <v>0</v>
      </c>
      <c r="O29848">
        <f>IF(N29848="","",'Master Barang'!B42)</f>
        <v>0</v>
      </c>
      <c r="P29848">
        <f>IF(OR(M29848="",N29848=""),"",SUMIFS('Barang Keluar'!$E:$E,'Barang Keluar'!$A:$A,M29848,'Barang Keluar'!$C:$C,N29848))</f>
        <v>0</v>
      </c>
    </row>
    <row r="29849" spans="13:16">
      <c r="M29849" s="49">
        <f>IF($A$4+298&gt;$B$4,"",$A$4+298)</f>
        <v>46321</v>
      </c>
      <c r="N29849">
        <f>IF(M29849="","",'Master Barang'!A43)</f>
        <v>0</v>
      </c>
      <c r="O29849">
        <f>IF(N29849="","",'Master Barang'!B43)</f>
        <v>0</v>
      </c>
      <c r="P29849">
        <f>IF(OR(M29849="",N29849=""),"",SUMIFS('Barang Keluar'!$E:$E,'Barang Keluar'!$A:$A,M29849,'Barang Keluar'!$C:$C,N29849))</f>
        <v>0</v>
      </c>
    </row>
    <row r="29850" spans="13:16">
      <c r="M29850" s="49">
        <f>IF($A$4+298&gt;$B$4,"",$A$4+298)</f>
        <v>46321</v>
      </c>
      <c r="N29850">
        <f>IF(M29850="","",'Master Barang'!A44)</f>
        <v>0</v>
      </c>
      <c r="O29850">
        <f>IF(N29850="","",'Master Barang'!B44)</f>
        <v>0</v>
      </c>
      <c r="P29850">
        <f>IF(OR(M29850="",N29850=""),"",SUMIFS('Barang Keluar'!$E:$E,'Barang Keluar'!$A:$A,M29850,'Barang Keluar'!$C:$C,N29850))</f>
        <v>0</v>
      </c>
    </row>
    <row r="29851" spans="13:16">
      <c r="M29851" s="49">
        <f>IF($A$4+298&gt;$B$4,"",$A$4+298)</f>
        <v>46321</v>
      </c>
      <c r="N29851">
        <f>IF(M29851="","",'Master Barang'!A45)</f>
        <v>0</v>
      </c>
      <c r="O29851">
        <f>IF(N29851="","",'Master Barang'!B45)</f>
        <v>0</v>
      </c>
      <c r="P29851">
        <f>IF(OR(M29851="",N29851=""),"",SUMIFS('Barang Keluar'!$E:$E,'Barang Keluar'!$A:$A,M29851,'Barang Keluar'!$C:$C,N29851))</f>
        <v>0</v>
      </c>
    </row>
    <row r="29852" spans="13:16">
      <c r="M29852" s="49">
        <f>IF($A$4+298&gt;$B$4,"",$A$4+298)</f>
        <v>46321</v>
      </c>
      <c r="N29852">
        <f>IF(M29852="","",'Master Barang'!A46)</f>
        <v>0</v>
      </c>
      <c r="O29852">
        <f>IF(N29852="","",'Master Barang'!B46)</f>
        <v>0</v>
      </c>
      <c r="P29852">
        <f>IF(OR(M29852="",N29852=""),"",SUMIFS('Barang Keluar'!$E:$E,'Barang Keluar'!$A:$A,M29852,'Barang Keluar'!$C:$C,N29852))</f>
        <v>0</v>
      </c>
    </row>
    <row r="29853" spans="13:16">
      <c r="M29853" s="49">
        <f>IF($A$4+298&gt;$B$4,"",$A$4+298)</f>
        <v>46321</v>
      </c>
      <c r="N29853">
        <f>IF(M29853="","",'Master Barang'!A47)</f>
        <v>0</v>
      </c>
      <c r="O29853">
        <f>IF(N29853="","",'Master Barang'!B47)</f>
        <v>0</v>
      </c>
      <c r="P29853">
        <f>IF(OR(M29853="",N29853=""),"",SUMIFS('Barang Keluar'!$E:$E,'Barang Keluar'!$A:$A,M29853,'Barang Keluar'!$C:$C,N29853))</f>
        <v>0</v>
      </c>
    </row>
    <row r="29854" spans="13:16">
      <c r="M29854" s="49">
        <f>IF($A$4+298&gt;$B$4,"",$A$4+298)</f>
        <v>46321</v>
      </c>
      <c r="N29854">
        <f>IF(M29854="","",'Master Barang'!A48)</f>
        <v>0</v>
      </c>
      <c r="O29854">
        <f>IF(N29854="","",'Master Barang'!B48)</f>
        <v>0</v>
      </c>
      <c r="P29854">
        <f>IF(OR(M29854="",N29854=""),"",SUMIFS('Barang Keluar'!$E:$E,'Barang Keluar'!$A:$A,M29854,'Barang Keluar'!$C:$C,N29854))</f>
        <v>0</v>
      </c>
    </row>
    <row r="29855" spans="13:16">
      <c r="M29855" s="49">
        <f>IF($A$4+298&gt;$B$4,"",$A$4+298)</f>
        <v>46321</v>
      </c>
      <c r="N29855">
        <f>IF(M29855="","",'Master Barang'!A49)</f>
        <v>0</v>
      </c>
      <c r="O29855">
        <f>IF(N29855="","",'Master Barang'!B49)</f>
        <v>0</v>
      </c>
      <c r="P29855">
        <f>IF(OR(M29855="",N29855=""),"",SUMIFS('Barang Keluar'!$E:$E,'Barang Keluar'!$A:$A,M29855,'Barang Keluar'!$C:$C,N29855))</f>
        <v>0</v>
      </c>
    </row>
    <row r="29856" spans="13:16">
      <c r="M29856" s="49">
        <f>IF($A$4+298&gt;$B$4,"",$A$4+298)</f>
        <v>46321</v>
      </c>
      <c r="N29856">
        <f>IF(M29856="","",'Master Barang'!A50)</f>
        <v>0</v>
      </c>
      <c r="O29856">
        <f>IF(N29856="","",'Master Barang'!B50)</f>
        <v>0</v>
      </c>
      <c r="P29856">
        <f>IF(OR(M29856="",N29856=""),"",SUMIFS('Barang Keluar'!$E:$E,'Barang Keluar'!$A:$A,M29856,'Barang Keluar'!$C:$C,N29856))</f>
        <v>0</v>
      </c>
    </row>
    <row r="29857" spans="13:16">
      <c r="M29857" s="49">
        <f>IF($A$4+298&gt;$B$4,"",$A$4+298)</f>
        <v>46321</v>
      </c>
      <c r="N29857">
        <f>IF(M29857="","",'Master Barang'!A51)</f>
        <v>0</v>
      </c>
      <c r="O29857">
        <f>IF(N29857="","",'Master Barang'!B51)</f>
        <v>0</v>
      </c>
      <c r="P29857">
        <f>IF(OR(M29857="",N29857=""),"",SUMIFS('Barang Keluar'!$E:$E,'Barang Keluar'!$A:$A,M29857,'Barang Keluar'!$C:$C,N29857))</f>
        <v>0</v>
      </c>
    </row>
    <row r="29858" spans="13:16">
      <c r="M29858" s="49">
        <f>IF($A$4+298&gt;$B$4,"",$A$4+298)</f>
        <v>46321</v>
      </c>
      <c r="N29858">
        <f>IF(M29858="","",'Master Barang'!A52)</f>
        <v>0</v>
      </c>
      <c r="O29858">
        <f>IF(N29858="","",'Master Barang'!B52)</f>
        <v>0</v>
      </c>
      <c r="P29858">
        <f>IF(OR(M29858="",N29858=""),"",SUMIFS('Barang Keluar'!$E:$E,'Barang Keluar'!$A:$A,M29858,'Barang Keluar'!$C:$C,N29858))</f>
        <v>0</v>
      </c>
    </row>
    <row r="29859" spans="13:16">
      <c r="M29859" s="49">
        <f>IF($A$4+298&gt;$B$4,"",$A$4+298)</f>
        <v>46321</v>
      </c>
      <c r="N29859">
        <f>IF(M29859="","",'Master Barang'!A53)</f>
        <v>0</v>
      </c>
      <c r="O29859">
        <f>IF(N29859="","",'Master Barang'!B53)</f>
        <v>0</v>
      </c>
      <c r="P29859">
        <f>IF(OR(M29859="",N29859=""),"",SUMIFS('Barang Keluar'!$E:$E,'Barang Keluar'!$A:$A,M29859,'Barang Keluar'!$C:$C,N29859))</f>
        <v>0</v>
      </c>
    </row>
    <row r="29860" spans="13:16">
      <c r="M29860" s="49">
        <f>IF($A$4+298&gt;$B$4,"",$A$4+298)</f>
        <v>46321</v>
      </c>
      <c r="N29860">
        <f>IF(M29860="","",'Master Barang'!A54)</f>
        <v>0</v>
      </c>
      <c r="O29860">
        <f>IF(N29860="","",'Master Barang'!B54)</f>
        <v>0</v>
      </c>
      <c r="P29860">
        <f>IF(OR(M29860="",N29860=""),"",SUMIFS('Barang Keluar'!$E:$E,'Barang Keluar'!$A:$A,M29860,'Barang Keluar'!$C:$C,N29860))</f>
        <v>0</v>
      </c>
    </row>
    <row r="29861" spans="13:16">
      <c r="M29861" s="49">
        <f>IF($A$4+298&gt;$B$4,"",$A$4+298)</f>
        <v>46321</v>
      </c>
      <c r="N29861">
        <f>IF(M29861="","",'Master Barang'!A55)</f>
        <v>0</v>
      </c>
      <c r="O29861">
        <f>IF(N29861="","",'Master Barang'!B55)</f>
        <v>0</v>
      </c>
      <c r="P29861">
        <f>IF(OR(M29861="",N29861=""),"",SUMIFS('Barang Keluar'!$E:$E,'Barang Keluar'!$A:$A,M29861,'Barang Keluar'!$C:$C,N29861))</f>
        <v>0</v>
      </c>
    </row>
    <row r="29862" spans="13:16">
      <c r="M29862" s="49">
        <f>IF($A$4+298&gt;$B$4,"",$A$4+298)</f>
        <v>46321</v>
      </c>
      <c r="N29862">
        <f>IF(M29862="","",'Master Barang'!A56)</f>
        <v>0</v>
      </c>
      <c r="O29862">
        <f>IF(N29862="","",'Master Barang'!B56)</f>
        <v>0</v>
      </c>
      <c r="P29862">
        <f>IF(OR(M29862="",N29862=""),"",SUMIFS('Barang Keluar'!$E:$E,'Barang Keluar'!$A:$A,M29862,'Barang Keluar'!$C:$C,N29862))</f>
        <v>0</v>
      </c>
    </row>
    <row r="29863" spans="13:16">
      <c r="M29863" s="49">
        <f>IF($A$4+298&gt;$B$4,"",$A$4+298)</f>
        <v>46321</v>
      </c>
      <c r="N29863">
        <f>IF(M29863="","",'Master Barang'!A57)</f>
        <v>0</v>
      </c>
      <c r="O29863">
        <f>IF(N29863="","",'Master Barang'!B57)</f>
        <v>0</v>
      </c>
      <c r="P29863">
        <f>IF(OR(M29863="",N29863=""),"",SUMIFS('Barang Keluar'!$E:$E,'Barang Keluar'!$A:$A,M29863,'Barang Keluar'!$C:$C,N29863))</f>
        <v>0</v>
      </c>
    </row>
    <row r="29864" spans="13:16">
      <c r="M29864" s="49">
        <f>IF($A$4+298&gt;$B$4,"",$A$4+298)</f>
        <v>46321</v>
      </c>
      <c r="N29864">
        <f>IF(M29864="","",'Master Barang'!A58)</f>
        <v>0</v>
      </c>
      <c r="O29864">
        <f>IF(N29864="","",'Master Barang'!B58)</f>
        <v>0</v>
      </c>
      <c r="P29864">
        <f>IF(OR(M29864="",N29864=""),"",SUMIFS('Barang Keluar'!$E:$E,'Barang Keluar'!$A:$A,M29864,'Barang Keluar'!$C:$C,N29864))</f>
        <v>0</v>
      </c>
    </row>
    <row r="29865" spans="13:16">
      <c r="M29865" s="49">
        <f>IF($A$4+298&gt;$B$4,"",$A$4+298)</f>
        <v>46321</v>
      </c>
      <c r="N29865">
        <f>IF(M29865="","",'Master Barang'!A59)</f>
        <v>0</v>
      </c>
      <c r="O29865">
        <f>IF(N29865="","",'Master Barang'!B59)</f>
        <v>0</v>
      </c>
      <c r="P29865">
        <f>IF(OR(M29865="",N29865=""),"",SUMIFS('Barang Keluar'!$E:$E,'Barang Keluar'!$A:$A,M29865,'Barang Keluar'!$C:$C,N29865))</f>
        <v>0</v>
      </c>
    </row>
    <row r="29866" spans="13:16">
      <c r="M29866" s="49">
        <f>IF($A$4+298&gt;$B$4,"",$A$4+298)</f>
        <v>46321</v>
      </c>
      <c r="N29866">
        <f>IF(M29866="","",'Master Barang'!A60)</f>
        <v>0</v>
      </c>
      <c r="O29866">
        <f>IF(N29866="","",'Master Barang'!B60)</f>
        <v>0</v>
      </c>
      <c r="P29866">
        <f>IF(OR(M29866="",N29866=""),"",SUMIFS('Barang Keluar'!$E:$E,'Barang Keluar'!$A:$A,M29866,'Barang Keluar'!$C:$C,N29866))</f>
        <v>0</v>
      </c>
    </row>
    <row r="29867" spans="13:16">
      <c r="M29867" s="49">
        <f>IF($A$4+298&gt;$B$4,"",$A$4+298)</f>
        <v>46321</v>
      </c>
      <c r="N29867">
        <f>IF(M29867="","",'Master Barang'!A61)</f>
        <v>0</v>
      </c>
      <c r="O29867">
        <f>IF(N29867="","",'Master Barang'!B61)</f>
        <v>0</v>
      </c>
      <c r="P29867">
        <f>IF(OR(M29867="",N29867=""),"",SUMIFS('Barang Keluar'!$E:$E,'Barang Keluar'!$A:$A,M29867,'Barang Keluar'!$C:$C,N29867))</f>
        <v>0</v>
      </c>
    </row>
    <row r="29868" spans="13:16">
      <c r="M29868" s="49">
        <f>IF($A$4+298&gt;$B$4,"",$A$4+298)</f>
        <v>46321</v>
      </c>
      <c r="N29868">
        <f>IF(M29868="","",'Master Barang'!A62)</f>
        <v>0</v>
      </c>
      <c r="O29868">
        <f>IF(N29868="","",'Master Barang'!B62)</f>
        <v>0</v>
      </c>
      <c r="P29868">
        <f>IF(OR(M29868="",N29868=""),"",SUMIFS('Barang Keluar'!$E:$E,'Barang Keluar'!$A:$A,M29868,'Barang Keluar'!$C:$C,N29868))</f>
        <v>0</v>
      </c>
    </row>
    <row r="29869" spans="13:16">
      <c r="M29869" s="49">
        <f>IF($A$4+298&gt;$B$4,"",$A$4+298)</f>
        <v>46321</v>
      </c>
      <c r="N29869">
        <f>IF(M29869="","",'Master Barang'!A63)</f>
        <v>0</v>
      </c>
      <c r="O29869">
        <f>IF(N29869="","",'Master Barang'!B63)</f>
        <v>0</v>
      </c>
      <c r="P29869">
        <f>IF(OR(M29869="",N29869=""),"",SUMIFS('Barang Keluar'!$E:$E,'Barang Keluar'!$A:$A,M29869,'Barang Keluar'!$C:$C,N29869))</f>
        <v>0</v>
      </c>
    </row>
    <row r="29870" spans="13:16">
      <c r="M29870" s="49">
        <f>IF($A$4+298&gt;$B$4,"",$A$4+298)</f>
        <v>46321</v>
      </c>
      <c r="N29870">
        <f>IF(M29870="","",'Master Barang'!A64)</f>
        <v>0</v>
      </c>
      <c r="O29870">
        <f>IF(N29870="","",'Master Barang'!B64)</f>
        <v>0</v>
      </c>
      <c r="P29870">
        <f>IF(OR(M29870="",N29870=""),"",SUMIFS('Barang Keluar'!$E:$E,'Barang Keluar'!$A:$A,M29870,'Barang Keluar'!$C:$C,N29870))</f>
        <v>0</v>
      </c>
    </row>
    <row r="29871" spans="13:16">
      <c r="M29871" s="49">
        <f>IF($A$4+298&gt;$B$4,"",$A$4+298)</f>
        <v>46321</v>
      </c>
      <c r="N29871">
        <f>IF(M29871="","",'Master Barang'!A65)</f>
        <v>0</v>
      </c>
      <c r="O29871">
        <f>IF(N29871="","",'Master Barang'!B65)</f>
        <v>0</v>
      </c>
      <c r="P29871">
        <f>IF(OR(M29871="",N29871=""),"",SUMIFS('Barang Keluar'!$E:$E,'Barang Keluar'!$A:$A,M29871,'Barang Keluar'!$C:$C,N29871))</f>
        <v>0</v>
      </c>
    </row>
    <row r="29872" spans="13:16">
      <c r="M29872" s="49">
        <f>IF($A$4+298&gt;$B$4,"",$A$4+298)</f>
        <v>46321</v>
      </c>
      <c r="N29872">
        <f>IF(M29872="","",'Master Barang'!A66)</f>
        <v>0</v>
      </c>
      <c r="O29872">
        <f>IF(N29872="","",'Master Barang'!B66)</f>
        <v>0</v>
      </c>
      <c r="P29872">
        <f>IF(OR(M29872="",N29872=""),"",SUMIFS('Barang Keluar'!$E:$E,'Barang Keluar'!$A:$A,M29872,'Barang Keluar'!$C:$C,N29872))</f>
        <v>0</v>
      </c>
    </row>
    <row r="29873" spans="13:16">
      <c r="M29873" s="49">
        <f>IF($A$4+298&gt;$B$4,"",$A$4+298)</f>
        <v>46321</v>
      </c>
      <c r="N29873">
        <f>IF(M29873="","",'Master Barang'!A67)</f>
        <v>0</v>
      </c>
      <c r="O29873">
        <f>IF(N29873="","",'Master Barang'!B67)</f>
        <v>0</v>
      </c>
      <c r="P29873">
        <f>IF(OR(M29873="",N29873=""),"",SUMIFS('Barang Keluar'!$E:$E,'Barang Keluar'!$A:$A,M29873,'Barang Keluar'!$C:$C,N29873))</f>
        <v>0</v>
      </c>
    </row>
    <row r="29874" spans="13:16">
      <c r="M29874" s="49">
        <f>IF($A$4+298&gt;$B$4,"",$A$4+298)</f>
        <v>46321</v>
      </c>
      <c r="N29874">
        <f>IF(M29874="","",'Master Barang'!A68)</f>
        <v>0</v>
      </c>
      <c r="O29874">
        <f>IF(N29874="","",'Master Barang'!B68)</f>
        <v>0</v>
      </c>
      <c r="P29874">
        <f>IF(OR(M29874="",N29874=""),"",SUMIFS('Barang Keluar'!$E:$E,'Barang Keluar'!$A:$A,M29874,'Barang Keluar'!$C:$C,N29874))</f>
        <v>0</v>
      </c>
    </row>
    <row r="29875" spans="13:16">
      <c r="M29875" s="49">
        <f>IF($A$4+298&gt;$B$4,"",$A$4+298)</f>
        <v>46321</v>
      </c>
      <c r="N29875">
        <f>IF(M29875="","",'Master Barang'!A69)</f>
        <v>0</v>
      </c>
      <c r="O29875">
        <f>IF(N29875="","",'Master Barang'!B69)</f>
        <v>0</v>
      </c>
      <c r="P29875">
        <f>IF(OR(M29875="",N29875=""),"",SUMIFS('Barang Keluar'!$E:$E,'Barang Keluar'!$A:$A,M29875,'Barang Keluar'!$C:$C,N29875))</f>
        <v>0</v>
      </c>
    </row>
    <row r="29876" spans="13:16">
      <c r="M29876" s="49">
        <f>IF($A$4+298&gt;$B$4,"",$A$4+298)</f>
        <v>46321</v>
      </c>
      <c r="N29876">
        <f>IF(M29876="","",'Master Barang'!A70)</f>
        <v>0</v>
      </c>
      <c r="O29876">
        <f>IF(N29876="","",'Master Barang'!B70)</f>
        <v>0</v>
      </c>
      <c r="P29876">
        <f>IF(OR(M29876="",N29876=""),"",SUMIFS('Barang Keluar'!$E:$E,'Barang Keluar'!$A:$A,M29876,'Barang Keluar'!$C:$C,N29876))</f>
        <v>0</v>
      </c>
    </row>
    <row r="29877" spans="13:16">
      <c r="M29877" s="49">
        <f>IF($A$4+298&gt;$B$4,"",$A$4+298)</f>
        <v>46321</v>
      </c>
      <c r="N29877">
        <f>IF(M29877="","",'Master Barang'!A71)</f>
        <v>0</v>
      </c>
      <c r="O29877">
        <f>IF(N29877="","",'Master Barang'!B71)</f>
        <v>0</v>
      </c>
      <c r="P29877">
        <f>IF(OR(M29877="",N29877=""),"",SUMIFS('Barang Keluar'!$E:$E,'Barang Keluar'!$A:$A,M29877,'Barang Keluar'!$C:$C,N29877))</f>
        <v>0</v>
      </c>
    </row>
    <row r="29878" spans="13:16">
      <c r="M29878" s="49">
        <f>IF($A$4+298&gt;$B$4,"",$A$4+298)</f>
        <v>46321</v>
      </c>
      <c r="N29878">
        <f>IF(M29878="","",'Master Barang'!A72)</f>
        <v>0</v>
      </c>
      <c r="O29878">
        <f>IF(N29878="","",'Master Barang'!B72)</f>
        <v>0</v>
      </c>
      <c r="P29878">
        <f>IF(OR(M29878="",N29878=""),"",SUMIFS('Barang Keluar'!$E:$E,'Barang Keluar'!$A:$A,M29878,'Barang Keluar'!$C:$C,N29878))</f>
        <v>0</v>
      </c>
    </row>
    <row r="29879" spans="13:16">
      <c r="M29879" s="49">
        <f>IF($A$4+298&gt;$B$4,"",$A$4+298)</f>
        <v>46321</v>
      </c>
      <c r="N29879">
        <f>IF(M29879="","",'Master Barang'!A73)</f>
        <v>0</v>
      </c>
      <c r="O29879">
        <f>IF(N29879="","",'Master Barang'!B73)</f>
        <v>0</v>
      </c>
      <c r="P29879">
        <f>IF(OR(M29879="",N29879=""),"",SUMIFS('Barang Keluar'!$E:$E,'Barang Keluar'!$A:$A,M29879,'Barang Keluar'!$C:$C,N29879))</f>
        <v>0</v>
      </c>
    </row>
    <row r="29880" spans="13:16">
      <c r="M29880" s="49">
        <f>IF($A$4+298&gt;$B$4,"",$A$4+298)</f>
        <v>46321</v>
      </c>
      <c r="N29880">
        <f>IF(M29880="","",'Master Barang'!A74)</f>
        <v>0</v>
      </c>
      <c r="O29880">
        <f>IF(N29880="","",'Master Barang'!B74)</f>
        <v>0</v>
      </c>
      <c r="P29880">
        <f>IF(OR(M29880="",N29880=""),"",SUMIFS('Barang Keluar'!$E:$E,'Barang Keluar'!$A:$A,M29880,'Barang Keluar'!$C:$C,N29880))</f>
        <v>0</v>
      </c>
    </row>
    <row r="29881" spans="13:16">
      <c r="M29881" s="49">
        <f>IF($A$4+298&gt;$B$4,"",$A$4+298)</f>
        <v>46321</v>
      </c>
      <c r="N29881">
        <f>IF(M29881="","",'Master Barang'!A75)</f>
        <v>0</v>
      </c>
      <c r="O29881">
        <f>IF(N29881="","",'Master Barang'!B75)</f>
        <v>0</v>
      </c>
      <c r="P29881">
        <f>IF(OR(M29881="",N29881=""),"",SUMIFS('Barang Keluar'!$E:$E,'Barang Keluar'!$A:$A,M29881,'Barang Keluar'!$C:$C,N29881))</f>
        <v>0</v>
      </c>
    </row>
    <row r="29882" spans="13:16">
      <c r="M29882" s="49">
        <f>IF($A$4+298&gt;$B$4,"",$A$4+298)</f>
        <v>46321</v>
      </c>
      <c r="N29882">
        <f>IF(M29882="","",'Master Barang'!A76)</f>
        <v>0</v>
      </c>
      <c r="O29882">
        <f>IF(N29882="","",'Master Barang'!B76)</f>
        <v>0</v>
      </c>
      <c r="P29882">
        <f>IF(OR(M29882="",N29882=""),"",SUMIFS('Barang Keluar'!$E:$E,'Barang Keluar'!$A:$A,M29882,'Barang Keluar'!$C:$C,N29882))</f>
        <v>0</v>
      </c>
    </row>
    <row r="29883" spans="13:16">
      <c r="M29883" s="49">
        <f>IF($A$4+298&gt;$B$4,"",$A$4+298)</f>
        <v>46321</v>
      </c>
      <c r="N29883">
        <f>IF(M29883="","",'Master Barang'!A77)</f>
        <v>0</v>
      </c>
      <c r="O29883">
        <f>IF(N29883="","",'Master Barang'!B77)</f>
        <v>0</v>
      </c>
      <c r="P29883">
        <f>IF(OR(M29883="",N29883=""),"",SUMIFS('Barang Keluar'!$E:$E,'Barang Keluar'!$A:$A,M29883,'Barang Keluar'!$C:$C,N29883))</f>
        <v>0</v>
      </c>
    </row>
    <row r="29884" spans="13:16">
      <c r="M29884" s="49">
        <f>IF($A$4+298&gt;$B$4,"",$A$4+298)</f>
        <v>46321</v>
      </c>
      <c r="N29884">
        <f>IF(M29884="","",'Master Barang'!A78)</f>
        <v>0</v>
      </c>
      <c r="O29884">
        <f>IF(N29884="","",'Master Barang'!B78)</f>
        <v>0</v>
      </c>
      <c r="P29884">
        <f>IF(OR(M29884="",N29884=""),"",SUMIFS('Barang Keluar'!$E:$E,'Barang Keluar'!$A:$A,M29884,'Barang Keluar'!$C:$C,N29884))</f>
        <v>0</v>
      </c>
    </row>
    <row r="29885" spans="13:16">
      <c r="M29885" s="49">
        <f>IF($A$4+298&gt;$B$4,"",$A$4+298)</f>
        <v>46321</v>
      </c>
      <c r="N29885">
        <f>IF(M29885="","",'Master Barang'!A79)</f>
        <v>0</v>
      </c>
      <c r="O29885">
        <f>IF(N29885="","",'Master Barang'!B79)</f>
        <v>0</v>
      </c>
      <c r="P29885">
        <f>IF(OR(M29885="",N29885=""),"",SUMIFS('Barang Keluar'!$E:$E,'Barang Keluar'!$A:$A,M29885,'Barang Keluar'!$C:$C,N29885))</f>
        <v>0</v>
      </c>
    </row>
    <row r="29886" spans="13:16">
      <c r="M29886" s="49">
        <f>IF($A$4+298&gt;$B$4,"",$A$4+298)</f>
        <v>46321</v>
      </c>
      <c r="N29886">
        <f>IF(M29886="","",'Master Barang'!A80)</f>
        <v>0</v>
      </c>
      <c r="O29886">
        <f>IF(N29886="","",'Master Barang'!B80)</f>
        <v>0</v>
      </c>
      <c r="P29886">
        <f>IF(OR(M29886="",N29886=""),"",SUMIFS('Barang Keluar'!$E:$E,'Barang Keluar'!$A:$A,M29886,'Barang Keluar'!$C:$C,N29886))</f>
        <v>0</v>
      </c>
    </row>
    <row r="29887" spans="13:16">
      <c r="M29887" s="49">
        <f>IF($A$4+298&gt;$B$4,"",$A$4+298)</f>
        <v>46321</v>
      </c>
      <c r="N29887">
        <f>IF(M29887="","",'Master Barang'!A81)</f>
        <v>0</v>
      </c>
      <c r="O29887">
        <f>IF(N29887="","",'Master Barang'!B81)</f>
        <v>0</v>
      </c>
      <c r="P29887">
        <f>IF(OR(M29887="",N29887=""),"",SUMIFS('Barang Keluar'!$E:$E,'Barang Keluar'!$A:$A,M29887,'Barang Keluar'!$C:$C,N29887))</f>
        <v>0</v>
      </c>
    </row>
    <row r="29888" spans="13:16">
      <c r="M29888" s="49">
        <f>IF($A$4+298&gt;$B$4,"",$A$4+298)</f>
        <v>46321</v>
      </c>
      <c r="N29888">
        <f>IF(M29888="","",'Master Barang'!A82)</f>
        <v>0</v>
      </c>
      <c r="O29888">
        <f>IF(N29888="","",'Master Barang'!B82)</f>
        <v>0</v>
      </c>
      <c r="P29888">
        <f>IF(OR(M29888="",N29888=""),"",SUMIFS('Barang Keluar'!$E:$E,'Barang Keluar'!$A:$A,M29888,'Barang Keluar'!$C:$C,N29888))</f>
        <v>0</v>
      </c>
    </row>
    <row r="29889" spans="13:16">
      <c r="M29889" s="49">
        <f>IF($A$4+298&gt;$B$4,"",$A$4+298)</f>
        <v>46321</v>
      </c>
      <c r="N29889">
        <f>IF(M29889="","",'Master Barang'!A83)</f>
        <v>0</v>
      </c>
      <c r="O29889">
        <f>IF(N29889="","",'Master Barang'!B83)</f>
        <v>0</v>
      </c>
      <c r="P29889">
        <f>IF(OR(M29889="",N29889=""),"",SUMIFS('Barang Keluar'!$E:$E,'Barang Keluar'!$A:$A,M29889,'Barang Keluar'!$C:$C,N29889))</f>
        <v>0</v>
      </c>
    </row>
    <row r="29890" spans="13:16">
      <c r="M29890" s="49">
        <f>IF($A$4+298&gt;$B$4,"",$A$4+298)</f>
        <v>46321</v>
      </c>
      <c r="N29890">
        <f>IF(M29890="","",'Master Barang'!A84)</f>
        <v>0</v>
      </c>
      <c r="O29890">
        <f>IF(N29890="","",'Master Barang'!B84)</f>
        <v>0</v>
      </c>
      <c r="P29890">
        <f>IF(OR(M29890="",N29890=""),"",SUMIFS('Barang Keluar'!$E:$E,'Barang Keluar'!$A:$A,M29890,'Barang Keluar'!$C:$C,N29890))</f>
        <v>0</v>
      </c>
    </row>
    <row r="29891" spans="13:16">
      <c r="M29891" s="49">
        <f>IF($A$4+298&gt;$B$4,"",$A$4+298)</f>
        <v>46321</v>
      </c>
      <c r="N29891">
        <f>IF(M29891="","",'Master Barang'!A85)</f>
        <v>0</v>
      </c>
      <c r="O29891">
        <f>IF(N29891="","",'Master Barang'!B85)</f>
        <v>0</v>
      </c>
      <c r="P29891">
        <f>IF(OR(M29891="",N29891=""),"",SUMIFS('Barang Keluar'!$E:$E,'Barang Keluar'!$A:$A,M29891,'Barang Keluar'!$C:$C,N29891))</f>
        <v>0</v>
      </c>
    </row>
    <row r="29892" spans="13:16">
      <c r="M29892" s="49">
        <f>IF($A$4+298&gt;$B$4,"",$A$4+298)</f>
        <v>46321</v>
      </c>
      <c r="N29892">
        <f>IF(M29892="","",'Master Barang'!A86)</f>
        <v>0</v>
      </c>
      <c r="O29892">
        <f>IF(N29892="","",'Master Barang'!B86)</f>
        <v>0</v>
      </c>
      <c r="P29892">
        <f>IF(OR(M29892="",N29892=""),"",SUMIFS('Barang Keluar'!$E:$E,'Barang Keluar'!$A:$A,M29892,'Barang Keluar'!$C:$C,N29892))</f>
        <v>0</v>
      </c>
    </row>
    <row r="29893" spans="13:16">
      <c r="M29893" s="49">
        <f>IF($A$4+298&gt;$B$4,"",$A$4+298)</f>
        <v>46321</v>
      </c>
      <c r="N29893">
        <f>IF(M29893="","",'Master Barang'!A87)</f>
        <v>0</v>
      </c>
      <c r="O29893">
        <f>IF(N29893="","",'Master Barang'!B87)</f>
        <v>0</v>
      </c>
      <c r="P29893">
        <f>IF(OR(M29893="",N29893=""),"",SUMIFS('Barang Keluar'!$E:$E,'Barang Keluar'!$A:$A,M29893,'Barang Keluar'!$C:$C,N29893))</f>
        <v>0</v>
      </c>
    </row>
    <row r="29894" spans="13:16">
      <c r="M29894" s="49">
        <f>IF($A$4+298&gt;$B$4,"",$A$4+298)</f>
        <v>46321</v>
      </c>
      <c r="N29894">
        <f>IF(M29894="","",'Master Barang'!A88)</f>
        <v>0</v>
      </c>
      <c r="O29894">
        <f>IF(N29894="","",'Master Barang'!B88)</f>
        <v>0</v>
      </c>
      <c r="P29894">
        <f>IF(OR(M29894="",N29894=""),"",SUMIFS('Barang Keluar'!$E:$E,'Barang Keluar'!$A:$A,M29894,'Barang Keluar'!$C:$C,N29894))</f>
        <v>0</v>
      </c>
    </row>
    <row r="29895" spans="13:16">
      <c r="M29895" s="49">
        <f>IF($A$4+298&gt;$B$4,"",$A$4+298)</f>
        <v>46321</v>
      </c>
      <c r="N29895">
        <f>IF(M29895="","",'Master Barang'!A89)</f>
        <v>0</v>
      </c>
      <c r="O29895">
        <f>IF(N29895="","",'Master Barang'!B89)</f>
        <v>0</v>
      </c>
      <c r="P29895">
        <f>IF(OR(M29895="",N29895=""),"",SUMIFS('Barang Keluar'!$E:$E,'Barang Keluar'!$A:$A,M29895,'Barang Keluar'!$C:$C,N29895))</f>
        <v>0</v>
      </c>
    </row>
    <row r="29896" spans="13:16">
      <c r="M29896" s="49">
        <f>IF($A$4+298&gt;$B$4,"",$A$4+298)</f>
        <v>46321</v>
      </c>
      <c r="N29896">
        <f>IF(M29896="","",'Master Barang'!A90)</f>
        <v>0</v>
      </c>
      <c r="O29896">
        <f>IF(N29896="","",'Master Barang'!B90)</f>
        <v>0</v>
      </c>
      <c r="P29896">
        <f>IF(OR(M29896="",N29896=""),"",SUMIFS('Barang Keluar'!$E:$E,'Barang Keluar'!$A:$A,M29896,'Barang Keluar'!$C:$C,N29896))</f>
        <v>0</v>
      </c>
    </row>
    <row r="29897" spans="13:16">
      <c r="M29897" s="49">
        <f>IF($A$4+298&gt;$B$4,"",$A$4+298)</f>
        <v>46321</v>
      </c>
      <c r="N29897">
        <f>IF(M29897="","",'Master Barang'!A91)</f>
        <v>0</v>
      </c>
      <c r="O29897">
        <f>IF(N29897="","",'Master Barang'!B91)</f>
        <v>0</v>
      </c>
      <c r="P29897">
        <f>IF(OR(M29897="",N29897=""),"",SUMIFS('Barang Keluar'!$E:$E,'Barang Keluar'!$A:$A,M29897,'Barang Keluar'!$C:$C,N29897))</f>
        <v>0</v>
      </c>
    </row>
    <row r="29898" spans="13:16">
      <c r="M29898" s="49">
        <f>IF($A$4+298&gt;$B$4,"",$A$4+298)</f>
        <v>46321</v>
      </c>
      <c r="N29898">
        <f>IF(M29898="","",'Master Barang'!A92)</f>
        <v>0</v>
      </c>
      <c r="O29898">
        <f>IF(N29898="","",'Master Barang'!B92)</f>
        <v>0</v>
      </c>
      <c r="P29898">
        <f>IF(OR(M29898="",N29898=""),"",SUMIFS('Barang Keluar'!$E:$E,'Barang Keluar'!$A:$A,M29898,'Barang Keluar'!$C:$C,N29898))</f>
        <v>0</v>
      </c>
    </row>
    <row r="29899" spans="13:16">
      <c r="M29899" s="49">
        <f>IF($A$4+298&gt;$B$4,"",$A$4+298)</f>
        <v>46321</v>
      </c>
      <c r="N29899">
        <f>IF(M29899="","",'Master Barang'!A93)</f>
        <v>0</v>
      </c>
      <c r="O29899">
        <f>IF(N29899="","",'Master Barang'!B93)</f>
        <v>0</v>
      </c>
      <c r="P29899">
        <f>IF(OR(M29899="",N29899=""),"",SUMIFS('Barang Keluar'!$E:$E,'Barang Keluar'!$A:$A,M29899,'Barang Keluar'!$C:$C,N29899))</f>
        <v>0</v>
      </c>
    </row>
    <row r="29900" spans="13:16">
      <c r="M29900" s="49">
        <f>IF($A$4+298&gt;$B$4,"",$A$4+298)</f>
        <v>46321</v>
      </c>
      <c r="N29900">
        <f>IF(M29900="","",'Master Barang'!A94)</f>
        <v>0</v>
      </c>
      <c r="O29900">
        <f>IF(N29900="","",'Master Barang'!B94)</f>
        <v>0</v>
      </c>
      <c r="P29900">
        <f>IF(OR(M29900="",N29900=""),"",SUMIFS('Barang Keluar'!$E:$E,'Barang Keluar'!$A:$A,M29900,'Barang Keluar'!$C:$C,N29900))</f>
        <v>0</v>
      </c>
    </row>
    <row r="29901" spans="13:16">
      <c r="M29901" s="49">
        <f>IF($A$4+298&gt;$B$4,"",$A$4+298)</f>
        <v>46321</v>
      </c>
      <c r="N29901">
        <f>IF(M29901="","",'Master Barang'!A95)</f>
        <v>0</v>
      </c>
      <c r="O29901">
        <f>IF(N29901="","",'Master Barang'!B95)</f>
        <v>0</v>
      </c>
      <c r="P29901">
        <f>IF(OR(M29901="",N29901=""),"",SUMIFS('Barang Keluar'!$E:$E,'Barang Keluar'!$A:$A,M29901,'Barang Keluar'!$C:$C,N29901))</f>
        <v>0</v>
      </c>
    </row>
    <row r="29902" spans="13:16">
      <c r="M29902" s="49">
        <f>IF($A$4+298&gt;$B$4,"",$A$4+298)</f>
        <v>46321</v>
      </c>
      <c r="N29902">
        <f>IF(M29902="","",'Master Barang'!A96)</f>
        <v>0</v>
      </c>
      <c r="O29902">
        <f>IF(N29902="","",'Master Barang'!B96)</f>
        <v>0</v>
      </c>
      <c r="P29902">
        <f>IF(OR(M29902="",N29902=""),"",SUMIFS('Barang Keluar'!$E:$E,'Barang Keluar'!$A:$A,M29902,'Barang Keluar'!$C:$C,N29902))</f>
        <v>0</v>
      </c>
    </row>
    <row r="29903" spans="13:16">
      <c r="M29903" s="49">
        <f>IF($A$4+298&gt;$B$4,"",$A$4+298)</f>
        <v>46321</v>
      </c>
      <c r="N29903">
        <f>IF(M29903="","",'Master Barang'!A97)</f>
        <v>0</v>
      </c>
      <c r="O29903">
        <f>IF(N29903="","",'Master Barang'!B97)</f>
        <v>0</v>
      </c>
      <c r="P29903">
        <f>IF(OR(M29903="",N29903=""),"",SUMIFS('Barang Keluar'!$E:$E,'Barang Keluar'!$A:$A,M29903,'Barang Keluar'!$C:$C,N29903))</f>
        <v>0</v>
      </c>
    </row>
    <row r="29904" spans="13:16">
      <c r="M29904" s="49">
        <f>IF($A$4+298&gt;$B$4,"",$A$4+298)</f>
        <v>46321</v>
      </c>
      <c r="N29904">
        <f>IF(M29904="","",'Master Barang'!A98)</f>
        <v>0</v>
      </c>
      <c r="O29904">
        <f>IF(N29904="","",'Master Barang'!B98)</f>
        <v>0</v>
      </c>
      <c r="P29904">
        <f>IF(OR(M29904="",N29904=""),"",SUMIFS('Barang Keluar'!$E:$E,'Barang Keluar'!$A:$A,M29904,'Barang Keluar'!$C:$C,N29904))</f>
        <v>0</v>
      </c>
    </row>
    <row r="29905" spans="13:16">
      <c r="M29905" s="49">
        <f>IF($A$4+298&gt;$B$4,"",$A$4+298)</f>
        <v>46321</v>
      </c>
      <c r="N29905">
        <f>IF(M29905="","",'Master Barang'!A99)</f>
        <v>0</v>
      </c>
      <c r="O29905">
        <f>IF(N29905="","",'Master Barang'!B99)</f>
        <v>0</v>
      </c>
      <c r="P29905">
        <f>IF(OR(M29905="",N29905=""),"",SUMIFS('Barang Keluar'!$E:$E,'Barang Keluar'!$A:$A,M29905,'Barang Keluar'!$C:$C,N29905))</f>
        <v>0</v>
      </c>
    </row>
    <row r="29906" spans="13:16">
      <c r="M29906" s="49">
        <f>IF($A$4+298&gt;$B$4,"",$A$4+298)</f>
        <v>46321</v>
      </c>
      <c r="N29906">
        <f>IF(M29906="","",'Master Barang'!A100)</f>
        <v>0</v>
      </c>
      <c r="O29906">
        <f>IF(N29906="","",'Master Barang'!B100)</f>
        <v>0</v>
      </c>
      <c r="P29906">
        <f>IF(OR(M29906="",N29906=""),"",SUMIFS('Barang Keluar'!$E:$E,'Barang Keluar'!$A:$A,M29906,'Barang Keluar'!$C:$C,N29906))</f>
        <v>0</v>
      </c>
    </row>
    <row r="29907" spans="13:16">
      <c r="M29907" s="49">
        <f>IF($A$4+298&gt;$B$4,"",$A$4+298)</f>
        <v>46321</v>
      </c>
      <c r="N29907">
        <f>IF(M29907="","",'Master Barang'!A101)</f>
        <v>0</v>
      </c>
      <c r="O29907">
        <f>IF(N29907="","",'Master Barang'!B101)</f>
        <v>0</v>
      </c>
      <c r="P29907">
        <f>IF(OR(M29907="",N29907=""),"",SUMIFS('Barang Keluar'!$E:$E,'Barang Keluar'!$A:$A,M29907,'Barang Keluar'!$C:$C,N29907))</f>
        <v>0</v>
      </c>
    </row>
    <row r="29908" spans="13:16">
      <c r="M29908" s="49">
        <f>IF($A$4+299&gt;$B$4,"",$A$4+299)</f>
        <v>46322</v>
      </c>
      <c r="N29908" t="str">
        <f>IF(M29908="","",'Master Barang'!A2)</f>
        <v>PRL-001</v>
      </c>
      <c r="O29908" t="str">
        <f>IF(N29908="","",'Master Barang'!B2)</f>
        <v>natura desinfectant food grade 5l</v>
      </c>
      <c r="P29908">
        <f>IF(OR(M29908="",N29908=""),"",SUMIFS('Barang Keluar'!$E:$E,'Barang Keluar'!$A:$A,M29908,'Barang Keluar'!$C:$C,N29908))</f>
        <v>0</v>
      </c>
    </row>
    <row r="29909" spans="13:16">
      <c r="M29909" s="49">
        <f>IF($A$4+299&gt;$B$4,"",$A$4+299)</f>
        <v>46322</v>
      </c>
      <c r="N29909" t="str">
        <f>IF(M29909="","",'Master Barang'!A3)</f>
        <v>PRL-002</v>
      </c>
      <c r="O29909" t="str">
        <f>IF(N29909="","",'Master Barang'!B3)</f>
        <v>sunlight cairan pencuci piring 5l</v>
      </c>
      <c r="P29909">
        <f>IF(OR(M29909="",N29909=""),"",SUMIFS('Barang Keluar'!$E:$E,'Barang Keluar'!$A:$A,M29909,'Barang Keluar'!$C:$C,N29909))</f>
        <v>0</v>
      </c>
    </row>
    <row r="29910" spans="13:16">
      <c r="M29910" s="49">
        <f>IF($A$4+299&gt;$B$4,"",$A$4+299)</f>
        <v>46322</v>
      </c>
      <c r="N29910" t="str">
        <f>IF(M29910="","",'Master Barang'!A4)</f>
        <v>PRL-003</v>
      </c>
      <c r="O29910" t="str">
        <f>IF(N29910="","",'Master Barang'!B4)</f>
        <v>oixs cleaner 1l</v>
      </c>
      <c r="P29910">
        <f>IF(OR(M29910="",N29910=""),"",SUMIFS('Barang Keluar'!$E:$E,'Barang Keluar'!$A:$A,M29910,'Barang Keluar'!$C:$C,N29910))</f>
        <v>0</v>
      </c>
    </row>
    <row r="29911" spans="13:16">
      <c r="M29911" s="49">
        <f>IF($A$4+299&gt;$B$4,"",$A$4+299)</f>
        <v>46322</v>
      </c>
      <c r="N29911" t="str">
        <f>IF(M29911="","",'Master Barang'!A5)</f>
        <v>PRL-004</v>
      </c>
      <c r="O29911" t="str">
        <f>IF(N29911="","",'Master Barang'!B5)</f>
        <v>be clean tissue serbaguna</v>
      </c>
      <c r="P29911">
        <f>IF(OR(M29911="",N29911=""),"",SUMIFS('Barang Keluar'!$E:$E,'Barang Keluar'!$A:$A,M29911,'Barang Keluar'!$C:$C,N29911))</f>
        <v>0</v>
      </c>
    </row>
    <row r="29912" spans="13:16">
      <c r="M29912" s="49">
        <f>IF($A$4+299&gt;$B$4,"",$A$4+299)</f>
        <v>46322</v>
      </c>
      <c r="N29912" t="str">
        <f>IF(M29912="","",'Master Barang'!A6)</f>
        <v>PRL-005</v>
      </c>
      <c r="O29912" t="str">
        <f>IF(N29912="","",'Master Barang'!B6)</f>
        <v>spons cuci hijau</v>
      </c>
      <c r="P29912">
        <f>IF(OR(M29912="",N29912=""),"",SUMIFS('Barang Keluar'!$E:$E,'Barang Keluar'!$A:$A,M29912,'Barang Keluar'!$C:$C,N29912))</f>
        <v>0</v>
      </c>
    </row>
    <row r="29913" spans="13:16">
      <c r="M29913" s="49">
        <f>IF($A$4+299&gt;$B$4,"",$A$4+299)</f>
        <v>46322</v>
      </c>
      <c r="N29913" t="str">
        <f>IF(M29913="","",'Master Barang'!A7)</f>
        <v>PRL-006</v>
      </c>
      <c r="O29913" t="str">
        <f>IF(N29913="","",'Master Barang'!B7)</f>
        <v>sabut cuci stainless</v>
      </c>
      <c r="P29913">
        <f>IF(OR(M29913="",N29913=""),"",SUMIFS('Barang Keluar'!$E:$E,'Barang Keluar'!$A:$A,M29913,'Barang Keluar'!$C:$C,N29913))</f>
        <v>0</v>
      </c>
    </row>
    <row r="29914" spans="13:16">
      <c r="M29914" s="49">
        <f>IF($A$4+299&gt;$B$4,"",$A$4+299)</f>
        <v>46322</v>
      </c>
      <c r="N29914" t="str">
        <f>IF(M29914="","",'Master Barang'!A8)</f>
        <v>PRL-007</v>
      </c>
      <c r="O29914" t="str">
        <f>IF(N29914="","",'Master Barang'!B8)</f>
        <v>plastik kresek besar merah 50pc</v>
      </c>
      <c r="P29914">
        <f>IF(OR(M29914="",N29914=""),"",SUMIFS('Barang Keluar'!$E:$E,'Barang Keluar'!$A:$A,M29914,'Barang Keluar'!$C:$C,N29914))</f>
        <v>0</v>
      </c>
    </row>
    <row r="29915" spans="13:16">
      <c r="M29915" s="49">
        <f>IF($A$4+299&gt;$B$4,"",$A$4+299)</f>
        <v>46322</v>
      </c>
      <c r="N29915" t="str">
        <f>IF(M29915="","",'Master Barang'!A9)</f>
        <v>PRL-008</v>
      </c>
      <c r="O29915" t="str">
        <f>IF(N29915="","",'Master Barang'!B9)</f>
        <v>lap besar</v>
      </c>
      <c r="P29915">
        <f>IF(OR(M29915="",N29915=""),"",SUMIFS('Barang Keluar'!$E:$E,'Barang Keluar'!$A:$A,M29915,'Barang Keluar'!$C:$C,N29915))</f>
        <v>0</v>
      </c>
    </row>
    <row r="29916" spans="13:16">
      <c r="M29916" s="49">
        <f>IF($A$4+299&gt;$B$4,"",$A$4+299)</f>
        <v>46322</v>
      </c>
      <c r="N29916" t="str">
        <f>IF(M29916="","",'Master Barang'!A10)</f>
        <v>PRL-009</v>
      </c>
      <c r="O29916" t="str">
        <f>IF(N29916="","",'Master Barang'!B10)</f>
        <v>lap microfiber</v>
      </c>
      <c r="P29916">
        <f>IF(OR(M29916="",N29916=""),"",SUMIFS('Barang Keluar'!$E:$E,'Barang Keluar'!$A:$A,M29916,'Barang Keluar'!$C:$C,N29916))</f>
        <v>0</v>
      </c>
    </row>
    <row r="29917" spans="13:16">
      <c r="M29917" s="49">
        <f>IF($A$4+299&gt;$B$4,"",$A$4+299)</f>
        <v>46322</v>
      </c>
      <c r="N29917" t="str">
        <f>IF(M29917="","",'Master Barang'!A11)</f>
        <v>PRL-010</v>
      </c>
      <c r="O29917" t="str">
        <f>IF(N29917="","",'Master Barang'!B11)</f>
        <v>lap kecil</v>
      </c>
      <c r="P29917">
        <f>IF(OR(M29917="",N29917=""),"",SUMIFS('Barang Keluar'!$E:$E,'Barang Keluar'!$A:$A,M29917,'Barang Keluar'!$C:$C,N29917))</f>
        <v>0</v>
      </c>
    </row>
    <row r="29918" spans="13:16">
      <c r="M29918" s="49">
        <f>IF($A$4+299&gt;$B$4,"",$A$4+299)</f>
        <v>46322</v>
      </c>
      <c r="N29918" t="str">
        <f>IF(M29918="","",'Master Barang'!A12)</f>
        <v>PRL-011</v>
      </c>
      <c r="O29918" t="str">
        <f>IF(N29918="","",'Master Barang'!B12)</f>
        <v>kanebo kecil</v>
      </c>
      <c r="P29918">
        <f>IF(OR(M29918="",N29918=""),"",SUMIFS('Barang Keluar'!$E:$E,'Barang Keluar'!$A:$A,M29918,'Barang Keluar'!$C:$C,N29918))</f>
        <v>0</v>
      </c>
    </row>
    <row r="29919" spans="13:16">
      <c r="M29919" s="49">
        <f>IF($A$4+299&gt;$B$4,"",$A$4+299)</f>
        <v>46322</v>
      </c>
      <c r="N29919" t="str">
        <f>IF(M29919="","",'Master Barang'!A13)</f>
        <v>PRL-012</v>
      </c>
      <c r="O29919" t="str">
        <f>IF(N29919="","",'Master Barang'!B13)</f>
        <v>plastik 1/4kg joyoboyo 100 lembar</v>
      </c>
      <c r="P29919">
        <f>IF(OR(M29919="",N29919=""),"",SUMIFS('Barang Keluar'!$E:$E,'Barang Keluar'!$A:$A,M29919,'Barang Keluar'!$C:$C,N29919))</f>
        <v>0</v>
      </c>
    </row>
    <row r="29920" spans="13:16">
      <c r="M29920" s="49">
        <f>IF($A$4+299&gt;$B$4,"",$A$4+299)</f>
        <v>46322</v>
      </c>
      <c r="N29920" t="str">
        <f>IF(M29920="","",'Master Barang'!A14)</f>
        <v>PRL-013</v>
      </c>
      <c r="O29920" t="str">
        <f>IF(N29920="","",'Master Barang'!B14)</f>
        <v>sarung tangan plastik kaka 100 pcs</v>
      </c>
      <c r="P29920">
        <f>IF(OR(M29920="",N29920=""),"",SUMIFS('Barang Keluar'!$E:$E,'Barang Keluar'!$A:$A,M29920,'Barang Keluar'!$C:$C,N29920))</f>
        <v>0</v>
      </c>
    </row>
    <row r="29921" spans="13:16">
      <c r="M29921" s="49">
        <f>IF($A$4+299&gt;$B$4,"",$A$4+299)</f>
        <v>46322</v>
      </c>
      <c r="N29921" t="str">
        <f>IF(M29921="","",'Master Barang'!A15)</f>
        <v>PRL-014</v>
      </c>
      <c r="O29921" t="str">
        <f>IF(N29921="","",'Master Barang'!B15)</f>
        <v>optima trashbag 80x100</v>
      </c>
      <c r="P29921">
        <f>IF(OR(M29921="",N29921=""),"",SUMIFS('Barang Keluar'!$E:$E,'Barang Keluar'!$A:$A,M29921,'Barang Keluar'!$C:$C,N29921))</f>
        <v>0</v>
      </c>
    </row>
    <row r="29922" spans="13:16">
      <c r="M29922" s="49">
        <f>IF($A$4+299&gt;$B$4,"",$A$4+299)</f>
        <v>46322</v>
      </c>
      <c r="N29922" t="str">
        <f>IF(M29922="","",'Master Barang'!A16)</f>
        <v>PRL-015</v>
      </c>
      <c r="O29922" t="str">
        <f>IF(N29922="","",'Master Barang'!B16)</f>
        <v>optima trashbag 60x100</v>
      </c>
      <c r="P29922">
        <f>IF(OR(M29922="",N29922=""),"",SUMIFS('Barang Keluar'!$E:$E,'Barang Keluar'!$A:$A,M29922,'Barang Keluar'!$C:$C,N29922))</f>
        <v>0</v>
      </c>
    </row>
    <row r="29923" spans="13:16">
      <c r="M29923" s="49">
        <f>IF($A$4+299&gt;$B$4,"",$A$4+299)</f>
        <v>46322</v>
      </c>
      <c r="N29923" t="str">
        <f>IF(M29923="","",'Master Barang'!A17)</f>
        <v>PRL-016</v>
      </c>
      <c r="O29923" t="str">
        <f>IF(N29923="","",'Master Barang'!B17)</f>
        <v>rajawali trashbag 30x40</v>
      </c>
      <c r="P29923">
        <f>IF(OR(M29923="",N29923=""),"",SUMIFS('Barang Keluar'!$E:$E,'Barang Keluar'!$A:$A,M29923,'Barang Keluar'!$C:$C,N29923))</f>
        <v>0</v>
      </c>
    </row>
    <row r="29924" spans="13:16">
      <c r="M29924" s="49">
        <f>IF($A$4+299&gt;$B$4,"",$A$4+299)</f>
        <v>46322</v>
      </c>
      <c r="N29924" t="str">
        <f>IF(M29924="","",'Master Barang'!A18)</f>
        <v>PRL-017</v>
      </c>
      <c r="O29924" t="str">
        <f>IF(N29924="","",'Master Barang'!B18)</f>
        <v>onemed masker biru 3 play 50 pcs</v>
      </c>
      <c r="P29924">
        <f>IF(OR(M29924="",N29924=""),"",SUMIFS('Barang Keluar'!$E:$E,'Barang Keluar'!$A:$A,M29924,'Barang Keluar'!$C:$C,N29924))</f>
        <v>0</v>
      </c>
    </row>
    <row r="29925" spans="13:16">
      <c r="M29925" s="49">
        <f>IF($A$4+299&gt;$B$4,"",$A$4+299)</f>
        <v>46322</v>
      </c>
      <c r="N29925" t="str">
        <f>IF(M29925="","",'Master Barang'!A19)</f>
        <v>PRL-018</v>
      </c>
      <c r="O29925" t="str">
        <f>IF(N29925="","",'Master Barang'!B19)</f>
        <v>onemed masker biru 3 play hijab 50 pcs</v>
      </c>
      <c r="P29925">
        <f>IF(OR(M29925="",N29925=""),"",SUMIFS('Barang Keluar'!$E:$E,'Barang Keluar'!$A:$A,M29925,'Barang Keluar'!$C:$C,N29925))</f>
        <v>0</v>
      </c>
    </row>
    <row r="29926" spans="13:16">
      <c r="M29926" s="49">
        <f>IF($A$4+299&gt;$B$4,"",$A$4+299)</f>
        <v>46322</v>
      </c>
      <c r="N29926" t="str">
        <f>IF(M29926="","",'Master Barang'!A20)</f>
        <v>PRL-019</v>
      </c>
      <c r="O29926" t="str">
        <f>IF(N29926="","",'Master Barang'!B20)</f>
        <v>neo health masker biru 3 play 50 pcs</v>
      </c>
      <c r="P29926">
        <f>IF(OR(M29926="",N29926=""),"",SUMIFS('Barang Keluar'!$E:$E,'Barang Keluar'!$A:$A,M29926,'Barang Keluar'!$C:$C,N29926))</f>
        <v>0</v>
      </c>
    </row>
    <row r="29927" spans="13:16">
      <c r="M29927" s="49">
        <f>IF($A$4+299&gt;$B$4,"",$A$4+299)</f>
        <v>46322</v>
      </c>
      <c r="N29927" t="str">
        <f>IF(M29927="","",'Master Barang'!A21)</f>
        <v>PRL-020</v>
      </c>
      <c r="O29927" t="str">
        <f>IF(N29927="","",'Master Barang'!B21)</f>
        <v>baymed masker hijau 3 play hijau 50 pcs</v>
      </c>
      <c r="P29927">
        <f>IF(OR(M29927="",N29927=""),"",SUMIFS('Barang Keluar'!$E:$E,'Barang Keluar'!$A:$A,M29927,'Barang Keluar'!$C:$C,N29927))</f>
        <v>0</v>
      </c>
    </row>
    <row r="29928" spans="13:16">
      <c r="M29928" s="49">
        <f>IF($A$4+299&gt;$B$4,"",$A$4+299)</f>
        <v>46322</v>
      </c>
      <c r="N29928" t="str">
        <f>IF(M29928="","",'Master Barang'!A22)</f>
        <v>PRL-021</v>
      </c>
      <c r="O29928" t="str">
        <f>IF(N29928="","",'Master Barang'!B22)</f>
        <v>altamed nurse cap penutup kepala 100 pcs</v>
      </c>
      <c r="P29928">
        <f>IF(OR(M29928="",N29928=""),"",SUMIFS('Barang Keluar'!$E:$E,'Barang Keluar'!$A:$A,M29928,'Barang Keluar'!$C:$C,N29928))</f>
        <v>0</v>
      </c>
    </row>
    <row r="29929" spans="13:16">
      <c r="M29929" s="49">
        <f>IF($A$4+299&gt;$B$4,"",$A$4+299)</f>
        <v>46322</v>
      </c>
      <c r="N29929" t="str">
        <f>IF(M29929="","",'Master Barang'!A23)</f>
        <v>PRL-022</v>
      </c>
      <c r="O29929" t="str">
        <f>IF(N29929="","",'Master Barang'!B23)</f>
        <v>sabun cuci tangan</v>
      </c>
      <c r="P29929">
        <f>IF(OR(M29929="",N29929=""),"",SUMIFS('Barang Keluar'!$E:$E,'Barang Keluar'!$A:$A,M29929,'Barang Keluar'!$C:$C,N29929))</f>
        <v>0</v>
      </c>
    </row>
    <row r="29930" spans="13:16">
      <c r="M29930" s="49">
        <f>IF($A$4+299&gt;$B$4,"",$A$4+299)</f>
        <v>46322</v>
      </c>
      <c r="N29930" t="str">
        <f>IF(M29930="","",'Master Barang'!A24)</f>
        <v>PRL-023</v>
      </c>
      <c r="O29930" t="str">
        <f>IF(N29930="","",'Master Barang'!B24)</f>
        <v>gayung kecil</v>
      </c>
      <c r="P29930">
        <f>IF(OR(M29930="",N29930=""),"",SUMIFS('Barang Keluar'!$E:$E,'Barang Keluar'!$A:$A,M29930,'Barang Keluar'!$C:$C,N29930))</f>
        <v>0</v>
      </c>
    </row>
    <row r="29931" spans="13:16">
      <c r="M29931" s="49">
        <f>IF($A$4+299&gt;$B$4,"",$A$4+299)</f>
        <v>46322</v>
      </c>
      <c r="N29931" t="str">
        <f>IF(M29931="","",'Master Barang'!A25)</f>
        <v>PRL-024</v>
      </c>
      <c r="O29931" t="str">
        <f>IF(N29931="","",'Master Barang'!B25)</f>
        <v>cikrak kecil</v>
      </c>
      <c r="P29931">
        <f>IF(OR(M29931="",N29931=""),"",SUMIFS('Barang Keluar'!$E:$E,'Barang Keluar'!$A:$A,M29931,'Barang Keluar'!$C:$C,N29931))</f>
        <v>0</v>
      </c>
    </row>
    <row r="29932" spans="13:16">
      <c r="M29932" s="49">
        <f>IF($A$4+299&gt;$B$4,"",$A$4+299)</f>
        <v>46322</v>
      </c>
      <c r="N29932" t="str">
        <f>IF(M29932="","",'Master Barang'!A26)</f>
        <v>PRL-025</v>
      </c>
      <c r="O29932" t="str">
        <f>IF(N29932="","",'Master Barang'!B26)</f>
        <v>petromax plastik kecil 12x24 100 lembar</v>
      </c>
      <c r="P29932">
        <f>IF(OR(M29932="",N29932=""),"",SUMIFS('Barang Keluar'!$E:$E,'Barang Keluar'!$A:$A,M29932,'Barang Keluar'!$C:$C,N29932))</f>
        <v>0</v>
      </c>
    </row>
    <row r="29933" spans="13:16">
      <c r="M29933" s="49">
        <f>IF($A$4+299&gt;$B$4,"",$A$4+299)</f>
        <v>46322</v>
      </c>
      <c r="N29933" t="str">
        <f>IF(M29933="","",'Master Barang'!A27)</f>
        <v>PRL-026</v>
      </c>
      <c r="O29933" t="str">
        <f>IF(N29933="","",'Master Barang'!B27)</f>
        <v>lancar kresek kecil bening </v>
      </c>
      <c r="P29933">
        <f>IF(OR(M29933="",N29933=""),"",SUMIFS('Barang Keluar'!$E:$E,'Barang Keluar'!$A:$A,M29933,'Barang Keluar'!$C:$C,N29933))</f>
        <v>0</v>
      </c>
    </row>
    <row r="29934" spans="13:16">
      <c r="M29934" s="49">
        <f>IF($A$4+299&gt;$B$4,"",$A$4+299)</f>
        <v>46322</v>
      </c>
      <c r="N29934" t="str">
        <f>IF(M29934="","",'Master Barang'!A28)</f>
        <v>PRL-027</v>
      </c>
      <c r="O29934" t="str">
        <f>IF(N29934="","",'Master Barang'!B28)</f>
        <v>kresek klin warna warni kecil</v>
      </c>
      <c r="P29934">
        <f>IF(OR(M29934="",N29934=""),"",SUMIFS('Barang Keluar'!$E:$E,'Barang Keluar'!$A:$A,M29934,'Barang Keluar'!$C:$C,N29934))</f>
        <v>0</v>
      </c>
    </row>
    <row r="29935" spans="13:16">
      <c r="M29935" s="49">
        <f>IF($A$4+299&gt;$B$4,"",$A$4+299)</f>
        <v>46322</v>
      </c>
      <c r="N29935" t="str">
        <f>IF(M29935="","",'Master Barang'!A29)</f>
        <v>PRL-028</v>
      </c>
      <c r="O29935" t="str">
        <f>IF(N29935="","",'Master Barang'!B29)</f>
        <v>ctik plastik 7x10 100 pcs</v>
      </c>
      <c r="P29935">
        <f>IF(OR(M29935="",N29935=""),"",SUMIFS('Barang Keluar'!$E:$E,'Barang Keluar'!$A:$A,M29935,'Barang Keluar'!$C:$C,N29935))</f>
        <v>0</v>
      </c>
    </row>
    <row r="29936" spans="13:16">
      <c r="M29936" s="49">
        <f>IF($A$4+299&gt;$B$4,"",$A$4+299)</f>
        <v>46322</v>
      </c>
      <c r="N29936" t="str">
        <f>IF(M29936="","",'Master Barang'!A30)</f>
        <v>PRL-029</v>
      </c>
      <c r="O29936" t="str">
        <f>IF(N29936="","",'Master Barang'!B30)</f>
        <v>ctik plastik 6x10 100 pcs</v>
      </c>
      <c r="P29936">
        <f>IF(OR(M29936="",N29936=""),"",SUMIFS('Barang Keluar'!$E:$E,'Barang Keluar'!$A:$A,M29936,'Barang Keluar'!$C:$C,N29936))</f>
        <v>0</v>
      </c>
    </row>
    <row r="29937" spans="13:16">
      <c r="M29937" s="49">
        <f>IF($A$4+299&gt;$B$4,"",$A$4+299)</f>
        <v>46322</v>
      </c>
      <c r="N29937" t="str">
        <f>IF(M29937="","",'Master Barang'!A31)</f>
        <v>PRL-030</v>
      </c>
      <c r="O29937" t="str">
        <f>IF(N29937="","",'Master Barang'!B31)</f>
        <v>klip plastik 25x16 100 pcs</v>
      </c>
      <c r="P29937">
        <f>IF(OR(M29937="",N29937=""),"",SUMIFS('Barang Keluar'!$E:$E,'Barang Keluar'!$A:$A,M29937,'Barang Keluar'!$C:$C,N29937))</f>
        <v>0</v>
      </c>
    </row>
    <row r="29938" spans="13:16">
      <c r="M29938" s="49">
        <f>IF($A$4+299&gt;$B$4,"",$A$4+299)</f>
        <v>46322</v>
      </c>
      <c r="N29938" t="str">
        <f>IF(M29938="","",'Master Barang'!A32)</f>
        <v>PRL-031</v>
      </c>
      <c r="O29938" t="str">
        <f>IF(N29938="","",'Master Barang'!B32)</f>
        <v>tempat saus 20 ml</v>
      </c>
      <c r="P29938">
        <f>IF(OR(M29938="",N29938=""),"",SUMIFS('Barang Keluar'!$E:$E,'Barang Keluar'!$A:$A,M29938,'Barang Keluar'!$C:$C,N29938))</f>
        <v>0</v>
      </c>
    </row>
    <row r="29939" spans="13:16">
      <c r="M29939" s="49">
        <f>IF($A$4+299&gt;$B$4,"",$A$4+299)</f>
        <v>46322</v>
      </c>
      <c r="N29939" t="str">
        <f>IF(M29939="","",'Master Barang'!A33)</f>
        <v>PRL-032</v>
      </c>
      <c r="O29939" t="str">
        <f>IF(N29939="","",'Master Barang'!B33)</f>
        <v>plastik packaging ag box uk sedang</v>
      </c>
      <c r="P29939">
        <f>IF(OR(M29939="",N29939=""),"",SUMIFS('Barang Keluar'!$E:$E,'Barang Keluar'!$A:$A,M29939,'Barang Keluar'!$C:$C,N29939))</f>
        <v>0</v>
      </c>
    </row>
    <row r="29940" spans="13:16">
      <c r="M29940" s="49">
        <f>IF($A$4+299&gt;$B$4,"",$A$4+299)</f>
        <v>46322</v>
      </c>
      <c r="N29940" t="str">
        <f>IF(M29940="","",'Master Barang'!A34)</f>
        <v>PRL-033</v>
      </c>
      <c r="O29940">
        <f>IF(N29940="","",'Master Barang'!B34)</f>
        <v>0</v>
      </c>
      <c r="P29940">
        <f>IF(OR(M29940="",N29940=""),"",SUMIFS('Barang Keluar'!$E:$E,'Barang Keluar'!$A:$A,M29940,'Barang Keluar'!$C:$C,N29940))</f>
        <v>0</v>
      </c>
    </row>
    <row r="29941" spans="13:16">
      <c r="M29941" s="49">
        <f>IF($A$4+299&gt;$B$4,"",$A$4+299)</f>
        <v>46322</v>
      </c>
      <c r="N29941">
        <f>IF(M29941="","",'Master Barang'!A35)</f>
        <v>0</v>
      </c>
      <c r="O29941">
        <f>IF(N29941="","",'Master Barang'!B35)</f>
        <v>0</v>
      </c>
      <c r="P29941">
        <f>IF(OR(M29941="",N29941=""),"",SUMIFS('Barang Keluar'!$E:$E,'Barang Keluar'!$A:$A,M29941,'Barang Keluar'!$C:$C,N29941))</f>
        <v>0</v>
      </c>
    </row>
    <row r="29942" spans="13:16">
      <c r="M29942" s="49">
        <f>IF($A$4+299&gt;$B$4,"",$A$4+299)</f>
        <v>46322</v>
      </c>
      <c r="N29942">
        <f>IF(M29942="","",'Master Barang'!A36)</f>
        <v>0</v>
      </c>
      <c r="O29942">
        <f>IF(N29942="","",'Master Barang'!B36)</f>
        <v>0</v>
      </c>
      <c r="P29942">
        <f>IF(OR(M29942="",N29942=""),"",SUMIFS('Barang Keluar'!$E:$E,'Barang Keluar'!$A:$A,M29942,'Barang Keluar'!$C:$C,N29942))</f>
        <v>0</v>
      </c>
    </row>
    <row r="29943" spans="13:16">
      <c r="M29943" s="49">
        <f>IF($A$4+299&gt;$B$4,"",$A$4+299)</f>
        <v>46322</v>
      </c>
      <c r="N29943">
        <f>IF(M29943="","",'Master Barang'!A37)</f>
        <v>0</v>
      </c>
      <c r="O29943">
        <f>IF(N29943="","",'Master Barang'!B37)</f>
        <v>0</v>
      </c>
      <c r="P29943">
        <f>IF(OR(M29943="",N29943=""),"",SUMIFS('Barang Keluar'!$E:$E,'Barang Keluar'!$A:$A,M29943,'Barang Keluar'!$C:$C,N29943))</f>
        <v>0</v>
      </c>
    </row>
    <row r="29944" spans="13:16">
      <c r="M29944" s="49">
        <f>IF($A$4+299&gt;$B$4,"",$A$4+299)</f>
        <v>46322</v>
      </c>
      <c r="N29944">
        <f>IF(M29944="","",'Master Barang'!A38)</f>
        <v>0</v>
      </c>
      <c r="O29944">
        <f>IF(N29944="","",'Master Barang'!B38)</f>
        <v>0</v>
      </c>
      <c r="P29944">
        <f>IF(OR(M29944="",N29944=""),"",SUMIFS('Barang Keluar'!$E:$E,'Barang Keluar'!$A:$A,M29944,'Barang Keluar'!$C:$C,N29944))</f>
        <v>0</v>
      </c>
    </row>
    <row r="29945" spans="13:16">
      <c r="M29945" s="49">
        <f>IF($A$4+299&gt;$B$4,"",$A$4+299)</f>
        <v>46322</v>
      </c>
      <c r="N29945">
        <f>IF(M29945="","",'Master Barang'!A39)</f>
        <v>0</v>
      </c>
      <c r="O29945">
        <f>IF(N29945="","",'Master Barang'!B39)</f>
        <v>0</v>
      </c>
      <c r="P29945">
        <f>IF(OR(M29945="",N29945=""),"",SUMIFS('Barang Keluar'!$E:$E,'Barang Keluar'!$A:$A,M29945,'Barang Keluar'!$C:$C,N29945))</f>
        <v>0</v>
      </c>
    </row>
    <row r="29946" spans="13:16">
      <c r="M29946" s="49">
        <f>IF($A$4+299&gt;$B$4,"",$A$4+299)</f>
        <v>46322</v>
      </c>
      <c r="N29946">
        <f>IF(M29946="","",'Master Barang'!A40)</f>
        <v>0</v>
      </c>
      <c r="O29946">
        <f>IF(N29946="","",'Master Barang'!B40)</f>
        <v>0</v>
      </c>
      <c r="P29946">
        <f>IF(OR(M29946="",N29946=""),"",SUMIFS('Barang Keluar'!$E:$E,'Barang Keluar'!$A:$A,M29946,'Barang Keluar'!$C:$C,N29946))</f>
        <v>0</v>
      </c>
    </row>
    <row r="29947" spans="13:16">
      <c r="M29947" s="49">
        <f>IF($A$4+299&gt;$B$4,"",$A$4+299)</f>
        <v>46322</v>
      </c>
      <c r="N29947">
        <f>IF(M29947="","",'Master Barang'!A41)</f>
        <v>0</v>
      </c>
      <c r="O29947">
        <f>IF(N29947="","",'Master Barang'!B41)</f>
        <v>0</v>
      </c>
      <c r="P29947">
        <f>IF(OR(M29947="",N29947=""),"",SUMIFS('Barang Keluar'!$E:$E,'Barang Keluar'!$A:$A,M29947,'Barang Keluar'!$C:$C,N29947))</f>
        <v>0</v>
      </c>
    </row>
    <row r="29948" spans="13:16">
      <c r="M29948" s="49">
        <f>IF($A$4+299&gt;$B$4,"",$A$4+299)</f>
        <v>46322</v>
      </c>
      <c r="N29948">
        <f>IF(M29948="","",'Master Barang'!A42)</f>
        <v>0</v>
      </c>
      <c r="O29948">
        <f>IF(N29948="","",'Master Barang'!B42)</f>
        <v>0</v>
      </c>
      <c r="P29948">
        <f>IF(OR(M29948="",N29948=""),"",SUMIFS('Barang Keluar'!$E:$E,'Barang Keluar'!$A:$A,M29948,'Barang Keluar'!$C:$C,N29948))</f>
        <v>0</v>
      </c>
    </row>
    <row r="29949" spans="13:16">
      <c r="M29949" s="49">
        <f>IF($A$4+299&gt;$B$4,"",$A$4+299)</f>
        <v>46322</v>
      </c>
      <c r="N29949">
        <f>IF(M29949="","",'Master Barang'!A43)</f>
        <v>0</v>
      </c>
      <c r="O29949">
        <f>IF(N29949="","",'Master Barang'!B43)</f>
        <v>0</v>
      </c>
      <c r="P29949">
        <f>IF(OR(M29949="",N29949=""),"",SUMIFS('Barang Keluar'!$E:$E,'Barang Keluar'!$A:$A,M29949,'Barang Keluar'!$C:$C,N29949))</f>
        <v>0</v>
      </c>
    </row>
    <row r="29950" spans="13:16">
      <c r="M29950" s="49">
        <f>IF($A$4+299&gt;$B$4,"",$A$4+299)</f>
        <v>46322</v>
      </c>
      <c r="N29950">
        <f>IF(M29950="","",'Master Barang'!A44)</f>
        <v>0</v>
      </c>
      <c r="O29950">
        <f>IF(N29950="","",'Master Barang'!B44)</f>
        <v>0</v>
      </c>
      <c r="P29950">
        <f>IF(OR(M29950="",N29950=""),"",SUMIFS('Barang Keluar'!$E:$E,'Barang Keluar'!$A:$A,M29950,'Barang Keluar'!$C:$C,N29950))</f>
        <v>0</v>
      </c>
    </row>
    <row r="29951" spans="13:16">
      <c r="M29951" s="49">
        <f>IF($A$4+299&gt;$B$4,"",$A$4+299)</f>
        <v>46322</v>
      </c>
      <c r="N29951">
        <f>IF(M29951="","",'Master Barang'!A45)</f>
        <v>0</v>
      </c>
      <c r="O29951">
        <f>IF(N29951="","",'Master Barang'!B45)</f>
        <v>0</v>
      </c>
      <c r="P29951">
        <f>IF(OR(M29951="",N29951=""),"",SUMIFS('Barang Keluar'!$E:$E,'Barang Keluar'!$A:$A,M29951,'Barang Keluar'!$C:$C,N29951))</f>
        <v>0</v>
      </c>
    </row>
    <row r="29952" spans="13:16">
      <c r="M29952" s="49">
        <f>IF($A$4+299&gt;$B$4,"",$A$4+299)</f>
        <v>46322</v>
      </c>
      <c r="N29952">
        <f>IF(M29952="","",'Master Barang'!A46)</f>
        <v>0</v>
      </c>
      <c r="O29952">
        <f>IF(N29952="","",'Master Barang'!B46)</f>
        <v>0</v>
      </c>
      <c r="P29952">
        <f>IF(OR(M29952="",N29952=""),"",SUMIFS('Barang Keluar'!$E:$E,'Barang Keluar'!$A:$A,M29952,'Barang Keluar'!$C:$C,N29952))</f>
        <v>0</v>
      </c>
    </row>
    <row r="29953" spans="13:16">
      <c r="M29953" s="49">
        <f>IF($A$4+299&gt;$B$4,"",$A$4+299)</f>
        <v>46322</v>
      </c>
      <c r="N29953">
        <f>IF(M29953="","",'Master Barang'!A47)</f>
        <v>0</v>
      </c>
      <c r="O29953">
        <f>IF(N29953="","",'Master Barang'!B47)</f>
        <v>0</v>
      </c>
      <c r="P29953">
        <f>IF(OR(M29953="",N29953=""),"",SUMIFS('Barang Keluar'!$E:$E,'Barang Keluar'!$A:$A,M29953,'Barang Keluar'!$C:$C,N29953))</f>
        <v>0</v>
      </c>
    </row>
    <row r="29954" spans="13:16">
      <c r="M29954" s="49">
        <f>IF($A$4+299&gt;$B$4,"",$A$4+299)</f>
        <v>46322</v>
      </c>
      <c r="N29954">
        <f>IF(M29954="","",'Master Barang'!A48)</f>
        <v>0</v>
      </c>
      <c r="O29954">
        <f>IF(N29954="","",'Master Barang'!B48)</f>
        <v>0</v>
      </c>
      <c r="P29954">
        <f>IF(OR(M29954="",N29954=""),"",SUMIFS('Barang Keluar'!$E:$E,'Barang Keluar'!$A:$A,M29954,'Barang Keluar'!$C:$C,N29954))</f>
        <v>0</v>
      </c>
    </row>
    <row r="29955" spans="13:16">
      <c r="M29955" s="49">
        <f>IF($A$4+299&gt;$B$4,"",$A$4+299)</f>
        <v>46322</v>
      </c>
      <c r="N29955">
        <f>IF(M29955="","",'Master Barang'!A49)</f>
        <v>0</v>
      </c>
      <c r="O29955">
        <f>IF(N29955="","",'Master Barang'!B49)</f>
        <v>0</v>
      </c>
      <c r="P29955">
        <f>IF(OR(M29955="",N29955=""),"",SUMIFS('Barang Keluar'!$E:$E,'Barang Keluar'!$A:$A,M29955,'Barang Keluar'!$C:$C,N29955))</f>
        <v>0</v>
      </c>
    </row>
    <row r="29956" spans="13:16">
      <c r="M29956" s="49">
        <f>IF($A$4+299&gt;$B$4,"",$A$4+299)</f>
        <v>46322</v>
      </c>
      <c r="N29956">
        <f>IF(M29956="","",'Master Barang'!A50)</f>
        <v>0</v>
      </c>
      <c r="O29956">
        <f>IF(N29956="","",'Master Barang'!B50)</f>
        <v>0</v>
      </c>
      <c r="P29956">
        <f>IF(OR(M29956="",N29956=""),"",SUMIFS('Barang Keluar'!$E:$E,'Barang Keluar'!$A:$A,M29956,'Barang Keluar'!$C:$C,N29956))</f>
        <v>0</v>
      </c>
    </row>
    <row r="29957" spans="13:16">
      <c r="M29957" s="49">
        <f>IF($A$4+299&gt;$B$4,"",$A$4+299)</f>
        <v>46322</v>
      </c>
      <c r="N29957">
        <f>IF(M29957="","",'Master Barang'!A51)</f>
        <v>0</v>
      </c>
      <c r="O29957">
        <f>IF(N29957="","",'Master Barang'!B51)</f>
        <v>0</v>
      </c>
      <c r="P29957">
        <f>IF(OR(M29957="",N29957=""),"",SUMIFS('Barang Keluar'!$E:$E,'Barang Keluar'!$A:$A,M29957,'Barang Keluar'!$C:$C,N29957))</f>
        <v>0</v>
      </c>
    </row>
    <row r="29958" spans="13:16">
      <c r="M29958" s="49">
        <f>IF($A$4+299&gt;$B$4,"",$A$4+299)</f>
        <v>46322</v>
      </c>
      <c r="N29958">
        <f>IF(M29958="","",'Master Barang'!A52)</f>
        <v>0</v>
      </c>
      <c r="O29958">
        <f>IF(N29958="","",'Master Barang'!B52)</f>
        <v>0</v>
      </c>
      <c r="P29958">
        <f>IF(OR(M29958="",N29958=""),"",SUMIFS('Barang Keluar'!$E:$E,'Barang Keluar'!$A:$A,M29958,'Barang Keluar'!$C:$C,N29958))</f>
        <v>0</v>
      </c>
    </row>
    <row r="29959" spans="13:16">
      <c r="M29959" s="49">
        <f>IF($A$4+299&gt;$B$4,"",$A$4+299)</f>
        <v>46322</v>
      </c>
      <c r="N29959">
        <f>IF(M29959="","",'Master Barang'!A53)</f>
        <v>0</v>
      </c>
      <c r="O29959">
        <f>IF(N29959="","",'Master Barang'!B53)</f>
        <v>0</v>
      </c>
      <c r="P29959">
        <f>IF(OR(M29959="",N29959=""),"",SUMIFS('Barang Keluar'!$E:$E,'Barang Keluar'!$A:$A,M29959,'Barang Keluar'!$C:$C,N29959))</f>
        <v>0</v>
      </c>
    </row>
    <row r="29960" spans="13:16">
      <c r="M29960" s="49">
        <f>IF($A$4+299&gt;$B$4,"",$A$4+299)</f>
        <v>46322</v>
      </c>
      <c r="N29960">
        <f>IF(M29960="","",'Master Barang'!A54)</f>
        <v>0</v>
      </c>
      <c r="O29960">
        <f>IF(N29960="","",'Master Barang'!B54)</f>
        <v>0</v>
      </c>
      <c r="P29960">
        <f>IF(OR(M29960="",N29960=""),"",SUMIFS('Barang Keluar'!$E:$E,'Barang Keluar'!$A:$A,M29960,'Barang Keluar'!$C:$C,N29960))</f>
        <v>0</v>
      </c>
    </row>
    <row r="29961" spans="13:16">
      <c r="M29961" s="49">
        <f>IF($A$4+299&gt;$B$4,"",$A$4+299)</f>
        <v>46322</v>
      </c>
      <c r="N29961">
        <f>IF(M29961="","",'Master Barang'!A55)</f>
        <v>0</v>
      </c>
      <c r="O29961">
        <f>IF(N29961="","",'Master Barang'!B55)</f>
        <v>0</v>
      </c>
      <c r="P29961">
        <f>IF(OR(M29961="",N29961=""),"",SUMIFS('Barang Keluar'!$E:$E,'Barang Keluar'!$A:$A,M29961,'Barang Keluar'!$C:$C,N29961))</f>
        <v>0</v>
      </c>
    </row>
    <row r="29962" spans="13:16">
      <c r="M29962" s="49">
        <f>IF($A$4+299&gt;$B$4,"",$A$4+299)</f>
        <v>46322</v>
      </c>
      <c r="N29962">
        <f>IF(M29962="","",'Master Barang'!A56)</f>
        <v>0</v>
      </c>
      <c r="O29962">
        <f>IF(N29962="","",'Master Barang'!B56)</f>
        <v>0</v>
      </c>
      <c r="P29962">
        <f>IF(OR(M29962="",N29962=""),"",SUMIFS('Barang Keluar'!$E:$E,'Barang Keluar'!$A:$A,M29962,'Barang Keluar'!$C:$C,N29962))</f>
        <v>0</v>
      </c>
    </row>
    <row r="29963" spans="13:16">
      <c r="M29963" s="49">
        <f>IF($A$4+299&gt;$B$4,"",$A$4+299)</f>
        <v>46322</v>
      </c>
      <c r="N29963">
        <f>IF(M29963="","",'Master Barang'!A57)</f>
        <v>0</v>
      </c>
      <c r="O29963">
        <f>IF(N29963="","",'Master Barang'!B57)</f>
        <v>0</v>
      </c>
      <c r="P29963">
        <f>IF(OR(M29963="",N29963=""),"",SUMIFS('Barang Keluar'!$E:$E,'Barang Keluar'!$A:$A,M29963,'Barang Keluar'!$C:$C,N29963))</f>
        <v>0</v>
      </c>
    </row>
    <row r="29964" spans="13:16">
      <c r="M29964" s="49">
        <f>IF($A$4+299&gt;$B$4,"",$A$4+299)</f>
        <v>46322</v>
      </c>
      <c r="N29964">
        <f>IF(M29964="","",'Master Barang'!A58)</f>
        <v>0</v>
      </c>
      <c r="O29964">
        <f>IF(N29964="","",'Master Barang'!B58)</f>
        <v>0</v>
      </c>
      <c r="P29964">
        <f>IF(OR(M29964="",N29964=""),"",SUMIFS('Barang Keluar'!$E:$E,'Barang Keluar'!$A:$A,M29964,'Barang Keluar'!$C:$C,N29964))</f>
        <v>0</v>
      </c>
    </row>
    <row r="29965" spans="13:16">
      <c r="M29965" s="49">
        <f>IF($A$4+299&gt;$B$4,"",$A$4+299)</f>
        <v>46322</v>
      </c>
      <c r="N29965">
        <f>IF(M29965="","",'Master Barang'!A59)</f>
        <v>0</v>
      </c>
      <c r="O29965">
        <f>IF(N29965="","",'Master Barang'!B59)</f>
        <v>0</v>
      </c>
      <c r="P29965">
        <f>IF(OR(M29965="",N29965=""),"",SUMIFS('Barang Keluar'!$E:$E,'Barang Keluar'!$A:$A,M29965,'Barang Keluar'!$C:$C,N29965))</f>
        <v>0</v>
      </c>
    </row>
    <row r="29966" spans="13:16">
      <c r="M29966" s="49">
        <f>IF($A$4+299&gt;$B$4,"",$A$4+299)</f>
        <v>46322</v>
      </c>
      <c r="N29966">
        <f>IF(M29966="","",'Master Barang'!A60)</f>
        <v>0</v>
      </c>
      <c r="O29966">
        <f>IF(N29966="","",'Master Barang'!B60)</f>
        <v>0</v>
      </c>
      <c r="P29966">
        <f>IF(OR(M29966="",N29966=""),"",SUMIFS('Barang Keluar'!$E:$E,'Barang Keluar'!$A:$A,M29966,'Barang Keluar'!$C:$C,N29966))</f>
        <v>0</v>
      </c>
    </row>
    <row r="29967" spans="13:16">
      <c r="M29967" s="49">
        <f>IF($A$4+299&gt;$B$4,"",$A$4+299)</f>
        <v>46322</v>
      </c>
      <c r="N29967">
        <f>IF(M29967="","",'Master Barang'!A61)</f>
        <v>0</v>
      </c>
      <c r="O29967">
        <f>IF(N29967="","",'Master Barang'!B61)</f>
        <v>0</v>
      </c>
      <c r="P29967">
        <f>IF(OR(M29967="",N29967=""),"",SUMIFS('Barang Keluar'!$E:$E,'Barang Keluar'!$A:$A,M29967,'Barang Keluar'!$C:$C,N29967))</f>
        <v>0</v>
      </c>
    </row>
    <row r="29968" spans="13:16">
      <c r="M29968" s="49">
        <f>IF($A$4+299&gt;$B$4,"",$A$4+299)</f>
        <v>46322</v>
      </c>
      <c r="N29968">
        <f>IF(M29968="","",'Master Barang'!A62)</f>
        <v>0</v>
      </c>
      <c r="O29968">
        <f>IF(N29968="","",'Master Barang'!B62)</f>
        <v>0</v>
      </c>
      <c r="P29968">
        <f>IF(OR(M29968="",N29968=""),"",SUMIFS('Barang Keluar'!$E:$E,'Barang Keluar'!$A:$A,M29968,'Barang Keluar'!$C:$C,N29968))</f>
        <v>0</v>
      </c>
    </row>
    <row r="29969" spans="13:16">
      <c r="M29969" s="49">
        <f>IF($A$4+299&gt;$B$4,"",$A$4+299)</f>
        <v>46322</v>
      </c>
      <c r="N29969">
        <f>IF(M29969="","",'Master Barang'!A63)</f>
        <v>0</v>
      </c>
      <c r="O29969">
        <f>IF(N29969="","",'Master Barang'!B63)</f>
        <v>0</v>
      </c>
      <c r="P29969">
        <f>IF(OR(M29969="",N29969=""),"",SUMIFS('Barang Keluar'!$E:$E,'Barang Keluar'!$A:$A,M29969,'Barang Keluar'!$C:$C,N29969))</f>
        <v>0</v>
      </c>
    </row>
    <row r="29970" spans="13:16">
      <c r="M29970" s="49">
        <f>IF($A$4+299&gt;$B$4,"",$A$4+299)</f>
        <v>46322</v>
      </c>
      <c r="N29970">
        <f>IF(M29970="","",'Master Barang'!A64)</f>
        <v>0</v>
      </c>
      <c r="O29970">
        <f>IF(N29970="","",'Master Barang'!B64)</f>
        <v>0</v>
      </c>
      <c r="P29970">
        <f>IF(OR(M29970="",N29970=""),"",SUMIFS('Barang Keluar'!$E:$E,'Barang Keluar'!$A:$A,M29970,'Barang Keluar'!$C:$C,N29970))</f>
        <v>0</v>
      </c>
    </row>
    <row r="29971" spans="13:16">
      <c r="M29971" s="49">
        <f>IF($A$4+299&gt;$B$4,"",$A$4+299)</f>
        <v>46322</v>
      </c>
      <c r="N29971">
        <f>IF(M29971="","",'Master Barang'!A65)</f>
        <v>0</v>
      </c>
      <c r="O29971">
        <f>IF(N29971="","",'Master Barang'!B65)</f>
        <v>0</v>
      </c>
      <c r="P29971">
        <f>IF(OR(M29971="",N29971=""),"",SUMIFS('Barang Keluar'!$E:$E,'Barang Keluar'!$A:$A,M29971,'Barang Keluar'!$C:$C,N29971))</f>
        <v>0</v>
      </c>
    </row>
    <row r="29972" spans="13:16">
      <c r="M29972" s="49">
        <f>IF($A$4+299&gt;$B$4,"",$A$4+299)</f>
        <v>46322</v>
      </c>
      <c r="N29972">
        <f>IF(M29972="","",'Master Barang'!A66)</f>
        <v>0</v>
      </c>
      <c r="O29972">
        <f>IF(N29972="","",'Master Barang'!B66)</f>
        <v>0</v>
      </c>
      <c r="P29972">
        <f>IF(OR(M29972="",N29972=""),"",SUMIFS('Barang Keluar'!$E:$E,'Barang Keluar'!$A:$A,M29972,'Barang Keluar'!$C:$C,N29972))</f>
        <v>0</v>
      </c>
    </row>
    <row r="29973" spans="13:16">
      <c r="M29973" s="49">
        <f>IF($A$4+299&gt;$B$4,"",$A$4+299)</f>
        <v>46322</v>
      </c>
      <c r="N29973">
        <f>IF(M29973="","",'Master Barang'!A67)</f>
        <v>0</v>
      </c>
      <c r="O29973">
        <f>IF(N29973="","",'Master Barang'!B67)</f>
        <v>0</v>
      </c>
      <c r="P29973">
        <f>IF(OR(M29973="",N29973=""),"",SUMIFS('Barang Keluar'!$E:$E,'Barang Keluar'!$A:$A,M29973,'Barang Keluar'!$C:$C,N29973))</f>
        <v>0</v>
      </c>
    </row>
    <row r="29974" spans="13:16">
      <c r="M29974" s="49">
        <f>IF($A$4+299&gt;$B$4,"",$A$4+299)</f>
        <v>46322</v>
      </c>
      <c r="N29974">
        <f>IF(M29974="","",'Master Barang'!A68)</f>
        <v>0</v>
      </c>
      <c r="O29974">
        <f>IF(N29974="","",'Master Barang'!B68)</f>
        <v>0</v>
      </c>
      <c r="P29974">
        <f>IF(OR(M29974="",N29974=""),"",SUMIFS('Barang Keluar'!$E:$E,'Barang Keluar'!$A:$A,M29974,'Barang Keluar'!$C:$C,N29974))</f>
        <v>0</v>
      </c>
    </row>
    <row r="29975" spans="13:16">
      <c r="M29975" s="49">
        <f>IF($A$4+299&gt;$B$4,"",$A$4+299)</f>
        <v>46322</v>
      </c>
      <c r="N29975">
        <f>IF(M29975="","",'Master Barang'!A69)</f>
        <v>0</v>
      </c>
      <c r="O29975">
        <f>IF(N29975="","",'Master Barang'!B69)</f>
        <v>0</v>
      </c>
      <c r="P29975">
        <f>IF(OR(M29975="",N29975=""),"",SUMIFS('Barang Keluar'!$E:$E,'Barang Keluar'!$A:$A,M29975,'Barang Keluar'!$C:$C,N29975))</f>
        <v>0</v>
      </c>
    </row>
    <row r="29976" spans="13:16">
      <c r="M29976" s="49">
        <f>IF($A$4+299&gt;$B$4,"",$A$4+299)</f>
        <v>46322</v>
      </c>
      <c r="N29976">
        <f>IF(M29976="","",'Master Barang'!A70)</f>
        <v>0</v>
      </c>
      <c r="O29976">
        <f>IF(N29976="","",'Master Barang'!B70)</f>
        <v>0</v>
      </c>
      <c r="P29976">
        <f>IF(OR(M29976="",N29976=""),"",SUMIFS('Barang Keluar'!$E:$E,'Barang Keluar'!$A:$A,M29976,'Barang Keluar'!$C:$C,N29976))</f>
        <v>0</v>
      </c>
    </row>
    <row r="29977" spans="13:16">
      <c r="M29977" s="49">
        <f>IF($A$4+299&gt;$B$4,"",$A$4+299)</f>
        <v>46322</v>
      </c>
      <c r="N29977">
        <f>IF(M29977="","",'Master Barang'!A71)</f>
        <v>0</v>
      </c>
      <c r="O29977">
        <f>IF(N29977="","",'Master Barang'!B71)</f>
        <v>0</v>
      </c>
      <c r="P29977">
        <f>IF(OR(M29977="",N29977=""),"",SUMIFS('Barang Keluar'!$E:$E,'Barang Keluar'!$A:$A,M29977,'Barang Keluar'!$C:$C,N29977))</f>
        <v>0</v>
      </c>
    </row>
    <row r="29978" spans="13:16">
      <c r="M29978" s="49">
        <f>IF($A$4+299&gt;$B$4,"",$A$4+299)</f>
        <v>46322</v>
      </c>
      <c r="N29978">
        <f>IF(M29978="","",'Master Barang'!A72)</f>
        <v>0</v>
      </c>
      <c r="O29978">
        <f>IF(N29978="","",'Master Barang'!B72)</f>
        <v>0</v>
      </c>
      <c r="P29978">
        <f>IF(OR(M29978="",N29978=""),"",SUMIFS('Barang Keluar'!$E:$E,'Barang Keluar'!$A:$A,M29978,'Barang Keluar'!$C:$C,N29978))</f>
        <v>0</v>
      </c>
    </row>
    <row r="29979" spans="13:16">
      <c r="M29979" s="49">
        <f>IF($A$4+299&gt;$B$4,"",$A$4+299)</f>
        <v>46322</v>
      </c>
      <c r="N29979">
        <f>IF(M29979="","",'Master Barang'!A73)</f>
        <v>0</v>
      </c>
      <c r="O29979">
        <f>IF(N29979="","",'Master Barang'!B73)</f>
        <v>0</v>
      </c>
      <c r="P29979">
        <f>IF(OR(M29979="",N29979=""),"",SUMIFS('Barang Keluar'!$E:$E,'Barang Keluar'!$A:$A,M29979,'Barang Keluar'!$C:$C,N29979))</f>
        <v>0</v>
      </c>
    </row>
    <row r="29980" spans="13:16">
      <c r="M29980" s="49">
        <f>IF($A$4+299&gt;$B$4,"",$A$4+299)</f>
        <v>46322</v>
      </c>
      <c r="N29980">
        <f>IF(M29980="","",'Master Barang'!A74)</f>
        <v>0</v>
      </c>
      <c r="O29980">
        <f>IF(N29980="","",'Master Barang'!B74)</f>
        <v>0</v>
      </c>
      <c r="P29980">
        <f>IF(OR(M29980="",N29980=""),"",SUMIFS('Barang Keluar'!$E:$E,'Barang Keluar'!$A:$A,M29980,'Barang Keluar'!$C:$C,N29980))</f>
        <v>0</v>
      </c>
    </row>
    <row r="29981" spans="13:16">
      <c r="M29981" s="49">
        <f>IF($A$4+299&gt;$B$4,"",$A$4+299)</f>
        <v>46322</v>
      </c>
      <c r="N29981">
        <f>IF(M29981="","",'Master Barang'!A75)</f>
        <v>0</v>
      </c>
      <c r="O29981">
        <f>IF(N29981="","",'Master Barang'!B75)</f>
        <v>0</v>
      </c>
      <c r="P29981">
        <f>IF(OR(M29981="",N29981=""),"",SUMIFS('Barang Keluar'!$E:$E,'Barang Keluar'!$A:$A,M29981,'Barang Keluar'!$C:$C,N29981))</f>
        <v>0</v>
      </c>
    </row>
    <row r="29982" spans="13:16">
      <c r="M29982" s="49">
        <f>IF($A$4+299&gt;$B$4,"",$A$4+299)</f>
        <v>46322</v>
      </c>
      <c r="N29982">
        <f>IF(M29982="","",'Master Barang'!A76)</f>
        <v>0</v>
      </c>
      <c r="O29982">
        <f>IF(N29982="","",'Master Barang'!B76)</f>
        <v>0</v>
      </c>
      <c r="P29982">
        <f>IF(OR(M29982="",N29982=""),"",SUMIFS('Barang Keluar'!$E:$E,'Barang Keluar'!$A:$A,M29982,'Barang Keluar'!$C:$C,N29982))</f>
        <v>0</v>
      </c>
    </row>
    <row r="29983" spans="13:16">
      <c r="M29983" s="49">
        <f>IF($A$4+299&gt;$B$4,"",$A$4+299)</f>
        <v>46322</v>
      </c>
      <c r="N29983">
        <f>IF(M29983="","",'Master Barang'!A77)</f>
        <v>0</v>
      </c>
      <c r="O29983">
        <f>IF(N29983="","",'Master Barang'!B77)</f>
        <v>0</v>
      </c>
      <c r="P29983">
        <f>IF(OR(M29983="",N29983=""),"",SUMIFS('Barang Keluar'!$E:$E,'Barang Keluar'!$A:$A,M29983,'Barang Keluar'!$C:$C,N29983))</f>
        <v>0</v>
      </c>
    </row>
    <row r="29984" spans="13:16">
      <c r="M29984" s="49">
        <f>IF($A$4+299&gt;$B$4,"",$A$4+299)</f>
        <v>46322</v>
      </c>
      <c r="N29984">
        <f>IF(M29984="","",'Master Barang'!A78)</f>
        <v>0</v>
      </c>
      <c r="O29984">
        <f>IF(N29984="","",'Master Barang'!B78)</f>
        <v>0</v>
      </c>
      <c r="P29984">
        <f>IF(OR(M29984="",N29984=""),"",SUMIFS('Barang Keluar'!$E:$E,'Barang Keluar'!$A:$A,M29984,'Barang Keluar'!$C:$C,N29984))</f>
        <v>0</v>
      </c>
    </row>
    <row r="29985" spans="13:16">
      <c r="M29985" s="49">
        <f>IF($A$4+299&gt;$B$4,"",$A$4+299)</f>
        <v>46322</v>
      </c>
      <c r="N29985">
        <f>IF(M29985="","",'Master Barang'!A79)</f>
        <v>0</v>
      </c>
      <c r="O29985">
        <f>IF(N29985="","",'Master Barang'!B79)</f>
        <v>0</v>
      </c>
      <c r="P29985">
        <f>IF(OR(M29985="",N29985=""),"",SUMIFS('Barang Keluar'!$E:$E,'Barang Keluar'!$A:$A,M29985,'Barang Keluar'!$C:$C,N29985))</f>
        <v>0</v>
      </c>
    </row>
    <row r="29986" spans="13:16">
      <c r="M29986" s="49">
        <f>IF($A$4+299&gt;$B$4,"",$A$4+299)</f>
        <v>46322</v>
      </c>
      <c r="N29986">
        <f>IF(M29986="","",'Master Barang'!A80)</f>
        <v>0</v>
      </c>
      <c r="O29986">
        <f>IF(N29986="","",'Master Barang'!B80)</f>
        <v>0</v>
      </c>
      <c r="P29986">
        <f>IF(OR(M29986="",N29986=""),"",SUMIFS('Barang Keluar'!$E:$E,'Barang Keluar'!$A:$A,M29986,'Barang Keluar'!$C:$C,N29986))</f>
        <v>0</v>
      </c>
    </row>
    <row r="29987" spans="13:16">
      <c r="M29987" s="49">
        <f>IF($A$4+299&gt;$B$4,"",$A$4+299)</f>
        <v>46322</v>
      </c>
      <c r="N29987">
        <f>IF(M29987="","",'Master Barang'!A81)</f>
        <v>0</v>
      </c>
      <c r="O29987">
        <f>IF(N29987="","",'Master Barang'!B81)</f>
        <v>0</v>
      </c>
      <c r="P29987">
        <f>IF(OR(M29987="",N29987=""),"",SUMIFS('Barang Keluar'!$E:$E,'Barang Keluar'!$A:$A,M29987,'Barang Keluar'!$C:$C,N29987))</f>
        <v>0</v>
      </c>
    </row>
    <row r="29988" spans="13:16">
      <c r="M29988" s="49">
        <f>IF($A$4+299&gt;$B$4,"",$A$4+299)</f>
        <v>46322</v>
      </c>
      <c r="N29988">
        <f>IF(M29988="","",'Master Barang'!A82)</f>
        <v>0</v>
      </c>
      <c r="O29988">
        <f>IF(N29988="","",'Master Barang'!B82)</f>
        <v>0</v>
      </c>
      <c r="P29988">
        <f>IF(OR(M29988="",N29988=""),"",SUMIFS('Barang Keluar'!$E:$E,'Barang Keluar'!$A:$A,M29988,'Barang Keluar'!$C:$C,N29988))</f>
        <v>0</v>
      </c>
    </row>
    <row r="29989" spans="13:16">
      <c r="M29989" s="49">
        <f>IF($A$4+299&gt;$B$4,"",$A$4+299)</f>
        <v>46322</v>
      </c>
      <c r="N29989">
        <f>IF(M29989="","",'Master Barang'!A83)</f>
        <v>0</v>
      </c>
      <c r="O29989">
        <f>IF(N29989="","",'Master Barang'!B83)</f>
        <v>0</v>
      </c>
      <c r="P29989">
        <f>IF(OR(M29989="",N29989=""),"",SUMIFS('Barang Keluar'!$E:$E,'Barang Keluar'!$A:$A,M29989,'Barang Keluar'!$C:$C,N29989))</f>
        <v>0</v>
      </c>
    </row>
    <row r="29990" spans="13:16">
      <c r="M29990" s="49">
        <f>IF($A$4+299&gt;$B$4,"",$A$4+299)</f>
        <v>46322</v>
      </c>
      <c r="N29990">
        <f>IF(M29990="","",'Master Barang'!A84)</f>
        <v>0</v>
      </c>
      <c r="O29990">
        <f>IF(N29990="","",'Master Barang'!B84)</f>
        <v>0</v>
      </c>
      <c r="P29990">
        <f>IF(OR(M29990="",N29990=""),"",SUMIFS('Barang Keluar'!$E:$E,'Barang Keluar'!$A:$A,M29990,'Barang Keluar'!$C:$C,N29990))</f>
        <v>0</v>
      </c>
    </row>
    <row r="29991" spans="13:16">
      <c r="M29991" s="49">
        <f>IF($A$4+299&gt;$B$4,"",$A$4+299)</f>
        <v>46322</v>
      </c>
      <c r="N29991">
        <f>IF(M29991="","",'Master Barang'!A85)</f>
        <v>0</v>
      </c>
      <c r="O29991">
        <f>IF(N29991="","",'Master Barang'!B85)</f>
        <v>0</v>
      </c>
      <c r="P29991">
        <f>IF(OR(M29991="",N29991=""),"",SUMIFS('Barang Keluar'!$E:$E,'Barang Keluar'!$A:$A,M29991,'Barang Keluar'!$C:$C,N29991))</f>
        <v>0</v>
      </c>
    </row>
    <row r="29992" spans="13:16">
      <c r="M29992" s="49">
        <f>IF($A$4+299&gt;$B$4,"",$A$4+299)</f>
        <v>46322</v>
      </c>
      <c r="N29992">
        <f>IF(M29992="","",'Master Barang'!A86)</f>
        <v>0</v>
      </c>
      <c r="O29992">
        <f>IF(N29992="","",'Master Barang'!B86)</f>
        <v>0</v>
      </c>
      <c r="P29992">
        <f>IF(OR(M29992="",N29992=""),"",SUMIFS('Barang Keluar'!$E:$E,'Barang Keluar'!$A:$A,M29992,'Barang Keluar'!$C:$C,N29992))</f>
        <v>0</v>
      </c>
    </row>
    <row r="29993" spans="13:16">
      <c r="M29993" s="49">
        <f>IF($A$4+299&gt;$B$4,"",$A$4+299)</f>
        <v>46322</v>
      </c>
      <c r="N29993">
        <f>IF(M29993="","",'Master Barang'!A87)</f>
        <v>0</v>
      </c>
      <c r="O29993">
        <f>IF(N29993="","",'Master Barang'!B87)</f>
        <v>0</v>
      </c>
      <c r="P29993">
        <f>IF(OR(M29993="",N29993=""),"",SUMIFS('Barang Keluar'!$E:$E,'Barang Keluar'!$A:$A,M29993,'Barang Keluar'!$C:$C,N29993))</f>
        <v>0</v>
      </c>
    </row>
    <row r="29994" spans="13:16">
      <c r="M29994" s="49">
        <f>IF($A$4+299&gt;$B$4,"",$A$4+299)</f>
        <v>46322</v>
      </c>
      <c r="N29994">
        <f>IF(M29994="","",'Master Barang'!A88)</f>
        <v>0</v>
      </c>
      <c r="O29994">
        <f>IF(N29994="","",'Master Barang'!B88)</f>
        <v>0</v>
      </c>
      <c r="P29994">
        <f>IF(OR(M29994="",N29994=""),"",SUMIFS('Barang Keluar'!$E:$E,'Barang Keluar'!$A:$A,M29994,'Barang Keluar'!$C:$C,N29994))</f>
        <v>0</v>
      </c>
    </row>
    <row r="29995" spans="13:16">
      <c r="M29995" s="49">
        <f>IF($A$4+299&gt;$B$4,"",$A$4+299)</f>
        <v>46322</v>
      </c>
      <c r="N29995">
        <f>IF(M29995="","",'Master Barang'!A89)</f>
        <v>0</v>
      </c>
      <c r="O29995">
        <f>IF(N29995="","",'Master Barang'!B89)</f>
        <v>0</v>
      </c>
      <c r="P29995">
        <f>IF(OR(M29995="",N29995=""),"",SUMIFS('Barang Keluar'!$E:$E,'Barang Keluar'!$A:$A,M29995,'Barang Keluar'!$C:$C,N29995))</f>
        <v>0</v>
      </c>
    </row>
    <row r="29996" spans="13:16">
      <c r="M29996" s="49">
        <f>IF($A$4+299&gt;$B$4,"",$A$4+299)</f>
        <v>46322</v>
      </c>
      <c r="N29996">
        <f>IF(M29996="","",'Master Barang'!A90)</f>
        <v>0</v>
      </c>
      <c r="O29996">
        <f>IF(N29996="","",'Master Barang'!B90)</f>
        <v>0</v>
      </c>
      <c r="P29996">
        <f>IF(OR(M29996="",N29996=""),"",SUMIFS('Barang Keluar'!$E:$E,'Barang Keluar'!$A:$A,M29996,'Barang Keluar'!$C:$C,N29996))</f>
        <v>0</v>
      </c>
    </row>
    <row r="29997" spans="13:16">
      <c r="M29997" s="49">
        <f>IF($A$4+299&gt;$B$4,"",$A$4+299)</f>
        <v>46322</v>
      </c>
      <c r="N29997">
        <f>IF(M29997="","",'Master Barang'!A91)</f>
        <v>0</v>
      </c>
      <c r="O29997">
        <f>IF(N29997="","",'Master Barang'!B91)</f>
        <v>0</v>
      </c>
      <c r="P29997">
        <f>IF(OR(M29997="",N29997=""),"",SUMIFS('Barang Keluar'!$E:$E,'Barang Keluar'!$A:$A,M29997,'Barang Keluar'!$C:$C,N29997))</f>
        <v>0</v>
      </c>
    </row>
    <row r="29998" spans="13:16">
      <c r="M29998" s="49">
        <f>IF($A$4+299&gt;$B$4,"",$A$4+299)</f>
        <v>46322</v>
      </c>
      <c r="N29998">
        <f>IF(M29998="","",'Master Barang'!A92)</f>
        <v>0</v>
      </c>
      <c r="O29998">
        <f>IF(N29998="","",'Master Barang'!B92)</f>
        <v>0</v>
      </c>
      <c r="P29998">
        <f>IF(OR(M29998="",N29998=""),"",SUMIFS('Barang Keluar'!$E:$E,'Barang Keluar'!$A:$A,M29998,'Barang Keluar'!$C:$C,N29998))</f>
        <v>0</v>
      </c>
    </row>
    <row r="29999" spans="13:16">
      <c r="M29999" s="49">
        <f>IF($A$4+299&gt;$B$4,"",$A$4+299)</f>
        <v>46322</v>
      </c>
      <c r="N29999">
        <f>IF(M29999="","",'Master Barang'!A93)</f>
        <v>0</v>
      </c>
      <c r="O29999">
        <f>IF(N29999="","",'Master Barang'!B93)</f>
        <v>0</v>
      </c>
      <c r="P29999">
        <f>IF(OR(M29999="",N29999=""),"",SUMIFS('Barang Keluar'!$E:$E,'Barang Keluar'!$A:$A,M29999,'Barang Keluar'!$C:$C,N29999))</f>
        <v>0</v>
      </c>
    </row>
    <row r="30000" spans="13:16">
      <c r="M30000" s="49">
        <f>IF($A$4+299&gt;$B$4,"",$A$4+299)</f>
        <v>46322</v>
      </c>
      <c r="N30000">
        <f>IF(M30000="","",'Master Barang'!A94)</f>
        <v>0</v>
      </c>
      <c r="O30000">
        <f>IF(N30000="","",'Master Barang'!B94)</f>
        <v>0</v>
      </c>
      <c r="P30000">
        <f>IF(OR(M30000="",N30000=""),"",SUMIFS('Barang Keluar'!$E:$E,'Barang Keluar'!$A:$A,M30000,'Barang Keluar'!$C:$C,N30000))</f>
        <v>0</v>
      </c>
    </row>
    <row r="30001" spans="13:16">
      <c r="M30001" s="49">
        <f>IF($A$4+299&gt;$B$4,"",$A$4+299)</f>
        <v>46322</v>
      </c>
      <c r="N30001">
        <f>IF(M30001="","",'Master Barang'!A95)</f>
        <v>0</v>
      </c>
      <c r="O30001">
        <f>IF(N30001="","",'Master Barang'!B95)</f>
        <v>0</v>
      </c>
      <c r="P30001">
        <f>IF(OR(M30001="",N30001=""),"",SUMIFS('Barang Keluar'!$E:$E,'Barang Keluar'!$A:$A,M30001,'Barang Keluar'!$C:$C,N30001))</f>
        <v>0</v>
      </c>
    </row>
    <row r="30002" spans="13:16">
      <c r="M30002" s="49">
        <f>IF($A$4+299&gt;$B$4,"",$A$4+299)</f>
        <v>46322</v>
      </c>
      <c r="N30002">
        <f>IF(M30002="","",'Master Barang'!A96)</f>
        <v>0</v>
      </c>
      <c r="O30002">
        <f>IF(N30002="","",'Master Barang'!B96)</f>
        <v>0</v>
      </c>
      <c r="P30002">
        <f>IF(OR(M30002="",N30002=""),"",SUMIFS('Barang Keluar'!$E:$E,'Barang Keluar'!$A:$A,M30002,'Barang Keluar'!$C:$C,N30002))</f>
        <v>0</v>
      </c>
    </row>
    <row r="30003" spans="13:16">
      <c r="M30003" s="49">
        <f>IF($A$4+299&gt;$B$4,"",$A$4+299)</f>
        <v>46322</v>
      </c>
      <c r="N30003">
        <f>IF(M30003="","",'Master Barang'!A97)</f>
        <v>0</v>
      </c>
      <c r="O30003">
        <f>IF(N30003="","",'Master Barang'!B97)</f>
        <v>0</v>
      </c>
      <c r="P30003">
        <f>IF(OR(M30003="",N30003=""),"",SUMIFS('Barang Keluar'!$E:$E,'Barang Keluar'!$A:$A,M30003,'Barang Keluar'!$C:$C,N30003))</f>
        <v>0</v>
      </c>
    </row>
    <row r="30004" spans="13:16">
      <c r="M30004" s="49">
        <f>IF($A$4+299&gt;$B$4,"",$A$4+299)</f>
        <v>46322</v>
      </c>
      <c r="N30004">
        <f>IF(M30004="","",'Master Barang'!A98)</f>
        <v>0</v>
      </c>
      <c r="O30004">
        <f>IF(N30004="","",'Master Barang'!B98)</f>
        <v>0</v>
      </c>
      <c r="P30004">
        <f>IF(OR(M30004="",N30004=""),"",SUMIFS('Barang Keluar'!$E:$E,'Barang Keluar'!$A:$A,M30004,'Barang Keluar'!$C:$C,N30004))</f>
        <v>0</v>
      </c>
    </row>
    <row r="30005" spans="13:16">
      <c r="M30005" s="49">
        <f>IF($A$4+299&gt;$B$4,"",$A$4+299)</f>
        <v>46322</v>
      </c>
      <c r="N30005">
        <f>IF(M30005="","",'Master Barang'!A99)</f>
        <v>0</v>
      </c>
      <c r="O30005">
        <f>IF(N30005="","",'Master Barang'!B99)</f>
        <v>0</v>
      </c>
      <c r="P30005">
        <f>IF(OR(M30005="",N30005=""),"",SUMIFS('Barang Keluar'!$E:$E,'Barang Keluar'!$A:$A,M30005,'Barang Keluar'!$C:$C,N30005))</f>
        <v>0</v>
      </c>
    </row>
    <row r="30006" spans="13:16">
      <c r="M30006" s="49">
        <f>IF($A$4+299&gt;$B$4,"",$A$4+299)</f>
        <v>46322</v>
      </c>
      <c r="N30006">
        <f>IF(M30006="","",'Master Barang'!A100)</f>
        <v>0</v>
      </c>
      <c r="O30006">
        <f>IF(N30006="","",'Master Barang'!B100)</f>
        <v>0</v>
      </c>
      <c r="P30006">
        <f>IF(OR(M30006="",N30006=""),"",SUMIFS('Barang Keluar'!$E:$E,'Barang Keluar'!$A:$A,M30006,'Barang Keluar'!$C:$C,N30006))</f>
        <v>0</v>
      </c>
    </row>
    <row r="30007" spans="13:16">
      <c r="M30007" s="49">
        <f>IF($A$4+299&gt;$B$4,"",$A$4+299)</f>
        <v>46322</v>
      </c>
      <c r="N30007">
        <f>IF(M30007="","",'Master Barang'!A101)</f>
        <v>0</v>
      </c>
      <c r="O30007">
        <f>IF(N30007="","",'Master Barang'!B101)</f>
        <v>0</v>
      </c>
      <c r="P30007">
        <f>IF(OR(M30007="",N30007=""),"",SUMIFS('Barang Keluar'!$E:$E,'Barang Keluar'!$A:$A,M30007,'Barang Keluar'!$C:$C,N30007))</f>
        <v>0</v>
      </c>
    </row>
    <row r="30008" spans="13:16">
      <c r="M30008" s="49">
        <f>IF($A$4+300&gt;$B$4,"",$A$4+300)</f>
        <v>46323</v>
      </c>
      <c r="N30008" t="str">
        <f>IF(M30008="","",'Master Barang'!A2)</f>
        <v>PRL-001</v>
      </c>
      <c r="O30008" t="str">
        <f>IF(N30008="","",'Master Barang'!B2)</f>
        <v>natura desinfectant food grade 5l</v>
      </c>
      <c r="P30008">
        <f>IF(OR(M30008="",N30008=""),"",SUMIFS('Barang Keluar'!$E:$E,'Barang Keluar'!$A:$A,M30008,'Barang Keluar'!$C:$C,N30008))</f>
        <v>0</v>
      </c>
    </row>
    <row r="30009" spans="13:16">
      <c r="M30009" s="49">
        <f>IF($A$4+300&gt;$B$4,"",$A$4+300)</f>
        <v>46323</v>
      </c>
      <c r="N30009" t="str">
        <f>IF(M30009="","",'Master Barang'!A3)</f>
        <v>PRL-002</v>
      </c>
      <c r="O30009" t="str">
        <f>IF(N30009="","",'Master Barang'!B3)</f>
        <v>sunlight cairan pencuci piring 5l</v>
      </c>
      <c r="P30009">
        <f>IF(OR(M30009="",N30009=""),"",SUMIFS('Barang Keluar'!$E:$E,'Barang Keluar'!$A:$A,M30009,'Barang Keluar'!$C:$C,N30009))</f>
        <v>0</v>
      </c>
    </row>
    <row r="30010" spans="13:16">
      <c r="M30010" s="49">
        <f>IF($A$4+300&gt;$B$4,"",$A$4+300)</f>
        <v>46323</v>
      </c>
      <c r="N30010" t="str">
        <f>IF(M30010="","",'Master Barang'!A4)</f>
        <v>PRL-003</v>
      </c>
      <c r="O30010" t="str">
        <f>IF(N30010="","",'Master Barang'!B4)</f>
        <v>oixs cleaner 1l</v>
      </c>
      <c r="P30010">
        <f>IF(OR(M30010="",N30010=""),"",SUMIFS('Barang Keluar'!$E:$E,'Barang Keluar'!$A:$A,M30010,'Barang Keluar'!$C:$C,N30010))</f>
        <v>0</v>
      </c>
    </row>
    <row r="30011" spans="13:16">
      <c r="M30011" s="49">
        <f>IF($A$4+300&gt;$B$4,"",$A$4+300)</f>
        <v>46323</v>
      </c>
      <c r="N30011" t="str">
        <f>IF(M30011="","",'Master Barang'!A5)</f>
        <v>PRL-004</v>
      </c>
      <c r="O30011" t="str">
        <f>IF(N30011="","",'Master Barang'!B5)</f>
        <v>be clean tissue serbaguna</v>
      </c>
      <c r="P30011">
        <f>IF(OR(M30011="",N30011=""),"",SUMIFS('Barang Keluar'!$E:$E,'Barang Keluar'!$A:$A,M30011,'Barang Keluar'!$C:$C,N30011))</f>
        <v>0</v>
      </c>
    </row>
    <row r="30012" spans="13:16">
      <c r="M30012" s="49">
        <f>IF($A$4+300&gt;$B$4,"",$A$4+300)</f>
        <v>46323</v>
      </c>
      <c r="N30012" t="str">
        <f>IF(M30012="","",'Master Barang'!A6)</f>
        <v>PRL-005</v>
      </c>
      <c r="O30012" t="str">
        <f>IF(N30012="","",'Master Barang'!B6)</f>
        <v>spons cuci hijau</v>
      </c>
      <c r="P30012">
        <f>IF(OR(M30012="",N30012=""),"",SUMIFS('Barang Keluar'!$E:$E,'Barang Keluar'!$A:$A,M30012,'Barang Keluar'!$C:$C,N30012))</f>
        <v>0</v>
      </c>
    </row>
    <row r="30013" spans="13:16">
      <c r="M30013" s="49">
        <f>IF($A$4+300&gt;$B$4,"",$A$4+300)</f>
        <v>46323</v>
      </c>
      <c r="N30013" t="str">
        <f>IF(M30013="","",'Master Barang'!A7)</f>
        <v>PRL-006</v>
      </c>
      <c r="O30013" t="str">
        <f>IF(N30013="","",'Master Barang'!B7)</f>
        <v>sabut cuci stainless</v>
      </c>
      <c r="P30013">
        <f>IF(OR(M30013="",N30013=""),"",SUMIFS('Barang Keluar'!$E:$E,'Barang Keluar'!$A:$A,M30013,'Barang Keluar'!$C:$C,N30013))</f>
        <v>0</v>
      </c>
    </row>
    <row r="30014" spans="13:16">
      <c r="M30014" s="49">
        <f>IF($A$4+300&gt;$B$4,"",$A$4+300)</f>
        <v>46323</v>
      </c>
      <c r="N30014" t="str">
        <f>IF(M30014="","",'Master Barang'!A8)</f>
        <v>PRL-007</v>
      </c>
      <c r="O30014" t="str">
        <f>IF(N30014="","",'Master Barang'!B8)</f>
        <v>plastik kresek besar merah 50pc</v>
      </c>
      <c r="P30014">
        <f>IF(OR(M30014="",N30014=""),"",SUMIFS('Barang Keluar'!$E:$E,'Barang Keluar'!$A:$A,M30014,'Barang Keluar'!$C:$C,N30014))</f>
        <v>0</v>
      </c>
    </row>
    <row r="30015" spans="13:16">
      <c r="M30015" s="49">
        <f>IF($A$4+300&gt;$B$4,"",$A$4+300)</f>
        <v>46323</v>
      </c>
      <c r="N30015" t="str">
        <f>IF(M30015="","",'Master Barang'!A9)</f>
        <v>PRL-008</v>
      </c>
      <c r="O30015" t="str">
        <f>IF(N30015="","",'Master Barang'!B9)</f>
        <v>lap besar</v>
      </c>
      <c r="P30015">
        <f>IF(OR(M30015="",N30015=""),"",SUMIFS('Barang Keluar'!$E:$E,'Barang Keluar'!$A:$A,M30015,'Barang Keluar'!$C:$C,N30015))</f>
        <v>0</v>
      </c>
    </row>
    <row r="30016" spans="13:16">
      <c r="M30016" s="49">
        <f>IF($A$4+300&gt;$B$4,"",$A$4+300)</f>
        <v>46323</v>
      </c>
      <c r="N30016" t="str">
        <f>IF(M30016="","",'Master Barang'!A10)</f>
        <v>PRL-009</v>
      </c>
      <c r="O30016" t="str">
        <f>IF(N30016="","",'Master Barang'!B10)</f>
        <v>lap microfiber</v>
      </c>
      <c r="P30016">
        <f>IF(OR(M30016="",N30016=""),"",SUMIFS('Barang Keluar'!$E:$E,'Barang Keluar'!$A:$A,M30016,'Barang Keluar'!$C:$C,N30016))</f>
        <v>0</v>
      </c>
    </row>
    <row r="30017" spans="13:16">
      <c r="M30017" s="49">
        <f>IF($A$4+300&gt;$B$4,"",$A$4+300)</f>
        <v>46323</v>
      </c>
      <c r="N30017" t="str">
        <f>IF(M30017="","",'Master Barang'!A11)</f>
        <v>PRL-010</v>
      </c>
      <c r="O30017" t="str">
        <f>IF(N30017="","",'Master Barang'!B11)</f>
        <v>lap kecil</v>
      </c>
      <c r="P30017">
        <f>IF(OR(M30017="",N30017=""),"",SUMIFS('Barang Keluar'!$E:$E,'Barang Keluar'!$A:$A,M30017,'Barang Keluar'!$C:$C,N30017))</f>
        <v>0</v>
      </c>
    </row>
    <row r="30018" spans="13:16">
      <c r="M30018" s="49">
        <f>IF($A$4+300&gt;$B$4,"",$A$4+300)</f>
        <v>46323</v>
      </c>
      <c r="N30018" t="str">
        <f>IF(M30018="","",'Master Barang'!A12)</f>
        <v>PRL-011</v>
      </c>
      <c r="O30018" t="str">
        <f>IF(N30018="","",'Master Barang'!B12)</f>
        <v>kanebo kecil</v>
      </c>
      <c r="P30018">
        <f>IF(OR(M30018="",N30018=""),"",SUMIFS('Barang Keluar'!$E:$E,'Barang Keluar'!$A:$A,M30018,'Barang Keluar'!$C:$C,N30018))</f>
        <v>0</v>
      </c>
    </row>
    <row r="30019" spans="13:16">
      <c r="M30019" s="49">
        <f>IF($A$4+300&gt;$B$4,"",$A$4+300)</f>
        <v>46323</v>
      </c>
      <c r="N30019" t="str">
        <f>IF(M30019="","",'Master Barang'!A13)</f>
        <v>PRL-012</v>
      </c>
      <c r="O30019" t="str">
        <f>IF(N30019="","",'Master Barang'!B13)</f>
        <v>plastik 1/4kg joyoboyo 100 lembar</v>
      </c>
      <c r="P30019">
        <f>IF(OR(M30019="",N30019=""),"",SUMIFS('Barang Keluar'!$E:$E,'Barang Keluar'!$A:$A,M30019,'Barang Keluar'!$C:$C,N30019))</f>
        <v>0</v>
      </c>
    </row>
    <row r="30020" spans="13:16">
      <c r="M30020" s="49">
        <f>IF($A$4+300&gt;$B$4,"",$A$4+300)</f>
        <v>46323</v>
      </c>
      <c r="N30020" t="str">
        <f>IF(M30020="","",'Master Barang'!A14)</f>
        <v>PRL-013</v>
      </c>
      <c r="O30020" t="str">
        <f>IF(N30020="","",'Master Barang'!B14)</f>
        <v>sarung tangan plastik kaka 100 pcs</v>
      </c>
      <c r="P30020">
        <f>IF(OR(M30020="",N30020=""),"",SUMIFS('Barang Keluar'!$E:$E,'Barang Keluar'!$A:$A,M30020,'Barang Keluar'!$C:$C,N30020))</f>
        <v>0</v>
      </c>
    </row>
    <row r="30021" spans="13:16">
      <c r="M30021" s="49">
        <f>IF($A$4+300&gt;$B$4,"",$A$4+300)</f>
        <v>46323</v>
      </c>
      <c r="N30021" t="str">
        <f>IF(M30021="","",'Master Barang'!A15)</f>
        <v>PRL-014</v>
      </c>
      <c r="O30021" t="str">
        <f>IF(N30021="","",'Master Barang'!B15)</f>
        <v>optima trashbag 80x100</v>
      </c>
      <c r="P30021">
        <f>IF(OR(M30021="",N30021=""),"",SUMIFS('Barang Keluar'!$E:$E,'Barang Keluar'!$A:$A,M30021,'Barang Keluar'!$C:$C,N30021))</f>
        <v>0</v>
      </c>
    </row>
    <row r="30022" spans="13:16">
      <c r="M30022" s="49">
        <f>IF($A$4+300&gt;$B$4,"",$A$4+300)</f>
        <v>46323</v>
      </c>
      <c r="N30022" t="str">
        <f>IF(M30022="","",'Master Barang'!A16)</f>
        <v>PRL-015</v>
      </c>
      <c r="O30022" t="str">
        <f>IF(N30022="","",'Master Barang'!B16)</f>
        <v>optima trashbag 60x100</v>
      </c>
      <c r="P30022">
        <f>IF(OR(M30022="",N30022=""),"",SUMIFS('Barang Keluar'!$E:$E,'Barang Keluar'!$A:$A,M30022,'Barang Keluar'!$C:$C,N30022))</f>
        <v>0</v>
      </c>
    </row>
    <row r="30023" spans="13:16">
      <c r="M30023" s="49">
        <f>IF($A$4+300&gt;$B$4,"",$A$4+300)</f>
        <v>46323</v>
      </c>
      <c r="N30023" t="str">
        <f>IF(M30023="","",'Master Barang'!A17)</f>
        <v>PRL-016</v>
      </c>
      <c r="O30023" t="str">
        <f>IF(N30023="","",'Master Barang'!B17)</f>
        <v>rajawali trashbag 30x40</v>
      </c>
      <c r="P30023">
        <f>IF(OR(M30023="",N30023=""),"",SUMIFS('Barang Keluar'!$E:$E,'Barang Keluar'!$A:$A,M30023,'Barang Keluar'!$C:$C,N30023))</f>
        <v>0</v>
      </c>
    </row>
    <row r="30024" spans="13:16">
      <c r="M30024" s="49">
        <f>IF($A$4+300&gt;$B$4,"",$A$4+300)</f>
        <v>46323</v>
      </c>
      <c r="N30024" t="str">
        <f>IF(M30024="","",'Master Barang'!A18)</f>
        <v>PRL-017</v>
      </c>
      <c r="O30024" t="str">
        <f>IF(N30024="","",'Master Barang'!B18)</f>
        <v>onemed masker biru 3 play 50 pcs</v>
      </c>
      <c r="P30024">
        <f>IF(OR(M30024="",N30024=""),"",SUMIFS('Barang Keluar'!$E:$E,'Barang Keluar'!$A:$A,M30024,'Barang Keluar'!$C:$C,N30024))</f>
        <v>0</v>
      </c>
    </row>
    <row r="30025" spans="13:16">
      <c r="M30025" s="49">
        <f>IF($A$4+300&gt;$B$4,"",$A$4+300)</f>
        <v>46323</v>
      </c>
      <c r="N30025" t="str">
        <f>IF(M30025="","",'Master Barang'!A19)</f>
        <v>PRL-018</v>
      </c>
      <c r="O30025" t="str">
        <f>IF(N30025="","",'Master Barang'!B19)</f>
        <v>onemed masker biru 3 play hijab 50 pcs</v>
      </c>
      <c r="P30025">
        <f>IF(OR(M30025="",N30025=""),"",SUMIFS('Barang Keluar'!$E:$E,'Barang Keluar'!$A:$A,M30025,'Barang Keluar'!$C:$C,N30025))</f>
        <v>0</v>
      </c>
    </row>
    <row r="30026" spans="13:16">
      <c r="M30026" s="49">
        <f>IF($A$4+300&gt;$B$4,"",$A$4+300)</f>
        <v>46323</v>
      </c>
      <c r="N30026" t="str">
        <f>IF(M30026="","",'Master Barang'!A20)</f>
        <v>PRL-019</v>
      </c>
      <c r="O30026" t="str">
        <f>IF(N30026="","",'Master Barang'!B20)</f>
        <v>neo health masker biru 3 play 50 pcs</v>
      </c>
      <c r="P30026">
        <f>IF(OR(M30026="",N30026=""),"",SUMIFS('Barang Keluar'!$E:$E,'Barang Keluar'!$A:$A,M30026,'Barang Keluar'!$C:$C,N30026))</f>
        <v>0</v>
      </c>
    </row>
    <row r="30027" spans="13:16">
      <c r="M30027" s="49">
        <f>IF($A$4+300&gt;$B$4,"",$A$4+300)</f>
        <v>46323</v>
      </c>
      <c r="N30027" t="str">
        <f>IF(M30027="","",'Master Barang'!A21)</f>
        <v>PRL-020</v>
      </c>
      <c r="O30027" t="str">
        <f>IF(N30027="","",'Master Barang'!B21)</f>
        <v>baymed masker hijau 3 play hijau 50 pcs</v>
      </c>
      <c r="P30027">
        <f>IF(OR(M30027="",N30027=""),"",SUMIFS('Barang Keluar'!$E:$E,'Barang Keluar'!$A:$A,M30027,'Barang Keluar'!$C:$C,N30027))</f>
        <v>0</v>
      </c>
    </row>
    <row r="30028" spans="13:16">
      <c r="M30028" s="49">
        <f>IF($A$4+300&gt;$B$4,"",$A$4+300)</f>
        <v>46323</v>
      </c>
      <c r="N30028" t="str">
        <f>IF(M30028="","",'Master Barang'!A22)</f>
        <v>PRL-021</v>
      </c>
      <c r="O30028" t="str">
        <f>IF(N30028="","",'Master Barang'!B22)</f>
        <v>altamed nurse cap penutup kepala 100 pcs</v>
      </c>
      <c r="P30028">
        <f>IF(OR(M30028="",N30028=""),"",SUMIFS('Barang Keluar'!$E:$E,'Barang Keluar'!$A:$A,M30028,'Barang Keluar'!$C:$C,N30028))</f>
        <v>0</v>
      </c>
    </row>
    <row r="30029" spans="13:16">
      <c r="M30029" s="49">
        <f>IF($A$4+300&gt;$B$4,"",$A$4+300)</f>
        <v>46323</v>
      </c>
      <c r="N30029" t="str">
        <f>IF(M30029="","",'Master Barang'!A23)</f>
        <v>PRL-022</v>
      </c>
      <c r="O30029" t="str">
        <f>IF(N30029="","",'Master Barang'!B23)</f>
        <v>sabun cuci tangan</v>
      </c>
      <c r="P30029">
        <f>IF(OR(M30029="",N30029=""),"",SUMIFS('Barang Keluar'!$E:$E,'Barang Keluar'!$A:$A,M30029,'Barang Keluar'!$C:$C,N30029))</f>
        <v>0</v>
      </c>
    </row>
    <row r="30030" spans="13:16">
      <c r="M30030" s="49">
        <f>IF($A$4+300&gt;$B$4,"",$A$4+300)</f>
        <v>46323</v>
      </c>
      <c r="N30030" t="str">
        <f>IF(M30030="","",'Master Barang'!A24)</f>
        <v>PRL-023</v>
      </c>
      <c r="O30030" t="str">
        <f>IF(N30030="","",'Master Barang'!B24)</f>
        <v>gayung kecil</v>
      </c>
      <c r="P30030">
        <f>IF(OR(M30030="",N30030=""),"",SUMIFS('Barang Keluar'!$E:$E,'Barang Keluar'!$A:$A,M30030,'Barang Keluar'!$C:$C,N30030))</f>
        <v>0</v>
      </c>
    </row>
    <row r="30031" spans="13:16">
      <c r="M30031" s="49">
        <f>IF($A$4+300&gt;$B$4,"",$A$4+300)</f>
        <v>46323</v>
      </c>
      <c r="N30031" t="str">
        <f>IF(M30031="","",'Master Barang'!A25)</f>
        <v>PRL-024</v>
      </c>
      <c r="O30031" t="str">
        <f>IF(N30031="","",'Master Barang'!B25)</f>
        <v>cikrak kecil</v>
      </c>
      <c r="P30031">
        <f>IF(OR(M30031="",N30031=""),"",SUMIFS('Barang Keluar'!$E:$E,'Barang Keluar'!$A:$A,M30031,'Barang Keluar'!$C:$C,N30031))</f>
        <v>0</v>
      </c>
    </row>
    <row r="30032" spans="13:16">
      <c r="M30032" s="49">
        <f>IF($A$4+300&gt;$B$4,"",$A$4+300)</f>
        <v>46323</v>
      </c>
      <c r="N30032" t="str">
        <f>IF(M30032="","",'Master Barang'!A26)</f>
        <v>PRL-025</v>
      </c>
      <c r="O30032" t="str">
        <f>IF(N30032="","",'Master Barang'!B26)</f>
        <v>petromax plastik kecil 12x24 100 lembar</v>
      </c>
      <c r="P30032">
        <f>IF(OR(M30032="",N30032=""),"",SUMIFS('Barang Keluar'!$E:$E,'Barang Keluar'!$A:$A,M30032,'Barang Keluar'!$C:$C,N30032))</f>
        <v>0</v>
      </c>
    </row>
    <row r="30033" spans="13:16">
      <c r="M30033" s="49">
        <f>IF($A$4+300&gt;$B$4,"",$A$4+300)</f>
        <v>46323</v>
      </c>
      <c r="N30033" t="str">
        <f>IF(M30033="","",'Master Barang'!A27)</f>
        <v>PRL-026</v>
      </c>
      <c r="O30033" t="str">
        <f>IF(N30033="","",'Master Barang'!B27)</f>
        <v>lancar kresek kecil bening </v>
      </c>
      <c r="P30033">
        <f>IF(OR(M30033="",N30033=""),"",SUMIFS('Barang Keluar'!$E:$E,'Barang Keluar'!$A:$A,M30033,'Barang Keluar'!$C:$C,N30033))</f>
        <v>0</v>
      </c>
    </row>
    <row r="30034" spans="13:16">
      <c r="M30034" s="49">
        <f>IF($A$4+300&gt;$B$4,"",$A$4+300)</f>
        <v>46323</v>
      </c>
      <c r="N30034" t="str">
        <f>IF(M30034="","",'Master Barang'!A28)</f>
        <v>PRL-027</v>
      </c>
      <c r="O30034" t="str">
        <f>IF(N30034="","",'Master Barang'!B28)</f>
        <v>kresek klin warna warni kecil</v>
      </c>
      <c r="P30034">
        <f>IF(OR(M30034="",N30034=""),"",SUMIFS('Barang Keluar'!$E:$E,'Barang Keluar'!$A:$A,M30034,'Barang Keluar'!$C:$C,N30034))</f>
        <v>0</v>
      </c>
    </row>
    <row r="30035" spans="13:16">
      <c r="M30035" s="49">
        <f>IF($A$4+300&gt;$B$4,"",$A$4+300)</f>
        <v>46323</v>
      </c>
      <c r="N30035" t="str">
        <f>IF(M30035="","",'Master Barang'!A29)</f>
        <v>PRL-028</v>
      </c>
      <c r="O30035" t="str">
        <f>IF(N30035="","",'Master Barang'!B29)</f>
        <v>ctik plastik 7x10 100 pcs</v>
      </c>
      <c r="P30035">
        <f>IF(OR(M30035="",N30035=""),"",SUMIFS('Barang Keluar'!$E:$E,'Barang Keluar'!$A:$A,M30035,'Barang Keluar'!$C:$C,N30035))</f>
        <v>0</v>
      </c>
    </row>
    <row r="30036" spans="13:16">
      <c r="M30036" s="49">
        <f>IF($A$4+300&gt;$B$4,"",$A$4+300)</f>
        <v>46323</v>
      </c>
      <c r="N30036" t="str">
        <f>IF(M30036="","",'Master Barang'!A30)</f>
        <v>PRL-029</v>
      </c>
      <c r="O30036" t="str">
        <f>IF(N30036="","",'Master Barang'!B30)</f>
        <v>ctik plastik 6x10 100 pcs</v>
      </c>
      <c r="P30036">
        <f>IF(OR(M30036="",N30036=""),"",SUMIFS('Barang Keluar'!$E:$E,'Barang Keluar'!$A:$A,M30036,'Barang Keluar'!$C:$C,N30036))</f>
        <v>0</v>
      </c>
    </row>
    <row r="30037" spans="13:16">
      <c r="M30037" s="49">
        <f>IF($A$4+300&gt;$B$4,"",$A$4+300)</f>
        <v>46323</v>
      </c>
      <c r="N30037" t="str">
        <f>IF(M30037="","",'Master Barang'!A31)</f>
        <v>PRL-030</v>
      </c>
      <c r="O30037" t="str">
        <f>IF(N30037="","",'Master Barang'!B31)</f>
        <v>klip plastik 25x16 100 pcs</v>
      </c>
      <c r="P30037">
        <f>IF(OR(M30037="",N30037=""),"",SUMIFS('Barang Keluar'!$E:$E,'Barang Keluar'!$A:$A,M30037,'Barang Keluar'!$C:$C,N30037))</f>
        <v>0</v>
      </c>
    </row>
    <row r="30038" spans="13:16">
      <c r="M30038" s="49">
        <f>IF($A$4+300&gt;$B$4,"",$A$4+300)</f>
        <v>46323</v>
      </c>
      <c r="N30038" t="str">
        <f>IF(M30038="","",'Master Barang'!A32)</f>
        <v>PRL-031</v>
      </c>
      <c r="O30038" t="str">
        <f>IF(N30038="","",'Master Barang'!B32)</f>
        <v>tempat saus 20 ml</v>
      </c>
      <c r="P30038">
        <f>IF(OR(M30038="",N30038=""),"",SUMIFS('Barang Keluar'!$E:$E,'Barang Keluar'!$A:$A,M30038,'Barang Keluar'!$C:$C,N30038))</f>
        <v>0</v>
      </c>
    </row>
    <row r="30039" spans="13:16">
      <c r="M30039" s="49">
        <f>IF($A$4+300&gt;$B$4,"",$A$4+300)</f>
        <v>46323</v>
      </c>
      <c r="N30039" t="str">
        <f>IF(M30039="","",'Master Barang'!A33)</f>
        <v>PRL-032</v>
      </c>
      <c r="O30039" t="str">
        <f>IF(N30039="","",'Master Barang'!B33)</f>
        <v>plastik packaging ag box uk sedang</v>
      </c>
      <c r="P30039">
        <f>IF(OR(M30039="",N30039=""),"",SUMIFS('Barang Keluar'!$E:$E,'Barang Keluar'!$A:$A,M30039,'Barang Keluar'!$C:$C,N30039))</f>
        <v>0</v>
      </c>
    </row>
    <row r="30040" spans="13:16">
      <c r="M30040" s="49">
        <f>IF($A$4+300&gt;$B$4,"",$A$4+300)</f>
        <v>46323</v>
      </c>
      <c r="N30040" t="str">
        <f>IF(M30040="","",'Master Barang'!A34)</f>
        <v>PRL-033</v>
      </c>
      <c r="O30040">
        <f>IF(N30040="","",'Master Barang'!B34)</f>
        <v>0</v>
      </c>
      <c r="P30040">
        <f>IF(OR(M30040="",N30040=""),"",SUMIFS('Barang Keluar'!$E:$E,'Barang Keluar'!$A:$A,M30040,'Barang Keluar'!$C:$C,N30040))</f>
        <v>0</v>
      </c>
    </row>
    <row r="30041" spans="13:16">
      <c r="M30041" s="49">
        <f>IF($A$4+300&gt;$B$4,"",$A$4+300)</f>
        <v>46323</v>
      </c>
      <c r="N30041">
        <f>IF(M30041="","",'Master Barang'!A35)</f>
        <v>0</v>
      </c>
      <c r="O30041">
        <f>IF(N30041="","",'Master Barang'!B35)</f>
        <v>0</v>
      </c>
      <c r="P30041">
        <f>IF(OR(M30041="",N30041=""),"",SUMIFS('Barang Keluar'!$E:$E,'Barang Keluar'!$A:$A,M30041,'Barang Keluar'!$C:$C,N30041))</f>
        <v>0</v>
      </c>
    </row>
    <row r="30042" spans="13:16">
      <c r="M30042" s="49">
        <f>IF($A$4+300&gt;$B$4,"",$A$4+300)</f>
        <v>46323</v>
      </c>
      <c r="N30042">
        <f>IF(M30042="","",'Master Barang'!A36)</f>
        <v>0</v>
      </c>
      <c r="O30042">
        <f>IF(N30042="","",'Master Barang'!B36)</f>
        <v>0</v>
      </c>
      <c r="P30042">
        <f>IF(OR(M30042="",N30042=""),"",SUMIFS('Barang Keluar'!$E:$E,'Barang Keluar'!$A:$A,M30042,'Barang Keluar'!$C:$C,N30042))</f>
        <v>0</v>
      </c>
    </row>
    <row r="30043" spans="13:16">
      <c r="M30043" s="49">
        <f>IF($A$4+300&gt;$B$4,"",$A$4+300)</f>
        <v>46323</v>
      </c>
      <c r="N30043">
        <f>IF(M30043="","",'Master Barang'!A37)</f>
        <v>0</v>
      </c>
      <c r="O30043">
        <f>IF(N30043="","",'Master Barang'!B37)</f>
        <v>0</v>
      </c>
      <c r="P30043">
        <f>IF(OR(M30043="",N30043=""),"",SUMIFS('Barang Keluar'!$E:$E,'Barang Keluar'!$A:$A,M30043,'Barang Keluar'!$C:$C,N30043))</f>
        <v>0</v>
      </c>
    </row>
    <row r="30044" spans="13:16">
      <c r="M30044" s="49">
        <f>IF($A$4+300&gt;$B$4,"",$A$4+300)</f>
        <v>46323</v>
      </c>
      <c r="N30044">
        <f>IF(M30044="","",'Master Barang'!A38)</f>
        <v>0</v>
      </c>
      <c r="O30044">
        <f>IF(N30044="","",'Master Barang'!B38)</f>
        <v>0</v>
      </c>
      <c r="P30044">
        <f>IF(OR(M30044="",N30044=""),"",SUMIFS('Barang Keluar'!$E:$E,'Barang Keluar'!$A:$A,M30044,'Barang Keluar'!$C:$C,N30044))</f>
        <v>0</v>
      </c>
    </row>
    <row r="30045" spans="13:16">
      <c r="M30045" s="49">
        <f>IF($A$4+300&gt;$B$4,"",$A$4+300)</f>
        <v>46323</v>
      </c>
      <c r="N30045">
        <f>IF(M30045="","",'Master Barang'!A39)</f>
        <v>0</v>
      </c>
      <c r="O30045">
        <f>IF(N30045="","",'Master Barang'!B39)</f>
        <v>0</v>
      </c>
      <c r="P30045">
        <f>IF(OR(M30045="",N30045=""),"",SUMIFS('Barang Keluar'!$E:$E,'Barang Keluar'!$A:$A,M30045,'Barang Keluar'!$C:$C,N30045))</f>
        <v>0</v>
      </c>
    </row>
    <row r="30046" spans="13:16">
      <c r="M30046" s="49">
        <f>IF($A$4+300&gt;$B$4,"",$A$4+300)</f>
        <v>46323</v>
      </c>
      <c r="N30046">
        <f>IF(M30046="","",'Master Barang'!A40)</f>
        <v>0</v>
      </c>
      <c r="O30046">
        <f>IF(N30046="","",'Master Barang'!B40)</f>
        <v>0</v>
      </c>
      <c r="P30046">
        <f>IF(OR(M30046="",N30046=""),"",SUMIFS('Barang Keluar'!$E:$E,'Barang Keluar'!$A:$A,M30046,'Barang Keluar'!$C:$C,N30046))</f>
        <v>0</v>
      </c>
    </row>
    <row r="30047" spans="13:16">
      <c r="M30047" s="49">
        <f>IF($A$4+300&gt;$B$4,"",$A$4+300)</f>
        <v>46323</v>
      </c>
      <c r="N30047">
        <f>IF(M30047="","",'Master Barang'!A41)</f>
        <v>0</v>
      </c>
      <c r="O30047">
        <f>IF(N30047="","",'Master Barang'!B41)</f>
        <v>0</v>
      </c>
      <c r="P30047">
        <f>IF(OR(M30047="",N30047=""),"",SUMIFS('Barang Keluar'!$E:$E,'Barang Keluar'!$A:$A,M30047,'Barang Keluar'!$C:$C,N30047))</f>
        <v>0</v>
      </c>
    </row>
    <row r="30048" spans="13:16">
      <c r="M30048" s="49">
        <f>IF($A$4+300&gt;$B$4,"",$A$4+300)</f>
        <v>46323</v>
      </c>
      <c r="N30048">
        <f>IF(M30048="","",'Master Barang'!A42)</f>
        <v>0</v>
      </c>
      <c r="O30048">
        <f>IF(N30048="","",'Master Barang'!B42)</f>
        <v>0</v>
      </c>
      <c r="P30048">
        <f>IF(OR(M30048="",N30048=""),"",SUMIFS('Barang Keluar'!$E:$E,'Barang Keluar'!$A:$A,M30048,'Barang Keluar'!$C:$C,N30048))</f>
        <v>0</v>
      </c>
    </row>
    <row r="30049" spans="13:16">
      <c r="M30049" s="49">
        <f>IF($A$4+300&gt;$B$4,"",$A$4+300)</f>
        <v>46323</v>
      </c>
      <c r="N30049">
        <f>IF(M30049="","",'Master Barang'!A43)</f>
        <v>0</v>
      </c>
      <c r="O30049">
        <f>IF(N30049="","",'Master Barang'!B43)</f>
        <v>0</v>
      </c>
      <c r="P30049">
        <f>IF(OR(M30049="",N30049=""),"",SUMIFS('Barang Keluar'!$E:$E,'Barang Keluar'!$A:$A,M30049,'Barang Keluar'!$C:$C,N30049))</f>
        <v>0</v>
      </c>
    </row>
    <row r="30050" spans="13:16">
      <c r="M30050" s="49">
        <f>IF($A$4+300&gt;$B$4,"",$A$4+300)</f>
        <v>46323</v>
      </c>
      <c r="N30050">
        <f>IF(M30050="","",'Master Barang'!A44)</f>
        <v>0</v>
      </c>
      <c r="O30050">
        <f>IF(N30050="","",'Master Barang'!B44)</f>
        <v>0</v>
      </c>
      <c r="P30050">
        <f>IF(OR(M30050="",N30050=""),"",SUMIFS('Barang Keluar'!$E:$E,'Barang Keluar'!$A:$A,M30050,'Barang Keluar'!$C:$C,N30050))</f>
        <v>0</v>
      </c>
    </row>
    <row r="30051" spans="13:16">
      <c r="M30051" s="49">
        <f>IF($A$4+300&gt;$B$4,"",$A$4+300)</f>
        <v>46323</v>
      </c>
      <c r="N30051">
        <f>IF(M30051="","",'Master Barang'!A45)</f>
        <v>0</v>
      </c>
      <c r="O30051">
        <f>IF(N30051="","",'Master Barang'!B45)</f>
        <v>0</v>
      </c>
      <c r="P30051">
        <f>IF(OR(M30051="",N30051=""),"",SUMIFS('Barang Keluar'!$E:$E,'Barang Keluar'!$A:$A,M30051,'Barang Keluar'!$C:$C,N30051))</f>
        <v>0</v>
      </c>
    </row>
    <row r="30052" spans="13:16">
      <c r="M30052" s="49">
        <f>IF($A$4+300&gt;$B$4,"",$A$4+300)</f>
        <v>46323</v>
      </c>
      <c r="N30052">
        <f>IF(M30052="","",'Master Barang'!A46)</f>
        <v>0</v>
      </c>
      <c r="O30052">
        <f>IF(N30052="","",'Master Barang'!B46)</f>
        <v>0</v>
      </c>
      <c r="P30052">
        <f>IF(OR(M30052="",N30052=""),"",SUMIFS('Barang Keluar'!$E:$E,'Barang Keluar'!$A:$A,M30052,'Barang Keluar'!$C:$C,N30052))</f>
        <v>0</v>
      </c>
    </row>
    <row r="30053" spans="13:16">
      <c r="M30053" s="49">
        <f>IF($A$4+300&gt;$B$4,"",$A$4+300)</f>
        <v>46323</v>
      </c>
      <c r="N30053">
        <f>IF(M30053="","",'Master Barang'!A47)</f>
        <v>0</v>
      </c>
      <c r="O30053">
        <f>IF(N30053="","",'Master Barang'!B47)</f>
        <v>0</v>
      </c>
      <c r="P30053">
        <f>IF(OR(M30053="",N30053=""),"",SUMIFS('Barang Keluar'!$E:$E,'Barang Keluar'!$A:$A,M30053,'Barang Keluar'!$C:$C,N30053))</f>
        <v>0</v>
      </c>
    </row>
    <row r="30054" spans="13:16">
      <c r="M30054" s="49">
        <f>IF($A$4+300&gt;$B$4,"",$A$4+300)</f>
        <v>46323</v>
      </c>
      <c r="N30054">
        <f>IF(M30054="","",'Master Barang'!A48)</f>
        <v>0</v>
      </c>
      <c r="O30054">
        <f>IF(N30054="","",'Master Barang'!B48)</f>
        <v>0</v>
      </c>
      <c r="P30054">
        <f>IF(OR(M30054="",N30054=""),"",SUMIFS('Barang Keluar'!$E:$E,'Barang Keluar'!$A:$A,M30054,'Barang Keluar'!$C:$C,N30054))</f>
        <v>0</v>
      </c>
    </row>
    <row r="30055" spans="13:16">
      <c r="M30055" s="49">
        <f>IF($A$4+300&gt;$B$4,"",$A$4+300)</f>
        <v>46323</v>
      </c>
      <c r="N30055">
        <f>IF(M30055="","",'Master Barang'!A49)</f>
        <v>0</v>
      </c>
      <c r="O30055">
        <f>IF(N30055="","",'Master Barang'!B49)</f>
        <v>0</v>
      </c>
      <c r="P30055">
        <f>IF(OR(M30055="",N30055=""),"",SUMIFS('Barang Keluar'!$E:$E,'Barang Keluar'!$A:$A,M30055,'Barang Keluar'!$C:$C,N30055))</f>
        <v>0</v>
      </c>
    </row>
    <row r="30056" spans="13:16">
      <c r="M30056" s="49">
        <f>IF($A$4+300&gt;$B$4,"",$A$4+300)</f>
        <v>46323</v>
      </c>
      <c r="N30056">
        <f>IF(M30056="","",'Master Barang'!A50)</f>
        <v>0</v>
      </c>
      <c r="O30056">
        <f>IF(N30056="","",'Master Barang'!B50)</f>
        <v>0</v>
      </c>
      <c r="P30056">
        <f>IF(OR(M30056="",N30056=""),"",SUMIFS('Barang Keluar'!$E:$E,'Barang Keluar'!$A:$A,M30056,'Barang Keluar'!$C:$C,N30056))</f>
        <v>0</v>
      </c>
    </row>
    <row r="30057" spans="13:16">
      <c r="M30057" s="49">
        <f>IF($A$4+300&gt;$B$4,"",$A$4+300)</f>
        <v>46323</v>
      </c>
      <c r="N30057">
        <f>IF(M30057="","",'Master Barang'!A51)</f>
        <v>0</v>
      </c>
      <c r="O30057">
        <f>IF(N30057="","",'Master Barang'!B51)</f>
        <v>0</v>
      </c>
      <c r="P30057">
        <f>IF(OR(M30057="",N30057=""),"",SUMIFS('Barang Keluar'!$E:$E,'Barang Keluar'!$A:$A,M30057,'Barang Keluar'!$C:$C,N30057))</f>
        <v>0</v>
      </c>
    </row>
    <row r="30058" spans="13:16">
      <c r="M30058" s="49">
        <f>IF($A$4+300&gt;$B$4,"",$A$4+300)</f>
        <v>46323</v>
      </c>
      <c r="N30058">
        <f>IF(M30058="","",'Master Barang'!A52)</f>
        <v>0</v>
      </c>
      <c r="O30058">
        <f>IF(N30058="","",'Master Barang'!B52)</f>
        <v>0</v>
      </c>
      <c r="P30058">
        <f>IF(OR(M30058="",N30058=""),"",SUMIFS('Barang Keluar'!$E:$E,'Barang Keluar'!$A:$A,M30058,'Barang Keluar'!$C:$C,N30058))</f>
        <v>0</v>
      </c>
    </row>
    <row r="30059" spans="13:16">
      <c r="M30059" s="49">
        <f>IF($A$4+300&gt;$B$4,"",$A$4+300)</f>
        <v>46323</v>
      </c>
      <c r="N30059">
        <f>IF(M30059="","",'Master Barang'!A53)</f>
        <v>0</v>
      </c>
      <c r="O30059">
        <f>IF(N30059="","",'Master Barang'!B53)</f>
        <v>0</v>
      </c>
      <c r="P30059">
        <f>IF(OR(M30059="",N30059=""),"",SUMIFS('Barang Keluar'!$E:$E,'Barang Keluar'!$A:$A,M30059,'Barang Keluar'!$C:$C,N30059))</f>
        <v>0</v>
      </c>
    </row>
    <row r="30060" spans="13:16">
      <c r="M30060" s="49">
        <f>IF($A$4+300&gt;$B$4,"",$A$4+300)</f>
        <v>46323</v>
      </c>
      <c r="N30060">
        <f>IF(M30060="","",'Master Barang'!A54)</f>
        <v>0</v>
      </c>
      <c r="O30060">
        <f>IF(N30060="","",'Master Barang'!B54)</f>
        <v>0</v>
      </c>
      <c r="P30060">
        <f>IF(OR(M30060="",N30060=""),"",SUMIFS('Barang Keluar'!$E:$E,'Barang Keluar'!$A:$A,M30060,'Barang Keluar'!$C:$C,N30060))</f>
        <v>0</v>
      </c>
    </row>
    <row r="30061" spans="13:16">
      <c r="M30061" s="49">
        <f>IF($A$4+300&gt;$B$4,"",$A$4+300)</f>
        <v>46323</v>
      </c>
      <c r="N30061">
        <f>IF(M30061="","",'Master Barang'!A55)</f>
        <v>0</v>
      </c>
      <c r="O30061">
        <f>IF(N30061="","",'Master Barang'!B55)</f>
        <v>0</v>
      </c>
      <c r="P30061">
        <f>IF(OR(M30061="",N30061=""),"",SUMIFS('Barang Keluar'!$E:$E,'Barang Keluar'!$A:$A,M30061,'Barang Keluar'!$C:$C,N30061))</f>
        <v>0</v>
      </c>
    </row>
    <row r="30062" spans="13:16">
      <c r="M30062" s="49">
        <f>IF($A$4+300&gt;$B$4,"",$A$4+300)</f>
        <v>46323</v>
      </c>
      <c r="N30062">
        <f>IF(M30062="","",'Master Barang'!A56)</f>
        <v>0</v>
      </c>
      <c r="O30062">
        <f>IF(N30062="","",'Master Barang'!B56)</f>
        <v>0</v>
      </c>
      <c r="P30062">
        <f>IF(OR(M30062="",N30062=""),"",SUMIFS('Barang Keluar'!$E:$E,'Barang Keluar'!$A:$A,M30062,'Barang Keluar'!$C:$C,N30062))</f>
        <v>0</v>
      </c>
    </row>
    <row r="30063" spans="13:16">
      <c r="M30063" s="49">
        <f>IF($A$4+300&gt;$B$4,"",$A$4+300)</f>
        <v>46323</v>
      </c>
      <c r="N30063">
        <f>IF(M30063="","",'Master Barang'!A57)</f>
        <v>0</v>
      </c>
      <c r="O30063">
        <f>IF(N30063="","",'Master Barang'!B57)</f>
        <v>0</v>
      </c>
      <c r="P30063">
        <f>IF(OR(M30063="",N30063=""),"",SUMIFS('Barang Keluar'!$E:$E,'Barang Keluar'!$A:$A,M30063,'Barang Keluar'!$C:$C,N30063))</f>
        <v>0</v>
      </c>
    </row>
    <row r="30064" spans="13:16">
      <c r="M30064" s="49">
        <f>IF($A$4+300&gt;$B$4,"",$A$4+300)</f>
        <v>46323</v>
      </c>
      <c r="N30064">
        <f>IF(M30064="","",'Master Barang'!A58)</f>
        <v>0</v>
      </c>
      <c r="O30064">
        <f>IF(N30064="","",'Master Barang'!B58)</f>
        <v>0</v>
      </c>
      <c r="P30064">
        <f>IF(OR(M30064="",N30064=""),"",SUMIFS('Barang Keluar'!$E:$E,'Barang Keluar'!$A:$A,M30064,'Barang Keluar'!$C:$C,N30064))</f>
        <v>0</v>
      </c>
    </row>
    <row r="30065" spans="13:16">
      <c r="M30065" s="49">
        <f>IF($A$4+300&gt;$B$4,"",$A$4+300)</f>
        <v>46323</v>
      </c>
      <c r="N30065">
        <f>IF(M30065="","",'Master Barang'!A59)</f>
        <v>0</v>
      </c>
      <c r="O30065">
        <f>IF(N30065="","",'Master Barang'!B59)</f>
        <v>0</v>
      </c>
      <c r="P30065">
        <f>IF(OR(M30065="",N30065=""),"",SUMIFS('Barang Keluar'!$E:$E,'Barang Keluar'!$A:$A,M30065,'Barang Keluar'!$C:$C,N30065))</f>
        <v>0</v>
      </c>
    </row>
    <row r="30066" spans="13:16">
      <c r="M30066" s="49">
        <f>IF($A$4+300&gt;$B$4,"",$A$4+300)</f>
        <v>46323</v>
      </c>
      <c r="N30066">
        <f>IF(M30066="","",'Master Barang'!A60)</f>
        <v>0</v>
      </c>
      <c r="O30066">
        <f>IF(N30066="","",'Master Barang'!B60)</f>
        <v>0</v>
      </c>
      <c r="P30066">
        <f>IF(OR(M30066="",N30066=""),"",SUMIFS('Barang Keluar'!$E:$E,'Barang Keluar'!$A:$A,M30066,'Barang Keluar'!$C:$C,N30066))</f>
        <v>0</v>
      </c>
    </row>
    <row r="30067" spans="13:16">
      <c r="M30067" s="49">
        <f>IF($A$4+300&gt;$B$4,"",$A$4+300)</f>
        <v>46323</v>
      </c>
      <c r="N30067">
        <f>IF(M30067="","",'Master Barang'!A61)</f>
        <v>0</v>
      </c>
      <c r="O30067">
        <f>IF(N30067="","",'Master Barang'!B61)</f>
        <v>0</v>
      </c>
      <c r="P30067">
        <f>IF(OR(M30067="",N30067=""),"",SUMIFS('Barang Keluar'!$E:$E,'Barang Keluar'!$A:$A,M30067,'Barang Keluar'!$C:$C,N30067))</f>
        <v>0</v>
      </c>
    </row>
    <row r="30068" spans="13:16">
      <c r="M30068" s="49">
        <f>IF($A$4+300&gt;$B$4,"",$A$4+300)</f>
        <v>46323</v>
      </c>
      <c r="N30068">
        <f>IF(M30068="","",'Master Barang'!A62)</f>
        <v>0</v>
      </c>
      <c r="O30068">
        <f>IF(N30068="","",'Master Barang'!B62)</f>
        <v>0</v>
      </c>
      <c r="P30068">
        <f>IF(OR(M30068="",N30068=""),"",SUMIFS('Barang Keluar'!$E:$E,'Barang Keluar'!$A:$A,M30068,'Barang Keluar'!$C:$C,N30068))</f>
        <v>0</v>
      </c>
    </row>
    <row r="30069" spans="13:16">
      <c r="M30069" s="49">
        <f>IF($A$4+300&gt;$B$4,"",$A$4+300)</f>
        <v>46323</v>
      </c>
      <c r="N30069">
        <f>IF(M30069="","",'Master Barang'!A63)</f>
        <v>0</v>
      </c>
      <c r="O30069">
        <f>IF(N30069="","",'Master Barang'!B63)</f>
        <v>0</v>
      </c>
      <c r="P30069">
        <f>IF(OR(M30069="",N30069=""),"",SUMIFS('Barang Keluar'!$E:$E,'Barang Keluar'!$A:$A,M30069,'Barang Keluar'!$C:$C,N30069))</f>
        <v>0</v>
      </c>
    </row>
    <row r="30070" spans="13:16">
      <c r="M30070" s="49">
        <f>IF($A$4+300&gt;$B$4,"",$A$4+300)</f>
        <v>46323</v>
      </c>
      <c r="N30070">
        <f>IF(M30070="","",'Master Barang'!A64)</f>
        <v>0</v>
      </c>
      <c r="O30070">
        <f>IF(N30070="","",'Master Barang'!B64)</f>
        <v>0</v>
      </c>
      <c r="P30070">
        <f>IF(OR(M30070="",N30070=""),"",SUMIFS('Barang Keluar'!$E:$E,'Barang Keluar'!$A:$A,M30070,'Barang Keluar'!$C:$C,N30070))</f>
        <v>0</v>
      </c>
    </row>
    <row r="30071" spans="13:16">
      <c r="M30071" s="49">
        <f>IF($A$4+300&gt;$B$4,"",$A$4+300)</f>
        <v>46323</v>
      </c>
      <c r="N30071">
        <f>IF(M30071="","",'Master Barang'!A65)</f>
        <v>0</v>
      </c>
      <c r="O30071">
        <f>IF(N30071="","",'Master Barang'!B65)</f>
        <v>0</v>
      </c>
      <c r="P30071">
        <f>IF(OR(M30071="",N30071=""),"",SUMIFS('Barang Keluar'!$E:$E,'Barang Keluar'!$A:$A,M30071,'Barang Keluar'!$C:$C,N30071))</f>
        <v>0</v>
      </c>
    </row>
    <row r="30072" spans="13:16">
      <c r="M30072" s="49">
        <f>IF($A$4+300&gt;$B$4,"",$A$4+300)</f>
        <v>46323</v>
      </c>
      <c r="N30072">
        <f>IF(M30072="","",'Master Barang'!A66)</f>
        <v>0</v>
      </c>
      <c r="O30072">
        <f>IF(N30072="","",'Master Barang'!B66)</f>
        <v>0</v>
      </c>
      <c r="P30072">
        <f>IF(OR(M30072="",N30072=""),"",SUMIFS('Barang Keluar'!$E:$E,'Barang Keluar'!$A:$A,M30072,'Barang Keluar'!$C:$C,N30072))</f>
        <v>0</v>
      </c>
    </row>
    <row r="30073" spans="13:16">
      <c r="M30073" s="49">
        <f>IF($A$4+300&gt;$B$4,"",$A$4+300)</f>
        <v>46323</v>
      </c>
      <c r="N30073">
        <f>IF(M30073="","",'Master Barang'!A67)</f>
        <v>0</v>
      </c>
      <c r="O30073">
        <f>IF(N30073="","",'Master Barang'!B67)</f>
        <v>0</v>
      </c>
      <c r="P30073">
        <f>IF(OR(M30073="",N30073=""),"",SUMIFS('Barang Keluar'!$E:$E,'Barang Keluar'!$A:$A,M30073,'Barang Keluar'!$C:$C,N30073))</f>
        <v>0</v>
      </c>
    </row>
    <row r="30074" spans="13:16">
      <c r="M30074" s="49">
        <f>IF($A$4+300&gt;$B$4,"",$A$4+300)</f>
        <v>46323</v>
      </c>
      <c r="N30074">
        <f>IF(M30074="","",'Master Barang'!A68)</f>
        <v>0</v>
      </c>
      <c r="O30074">
        <f>IF(N30074="","",'Master Barang'!B68)</f>
        <v>0</v>
      </c>
      <c r="P30074">
        <f>IF(OR(M30074="",N30074=""),"",SUMIFS('Barang Keluar'!$E:$E,'Barang Keluar'!$A:$A,M30074,'Barang Keluar'!$C:$C,N30074))</f>
        <v>0</v>
      </c>
    </row>
    <row r="30075" spans="13:16">
      <c r="M30075" s="49">
        <f>IF($A$4+300&gt;$B$4,"",$A$4+300)</f>
        <v>46323</v>
      </c>
      <c r="N30075">
        <f>IF(M30075="","",'Master Barang'!A69)</f>
        <v>0</v>
      </c>
      <c r="O30075">
        <f>IF(N30075="","",'Master Barang'!B69)</f>
        <v>0</v>
      </c>
      <c r="P30075">
        <f>IF(OR(M30075="",N30075=""),"",SUMIFS('Barang Keluar'!$E:$E,'Barang Keluar'!$A:$A,M30075,'Barang Keluar'!$C:$C,N30075))</f>
        <v>0</v>
      </c>
    </row>
    <row r="30076" spans="13:16">
      <c r="M30076" s="49">
        <f>IF($A$4+300&gt;$B$4,"",$A$4+300)</f>
        <v>46323</v>
      </c>
      <c r="N30076">
        <f>IF(M30076="","",'Master Barang'!A70)</f>
        <v>0</v>
      </c>
      <c r="O30076">
        <f>IF(N30076="","",'Master Barang'!B70)</f>
        <v>0</v>
      </c>
      <c r="P30076">
        <f>IF(OR(M30076="",N30076=""),"",SUMIFS('Barang Keluar'!$E:$E,'Barang Keluar'!$A:$A,M30076,'Barang Keluar'!$C:$C,N30076))</f>
        <v>0</v>
      </c>
    </row>
    <row r="30077" spans="13:16">
      <c r="M30077" s="49">
        <f>IF($A$4+300&gt;$B$4,"",$A$4+300)</f>
        <v>46323</v>
      </c>
      <c r="N30077">
        <f>IF(M30077="","",'Master Barang'!A71)</f>
        <v>0</v>
      </c>
      <c r="O30077">
        <f>IF(N30077="","",'Master Barang'!B71)</f>
        <v>0</v>
      </c>
      <c r="P30077">
        <f>IF(OR(M30077="",N30077=""),"",SUMIFS('Barang Keluar'!$E:$E,'Barang Keluar'!$A:$A,M30077,'Barang Keluar'!$C:$C,N30077))</f>
        <v>0</v>
      </c>
    </row>
    <row r="30078" spans="13:16">
      <c r="M30078" s="49">
        <f>IF($A$4+300&gt;$B$4,"",$A$4+300)</f>
        <v>46323</v>
      </c>
      <c r="N30078">
        <f>IF(M30078="","",'Master Barang'!A72)</f>
        <v>0</v>
      </c>
      <c r="O30078">
        <f>IF(N30078="","",'Master Barang'!B72)</f>
        <v>0</v>
      </c>
      <c r="P30078">
        <f>IF(OR(M30078="",N30078=""),"",SUMIFS('Barang Keluar'!$E:$E,'Barang Keluar'!$A:$A,M30078,'Barang Keluar'!$C:$C,N30078))</f>
        <v>0</v>
      </c>
    </row>
    <row r="30079" spans="13:16">
      <c r="M30079" s="49">
        <f>IF($A$4+300&gt;$B$4,"",$A$4+300)</f>
        <v>46323</v>
      </c>
      <c r="N30079">
        <f>IF(M30079="","",'Master Barang'!A73)</f>
        <v>0</v>
      </c>
      <c r="O30079">
        <f>IF(N30079="","",'Master Barang'!B73)</f>
        <v>0</v>
      </c>
      <c r="P30079">
        <f>IF(OR(M30079="",N30079=""),"",SUMIFS('Barang Keluar'!$E:$E,'Barang Keluar'!$A:$A,M30079,'Barang Keluar'!$C:$C,N30079))</f>
        <v>0</v>
      </c>
    </row>
    <row r="30080" spans="13:16">
      <c r="M30080" s="49">
        <f>IF($A$4+300&gt;$B$4,"",$A$4+300)</f>
        <v>46323</v>
      </c>
      <c r="N30080">
        <f>IF(M30080="","",'Master Barang'!A74)</f>
        <v>0</v>
      </c>
      <c r="O30080">
        <f>IF(N30080="","",'Master Barang'!B74)</f>
        <v>0</v>
      </c>
      <c r="P30080">
        <f>IF(OR(M30080="",N30080=""),"",SUMIFS('Barang Keluar'!$E:$E,'Barang Keluar'!$A:$A,M30080,'Barang Keluar'!$C:$C,N30080))</f>
        <v>0</v>
      </c>
    </row>
    <row r="30081" spans="13:16">
      <c r="M30081" s="49">
        <f>IF($A$4+300&gt;$B$4,"",$A$4+300)</f>
        <v>46323</v>
      </c>
      <c r="N30081">
        <f>IF(M30081="","",'Master Barang'!A75)</f>
        <v>0</v>
      </c>
      <c r="O30081">
        <f>IF(N30081="","",'Master Barang'!B75)</f>
        <v>0</v>
      </c>
      <c r="P30081">
        <f>IF(OR(M30081="",N30081=""),"",SUMIFS('Barang Keluar'!$E:$E,'Barang Keluar'!$A:$A,M30081,'Barang Keluar'!$C:$C,N30081))</f>
        <v>0</v>
      </c>
    </row>
    <row r="30082" spans="13:16">
      <c r="M30082" s="49">
        <f>IF($A$4+300&gt;$B$4,"",$A$4+300)</f>
        <v>46323</v>
      </c>
      <c r="N30082">
        <f>IF(M30082="","",'Master Barang'!A76)</f>
        <v>0</v>
      </c>
      <c r="O30082">
        <f>IF(N30082="","",'Master Barang'!B76)</f>
        <v>0</v>
      </c>
      <c r="P30082">
        <f>IF(OR(M30082="",N30082=""),"",SUMIFS('Barang Keluar'!$E:$E,'Barang Keluar'!$A:$A,M30082,'Barang Keluar'!$C:$C,N30082))</f>
        <v>0</v>
      </c>
    </row>
    <row r="30083" spans="13:16">
      <c r="M30083" s="49">
        <f>IF($A$4+300&gt;$B$4,"",$A$4+300)</f>
        <v>46323</v>
      </c>
      <c r="N30083">
        <f>IF(M30083="","",'Master Barang'!A77)</f>
        <v>0</v>
      </c>
      <c r="O30083">
        <f>IF(N30083="","",'Master Barang'!B77)</f>
        <v>0</v>
      </c>
      <c r="P30083">
        <f>IF(OR(M30083="",N30083=""),"",SUMIFS('Barang Keluar'!$E:$E,'Barang Keluar'!$A:$A,M30083,'Barang Keluar'!$C:$C,N30083))</f>
        <v>0</v>
      </c>
    </row>
    <row r="30084" spans="13:16">
      <c r="M30084" s="49">
        <f>IF($A$4+300&gt;$B$4,"",$A$4+300)</f>
        <v>46323</v>
      </c>
      <c r="N30084">
        <f>IF(M30084="","",'Master Barang'!A78)</f>
        <v>0</v>
      </c>
      <c r="O30084">
        <f>IF(N30084="","",'Master Barang'!B78)</f>
        <v>0</v>
      </c>
      <c r="P30084">
        <f>IF(OR(M30084="",N30084=""),"",SUMIFS('Barang Keluar'!$E:$E,'Barang Keluar'!$A:$A,M30084,'Barang Keluar'!$C:$C,N30084))</f>
        <v>0</v>
      </c>
    </row>
    <row r="30085" spans="13:16">
      <c r="M30085" s="49">
        <f>IF($A$4+300&gt;$B$4,"",$A$4+300)</f>
        <v>46323</v>
      </c>
      <c r="N30085">
        <f>IF(M30085="","",'Master Barang'!A79)</f>
        <v>0</v>
      </c>
      <c r="O30085">
        <f>IF(N30085="","",'Master Barang'!B79)</f>
        <v>0</v>
      </c>
      <c r="P30085">
        <f>IF(OR(M30085="",N30085=""),"",SUMIFS('Barang Keluar'!$E:$E,'Barang Keluar'!$A:$A,M30085,'Barang Keluar'!$C:$C,N30085))</f>
        <v>0</v>
      </c>
    </row>
    <row r="30086" spans="13:16">
      <c r="M30086" s="49">
        <f>IF($A$4+300&gt;$B$4,"",$A$4+300)</f>
        <v>46323</v>
      </c>
      <c r="N30086">
        <f>IF(M30086="","",'Master Barang'!A80)</f>
        <v>0</v>
      </c>
      <c r="O30086">
        <f>IF(N30086="","",'Master Barang'!B80)</f>
        <v>0</v>
      </c>
      <c r="P30086">
        <f>IF(OR(M30086="",N30086=""),"",SUMIFS('Barang Keluar'!$E:$E,'Barang Keluar'!$A:$A,M30086,'Barang Keluar'!$C:$C,N30086))</f>
        <v>0</v>
      </c>
    </row>
    <row r="30087" spans="13:16">
      <c r="M30087" s="49">
        <f>IF($A$4+300&gt;$B$4,"",$A$4+300)</f>
        <v>46323</v>
      </c>
      <c r="N30087">
        <f>IF(M30087="","",'Master Barang'!A81)</f>
        <v>0</v>
      </c>
      <c r="O30087">
        <f>IF(N30087="","",'Master Barang'!B81)</f>
        <v>0</v>
      </c>
      <c r="P30087">
        <f>IF(OR(M30087="",N30087=""),"",SUMIFS('Barang Keluar'!$E:$E,'Barang Keluar'!$A:$A,M30087,'Barang Keluar'!$C:$C,N30087))</f>
        <v>0</v>
      </c>
    </row>
    <row r="30088" spans="13:16">
      <c r="M30088" s="49">
        <f>IF($A$4+300&gt;$B$4,"",$A$4+300)</f>
        <v>46323</v>
      </c>
      <c r="N30088">
        <f>IF(M30088="","",'Master Barang'!A82)</f>
        <v>0</v>
      </c>
      <c r="O30088">
        <f>IF(N30088="","",'Master Barang'!B82)</f>
        <v>0</v>
      </c>
      <c r="P30088">
        <f>IF(OR(M30088="",N30088=""),"",SUMIFS('Barang Keluar'!$E:$E,'Barang Keluar'!$A:$A,M30088,'Barang Keluar'!$C:$C,N30088))</f>
        <v>0</v>
      </c>
    </row>
    <row r="30089" spans="13:16">
      <c r="M30089" s="49">
        <f>IF($A$4+300&gt;$B$4,"",$A$4+300)</f>
        <v>46323</v>
      </c>
      <c r="N30089">
        <f>IF(M30089="","",'Master Barang'!A83)</f>
        <v>0</v>
      </c>
      <c r="O30089">
        <f>IF(N30089="","",'Master Barang'!B83)</f>
        <v>0</v>
      </c>
      <c r="P30089">
        <f>IF(OR(M30089="",N30089=""),"",SUMIFS('Barang Keluar'!$E:$E,'Barang Keluar'!$A:$A,M30089,'Barang Keluar'!$C:$C,N30089))</f>
        <v>0</v>
      </c>
    </row>
    <row r="30090" spans="13:16">
      <c r="M30090" s="49">
        <f>IF($A$4+300&gt;$B$4,"",$A$4+300)</f>
        <v>46323</v>
      </c>
      <c r="N30090">
        <f>IF(M30090="","",'Master Barang'!A84)</f>
        <v>0</v>
      </c>
      <c r="O30090">
        <f>IF(N30090="","",'Master Barang'!B84)</f>
        <v>0</v>
      </c>
      <c r="P30090">
        <f>IF(OR(M30090="",N30090=""),"",SUMIFS('Barang Keluar'!$E:$E,'Barang Keluar'!$A:$A,M30090,'Barang Keluar'!$C:$C,N30090))</f>
        <v>0</v>
      </c>
    </row>
    <row r="30091" spans="13:16">
      <c r="M30091" s="49">
        <f>IF($A$4+300&gt;$B$4,"",$A$4+300)</f>
        <v>46323</v>
      </c>
      <c r="N30091">
        <f>IF(M30091="","",'Master Barang'!A85)</f>
        <v>0</v>
      </c>
      <c r="O30091">
        <f>IF(N30091="","",'Master Barang'!B85)</f>
        <v>0</v>
      </c>
      <c r="P30091">
        <f>IF(OR(M30091="",N30091=""),"",SUMIFS('Barang Keluar'!$E:$E,'Barang Keluar'!$A:$A,M30091,'Barang Keluar'!$C:$C,N30091))</f>
        <v>0</v>
      </c>
    </row>
    <row r="30092" spans="13:16">
      <c r="M30092" s="49">
        <f>IF($A$4+300&gt;$B$4,"",$A$4+300)</f>
        <v>46323</v>
      </c>
      <c r="N30092">
        <f>IF(M30092="","",'Master Barang'!A86)</f>
        <v>0</v>
      </c>
      <c r="O30092">
        <f>IF(N30092="","",'Master Barang'!B86)</f>
        <v>0</v>
      </c>
      <c r="P30092">
        <f>IF(OR(M30092="",N30092=""),"",SUMIFS('Barang Keluar'!$E:$E,'Barang Keluar'!$A:$A,M30092,'Barang Keluar'!$C:$C,N30092))</f>
        <v>0</v>
      </c>
    </row>
    <row r="30093" spans="13:16">
      <c r="M30093" s="49">
        <f>IF($A$4+300&gt;$B$4,"",$A$4+300)</f>
        <v>46323</v>
      </c>
      <c r="N30093">
        <f>IF(M30093="","",'Master Barang'!A87)</f>
        <v>0</v>
      </c>
      <c r="O30093">
        <f>IF(N30093="","",'Master Barang'!B87)</f>
        <v>0</v>
      </c>
      <c r="P30093">
        <f>IF(OR(M30093="",N30093=""),"",SUMIFS('Barang Keluar'!$E:$E,'Barang Keluar'!$A:$A,M30093,'Barang Keluar'!$C:$C,N30093))</f>
        <v>0</v>
      </c>
    </row>
    <row r="30094" spans="13:16">
      <c r="M30094" s="49">
        <f>IF($A$4+300&gt;$B$4,"",$A$4+300)</f>
        <v>46323</v>
      </c>
      <c r="N30094">
        <f>IF(M30094="","",'Master Barang'!A88)</f>
        <v>0</v>
      </c>
      <c r="O30094">
        <f>IF(N30094="","",'Master Barang'!B88)</f>
        <v>0</v>
      </c>
      <c r="P30094">
        <f>IF(OR(M30094="",N30094=""),"",SUMIFS('Barang Keluar'!$E:$E,'Barang Keluar'!$A:$A,M30094,'Barang Keluar'!$C:$C,N30094))</f>
        <v>0</v>
      </c>
    </row>
    <row r="30095" spans="13:16">
      <c r="M30095" s="49">
        <f>IF($A$4+300&gt;$B$4,"",$A$4+300)</f>
        <v>46323</v>
      </c>
      <c r="N30095">
        <f>IF(M30095="","",'Master Barang'!A89)</f>
        <v>0</v>
      </c>
      <c r="O30095">
        <f>IF(N30095="","",'Master Barang'!B89)</f>
        <v>0</v>
      </c>
      <c r="P30095">
        <f>IF(OR(M30095="",N30095=""),"",SUMIFS('Barang Keluar'!$E:$E,'Barang Keluar'!$A:$A,M30095,'Barang Keluar'!$C:$C,N30095))</f>
        <v>0</v>
      </c>
    </row>
    <row r="30096" spans="13:16">
      <c r="M30096" s="49">
        <f>IF($A$4+300&gt;$B$4,"",$A$4+300)</f>
        <v>46323</v>
      </c>
      <c r="N30096">
        <f>IF(M30096="","",'Master Barang'!A90)</f>
        <v>0</v>
      </c>
      <c r="O30096">
        <f>IF(N30096="","",'Master Barang'!B90)</f>
        <v>0</v>
      </c>
      <c r="P30096">
        <f>IF(OR(M30096="",N30096=""),"",SUMIFS('Barang Keluar'!$E:$E,'Barang Keluar'!$A:$A,M30096,'Barang Keluar'!$C:$C,N30096))</f>
        <v>0</v>
      </c>
    </row>
    <row r="30097" spans="13:16">
      <c r="M30097" s="49">
        <f>IF($A$4+300&gt;$B$4,"",$A$4+300)</f>
        <v>46323</v>
      </c>
      <c r="N30097">
        <f>IF(M30097="","",'Master Barang'!A91)</f>
        <v>0</v>
      </c>
      <c r="O30097">
        <f>IF(N30097="","",'Master Barang'!B91)</f>
        <v>0</v>
      </c>
      <c r="P30097">
        <f>IF(OR(M30097="",N30097=""),"",SUMIFS('Barang Keluar'!$E:$E,'Barang Keluar'!$A:$A,M30097,'Barang Keluar'!$C:$C,N30097))</f>
        <v>0</v>
      </c>
    </row>
    <row r="30098" spans="13:16">
      <c r="M30098" s="49">
        <f>IF($A$4+300&gt;$B$4,"",$A$4+300)</f>
        <v>46323</v>
      </c>
      <c r="N30098">
        <f>IF(M30098="","",'Master Barang'!A92)</f>
        <v>0</v>
      </c>
      <c r="O30098">
        <f>IF(N30098="","",'Master Barang'!B92)</f>
        <v>0</v>
      </c>
      <c r="P30098">
        <f>IF(OR(M30098="",N30098=""),"",SUMIFS('Barang Keluar'!$E:$E,'Barang Keluar'!$A:$A,M30098,'Barang Keluar'!$C:$C,N30098))</f>
        <v>0</v>
      </c>
    </row>
    <row r="30099" spans="13:16">
      <c r="M30099" s="49">
        <f>IF($A$4+300&gt;$B$4,"",$A$4+300)</f>
        <v>46323</v>
      </c>
      <c r="N30099">
        <f>IF(M30099="","",'Master Barang'!A93)</f>
        <v>0</v>
      </c>
      <c r="O30099">
        <f>IF(N30099="","",'Master Barang'!B93)</f>
        <v>0</v>
      </c>
      <c r="P30099">
        <f>IF(OR(M30099="",N30099=""),"",SUMIFS('Barang Keluar'!$E:$E,'Barang Keluar'!$A:$A,M30099,'Barang Keluar'!$C:$C,N30099))</f>
        <v>0</v>
      </c>
    </row>
    <row r="30100" spans="13:16">
      <c r="M30100" s="49">
        <f>IF($A$4+300&gt;$B$4,"",$A$4+300)</f>
        <v>46323</v>
      </c>
      <c r="N30100">
        <f>IF(M30100="","",'Master Barang'!A94)</f>
        <v>0</v>
      </c>
      <c r="O30100">
        <f>IF(N30100="","",'Master Barang'!B94)</f>
        <v>0</v>
      </c>
      <c r="P30100">
        <f>IF(OR(M30100="",N30100=""),"",SUMIFS('Barang Keluar'!$E:$E,'Barang Keluar'!$A:$A,M30100,'Barang Keluar'!$C:$C,N30100))</f>
        <v>0</v>
      </c>
    </row>
    <row r="30101" spans="13:16">
      <c r="M30101" s="49">
        <f>IF($A$4+300&gt;$B$4,"",$A$4+300)</f>
        <v>46323</v>
      </c>
      <c r="N30101">
        <f>IF(M30101="","",'Master Barang'!A95)</f>
        <v>0</v>
      </c>
      <c r="O30101">
        <f>IF(N30101="","",'Master Barang'!B95)</f>
        <v>0</v>
      </c>
      <c r="P30101">
        <f>IF(OR(M30101="",N30101=""),"",SUMIFS('Barang Keluar'!$E:$E,'Barang Keluar'!$A:$A,M30101,'Barang Keluar'!$C:$C,N30101))</f>
        <v>0</v>
      </c>
    </row>
    <row r="30102" spans="13:16">
      <c r="M30102" s="49">
        <f>IF($A$4+300&gt;$B$4,"",$A$4+300)</f>
        <v>46323</v>
      </c>
      <c r="N30102">
        <f>IF(M30102="","",'Master Barang'!A96)</f>
        <v>0</v>
      </c>
      <c r="O30102">
        <f>IF(N30102="","",'Master Barang'!B96)</f>
        <v>0</v>
      </c>
      <c r="P30102">
        <f>IF(OR(M30102="",N30102=""),"",SUMIFS('Barang Keluar'!$E:$E,'Barang Keluar'!$A:$A,M30102,'Barang Keluar'!$C:$C,N30102))</f>
        <v>0</v>
      </c>
    </row>
    <row r="30103" spans="13:16">
      <c r="M30103" s="49">
        <f>IF($A$4+300&gt;$B$4,"",$A$4+300)</f>
        <v>46323</v>
      </c>
      <c r="N30103">
        <f>IF(M30103="","",'Master Barang'!A97)</f>
        <v>0</v>
      </c>
      <c r="O30103">
        <f>IF(N30103="","",'Master Barang'!B97)</f>
        <v>0</v>
      </c>
      <c r="P30103">
        <f>IF(OR(M30103="",N30103=""),"",SUMIFS('Barang Keluar'!$E:$E,'Barang Keluar'!$A:$A,M30103,'Barang Keluar'!$C:$C,N30103))</f>
        <v>0</v>
      </c>
    </row>
    <row r="30104" spans="13:16">
      <c r="M30104" s="49">
        <f>IF($A$4+300&gt;$B$4,"",$A$4+300)</f>
        <v>46323</v>
      </c>
      <c r="N30104">
        <f>IF(M30104="","",'Master Barang'!A98)</f>
        <v>0</v>
      </c>
      <c r="O30104">
        <f>IF(N30104="","",'Master Barang'!B98)</f>
        <v>0</v>
      </c>
      <c r="P30104">
        <f>IF(OR(M30104="",N30104=""),"",SUMIFS('Barang Keluar'!$E:$E,'Barang Keluar'!$A:$A,M30104,'Barang Keluar'!$C:$C,N30104))</f>
        <v>0</v>
      </c>
    </row>
    <row r="30105" spans="13:16">
      <c r="M30105" s="49">
        <f>IF($A$4+300&gt;$B$4,"",$A$4+300)</f>
        <v>46323</v>
      </c>
      <c r="N30105">
        <f>IF(M30105="","",'Master Barang'!A99)</f>
        <v>0</v>
      </c>
      <c r="O30105">
        <f>IF(N30105="","",'Master Barang'!B99)</f>
        <v>0</v>
      </c>
      <c r="P30105">
        <f>IF(OR(M30105="",N30105=""),"",SUMIFS('Barang Keluar'!$E:$E,'Barang Keluar'!$A:$A,M30105,'Barang Keluar'!$C:$C,N30105))</f>
        <v>0</v>
      </c>
    </row>
    <row r="30106" spans="13:16">
      <c r="M30106" s="49">
        <f>IF($A$4+300&gt;$B$4,"",$A$4+300)</f>
        <v>46323</v>
      </c>
      <c r="N30106">
        <f>IF(M30106="","",'Master Barang'!A100)</f>
        <v>0</v>
      </c>
      <c r="O30106">
        <f>IF(N30106="","",'Master Barang'!B100)</f>
        <v>0</v>
      </c>
      <c r="P30106">
        <f>IF(OR(M30106="",N30106=""),"",SUMIFS('Barang Keluar'!$E:$E,'Barang Keluar'!$A:$A,M30106,'Barang Keluar'!$C:$C,N30106))</f>
        <v>0</v>
      </c>
    </row>
    <row r="30107" spans="13:16">
      <c r="M30107" s="49">
        <f>IF($A$4+300&gt;$B$4,"",$A$4+300)</f>
        <v>46323</v>
      </c>
      <c r="N30107">
        <f>IF(M30107="","",'Master Barang'!A101)</f>
        <v>0</v>
      </c>
      <c r="O30107">
        <f>IF(N30107="","",'Master Barang'!B101)</f>
        <v>0</v>
      </c>
      <c r="P30107">
        <f>IF(OR(M30107="",N30107=""),"",SUMIFS('Barang Keluar'!$E:$E,'Barang Keluar'!$A:$A,M30107,'Barang Keluar'!$C:$C,N30107))</f>
        <v>0</v>
      </c>
    </row>
    <row r="30108" spans="13:16">
      <c r="M30108" s="49">
        <f>IF($A$4+301&gt;$B$4,"",$A$4+301)</f>
        <v>46324</v>
      </c>
      <c r="N30108" t="str">
        <f>IF(M30108="","",'Master Barang'!A2)</f>
        <v>PRL-001</v>
      </c>
      <c r="O30108" t="str">
        <f>IF(N30108="","",'Master Barang'!B2)</f>
        <v>natura desinfectant food grade 5l</v>
      </c>
      <c r="P30108">
        <f>IF(OR(M30108="",N30108=""),"",SUMIFS('Barang Keluar'!$E:$E,'Barang Keluar'!$A:$A,M30108,'Barang Keluar'!$C:$C,N30108))</f>
        <v>0</v>
      </c>
    </row>
    <row r="30109" spans="13:16">
      <c r="M30109" s="49">
        <f>IF($A$4+301&gt;$B$4,"",$A$4+301)</f>
        <v>46324</v>
      </c>
      <c r="N30109" t="str">
        <f>IF(M30109="","",'Master Barang'!A3)</f>
        <v>PRL-002</v>
      </c>
      <c r="O30109" t="str">
        <f>IF(N30109="","",'Master Barang'!B3)</f>
        <v>sunlight cairan pencuci piring 5l</v>
      </c>
      <c r="P30109">
        <f>IF(OR(M30109="",N30109=""),"",SUMIFS('Barang Keluar'!$E:$E,'Barang Keluar'!$A:$A,M30109,'Barang Keluar'!$C:$C,N30109))</f>
        <v>0</v>
      </c>
    </row>
    <row r="30110" spans="13:16">
      <c r="M30110" s="49">
        <f>IF($A$4+301&gt;$B$4,"",$A$4+301)</f>
        <v>46324</v>
      </c>
      <c r="N30110" t="str">
        <f>IF(M30110="","",'Master Barang'!A4)</f>
        <v>PRL-003</v>
      </c>
      <c r="O30110" t="str">
        <f>IF(N30110="","",'Master Barang'!B4)</f>
        <v>oixs cleaner 1l</v>
      </c>
      <c r="P30110">
        <f>IF(OR(M30110="",N30110=""),"",SUMIFS('Barang Keluar'!$E:$E,'Barang Keluar'!$A:$A,M30110,'Barang Keluar'!$C:$C,N30110))</f>
        <v>0</v>
      </c>
    </row>
    <row r="30111" spans="13:16">
      <c r="M30111" s="49">
        <f>IF($A$4+301&gt;$B$4,"",$A$4+301)</f>
        <v>46324</v>
      </c>
      <c r="N30111" t="str">
        <f>IF(M30111="","",'Master Barang'!A5)</f>
        <v>PRL-004</v>
      </c>
      <c r="O30111" t="str">
        <f>IF(N30111="","",'Master Barang'!B5)</f>
        <v>be clean tissue serbaguna</v>
      </c>
      <c r="P30111">
        <f>IF(OR(M30111="",N30111=""),"",SUMIFS('Barang Keluar'!$E:$E,'Barang Keluar'!$A:$A,M30111,'Barang Keluar'!$C:$C,N30111))</f>
        <v>0</v>
      </c>
    </row>
    <row r="30112" spans="13:16">
      <c r="M30112" s="49">
        <f>IF($A$4+301&gt;$B$4,"",$A$4+301)</f>
        <v>46324</v>
      </c>
      <c r="N30112" t="str">
        <f>IF(M30112="","",'Master Barang'!A6)</f>
        <v>PRL-005</v>
      </c>
      <c r="O30112" t="str">
        <f>IF(N30112="","",'Master Barang'!B6)</f>
        <v>spons cuci hijau</v>
      </c>
      <c r="P30112">
        <f>IF(OR(M30112="",N30112=""),"",SUMIFS('Barang Keluar'!$E:$E,'Barang Keluar'!$A:$A,M30112,'Barang Keluar'!$C:$C,N30112))</f>
        <v>0</v>
      </c>
    </row>
    <row r="30113" spans="13:16">
      <c r="M30113" s="49">
        <f>IF($A$4+301&gt;$B$4,"",$A$4+301)</f>
        <v>46324</v>
      </c>
      <c r="N30113" t="str">
        <f>IF(M30113="","",'Master Barang'!A7)</f>
        <v>PRL-006</v>
      </c>
      <c r="O30113" t="str">
        <f>IF(N30113="","",'Master Barang'!B7)</f>
        <v>sabut cuci stainless</v>
      </c>
      <c r="P30113">
        <f>IF(OR(M30113="",N30113=""),"",SUMIFS('Barang Keluar'!$E:$E,'Barang Keluar'!$A:$A,M30113,'Barang Keluar'!$C:$C,N30113))</f>
        <v>0</v>
      </c>
    </row>
    <row r="30114" spans="13:16">
      <c r="M30114" s="49">
        <f>IF($A$4+301&gt;$B$4,"",$A$4+301)</f>
        <v>46324</v>
      </c>
      <c r="N30114" t="str">
        <f>IF(M30114="","",'Master Barang'!A8)</f>
        <v>PRL-007</v>
      </c>
      <c r="O30114" t="str">
        <f>IF(N30114="","",'Master Barang'!B8)</f>
        <v>plastik kresek besar merah 50pc</v>
      </c>
      <c r="P30114">
        <f>IF(OR(M30114="",N30114=""),"",SUMIFS('Barang Keluar'!$E:$E,'Barang Keluar'!$A:$A,M30114,'Barang Keluar'!$C:$C,N30114))</f>
        <v>0</v>
      </c>
    </row>
    <row r="30115" spans="13:16">
      <c r="M30115" s="49">
        <f>IF($A$4+301&gt;$B$4,"",$A$4+301)</f>
        <v>46324</v>
      </c>
      <c r="N30115" t="str">
        <f>IF(M30115="","",'Master Barang'!A9)</f>
        <v>PRL-008</v>
      </c>
      <c r="O30115" t="str">
        <f>IF(N30115="","",'Master Barang'!B9)</f>
        <v>lap besar</v>
      </c>
      <c r="P30115">
        <f>IF(OR(M30115="",N30115=""),"",SUMIFS('Barang Keluar'!$E:$E,'Barang Keluar'!$A:$A,M30115,'Barang Keluar'!$C:$C,N30115))</f>
        <v>0</v>
      </c>
    </row>
    <row r="30116" spans="13:16">
      <c r="M30116" s="49">
        <f>IF($A$4+301&gt;$B$4,"",$A$4+301)</f>
        <v>46324</v>
      </c>
      <c r="N30116" t="str">
        <f>IF(M30116="","",'Master Barang'!A10)</f>
        <v>PRL-009</v>
      </c>
      <c r="O30116" t="str">
        <f>IF(N30116="","",'Master Barang'!B10)</f>
        <v>lap microfiber</v>
      </c>
      <c r="P30116">
        <f>IF(OR(M30116="",N30116=""),"",SUMIFS('Barang Keluar'!$E:$E,'Barang Keluar'!$A:$A,M30116,'Barang Keluar'!$C:$C,N30116))</f>
        <v>0</v>
      </c>
    </row>
    <row r="30117" spans="13:16">
      <c r="M30117" s="49">
        <f>IF($A$4+301&gt;$B$4,"",$A$4+301)</f>
        <v>46324</v>
      </c>
      <c r="N30117" t="str">
        <f>IF(M30117="","",'Master Barang'!A11)</f>
        <v>PRL-010</v>
      </c>
      <c r="O30117" t="str">
        <f>IF(N30117="","",'Master Barang'!B11)</f>
        <v>lap kecil</v>
      </c>
      <c r="P30117">
        <f>IF(OR(M30117="",N30117=""),"",SUMIFS('Barang Keluar'!$E:$E,'Barang Keluar'!$A:$A,M30117,'Barang Keluar'!$C:$C,N30117))</f>
        <v>0</v>
      </c>
    </row>
    <row r="30118" spans="13:16">
      <c r="M30118" s="49">
        <f>IF($A$4+301&gt;$B$4,"",$A$4+301)</f>
        <v>46324</v>
      </c>
      <c r="N30118" t="str">
        <f>IF(M30118="","",'Master Barang'!A12)</f>
        <v>PRL-011</v>
      </c>
      <c r="O30118" t="str">
        <f>IF(N30118="","",'Master Barang'!B12)</f>
        <v>kanebo kecil</v>
      </c>
      <c r="P30118">
        <f>IF(OR(M30118="",N30118=""),"",SUMIFS('Barang Keluar'!$E:$E,'Barang Keluar'!$A:$A,M30118,'Barang Keluar'!$C:$C,N30118))</f>
        <v>0</v>
      </c>
    </row>
    <row r="30119" spans="13:16">
      <c r="M30119" s="49">
        <f>IF($A$4+301&gt;$B$4,"",$A$4+301)</f>
        <v>46324</v>
      </c>
      <c r="N30119" t="str">
        <f>IF(M30119="","",'Master Barang'!A13)</f>
        <v>PRL-012</v>
      </c>
      <c r="O30119" t="str">
        <f>IF(N30119="","",'Master Barang'!B13)</f>
        <v>plastik 1/4kg joyoboyo 100 lembar</v>
      </c>
      <c r="P30119">
        <f>IF(OR(M30119="",N30119=""),"",SUMIFS('Barang Keluar'!$E:$E,'Barang Keluar'!$A:$A,M30119,'Barang Keluar'!$C:$C,N30119))</f>
        <v>0</v>
      </c>
    </row>
    <row r="30120" spans="13:16">
      <c r="M30120" s="49">
        <f>IF($A$4+301&gt;$B$4,"",$A$4+301)</f>
        <v>46324</v>
      </c>
      <c r="N30120" t="str">
        <f>IF(M30120="","",'Master Barang'!A14)</f>
        <v>PRL-013</v>
      </c>
      <c r="O30120" t="str">
        <f>IF(N30120="","",'Master Barang'!B14)</f>
        <v>sarung tangan plastik kaka 100 pcs</v>
      </c>
      <c r="P30120">
        <f>IF(OR(M30120="",N30120=""),"",SUMIFS('Barang Keluar'!$E:$E,'Barang Keluar'!$A:$A,M30120,'Barang Keluar'!$C:$C,N30120))</f>
        <v>0</v>
      </c>
    </row>
    <row r="30121" spans="13:16">
      <c r="M30121" s="49">
        <f>IF($A$4+301&gt;$B$4,"",$A$4+301)</f>
        <v>46324</v>
      </c>
      <c r="N30121" t="str">
        <f>IF(M30121="","",'Master Barang'!A15)</f>
        <v>PRL-014</v>
      </c>
      <c r="O30121" t="str">
        <f>IF(N30121="","",'Master Barang'!B15)</f>
        <v>optima trashbag 80x100</v>
      </c>
      <c r="P30121">
        <f>IF(OR(M30121="",N30121=""),"",SUMIFS('Barang Keluar'!$E:$E,'Barang Keluar'!$A:$A,M30121,'Barang Keluar'!$C:$C,N30121))</f>
        <v>0</v>
      </c>
    </row>
    <row r="30122" spans="13:16">
      <c r="M30122" s="49">
        <f>IF($A$4+301&gt;$B$4,"",$A$4+301)</f>
        <v>46324</v>
      </c>
      <c r="N30122" t="str">
        <f>IF(M30122="","",'Master Barang'!A16)</f>
        <v>PRL-015</v>
      </c>
      <c r="O30122" t="str">
        <f>IF(N30122="","",'Master Barang'!B16)</f>
        <v>optima trashbag 60x100</v>
      </c>
      <c r="P30122">
        <f>IF(OR(M30122="",N30122=""),"",SUMIFS('Barang Keluar'!$E:$E,'Barang Keluar'!$A:$A,M30122,'Barang Keluar'!$C:$C,N30122))</f>
        <v>0</v>
      </c>
    </row>
    <row r="30123" spans="13:16">
      <c r="M30123" s="49">
        <f>IF($A$4+301&gt;$B$4,"",$A$4+301)</f>
        <v>46324</v>
      </c>
      <c r="N30123" t="str">
        <f>IF(M30123="","",'Master Barang'!A17)</f>
        <v>PRL-016</v>
      </c>
      <c r="O30123" t="str">
        <f>IF(N30123="","",'Master Barang'!B17)</f>
        <v>rajawali trashbag 30x40</v>
      </c>
      <c r="P30123">
        <f>IF(OR(M30123="",N30123=""),"",SUMIFS('Barang Keluar'!$E:$E,'Barang Keluar'!$A:$A,M30123,'Barang Keluar'!$C:$C,N30123))</f>
        <v>0</v>
      </c>
    </row>
    <row r="30124" spans="13:16">
      <c r="M30124" s="49">
        <f>IF($A$4+301&gt;$B$4,"",$A$4+301)</f>
        <v>46324</v>
      </c>
      <c r="N30124" t="str">
        <f>IF(M30124="","",'Master Barang'!A18)</f>
        <v>PRL-017</v>
      </c>
      <c r="O30124" t="str">
        <f>IF(N30124="","",'Master Barang'!B18)</f>
        <v>onemed masker biru 3 play 50 pcs</v>
      </c>
      <c r="P30124">
        <f>IF(OR(M30124="",N30124=""),"",SUMIFS('Barang Keluar'!$E:$E,'Barang Keluar'!$A:$A,M30124,'Barang Keluar'!$C:$C,N30124))</f>
        <v>0</v>
      </c>
    </row>
    <row r="30125" spans="13:16">
      <c r="M30125" s="49">
        <f>IF($A$4+301&gt;$B$4,"",$A$4+301)</f>
        <v>46324</v>
      </c>
      <c r="N30125" t="str">
        <f>IF(M30125="","",'Master Barang'!A19)</f>
        <v>PRL-018</v>
      </c>
      <c r="O30125" t="str">
        <f>IF(N30125="","",'Master Barang'!B19)</f>
        <v>onemed masker biru 3 play hijab 50 pcs</v>
      </c>
      <c r="P30125">
        <f>IF(OR(M30125="",N30125=""),"",SUMIFS('Barang Keluar'!$E:$E,'Barang Keluar'!$A:$A,M30125,'Barang Keluar'!$C:$C,N30125))</f>
        <v>0</v>
      </c>
    </row>
    <row r="30126" spans="13:16">
      <c r="M30126" s="49">
        <f>IF($A$4+301&gt;$B$4,"",$A$4+301)</f>
        <v>46324</v>
      </c>
      <c r="N30126" t="str">
        <f>IF(M30126="","",'Master Barang'!A20)</f>
        <v>PRL-019</v>
      </c>
      <c r="O30126" t="str">
        <f>IF(N30126="","",'Master Barang'!B20)</f>
        <v>neo health masker biru 3 play 50 pcs</v>
      </c>
      <c r="P30126">
        <f>IF(OR(M30126="",N30126=""),"",SUMIFS('Barang Keluar'!$E:$E,'Barang Keluar'!$A:$A,M30126,'Barang Keluar'!$C:$C,N30126))</f>
        <v>0</v>
      </c>
    </row>
    <row r="30127" spans="13:16">
      <c r="M30127" s="49">
        <f>IF($A$4+301&gt;$B$4,"",$A$4+301)</f>
        <v>46324</v>
      </c>
      <c r="N30127" t="str">
        <f>IF(M30127="","",'Master Barang'!A21)</f>
        <v>PRL-020</v>
      </c>
      <c r="O30127" t="str">
        <f>IF(N30127="","",'Master Barang'!B21)</f>
        <v>baymed masker hijau 3 play hijau 50 pcs</v>
      </c>
      <c r="P30127">
        <f>IF(OR(M30127="",N30127=""),"",SUMIFS('Barang Keluar'!$E:$E,'Barang Keluar'!$A:$A,M30127,'Barang Keluar'!$C:$C,N30127))</f>
        <v>0</v>
      </c>
    </row>
    <row r="30128" spans="13:16">
      <c r="M30128" s="49">
        <f>IF($A$4+301&gt;$B$4,"",$A$4+301)</f>
        <v>46324</v>
      </c>
      <c r="N30128" t="str">
        <f>IF(M30128="","",'Master Barang'!A22)</f>
        <v>PRL-021</v>
      </c>
      <c r="O30128" t="str">
        <f>IF(N30128="","",'Master Barang'!B22)</f>
        <v>altamed nurse cap penutup kepala 100 pcs</v>
      </c>
      <c r="P30128">
        <f>IF(OR(M30128="",N30128=""),"",SUMIFS('Barang Keluar'!$E:$E,'Barang Keluar'!$A:$A,M30128,'Barang Keluar'!$C:$C,N30128))</f>
        <v>0</v>
      </c>
    </row>
    <row r="30129" spans="13:16">
      <c r="M30129" s="49">
        <f>IF($A$4+301&gt;$B$4,"",$A$4+301)</f>
        <v>46324</v>
      </c>
      <c r="N30129" t="str">
        <f>IF(M30129="","",'Master Barang'!A23)</f>
        <v>PRL-022</v>
      </c>
      <c r="O30129" t="str">
        <f>IF(N30129="","",'Master Barang'!B23)</f>
        <v>sabun cuci tangan</v>
      </c>
      <c r="P30129">
        <f>IF(OR(M30129="",N30129=""),"",SUMIFS('Barang Keluar'!$E:$E,'Barang Keluar'!$A:$A,M30129,'Barang Keluar'!$C:$C,N30129))</f>
        <v>0</v>
      </c>
    </row>
    <row r="30130" spans="13:16">
      <c r="M30130" s="49">
        <f>IF($A$4+301&gt;$B$4,"",$A$4+301)</f>
        <v>46324</v>
      </c>
      <c r="N30130" t="str">
        <f>IF(M30130="","",'Master Barang'!A24)</f>
        <v>PRL-023</v>
      </c>
      <c r="O30130" t="str">
        <f>IF(N30130="","",'Master Barang'!B24)</f>
        <v>gayung kecil</v>
      </c>
      <c r="P30130">
        <f>IF(OR(M30130="",N30130=""),"",SUMIFS('Barang Keluar'!$E:$E,'Barang Keluar'!$A:$A,M30130,'Barang Keluar'!$C:$C,N30130))</f>
        <v>0</v>
      </c>
    </row>
    <row r="30131" spans="13:16">
      <c r="M30131" s="49">
        <f>IF($A$4+301&gt;$B$4,"",$A$4+301)</f>
        <v>46324</v>
      </c>
      <c r="N30131" t="str">
        <f>IF(M30131="","",'Master Barang'!A25)</f>
        <v>PRL-024</v>
      </c>
      <c r="O30131" t="str">
        <f>IF(N30131="","",'Master Barang'!B25)</f>
        <v>cikrak kecil</v>
      </c>
      <c r="P30131">
        <f>IF(OR(M30131="",N30131=""),"",SUMIFS('Barang Keluar'!$E:$E,'Barang Keluar'!$A:$A,M30131,'Barang Keluar'!$C:$C,N30131))</f>
        <v>0</v>
      </c>
    </row>
    <row r="30132" spans="13:16">
      <c r="M30132" s="49">
        <f>IF($A$4+301&gt;$B$4,"",$A$4+301)</f>
        <v>46324</v>
      </c>
      <c r="N30132" t="str">
        <f>IF(M30132="","",'Master Barang'!A26)</f>
        <v>PRL-025</v>
      </c>
      <c r="O30132" t="str">
        <f>IF(N30132="","",'Master Barang'!B26)</f>
        <v>petromax plastik kecil 12x24 100 lembar</v>
      </c>
      <c r="P30132">
        <f>IF(OR(M30132="",N30132=""),"",SUMIFS('Barang Keluar'!$E:$E,'Barang Keluar'!$A:$A,M30132,'Barang Keluar'!$C:$C,N30132))</f>
        <v>0</v>
      </c>
    </row>
    <row r="30133" spans="13:16">
      <c r="M30133" s="49">
        <f>IF($A$4+301&gt;$B$4,"",$A$4+301)</f>
        <v>46324</v>
      </c>
      <c r="N30133" t="str">
        <f>IF(M30133="","",'Master Barang'!A27)</f>
        <v>PRL-026</v>
      </c>
      <c r="O30133" t="str">
        <f>IF(N30133="","",'Master Barang'!B27)</f>
        <v>lancar kresek kecil bening </v>
      </c>
      <c r="P30133">
        <f>IF(OR(M30133="",N30133=""),"",SUMIFS('Barang Keluar'!$E:$E,'Barang Keluar'!$A:$A,M30133,'Barang Keluar'!$C:$C,N30133))</f>
        <v>0</v>
      </c>
    </row>
    <row r="30134" spans="13:16">
      <c r="M30134" s="49">
        <f>IF($A$4+301&gt;$B$4,"",$A$4+301)</f>
        <v>46324</v>
      </c>
      <c r="N30134" t="str">
        <f>IF(M30134="","",'Master Barang'!A28)</f>
        <v>PRL-027</v>
      </c>
      <c r="O30134" t="str">
        <f>IF(N30134="","",'Master Barang'!B28)</f>
        <v>kresek klin warna warni kecil</v>
      </c>
      <c r="P30134">
        <f>IF(OR(M30134="",N30134=""),"",SUMIFS('Barang Keluar'!$E:$E,'Barang Keluar'!$A:$A,M30134,'Barang Keluar'!$C:$C,N30134))</f>
        <v>0</v>
      </c>
    </row>
    <row r="30135" spans="13:16">
      <c r="M30135" s="49">
        <f>IF($A$4+301&gt;$B$4,"",$A$4+301)</f>
        <v>46324</v>
      </c>
      <c r="N30135" t="str">
        <f>IF(M30135="","",'Master Barang'!A29)</f>
        <v>PRL-028</v>
      </c>
      <c r="O30135" t="str">
        <f>IF(N30135="","",'Master Barang'!B29)</f>
        <v>ctik plastik 7x10 100 pcs</v>
      </c>
      <c r="P30135">
        <f>IF(OR(M30135="",N30135=""),"",SUMIFS('Barang Keluar'!$E:$E,'Barang Keluar'!$A:$A,M30135,'Barang Keluar'!$C:$C,N30135))</f>
        <v>0</v>
      </c>
    </row>
    <row r="30136" spans="13:16">
      <c r="M30136" s="49">
        <f>IF($A$4+301&gt;$B$4,"",$A$4+301)</f>
        <v>46324</v>
      </c>
      <c r="N30136" t="str">
        <f>IF(M30136="","",'Master Barang'!A30)</f>
        <v>PRL-029</v>
      </c>
      <c r="O30136" t="str">
        <f>IF(N30136="","",'Master Barang'!B30)</f>
        <v>ctik plastik 6x10 100 pcs</v>
      </c>
      <c r="P30136">
        <f>IF(OR(M30136="",N30136=""),"",SUMIFS('Barang Keluar'!$E:$E,'Barang Keluar'!$A:$A,M30136,'Barang Keluar'!$C:$C,N30136))</f>
        <v>0</v>
      </c>
    </row>
    <row r="30137" spans="13:16">
      <c r="M30137" s="49">
        <f>IF($A$4+301&gt;$B$4,"",$A$4+301)</f>
        <v>46324</v>
      </c>
      <c r="N30137" t="str">
        <f>IF(M30137="","",'Master Barang'!A31)</f>
        <v>PRL-030</v>
      </c>
      <c r="O30137" t="str">
        <f>IF(N30137="","",'Master Barang'!B31)</f>
        <v>klip plastik 25x16 100 pcs</v>
      </c>
      <c r="P30137">
        <f>IF(OR(M30137="",N30137=""),"",SUMIFS('Barang Keluar'!$E:$E,'Barang Keluar'!$A:$A,M30137,'Barang Keluar'!$C:$C,N30137))</f>
        <v>0</v>
      </c>
    </row>
    <row r="30138" spans="13:16">
      <c r="M30138" s="49">
        <f>IF($A$4+301&gt;$B$4,"",$A$4+301)</f>
        <v>46324</v>
      </c>
      <c r="N30138" t="str">
        <f>IF(M30138="","",'Master Barang'!A32)</f>
        <v>PRL-031</v>
      </c>
      <c r="O30138" t="str">
        <f>IF(N30138="","",'Master Barang'!B32)</f>
        <v>tempat saus 20 ml</v>
      </c>
      <c r="P30138">
        <f>IF(OR(M30138="",N30138=""),"",SUMIFS('Barang Keluar'!$E:$E,'Barang Keluar'!$A:$A,M30138,'Barang Keluar'!$C:$C,N30138))</f>
        <v>0</v>
      </c>
    </row>
    <row r="30139" spans="13:16">
      <c r="M30139" s="49">
        <f>IF($A$4+301&gt;$B$4,"",$A$4+301)</f>
        <v>46324</v>
      </c>
      <c r="N30139" t="str">
        <f>IF(M30139="","",'Master Barang'!A33)</f>
        <v>PRL-032</v>
      </c>
      <c r="O30139" t="str">
        <f>IF(N30139="","",'Master Barang'!B33)</f>
        <v>plastik packaging ag box uk sedang</v>
      </c>
      <c r="P30139">
        <f>IF(OR(M30139="",N30139=""),"",SUMIFS('Barang Keluar'!$E:$E,'Barang Keluar'!$A:$A,M30139,'Barang Keluar'!$C:$C,N30139))</f>
        <v>0</v>
      </c>
    </row>
    <row r="30140" spans="13:16">
      <c r="M30140" s="49">
        <f>IF($A$4+301&gt;$B$4,"",$A$4+301)</f>
        <v>46324</v>
      </c>
      <c r="N30140" t="str">
        <f>IF(M30140="","",'Master Barang'!A34)</f>
        <v>PRL-033</v>
      </c>
      <c r="O30140">
        <f>IF(N30140="","",'Master Barang'!B34)</f>
        <v>0</v>
      </c>
      <c r="P30140">
        <f>IF(OR(M30140="",N30140=""),"",SUMIFS('Barang Keluar'!$E:$E,'Barang Keluar'!$A:$A,M30140,'Barang Keluar'!$C:$C,N30140))</f>
        <v>0</v>
      </c>
    </row>
    <row r="30141" spans="13:16">
      <c r="M30141" s="49">
        <f>IF($A$4+301&gt;$B$4,"",$A$4+301)</f>
        <v>46324</v>
      </c>
      <c r="N30141">
        <f>IF(M30141="","",'Master Barang'!A35)</f>
        <v>0</v>
      </c>
      <c r="O30141">
        <f>IF(N30141="","",'Master Barang'!B35)</f>
        <v>0</v>
      </c>
      <c r="P30141">
        <f>IF(OR(M30141="",N30141=""),"",SUMIFS('Barang Keluar'!$E:$E,'Barang Keluar'!$A:$A,M30141,'Barang Keluar'!$C:$C,N30141))</f>
        <v>0</v>
      </c>
    </row>
    <row r="30142" spans="13:16">
      <c r="M30142" s="49">
        <f>IF($A$4+301&gt;$B$4,"",$A$4+301)</f>
        <v>46324</v>
      </c>
      <c r="N30142">
        <f>IF(M30142="","",'Master Barang'!A36)</f>
        <v>0</v>
      </c>
      <c r="O30142">
        <f>IF(N30142="","",'Master Barang'!B36)</f>
        <v>0</v>
      </c>
      <c r="P30142">
        <f>IF(OR(M30142="",N30142=""),"",SUMIFS('Barang Keluar'!$E:$E,'Barang Keluar'!$A:$A,M30142,'Barang Keluar'!$C:$C,N30142))</f>
        <v>0</v>
      </c>
    </row>
    <row r="30143" spans="13:16">
      <c r="M30143" s="49">
        <f>IF($A$4+301&gt;$B$4,"",$A$4+301)</f>
        <v>46324</v>
      </c>
      <c r="N30143">
        <f>IF(M30143="","",'Master Barang'!A37)</f>
        <v>0</v>
      </c>
      <c r="O30143">
        <f>IF(N30143="","",'Master Barang'!B37)</f>
        <v>0</v>
      </c>
      <c r="P30143">
        <f>IF(OR(M30143="",N30143=""),"",SUMIFS('Barang Keluar'!$E:$E,'Barang Keluar'!$A:$A,M30143,'Barang Keluar'!$C:$C,N30143))</f>
        <v>0</v>
      </c>
    </row>
    <row r="30144" spans="13:16">
      <c r="M30144" s="49">
        <f>IF($A$4+301&gt;$B$4,"",$A$4+301)</f>
        <v>46324</v>
      </c>
      <c r="N30144">
        <f>IF(M30144="","",'Master Barang'!A38)</f>
        <v>0</v>
      </c>
      <c r="O30144">
        <f>IF(N30144="","",'Master Barang'!B38)</f>
        <v>0</v>
      </c>
      <c r="P30144">
        <f>IF(OR(M30144="",N30144=""),"",SUMIFS('Barang Keluar'!$E:$E,'Barang Keluar'!$A:$A,M30144,'Barang Keluar'!$C:$C,N30144))</f>
        <v>0</v>
      </c>
    </row>
    <row r="30145" spans="13:16">
      <c r="M30145" s="49">
        <f>IF($A$4+301&gt;$B$4,"",$A$4+301)</f>
        <v>46324</v>
      </c>
      <c r="N30145">
        <f>IF(M30145="","",'Master Barang'!A39)</f>
        <v>0</v>
      </c>
      <c r="O30145">
        <f>IF(N30145="","",'Master Barang'!B39)</f>
        <v>0</v>
      </c>
      <c r="P30145">
        <f>IF(OR(M30145="",N30145=""),"",SUMIFS('Barang Keluar'!$E:$E,'Barang Keluar'!$A:$A,M30145,'Barang Keluar'!$C:$C,N30145))</f>
        <v>0</v>
      </c>
    </row>
    <row r="30146" spans="13:16">
      <c r="M30146" s="49">
        <f>IF($A$4+301&gt;$B$4,"",$A$4+301)</f>
        <v>46324</v>
      </c>
      <c r="N30146">
        <f>IF(M30146="","",'Master Barang'!A40)</f>
        <v>0</v>
      </c>
      <c r="O30146">
        <f>IF(N30146="","",'Master Barang'!B40)</f>
        <v>0</v>
      </c>
      <c r="P30146">
        <f>IF(OR(M30146="",N30146=""),"",SUMIFS('Barang Keluar'!$E:$E,'Barang Keluar'!$A:$A,M30146,'Barang Keluar'!$C:$C,N30146))</f>
        <v>0</v>
      </c>
    </row>
    <row r="30147" spans="13:16">
      <c r="M30147" s="49">
        <f>IF($A$4+301&gt;$B$4,"",$A$4+301)</f>
        <v>46324</v>
      </c>
      <c r="N30147">
        <f>IF(M30147="","",'Master Barang'!A41)</f>
        <v>0</v>
      </c>
      <c r="O30147">
        <f>IF(N30147="","",'Master Barang'!B41)</f>
        <v>0</v>
      </c>
      <c r="P30147">
        <f>IF(OR(M30147="",N30147=""),"",SUMIFS('Barang Keluar'!$E:$E,'Barang Keluar'!$A:$A,M30147,'Barang Keluar'!$C:$C,N30147))</f>
        <v>0</v>
      </c>
    </row>
    <row r="30148" spans="13:16">
      <c r="M30148" s="49">
        <f>IF($A$4+301&gt;$B$4,"",$A$4+301)</f>
        <v>46324</v>
      </c>
      <c r="N30148">
        <f>IF(M30148="","",'Master Barang'!A42)</f>
        <v>0</v>
      </c>
      <c r="O30148">
        <f>IF(N30148="","",'Master Barang'!B42)</f>
        <v>0</v>
      </c>
      <c r="P30148">
        <f>IF(OR(M30148="",N30148=""),"",SUMIFS('Barang Keluar'!$E:$E,'Barang Keluar'!$A:$A,M30148,'Barang Keluar'!$C:$C,N30148))</f>
        <v>0</v>
      </c>
    </row>
    <row r="30149" spans="13:16">
      <c r="M30149" s="49">
        <f>IF($A$4+301&gt;$B$4,"",$A$4+301)</f>
        <v>46324</v>
      </c>
      <c r="N30149">
        <f>IF(M30149="","",'Master Barang'!A43)</f>
        <v>0</v>
      </c>
      <c r="O30149">
        <f>IF(N30149="","",'Master Barang'!B43)</f>
        <v>0</v>
      </c>
      <c r="P30149">
        <f>IF(OR(M30149="",N30149=""),"",SUMIFS('Barang Keluar'!$E:$E,'Barang Keluar'!$A:$A,M30149,'Barang Keluar'!$C:$C,N30149))</f>
        <v>0</v>
      </c>
    </row>
    <row r="30150" spans="13:16">
      <c r="M30150" s="49">
        <f>IF($A$4+301&gt;$B$4,"",$A$4+301)</f>
        <v>46324</v>
      </c>
      <c r="N30150">
        <f>IF(M30150="","",'Master Barang'!A44)</f>
        <v>0</v>
      </c>
      <c r="O30150">
        <f>IF(N30150="","",'Master Barang'!B44)</f>
        <v>0</v>
      </c>
      <c r="P30150">
        <f>IF(OR(M30150="",N30150=""),"",SUMIFS('Barang Keluar'!$E:$E,'Barang Keluar'!$A:$A,M30150,'Barang Keluar'!$C:$C,N30150))</f>
        <v>0</v>
      </c>
    </row>
    <row r="30151" spans="13:16">
      <c r="M30151" s="49">
        <f>IF($A$4+301&gt;$B$4,"",$A$4+301)</f>
        <v>46324</v>
      </c>
      <c r="N30151">
        <f>IF(M30151="","",'Master Barang'!A45)</f>
        <v>0</v>
      </c>
      <c r="O30151">
        <f>IF(N30151="","",'Master Barang'!B45)</f>
        <v>0</v>
      </c>
      <c r="P30151">
        <f>IF(OR(M30151="",N30151=""),"",SUMIFS('Barang Keluar'!$E:$E,'Barang Keluar'!$A:$A,M30151,'Barang Keluar'!$C:$C,N30151))</f>
        <v>0</v>
      </c>
    </row>
    <row r="30152" spans="13:16">
      <c r="M30152" s="49">
        <f>IF($A$4+301&gt;$B$4,"",$A$4+301)</f>
        <v>46324</v>
      </c>
      <c r="N30152">
        <f>IF(M30152="","",'Master Barang'!A46)</f>
        <v>0</v>
      </c>
      <c r="O30152">
        <f>IF(N30152="","",'Master Barang'!B46)</f>
        <v>0</v>
      </c>
      <c r="P30152">
        <f>IF(OR(M30152="",N30152=""),"",SUMIFS('Barang Keluar'!$E:$E,'Barang Keluar'!$A:$A,M30152,'Barang Keluar'!$C:$C,N30152))</f>
        <v>0</v>
      </c>
    </row>
    <row r="30153" spans="13:16">
      <c r="M30153" s="49">
        <f>IF($A$4+301&gt;$B$4,"",$A$4+301)</f>
        <v>46324</v>
      </c>
      <c r="N30153">
        <f>IF(M30153="","",'Master Barang'!A47)</f>
        <v>0</v>
      </c>
      <c r="O30153">
        <f>IF(N30153="","",'Master Barang'!B47)</f>
        <v>0</v>
      </c>
      <c r="P30153">
        <f>IF(OR(M30153="",N30153=""),"",SUMIFS('Barang Keluar'!$E:$E,'Barang Keluar'!$A:$A,M30153,'Barang Keluar'!$C:$C,N30153))</f>
        <v>0</v>
      </c>
    </row>
    <row r="30154" spans="13:16">
      <c r="M30154" s="49">
        <f>IF($A$4+301&gt;$B$4,"",$A$4+301)</f>
        <v>46324</v>
      </c>
      <c r="N30154">
        <f>IF(M30154="","",'Master Barang'!A48)</f>
        <v>0</v>
      </c>
      <c r="O30154">
        <f>IF(N30154="","",'Master Barang'!B48)</f>
        <v>0</v>
      </c>
      <c r="P30154">
        <f>IF(OR(M30154="",N30154=""),"",SUMIFS('Barang Keluar'!$E:$E,'Barang Keluar'!$A:$A,M30154,'Barang Keluar'!$C:$C,N30154))</f>
        <v>0</v>
      </c>
    </row>
    <row r="30155" spans="13:16">
      <c r="M30155" s="49">
        <f>IF($A$4+301&gt;$B$4,"",$A$4+301)</f>
        <v>46324</v>
      </c>
      <c r="N30155">
        <f>IF(M30155="","",'Master Barang'!A49)</f>
        <v>0</v>
      </c>
      <c r="O30155">
        <f>IF(N30155="","",'Master Barang'!B49)</f>
        <v>0</v>
      </c>
      <c r="P30155">
        <f>IF(OR(M30155="",N30155=""),"",SUMIFS('Barang Keluar'!$E:$E,'Barang Keluar'!$A:$A,M30155,'Barang Keluar'!$C:$C,N30155))</f>
        <v>0</v>
      </c>
    </row>
    <row r="30156" spans="13:16">
      <c r="M30156" s="49">
        <f>IF($A$4+301&gt;$B$4,"",$A$4+301)</f>
        <v>46324</v>
      </c>
      <c r="N30156">
        <f>IF(M30156="","",'Master Barang'!A50)</f>
        <v>0</v>
      </c>
      <c r="O30156">
        <f>IF(N30156="","",'Master Barang'!B50)</f>
        <v>0</v>
      </c>
      <c r="P30156">
        <f>IF(OR(M30156="",N30156=""),"",SUMIFS('Barang Keluar'!$E:$E,'Barang Keluar'!$A:$A,M30156,'Barang Keluar'!$C:$C,N30156))</f>
        <v>0</v>
      </c>
    </row>
    <row r="30157" spans="13:16">
      <c r="M30157" s="49">
        <f>IF($A$4+301&gt;$B$4,"",$A$4+301)</f>
        <v>46324</v>
      </c>
      <c r="N30157">
        <f>IF(M30157="","",'Master Barang'!A51)</f>
        <v>0</v>
      </c>
      <c r="O30157">
        <f>IF(N30157="","",'Master Barang'!B51)</f>
        <v>0</v>
      </c>
      <c r="P30157">
        <f>IF(OR(M30157="",N30157=""),"",SUMIFS('Barang Keluar'!$E:$E,'Barang Keluar'!$A:$A,M30157,'Barang Keluar'!$C:$C,N30157))</f>
        <v>0</v>
      </c>
    </row>
    <row r="30158" spans="13:16">
      <c r="M30158" s="49">
        <f>IF($A$4+301&gt;$B$4,"",$A$4+301)</f>
        <v>46324</v>
      </c>
      <c r="N30158">
        <f>IF(M30158="","",'Master Barang'!A52)</f>
        <v>0</v>
      </c>
      <c r="O30158">
        <f>IF(N30158="","",'Master Barang'!B52)</f>
        <v>0</v>
      </c>
      <c r="P30158">
        <f>IF(OR(M30158="",N30158=""),"",SUMIFS('Barang Keluar'!$E:$E,'Barang Keluar'!$A:$A,M30158,'Barang Keluar'!$C:$C,N30158))</f>
        <v>0</v>
      </c>
    </row>
    <row r="30159" spans="13:16">
      <c r="M30159" s="49">
        <f>IF($A$4+301&gt;$B$4,"",$A$4+301)</f>
        <v>46324</v>
      </c>
      <c r="N30159">
        <f>IF(M30159="","",'Master Barang'!A53)</f>
        <v>0</v>
      </c>
      <c r="O30159">
        <f>IF(N30159="","",'Master Barang'!B53)</f>
        <v>0</v>
      </c>
      <c r="P30159">
        <f>IF(OR(M30159="",N30159=""),"",SUMIFS('Barang Keluar'!$E:$E,'Barang Keluar'!$A:$A,M30159,'Barang Keluar'!$C:$C,N30159))</f>
        <v>0</v>
      </c>
    </row>
    <row r="30160" spans="13:16">
      <c r="M30160" s="49">
        <f>IF($A$4+301&gt;$B$4,"",$A$4+301)</f>
        <v>46324</v>
      </c>
      <c r="N30160">
        <f>IF(M30160="","",'Master Barang'!A54)</f>
        <v>0</v>
      </c>
      <c r="O30160">
        <f>IF(N30160="","",'Master Barang'!B54)</f>
        <v>0</v>
      </c>
      <c r="P30160">
        <f>IF(OR(M30160="",N30160=""),"",SUMIFS('Barang Keluar'!$E:$E,'Barang Keluar'!$A:$A,M30160,'Barang Keluar'!$C:$C,N30160))</f>
        <v>0</v>
      </c>
    </row>
    <row r="30161" spans="13:16">
      <c r="M30161" s="49">
        <f>IF($A$4+301&gt;$B$4,"",$A$4+301)</f>
        <v>46324</v>
      </c>
      <c r="N30161">
        <f>IF(M30161="","",'Master Barang'!A55)</f>
        <v>0</v>
      </c>
      <c r="O30161">
        <f>IF(N30161="","",'Master Barang'!B55)</f>
        <v>0</v>
      </c>
      <c r="P30161">
        <f>IF(OR(M30161="",N30161=""),"",SUMIFS('Barang Keluar'!$E:$E,'Barang Keluar'!$A:$A,M30161,'Barang Keluar'!$C:$C,N30161))</f>
        <v>0</v>
      </c>
    </row>
    <row r="30162" spans="13:16">
      <c r="M30162" s="49">
        <f>IF($A$4+301&gt;$B$4,"",$A$4+301)</f>
        <v>46324</v>
      </c>
      <c r="N30162">
        <f>IF(M30162="","",'Master Barang'!A56)</f>
        <v>0</v>
      </c>
      <c r="O30162">
        <f>IF(N30162="","",'Master Barang'!B56)</f>
        <v>0</v>
      </c>
      <c r="P30162">
        <f>IF(OR(M30162="",N30162=""),"",SUMIFS('Barang Keluar'!$E:$E,'Barang Keluar'!$A:$A,M30162,'Barang Keluar'!$C:$C,N30162))</f>
        <v>0</v>
      </c>
    </row>
    <row r="30163" spans="13:16">
      <c r="M30163" s="49">
        <f>IF($A$4+301&gt;$B$4,"",$A$4+301)</f>
        <v>46324</v>
      </c>
      <c r="N30163">
        <f>IF(M30163="","",'Master Barang'!A57)</f>
        <v>0</v>
      </c>
      <c r="O30163">
        <f>IF(N30163="","",'Master Barang'!B57)</f>
        <v>0</v>
      </c>
      <c r="P30163">
        <f>IF(OR(M30163="",N30163=""),"",SUMIFS('Barang Keluar'!$E:$E,'Barang Keluar'!$A:$A,M30163,'Barang Keluar'!$C:$C,N30163))</f>
        <v>0</v>
      </c>
    </row>
    <row r="30164" spans="13:16">
      <c r="M30164" s="49">
        <f>IF($A$4+301&gt;$B$4,"",$A$4+301)</f>
        <v>46324</v>
      </c>
      <c r="N30164">
        <f>IF(M30164="","",'Master Barang'!A58)</f>
        <v>0</v>
      </c>
      <c r="O30164">
        <f>IF(N30164="","",'Master Barang'!B58)</f>
        <v>0</v>
      </c>
      <c r="P30164">
        <f>IF(OR(M30164="",N30164=""),"",SUMIFS('Barang Keluar'!$E:$E,'Barang Keluar'!$A:$A,M30164,'Barang Keluar'!$C:$C,N30164))</f>
        <v>0</v>
      </c>
    </row>
    <row r="30165" spans="13:16">
      <c r="M30165" s="49">
        <f>IF($A$4+301&gt;$B$4,"",$A$4+301)</f>
        <v>46324</v>
      </c>
      <c r="N30165">
        <f>IF(M30165="","",'Master Barang'!A59)</f>
        <v>0</v>
      </c>
      <c r="O30165">
        <f>IF(N30165="","",'Master Barang'!B59)</f>
        <v>0</v>
      </c>
      <c r="P30165">
        <f>IF(OR(M30165="",N30165=""),"",SUMIFS('Barang Keluar'!$E:$E,'Barang Keluar'!$A:$A,M30165,'Barang Keluar'!$C:$C,N30165))</f>
        <v>0</v>
      </c>
    </row>
    <row r="30166" spans="13:16">
      <c r="M30166" s="49">
        <f>IF($A$4+301&gt;$B$4,"",$A$4+301)</f>
        <v>46324</v>
      </c>
      <c r="N30166">
        <f>IF(M30166="","",'Master Barang'!A60)</f>
        <v>0</v>
      </c>
      <c r="O30166">
        <f>IF(N30166="","",'Master Barang'!B60)</f>
        <v>0</v>
      </c>
      <c r="P30166">
        <f>IF(OR(M30166="",N30166=""),"",SUMIFS('Barang Keluar'!$E:$E,'Barang Keluar'!$A:$A,M30166,'Barang Keluar'!$C:$C,N30166))</f>
        <v>0</v>
      </c>
    </row>
    <row r="30167" spans="13:16">
      <c r="M30167" s="49">
        <f>IF($A$4+301&gt;$B$4,"",$A$4+301)</f>
        <v>46324</v>
      </c>
      <c r="N30167">
        <f>IF(M30167="","",'Master Barang'!A61)</f>
        <v>0</v>
      </c>
      <c r="O30167">
        <f>IF(N30167="","",'Master Barang'!B61)</f>
        <v>0</v>
      </c>
      <c r="P30167">
        <f>IF(OR(M30167="",N30167=""),"",SUMIFS('Barang Keluar'!$E:$E,'Barang Keluar'!$A:$A,M30167,'Barang Keluar'!$C:$C,N30167))</f>
        <v>0</v>
      </c>
    </row>
    <row r="30168" spans="13:16">
      <c r="M30168" s="49">
        <f>IF($A$4+301&gt;$B$4,"",$A$4+301)</f>
        <v>46324</v>
      </c>
      <c r="N30168">
        <f>IF(M30168="","",'Master Barang'!A62)</f>
        <v>0</v>
      </c>
      <c r="O30168">
        <f>IF(N30168="","",'Master Barang'!B62)</f>
        <v>0</v>
      </c>
      <c r="P30168">
        <f>IF(OR(M30168="",N30168=""),"",SUMIFS('Barang Keluar'!$E:$E,'Barang Keluar'!$A:$A,M30168,'Barang Keluar'!$C:$C,N30168))</f>
        <v>0</v>
      </c>
    </row>
    <row r="30169" spans="13:16">
      <c r="M30169" s="49">
        <f>IF($A$4+301&gt;$B$4,"",$A$4+301)</f>
        <v>46324</v>
      </c>
      <c r="N30169">
        <f>IF(M30169="","",'Master Barang'!A63)</f>
        <v>0</v>
      </c>
      <c r="O30169">
        <f>IF(N30169="","",'Master Barang'!B63)</f>
        <v>0</v>
      </c>
      <c r="P30169">
        <f>IF(OR(M30169="",N30169=""),"",SUMIFS('Barang Keluar'!$E:$E,'Barang Keluar'!$A:$A,M30169,'Barang Keluar'!$C:$C,N30169))</f>
        <v>0</v>
      </c>
    </row>
    <row r="30170" spans="13:16">
      <c r="M30170" s="49">
        <f>IF($A$4+301&gt;$B$4,"",$A$4+301)</f>
        <v>46324</v>
      </c>
      <c r="N30170">
        <f>IF(M30170="","",'Master Barang'!A64)</f>
        <v>0</v>
      </c>
      <c r="O30170">
        <f>IF(N30170="","",'Master Barang'!B64)</f>
        <v>0</v>
      </c>
      <c r="P30170">
        <f>IF(OR(M30170="",N30170=""),"",SUMIFS('Barang Keluar'!$E:$E,'Barang Keluar'!$A:$A,M30170,'Barang Keluar'!$C:$C,N30170))</f>
        <v>0</v>
      </c>
    </row>
    <row r="30171" spans="13:16">
      <c r="M30171" s="49">
        <f>IF($A$4+301&gt;$B$4,"",$A$4+301)</f>
        <v>46324</v>
      </c>
      <c r="N30171">
        <f>IF(M30171="","",'Master Barang'!A65)</f>
        <v>0</v>
      </c>
      <c r="O30171">
        <f>IF(N30171="","",'Master Barang'!B65)</f>
        <v>0</v>
      </c>
      <c r="P30171">
        <f>IF(OR(M30171="",N30171=""),"",SUMIFS('Barang Keluar'!$E:$E,'Barang Keluar'!$A:$A,M30171,'Barang Keluar'!$C:$C,N30171))</f>
        <v>0</v>
      </c>
    </row>
    <row r="30172" spans="13:16">
      <c r="M30172" s="49">
        <f>IF($A$4+301&gt;$B$4,"",$A$4+301)</f>
        <v>46324</v>
      </c>
      <c r="N30172">
        <f>IF(M30172="","",'Master Barang'!A66)</f>
        <v>0</v>
      </c>
      <c r="O30172">
        <f>IF(N30172="","",'Master Barang'!B66)</f>
        <v>0</v>
      </c>
      <c r="P30172">
        <f>IF(OR(M30172="",N30172=""),"",SUMIFS('Barang Keluar'!$E:$E,'Barang Keluar'!$A:$A,M30172,'Barang Keluar'!$C:$C,N30172))</f>
        <v>0</v>
      </c>
    </row>
    <row r="30173" spans="13:16">
      <c r="M30173" s="49">
        <f>IF($A$4+301&gt;$B$4,"",$A$4+301)</f>
        <v>46324</v>
      </c>
      <c r="N30173">
        <f>IF(M30173="","",'Master Barang'!A67)</f>
        <v>0</v>
      </c>
      <c r="O30173">
        <f>IF(N30173="","",'Master Barang'!B67)</f>
        <v>0</v>
      </c>
      <c r="P30173">
        <f>IF(OR(M30173="",N30173=""),"",SUMIFS('Barang Keluar'!$E:$E,'Barang Keluar'!$A:$A,M30173,'Barang Keluar'!$C:$C,N30173))</f>
        <v>0</v>
      </c>
    </row>
    <row r="30174" spans="13:16">
      <c r="M30174" s="49">
        <f>IF($A$4+301&gt;$B$4,"",$A$4+301)</f>
        <v>46324</v>
      </c>
      <c r="N30174">
        <f>IF(M30174="","",'Master Barang'!A68)</f>
        <v>0</v>
      </c>
      <c r="O30174">
        <f>IF(N30174="","",'Master Barang'!B68)</f>
        <v>0</v>
      </c>
      <c r="P30174">
        <f>IF(OR(M30174="",N30174=""),"",SUMIFS('Barang Keluar'!$E:$E,'Barang Keluar'!$A:$A,M30174,'Barang Keluar'!$C:$C,N30174))</f>
        <v>0</v>
      </c>
    </row>
    <row r="30175" spans="13:16">
      <c r="M30175" s="49">
        <f>IF($A$4+301&gt;$B$4,"",$A$4+301)</f>
        <v>46324</v>
      </c>
      <c r="N30175">
        <f>IF(M30175="","",'Master Barang'!A69)</f>
        <v>0</v>
      </c>
      <c r="O30175">
        <f>IF(N30175="","",'Master Barang'!B69)</f>
        <v>0</v>
      </c>
      <c r="P30175">
        <f>IF(OR(M30175="",N30175=""),"",SUMIFS('Barang Keluar'!$E:$E,'Barang Keluar'!$A:$A,M30175,'Barang Keluar'!$C:$C,N30175))</f>
        <v>0</v>
      </c>
    </row>
    <row r="30176" spans="13:16">
      <c r="M30176" s="49">
        <f>IF($A$4+301&gt;$B$4,"",$A$4+301)</f>
        <v>46324</v>
      </c>
      <c r="N30176">
        <f>IF(M30176="","",'Master Barang'!A70)</f>
        <v>0</v>
      </c>
      <c r="O30176">
        <f>IF(N30176="","",'Master Barang'!B70)</f>
        <v>0</v>
      </c>
      <c r="P30176">
        <f>IF(OR(M30176="",N30176=""),"",SUMIFS('Barang Keluar'!$E:$E,'Barang Keluar'!$A:$A,M30176,'Barang Keluar'!$C:$C,N30176))</f>
        <v>0</v>
      </c>
    </row>
    <row r="30177" spans="13:16">
      <c r="M30177" s="49">
        <f>IF($A$4+301&gt;$B$4,"",$A$4+301)</f>
        <v>46324</v>
      </c>
      <c r="N30177">
        <f>IF(M30177="","",'Master Barang'!A71)</f>
        <v>0</v>
      </c>
      <c r="O30177">
        <f>IF(N30177="","",'Master Barang'!B71)</f>
        <v>0</v>
      </c>
      <c r="P30177">
        <f>IF(OR(M30177="",N30177=""),"",SUMIFS('Barang Keluar'!$E:$E,'Barang Keluar'!$A:$A,M30177,'Barang Keluar'!$C:$C,N30177))</f>
        <v>0</v>
      </c>
    </row>
    <row r="30178" spans="13:16">
      <c r="M30178" s="49">
        <f>IF($A$4+301&gt;$B$4,"",$A$4+301)</f>
        <v>46324</v>
      </c>
      <c r="N30178">
        <f>IF(M30178="","",'Master Barang'!A72)</f>
        <v>0</v>
      </c>
      <c r="O30178">
        <f>IF(N30178="","",'Master Barang'!B72)</f>
        <v>0</v>
      </c>
      <c r="P30178">
        <f>IF(OR(M30178="",N30178=""),"",SUMIFS('Barang Keluar'!$E:$E,'Barang Keluar'!$A:$A,M30178,'Barang Keluar'!$C:$C,N30178))</f>
        <v>0</v>
      </c>
    </row>
    <row r="30179" spans="13:16">
      <c r="M30179" s="49">
        <f>IF($A$4+301&gt;$B$4,"",$A$4+301)</f>
        <v>46324</v>
      </c>
      <c r="N30179">
        <f>IF(M30179="","",'Master Barang'!A73)</f>
        <v>0</v>
      </c>
      <c r="O30179">
        <f>IF(N30179="","",'Master Barang'!B73)</f>
        <v>0</v>
      </c>
      <c r="P30179">
        <f>IF(OR(M30179="",N30179=""),"",SUMIFS('Barang Keluar'!$E:$E,'Barang Keluar'!$A:$A,M30179,'Barang Keluar'!$C:$C,N30179))</f>
        <v>0</v>
      </c>
    </row>
    <row r="30180" spans="13:16">
      <c r="M30180" s="49">
        <f>IF($A$4+301&gt;$B$4,"",$A$4+301)</f>
        <v>46324</v>
      </c>
      <c r="N30180">
        <f>IF(M30180="","",'Master Barang'!A74)</f>
        <v>0</v>
      </c>
      <c r="O30180">
        <f>IF(N30180="","",'Master Barang'!B74)</f>
        <v>0</v>
      </c>
      <c r="P30180">
        <f>IF(OR(M30180="",N30180=""),"",SUMIFS('Barang Keluar'!$E:$E,'Barang Keluar'!$A:$A,M30180,'Barang Keluar'!$C:$C,N30180))</f>
        <v>0</v>
      </c>
    </row>
    <row r="30181" spans="13:16">
      <c r="M30181" s="49">
        <f>IF($A$4+301&gt;$B$4,"",$A$4+301)</f>
        <v>46324</v>
      </c>
      <c r="N30181">
        <f>IF(M30181="","",'Master Barang'!A75)</f>
        <v>0</v>
      </c>
      <c r="O30181">
        <f>IF(N30181="","",'Master Barang'!B75)</f>
        <v>0</v>
      </c>
      <c r="P30181">
        <f>IF(OR(M30181="",N30181=""),"",SUMIFS('Barang Keluar'!$E:$E,'Barang Keluar'!$A:$A,M30181,'Barang Keluar'!$C:$C,N30181))</f>
        <v>0</v>
      </c>
    </row>
    <row r="30182" spans="13:16">
      <c r="M30182" s="49">
        <f>IF($A$4+301&gt;$B$4,"",$A$4+301)</f>
        <v>46324</v>
      </c>
      <c r="N30182">
        <f>IF(M30182="","",'Master Barang'!A76)</f>
        <v>0</v>
      </c>
      <c r="O30182">
        <f>IF(N30182="","",'Master Barang'!B76)</f>
        <v>0</v>
      </c>
      <c r="P30182">
        <f>IF(OR(M30182="",N30182=""),"",SUMIFS('Barang Keluar'!$E:$E,'Barang Keluar'!$A:$A,M30182,'Barang Keluar'!$C:$C,N30182))</f>
        <v>0</v>
      </c>
    </row>
    <row r="30183" spans="13:16">
      <c r="M30183" s="49">
        <f>IF($A$4+301&gt;$B$4,"",$A$4+301)</f>
        <v>46324</v>
      </c>
      <c r="N30183">
        <f>IF(M30183="","",'Master Barang'!A77)</f>
        <v>0</v>
      </c>
      <c r="O30183">
        <f>IF(N30183="","",'Master Barang'!B77)</f>
        <v>0</v>
      </c>
      <c r="P30183">
        <f>IF(OR(M30183="",N30183=""),"",SUMIFS('Barang Keluar'!$E:$E,'Barang Keluar'!$A:$A,M30183,'Barang Keluar'!$C:$C,N30183))</f>
        <v>0</v>
      </c>
    </row>
    <row r="30184" spans="13:16">
      <c r="M30184" s="49">
        <f>IF($A$4+301&gt;$B$4,"",$A$4+301)</f>
        <v>46324</v>
      </c>
      <c r="N30184">
        <f>IF(M30184="","",'Master Barang'!A78)</f>
        <v>0</v>
      </c>
      <c r="O30184">
        <f>IF(N30184="","",'Master Barang'!B78)</f>
        <v>0</v>
      </c>
      <c r="P30184">
        <f>IF(OR(M30184="",N30184=""),"",SUMIFS('Barang Keluar'!$E:$E,'Barang Keluar'!$A:$A,M30184,'Barang Keluar'!$C:$C,N30184))</f>
        <v>0</v>
      </c>
    </row>
    <row r="30185" spans="13:16">
      <c r="M30185" s="49">
        <f>IF($A$4+301&gt;$B$4,"",$A$4+301)</f>
        <v>46324</v>
      </c>
      <c r="N30185">
        <f>IF(M30185="","",'Master Barang'!A79)</f>
        <v>0</v>
      </c>
      <c r="O30185">
        <f>IF(N30185="","",'Master Barang'!B79)</f>
        <v>0</v>
      </c>
      <c r="P30185">
        <f>IF(OR(M30185="",N30185=""),"",SUMIFS('Barang Keluar'!$E:$E,'Barang Keluar'!$A:$A,M30185,'Barang Keluar'!$C:$C,N30185))</f>
        <v>0</v>
      </c>
    </row>
    <row r="30186" spans="13:16">
      <c r="M30186" s="49">
        <f>IF($A$4+301&gt;$B$4,"",$A$4+301)</f>
        <v>46324</v>
      </c>
      <c r="N30186">
        <f>IF(M30186="","",'Master Barang'!A80)</f>
        <v>0</v>
      </c>
      <c r="O30186">
        <f>IF(N30186="","",'Master Barang'!B80)</f>
        <v>0</v>
      </c>
      <c r="P30186">
        <f>IF(OR(M30186="",N30186=""),"",SUMIFS('Barang Keluar'!$E:$E,'Barang Keluar'!$A:$A,M30186,'Barang Keluar'!$C:$C,N30186))</f>
        <v>0</v>
      </c>
    </row>
    <row r="30187" spans="13:16">
      <c r="M30187" s="49">
        <f>IF($A$4+301&gt;$B$4,"",$A$4+301)</f>
        <v>46324</v>
      </c>
      <c r="N30187">
        <f>IF(M30187="","",'Master Barang'!A81)</f>
        <v>0</v>
      </c>
      <c r="O30187">
        <f>IF(N30187="","",'Master Barang'!B81)</f>
        <v>0</v>
      </c>
      <c r="P30187">
        <f>IF(OR(M30187="",N30187=""),"",SUMIFS('Barang Keluar'!$E:$E,'Barang Keluar'!$A:$A,M30187,'Barang Keluar'!$C:$C,N30187))</f>
        <v>0</v>
      </c>
    </row>
    <row r="30188" spans="13:16">
      <c r="M30188" s="49">
        <f>IF($A$4+301&gt;$B$4,"",$A$4+301)</f>
        <v>46324</v>
      </c>
      <c r="N30188">
        <f>IF(M30188="","",'Master Barang'!A82)</f>
        <v>0</v>
      </c>
      <c r="O30188">
        <f>IF(N30188="","",'Master Barang'!B82)</f>
        <v>0</v>
      </c>
      <c r="P30188">
        <f>IF(OR(M30188="",N30188=""),"",SUMIFS('Barang Keluar'!$E:$E,'Barang Keluar'!$A:$A,M30188,'Barang Keluar'!$C:$C,N30188))</f>
        <v>0</v>
      </c>
    </row>
    <row r="30189" spans="13:16">
      <c r="M30189" s="49">
        <f>IF($A$4+301&gt;$B$4,"",$A$4+301)</f>
        <v>46324</v>
      </c>
      <c r="N30189">
        <f>IF(M30189="","",'Master Barang'!A83)</f>
        <v>0</v>
      </c>
      <c r="O30189">
        <f>IF(N30189="","",'Master Barang'!B83)</f>
        <v>0</v>
      </c>
      <c r="P30189">
        <f>IF(OR(M30189="",N30189=""),"",SUMIFS('Barang Keluar'!$E:$E,'Barang Keluar'!$A:$A,M30189,'Barang Keluar'!$C:$C,N30189))</f>
        <v>0</v>
      </c>
    </row>
    <row r="30190" spans="13:16">
      <c r="M30190" s="49">
        <f>IF($A$4+301&gt;$B$4,"",$A$4+301)</f>
        <v>46324</v>
      </c>
      <c r="N30190">
        <f>IF(M30190="","",'Master Barang'!A84)</f>
        <v>0</v>
      </c>
      <c r="O30190">
        <f>IF(N30190="","",'Master Barang'!B84)</f>
        <v>0</v>
      </c>
      <c r="P30190">
        <f>IF(OR(M30190="",N30190=""),"",SUMIFS('Barang Keluar'!$E:$E,'Barang Keluar'!$A:$A,M30190,'Barang Keluar'!$C:$C,N30190))</f>
        <v>0</v>
      </c>
    </row>
    <row r="30191" spans="13:16">
      <c r="M30191" s="49">
        <f>IF($A$4+301&gt;$B$4,"",$A$4+301)</f>
        <v>46324</v>
      </c>
      <c r="N30191">
        <f>IF(M30191="","",'Master Barang'!A85)</f>
        <v>0</v>
      </c>
      <c r="O30191">
        <f>IF(N30191="","",'Master Barang'!B85)</f>
        <v>0</v>
      </c>
      <c r="P30191">
        <f>IF(OR(M30191="",N30191=""),"",SUMIFS('Barang Keluar'!$E:$E,'Barang Keluar'!$A:$A,M30191,'Barang Keluar'!$C:$C,N30191))</f>
        <v>0</v>
      </c>
    </row>
    <row r="30192" spans="13:16">
      <c r="M30192" s="49">
        <f>IF($A$4+301&gt;$B$4,"",$A$4+301)</f>
        <v>46324</v>
      </c>
      <c r="N30192">
        <f>IF(M30192="","",'Master Barang'!A86)</f>
        <v>0</v>
      </c>
      <c r="O30192">
        <f>IF(N30192="","",'Master Barang'!B86)</f>
        <v>0</v>
      </c>
      <c r="P30192">
        <f>IF(OR(M30192="",N30192=""),"",SUMIFS('Barang Keluar'!$E:$E,'Barang Keluar'!$A:$A,M30192,'Barang Keluar'!$C:$C,N30192))</f>
        <v>0</v>
      </c>
    </row>
    <row r="30193" spans="13:16">
      <c r="M30193" s="49">
        <f>IF($A$4+301&gt;$B$4,"",$A$4+301)</f>
        <v>46324</v>
      </c>
      <c r="N30193">
        <f>IF(M30193="","",'Master Barang'!A87)</f>
        <v>0</v>
      </c>
      <c r="O30193">
        <f>IF(N30193="","",'Master Barang'!B87)</f>
        <v>0</v>
      </c>
      <c r="P30193">
        <f>IF(OR(M30193="",N30193=""),"",SUMIFS('Barang Keluar'!$E:$E,'Barang Keluar'!$A:$A,M30193,'Barang Keluar'!$C:$C,N30193))</f>
        <v>0</v>
      </c>
    </row>
    <row r="30194" spans="13:16">
      <c r="M30194" s="49">
        <f>IF($A$4+301&gt;$B$4,"",$A$4+301)</f>
        <v>46324</v>
      </c>
      <c r="N30194">
        <f>IF(M30194="","",'Master Barang'!A88)</f>
        <v>0</v>
      </c>
      <c r="O30194">
        <f>IF(N30194="","",'Master Barang'!B88)</f>
        <v>0</v>
      </c>
      <c r="P30194">
        <f>IF(OR(M30194="",N30194=""),"",SUMIFS('Barang Keluar'!$E:$E,'Barang Keluar'!$A:$A,M30194,'Barang Keluar'!$C:$C,N30194))</f>
        <v>0</v>
      </c>
    </row>
    <row r="30195" spans="13:16">
      <c r="M30195" s="49">
        <f>IF($A$4+301&gt;$B$4,"",$A$4+301)</f>
        <v>46324</v>
      </c>
      <c r="N30195">
        <f>IF(M30195="","",'Master Barang'!A89)</f>
        <v>0</v>
      </c>
      <c r="O30195">
        <f>IF(N30195="","",'Master Barang'!B89)</f>
        <v>0</v>
      </c>
      <c r="P30195">
        <f>IF(OR(M30195="",N30195=""),"",SUMIFS('Barang Keluar'!$E:$E,'Barang Keluar'!$A:$A,M30195,'Barang Keluar'!$C:$C,N30195))</f>
        <v>0</v>
      </c>
    </row>
    <row r="30196" spans="13:16">
      <c r="M30196" s="49">
        <f>IF($A$4+301&gt;$B$4,"",$A$4+301)</f>
        <v>46324</v>
      </c>
      <c r="N30196">
        <f>IF(M30196="","",'Master Barang'!A90)</f>
        <v>0</v>
      </c>
      <c r="O30196">
        <f>IF(N30196="","",'Master Barang'!B90)</f>
        <v>0</v>
      </c>
      <c r="P30196">
        <f>IF(OR(M30196="",N30196=""),"",SUMIFS('Barang Keluar'!$E:$E,'Barang Keluar'!$A:$A,M30196,'Barang Keluar'!$C:$C,N30196))</f>
        <v>0</v>
      </c>
    </row>
    <row r="30197" spans="13:16">
      <c r="M30197" s="49">
        <f>IF($A$4+301&gt;$B$4,"",$A$4+301)</f>
        <v>46324</v>
      </c>
      <c r="N30197">
        <f>IF(M30197="","",'Master Barang'!A91)</f>
        <v>0</v>
      </c>
      <c r="O30197">
        <f>IF(N30197="","",'Master Barang'!B91)</f>
        <v>0</v>
      </c>
      <c r="P30197">
        <f>IF(OR(M30197="",N30197=""),"",SUMIFS('Barang Keluar'!$E:$E,'Barang Keluar'!$A:$A,M30197,'Barang Keluar'!$C:$C,N30197))</f>
        <v>0</v>
      </c>
    </row>
    <row r="30198" spans="13:16">
      <c r="M30198" s="49">
        <f>IF($A$4+301&gt;$B$4,"",$A$4+301)</f>
        <v>46324</v>
      </c>
      <c r="N30198">
        <f>IF(M30198="","",'Master Barang'!A92)</f>
        <v>0</v>
      </c>
      <c r="O30198">
        <f>IF(N30198="","",'Master Barang'!B92)</f>
        <v>0</v>
      </c>
      <c r="P30198">
        <f>IF(OR(M30198="",N30198=""),"",SUMIFS('Barang Keluar'!$E:$E,'Barang Keluar'!$A:$A,M30198,'Barang Keluar'!$C:$C,N30198))</f>
        <v>0</v>
      </c>
    </row>
    <row r="30199" spans="13:16">
      <c r="M30199" s="49">
        <f>IF($A$4+301&gt;$B$4,"",$A$4+301)</f>
        <v>46324</v>
      </c>
      <c r="N30199">
        <f>IF(M30199="","",'Master Barang'!A93)</f>
        <v>0</v>
      </c>
      <c r="O30199">
        <f>IF(N30199="","",'Master Barang'!B93)</f>
        <v>0</v>
      </c>
      <c r="P30199">
        <f>IF(OR(M30199="",N30199=""),"",SUMIFS('Barang Keluar'!$E:$E,'Barang Keluar'!$A:$A,M30199,'Barang Keluar'!$C:$C,N30199))</f>
        <v>0</v>
      </c>
    </row>
    <row r="30200" spans="13:16">
      <c r="M30200" s="49">
        <f>IF($A$4+301&gt;$B$4,"",$A$4+301)</f>
        <v>46324</v>
      </c>
      <c r="N30200">
        <f>IF(M30200="","",'Master Barang'!A94)</f>
        <v>0</v>
      </c>
      <c r="O30200">
        <f>IF(N30200="","",'Master Barang'!B94)</f>
        <v>0</v>
      </c>
      <c r="P30200">
        <f>IF(OR(M30200="",N30200=""),"",SUMIFS('Barang Keluar'!$E:$E,'Barang Keluar'!$A:$A,M30200,'Barang Keluar'!$C:$C,N30200))</f>
        <v>0</v>
      </c>
    </row>
    <row r="30201" spans="13:16">
      <c r="M30201" s="49">
        <f>IF($A$4+301&gt;$B$4,"",$A$4+301)</f>
        <v>46324</v>
      </c>
      <c r="N30201">
        <f>IF(M30201="","",'Master Barang'!A95)</f>
        <v>0</v>
      </c>
      <c r="O30201">
        <f>IF(N30201="","",'Master Barang'!B95)</f>
        <v>0</v>
      </c>
      <c r="P30201">
        <f>IF(OR(M30201="",N30201=""),"",SUMIFS('Barang Keluar'!$E:$E,'Barang Keluar'!$A:$A,M30201,'Barang Keluar'!$C:$C,N30201))</f>
        <v>0</v>
      </c>
    </row>
    <row r="30202" spans="13:16">
      <c r="M30202" s="49">
        <f>IF($A$4+301&gt;$B$4,"",$A$4+301)</f>
        <v>46324</v>
      </c>
      <c r="N30202">
        <f>IF(M30202="","",'Master Barang'!A96)</f>
        <v>0</v>
      </c>
      <c r="O30202">
        <f>IF(N30202="","",'Master Barang'!B96)</f>
        <v>0</v>
      </c>
      <c r="P30202">
        <f>IF(OR(M30202="",N30202=""),"",SUMIFS('Barang Keluar'!$E:$E,'Barang Keluar'!$A:$A,M30202,'Barang Keluar'!$C:$C,N30202))</f>
        <v>0</v>
      </c>
    </row>
    <row r="30203" spans="13:16">
      <c r="M30203" s="49">
        <f>IF($A$4+301&gt;$B$4,"",$A$4+301)</f>
        <v>46324</v>
      </c>
      <c r="N30203">
        <f>IF(M30203="","",'Master Barang'!A97)</f>
        <v>0</v>
      </c>
      <c r="O30203">
        <f>IF(N30203="","",'Master Barang'!B97)</f>
        <v>0</v>
      </c>
      <c r="P30203">
        <f>IF(OR(M30203="",N30203=""),"",SUMIFS('Barang Keluar'!$E:$E,'Barang Keluar'!$A:$A,M30203,'Barang Keluar'!$C:$C,N30203))</f>
        <v>0</v>
      </c>
    </row>
    <row r="30204" spans="13:16">
      <c r="M30204" s="49">
        <f>IF($A$4+301&gt;$B$4,"",$A$4+301)</f>
        <v>46324</v>
      </c>
      <c r="N30204">
        <f>IF(M30204="","",'Master Barang'!A98)</f>
        <v>0</v>
      </c>
      <c r="O30204">
        <f>IF(N30204="","",'Master Barang'!B98)</f>
        <v>0</v>
      </c>
      <c r="P30204">
        <f>IF(OR(M30204="",N30204=""),"",SUMIFS('Barang Keluar'!$E:$E,'Barang Keluar'!$A:$A,M30204,'Barang Keluar'!$C:$C,N30204))</f>
        <v>0</v>
      </c>
    </row>
    <row r="30205" spans="13:16">
      <c r="M30205" s="49">
        <f>IF($A$4+301&gt;$B$4,"",$A$4+301)</f>
        <v>46324</v>
      </c>
      <c r="N30205">
        <f>IF(M30205="","",'Master Barang'!A99)</f>
        <v>0</v>
      </c>
      <c r="O30205">
        <f>IF(N30205="","",'Master Barang'!B99)</f>
        <v>0</v>
      </c>
      <c r="P30205">
        <f>IF(OR(M30205="",N30205=""),"",SUMIFS('Barang Keluar'!$E:$E,'Barang Keluar'!$A:$A,M30205,'Barang Keluar'!$C:$C,N30205))</f>
        <v>0</v>
      </c>
    </row>
    <row r="30206" spans="13:16">
      <c r="M30206" s="49">
        <f>IF($A$4+301&gt;$B$4,"",$A$4+301)</f>
        <v>46324</v>
      </c>
      <c r="N30206">
        <f>IF(M30206="","",'Master Barang'!A100)</f>
        <v>0</v>
      </c>
      <c r="O30206">
        <f>IF(N30206="","",'Master Barang'!B100)</f>
        <v>0</v>
      </c>
      <c r="P30206">
        <f>IF(OR(M30206="",N30206=""),"",SUMIFS('Barang Keluar'!$E:$E,'Barang Keluar'!$A:$A,M30206,'Barang Keluar'!$C:$C,N30206))</f>
        <v>0</v>
      </c>
    </row>
    <row r="30207" spans="13:16">
      <c r="M30207" s="49">
        <f>IF($A$4+301&gt;$B$4,"",$A$4+301)</f>
        <v>46324</v>
      </c>
      <c r="N30207">
        <f>IF(M30207="","",'Master Barang'!A101)</f>
        <v>0</v>
      </c>
      <c r="O30207">
        <f>IF(N30207="","",'Master Barang'!B101)</f>
        <v>0</v>
      </c>
      <c r="P30207">
        <f>IF(OR(M30207="",N30207=""),"",SUMIFS('Barang Keluar'!$E:$E,'Barang Keluar'!$A:$A,M30207,'Barang Keluar'!$C:$C,N30207))</f>
        <v>0</v>
      </c>
    </row>
    <row r="30208" spans="13:16">
      <c r="M30208" s="49">
        <f>IF($A$4+302&gt;$B$4,"",$A$4+302)</f>
        <v>46325</v>
      </c>
      <c r="N30208" t="str">
        <f>IF(M30208="","",'Master Barang'!A2)</f>
        <v>PRL-001</v>
      </c>
      <c r="O30208" t="str">
        <f>IF(N30208="","",'Master Barang'!B2)</f>
        <v>natura desinfectant food grade 5l</v>
      </c>
      <c r="P30208">
        <f>IF(OR(M30208="",N30208=""),"",SUMIFS('Barang Keluar'!$E:$E,'Barang Keluar'!$A:$A,M30208,'Barang Keluar'!$C:$C,N30208))</f>
        <v>0</v>
      </c>
    </row>
    <row r="30209" spans="13:16">
      <c r="M30209" s="49">
        <f>IF($A$4+302&gt;$B$4,"",$A$4+302)</f>
        <v>46325</v>
      </c>
      <c r="N30209" t="str">
        <f>IF(M30209="","",'Master Barang'!A3)</f>
        <v>PRL-002</v>
      </c>
      <c r="O30209" t="str">
        <f>IF(N30209="","",'Master Barang'!B3)</f>
        <v>sunlight cairan pencuci piring 5l</v>
      </c>
      <c r="P30209">
        <f>IF(OR(M30209="",N30209=""),"",SUMIFS('Barang Keluar'!$E:$E,'Barang Keluar'!$A:$A,M30209,'Barang Keluar'!$C:$C,N30209))</f>
        <v>0</v>
      </c>
    </row>
    <row r="30210" spans="13:16">
      <c r="M30210" s="49">
        <f>IF($A$4+302&gt;$B$4,"",$A$4+302)</f>
        <v>46325</v>
      </c>
      <c r="N30210" t="str">
        <f>IF(M30210="","",'Master Barang'!A4)</f>
        <v>PRL-003</v>
      </c>
      <c r="O30210" t="str">
        <f>IF(N30210="","",'Master Barang'!B4)</f>
        <v>oixs cleaner 1l</v>
      </c>
      <c r="P30210">
        <f>IF(OR(M30210="",N30210=""),"",SUMIFS('Barang Keluar'!$E:$E,'Barang Keluar'!$A:$A,M30210,'Barang Keluar'!$C:$C,N30210))</f>
        <v>0</v>
      </c>
    </row>
    <row r="30211" spans="13:16">
      <c r="M30211" s="49">
        <f>IF($A$4+302&gt;$B$4,"",$A$4+302)</f>
        <v>46325</v>
      </c>
      <c r="N30211" t="str">
        <f>IF(M30211="","",'Master Barang'!A5)</f>
        <v>PRL-004</v>
      </c>
      <c r="O30211" t="str">
        <f>IF(N30211="","",'Master Barang'!B5)</f>
        <v>be clean tissue serbaguna</v>
      </c>
      <c r="P30211">
        <f>IF(OR(M30211="",N30211=""),"",SUMIFS('Barang Keluar'!$E:$E,'Barang Keluar'!$A:$A,M30211,'Barang Keluar'!$C:$C,N30211))</f>
        <v>0</v>
      </c>
    </row>
    <row r="30212" spans="13:16">
      <c r="M30212" s="49">
        <f>IF($A$4+302&gt;$B$4,"",$A$4+302)</f>
        <v>46325</v>
      </c>
      <c r="N30212" t="str">
        <f>IF(M30212="","",'Master Barang'!A6)</f>
        <v>PRL-005</v>
      </c>
      <c r="O30212" t="str">
        <f>IF(N30212="","",'Master Barang'!B6)</f>
        <v>spons cuci hijau</v>
      </c>
      <c r="P30212">
        <f>IF(OR(M30212="",N30212=""),"",SUMIFS('Barang Keluar'!$E:$E,'Barang Keluar'!$A:$A,M30212,'Barang Keluar'!$C:$C,N30212))</f>
        <v>0</v>
      </c>
    </row>
    <row r="30213" spans="13:16">
      <c r="M30213" s="49">
        <f>IF($A$4+302&gt;$B$4,"",$A$4+302)</f>
        <v>46325</v>
      </c>
      <c r="N30213" t="str">
        <f>IF(M30213="","",'Master Barang'!A7)</f>
        <v>PRL-006</v>
      </c>
      <c r="O30213" t="str">
        <f>IF(N30213="","",'Master Barang'!B7)</f>
        <v>sabut cuci stainless</v>
      </c>
      <c r="P30213">
        <f>IF(OR(M30213="",N30213=""),"",SUMIFS('Barang Keluar'!$E:$E,'Barang Keluar'!$A:$A,M30213,'Barang Keluar'!$C:$C,N30213))</f>
        <v>0</v>
      </c>
    </row>
    <row r="30214" spans="13:16">
      <c r="M30214" s="49">
        <f>IF($A$4+302&gt;$B$4,"",$A$4+302)</f>
        <v>46325</v>
      </c>
      <c r="N30214" t="str">
        <f>IF(M30214="","",'Master Barang'!A8)</f>
        <v>PRL-007</v>
      </c>
      <c r="O30214" t="str">
        <f>IF(N30214="","",'Master Barang'!B8)</f>
        <v>plastik kresek besar merah 50pc</v>
      </c>
      <c r="P30214">
        <f>IF(OR(M30214="",N30214=""),"",SUMIFS('Barang Keluar'!$E:$E,'Barang Keluar'!$A:$A,M30214,'Barang Keluar'!$C:$C,N30214))</f>
        <v>0</v>
      </c>
    </row>
    <row r="30215" spans="13:16">
      <c r="M30215" s="49">
        <f>IF($A$4+302&gt;$B$4,"",$A$4+302)</f>
        <v>46325</v>
      </c>
      <c r="N30215" t="str">
        <f>IF(M30215="","",'Master Barang'!A9)</f>
        <v>PRL-008</v>
      </c>
      <c r="O30215" t="str">
        <f>IF(N30215="","",'Master Barang'!B9)</f>
        <v>lap besar</v>
      </c>
      <c r="P30215">
        <f>IF(OR(M30215="",N30215=""),"",SUMIFS('Barang Keluar'!$E:$E,'Barang Keluar'!$A:$A,M30215,'Barang Keluar'!$C:$C,N30215))</f>
        <v>0</v>
      </c>
    </row>
    <row r="30216" spans="13:16">
      <c r="M30216" s="49">
        <f>IF($A$4+302&gt;$B$4,"",$A$4+302)</f>
        <v>46325</v>
      </c>
      <c r="N30216" t="str">
        <f>IF(M30216="","",'Master Barang'!A10)</f>
        <v>PRL-009</v>
      </c>
      <c r="O30216" t="str">
        <f>IF(N30216="","",'Master Barang'!B10)</f>
        <v>lap microfiber</v>
      </c>
      <c r="P30216">
        <f>IF(OR(M30216="",N30216=""),"",SUMIFS('Barang Keluar'!$E:$E,'Barang Keluar'!$A:$A,M30216,'Barang Keluar'!$C:$C,N30216))</f>
        <v>0</v>
      </c>
    </row>
    <row r="30217" spans="13:16">
      <c r="M30217" s="49">
        <f>IF($A$4+302&gt;$B$4,"",$A$4+302)</f>
        <v>46325</v>
      </c>
      <c r="N30217" t="str">
        <f>IF(M30217="","",'Master Barang'!A11)</f>
        <v>PRL-010</v>
      </c>
      <c r="O30217" t="str">
        <f>IF(N30217="","",'Master Barang'!B11)</f>
        <v>lap kecil</v>
      </c>
      <c r="P30217">
        <f>IF(OR(M30217="",N30217=""),"",SUMIFS('Barang Keluar'!$E:$E,'Barang Keluar'!$A:$A,M30217,'Barang Keluar'!$C:$C,N30217))</f>
        <v>0</v>
      </c>
    </row>
    <row r="30218" spans="13:16">
      <c r="M30218" s="49">
        <f>IF($A$4+302&gt;$B$4,"",$A$4+302)</f>
        <v>46325</v>
      </c>
      <c r="N30218" t="str">
        <f>IF(M30218="","",'Master Barang'!A12)</f>
        <v>PRL-011</v>
      </c>
      <c r="O30218" t="str">
        <f>IF(N30218="","",'Master Barang'!B12)</f>
        <v>kanebo kecil</v>
      </c>
      <c r="P30218">
        <f>IF(OR(M30218="",N30218=""),"",SUMIFS('Barang Keluar'!$E:$E,'Barang Keluar'!$A:$A,M30218,'Barang Keluar'!$C:$C,N30218))</f>
        <v>0</v>
      </c>
    </row>
    <row r="30219" spans="13:16">
      <c r="M30219" s="49">
        <f>IF($A$4+302&gt;$B$4,"",$A$4+302)</f>
        <v>46325</v>
      </c>
      <c r="N30219" t="str">
        <f>IF(M30219="","",'Master Barang'!A13)</f>
        <v>PRL-012</v>
      </c>
      <c r="O30219" t="str">
        <f>IF(N30219="","",'Master Barang'!B13)</f>
        <v>plastik 1/4kg joyoboyo 100 lembar</v>
      </c>
      <c r="P30219">
        <f>IF(OR(M30219="",N30219=""),"",SUMIFS('Barang Keluar'!$E:$E,'Barang Keluar'!$A:$A,M30219,'Barang Keluar'!$C:$C,N30219))</f>
        <v>0</v>
      </c>
    </row>
    <row r="30220" spans="13:16">
      <c r="M30220" s="49">
        <f>IF($A$4+302&gt;$B$4,"",$A$4+302)</f>
        <v>46325</v>
      </c>
      <c r="N30220" t="str">
        <f>IF(M30220="","",'Master Barang'!A14)</f>
        <v>PRL-013</v>
      </c>
      <c r="O30220" t="str">
        <f>IF(N30220="","",'Master Barang'!B14)</f>
        <v>sarung tangan plastik kaka 100 pcs</v>
      </c>
      <c r="P30220">
        <f>IF(OR(M30220="",N30220=""),"",SUMIFS('Barang Keluar'!$E:$E,'Barang Keluar'!$A:$A,M30220,'Barang Keluar'!$C:$C,N30220))</f>
        <v>0</v>
      </c>
    </row>
    <row r="30221" spans="13:16">
      <c r="M30221" s="49">
        <f>IF($A$4+302&gt;$B$4,"",$A$4+302)</f>
        <v>46325</v>
      </c>
      <c r="N30221" t="str">
        <f>IF(M30221="","",'Master Barang'!A15)</f>
        <v>PRL-014</v>
      </c>
      <c r="O30221" t="str">
        <f>IF(N30221="","",'Master Barang'!B15)</f>
        <v>optima trashbag 80x100</v>
      </c>
      <c r="P30221">
        <f>IF(OR(M30221="",N30221=""),"",SUMIFS('Barang Keluar'!$E:$E,'Barang Keluar'!$A:$A,M30221,'Barang Keluar'!$C:$C,N30221))</f>
        <v>0</v>
      </c>
    </row>
    <row r="30222" spans="13:16">
      <c r="M30222" s="49">
        <f>IF($A$4+302&gt;$B$4,"",$A$4+302)</f>
        <v>46325</v>
      </c>
      <c r="N30222" t="str">
        <f>IF(M30222="","",'Master Barang'!A16)</f>
        <v>PRL-015</v>
      </c>
      <c r="O30222" t="str">
        <f>IF(N30222="","",'Master Barang'!B16)</f>
        <v>optima trashbag 60x100</v>
      </c>
      <c r="P30222">
        <f>IF(OR(M30222="",N30222=""),"",SUMIFS('Barang Keluar'!$E:$E,'Barang Keluar'!$A:$A,M30222,'Barang Keluar'!$C:$C,N30222))</f>
        <v>0</v>
      </c>
    </row>
    <row r="30223" spans="13:16">
      <c r="M30223" s="49">
        <f>IF($A$4+302&gt;$B$4,"",$A$4+302)</f>
        <v>46325</v>
      </c>
      <c r="N30223" t="str">
        <f>IF(M30223="","",'Master Barang'!A17)</f>
        <v>PRL-016</v>
      </c>
      <c r="O30223" t="str">
        <f>IF(N30223="","",'Master Barang'!B17)</f>
        <v>rajawali trashbag 30x40</v>
      </c>
      <c r="P30223">
        <f>IF(OR(M30223="",N30223=""),"",SUMIFS('Barang Keluar'!$E:$E,'Barang Keluar'!$A:$A,M30223,'Barang Keluar'!$C:$C,N30223))</f>
        <v>0</v>
      </c>
    </row>
    <row r="30224" spans="13:16">
      <c r="M30224" s="49">
        <f>IF($A$4+302&gt;$B$4,"",$A$4+302)</f>
        <v>46325</v>
      </c>
      <c r="N30224" t="str">
        <f>IF(M30224="","",'Master Barang'!A18)</f>
        <v>PRL-017</v>
      </c>
      <c r="O30224" t="str">
        <f>IF(N30224="","",'Master Barang'!B18)</f>
        <v>onemed masker biru 3 play 50 pcs</v>
      </c>
      <c r="P30224">
        <f>IF(OR(M30224="",N30224=""),"",SUMIFS('Barang Keluar'!$E:$E,'Barang Keluar'!$A:$A,M30224,'Barang Keluar'!$C:$C,N30224))</f>
        <v>0</v>
      </c>
    </row>
    <row r="30225" spans="13:16">
      <c r="M30225" s="49">
        <f>IF($A$4+302&gt;$B$4,"",$A$4+302)</f>
        <v>46325</v>
      </c>
      <c r="N30225" t="str">
        <f>IF(M30225="","",'Master Barang'!A19)</f>
        <v>PRL-018</v>
      </c>
      <c r="O30225" t="str">
        <f>IF(N30225="","",'Master Barang'!B19)</f>
        <v>onemed masker biru 3 play hijab 50 pcs</v>
      </c>
      <c r="P30225">
        <f>IF(OR(M30225="",N30225=""),"",SUMIFS('Barang Keluar'!$E:$E,'Barang Keluar'!$A:$A,M30225,'Barang Keluar'!$C:$C,N30225))</f>
        <v>0</v>
      </c>
    </row>
    <row r="30226" spans="13:16">
      <c r="M30226" s="49">
        <f>IF($A$4+302&gt;$B$4,"",$A$4+302)</f>
        <v>46325</v>
      </c>
      <c r="N30226" t="str">
        <f>IF(M30226="","",'Master Barang'!A20)</f>
        <v>PRL-019</v>
      </c>
      <c r="O30226" t="str">
        <f>IF(N30226="","",'Master Barang'!B20)</f>
        <v>neo health masker biru 3 play 50 pcs</v>
      </c>
      <c r="P30226">
        <f>IF(OR(M30226="",N30226=""),"",SUMIFS('Barang Keluar'!$E:$E,'Barang Keluar'!$A:$A,M30226,'Barang Keluar'!$C:$C,N30226))</f>
        <v>0</v>
      </c>
    </row>
    <row r="30227" spans="13:16">
      <c r="M30227" s="49">
        <f>IF($A$4+302&gt;$B$4,"",$A$4+302)</f>
        <v>46325</v>
      </c>
      <c r="N30227" t="str">
        <f>IF(M30227="","",'Master Barang'!A21)</f>
        <v>PRL-020</v>
      </c>
      <c r="O30227" t="str">
        <f>IF(N30227="","",'Master Barang'!B21)</f>
        <v>baymed masker hijau 3 play hijau 50 pcs</v>
      </c>
      <c r="P30227">
        <f>IF(OR(M30227="",N30227=""),"",SUMIFS('Barang Keluar'!$E:$E,'Barang Keluar'!$A:$A,M30227,'Barang Keluar'!$C:$C,N30227))</f>
        <v>0</v>
      </c>
    </row>
    <row r="30228" spans="13:16">
      <c r="M30228" s="49">
        <f>IF($A$4+302&gt;$B$4,"",$A$4+302)</f>
        <v>46325</v>
      </c>
      <c r="N30228" t="str">
        <f>IF(M30228="","",'Master Barang'!A22)</f>
        <v>PRL-021</v>
      </c>
      <c r="O30228" t="str">
        <f>IF(N30228="","",'Master Barang'!B22)</f>
        <v>altamed nurse cap penutup kepala 100 pcs</v>
      </c>
      <c r="P30228">
        <f>IF(OR(M30228="",N30228=""),"",SUMIFS('Barang Keluar'!$E:$E,'Barang Keluar'!$A:$A,M30228,'Barang Keluar'!$C:$C,N30228))</f>
        <v>0</v>
      </c>
    </row>
    <row r="30229" spans="13:16">
      <c r="M30229" s="49">
        <f>IF($A$4+302&gt;$B$4,"",$A$4+302)</f>
        <v>46325</v>
      </c>
      <c r="N30229" t="str">
        <f>IF(M30229="","",'Master Barang'!A23)</f>
        <v>PRL-022</v>
      </c>
      <c r="O30229" t="str">
        <f>IF(N30229="","",'Master Barang'!B23)</f>
        <v>sabun cuci tangan</v>
      </c>
      <c r="P30229">
        <f>IF(OR(M30229="",N30229=""),"",SUMIFS('Barang Keluar'!$E:$E,'Barang Keluar'!$A:$A,M30229,'Barang Keluar'!$C:$C,N30229))</f>
        <v>0</v>
      </c>
    </row>
    <row r="30230" spans="13:16">
      <c r="M30230" s="49">
        <f>IF($A$4+302&gt;$B$4,"",$A$4+302)</f>
        <v>46325</v>
      </c>
      <c r="N30230" t="str">
        <f>IF(M30230="","",'Master Barang'!A24)</f>
        <v>PRL-023</v>
      </c>
      <c r="O30230" t="str">
        <f>IF(N30230="","",'Master Barang'!B24)</f>
        <v>gayung kecil</v>
      </c>
      <c r="P30230">
        <f>IF(OR(M30230="",N30230=""),"",SUMIFS('Barang Keluar'!$E:$E,'Barang Keluar'!$A:$A,M30230,'Barang Keluar'!$C:$C,N30230))</f>
        <v>0</v>
      </c>
    </row>
    <row r="30231" spans="13:16">
      <c r="M30231" s="49">
        <f>IF($A$4+302&gt;$B$4,"",$A$4+302)</f>
        <v>46325</v>
      </c>
      <c r="N30231" t="str">
        <f>IF(M30231="","",'Master Barang'!A25)</f>
        <v>PRL-024</v>
      </c>
      <c r="O30231" t="str">
        <f>IF(N30231="","",'Master Barang'!B25)</f>
        <v>cikrak kecil</v>
      </c>
      <c r="P30231">
        <f>IF(OR(M30231="",N30231=""),"",SUMIFS('Barang Keluar'!$E:$E,'Barang Keluar'!$A:$A,M30231,'Barang Keluar'!$C:$C,N30231))</f>
        <v>0</v>
      </c>
    </row>
    <row r="30232" spans="13:16">
      <c r="M30232" s="49">
        <f>IF($A$4+302&gt;$B$4,"",$A$4+302)</f>
        <v>46325</v>
      </c>
      <c r="N30232" t="str">
        <f>IF(M30232="","",'Master Barang'!A26)</f>
        <v>PRL-025</v>
      </c>
      <c r="O30232" t="str">
        <f>IF(N30232="","",'Master Barang'!B26)</f>
        <v>petromax plastik kecil 12x24 100 lembar</v>
      </c>
      <c r="P30232">
        <f>IF(OR(M30232="",N30232=""),"",SUMIFS('Barang Keluar'!$E:$E,'Barang Keluar'!$A:$A,M30232,'Barang Keluar'!$C:$C,N30232))</f>
        <v>0</v>
      </c>
    </row>
    <row r="30233" spans="13:16">
      <c r="M30233" s="49">
        <f>IF($A$4+302&gt;$B$4,"",$A$4+302)</f>
        <v>46325</v>
      </c>
      <c r="N30233" t="str">
        <f>IF(M30233="","",'Master Barang'!A27)</f>
        <v>PRL-026</v>
      </c>
      <c r="O30233" t="str">
        <f>IF(N30233="","",'Master Barang'!B27)</f>
        <v>lancar kresek kecil bening </v>
      </c>
      <c r="P30233">
        <f>IF(OR(M30233="",N30233=""),"",SUMIFS('Barang Keluar'!$E:$E,'Barang Keluar'!$A:$A,M30233,'Barang Keluar'!$C:$C,N30233))</f>
        <v>0</v>
      </c>
    </row>
    <row r="30234" spans="13:16">
      <c r="M30234" s="49">
        <f>IF($A$4+302&gt;$B$4,"",$A$4+302)</f>
        <v>46325</v>
      </c>
      <c r="N30234" t="str">
        <f>IF(M30234="","",'Master Barang'!A28)</f>
        <v>PRL-027</v>
      </c>
      <c r="O30234" t="str">
        <f>IF(N30234="","",'Master Barang'!B28)</f>
        <v>kresek klin warna warni kecil</v>
      </c>
      <c r="P30234">
        <f>IF(OR(M30234="",N30234=""),"",SUMIFS('Barang Keluar'!$E:$E,'Barang Keluar'!$A:$A,M30234,'Barang Keluar'!$C:$C,N30234))</f>
        <v>0</v>
      </c>
    </row>
    <row r="30235" spans="13:16">
      <c r="M30235" s="49">
        <f>IF($A$4+302&gt;$B$4,"",$A$4+302)</f>
        <v>46325</v>
      </c>
      <c r="N30235" t="str">
        <f>IF(M30235="","",'Master Barang'!A29)</f>
        <v>PRL-028</v>
      </c>
      <c r="O30235" t="str">
        <f>IF(N30235="","",'Master Barang'!B29)</f>
        <v>ctik plastik 7x10 100 pcs</v>
      </c>
      <c r="P30235">
        <f>IF(OR(M30235="",N30235=""),"",SUMIFS('Barang Keluar'!$E:$E,'Barang Keluar'!$A:$A,M30235,'Barang Keluar'!$C:$C,N30235))</f>
        <v>0</v>
      </c>
    </row>
    <row r="30236" spans="13:16">
      <c r="M30236" s="49">
        <f>IF($A$4+302&gt;$B$4,"",$A$4+302)</f>
        <v>46325</v>
      </c>
      <c r="N30236" t="str">
        <f>IF(M30236="","",'Master Barang'!A30)</f>
        <v>PRL-029</v>
      </c>
      <c r="O30236" t="str">
        <f>IF(N30236="","",'Master Barang'!B30)</f>
        <v>ctik plastik 6x10 100 pcs</v>
      </c>
      <c r="P30236">
        <f>IF(OR(M30236="",N30236=""),"",SUMIFS('Barang Keluar'!$E:$E,'Barang Keluar'!$A:$A,M30236,'Barang Keluar'!$C:$C,N30236))</f>
        <v>0</v>
      </c>
    </row>
    <row r="30237" spans="13:16">
      <c r="M30237" s="49">
        <f>IF($A$4+302&gt;$B$4,"",$A$4+302)</f>
        <v>46325</v>
      </c>
      <c r="N30237" t="str">
        <f>IF(M30237="","",'Master Barang'!A31)</f>
        <v>PRL-030</v>
      </c>
      <c r="O30237" t="str">
        <f>IF(N30237="","",'Master Barang'!B31)</f>
        <v>klip plastik 25x16 100 pcs</v>
      </c>
      <c r="P30237">
        <f>IF(OR(M30237="",N30237=""),"",SUMIFS('Barang Keluar'!$E:$E,'Barang Keluar'!$A:$A,M30237,'Barang Keluar'!$C:$C,N30237))</f>
        <v>0</v>
      </c>
    </row>
    <row r="30238" spans="13:16">
      <c r="M30238" s="49">
        <f>IF($A$4+302&gt;$B$4,"",$A$4+302)</f>
        <v>46325</v>
      </c>
      <c r="N30238" t="str">
        <f>IF(M30238="","",'Master Barang'!A32)</f>
        <v>PRL-031</v>
      </c>
      <c r="O30238" t="str">
        <f>IF(N30238="","",'Master Barang'!B32)</f>
        <v>tempat saus 20 ml</v>
      </c>
      <c r="P30238">
        <f>IF(OR(M30238="",N30238=""),"",SUMIFS('Barang Keluar'!$E:$E,'Barang Keluar'!$A:$A,M30238,'Barang Keluar'!$C:$C,N30238))</f>
        <v>0</v>
      </c>
    </row>
    <row r="30239" spans="13:16">
      <c r="M30239" s="49">
        <f>IF($A$4+302&gt;$B$4,"",$A$4+302)</f>
        <v>46325</v>
      </c>
      <c r="N30239" t="str">
        <f>IF(M30239="","",'Master Barang'!A33)</f>
        <v>PRL-032</v>
      </c>
      <c r="O30239" t="str">
        <f>IF(N30239="","",'Master Barang'!B33)</f>
        <v>plastik packaging ag box uk sedang</v>
      </c>
      <c r="P30239">
        <f>IF(OR(M30239="",N30239=""),"",SUMIFS('Barang Keluar'!$E:$E,'Barang Keluar'!$A:$A,M30239,'Barang Keluar'!$C:$C,N30239))</f>
        <v>0</v>
      </c>
    </row>
    <row r="30240" spans="13:16">
      <c r="M30240" s="49">
        <f>IF($A$4+302&gt;$B$4,"",$A$4+302)</f>
        <v>46325</v>
      </c>
      <c r="N30240" t="str">
        <f>IF(M30240="","",'Master Barang'!A34)</f>
        <v>PRL-033</v>
      </c>
      <c r="O30240">
        <f>IF(N30240="","",'Master Barang'!B34)</f>
        <v>0</v>
      </c>
      <c r="P30240">
        <f>IF(OR(M30240="",N30240=""),"",SUMIFS('Barang Keluar'!$E:$E,'Barang Keluar'!$A:$A,M30240,'Barang Keluar'!$C:$C,N30240))</f>
        <v>0</v>
      </c>
    </row>
    <row r="30241" spans="13:16">
      <c r="M30241" s="49">
        <f>IF($A$4+302&gt;$B$4,"",$A$4+302)</f>
        <v>46325</v>
      </c>
      <c r="N30241">
        <f>IF(M30241="","",'Master Barang'!A35)</f>
        <v>0</v>
      </c>
      <c r="O30241">
        <f>IF(N30241="","",'Master Barang'!B35)</f>
        <v>0</v>
      </c>
      <c r="P30241">
        <f>IF(OR(M30241="",N30241=""),"",SUMIFS('Barang Keluar'!$E:$E,'Barang Keluar'!$A:$A,M30241,'Barang Keluar'!$C:$C,N30241))</f>
        <v>0</v>
      </c>
    </row>
    <row r="30242" spans="13:16">
      <c r="M30242" s="49">
        <f>IF($A$4+302&gt;$B$4,"",$A$4+302)</f>
        <v>46325</v>
      </c>
      <c r="N30242">
        <f>IF(M30242="","",'Master Barang'!A36)</f>
        <v>0</v>
      </c>
      <c r="O30242">
        <f>IF(N30242="","",'Master Barang'!B36)</f>
        <v>0</v>
      </c>
      <c r="P30242">
        <f>IF(OR(M30242="",N30242=""),"",SUMIFS('Barang Keluar'!$E:$E,'Barang Keluar'!$A:$A,M30242,'Barang Keluar'!$C:$C,N30242))</f>
        <v>0</v>
      </c>
    </row>
    <row r="30243" spans="13:16">
      <c r="M30243" s="49">
        <f>IF($A$4+302&gt;$B$4,"",$A$4+302)</f>
        <v>46325</v>
      </c>
      <c r="N30243">
        <f>IF(M30243="","",'Master Barang'!A37)</f>
        <v>0</v>
      </c>
      <c r="O30243">
        <f>IF(N30243="","",'Master Barang'!B37)</f>
        <v>0</v>
      </c>
      <c r="P30243">
        <f>IF(OR(M30243="",N30243=""),"",SUMIFS('Barang Keluar'!$E:$E,'Barang Keluar'!$A:$A,M30243,'Barang Keluar'!$C:$C,N30243))</f>
        <v>0</v>
      </c>
    </row>
    <row r="30244" spans="13:16">
      <c r="M30244" s="49">
        <f>IF($A$4+302&gt;$B$4,"",$A$4+302)</f>
        <v>46325</v>
      </c>
      <c r="N30244">
        <f>IF(M30244="","",'Master Barang'!A38)</f>
        <v>0</v>
      </c>
      <c r="O30244">
        <f>IF(N30244="","",'Master Barang'!B38)</f>
        <v>0</v>
      </c>
      <c r="P30244">
        <f>IF(OR(M30244="",N30244=""),"",SUMIFS('Barang Keluar'!$E:$E,'Barang Keluar'!$A:$A,M30244,'Barang Keluar'!$C:$C,N30244))</f>
        <v>0</v>
      </c>
    </row>
    <row r="30245" spans="13:16">
      <c r="M30245" s="49">
        <f>IF($A$4+302&gt;$B$4,"",$A$4+302)</f>
        <v>46325</v>
      </c>
      <c r="N30245">
        <f>IF(M30245="","",'Master Barang'!A39)</f>
        <v>0</v>
      </c>
      <c r="O30245">
        <f>IF(N30245="","",'Master Barang'!B39)</f>
        <v>0</v>
      </c>
      <c r="P30245">
        <f>IF(OR(M30245="",N30245=""),"",SUMIFS('Barang Keluar'!$E:$E,'Barang Keluar'!$A:$A,M30245,'Barang Keluar'!$C:$C,N30245))</f>
        <v>0</v>
      </c>
    </row>
    <row r="30246" spans="13:16">
      <c r="M30246" s="49">
        <f>IF($A$4+302&gt;$B$4,"",$A$4+302)</f>
        <v>46325</v>
      </c>
      <c r="N30246">
        <f>IF(M30246="","",'Master Barang'!A40)</f>
        <v>0</v>
      </c>
      <c r="O30246">
        <f>IF(N30246="","",'Master Barang'!B40)</f>
        <v>0</v>
      </c>
      <c r="P30246">
        <f>IF(OR(M30246="",N30246=""),"",SUMIFS('Barang Keluar'!$E:$E,'Barang Keluar'!$A:$A,M30246,'Barang Keluar'!$C:$C,N30246))</f>
        <v>0</v>
      </c>
    </row>
    <row r="30247" spans="13:16">
      <c r="M30247" s="49">
        <f>IF($A$4+302&gt;$B$4,"",$A$4+302)</f>
        <v>46325</v>
      </c>
      <c r="N30247">
        <f>IF(M30247="","",'Master Barang'!A41)</f>
        <v>0</v>
      </c>
      <c r="O30247">
        <f>IF(N30247="","",'Master Barang'!B41)</f>
        <v>0</v>
      </c>
      <c r="P30247">
        <f>IF(OR(M30247="",N30247=""),"",SUMIFS('Barang Keluar'!$E:$E,'Barang Keluar'!$A:$A,M30247,'Barang Keluar'!$C:$C,N30247))</f>
        <v>0</v>
      </c>
    </row>
    <row r="30248" spans="13:16">
      <c r="M30248" s="49">
        <f>IF($A$4+302&gt;$B$4,"",$A$4+302)</f>
        <v>46325</v>
      </c>
      <c r="N30248">
        <f>IF(M30248="","",'Master Barang'!A42)</f>
        <v>0</v>
      </c>
      <c r="O30248">
        <f>IF(N30248="","",'Master Barang'!B42)</f>
        <v>0</v>
      </c>
      <c r="P30248">
        <f>IF(OR(M30248="",N30248=""),"",SUMIFS('Barang Keluar'!$E:$E,'Barang Keluar'!$A:$A,M30248,'Barang Keluar'!$C:$C,N30248))</f>
        <v>0</v>
      </c>
    </row>
    <row r="30249" spans="13:16">
      <c r="M30249" s="49">
        <f>IF($A$4+302&gt;$B$4,"",$A$4+302)</f>
        <v>46325</v>
      </c>
      <c r="N30249">
        <f>IF(M30249="","",'Master Barang'!A43)</f>
        <v>0</v>
      </c>
      <c r="O30249">
        <f>IF(N30249="","",'Master Barang'!B43)</f>
        <v>0</v>
      </c>
      <c r="P30249">
        <f>IF(OR(M30249="",N30249=""),"",SUMIFS('Barang Keluar'!$E:$E,'Barang Keluar'!$A:$A,M30249,'Barang Keluar'!$C:$C,N30249))</f>
        <v>0</v>
      </c>
    </row>
    <row r="30250" spans="13:16">
      <c r="M30250" s="49">
        <f>IF($A$4+302&gt;$B$4,"",$A$4+302)</f>
        <v>46325</v>
      </c>
      <c r="N30250">
        <f>IF(M30250="","",'Master Barang'!A44)</f>
        <v>0</v>
      </c>
      <c r="O30250">
        <f>IF(N30250="","",'Master Barang'!B44)</f>
        <v>0</v>
      </c>
      <c r="P30250">
        <f>IF(OR(M30250="",N30250=""),"",SUMIFS('Barang Keluar'!$E:$E,'Barang Keluar'!$A:$A,M30250,'Barang Keluar'!$C:$C,N30250))</f>
        <v>0</v>
      </c>
    </row>
    <row r="30251" spans="13:16">
      <c r="M30251" s="49">
        <f>IF($A$4+302&gt;$B$4,"",$A$4+302)</f>
        <v>46325</v>
      </c>
      <c r="N30251">
        <f>IF(M30251="","",'Master Barang'!A45)</f>
        <v>0</v>
      </c>
      <c r="O30251">
        <f>IF(N30251="","",'Master Barang'!B45)</f>
        <v>0</v>
      </c>
      <c r="P30251">
        <f>IF(OR(M30251="",N30251=""),"",SUMIFS('Barang Keluar'!$E:$E,'Barang Keluar'!$A:$A,M30251,'Barang Keluar'!$C:$C,N30251))</f>
        <v>0</v>
      </c>
    </row>
    <row r="30252" spans="13:16">
      <c r="M30252" s="49">
        <f>IF($A$4+302&gt;$B$4,"",$A$4+302)</f>
        <v>46325</v>
      </c>
      <c r="N30252">
        <f>IF(M30252="","",'Master Barang'!A46)</f>
        <v>0</v>
      </c>
      <c r="O30252">
        <f>IF(N30252="","",'Master Barang'!B46)</f>
        <v>0</v>
      </c>
      <c r="P30252">
        <f>IF(OR(M30252="",N30252=""),"",SUMIFS('Barang Keluar'!$E:$E,'Barang Keluar'!$A:$A,M30252,'Barang Keluar'!$C:$C,N30252))</f>
        <v>0</v>
      </c>
    </row>
    <row r="30253" spans="13:16">
      <c r="M30253" s="49">
        <f>IF($A$4+302&gt;$B$4,"",$A$4+302)</f>
        <v>46325</v>
      </c>
      <c r="N30253">
        <f>IF(M30253="","",'Master Barang'!A47)</f>
        <v>0</v>
      </c>
      <c r="O30253">
        <f>IF(N30253="","",'Master Barang'!B47)</f>
        <v>0</v>
      </c>
      <c r="P30253">
        <f>IF(OR(M30253="",N30253=""),"",SUMIFS('Barang Keluar'!$E:$E,'Barang Keluar'!$A:$A,M30253,'Barang Keluar'!$C:$C,N30253))</f>
        <v>0</v>
      </c>
    </row>
    <row r="30254" spans="13:16">
      <c r="M30254" s="49">
        <f>IF($A$4+302&gt;$B$4,"",$A$4+302)</f>
        <v>46325</v>
      </c>
      <c r="N30254">
        <f>IF(M30254="","",'Master Barang'!A48)</f>
        <v>0</v>
      </c>
      <c r="O30254">
        <f>IF(N30254="","",'Master Barang'!B48)</f>
        <v>0</v>
      </c>
      <c r="P30254">
        <f>IF(OR(M30254="",N30254=""),"",SUMIFS('Barang Keluar'!$E:$E,'Barang Keluar'!$A:$A,M30254,'Barang Keluar'!$C:$C,N30254))</f>
        <v>0</v>
      </c>
    </row>
    <row r="30255" spans="13:16">
      <c r="M30255" s="49">
        <f>IF($A$4+302&gt;$B$4,"",$A$4+302)</f>
        <v>46325</v>
      </c>
      <c r="N30255">
        <f>IF(M30255="","",'Master Barang'!A49)</f>
        <v>0</v>
      </c>
      <c r="O30255">
        <f>IF(N30255="","",'Master Barang'!B49)</f>
        <v>0</v>
      </c>
      <c r="P30255">
        <f>IF(OR(M30255="",N30255=""),"",SUMIFS('Barang Keluar'!$E:$E,'Barang Keluar'!$A:$A,M30255,'Barang Keluar'!$C:$C,N30255))</f>
        <v>0</v>
      </c>
    </row>
    <row r="30256" spans="13:16">
      <c r="M30256" s="49">
        <f>IF($A$4+302&gt;$B$4,"",$A$4+302)</f>
        <v>46325</v>
      </c>
      <c r="N30256">
        <f>IF(M30256="","",'Master Barang'!A50)</f>
        <v>0</v>
      </c>
      <c r="O30256">
        <f>IF(N30256="","",'Master Barang'!B50)</f>
        <v>0</v>
      </c>
      <c r="P30256">
        <f>IF(OR(M30256="",N30256=""),"",SUMIFS('Barang Keluar'!$E:$E,'Barang Keluar'!$A:$A,M30256,'Barang Keluar'!$C:$C,N30256))</f>
        <v>0</v>
      </c>
    </row>
    <row r="30257" spans="13:16">
      <c r="M30257" s="49">
        <f>IF($A$4+302&gt;$B$4,"",$A$4+302)</f>
        <v>46325</v>
      </c>
      <c r="N30257">
        <f>IF(M30257="","",'Master Barang'!A51)</f>
        <v>0</v>
      </c>
      <c r="O30257">
        <f>IF(N30257="","",'Master Barang'!B51)</f>
        <v>0</v>
      </c>
      <c r="P30257">
        <f>IF(OR(M30257="",N30257=""),"",SUMIFS('Barang Keluar'!$E:$E,'Barang Keluar'!$A:$A,M30257,'Barang Keluar'!$C:$C,N30257))</f>
        <v>0</v>
      </c>
    </row>
    <row r="30258" spans="13:16">
      <c r="M30258" s="49">
        <f>IF($A$4+302&gt;$B$4,"",$A$4+302)</f>
        <v>46325</v>
      </c>
      <c r="N30258">
        <f>IF(M30258="","",'Master Barang'!A52)</f>
        <v>0</v>
      </c>
      <c r="O30258">
        <f>IF(N30258="","",'Master Barang'!B52)</f>
        <v>0</v>
      </c>
      <c r="P30258">
        <f>IF(OR(M30258="",N30258=""),"",SUMIFS('Barang Keluar'!$E:$E,'Barang Keluar'!$A:$A,M30258,'Barang Keluar'!$C:$C,N30258))</f>
        <v>0</v>
      </c>
    </row>
    <row r="30259" spans="13:16">
      <c r="M30259" s="49">
        <f>IF($A$4+302&gt;$B$4,"",$A$4+302)</f>
        <v>46325</v>
      </c>
      <c r="N30259">
        <f>IF(M30259="","",'Master Barang'!A53)</f>
        <v>0</v>
      </c>
      <c r="O30259">
        <f>IF(N30259="","",'Master Barang'!B53)</f>
        <v>0</v>
      </c>
      <c r="P30259">
        <f>IF(OR(M30259="",N30259=""),"",SUMIFS('Barang Keluar'!$E:$E,'Barang Keluar'!$A:$A,M30259,'Barang Keluar'!$C:$C,N30259))</f>
        <v>0</v>
      </c>
    </row>
    <row r="30260" spans="13:16">
      <c r="M30260" s="49">
        <f>IF($A$4+302&gt;$B$4,"",$A$4+302)</f>
        <v>46325</v>
      </c>
      <c r="N30260">
        <f>IF(M30260="","",'Master Barang'!A54)</f>
        <v>0</v>
      </c>
      <c r="O30260">
        <f>IF(N30260="","",'Master Barang'!B54)</f>
        <v>0</v>
      </c>
      <c r="P30260">
        <f>IF(OR(M30260="",N30260=""),"",SUMIFS('Barang Keluar'!$E:$E,'Barang Keluar'!$A:$A,M30260,'Barang Keluar'!$C:$C,N30260))</f>
        <v>0</v>
      </c>
    </row>
    <row r="30261" spans="13:16">
      <c r="M30261" s="49">
        <f>IF($A$4+302&gt;$B$4,"",$A$4+302)</f>
        <v>46325</v>
      </c>
      <c r="N30261">
        <f>IF(M30261="","",'Master Barang'!A55)</f>
        <v>0</v>
      </c>
      <c r="O30261">
        <f>IF(N30261="","",'Master Barang'!B55)</f>
        <v>0</v>
      </c>
      <c r="P30261">
        <f>IF(OR(M30261="",N30261=""),"",SUMIFS('Barang Keluar'!$E:$E,'Barang Keluar'!$A:$A,M30261,'Barang Keluar'!$C:$C,N30261))</f>
        <v>0</v>
      </c>
    </row>
    <row r="30262" spans="13:16">
      <c r="M30262" s="49">
        <f>IF($A$4+302&gt;$B$4,"",$A$4+302)</f>
        <v>46325</v>
      </c>
      <c r="N30262">
        <f>IF(M30262="","",'Master Barang'!A56)</f>
        <v>0</v>
      </c>
      <c r="O30262">
        <f>IF(N30262="","",'Master Barang'!B56)</f>
        <v>0</v>
      </c>
      <c r="P30262">
        <f>IF(OR(M30262="",N30262=""),"",SUMIFS('Barang Keluar'!$E:$E,'Barang Keluar'!$A:$A,M30262,'Barang Keluar'!$C:$C,N30262))</f>
        <v>0</v>
      </c>
    </row>
    <row r="30263" spans="13:16">
      <c r="M30263" s="49">
        <f>IF($A$4+302&gt;$B$4,"",$A$4+302)</f>
        <v>46325</v>
      </c>
      <c r="N30263">
        <f>IF(M30263="","",'Master Barang'!A57)</f>
        <v>0</v>
      </c>
      <c r="O30263">
        <f>IF(N30263="","",'Master Barang'!B57)</f>
        <v>0</v>
      </c>
      <c r="P30263">
        <f>IF(OR(M30263="",N30263=""),"",SUMIFS('Barang Keluar'!$E:$E,'Barang Keluar'!$A:$A,M30263,'Barang Keluar'!$C:$C,N30263))</f>
        <v>0</v>
      </c>
    </row>
    <row r="30264" spans="13:16">
      <c r="M30264" s="49">
        <f>IF($A$4+302&gt;$B$4,"",$A$4+302)</f>
        <v>46325</v>
      </c>
      <c r="N30264">
        <f>IF(M30264="","",'Master Barang'!A58)</f>
        <v>0</v>
      </c>
      <c r="O30264">
        <f>IF(N30264="","",'Master Barang'!B58)</f>
        <v>0</v>
      </c>
      <c r="P30264">
        <f>IF(OR(M30264="",N30264=""),"",SUMIFS('Barang Keluar'!$E:$E,'Barang Keluar'!$A:$A,M30264,'Barang Keluar'!$C:$C,N30264))</f>
        <v>0</v>
      </c>
    </row>
    <row r="30265" spans="13:16">
      <c r="M30265" s="49">
        <f>IF($A$4+302&gt;$B$4,"",$A$4+302)</f>
        <v>46325</v>
      </c>
      <c r="N30265">
        <f>IF(M30265="","",'Master Barang'!A59)</f>
        <v>0</v>
      </c>
      <c r="O30265">
        <f>IF(N30265="","",'Master Barang'!B59)</f>
        <v>0</v>
      </c>
      <c r="P30265">
        <f>IF(OR(M30265="",N30265=""),"",SUMIFS('Barang Keluar'!$E:$E,'Barang Keluar'!$A:$A,M30265,'Barang Keluar'!$C:$C,N30265))</f>
        <v>0</v>
      </c>
    </row>
    <row r="30266" spans="13:16">
      <c r="M30266" s="49">
        <f>IF($A$4+302&gt;$B$4,"",$A$4+302)</f>
        <v>46325</v>
      </c>
      <c r="N30266">
        <f>IF(M30266="","",'Master Barang'!A60)</f>
        <v>0</v>
      </c>
      <c r="O30266">
        <f>IF(N30266="","",'Master Barang'!B60)</f>
        <v>0</v>
      </c>
      <c r="P30266">
        <f>IF(OR(M30266="",N30266=""),"",SUMIFS('Barang Keluar'!$E:$E,'Barang Keluar'!$A:$A,M30266,'Barang Keluar'!$C:$C,N30266))</f>
        <v>0</v>
      </c>
    </row>
    <row r="30267" spans="13:16">
      <c r="M30267" s="49">
        <f>IF($A$4+302&gt;$B$4,"",$A$4+302)</f>
        <v>46325</v>
      </c>
      <c r="N30267">
        <f>IF(M30267="","",'Master Barang'!A61)</f>
        <v>0</v>
      </c>
      <c r="O30267">
        <f>IF(N30267="","",'Master Barang'!B61)</f>
        <v>0</v>
      </c>
      <c r="P30267">
        <f>IF(OR(M30267="",N30267=""),"",SUMIFS('Barang Keluar'!$E:$E,'Barang Keluar'!$A:$A,M30267,'Barang Keluar'!$C:$C,N30267))</f>
        <v>0</v>
      </c>
    </row>
    <row r="30268" spans="13:16">
      <c r="M30268" s="49">
        <f>IF($A$4+302&gt;$B$4,"",$A$4+302)</f>
        <v>46325</v>
      </c>
      <c r="N30268">
        <f>IF(M30268="","",'Master Barang'!A62)</f>
        <v>0</v>
      </c>
      <c r="O30268">
        <f>IF(N30268="","",'Master Barang'!B62)</f>
        <v>0</v>
      </c>
      <c r="P30268">
        <f>IF(OR(M30268="",N30268=""),"",SUMIFS('Barang Keluar'!$E:$E,'Barang Keluar'!$A:$A,M30268,'Barang Keluar'!$C:$C,N30268))</f>
        <v>0</v>
      </c>
    </row>
    <row r="30269" spans="13:16">
      <c r="M30269" s="49">
        <f>IF($A$4+302&gt;$B$4,"",$A$4+302)</f>
        <v>46325</v>
      </c>
      <c r="N30269">
        <f>IF(M30269="","",'Master Barang'!A63)</f>
        <v>0</v>
      </c>
      <c r="O30269">
        <f>IF(N30269="","",'Master Barang'!B63)</f>
        <v>0</v>
      </c>
      <c r="P30269">
        <f>IF(OR(M30269="",N30269=""),"",SUMIFS('Barang Keluar'!$E:$E,'Barang Keluar'!$A:$A,M30269,'Barang Keluar'!$C:$C,N30269))</f>
        <v>0</v>
      </c>
    </row>
    <row r="30270" spans="13:16">
      <c r="M30270" s="49">
        <f>IF($A$4+302&gt;$B$4,"",$A$4+302)</f>
        <v>46325</v>
      </c>
      <c r="N30270">
        <f>IF(M30270="","",'Master Barang'!A64)</f>
        <v>0</v>
      </c>
      <c r="O30270">
        <f>IF(N30270="","",'Master Barang'!B64)</f>
        <v>0</v>
      </c>
      <c r="P30270">
        <f>IF(OR(M30270="",N30270=""),"",SUMIFS('Barang Keluar'!$E:$E,'Barang Keluar'!$A:$A,M30270,'Barang Keluar'!$C:$C,N30270))</f>
        <v>0</v>
      </c>
    </row>
    <row r="30271" spans="13:16">
      <c r="M30271" s="49">
        <f>IF($A$4+302&gt;$B$4,"",$A$4+302)</f>
        <v>46325</v>
      </c>
      <c r="N30271">
        <f>IF(M30271="","",'Master Barang'!A65)</f>
        <v>0</v>
      </c>
      <c r="O30271">
        <f>IF(N30271="","",'Master Barang'!B65)</f>
        <v>0</v>
      </c>
      <c r="P30271">
        <f>IF(OR(M30271="",N30271=""),"",SUMIFS('Barang Keluar'!$E:$E,'Barang Keluar'!$A:$A,M30271,'Barang Keluar'!$C:$C,N30271))</f>
        <v>0</v>
      </c>
    </row>
    <row r="30272" spans="13:16">
      <c r="M30272" s="49">
        <f>IF($A$4+302&gt;$B$4,"",$A$4+302)</f>
        <v>46325</v>
      </c>
      <c r="N30272">
        <f>IF(M30272="","",'Master Barang'!A66)</f>
        <v>0</v>
      </c>
      <c r="O30272">
        <f>IF(N30272="","",'Master Barang'!B66)</f>
        <v>0</v>
      </c>
      <c r="P30272">
        <f>IF(OR(M30272="",N30272=""),"",SUMIFS('Barang Keluar'!$E:$E,'Barang Keluar'!$A:$A,M30272,'Barang Keluar'!$C:$C,N30272))</f>
        <v>0</v>
      </c>
    </row>
    <row r="30273" spans="13:16">
      <c r="M30273" s="49">
        <f>IF($A$4+302&gt;$B$4,"",$A$4+302)</f>
        <v>46325</v>
      </c>
      <c r="N30273">
        <f>IF(M30273="","",'Master Barang'!A67)</f>
        <v>0</v>
      </c>
      <c r="O30273">
        <f>IF(N30273="","",'Master Barang'!B67)</f>
        <v>0</v>
      </c>
      <c r="P30273">
        <f>IF(OR(M30273="",N30273=""),"",SUMIFS('Barang Keluar'!$E:$E,'Barang Keluar'!$A:$A,M30273,'Barang Keluar'!$C:$C,N30273))</f>
        <v>0</v>
      </c>
    </row>
    <row r="30274" spans="13:16">
      <c r="M30274" s="49">
        <f>IF($A$4+302&gt;$B$4,"",$A$4+302)</f>
        <v>46325</v>
      </c>
      <c r="N30274">
        <f>IF(M30274="","",'Master Barang'!A68)</f>
        <v>0</v>
      </c>
      <c r="O30274">
        <f>IF(N30274="","",'Master Barang'!B68)</f>
        <v>0</v>
      </c>
      <c r="P30274">
        <f>IF(OR(M30274="",N30274=""),"",SUMIFS('Barang Keluar'!$E:$E,'Barang Keluar'!$A:$A,M30274,'Barang Keluar'!$C:$C,N30274))</f>
        <v>0</v>
      </c>
    </row>
    <row r="30275" spans="13:16">
      <c r="M30275" s="49">
        <f>IF($A$4+302&gt;$B$4,"",$A$4+302)</f>
        <v>46325</v>
      </c>
      <c r="N30275">
        <f>IF(M30275="","",'Master Barang'!A69)</f>
        <v>0</v>
      </c>
      <c r="O30275">
        <f>IF(N30275="","",'Master Barang'!B69)</f>
        <v>0</v>
      </c>
      <c r="P30275">
        <f>IF(OR(M30275="",N30275=""),"",SUMIFS('Barang Keluar'!$E:$E,'Barang Keluar'!$A:$A,M30275,'Barang Keluar'!$C:$C,N30275))</f>
        <v>0</v>
      </c>
    </row>
    <row r="30276" spans="13:16">
      <c r="M30276" s="49">
        <f>IF($A$4+302&gt;$B$4,"",$A$4+302)</f>
        <v>46325</v>
      </c>
      <c r="N30276">
        <f>IF(M30276="","",'Master Barang'!A70)</f>
        <v>0</v>
      </c>
      <c r="O30276">
        <f>IF(N30276="","",'Master Barang'!B70)</f>
        <v>0</v>
      </c>
      <c r="P30276">
        <f>IF(OR(M30276="",N30276=""),"",SUMIFS('Barang Keluar'!$E:$E,'Barang Keluar'!$A:$A,M30276,'Barang Keluar'!$C:$C,N30276))</f>
        <v>0</v>
      </c>
    </row>
    <row r="30277" spans="13:16">
      <c r="M30277" s="49">
        <f>IF($A$4+302&gt;$B$4,"",$A$4+302)</f>
        <v>46325</v>
      </c>
      <c r="N30277">
        <f>IF(M30277="","",'Master Barang'!A71)</f>
        <v>0</v>
      </c>
      <c r="O30277">
        <f>IF(N30277="","",'Master Barang'!B71)</f>
        <v>0</v>
      </c>
      <c r="P30277">
        <f>IF(OR(M30277="",N30277=""),"",SUMIFS('Barang Keluar'!$E:$E,'Barang Keluar'!$A:$A,M30277,'Barang Keluar'!$C:$C,N30277))</f>
        <v>0</v>
      </c>
    </row>
    <row r="30278" spans="13:16">
      <c r="M30278" s="49">
        <f>IF($A$4+302&gt;$B$4,"",$A$4+302)</f>
        <v>46325</v>
      </c>
      <c r="N30278">
        <f>IF(M30278="","",'Master Barang'!A72)</f>
        <v>0</v>
      </c>
      <c r="O30278">
        <f>IF(N30278="","",'Master Barang'!B72)</f>
        <v>0</v>
      </c>
      <c r="P30278">
        <f>IF(OR(M30278="",N30278=""),"",SUMIFS('Barang Keluar'!$E:$E,'Barang Keluar'!$A:$A,M30278,'Barang Keluar'!$C:$C,N30278))</f>
        <v>0</v>
      </c>
    </row>
    <row r="30279" spans="13:16">
      <c r="M30279" s="49">
        <f>IF($A$4+302&gt;$B$4,"",$A$4+302)</f>
        <v>46325</v>
      </c>
      <c r="N30279">
        <f>IF(M30279="","",'Master Barang'!A73)</f>
        <v>0</v>
      </c>
      <c r="O30279">
        <f>IF(N30279="","",'Master Barang'!B73)</f>
        <v>0</v>
      </c>
      <c r="P30279">
        <f>IF(OR(M30279="",N30279=""),"",SUMIFS('Barang Keluar'!$E:$E,'Barang Keluar'!$A:$A,M30279,'Barang Keluar'!$C:$C,N30279))</f>
        <v>0</v>
      </c>
    </row>
    <row r="30280" spans="13:16">
      <c r="M30280" s="49">
        <f>IF($A$4+302&gt;$B$4,"",$A$4+302)</f>
        <v>46325</v>
      </c>
      <c r="N30280">
        <f>IF(M30280="","",'Master Barang'!A74)</f>
        <v>0</v>
      </c>
      <c r="O30280">
        <f>IF(N30280="","",'Master Barang'!B74)</f>
        <v>0</v>
      </c>
      <c r="P30280">
        <f>IF(OR(M30280="",N30280=""),"",SUMIFS('Barang Keluar'!$E:$E,'Barang Keluar'!$A:$A,M30280,'Barang Keluar'!$C:$C,N30280))</f>
        <v>0</v>
      </c>
    </row>
    <row r="30281" spans="13:16">
      <c r="M30281" s="49">
        <f>IF($A$4+302&gt;$B$4,"",$A$4+302)</f>
        <v>46325</v>
      </c>
      <c r="N30281">
        <f>IF(M30281="","",'Master Barang'!A75)</f>
        <v>0</v>
      </c>
      <c r="O30281">
        <f>IF(N30281="","",'Master Barang'!B75)</f>
        <v>0</v>
      </c>
      <c r="P30281">
        <f>IF(OR(M30281="",N30281=""),"",SUMIFS('Barang Keluar'!$E:$E,'Barang Keluar'!$A:$A,M30281,'Barang Keluar'!$C:$C,N30281))</f>
        <v>0</v>
      </c>
    </row>
    <row r="30282" spans="13:16">
      <c r="M30282" s="49">
        <f>IF($A$4+302&gt;$B$4,"",$A$4+302)</f>
        <v>46325</v>
      </c>
      <c r="N30282">
        <f>IF(M30282="","",'Master Barang'!A76)</f>
        <v>0</v>
      </c>
      <c r="O30282">
        <f>IF(N30282="","",'Master Barang'!B76)</f>
        <v>0</v>
      </c>
      <c r="P30282">
        <f>IF(OR(M30282="",N30282=""),"",SUMIFS('Barang Keluar'!$E:$E,'Barang Keluar'!$A:$A,M30282,'Barang Keluar'!$C:$C,N30282))</f>
        <v>0</v>
      </c>
    </row>
    <row r="30283" spans="13:16">
      <c r="M30283" s="49">
        <f>IF($A$4+302&gt;$B$4,"",$A$4+302)</f>
        <v>46325</v>
      </c>
      <c r="N30283">
        <f>IF(M30283="","",'Master Barang'!A77)</f>
        <v>0</v>
      </c>
      <c r="O30283">
        <f>IF(N30283="","",'Master Barang'!B77)</f>
        <v>0</v>
      </c>
      <c r="P30283">
        <f>IF(OR(M30283="",N30283=""),"",SUMIFS('Barang Keluar'!$E:$E,'Barang Keluar'!$A:$A,M30283,'Barang Keluar'!$C:$C,N30283))</f>
        <v>0</v>
      </c>
    </row>
    <row r="30284" spans="13:16">
      <c r="M30284" s="49">
        <f>IF($A$4+302&gt;$B$4,"",$A$4+302)</f>
        <v>46325</v>
      </c>
      <c r="N30284">
        <f>IF(M30284="","",'Master Barang'!A78)</f>
        <v>0</v>
      </c>
      <c r="O30284">
        <f>IF(N30284="","",'Master Barang'!B78)</f>
        <v>0</v>
      </c>
      <c r="P30284">
        <f>IF(OR(M30284="",N30284=""),"",SUMIFS('Barang Keluar'!$E:$E,'Barang Keluar'!$A:$A,M30284,'Barang Keluar'!$C:$C,N30284))</f>
        <v>0</v>
      </c>
    </row>
    <row r="30285" spans="13:16">
      <c r="M30285" s="49">
        <f>IF($A$4+302&gt;$B$4,"",$A$4+302)</f>
        <v>46325</v>
      </c>
      <c r="N30285">
        <f>IF(M30285="","",'Master Barang'!A79)</f>
        <v>0</v>
      </c>
      <c r="O30285">
        <f>IF(N30285="","",'Master Barang'!B79)</f>
        <v>0</v>
      </c>
      <c r="P30285">
        <f>IF(OR(M30285="",N30285=""),"",SUMIFS('Barang Keluar'!$E:$E,'Barang Keluar'!$A:$A,M30285,'Barang Keluar'!$C:$C,N30285))</f>
        <v>0</v>
      </c>
    </row>
    <row r="30286" spans="13:16">
      <c r="M30286" s="49">
        <f>IF($A$4+302&gt;$B$4,"",$A$4+302)</f>
        <v>46325</v>
      </c>
      <c r="N30286">
        <f>IF(M30286="","",'Master Barang'!A80)</f>
        <v>0</v>
      </c>
      <c r="O30286">
        <f>IF(N30286="","",'Master Barang'!B80)</f>
        <v>0</v>
      </c>
      <c r="P30286">
        <f>IF(OR(M30286="",N30286=""),"",SUMIFS('Barang Keluar'!$E:$E,'Barang Keluar'!$A:$A,M30286,'Barang Keluar'!$C:$C,N30286))</f>
        <v>0</v>
      </c>
    </row>
    <row r="30287" spans="13:16">
      <c r="M30287" s="49">
        <f>IF($A$4+302&gt;$B$4,"",$A$4+302)</f>
        <v>46325</v>
      </c>
      <c r="N30287">
        <f>IF(M30287="","",'Master Barang'!A81)</f>
        <v>0</v>
      </c>
      <c r="O30287">
        <f>IF(N30287="","",'Master Barang'!B81)</f>
        <v>0</v>
      </c>
      <c r="P30287">
        <f>IF(OR(M30287="",N30287=""),"",SUMIFS('Barang Keluar'!$E:$E,'Barang Keluar'!$A:$A,M30287,'Barang Keluar'!$C:$C,N30287))</f>
        <v>0</v>
      </c>
    </row>
    <row r="30288" spans="13:16">
      <c r="M30288" s="49">
        <f>IF($A$4+302&gt;$B$4,"",$A$4+302)</f>
        <v>46325</v>
      </c>
      <c r="N30288">
        <f>IF(M30288="","",'Master Barang'!A82)</f>
        <v>0</v>
      </c>
      <c r="O30288">
        <f>IF(N30288="","",'Master Barang'!B82)</f>
        <v>0</v>
      </c>
      <c r="P30288">
        <f>IF(OR(M30288="",N30288=""),"",SUMIFS('Barang Keluar'!$E:$E,'Barang Keluar'!$A:$A,M30288,'Barang Keluar'!$C:$C,N30288))</f>
        <v>0</v>
      </c>
    </row>
    <row r="30289" spans="13:16">
      <c r="M30289" s="49">
        <f>IF($A$4+302&gt;$B$4,"",$A$4+302)</f>
        <v>46325</v>
      </c>
      <c r="N30289">
        <f>IF(M30289="","",'Master Barang'!A83)</f>
        <v>0</v>
      </c>
      <c r="O30289">
        <f>IF(N30289="","",'Master Barang'!B83)</f>
        <v>0</v>
      </c>
      <c r="P30289">
        <f>IF(OR(M30289="",N30289=""),"",SUMIFS('Barang Keluar'!$E:$E,'Barang Keluar'!$A:$A,M30289,'Barang Keluar'!$C:$C,N30289))</f>
        <v>0</v>
      </c>
    </row>
    <row r="30290" spans="13:16">
      <c r="M30290" s="49">
        <f>IF($A$4+302&gt;$B$4,"",$A$4+302)</f>
        <v>46325</v>
      </c>
      <c r="N30290">
        <f>IF(M30290="","",'Master Barang'!A84)</f>
        <v>0</v>
      </c>
      <c r="O30290">
        <f>IF(N30290="","",'Master Barang'!B84)</f>
        <v>0</v>
      </c>
      <c r="P30290">
        <f>IF(OR(M30290="",N30290=""),"",SUMIFS('Barang Keluar'!$E:$E,'Barang Keluar'!$A:$A,M30290,'Barang Keluar'!$C:$C,N30290))</f>
        <v>0</v>
      </c>
    </row>
    <row r="30291" spans="13:16">
      <c r="M30291" s="49">
        <f>IF($A$4+302&gt;$B$4,"",$A$4+302)</f>
        <v>46325</v>
      </c>
      <c r="N30291">
        <f>IF(M30291="","",'Master Barang'!A85)</f>
        <v>0</v>
      </c>
      <c r="O30291">
        <f>IF(N30291="","",'Master Barang'!B85)</f>
        <v>0</v>
      </c>
      <c r="P30291">
        <f>IF(OR(M30291="",N30291=""),"",SUMIFS('Barang Keluar'!$E:$E,'Barang Keluar'!$A:$A,M30291,'Barang Keluar'!$C:$C,N30291))</f>
        <v>0</v>
      </c>
    </row>
    <row r="30292" spans="13:16">
      <c r="M30292" s="49">
        <f>IF($A$4+302&gt;$B$4,"",$A$4+302)</f>
        <v>46325</v>
      </c>
      <c r="N30292">
        <f>IF(M30292="","",'Master Barang'!A86)</f>
        <v>0</v>
      </c>
      <c r="O30292">
        <f>IF(N30292="","",'Master Barang'!B86)</f>
        <v>0</v>
      </c>
      <c r="P30292">
        <f>IF(OR(M30292="",N30292=""),"",SUMIFS('Barang Keluar'!$E:$E,'Barang Keluar'!$A:$A,M30292,'Barang Keluar'!$C:$C,N30292))</f>
        <v>0</v>
      </c>
    </row>
    <row r="30293" spans="13:16">
      <c r="M30293" s="49">
        <f>IF($A$4+302&gt;$B$4,"",$A$4+302)</f>
        <v>46325</v>
      </c>
      <c r="N30293">
        <f>IF(M30293="","",'Master Barang'!A87)</f>
        <v>0</v>
      </c>
      <c r="O30293">
        <f>IF(N30293="","",'Master Barang'!B87)</f>
        <v>0</v>
      </c>
      <c r="P30293">
        <f>IF(OR(M30293="",N30293=""),"",SUMIFS('Barang Keluar'!$E:$E,'Barang Keluar'!$A:$A,M30293,'Barang Keluar'!$C:$C,N30293))</f>
        <v>0</v>
      </c>
    </row>
    <row r="30294" spans="13:16">
      <c r="M30294" s="49">
        <f>IF($A$4+302&gt;$B$4,"",$A$4+302)</f>
        <v>46325</v>
      </c>
      <c r="N30294">
        <f>IF(M30294="","",'Master Barang'!A88)</f>
        <v>0</v>
      </c>
      <c r="O30294">
        <f>IF(N30294="","",'Master Barang'!B88)</f>
        <v>0</v>
      </c>
      <c r="P30294">
        <f>IF(OR(M30294="",N30294=""),"",SUMIFS('Barang Keluar'!$E:$E,'Barang Keluar'!$A:$A,M30294,'Barang Keluar'!$C:$C,N30294))</f>
        <v>0</v>
      </c>
    </row>
    <row r="30295" spans="13:16">
      <c r="M30295" s="49">
        <f>IF($A$4+302&gt;$B$4,"",$A$4+302)</f>
        <v>46325</v>
      </c>
      <c r="N30295">
        <f>IF(M30295="","",'Master Barang'!A89)</f>
        <v>0</v>
      </c>
      <c r="O30295">
        <f>IF(N30295="","",'Master Barang'!B89)</f>
        <v>0</v>
      </c>
      <c r="P30295">
        <f>IF(OR(M30295="",N30295=""),"",SUMIFS('Barang Keluar'!$E:$E,'Barang Keluar'!$A:$A,M30295,'Barang Keluar'!$C:$C,N30295))</f>
        <v>0</v>
      </c>
    </row>
    <row r="30296" spans="13:16">
      <c r="M30296" s="49">
        <f>IF($A$4+302&gt;$B$4,"",$A$4+302)</f>
        <v>46325</v>
      </c>
      <c r="N30296">
        <f>IF(M30296="","",'Master Barang'!A90)</f>
        <v>0</v>
      </c>
      <c r="O30296">
        <f>IF(N30296="","",'Master Barang'!B90)</f>
        <v>0</v>
      </c>
      <c r="P30296">
        <f>IF(OR(M30296="",N30296=""),"",SUMIFS('Barang Keluar'!$E:$E,'Barang Keluar'!$A:$A,M30296,'Barang Keluar'!$C:$C,N30296))</f>
        <v>0</v>
      </c>
    </row>
    <row r="30297" spans="13:16">
      <c r="M30297" s="49">
        <f>IF($A$4+302&gt;$B$4,"",$A$4+302)</f>
        <v>46325</v>
      </c>
      <c r="N30297">
        <f>IF(M30297="","",'Master Barang'!A91)</f>
        <v>0</v>
      </c>
      <c r="O30297">
        <f>IF(N30297="","",'Master Barang'!B91)</f>
        <v>0</v>
      </c>
      <c r="P30297">
        <f>IF(OR(M30297="",N30297=""),"",SUMIFS('Barang Keluar'!$E:$E,'Barang Keluar'!$A:$A,M30297,'Barang Keluar'!$C:$C,N30297))</f>
        <v>0</v>
      </c>
    </row>
    <row r="30298" spans="13:16">
      <c r="M30298" s="49">
        <f>IF($A$4+302&gt;$B$4,"",$A$4+302)</f>
        <v>46325</v>
      </c>
      <c r="N30298">
        <f>IF(M30298="","",'Master Barang'!A92)</f>
        <v>0</v>
      </c>
      <c r="O30298">
        <f>IF(N30298="","",'Master Barang'!B92)</f>
        <v>0</v>
      </c>
      <c r="P30298">
        <f>IF(OR(M30298="",N30298=""),"",SUMIFS('Barang Keluar'!$E:$E,'Barang Keluar'!$A:$A,M30298,'Barang Keluar'!$C:$C,N30298))</f>
        <v>0</v>
      </c>
    </row>
    <row r="30299" spans="13:16">
      <c r="M30299" s="49">
        <f>IF($A$4+302&gt;$B$4,"",$A$4+302)</f>
        <v>46325</v>
      </c>
      <c r="N30299">
        <f>IF(M30299="","",'Master Barang'!A93)</f>
        <v>0</v>
      </c>
      <c r="O30299">
        <f>IF(N30299="","",'Master Barang'!B93)</f>
        <v>0</v>
      </c>
      <c r="P30299">
        <f>IF(OR(M30299="",N30299=""),"",SUMIFS('Barang Keluar'!$E:$E,'Barang Keluar'!$A:$A,M30299,'Barang Keluar'!$C:$C,N30299))</f>
        <v>0</v>
      </c>
    </row>
    <row r="30300" spans="13:16">
      <c r="M30300" s="49">
        <f>IF($A$4+302&gt;$B$4,"",$A$4+302)</f>
        <v>46325</v>
      </c>
      <c r="N30300">
        <f>IF(M30300="","",'Master Barang'!A94)</f>
        <v>0</v>
      </c>
      <c r="O30300">
        <f>IF(N30300="","",'Master Barang'!B94)</f>
        <v>0</v>
      </c>
      <c r="P30300">
        <f>IF(OR(M30300="",N30300=""),"",SUMIFS('Barang Keluar'!$E:$E,'Barang Keluar'!$A:$A,M30300,'Barang Keluar'!$C:$C,N30300))</f>
        <v>0</v>
      </c>
    </row>
    <row r="30301" spans="13:16">
      <c r="M30301" s="49">
        <f>IF($A$4+302&gt;$B$4,"",$A$4+302)</f>
        <v>46325</v>
      </c>
      <c r="N30301">
        <f>IF(M30301="","",'Master Barang'!A95)</f>
        <v>0</v>
      </c>
      <c r="O30301">
        <f>IF(N30301="","",'Master Barang'!B95)</f>
        <v>0</v>
      </c>
      <c r="P30301">
        <f>IF(OR(M30301="",N30301=""),"",SUMIFS('Barang Keluar'!$E:$E,'Barang Keluar'!$A:$A,M30301,'Barang Keluar'!$C:$C,N30301))</f>
        <v>0</v>
      </c>
    </row>
    <row r="30302" spans="13:16">
      <c r="M30302" s="49">
        <f>IF($A$4+302&gt;$B$4,"",$A$4+302)</f>
        <v>46325</v>
      </c>
      <c r="N30302">
        <f>IF(M30302="","",'Master Barang'!A96)</f>
        <v>0</v>
      </c>
      <c r="O30302">
        <f>IF(N30302="","",'Master Barang'!B96)</f>
        <v>0</v>
      </c>
      <c r="P30302">
        <f>IF(OR(M30302="",N30302=""),"",SUMIFS('Barang Keluar'!$E:$E,'Barang Keluar'!$A:$A,M30302,'Barang Keluar'!$C:$C,N30302))</f>
        <v>0</v>
      </c>
    </row>
    <row r="30303" spans="13:16">
      <c r="M30303" s="49">
        <f>IF($A$4+302&gt;$B$4,"",$A$4+302)</f>
        <v>46325</v>
      </c>
      <c r="N30303">
        <f>IF(M30303="","",'Master Barang'!A97)</f>
        <v>0</v>
      </c>
      <c r="O30303">
        <f>IF(N30303="","",'Master Barang'!B97)</f>
        <v>0</v>
      </c>
      <c r="P30303">
        <f>IF(OR(M30303="",N30303=""),"",SUMIFS('Barang Keluar'!$E:$E,'Barang Keluar'!$A:$A,M30303,'Barang Keluar'!$C:$C,N30303))</f>
        <v>0</v>
      </c>
    </row>
    <row r="30304" spans="13:16">
      <c r="M30304" s="49">
        <f>IF($A$4+302&gt;$B$4,"",$A$4+302)</f>
        <v>46325</v>
      </c>
      <c r="N30304">
        <f>IF(M30304="","",'Master Barang'!A98)</f>
        <v>0</v>
      </c>
      <c r="O30304">
        <f>IF(N30304="","",'Master Barang'!B98)</f>
        <v>0</v>
      </c>
      <c r="P30304">
        <f>IF(OR(M30304="",N30304=""),"",SUMIFS('Barang Keluar'!$E:$E,'Barang Keluar'!$A:$A,M30304,'Barang Keluar'!$C:$C,N30304))</f>
        <v>0</v>
      </c>
    </row>
    <row r="30305" spans="13:16">
      <c r="M30305" s="49">
        <f>IF($A$4+302&gt;$B$4,"",$A$4+302)</f>
        <v>46325</v>
      </c>
      <c r="N30305">
        <f>IF(M30305="","",'Master Barang'!A99)</f>
        <v>0</v>
      </c>
      <c r="O30305">
        <f>IF(N30305="","",'Master Barang'!B99)</f>
        <v>0</v>
      </c>
      <c r="P30305">
        <f>IF(OR(M30305="",N30305=""),"",SUMIFS('Barang Keluar'!$E:$E,'Barang Keluar'!$A:$A,M30305,'Barang Keluar'!$C:$C,N30305))</f>
        <v>0</v>
      </c>
    </row>
    <row r="30306" spans="13:16">
      <c r="M30306" s="49">
        <f>IF($A$4+302&gt;$B$4,"",$A$4+302)</f>
        <v>46325</v>
      </c>
      <c r="N30306">
        <f>IF(M30306="","",'Master Barang'!A100)</f>
        <v>0</v>
      </c>
      <c r="O30306">
        <f>IF(N30306="","",'Master Barang'!B100)</f>
        <v>0</v>
      </c>
      <c r="P30306">
        <f>IF(OR(M30306="",N30306=""),"",SUMIFS('Barang Keluar'!$E:$E,'Barang Keluar'!$A:$A,M30306,'Barang Keluar'!$C:$C,N30306))</f>
        <v>0</v>
      </c>
    </row>
    <row r="30307" spans="13:16">
      <c r="M30307" s="49">
        <f>IF($A$4+302&gt;$B$4,"",$A$4+302)</f>
        <v>46325</v>
      </c>
      <c r="N30307">
        <f>IF(M30307="","",'Master Barang'!A101)</f>
        <v>0</v>
      </c>
      <c r="O30307">
        <f>IF(N30307="","",'Master Barang'!B101)</f>
        <v>0</v>
      </c>
      <c r="P30307">
        <f>IF(OR(M30307="",N30307=""),"",SUMIFS('Barang Keluar'!$E:$E,'Barang Keluar'!$A:$A,M30307,'Barang Keluar'!$C:$C,N30307))</f>
        <v>0</v>
      </c>
    </row>
    <row r="30308" spans="13:16">
      <c r="M30308" s="49">
        <f>IF($A$4+303&gt;$B$4,"",$A$4+303)</f>
        <v>46326</v>
      </c>
      <c r="N30308" t="str">
        <f>IF(M30308="","",'Master Barang'!A2)</f>
        <v>PRL-001</v>
      </c>
      <c r="O30308" t="str">
        <f>IF(N30308="","",'Master Barang'!B2)</f>
        <v>natura desinfectant food grade 5l</v>
      </c>
      <c r="P30308">
        <f>IF(OR(M30308="",N30308=""),"",SUMIFS('Barang Keluar'!$E:$E,'Barang Keluar'!$A:$A,M30308,'Barang Keluar'!$C:$C,N30308))</f>
        <v>0</v>
      </c>
    </row>
    <row r="30309" spans="13:16">
      <c r="M30309" s="49">
        <f>IF($A$4+303&gt;$B$4,"",$A$4+303)</f>
        <v>46326</v>
      </c>
      <c r="N30309" t="str">
        <f>IF(M30309="","",'Master Barang'!A3)</f>
        <v>PRL-002</v>
      </c>
      <c r="O30309" t="str">
        <f>IF(N30309="","",'Master Barang'!B3)</f>
        <v>sunlight cairan pencuci piring 5l</v>
      </c>
      <c r="P30309">
        <f>IF(OR(M30309="",N30309=""),"",SUMIFS('Barang Keluar'!$E:$E,'Barang Keluar'!$A:$A,M30309,'Barang Keluar'!$C:$C,N30309))</f>
        <v>0</v>
      </c>
    </row>
    <row r="30310" spans="13:16">
      <c r="M30310" s="49">
        <f>IF($A$4+303&gt;$B$4,"",$A$4+303)</f>
        <v>46326</v>
      </c>
      <c r="N30310" t="str">
        <f>IF(M30310="","",'Master Barang'!A4)</f>
        <v>PRL-003</v>
      </c>
      <c r="O30310" t="str">
        <f>IF(N30310="","",'Master Barang'!B4)</f>
        <v>oixs cleaner 1l</v>
      </c>
      <c r="P30310">
        <f>IF(OR(M30310="",N30310=""),"",SUMIFS('Barang Keluar'!$E:$E,'Barang Keluar'!$A:$A,M30310,'Barang Keluar'!$C:$C,N30310))</f>
        <v>0</v>
      </c>
    </row>
    <row r="30311" spans="13:16">
      <c r="M30311" s="49">
        <f>IF($A$4+303&gt;$B$4,"",$A$4+303)</f>
        <v>46326</v>
      </c>
      <c r="N30311" t="str">
        <f>IF(M30311="","",'Master Barang'!A5)</f>
        <v>PRL-004</v>
      </c>
      <c r="O30311" t="str">
        <f>IF(N30311="","",'Master Barang'!B5)</f>
        <v>be clean tissue serbaguna</v>
      </c>
      <c r="P30311">
        <f>IF(OR(M30311="",N30311=""),"",SUMIFS('Barang Keluar'!$E:$E,'Barang Keluar'!$A:$A,M30311,'Barang Keluar'!$C:$C,N30311))</f>
        <v>0</v>
      </c>
    </row>
    <row r="30312" spans="13:16">
      <c r="M30312" s="49">
        <f>IF($A$4+303&gt;$B$4,"",$A$4+303)</f>
        <v>46326</v>
      </c>
      <c r="N30312" t="str">
        <f>IF(M30312="","",'Master Barang'!A6)</f>
        <v>PRL-005</v>
      </c>
      <c r="O30312" t="str">
        <f>IF(N30312="","",'Master Barang'!B6)</f>
        <v>spons cuci hijau</v>
      </c>
      <c r="P30312">
        <f>IF(OR(M30312="",N30312=""),"",SUMIFS('Barang Keluar'!$E:$E,'Barang Keluar'!$A:$A,M30312,'Barang Keluar'!$C:$C,N30312))</f>
        <v>0</v>
      </c>
    </row>
    <row r="30313" spans="13:16">
      <c r="M30313" s="49">
        <f>IF($A$4+303&gt;$B$4,"",$A$4+303)</f>
        <v>46326</v>
      </c>
      <c r="N30313" t="str">
        <f>IF(M30313="","",'Master Barang'!A7)</f>
        <v>PRL-006</v>
      </c>
      <c r="O30313" t="str">
        <f>IF(N30313="","",'Master Barang'!B7)</f>
        <v>sabut cuci stainless</v>
      </c>
      <c r="P30313">
        <f>IF(OR(M30313="",N30313=""),"",SUMIFS('Barang Keluar'!$E:$E,'Barang Keluar'!$A:$A,M30313,'Barang Keluar'!$C:$C,N30313))</f>
        <v>0</v>
      </c>
    </row>
    <row r="30314" spans="13:16">
      <c r="M30314" s="49">
        <f>IF($A$4+303&gt;$B$4,"",$A$4+303)</f>
        <v>46326</v>
      </c>
      <c r="N30314" t="str">
        <f>IF(M30314="","",'Master Barang'!A8)</f>
        <v>PRL-007</v>
      </c>
      <c r="O30314" t="str">
        <f>IF(N30314="","",'Master Barang'!B8)</f>
        <v>plastik kresek besar merah 50pc</v>
      </c>
      <c r="P30314">
        <f>IF(OR(M30314="",N30314=""),"",SUMIFS('Barang Keluar'!$E:$E,'Barang Keluar'!$A:$A,M30314,'Barang Keluar'!$C:$C,N30314))</f>
        <v>0</v>
      </c>
    </row>
    <row r="30315" spans="13:16">
      <c r="M30315" s="49">
        <f>IF($A$4+303&gt;$B$4,"",$A$4+303)</f>
        <v>46326</v>
      </c>
      <c r="N30315" t="str">
        <f>IF(M30315="","",'Master Barang'!A9)</f>
        <v>PRL-008</v>
      </c>
      <c r="O30315" t="str">
        <f>IF(N30315="","",'Master Barang'!B9)</f>
        <v>lap besar</v>
      </c>
      <c r="P30315">
        <f>IF(OR(M30315="",N30315=""),"",SUMIFS('Barang Keluar'!$E:$E,'Barang Keluar'!$A:$A,M30315,'Barang Keluar'!$C:$C,N30315))</f>
        <v>0</v>
      </c>
    </row>
    <row r="30316" spans="13:16">
      <c r="M30316" s="49">
        <f>IF($A$4+303&gt;$B$4,"",$A$4+303)</f>
        <v>46326</v>
      </c>
      <c r="N30316" t="str">
        <f>IF(M30316="","",'Master Barang'!A10)</f>
        <v>PRL-009</v>
      </c>
      <c r="O30316" t="str">
        <f>IF(N30316="","",'Master Barang'!B10)</f>
        <v>lap microfiber</v>
      </c>
      <c r="P30316">
        <f>IF(OR(M30316="",N30316=""),"",SUMIFS('Barang Keluar'!$E:$E,'Barang Keluar'!$A:$A,M30316,'Barang Keluar'!$C:$C,N30316))</f>
        <v>0</v>
      </c>
    </row>
    <row r="30317" spans="13:16">
      <c r="M30317" s="49">
        <f>IF($A$4+303&gt;$B$4,"",$A$4+303)</f>
        <v>46326</v>
      </c>
      <c r="N30317" t="str">
        <f>IF(M30317="","",'Master Barang'!A11)</f>
        <v>PRL-010</v>
      </c>
      <c r="O30317" t="str">
        <f>IF(N30317="","",'Master Barang'!B11)</f>
        <v>lap kecil</v>
      </c>
      <c r="P30317">
        <f>IF(OR(M30317="",N30317=""),"",SUMIFS('Barang Keluar'!$E:$E,'Barang Keluar'!$A:$A,M30317,'Barang Keluar'!$C:$C,N30317))</f>
        <v>0</v>
      </c>
    </row>
    <row r="30318" spans="13:16">
      <c r="M30318" s="49">
        <f>IF($A$4+303&gt;$B$4,"",$A$4+303)</f>
        <v>46326</v>
      </c>
      <c r="N30318" t="str">
        <f>IF(M30318="","",'Master Barang'!A12)</f>
        <v>PRL-011</v>
      </c>
      <c r="O30318" t="str">
        <f>IF(N30318="","",'Master Barang'!B12)</f>
        <v>kanebo kecil</v>
      </c>
      <c r="P30318">
        <f>IF(OR(M30318="",N30318=""),"",SUMIFS('Barang Keluar'!$E:$E,'Barang Keluar'!$A:$A,M30318,'Barang Keluar'!$C:$C,N30318))</f>
        <v>0</v>
      </c>
    </row>
    <row r="30319" spans="13:16">
      <c r="M30319" s="49">
        <f>IF($A$4+303&gt;$B$4,"",$A$4+303)</f>
        <v>46326</v>
      </c>
      <c r="N30319" t="str">
        <f>IF(M30319="","",'Master Barang'!A13)</f>
        <v>PRL-012</v>
      </c>
      <c r="O30319" t="str">
        <f>IF(N30319="","",'Master Barang'!B13)</f>
        <v>plastik 1/4kg joyoboyo 100 lembar</v>
      </c>
      <c r="P30319">
        <f>IF(OR(M30319="",N30319=""),"",SUMIFS('Barang Keluar'!$E:$E,'Barang Keluar'!$A:$A,M30319,'Barang Keluar'!$C:$C,N30319))</f>
        <v>0</v>
      </c>
    </row>
    <row r="30320" spans="13:16">
      <c r="M30320" s="49">
        <f>IF($A$4+303&gt;$B$4,"",$A$4+303)</f>
        <v>46326</v>
      </c>
      <c r="N30320" t="str">
        <f>IF(M30320="","",'Master Barang'!A14)</f>
        <v>PRL-013</v>
      </c>
      <c r="O30320" t="str">
        <f>IF(N30320="","",'Master Barang'!B14)</f>
        <v>sarung tangan plastik kaka 100 pcs</v>
      </c>
      <c r="P30320">
        <f>IF(OR(M30320="",N30320=""),"",SUMIFS('Barang Keluar'!$E:$E,'Barang Keluar'!$A:$A,M30320,'Barang Keluar'!$C:$C,N30320))</f>
        <v>0</v>
      </c>
    </row>
    <row r="30321" spans="13:16">
      <c r="M30321" s="49">
        <f>IF($A$4+303&gt;$B$4,"",$A$4+303)</f>
        <v>46326</v>
      </c>
      <c r="N30321" t="str">
        <f>IF(M30321="","",'Master Barang'!A15)</f>
        <v>PRL-014</v>
      </c>
      <c r="O30321" t="str">
        <f>IF(N30321="","",'Master Barang'!B15)</f>
        <v>optima trashbag 80x100</v>
      </c>
      <c r="P30321">
        <f>IF(OR(M30321="",N30321=""),"",SUMIFS('Barang Keluar'!$E:$E,'Barang Keluar'!$A:$A,M30321,'Barang Keluar'!$C:$C,N30321))</f>
        <v>0</v>
      </c>
    </row>
    <row r="30322" spans="13:16">
      <c r="M30322" s="49">
        <f>IF($A$4+303&gt;$B$4,"",$A$4+303)</f>
        <v>46326</v>
      </c>
      <c r="N30322" t="str">
        <f>IF(M30322="","",'Master Barang'!A16)</f>
        <v>PRL-015</v>
      </c>
      <c r="O30322" t="str">
        <f>IF(N30322="","",'Master Barang'!B16)</f>
        <v>optima trashbag 60x100</v>
      </c>
      <c r="P30322">
        <f>IF(OR(M30322="",N30322=""),"",SUMIFS('Barang Keluar'!$E:$E,'Barang Keluar'!$A:$A,M30322,'Barang Keluar'!$C:$C,N30322))</f>
        <v>0</v>
      </c>
    </row>
    <row r="30323" spans="13:16">
      <c r="M30323" s="49">
        <f>IF($A$4+303&gt;$B$4,"",$A$4+303)</f>
        <v>46326</v>
      </c>
      <c r="N30323" t="str">
        <f>IF(M30323="","",'Master Barang'!A17)</f>
        <v>PRL-016</v>
      </c>
      <c r="O30323" t="str">
        <f>IF(N30323="","",'Master Barang'!B17)</f>
        <v>rajawali trashbag 30x40</v>
      </c>
      <c r="P30323">
        <f>IF(OR(M30323="",N30323=""),"",SUMIFS('Barang Keluar'!$E:$E,'Barang Keluar'!$A:$A,M30323,'Barang Keluar'!$C:$C,N30323))</f>
        <v>0</v>
      </c>
    </row>
    <row r="30324" spans="13:16">
      <c r="M30324" s="49">
        <f>IF($A$4+303&gt;$B$4,"",$A$4+303)</f>
        <v>46326</v>
      </c>
      <c r="N30324" t="str">
        <f>IF(M30324="","",'Master Barang'!A18)</f>
        <v>PRL-017</v>
      </c>
      <c r="O30324" t="str">
        <f>IF(N30324="","",'Master Barang'!B18)</f>
        <v>onemed masker biru 3 play 50 pcs</v>
      </c>
      <c r="P30324">
        <f>IF(OR(M30324="",N30324=""),"",SUMIFS('Barang Keluar'!$E:$E,'Barang Keluar'!$A:$A,M30324,'Barang Keluar'!$C:$C,N30324))</f>
        <v>0</v>
      </c>
    </row>
    <row r="30325" spans="13:16">
      <c r="M30325" s="49">
        <f>IF($A$4+303&gt;$B$4,"",$A$4+303)</f>
        <v>46326</v>
      </c>
      <c r="N30325" t="str">
        <f>IF(M30325="","",'Master Barang'!A19)</f>
        <v>PRL-018</v>
      </c>
      <c r="O30325" t="str">
        <f>IF(N30325="","",'Master Barang'!B19)</f>
        <v>onemed masker biru 3 play hijab 50 pcs</v>
      </c>
      <c r="P30325">
        <f>IF(OR(M30325="",N30325=""),"",SUMIFS('Barang Keluar'!$E:$E,'Barang Keluar'!$A:$A,M30325,'Barang Keluar'!$C:$C,N30325))</f>
        <v>0</v>
      </c>
    </row>
    <row r="30326" spans="13:16">
      <c r="M30326" s="49">
        <f>IF($A$4+303&gt;$B$4,"",$A$4+303)</f>
        <v>46326</v>
      </c>
      <c r="N30326" t="str">
        <f>IF(M30326="","",'Master Barang'!A20)</f>
        <v>PRL-019</v>
      </c>
      <c r="O30326" t="str">
        <f>IF(N30326="","",'Master Barang'!B20)</f>
        <v>neo health masker biru 3 play 50 pcs</v>
      </c>
      <c r="P30326">
        <f>IF(OR(M30326="",N30326=""),"",SUMIFS('Barang Keluar'!$E:$E,'Barang Keluar'!$A:$A,M30326,'Barang Keluar'!$C:$C,N30326))</f>
        <v>0</v>
      </c>
    </row>
    <row r="30327" spans="13:16">
      <c r="M30327" s="49">
        <f>IF($A$4+303&gt;$B$4,"",$A$4+303)</f>
        <v>46326</v>
      </c>
      <c r="N30327" t="str">
        <f>IF(M30327="","",'Master Barang'!A21)</f>
        <v>PRL-020</v>
      </c>
      <c r="O30327" t="str">
        <f>IF(N30327="","",'Master Barang'!B21)</f>
        <v>baymed masker hijau 3 play hijau 50 pcs</v>
      </c>
      <c r="P30327">
        <f>IF(OR(M30327="",N30327=""),"",SUMIFS('Barang Keluar'!$E:$E,'Barang Keluar'!$A:$A,M30327,'Barang Keluar'!$C:$C,N30327))</f>
        <v>0</v>
      </c>
    </row>
    <row r="30328" spans="13:16">
      <c r="M30328" s="49">
        <f>IF($A$4+303&gt;$B$4,"",$A$4+303)</f>
        <v>46326</v>
      </c>
      <c r="N30328" t="str">
        <f>IF(M30328="","",'Master Barang'!A22)</f>
        <v>PRL-021</v>
      </c>
      <c r="O30328" t="str">
        <f>IF(N30328="","",'Master Barang'!B22)</f>
        <v>altamed nurse cap penutup kepala 100 pcs</v>
      </c>
      <c r="P30328">
        <f>IF(OR(M30328="",N30328=""),"",SUMIFS('Barang Keluar'!$E:$E,'Barang Keluar'!$A:$A,M30328,'Barang Keluar'!$C:$C,N30328))</f>
        <v>0</v>
      </c>
    </row>
    <row r="30329" spans="13:16">
      <c r="M30329" s="49">
        <f>IF($A$4+303&gt;$B$4,"",$A$4+303)</f>
        <v>46326</v>
      </c>
      <c r="N30329" t="str">
        <f>IF(M30329="","",'Master Barang'!A23)</f>
        <v>PRL-022</v>
      </c>
      <c r="O30329" t="str">
        <f>IF(N30329="","",'Master Barang'!B23)</f>
        <v>sabun cuci tangan</v>
      </c>
      <c r="P30329">
        <f>IF(OR(M30329="",N30329=""),"",SUMIFS('Barang Keluar'!$E:$E,'Barang Keluar'!$A:$A,M30329,'Barang Keluar'!$C:$C,N30329))</f>
        <v>0</v>
      </c>
    </row>
    <row r="30330" spans="13:16">
      <c r="M30330" s="49">
        <f>IF($A$4+303&gt;$B$4,"",$A$4+303)</f>
        <v>46326</v>
      </c>
      <c r="N30330" t="str">
        <f>IF(M30330="","",'Master Barang'!A24)</f>
        <v>PRL-023</v>
      </c>
      <c r="O30330" t="str">
        <f>IF(N30330="","",'Master Barang'!B24)</f>
        <v>gayung kecil</v>
      </c>
      <c r="P30330">
        <f>IF(OR(M30330="",N30330=""),"",SUMIFS('Barang Keluar'!$E:$E,'Barang Keluar'!$A:$A,M30330,'Barang Keluar'!$C:$C,N30330))</f>
        <v>0</v>
      </c>
    </row>
    <row r="30331" spans="13:16">
      <c r="M30331" s="49">
        <f>IF($A$4+303&gt;$B$4,"",$A$4+303)</f>
        <v>46326</v>
      </c>
      <c r="N30331" t="str">
        <f>IF(M30331="","",'Master Barang'!A25)</f>
        <v>PRL-024</v>
      </c>
      <c r="O30331" t="str">
        <f>IF(N30331="","",'Master Barang'!B25)</f>
        <v>cikrak kecil</v>
      </c>
      <c r="P30331">
        <f>IF(OR(M30331="",N30331=""),"",SUMIFS('Barang Keluar'!$E:$E,'Barang Keluar'!$A:$A,M30331,'Barang Keluar'!$C:$C,N30331))</f>
        <v>0</v>
      </c>
    </row>
    <row r="30332" spans="13:16">
      <c r="M30332" s="49">
        <f>IF($A$4+303&gt;$B$4,"",$A$4+303)</f>
        <v>46326</v>
      </c>
      <c r="N30332" t="str">
        <f>IF(M30332="","",'Master Barang'!A26)</f>
        <v>PRL-025</v>
      </c>
      <c r="O30332" t="str">
        <f>IF(N30332="","",'Master Barang'!B26)</f>
        <v>petromax plastik kecil 12x24 100 lembar</v>
      </c>
      <c r="P30332">
        <f>IF(OR(M30332="",N30332=""),"",SUMIFS('Barang Keluar'!$E:$E,'Barang Keluar'!$A:$A,M30332,'Barang Keluar'!$C:$C,N30332))</f>
        <v>0</v>
      </c>
    </row>
    <row r="30333" spans="13:16">
      <c r="M30333" s="49">
        <f>IF($A$4+303&gt;$B$4,"",$A$4+303)</f>
        <v>46326</v>
      </c>
      <c r="N30333" t="str">
        <f>IF(M30333="","",'Master Barang'!A27)</f>
        <v>PRL-026</v>
      </c>
      <c r="O30333" t="str">
        <f>IF(N30333="","",'Master Barang'!B27)</f>
        <v>lancar kresek kecil bening </v>
      </c>
      <c r="P30333">
        <f>IF(OR(M30333="",N30333=""),"",SUMIFS('Barang Keluar'!$E:$E,'Barang Keluar'!$A:$A,M30333,'Barang Keluar'!$C:$C,N30333))</f>
        <v>0</v>
      </c>
    </row>
    <row r="30334" spans="13:16">
      <c r="M30334" s="49">
        <f>IF($A$4+303&gt;$B$4,"",$A$4+303)</f>
        <v>46326</v>
      </c>
      <c r="N30334" t="str">
        <f>IF(M30334="","",'Master Barang'!A28)</f>
        <v>PRL-027</v>
      </c>
      <c r="O30334" t="str">
        <f>IF(N30334="","",'Master Barang'!B28)</f>
        <v>kresek klin warna warni kecil</v>
      </c>
      <c r="P30334">
        <f>IF(OR(M30334="",N30334=""),"",SUMIFS('Barang Keluar'!$E:$E,'Barang Keluar'!$A:$A,M30334,'Barang Keluar'!$C:$C,N30334))</f>
        <v>0</v>
      </c>
    </row>
    <row r="30335" spans="13:16">
      <c r="M30335" s="49">
        <f>IF($A$4+303&gt;$B$4,"",$A$4+303)</f>
        <v>46326</v>
      </c>
      <c r="N30335" t="str">
        <f>IF(M30335="","",'Master Barang'!A29)</f>
        <v>PRL-028</v>
      </c>
      <c r="O30335" t="str">
        <f>IF(N30335="","",'Master Barang'!B29)</f>
        <v>ctik plastik 7x10 100 pcs</v>
      </c>
      <c r="P30335">
        <f>IF(OR(M30335="",N30335=""),"",SUMIFS('Barang Keluar'!$E:$E,'Barang Keluar'!$A:$A,M30335,'Barang Keluar'!$C:$C,N30335))</f>
        <v>0</v>
      </c>
    </row>
    <row r="30336" spans="13:16">
      <c r="M30336" s="49">
        <f>IF($A$4+303&gt;$B$4,"",$A$4+303)</f>
        <v>46326</v>
      </c>
      <c r="N30336" t="str">
        <f>IF(M30336="","",'Master Barang'!A30)</f>
        <v>PRL-029</v>
      </c>
      <c r="O30336" t="str">
        <f>IF(N30336="","",'Master Barang'!B30)</f>
        <v>ctik plastik 6x10 100 pcs</v>
      </c>
      <c r="P30336">
        <f>IF(OR(M30336="",N30336=""),"",SUMIFS('Barang Keluar'!$E:$E,'Barang Keluar'!$A:$A,M30336,'Barang Keluar'!$C:$C,N30336))</f>
        <v>0</v>
      </c>
    </row>
    <row r="30337" spans="13:16">
      <c r="M30337" s="49">
        <f>IF($A$4+303&gt;$B$4,"",$A$4+303)</f>
        <v>46326</v>
      </c>
      <c r="N30337" t="str">
        <f>IF(M30337="","",'Master Barang'!A31)</f>
        <v>PRL-030</v>
      </c>
      <c r="O30337" t="str">
        <f>IF(N30337="","",'Master Barang'!B31)</f>
        <v>klip plastik 25x16 100 pcs</v>
      </c>
      <c r="P30337">
        <f>IF(OR(M30337="",N30337=""),"",SUMIFS('Barang Keluar'!$E:$E,'Barang Keluar'!$A:$A,M30337,'Barang Keluar'!$C:$C,N30337))</f>
        <v>0</v>
      </c>
    </row>
    <row r="30338" spans="13:16">
      <c r="M30338" s="49">
        <f>IF($A$4+303&gt;$B$4,"",$A$4+303)</f>
        <v>46326</v>
      </c>
      <c r="N30338" t="str">
        <f>IF(M30338="","",'Master Barang'!A32)</f>
        <v>PRL-031</v>
      </c>
      <c r="O30338" t="str">
        <f>IF(N30338="","",'Master Barang'!B32)</f>
        <v>tempat saus 20 ml</v>
      </c>
      <c r="P30338">
        <f>IF(OR(M30338="",N30338=""),"",SUMIFS('Barang Keluar'!$E:$E,'Barang Keluar'!$A:$A,M30338,'Barang Keluar'!$C:$C,N30338))</f>
        <v>0</v>
      </c>
    </row>
    <row r="30339" spans="13:16">
      <c r="M30339" s="49">
        <f>IF($A$4+303&gt;$B$4,"",$A$4+303)</f>
        <v>46326</v>
      </c>
      <c r="N30339" t="str">
        <f>IF(M30339="","",'Master Barang'!A33)</f>
        <v>PRL-032</v>
      </c>
      <c r="O30339" t="str">
        <f>IF(N30339="","",'Master Barang'!B33)</f>
        <v>plastik packaging ag box uk sedang</v>
      </c>
      <c r="P30339">
        <f>IF(OR(M30339="",N30339=""),"",SUMIFS('Barang Keluar'!$E:$E,'Barang Keluar'!$A:$A,M30339,'Barang Keluar'!$C:$C,N30339))</f>
        <v>0</v>
      </c>
    </row>
    <row r="30340" spans="13:16">
      <c r="M30340" s="49">
        <f>IF($A$4+303&gt;$B$4,"",$A$4+303)</f>
        <v>46326</v>
      </c>
      <c r="N30340" t="str">
        <f>IF(M30340="","",'Master Barang'!A34)</f>
        <v>PRL-033</v>
      </c>
      <c r="O30340">
        <f>IF(N30340="","",'Master Barang'!B34)</f>
        <v>0</v>
      </c>
      <c r="P30340">
        <f>IF(OR(M30340="",N30340=""),"",SUMIFS('Barang Keluar'!$E:$E,'Barang Keluar'!$A:$A,M30340,'Barang Keluar'!$C:$C,N30340))</f>
        <v>0</v>
      </c>
    </row>
    <row r="30341" spans="13:16">
      <c r="M30341" s="49">
        <f>IF($A$4+303&gt;$B$4,"",$A$4+303)</f>
        <v>46326</v>
      </c>
      <c r="N30341">
        <f>IF(M30341="","",'Master Barang'!A35)</f>
        <v>0</v>
      </c>
      <c r="O30341">
        <f>IF(N30341="","",'Master Barang'!B35)</f>
        <v>0</v>
      </c>
      <c r="P30341">
        <f>IF(OR(M30341="",N30341=""),"",SUMIFS('Barang Keluar'!$E:$E,'Barang Keluar'!$A:$A,M30341,'Barang Keluar'!$C:$C,N30341))</f>
        <v>0</v>
      </c>
    </row>
    <row r="30342" spans="13:16">
      <c r="M30342" s="49">
        <f>IF($A$4+303&gt;$B$4,"",$A$4+303)</f>
        <v>46326</v>
      </c>
      <c r="N30342">
        <f>IF(M30342="","",'Master Barang'!A36)</f>
        <v>0</v>
      </c>
      <c r="O30342">
        <f>IF(N30342="","",'Master Barang'!B36)</f>
        <v>0</v>
      </c>
      <c r="P30342">
        <f>IF(OR(M30342="",N30342=""),"",SUMIFS('Barang Keluar'!$E:$E,'Barang Keluar'!$A:$A,M30342,'Barang Keluar'!$C:$C,N30342))</f>
        <v>0</v>
      </c>
    </row>
    <row r="30343" spans="13:16">
      <c r="M30343" s="49">
        <f>IF($A$4+303&gt;$B$4,"",$A$4+303)</f>
        <v>46326</v>
      </c>
      <c r="N30343">
        <f>IF(M30343="","",'Master Barang'!A37)</f>
        <v>0</v>
      </c>
      <c r="O30343">
        <f>IF(N30343="","",'Master Barang'!B37)</f>
        <v>0</v>
      </c>
      <c r="P30343">
        <f>IF(OR(M30343="",N30343=""),"",SUMIFS('Barang Keluar'!$E:$E,'Barang Keluar'!$A:$A,M30343,'Barang Keluar'!$C:$C,N30343))</f>
        <v>0</v>
      </c>
    </row>
    <row r="30344" spans="13:16">
      <c r="M30344" s="49">
        <f>IF($A$4+303&gt;$B$4,"",$A$4+303)</f>
        <v>46326</v>
      </c>
      <c r="N30344">
        <f>IF(M30344="","",'Master Barang'!A38)</f>
        <v>0</v>
      </c>
      <c r="O30344">
        <f>IF(N30344="","",'Master Barang'!B38)</f>
        <v>0</v>
      </c>
      <c r="P30344">
        <f>IF(OR(M30344="",N30344=""),"",SUMIFS('Barang Keluar'!$E:$E,'Barang Keluar'!$A:$A,M30344,'Barang Keluar'!$C:$C,N30344))</f>
        <v>0</v>
      </c>
    </row>
    <row r="30345" spans="13:16">
      <c r="M30345" s="49">
        <f>IF($A$4+303&gt;$B$4,"",$A$4+303)</f>
        <v>46326</v>
      </c>
      <c r="N30345">
        <f>IF(M30345="","",'Master Barang'!A39)</f>
        <v>0</v>
      </c>
      <c r="O30345">
        <f>IF(N30345="","",'Master Barang'!B39)</f>
        <v>0</v>
      </c>
      <c r="P30345">
        <f>IF(OR(M30345="",N30345=""),"",SUMIFS('Barang Keluar'!$E:$E,'Barang Keluar'!$A:$A,M30345,'Barang Keluar'!$C:$C,N30345))</f>
        <v>0</v>
      </c>
    </row>
    <row r="30346" spans="13:16">
      <c r="M30346" s="49">
        <f>IF($A$4+303&gt;$B$4,"",$A$4+303)</f>
        <v>46326</v>
      </c>
      <c r="N30346">
        <f>IF(M30346="","",'Master Barang'!A40)</f>
        <v>0</v>
      </c>
      <c r="O30346">
        <f>IF(N30346="","",'Master Barang'!B40)</f>
        <v>0</v>
      </c>
      <c r="P30346">
        <f>IF(OR(M30346="",N30346=""),"",SUMIFS('Barang Keluar'!$E:$E,'Barang Keluar'!$A:$A,M30346,'Barang Keluar'!$C:$C,N30346))</f>
        <v>0</v>
      </c>
    </row>
    <row r="30347" spans="13:16">
      <c r="M30347" s="49">
        <f>IF($A$4+303&gt;$B$4,"",$A$4+303)</f>
        <v>46326</v>
      </c>
      <c r="N30347">
        <f>IF(M30347="","",'Master Barang'!A41)</f>
        <v>0</v>
      </c>
      <c r="O30347">
        <f>IF(N30347="","",'Master Barang'!B41)</f>
        <v>0</v>
      </c>
      <c r="P30347">
        <f>IF(OR(M30347="",N30347=""),"",SUMIFS('Barang Keluar'!$E:$E,'Barang Keluar'!$A:$A,M30347,'Barang Keluar'!$C:$C,N30347))</f>
        <v>0</v>
      </c>
    </row>
    <row r="30348" spans="13:16">
      <c r="M30348" s="49">
        <f>IF($A$4+303&gt;$B$4,"",$A$4+303)</f>
        <v>46326</v>
      </c>
      <c r="N30348">
        <f>IF(M30348="","",'Master Barang'!A42)</f>
        <v>0</v>
      </c>
      <c r="O30348">
        <f>IF(N30348="","",'Master Barang'!B42)</f>
        <v>0</v>
      </c>
      <c r="P30348">
        <f>IF(OR(M30348="",N30348=""),"",SUMIFS('Barang Keluar'!$E:$E,'Barang Keluar'!$A:$A,M30348,'Barang Keluar'!$C:$C,N30348))</f>
        <v>0</v>
      </c>
    </row>
    <row r="30349" spans="13:16">
      <c r="M30349" s="49">
        <f>IF($A$4+303&gt;$B$4,"",$A$4+303)</f>
        <v>46326</v>
      </c>
      <c r="N30349">
        <f>IF(M30349="","",'Master Barang'!A43)</f>
        <v>0</v>
      </c>
      <c r="O30349">
        <f>IF(N30349="","",'Master Barang'!B43)</f>
        <v>0</v>
      </c>
      <c r="P30349">
        <f>IF(OR(M30349="",N30349=""),"",SUMIFS('Barang Keluar'!$E:$E,'Barang Keluar'!$A:$A,M30349,'Barang Keluar'!$C:$C,N30349))</f>
        <v>0</v>
      </c>
    </row>
    <row r="30350" spans="13:16">
      <c r="M30350" s="49">
        <f>IF($A$4+303&gt;$B$4,"",$A$4+303)</f>
        <v>46326</v>
      </c>
      <c r="N30350">
        <f>IF(M30350="","",'Master Barang'!A44)</f>
        <v>0</v>
      </c>
      <c r="O30350">
        <f>IF(N30350="","",'Master Barang'!B44)</f>
        <v>0</v>
      </c>
      <c r="P30350">
        <f>IF(OR(M30350="",N30350=""),"",SUMIFS('Barang Keluar'!$E:$E,'Barang Keluar'!$A:$A,M30350,'Barang Keluar'!$C:$C,N30350))</f>
        <v>0</v>
      </c>
    </row>
    <row r="30351" spans="13:16">
      <c r="M30351" s="49">
        <f>IF($A$4+303&gt;$B$4,"",$A$4+303)</f>
        <v>46326</v>
      </c>
      <c r="N30351">
        <f>IF(M30351="","",'Master Barang'!A45)</f>
        <v>0</v>
      </c>
      <c r="O30351">
        <f>IF(N30351="","",'Master Barang'!B45)</f>
        <v>0</v>
      </c>
      <c r="P30351">
        <f>IF(OR(M30351="",N30351=""),"",SUMIFS('Barang Keluar'!$E:$E,'Barang Keluar'!$A:$A,M30351,'Barang Keluar'!$C:$C,N30351))</f>
        <v>0</v>
      </c>
    </row>
    <row r="30352" spans="13:16">
      <c r="M30352" s="49">
        <f>IF($A$4+303&gt;$B$4,"",$A$4+303)</f>
        <v>46326</v>
      </c>
      <c r="N30352">
        <f>IF(M30352="","",'Master Barang'!A46)</f>
        <v>0</v>
      </c>
      <c r="O30352">
        <f>IF(N30352="","",'Master Barang'!B46)</f>
        <v>0</v>
      </c>
      <c r="P30352">
        <f>IF(OR(M30352="",N30352=""),"",SUMIFS('Barang Keluar'!$E:$E,'Barang Keluar'!$A:$A,M30352,'Barang Keluar'!$C:$C,N30352))</f>
        <v>0</v>
      </c>
    </row>
    <row r="30353" spans="13:16">
      <c r="M30353" s="49">
        <f>IF($A$4+303&gt;$B$4,"",$A$4+303)</f>
        <v>46326</v>
      </c>
      <c r="N30353">
        <f>IF(M30353="","",'Master Barang'!A47)</f>
        <v>0</v>
      </c>
      <c r="O30353">
        <f>IF(N30353="","",'Master Barang'!B47)</f>
        <v>0</v>
      </c>
      <c r="P30353">
        <f>IF(OR(M30353="",N30353=""),"",SUMIFS('Barang Keluar'!$E:$E,'Barang Keluar'!$A:$A,M30353,'Barang Keluar'!$C:$C,N30353))</f>
        <v>0</v>
      </c>
    </row>
    <row r="30354" spans="13:16">
      <c r="M30354" s="49">
        <f>IF($A$4+303&gt;$B$4,"",$A$4+303)</f>
        <v>46326</v>
      </c>
      <c r="N30354">
        <f>IF(M30354="","",'Master Barang'!A48)</f>
        <v>0</v>
      </c>
      <c r="O30354">
        <f>IF(N30354="","",'Master Barang'!B48)</f>
        <v>0</v>
      </c>
      <c r="P30354">
        <f>IF(OR(M30354="",N30354=""),"",SUMIFS('Barang Keluar'!$E:$E,'Barang Keluar'!$A:$A,M30354,'Barang Keluar'!$C:$C,N30354))</f>
        <v>0</v>
      </c>
    </row>
    <row r="30355" spans="13:16">
      <c r="M30355" s="49">
        <f>IF($A$4+303&gt;$B$4,"",$A$4+303)</f>
        <v>46326</v>
      </c>
      <c r="N30355">
        <f>IF(M30355="","",'Master Barang'!A49)</f>
        <v>0</v>
      </c>
      <c r="O30355">
        <f>IF(N30355="","",'Master Barang'!B49)</f>
        <v>0</v>
      </c>
      <c r="P30355">
        <f>IF(OR(M30355="",N30355=""),"",SUMIFS('Barang Keluar'!$E:$E,'Barang Keluar'!$A:$A,M30355,'Barang Keluar'!$C:$C,N30355))</f>
        <v>0</v>
      </c>
    </row>
    <row r="30356" spans="13:16">
      <c r="M30356" s="49">
        <f>IF($A$4+303&gt;$B$4,"",$A$4+303)</f>
        <v>46326</v>
      </c>
      <c r="N30356">
        <f>IF(M30356="","",'Master Barang'!A50)</f>
        <v>0</v>
      </c>
      <c r="O30356">
        <f>IF(N30356="","",'Master Barang'!B50)</f>
        <v>0</v>
      </c>
      <c r="P30356">
        <f>IF(OR(M30356="",N30356=""),"",SUMIFS('Barang Keluar'!$E:$E,'Barang Keluar'!$A:$A,M30356,'Barang Keluar'!$C:$C,N30356))</f>
        <v>0</v>
      </c>
    </row>
    <row r="30357" spans="13:16">
      <c r="M30357" s="49">
        <f>IF($A$4+303&gt;$B$4,"",$A$4+303)</f>
        <v>46326</v>
      </c>
      <c r="N30357">
        <f>IF(M30357="","",'Master Barang'!A51)</f>
        <v>0</v>
      </c>
      <c r="O30357">
        <f>IF(N30357="","",'Master Barang'!B51)</f>
        <v>0</v>
      </c>
      <c r="P30357">
        <f>IF(OR(M30357="",N30357=""),"",SUMIFS('Barang Keluar'!$E:$E,'Barang Keluar'!$A:$A,M30357,'Barang Keluar'!$C:$C,N30357))</f>
        <v>0</v>
      </c>
    </row>
    <row r="30358" spans="13:16">
      <c r="M30358" s="49">
        <f>IF($A$4+303&gt;$B$4,"",$A$4+303)</f>
        <v>46326</v>
      </c>
      <c r="N30358">
        <f>IF(M30358="","",'Master Barang'!A52)</f>
        <v>0</v>
      </c>
      <c r="O30358">
        <f>IF(N30358="","",'Master Barang'!B52)</f>
        <v>0</v>
      </c>
      <c r="P30358">
        <f>IF(OR(M30358="",N30358=""),"",SUMIFS('Barang Keluar'!$E:$E,'Barang Keluar'!$A:$A,M30358,'Barang Keluar'!$C:$C,N30358))</f>
        <v>0</v>
      </c>
    </row>
    <row r="30359" spans="13:16">
      <c r="M30359" s="49">
        <f>IF($A$4+303&gt;$B$4,"",$A$4+303)</f>
        <v>46326</v>
      </c>
      <c r="N30359">
        <f>IF(M30359="","",'Master Barang'!A53)</f>
        <v>0</v>
      </c>
      <c r="O30359">
        <f>IF(N30359="","",'Master Barang'!B53)</f>
        <v>0</v>
      </c>
      <c r="P30359">
        <f>IF(OR(M30359="",N30359=""),"",SUMIFS('Barang Keluar'!$E:$E,'Barang Keluar'!$A:$A,M30359,'Barang Keluar'!$C:$C,N30359))</f>
        <v>0</v>
      </c>
    </row>
    <row r="30360" spans="13:16">
      <c r="M30360" s="49">
        <f>IF($A$4+303&gt;$B$4,"",$A$4+303)</f>
        <v>46326</v>
      </c>
      <c r="N30360">
        <f>IF(M30360="","",'Master Barang'!A54)</f>
        <v>0</v>
      </c>
      <c r="O30360">
        <f>IF(N30360="","",'Master Barang'!B54)</f>
        <v>0</v>
      </c>
      <c r="P30360">
        <f>IF(OR(M30360="",N30360=""),"",SUMIFS('Barang Keluar'!$E:$E,'Barang Keluar'!$A:$A,M30360,'Barang Keluar'!$C:$C,N30360))</f>
        <v>0</v>
      </c>
    </row>
    <row r="30361" spans="13:16">
      <c r="M30361" s="49">
        <f>IF($A$4+303&gt;$B$4,"",$A$4+303)</f>
        <v>46326</v>
      </c>
      <c r="N30361">
        <f>IF(M30361="","",'Master Barang'!A55)</f>
        <v>0</v>
      </c>
      <c r="O30361">
        <f>IF(N30361="","",'Master Barang'!B55)</f>
        <v>0</v>
      </c>
      <c r="P30361">
        <f>IF(OR(M30361="",N30361=""),"",SUMIFS('Barang Keluar'!$E:$E,'Barang Keluar'!$A:$A,M30361,'Barang Keluar'!$C:$C,N30361))</f>
        <v>0</v>
      </c>
    </row>
    <row r="30362" spans="13:16">
      <c r="M30362" s="49">
        <f>IF($A$4+303&gt;$B$4,"",$A$4+303)</f>
        <v>46326</v>
      </c>
      <c r="N30362">
        <f>IF(M30362="","",'Master Barang'!A56)</f>
        <v>0</v>
      </c>
      <c r="O30362">
        <f>IF(N30362="","",'Master Barang'!B56)</f>
        <v>0</v>
      </c>
      <c r="P30362">
        <f>IF(OR(M30362="",N30362=""),"",SUMIFS('Barang Keluar'!$E:$E,'Barang Keluar'!$A:$A,M30362,'Barang Keluar'!$C:$C,N30362))</f>
        <v>0</v>
      </c>
    </row>
    <row r="30363" spans="13:16">
      <c r="M30363" s="49">
        <f>IF($A$4+303&gt;$B$4,"",$A$4+303)</f>
        <v>46326</v>
      </c>
      <c r="N30363">
        <f>IF(M30363="","",'Master Barang'!A57)</f>
        <v>0</v>
      </c>
      <c r="O30363">
        <f>IF(N30363="","",'Master Barang'!B57)</f>
        <v>0</v>
      </c>
      <c r="P30363">
        <f>IF(OR(M30363="",N30363=""),"",SUMIFS('Barang Keluar'!$E:$E,'Barang Keluar'!$A:$A,M30363,'Barang Keluar'!$C:$C,N30363))</f>
        <v>0</v>
      </c>
    </row>
    <row r="30364" spans="13:16">
      <c r="M30364" s="49">
        <f>IF($A$4+303&gt;$B$4,"",$A$4+303)</f>
        <v>46326</v>
      </c>
      <c r="N30364">
        <f>IF(M30364="","",'Master Barang'!A58)</f>
        <v>0</v>
      </c>
      <c r="O30364">
        <f>IF(N30364="","",'Master Barang'!B58)</f>
        <v>0</v>
      </c>
      <c r="P30364">
        <f>IF(OR(M30364="",N30364=""),"",SUMIFS('Barang Keluar'!$E:$E,'Barang Keluar'!$A:$A,M30364,'Barang Keluar'!$C:$C,N30364))</f>
        <v>0</v>
      </c>
    </row>
    <row r="30365" spans="13:16">
      <c r="M30365" s="49">
        <f>IF($A$4+303&gt;$B$4,"",$A$4+303)</f>
        <v>46326</v>
      </c>
      <c r="N30365">
        <f>IF(M30365="","",'Master Barang'!A59)</f>
        <v>0</v>
      </c>
      <c r="O30365">
        <f>IF(N30365="","",'Master Barang'!B59)</f>
        <v>0</v>
      </c>
      <c r="P30365">
        <f>IF(OR(M30365="",N30365=""),"",SUMIFS('Barang Keluar'!$E:$E,'Barang Keluar'!$A:$A,M30365,'Barang Keluar'!$C:$C,N30365))</f>
        <v>0</v>
      </c>
    </row>
    <row r="30366" spans="13:16">
      <c r="M30366" s="49">
        <f>IF($A$4+303&gt;$B$4,"",$A$4+303)</f>
        <v>46326</v>
      </c>
      <c r="N30366">
        <f>IF(M30366="","",'Master Barang'!A60)</f>
        <v>0</v>
      </c>
      <c r="O30366">
        <f>IF(N30366="","",'Master Barang'!B60)</f>
        <v>0</v>
      </c>
      <c r="P30366">
        <f>IF(OR(M30366="",N30366=""),"",SUMIFS('Barang Keluar'!$E:$E,'Barang Keluar'!$A:$A,M30366,'Barang Keluar'!$C:$C,N30366))</f>
        <v>0</v>
      </c>
    </row>
    <row r="30367" spans="13:16">
      <c r="M30367" s="49">
        <f>IF($A$4+303&gt;$B$4,"",$A$4+303)</f>
        <v>46326</v>
      </c>
      <c r="N30367">
        <f>IF(M30367="","",'Master Barang'!A61)</f>
        <v>0</v>
      </c>
      <c r="O30367">
        <f>IF(N30367="","",'Master Barang'!B61)</f>
        <v>0</v>
      </c>
      <c r="P30367">
        <f>IF(OR(M30367="",N30367=""),"",SUMIFS('Barang Keluar'!$E:$E,'Barang Keluar'!$A:$A,M30367,'Barang Keluar'!$C:$C,N30367))</f>
        <v>0</v>
      </c>
    </row>
    <row r="30368" spans="13:16">
      <c r="M30368" s="49">
        <f>IF($A$4+303&gt;$B$4,"",$A$4+303)</f>
        <v>46326</v>
      </c>
      <c r="N30368">
        <f>IF(M30368="","",'Master Barang'!A62)</f>
        <v>0</v>
      </c>
      <c r="O30368">
        <f>IF(N30368="","",'Master Barang'!B62)</f>
        <v>0</v>
      </c>
      <c r="P30368">
        <f>IF(OR(M30368="",N30368=""),"",SUMIFS('Barang Keluar'!$E:$E,'Barang Keluar'!$A:$A,M30368,'Barang Keluar'!$C:$C,N30368))</f>
        <v>0</v>
      </c>
    </row>
    <row r="30369" spans="13:16">
      <c r="M30369" s="49">
        <f>IF($A$4+303&gt;$B$4,"",$A$4+303)</f>
        <v>46326</v>
      </c>
      <c r="N30369">
        <f>IF(M30369="","",'Master Barang'!A63)</f>
        <v>0</v>
      </c>
      <c r="O30369">
        <f>IF(N30369="","",'Master Barang'!B63)</f>
        <v>0</v>
      </c>
      <c r="P30369">
        <f>IF(OR(M30369="",N30369=""),"",SUMIFS('Barang Keluar'!$E:$E,'Barang Keluar'!$A:$A,M30369,'Barang Keluar'!$C:$C,N30369))</f>
        <v>0</v>
      </c>
    </row>
    <row r="30370" spans="13:16">
      <c r="M30370" s="49">
        <f>IF($A$4+303&gt;$B$4,"",$A$4+303)</f>
        <v>46326</v>
      </c>
      <c r="N30370">
        <f>IF(M30370="","",'Master Barang'!A64)</f>
        <v>0</v>
      </c>
      <c r="O30370">
        <f>IF(N30370="","",'Master Barang'!B64)</f>
        <v>0</v>
      </c>
      <c r="P30370">
        <f>IF(OR(M30370="",N30370=""),"",SUMIFS('Barang Keluar'!$E:$E,'Barang Keluar'!$A:$A,M30370,'Barang Keluar'!$C:$C,N30370))</f>
        <v>0</v>
      </c>
    </row>
    <row r="30371" spans="13:16">
      <c r="M30371" s="49">
        <f>IF($A$4+303&gt;$B$4,"",$A$4+303)</f>
        <v>46326</v>
      </c>
      <c r="N30371">
        <f>IF(M30371="","",'Master Barang'!A65)</f>
        <v>0</v>
      </c>
      <c r="O30371">
        <f>IF(N30371="","",'Master Barang'!B65)</f>
        <v>0</v>
      </c>
      <c r="P30371">
        <f>IF(OR(M30371="",N30371=""),"",SUMIFS('Barang Keluar'!$E:$E,'Barang Keluar'!$A:$A,M30371,'Barang Keluar'!$C:$C,N30371))</f>
        <v>0</v>
      </c>
    </row>
    <row r="30372" spans="13:16">
      <c r="M30372" s="49">
        <f>IF($A$4+303&gt;$B$4,"",$A$4+303)</f>
        <v>46326</v>
      </c>
      <c r="N30372">
        <f>IF(M30372="","",'Master Barang'!A66)</f>
        <v>0</v>
      </c>
      <c r="O30372">
        <f>IF(N30372="","",'Master Barang'!B66)</f>
        <v>0</v>
      </c>
      <c r="P30372">
        <f>IF(OR(M30372="",N30372=""),"",SUMIFS('Barang Keluar'!$E:$E,'Barang Keluar'!$A:$A,M30372,'Barang Keluar'!$C:$C,N30372))</f>
        <v>0</v>
      </c>
    </row>
    <row r="30373" spans="13:16">
      <c r="M30373" s="49">
        <f>IF($A$4+303&gt;$B$4,"",$A$4+303)</f>
        <v>46326</v>
      </c>
      <c r="N30373">
        <f>IF(M30373="","",'Master Barang'!A67)</f>
        <v>0</v>
      </c>
      <c r="O30373">
        <f>IF(N30373="","",'Master Barang'!B67)</f>
        <v>0</v>
      </c>
      <c r="P30373">
        <f>IF(OR(M30373="",N30373=""),"",SUMIFS('Barang Keluar'!$E:$E,'Barang Keluar'!$A:$A,M30373,'Barang Keluar'!$C:$C,N30373))</f>
        <v>0</v>
      </c>
    </row>
    <row r="30374" spans="13:16">
      <c r="M30374" s="49">
        <f>IF($A$4+303&gt;$B$4,"",$A$4+303)</f>
        <v>46326</v>
      </c>
      <c r="N30374">
        <f>IF(M30374="","",'Master Barang'!A68)</f>
        <v>0</v>
      </c>
      <c r="O30374">
        <f>IF(N30374="","",'Master Barang'!B68)</f>
        <v>0</v>
      </c>
      <c r="P30374">
        <f>IF(OR(M30374="",N30374=""),"",SUMIFS('Barang Keluar'!$E:$E,'Barang Keluar'!$A:$A,M30374,'Barang Keluar'!$C:$C,N30374))</f>
        <v>0</v>
      </c>
    </row>
    <row r="30375" spans="13:16">
      <c r="M30375" s="49">
        <f>IF($A$4+303&gt;$B$4,"",$A$4+303)</f>
        <v>46326</v>
      </c>
      <c r="N30375">
        <f>IF(M30375="","",'Master Barang'!A69)</f>
        <v>0</v>
      </c>
      <c r="O30375">
        <f>IF(N30375="","",'Master Barang'!B69)</f>
        <v>0</v>
      </c>
      <c r="P30375">
        <f>IF(OR(M30375="",N30375=""),"",SUMIFS('Barang Keluar'!$E:$E,'Barang Keluar'!$A:$A,M30375,'Barang Keluar'!$C:$C,N30375))</f>
        <v>0</v>
      </c>
    </row>
    <row r="30376" spans="13:16">
      <c r="M30376" s="49">
        <f>IF($A$4+303&gt;$B$4,"",$A$4+303)</f>
        <v>46326</v>
      </c>
      <c r="N30376">
        <f>IF(M30376="","",'Master Barang'!A70)</f>
        <v>0</v>
      </c>
      <c r="O30376">
        <f>IF(N30376="","",'Master Barang'!B70)</f>
        <v>0</v>
      </c>
      <c r="P30376">
        <f>IF(OR(M30376="",N30376=""),"",SUMIFS('Barang Keluar'!$E:$E,'Barang Keluar'!$A:$A,M30376,'Barang Keluar'!$C:$C,N30376))</f>
        <v>0</v>
      </c>
    </row>
    <row r="30377" spans="13:16">
      <c r="M30377" s="49">
        <f>IF($A$4+303&gt;$B$4,"",$A$4+303)</f>
        <v>46326</v>
      </c>
      <c r="N30377">
        <f>IF(M30377="","",'Master Barang'!A71)</f>
        <v>0</v>
      </c>
      <c r="O30377">
        <f>IF(N30377="","",'Master Barang'!B71)</f>
        <v>0</v>
      </c>
      <c r="P30377">
        <f>IF(OR(M30377="",N30377=""),"",SUMIFS('Barang Keluar'!$E:$E,'Barang Keluar'!$A:$A,M30377,'Barang Keluar'!$C:$C,N30377))</f>
        <v>0</v>
      </c>
    </row>
    <row r="30378" spans="13:16">
      <c r="M30378" s="49">
        <f>IF($A$4+303&gt;$B$4,"",$A$4+303)</f>
        <v>46326</v>
      </c>
      <c r="N30378">
        <f>IF(M30378="","",'Master Barang'!A72)</f>
        <v>0</v>
      </c>
      <c r="O30378">
        <f>IF(N30378="","",'Master Barang'!B72)</f>
        <v>0</v>
      </c>
      <c r="P30378">
        <f>IF(OR(M30378="",N30378=""),"",SUMIFS('Barang Keluar'!$E:$E,'Barang Keluar'!$A:$A,M30378,'Barang Keluar'!$C:$C,N30378))</f>
        <v>0</v>
      </c>
    </row>
    <row r="30379" spans="13:16">
      <c r="M30379" s="49">
        <f>IF($A$4+303&gt;$B$4,"",$A$4+303)</f>
        <v>46326</v>
      </c>
      <c r="N30379">
        <f>IF(M30379="","",'Master Barang'!A73)</f>
        <v>0</v>
      </c>
      <c r="O30379">
        <f>IF(N30379="","",'Master Barang'!B73)</f>
        <v>0</v>
      </c>
      <c r="P30379">
        <f>IF(OR(M30379="",N30379=""),"",SUMIFS('Barang Keluar'!$E:$E,'Barang Keluar'!$A:$A,M30379,'Barang Keluar'!$C:$C,N30379))</f>
        <v>0</v>
      </c>
    </row>
    <row r="30380" spans="13:16">
      <c r="M30380" s="49">
        <f>IF($A$4+303&gt;$B$4,"",$A$4+303)</f>
        <v>46326</v>
      </c>
      <c r="N30380">
        <f>IF(M30380="","",'Master Barang'!A74)</f>
        <v>0</v>
      </c>
      <c r="O30380">
        <f>IF(N30380="","",'Master Barang'!B74)</f>
        <v>0</v>
      </c>
      <c r="P30380">
        <f>IF(OR(M30380="",N30380=""),"",SUMIFS('Barang Keluar'!$E:$E,'Barang Keluar'!$A:$A,M30380,'Barang Keluar'!$C:$C,N30380))</f>
        <v>0</v>
      </c>
    </row>
    <row r="30381" spans="13:16">
      <c r="M30381" s="49">
        <f>IF($A$4+303&gt;$B$4,"",$A$4+303)</f>
        <v>46326</v>
      </c>
      <c r="N30381">
        <f>IF(M30381="","",'Master Barang'!A75)</f>
        <v>0</v>
      </c>
      <c r="O30381">
        <f>IF(N30381="","",'Master Barang'!B75)</f>
        <v>0</v>
      </c>
      <c r="P30381">
        <f>IF(OR(M30381="",N30381=""),"",SUMIFS('Barang Keluar'!$E:$E,'Barang Keluar'!$A:$A,M30381,'Barang Keluar'!$C:$C,N30381))</f>
        <v>0</v>
      </c>
    </row>
    <row r="30382" spans="13:16">
      <c r="M30382" s="49">
        <f>IF($A$4+303&gt;$B$4,"",$A$4+303)</f>
        <v>46326</v>
      </c>
      <c r="N30382">
        <f>IF(M30382="","",'Master Barang'!A76)</f>
        <v>0</v>
      </c>
      <c r="O30382">
        <f>IF(N30382="","",'Master Barang'!B76)</f>
        <v>0</v>
      </c>
      <c r="P30382">
        <f>IF(OR(M30382="",N30382=""),"",SUMIFS('Barang Keluar'!$E:$E,'Barang Keluar'!$A:$A,M30382,'Barang Keluar'!$C:$C,N30382))</f>
        <v>0</v>
      </c>
    </row>
    <row r="30383" spans="13:16">
      <c r="M30383" s="49">
        <f>IF($A$4+303&gt;$B$4,"",$A$4+303)</f>
        <v>46326</v>
      </c>
      <c r="N30383">
        <f>IF(M30383="","",'Master Barang'!A77)</f>
        <v>0</v>
      </c>
      <c r="O30383">
        <f>IF(N30383="","",'Master Barang'!B77)</f>
        <v>0</v>
      </c>
      <c r="P30383">
        <f>IF(OR(M30383="",N30383=""),"",SUMIFS('Barang Keluar'!$E:$E,'Barang Keluar'!$A:$A,M30383,'Barang Keluar'!$C:$C,N30383))</f>
        <v>0</v>
      </c>
    </row>
    <row r="30384" spans="13:16">
      <c r="M30384" s="49">
        <f>IF($A$4+303&gt;$B$4,"",$A$4+303)</f>
        <v>46326</v>
      </c>
      <c r="N30384">
        <f>IF(M30384="","",'Master Barang'!A78)</f>
        <v>0</v>
      </c>
      <c r="O30384">
        <f>IF(N30384="","",'Master Barang'!B78)</f>
        <v>0</v>
      </c>
      <c r="P30384">
        <f>IF(OR(M30384="",N30384=""),"",SUMIFS('Barang Keluar'!$E:$E,'Barang Keluar'!$A:$A,M30384,'Barang Keluar'!$C:$C,N30384))</f>
        <v>0</v>
      </c>
    </row>
    <row r="30385" spans="13:16">
      <c r="M30385" s="49">
        <f>IF($A$4+303&gt;$B$4,"",$A$4+303)</f>
        <v>46326</v>
      </c>
      <c r="N30385">
        <f>IF(M30385="","",'Master Barang'!A79)</f>
        <v>0</v>
      </c>
      <c r="O30385">
        <f>IF(N30385="","",'Master Barang'!B79)</f>
        <v>0</v>
      </c>
      <c r="P30385">
        <f>IF(OR(M30385="",N30385=""),"",SUMIFS('Barang Keluar'!$E:$E,'Barang Keluar'!$A:$A,M30385,'Barang Keluar'!$C:$C,N30385))</f>
        <v>0</v>
      </c>
    </row>
    <row r="30386" spans="13:16">
      <c r="M30386" s="49">
        <f>IF($A$4+303&gt;$B$4,"",$A$4+303)</f>
        <v>46326</v>
      </c>
      <c r="N30386">
        <f>IF(M30386="","",'Master Barang'!A80)</f>
        <v>0</v>
      </c>
      <c r="O30386">
        <f>IF(N30386="","",'Master Barang'!B80)</f>
        <v>0</v>
      </c>
      <c r="P30386">
        <f>IF(OR(M30386="",N30386=""),"",SUMIFS('Barang Keluar'!$E:$E,'Barang Keluar'!$A:$A,M30386,'Barang Keluar'!$C:$C,N30386))</f>
        <v>0</v>
      </c>
    </row>
    <row r="30387" spans="13:16">
      <c r="M30387" s="49">
        <f>IF($A$4+303&gt;$B$4,"",$A$4+303)</f>
        <v>46326</v>
      </c>
      <c r="N30387">
        <f>IF(M30387="","",'Master Barang'!A81)</f>
        <v>0</v>
      </c>
      <c r="O30387">
        <f>IF(N30387="","",'Master Barang'!B81)</f>
        <v>0</v>
      </c>
      <c r="P30387">
        <f>IF(OR(M30387="",N30387=""),"",SUMIFS('Barang Keluar'!$E:$E,'Barang Keluar'!$A:$A,M30387,'Barang Keluar'!$C:$C,N30387))</f>
        <v>0</v>
      </c>
    </row>
    <row r="30388" spans="13:16">
      <c r="M30388" s="49">
        <f>IF($A$4+303&gt;$B$4,"",$A$4+303)</f>
        <v>46326</v>
      </c>
      <c r="N30388">
        <f>IF(M30388="","",'Master Barang'!A82)</f>
        <v>0</v>
      </c>
      <c r="O30388">
        <f>IF(N30388="","",'Master Barang'!B82)</f>
        <v>0</v>
      </c>
      <c r="P30388">
        <f>IF(OR(M30388="",N30388=""),"",SUMIFS('Barang Keluar'!$E:$E,'Barang Keluar'!$A:$A,M30388,'Barang Keluar'!$C:$C,N30388))</f>
        <v>0</v>
      </c>
    </row>
    <row r="30389" spans="13:16">
      <c r="M30389" s="49">
        <f>IF($A$4+303&gt;$B$4,"",$A$4+303)</f>
        <v>46326</v>
      </c>
      <c r="N30389">
        <f>IF(M30389="","",'Master Barang'!A83)</f>
        <v>0</v>
      </c>
      <c r="O30389">
        <f>IF(N30389="","",'Master Barang'!B83)</f>
        <v>0</v>
      </c>
      <c r="P30389">
        <f>IF(OR(M30389="",N30389=""),"",SUMIFS('Barang Keluar'!$E:$E,'Barang Keluar'!$A:$A,M30389,'Barang Keluar'!$C:$C,N30389))</f>
        <v>0</v>
      </c>
    </row>
    <row r="30390" spans="13:16">
      <c r="M30390" s="49">
        <f>IF($A$4+303&gt;$B$4,"",$A$4+303)</f>
        <v>46326</v>
      </c>
      <c r="N30390">
        <f>IF(M30390="","",'Master Barang'!A84)</f>
        <v>0</v>
      </c>
      <c r="O30390">
        <f>IF(N30390="","",'Master Barang'!B84)</f>
        <v>0</v>
      </c>
      <c r="P30390">
        <f>IF(OR(M30390="",N30390=""),"",SUMIFS('Barang Keluar'!$E:$E,'Barang Keluar'!$A:$A,M30390,'Barang Keluar'!$C:$C,N30390))</f>
        <v>0</v>
      </c>
    </row>
    <row r="30391" spans="13:16">
      <c r="M30391" s="49">
        <f>IF($A$4+303&gt;$B$4,"",$A$4+303)</f>
        <v>46326</v>
      </c>
      <c r="N30391">
        <f>IF(M30391="","",'Master Barang'!A85)</f>
        <v>0</v>
      </c>
      <c r="O30391">
        <f>IF(N30391="","",'Master Barang'!B85)</f>
        <v>0</v>
      </c>
      <c r="P30391">
        <f>IF(OR(M30391="",N30391=""),"",SUMIFS('Barang Keluar'!$E:$E,'Barang Keluar'!$A:$A,M30391,'Barang Keluar'!$C:$C,N30391))</f>
        <v>0</v>
      </c>
    </row>
    <row r="30392" spans="13:16">
      <c r="M30392" s="49">
        <f>IF($A$4+303&gt;$B$4,"",$A$4+303)</f>
        <v>46326</v>
      </c>
      <c r="N30392">
        <f>IF(M30392="","",'Master Barang'!A86)</f>
        <v>0</v>
      </c>
      <c r="O30392">
        <f>IF(N30392="","",'Master Barang'!B86)</f>
        <v>0</v>
      </c>
      <c r="P30392">
        <f>IF(OR(M30392="",N30392=""),"",SUMIFS('Barang Keluar'!$E:$E,'Barang Keluar'!$A:$A,M30392,'Barang Keluar'!$C:$C,N30392))</f>
        <v>0</v>
      </c>
    </row>
    <row r="30393" spans="13:16">
      <c r="M30393" s="49">
        <f>IF($A$4+303&gt;$B$4,"",$A$4+303)</f>
        <v>46326</v>
      </c>
      <c r="N30393">
        <f>IF(M30393="","",'Master Barang'!A87)</f>
        <v>0</v>
      </c>
      <c r="O30393">
        <f>IF(N30393="","",'Master Barang'!B87)</f>
        <v>0</v>
      </c>
      <c r="P30393">
        <f>IF(OR(M30393="",N30393=""),"",SUMIFS('Barang Keluar'!$E:$E,'Barang Keluar'!$A:$A,M30393,'Barang Keluar'!$C:$C,N30393))</f>
        <v>0</v>
      </c>
    </row>
    <row r="30394" spans="13:16">
      <c r="M30394" s="49">
        <f>IF($A$4+303&gt;$B$4,"",$A$4+303)</f>
        <v>46326</v>
      </c>
      <c r="N30394">
        <f>IF(M30394="","",'Master Barang'!A88)</f>
        <v>0</v>
      </c>
      <c r="O30394">
        <f>IF(N30394="","",'Master Barang'!B88)</f>
        <v>0</v>
      </c>
      <c r="P30394">
        <f>IF(OR(M30394="",N30394=""),"",SUMIFS('Barang Keluar'!$E:$E,'Barang Keluar'!$A:$A,M30394,'Barang Keluar'!$C:$C,N30394))</f>
        <v>0</v>
      </c>
    </row>
    <row r="30395" spans="13:16">
      <c r="M30395" s="49">
        <f>IF($A$4+303&gt;$B$4,"",$A$4+303)</f>
        <v>46326</v>
      </c>
      <c r="N30395">
        <f>IF(M30395="","",'Master Barang'!A89)</f>
        <v>0</v>
      </c>
      <c r="O30395">
        <f>IF(N30395="","",'Master Barang'!B89)</f>
        <v>0</v>
      </c>
      <c r="P30395">
        <f>IF(OR(M30395="",N30395=""),"",SUMIFS('Barang Keluar'!$E:$E,'Barang Keluar'!$A:$A,M30395,'Barang Keluar'!$C:$C,N30395))</f>
        <v>0</v>
      </c>
    </row>
    <row r="30396" spans="13:16">
      <c r="M30396" s="49">
        <f>IF($A$4+303&gt;$B$4,"",$A$4+303)</f>
        <v>46326</v>
      </c>
      <c r="N30396">
        <f>IF(M30396="","",'Master Barang'!A90)</f>
        <v>0</v>
      </c>
      <c r="O30396">
        <f>IF(N30396="","",'Master Barang'!B90)</f>
        <v>0</v>
      </c>
      <c r="P30396">
        <f>IF(OR(M30396="",N30396=""),"",SUMIFS('Barang Keluar'!$E:$E,'Barang Keluar'!$A:$A,M30396,'Barang Keluar'!$C:$C,N30396))</f>
        <v>0</v>
      </c>
    </row>
    <row r="30397" spans="13:16">
      <c r="M30397" s="49">
        <f>IF($A$4+303&gt;$B$4,"",$A$4+303)</f>
        <v>46326</v>
      </c>
      <c r="N30397">
        <f>IF(M30397="","",'Master Barang'!A91)</f>
        <v>0</v>
      </c>
      <c r="O30397">
        <f>IF(N30397="","",'Master Barang'!B91)</f>
        <v>0</v>
      </c>
      <c r="P30397">
        <f>IF(OR(M30397="",N30397=""),"",SUMIFS('Barang Keluar'!$E:$E,'Barang Keluar'!$A:$A,M30397,'Barang Keluar'!$C:$C,N30397))</f>
        <v>0</v>
      </c>
    </row>
    <row r="30398" spans="13:16">
      <c r="M30398" s="49">
        <f>IF($A$4+303&gt;$B$4,"",$A$4+303)</f>
        <v>46326</v>
      </c>
      <c r="N30398">
        <f>IF(M30398="","",'Master Barang'!A92)</f>
        <v>0</v>
      </c>
      <c r="O30398">
        <f>IF(N30398="","",'Master Barang'!B92)</f>
        <v>0</v>
      </c>
      <c r="P30398">
        <f>IF(OR(M30398="",N30398=""),"",SUMIFS('Barang Keluar'!$E:$E,'Barang Keluar'!$A:$A,M30398,'Barang Keluar'!$C:$C,N30398))</f>
        <v>0</v>
      </c>
    </row>
    <row r="30399" spans="13:16">
      <c r="M30399" s="49">
        <f>IF($A$4+303&gt;$B$4,"",$A$4+303)</f>
        <v>46326</v>
      </c>
      <c r="N30399">
        <f>IF(M30399="","",'Master Barang'!A93)</f>
        <v>0</v>
      </c>
      <c r="O30399">
        <f>IF(N30399="","",'Master Barang'!B93)</f>
        <v>0</v>
      </c>
      <c r="P30399">
        <f>IF(OR(M30399="",N30399=""),"",SUMIFS('Barang Keluar'!$E:$E,'Barang Keluar'!$A:$A,M30399,'Barang Keluar'!$C:$C,N30399))</f>
        <v>0</v>
      </c>
    </row>
    <row r="30400" spans="13:16">
      <c r="M30400" s="49">
        <f>IF($A$4+303&gt;$B$4,"",$A$4+303)</f>
        <v>46326</v>
      </c>
      <c r="N30400">
        <f>IF(M30400="","",'Master Barang'!A94)</f>
        <v>0</v>
      </c>
      <c r="O30400">
        <f>IF(N30400="","",'Master Barang'!B94)</f>
        <v>0</v>
      </c>
      <c r="P30400">
        <f>IF(OR(M30400="",N30400=""),"",SUMIFS('Barang Keluar'!$E:$E,'Barang Keluar'!$A:$A,M30400,'Barang Keluar'!$C:$C,N30400))</f>
        <v>0</v>
      </c>
    </row>
    <row r="30401" spans="13:16">
      <c r="M30401" s="49">
        <f>IF($A$4+303&gt;$B$4,"",$A$4+303)</f>
        <v>46326</v>
      </c>
      <c r="N30401">
        <f>IF(M30401="","",'Master Barang'!A95)</f>
        <v>0</v>
      </c>
      <c r="O30401">
        <f>IF(N30401="","",'Master Barang'!B95)</f>
        <v>0</v>
      </c>
      <c r="P30401">
        <f>IF(OR(M30401="",N30401=""),"",SUMIFS('Barang Keluar'!$E:$E,'Barang Keluar'!$A:$A,M30401,'Barang Keluar'!$C:$C,N30401))</f>
        <v>0</v>
      </c>
    </row>
    <row r="30402" spans="13:16">
      <c r="M30402" s="49">
        <f>IF($A$4+303&gt;$B$4,"",$A$4+303)</f>
        <v>46326</v>
      </c>
      <c r="N30402">
        <f>IF(M30402="","",'Master Barang'!A96)</f>
        <v>0</v>
      </c>
      <c r="O30402">
        <f>IF(N30402="","",'Master Barang'!B96)</f>
        <v>0</v>
      </c>
      <c r="P30402">
        <f>IF(OR(M30402="",N30402=""),"",SUMIFS('Barang Keluar'!$E:$E,'Barang Keluar'!$A:$A,M30402,'Barang Keluar'!$C:$C,N30402))</f>
        <v>0</v>
      </c>
    </row>
    <row r="30403" spans="13:16">
      <c r="M30403" s="49">
        <f>IF($A$4+303&gt;$B$4,"",$A$4+303)</f>
        <v>46326</v>
      </c>
      <c r="N30403">
        <f>IF(M30403="","",'Master Barang'!A97)</f>
        <v>0</v>
      </c>
      <c r="O30403">
        <f>IF(N30403="","",'Master Barang'!B97)</f>
        <v>0</v>
      </c>
      <c r="P30403">
        <f>IF(OR(M30403="",N30403=""),"",SUMIFS('Barang Keluar'!$E:$E,'Barang Keluar'!$A:$A,M30403,'Barang Keluar'!$C:$C,N30403))</f>
        <v>0</v>
      </c>
    </row>
    <row r="30404" spans="13:16">
      <c r="M30404" s="49">
        <f>IF($A$4+303&gt;$B$4,"",$A$4+303)</f>
        <v>46326</v>
      </c>
      <c r="N30404">
        <f>IF(M30404="","",'Master Barang'!A98)</f>
        <v>0</v>
      </c>
      <c r="O30404">
        <f>IF(N30404="","",'Master Barang'!B98)</f>
        <v>0</v>
      </c>
      <c r="P30404">
        <f>IF(OR(M30404="",N30404=""),"",SUMIFS('Barang Keluar'!$E:$E,'Barang Keluar'!$A:$A,M30404,'Barang Keluar'!$C:$C,N30404))</f>
        <v>0</v>
      </c>
    </row>
    <row r="30405" spans="13:16">
      <c r="M30405" s="49">
        <f>IF($A$4+303&gt;$B$4,"",$A$4+303)</f>
        <v>46326</v>
      </c>
      <c r="N30405">
        <f>IF(M30405="","",'Master Barang'!A99)</f>
        <v>0</v>
      </c>
      <c r="O30405">
        <f>IF(N30405="","",'Master Barang'!B99)</f>
        <v>0</v>
      </c>
      <c r="P30405">
        <f>IF(OR(M30405="",N30405=""),"",SUMIFS('Barang Keluar'!$E:$E,'Barang Keluar'!$A:$A,M30405,'Barang Keluar'!$C:$C,N30405))</f>
        <v>0</v>
      </c>
    </row>
    <row r="30406" spans="13:16">
      <c r="M30406" s="49">
        <f>IF($A$4+303&gt;$B$4,"",$A$4+303)</f>
        <v>46326</v>
      </c>
      <c r="N30406">
        <f>IF(M30406="","",'Master Barang'!A100)</f>
        <v>0</v>
      </c>
      <c r="O30406">
        <f>IF(N30406="","",'Master Barang'!B100)</f>
        <v>0</v>
      </c>
      <c r="P30406">
        <f>IF(OR(M30406="",N30406=""),"",SUMIFS('Barang Keluar'!$E:$E,'Barang Keluar'!$A:$A,M30406,'Barang Keluar'!$C:$C,N30406))</f>
        <v>0</v>
      </c>
    </row>
    <row r="30407" spans="13:16">
      <c r="M30407" s="49">
        <f>IF($A$4+303&gt;$B$4,"",$A$4+303)</f>
        <v>46326</v>
      </c>
      <c r="N30407">
        <f>IF(M30407="","",'Master Barang'!A101)</f>
        <v>0</v>
      </c>
      <c r="O30407">
        <f>IF(N30407="","",'Master Barang'!B101)</f>
        <v>0</v>
      </c>
      <c r="P30407">
        <f>IF(OR(M30407="",N30407=""),"",SUMIFS('Barang Keluar'!$E:$E,'Barang Keluar'!$A:$A,M30407,'Barang Keluar'!$C:$C,N30407))</f>
        <v>0</v>
      </c>
    </row>
    <row r="30408" spans="13:16">
      <c r="M30408" s="49">
        <f>IF($A$4+304&gt;$B$4,"",$A$4+304)</f>
        <v>46327</v>
      </c>
      <c r="N30408" t="str">
        <f>IF(M30408="","",'Master Barang'!A2)</f>
        <v>PRL-001</v>
      </c>
      <c r="O30408" t="str">
        <f>IF(N30408="","",'Master Barang'!B2)</f>
        <v>natura desinfectant food grade 5l</v>
      </c>
      <c r="P30408">
        <f>IF(OR(M30408="",N30408=""),"",SUMIFS('Barang Keluar'!$E:$E,'Barang Keluar'!$A:$A,M30408,'Barang Keluar'!$C:$C,N30408))</f>
        <v>0</v>
      </c>
    </row>
    <row r="30409" spans="13:16">
      <c r="M30409" s="49">
        <f>IF($A$4+304&gt;$B$4,"",$A$4+304)</f>
        <v>46327</v>
      </c>
      <c r="N30409" t="str">
        <f>IF(M30409="","",'Master Barang'!A3)</f>
        <v>PRL-002</v>
      </c>
      <c r="O30409" t="str">
        <f>IF(N30409="","",'Master Barang'!B3)</f>
        <v>sunlight cairan pencuci piring 5l</v>
      </c>
      <c r="P30409">
        <f>IF(OR(M30409="",N30409=""),"",SUMIFS('Barang Keluar'!$E:$E,'Barang Keluar'!$A:$A,M30409,'Barang Keluar'!$C:$C,N30409))</f>
        <v>0</v>
      </c>
    </row>
    <row r="30410" spans="13:16">
      <c r="M30410" s="49">
        <f>IF($A$4+304&gt;$B$4,"",$A$4+304)</f>
        <v>46327</v>
      </c>
      <c r="N30410" t="str">
        <f>IF(M30410="","",'Master Barang'!A4)</f>
        <v>PRL-003</v>
      </c>
      <c r="O30410" t="str">
        <f>IF(N30410="","",'Master Barang'!B4)</f>
        <v>oixs cleaner 1l</v>
      </c>
      <c r="P30410">
        <f>IF(OR(M30410="",N30410=""),"",SUMIFS('Barang Keluar'!$E:$E,'Barang Keluar'!$A:$A,M30410,'Barang Keluar'!$C:$C,N30410))</f>
        <v>0</v>
      </c>
    </row>
    <row r="30411" spans="13:16">
      <c r="M30411" s="49">
        <f>IF($A$4+304&gt;$B$4,"",$A$4+304)</f>
        <v>46327</v>
      </c>
      <c r="N30411" t="str">
        <f>IF(M30411="","",'Master Barang'!A5)</f>
        <v>PRL-004</v>
      </c>
      <c r="O30411" t="str">
        <f>IF(N30411="","",'Master Barang'!B5)</f>
        <v>be clean tissue serbaguna</v>
      </c>
      <c r="P30411">
        <f>IF(OR(M30411="",N30411=""),"",SUMIFS('Barang Keluar'!$E:$E,'Barang Keluar'!$A:$A,M30411,'Barang Keluar'!$C:$C,N30411))</f>
        <v>0</v>
      </c>
    </row>
    <row r="30412" spans="13:16">
      <c r="M30412" s="49">
        <f>IF($A$4+304&gt;$B$4,"",$A$4+304)</f>
        <v>46327</v>
      </c>
      <c r="N30412" t="str">
        <f>IF(M30412="","",'Master Barang'!A6)</f>
        <v>PRL-005</v>
      </c>
      <c r="O30412" t="str">
        <f>IF(N30412="","",'Master Barang'!B6)</f>
        <v>spons cuci hijau</v>
      </c>
      <c r="P30412">
        <f>IF(OR(M30412="",N30412=""),"",SUMIFS('Barang Keluar'!$E:$E,'Barang Keluar'!$A:$A,M30412,'Barang Keluar'!$C:$C,N30412))</f>
        <v>0</v>
      </c>
    </row>
    <row r="30413" spans="13:16">
      <c r="M30413" s="49">
        <f>IF($A$4+304&gt;$B$4,"",$A$4+304)</f>
        <v>46327</v>
      </c>
      <c r="N30413" t="str">
        <f>IF(M30413="","",'Master Barang'!A7)</f>
        <v>PRL-006</v>
      </c>
      <c r="O30413" t="str">
        <f>IF(N30413="","",'Master Barang'!B7)</f>
        <v>sabut cuci stainless</v>
      </c>
      <c r="P30413">
        <f>IF(OR(M30413="",N30413=""),"",SUMIFS('Barang Keluar'!$E:$E,'Barang Keluar'!$A:$A,M30413,'Barang Keluar'!$C:$C,N30413))</f>
        <v>0</v>
      </c>
    </row>
    <row r="30414" spans="13:16">
      <c r="M30414" s="49">
        <f>IF($A$4+304&gt;$B$4,"",$A$4+304)</f>
        <v>46327</v>
      </c>
      <c r="N30414" t="str">
        <f>IF(M30414="","",'Master Barang'!A8)</f>
        <v>PRL-007</v>
      </c>
      <c r="O30414" t="str">
        <f>IF(N30414="","",'Master Barang'!B8)</f>
        <v>plastik kresek besar merah 50pc</v>
      </c>
      <c r="P30414">
        <f>IF(OR(M30414="",N30414=""),"",SUMIFS('Barang Keluar'!$E:$E,'Barang Keluar'!$A:$A,M30414,'Barang Keluar'!$C:$C,N30414))</f>
        <v>0</v>
      </c>
    </row>
    <row r="30415" spans="13:16">
      <c r="M30415" s="49">
        <f>IF($A$4+304&gt;$B$4,"",$A$4+304)</f>
        <v>46327</v>
      </c>
      <c r="N30415" t="str">
        <f>IF(M30415="","",'Master Barang'!A9)</f>
        <v>PRL-008</v>
      </c>
      <c r="O30415" t="str">
        <f>IF(N30415="","",'Master Barang'!B9)</f>
        <v>lap besar</v>
      </c>
      <c r="P30415">
        <f>IF(OR(M30415="",N30415=""),"",SUMIFS('Barang Keluar'!$E:$E,'Barang Keluar'!$A:$A,M30415,'Barang Keluar'!$C:$C,N30415))</f>
        <v>0</v>
      </c>
    </row>
    <row r="30416" spans="13:16">
      <c r="M30416" s="49">
        <f>IF($A$4+304&gt;$B$4,"",$A$4+304)</f>
        <v>46327</v>
      </c>
      <c r="N30416" t="str">
        <f>IF(M30416="","",'Master Barang'!A10)</f>
        <v>PRL-009</v>
      </c>
      <c r="O30416" t="str">
        <f>IF(N30416="","",'Master Barang'!B10)</f>
        <v>lap microfiber</v>
      </c>
      <c r="P30416">
        <f>IF(OR(M30416="",N30416=""),"",SUMIFS('Barang Keluar'!$E:$E,'Barang Keluar'!$A:$A,M30416,'Barang Keluar'!$C:$C,N30416))</f>
        <v>0</v>
      </c>
    </row>
    <row r="30417" spans="13:16">
      <c r="M30417" s="49">
        <f>IF($A$4+304&gt;$B$4,"",$A$4+304)</f>
        <v>46327</v>
      </c>
      <c r="N30417" t="str">
        <f>IF(M30417="","",'Master Barang'!A11)</f>
        <v>PRL-010</v>
      </c>
      <c r="O30417" t="str">
        <f>IF(N30417="","",'Master Barang'!B11)</f>
        <v>lap kecil</v>
      </c>
      <c r="P30417">
        <f>IF(OR(M30417="",N30417=""),"",SUMIFS('Barang Keluar'!$E:$E,'Barang Keluar'!$A:$A,M30417,'Barang Keluar'!$C:$C,N30417))</f>
        <v>0</v>
      </c>
    </row>
    <row r="30418" spans="13:16">
      <c r="M30418" s="49">
        <f>IF($A$4+304&gt;$B$4,"",$A$4+304)</f>
        <v>46327</v>
      </c>
      <c r="N30418" t="str">
        <f>IF(M30418="","",'Master Barang'!A12)</f>
        <v>PRL-011</v>
      </c>
      <c r="O30418" t="str">
        <f>IF(N30418="","",'Master Barang'!B12)</f>
        <v>kanebo kecil</v>
      </c>
      <c r="P30418">
        <f>IF(OR(M30418="",N30418=""),"",SUMIFS('Barang Keluar'!$E:$E,'Barang Keluar'!$A:$A,M30418,'Barang Keluar'!$C:$C,N30418))</f>
        <v>0</v>
      </c>
    </row>
    <row r="30419" spans="13:16">
      <c r="M30419" s="49">
        <f>IF($A$4+304&gt;$B$4,"",$A$4+304)</f>
        <v>46327</v>
      </c>
      <c r="N30419" t="str">
        <f>IF(M30419="","",'Master Barang'!A13)</f>
        <v>PRL-012</v>
      </c>
      <c r="O30419" t="str">
        <f>IF(N30419="","",'Master Barang'!B13)</f>
        <v>plastik 1/4kg joyoboyo 100 lembar</v>
      </c>
      <c r="P30419">
        <f>IF(OR(M30419="",N30419=""),"",SUMIFS('Barang Keluar'!$E:$E,'Barang Keluar'!$A:$A,M30419,'Barang Keluar'!$C:$C,N30419))</f>
        <v>0</v>
      </c>
    </row>
    <row r="30420" spans="13:16">
      <c r="M30420" s="49">
        <f>IF($A$4+304&gt;$B$4,"",$A$4+304)</f>
        <v>46327</v>
      </c>
      <c r="N30420" t="str">
        <f>IF(M30420="","",'Master Barang'!A14)</f>
        <v>PRL-013</v>
      </c>
      <c r="O30420" t="str">
        <f>IF(N30420="","",'Master Barang'!B14)</f>
        <v>sarung tangan plastik kaka 100 pcs</v>
      </c>
      <c r="P30420">
        <f>IF(OR(M30420="",N30420=""),"",SUMIFS('Barang Keluar'!$E:$E,'Barang Keluar'!$A:$A,M30420,'Barang Keluar'!$C:$C,N30420))</f>
        <v>0</v>
      </c>
    </row>
    <row r="30421" spans="13:16">
      <c r="M30421" s="49">
        <f>IF($A$4+304&gt;$B$4,"",$A$4+304)</f>
        <v>46327</v>
      </c>
      <c r="N30421" t="str">
        <f>IF(M30421="","",'Master Barang'!A15)</f>
        <v>PRL-014</v>
      </c>
      <c r="O30421" t="str">
        <f>IF(N30421="","",'Master Barang'!B15)</f>
        <v>optima trashbag 80x100</v>
      </c>
      <c r="P30421">
        <f>IF(OR(M30421="",N30421=""),"",SUMIFS('Barang Keluar'!$E:$E,'Barang Keluar'!$A:$A,M30421,'Barang Keluar'!$C:$C,N30421))</f>
        <v>0</v>
      </c>
    </row>
    <row r="30422" spans="13:16">
      <c r="M30422" s="49">
        <f>IF($A$4+304&gt;$B$4,"",$A$4+304)</f>
        <v>46327</v>
      </c>
      <c r="N30422" t="str">
        <f>IF(M30422="","",'Master Barang'!A16)</f>
        <v>PRL-015</v>
      </c>
      <c r="O30422" t="str">
        <f>IF(N30422="","",'Master Barang'!B16)</f>
        <v>optima trashbag 60x100</v>
      </c>
      <c r="P30422">
        <f>IF(OR(M30422="",N30422=""),"",SUMIFS('Barang Keluar'!$E:$E,'Barang Keluar'!$A:$A,M30422,'Barang Keluar'!$C:$C,N30422))</f>
        <v>0</v>
      </c>
    </row>
    <row r="30423" spans="13:16">
      <c r="M30423" s="49">
        <f>IF($A$4+304&gt;$B$4,"",$A$4+304)</f>
        <v>46327</v>
      </c>
      <c r="N30423" t="str">
        <f>IF(M30423="","",'Master Barang'!A17)</f>
        <v>PRL-016</v>
      </c>
      <c r="O30423" t="str">
        <f>IF(N30423="","",'Master Barang'!B17)</f>
        <v>rajawali trashbag 30x40</v>
      </c>
      <c r="P30423">
        <f>IF(OR(M30423="",N30423=""),"",SUMIFS('Barang Keluar'!$E:$E,'Barang Keluar'!$A:$A,M30423,'Barang Keluar'!$C:$C,N30423))</f>
        <v>0</v>
      </c>
    </row>
    <row r="30424" spans="13:16">
      <c r="M30424" s="49">
        <f>IF($A$4+304&gt;$B$4,"",$A$4+304)</f>
        <v>46327</v>
      </c>
      <c r="N30424" t="str">
        <f>IF(M30424="","",'Master Barang'!A18)</f>
        <v>PRL-017</v>
      </c>
      <c r="O30424" t="str">
        <f>IF(N30424="","",'Master Barang'!B18)</f>
        <v>onemed masker biru 3 play 50 pcs</v>
      </c>
      <c r="P30424">
        <f>IF(OR(M30424="",N30424=""),"",SUMIFS('Barang Keluar'!$E:$E,'Barang Keluar'!$A:$A,M30424,'Barang Keluar'!$C:$C,N30424))</f>
        <v>0</v>
      </c>
    </row>
    <row r="30425" spans="13:16">
      <c r="M30425" s="49">
        <f>IF($A$4+304&gt;$B$4,"",$A$4+304)</f>
        <v>46327</v>
      </c>
      <c r="N30425" t="str">
        <f>IF(M30425="","",'Master Barang'!A19)</f>
        <v>PRL-018</v>
      </c>
      <c r="O30425" t="str">
        <f>IF(N30425="","",'Master Barang'!B19)</f>
        <v>onemed masker biru 3 play hijab 50 pcs</v>
      </c>
      <c r="P30425">
        <f>IF(OR(M30425="",N30425=""),"",SUMIFS('Barang Keluar'!$E:$E,'Barang Keluar'!$A:$A,M30425,'Barang Keluar'!$C:$C,N30425))</f>
        <v>0</v>
      </c>
    </row>
    <row r="30426" spans="13:16">
      <c r="M30426" s="49">
        <f>IF($A$4+304&gt;$B$4,"",$A$4+304)</f>
        <v>46327</v>
      </c>
      <c r="N30426" t="str">
        <f>IF(M30426="","",'Master Barang'!A20)</f>
        <v>PRL-019</v>
      </c>
      <c r="O30426" t="str">
        <f>IF(N30426="","",'Master Barang'!B20)</f>
        <v>neo health masker biru 3 play 50 pcs</v>
      </c>
      <c r="P30426">
        <f>IF(OR(M30426="",N30426=""),"",SUMIFS('Barang Keluar'!$E:$E,'Barang Keluar'!$A:$A,M30426,'Barang Keluar'!$C:$C,N30426))</f>
        <v>0</v>
      </c>
    </row>
    <row r="30427" spans="13:16">
      <c r="M30427" s="49">
        <f>IF($A$4+304&gt;$B$4,"",$A$4+304)</f>
        <v>46327</v>
      </c>
      <c r="N30427" t="str">
        <f>IF(M30427="","",'Master Barang'!A21)</f>
        <v>PRL-020</v>
      </c>
      <c r="O30427" t="str">
        <f>IF(N30427="","",'Master Barang'!B21)</f>
        <v>baymed masker hijau 3 play hijau 50 pcs</v>
      </c>
      <c r="P30427">
        <f>IF(OR(M30427="",N30427=""),"",SUMIFS('Barang Keluar'!$E:$E,'Barang Keluar'!$A:$A,M30427,'Barang Keluar'!$C:$C,N30427))</f>
        <v>0</v>
      </c>
    </row>
    <row r="30428" spans="13:16">
      <c r="M30428" s="49">
        <f>IF($A$4+304&gt;$B$4,"",$A$4+304)</f>
        <v>46327</v>
      </c>
      <c r="N30428" t="str">
        <f>IF(M30428="","",'Master Barang'!A22)</f>
        <v>PRL-021</v>
      </c>
      <c r="O30428" t="str">
        <f>IF(N30428="","",'Master Barang'!B22)</f>
        <v>altamed nurse cap penutup kepala 100 pcs</v>
      </c>
      <c r="P30428">
        <f>IF(OR(M30428="",N30428=""),"",SUMIFS('Barang Keluar'!$E:$E,'Barang Keluar'!$A:$A,M30428,'Barang Keluar'!$C:$C,N30428))</f>
        <v>0</v>
      </c>
    </row>
    <row r="30429" spans="13:16">
      <c r="M30429" s="49">
        <f>IF($A$4+304&gt;$B$4,"",$A$4+304)</f>
        <v>46327</v>
      </c>
      <c r="N30429" t="str">
        <f>IF(M30429="","",'Master Barang'!A23)</f>
        <v>PRL-022</v>
      </c>
      <c r="O30429" t="str">
        <f>IF(N30429="","",'Master Barang'!B23)</f>
        <v>sabun cuci tangan</v>
      </c>
      <c r="P30429">
        <f>IF(OR(M30429="",N30429=""),"",SUMIFS('Barang Keluar'!$E:$E,'Barang Keluar'!$A:$A,M30429,'Barang Keluar'!$C:$C,N30429))</f>
        <v>0</v>
      </c>
    </row>
    <row r="30430" spans="13:16">
      <c r="M30430" s="49">
        <f>IF($A$4+304&gt;$B$4,"",$A$4+304)</f>
        <v>46327</v>
      </c>
      <c r="N30430" t="str">
        <f>IF(M30430="","",'Master Barang'!A24)</f>
        <v>PRL-023</v>
      </c>
      <c r="O30430" t="str">
        <f>IF(N30430="","",'Master Barang'!B24)</f>
        <v>gayung kecil</v>
      </c>
      <c r="P30430">
        <f>IF(OR(M30430="",N30430=""),"",SUMIFS('Barang Keluar'!$E:$E,'Barang Keluar'!$A:$A,M30430,'Barang Keluar'!$C:$C,N30430))</f>
        <v>0</v>
      </c>
    </row>
    <row r="30431" spans="13:16">
      <c r="M30431" s="49">
        <f>IF($A$4+304&gt;$B$4,"",$A$4+304)</f>
        <v>46327</v>
      </c>
      <c r="N30431" t="str">
        <f>IF(M30431="","",'Master Barang'!A25)</f>
        <v>PRL-024</v>
      </c>
      <c r="O30431" t="str">
        <f>IF(N30431="","",'Master Barang'!B25)</f>
        <v>cikrak kecil</v>
      </c>
      <c r="P30431">
        <f>IF(OR(M30431="",N30431=""),"",SUMIFS('Barang Keluar'!$E:$E,'Barang Keluar'!$A:$A,M30431,'Barang Keluar'!$C:$C,N30431))</f>
        <v>0</v>
      </c>
    </row>
    <row r="30432" spans="13:16">
      <c r="M30432" s="49">
        <f>IF($A$4+304&gt;$B$4,"",$A$4+304)</f>
        <v>46327</v>
      </c>
      <c r="N30432" t="str">
        <f>IF(M30432="","",'Master Barang'!A26)</f>
        <v>PRL-025</v>
      </c>
      <c r="O30432" t="str">
        <f>IF(N30432="","",'Master Barang'!B26)</f>
        <v>petromax plastik kecil 12x24 100 lembar</v>
      </c>
      <c r="P30432">
        <f>IF(OR(M30432="",N30432=""),"",SUMIFS('Barang Keluar'!$E:$E,'Barang Keluar'!$A:$A,M30432,'Barang Keluar'!$C:$C,N30432))</f>
        <v>0</v>
      </c>
    </row>
    <row r="30433" spans="13:16">
      <c r="M30433" s="49">
        <f>IF($A$4+304&gt;$B$4,"",$A$4+304)</f>
        <v>46327</v>
      </c>
      <c r="N30433" t="str">
        <f>IF(M30433="","",'Master Barang'!A27)</f>
        <v>PRL-026</v>
      </c>
      <c r="O30433" t="str">
        <f>IF(N30433="","",'Master Barang'!B27)</f>
        <v>lancar kresek kecil bening </v>
      </c>
      <c r="P30433">
        <f>IF(OR(M30433="",N30433=""),"",SUMIFS('Barang Keluar'!$E:$E,'Barang Keluar'!$A:$A,M30433,'Barang Keluar'!$C:$C,N30433))</f>
        <v>0</v>
      </c>
    </row>
    <row r="30434" spans="13:16">
      <c r="M30434" s="49">
        <f>IF($A$4+304&gt;$B$4,"",$A$4+304)</f>
        <v>46327</v>
      </c>
      <c r="N30434" t="str">
        <f>IF(M30434="","",'Master Barang'!A28)</f>
        <v>PRL-027</v>
      </c>
      <c r="O30434" t="str">
        <f>IF(N30434="","",'Master Barang'!B28)</f>
        <v>kresek klin warna warni kecil</v>
      </c>
      <c r="P30434">
        <f>IF(OR(M30434="",N30434=""),"",SUMIFS('Barang Keluar'!$E:$E,'Barang Keluar'!$A:$A,M30434,'Barang Keluar'!$C:$C,N30434))</f>
        <v>0</v>
      </c>
    </row>
    <row r="30435" spans="13:16">
      <c r="M30435" s="49">
        <f>IF($A$4+304&gt;$B$4,"",$A$4+304)</f>
        <v>46327</v>
      </c>
      <c r="N30435" t="str">
        <f>IF(M30435="","",'Master Barang'!A29)</f>
        <v>PRL-028</v>
      </c>
      <c r="O30435" t="str">
        <f>IF(N30435="","",'Master Barang'!B29)</f>
        <v>ctik plastik 7x10 100 pcs</v>
      </c>
      <c r="P30435">
        <f>IF(OR(M30435="",N30435=""),"",SUMIFS('Barang Keluar'!$E:$E,'Barang Keluar'!$A:$A,M30435,'Barang Keluar'!$C:$C,N30435))</f>
        <v>0</v>
      </c>
    </row>
    <row r="30436" spans="13:16">
      <c r="M30436" s="49">
        <f>IF($A$4+304&gt;$B$4,"",$A$4+304)</f>
        <v>46327</v>
      </c>
      <c r="N30436" t="str">
        <f>IF(M30436="","",'Master Barang'!A30)</f>
        <v>PRL-029</v>
      </c>
      <c r="O30436" t="str">
        <f>IF(N30436="","",'Master Barang'!B30)</f>
        <v>ctik plastik 6x10 100 pcs</v>
      </c>
      <c r="P30436">
        <f>IF(OR(M30436="",N30436=""),"",SUMIFS('Barang Keluar'!$E:$E,'Barang Keluar'!$A:$A,M30436,'Barang Keluar'!$C:$C,N30436))</f>
        <v>0</v>
      </c>
    </row>
    <row r="30437" spans="13:16">
      <c r="M30437" s="49">
        <f>IF($A$4+304&gt;$B$4,"",$A$4+304)</f>
        <v>46327</v>
      </c>
      <c r="N30437" t="str">
        <f>IF(M30437="","",'Master Barang'!A31)</f>
        <v>PRL-030</v>
      </c>
      <c r="O30437" t="str">
        <f>IF(N30437="","",'Master Barang'!B31)</f>
        <v>klip plastik 25x16 100 pcs</v>
      </c>
      <c r="P30437">
        <f>IF(OR(M30437="",N30437=""),"",SUMIFS('Barang Keluar'!$E:$E,'Barang Keluar'!$A:$A,M30437,'Barang Keluar'!$C:$C,N30437))</f>
        <v>0</v>
      </c>
    </row>
    <row r="30438" spans="13:16">
      <c r="M30438" s="49">
        <f>IF($A$4+304&gt;$B$4,"",$A$4+304)</f>
        <v>46327</v>
      </c>
      <c r="N30438" t="str">
        <f>IF(M30438="","",'Master Barang'!A32)</f>
        <v>PRL-031</v>
      </c>
      <c r="O30438" t="str">
        <f>IF(N30438="","",'Master Barang'!B32)</f>
        <v>tempat saus 20 ml</v>
      </c>
      <c r="P30438">
        <f>IF(OR(M30438="",N30438=""),"",SUMIFS('Barang Keluar'!$E:$E,'Barang Keluar'!$A:$A,M30438,'Barang Keluar'!$C:$C,N30438))</f>
        <v>0</v>
      </c>
    </row>
    <row r="30439" spans="13:16">
      <c r="M30439" s="49">
        <f>IF($A$4+304&gt;$B$4,"",$A$4+304)</f>
        <v>46327</v>
      </c>
      <c r="N30439" t="str">
        <f>IF(M30439="","",'Master Barang'!A33)</f>
        <v>PRL-032</v>
      </c>
      <c r="O30439" t="str">
        <f>IF(N30439="","",'Master Barang'!B33)</f>
        <v>plastik packaging ag box uk sedang</v>
      </c>
      <c r="P30439">
        <f>IF(OR(M30439="",N30439=""),"",SUMIFS('Barang Keluar'!$E:$E,'Barang Keluar'!$A:$A,M30439,'Barang Keluar'!$C:$C,N30439))</f>
        <v>0</v>
      </c>
    </row>
    <row r="30440" spans="13:16">
      <c r="M30440" s="49">
        <f>IF($A$4+304&gt;$B$4,"",$A$4+304)</f>
        <v>46327</v>
      </c>
      <c r="N30440" t="str">
        <f>IF(M30440="","",'Master Barang'!A34)</f>
        <v>PRL-033</v>
      </c>
      <c r="O30440">
        <f>IF(N30440="","",'Master Barang'!B34)</f>
        <v>0</v>
      </c>
      <c r="P30440">
        <f>IF(OR(M30440="",N30440=""),"",SUMIFS('Barang Keluar'!$E:$E,'Barang Keluar'!$A:$A,M30440,'Barang Keluar'!$C:$C,N30440))</f>
        <v>0</v>
      </c>
    </row>
    <row r="30441" spans="13:16">
      <c r="M30441" s="49">
        <f>IF($A$4+304&gt;$B$4,"",$A$4+304)</f>
        <v>46327</v>
      </c>
      <c r="N30441">
        <f>IF(M30441="","",'Master Barang'!A35)</f>
        <v>0</v>
      </c>
      <c r="O30441">
        <f>IF(N30441="","",'Master Barang'!B35)</f>
        <v>0</v>
      </c>
      <c r="P30441">
        <f>IF(OR(M30441="",N30441=""),"",SUMIFS('Barang Keluar'!$E:$E,'Barang Keluar'!$A:$A,M30441,'Barang Keluar'!$C:$C,N30441))</f>
        <v>0</v>
      </c>
    </row>
    <row r="30442" spans="13:16">
      <c r="M30442" s="49">
        <f>IF($A$4+304&gt;$B$4,"",$A$4+304)</f>
        <v>46327</v>
      </c>
      <c r="N30442">
        <f>IF(M30442="","",'Master Barang'!A36)</f>
        <v>0</v>
      </c>
      <c r="O30442">
        <f>IF(N30442="","",'Master Barang'!B36)</f>
        <v>0</v>
      </c>
      <c r="P30442">
        <f>IF(OR(M30442="",N30442=""),"",SUMIFS('Barang Keluar'!$E:$E,'Barang Keluar'!$A:$A,M30442,'Barang Keluar'!$C:$C,N30442))</f>
        <v>0</v>
      </c>
    </row>
    <row r="30443" spans="13:16">
      <c r="M30443" s="49">
        <f>IF($A$4+304&gt;$B$4,"",$A$4+304)</f>
        <v>46327</v>
      </c>
      <c r="N30443">
        <f>IF(M30443="","",'Master Barang'!A37)</f>
        <v>0</v>
      </c>
      <c r="O30443">
        <f>IF(N30443="","",'Master Barang'!B37)</f>
        <v>0</v>
      </c>
      <c r="P30443">
        <f>IF(OR(M30443="",N30443=""),"",SUMIFS('Barang Keluar'!$E:$E,'Barang Keluar'!$A:$A,M30443,'Barang Keluar'!$C:$C,N30443))</f>
        <v>0</v>
      </c>
    </row>
    <row r="30444" spans="13:16">
      <c r="M30444" s="49">
        <f>IF($A$4+304&gt;$B$4,"",$A$4+304)</f>
        <v>46327</v>
      </c>
      <c r="N30444">
        <f>IF(M30444="","",'Master Barang'!A38)</f>
        <v>0</v>
      </c>
      <c r="O30444">
        <f>IF(N30444="","",'Master Barang'!B38)</f>
        <v>0</v>
      </c>
      <c r="P30444">
        <f>IF(OR(M30444="",N30444=""),"",SUMIFS('Barang Keluar'!$E:$E,'Barang Keluar'!$A:$A,M30444,'Barang Keluar'!$C:$C,N30444))</f>
        <v>0</v>
      </c>
    </row>
    <row r="30445" spans="13:16">
      <c r="M30445" s="49">
        <f>IF($A$4+304&gt;$B$4,"",$A$4+304)</f>
        <v>46327</v>
      </c>
      <c r="N30445">
        <f>IF(M30445="","",'Master Barang'!A39)</f>
        <v>0</v>
      </c>
      <c r="O30445">
        <f>IF(N30445="","",'Master Barang'!B39)</f>
        <v>0</v>
      </c>
      <c r="P30445">
        <f>IF(OR(M30445="",N30445=""),"",SUMIFS('Barang Keluar'!$E:$E,'Barang Keluar'!$A:$A,M30445,'Barang Keluar'!$C:$C,N30445))</f>
        <v>0</v>
      </c>
    </row>
    <row r="30446" spans="13:16">
      <c r="M30446" s="49">
        <f>IF($A$4+304&gt;$B$4,"",$A$4+304)</f>
        <v>46327</v>
      </c>
      <c r="N30446">
        <f>IF(M30446="","",'Master Barang'!A40)</f>
        <v>0</v>
      </c>
      <c r="O30446">
        <f>IF(N30446="","",'Master Barang'!B40)</f>
        <v>0</v>
      </c>
      <c r="P30446">
        <f>IF(OR(M30446="",N30446=""),"",SUMIFS('Barang Keluar'!$E:$E,'Barang Keluar'!$A:$A,M30446,'Barang Keluar'!$C:$C,N30446))</f>
        <v>0</v>
      </c>
    </row>
    <row r="30447" spans="13:16">
      <c r="M30447" s="49">
        <f>IF($A$4+304&gt;$B$4,"",$A$4+304)</f>
        <v>46327</v>
      </c>
      <c r="N30447">
        <f>IF(M30447="","",'Master Barang'!A41)</f>
        <v>0</v>
      </c>
      <c r="O30447">
        <f>IF(N30447="","",'Master Barang'!B41)</f>
        <v>0</v>
      </c>
      <c r="P30447">
        <f>IF(OR(M30447="",N30447=""),"",SUMIFS('Barang Keluar'!$E:$E,'Barang Keluar'!$A:$A,M30447,'Barang Keluar'!$C:$C,N30447))</f>
        <v>0</v>
      </c>
    </row>
    <row r="30448" spans="13:16">
      <c r="M30448" s="49">
        <f>IF($A$4+304&gt;$B$4,"",$A$4+304)</f>
        <v>46327</v>
      </c>
      <c r="N30448">
        <f>IF(M30448="","",'Master Barang'!A42)</f>
        <v>0</v>
      </c>
      <c r="O30448">
        <f>IF(N30448="","",'Master Barang'!B42)</f>
        <v>0</v>
      </c>
      <c r="P30448">
        <f>IF(OR(M30448="",N30448=""),"",SUMIFS('Barang Keluar'!$E:$E,'Barang Keluar'!$A:$A,M30448,'Barang Keluar'!$C:$C,N30448))</f>
        <v>0</v>
      </c>
    </row>
    <row r="30449" spans="13:16">
      <c r="M30449" s="49">
        <f>IF($A$4+304&gt;$B$4,"",$A$4+304)</f>
        <v>46327</v>
      </c>
      <c r="N30449">
        <f>IF(M30449="","",'Master Barang'!A43)</f>
        <v>0</v>
      </c>
      <c r="O30449">
        <f>IF(N30449="","",'Master Barang'!B43)</f>
        <v>0</v>
      </c>
      <c r="P30449">
        <f>IF(OR(M30449="",N30449=""),"",SUMIFS('Barang Keluar'!$E:$E,'Barang Keluar'!$A:$A,M30449,'Barang Keluar'!$C:$C,N30449))</f>
        <v>0</v>
      </c>
    </row>
    <row r="30450" spans="13:16">
      <c r="M30450" s="49">
        <f>IF($A$4+304&gt;$B$4,"",$A$4+304)</f>
        <v>46327</v>
      </c>
      <c r="N30450">
        <f>IF(M30450="","",'Master Barang'!A44)</f>
        <v>0</v>
      </c>
      <c r="O30450">
        <f>IF(N30450="","",'Master Barang'!B44)</f>
        <v>0</v>
      </c>
      <c r="P30450">
        <f>IF(OR(M30450="",N30450=""),"",SUMIFS('Barang Keluar'!$E:$E,'Barang Keluar'!$A:$A,M30450,'Barang Keluar'!$C:$C,N30450))</f>
        <v>0</v>
      </c>
    </row>
    <row r="30451" spans="13:16">
      <c r="M30451" s="49">
        <f>IF($A$4+304&gt;$B$4,"",$A$4+304)</f>
        <v>46327</v>
      </c>
      <c r="N30451">
        <f>IF(M30451="","",'Master Barang'!A45)</f>
        <v>0</v>
      </c>
      <c r="O30451">
        <f>IF(N30451="","",'Master Barang'!B45)</f>
        <v>0</v>
      </c>
      <c r="P30451">
        <f>IF(OR(M30451="",N30451=""),"",SUMIFS('Barang Keluar'!$E:$E,'Barang Keluar'!$A:$A,M30451,'Barang Keluar'!$C:$C,N30451))</f>
        <v>0</v>
      </c>
    </row>
    <row r="30452" spans="13:16">
      <c r="M30452" s="49">
        <f>IF($A$4+304&gt;$B$4,"",$A$4+304)</f>
        <v>46327</v>
      </c>
      <c r="N30452">
        <f>IF(M30452="","",'Master Barang'!A46)</f>
        <v>0</v>
      </c>
      <c r="O30452">
        <f>IF(N30452="","",'Master Barang'!B46)</f>
        <v>0</v>
      </c>
      <c r="P30452">
        <f>IF(OR(M30452="",N30452=""),"",SUMIFS('Barang Keluar'!$E:$E,'Barang Keluar'!$A:$A,M30452,'Barang Keluar'!$C:$C,N30452))</f>
        <v>0</v>
      </c>
    </row>
    <row r="30453" spans="13:16">
      <c r="M30453" s="49">
        <f>IF($A$4+304&gt;$B$4,"",$A$4+304)</f>
        <v>46327</v>
      </c>
      <c r="N30453">
        <f>IF(M30453="","",'Master Barang'!A47)</f>
        <v>0</v>
      </c>
      <c r="O30453">
        <f>IF(N30453="","",'Master Barang'!B47)</f>
        <v>0</v>
      </c>
      <c r="P30453">
        <f>IF(OR(M30453="",N30453=""),"",SUMIFS('Barang Keluar'!$E:$E,'Barang Keluar'!$A:$A,M30453,'Barang Keluar'!$C:$C,N30453))</f>
        <v>0</v>
      </c>
    </row>
    <row r="30454" spans="13:16">
      <c r="M30454" s="49">
        <f>IF($A$4+304&gt;$B$4,"",$A$4+304)</f>
        <v>46327</v>
      </c>
      <c r="N30454">
        <f>IF(M30454="","",'Master Barang'!A48)</f>
        <v>0</v>
      </c>
      <c r="O30454">
        <f>IF(N30454="","",'Master Barang'!B48)</f>
        <v>0</v>
      </c>
      <c r="P30454">
        <f>IF(OR(M30454="",N30454=""),"",SUMIFS('Barang Keluar'!$E:$E,'Barang Keluar'!$A:$A,M30454,'Barang Keluar'!$C:$C,N30454))</f>
        <v>0</v>
      </c>
    </row>
    <row r="30455" spans="13:16">
      <c r="M30455" s="49">
        <f>IF($A$4+304&gt;$B$4,"",$A$4+304)</f>
        <v>46327</v>
      </c>
      <c r="N30455">
        <f>IF(M30455="","",'Master Barang'!A49)</f>
        <v>0</v>
      </c>
      <c r="O30455">
        <f>IF(N30455="","",'Master Barang'!B49)</f>
        <v>0</v>
      </c>
      <c r="P30455">
        <f>IF(OR(M30455="",N30455=""),"",SUMIFS('Barang Keluar'!$E:$E,'Barang Keluar'!$A:$A,M30455,'Barang Keluar'!$C:$C,N30455))</f>
        <v>0</v>
      </c>
    </row>
    <row r="30456" spans="13:16">
      <c r="M30456" s="49">
        <f>IF($A$4+304&gt;$B$4,"",$A$4+304)</f>
        <v>46327</v>
      </c>
      <c r="N30456">
        <f>IF(M30456="","",'Master Barang'!A50)</f>
        <v>0</v>
      </c>
      <c r="O30456">
        <f>IF(N30456="","",'Master Barang'!B50)</f>
        <v>0</v>
      </c>
      <c r="P30456">
        <f>IF(OR(M30456="",N30456=""),"",SUMIFS('Barang Keluar'!$E:$E,'Barang Keluar'!$A:$A,M30456,'Barang Keluar'!$C:$C,N30456))</f>
        <v>0</v>
      </c>
    </row>
    <row r="30457" spans="13:16">
      <c r="M30457" s="49">
        <f>IF($A$4+304&gt;$B$4,"",$A$4+304)</f>
        <v>46327</v>
      </c>
      <c r="N30457">
        <f>IF(M30457="","",'Master Barang'!A51)</f>
        <v>0</v>
      </c>
      <c r="O30457">
        <f>IF(N30457="","",'Master Barang'!B51)</f>
        <v>0</v>
      </c>
      <c r="P30457">
        <f>IF(OR(M30457="",N30457=""),"",SUMIFS('Barang Keluar'!$E:$E,'Barang Keluar'!$A:$A,M30457,'Barang Keluar'!$C:$C,N30457))</f>
        <v>0</v>
      </c>
    </row>
    <row r="30458" spans="13:16">
      <c r="M30458" s="49">
        <f>IF($A$4+304&gt;$B$4,"",$A$4+304)</f>
        <v>46327</v>
      </c>
      <c r="N30458">
        <f>IF(M30458="","",'Master Barang'!A52)</f>
        <v>0</v>
      </c>
      <c r="O30458">
        <f>IF(N30458="","",'Master Barang'!B52)</f>
        <v>0</v>
      </c>
      <c r="P30458">
        <f>IF(OR(M30458="",N30458=""),"",SUMIFS('Barang Keluar'!$E:$E,'Barang Keluar'!$A:$A,M30458,'Barang Keluar'!$C:$C,N30458))</f>
        <v>0</v>
      </c>
    </row>
    <row r="30459" spans="13:16">
      <c r="M30459" s="49">
        <f>IF($A$4+304&gt;$B$4,"",$A$4+304)</f>
        <v>46327</v>
      </c>
      <c r="N30459">
        <f>IF(M30459="","",'Master Barang'!A53)</f>
        <v>0</v>
      </c>
      <c r="O30459">
        <f>IF(N30459="","",'Master Barang'!B53)</f>
        <v>0</v>
      </c>
      <c r="P30459">
        <f>IF(OR(M30459="",N30459=""),"",SUMIFS('Barang Keluar'!$E:$E,'Barang Keluar'!$A:$A,M30459,'Barang Keluar'!$C:$C,N30459))</f>
        <v>0</v>
      </c>
    </row>
    <row r="30460" spans="13:16">
      <c r="M30460" s="49">
        <f>IF($A$4+304&gt;$B$4,"",$A$4+304)</f>
        <v>46327</v>
      </c>
      <c r="N30460">
        <f>IF(M30460="","",'Master Barang'!A54)</f>
        <v>0</v>
      </c>
      <c r="O30460">
        <f>IF(N30460="","",'Master Barang'!B54)</f>
        <v>0</v>
      </c>
      <c r="P30460">
        <f>IF(OR(M30460="",N30460=""),"",SUMIFS('Barang Keluar'!$E:$E,'Barang Keluar'!$A:$A,M30460,'Barang Keluar'!$C:$C,N30460))</f>
        <v>0</v>
      </c>
    </row>
    <row r="30461" spans="13:16">
      <c r="M30461" s="49">
        <f>IF($A$4+304&gt;$B$4,"",$A$4+304)</f>
        <v>46327</v>
      </c>
      <c r="N30461">
        <f>IF(M30461="","",'Master Barang'!A55)</f>
        <v>0</v>
      </c>
      <c r="O30461">
        <f>IF(N30461="","",'Master Barang'!B55)</f>
        <v>0</v>
      </c>
      <c r="P30461">
        <f>IF(OR(M30461="",N30461=""),"",SUMIFS('Barang Keluar'!$E:$E,'Barang Keluar'!$A:$A,M30461,'Barang Keluar'!$C:$C,N30461))</f>
        <v>0</v>
      </c>
    </row>
    <row r="30462" spans="13:16">
      <c r="M30462" s="49">
        <f>IF($A$4+304&gt;$B$4,"",$A$4+304)</f>
        <v>46327</v>
      </c>
      <c r="N30462">
        <f>IF(M30462="","",'Master Barang'!A56)</f>
        <v>0</v>
      </c>
      <c r="O30462">
        <f>IF(N30462="","",'Master Barang'!B56)</f>
        <v>0</v>
      </c>
      <c r="P30462">
        <f>IF(OR(M30462="",N30462=""),"",SUMIFS('Barang Keluar'!$E:$E,'Barang Keluar'!$A:$A,M30462,'Barang Keluar'!$C:$C,N30462))</f>
        <v>0</v>
      </c>
    </row>
    <row r="30463" spans="13:16">
      <c r="M30463" s="49">
        <f>IF($A$4+304&gt;$B$4,"",$A$4+304)</f>
        <v>46327</v>
      </c>
      <c r="N30463">
        <f>IF(M30463="","",'Master Barang'!A57)</f>
        <v>0</v>
      </c>
      <c r="O30463">
        <f>IF(N30463="","",'Master Barang'!B57)</f>
        <v>0</v>
      </c>
      <c r="P30463">
        <f>IF(OR(M30463="",N30463=""),"",SUMIFS('Barang Keluar'!$E:$E,'Barang Keluar'!$A:$A,M30463,'Barang Keluar'!$C:$C,N30463))</f>
        <v>0</v>
      </c>
    </row>
    <row r="30464" spans="13:16">
      <c r="M30464" s="49">
        <f>IF($A$4+304&gt;$B$4,"",$A$4+304)</f>
        <v>46327</v>
      </c>
      <c r="N30464">
        <f>IF(M30464="","",'Master Barang'!A58)</f>
        <v>0</v>
      </c>
      <c r="O30464">
        <f>IF(N30464="","",'Master Barang'!B58)</f>
        <v>0</v>
      </c>
      <c r="P30464">
        <f>IF(OR(M30464="",N30464=""),"",SUMIFS('Barang Keluar'!$E:$E,'Barang Keluar'!$A:$A,M30464,'Barang Keluar'!$C:$C,N30464))</f>
        <v>0</v>
      </c>
    </row>
    <row r="30465" spans="13:16">
      <c r="M30465" s="49">
        <f>IF($A$4+304&gt;$B$4,"",$A$4+304)</f>
        <v>46327</v>
      </c>
      <c r="N30465">
        <f>IF(M30465="","",'Master Barang'!A59)</f>
        <v>0</v>
      </c>
      <c r="O30465">
        <f>IF(N30465="","",'Master Barang'!B59)</f>
        <v>0</v>
      </c>
      <c r="P30465">
        <f>IF(OR(M30465="",N30465=""),"",SUMIFS('Barang Keluar'!$E:$E,'Barang Keluar'!$A:$A,M30465,'Barang Keluar'!$C:$C,N30465))</f>
        <v>0</v>
      </c>
    </row>
    <row r="30466" spans="13:16">
      <c r="M30466" s="49">
        <f>IF($A$4+304&gt;$B$4,"",$A$4+304)</f>
        <v>46327</v>
      </c>
      <c r="N30466">
        <f>IF(M30466="","",'Master Barang'!A60)</f>
        <v>0</v>
      </c>
      <c r="O30466">
        <f>IF(N30466="","",'Master Barang'!B60)</f>
        <v>0</v>
      </c>
      <c r="P30466">
        <f>IF(OR(M30466="",N30466=""),"",SUMIFS('Barang Keluar'!$E:$E,'Barang Keluar'!$A:$A,M30466,'Barang Keluar'!$C:$C,N30466))</f>
        <v>0</v>
      </c>
    </row>
    <row r="30467" spans="13:16">
      <c r="M30467" s="49">
        <f>IF($A$4+304&gt;$B$4,"",$A$4+304)</f>
        <v>46327</v>
      </c>
      <c r="N30467">
        <f>IF(M30467="","",'Master Barang'!A61)</f>
        <v>0</v>
      </c>
      <c r="O30467">
        <f>IF(N30467="","",'Master Barang'!B61)</f>
        <v>0</v>
      </c>
      <c r="P30467">
        <f>IF(OR(M30467="",N30467=""),"",SUMIFS('Barang Keluar'!$E:$E,'Barang Keluar'!$A:$A,M30467,'Barang Keluar'!$C:$C,N30467))</f>
        <v>0</v>
      </c>
    </row>
    <row r="30468" spans="13:16">
      <c r="M30468" s="49">
        <f>IF($A$4+304&gt;$B$4,"",$A$4+304)</f>
        <v>46327</v>
      </c>
      <c r="N30468">
        <f>IF(M30468="","",'Master Barang'!A62)</f>
        <v>0</v>
      </c>
      <c r="O30468">
        <f>IF(N30468="","",'Master Barang'!B62)</f>
        <v>0</v>
      </c>
      <c r="P30468">
        <f>IF(OR(M30468="",N30468=""),"",SUMIFS('Barang Keluar'!$E:$E,'Barang Keluar'!$A:$A,M30468,'Barang Keluar'!$C:$C,N30468))</f>
        <v>0</v>
      </c>
    </row>
    <row r="30469" spans="13:16">
      <c r="M30469" s="49">
        <f>IF($A$4+304&gt;$B$4,"",$A$4+304)</f>
        <v>46327</v>
      </c>
      <c r="N30469">
        <f>IF(M30469="","",'Master Barang'!A63)</f>
        <v>0</v>
      </c>
      <c r="O30469">
        <f>IF(N30469="","",'Master Barang'!B63)</f>
        <v>0</v>
      </c>
      <c r="P30469">
        <f>IF(OR(M30469="",N30469=""),"",SUMIFS('Barang Keluar'!$E:$E,'Barang Keluar'!$A:$A,M30469,'Barang Keluar'!$C:$C,N30469))</f>
        <v>0</v>
      </c>
    </row>
    <row r="30470" spans="13:16">
      <c r="M30470" s="49">
        <f>IF($A$4+304&gt;$B$4,"",$A$4+304)</f>
        <v>46327</v>
      </c>
      <c r="N30470">
        <f>IF(M30470="","",'Master Barang'!A64)</f>
        <v>0</v>
      </c>
      <c r="O30470">
        <f>IF(N30470="","",'Master Barang'!B64)</f>
        <v>0</v>
      </c>
      <c r="P30470">
        <f>IF(OR(M30470="",N30470=""),"",SUMIFS('Barang Keluar'!$E:$E,'Barang Keluar'!$A:$A,M30470,'Barang Keluar'!$C:$C,N30470))</f>
        <v>0</v>
      </c>
    </row>
    <row r="30471" spans="13:16">
      <c r="M30471" s="49">
        <f>IF($A$4+304&gt;$B$4,"",$A$4+304)</f>
        <v>46327</v>
      </c>
      <c r="N30471">
        <f>IF(M30471="","",'Master Barang'!A65)</f>
        <v>0</v>
      </c>
      <c r="O30471">
        <f>IF(N30471="","",'Master Barang'!B65)</f>
        <v>0</v>
      </c>
      <c r="P30471">
        <f>IF(OR(M30471="",N30471=""),"",SUMIFS('Barang Keluar'!$E:$E,'Barang Keluar'!$A:$A,M30471,'Barang Keluar'!$C:$C,N30471))</f>
        <v>0</v>
      </c>
    </row>
    <row r="30472" spans="13:16">
      <c r="M30472" s="49">
        <f>IF($A$4+304&gt;$B$4,"",$A$4+304)</f>
        <v>46327</v>
      </c>
      <c r="N30472">
        <f>IF(M30472="","",'Master Barang'!A66)</f>
        <v>0</v>
      </c>
      <c r="O30472">
        <f>IF(N30472="","",'Master Barang'!B66)</f>
        <v>0</v>
      </c>
      <c r="P30472">
        <f>IF(OR(M30472="",N30472=""),"",SUMIFS('Barang Keluar'!$E:$E,'Barang Keluar'!$A:$A,M30472,'Barang Keluar'!$C:$C,N30472))</f>
        <v>0</v>
      </c>
    </row>
    <row r="30473" spans="13:16">
      <c r="M30473" s="49">
        <f>IF($A$4+304&gt;$B$4,"",$A$4+304)</f>
        <v>46327</v>
      </c>
      <c r="N30473">
        <f>IF(M30473="","",'Master Barang'!A67)</f>
        <v>0</v>
      </c>
      <c r="O30473">
        <f>IF(N30473="","",'Master Barang'!B67)</f>
        <v>0</v>
      </c>
      <c r="P30473">
        <f>IF(OR(M30473="",N30473=""),"",SUMIFS('Barang Keluar'!$E:$E,'Barang Keluar'!$A:$A,M30473,'Barang Keluar'!$C:$C,N30473))</f>
        <v>0</v>
      </c>
    </row>
    <row r="30474" spans="13:16">
      <c r="M30474" s="49">
        <f>IF($A$4+304&gt;$B$4,"",$A$4+304)</f>
        <v>46327</v>
      </c>
      <c r="N30474">
        <f>IF(M30474="","",'Master Barang'!A68)</f>
        <v>0</v>
      </c>
      <c r="O30474">
        <f>IF(N30474="","",'Master Barang'!B68)</f>
        <v>0</v>
      </c>
      <c r="P30474">
        <f>IF(OR(M30474="",N30474=""),"",SUMIFS('Barang Keluar'!$E:$E,'Barang Keluar'!$A:$A,M30474,'Barang Keluar'!$C:$C,N30474))</f>
        <v>0</v>
      </c>
    </row>
    <row r="30475" spans="13:16">
      <c r="M30475" s="49">
        <f>IF($A$4+304&gt;$B$4,"",$A$4+304)</f>
        <v>46327</v>
      </c>
      <c r="N30475">
        <f>IF(M30475="","",'Master Barang'!A69)</f>
        <v>0</v>
      </c>
      <c r="O30475">
        <f>IF(N30475="","",'Master Barang'!B69)</f>
        <v>0</v>
      </c>
      <c r="P30475">
        <f>IF(OR(M30475="",N30475=""),"",SUMIFS('Barang Keluar'!$E:$E,'Barang Keluar'!$A:$A,M30475,'Barang Keluar'!$C:$C,N30475))</f>
        <v>0</v>
      </c>
    </row>
    <row r="30476" spans="13:16">
      <c r="M30476" s="49">
        <f>IF($A$4+304&gt;$B$4,"",$A$4+304)</f>
        <v>46327</v>
      </c>
      <c r="N30476">
        <f>IF(M30476="","",'Master Barang'!A70)</f>
        <v>0</v>
      </c>
      <c r="O30476">
        <f>IF(N30476="","",'Master Barang'!B70)</f>
        <v>0</v>
      </c>
      <c r="P30476">
        <f>IF(OR(M30476="",N30476=""),"",SUMIFS('Barang Keluar'!$E:$E,'Barang Keluar'!$A:$A,M30476,'Barang Keluar'!$C:$C,N30476))</f>
        <v>0</v>
      </c>
    </row>
    <row r="30477" spans="13:16">
      <c r="M30477" s="49">
        <f>IF($A$4+304&gt;$B$4,"",$A$4+304)</f>
        <v>46327</v>
      </c>
      <c r="N30477">
        <f>IF(M30477="","",'Master Barang'!A71)</f>
        <v>0</v>
      </c>
      <c r="O30477">
        <f>IF(N30477="","",'Master Barang'!B71)</f>
        <v>0</v>
      </c>
      <c r="P30477">
        <f>IF(OR(M30477="",N30477=""),"",SUMIFS('Barang Keluar'!$E:$E,'Barang Keluar'!$A:$A,M30477,'Barang Keluar'!$C:$C,N30477))</f>
        <v>0</v>
      </c>
    </row>
    <row r="30478" spans="13:16">
      <c r="M30478" s="49">
        <f>IF($A$4+304&gt;$B$4,"",$A$4+304)</f>
        <v>46327</v>
      </c>
      <c r="N30478">
        <f>IF(M30478="","",'Master Barang'!A72)</f>
        <v>0</v>
      </c>
      <c r="O30478">
        <f>IF(N30478="","",'Master Barang'!B72)</f>
        <v>0</v>
      </c>
      <c r="P30478">
        <f>IF(OR(M30478="",N30478=""),"",SUMIFS('Barang Keluar'!$E:$E,'Barang Keluar'!$A:$A,M30478,'Barang Keluar'!$C:$C,N30478))</f>
        <v>0</v>
      </c>
    </row>
    <row r="30479" spans="13:16">
      <c r="M30479" s="49">
        <f>IF($A$4+304&gt;$B$4,"",$A$4+304)</f>
        <v>46327</v>
      </c>
      <c r="N30479">
        <f>IF(M30479="","",'Master Barang'!A73)</f>
        <v>0</v>
      </c>
      <c r="O30479">
        <f>IF(N30479="","",'Master Barang'!B73)</f>
        <v>0</v>
      </c>
      <c r="P30479">
        <f>IF(OR(M30479="",N30479=""),"",SUMIFS('Barang Keluar'!$E:$E,'Barang Keluar'!$A:$A,M30479,'Barang Keluar'!$C:$C,N30479))</f>
        <v>0</v>
      </c>
    </row>
    <row r="30480" spans="13:16">
      <c r="M30480" s="49">
        <f>IF($A$4+304&gt;$B$4,"",$A$4+304)</f>
        <v>46327</v>
      </c>
      <c r="N30480">
        <f>IF(M30480="","",'Master Barang'!A74)</f>
        <v>0</v>
      </c>
      <c r="O30480">
        <f>IF(N30480="","",'Master Barang'!B74)</f>
        <v>0</v>
      </c>
      <c r="P30480">
        <f>IF(OR(M30480="",N30480=""),"",SUMIFS('Barang Keluar'!$E:$E,'Barang Keluar'!$A:$A,M30480,'Barang Keluar'!$C:$C,N30480))</f>
        <v>0</v>
      </c>
    </row>
    <row r="30481" spans="13:16">
      <c r="M30481" s="49">
        <f>IF($A$4+304&gt;$B$4,"",$A$4+304)</f>
        <v>46327</v>
      </c>
      <c r="N30481">
        <f>IF(M30481="","",'Master Barang'!A75)</f>
        <v>0</v>
      </c>
      <c r="O30481">
        <f>IF(N30481="","",'Master Barang'!B75)</f>
        <v>0</v>
      </c>
      <c r="P30481">
        <f>IF(OR(M30481="",N30481=""),"",SUMIFS('Barang Keluar'!$E:$E,'Barang Keluar'!$A:$A,M30481,'Barang Keluar'!$C:$C,N30481))</f>
        <v>0</v>
      </c>
    </row>
    <row r="30482" spans="13:16">
      <c r="M30482" s="49">
        <f>IF($A$4+304&gt;$B$4,"",$A$4+304)</f>
        <v>46327</v>
      </c>
      <c r="N30482">
        <f>IF(M30482="","",'Master Barang'!A76)</f>
        <v>0</v>
      </c>
      <c r="O30482">
        <f>IF(N30482="","",'Master Barang'!B76)</f>
        <v>0</v>
      </c>
      <c r="P30482">
        <f>IF(OR(M30482="",N30482=""),"",SUMIFS('Barang Keluar'!$E:$E,'Barang Keluar'!$A:$A,M30482,'Barang Keluar'!$C:$C,N30482))</f>
        <v>0</v>
      </c>
    </row>
    <row r="30483" spans="13:16">
      <c r="M30483" s="49">
        <f>IF($A$4+304&gt;$B$4,"",$A$4+304)</f>
        <v>46327</v>
      </c>
      <c r="N30483">
        <f>IF(M30483="","",'Master Barang'!A77)</f>
        <v>0</v>
      </c>
      <c r="O30483">
        <f>IF(N30483="","",'Master Barang'!B77)</f>
        <v>0</v>
      </c>
      <c r="P30483">
        <f>IF(OR(M30483="",N30483=""),"",SUMIFS('Barang Keluar'!$E:$E,'Barang Keluar'!$A:$A,M30483,'Barang Keluar'!$C:$C,N30483))</f>
        <v>0</v>
      </c>
    </row>
    <row r="30484" spans="13:16">
      <c r="M30484" s="49">
        <f>IF($A$4+304&gt;$B$4,"",$A$4+304)</f>
        <v>46327</v>
      </c>
      <c r="N30484">
        <f>IF(M30484="","",'Master Barang'!A78)</f>
        <v>0</v>
      </c>
      <c r="O30484">
        <f>IF(N30484="","",'Master Barang'!B78)</f>
        <v>0</v>
      </c>
      <c r="P30484">
        <f>IF(OR(M30484="",N30484=""),"",SUMIFS('Barang Keluar'!$E:$E,'Barang Keluar'!$A:$A,M30484,'Barang Keluar'!$C:$C,N30484))</f>
        <v>0</v>
      </c>
    </row>
    <row r="30485" spans="13:16">
      <c r="M30485" s="49">
        <f>IF($A$4+304&gt;$B$4,"",$A$4+304)</f>
        <v>46327</v>
      </c>
      <c r="N30485">
        <f>IF(M30485="","",'Master Barang'!A79)</f>
        <v>0</v>
      </c>
      <c r="O30485">
        <f>IF(N30485="","",'Master Barang'!B79)</f>
        <v>0</v>
      </c>
      <c r="P30485">
        <f>IF(OR(M30485="",N30485=""),"",SUMIFS('Barang Keluar'!$E:$E,'Barang Keluar'!$A:$A,M30485,'Barang Keluar'!$C:$C,N30485))</f>
        <v>0</v>
      </c>
    </row>
    <row r="30486" spans="13:16">
      <c r="M30486" s="49">
        <f>IF($A$4+304&gt;$B$4,"",$A$4+304)</f>
        <v>46327</v>
      </c>
      <c r="N30486">
        <f>IF(M30486="","",'Master Barang'!A80)</f>
        <v>0</v>
      </c>
      <c r="O30486">
        <f>IF(N30486="","",'Master Barang'!B80)</f>
        <v>0</v>
      </c>
      <c r="P30486">
        <f>IF(OR(M30486="",N30486=""),"",SUMIFS('Barang Keluar'!$E:$E,'Barang Keluar'!$A:$A,M30486,'Barang Keluar'!$C:$C,N30486))</f>
        <v>0</v>
      </c>
    </row>
    <row r="30487" spans="13:16">
      <c r="M30487" s="49">
        <f>IF($A$4+304&gt;$B$4,"",$A$4+304)</f>
        <v>46327</v>
      </c>
      <c r="N30487">
        <f>IF(M30487="","",'Master Barang'!A81)</f>
        <v>0</v>
      </c>
      <c r="O30487">
        <f>IF(N30487="","",'Master Barang'!B81)</f>
        <v>0</v>
      </c>
      <c r="P30487">
        <f>IF(OR(M30487="",N30487=""),"",SUMIFS('Barang Keluar'!$E:$E,'Barang Keluar'!$A:$A,M30487,'Barang Keluar'!$C:$C,N30487))</f>
        <v>0</v>
      </c>
    </row>
    <row r="30488" spans="13:16">
      <c r="M30488" s="49">
        <f>IF($A$4+304&gt;$B$4,"",$A$4+304)</f>
        <v>46327</v>
      </c>
      <c r="N30488">
        <f>IF(M30488="","",'Master Barang'!A82)</f>
        <v>0</v>
      </c>
      <c r="O30488">
        <f>IF(N30488="","",'Master Barang'!B82)</f>
        <v>0</v>
      </c>
      <c r="P30488">
        <f>IF(OR(M30488="",N30488=""),"",SUMIFS('Barang Keluar'!$E:$E,'Barang Keluar'!$A:$A,M30488,'Barang Keluar'!$C:$C,N30488))</f>
        <v>0</v>
      </c>
    </row>
    <row r="30489" spans="13:16">
      <c r="M30489" s="49">
        <f>IF($A$4+304&gt;$B$4,"",$A$4+304)</f>
        <v>46327</v>
      </c>
      <c r="N30489">
        <f>IF(M30489="","",'Master Barang'!A83)</f>
        <v>0</v>
      </c>
      <c r="O30489">
        <f>IF(N30489="","",'Master Barang'!B83)</f>
        <v>0</v>
      </c>
      <c r="P30489">
        <f>IF(OR(M30489="",N30489=""),"",SUMIFS('Barang Keluar'!$E:$E,'Barang Keluar'!$A:$A,M30489,'Barang Keluar'!$C:$C,N30489))</f>
        <v>0</v>
      </c>
    </row>
    <row r="30490" spans="13:16">
      <c r="M30490" s="49">
        <f>IF($A$4+304&gt;$B$4,"",$A$4+304)</f>
        <v>46327</v>
      </c>
      <c r="N30490">
        <f>IF(M30490="","",'Master Barang'!A84)</f>
        <v>0</v>
      </c>
      <c r="O30490">
        <f>IF(N30490="","",'Master Barang'!B84)</f>
        <v>0</v>
      </c>
      <c r="P30490">
        <f>IF(OR(M30490="",N30490=""),"",SUMIFS('Barang Keluar'!$E:$E,'Barang Keluar'!$A:$A,M30490,'Barang Keluar'!$C:$C,N30490))</f>
        <v>0</v>
      </c>
    </row>
    <row r="30491" spans="13:16">
      <c r="M30491" s="49">
        <f>IF($A$4+304&gt;$B$4,"",$A$4+304)</f>
        <v>46327</v>
      </c>
      <c r="N30491">
        <f>IF(M30491="","",'Master Barang'!A85)</f>
        <v>0</v>
      </c>
      <c r="O30491">
        <f>IF(N30491="","",'Master Barang'!B85)</f>
        <v>0</v>
      </c>
      <c r="P30491">
        <f>IF(OR(M30491="",N30491=""),"",SUMIFS('Barang Keluar'!$E:$E,'Barang Keluar'!$A:$A,M30491,'Barang Keluar'!$C:$C,N30491))</f>
        <v>0</v>
      </c>
    </row>
    <row r="30492" spans="13:16">
      <c r="M30492" s="49">
        <f>IF($A$4+304&gt;$B$4,"",$A$4+304)</f>
        <v>46327</v>
      </c>
      <c r="N30492">
        <f>IF(M30492="","",'Master Barang'!A86)</f>
        <v>0</v>
      </c>
      <c r="O30492">
        <f>IF(N30492="","",'Master Barang'!B86)</f>
        <v>0</v>
      </c>
      <c r="P30492">
        <f>IF(OR(M30492="",N30492=""),"",SUMIFS('Barang Keluar'!$E:$E,'Barang Keluar'!$A:$A,M30492,'Barang Keluar'!$C:$C,N30492))</f>
        <v>0</v>
      </c>
    </row>
    <row r="30493" spans="13:16">
      <c r="M30493" s="49">
        <f>IF($A$4+304&gt;$B$4,"",$A$4+304)</f>
        <v>46327</v>
      </c>
      <c r="N30493">
        <f>IF(M30493="","",'Master Barang'!A87)</f>
        <v>0</v>
      </c>
      <c r="O30493">
        <f>IF(N30493="","",'Master Barang'!B87)</f>
        <v>0</v>
      </c>
      <c r="P30493">
        <f>IF(OR(M30493="",N30493=""),"",SUMIFS('Barang Keluar'!$E:$E,'Barang Keluar'!$A:$A,M30493,'Barang Keluar'!$C:$C,N30493))</f>
        <v>0</v>
      </c>
    </row>
    <row r="30494" spans="13:16">
      <c r="M30494" s="49">
        <f>IF($A$4+304&gt;$B$4,"",$A$4+304)</f>
        <v>46327</v>
      </c>
      <c r="N30494">
        <f>IF(M30494="","",'Master Barang'!A88)</f>
        <v>0</v>
      </c>
      <c r="O30494">
        <f>IF(N30494="","",'Master Barang'!B88)</f>
        <v>0</v>
      </c>
      <c r="P30494">
        <f>IF(OR(M30494="",N30494=""),"",SUMIFS('Barang Keluar'!$E:$E,'Barang Keluar'!$A:$A,M30494,'Barang Keluar'!$C:$C,N30494))</f>
        <v>0</v>
      </c>
    </row>
    <row r="30495" spans="13:16">
      <c r="M30495" s="49">
        <f>IF($A$4+304&gt;$B$4,"",$A$4+304)</f>
        <v>46327</v>
      </c>
      <c r="N30495">
        <f>IF(M30495="","",'Master Barang'!A89)</f>
        <v>0</v>
      </c>
      <c r="O30495">
        <f>IF(N30495="","",'Master Barang'!B89)</f>
        <v>0</v>
      </c>
      <c r="P30495">
        <f>IF(OR(M30495="",N30495=""),"",SUMIFS('Barang Keluar'!$E:$E,'Barang Keluar'!$A:$A,M30495,'Barang Keluar'!$C:$C,N30495))</f>
        <v>0</v>
      </c>
    </row>
    <row r="30496" spans="13:16">
      <c r="M30496" s="49">
        <f>IF($A$4+304&gt;$B$4,"",$A$4+304)</f>
        <v>46327</v>
      </c>
      <c r="N30496">
        <f>IF(M30496="","",'Master Barang'!A90)</f>
        <v>0</v>
      </c>
      <c r="O30496">
        <f>IF(N30496="","",'Master Barang'!B90)</f>
        <v>0</v>
      </c>
      <c r="P30496">
        <f>IF(OR(M30496="",N30496=""),"",SUMIFS('Barang Keluar'!$E:$E,'Barang Keluar'!$A:$A,M30496,'Barang Keluar'!$C:$C,N30496))</f>
        <v>0</v>
      </c>
    </row>
    <row r="30497" spans="13:16">
      <c r="M30497" s="49">
        <f>IF($A$4+304&gt;$B$4,"",$A$4+304)</f>
        <v>46327</v>
      </c>
      <c r="N30497">
        <f>IF(M30497="","",'Master Barang'!A91)</f>
        <v>0</v>
      </c>
      <c r="O30497">
        <f>IF(N30497="","",'Master Barang'!B91)</f>
        <v>0</v>
      </c>
      <c r="P30497">
        <f>IF(OR(M30497="",N30497=""),"",SUMIFS('Barang Keluar'!$E:$E,'Barang Keluar'!$A:$A,M30497,'Barang Keluar'!$C:$C,N30497))</f>
        <v>0</v>
      </c>
    </row>
    <row r="30498" spans="13:16">
      <c r="M30498" s="49">
        <f>IF($A$4+304&gt;$B$4,"",$A$4+304)</f>
        <v>46327</v>
      </c>
      <c r="N30498">
        <f>IF(M30498="","",'Master Barang'!A92)</f>
        <v>0</v>
      </c>
      <c r="O30498">
        <f>IF(N30498="","",'Master Barang'!B92)</f>
        <v>0</v>
      </c>
      <c r="P30498">
        <f>IF(OR(M30498="",N30498=""),"",SUMIFS('Barang Keluar'!$E:$E,'Barang Keluar'!$A:$A,M30498,'Barang Keluar'!$C:$C,N30498))</f>
        <v>0</v>
      </c>
    </row>
    <row r="30499" spans="13:16">
      <c r="M30499" s="49">
        <f>IF($A$4+304&gt;$B$4,"",$A$4+304)</f>
        <v>46327</v>
      </c>
      <c r="N30499">
        <f>IF(M30499="","",'Master Barang'!A93)</f>
        <v>0</v>
      </c>
      <c r="O30499">
        <f>IF(N30499="","",'Master Barang'!B93)</f>
        <v>0</v>
      </c>
      <c r="P30499">
        <f>IF(OR(M30499="",N30499=""),"",SUMIFS('Barang Keluar'!$E:$E,'Barang Keluar'!$A:$A,M30499,'Barang Keluar'!$C:$C,N30499))</f>
        <v>0</v>
      </c>
    </row>
    <row r="30500" spans="13:16">
      <c r="M30500" s="49">
        <f>IF($A$4+304&gt;$B$4,"",$A$4+304)</f>
        <v>46327</v>
      </c>
      <c r="N30500">
        <f>IF(M30500="","",'Master Barang'!A94)</f>
        <v>0</v>
      </c>
      <c r="O30500">
        <f>IF(N30500="","",'Master Barang'!B94)</f>
        <v>0</v>
      </c>
      <c r="P30500">
        <f>IF(OR(M30500="",N30500=""),"",SUMIFS('Barang Keluar'!$E:$E,'Barang Keluar'!$A:$A,M30500,'Barang Keluar'!$C:$C,N30500))</f>
        <v>0</v>
      </c>
    </row>
    <row r="30501" spans="13:16">
      <c r="M30501" s="49">
        <f>IF($A$4+304&gt;$B$4,"",$A$4+304)</f>
        <v>46327</v>
      </c>
      <c r="N30501">
        <f>IF(M30501="","",'Master Barang'!A95)</f>
        <v>0</v>
      </c>
      <c r="O30501">
        <f>IF(N30501="","",'Master Barang'!B95)</f>
        <v>0</v>
      </c>
      <c r="P30501">
        <f>IF(OR(M30501="",N30501=""),"",SUMIFS('Barang Keluar'!$E:$E,'Barang Keluar'!$A:$A,M30501,'Barang Keluar'!$C:$C,N30501))</f>
        <v>0</v>
      </c>
    </row>
    <row r="30502" spans="13:16">
      <c r="M30502" s="49">
        <f>IF($A$4+304&gt;$B$4,"",$A$4+304)</f>
        <v>46327</v>
      </c>
      <c r="N30502">
        <f>IF(M30502="","",'Master Barang'!A96)</f>
        <v>0</v>
      </c>
      <c r="O30502">
        <f>IF(N30502="","",'Master Barang'!B96)</f>
        <v>0</v>
      </c>
      <c r="P30502">
        <f>IF(OR(M30502="",N30502=""),"",SUMIFS('Barang Keluar'!$E:$E,'Barang Keluar'!$A:$A,M30502,'Barang Keluar'!$C:$C,N30502))</f>
        <v>0</v>
      </c>
    </row>
    <row r="30503" spans="13:16">
      <c r="M30503" s="49">
        <f>IF($A$4+304&gt;$B$4,"",$A$4+304)</f>
        <v>46327</v>
      </c>
      <c r="N30503">
        <f>IF(M30503="","",'Master Barang'!A97)</f>
        <v>0</v>
      </c>
      <c r="O30503">
        <f>IF(N30503="","",'Master Barang'!B97)</f>
        <v>0</v>
      </c>
      <c r="P30503">
        <f>IF(OR(M30503="",N30503=""),"",SUMIFS('Barang Keluar'!$E:$E,'Barang Keluar'!$A:$A,M30503,'Barang Keluar'!$C:$C,N30503))</f>
        <v>0</v>
      </c>
    </row>
    <row r="30504" spans="13:16">
      <c r="M30504" s="49">
        <f>IF($A$4+304&gt;$B$4,"",$A$4+304)</f>
        <v>46327</v>
      </c>
      <c r="N30504">
        <f>IF(M30504="","",'Master Barang'!A98)</f>
        <v>0</v>
      </c>
      <c r="O30504">
        <f>IF(N30504="","",'Master Barang'!B98)</f>
        <v>0</v>
      </c>
      <c r="P30504">
        <f>IF(OR(M30504="",N30504=""),"",SUMIFS('Barang Keluar'!$E:$E,'Barang Keluar'!$A:$A,M30504,'Barang Keluar'!$C:$C,N30504))</f>
        <v>0</v>
      </c>
    </row>
    <row r="30505" spans="13:16">
      <c r="M30505" s="49">
        <f>IF($A$4+304&gt;$B$4,"",$A$4+304)</f>
        <v>46327</v>
      </c>
      <c r="N30505">
        <f>IF(M30505="","",'Master Barang'!A99)</f>
        <v>0</v>
      </c>
      <c r="O30505">
        <f>IF(N30505="","",'Master Barang'!B99)</f>
        <v>0</v>
      </c>
      <c r="P30505">
        <f>IF(OR(M30505="",N30505=""),"",SUMIFS('Barang Keluar'!$E:$E,'Barang Keluar'!$A:$A,M30505,'Barang Keluar'!$C:$C,N30505))</f>
        <v>0</v>
      </c>
    </row>
    <row r="30506" spans="13:16">
      <c r="M30506" s="49">
        <f>IF($A$4+304&gt;$B$4,"",$A$4+304)</f>
        <v>46327</v>
      </c>
      <c r="N30506">
        <f>IF(M30506="","",'Master Barang'!A100)</f>
        <v>0</v>
      </c>
      <c r="O30506">
        <f>IF(N30506="","",'Master Barang'!B100)</f>
        <v>0</v>
      </c>
      <c r="P30506">
        <f>IF(OR(M30506="",N30506=""),"",SUMIFS('Barang Keluar'!$E:$E,'Barang Keluar'!$A:$A,M30506,'Barang Keluar'!$C:$C,N30506))</f>
        <v>0</v>
      </c>
    </row>
    <row r="30507" spans="13:16">
      <c r="M30507" s="49">
        <f>IF($A$4+304&gt;$B$4,"",$A$4+304)</f>
        <v>46327</v>
      </c>
      <c r="N30507">
        <f>IF(M30507="","",'Master Barang'!A101)</f>
        <v>0</v>
      </c>
      <c r="O30507">
        <f>IF(N30507="","",'Master Barang'!B101)</f>
        <v>0</v>
      </c>
      <c r="P30507">
        <f>IF(OR(M30507="",N30507=""),"",SUMIFS('Barang Keluar'!$E:$E,'Barang Keluar'!$A:$A,M30507,'Barang Keluar'!$C:$C,N30507))</f>
        <v>0</v>
      </c>
    </row>
    <row r="30508" spans="13:16">
      <c r="M30508" s="49">
        <f>IF($A$4+305&gt;$B$4,"",$A$4+305)</f>
        <v>46328</v>
      </c>
      <c r="N30508" t="str">
        <f>IF(M30508="","",'Master Barang'!A2)</f>
        <v>PRL-001</v>
      </c>
      <c r="O30508" t="str">
        <f>IF(N30508="","",'Master Barang'!B2)</f>
        <v>natura desinfectant food grade 5l</v>
      </c>
      <c r="P30508">
        <f>IF(OR(M30508="",N30508=""),"",SUMIFS('Barang Keluar'!$E:$E,'Barang Keluar'!$A:$A,M30508,'Barang Keluar'!$C:$C,N30508))</f>
        <v>0</v>
      </c>
    </row>
    <row r="30509" spans="13:16">
      <c r="M30509" s="49">
        <f>IF($A$4+305&gt;$B$4,"",$A$4+305)</f>
        <v>46328</v>
      </c>
      <c r="N30509" t="str">
        <f>IF(M30509="","",'Master Barang'!A3)</f>
        <v>PRL-002</v>
      </c>
      <c r="O30509" t="str">
        <f>IF(N30509="","",'Master Barang'!B3)</f>
        <v>sunlight cairan pencuci piring 5l</v>
      </c>
      <c r="P30509">
        <f>IF(OR(M30509="",N30509=""),"",SUMIFS('Barang Keluar'!$E:$E,'Barang Keluar'!$A:$A,M30509,'Barang Keluar'!$C:$C,N30509))</f>
        <v>0</v>
      </c>
    </row>
    <row r="30510" spans="13:16">
      <c r="M30510" s="49">
        <f>IF($A$4+305&gt;$B$4,"",$A$4+305)</f>
        <v>46328</v>
      </c>
      <c r="N30510" t="str">
        <f>IF(M30510="","",'Master Barang'!A4)</f>
        <v>PRL-003</v>
      </c>
      <c r="O30510" t="str">
        <f>IF(N30510="","",'Master Barang'!B4)</f>
        <v>oixs cleaner 1l</v>
      </c>
      <c r="P30510">
        <f>IF(OR(M30510="",N30510=""),"",SUMIFS('Barang Keluar'!$E:$E,'Barang Keluar'!$A:$A,M30510,'Barang Keluar'!$C:$C,N30510))</f>
        <v>0</v>
      </c>
    </row>
    <row r="30511" spans="13:16">
      <c r="M30511" s="49">
        <f>IF($A$4+305&gt;$B$4,"",$A$4+305)</f>
        <v>46328</v>
      </c>
      <c r="N30511" t="str">
        <f>IF(M30511="","",'Master Barang'!A5)</f>
        <v>PRL-004</v>
      </c>
      <c r="O30511" t="str">
        <f>IF(N30511="","",'Master Barang'!B5)</f>
        <v>be clean tissue serbaguna</v>
      </c>
      <c r="P30511">
        <f>IF(OR(M30511="",N30511=""),"",SUMIFS('Barang Keluar'!$E:$E,'Barang Keluar'!$A:$A,M30511,'Barang Keluar'!$C:$C,N30511))</f>
        <v>0</v>
      </c>
    </row>
    <row r="30512" spans="13:16">
      <c r="M30512" s="49">
        <f>IF($A$4+305&gt;$B$4,"",$A$4+305)</f>
        <v>46328</v>
      </c>
      <c r="N30512" t="str">
        <f>IF(M30512="","",'Master Barang'!A6)</f>
        <v>PRL-005</v>
      </c>
      <c r="O30512" t="str">
        <f>IF(N30512="","",'Master Barang'!B6)</f>
        <v>spons cuci hijau</v>
      </c>
      <c r="P30512">
        <f>IF(OR(M30512="",N30512=""),"",SUMIFS('Barang Keluar'!$E:$E,'Barang Keluar'!$A:$A,M30512,'Barang Keluar'!$C:$C,N30512))</f>
        <v>0</v>
      </c>
    </row>
    <row r="30513" spans="13:16">
      <c r="M30513" s="49">
        <f>IF($A$4+305&gt;$B$4,"",$A$4+305)</f>
        <v>46328</v>
      </c>
      <c r="N30513" t="str">
        <f>IF(M30513="","",'Master Barang'!A7)</f>
        <v>PRL-006</v>
      </c>
      <c r="O30513" t="str">
        <f>IF(N30513="","",'Master Barang'!B7)</f>
        <v>sabut cuci stainless</v>
      </c>
      <c r="P30513">
        <f>IF(OR(M30513="",N30513=""),"",SUMIFS('Barang Keluar'!$E:$E,'Barang Keluar'!$A:$A,M30513,'Barang Keluar'!$C:$C,N30513))</f>
        <v>0</v>
      </c>
    </row>
    <row r="30514" spans="13:16">
      <c r="M30514" s="49">
        <f>IF($A$4+305&gt;$B$4,"",$A$4+305)</f>
        <v>46328</v>
      </c>
      <c r="N30514" t="str">
        <f>IF(M30514="","",'Master Barang'!A8)</f>
        <v>PRL-007</v>
      </c>
      <c r="O30514" t="str">
        <f>IF(N30514="","",'Master Barang'!B8)</f>
        <v>plastik kresek besar merah 50pc</v>
      </c>
      <c r="P30514">
        <f>IF(OR(M30514="",N30514=""),"",SUMIFS('Barang Keluar'!$E:$E,'Barang Keluar'!$A:$A,M30514,'Barang Keluar'!$C:$C,N30514))</f>
        <v>0</v>
      </c>
    </row>
    <row r="30515" spans="13:16">
      <c r="M30515" s="49">
        <f>IF($A$4+305&gt;$B$4,"",$A$4+305)</f>
        <v>46328</v>
      </c>
      <c r="N30515" t="str">
        <f>IF(M30515="","",'Master Barang'!A9)</f>
        <v>PRL-008</v>
      </c>
      <c r="O30515" t="str">
        <f>IF(N30515="","",'Master Barang'!B9)</f>
        <v>lap besar</v>
      </c>
      <c r="P30515">
        <f>IF(OR(M30515="",N30515=""),"",SUMIFS('Barang Keluar'!$E:$E,'Barang Keluar'!$A:$A,M30515,'Barang Keluar'!$C:$C,N30515))</f>
        <v>0</v>
      </c>
    </row>
    <row r="30516" spans="13:16">
      <c r="M30516" s="49">
        <f>IF($A$4+305&gt;$B$4,"",$A$4+305)</f>
        <v>46328</v>
      </c>
      <c r="N30516" t="str">
        <f>IF(M30516="","",'Master Barang'!A10)</f>
        <v>PRL-009</v>
      </c>
      <c r="O30516" t="str">
        <f>IF(N30516="","",'Master Barang'!B10)</f>
        <v>lap microfiber</v>
      </c>
      <c r="P30516">
        <f>IF(OR(M30516="",N30516=""),"",SUMIFS('Barang Keluar'!$E:$E,'Barang Keluar'!$A:$A,M30516,'Barang Keluar'!$C:$C,N30516))</f>
        <v>0</v>
      </c>
    </row>
    <row r="30517" spans="13:16">
      <c r="M30517" s="49">
        <f>IF($A$4+305&gt;$B$4,"",$A$4+305)</f>
        <v>46328</v>
      </c>
      <c r="N30517" t="str">
        <f>IF(M30517="","",'Master Barang'!A11)</f>
        <v>PRL-010</v>
      </c>
      <c r="O30517" t="str">
        <f>IF(N30517="","",'Master Barang'!B11)</f>
        <v>lap kecil</v>
      </c>
      <c r="P30517">
        <f>IF(OR(M30517="",N30517=""),"",SUMIFS('Barang Keluar'!$E:$E,'Barang Keluar'!$A:$A,M30517,'Barang Keluar'!$C:$C,N30517))</f>
        <v>0</v>
      </c>
    </row>
    <row r="30518" spans="13:16">
      <c r="M30518" s="49">
        <f>IF($A$4+305&gt;$B$4,"",$A$4+305)</f>
        <v>46328</v>
      </c>
      <c r="N30518" t="str">
        <f>IF(M30518="","",'Master Barang'!A12)</f>
        <v>PRL-011</v>
      </c>
      <c r="O30518" t="str">
        <f>IF(N30518="","",'Master Barang'!B12)</f>
        <v>kanebo kecil</v>
      </c>
      <c r="P30518">
        <f>IF(OR(M30518="",N30518=""),"",SUMIFS('Barang Keluar'!$E:$E,'Barang Keluar'!$A:$A,M30518,'Barang Keluar'!$C:$C,N30518))</f>
        <v>0</v>
      </c>
    </row>
    <row r="30519" spans="13:16">
      <c r="M30519" s="49">
        <f>IF($A$4+305&gt;$B$4,"",$A$4+305)</f>
        <v>46328</v>
      </c>
      <c r="N30519" t="str">
        <f>IF(M30519="","",'Master Barang'!A13)</f>
        <v>PRL-012</v>
      </c>
      <c r="O30519" t="str">
        <f>IF(N30519="","",'Master Barang'!B13)</f>
        <v>plastik 1/4kg joyoboyo 100 lembar</v>
      </c>
      <c r="P30519">
        <f>IF(OR(M30519="",N30519=""),"",SUMIFS('Barang Keluar'!$E:$E,'Barang Keluar'!$A:$A,M30519,'Barang Keluar'!$C:$C,N30519))</f>
        <v>0</v>
      </c>
    </row>
    <row r="30520" spans="13:16">
      <c r="M30520" s="49">
        <f>IF($A$4+305&gt;$B$4,"",$A$4+305)</f>
        <v>46328</v>
      </c>
      <c r="N30520" t="str">
        <f>IF(M30520="","",'Master Barang'!A14)</f>
        <v>PRL-013</v>
      </c>
      <c r="O30520" t="str">
        <f>IF(N30520="","",'Master Barang'!B14)</f>
        <v>sarung tangan plastik kaka 100 pcs</v>
      </c>
      <c r="P30520">
        <f>IF(OR(M30520="",N30520=""),"",SUMIFS('Barang Keluar'!$E:$E,'Barang Keluar'!$A:$A,M30520,'Barang Keluar'!$C:$C,N30520))</f>
        <v>0</v>
      </c>
    </row>
    <row r="30521" spans="13:16">
      <c r="M30521" s="49">
        <f>IF($A$4+305&gt;$B$4,"",$A$4+305)</f>
        <v>46328</v>
      </c>
      <c r="N30521" t="str">
        <f>IF(M30521="","",'Master Barang'!A15)</f>
        <v>PRL-014</v>
      </c>
      <c r="O30521" t="str">
        <f>IF(N30521="","",'Master Barang'!B15)</f>
        <v>optima trashbag 80x100</v>
      </c>
      <c r="P30521">
        <f>IF(OR(M30521="",N30521=""),"",SUMIFS('Barang Keluar'!$E:$E,'Barang Keluar'!$A:$A,M30521,'Barang Keluar'!$C:$C,N30521))</f>
        <v>0</v>
      </c>
    </row>
    <row r="30522" spans="13:16">
      <c r="M30522" s="49">
        <f>IF($A$4+305&gt;$B$4,"",$A$4+305)</f>
        <v>46328</v>
      </c>
      <c r="N30522" t="str">
        <f>IF(M30522="","",'Master Barang'!A16)</f>
        <v>PRL-015</v>
      </c>
      <c r="O30522" t="str">
        <f>IF(N30522="","",'Master Barang'!B16)</f>
        <v>optima trashbag 60x100</v>
      </c>
      <c r="P30522">
        <f>IF(OR(M30522="",N30522=""),"",SUMIFS('Barang Keluar'!$E:$E,'Barang Keluar'!$A:$A,M30522,'Barang Keluar'!$C:$C,N30522))</f>
        <v>0</v>
      </c>
    </row>
    <row r="30523" spans="13:16">
      <c r="M30523" s="49">
        <f>IF($A$4+305&gt;$B$4,"",$A$4+305)</f>
        <v>46328</v>
      </c>
      <c r="N30523" t="str">
        <f>IF(M30523="","",'Master Barang'!A17)</f>
        <v>PRL-016</v>
      </c>
      <c r="O30523" t="str">
        <f>IF(N30523="","",'Master Barang'!B17)</f>
        <v>rajawali trashbag 30x40</v>
      </c>
      <c r="P30523">
        <f>IF(OR(M30523="",N30523=""),"",SUMIFS('Barang Keluar'!$E:$E,'Barang Keluar'!$A:$A,M30523,'Barang Keluar'!$C:$C,N30523))</f>
        <v>0</v>
      </c>
    </row>
    <row r="30524" spans="13:16">
      <c r="M30524" s="49">
        <f>IF($A$4+305&gt;$B$4,"",$A$4+305)</f>
        <v>46328</v>
      </c>
      <c r="N30524" t="str">
        <f>IF(M30524="","",'Master Barang'!A18)</f>
        <v>PRL-017</v>
      </c>
      <c r="O30524" t="str">
        <f>IF(N30524="","",'Master Barang'!B18)</f>
        <v>onemed masker biru 3 play 50 pcs</v>
      </c>
      <c r="P30524">
        <f>IF(OR(M30524="",N30524=""),"",SUMIFS('Barang Keluar'!$E:$E,'Barang Keluar'!$A:$A,M30524,'Barang Keluar'!$C:$C,N30524))</f>
        <v>0</v>
      </c>
    </row>
    <row r="30525" spans="13:16">
      <c r="M30525" s="49">
        <f>IF($A$4+305&gt;$B$4,"",$A$4+305)</f>
        <v>46328</v>
      </c>
      <c r="N30525" t="str">
        <f>IF(M30525="","",'Master Barang'!A19)</f>
        <v>PRL-018</v>
      </c>
      <c r="O30525" t="str">
        <f>IF(N30525="","",'Master Barang'!B19)</f>
        <v>onemed masker biru 3 play hijab 50 pcs</v>
      </c>
      <c r="P30525">
        <f>IF(OR(M30525="",N30525=""),"",SUMIFS('Barang Keluar'!$E:$E,'Barang Keluar'!$A:$A,M30525,'Barang Keluar'!$C:$C,N30525))</f>
        <v>0</v>
      </c>
    </row>
    <row r="30526" spans="13:16">
      <c r="M30526" s="49">
        <f>IF($A$4+305&gt;$B$4,"",$A$4+305)</f>
        <v>46328</v>
      </c>
      <c r="N30526" t="str">
        <f>IF(M30526="","",'Master Barang'!A20)</f>
        <v>PRL-019</v>
      </c>
      <c r="O30526" t="str">
        <f>IF(N30526="","",'Master Barang'!B20)</f>
        <v>neo health masker biru 3 play 50 pcs</v>
      </c>
      <c r="P30526">
        <f>IF(OR(M30526="",N30526=""),"",SUMIFS('Barang Keluar'!$E:$E,'Barang Keluar'!$A:$A,M30526,'Barang Keluar'!$C:$C,N30526))</f>
        <v>0</v>
      </c>
    </row>
    <row r="30527" spans="13:16">
      <c r="M30527" s="49">
        <f>IF($A$4+305&gt;$B$4,"",$A$4+305)</f>
        <v>46328</v>
      </c>
      <c r="N30527" t="str">
        <f>IF(M30527="","",'Master Barang'!A21)</f>
        <v>PRL-020</v>
      </c>
      <c r="O30527" t="str">
        <f>IF(N30527="","",'Master Barang'!B21)</f>
        <v>baymed masker hijau 3 play hijau 50 pcs</v>
      </c>
      <c r="P30527">
        <f>IF(OR(M30527="",N30527=""),"",SUMIFS('Barang Keluar'!$E:$E,'Barang Keluar'!$A:$A,M30527,'Barang Keluar'!$C:$C,N30527))</f>
        <v>0</v>
      </c>
    </row>
    <row r="30528" spans="13:16">
      <c r="M30528" s="49">
        <f>IF($A$4+305&gt;$B$4,"",$A$4+305)</f>
        <v>46328</v>
      </c>
      <c r="N30528" t="str">
        <f>IF(M30528="","",'Master Barang'!A22)</f>
        <v>PRL-021</v>
      </c>
      <c r="O30528" t="str">
        <f>IF(N30528="","",'Master Barang'!B22)</f>
        <v>altamed nurse cap penutup kepala 100 pcs</v>
      </c>
      <c r="P30528">
        <f>IF(OR(M30528="",N30528=""),"",SUMIFS('Barang Keluar'!$E:$E,'Barang Keluar'!$A:$A,M30528,'Barang Keluar'!$C:$C,N30528))</f>
        <v>0</v>
      </c>
    </row>
    <row r="30529" spans="13:16">
      <c r="M30529" s="49">
        <f>IF($A$4+305&gt;$B$4,"",$A$4+305)</f>
        <v>46328</v>
      </c>
      <c r="N30529" t="str">
        <f>IF(M30529="","",'Master Barang'!A23)</f>
        <v>PRL-022</v>
      </c>
      <c r="O30529" t="str">
        <f>IF(N30529="","",'Master Barang'!B23)</f>
        <v>sabun cuci tangan</v>
      </c>
      <c r="P30529">
        <f>IF(OR(M30529="",N30529=""),"",SUMIFS('Barang Keluar'!$E:$E,'Barang Keluar'!$A:$A,M30529,'Barang Keluar'!$C:$C,N30529))</f>
        <v>0</v>
      </c>
    </row>
    <row r="30530" spans="13:16">
      <c r="M30530" s="49">
        <f>IF($A$4+305&gt;$B$4,"",$A$4+305)</f>
        <v>46328</v>
      </c>
      <c r="N30530" t="str">
        <f>IF(M30530="","",'Master Barang'!A24)</f>
        <v>PRL-023</v>
      </c>
      <c r="O30530" t="str">
        <f>IF(N30530="","",'Master Barang'!B24)</f>
        <v>gayung kecil</v>
      </c>
      <c r="P30530">
        <f>IF(OR(M30530="",N30530=""),"",SUMIFS('Barang Keluar'!$E:$E,'Barang Keluar'!$A:$A,M30530,'Barang Keluar'!$C:$C,N30530))</f>
        <v>0</v>
      </c>
    </row>
    <row r="30531" spans="13:16">
      <c r="M30531" s="49">
        <f>IF($A$4+305&gt;$B$4,"",$A$4+305)</f>
        <v>46328</v>
      </c>
      <c r="N30531" t="str">
        <f>IF(M30531="","",'Master Barang'!A25)</f>
        <v>PRL-024</v>
      </c>
      <c r="O30531" t="str">
        <f>IF(N30531="","",'Master Barang'!B25)</f>
        <v>cikrak kecil</v>
      </c>
      <c r="P30531">
        <f>IF(OR(M30531="",N30531=""),"",SUMIFS('Barang Keluar'!$E:$E,'Barang Keluar'!$A:$A,M30531,'Barang Keluar'!$C:$C,N30531))</f>
        <v>0</v>
      </c>
    </row>
    <row r="30532" spans="13:16">
      <c r="M30532" s="49">
        <f>IF($A$4+305&gt;$B$4,"",$A$4+305)</f>
        <v>46328</v>
      </c>
      <c r="N30532" t="str">
        <f>IF(M30532="","",'Master Barang'!A26)</f>
        <v>PRL-025</v>
      </c>
      <c r="O30532" t="str">
        <f>IF(N30532="","",'Master Barang'!B26)</f>
        <v>petromax plastik kecil 12x24 100 lembar</v>
      </c>
      <c r="P30532">
        <f>IF(OR(M30532="",N30532=""),"",SUMIFS('Barang Keluar'!$E:$E,'Barang Keluar'!$A:$A,M30532,'Barang Keluar'!$C:$C,N30532))</f>
        <v>0</v>
      </c>
    </row>
    <row r="30533" spans="13:16">
      <c r="M30533" s="49">
        <f>IF($A$4+305&gt;$B$4,"",$A$4+305)</f>
        <v>46328</v>
      </c>
      <c r="N30533" t="str">
        <f>IF(M30533="","",'Master Barang'!A27)</f>
        <v>PRL-026</v>
      </c>
      <c r="O30533" t="str">
        <f>IF(N30533="","",'Master Barang'!B27)</f>
        <v>lancar kresek kecil bening </v>
      </c>
      <c r="P30533">
        <f>IF(OR(M30533="",N30533=""),"",SUMIFS('Barang Keluar'!$E:$E,'Barang Keluar'!$A:$A,M30533,'Barang Keluar'!$C:$C,N30533))</f>
        <v>0</v>
      </c>
    </row>
    <row r="30534" spans="13:16">
      <c r="M30534" s="49">
        <f>IF($A$4+305&gt;$B$4,"",$A$4+305)</f>
        <v>46328</v>
      </c>
      <c r="N30534" t="str">
        <f>IF(M30534="","",'Master Barang'!A28)</f>
        <v>PRL-027</v>
      </c>
      <c r="O30534" t="str">
        <f>IF(N30534="","",'Master Barang'!B28)</f>
        <v>kresek klin warna warni kecil</v>
      </c>
      <c r="P30534">
        <f>IF(OR(M30534="",N30534=""),"",SUMIFS('Barang Keluar'!$E:$E,'Barang Keluar'!$A:$A,M30534,'Barang Keluar'!$C:$C,N30534))</f>
        <v>0</v>
      </c>
    </row>
    <row r="30535" spans="13:16">
      <c r="M30535" s="49">
        <f>IF($A$4+305&gt;$B$4,"",$A$4+305)</f>
        <v>46328</v>
      </c>
      <c r="N30535" t="str">
        <f>IF(M30535="","",'Master Barang'!A29)</f>
        <v>PRL-028</v>
      </c>
      <c r="O30535" t="str">
        <f>IF(N30535="","",'Master Barang'!B29)</f>
        <v>ctik plastik 7x10 100 pcs</v>
      </c>
      <c r="P30535">
        <f>IF(OR(M30535="",N30535=""),"",SUMIFS('Barang Keluar'!$E:$E,'Barang Keluar'!$A:$A,M30535,'Barang Keluar'!$C:$C,N30535))</f>
        <v>0</v>
      </c>
    </row>
    <row r="30536" spans="13:16">
      <c r="M30536" s="49">
        <f>IF($A$4+305&gt;$B$4,"",$A$4+305)</f>
        <v>46328</v>
      </c>
      <c r="N30536" t="str">
        <f>IF(M30536="","",'Master Barang'!A30)</f>
        <v>PRL-029</v>
      </c>
      <c r="O30536" t="str">
        <f>IF(N30536="","",'Master Barang'!B30)</f>
        <v>ctik plastik 6x10 100 pcs</v>
      </c>
      <c r="P30536">
        <f>IF(OR(M30536="",N30536=""),"",SUMIFS('Barang Keluar'!$E:$E,'Barang Keluar'!$A:$A,M30536,'Barang Keluar'!$C:$C,N30536))</f>
        <v>0</v>
      </c>
    </row>
    <row r="30537" spans="13:16">
      <c r="M30537" s="49">
        <f>IF($A$4+305&gt;$B$4,"",$A$4+305)</f>
        <v>46328</v>
      </c>
      <c r="N30537" t="str">
        <f>IF(M30537="","",'Master Barang'!A31)</f>
        <v>PRL-030</v>
      </c>
      <c r="O30537" t="str">
        <f>IF(N30537="","",'Master Barang'!B31)</f>
        <v>klip plastik 25x16 100 pcs</v>
      </c>
      <c r="P30537">
        <f>IF(OR(M30537="",N30537=""),"",SUMIFS('Barang Keluar'!$E:$E,'Barang Keluar'!$A:$A,M30537,'Barang Keluar'!$C:$C,N30537))</f>
        <v>0</v>
      </c>
    </row>
    <row r="30538" spans="13:16">
      <c r="M30538" s="49">
        <f>IF($A$4+305&gt;$B$4,"",$A$4+305)</f>
        <v>46328</v>
      </c>
      <c r="N30538" t="str">
        <f>IF(M30538="","",'Master Barang'!A32)</f>
        <v>PRL-031</v>
      </c>
      <c r="O30538" t="str">
        <f>IF(N30538="","",'Master Barang'!B32)</f>
        <v>tempat saus 20 ml</v>
      </c>
      <c r="P30538">
        <f>IF(OR(M30538="",N30538=""),"",SUMIFS('Barang Keluar'!$E:$E,'Barang Keluar'!$A:$A,M30538,'Barang Keluar'!$C:$C,N30538))</f>
        <v>0</v>
      </c>
    </row>
    <row r="30539" spans="13:16">
      <c r="M30539" s="49">
        <f>IF($A$4+305&gt;$B$4,"",$A$4+305)</f>
        <v>46328</v>
      </c>
      <c r="N30539" t="str">
        <f>IF(M30539="","",'Master Barang'!A33)</f>
        <v>PRL-032</v>
      </c>
      <c r="O30539" t="str">
        <f>IF(N30539="","",'Master Barang'!B33)</f>
        <v>plastik packaging ag box uk sedang</v>
      </c>
      <c r="P30539">
        <f>IF(OR(M30539="",N30539=""),"",SUMIFS('Barang Keluar'!$E:$E,'Barang Keluar'!$A:$A,M30539,'Barang Keluar'!$C:$C,N30539))</f>
        <v>0</v>
      </c>
    </row>
    <row r="30540" spans="13:16">
      <c r="M30540" s="49">
        <f>IF($A$4+305&gt;$B$4,"",$A$4+305)</f>
        <v>46328</v>
      </c>
      <c r="N30540" t="str">
        <f>IF(M30540="","",'Master Barang'!A34)</f>
        <v>PRL-033</v>
      </c>
      <c r="O30540">
        <f>IF(N30540="","",'Master Barang'!B34)</f>
        <v>0</v>
      </c>
      <c r="P30540">
        <f>IF(OR(M30540="",N30540=""),"",SUMIFS('Barang Keluar'!$E:$E,'Barang Keluar'!$A:$A,M30540,'Barang Keluar'!$C:$C,N30540))</f>
        <v>0</v>
      </c>
    </row>
    <row r="30541" spans="13:16">
      <c r="M30541" s="49">
        <f>IF($A$4+305&gt;$B$4,"",$A$4+305)</f>
        <v>46328</v>
      </c>
      <c r="N30541">
        <f>IF(M30541="","",'Master Barang'!A35)</f>
        <v>0</v>
      </c>
      <c r="O30541">
        <f>IF(N30541="","",'Master Barang'!B35)</f>
        <v>0</v>
      </c>
      <c r="P30541">
        <f>IF(OR(M30541="",N30541=""),"",SUMIFS('Barang Keluar'!$E:$E,'Barang Keluar'!$A:$A,M30541,'Barang Keluar'!$C:$C,N30541))</f>
        <v>0</v>
      </c>
    </row>
    <row r="30542" spans="13:16">
      <c r="M30542" s="49">
        <f>IF($A$4+305&gt;$B$4,"",$A$4+305)</f>
        <v>46328</v>
      </c>
      <c r="N30542">
        <f>IF(M30542="","",'Master Barang'!A36)</f>
        <v>0</v>
      </c>
      <c r="O30542">
        <f>IF(N30542="","",'Master Barang'!B36)</f>
        <v>0</v>
      </c>
      <c r="P30542">
        <f>IF(OR(M30542="",N30542=""),"",SUMIFS('Barang Keluar'!$E:$E,'Barang Keluar'!$A:$A,M30542,'Barang Keluar'!$C:$C,N30542))</f>
        <v>0</v>
      </c>
    </row>
    <row r="30543" spans="13:16">
      <c r="M30543" s="49">
        <f>IF($A$4+305&gt;$B$4,"",$A$4+305)</f>
        <v>46328</v>
      </c>
      <c r="N30543">
        <f>IF(M30543="","",'Master Barang'!A37)</f>
        <v>0</v>
      </c>
      <c r="O30543">
        <f>IF(N30543="","",'Master Barang'!B37)</f>
        <v>0</v>
      </c>
      <c r="P30543">
        <f>IF(OR(M30543="",N30543=""),"",SUMIFS('Barang Keluar'!$E:$E,'Barang Keluar'!$A:$A,M30543,'Barang Keluar'!$C:$C,N30543))</f>
        <v>0</v>
      </c>
    </row>
    <row r="30544" spans="13:16">
      <c r="M30544" s="49">
        <f>IF($A$4+305&gt;$B$4,"",$A$4+305)</f>
        <v>46328</v>
      </c>
      <c r="N30544">
        <f>IF(M30544="","",'Master Barang'!A38)</f>
        <v>0</v>
      </c>
      <c r="O30544">
        <f>IF(N30544="","",'Master Barang'!B38)</f>
        <v>0</v>
      </c>
      <c r="P30544">
        <f>IF(OR(M30544="",N30544=""),"",SUMIFS('Barang Keluar'!$E:$E,'Barang Keluar'!$A:$A,M30544,'Barang Keluar'!$C:$C,N30544))</f>
        <v>0</v>
      </c>
    </row>
    <row r="30545" spans="13:16">
      <c r="M30545" s="49">
        <f>IF($A$4+305&gt;$B$4,"",$A$4+305)</f>
        <v>46328</v>
      </c>
      <c r="N30545">
        <f>IF(M30545="","",'Master Barang'!A39)</f>
        <v>0</v>
      </c>
      <c r="O30545">
        <f>IF(N30545="","",'Master Barang'!B39)</f>
        <v>0</v>
      </c>
      <c r="P30545">
        <f>IF(OR(M30545="",N30545=""),"",SUMIFS('Barang Keluar'!$E:$E,'Barang Keluar'!$A:$A,M30545,'Barang Keluar'!$C:$C,N30545))</f>
        <v>0</v>
      </c>
    </row>
    <row r="30546" spans="13:16">
      <c r="M30546" s="49">
        <f>IF($A$4+305&gt;$B$4,"",$A$4+305)</f>
        <v>46328</v>
      </c>
      <c r="N30546">
        <f>IF(M30546="","",'Master Barang'!A40)</f>
        <v>0</v>
      </c>
      <c r="O30546">
        <f>IF(N30546="","",'Master Barang'!B40)</f>
        <v>0</v>
      </c>
      <c r="P30546">
        <f>IF(OR(M30546="",N30546=""),"",SUMIFS('Barang Keluar'!$E:$E,'Barang Keluar'!$A:$A,M30546,'Barang Keluar'!$C:$C,N30546))</f>
        <v>0</v>
      </c>
    </row>
    <row r="30547" spans="13:16">
      <c r="M30547" s="49">
        <f>IF($A$4+305&gt;$B$4,"",$A$4+305)</f>
        <v>46328</v>
      </c>
      <c r="N30547">
        <f>IF(M30547="","",'Master Barang'!A41)</f>
        <v>0</v>
      </c>
      <c r="O30547">
        <f>IF(N30547="","",'Master Barang'!B41)</f>
        <v>0</v>
      </c>
      <c r="P30547">
        <f>IF(OR(M30547="",N30547=""),"",SUMIFS('Barang Keluar'!$E:$E,'Barang Keluar'!$A:$A,M30547,'Barang Keluar'!$C:$C,N30547))</f>
        <v>0</v>
      </c>
    </row>
    <row r="30548" spans="13:16">
      <c r="M30548" s="49">
        <f>IF($A$4+305&gt;$B$4,"",$A$4+305)</f>
        <v>46328</v>
      </c>
      <c r="N30548">
        <f>IF(M30548="","",'Master Barang'!A42)</f>
        <v>0</v>
      </c>
      <c r="O30548">
        <f>IF(N30548="","",'Master Barang'!B42)</f>
        <v>0</v>
      </c>
      <c r="P30548">
        <f>IF(OR(M30548="",N30548=""),"",SUMIFS('Barang Keluar'!$E:$E,'Barang Keluar'!$A:$A,M30548,'Barang Keluar'!$C:$C,N30548))</f>
        <v>0</v>
      </c>
    </row>
    <row r="30549" spans="13:16">
      <c r="M30549" s="49">
        <f>IF($A$4+305&gt;$B$4,"",$A$4+305)</f>
        <v>46328</v>
      </c>
      <c r="N30549">
        <f>IF(M30549="","",'Master Barang'!A43)</f>
        <v>0</v>
      </c>
      <c r="O30549">
        <f>IF(N30549="","",'Master Barang'!B43)</f>
        <v>0</v>
      </c>
      <c r="P30549">
        <f>IF(OR(M30549="",N30549=""),"",SUMIFS('Barang Keluar'!$E:$E,'Barang Keluar'!$A:$A,M30549,'Barang Keluar'!$C:$C,N30549))</f>
        <v>0</v>
      </c>
    </row>
    <row r="30550" spans="13:16">
      <c r="M30550" s="49">
        <f>IF($A$4+305&gt;$B$4,"",$A$4+305)</f>
        <v>46328</v>
      </c>
      <c r="N30550">
        <f>IF(M30550="","",'Master Barang'!A44)</f>
        <v>0</v>
      </c>
      <c r="O30550">
        <f>IF(N30550="","",'Master Barang'!B44)</f>
        <v>0</v>
      </c>
      <c r="P30550">
        <f>IF(OR(M30550="",N30550=""),"",SUMIFS('Barang Keluar'!$E:$E,'Barang Keluar'!$A:$A,M30550,'Barang Keluar'!$C:$C,N30550))</f>
        <v>0</v>
      </c>
    </row>
    <row r="30551" spans="13:16">
      <c r="M30551" s="49">
        <f>IF($A$4+305&gt;$B$4,"",$A$4+305)</f>
        <v>46328</v>
      </c>
      <c r="N30551">
        <f>IF(M30551="","",'Master Barang'!A45)</f>
        <v>0</v>
      </c>
      <c r="O30551">
        <f>IF(N30551="","",'Master Barang'!B45)</f>
        <v>0</v>
      </c>
      <c r="P30551">
        <f>IF(OR(M30551="",N30551=""),"",SUMIFS('Barang Keluar'!$E:$E,'Barang Keluar'!$A:$A,M30551,'Barang Keluar'!$C:$C,N30551))</f>
        <v>0</v>
      </c>
    </row>
    <row r="30552" spans="13:16">
      <c r="M30552" s="49">
        <f>IF($A$4+305&gt;$B$4,"",$A$4+305)</f>
        <v>46328</v>
      </c>
      <c r="N30552">
        <f>IF(M30552="","",'Master Barang'!A46)</f>
        <v>0</v>
      </c>
      <c r="O30552">
        <f>IF(N30552="","",'Master Barang'!B46)</f>
        <v>0</v>
      </c>
      <c r="P30552">
        <f>IF(OR(M30552="",N30552=""),"",SUMIFS('Barang Keluar'!$E:$E,'Barang Keluar'!$A:$A,M30552,'Barang Keluar'!$C:$C,N30552))</f>
        <v>0</v>
      </c>
    </row>
    <row r="30553" spans="13:16">
      <c r="M30553" s="49">
        <f>IF($A$4+305&gt;$B$4,"",$A$4+305)</f>
        <v>46328</v>
      </c>
      <c r="N30553">
        <f>IF(M30553="","",'Master Barang'!A47)</f>
        <v>0</v>
      </c>
      <c r="O30553">
        <f>IF(N30553="","",'Master Barang'!B47)</f>
        <v>0</v>
      </c>
      <c r="P30553">
        <f>IF(OR(M30553="",N30553=""),"",SUMIFS('Barang Keluar'!$E:$E,'Barang Keluar'!$A:$A,M30553,'Barang Keluar'!$C:$C,N30553))</f>
        <v>0</v>
      </c>
    </row>
    <row r="30554" spans="13:16">
      <c r="M30554" s="49">
        <f>IF($A$4+305&gt;$B$4,"",$A$4+305)</f>
        <v>46328</v>
      </c>
      <c r="N30554">
        <f>IF(M30554="","",'Master Barang'!A48)</f>
        <v>0</v>
      </c>
      <c r="O30554">
        <f>IF(N30554="","",'Master Barang'!B48)</f>
        <v>0</v>
      </c>
      <c r="P30554">
        <f>IF(OR(M30554="",N30554=""),"",SUMIFS('Barang Keluar'!$E:$E,'Barang Keluar'!$A:$A,M30554,'Barang Keluar'!$C:$C,N30554))</f>
        <v>0</v>
      </c>
    </row>
    <row r="30555" spans="13:16">
      <c r="M30555" s="49">
        <f>IF($A$4+305&gt;$B$4,"",$A$4+305)</f>
        <v>46328</v>
      </c>
      <c r="N30555">
        <f>IF(M30555="","",'Master Barang'!A49)</f>
        <v>0</v>
      </c>
      <c r="O30555">
        <f>IF(N30555="","",'Master Barang'!B49)</f>
        <v>0</v>
      </c>
      <c r="P30555">
        <f>IF(OR(M30555="",N30555=""),"",SUMIFS('Barang Keluar'!$E:$E,'Barang Keluar'!$A:$A,M30555,'Barang Keluar'!$C:$C,N30555))</f>
        <v>0</v>
      </c>
    </row>
    <row r="30556" spans="13:16">
      <c r="M30556" s="49">
        <f>IF($A$4+305&gt;$B$4,"",$A$4+305)</f>
        <v>46328</v>
      </c>
      <c r="N30556">
        <f>IF(M30556="","",'Master Barang'!A50)</f>
        <v>0</v>
      </c>
      <c r="O30556">
        <f>IF(N30556="","",'Master Barang'!B50)</f>
        <v>0</v>
      </c>
      <c r="P30556">
        <f>IF(OR(M30556="",N30556=""),"",SUMIFS('Barang Keluar'!$E:$E,'Barang Keluar'!$A:$A,M30556,'Barang Keluar'!$C:$C,N30556))</f>
        <v>0</v>
      </c>
    </row>
    <row r="30557" spans="13:16">
      <c r="M30557" s="49">
        <f>IF($A$4+305&gt;$B$4,"",$A$4+305)</f>
        <v>46328</v>
      </c>
      <c r="N30557">
        <f>IF(M30557="","",'Master Barang'!A51)</f>
        <v>0</v>
      </c>
      <c r="O30557">
        <f>IF(N30557="","",'Master Barang'!B51)</f>
        <v>0</v>
      </c>
      <c r="P30557">
        <f>IF(OR(M30557="",N30557=""),"",SUMIFS('Barang Keluar'!$E:$E,'Barang Keluar'!$A:$A,M30557,'Barang Keluar'!$C:$C,N30557))</f>
        <v>0</v>
      </c>
    </row>
    <row r="30558" spans="13:16">
      <c r="M30558" s="49">
        <f>IF($A$4+305&gt;$B$4,"",$A$4+305)</f>
        <v>46328</v>
      </c>
      <c r="N30558">
        <f>IF(M30558="","",'Master Barang'!A52)</f>
        <v>0</v>
      </c>
      <c r="O30558">
        <f>IF(N30558="","",'Master Barang'!B52)</f>
        <v>0</v>
      </c>
      <c r="P30558">
        <f>IF(OR(M30558="",N30558=""),"",SUMIFS('Barang Keluar'!$E:$E,'Barang Keluar'!$A:$A,M30558,'Barang Keluar'!$C:$C,N30558))</f>
        <v>0</v>
      </c>
    </row>
    <row r="30559" spans="13:16">
      <c r="M30559" s="49">
        <f>IF($A$4+305&gt;$B$4,"",$A$4+305)</f>
        <v>46328</v>
      </c>
      <c r="N30559">
        <f>IF(M30559="","",'Master Barang'!A53)</f>
        <v>0</v>
      </c>
      <c r="O30559">
        <f>IF(N30559="","",'Master Barang'!B53)</f>
        <v>0</v>
      </c>
      <c r="P30559">
        <f>IF(OR(M30559="",N30559=""),"",SUMIFS('Barang Keluar'!$E:$E,'Barang Keluar'!$A:$A,M30559,'Barang Keluar'!$C:$C,N30559))</f>
        <v>0</v>
      </c>
    </row>
    <row r="30560" spans="13:16">
      <c r="M30560" s="49">
        <f>IF($A$4+305&gt;$B$4,"",$A$4+305)</f>
        <v>46328</v>
      </c>
      <c r="N30560">
        <f>IF(M30560="","",'Master Barang'!A54)</f>
        <v>0</v>
      </c>
      <c r="O30560">
        <f>IF(N30560="","",'Master Barang'!B54)</f>
        <v>0</v>
      </c>
      <c r="P30560">
        <f>IF(OR(M30560="",N30560=""),"",SUMIFS('Barang Keluar'!$E:$E,'Barang Keluar'!$A:$A,M30560,'Barang Keluar'!$C:$C,N30560))</f>
        <v>0</v>
      </c>
    </row>
    <row r="30561" spans="13:16">
      <c r="M30561" s="49">
        <f>IF($A$4+305&gt;$B$4,"",$A$4+305)</f>
        <v>46328</v>
      </c>
      <c r="N30561">
        <f>IF(M30561="","",'Master Barang'!A55)</f>
        <v>0</v>
      </c>
      <c r="O30561">
        <f>IF(N30561="","",'Master Barang'!B55)</f>
        <v>0</v>
      </c>
      <c r="P30561">
        <f>IF(OR(M30561="",N30561=""),"",SUMIFS('Barang Keluar'!$E:$E,'Barang Keluar'!$A:$A,M30561,'Barang Keluar'!$C:$C,N30561))</f>
        <v>0</v>
      </c>
    </row>
    <row r="30562" spans="13:16">
      <c r="M30562" s="49">
        <f>IF($A$4+305&gt;$B$4,"",$A$4+305)</f>
        <v>46328</v>
      </c>
      <c r="N30562">
        <f>IF(M30562="","",'Master Barang'!A56)</f>
        <v>0</v>
      </c>
      <c r="O30562">
        <f>IF(N30562="","",'Master Barang'!B56)</f>
        <v>0</v>
      </c>
      <c r="P30562">
        <f>IF(OR(M30562="",N30562=""),"",SUMIFS('Barang Keluar'!$E:$E,'Barang Keluar'!$A:$A,M30562,'Barang Keluar'!$C:$C,N30562))</f>
        <v>0</v>
      </c>
    </row>
    <row r="30563" spans="13:16">
      <c r="M30563" s="49">
        <f>IF($A$4+305&gt;$B$4,"",$A$4+305)</f>
        <v>46328</v>
      </c>
      <c r="N30563">
        <f>IF(M30563="","",'Master Barang'!A57)</f>
        <v>0</v>
      </c>
      <c r="O30563">
        <f>IF(N30563="","",'Master Barang'!B57)</f>
        <v>0</v>
      </c>
      <c r="P30563">
        <f>IF(OR(M30563="",N30563=""),"",SUMIFS('Barang Keluar'!$E:$E,'Barang Keluar'!$A:$A,M30563,'Barang Keluar'!$C:$C,N30563))</f>
        <v>0</v>
      </c>
    </row>
    <row r="30564" spans="13:16">
      <c r="M30564" s="49">
        <f>IF($A$4+305&gt;$B$4,"",$A$4+305)</f>
        <v>46328</v>
      </c>
      <c r="N30564">
        <f>IF(M30564="","",'Master Barang'!A58)</f>
        <v>0</v>
      </c>
      <c r="O30564">
        <f>IF(N30564="","",'Master Barang'!B58)</f>
        <v>0</v>
      </c>
      <c r="P30564">
        <f>IF(OR(M30564="",N30564=""),"",SUMIFS('Barang Keluar'!$E:$E,'Barang Keluar'!$A:$A,M30564,'Barang Keluar'!$C:$C,N30564))</f>
        <v>0</v>
      </c>
    </row>
    <row r="30565" spans="13:16">
      <c r="M30565" s="49">
        <f>IF($A$4+305&gt;$B$4,"",$A$4+305)</f>
        <v>46328</v>
      </c>
      <c r="N30565">
        <f>IF(M30565="","",'Master Barang'!A59)</f>
        <v>0</v>
      </c>
      <c r="O30565">
        <f>IF(N30565="","",'Master Barang'!B59)</f>
        <v>0</v>
      </c>
      <c r="P30565">
        <f>IF(OR(M30565="",N30565=""),"",SUMIFS('Barang Keluar'!$E:$E,'Barang Keluar'!$A:$A,M30565,'Barang Keluar'!$C:$C,N30565))</f>
        <v>0</v>
      </c>
    </row>
    <row r="30566" spans="13:16">
      <c r="M30566" s="49">
        <f>IF($A$4+305&gt;$B$4,"",$A$4+305)</f>
        <v>46328</v>
      </c>
      <c r="N30566">
        <f>IF(M30566="","",'Master Barang'!A60)</f>
        <v>0</v>
      </c>
      <c r="O30566">
        <f>IF(N30566="","",'Master Barang'!B60)</f>
        <v>0</v>
      </c>
      <c r="P30566">
        <f>IF(OR(M30566="",N30566=""),"",SUMIFS('Barang Keluar'!$E:$E,'Barang Keluar'!$A:$A,M30566,'Barang Keluar'!$C:$C,N30566))</f>
        <v>0</v>
      </c>
    </row>
    <row r="30567" spans="13:16">
      <c r="M30567" s="49">
        <f>IF($A$4+305&gt;$B$4,"",$A$4+305)</f>
        <v>46328</v>
      </c>
      <c r="N30567">
        <f>IF(M30567="","",'Master Barang'!A61)</f>
        <v>0</v>
      </c>
      <c r="O30567">
        <f>IF(N30567="","",'Master Barang'!B61)</f>
        <v>0</v>
      </c>
      <c r="P30567">
        <f>IF(OR(M30567="",N30567=""),"",SUMIFS('Barang Keluar'!$E:$E,'Barang Keluar'!$A:$A,M30567,'Barang Keluar'!$C:$C,N30567))</f>
        <v>0</v>
      </c>
    </row>
    <row r="30568" spans="13:16">
      <c r="M30568" s="49">
        <f>IF($A$4+305&gt;$B$4,"",$A$4+305)</f>
        <v>46328</v>
      </c>
      <c r="N30568">
        <f>IF(M30568="","",'Master Barang'!A62)</f>
        <v>0</v>
      </c>
      <c r="O30568">
        <f>IF(N30568="","",'Master Barang'!B62)</f>
        <v>0</v>
      </c>
      <c r="P30568">
        <f>IF(OR(M30568="",N30568=""),"",SUMIFS('Barang Keluar'!$E:$E,'Barang Keluar'!$A:$A,M30568,'Barang Keluar'!$C:$C,N30568))</f>
        <v>0</v>
      </c>
    </row>
    <row r="30569" spans="13:16">
      <c r="M30569" s="49">
        <f>IF($A$4+305&gt;$B$4,"",$A$4+305)</f>
        <v>46328</v>
      </c>
      <c r="N30569">
        <f>IF(M30569="","",'Master Barang'!A63)</f>
        <v>0</v>
      </c>
      <c r="O30569">
        <f>IF(N30569="","",'Master Barang'!B63)</f>
        <v>0</v>
      </c>
      <c r="P30569">
        <f>IF(OR(M30569="",N30569=""),"",SUMIFS('Barang Keluar'!$E:$E,'Barang Keluar'!$A:$A,M30569,'Barang Keluar'!$C:$C,N30569))</f>
        <v>0</v>
      </c>
    </row>
    <row r="30570" spans="13:16">
      <c r="M30570" s="49">
        <f>IF($A$4+305&gt;$B$4,"",$A$4+305)</f>
        <v>46328</v>
      </c>
      <c r="N30570">
        <f>IF(M30570="","",'Master Barang'!A64)</f>
        <v>0</v>
      </c>
      <c r="O30570">
        <f>IF(N30570="","",'Master Barang'!B64)</f>
        <v>0</v>
      </c>
      <c r="P30570">
        <f>IF(OR(M30570="",N30570=""),"",SUMIFS('Barang Keluar'!$E:$E,'Barang Keluar'!$A:$A,M30570,'Barang Keluar'!$C:$C,N30570))</f>
        <v>0</v>
      </c>
    </row>
    <row r="30571" spans="13:16">
      <c r="M30571" s="49">
        <f>IF($A$4+305&gt;$B$4,"",$A$4+305)</f>
        <v>46328</v>
      </c>
      <c r="N30571">
        <f>IF(M30571="","",'Master Barang'!A65)</f>
        <v>0</v>
      </c>
      <c r="O30571">
        <f>IF(N30571="","",'Master Barang'!B65)</f>
        <v>0</v>
      </c>
      <c r="P30571">
        <f>IF(OR(M30571="",N30571=""),"",SUMIFS('Barang Keluar'!$E:$E,'Barang Keluar'!$A:$A,M30571,'Barang Keluar'!$C:$C,N30571))</f>
        <v>0</v>
      </c>
    </row>
    <row r="30572" spans="13:16">
      <c r="M30572" s="49">
        <f>IF($A$4+305&gt;$B$4,"",$A$4+305)</f>
        <v>46328</v>
      </c>
      <c r="N30572">
        <f>IF(M30572="","",'Master Barang'!A66)</f>
        <v>0</v>
      </c>
      <c r="O30572">
        <f>IF(N30572="","",'Master Barang'!B66)</f>
        <v>0</v>
      </c>
      <c r="P30572">
        <f>IF(OR(M30572="",N30572=""),"",SUMIFS('Barang Keluar'!$E:$E,'Barang Keluar'!$A:$A,M30572,'Barang Keluar'!$C:$C,N30572))</f>
        <v>0</v>
      </c>
    </row>
    <row r="30573" spans="13:16">
      <c r="M30573" s="49">
        <f>IF($A$4+305&gt;$B$4,"",$A$4+305)</f>
        <v>46328</v>
      </c>
      <c r="N30573">
        <f>IF(M30573="","",'Master Barang'!A67)</f>
        <v>0</v>
      </c>
      <c r="O30573">
        <f>IF(N30573="","",'Master Barang'!B67)</f>
        <v>0</v>
      </c>
      <c r="P30573">
        <f>IF(OR(M30573="",N30573=""),"",SUMIFS('Barang Keluar'!$E:$E,'Barang Keluar'!$A:$A,M30573,'Barang Keluar'!$C:$C,N30573))</f>
        <v>0</v>
      </c>
    </row>
    <row r="30574" spans="13:16">
      <c r="M30574" s="49">
        <f>IF($A$4+305&gt;$B$4,"",$A$4+305)</f>
        <v>46328</v>
      </c>
      <c r="N30574">
        <f>IF(M30574="","",'Master Barang'!A68)</f>
        <v>0</v>
      </c>
      <c r="O30574">
        <f>IF(N30574="","",'Master Barang'!B68)</f>
        <v>0</v>
      </c>
      <c r="P30574">
        <f>IF(OR(M30574="",N30574=""),"",SUMIFS('Barang Keluar'!$E:$E,'Barang Keluar'!$A:$A,M30574,'Barang Keluar'!$C:$C,N30574))</f>
        <v>0</v>
      </c>
    </row>
    <row r="30575" spans="13:16">
      <c r="M30575" s="49">
        <f>IF($A$4+305&gt;$B$4,"",$A$4+305)</f>
        <v>46328</v>
      </c>
      <c r="N30575">
        <f>IF(M30575="","",'Master Barang'!A69)</f>
        <v>0</v>
      </c>
      <c r="O30575">
        <f>IF(N30575="","",'Master Barang'!B69)</f>
        <v>0</v>
      </c>
      <c r="P30575">
        <f>IF(OR(M30575="",N30575=""),"",SUMIFS('Barang Keluar'!$E:$E,'Barang Keluar'!$A:$A,M30575,'Barang Keluar'!$C:$C,N30575))</f>
        <v>0</v>
      </c>
    </row>
    <row r="30576" spans="13:16">
      <c r="M30576" s="49">
        <f>IF($A$4+305&gt;$B$4,"",$A$4+305)</f>
        <v>46328</v>
      </c>
      <c r="N30576">
        <f>IF(M30576="","",'Master Barang'!A70)</f>
        <v>0</v>
      </c>
      <c r="O30576">
        <f>IF(N30576="","",'Master Barang'!B70)</f>
        <v>0</v>
      </c>
      <c r="P30576">
        <f>IF(OR(M30576="",N30576=""),"",SUMIFS('Barang Keluar'!$E:$E,'Barang Keluar'!$A:$A,M30576,'Barang Keluar'!$C:$C,N30576))</f>
        <v>0</v>
      </c>
    </row>
    <row r="30577" spans="13:16">
      <c r="M30577" s="49">
        <f>IF($A$4+305&gt;$B$4,"",$A$4+305)</f>
        <v>46328</v>
      </c>
      <c r="N30577">
        <f>IF(M30577="","",'Master Barang'!A71)</f>
        <v>0</v>
      </c>
      <c r="O30577">
        <f>IF(N30577="","",'Master Barang'!B71)</f>
        <v>0</v>
      </c>
      <c r="P30577">
        <f>IF(OR(M30577="",N30577=""),"",SUMIFS('Barang Keluar'!$E:$E,'Barang Keluar'!$A:$A,M30577,'Barang Keluar'!$C:$C,N30577))</f>
        <v>0</v>
      </c>
    </row>
    <row r="30578" spans="13:16">
      <c r="M30578" s="49">
        <f>IF($A$4+305&gt;$B$4,"",$A$4+305)</f>
        <v>46328</v>
      </c>
      <c r="N30578">
        <f>IF(M30578="","",'Master Barang'!A72)</f>
        <v>0</v>
      </c>
      <c r="O30578">
        <f>IF(N30578="","",'Master Barang'!B72)</f>
        <v>0</v>
      </c>
      <c r="P30578">
        <f>IF(OR(M30578="",N30578=""),"",SUMIFS('Barang Keluar'!$E:$E,'Barang Keluar'!$A:$A,M30578,'Barang Keluar'!$C:$C,N30578))</f>
        <v>0</v>
      </c>
    </row>
    <row r="30579" spans="13:16">
      <c r="M30579" s="49">
        <f>IF($A$4+305&gt;$B$4,"",$A$4+305)</f>
        <v>46328</v>
      </c>
      <c r="N30579">
        <f>IF(M30579="","",'Master Barang'!A73)</f>
        <v>0</v>
      </c>
      <c r="O30579">
        <f>IF(N30579="","",'Master Barang'!B73)</f>
        <v>0</v>
      </c>
      <c r="P30579">
        <f>IF(OR(M30579="",N30579=""),"",SUMIFS('Barang Keluar'!$E:$E,'Barang Keluar'!$A:$A,M30579,'Barang Keluar'!$C:$C,N30579))</f>
        <v>0</v>
      </c>
    </row>
    <row r="30580" spans="13:16">
      <c r="M30580" s="49">
        <f>IF($A$4+305&gt;$B$4,"",$A$4+305)</f>
        <v>46328</v>
      </c>
      <c r="N30580">
        <f>IF(M30580="","",'Master Barang'!A74)</f>
        <v>0</v>
      </c>
      <c r="O30580">
        <f>IF(N30580="","",'Master Barang'!B74)</f>
        <v>0</v>
      </c>
      <c r="P30580">
        <f>IF(OR(M30580="",N30580=""),"",SUMIFS('Barang Keluar'!$E:$E,'Barang Keluar'!$A:$A,M30580,'Barang Keluar'!$C:$C,N30580))</f>
        <v>0</v>
      </c>
    </row>
    <row r="30581" spans="13:16">
      <c r="M30581" s="49">
        <f>IF($A$4+305&gt;$B$4,"",$A$4+305)</f>
        <v>46328</v>
      </c>
      <c r="N30581">
        <f>IF(M30581="","",'Master Barang'!A75)</f>
        <v>0</v>
      </c>
      <c r="O30581">
        <f>IF(N30581="","",'Master Barang'!B75)</f>
        <v>0</v>
      </c>
      <c r="P30581">
        <f>IF(OR(M30581="",N30581=""),"",SUMIFS('Barang Keluar'!$E:$E,'Barang Keluar'!$A:$A,M30581,'Barang Keluar'!$C:$C,N30581))</f>
        <v>0</v>
      </c>
    </row>
    <row r="30582" spans="13:16">
      <c r="M30582" s="49">
        <f>IF($A$4+305&gt;$B$4,"",$A$4+305)</f>
        <v>46328</v>
      </c>
      <c r="N30582">
        <f>IF(M30582="","",'Master Barang'!A76)</f>
        <v>0</v>
      </c>
      <c r="O30582">
        <f>IF(N30582="","",'Master Barang'!B76)</f>
        <v>0</v>
      </c>
      <c r="P30582">
        <f>IF(OR(M30582="",N30582=""),"",SUMIFS('Barang Keluar'!$E:$E,'Barang Keluar'!$A:$A,M30582,'Barang Keluar'!$C:$C,N30582))</f>
        <v>0</v>
      </c>
    </row>
    <row r="30583" spans="13:16">
      <c r="M30583" s="49">
        <f>IF($A$4+305&gt;$B$4,"",$A$4+305)</f>
        <v>46328</v>
      </c>
      <c r="N30583">
        <f>IF(M30583="","",'Master Barang'!A77)</f>
        <v>0</v>
      </c>
      <c r="O30583">
        <f>IF(N30583="","",'Master Barang'!B77)</f>
        <v>0</v>
      </c>
      <c r="P30583">
        <f>IF(OR(M30583="",N30583=""),"",SUMIFS('Barang Keluar'!$E:$E,'Barang Keluar'!$A:$A,M30583,'Barang Keluar'!$C:$C,N30583))</f>
        <v>0</v>
      </c>
    </row>
    <row r="30584" spans="13:16">
      <c r="M30584" s="49">
        <f>IF($A$4+305&gt;$B$4,"",$A$4+305)</f>
        <v>46328</v>
      </c>
      <c r="N30584">
        <f>IF(M30584="","",'Master Barang'!A78)</f>
        <v>0</v>
      </c>
      <c r="O30584">
        <f>IF(N30584="","",'Master Barang'!B78)</f>
        <v>0</v>
      </c>
      <c r="P30584">
        <f>IF(OR(M30584="",N30584=""),"",SUMIFS('Barang Keluar'!$E:$E,'Barang Keluar'!$A:$A,M30584,'Barang Keluar'!$C:$C,N30584))</f>
        <v>0</v>
      </c>
    </row>
    <row r="30585" spans="13:16">
      <c r="M30585" s="49">
        <f>IF($A$4+305&gt;$B$4,"",$A$4+305)</f>
        <v>46328</v>
      </c>
      <c r="N30585">
        <f>IF(M30585="","",'Master Barang'!A79)</f>
        <v>0</v>
      </c>
      <c r="O30585">
        <f>IF(N30585="","",'Master Barang'!B79)</f>
        <v>0</v>
      </c>
      <c r="P30585">
        <f>IF(OR(M30585="",N30585=""),"",SUMIFS('Barang Keluar'!$E:$E,'Barang Keluar'!$A:$A,M30585,'Barang Keluar'!$C:$C,N30585))</f>
        <v>0</v>
      </c>
    </row>
    <row r="30586" spans="13:16">
      <c r="M30586" s="49">
        <f>IF($A$4+305&gt;$B$4,"",$A$4+305)</f>
        <v>46328</v>
      </c>
      <c r="N30586">
        <f>IF(M30586="","",'Master Barang'!A80)</f>
        <v>0</v>
      </c>
      <c r="O30586">
        <f>IF(N30586="","",'Master Barang'!B80)</f>
        <v>0</v>
      </c>
      <c r="P30586">
        <f>IF(OR(M30586="",N30586=""),"",SUMIFS('Barang Keluar'!$E:$E,'Barang Keluar'!$A:$A,M30586,'Barang Keluar'!$C:$C,N30586))</f>
        <v>0</v>
      </c>
    </row>
    <row r="30587" spans="13:16">
      <c r="M30587" s="49">
        <f>IF($A$4+305&gt;$B$4,"",$A$4+305)</f>
        <v>46328</v>
      </c>
      <c r="N30587">
        <f>IF(M30587="","",'Master Barang'!A81)</f>
        <v>0</v>
      </c>
      <c r="O30587">
        <f>IF(N30587="","",'Master Barang'!B81)</f>
        <v>0</v>
      </c>
      <c r="P30587">
        <f>IF(OR(M30587="",N30587=""),"",SUMIFS('Barang Keluar'!$E:$E,'Barang Keluar'!$A:$A,M30587,'Barang Keluar'!$C:$C,N30587))</f>
        <v>0</v>
      </c>
    </row>
    <row r="30588" spans="13:16">
      <c r="M30588" s="49">
        <f>IF($A$4+305&gt;$B$4,"",$A$4+305)</f>
        <v>46328</v>
      </c>
      <c r="N30588">
        <f>IF(M30588="","",'Master Barang'!A82)</f>
        <v>0</v>
      </c>
      <c r="O30588">
        <f>IF(N30588="","",'Master Barang'!B82)</f>
        <v>0</v>
      </c>
      <c r="P30588">
        <f>IF(OR(M30588="",N30588=""),"",SUMIFS('Barang Keluar'!$E:$E,'Barang Keluar'!$A:$A,M30588,'Barang Keluar'!$C:$C,N30588))</f>
        <v>0</v>
      </c>
    </row>
    <row r="30589" spans="13:16">
      <c r="M30589" s="49">
        <f>IF($A$4+305&gt;$B$4,"",$A$4+305)</f>
        <v>46328</v>
      </c>
      <c r="N30589">
        <f>IF(M30589="","",'Master Barang'!A83)</f>
        <v>0</v>
      </c>
      <c r="O30589">
        <f>IF(N30589="","",'Master Barang'!B83)</f>
        <v>0</v>
      </c>
      <c r="P30589">
        <f>IF(OR(M30589="",N30589=""),"",SUMIFS('Barang Keluar'!$E:$E,'Barang Keluar'!$A:$A,M30589,'Barang Keluar'!$C:$C,N30589))</f>
        <v>0</v>
      </c>
    </row>
    <row r="30590" spans="13:16">
      <c r="M30590" s="49">
        <f>IF($A$4+305&gt;$B$4,"",$A$4+305)</f>
        <v>46328</v>
      </c>
      <c r="N30590">
        <f>IF(M30590="","",'Master Barang'!A84)</f>
        <v>0</v>
      </c>
      <c r="O30590">
        <f>IF(N30590="","",'Master Barang'!B84)</f>
        <v>0</v>
      </c>
      <c r="P30590">
        <f>IF(OR(M30590="",N30590=""),"",SUMIFS('Barang Keluar'!$E:$E,'Barang Keluar'!$A:$A,M30590,'Barang Keluar'!$C:$C,N30590))</f>
        <v>0</v>
      </c>
    </row>
    <row r="30591" spans="13:16">
      <c r="M30591" s="49">
        <f>IF($A$4+305&gt;$B$4,"",$A$4+305)</f>
        <v>46328</v>
      </c>
      <c r="N30591">
        <f>IF(M30591="","",'Master Barang'!A85)</f>
        <v>0</v>
      </c>
      <c r="O30591">
        <f>IF(N30591="","",'Master Barang'!B85)</f>
        <v>0</v>
      </c>
      <c r="P30591">
        <f>IF(OR(M30591="",N30591=""),"",SUMIFS('Barang Keluar'!$E:$E,'Barang Keluar'!$A:$A,M30591,'Barang Keluar'!$C:$C,N30591))</f>
        <v>0</v>
      </c>
    </row>
    <row r="30592" spans="13:16">
      <c r="M30592" s="49">
        <f>IF($A$4+305&gt;$B$4,"",$A$4+305)</f>
        <v>46328</v>
      </c>
      <c r="N30592">
        <f>IF(M30592="","",'Master Barang'!A86)</f>
        <v>0</v>
      </c>
      <c r="O30592">
        <f>IF(N30592="","",'Master Barang'!B86)</f>
        <v>0</v>
      </c>
      <c r="P30592">
        <f>IF(OR(M30592="",N30592=""),"",SUMIFS('Barang Keluar'!$E:$E,'Barang Keluar'!$A:$A,M30592,'Barang Keluar'!$C:$C,N30592))</f>
        <v>0</v>
      </c>
    </row>
    <row r="30593" spans="13:16">
      <c r="M30593" s="49">
        <f>IF($A$4+305&gt;$B$4,"",$A$4+305)</f>
        <v>46328</v>
      </c>
      <c r="N30593">
        <f>IF(M30593="","",'Master Barang'!A87)</f>
        <v>0</v>
      </c>
      <c r="O30593">
        <f>IF(N30593="","",'Master Barang'!B87)</f>
        <v>0</v>
      </c>
      <c r="P30593">
        <f>IF(OR(M30593="",N30593=""),"",SUMIFS('Barang Keluar'!$E:$E,'Barang Keluar'!$A:$A,M30593,'Barang Keluar'!$C:$C,N30593))</f>
        <v>0</v>
      </c>
    </row>
    <row r="30594" spans="13:16">
      <c r="M30594" s="49">
        <f>IF($A$4+305&gt;$B$4,"",$A$4+305)</f>
        <v>46328</v>
      </c>
      <c r="N30594">
        <f>IF(M30594="","",'Master Barang'!A88)</f>
        <v>0</v>
      </c>
      <c r="O30594">
        <f>IF(N30594="","",'Master Barang'!B88)</f>
        <v>0</v>
      </c>
      <c r="P30594">
        <f>IF(OR(M30594="",N30594=""),"",SUMIFS('Barang Keluar'!$E:$E,'Barang Keluar'!$A:$A,M30594,'Barang Keluar'!$C:$C,N30594))</f>
        <v>0</v>
      </c>
    </row>
    <row r="30595" spans="13:16">
      <c r="M30595" s="49">
        <f>IF($A$4+305&gt;$B$4,"",$A$4+305)</f>
        <v>46328</v>
      </c>
      <c r="N30595">
        <f>IF(M30595="","",'Master Barang'!A89)</f>
        <v>0</v>
      </c>
      <c r="O30595">
        <f>IF(N30595="","",'Master Barang'!B89)</f>
        <v>0</v>
      </c>
      <c r="P30595">
        <f>IF(OR(M30595="",N30595=""),"",SUMIFS('Barang Keluar'!$E:$E,'Barang Keluar'!$A:$A,M30595,'Barang Keluar'!$C:$C,N30595))</f>
        <v>0</v>
      </c>
    </row>
    <row r="30596" spans="13:16">
      <c r="M30596" s="49">
        <f>IF($A$4+305&gt;$B$4,"",$A$4+305)</f>
        <v>46328</v>
      </c>
      <c r="N30596">
        <f>IF(M30596="","",'Master Barang'!A90)</f>
        <v>0</v>
      </c>
      <c r="O30596">
        <f>IF(N30596="","",'Master Barang'!B90)</f>
        <v>0</v>
      </c>
      <c r="P30596">
        <f>IF(OR(M30596="",N30596=""),"",SUMIFS('Barang Keluar'!$E:$E,'Barang Keluar'!$A:$A,M30596,'Barang Keluar'!$C:$C,N30596))</f>
        <v>0</v>
      </c>
    </row>
    <row r="30597" spans="13:16">
      <c r="M30597" s="49">
        <f>IF($A$4+305&gt;$B$4,"",$A$4+305)</f>
        <v>46328</v>
      </c>
      <c r="N30597">
        <f>IF(M30597="","",'Master Barang'!A91)</f>
        <v>0</v>
      </c>
      <c r="O30597">
        <f>IF(N30597="","",'Master Barang'!B91)</f>
        <v>0</v>
      </c>
      <c r="P30597">
        <f>IF(OR(M30597="",N30597=""),"",SUMIFS('Barang Keluar'!$E:$E,'Barang Keluar'!$A:$A,M30597,'Barang Keluar'!$C:$C,N30597))</f>
        <v>0</v>
      </c>
    </row>
    <row r="30598" spans="13:16">
      <c r="M30598" s="49">
        <f>IF($A$4+305&gt;$B$4,"",$A$4+305)</f>
        <v>46328</v>
      </c>
      <c r="N30598">
        <f>IF(M30598="","",'Master Barang'!A92)</f>
        <v>0</v>
      </c>
      <c r="O30598">
        <f>IF(N30598="","",'Master Barang'!B92)</f>
        <v>0</v>
      </c>
      <c r="P30598">
        <f>IF(OR(M30598="",N30598=""),"",SUMIFS('Barang Keluar'!$E:$E,'Barang Keluar'!$A:$A,M30598,'Barang Keluar'!$C:$C,N30598))</f>
        <v>0</v>
      </c>
    </row>
    <row r="30599" spans="13:16">
      <c r="M30599" s="49">
        <f>IF($A$4+305&gt;$B$4,"",$A$4+305)</f>
        <v>46328</v>
      </c>
      <c r="N30599">
        <f>IF(M30599="","",'Master Barang'!A93)</f>
        <v>0</v>
      </c>
      <c r="O30599">
        <f>IF(N30599="","",'Master Barang'!B93)</f>
        <v>0</v>
      </c>
      <c r="P30599">
        <f>IF(OR(M30599="",N30599=""),"",SUMIFS('Barang Keluar'!$E:$E,'Barang Keluar'!$A:$A,M30599,'Barang Keluar'!$C:$C,N30599))</f>
        <v>0</v>
      </c>
    </row>
    <row r="30600" spans="13:16">
      <c r="M30600" s="49">
        <f>IF($A$4+305&gt;$B$4,"",$A$4+305)</f>
        <v>46328</v>
      </c>
      <c r="N30600">
        <f>IF(M30600="","",'Master Barang'!A94)</f>
        <v>0</v>
      </c>
      <c r="O30600">
        <f>IF(N30600="","",'Master Barang'!B94)</f>
        <v>0</v>
      </c>
      <c r="P30600">
        <f>IF(OR(M30600="",N30600=""),"",SUMIFS('Barang Keluar'!$E:$E,'Barang Keluar'!$A:$A,M30600,'Barang Keluar'!$C:$C,N30600))</f>
        <v>0</v>
      </c>
    </row>
    <row r="30601" spans="13:16">
      <c r="M30601" s="49">
        <f>IF($A$4+305&gt;$B$4,"",$A$4+305)</f>
        <v>46328</v>
      </c>
      <c r="N30601">
        <f>IF(M30601="","",'Master Barang'!A95)</f>
        <v>0</v>
      </c>
      <c r="O30601">
        <f>IF(N30601="","",'Master Barang'!B95)</f>
        <v>0</v>
      </c>
      <c r="P30601">
        <f>IF(OR(M30601="",N30601=""),"",SUMIFS('Barang Keluar'!$E:$E,'Barang Keluar'!$A:$A,M30601,'Barang Keluar'!$C:$C,N30601))</f>
        <v>0</v>
      </c>
    </row>
    <row r="30602" spans="13:16">
      <c r="M30602" s="49">
        <f>IF($A$4+305&gt;$B$4,"",$A$4+305)</f>
        <v>46328</v>
      </c>
      <c r="N30602">
        <f>IF(M30602="","",'Master Barang'!A96)</f>
        <v>0</v>
      </c>
      <c r="O30602">
        <f>IF(N30602="","",'Master Barang'!B96)</f>
        <v>0</v>
      </c>
      <c r="P30602">
        <f>IF(OR(M30602="",N30602=""),"",SUMIFS('Barang Keluar'!$E:$E,'Barang Keluar'!$A:$A,M30602,'Barang Keluar'!$C:$C,N30602))</f>
        <v>0</v>
      </c>
    </row>
    <row r="30603" spans="13:16">
      <c r="M30603" s="49">
        <f>IF($A$4+305&gt;$B$4,"",$A$4+305)</f>
        <v>46328</v>
      </c>
      <c r="N30603">
        <f>IF(M30603="","",'Master Barang'!A97)</f>
        <v>0</v>
      </c>
      <c r="O30603">
        <f>IF(N30603="","",'Master Barang'!B97)</f>
        <v>0</v>
      </c>
      <c r="P30603">
        <f>IF(OR(M30603="",N30603=""),"",SUMIFS('Barang Keluar'!$E:$E,'Barang Keluar'!$A:$A,M30603,'Barang Keluar'!$C:$C,N30603))</f>
        <v>0</v>
      </c>
    </row>
    <row r="30604" spans="13:16">
      <c r="M30604" s="49">
        <f>IF($A$4+305&gt;$B$4,"",$A$4+305)</f>
        <v>46328</v>
      </c>
      <c r="N30604">
        <f>IF(M30604="","",'Master Barang'!A98)</f>
        <v>0</v>
      </c>
      <c r="O30604">
        <f>IF(N30604="","",'Master Barang'!B98)</f>
        <v>0</v>
      </c>
      <c r="P30604">
        <f>IF(OR(M30604="",N30604=""),"",SUMIFS('Barang Keluar'!$E:$E,'Barang Keluar'!$A:$A,M30604,'Barang Keluar'!$C:$C,N30604))</f>
        <v>0</v>
      </c>
    </row>
    <row r="30605" spans="13:16">
      <c r="M30605" s="49">
        <f>IF($A$4+305&gt;$B$4,"",$A$4+305)</f>
        <v>46328</v>
      </c>
      <c r="N30605">
        <f>IF(M30605="","",'Master Barang'!A99)</f>
        <v>0</v>
      </c>
      <c r="O30605">
        <f>IF(N30605="","",'Master Barang'!B99)</f>
        <v>0</v>
      </c>
      <c r="P30605">
        <f>IF(OR(M30605="",N30605=""),"",SUMIFS('Barang Keluar'!$E:$E,'Barang Keluar'!$A:$A,M30605,'Barang Keluar'!$C:$C,N30605))</f>
        <v>0</v>
      </c>
    </row>
    <row r="30606" spans="13:16">
      <c r="M30606" s="49">
        <f>IF($A$4+305&gt;$B$4,"",$A$4+305)</f>
        <v>46328</v>
      </c>
      <c r="N30606">
        <f>IF(M30606="","",'Master Barang'!A100)</f>
        <v>0</v>
      </c>
      <c r="O30606">
        <f>IF(N30606="","",'Master Barang'!B100)</f>
        <v>0</v>
      </c>
      <c r="P30606">
        <f>IF(OR(M30606="",N30606=""),"",SUMIFS('Barang Keluar'!$E:$E,'Barang Keluar'!$A:$A,M30606,'Barang Keluar'!$C:$C,N30606))</f>
        <v>0</v>
      </c>
    </row>
    <row r="30607" spans="13:16">
      <c r="M30607" s="49">
        <f>IF($A$4+305&gt;$B$4,"",$A$4+305)</f>
        <v>46328</v>
      </c>
      <c r="N30607">
        <f>IF(M30607="","",'Master Barang'!A101)</f>
        <v>0</v>
      </c>
      <c r="O30607">
        <f>IF(N30607="","",'Master Barang'!B101)</f>
        <v>0</v>
      </c>
      <c r="P30607">
        <f>IF(OR(M30607="",N30607=""),"",SUMIFS('Barang Keluar'!$E:$E,'Barang Keluar'!$A:$A,M30607,'Barang Keluar'!$C:$C,N30607))</f>
        <v>0</v>
      </c>
    </row>
    <row r="30608" spans="13:16">
      <c r="M30608" s="49">
        <f>IF($A$4+306&gt;$B$4,"",$A$4+306)</f>
        <v>46329</v>
      </c>
      <c r="N30608" t="str">
        <f>IF(M30608="","",'Master Barang'!A2)</f>
        <v>PRL-001</v>
      </c>
      <c r="O30608" t="str">
        <f>IF(N30608="","",'Master Barang'!B2)</f>
        <v>natura desinfectant food grade 5l</v>
      </c>
      <c r="P30608">
        <f>IF(OR(M30608="",N30608=""),"",SUMIFS('Barang Keluar'!$E:$E,'Barang Keluar'!$A:$A,M30608,'Barang Keluar'!$C:$C,N30608))</f>
        <v>0</v>
      </c>
    </row>
    <row r="30609" spans="13:16">
      <c r="M30609" s="49">
        <f>IF($A$4+306&gt;$B$4,"",$A$4+306)</f>
        <v>46329</v>
      </c>
      <c r="N30609" t="str">
        <f>IF(M30609="","",'Master Barang'!A3)</f>
        <v>PRL-002</v>
      </c>
      <c r="O30609" t="str">
        <f>IF(N30609="","",'Master Barang'!B3)</f>
        <v>sunlight cairan pencuci piring 5l</v>
      </c>
      <c r="P30609">
        <f>IF(OR(M30609="",N30609=""),"",SUMIFS('Barang Keluar'!$E:$E,'Barang Keluar'!$A:$A,M30609,'Barang Keluar'!$C:$C,N30609))</f>
        <v>0</v>
      </c>
    </row>
    <row r="30610" spans="13:16">
      <c r="M30610" s="49">
        <f>IF($A$4+306&gt;$B$4,"",$A$4+306)</f>
        <v>46329</v>
      </c>
      <c r="N30610" t="str">
        <f>IF(M30610="","",'Master Barang'!A4)</f>
        <v>PRL-003</v>
      </c>
      <c r="O30610" t="str">
        <f>IF(N30610="","",'Master Barang'!B4)</f>
        <v>oixs cleaner 1l</v>
      </c>
      <c r="P30610">
        <f>IF(OR(M30610="",N30610=""),"",SUMIFS('Barang Keluar'!$E:$E,'Barang Keluar'!$A:$A,M30610,'Barang Keluar'!$C:$C,N30610))</f>
        <v>0</v>
      </c>
    </row>
    <row r="30611" spans="13:16">
      <c r="M30611" s="49">
        <f>IF($A$4+306&gt;$B$4,"",$A$4+306)</f>
        <v>46329</v>
      </c>
      <c r="N30611" t="str">
        <f>IF(M30611="","",'Master Barang'!A5)</f>
        <v>PRL-004</v>
      </c>
      <c r="O30611" t="str">
        <f>IF(N30611="","",'Master Barang'!B5)</f>
        <v>be clean tissue serbaguna</v>
      </c>
      <c r="P30611">
        <f>IF(OR(M30611="",N30611=""),"",SUMIFS('Barang Keluar'!$E:$E,'Barang Keluar'!$A:$A,M30611,'Barang Keluar'!$C:$C,N30611))</f>
        <v>0</v>
      </c>
    </row>
    <row r="30612" spans="13:16">
      <c r="M30612" s="49">
        <f>IF($A$4+306&gt;$B$4,"",$A$4+306)</f>
        <v>46329</v>
      </c>
      <c r="N30612" t="str">
        <f>IF(M30612="","",'Master Barang'!A6)</f>
        <v>PRL-005</v>
      </c>
      <c r="O30612" t="str">
        <f>IF(N30612="","",'Master Barang'!B6)</f>
        <v>spons cuci hijau</v>
      </c>
      <c r="P30612">
        <f>IF(OR(M30612="",N30612=""),"",SUMIFS('Barang Keluar'!$E:$E,'Barang Keluar'!$A:$A,M30612,'Barang Keluar'!$C:$C,N30612))</f>
        <v>0</v>
      </c>
    </row>
    <row r="30613" spans="13:16">
      <c r="M30613" s="49">
        <f>IF($A$4+306&gt;$B$4,"",$A$4+306)</f>
        <v>46329</v>
      </c>
      <c r="N30613" t="str">
        <f>IF(M30613="","",'Master Barang'!A7)</f>
        <v>PRL-006</v>
      </c>
      <c r="O30613" t="str">
        <f>IF(N30613="","",'Master Barang'!B7)</f>
        <v>sabut cuci stainless</v>
      </c>
      <c r="P30613">
        <f>IF(OR(M30613="",N30613=""),"",SUMIFS('Barang Keluar'!$E:$E,'Barang Keluar'!$A:$A,M30613,'Barang Keluar'!$C:$C,N30613))</f>
        <v>0</v>
      </c>
    </row>
    <row r="30614" spans="13:16">
      <c r="M30614" s="49">
        <f>IF($A$4+306&gt;$B$4,"",$A$4+306)</f>
        <v>46329</v>
      </c>
      <c r="N30614" t="str">
        <f>IF(M30614="","",'Master Barang'!A8)</f>
        <v>PRL-007</v>
      </c>
      <c r="O30614" t="str">
        <f>IF(N30614="","",'Master Barang'!B8)</f>
        <v>plastik kresek besar merah 50pc</v>
      </c>
      <c r="P30614">
        <f>IF(OR(M30614="",N30614=""),"",SUMIFS('Barang Keluar'!$E:$E,'Barang Keluar'!$A:$A,M30614,'Barang Keluar'!$C:$C,N30614))</f>
        <v>0</v>
      </c>
    </row>
    <row r="30615" spans="13:16">
      <c r="M30615" s="49">
        <f>IF($A$4+306&gt;$B$4,"",$A$4+306)</f>
        <v>46329</v>
      </c>
      <c r="N30615" t="str">
        <f>IF(M30615="","",'Master Barang'!A9)</f>
        <v>PRL-008</v>
      </c>
      <c r="O30615" t="str">
        <f>IF(N30615="","",'Master Barang'!B9)</f>
        <v>lap besar</v>
      </c>
      <c r="P30615">
        <f>IF(OR(M30615="",N30615=""),"",SUMIFS('Barang Keluar'!$E:$E,'Barang Keluar'!$A:$A,M30615,'Barang Keluar'!$C:$C,N30615))</f>
        <v>0</v>
      </c>
    </row>
    <row r="30616" spans="13:16">
      <c r="M30616" s="49">
        <f>IF($A$4+306&gt;$B$4,"",$A$4+306)</f>
        <v>46329</v>
      </c>
      <c r="N30616" t="str">
        <f>IF(M30616="","",'Master Barang'!A10)</f>
        <v>PRL-009</v>
      </c>
      <c r="O30616" t="str">
        <f>IF(N30616="","",'Master Barang'!B10)</f>
        <v>lap microfiber</v>
      </c>
      <c r="P30616">
        <f>IF(OR(M30616="",N30616=""),"",SUMIFS('Barang Keluar'!$E:$E,'Barang Keluar'!$A:$A,M30616,'Barang Keluar'!$C:$C,N30616))</f>
        <v>0</v>
      </c>
    </row>
    <row r="30617" spans="13:16">
      <c r="M30617" s="49">
        <f>IF($A$4+306&gt;$B$4,"",$A$4+306)</f>
        <v>46329</v>
      </c>
      <c r="N30617" t="str">
        <f>IF(M30617="","",'Master Barang'!A11)</f>
        <v>PRL-010</v>
      </c>
      <c r="O30617" t="str">
        <f>IF(N30617="","",'Master Barang'!B11)</f>
        <v>lap kecil</v>
      </c>
      <c r="P30617">
        <f>IF(OR(M30617="",N30617=""),"",SUMIFS('Barang Keluar'!$E:$E,'Barang Keluar'!$A:$A,M30617,'Barang Keluar'!$C:$C,N30617))</f>
        <v>0</v>
      </c>
    </row>
    <row r="30618" spans="13:16">
      <c r="M30618" s="49">
        <f>IF($A$4+306&gt;$B$4,"",$A$4+306)</f>
        <v>46329</v>
      </c>
      <c r="N30618" t="str">
        <f>IF(M30618="","",'Master Barang'!A12)</f>
        <v>PRL-011</v>
      </c>
      <c r="O30618" t="str">
        <f>IF(N30618="","",'Master Barang'!B12)</f>
        <v>kanebo kecil</v>
      </c>
      <c r="P30618">
        <f>IF(OR(M30618="",N30618=""),"",SUMIFS('Barang Keluar'!$E:$E,'Barang Keluar'!$A:$A,M30618,'Barang Keluar'!$C:$C,N30618))</f>
        <v>0</v>
      </c>
    </row>
    <row r="30619" spans="13:16">
      <c r="M30619" s="49">
        <f>IF($A$4+306&gt;$B$4,"",$A$4+306)</f>
        <v>46329</v>
      </c>
      <c r="N30619" t="str">
        <f>IF(M30619="","",'Master Barang'!A13)</f>
        <v>PRL-012</v>
      </c>
      <c r="O30619" t="str">
        <f>IF(N30619="","",'Master Barang'!B13)</f>
        <v>plastik 1/4kg joyoboyo 100 lembar</v>
      </c>
      <c r="P30619">
        <f>IF(OR(M30619="",N30619=""),"",SUMIFS('Barang Keluar'!$E:$E,'Barang Keluar'!$A:$A,M30619,'Barang Keluar'!$C:$C,N30619))</f>
        <v>0</v>
      </c>
    </row>
    <row r="30620" spans="13:16">
      <c r="M30620" s="49">
        <f>IF($A$4+306&gt;$B$4,"",$A$4+306)</f>
        <v>46329</v>
      </c>
      <c r="N30620" t="str">
        <f>IF(M30620="","",'Master Barang'!A14)</f>
        <v>PRL-013</v>
      </c>
      <c r="O30620" t="str">
        <f>IF(N30620="","",'Master Barang'!B14)</f>
        <v>sarung tangan plastik kaka 100 pcs</v>
      </c>
      <c r="P30620">
        <f>IF(OR(M30620="",N30620=""),"",SUMIFS('Barang Keluar'!$E:$E,'Barang Keluar'!$A:$A,M30620,'Barang Keluar'!$C:$C,N30620))</f>
        <v>0</v>
      </c>
    </row>
    <row r="30621" spans="13:16">
      <c r="M30621" s="49">
        <f>IF($A$4+306&gt;$B$4,"",$A$4+306)</f>
        <v>46329</v>
      </c>
      <c r="N30621" t="str">
        <f>IF(M30621="","",'Master Barang'!A15)</f>
        <v>PRL-014</v>
      </c>
      <c r="O30621" t="str">
        <f>IF(N30621="","",'Master Barang'!B15)</f>
        <v>optima trashbag 80x100</v>
      </c>
      <c r="P30621">
        <f>IF(OR(M30621="",N30621=""),"",SUMIFS('Barang Keluar'!$E:$E,'Barang Keluar'!$A:$A,M30621,'Barang Keluar'!$C:$C,N30621))</f>
        <v>0</v>
      </c>
    </row>
    <row r="30622" spans="13:16">
      <c r="M30622" s="49">
        <f>IF($A$4+306&gt;$B$4,"",$A$4+306)</f>
        <v>46329</v>
      </c>
      <c r="N30622" t="str">
        <f>IF(M30622="","",'Master Barang'!A16)</f>
        <v>PRL-015</v>
      </c>
      <c r="O30622" t="str">
        <f>IF(N30622="","",'Master Barang'!B16)</f>
        <v>optima trashbag 60x100</v>
      </c>
      <c r="P30622">
        <f>IF(OR(M30622="",N30622=""),"",SUMIFS('Barang Keluar'!$E:$E,'Barang Keluar'!$A:$A,M30622,'Barang Keluar'!$C:$C,N30622))</f>
        <v>0</v>
      </c>
    </row>
    <row r="30623" spans="13:16">
      <c r="M30623" s="49">
        <f>IF($A$4+306&gt;$B$4,"",$A$4+306)</f>
        <v>46329</v>
      </c>
      <c r="N30623" t="str">
        <f>IF(M30623="","",'Master Barang'!A17)</f>
        <v>PRL-016</v>
      </c>
      <c r="O30623" t="str">
        <f>IF(N30623="","",'Master Barang'!B17)</f>
        <v>rajawali trashbag 30x40</v>
      </c>
      <c r="P30623">
        <f>IF(OR(M30623="",N30623=""),"",SUMIFS('Barang Keluar'!$E:$E,'Barang Keluar'!$A:$A,M30623,'Barang Keluar'!$C:$C,N30623))</f>
        <v>0</v>
      </c>
    </row>
    <row r="30624" spans="13:16">
      <c r="M30624" s="49">
        <f>IF($A$4+306&gt;$B$4,"",$A$4+306)</f>
        <v>46329</v>
      </c>
      <c r="N30624" t="str">
        <f>IF(M30624="","",'Master Barang'!A18)</f>
        <v>PRL-017</v>
      </c>
      <c r="O30624" t="str">
        <f>IF(N30624="","",'Master Barang'!B18)</f>
        <v>onemed masker biru 3 play 50 pcs</v>
      </c>
      <c r="P30624">
        <f>IF(OR(M30624="",N30624=""),"",SUMIFS('Barang Keluar'!$E:$E,'Barang Keluar'!$A:$A,M30624,'Barang Keluar'!$C:$C,N30624))</f>
        <v>0</v>
      </c>
    </row>
    <row r="30625" spans="13:16">
      <c r="M30625" s="49">
        <f>IF($A$4+306&gt;$B$4,"",$A$4+306)</f>
        <v>46329</v>
      </c>
      <c r="N30625" t="str">
        <f>IF(M30625="","",'Master Barang'!A19)</f>
        <v>PRL-018</v>
      </c>
      <c r="O30625" t="str">
        <f>IF(N30625="","",'Master Barang'!B19)</f>
        <v>onemed masker biru 3 play hijab 50 pcs</v>
      </c>
      <c r="P30625">
        <f>IF(OR(M30625="",N30625=""),"",SUMIFS('Barang Keluar'!$E:$E,'Barang Keluar'!$A:$A,M30625,'Barang Keluar'!$C:$C,N30625))</f>
        <v>0</v>
      </c>
    </row>
    <row r="30626" spans="13:16">
      <c r="M30626" s="49">
        <f>IF($A$4+306&gt;$B$4,"",$A$4+306)</f>
        <v>46329</v>
      </c>
      <c r="N30626" t="str">
        <f>IF(M30626="","",'Master Barang'!A20)</f>
        <v>PRL-019</v>
      </c>
      <c r="O30626" t="str">
        <f>IF(N30626="","",'Master Barang'!B20)</f>
        <v>neo health masker biru 3 play 50 pcs</v>
      </c>
      <c r="P30626">
        <f>IF(OR(M30626="",N30626=""),"",SUMIFS('Barang Keluar'!$E:$E,'Barang Keluar'!$A:$A,M30626,'Barang Keluar'!$C:$C,N30626))</f>
        <v>0</v>
      </c>
    </row>
    <row r="30627" spans="13:16">
      <c r="M30627" s="49">
        <f>IF($A$4+306&gt;$B$4,"",$A$4+306)</f>
        <v>46329</v>
      </c>
      <c r="N30627" t="str">
        <f>IF(M30627="","",'Master Barang'!A21)</f>
        <v>PRL-020</v>
      </c>
      <c r="O30627" t="str">
        <f>IF(N30627="","",'Master Barang'!B21)</f>
        <v>baymed masker hijau 3 play hijau 50 pcs</v>
      </c>
      <c r="P30627">
        <f>IF(OR(M30627="",N30627=""),"",SUMIFS('Barang Keluar'!$E:$E,'Barang Keluar'!$A:$A,M30627,'Barang Keluar'!$C:$C,N30627))</f>
        <v>0</v>
      </c>
    </row>
    <row r="30628" spans="13:16">
      <c r="M30628" s="49">
        <f>IF($A$4+306&gt;$B$4,"",$A$4+306)</f>
        <v>46329</v>
      </c>
      <c r="N30628" t="str">
        <f>IF(M30628="","",'Master Barang'!A22)</f>
        <v>PRL-021</v>
      </c>
      <c r="O30628" t="str">
        <f>IF(N30628="","",'Master Barang'!B22)</f>
        <v>altamed nurse cap penutup kepala 100 pcs</v>
      </c>
      <c r="P30628">
        <f>IF(OR(M30628="",N30628=""),"",SUMIFS('Barang Keluar'!$E:$E,'Barang Keluar'!$A:$A,M30628,'Barang Keluar'!$C:$C,N30628))</f>
        <v>0</v>
      </c>
    </row>
    <row r="30629" spans="13:16">
      <c r="M30629" s="49">
        <f>IF($A$4+306&gt;$B$4,"",$A$4+306)</f>
        <v>46329</v>
      </c>
      <c r="N30629" t="str">
        <f>IF(M30629="","",'Master Barang'!A23)</f>
        <v>PRL-022</v>
      </c>
      <c r="O30629" t="str">
        <f>IF(N30629="","",'Master Barang'!B23)</f>
        <v>sabun cuci tangan</v>
      </c>
      <c r="P30629">
        <f>IF(OR(M30629="",N30629=""),"",SUMIFS('Barang Keluar'!$E:$E,'Barang Keluar'!$A:$A,M30629,'Barang Keluar'!$C:$C,N30629))</f>
        <v>0</v>
      </c>
    </row>
    <row r="30630" spans="13:16">
      <c r="M30630" s="49">
        <f>IF($A$4+306&gt;$B$4,"",$A$4+306)</f>
        <v>46329</v>
      </c>
      <c r="N30630" t="str">
        <f>IF(M30630="","",'Master Barang'!A24)</f>
        <v>PRL-023</v>
      </c>
      <c r="O30630" t="str">
        <f>IF(N30630="","",'Master Barang'!B24)</f>
        <v>gayung kecil</v>
      </c>
      <c r="P30630">
        <f>IF(OR(M30630="",N30630=""),"",SUMIFS('Barang Keluar'!$E:$E,'Barang Keluar'!$A:$A,M30630,'Barang Keluar'!$C:$C,N30630))</f>
        <v>0</v>
      </c>
    </row>
    <row r="30631" spans="13:16">
      <c r="M30631" s="49">
        <f>IF($A$4+306&gt;$B$4,"",$A$4+306)</f>
        <v>46329</v>
      </c>
      <c r="N30631" t="str">
        <f>IF(M30631="","",'Master Barang'!A25)</f>
        <v>PRL-024</v>
      </c>
      <c r="O30631" t="str">
        <f>IF(N30631="","",'Master Barang'!B25)</f>
        <v>cikrak kecil</v>
      </c>
      <c r="P30631">
        <f>IF(OR(M30631="",N30631=""),"",SUMIFS('Barang Keluar'!$E:$E,'Barang Keluar'!$A:$A,M30631,'Barang Keluar'!$C:$C,N30631))</f>
        <v>0</v>
      </c>
    </row>
    <row r="30632" spans="13:16">
      <c r="M30632" s="49">
        <f>IF($A$4+306&gt;$B$4,"",$A$4+306)</f>
        <v>46329</v>
      </c>
      <c r="N30632" t="str">
        <f>IF(M30632="","",'Master Barang'!A26)</f>
        <v>PRL-025</v>
      </c>
      <c r="O30632" t="str">
        <f>IF(N30632="","",'Master Barang'!B26)</f>
        <v>petromax plastik kecil 12x24 100 lembar</v>
      </c>
      <c r="P30632">
        <f>IF(OR(M30632="",N30632=""),"",SUMIFS('Barang Keluar'!$E:$E,'Barang Keluar'!$A:$A,M30632,'Barang Keluar'!$C:$C,N30632))</f>
        <v>0</v>
      </c>
    </row>
    <row r="30633" spans="13:16">
      <c r="M30633" s="49">
        <f>IF($A$4+306&gt;$B$4,"",$A$4+306)</f>
        <v>46329</v>
      </c>
      <c r="N30633" t="str">
        <f>IF(M30633="","",'Master Barang'!A27)</f>
        <v>PRL-026</v>
      </c>
      <c r="O30633" t="str">
        <f>IF(N30633="","",'Master Barang'!B27)</f>
        <v>lancar kresek kecil bening </v>
      </c>
      <c r="P30633">
        <f>IF(OR(M30633="",N30633=""),"",SUMIFS('Barang Keluar'!$E:$E,'Barang Keluar'!$A:$A,M30633,'Barang Keluar'!$C:$C,N30633))</f>
        <v>0</v>
      </c>
    </row>
    <row r="30634" spans="13:16">
      <c r="M30634" s="49">
        <f>IF($A$4+306&gt;$B$4,"",$A$4+306)</f>
        <v>46329</v>
      </c>
      <c r="N30634" t="str">
        <f>IF(M30634="","",'Master Barang'!A28)</f>
        <v>PRL-027</v>
      </c>
      <c r="O30634" t="str">
        <f>IF(N30634="","",'Master Barang'!B28)</f>
        <v>kresek klin warna warni kecil</v>
      </c>
      <c r="P30634">
        <f>IF(OR(M30634="",N30634=""),"",SUMIFS('Barang Keluar'!$E:$E,'Barang Keluar'!$A:$A,M30634,'Barang Keluar'!$C:$C,N30634))</f>
        <v>0</v>
      </c>
    </row>
    <row r="30635" spans="13:16">
      <c r="M30635" s="49">
        <f>IF($A$4+306&gt;$B$4,"",$A$4+306)</f>
        <v>46329</v>
      </c>
      <c r="N30635" t="str">
        <f>IF(M30635="","",'Master Barang'!A29)</f>
        <v>PRL-028</v>
      </c>
      <c r="O30635" t="str">
        <f>IF(N30635="","",'Master Barang'!B29)</f>
        <v>ctik plastik 7x10 100 pcs</v>
      </c>
      <c r="P30635">
        <f>IF(OR(M30635="",N30635=""),"",SUMIFS('Barang Keluar'!$E:$E,'Barang Keluar'!$A:$A,M30635,'Barang Keluar'!$C:$C,N30635))</f>
        <v>0</v>
      </c>
    </row>
    <row r="30636" spans="13:16">
      <c r="M30636" s="49">
        <f>IF($A$4+306&gt;$B$4,"",$A$4+306)</f>
        <v>46329</v>
      </c>
      <c r="N30636" t="str">
        <f>IF(M30636="","",'Master Barang'!A30)</f>
        <v>PRL-029</v>
      </c>
      <c r="O30636" t="str">
        <f>IF(N30636="","",'Master Barang'!B30)</f>
        <v>ctik plastik 6x10 100 pcs</v>
      </c>
      <c r="P30636">
        <f>IF(OR(M30636="",N30636=""),"",SUMIFS('Barang Keluar'!$E:$E,'Barang Keluar'!$A:$A,M30636,'Barang Keluar'!$C:$C,N30636))</f>
        <v>0</v>
      </c>
    </row>
    <row r="30637" spans="13:16">
      <c r="M30637" s="49">
        <f>IF($A$4+306&gt;$B$4,"",$A$4+306)</f>
        <v>46329</v>
      </c>
      <c r="N30637" t="str">
        <f>IF(M30637="","",'Master Barang'!A31)</f>
        <v>PRL-030</v>
      </c>
      <c r="O30637" t="str">
        <f>IF(N30637="","",'Master Barang'!B31)</f>
        <v>klip plastik 25x16 100 pcs</v>
      </c>
      <c r="P30637">
        <f>IF(OR(M30637="",N30637=""),"",SUMIFS('Barang Keluar'!$E:$E,'Barang Keluar'!$A:$A,M30637,'Barang Keluar'!$C:$C,N30637))</f>
        <v>0</v>
      </c>
    </row>
    <row r="30638" spans="13:16">
      <c r="M30638" s="49">
        <f>IF($A$4+306&gt;$B$4,"",$A$4+306)</f>
        <v>46329</v>
      </c>
      <c r="N30638" t="str">
        <f>IF(M30638="","",'Master Barang'!A32)</f>
        <v>PRL-031</v>
      </c>
      <c r="O30638" t="str">
        <f>IF(N30638="","",'Master Barang'!B32)</f>
        <v>tempat saus 20 ml</v>
      </c>
      <c r="P30638">
        <f>IF(OR(M30638="",N30638=""),"",SUMIFS('Barang Keluar'!$E:$E,'Barang Keluar'!$A:$A,M30638,'Barang Keluar'!$C:$C,N30638))</f>
        <v>0</v>
      </c>
    </row>
    <row r="30639" spans="13:16">
      <c r="M30639" s="49">
        <f>IF($A$4+306&gt;$B$4,"",$A$4+306)</f>
        <v>46329</v>
      </c>
      <c r="N30639" t="str">
        <f>IF(M30639="","",'Master Barang'!A33)</f>
        <v>PRL-032</v>
      </c>
      <c r="O30639" t="str">
        <f>IF(N30639="","",'Master Barang'!B33)</f>
        <v>plastik packaging ag box uk sedang</v>
      </c>
      <c r="P30639">
        <f>IF(OR(M30639="",N30639=""),"",SUMIFS('Barang Keluar'!$E:$E,'Barang Keluar'!$A:$A,M30639,'Barang Keluar'!$C:$C,N30639))</f>
        <v>0</v>
      </c>
    </row>
    <row r="30640" spans="13:16">
      <c r="M30640" s="49">
        <f>IF($A$4+306&gt;$B$4,"",$A$4+306)</f>
        <v>46329</v>
      </c>
      <c r="N30640" t="str">
        <f>IF(M30640="","",'Master Barang'!A34)</f>
        <v>PRL-033</v>
      </c>
      <c r="O30640">
        <f>IF(N30640="","",'Master Barang'!B34)</f>
        <v>0</v>
      </c>
      <c r="P30640">
        <f>IF(OR(M30640="",N30640=""),"",SUMIFS('Barang Keluar'!$E:$E,'Barang Keluar'!$A:$A,M30640,'Barang Keluar'!$C:$C,N30640))</f>
        <v>0</v>
      </c>
    </row>
    <row r="30641" spans="13:16">
      <c r="M30641" s="49">
        <f>IF($A$4+306&gt;$B$4,"",$A$4+306)</f>
        <v>46329</v>
      </c>
      <c r="N30641">
        <f>IF(M30641="","",'Master Barang'!A35)</f>
        <v>0</v>
      </c>
      <c r="O30641">
        <f>IF(N30641="","",'Master Barang'!B35)</f>
        <v>0</v>
      </c>
      <c r="P30641">
        <f>IF(OR(M30641="",N30641=""),"",SUMIFS('Barang Keluar'!$E:$E,'Barang Keluar'!$A:$A,M30641,'Barang Keluar'!$C:$C,N30641))</f>
        <v>0</v>
      </c>
    </row>
    <row r="30642" spans="13:16">
      <c r="M30642" s="49">
        <f>IF($A$4+306&gt;$B$4,"",$A$4+306)</f>
        <v>46329</v>
      </c>
      <c r="N30642">
        <f>IF(M30642="","",'Master Barang'!A36)</f>
        <v>0</v>
      </c>
      <c r="O30642">
        <f>IF(N30642="","",'Master Barang'!B36)</f>
        <v>0</v>
      </c>
      <c r="P30642">
        <f>IF(OR(M30642="",N30642=""),"",SUMIFS('Barang Keluar'!$E:$E,'Barang Keluar'!$A:$A,M30642,'Barang Keluar'!$C:$C,N30642))</f>
        <v>0</v>
      </c>
    </row>
    <row r="30643" spans="13:16">
      <c r="M30643" s="49">
        <f>IF($A$4+306&gt;$B$4,"",$A$4+306)</f>
        <v>46329</v>
      </c>
      <c r="N30643">
        <f>IF(M30643="","",'Master Barang'!A37)</f>
        <v>0</v>
      </c>
      <c r="O30643">
        <f>IF(N30643="","",'Master Barang'!B37)</f>
        <v>0</v>
      </c>
      <c r="P30643">
        <f>IF(OR(M30643="",N30643=""),"",SUMIFS('Barang Keluar'!$E:$E,'Barang Keluar'!$A:$A,M30643,'Barang Keluar'!$C:$C,N30643))</f>
        <v>0</v>
      </c>
    </row>
    <row r="30644" spans="13:16">
      <c r="M30644" s="49">
        <f>IF($A$4+306&gt;$B$4,"",$A$4+306)</f>
        <v>46329</v>
      </c>
      <c r="N30644">
        <f>IF(M30644="","",'Master Barang'!A38)</f>
        <v>0</v>
      </c>
      <c r="O30644">
        <f>IF(N30644="","",'Master Barang'!B38)</f>
        <v>0</v>
      </c>
      <c r="P30644">
        <f>IF(OR(M30644="",N30644=""),"",SUMIFS('Barang Keluar'!$E:$E,'Barang Keluar'!$A:$A,M30644,'Barang Keluar'!$C:$C,N30644))</f>
        <v>0</v>
      </c>
    </row>
    <row r="30645" spans="13:16">
      <c r="M30645" s="49">
        <f>IF($A$4+306&gt;$B$4,"",$A$4+306)</f>
        <v>46329</v>
      </c>
      <c r="N30645">
        <f>IF(M30645="","",'Master Barang'!A39)</f>
        <v>0</v>
      </c>
      <c r="O30645">
        <f>IF(N30645="","",'Master Barang'!B39)</f>
        <v>0</v>
      </c>
      <c r="P30645">
        <f>IF(OR(M30645="",N30645=""),"",SUMIFS('Barang Keluar'!$E:$E,'Barang Keluar'!$A:$A,M30645,'Barang Keluar'!$C:$C,N30645))</f>
        <v>0</v>
      </c>
    </row>
    <row r="30646" spans="13:16">
      <c r="M30646" s="49">
        <f>IF($A$4+306&gt;$B$4,"",$A$4+306)</f>
        <v>46329</v>
      </c>
      <c r="N30646">
        <f>IF(M30646="","",'Master Barang'!A40)</f>
        <v>0</v>
      </c>
      <c r="O30646">
        <f>IF(N30646="","",'Master Barang'!B40)</f>
        <v>0</v>
      </c>
      <c r="P30646">
        <f>IF(OR(M30646="",N30646=""),"",SUMIFS('Barang Keluar'!$E:$E,'Barang Keluar'!$A:$A,M30646,'Barang Keluar'!$C:$C,N30646))</f>
        <v>0</v>
      </c>
    </row>
    <row r="30647" spans="13:16">
      <c r="M30647" s="49">
        <f>IF($A$4+306&gt;$B$4,"",$A$4+306)</f>
        <v>46329</v>
      </c>
      <c r="N30647">
        <f>IF(M30647="","",'Master Barang'!A41)</f>
        <v>0</v>
      </c>
      <c r="O30647">
        <f>IF(N30647="","",'Master Barang'!B41)</f>
        <v>0</v>
      </c>
      <c r="P30647">
        <f>IF(OR(M30647="",N30647=""),"",SUMIFS('Barang Keluar'!$E:$E,'Barang Keluar'!$A:$A,M30647,'Barang Keluar'!$C:$C,N30647))</f>
        <v>0</v>
      </c>
    </row>
    <row r="30648" spans="13:16">
      <c r="M30648" s="49">
        <f>IF($A$4+306&gt;$B$4,"",$A$4+306)</f>
        <v>46329</v>
      </c>
      <c r="N30648">
        <f>IF(M30648="","",'Master Barang'!A42)</f>
        <v>0</v>
      </c>
      <c r="O30648">
        <f>IF(N30648="","",'Master Barang'!B42)</f>
        <v>0</v>
      </c>
      <c r="P30648">
        <f>IF(OR(M30648="",N30648=""),"",SUMIFS('Barang Keluar'!$E:$E,'Barang Keluar'!$A:$A,M30648,'Barang Keluar'!$C:$C,N30648))</f>
        <v>0</v>
      </c>
    </row>
    <row r="30649" spans="13:16">
      <c r="M30649" s="49">
        <f>IF($A$4+306&gt;$B$4,"",$A$4+306)</f>
        <v>46329</v>
      </c>
      <c r="N30649">
        <f>IF(M30649="","",'Master Barang'!A43)</f>
        <v>0</v>
      </c>
      <c r="O30649">
        <f>IF(N30649="","",'Master Barang'!B43)</f>
        <v>0</v>
      </c>
      <c r="P30649">
        <f>IF(OR(M30649="",N30649=""),"",SUMIFS('Barang Keluar'!$E:$E,'Barang Keluar'!$A:$A,M30649,'Barang Keluar'!$C:$C,N30649))</f>
        <v>0</v>
      </c>
    </row>
    <row r="30650" spans="13:16">
      <c r="M30650" s="49">
        <f>IF($A$4+306&gt;$B$4,"",$A$4+306)</f>
        <v>46329</v>
      </c>
      <c r="N30650">
        <f>IF(M30650="","",'Master Barang'!A44)</f>
        <v>0</v>
      </c>
      <c r="O30650">
        <f>IF(N30650="","",'Master Barang'!B44)</f>
        <v>0</v>
      </c>
      <c r="P30650">
        <f>IF(OR(M30650="",N30650=""),"",SUMIFS('Barang Keluar'!$E:$E,'Barang Keluar'!$A:$A,M30650,'Barang Keluar'!$C:$C,N30650))</f>
        <v>0</v>
      </c>
    </row>
    <row r="30651" spans="13:16">
      <c r="M30651" s="49">
        <f>IF($A$4+306&gt;$B$4,"",$A$4+306)</f>
        <v>46329</v>
      </c>
      <c r="N30651">
        <f>IF(M30651="","",'Master Barang'!A45)</f>
        <v>0</v>
      </c>
      <c r="O30651">
        <f>IF(N30651="","",'Master Barang'!B45)</f>
        <v>0</v>
      </c>
      <c r="P30651">
        <f>IF(OR(M30651="",N30651=""),"",SUMIFS('Barang Keluar'!$E:$E,'Barang Keluar'!$A:$A,M30651,'Barang Keluar'!$C:$C,N30651))</f>
        <v>0</v>
      </c>
    </row>
    <row r="30652" spans="13:16">
      <c r="M30652" s="49">
        <f>IF($A$4+306&gt;$B$4,"",$A$4+306)</f>
        <v>46329</v>
      </c>
      <c r="N30652">
        <f>IF(M30652="","",'Master Barang'!A46)</f>
        <v>0</v>
      </c>
      <c r="O30652">
        <f>IF(N30652="","",'Master Barang'!B46)</f>
        <v>0</v>
      </c>
      <c r="P30652">
        <f>IF(OR(M30652="",N30652=""),"",SUMIFS('Barang Keluar'!$E:$E,'Barang Keluar'!$A:$A,M30652,'Barang Keluar'!$C:$C,N30652))</f>
        <v>0</v>
      </c>
    </row>
    <row r="30653" spans="13:16">
      <c r="M30653" s="49">
        <f>IF($A$4+306&gt;$B$4,"",$A$4+306)</f>
        <v>46329</v>
      </c>
      <c r="N30653">
        <f>IF(M30653="","",'Master Barang'!A47)</f>
        <v>0</v>
      </c>
      <c r="O30653">
        <f>IF(N30653="","",'Master Barang'!B47)</f>
        <v>0</v>
      </c>
      <c r="P30653">
        <f>IF(OR(M30653="",N30653=""),"",SUMIFS('Barang Keluar'!$E:$E,'Barang Keluar'!$A:$A,M30653,'Barang Keluar'!$C:$C,N30653))</f>
        <v>0</v>
      </c>
    </row>
    <row r="30654" spans="13:16">
      <c r="M30654" s="49">
        <f>IF($A$4+306&gt;$B$4,"",$A$4+306)</f>
        <v>46329</v>
      </c>
      <c r="N30654">
        <f>IF(M30654="","",'Master Barang'!A48)</f>
        <v>0</v>
      </c>
      <c r="O30654">
        <f>IF(N30654="","",'Master Barang'!B48)</f>
        <v>0</v>
      </c>
      <c r="P30654">
        <f>IF(OR(M30654="",N30654=""),"",SUMIFS('Barang Keluar'!$E:$E,'Barang Keluar'!$A:$A,M30654,'Barang Keluar'!$C:$C,N30654))</f>
        <v>0</v>
      </c>
    </row>
    <row r="30655" spans="13:16">
      <c r="M30655" s="49">
        <f>IF($A$4+306&gt;$B$4,"",$A$4+306)</f>
        <v>46329</v>
      </c>
      <c r="N30655">
        <f>IF(M30655="","",'Master Barang'!A49)</f>
        <v>0</v>
      </c>
      <c r="O30655">
        <f>IF(N30655="","",'Master Barang'!B49)</f>
        <v>0</v>
      </c>
      <c r="P30655">
        <f>IF(OR(M30655="",N30655=""),"",SUMIFS('Barang Keluar'!$E:$E,'Barang Keluar'!$A:$A,M30655,'Barang Keluar'!$C:$C,N30655))</f>
        <v>0</v>
      </c>
    </row>
    <row r="30656" spans="13:16">
      <c r="M30656" s="49">
        <f>IF($A$4+306&gt;$B$4,"",$A$4+306)</f>
        <v>46329</v>
      </c>
      <c r="N30656">
        <f>IF(M30656="","",'Master Barang'!A50)</f>
        <v>0</v>
      </c>
      <c r="O30656">
        <f>IF(N30656="","",'Master Barang'!B50)</f>
        <v>0</v>
      </c>
      <c r="P30656">
        <f>IF(OR(M30656="",N30656=""),"",SUMIFS('Barang Keluar'!$E:$E,'Barang Keluar'!$A:$A,M30656,'Barang Keluar'!$C:$C,N30656))</f>
        <v>0</v>
      </c>
    </row>
    <row r="30657" spans="13:16">
      <c r="M30657" s="49">
        <f>IF($A$4+306&gt;$B$4,"",$A$4+306)</f>
        <v>46329</v>
      </c>
      <c r="N30657">
        <f>IF(M30657="","",'Master Barang'!A51)</f>
        <v>0</v>
      </c>
      <c r="O30657">
        <f>IF(N30657="","",'Master Barang'!B51)</f>
        <v>0</v>
      </c>
      <c r="P30657">
        <f>IF(OR(M30657="",N30657=""),"",SUMIFS('Barang Keluar'!$E:$E,'Barang Keluar'!$A:$A,M30657,'Barang Keluar'!$C:$C,N30657))</f>
        <v>0</v>
      </c>
    </row>
    <row r="30658" spans="13:16">
      <c r="M30658" s="49">
        <f>IF($A$4+306&gt;$B$4,"",$A$4+306)</f>
        <v>46329</v>
      </c>
      <c r="N30658">
        <f>IF(M30658="","",'Master Barang'!A52)</f>
        <v>0</v>
      </c>
      <c r="O30658">
        <f>IF(N30658="","",'Master Barang'!B52)</f>
        <v>0</v>
      </c>
      <c r="P30658">
        <f>IF(OR(M30658="",N30658=""),"",SUMIFS('Barang Keluar'!$E:$E,'Barang Keluar'!$A:$A,M30658,'Barang Keluar'!$C:$C,N30658))</f>
        <v>0</v>
      </c>
    </row>
    <row r="30659" spans="13:16">
      <c r="M30659" s="49">
        <f>IF($A$4+306&gt;$B$4,"",$A$4+306)</f>
        <v>46329</v>
      </c>
      <c r="N30659">
        <f>IF(M30659="","",'Master Barang'!A53)</f>
        <v>0</v>
      </c>
      <c r="O30659">
        <f>IF(N30659="","",'Master Barang'!B53)</f>
        <v>0</v>
      </c>
      <c r="P30659">
        <f>IF(OR(M30659="",N30659=""),"",SUMIFS('Barang Keluar'!$E:$E,'Barang Keluar'!$A:$A,M30659,'Barang Keluar'!$C:$C,N30659))</f>
        <v>0</v>
      </c>
    </row>
    <row r="30660" spans="13:16">
      <c r="M30660" s="49">
        <f>IF($A$4+306&gt;$B$4,"",$A$4+306)</f>
        <v>46329</v>
      </c>
      <c r="N30660">
        <f>IF(M30660="","",'Master Barang'!A54)</f>
        <v>0</v>
      </c>
      <c r="O30660">
        <f>IF(N30660="","",'Master Barang'!B54)</f>
        <v>0</v>
      </c>
      <c r="P30660">
        <f>IF(OR(M30660="",N30660=""),"",SUMIFS('Barang Keluar'!$E:$E,'Barang Keluar'!$A:$A,M30660,'Barang Keluar'!$C:$C,N30660))</f>
        <v>0</v>
      </c>
    </row>
    <row r="30661" spans="13:16">
      <c r="M30661" s="49">
        <f>IF($A$4+306&gt;$B$4,"",$A$4+306)</f>
        <v>46329</v>
      </c>
      <c r="N30661">
        <f>IF(M30661="","",'Master Barang'!A55)</f>
        <v>0</v>
      </c>
      <c r="O30661">
        <f>IF(N30661="","",'Master Barang'!B55)</f>
        <v>0</v>
      </c>
      <c r="P30661">
        <f>IF(OR(M30661="",N30661=""),"",SUMIFS('Barang Keluar'!$E:$E,'Barang Keluar'!$A:$A,M30661,'Barang Keluar'!$C:$C,N30661))</f>
        <v>0</v>
      </c>
    </row>
    <row r="30662" spans="13:16">
      <c r="M30662" s="49">
        <f>IF($A$4+306&gt;$B$4,"",$A$4+306)</f>
        <v>46329</v>
      </c>
      <c r="N30662">
        <f>IF(M30662="","",'Master Barang'!A56)</f>
        <v>0</v>
      </c>
      <c r="O30662">
        <f>IF(N30662="","",'Master Barang'!B56)</f>
        <v>0</v>
      </c>
      <c r="P30662">
        <f>IF(OR(M30662="",N30662=""),"",SUMIFS('Barang Keluar'!$E:$E,'Barang Keluar'!$A:$A,M30662,'Barang Keluar'!$C:$C,N30662))</f>
        <v>0</v>
      </c>
    </row>
    <row r="30663" spans="13:16">
      <c r="M30663" s="49">
        <f>IF($A$4+306&gt;$B$4,"",$A$4+306)</f>
        <v>46329</v>
      </c>
      <c r="N30663">
        <f>IF(M30663="","",'Master Barang'!A57)</f>
        <v>0</v>
      </c>
      <c r="O30663">
        <f>IF(N30663="","",'Master Barang'!B57)</f>
        <v>0</v>
      </c>
      <c r="P30663">
        <f>IF(OR(M30663="",N30663=""),"",SUMIFS('Barang Keluar'!$E:$E,'Barang Keluar'!$A:$A,M30663,'Barang Keluar'!$C:$C,N30663))</f>
        <v>0</v>
      </c>
    </row>
    <row r="30664" spans="13:16">
      <c r="M30664" s="49">
        <f>IF($A$4+306&gt;$B$4,"",$A$4+306)</f>
        <v>46329</v>
      </c>
      <c r="N30664">
        <f>IF(M30664="","",'Master Barang'!A58)</f>
        <v>0</v>
      </c>
      <c r="O30664">
        <f>IF(N30664="","",'Master Barang'!B58)</f>
        <v>0</v>
      </c>
      <c r="P30664">
        <f>IF(OR(M30664="",N30664=""),"",SUMIFS('Barang Keluar'!$E:$E,'Barang Keluar'!$A:$A,M30664,'Barang Keluar'!$C:$C,N30664))</f>
        <v>0</v>
      </c>
    </row>
    <row r="30665" spans="13:16">
      <c r="M30665" s="49">
        <f>IF($A$4+306&gt;$B$4,"",$A$4+306)</f>
        <v>46329</v>
      </c>
      <c r="N30665">
        <f>IF(M30665="","",'Master Barang'!A59)</f>
        <v>0</v>
      </c>
      <c r="O30665">
        <f>IF(N30665="","",'Master Barang'!B59)</f>
        <v>0</v>
      </c>
      <c r="P30665">
        <f>IF(OR(M30665="",N30665=""),"",SUMIFS('Barang Keluar'!$E:$E,'Barang Keluar'!$A:$A,M30665,'Barang Keluar'!$C:$C,N30665))</f>
        <v>0</v>
      </c>
    </row>
    <row r="30666" spans="13:16">
      <c r="M30666" s="49">
        <f>IF($A$4+306&gt;$B$4,"",$A$4+306)</f>
        <v>46329</v>
      </c>
      <c r="N30666">
        <f>IF(M30666="","",'Master Barang'!A60)</f>
        <v>0</v>
      </c>
      <c r="O30666">
        <f>IF(N30666="","",'Master Barang'!B60)</f>
        <v>0</v>
      </c>
      <c r="P30666">
        <f>IF(OR(M30666="",N30666=""),"",SUMIFS('Barang Keluar'!$E:$E,'Barang Keluar'!$A:$A,M30666,'Barang Keluar'!$C:$C,N30666))</f>
        <v>0</v>
      </c>
    </row>
    <row r="30667" spans="13:16">
      <c r="M30667" s="49">
        <f>IF($A$4+306&gt;$B$4,"",$A$4+306)</f>
        <v>46329</v>
      </c>
      <c r="N30667">
        <f>IF(M30667="","",'Master Barang'!A61)</f>
        <v>0</v>
      </c>
      <c r="O30667">
        <f>IF(N30667="","",'Master Barang'!B61)</f>
        <v>0</v>
      </c>
      <c r="P30667">
        <f>IF(OR(M30667="",N30667=""),"",SUMIFS('Barang Keluar'!$E:$E,'Barang Keluar'!$A:$A,M30667,'Barang Keluar'!$C:$C,N30667))</f>
        <v>0</v>
      </c>
    </row>
    <row r="30668" spans="13:16">
      <c r="M30668" s="49">
        <f>IF($A$4+306&gt;$B$4,"",$A$4+306)</f>
        <v>46329</v>
      </c>
      <c r="N30668">
        <f>IF(M30668="","",'Master Barang'!A62)</f>
        <v>0</v>
      </c>
      <c r="O30668">
        <f>IF(N30668="","",'Master Barang'!B62)</f>
        <v>0</v>
      </c>
      <c r="P30668">
        <f>IF(OR(M30668="",N30668=""),"",SUMIFS('Barang Keluar'!$E:$E,'Barang Keluar'!$A:$A,M30668,'Barang Keluar'!$C:$C,N30668))</f>
        <v>0</v>
      </c>
    </row>
    <row r="30669" spans="13:16">
      <c r="M30669" s="49">
        <f>IF($A$4+306&gt;$B$4,"",$A$4+306)</f>
        <v>46329</v>
      </c>
      <c r="N30669">
        <f>IF(M30669="","",'Master Barang'!A63)</f>
        <v>0</v>
      </c>
      <c r="O30669">
        <f>IF(N30669="","",'Master Barang'!B63)</f>
        <v>0</v>
      </c>
      <c r="P30669">
        <f>IF(OR(M30669="",N30669=""),"",SUMIFS('Barang Keluar'!$E:$E,'Barang Keluar'!$A:$A,M30669,'Barang Keluar'!$C:$C,N30669))</f>
        <v>0</v>
      </c>
    </row>
    <row r="30670" spans="13:16">
      <c r="M30670" s="49">
        <f>IF($A$4+306&gt;$B$4,"",$A$4+306)</f>
        <v>46329</v>
      </c>
      <c r="N30670">
        <f>IF(M30670="","",'Master Barang'!A64)</f>
        <v>0</v>
      </c>
      <c r="O30670">
        <f>IF(N30670="","",'Master Barang'!B64)</f>
        <v>0</v>
      </c>
      <c r="P30670">
        <f>IF(OR(M30670="",N30670=""),"",SUMIFS('Barang Keluar'!$E:$E,'Barang Keluar'!$A:$A,M30670,'Barang Keluar'!$C:$C,N30670))</f>
        <v>0</v>
      </c>
    </row>
    <row r="30671" spans="13:16">
      <c r="M30671" s="49">
        <f>IF($A$4+306&gt;$B$4,"",$A$4+306)</f>
        <v>46329</v>
      </c>
      <c r="N30671">
        <f>IF(M30671="","",'Master Barang'!A65)</f>
        <v>0</v>
      </c>
      <c r="O30671">
        <f>IF(N30671="","",'Master Barang'!B65)</f>
        <v>0</v>
      </c>
      <c r="P30671">
        <f>IF(OR(M30671="",N30671=""),"",SUMIFS('Barang Keluar'!$E:$E,'Barang Keluar'!$A:$A,M30671,'Barang Keluar'!$C:$C,N30671))</f>
        <v>0</v>
      </c>
    </row>
    <row r="30672" spans="13:16">
      <c r="M30672" s="49">
        <f>IF($A$4+306&gt;$B$4,"",$A$4+306)</f>
        <v>46329</v>
      </c>
      <c r="N30672">
        <f>IF(M30672="","",'Master Barang'!A66)</f>
        <v>0</v>
      </c>
      <c r="O30672">
        <f>IF(N30672="","",'Master Barang'!B66)</f>
        <v>0</v>
      </c>
      <c r="P30672">
        <f>IF(OR(M30672="",N30672=""),"",SUMIFS('Barang Keluar'!$E:$E,'Barang Keluar'!$A:$A,M30672,'Barang Keluar'!$C:$C,N30672))</f>
        <v>0</v>
      </c>
    </row>
    <row r="30673" spans="13:16">
      <c r="M30673" s="49">
        <f>IF($A$4+306&gt;$B$4,"",$A$4+306)</f>
        <v>46329</v>
      </c>
      <c r="N30673">
        <f>IF(M30673="","",'Master Barang'!A67)</f>
        <v>0</v>
      </c>
      <c r="O30673">
        <f>IF(N30673="","",'Master Barang'!B67)</f>
        <v>0</v>
      </c>
      <c r="P30673">
        <f>IF(OR(M30673="",N30673=""),"",SUMIFS('Barang Keluar'!$E:$E,'Barang Keluar'!$A:$A,M30673,'Barang Keluar'!$C:$C,N30673))</f>
        <v>0</v>
      </c>
    </row>
    <row r="30674" spans="13:16">
      <c r="M30674" s="49">
        <f>IF($A$4+306&gt;$B$4,"",$A$4+306)</f>
        <v>46329</v>
      </c>
      <c r="N30674">
        <f>IF(M30674="","",'Master Barang'!A68)</f>
        <v>0</v>
      </c>
      <c r="O30674">
        <f>IF(N30674="","",'Master Barang'!B68)</f>
        <v>0</v>
      </c>
      <c r="P30674">
        <f>IF(OR(M30674="",N30674=""),"",SUMIFS('Barang Keluar'!$E:$E,'Barang Keluar'!$A:$A,M30674,'Barang Keluar'!$C:$C,N30674))</f>
        <v>0</v>
      </c>
    </row>
    <row r="30675" spans="13:16">
      <c r="M30675" s="49">
        <f>IF($A$4+306&gt;$B$4,"",$A$4+306)</f>
        <v>46329</v>
      </c>
      <c r="N30675">
        <f>IF(M30675="","",'Master Barang'!A69)</f>
        <v>0</v>
      </c>
      <c r="O30675">
        <f>IF(N30675="","",'Master Barang'!B69)</f>
        <v>0</v>
      </c>
      <c r="P30675">
        <f>IF(OR(M30675="",N30675=""),"",SUMIFS('Barang Keluar'!$E:$E,'Barang Keluar'!$A:$A,M30675,'Barang Keluar'!$C:$C,N30675))</f>
        <v>0</v>
      </c>
    </row>
    <row r="30676" spans="13:16">
      <c r="M30676" s="49">
        <f>IF($A$4+306&gt;$B$4,"",$A$4+306)</f>
        <v>46329</v>
      </c>
      <c r="N30676">
        <f>IF(M30676="","",'Master Barang'!A70)</f>
        <v>0</v>
      </c>
      <c r="O30676">
        <f>IF(N30676="","",'Master Barang'!B70)</f>
        <v>0</v>
      </c>
      <c r="P30676">
        <f>IF(OR(M30676="",N30676=""),"",SUMIFS('Barang Keluar'!$E:$E,'Barang Keluar'!$A:$A,M30676,'Barang Keluar'!$C:$C,N30676))</f>
        <v>0</v>
      </c>
    </row>
    <row r="30677" spans="13:16">
      <c r="M30677" s="49">
        <f>IF($A$4+306&gt;$B$4,"",$A$4+306)</f>
        <v>46329</v>
      </c>
      <c r="N30677">
        <f>IF(M30677="","",'Master Barang'!A71)</f>
        <v>0</v>
      </c>
      <c r="O30677">
        <f>IF(N30677="","",'Master Barang'!B71)</f>
        <v>0</v>
      </c>
      <c r="P30677">
        <f>IF(OR(M30677="",N30677=""),"",SUMIFS('Barang Keluar'!$E:$E,'Barang Keluar'!$A:$A,M30677,'Barang Keluar'!$C:$C,N30677))</f>
        <v>0</v>
      </c>
    </row>
    <row r="30678" spans="13:16">
      <c r="M30678" s="49">
        <f>IF($A$4+306&gt;$B$4,"",$A$4+306)</f>
        <v>46329</v>
      </c>
      <c r="N30678">
        <f>IF(M30678="","",'Master Barang'!A72)</f>
        <v>0</v>
      </c>
      <c r="O30678">
        <f>IF(N30678="","",'Master Barang'!B72)</f>
        <v>0</v>
      </c>
      <c r="P30678">
        <f>IF(OR(M30678="",N30678=""),"",SUMIFS('Barang Keluar'!$E:$E,'Barang Keluar'!$A:$A,M30678,'Barang Keluar'!$C:$C,N30678))</f>
        <v>0</v>
      </c>
    </row>
    <row r="30679" spans="13:16">
      <c r="M30679" s="49">
        <f>IF($A$4+306&gt;$B$4,"",$A$4+306)</f>
        <v>46329</v>
      </c>
      <c r="N30679">
        <f>IF(M30679="","",'Master Barang'!A73)</f>
        <v>0</v>
      </c>
      <c r="O30679">
        <f>IF(N30679="","",'Master Barang'!B73)</f>
        <v>0</v>
      </c>
      <c r="P30679">
        <f>IF(OR(M30679="",N30679=""),"",SUMIFS('Barang Keluar'!$E:$E,'Barang Keluar'!$A:$A,M30679,'Barang Keluar'!$C:$C,N30679))</f>
        <v>0</v>
      </c>
    </row>
    <row r="30680" spans="13:16">
      <c r="M30680" s="49">
        <f>IF($A$4+306&gt;$B$4,"",$A$4+306)</f>
        <v>46329</v>
      </c>
      <c r="N30680">
        <f>IF(M30680="","",'Master Barang'!A74)</f>
        <v>0</v>
      </c>
      <c r="O30680">
        <f>IF(N30680="","",'Master Barang'!B74)</f>
        <v>0</v>
      </c>
      <c r="P30680">
        <f>IF(OR(M30680="",N30680=""),"",SUMIFS('Barang Keluar'!$E:$E,'Barang Keluar'!$A:$A,M30680,'Barang Keluar'!$C:$C,N30680))</f>
        <v>0</v>
      </c>
    </row>
    <row r="30681" spans="13:16">
      <c r="M30681" s="49">
        <f>IF($A$4+306&gt;$B$4,"",$A$4+306)</f>
        <v>46329</v>
      </c>
      <c r="N30681">
        <f>IF(M30681="","",'Master Barang'!A75)</f>
        <v>0</v>
      </c>
      <c r="O30681">
        <f>IF(N30681="","",'Master Barang'!B75)</f>
        <v>0</v>
      </c>
      <c r="P30681">
        <f>IF(OR(M30681="",N30681=""),"",SUMIFS('Barang Keluar'!$E:$E,'Barang Keluar'!$A:$A,M30681,'Barang Keluar'!$C:$C,N30681))</f>
        <v>0</v>
      </c>
    </row>
    <row r="30682" spans="13:16">
      <c r="M30682" s="49">
        <f>IF($A$4+306&gt;$B$4,"",$A$4+306)</f>
        <v>46329</v>
      </c>
      <c r="N30682">
        <f>IF(M30682="","",'Master Barang'!A76)</f>
        <v>0</v>
      </c>
      <c r="O30682">
        <f>IF(N30682="","",'Master Barang'!B76)</f>
        <v>0</v>
      </c>
      <c r="P30682">
        <f>IF(OR(M30682="",N30682=""),"",SUMIFS('Barang Keluar'!$E:$E,'Barang Keluar'!$A:$A,M30682,'Barang Keluar'!$C:$C,N30682))</f>
        <v>0</v>
      </c>
    </row>
    <row r="30683" spans="13:16">
      <c r="M30683" s="49">
        <f>IF($A$4+306&gt;$B$4,"",$A$4+306)</f>
        <v>46329</v>
      </c>
      <c r="N30683">
        <f>IF(M30683="","",'Master Barang'!A77)</f>
        <v>0</v>
      </c>
      <c r="O30683">
        <f>IF(N30683="","",'Master Barang'!B77)</f>
        <v>0</v>
      </c>
      <c r="P30683">
        <f>IF(OR(M30683="",N30683=""),"",SUMIFS('Barang Keluar'!$E:$E,'Barang Keluar'!$A:$A,M30683,'Barang Keluar'!$C:$C,N30683))</f>
        <v>0</v>
      </c>
    </row>
    <row r="30684" spans="13:16">
      <c r="M30684" s="49">
        <f>IF($A$4+306&gt;$B$4,"",$A$4+306)</f>
        <v>46329</v>
      </c>
      <c r="N30684">
        <f>IF(M30684="","",'Master Barang'!A78)</f>
        <v>0</v>
      </c>
      <c r="O30684">
        <f>IF(N30684="","",'Master Barang'!B78)</f>
        <v>0</v>
      </c>
      <c r="P30684">
        <f>IF(OR(M30684="",N30684=""),"",SUMIFS('Barang Keluar'!$E:$E,'Barang Keluar'!$A:$A,M30684,'Barang Keluar'!$C:$C,N30684))</f>
        <v>0</v>
      </c>
    </row>
    <row r="30685" spans="13:16">
      <c r="M30685" s="49">
        <f>IF($A$4+306&gt;$B$4,"",$A$4+306)</f>
        <v>46329</v>
      </c>
      <c r="N30685">
        <f>IF(M30685="","",'Master Barang'!A79)</f>
        <v>0</v>
      </c>
      <c r="O30685">
        <f>IF(N30685="","",'Master Barang'!B79)</f>
        <v>0</v>
      </c>
      <c r="P30685">
        <f>IF(OR(M30685="",N30685=""),"",SUMIFS('Barang Keluar'!$E:$E,'Barang Keluar'!$A:$A,M30685,'Barang Keluar'!$C:$C,N30685))</f>
        <v>0</v>
      </c>
    </row>
    <row r="30686" spans="13:16">
      <c r="M30686" s="49">
        <f>IF($A$4+306&gt;$B$4,"",$A$4+306)</f>
        <v>46329</v>
      </c>
      <c r="N30686">
        <f>IF(M30686="","",'Master Barang'!A80)</f>
        <v>0</v>
      </c>
      <c r="O30686">
        <f>IF(N30686="","",'Master Barang'!B80)</f>
        <v>0</v>
      </c>
      <c r="P30686">
        <f>IF(OR(M30686="",N30686=""),"",SUMIFS('Barang Keluar'!$E:$E,'Barang Keluar'!$A:$A,M30686,'Barang Keluar'!$C:$C,N30686))</f>
        <v>0</v>
      </c>
    </row>
    <row r="30687" spans="13:16">
      <c r="M30687" s="49">
        <f>IF($A$4+306&gt;$B$4,"",$A$4+306)</f>
        <v>46329</v>
      </c>
      <c r="N30687">
        <f>IF(M30687="","",'Master Barang'!A81)</f>
        <v>0</v>
      </c>
      <c r="O30687">
        <f>IF(N30687="","",'Master Barang'!B81)</f>
        <v>0</v>
      </c>
      <c r="P30687">
        <f>IF(OR(M30687="",N30687=""),"",SUMIFS('Barang Keluar'!$E:$E,'Barang Keluar'!$A:$A,M30687,'Barang Keluar'!$C:$C,N30687))</f>
        <v>0</v>
      </c>
    </row>
    <row r="30688" spans="13:16">
      <c r="M30688" s="49">
        <f>IF($A$4+306&gt;$B$4,"",$A$4+306)</f>
        <v>46329</v>
      </c>
      <c r="N30688">
        <f>IF(M30688="","",'Master Barang'!A82)</f>
        <v>0</v>
      </c>
      <c r="O30688">
        <f>IF(N30688="","",'Master Barang'!B82)</f>
        <v>0</v>
      </c>
      <c r="P30688">
        <f>IF(OR(M30688="",N30688=""),"",SUMIFS('Barang Keluar'!$E:$E,'Barang Keluar'!$A:$A,M30688,'Barang Keluar'!$C:$C,N30688))</f>
        <v>0</v>
      </c>
    </row>
    <row r="30689" spans="13:16">
      <c r="M30689" s="49">
        <f>IF($A$4+306&gt;$B$4,"",$A$4+306)</f>
        <v>46329</v>
      </c>
      <c r="N30689">
        <f>IF(M30689="","",'Master Barang'!A83)</f>
        <v>0</v>
      </c>
      <c r="O30689">
        <f>IF(N30689="","",'Master Barang'!B83)</f>
        <v>0</v>
      </c>
      <c r="P30689">
        <f>IF(OR(M30689="",N30689=""),"",SUMIFS('Barang Keluar'!$E:$E,'Barang Keluar'!$A:$A,M30689,'Barang Keluar'!$C:$C,N30689))</f>
        <v>0</v>
      </c>
    </row>
    <row r="30690" spans="13:16">
      <c r="M30690" s="49">
        <f>IF($A$4+306&gt;$B$4,"",$A$4+306)</f>
        <v>46329</v>
      </c>
      <c r="N30690">
        <f>IF(M30690="","",'Master Barang'!A84)</f>
        <v>0</v>
      </c>
      <c r="O30690">
        <f>IF(N30690="","",'Master Barang'!B84)</f>
        <v>0</v>
      </c>
      <c r="P30690">
        <f>IF(OR(M30690="",N30690=""),"",SUMIFS('Barang Keluar'!$E:$E,'Barang Keluar'!$A:$A,M30690,'Barang Keluar'!$C:$C,N30690))</f>
        <v>0</v>
      </c>
    </row>
    <row r="30691" spans="13:16">
      <c r="M30691" s="49">
        <f>IF($A$4+306&gt;$B$4,"",$A$4+306)</f>
        <v>46329</v>
      </c>
      <c r="N30691">
        <f>IF(M30691="","",'Master Barang'!A85)</f>
        <v>0</v>
      </c>
      <c r="O30691">
        <f>IF(N30691="","",'Master Barang'!B85)</f>
        <v>0</v>
      </c>
      <c r="P30691">
        <f>IF(OR(M30691="",N30691=""),"",SUMIFS('Barang Keluar'!$E:$E,'Barang Keluar'!$A:$A,M30691,'Barang Keluar'!$C:$C,N30691))</f>
        <v>0</v>
      </c>
    </row>
    <row r="30692" spans="13:16">
      <c r="M30692" s="49">
        <f>IF($A$4+306&gt;$B$4,"",$A$4+306)</f>
        <v>46329</v>
      </c>
      <c r="N30692">
        <f>IF(M30692="","",'Master Barang'!A86)</f>
        <v>0</v>
      </c>
      <c r="O30692">
        <f>IF(N30692="","",'Master Barang'!B86)</f>
        <v>0</v>
      </c>
      <c r="P30692">
        <f>IF(OR(M30692="",N30692=""),"",SUMIFS('Barang Keluar'!$E:$E,'Barang Keluar'!$A:$A,M30692,'Barang Keluar'!$C:$C,N30692))</f>
        <v>0</v>
      </c>
    </row>
    <row r="30693" spans="13:16">
      <c r="M30693" s="49">
        <f>IF($A$4+306&gt;$B$4,"",$A$4+306)</f>
        <v>46329</v>
      </c>
      <c r="N30693">
        <f>IF(M30693="","",'Master Barang'!A87)</f>
        <v>0</v>
      </c>
      <c r="O30693">
        <f>IF(N30693="","",'Master Barang'!B87)</f>
        <v>0</v>
      </c>
      <c r="P30693">
        <f>IF(OR(M30693="",N30693=""),"",SUMIFS('Barang Keluar'!$E:$E,'Barang Keluar'!$A:$A,M30693,'Barang Keluar'!$C:$C,N30693))</f>
        <v>0</v>
      </c>
    </row>
    <row r="30694" spans="13:16">
      <c r="M30694" s="49">
        <f>IF($A$4+306&gt;$B$4,"",$A$4+306)</f>
        <v>46329</v>
      </c>
      <c r="N30694">
        <f>IF(M30694="","",'Master Barang'!A88)</f>
        <v>0</v>
      </c>
      <c r="O30694">
        <f>IF(N30694="","",'Master Barang'!B88)</f>
        <v>0</v>
      </c>
      <c r="P30694">
        <f>IF(OR(M30694="",N30694=""),"",SUMIFS('Barang Keluar'!$E:$E,'Barang Keluar'!$A:$A,M30694,'Barang Keluar'!$C:$C,N30694))</f>
        <v>0</v>
      </c>
    </row>
    <row r="30695" spans="13:16">
      <c r="M30695" s="49">
        <f>IF($A$4+306&gt;$B$4,"",$A$4+306)</f>
        <v>46329</v>
      </c>
      <c r="N30695">
        <f>IF(M30695="","",'Master Barang'!A89)</f>
        <v>0</v>
      </c>
      <c r="O30695">
        <f>IF(N30695="","",'Master Barang'!B89)</f>
        <v>0</v>
      </c>
      <c r="P30695">
        <f>IF(OR(M30695="",N30695=""),"",SUMIFS('Barang Keluar'!$E:$E,'Barang Keluar'!$A:$A,M30695,'Barang Keluar'!$C:$C,N30695))</f>
        <v>0</v>
      </c>
    </row>
    <row r="30696" spans="13:16">
      <c r="M30696" s="49">
        <f>IF($A$4+306&gt;$B$4,"",$A$4+306)</f>
        <v>46329</v>
      </c>
      <c r="N30696">
        <f>IF(M30696="","",'Master Barang'!A90)</f>
        <v>0</v>
      </c>
      <c r="O30696">
        <f>IF(N30696="","",'Master Barang'!B90)</f>
        <v>0</v>
      </c>
      <c r="P30696">
        <f>IF(OR(M30696="",N30696=""),"",SUMIFS('Barang Keluar'!$E:$E,'Barang Keluar'!$A:$A,M30696,'Barang Keluar'!$C:$C,N30696))</f>
        <v>0</v>
      </c>
    </row>
    <row r="30697" spans="13:16">
      <c r="M30697" s="49">
        <f>IF($A$4+306&gt;$B$4,"",$A$4+306)</f>
        <v>46329</v>
      </c>
      <c r="N30697">
        <f>IF(M30697="","",'Master Barang'!A91)</f>
        <v>0</v>
      </c>
      <c r="O30697">
        <f>IF(N30697="","",'Master Barang'!B91)</f>
        <v>0</v>
      </c>
      <c r="P30697">
        <f>IF(OR(M30697="",N30697=""),"",SUMIFS('Barang Keluar'!$E:$E,'Barang Keluar'!$A:$A,M30697,'Barang Keluar'!$C:$C,N30697))</f>
        <v>0</v>
      </c>
    </row>
    <row r="30698" spans="13:16">
      <c r="M30698" s="49">
        <f>IF($A$4+306&gt;$B$4,"",$A$4+306)</f>
        <v>46329</v>
      </c>
      <c r="N30698">
        <f>IF(M30698="","",'Master Barang'!A92)</f>
        <v>0</v>
      </c>
      <c r="O30698">
        <f>IF(N30698="","",'Master Barang'!B92)</f>
        <v>0</v>
      </c>
      <c r="P30698">
        <f>IF(OR(M30698="",N30698=""),"",SUMIFS('Barang Keluar'!$E:$E,'Barang Keluar'!$A:$A,M30698,'Barang Keluar'!$C:$C,N30698))</f>
        <v>0</v>
      </c>
    </row>
    <row r="30699" spans="13:16">
      <c r="M30699" s="49">
        <f>IF($A$4+306&gt;$B$4,"",$A$4+306)</f>
        <v>46329</v>
      </c>
      <c r="N30699">
        <f>IF(M30699="","",'Master Barang'!A93)</f>
        <v>0</v>
      </c>
      <c r="O30699">
        <f>IF(N30699="","",'Master Barang'!B93)</f>
        <v>0</v>
      </c>
      <c r="P30699">
        <f>IF(OR(M30699="",N30699=""),"",SUMIFS('Barang Keluar'!$E:$E,'Barang Keluar'!$A:$A,M30699,'Barang Keluar'!$C:$C,N30699))</f>
        <v>0</v>
      </c>
    </row>
    <row r="30700" spans="13:16">
      <c r="M30700" s="49">
        <f>IF($A$4+306&gt;$B$4,"",$A$4+306)</f>
        <v>46329</v>
      </c>
      <c r="N30700">
        <f>IF(M30700="","",'Master Barang'!A94)</f>
        <v>0</v>
      </c>
      <c r="O30700">
        <f>IF(N30700="","",'Master Barang'!B94)</f>
        <v>0</v>
      </c>
      <c r="P30700">
        <f>IF(OR(M30700="",N30700=""),"",SUMIFS('Barang Keluar'!$E:$E,'Barang Keluar'!$A:$A,M30700,'Barang Keluar'!$C:$C,N30700))</f>
        <v>0</v>
      </c>
    </row>
    <row r="30701" spans="13:16">
      <c r="M30701" s="49">
        <f>IF($A$4+306&gt;$B$4,"",$A$4+306)</f>
        <v>46329</v>
      </c>
      <c r="N30701">
        <f>IF(M30701="","",'Master Barang'!A95)</f>
        <v>0</v>
      </c>
      <c r="O30701">
        <f>IF(N30701="","",'Master Barang'!B95)</f>
        <v>0</v>
      </c>
      <c r="P30701">
        <f>IF(OR(M30701="",N30701=""),"",SUMIFS('Barang Keluar'!$E:$E,'Barang Keluar'!$A:$A,M30701,'Barang Keluar'!$C:$C,N30701))</f>
        <v>0</v>
      </c>
    </row>
    <row r="30702" spans="13:16">
      <c r="M30702" s="49">
        <f>IF($A$4+306&gt;$B$4,"",$A$4+306)</f>
        <v>46329</v>
      </c>
      <c r="N30702">
        <f>IF(M30702="","",'Master Barang'!A96)</f>
        <v>0</v>
      </c>
      <c r="O30702">
        <f>IF(N30702="","",'Master Barang'!B96)</f>
        <v>0</v>
      </c>
      <c r="P30702">
        <f>IF(OR(M30702="",N30702=""),"",SUMIFS('Barang Keluar'!$E:$E,'Barang Keluar'!$A:$A,M30702,'Barang Keluar'!$C:$C,N30702))</f>
        <v>0</v>
      </c>
    </row>
    <row r="30703" spans="13:16">
      <c r="M30703" s="49">
        <f>IF($A$4+306&gt;$B$4,"",$A$4+306)</f>
        <v>46329</v>
      </c>
      <c r="N30703">
        <f>IF(M30703="","",'Master Barang'!A97)</f>
        <v>0</v>
      </c>
      <c r="O30703">
        <f>IF(N30703="","",'Master Barang'!B97)</f>
        <v>0</v>
      </c>
      <c r="P30703">
        <f>IF(OR(M30703="",N30703=""),"",SUMIFS('Barang Keluar'!$E:$E,'Barang Keluar'!$A:$A,M30703,'Barang Keluar'!$C:$C,N30703))</f>
        <v>0</v>
      </c>
    </row>
    <row r="30704" spans="13:16">
      <c r="M30704" s="49">
        <f>IF($A$4+306&gt;$B$4,"",$A$4+306)</f>
        <v>46329</v>
      </c>
      <c r="N30704">
        <f>IF(M30704="","",'Master Barang'!A98)</f>
        <v>0</v>
      </c>
      <c r="O30704">
        <f>IF(N30704="","",'Master Barang'!B98)</f>
        <v>0</v>
      </c>
      <c r="P30704">
        <f>IF(OR(M30704="",N30704=""),"",SUMIFS('Barang Keluar'!$E:$E,'Barang Keluar'!$A:$A,M30704,'Barang Keluar'!$C:$C,N30704))</f>
        <v>0</v>
      </c>
    </row>
    <row r="30705" spans="13:16">
      <c r="M30705" s="49">
        <f>IF($A$4+306&gt;$B$4,"",$A$4+306)</f>
        <v>46329</v>
      </c>
      <c r="N30705">
        <f>IF(M30705="","",'Master Barang'!A99)</f>
        <v>0</v>
      </c>
      <c r="O30705">
        <f>IF(N30705="","",'Master Barang'!B99)</f>
        <v>0</v>
      </c>
      <c r="P30705">
        <f>IF(OR(M30705="",N30705=""),"",SUMIFS('Barang Keluar'!$E:$E,'Barang Keluar'!$A:$A,M30705,'Barang Keluar'!$C:$C,N30705))</f>
        <v>0</v>
      </c>
    </row>
    <row r="30706" spans="13:16">
      <c r="M30706" s="49">
        <f>IF($A$4+306&gt;$B$4,"",$A$4+306)</f>
        <v>46329</v>
      </c>
      <c r="N30706">
        <f>IF(M30706="","",'Master Barang'!A100)</f>
        <v>0</v>
      </c>
      <c r="O30706">
        <f>IF(N30706="","",'Master Barang'!B100)</f>
        <v>0</v>
      </c>
      <c r="P30706">
        <f>IF(OR(M30706="",N30706=""),"",SUMIFS('Barang Keluar'!$E:$E,'Barang Keluar'!$A:$A,M30706,'Barang Keluar'!$C:$C,N30706))</f>
        <v>0</v>
      </c>
    </row>
    <row r="30707" spans="13:16">
      <c r="M30707" s="49">
        <f>IF($A$4+306&gt;$B$4,"",$A$4+306)</f>
        <v>46329</v>
      </c>
      <c r="N30707">
        <f>IF(M30707="","",'Master Barang'!A101)</f>
        <v>0</v>
      </c>
      <c r="O30707">
        <f>IF(N30707="","",'Master Barang'!B101)</f>
        <v>0</v>
      </c>
      <c r="P30707">
        <f>IF(OR(M30707="",N30707=""),"",SUMIFS('Barang Keluar'!$E:$E,'Barang Keluar'!$A:$A,M30707,'Barang Keluar'!$C:$C,N30707))</f>
        <v>0</v>
      </c>
    </row>
    <row r="30708" spans="13:16">
      <c r="M30708" s="49">
        <f>IF($A$4+307&gt;$B$4,"",$A$4+307)</f>
        <v>46330</v>
      </c>
      <c r="N30708" t="str">
        <f>IF(M30708="","",'Master Barang'!A2)</f>
        <v>PRL-001</v>
      </c>
      <c r="O30708" t="str">
        <f>IF(N30708="","",'Master Barang'!B2)</f>
        <v>natura desinfectant food grade 5l</v>
      </c>
      <c r="P30708">
        <f>IF(OR(M30708="",N30708=""),"",SUMIFS('Barang Keluar'!$E:$E,'Barang Keluar'!$A:$A,M30708,'Barang Keluar'!$C:$C,N30708))</f>
        <v>0</v>
      </c>
    </row>
    <row r="30709" spans="13:16">
      <c r="M30709" s="49">
        <f>IF($A$4+307&gt;$B$4,"",$A$4+307)</f>
        <v>46330</v>
      </c>
      <c r="N30709" t="str">
        <f>IF(M30709="","",'Master Barang'!A3)</f>
        <v>PRL-002</v>
      </c>
      <c r="O30709" t="str">
        <f>IF(N30709="","",'Master Barang'!B3)</f>
        <v>sunlight cairan pencuci piring 5l</v>
      </c>
      <c r="P30709">
        <f>IF(OR(M30709="",N30709=""),"",SUMIFS('Barang Keluar'!$E:$E,'Barang Keluar'!$A:$A,M30709,'Barang Keluar'!$C:$C,N30709))</f>
        <v>0</v>
      </c>
    </row>
    <row r="30710" spans="13:16">
      <c r="M30710" s="49">
        <f>IF($A$4+307&gt;$B$4,"",$A$4+307)</f>
        <v>46330</v>
      </c>
      <c r="N30710" t="str">
        <f>IF(M30710="","",'Master Barang'!A4)</f>
        <v>PRL-003</v>
      </c>
      <c r="O30710" t="str">
        <f>IF(N30710="","",'Master Barang'!B4)</f>
        <v>oixs cleaner 1l</v>
      </c>
      <c r="P30710">
        <f>IF(OR(M30710="",N30710=""),"",SUMIFS('Barang Keluar'!$E:$E,'Barang Keluar'!$A:$A,M30710,'Barang Keluar'!$C:$C,N30710))</f>
        <v>0</v>
      </c>
    </row>
    <row r="30711" spans="13:16">
      <c r="M30711" s="49">
        <f>IF($A$4+307&gt;$B$4,"",$A$4+307)</f>
        <v>46330</v>
      </c>
      <c r="N30711" t="str">
        <f>IF(M30711="","",'Master Barang'!A5)</f>
        <v>PRL-004</v>
      </c>
      <c r="O30711" t="str">
        <f>IF(N30711="","",'Master Barang'!B5)</f>
        <v>be clean tissue serbaguna</v>
      </c>
      <c r="P30711">
        <f>IF(OR(M30711="",N30711=""),"",SUMIFS('Barang Keluar'!$E:$E,'Barang Keluar'!$A:$A,M30711,'Barang Keluar'!$C:$C,N30711))</f>
        <v>0</v>
      </c>
    </row>
    <row r="30712" spans="13:16">
      <c r="M30712" s="49">
        <f>IF($A$4+307&gt;$B$4,"",$A$4+307)</f>
        <v>46330</v>
      </c>
      <c r="N30712" t="str">
        <f>IF(M30712="","",'Master Barang'!A6)</f>
        <v>PRL-005</v>
      </c>
      <c r="O30712" t="str">
        <f>IF(N30712="","",'Master Barang'!B6)</f>
        <v>spons cuci hijau</v>
      </c>
      <c r="P30712">
        <f>IF(OR(M30712="",N30712=""),"",SUMIFS('Barang Keluar'!$E:$E,'Barang Keluar'!$A:$A,M30712,'Barang Keluar'!$C:$C,N30712))</f>
        <v>0</v>
      </c>
    </row>
    <row r="30713" spans="13:16">
      <c r="M30713" s="49">
        <f>IF($A$4+307&gt;$B$4,"",$A$4+307)</f>
        <v>46330</v>
      </c>
      <c r="N30713" t="str">
        <f>IF(M30713="","",'Master Barang'!A7)</f>
        <v>PRL-006</v>
      </c>
      <c r="O30713" t="str">
        <f>IF(N30713="","",'Master Barang'!B7)</f>
        <v>sabut cuci stainless</v>
      </c>
      <c r="P30713">
        <f>IF(OR(M30713="",N30713=""),"",SUMIFS('Barang Keluar'!$E:$E,'Barang Keluar'!$A:$A,M30713,'Barang Keluar'!$C:$C,N30713))</f>
        <v>0</v>
      </c>
    </row>
    <row r="30714" spans="13:16">
      <c r="M30714" s="49">
        <f>IF($A$4+307&gt;$B$4,"",$A$4+307)</f>
        <v>46330</v>
      </c>
      <c r="N30714" t="str">
        <f>IF(M30714="","",'Master Barang'!A8)</f>
        <v>PRL-007</v>
      </c>
      <c r="O30714" t="str">
        <f>IF(N30714="","",'Master Barang'!B8)</f>
        <v>plastik kresek besar merah 50pc</v>
      </c>
      <c r="P30714">
        <f>IF(OR(M30714="",N30714=""),"",SUMIFS('Barang Keluar'!$E:$E,'Barang Keluar'!$A:$A,M30714,'Barang Keluar'!$C:$C,N30714))</f>
        <v>0</v>
      </c>
    </row>
    <row r="30715" spans="13:16">
      <c r="M30715" s="49">
        <f>IF($A$4+307&gt;$B$4,"",$A$4+307)</f>
        <v>46330</v>
      </c>
      <c r="N30715" t="str">
        <f>IF(M30715="","",'Master Barang'!A9)</f>
        <v>PRL-008</v>
      </c>
      <c r="O30715" t="str">
        <f>IF(N30715="","",'Master Barang'!B9)</f>
        <v>lap besar</v>
      </c>
      <c r="P30715">
        <f>IF(OR(M30715="",N30715=""),"",SUMIFS('Barang Keluar'!$E:$E,'Barang Keluar'!$A:$A,M30715,'Barang Keluar'!$C:$C,N30715))</f>
        <v>0</v>
      </c>
    </row>
    <row r="30716" spans="13:16">
      <c r="M30716" s="49">
        <f>IF($A$4+307&gt;$B$4,"",$A$4+307)</f>
        <v>46330</v>
      </c>
      <c r="N30716" t="str">
        <f>IF(M30716="","",'Master Barang'!A10)</f>
        <v>PRL-009</v>
      </c>
      <c r="O30716" t="str">
        <f>IF(N30716="","",'Master Barang'!B10)</f>
        <v>lap microfiber</v>
      </c>
      <c r="P30716">
        <f>IF(OR(M30716="",N30716=""),"",SUMIFS('Barang Keluar'!$E:$E,'Barang Keluar'!$A:$A,M30716,'Barang Keluar'!$C:$C,N30716))</f>
        <v>0</v>
      </c>
    </row>
    <row r="30717" spans="13:16">
      <c r="M30717" s="49">
        <f>IF($A$4+307&gt;$B$4,"",$A$4+307)</f>
        <v>46330</v>
      </c>
      <c r="N30717" t="str">
        <f>IF(M30717="","",'Master Barang'!A11)</f>
        <v>PRL-010</v>
      </c>
      <c r="O30717" t="str">
        <f>IF(N30717="","",'Master Barang'!B11)</f>
        <v>lap kecil</v>
      </c>
      <c r="P30717">
        <f>IF(OR(M30717="",N30717=""),"",SUMIFS('Barang Keluar'!$E:$E,'Barang Keluar'!$A:$A,M30717,'Barang Keluar'!$C:$C,N30717))</f>
        <v>0</v>
      </c>
    </row>
    <row r="30718" spans="13:16">
      <c r="M30718" s="49">
        <f>IF($A$4+307&gt;$B$4,"",$A$4+307)</f>
        <v>46330</v>
      </c>
      <c r="N30718" t="str">
        <f>IF(M30718="","",'Master Barang'!A12)</f>
        <v>PRL-011</v>
      </c>
      <c r="O30718" t="str">
        <f>IF(N30718="","",'Master Barang'!B12)</f>
        <v>kanebo kecil</v>
      </c>
      <c r="P30718">
        <f>IF(OR(M30718="",N30718=""),"",SUMIFS('Barang Keluar'!$E:$E,'Barang Keluar'!$A:$A,M30718,'Barang Keluar'!$C:$C,N30718))</f>
        <v>0</v>
      </c>
    </row>
    <row r="30719" spans="13:16">
      <c r="M30719" s="49">
        <f>IF($A$4+307&gt;$B$4,"",$A$4+307)</f>
        <v>46330</v>
      </c>
      <c r="N30719" t="str">
        <f>IF(M30719="","",'Master Barang'!A13)</f>
        <v>PRL-012</v>
      </c>
      <c r="O30719" t="str">
        <f>IF(N30719="","",'Master Barang'!B13)</f>
        <v>plastik 1/4kg joyoboyo 100 lembar</v>
      </c>
      <c r="P30719">
        <f>IF(OR(M30719="",N30719=""),"",SUMIFS('Barang Keluar'!$E:$E,'Barang Keluar'!$A:$A,M30719,'Barang Keluar'!$C:$C,N30719))</f>
        <v>0</v>
      </c>
    </row>
    <row r="30720" spans="13:16">
      <c r="M30720" s="49">
        <f>IF($A$4+307&gt;$B$4,"",$A$4+307)</f>
        <v>46330</v>
      </c>
      <c r="N30720" t="str">
        <f>IF(M30720="","",'Master Barang'!A14)</f>
        <v>PRL-013</v>
      </c>
      <c r="O30720" t="str">
        <f>IF(N30720="","",'Master Barang'!B14)</f>
        <v>sarung tangan plastik kaka 100 pcs</v>
      </c>
      <c r="P30720">
        <f>IF(OR(M30720="",N30720=""),"",SUMIFS('Barang Keluar'!$E:$E,'Barang Keluar'!$A:$A,M30720,'Barang Keluar'!$C:$C,N30720))</f>
        <v>0</v>
      </c>
    </row>
    <row r="30721" spans="13:16">
      <c r="M30721" s="49">
        <f>IF($A$4+307&gt;$B$4,"",$A$4+307)</f>
        <v>46330</v>
      </c>
      <c r="N30721" t="str">
        <f>IF(M30721="","",'Master Barang'!A15)</f>
        <v>PRL-014</v>
      </c>
      <c r="O30721" t="str">
        <f>IF(N30721="","",'Master Barang'!B15)</f>
        <v>optima trashbag 80x100</v>
      </c>
      <c r="P30721">
        <f>IF(OR(M30721="",N30721=""),"",SUMIFS('Barang Keluar'!$E:$E,'Barang Keluar'!$A:$A,M30721,'Barang Keluar'!$C:$C,N30721))</f>
        <v>0</v>
      </c>
    </row>
    <row r="30722" spans="13:16">
      <c r="M30722" s="49">
        <f>IF($A$4+307&gt;$B$4,"",$A$4+307)</f>
        <v>46330</v>
      </c>
      <c r="N30722" t="str">
        <f>IF(M30722="","",'Master Barang'!A16)</f>
        <v>PRL-015</v>
      </c>
      <c r="O30722" t="str">
        <f>IF(N30722="","",'Master Barang'!B16)</f>
        <v>optima trashbag 60x100</v>
      </c>
      <c r="P30722">
        <f>IF(OR(M30722="",N30722=""),"",SUMIFS('Barang Keluar'!$E:$E,'Barang Keluar'!$A:$A,M30722,'Barang Keluar'!$C:$C,N30722))</f>
        <v>0</v>
      </c>
    </row>
    <row r="30723" spans="13:16">
      <c r="M30723" s="49">
        <f>IF($A$4+307&gt;$B$4,"",$A$4+307)</f>
        <v>46330</v>
      </c>
      <c r="N30723" t="str">
        <f>IF(M30723="","",'Master Barang'!A17)</f>
        <v>PRL-016</v>
      </c>
      <c r="O30723" t="str">
        <f>IF(N30723="","",'Master Barang'!B17)</f>
        <v>rajawali trashbag 30x40</v>
      </c>
      <c r="P30723">
        <f>IF(OR(M30723="",N30723=""),"",SUMIFS('Barang Keluar'!$E:$E,'Barang Keluar'!$A:$A,M30723,'Barang Keluar'!$C:$C,N30723))</f>
        <v>0</v>
      </c>
    </row>
    <row r="30724" spans="13:16">
      <c r="M30724" s="49">
        <f>IF($A$4+307&gt;$B$4,"",$A$4+307)</f>
        <v>46330</v>
      </c>
      <c r="N30724" t="str">
        <f>IF(M30724="","",'Master Barang'!A18)</f>
        <v>PRL-017</v>
      </c>
      <c r="O30724" t="str">
        <f>IF(N30724="","",'Master Barang'!B18)</f>
        <v>onemed masker biru 3 play 50 pcs</v>
      </c>
      <c r="P30724">
        <f>IF(OR(M30724="",N30724=""),"",SUMIFS('Barang Keluar'!$E:$E,'Barang Keluar'!$A:$A,M30724,'Barang Keluar'!$C:$C,N30724))</f>
        <v>0</v>
      </c>
    </row>
    <row r="30725" spans="13:16">
      <c r="M30725" s="49">
        <f>IF($A$4+307&gt;$B$4,"",$A$4+307)</f>
        <v>46330</v>
      </c>
      <c r="N30725" t="str">
        <f>IF(M30725="","",'Master Barang'!A19)</f>
        <v>PRL-018</v>
      </c>
      <c r="O30725" t="str">
        <f>IF(N30725="","",'Master Barang'!B19)</f>
        <v>onemed masker biru 3 play hijab 50 pcs</v>
      </c>
      <c r="P30725">
        <f>IF(OR(M30725="",N30725=""),"",SUMIFS('Barang Keluar'!$E:$E,'Barang Keluar'!$A:$A,M30725,'Barang Keluar'!$C:$C,N30725))</f>
        <v>0</v>
      </c>
    </row>
    <row r="30726" spans="13:16">
      <c r="M30726" s="49">
        <f>IF($A$4+307&gt;$B$4,"",$A$4+307)</f>
        <v>46330</v>
      </c>
      <c r="N30726" t="str">
        <f>IF(M30726="","",'Master Barang'!A20)</f>
        <v>PRL-019</v>
      </c>
      <c r="O30726" t="str">
        <f>IF(N30726="","",'Master Barang'!B20)</f>
        <v>neo health masker biru 3 play 50 pcs</v>
      </c>
      <c r="P30726">
        <f>IF(OR(M30726="",N30726=""),"",SUMIFS('Barang Keluar'!$E:$E,'Barang Keluar'!$A:$A,M30726,'Barang Keluar'!$C:$C,N30726))</f>
        <v>0</v>
      </c>
    </row>
    <row r="30727" spans="13:16">
      <c r="M30727" s="49">
        <f>IF($A$4+307&gt;$B$4,"",$A$4+307)</f>
        <v>46330</v>
      </c>
      <c r="N30727" t="str">
        <f>IF(M30727="","",'Master Barang'!A21)</f>
        <v>PRL-020</v>
      </c>
      <c r="O30727" t="str">
        <f>IF(N30727="","",'Master Barang'!B21)</f>
        <v>baymed masker hijau 3 play hijau 50 pcs</v>
      </c>
      <c r="P30727">
        <f>IF(OR(M30727="",N30727=""),"",SUMIFS('Barang Keluar'!$E:$E,'Barang Keluar'!$A:$A,M30727,'Barang Keluar'!$C:$C,N30727))</f>
        <v>0</v>
      </c>
    </row>
    <row r="30728" spans="13:16">
      <c r="M30728" s="49">
        <f>IF($A$4+307&gt;$B$4,"",$A$4+307)</f>
        <v>46330</v>
      </c>
      <c r="N30728" t="str">
        <f>IF(M30728="","",'Master Barang'!A22)</f>
        <v>PRL-021</v>
      </c>
      <c r="O30728" t="str">
        <f>IF(N30728="","",'Master Barang'!B22)</f>
        <v>altamed nurse cap penutup kepala 100 pcs</v>
      </c>
      <c r="P30728">
        <f>IF(OR(M30728="",N30728=""),"",SUMIFS('Barang Keluar'!$E:$E,'Barang Keluar'!$A:$A,M30728,'Barang Keluar'!$C:$C,N30728))</f>
        <v>0</v>
      </c>
    </row>
    <row r="30729" spans="13:16">
      <c r="M30729" s="49">
        <f>IF($A$4+307&gt;$B$4,"",$A$4+307)</f>
        <v>46330</v>
      </c>
      <c r="N30729" t="str">
        <f>IF(M30729="","",'Master Barang'!A23)</f>
        <v>PRL-022</v>
      </c>
      <c r="O30729" t="str">
        <f>IF(N30729="","",'Master Barang'!B23)</f>
        <v>sabun cuci tangan</v>
      </c>
      <c r="P30729">
        <f>IF(OR(M30729="",N30729=""),"",SUMIFS('Barang Keluar'!$E:$E,'Barang Keluar'!$A:$A,M30729,'Barang Keluar'!$C:$C,N30729))</f>
        <v>0</v>
      </c>
    </row>
    <row r="30730" spans="13:16">
      <c r="M30730" s="49">
        <f>IF($A$4+307&gt;$B$4,"",$A$4+307)</f>
        <v>46330</v>
      </c>
      <c r="N30730" t="str">
        <f>IF(M30730="","",'Master Barang'!A24)</f>
        <v>PRL-023</v>
      </c>
      <c r="O30730" t="str">
        <f>IF(N30730="","",'Master Barang'!B24)</f>
        <v>gayung kecil</v>
      </c>
      <c r="P30730">
        <f>IF(OR(M30730="",N30730=""),"",SUMIFS('Barang Keluar'!$E:$E,'Barang Keluar'!$A:$A,M30730,'Barang Keluar'!$C:$C,N30730))</f>
        <v>0</v>
      </c>
    </row>
    <row r="30731" spans="13:16">
      <c r="M30731" s="49">
        <f>IF($A$4+307&gt;$B$4,"",$A$4+307)</f>
        <v>46330</v>
      </c>
      <c r="N30731" t="str">
        <f>IF(M30731="","",'Master Barang'!A25)</f>
        <v>PRL-024</v>
      </c>
      <c r="O30731" t="str">
        <f>IF(N30731="","",'Master Barang'!B25)</f>
        <v>cikrak kecil</v>
      </c>
      <c r="P30731">
        <f>IF(OR(M30731="",N30731=""),"",SUMIFS('Barang Keluar'!$E:$E,'Barang Keluar'!$A:$A,M30731,'Barang Keluar'!$C:$C,N30731))</f>
        <v>0</v>
      </c>
    </row>
    <row r="30732" spans="13:16">
      <c r="M30732" s="49">
        <f>IF($A$4+307&gt;$B$4,"",$A$4+307)</f>
        <v>46330</v>
      </c>
      <c r="N30732" t="str">
        <f>IF(M30732="","",'Master Barang'!A26)</f>
        <v>PRL-025</v>
      </c>
      <c r="O30732" t="str">
        <f>IF(N30732="","",'Master Barang'!B26)</f>
        <v>petromax plastik kecil 12x24 100 lembar</v>
      </c>
      <c r="P30732">
        <f>IF(OR(M30732="",N30732=""),"",SUMIFS('Barang Keluar'!$E:$E,'Barang Keluar'!$A:$A,M30732,'Barang Keluar'!$C:$C,N30732))</f>
        <v>0</v>
      </c>
    </row>
    <row r="30733" spans="13:16">
      <c r="M30733" s="49">
        <f>IF($A$4+307&gt;$B$4,"",$A$4+307)</f>
        <v>46330</v>
      </c>
      <c r="N30733" t="str">
        <f>IF(M30733="","",'Master Barang'!A27)</f>
        <v>PRL-026</v>
      </c>
      <c r="O30733" t="str">
        <f>IF(N30733="","",'Master Barang'!B27)</f>
        <v>lancar kresek kecil bening </v>
      </c>
      <c r="P30733">
        <f>IF(OR(M30733="",N30733=""),"",SUMIFS('Barang Keluar'!$E:$E,'Barang Keluar'!$A:$A,M30733,'Barang Keluar'!$C:$C,N30733))</f>
        <v>0</v>
      </c>
    </row>
    <row r="30734" spans="13:16">
      <c r="M30734" s="49">
        <f>IF($A$4+307&gt;$B$4,"",$A$4+307)</f>
        <v>46330</v>
      </c>
      <c r="N30734" t="str">
        <f>IF(M30734="","",'Master Barang'!A28)</f>
        <v>PRL-027</v>
      </c>
      <c r="O30734" t="str">
        <f>IF(N30734="","",'Master Barang'!B28)</f>
        <v>kresek klin warna warni kecil</v>
      </c>
      <c r="P30734">
        <f>IF(OR(M30734="",N30734=""),"",SUMIFS('Barang Keluar'!$E:$E,'Barang Keluar'!$A:$A,M30734,'Barang Keluar'!$C:$C,N30734))</f>
        <v>0</v>
      </c>
    </row>
    <row r="30735" spans="13:16">
      <c r="M30735" s="49">
        <f>IF($A$4+307&gt;$B$4,"",$A$4+307)</f>
        <v>46330</v>
      </c>
      <c r="N30735" t="str">
        <f>IF(M30735="","",'Master Barang'!A29)</f>
        <v>PRL-028</v>
      </c>
      <c r="O30735" t="str">
        <f>IF(N30735="","",'Master Barang'!B29)</f>
        <v>ctik plastik 7x10 100 pcs</v>
      </c>
      <c r="P30735">
        <f>IF(OR(M30735="",N30735=""),"",SUMIFS('Barang Keluar'!$E:$E,'Barang Keluar'!$A:$A,M30735,'Barang Keluar'!$C:$C,N30735))</f>
        <v>0</v>
      </c>
    </row>
    <row r="30736" spans="13:16">
      <c r="M30736" s="49">
        <f>IF($A$4+307&gt;$B$4,"",$A$4+307)</f>
        <v>46330</v>
      </c>
      <c r="N30736" t="str">
        <f>IF(M30736="","",'Master Barang'!A30)</f>
        <v>PRL-029</v>
      </c>
      <c r="O30736" t="str">
        <f>IF(N30736="","",'Master Barang'!B30)</f>
        <v>ctik plastik 6x10 100 pcs</v>
      </c>
      <c r="P30736">
        <f>IF(OR(M30736="",N30736=""),"",SUMIFS('Barang Keluar'!$E:$E,'Barang Keluar'!$A:$A,M30736,'Barang Keluar'!$C:$C,N30736))</f>
        <v>0</v>
      </c>
    </row>
    <row r="30737" spans="13:16">
      <c r="M30737" s="49">
        <f>IF($A$4+307&gt;$B$4,"",$A$4+307)</f>
        <v>46330</v>
      </c>
      <c r="N30737" t="str">
        <f>IF(M30737="","",'Master Barang'!A31)</f>
        <v>PRL-030</v>
      </c>
      <c r="O30737" t="str">
        <f>IF(N30737="","",'Master Barang'!B31)</f>
        <v>klip plastik 25x16 100 pcs</v>
      </c>
      <c r="P30737">
        <f>IF(OR(M30737="",N30737=""),"",SUMIFS('Barang Keluar'!$E:$E,'Barang Keluar'!$A:$A,M30737,'Barang Keluar'!$C:$C,N30737))</f>
        <v>0</v>
      </c>
    </row>
    <row r="30738" spans="13:16">
      <c r="M30738" s="49">
        <f>IF($A$4+307&gt;$B$4,"",$A$4+307)</f>
        <v>46330</v>
      </c>
      <c r="N30738" t="str">
        <f>IF(M30738="","",'Master Barang'!A32)</f>
        <v>PRL-031</v>
      </c>
      <c r="O30738" t="str">
        <f>IF(N30738="","",'Master Barang'!B32)</f>
        <v>tempat saus 20 ml</v>
      </c>
      <c r="P30738">
        <f>IF(OR(M30738="",N30738=""),"",SUMIFS('Barang Keluar'!$E:$E,'Barang Keluar'!$A:$A,M30738,'Barang Keluar'!$C:$C,N30738))</f>
        <v>0</v>
      </c>
    </row>
    <row r="30739" spans="13:16">
      <c r="M30739" s="49">
        <f>IF($A$4+307&gt;$B$4,"",$A$4+307)</f>
        <v>46330</v>
      </c>
      <c r="N30739" t="str">
        <f>IF(M30739="","",'Master Barang'!A33)</f>
        <v>PRL-032</v>
      </c>
      <c r="O30739" t="str">
        <f>IF(N30739="","",'Master Barang'!B33)</f>
        <v>plastik packaging ag box uk sedang</v>
      </c>
      <c r="P30739">
        <f>IF(OR(M30739="",N30739=""),"",SUMIFS('Barang Keluar'!$E:$E,'Barang Keluar'!$A:$A,M30739,'Barang Keluar'!$C:$C,N30739))</f>
        <v>0</v>
      </c>
    </row>
    <row r="30740" spans="13:16">
      <c r="M30740" s="49">
        <f>IF($A$4+307&gt;$B$4,"",$A$4+307)</f>
        <v>46330</v>
      </c>
      <c r="N30740" t="str">
        <f>IF(M30740="","",'Master Barang'!A34)</f>
        <v>PRL-033</v>
      </c>
      <c r="O30740">
        <f>IF(N30740="","",'Master Barang'!B34)</f>
        <v>0</v>
      </c>
      <c r="P30740">
        <f>IF(OR(M30740="",N30740=""),"",SUMIFS('Barang Keluar'!$E:$E,'Barang Keluar'!$A:$A,M30740,'Barang Keluar'!$C:$C,N30740))</f>
        <v>0</v>
      </c>
    </row>
    <row r="30741" spans="13:16">
      <c r="M30741" s="49">
        <f>IF($A$4+307&gt;$B$4,"",$A$4+307)</f>
        <v>46330</v>
      </c>
      <c r="N30741">
        <f>IF(M30741="","",'Master Barang'!A35)</f>
        <v>0</v>
      </c>
      <c r="O30741">
        <f>IF(N30741="","",'Master Barang'!B35)</f>
        <v>0</v>
      </c>
      <c r="P30741">
        <f>IF(OR(M30741="",N30741=""),"",SUMIFS('Barang Keluar'!$E:$E,'Barang Keluar'!$A:$A,M30741,'Barang Keluar'!$C:$C,N30741))</f>
        <v>0</v>
      </c>
    </row>
    <row r="30742" spans="13:16">
      <c r="M30742" s="49">
        <f>IF($A$4+307&gt;$B$4,"",$A$4+307)</f>
        <v>46330</v>
      </c>
      <c r="N30742">
        <f>IF(M30742="","",'Master Barang'!A36)</f>
        <v>0</v>
      </c>
      <c r="O30742">
        <f>IF(N30742="","",'Master Barang'!B36)</f>
        <v>0</v>
      </c>
      <c r="P30742">
        <f>IF(OR(M30742="",N30742=""),"",SUMIFS('Barang Keluar'!$E:$E,'Barang Keluar'!$A:$A,M30742,'Barang Keluar'!$C:$C,N30742))</f>
        <v>0</v>
      </c>
    </row>
    <row r="30743" spans="13:16">
      <c r="M30743" s="49">
        <f>IF($A$4+307&gt;$B$4,"",$A$4+307)</f>
        <v>46330</v>
      </c>
      <c r="N30743">
        <f>IF(M30743="","",'Master Barang'!A37)</f>
        <v>0</v>
      </c>
      <c r="O30743">
        <f>IF(N30743="","",'Master Barang'!B37)</f>
        <v>0</v>
      </c>
      <c r="P30743">
        <f>IF(OR(M30743="",N30743=""),"",SUMIFS('Barang Keluar'!$E:$E,'Barang Keluar'!$A:$A,M30743,'Barang Keluar'!$C:$C,N30743))</f>
        <v>0</v>
      </c>
    </row>
    <row r="30744" spans="13:16">
      <c r="M30744" s="49">
        <f>IF($A$4+307&gt;$B$4,"",$A$4+307)</f>
        <v>46330</v>
      </c>
      <c r="N30744">
        <f>IF(M30744="","",'Master Barang'!A38)</f>
        <v>0</v>
      </c>
      <c r="O30744">
        <f>IF(N30744="","",'Master Barang'!B38)</f>
        <v>0</v>
      </c>
      <c r="P30744">
        <f>IF(OR(M30744="",N30744=""),"",SUMIFS('Barang Keluar'!$E:$E,'Barang Keluar'!$A:$A,M30744,'Barang Keluar'!$C:$C,N30744))</f>
        <v>0</v>
      </c>
    </row>
    <row r="30745" spans="13:16">
      <c r="M30745" s="49">
        <f>IF($A$4+307&gt;$B$4,"",$A$4+307)</f>
        <v>46330</v>
      </c>
      <c r="N30745">
        <f>IF(M30745="","",'Master Barang'!A39)</f>
        <v>0</v>
      </c>
      <c r="O30745">
        <f>IF(N30745="","",'Master Barang'!B39)</f>
        <v>0</v>
      </c>
      <c r="P30745">
        <f>IF(OR(M30745="",N30745=""),"",SUMIFS('Barang Keluar'!$E:$E,'Barang Keluar'!$A:$A,M30745,'Barang Keluar'!$C:$C,N30745))</f>
        <v>0</v>
      </c>
    </row>
    <row r="30746" spans="13:16">
      <c r="M30746" s="49">
        <f>IF($A$4+307&gt;$B$4,"",$A$4+307)</f>
        <v>46330</v>
      </c>
      <c r="N30746">
        <f>IF(M30746="","",'Master Barang'!A40)</f>
        <v>0</v>
      </c>
      <c r="O30746">
        <f>IF(N30746="","",'Master Barang'!B40)</f>
        <v>0</v>
      </c>
      <c r="P30746">
        <f>IF(OR(M30746="",N30746=""),"",SUMIFS('Barang Keluar'!$E:$E,'Barang Keluar'!$A:$A,M30746,'Barang Keluar'!$C:$C,N30746))</f>
        <v>0</v>
      </c>
    </row>
    <row r="30747" spans="13:16">
      <c r="M30747" s="49">
        <f>IF($A$4+307&gt;$B$4,"",$A$4+307)</f>
        <v>46330</v>
      </c>
      <c r="N30747">
        <f>IF(M30747="","",'Master Barang'!A41)</f>
        <v>0</v>
      </c>
      <c r="O30747">
        <f>IF(N30747="","",'Master Barang'!B41)</f>
        <v>0</v>
      </c>
      <c r="P30747">
        <f>IF(OR(M30747="",N30747=""),"",SUMIFS('Barang Keluar'!$E:$E,'Barang Keluar'!$A:$A,M30747,'Barang Keluar'!$C:$C,N30747))</f>
        <v>0</v>
      </c>
    </row>
    <row r="30748" spans="13:16">
      <c r="M30748" s="49">
        <f>IF($A$4+307&gt;$B$4,"",$A$4+307)</f>
        <v>46330</v>
      </c>
      <c r="N30748">
        <f>IF(M30748="","",'Master Barang'!A42)</f>
        <v>0</v>
      </c>
      <c r="O30748">
        <f>IF(N30748="","",'Master Barang'!B42)</f>
        <v>0</v>
      </c>
      <c r="P30748">
        <f>IF(OR(M30748="",N30748=""),"",SUMIFS('Barang Keluar'!$E:$E,'Barang Keluar'!$A:$A,M30748,'Barang Keluar'!$C:$C,N30748))</f>
        <v>0</v>
      </c>
    </row>
    <row r="30749" spans="13:16">
      <c r="M30749" s="49">
        <f>IF($A$4+307&gt;$B$4,"",$A$4+307)</f>
        <v>46330</v>
      </c>
      <c r="N30749">
        <f>IF(M30749="","",'Master Barang'!A43)</f>
        <v>0</v>
      </c>
      <c r="O30749">
        <f>IF(N30749="","",'Master Barang'!B43)</f>
        <v>0</v>
      </c>
      <c r="P30749">
        <f>IF(OR(M30749="",N30749=""),"",SUMIFS('Barang Keluar'!$E:$E,'Barang Keluar'!$A:$A,M30749,'Barang Keluar'!$C:$C,N30749))</f>
        <v>0</v>
      </c>
    </row>
    <row r="30750" spans="13:16">
      <c r="M30750" s="49">
        <f>IF($A$4+307&gt;$B$4,"",$A$4+307)</f>
        <v>46330</v>
      </c>
      <c r="N30750">
        <f>IF(M30750="","",'Master Barang'!A44)</f>
        <v>0</v>
      </c>
      <c r="O30750">
        <f>IF(N30750="","",'Master Barang'!B44)</f>
        <v>0</v>
      </c>
      <c r="P30750">
        <f>IF(OR(M30750="",N30750=""),"",SUMIFS('Barang Keluar'!$E:$E,'Barang Keluar'!$A:$A,M30750,'Barang Keluar'!$C:$C,N30750))</f>
        <v>0</v>
      </c>
    </row>
    <row r="30751" spans="13:16">
      <c r="M30751" s="49">
        <f>IF($A$4+307&gt;$B$4,"",$A$4+307)</f>
        <v>46330</v>
      </c>
      <c r="N30751">
        <f>IF(M30751="","",'Master Barang'!A45)</f>
        <v>0</v>
      </c>
      <c r="O30751">
        <f>IF(N30751="","",'Master Barang'!B45)</f>
        <v>0</v>
      </c>
      <c r="P30751">
        <f>IF(OR(M30751="",N30751=""),"",SUMIFS('Barang Keluar'!$E:$E,'Barang Keluar'!$A:$A,M30751,'Barang Keluar'!$C:$C,N30751))</f>
        <v>0</v>
      </c>
    </row>
    <row r="30752" spans="13:16">
      <c r="M30752" s="49">
        <f>IF($A$4+307&gt;$B$4,"",$A$4+307)</f>
        <v>46330</v>
      </c>
      <c r="N30752">
        <f>IF(M30752="","",'Master Barang'!A46)</f>
        <v>0</v>
      </c>
      <c r="O30752">
        <f>IF(N30752="","",'Master Barang'!B46)</f>
        <v>0</v>
      </c>
      <c r="P30752">
        <f>IF(OR(M30752="",N30752=""),"",SUMIFS('Barang Keluar'!$E:$E,'Barang Keluar'!$A:$A,M30752,'Barang Keluar'!$C:$C,N30752))</f>
        <v>0</v>
      </c>
    </row>
    <row r="30753" spans="13:16">
      <c r="M30753" s="49">
        <f>IF($A$4+307&gt;$B$4,"",$A$4+307)</f>
        <v>46330</v>
      </c>
      <c r="N30753">
        <f>IF(M30753="","",'Master Barang'!A47)</f>
        <v>0</v>
      </c>
      <c r="O30753">
        <f>IF(N30753="","",'Master Barang'!B47)</f>
        <v>0</v>
      </c>
      <c r="P30753">
        <f>IF(OR(M30753="",N30753=""),"",SUMIFS('Barang Keluar'!$E:$E,'Barang Keluar'!$A:$A,M30753,'Barang Keluar'!$C:$C,N30753))</f>
        <v>0</v>
      </c>
    </row>
    <row r="30754" spans="13:16">
      <c r="M30754" s="49">
        <f>IF($A$4+307&gt;$B$4,"",$A$4+307)</f>
        <v>46330</v>
      </c>
      <c r="N30754">
        <f>IF(M30754="","",'Master Barang'!A48)</f>
        <v>0</v>
      </c>
      <c r="O30754">
        <f>IF(N30754="","",'Master Barang'!B48)</f>
        <v>0</v>
      </c>
      <c r="P30754">
        <f>IF(OR(M30754="",N30754=""),"",SUMIFS('Barang Keluar'!$E:$E,'Barang Keluar'!$A:$A,M30754,'Barang Keluar'!$C:$C,N30754))</f>
        <v>0</v>
      </c>
    </row>
    <row r="30755" spans="13:16">
      <c r="M30755" s="49">
        <f>IF($A$4+307&gt;$B$4,"",$A$4+307)</f>
        <v>46330</v>
      </c>
      <c r="N30755">
        <f>IF(M30755="","",'Master Barang'!A49)</f>
        <v>0</v>
      </c>
      <c r="O30755">
        <f>IF(N30755="","",'Master Barang'!B49)</f>
        <v>0</v>
      </c>
      <c r="P30755">
        <f>IF(OR(M30755="",N30755=""),"",SUMIFS('Barang Keluar'!$E:$E,'Barang Keluar'!$A:$A,M30755,'Barang Keluar'!$C:$C,N30755))</f>
        <v>0</v>
      </c>
    </row>
    <row r="30756" spans="13:16">
      <c r="M30756" s="49">
        <f>IF($A$4+307&gt;$B$4,"",$A$4+307)</f>
        <v>46330</v>
      </c>
      <c r="N30756">
        <f>IF(M30756="","",'Master Barang'!A50)</f>
        <v>0</v>
      </c>
      <c r="O30756">
        <f>IF(N30756="","",'Master Barang'!B50)</f>
        <v>0</v>
      </c>
      <c r="P30756">
        <f>IF(OR(M30756="",N30756=""),"",SUMIFS('Barang Keluar'!$E:$E,'Barang Keluar'!$A:$A,M30756,'Barang Keluar'!$C:$C,N30756))</f>
        <v>0</v>
      </c>
    </row>
    <row r="30757" spans="13:16">
      <c r="M30757" s="49">
        <f>IF($A$4+307&gt;$B$4,"",$A$4+307)</f>
        <v>46330</v>
      </c>
      <c r="N30757">
        <f>IF(M30757="","",'Master Barang'!A51)</f>
        <v>0</v>
      </c>
      <c r="O30757">
        <f>IF(N30757="","",'Master Barang'!B51)</f>
        <v>0</v>
      </c>
      <c r="P30757">
        <f>IF(OR(M30757="",N30757=""),"",SUMIFS('Barang Keluar'!$E:$E,'Barang Keluar'!$A:$A,M30757,'Barang Keluar'!$C:$C,N30757))</f>
        <v>0</v>
      </c>
    </row>
    <row r="30758" spans="13:16">
      <c r="M30758" s="49">
        <f>IF($A$4+307&gt;$B$4,"",$A$4+307)</f>
        <v>46330</v>
      </c>
      <c r="N30758">
        <f>IF(M30758="","",'Master Barang'!A52)</f>
        <v>0</v>
      </c>
      <c r="O30758">
        <f>IF(N30758="","",'Master Barang'!B52)</f>
        <v>0</v>
      </c>
      <c r="P30758">
        <f>IF(OR(M30758="",N30758=""),"",SUMIFS('Barang Keluar'!$E:$E,'Barang Keluar'!$A:$A,M30758,'Barang Keluar'!$C:$C,N30758))</f>
        <v>0</v>
      </c>
    </row>
    <row r="30759" spans="13:16">
      <c r="M30759" s="49">
        <f>IF($A$4+307&gt;$B$4,"",$A$4+307)</f>
        <v>46330</v>
      </c>
      <c r="N30759">
        <f>IF(M30759="","",'Master Barang'!A53)</f>
        <v>0</v>
      </c>
      <c r="O30759">
        <f>IF(N30759="","",'Master Barang'!B53)</f>
        <v>0</v>
      </c>
      <c r="P30759">
        <f>IF(OR(M30759="",N30759=""),"",SUMIFS('Barang Keluar'!$E:$E,'Barang Keluar'!$A:$A,M30759,'Barang Keluar'!$C:$C,N30759))</f>
        <v>0</v>
      </c>
    </row>
    <row r="30760" spans="13:16">
      <c r="M30760" s="49">
        <f>IF($A$4+307&gt;$B$4,"",$A$4+307)</f>
        <v>46330</v>
      </c>
      <c r="N30760">
        <f>IF(M30760="","",'Master Barang'!A54)</f>
        <v>0</v>
      </c>
      <c r="O30760">
        <f>IF(N30760="","",'Master Barang'!B54)</f>
        <v>0</v>
      </c>
      <c r="P30760">
        <f>IF(OR(M30760="",N30760=""),"",SUMIFS('Barang Keluar'!$E:$E,'Barang Keluar'!$A:$A,M30760,'Barang Keluar'!$C:$C,N30760))</f>
        <v>0</v>
      </c>
    </row>
    <row r="30761" spans="13:16">
      <c r="M30761" s="49">
        <f>IF($A$4+307&gt;$B$4,"",$A$4+307)</f>
        <v>46330</v>
      </c>
      <c r="N30761">
        <f>IF(M30761="","",'Master Barang'!A55)</f>
        <v>0</v>
      </c>
      <c r="O30761">
        <f>IF(N30761="","",'Master Barang'!B55)</f>
        <v>0</v>
      </c>
      <c r="P30761">
        <f>IF(OR(M30761="",N30761=""),"",SUMIFS('Barang Keluar'!$E:$E,'Barang Keluar'!$A:$A,M30761,'Barang Keluar'!$C:$C,N30761))</f>
        <v>0</v>
      </c>
    </row>
    <row r="30762" spans="13:16">
      <c r="M30762" s="49">
        <f>IF($A$4+307&gt;$B$4,"",$A$4+307)</f>
        <v>46330</v>
      </c>
      <c r="N30762">
        <f>IF(M30762="","",'Master Barang'!A56)</f>
        <v>0</v>
      </c>
      <c r="O30762">
        <f>IF(N30762="","",'Master Barang'!B56)</f>
        <v>0</v>
      </c>
      <c r="P30762">
        <f>IF(OR(M30762="",N30762=""),"",SUMIFS('Barang Keluar'!$E:$E,'Barang Keluar'!$A:$A,M30762,'Barang Keluar'!$C:$C,N30762))</f>
        <v>0</v>
      </c>
    </row>
    <row r="30763" spans="13:16">
      <c r="M30763" s="49">
        <f>IF($A$4+307&gt;$B$4,"",$A$4+307)</f>
        <v>46330</v>
      </c>
      <c r="N30763">
        <f>IF(M30763="","",'Master Barang'!A57)</f>
        <v>0</v>
      </c>
      <c r="O30763">
        <f>IF(N30763="","",'Master Barang'!B57)</f>
        <v>0</v>
      </c>
      <c r="P30763">
        <f>IF(OR(M30763="",N30763=""),"",SUMIFS('Barang Keluar'!$E:$E,'Barang Keluar'!$A:$A,M30763,'Barang Keluar'!$C:$C,N30763))</f>
        <v>0</v>
      </c>
    </row>
    <row r="30764" spans="13:16">
      <c r="M30764" s="49">
        <f>IF($A$4+307&gt;$B$4,"",$A$4+307)</f>
        <v>46330</v>
      </c>
      <c r="N30764">
        <f>IF(M30764="","",'Master Barang'!A58)</f>
        <v>0</v>
      </c>
      <c r="O30764">
        <f>IF(N30764="","",'Master Barang'!B58)</f>
        <v>0</v>
      </c>
      <c r="P30764">
        <f>IF(OR(M30764="",N30764=""),"",SUMIFS('Barang Keluar'!$E:$E,'Barang Keluar'!$A:$A,M30764,'Barang Keluar'!$C:$C,N30764))</f>
        <v>0</v>
      </c>
    </row>
    <row r="30765" spans="13:16">
      <c r="M30765" s="49">
        <f>IF($A$4+307&gt;$B$4,"",$A$4+307)</f>
        <v>46330</v>
      </c>
      <c r="N30765">
        <f>IF(M30765="","",'Master Barang'!A59)</f>
        <v>0</v>
      </c>
      <c r="O30765">
        <f>IF(N30765="","",'Master Barang'!B59)</f>
        <v>0</v>
      </c>
      <c r="P30765">
        <f>IF(OR(M30765="",N30765=""),"",SUMIFS('Barang Keluar'!$E:$E,'Barang Keluar'!$A:$A,M30765,'Barang Keluar'!$C:$C,N30765))</f>
        <v>0</v>
      </c>
    </row>
    <row r="30766" spans="13:16">
      <c r="M30766" s="49">
        <f>IF($A$4+307&gt;$B$4,"",$A$4+307)</f>
        <v>46330</v>
      </c>
      <c r="N30766">
        <f>IF(M30766="","",'Master Barang'!A60)</f>
        <v>0</v>
      </c>
      <c r="O30766">
        <f>IF(N30766="","",'Master Barang'!B60)</f>
        <v>0</v>
      </c>
      <c r="P30766">
        <f>IF(OR(M30766="",N30766=""),"",SUMIFS('Barang Keluar'!$E:$E,'Barang Keluar'!$A:$A,M30766,'Barang Keluar'!$C:$C,N30766))</f>
        <v>0</v>
      </c>
    </row>
    <row r="30767" spans="13:16">
      <c r="M30767" s="49">
        <f>IF($A$4+307&gt;$B$4,"",$A$4+307)</f>
        <v>46330</v>
      </c>
      <c r="N30767">
        <f>IF(M30767="","",'Master Barang'!A61)</f>
        <v>0</v>
      </c>
      <c r="O30767">
        <f>IF(N30767="","",'Master Barang'!B61)</f>
        <v>0</v>
      </c>
      <c r="P30767">
        <f>IF(OR(M30767="",N30767=""),"",SUMIFS('Barang Keluar'!$E:$E,'Barang Keluar'!$A:$A,M30767,'Barang Keluar'!$C:$C,N30767))</f>
        <v>0</v>
      </c>
    </row>
    <row r="30768" spans="13:16">
      <c r="M30768" s="49">
        <f>IF($A$4+307&gt;$B$4,"",$A$4+307)</f>
        <v>46330</v>
      </c>
      <c r="N30768">
        <f>IF(M30768="","",'Master Barang'!A62)</f>
        <v>0</v>
      </c>
      <c r="O30768">
        <f>IF(N30768="","",'Master Barang'!B62)</f>
        <v>0</v>
      </c>
      <c r="P30768">
        <f>IF(OR(M30768="",N30768=""),"",SUMIFS('Barang Keluar'!$E:$E,'Barang Keluar'!$A:$A,M30768,'Barang Keluar'!$C:$C,N30768))</f>
        <v>0</v>
      </c>
    </row>
    <row r="30769" spans="13:16">
      <c r="M30769" s="49">
        <f>IF($A$4+307&gt;$B$4,"",$A$4+307)</f>
        <v>46330</v>
      </c>
      <c r="N30769">
        <f>IF(M30769="","",'Master Barang'!A63)</f>
        <v>0</v>
      </c>
      <c r="O30769">
        <f>IF(N30769="","",'Master Barang'!B63)</f>
        <v>0</v>
      </c>
      <c r="P30769">
        <f>IF(OR(M30769="",N30769=""),"",SUMIFS('Barang Keluar'!$E:$E,'Barang Keluar'!$A:$A,M30769,'Barang Keluar'!$C:$C,N30769))</f>
        <v>0</v>
      </c>
    </row>
    <row r="30770" spans="13:16">
      <c r="M30770" s="49">
        <f>IF($A$4+307&gt;$B$4,"",$A$4+307)</f>
        <v>46330</v>
      </c>
      <c r="N30770">
        <f>IF(M30770="","",'Master Barang'!A64)</f>
        <v>0</v>
      </c>
      <c r="O30770">
        <f>IF(N30770="","",'Master Barang'!B64)</f>
        <v>0</v>
      </c>
      <c r="P30770">
        <f>IF(OR(M30770="",N30770=""),"",SUMIFS('Barang Keluar'!$E:$E,'Barang Keluar'!$A:$A,M30770,'Barang Keluar'!$C:$C,N30770))</f>
        <v>0</v>
      </c>
    </row>
    <row r="30771" spans="13:16">
      <c r="M30771" s="49">
        <f>IF($A$4+307&gt;$B$4,"",$A$4+307)</f>
        <v>46330</v>
      </c>
      <c r="N30771">
        <f>IF(M30771="","",'Master Barang'!A65)</f>
        <v>0</v>
      </c>
      <c r="O30771">
        <f>IF(N30771="","",'Master Barang'!B65)</f>
        <v>0</v>
      </c>
      <c r="P30771">
        <f>IF(OR(M30771="",N30771=""),"",SUMIFS('Barang Keluar'!$E:$E,'Barang Keluar'!$A:$A,M30771,'Barang Keluar'!$C:$C,N30771))</f>
        <v>0</v>
      </c>
    </row>
    <row r="30772" spans="13:16">
      <c r="M30772" s="49">
        <f>IF($A$4+307&gt;$B$4,"",$A$4+307)</f>
        <v>46330</v>
      </c>
      <c r="N30772">
        <f>IF(M30772="","",'Master Barang'!A66)</f>
        <v>0</v>
      </c>
      <c r="O30772">
        <f>IF(N30772="","",'Master Barang'!B66)</f>
        <v>0</v>
      </c>
      <c r="P30772">
        <f>IF(OR(M30772="",N30772=""),"",SUMIFS('Barang Keluar'!$E:$E,'Barang Keluar'!$A:$A,M30772,'Barang Keluar'!$C:$C,N30772))</f>
        <v>0</v>
      </c>
    </row>
    <row r="30773" spans="13:16">
      <c r="M30773" s="49">
        <f>IF($A$4+307&gt;$B$4,"",$A$4+307)</f>
        <v>46330</v>
      </c>
      <c r="N30773">
        <f>IF(M30773="","",'Master Barang'!A67)</f>
        <v>0</v>
      </c>
      <c r="O30773">
        <f>IF(N30773="","",'Master Barang'!B67)</f>
        <v>0</v>
      </c>
      <c r="P30773">
        <f>IF(OR(M30773="",N30773=""),"",SUMIFS('Barang Keluar'!$E:$E,'Barang Keluar'!$A:$A,M30773,'Barang Keluar'!$C:$C,N30773))</f>
        <v>0</v>
      </c>
    </row>
    <row r="30774" spans="13:16">
      <c r="M30774" s="49">
        <f>IF($A$4+307&gt;$B$4,"",$A$4+307)</f>
        <v>46330</v>
      </c>
      <c r="N30774">
        <f>IF(M30774="","",'Master Barang'!A68)</f>
        <v>0</v>
      </c>
      <c r="O30774">
        <f>IF(N30774="","",'Master Barang'!B68)</f>
        <v>0</v>
      </c>
      <c r="P30774">
        <f>IF(OR(M30774="",N30774=""),"",SUMIFS('Barang Keluar'!$E:$E,'Barang Keluar'!$A:$A,M30774,'Barang Keluar'!$C:$C,N30774))</f>
        <v>0</v>
      </c>
    </row>
    <row r="30775" spans="13:16">
      <c r="M30775" s="49">
        <f>IF($A$4+307&gt;$B$4,"",$A$4+307)</f>
        <v>46330</v>
      </c>
      <c r="N30775">
        <f>IF(M30775="","",'Master Barang'!A69)</f>
        <v>0</v>
      </c>
      <c r="O30775">
        <f>IF(N30775="","",'Master Barang'!B69)</f>
        <v>0</v>
      </c>
      <c r="P30775">
        <f>IF(OR(M30775="",N30775=""),"",SUMIFS('Barang Keluar'!$E:$E,'Barang Keluar'!$A:$A,M30775,'Barang Keluar'!$C:$C,N30775))</f>
        <v>0</v>
      </c>
    </row>
    <row r="30776" spans="13:16">
      <c r="M30776" s="49">
        <f>IF($A$4+307&gt;$B$4,"",$A$4+307)</f>
        <v>46330</v>
      </c>
      <c r="N30776">
        <f>IF(M30776="","",'Master Barang'!A70)</f>
        <v>0</v>
      </c>
      <c r="O30776">
        <f>IF(N30776="","",'Master Barang'!B70)</f>
        <v>0</v>
      </c>
      <c r="P30776">
        <f>IF(OR(M30776="",N30776=""),"",SUMIFS('Barang Keluar'!$E:$E,'Barang Keluar'!$A:$A,M30776,'Barang Keluar'!$C:$C,N30776))</f>
        <v>0</v>
      </c>
    </row>
    <row r="30777" spans="13:16">
      <c r="M30777" s="49">
        <f>IF($A$4+307&gt;$B$4,"",$A$4+307)</f>
        <v>46330</v>
      </c>
      <c r="N30777">
        <f>IF(M30777="","",'Master Barang'!A71)</f>
        <v>0</v>
      </c>
      <c r="O30777">
        <f>IF(N30777="","",'Master Barang'!B71)</f>
        <v>0</v>
      </c>
      <c r="P30777">
        <f>IF(OR(M30777="",N30777=""),"",SUMIFS('Barang Keluar'!$E:$E,'Barang Keluar'!$A:$A,M30777,'Barang Keluar'!$C:$C,N30777))</f>
        <v>0</v>
      </c>
    </row>
    <row r="30778" spans="13:16">
      <c r="M30778" s="49">
        <f>IF($A$4+307&gt;$B$4,"",$A$4+307)</f>
        <v>46330</v>
      </c>
      <c r="N30778">
        <f>IF(M30778="","",'Master Barang'!A72)</f>
        <v>0</v>
      </c>
      <c r="O30778">
        <f>IF(N30778="","",'Master Barang'!B72)</f>
        <v>0</v>
      </c>
      <c r="P30778">
        <f>IF(OR(M30778="",N30778=""),"",SUMIFS('Barang Keluar'!$E:$E,'Barang Keluar'!$A:$A,M30778,'Barang Keluar'!$C:$C,N30778))</f>
        <v>0</v>
      </c>
    </row>
    <row r="30779" spans="13:16">
      <c r="M30779" s="49">
        <f>IF($A$4+307&gt;$B$4,"",$A$4+307)</f>
        <v>46330</v>
      </c>
      <c r="N30779">
        <f>IF(M30779="","",'Master Barang'!A73)</f>
        <v>0</v>
      </c>
      <c r="O30779">
        <f>IF(N30779="","",'Master Barang'!B73)</f>
        <v>0</v>
      </c>
      <c r="P30779">
        <f>IF(OR(M30779="",N30779=""),"",SUMIFS('Barang Keluar'!$E:$E,'Barang Keluar'!$A:$A,M30779,'Barang Keluar'!$C:$C,N30779))</f>
        <v>0</v>
      </c>
    </row>
    <row r="30780" spans="13:16">
      <c r="M30780" s="49">
        <f>IF($A$4+307&gt;$B$4,"",$A$4+307)</f>
        <v>46330</v>
      </c>
      <c r="N30780">
        <f>IF(M30780="","",'Master Barang'!A74)</f>
        <v>0</v>
      </c>
      <c r="O30780">
        <f>IF(N30780="","",'Master Barang'!B74)</f>
        <v>0</v>
      </c>
      <c r="P30780">
        <f>IF(OR(M30780="",N30780=""),"",SUMIFS('Barang Keluar'!$E:$E,'Barang Keluar'!$A:$A,M30780,'Barang Keluar'!$C:$C,N30780))</f>
        <v>0</v>
      </c>
    </row>
    <row r="30781" spans="13:16">
      <c r="M30781" s="49">
        <f>IF($A$4+307&gt;$B$4,"",$A$4+307)</f>
        <v>46330</v>
      </c>
      <c r="N30781">
        <f>IF(M30781="","",'Master Barang'!A75)</f>
        <v>0</v>
      </c>
      <c r="O30781">
        <f>IF(N30781="","",'Master Barang'!B75)</f>
        <v>0</v>
      </c>
      <c r="P30781">
        <f>IF(OR(M30781="",N30781=""),"",SUMIFS('Barang Keluar'!$E:$E,'Barang Keluar'!$A:$A,M30781,'Barang Keluar'!$C:$C,N30781))</f>
        <v>0</v>
      </c>
    </row>
    <row r="30782" spans="13:16">
      <c r="M30782" s="49">
        <f>IF($A$4+307&gt;$B$4,"",$A$4+307)</f>
        <v>46330</v>
      </c>
      <c r="N30782">
        <f>IF(M30782="","",'Master Barang'!A76)</f>
        <v>0</v>
      </c>
      <c r="O30782">
        <f>IF(N30782="","",'Master Barang'!B76)</f>
        <v>0</v>
      </c>
      <c r="P30782">
        <f>IF(OR(M30782="",N30782=""),"",SUMIFS('Barang Keluar'!$E:$E,'Barang Keluar'!$A:$A,M30782,'Barang Keluar'!$C:$C,N30782))</f>
        <v>0</v>
      </c>
    </row>
    <row r="30783" spans="13:16">
      <c r="M30783" s="49">
        <f>IF($A$4+307&gt;$B$4,"",$A$4+307)</f>
        <v>46330</v>
      </c>
      <c r="N30783">
        <f>IF(M30783="","",'Master Barang'!A77)</f>
        <v>0</v>
      </c>
      <c r="O30783">
        <f>IF(N30783="","",'Master Barang'!B77)</f>
        <v>0</v>
      </c>
      <c r="P30783">
        <f>IF(OR(M30783="",N30783=""),"",SUMIFS('Barang Keluar'!$E:$E,'Barang Keluar'!$A:$A,M30783,'Barang Keluar'!$C:$C,N30783))</f>
        <v>0</v>
      </c>
    </row>
    <row r="30784" spans="13:16">
      <c r="M30784" s="49">
        <f>IF($A$4+307&gt;$B$4,"",$A$4+307)</f>
        <v>46330</v>
      </c>
      <c r="N30784">
        <f>IF(M30784="","",'Master Barang'!A78)</f>
        <v>0</v>
      </c>
      <c r="O30784">
        <f>IF(N30784="","",'Master Barang'!B78)</f>
        <v>0</v>
      </c>
      <c r="P30784">
        <f>IF(OR(M30784="",N30784=""),"",SUMIFS('Barang Keluar'!$E:$E,'Barang Keluar'!$A:$A,M30784,'Barang Keluar'!$C:$C,N30784))</f>
        <v>0</v>
      </c>
    </row>
    <row r="30785" spans="13:16">
      <c r="M30785" s="49">
        <f>IF($A$4+307&gt;$B$4,"",$A$4+307)</f>
        <v>46330</v>
      </c>
      <c r="N30785">
        <f>IF(M30785="","",'Master Barang'!A79)</f>
        <v>0</v>
      </c>
      <c r="O30785">
        <f>IF(N30785="","",'Master Barang'!B79)</f>
        <v>0</v>
      </c>
      <c r="P30785">
        <f>IF(OR(M30785="",N30785=""),"",SUMIFS('Barang Keluar'!$E:$E,'Barang Keluar'!$A:$A,M30785,'Barang Keluar'!$C:$C,N30785))</f>
        <v>0</v>
      </c>
    </row>
    <row r="30786" spans="13:16">
      <c r="M30786" s="49">
        <f>IF($A$4+307&gt;$B$4,"",$A$4+307)</f>
        <v>46330</v>
      </c>
      <c r="N30786">
        <f>IF(M30786="","",'Master Barang'!A80)</f>
        <v>0</v>
      </c>
      <c r="O30786">
        <f>IF(N30786="","",'Master Barang'!B80)</f>
        <v>0</v>
      </c>
      <c r="P30786">
        <f>IF(OR(M30786="",N30786=""),"",SUMIFS('Barang Keluar'!$E:$E,'Barang Keluar'!$A:$A,M30786,'Barang Keluar'!$C:$C,N30786))</f>
        <v>0</v>
      </c>
    </row>
    <row r="30787" spans="13:16">
      <c r="M30787" s="49">
        <f>IF($A$4+307&gt;$B$4,"",$A$4+307)</f>
        <v>46330</v>
      </c>
      <c r="N30787">
        <f>IF(M30787="","",'Master Barang'!A81)</f>
        <v>0</v>
      </c>
      <c r="O30787">
        <f>IF(N30787="","",'Master Barang'!B81)</f>
        <v>0</v>
      </c>
      <c r="P30787">
        <f>IF(OR(M30787="",N30787=""),"",SUMIFS('Barang Keluar'!$E:$E,'Barang Keluar'!$A:$A,M30787,'Barang Keluar'!$C:$C,N30787))</f>
        <v>0</v>
      </c>
    </row>
    <row r="30788" spans="13:16">
      <c r="M30788" s="49">
        <f>IF($A$4+307&gt;$B$4,"",$A$4+307)</f>
        <v>46330</v>
      </c>
      <c r="N30788">
        <f>IF(M30788="","",'Master Barang'!A82)</f>
        <v>0</v>
      </c>
      <c r="O30788">
        <f>IF(N30788="","",'Master Barang'!B82)</f>
        <v>0</v>
      </c>
      <c r="P30788">
        <f>IF(OR(M30788="",N30788=""),"",SUMIFS('Barang Keluar'!$E:$E,'Barang Keluar'!$A:$A,M30788,'Barang Keluar'!$C:$C,N30788))</f>
        <v>0</v>
      </c>
    </row>
    <row r="30789" spans="13:16">
      <c r="M30789" s="49">
        <f>IF($A$4+307&gt;$B$4,"",$A$4+307)</f>
        <v>46330</v>
      </c>
      <c r="N30789">
        <f>IF(M30789="","",'Master Barang'!A83)</f>
        <v>0</v>
      </c>
      <c r="O30789">
        <f>IF(N30789="","",'Master Barang'!B83)</f>
        <v>0</v>
      </c>
      <c r="P30789">
        <f>IF(OR(M30789="",N30789=""),"",SUMIFS('Barang Keluar'!$E:$E,'Barang Keluar'!$A:$A,M30789,'Barang Keluar'!$C:$C,N30789))</f>
        <v>0</v>
      </c>
    </row>
    <row r="30790" spans="13:16">
      <c r="M30790" s="49">
        <f>IF($A$4+307&gt;$B$4,"",$A$4+307)</f>
        <v>46330</v>
      </c>
      <c r="N30790">
        <f>IF(M30790="","",'Master Barang'!A84)</f>
        <v>0</v>
      </c>
      <c r="O30790">
        <f>IF(N30790="","",'Master Barang'!B84)</f>
        <v>0</v>
      </c>
      <c r="P30790">
        <f>IF(OR(M30790="",N30790=""),"",SUMIFS('Barang Keluar'!$E:$E,'Barang Keluar'!$A:$A,M30790,'Barang Keluar'!$C:$C,N30790))</f>
        <v>0</v>
      </c>
    </row>
    <row r="30791" spans="13:16">
      <c r="M30791" s="49">
        <f>IF($A$4+307&gt;$B$4,"",$A$4+307)</f>
        <v>46330</v>
      </c>
      <c r="N30791">
        <f>IF(M30791="","",'Master Barang'!A85)</f>
        <v>0</v>
      </c>
      <c r="O30791">
        <f>IF(N30791="","",'Master Barang'!B85)</f>
        <v>0</v>
      </c>
      <c r="P30791">
        <f>IF(OR(M30791="",N30791=""),"",SUMIFS('Barang Keluar'!$E:$E,'Barang Keluar'!$A:$A,M30791,'Barang Keluar'!$C:$C,N30791))</f>
        <v>0</v>
      </c>
    </row>
    <row r="30792" spans="13:16">
      <c r="M30792" s="49">
        <f>IF($A$4+307&gt;$B$4,"",$A$4+307)</f>
        <v>46330</v>
      </c>
      <c r="N30792">
        <f>IF(M30792="","",'Master Barang'!A86)</f>
        <v>0</v>
      </c>
      <c r="O30792">
        <f>IF(N30792="","",'Master Barang'!B86)</f>
        <v>0</v>
      </c>
      <c r="P30792">
        <f>IF(OR(M30792="",N30792=""),"",SUMIFS('Barang Keluar'!$E:$E,'Barang Keluar'!$A:$A,M30792,'Barang Keluar'!$C:$C,N30792))</f>
        <v>0</v>
      </c>
    </row>
    <row r="30793" spans="13:16">
      <c r="M30793" s="49">
        <f>IF($A$4+307&gt;$B$4,"",$A$4+307)</f>
        <v>46330</v>
      </c>
      <c r="N30793">
        <f>IF(M30793="","",'Master Barang'!A87)</f>
        <v>0</v>
      </c>
      <c r="O30793">
        <f>IF(N30793="","",'Master Barang'!B87)</f>
        <v>0</v>
      </c>
      <c r="P30793">
        <f>IF(OR(M30793="",N30793=""),"",SUMIFS('Barang Keluar'!$E:$E,'Barang Keluar'!$A:$A,M30793,'Barang Keluar'!$C:$C,N30793))</f>
        <v>0</v>
      </c>
    </row>
    <row r="30794" spans="13:16">
      <c r="M30794" s="49">
        <f>IF($A$4+307&gt;$B$4,"",$A$4+307)</f>
        <v>46330</v>
      </c>
      <c r="N30794">
        <f>IF(M30794="","",'Master Barang'!A88)</f>
        <v>0</v>
      </c>
      <c r="O30794">
        <f>IF(N30794="","",'Master Barang'!B88)</f>
        <v>0</v>
      </c>
      <c r="P30794">
        <f>IF(OR(M30794="",N30794=""),"",SUMIFS('Barang Keluar'!$E:$E,'Barang Keluar'!$A:$A,M30794,'Barang Keluar'!$C:$C,N30794))</f>
        <v>0</v>
      </c>
    </row>
    <row r="30795" spans="13:16">
      <c r="M30795" s="49">
        <f>IF($A$4+307&gt;$B$4,"",$A$4+307)</f>
        <v>46330</v>
      </c>
      <c r="N30795">
        <f>IF(M30795="","",'Master Barang'!A89)</f>
        <v>0</v>
      </c>
      <c r="O30795">
        <f>IF(N30795="","",'Master Barang'!B89)</f>
        <v>0</v>
      </c>
      <c r="P30795">
        <f>IF(OR(M30795="",N30795=""),"",SUMIFS('Barang Keluar'!$E:$E,'Barang Keluar'!$A:$A,M30795,'Barang Keluar'!$C:$C,N30795))</f>
        <v>0</v>
      </c>
    </row>
    <row r="30796" spans="13:16">
      <c r="M30796" s="49">
        <f>IF($A$4+307&gt;$B$4,"",$A$4+307)</f>
        <v>46330</v>
      </c>
      <c r="N30796">
        <f>IF(M30796="","",'Master Barang'!A90)</f>
        <v>0</v>
      </c>
      <c r="O30796">
        <f>IF(N30796="","",'Master Barang'!B90)</f>
        <v>0</v>
      </c>
      <c r="P30796">
        <f>IF(OR(M30796="",N30796=""),"",SUMIFS('Barang Keluar'!$E:$E,'Barang Keluar'!$A:$A,M30796,'Barang Keluar'!$C:$C,N30796))</f>
        <v>0</v>
      </c>
    </row>
    <row r="30797" spans="13:16">
      <c r="M30797" s="49">
        <f>IF($A$4+307&gt;$B$4,"",$A$4+307)</f>
        <v>46330</v>
      </c>
      <c r="N30797">
        <f>IF(M30797="","",'Master Barang'!A91)</f>
        <v>0</v>
      </c>
      <c r="O30797">
        <f>IF(N30797="","",'Master Barang'!B91)</f>
        <v>0</v>
      </c>
      <c r="P30797">
        <f>IF(OR(M30797="",N30797=""),"",SUMIFS('Barang Keluar'!$E:$E,'Barang Keluar'!$A:$A,M30797,'Barang Keluar'!$C:$C,N30797))</f>
        <v>0</v>
      </c>
    </row>
    <row r="30798" spans="13:16">
      <c r="M30798" s="49">
        <f>IF($A$4+307&gt;$B$4,"",$A$4+307)</f>
        <v>46330</v>
      </c>
      <c r="N30798">
        <f>IF(M30798="","",'Master Barang'!A92)</f>
        <v>0</v>
      </c>
      <c r="O30798">
        <f>IF(N30798="","",'Master Barang'!B92)</f>
        <v>0</v>
      </c>
      <c r="P30798">
        <f>IF(OR(M30798="",N30798=""),"",SUMIFS('Barang Keluar'!$E:$E,'Barang Keluar'!$A:$A,M30798,'Barang Keluar'!$C:$C,N30798))</f>
        <v>0</v>
      </c>
    </row>
    <row r="30799" spans="13:16">
      <c r="M30799" s="49">
        <f>IF($A$4+307&gt;$B$4,"",$A$4+307)</f>
        <v>46330</v>
      </c>
      <c r="N30799">
        <f>IF(M30799="","",'Master Barang'!A93)</f>
        <v>0</v>
      </c>
      <c r="O30799">
        <f>IF(N30799="","",'Master Barang'!B93)</f>
        <v>0</v>
      </c>
      <c r="P30799">
        <f>IF(OR(M30799="",N30799=""),"",SUMIFS('Barang Keluar'!$E:$E,'Barang Keluar'!$A:$A,M30799,'Barang Keluar'!$C:$C,N30799))</f>
        <v>0</v>
      </c>
    </row>
    <row r="30800" spans="13:16">
      <c r="M30800" s="49">
        <f>IF($A$4+307&gt;$B$4,"",$A$4+307)</f>
        <v>46330</v>
      </c>
      <c r="N30800">
        <f>IF(M30800="","",'Master Barang'!A94)</f>
        <v>0</v>
      </c>
      <c r="O30800">
        <f>IF(N30800="","",'Master Barang'!B94)</f>
        <v>0</v>
      </c>
      <c r="P30800">
        <f>IF(OR(M30800="",N30800=""),"",SUMIFS('Barang Keluar'!$E:$E,'Barang Keluar'!$A:$A,M30800,'Barang Keluar'!$C:$C,N30800))</f>
        <v>0</v>
      </c>
    </row>
    <row r="30801" spans="13:16">
      <c r="M30801" s="49">
        <f>IF($A$4+307&gt;$B$4,"",$A$4+307)</f>
        <v>46330</v>
      </c>
      <c r="N30801">
        <f>IF(M30801="","",'Master Barang'!A95)</f>
        <v>0</v>
      </c>
      <c r="O30801">
        <f>IF(N30801="","",'Master Barang'!B95)</f>
        <v>0</v>
      </c>
      <c r="P30801">
        <f>IF(OR(M30801="",N30801=""),"",SUMIFS('Barang Keluar'!$E:$E,'Barang Keluar'!$A:$A,M30801,'Barang Keluar'!$C:$C,N30801))</f>
        <v>0</v>
      </c>
    </row>
    <row r="30802" spans="13:16">
      <c r="M30802" s="49">
        <f>IF($A$4+307&gt;$B$4,"",$A$4+307)</f>
        <v>46330</v>
      </c>
      <c r="N30802">
        <f>IF(M30802="","",'Master Barang'!A96)</f>
        <v>0</v>
      </c>
      <c r="O30802">
        <f>IF(N30802="","",'Master Barang'!B96)</f>
        <v>0</v>
      </c>
      <c r="P30802">
        <f>IF(OR(M30802="",N30802=""),"",SUMIFS('Barang Keluar'!$E:$E,'Barang Keluar'!$A:$A,M30802,'Barang Keluar'!$C:$C,N30802))</f>
        <v>0</v>
      </c>
    </row>
    <row r="30803" spans="13:16">
      <c r="M30803" s="49">
        <f>IF($A$4+307&gt;$B$4,"",$A$4+307)</f>
        <v>46330</v>
      </c>
      <c r="N30803">
        <f>IF(M30803="","",'Master Barang'!A97)</f>
        <v>0</v>
      </c>
      <c r="O30803">
        <f>IF(N30803="","",'Master Barang'!B97)</f>
        <v>0</v>
      </c>
      <c r="P30803">
        <f>IF(OR(M30803="",N30803=""),"",SUMIFS('Barang Keluar'!$E:$E,'Barang Keluar'!$A:$A,M30803,'Barang Keluar'!$C:$C,N30803))</f>
        <v>0</v>
      </c>
    </row>
    <row r="30804" spans="13:16">
      <c r="M30804" s="49">
        <f>IF($A$4+307&gt;$B$4,"",$A$4+307)</f>
        <v>46330</v>
      </c>
      <c r="N30804">
        <f>IF(M30804="","",'Master Barang'!A98)</f>
        <v>0</v>
      </c>
      <c r="O30804">
        <f>IF(N30804="","",'Master Barang'!B98)</f>
        <v>0</v>
      </c>
      <c r="P30804">
        <f>IF(OR(M30804="",N30804=""),"",SUMIFS('Barang Keluar'!$E:$E,'Barang Keluar'!$A:$A,M30804,'Barang Keluar'!$C:$C,N30804))</f>
        <v>0</v>
      </c>
    </row>
    <row r="30805" spans="13:16">
      <c r="M30805" s="49">
        <f>IF($A$4+307&gt;$B$4,"",$A$4+307)</f>
        <v>46330</v>
      </c>
      <c r="N30805">
        <f>IF(M30805="","",'Master Barang'!A99)</f>
        <v>0</v>
      </c>
      <c r="O30805">
        <f>IF(N30805="","",'Master Barang'!B99)</f>
        <v>0</v>
      </c>
      <c r="P30805">
        <f>IF(OR(M30805="",N30805=""),"",SUMIFS('Barang Keluar'!$E:$E,'Barang Keluar'!$A:$A,M30805,'Barang Keluar'!$C:$C,N30805))</f>
        <v>0</v>
      </c>
    </row>
    <row r="30806" spans="13:16">
      <c r="M30806" s="49">
        <f>IF($A$4+307&gt;$B$4,"",$A$4+307)</f>
        <v>46330</v>
      </c>
      <c r="N30806">
        <f>IF(M30806="","",'Master Barang'!A100)</f>
        <v>0</v>
      </c>
      <c r="O30806">
        <f>IF(N30806="","",'Master Barang'!B100)</f>
        <v>0</v>
      </c>
      <c r="P30806">
        <f>IF(OR(M30806="",N30806=""),"",SUMIFS('Barang Keluar'!$E:$E,'Barang Keluar'!$A:$A,M30806,'Barang Keluar'!$C:$C,N30806))</f>
        <v>0</v>
      </c>
    </row>
    <row r="30807" spans="13:16">
      <c r="M30807" s="49">
        <f>IF($A$4+307&gt;$B$4,"",$A$4+307)</f>
        <v>46330</v>
      </c>
      <c r="N30807">
        <f>IF(M30807="","",'Master Barang'!A101)</f>
        <v>0</v>
      </c>
      <c r="O30807">
        <f>IF(N30807="","",'Master Barang'!B101)</f>
        <v>0</v>
      </c>
      <c r="P30807">
        <f>IF(OR(M30807="",N30807=""),"",SUMIFS('Barang Keluar'!$E:$E,'Barang Keluar'!$A:$A,M30807,'Barang Keluar'!$C:$C,N30807))</f>
        <v>0</v>
      </c>
    </row>
    <row r="30808" spans="13:16">
      <c r="M30808" s="49">
        <f>IF($A$4+308&gt;$B$4,"",$A$4+308)</f>
        <v>46331</v>
      </c>
      <c r="N30808" t="str">
        <f>IF(M30808="","",'Master Barang'!A2)</f>
        <v>PRL-001</v>
      </c>
      <c r="O30808" t="str">
        <f>IF(N30808="","",'Master Barang'!B2)</f>
        <v>natura desinfectant food grade 5l</v>
      </c>
      <c r="P30808">
        <f>IF(OR(M30808="",N30808=""),"",SUMIFS('Barang Keluar'!$E:$E,'Barang Keluar'!$A:$A,M30808,'Barang Keluar'!$C:$C,N30808))</f>
        <v>0</v>
      </c>
    </row>
    <row r="30809" spans="13:16">
      <c r="M30809" s="49">
        <f>IF($A$4+308&gt;$B$4,"",$A$4+308)</f>
        <v>46331</v>
      </c>
      <c r="N30809" t="str">
        <f>IF(M30809="","",'Master Barang'!A3)</f>
        <v>PRL-002</v>
      </c>
      <c r="O30809" t="str">
        <f>IF(N30809="","",'Master Barang'!B3)</f>
        <v>sunlight cairan pencuci piring 5l</v>
      </c>
      <c r="P30809">
        <f>IF(OR(M30809="",N30809=""),"",SUMIFS('Barang Keluar'!$E:$E,'Barang Keluar'!$A:$A,M30809,'Barang Keluar'!$C:$C,N30809))</f>
        <v>0</v>
      </c>
    </row>
    <row r="30810" spans="13:16">
      <c r="M30810" s="49">
        <f>IF($A$4+308&gt;$B$4,"",$A$4+308)</f>
        <v>46331</v>
      </c>
      <c r="N30810" t="str">
        <f>IF(M30810="","",'Master Barang'!A4)</f>
        <v>PRL-003</v>
      </c>
      <c r="O30810" t="str">
        <f>IF(N30810="","",'Master Barang'!B4)</f>
        <v>oixs cleaner 1l</v>
      </c>
      <c r="P30810">
        <f>IF(OR(M30810="",N30810=""),"",SUMIFS('Barang Keluar'!$E:$E,'Barang Keluar'!$A:$A,M30810,'Barang Keluar'!$C:$C,N30810))</f>
        <v>0</v>
      </c>
    </row>
    <row r="30811" spans="13:16">
      <c r="M30811" s="49">
        <f>IF($A$4+308&gt;$B$4,"",$A$4+308)</f>
        <v>46331</v>
      </c>
      <c r="N30811" t="str">
        <f>IF(M30811="","",'Master Barang'!A5)</f>
        <v>PRL-004</v>
      </c>
      <c r="O30811" t="str">
        <f>IF(N30811="","",'Master Barang'!B5)</f>
        <v>be clean tissue serbaguna</v>
      </c>
      <c r="P30811">
        <f>IF(OR(M30811="",N30811=""),"",SUMIFS('Barang Keluar'!$E:$E,'Barang Keluar'!$A:$A,M30811,'Barang Keluar'!$C:$C,N30811))</f>
        <v>0</v>
      </c>
    </row>
    <row r="30812" spans="13:16">
      <c r="M30812" s="49">
        <f>IF($A$4+308&gt;$B$4,"",$A$4+308)</f>
        <v>46331</v>
      </c>
      <c r="N30812" t="str">
        <f>IF(M30812="","",'Master Barang'!A6)</f>
        <v>PRL-005</v>
      </c>
      <c r="O30812" t="str">
        <f>IF(N30812="","",'Master Barang'!B6)</f>
        <v>spons cuci hijau</v>
      </c>
      <c r="P30812">
        <f>IF(OR(M30812="",N30812=""),"",SUMIFS('Barang Keluar'!$E:$E,'Barang Keluar'!$A:$A,M30812,'Barang Keluar'!$C:$C,N30812))</f>
        <v>0</v>
      </c>
    </row>
    <row r="30813" spans="13:16">
      <c r="M30813" s="49">
        <f>IF($A$4+308&gt;$B$4,"",$A$4+308)</f>
        <v>46331</v>
      </c>
      <c r="N30813" t="str">
        <f>IF(M30813="","",'Master Barang'!A7)</f>
        <v>PRL-006</v>
      </c>
      <c r="O30813" t="str">
        <f>IF(N30813="","",'Master Barang'!B7)</f>
        <v>sabut cuci stainless</v>
      </c>
      <c r="P30813">
        <f>IF(OR(M30813="",N30813=""),"",SUMIFS('Barang Keluar'!$E:$E,'Barang Keluar'!$A:$A,M30813,'Barang Keluar'!$C:$C,N30813))</f>
        <v>0</v>
      </c>
    </row>
    <row r="30814" spans="13:16">
      <c r="M30814" s="49">
        <f>IF($A$4+308&gt;$B$4,"",$A$4+308)</f>
        <v>46331</v>
      </c>
      <c r="N30814" t="str">
        <f>IF(M30814="","",'Master Barang'!A8)</f>
        <v>PRL-007</v>
      </c>
      <c r="O30814" t="str">
        <f>IF(N30814="","",'Master Barang'!B8)</f>
        <v>plastik kresek besar merah 50pc</v>
      </c>
      <c r="P30814">
        <f>IF(OR(M30814="",N30814=""),"",SUMIFS('Barang Keluar'!$E:$E,'Barang Keluar'!$A:$A,M30814,'Barang Keluar'!$C:$C,N30814))</f>
        <v>0</v>
      </c>
    </row>
    <row r="30815" spans="13:16">
      <c r="M30815" s="49">
        <f>IF($A$4+308&gt;$B$4,"",$A$4+308)</f>
        <v>46331</v>
      </c>
      <c r="N30815" t="str">
        <f>IF(M30815="","",'Master Barang'!A9)</f>
        <v>PRL-008</v>
      </c>
      <c r="O30815" t="str">
        <f>IF(N30815="","",'Master Barang'!B9)</f>
        <v>lap besar</v>
      </c>
      <c r="P30815">
        <f>IF(OR(M30815="",N30815=""),"",SUMIFS('Barang Keluar'!$E:$E,'Barang Keluar'!$A:$A,M30815,'Barang Keluar'!$C:$C,N30815))</f>
        <v>0</v>
      </c>
    </row>
    <row r="30816" spans="13:16">
      <c r="M30816" s="49">
        <f>IF($A$4+308&gt;$B$4,"",$A$4+308)</f>
        <v>46331</v>
      </c>
      <c r="N30816" t="str">
        <f>IF(M30816="","",'Master Barang'!A10)</f>
        <v>PRL-009</v>
      </c>
      <c r="O30816" t="str">
        <f>IF(N30816="","",'Master Barang'!B10)</f>
        <v>lap microfiber</v>
      </c>
      <c r="P30816">
        <f>IF(OR(M30816="",N30816=""),"",SUMIFS('Barang Keluar'!$E:$E,'Barang Keluar'!$A:$A,M30816,'Barang Keluar'!$C:$C,N30816))</f>
        <v>0</v>
      </c>
    </row>
    <row r="30817" spans="13:16">
      <c r="M30817" s="49">
        <f>IF($A$4+308&gt;$B$4,"",$A$4+308)</f>
        <v>46331</v>
      </c>
      <c r="N30817" t="str">
        <f>IF(M30817="","",'Master Barang'!A11)</f>
        <v>PRL-010</v>
      </c>
      <c r="O30817" t="str">
        <f>IF(N30817="","",'Master Barang'!B11)</f>
        <v>lap kecil</v>
      </c>
      <c r="P30817">
        <f>IF(OR(M30817="",N30817=""),"",SUMIFS('Barang Keluar'!$E:$E,'Barang Keluar'!$A:$A,M30817,'Barang Keluar'!$C:$C,N30817))</f>
        <v>0</v>
      </c>
    </row>
    <row r="30818" spans="13:16">
      <c r="M30818" s="49">
        <f>IF($A$4+308&gt;$B$4,"",$A$4+308)</f>
        <v>46331</v>
      </c>
      <c r="N30818" t="str">
        <f>IF(M30818="","",'Master Barang'!A12)</f>
        <v>PRL-011</v>
      </c>
      <c r="O30818" t="str">
        <f>IF(N30818="","",'Master Barang'!B12)</f>
        <v>kanebo kecil</v>
      </c>
      <c r="P30818">
        <f>IF(OR(M30818="",N30818=""),"",SUMIFS('Barang Keluar'!$E:$E,'Barang Keluar'!$A:$A,M30818,'Barang Keluar'!$C:$C,N30818))</f>
        <v>0</v>
      </c>
    </row>
    <row r="30819" spans="13:16">
      <c r="M30819" s="49">
        <f>IF($A$4+308&gt;$B$4,"",$A$4+308)</f>
        <v>46331</v>
      </c>
      <c r="N30819" t="str">
        <f>IF(M30819="","",'Master Barang'!A13)</f>
        <v>PRL-012</v>
      </c>
      <c r="O30819" t="str">
        <f>IF(N30819="","",'Master Barang'!B13)</f>
        <v>plastik 1/4kg joyoboyo 100 lembar</v>
      </c>
      <c r="P30819">
        <f>IF(OR(M30819="",N30819=""),"",SUMIFS('Barang Keluar'!$E:$E,'Barang Keluar'!$A:$A,M30819,'Barang Keluar'!$C:$C,N30819))</f>
        <v>0</v>
      </c>
    </row>
    <row r="30820" spans="13:16">
      <c r="M30820" s="49">
        <f>IF($A$4+308&gt;$B$4,"",$A$4+308)</f>
        <v>46331</v>
      </c>
      <c r="N30820" t="str">
        <f>IF(M30820="","",'Master Barang'!A14)</f>
        <v>PRL-013</v>
      </c>
      <c r="O30820" t="str">
        <f>IF(N30820="","",'Master Barang'!B14)</f>
        <v>sarung tangan plastik kaka 100 pcs</v>
      </c>
      <c r="P30820">
        <f>IF(OR(M30820="",N30820=""),"",SUMIFS('Barang Keluar'!$E:$E,'Barang Keluar'!$A:$A,M30820,'Barang Keluar'!$C:$C,N30820))</f>
        <v>0</v>
      </c>
    </row>
    <row r="30821" spans="13:16">
      <c r="M30821" s="49">
        <f>IF($A$4+308&gt;$B$4,"",$A$4+308)</f>
        <v>46331</v>
      </c>
      <c r="N30821" t="str">
        <f>IF(M30821="","",'Master Barang'!A15)</f>
        <v>PRL-014</v>
      </c>
      <c r="O30821" t="str">
        <f>IF(N30821="","",'Master Barang'!B15)</f>
        <v>optima trashbag 80x100</v>
      </c>
      <c r="P30821">
        <f>IF(OR(M30821="",N30821=""),"",SUMIFS('Barang Keluar'!$E:$E,'Barang Keluar'!$A:$A,M30821,'Barang Keluar'!$C:$C,N30821))</f>
        <v>0</v>
      </c>
    </row>
    <row r="30822" spans="13:16">
      <c r="M30822" s="49">
        <f>IF($A$4+308&gt;$B$4,"",$A$4+308)</f>
        <v>46331</v>
      </c>
      <c r="N30822" t="str">
        <f>IF(M30822="","",'Master Barang'!A16)</f>
        <v>PRL-015</v>
      </c>
      <c r="O30822" t="str">
        <f>IF(N30822="","",'Master Barang'!B16)</f>
        <v>optima trashbag 60x100</v>
      </c>
      <c r="P30822">
        <f>IF(OR(M30822="",N30822=""),"",SUMIFS('Barang Keluar'!$E:$E,'Barang Keluar'!$A:$A,M30822,'Barang Keluar'!$C:$C,N30822))</f>
        <v>0</v>
      </c>
    </row>
    <row r="30823" spans="13:16">
      <c r="M30823" s="49">
        <f>IF($A$4+308&gt;$B$4,"",$A$4+308)</f>
        <v>46331</v>
      </c>
      <c r="N30823" t="str">
        <f>IF(M30823="","",'Master Barang'!A17)</f>
        <v>PRL-016</v>
      </c>
      <c r="O30823" t="str">
        <f>IF(N30823="","",'Master Barang'!B17)</f>
        <v>rajawali trashbag 30x40</v>
      </c>
      <c r="P30823">
        <f>IF(OR(M30823="",N30823=""),"",SUMIFS('Barang Keluar'!$E:$E,'Barang Keluar'!$A:$A,M30823,'Barang Keluar'!$C:$C,N30823))</f>
        <v>0</v>
      </c>
    </row>
    <row r="30824" spans="13:16">
      <c r="M30824" s="49">
        <f>IF($A$4+308&gt;$B$4,"",$A$4+308)</f>
        <v>46331</v>
      </c>
      <c r="N30824" t="str">
        <f>IF(M30824="","",'Master Barang'!A18)</f>
        <v>PRL-017</v>
      </c>
      <c r="O30824" t="str">
        <f>IF(N30824="","",'Master Barang'!B18)</f>
        <v>onemed masker biru 3 play 50 pcs</v>
      </c>
      <c r="P30824">
        <f>IF(OR(M30824="",N30824=""),"",SUMIFS('Barang Keluar'!$E:$E,'Barang Keluar'!$A:$A,M30824,'Barang Keluar'!$C:$C,N30824))</f>
        <v>0</v>
      </c>
    </row>
    <row r="30825" spans="13:16">
      <c r="M30825" s="49">
        <f>IF($A$4+308&gt;$B$4,"",$A$4+308)</f>
        <v>46331</v>
      </c>
      <c r="N30825" t="str">
        <f>IF(M30825="","",'Master Barang'!A19)</f>
        <v>PRL-018</v>
      </c>
      <c r="O30825" t="str">
        <f>IF(N30825="","",'Master Barang'!B19)</f>
        <v>onemed masker biru 3 play hijab 50 pcs</v>
      </c>
      <c r="P30825">
        <f>IF(OR(M30825="",N30825=""),"",SUMIFS('Barang Keluar'!$E:$E,'Barang Keluar'!$A:$A,M30825,'Barang Keluar'!$C:$C,N30825))</f>
        <v>0</v>
      </c>
    </row>
    <row r="30826" spans="13:16">
      <c r="M30826" s="49">
        <f>IF($A$4+308&gt;$B$4,"",$A$4+308)</f>
        <v>46331</v>
      </c>
      <c r="N30826" t="str">
        <f>IF(M30826="","",'Master Barang'!A20)</f>
        <v>PRL-019</v>
      </c>
      <c r="O30826" t="str">
        <f>IF(N30826="","",'Master Barang'!B20)</f>
        <v>neo health masker biru 3 play 50 pcs</v>
      </c>
      <c r="P30826">
        <f>IF(OR(M30826="",N30826=""),"",SUMIFS('Barang Keluar'!$E:$E,'Barang Keluar'!$A:$A,M30826,'Barang Keluar'!$C:$C,N30826))</f>
        <v>0</v>
      </c>
    </row>
    <row r="30827" spans="13:16">
      <c r="M30827" s="49">
        <f>IF($A$4+308&gt;$B$4,"",$A$4+308)</f>
        <v>46331</v>
      </c>
      <c r="N30827" t="str">
        <f>IF(M30827="","",'Master Barang'!A21)</f>
        <v>PRL-020</v>
      </c>
      <c r="O30827" t="str">
        <f>IF(N30827="","",'Master Barang'!B21)</f>
        <v>baymed masker hijau 3 play hijau 50 pcs</v>
      </c>
      <c r="P30827">
        <f>IF(OR(M30827="",N30827=""),"",SUMIFS('Barang Keluar'!$E:$E,'Barang Keluar'!$A:$A,M30827,'Barang Keluar'!$C:$C,N30827))</f>
        <v>0</v>
      </c>
    </row>
    <row r="30828" spans="13:16">
      <c r="M30828" s="49">
        <f>IF($A$4+308&gt;$B$4,"",$A$4+308)</f>
        <v>46331</v>
      </c>
      <c r="N30828" t="str">
        <f>IF(M30828="","",'Master Barang'!A22)</f>
        <v>PRL-021</v>
      </c>
      <c r="O30828" t="str">
        <f>IF(N30828="","",'Master Barang'!B22)</f>
        <v>altamed nurse cap penutup kepala 100 pcs</v>
      </c>
      <c r="P30828">
        <f>IF(OR(M30828="",N30828=""),"",SUMIFS('Barang Keluar'!$E:$E,'Barang Keluar'!$A:$A,M30828,'Barang Keluar'!$C:$C,N30828))</f>
        <v>0</v>
      </c>
    </row>
    <row r="30829" spans="13:16">
      <c r="M30829" s="49">
        <f>IF($A$4+308&gt;$B$4,"",$A$4+308)</f>
        <v>46331</v>
      </c>
      <c r="N30829" t="str">
        <f>IF(M30829="","",'Master Barang'!A23)</f>
        <v>PRL-022</v>
      </c>
      <c r="O30829" t="str">
        <f>IF(N30829="","",'Master Barang'!B23)</f>
        <v>sabun cuci tangan</v>
      </c>
      <c r="P30829">
        <f>IF(OR(M30829="",N30829=""),"",SUMIFS('Barang Keluar'!$E:$E,'Barang Keluar'!$A:$A,M30829,'Barang Keluar'!$C:$C,N30829))</f>
        <v>0</v>
      </c>
    </row>
    <row r="30830" spans="13:16">
      <c r="M30830" s="49">
        <f>IF($A$4+308&gt;$B$4,"",$A$4+308)</f>
        <v>46331</v>
      </c>
      <c r="N30830" t="str">
        <f>IF(M30830="","",'Master Barang'!A24)</f>
        <v>PRL-023</v>
      </c>
      <c r="O30830" t="str">
        <f>IF(N30830="","",'Master Barang'!B24)</f>
        <v>gayung kecil</v>
      </c>
      <c r="P30830">
        <f>IF(OR(M30830="",N30830=""),"",SUMIFS('Barang Keluar'!$E:$E,'Barang Keluar'!$A:$A,M30830,'Barang Keluar'!$C:$C,N30830))</f>
        <v>0</v>
      </c>
    </row>
    <row r="30831" spans="13:16">
      <c r="M30831" s="49">
        <f>IF($A$4+308&gt;$B$4,"",$A$4+308)</f>
        <v>46331</v>
      </c>
      <c r="N30831" t="str">
        <f>IF(M30831="","",'Master Barang'!A25)</f>
        <v>PRL-024</v>
      </c>
      <c r="O30831" t="str">
        <f>IF(N30831="","",'Master Barang'!B25)</f>
        <v>cikrak kecil</v>
      </c>
      <c r="P30831">
        <f>IF(OR(M30831="",N30831=""),"",SUMIFS('Barang Keluar'!$E:$E,'Barang Keluar'!$A:$A,M30831,'Barang Keluar'!$C:$C,N30831))</f>
        <v>0</v>
      </c>
    </row>
    <row r="30832" spans="13:16">
      <c r="M30832" s="49">
        <f>IF($A$4+308&gt;$B$4,"",$A$4+308)</f>
        <v>46331</v>
      </c>
      <c r="N30832" t="str">
        <f>IF(M30832="","",'Master Barang'!A26)</f>
        <v>PRL-025</v>
      </c>
      <c r="O30832" t="str">
        <f>IF(N30832="","",'Master Barang'!B26)</f>
        <v>petromax plastik kecil 12x24 100 lembar</v>
      </c>
      <c r="P30832">
        <f>IF(OR(M30832="",N30832=""),"",SUMIFS('Barang Keluar'!$E:$E,'Barang Keluar'!$A:$A,M30832,'Barang Keluar'!$C:$C,N30832))</f>
        <v>0</v>
      </c>
    </row>
    <row r="30833" spans="13:16">
      <c r="M30833" s="49">
        <f>IF($A$4+308&gt;$B$4,"",$A$4+308)</f>
        <v>46331</v>
      </c>
      <c r="N30833" t="str">
        <f>IF(M30833="","",'Master Barang'!A27)</f>
        <v>PRL-026</v>
      </c>
      <c r="O30833" t="str">
        <f>IF(N30833="","",'Master Barang'!B27)</f>
        <v>lancar kresek kecil bening </v>
      </c>
      <c r="P30833">
        <f>IF(OR(M30833="",N30833=""),"",SUMIFS('Barang Keluar'!$E:$E,'Barang Keluar'!$A:$A,M30833,'Barang Keluar'!$C:$C,N30833))</f>
        <v>0</v>
      </c>
    </row>
    <row r="30834" spans="13:16">
      <c r="M30834" s="49">
        <f>IF($A$4+308&gt;$B$4,"",$A$4+308)</f>
        <v>46331</v>
      </c>
      <c r="N30834" t="str">
        <f>IF(M30834="","",'Master Barang'!A28)</f>
        <v>PRL-027</v>
      </c>
      <c r="O30834" t="str">
        <f>IF(N30834="","",'Master Barang'!B28)</f>
        <v>kresek klin warna warni kecil</v>
      </c>
      <c r="P30834">
        <f>IF(OR(M30834="",N30834=""),"",SUMIFS('Barang Keluar'!$E:$E,'Barang Keluar'!$A:$A,M30834,'Barang Keluar'!$C:$C,N30834))</f>
        <v>0</v>
      </c>
    </row>
    <row r="30835" spans="13:16">
      <c r="M30835" s="49">
        <f>IF($A$4+308&gt;$B$4,"",$A$4+308)</f>
        <v>46331</v>
      </c>
      <c r="N30835" t="str">
        <f>IF(M30835="","",'Master Barang'!A29)</f>
        <v>PRL-028</v>
      </c>
      <c r="O30835" t="str">
        <f>IF(N30835="","",'Master Barang'!B29)</f>
        <v>ctik plastik 7x10 100 pcs</v>
      </c>
      <c r="P30835">
        <f>IF(OR(M30835="",N30835=""),"",SUMIFS('Barang Keluar'!$E:$E,'Barang Keluar'!$A:$A,M30835,'Barang Keluar'!$C:$C,N30835))</f>
        <v>0</v>
      </c>
    </row>
    <row r="30836" spans="13:16">
      <c r="M30836" s="49">
        <f>IF($A$4+308&gt;$B$4,"",$A$4+308)</f>
        <v>46331</v>
      </c>
      <c r="N30836" t="str">
        <f>IF(M30836="","",'Master Barang'!A30)</f>
        <v>PRL-029</v>
      </c>
      <c r="O30836" t="str">
        <f>IF(N30836="","",'Master Barang'!B30)</f>
        <v>ctik plastik 6x10 100 pcs</v>
      </c>
      <c r="P30836">
        <f>IF(OR(M30836="",N30836=""),"",SUMIFS('Barang Keluar'!$E:$E,'Barang Keluar'!$A:$A,M30836,'Barang Keluar'!$C:$C,N30836))</f>
        <v>0</v>
      </c>
    </row>
    <row r="30837" spans="13:16">
      <c r="M30837" s="49">
        <f>IF($A$4+308&gt;$B$4,"",$A$4+308)</f>
        <v>46331</v>
      </c>
      <c r="N30837" t="str">
        <f>IF(M30837="","",'Master Barang'!A31)</f>
        <v>PRL-030</v>
      </c>
      <c r="O30837" t="str">
        <f>IF(N30837="","",'Master Barang'!B31)</f>
        <v>klip plastik 25x16 100 pcs</v>
      </c>
      <c r="P30837">
        <f>IF(OR(M30837="",N30837=""),"",SUMIFS('Barang Keluar'!$E:$E,'Barang Keluar'!$A:$A,M30837,'Barang Keluar'!$C:$C,N30837))</f>
        <v>0</v>
      </c>
    </row>
    <row r="30838" spans="13:16">
      <c r="M30838" s="49">
        <f>IF($A$4+308&gt;$B$4,"",$A$4+308)</f>
        <v>46331</v>
      </c>
      <c r="N30838" t="str">
        <f>IF(M30838="","",'Master Barang'!A32)</f>
        <v>PRL-031</v>
      </c>
      <c r="O30838" t="str">
        <f>IF(N30838="","",'Master Barang'!B32)</f>
        <v>tempat saus 20 ml</v>
      </c>
      <c r="P30838">
        <f>IF(OR(M30838="",N30838=""),"",SUMIFS('Barang Keluar'!$E:$E,'Barang Keluar'!$A:$A,M30838,'Barang Keluar'!$C:$C,N30838))</f>
        <v>0</v>
      </c>
    </row>
    <row r="30839" spans="13:16">
      <c r="M30839" s="49">
        <f>IF($A$4+308&gt;$B$4,"",$A$4+308)</f>
        <v>46331</v>
      </c>
      <c r="N30839" t="str">
        <f>IF(M30839="","",'Master Barang'!A33)</f>
        <v>PRL-032</v>
      </c>
      <c r="O30839" t="str">
        <f>IF(N30839="","",'Master Barang'!B33)</f>
        <v>plastik packaging ag box uk sedang</v>
      </c>
      <c r="P30839">
        <f>IF(OR(M30839="",N30839=""),"",SUMIFS('Barang Keluar'!$E:$E,'Barang Keluar'!$A:$A,M30839,'Barang Keluar'!$C:$C,N30839))</f>
        <v>0</v>
      </c>
    </row>
    <row r="30840" spans="13:16">
      <c r="M30840" s="49">
        <f>IF($A$4+308&gt;$B$4,"",$A$4+308)</f>
        <v>46331</v>
      </c>
      <c r="N30840" t="str">
        <f>IF(M30840="","",'Master Barang'!A34)</f>
        <v>PRL-033</v>
      </c>
      <c r="O30840">
        <f>IF(N30840="","",'Master Barang'!B34)</f>
        <v>0</v>
      </c>
      <c r="P30840">
        <f>IF(OR(M30840="",N30840=""),"",SUMIFS('Barang Keluar'!$E:$E,'Barang Keluar'!$A:$A,M30840,'Barang Keluar'!$C:$C,N30840))</f>
        <v>0</v>
      </c>
    </row>
    <row r="30841" spans="13:16">
      <c r="M30841" s="49">
        <f>IF($A$4+308&gt;$B$4,"",$A$4+308)</f>
        <v>46331</v>
      </c>
      <c r="N30841">
        <f>IF(M30841="","",'Master Barang'!A35)</f>
        <v>0</v>
      </c>
      <c r="O30841">
        <f>IF(N30841="","",'Master Barang'!B35)</f>
        <v>0</v>
      </c>
      <c r="P30841">
        <f>IF(OR(M30841="",N30841=""),"",SUMIFS('Barang Keluar'!$E:$E,'Barang Keluar'!$A:$A,M30841,'Barang Keluar'!$C:$C,N30841))</f>
        <v>0</v>
      </c>
    </row>
    <row r="30842" spans="13:16">
      <c r="M30842" s="49">
        <f>IF($A$4+308&gt;$B$4,"",$A$4+308)</f>
        <v>46331</v>
      </c>
      <c r="N30842">
        <f>IF(M30842="","",'Master Barang'!A36)</f>
        <v>0</v>
      </c>
      <c r="O30842">
        <f>IF(N30842="","",'Master Barang'!B36)</f>
        <v>0</v>
      </c>
      <c r="P30842">
        <f>IF(OR(M30842="",N30842=""),"",SUMIFS('Barang Keluar'!$E:$E,'Barang Keluar'!$A:$A,M30842,'Barang Keluar'!$C:$C,N30842))</f>
        <v>0</v>
      </c>
    </row>
    <row r="30843" spans="13:16">
      <c r="M30843" s="49">
        <f>IF($A$4+308&gt;$B$4,"",$A$4+308)</f>
        <v>46331</v>
      </c>
      <c r="N30843">
        <f>IF(M30843="","",'Master Barang'!A37)</f>
        <v>0</v>
      </c>
      <c r="O30843">
        <f>IF(N30843="","",'Master Barang'!B37)</f>
        <v>0</v>
      </c>
      <c r="P30843">
        <f>IF(OR(M30843="",N30843=""),"",SUMIFS('Barang Keluar'!$E:$E,'Barang Keluar'!$A:$A,M30843,'Barang Keluar'!$C:$C,N30843))</f>
        <v>0</v>
      </c>
    </row>
    <row r="30844" spans="13:16">
      <c r="M30844" s="49">
        <f>IF($A$4+308&gt;$B$4,"",$A$4+308)</f>
        <v>46331</v>
      </c>
      <c r="N30844">
        <f>IF(M30844="","",'Master Barang'!A38)</f>
        <v>0</v>
      </c>
      <c r="O30844">
        <f>IF(N30844="","",'Master Barang'!B38)</f>
        <v>0</v>
      </c>
      <c r="P30844">
        <f>IF(OR(M30844="",N30844=""),"",SUMIFS('Barang Keluar'!$E:$E,'Barang Keluar'!$A:$A,M30844,'Barang Keluar'!$C:$C,N30844))</f>
        <v>0</v>
      </c>
    </row>
    <row r="30845" spans="13:16">
      <c r="M30845" s="49">
        <f>IF($A$4+308&gt;$B$4,"",$A$4+308)</f>
        <v>46331</v>
      </c>
      <c r="N30845">
        <f>IF(M30845="","",'Master Barang'!A39)</f>
        <v>0</v>
      </c>
      <c r="O30845">
        <f>IF(N30845="","",'Master Barang'!B39)</f>
        <v>0</v>
      </c>
      <c r="P30845">
        <f>IF(OR(M30845="",N30845=""),"",SUMIFS('Barang Keluar'!$E:$E,'Barang Keluar'!$A:$A,M30845,'Barang Keluar'!$C:$C,N30845))</f>
        <v>0</v>
      </c>
    </row>
    <row r="30846" spans="13:16">
      <c r="M30846" s="49">
        <f>IF($A$4+308&gt;$B$4,"",$A$4+308)</f>
        <v>46331</v>
      </c>
      <c r="N30846">
        <f>IF(M30846="","",'Master Barang'!A40)</f>
        <v>0</v>
      </c>
      <c r="O30846">
        <f>IF(N30846="","",'Master Barang'!B40)</f>
        <v>0</v>
      </c>
      <c r="P30846">
        <f>IF(OR(M30846="",N30846=""),"",SUMIFS('Barang Keluar'!$E:$E,'Barang Keluar'!$A:$A,M30846,'Barang Keluar'!$C:$C,N30846))</f>
        <v>0</v>
      </c>
    </row>
    <row r="30847" spans="13:16">
      <c r="M30847" s="49">
        <f>IF($A$4+308&gt;$B$4,"",$A$4+308)</f>
        <v>46331</v>
      </c>
      <c r="N30847">
        <f>IF(M30847="","",'Master Barang'!A41)</f>
        <v>0</v>
      </c>
      <c r="O30847">
        <f>IF(N30847="","",'Master Barang'!B41)</f>
        <v>0</v>
      </c>
      <c r="P30847">
        <f>IF(OR(M30847="",N30847=""),"",SUMIFS('Barang Keluar'!$E:$E,'Barang Keluar'!$A:$A,M30847,'Barang Keluar'!$C:$C,N30847))</f>
        <v>0</v>
      </c>
    </row>
    <row r="30848" spans="13:16">
      <c r="M30848" s="49">
        <f>IF($A$4+308&gt;$B$4,"",$A$4+308)</f>
        <v>46331</v>
      </c>
      <c r="N30848">
        <f>IF(M30848="","",'Master Barang'!A42)</f>
        <v>0</v>
      </c>
      <c r="O30848">
        <f>IF(N30848="","",'Master Barang'!B42)</f>
        <v>0</v>
      </c>
      <c r="P30848">
        <f>IF(OR(M30848="",N30848=""),"",SUMIFS('Barang Keluar'!$E:$E,'Barang Keluar'!$A:$A,M30848,'Barang Keluar'!$C:$C,N30848))</f>
        <v>0</v>
      </c>
    </row>
    <row r="30849" spans="13:16">
      <c r="M30849" s="49">
        <f>IF($A$4+308&gt;$B$4,"",$A$4+308)</f>
        <v>46331</v>
      </c>
      <c r="N30849">
        <f>IF(M30849="","",'Master Barang'!A43)</f>
        <v>0</v>
      </c>
      <c r="O30849">
        <f>IF(N30849="","",'Master Barang'!B43)</f>
        <v>0</v>
      </c>
      <c r="P30849">
        <f>IF(OR(M30849="",N30849=""),"",SUMIFS('Barang Keluar'!$E:$E,'Barang Keluar'!$A:$A,M30849,'Barang Keluar'!$C:$C,N30849))</f>
        <v>0</v>
      </c>
    </row>
    <row r="30850" spans="13:16">
      <c r="M30850" s="49">
        <f>IF($A$4+308&gt;$B$4,"",$A$4+308)</f>
        <v>46331</v>
      </c>
      <c r="N30850">
        <f>IF(M30850="","",'Master Barang'!A44)</f>
        <v>0</v>
      </c>
      <c r="O30850">
        <f>IF(N30850="","",'Master Barang'!B44)</f>
        <v>0</v>
      </c>
      <c r="P30850">
        <f>IF(OR(M30850="",N30850=""),"",SUMIFS('Barang Keluar'!$E:$E,'Barang Keluar'!$A:$A,M30850,'Barang Keluar'!$C:$C,N30850))</f>
        <v>0</v>
      </c>
    </row>
    <row r="30851" spans="13:16">
      <c r="M30851" s="49">
        <f>IF($A$4+308&gt;$B$4,"",$A$4+308)</f>
        <v>46331</v>
      </c>
      <c r="N30851">
        <f>IF(M30851="","",'Master Barang'!A45)</f>
        <v>0</v>
      </c>
      <c r="O30851">
        <f>IF(N30851="","",'Master Barang'!B45)</f>
        <v>0</v>
      </c>
      <c r="P30851">
        <f>IF(OR(M30851="",N30851=""),"",SUMIFS('Barang Keluar'!$E:$E,'Barang Keluar'!$A:$A,M30851,'Barang Keluar'!$C:$C,N30851))</f>
        <v>0</v>
      </c>
    </row>
    <row r="30852" spans="13:16">
      <c r="M30852" s="49">
        <f>IF($A$4+308&gt;$B$4,"",$A$4+308)</f>
        <v>46331</v>
      </c>
      <c r="N30852">
        <f>IF(M30852="","",'Master Barang'!A46)</f>
        <v>0</v>
      </c>
      <c r="O30852">
        <f>IF(N30852="","",'Master Barang'!B46)</f>
        <v>0</v>
      </c>
      <c r="P30852">
        <f>IF(OR(M30852="",N30852=""),"",SUMIFS('Barang Keluar'!$E:$E,'Barang Keluar'!$A:$A,M30852,'Barang Keluar'!$C:$C,N30852))</f>
        <v>0</v>
      </c>
    </row>
    <row r="30853" spans="13:16">
      <c r="M30853" s="49">
        <f>IF($A$4+308&gt;$B$4,"",$A$4+308)</f>
        <v>46331</v>
      </c>
      <c r="N30853">
        <f>IF(M30853="","",'Master Barang'!A47)</f>
        <v>0</v>
      </c>
      <c r="O30853">
        <f>IF(N30853="","",'Master Barang'!B47)</f>
        <v>0</v>
      </c>
      <c r="P30853">
        <f>IF(OR(M30853="",N30853=""),"",SUMIFS('Barang Keluar'!$E:$E,'Barang Keluar'!$A:$A,M30853,'Barang Keluar'!$C:$C,N30853))</f>
        <v>0</v>
      </c>
    </row>
    <row r="30854" spans="13:16">
      <c r="M30854" s="49">
        <f>IF($A$4+308&gt;$B$4,"",$A$4+308)</f>
        <v>46331</v>
      </c>
      <c r="N30854">
        <f>IF(M30854="","",'Master Barang'!A48)</f>
        <v>0</v>
      </c>
      <c r="O30854">
        <f>IF(N30854="","",'Master Barang'!B48)</f>
        <v>0</v>
      </c>
      <c r="P30854">
        <f>IF(OR(M30854="",N30854=""),"",SUMIFS('Barang Keluar'!$E:$E,'Barang Keluar'!$A:$A,M30854,'Barang Keluar'!$C:$C,N30854))</f>
        <v>0</v>
      </c>
    </row>
    <row r="30855" spans="13:16">
      <c r="M30855" s="49">
        <f>IF($A$4+308&gt;$B$4,"",$A$4+308)</f>
        <v>46331</v>
      </c>
      <c r="N30855">
        <f>IF(M30855="","",'Master Barang'!A49)</f>
        <v>0</v>
      </c>
      <c r="O30855">
        <f>IF(N30855="","",'Master Barang'!B49)</f>
        <v>0</v>
      </c>
      <c r="P30855">
        <f>IF(OR(M30855="",N30855=""),"",SUMIFS('Barang Keluar'!$E:$E,'Barang Keluar'!$A:$A,M30855,'Barang Keluar'!$C:$C,N30855))</f>
        <v>0</v>
      </c>
    </row>
    <row r="30856" spans="13:16">
      <c r="M30856" s="49">
        <f>IF($A$4+308&gt;$B$4,"",$A$4+308)</f>
        <v>46331</v>
      </c>
      <c r="N30856">
        <f>IF(M30856="","",'Master Barang'!A50)</f>
        <v>0</v>
      </c>
      <c r="O30856">
        <f>IF(N30856="","",'Master Barang'!B50)</f>
        <v>0</v>
      </c>
      <c r="P30856">
        <f>IF(OR(M30856="",N30856=""),"",SUMIFS('Barang Keluar'!$E:$E,'Barang Keluar'!$A:$A,M30856,'Barang Keluar'!$C:$C,N30856))</f>
        <v>0</v>
      </c>
    </row>
    <row r="30857" spans="13:16">
      <c r="M30857" s="49">
        <f>IF($A$4+308&gt;$B$4,"",$A$4+308)</f>
        <v>46331</v>
      </c>
      <c r="N30857">
        <f>IF(M30857="","",'Master Barang'!A51)</f>
        <v>0</v>
      </c>
      <c r="O30857">
        <f>IF(N30857="","",'Master Barang'!B51)</f>
        <v>0</v>
      </c>
      <c r="P30857">
        <f>IF(OR(M30857="",N30857=""),"",SUMIFS('Barang Keluar'!$E:$E,'Barang Keluar'!$A:$A,M30857,'Barang Keluar'!$C:$C,N30857))</f>
        <v>0</v>
      </c>
    </row>
    <row r="30858" spans="13:16">
      <c r="M30858" s="49">
        <f>IF($A$4+308&gt;$B$4,"",$A$4+308)</f>
        <v>46331</v>
      </c>
      <c r="N30858">
        <f>IF(M30858="","",'Master Barang'!A52)</f>
        <v>0</v>
      </c>
      <c r="O30858">
        <f>IF(N30858="","",'Master Barang'!B52)</f>
        <v>0</v>
      </c>
      <c r="P30858">
        <f>IF(OR(M30858="",N30858=""),"",SUMIFS('Barang Keluar'!$E:$E,'Barang Keluar'!$A:$A,M30858,'Barang Keluar'!$C:$C,N30858))</f>
        <v>0</v>
      </c>
    </row>
    <row r="30859" spans="13:16">
      <c r="M30859" s="49">
        <f>IF($A$4+308&gt;$B$4,"",$A$4+308)</f>
        <v>46331</v>
      </c>
      <c r="N30859">
        <f>IF(M30859="","",'Master Barang'!A53)</f>
        <v>0</v>
      </c>
      <c r="O30859">
        <f>IF(N30859="","",'Master Barang'!B53)</f>
        <v>0</v>
      </c>
      <c r="P30859">
        <f>IF(OR(M30859="",N30859=""),"",SUMIFS('Barang Keluar'!$E:$E,'Barang Keluar'!$A:$A,M30859,'Barang Keluar'!$C:$C,N30859))</f>
        <v>0</v>
      </c>
    </row>
    <row r="30860" spans="13:16">
      <c r="M30860" s="49">
        <f>IF($A$4+308&gt;$B$4,"",$A$4+308)</f>
        <v>46331</v>
      </c>
      <c r="N30860">
        <f>IF(M30860="","",'Master Barang'!A54)</f>
        <v>0</v>
      </c>
      <c r="O30860">
        <f>IF(N30860="","",'Master Barang'!B54)</f>
        <v>0</v>
      </c>
      <c r="P30860">
        <f>IF(OR(M30860="",N30860=""),"",SUMIFS('Barang Keluar'!$E:$E,'Barang Keluar'!$A:$A,M30860,'Barang Keluar'!$C:$C,N30860))</f>
        <v>0</v>
      </c>
    </row>
    <row r="30861" spans="13:16">
      <c r="M30861" s="49">
        <f>IF($A$4+308&gt;$B$4,"",$A$4+308)</f>
        <v>46331</v>
      </c>
      <c r="N30861">
        <f>IF(M30861="","",'Master Barang'!A55)</f>
        <v>0</v>
      </c>
      <c r="O30861">
        <f>IF(N30861="","",'Master Barang'!B55)</f>
        <v>0</v>
      </c>
      <c r="P30861">
        <f>IF(OR(M30861="",N30861=""),"",SUMIFS('Barang Keluar'!$E:$E,'Barang Keluar'!$A:$A,M30861,'Barang Keluar'!$C:$C,N30861))</f>
        <v>0</v>
      </c>
    </row>
    <row r="30862" spans="13:16">
      <c r="M30862" s="49">
        <f>IF($A$4+308&gt;$B$4,"",$A$4+308)</f>
        <v>46331</v>
      </c>
      <c r="N30862">
        <f>IF(M30862="","",'Master Barang'!A56)</f>
        <v>0</v>
      </c>
      <c r="O30862">
        <f>IF(N30862="","",'Master Barang'!B56)</f>
        <v>0</v>
      </c>
      <c r="P30862">
        <f>IF(OR(M30862="",N30862=""),"",SUMIFS('Barang Keluar'!$E:$E,'Barang Keluar'!$A:$A,M30862,'Barang Keluar'!$C:$C,N30862))</f>
        <v>0</v>
      </c>
    </row>
    <row r="30863" spans="13:16">
      <c r="M30863" s="49">
        <f>IF($A$4+308&gt;$B$4,"",$A$4+308)</f>
        <v>46331</v>
      </c>
      <c r="N30863">
        <f>IF(M30863="","",'Master Barang'!A57)</f>
        <v>0</v>
      </c>
      <c r="O30863">
        <f>IF(N30863="","",'Master Barang'!B57)</f>
        <v>0</v>
      </c>
      <c r="P30863">
        <f>IF(OR(M30863="",N30863=""),"",SUMIFS('Barang Keluar'!$E:$E,'Barang Keluar'!$A:$A,M30863,'Barang Keluar'!$C:$C,N30863))</f>
        <v>0</v>
      </c>
    </row>
    <row r="30864" spans="13:16">
      <c r="M30864" s="49">
        <f>IF($A$4+308&gt;$B$4,"",$A$4+308)</f>
        <v>46331</v>
      </c>
      <c r="N30864">
        <f>IF(M30864="","",'Master Barang'!A58)</f>
        <v>0</v>
      </c>
      <c r="O30864">
        <f>IF(N30864="","",'Master Barang'!B58)</f>
        <v>0</v>
      </c>
      <c r="P30864">
        <f>IF(OR(M30864="",N30864=""),"",SUMIFS('Barang Keluar'!$E:$E,'Barang Keluar'!$A:$A,M30864,'Barang Keluar'!$C:$C,N30864))</f>
        <v>0</v>
      </c>
    </row>
    <row r="30865" spans="13:16">
      <c r="M30865" s="49">
        <f>IF($A$4+308&gt;$B$4,"",$A$4+308)</f>
        <v>46331</v>
      </c>
      <c r="N30865">
        <f>IF(M30865="","",'Master Barang'!A59)</f>
        <v>0</v>
      </c>
      <c r="O30865">
        <f>IF(N30865="","",'Master Barang'!B59)</f>
        <v>0</v>
      </c>
      <c r="P30865">
        <f>IF(OR(M30865="",N30865=""),"",SUMIFS('Barang Keluar'!$E:$E,'Barang Keluar'!$A:$A,M30865,'Barang Keluar'!$C:$C,N30865))</f>
        <v>0</v>
      </c>
    </row>
    <row r="30866" spans="13:16">
      <c r="M30866" s="49">
        <f>IF($A$4+308&gt;$B$4,"",$A$4+308)</f>
        <v>46331</v>
      </c>
      <c r="N30866">
        <f>IF(M30866="","",'Master Barang'!A60)</f>
        <v>0</v>
      </c>
      <c r="O30866">
        <f>IF(N30866="","",'Master Barang'!B60)</f>
        <v>0</v>
      </c>
      <c r="P30866">
        <f>IF(OR(M30866="",N30866=""),"",SUMIFS('Barang Keluar'!$E:$E,'Barang Keluar'!$A:$A,M30866,'Barang Keluar'!$C:$C,N30866))</f>
        <v>0</v>
      </c>
    </row>
    <row r="30867" spans="13:16">
      <c r="M30867" s="49">
        <f>IF($A$4+308&gt;$B$4,"",$A$4+308)</f>
        <v>46331</v>
      </c>
      <c r="N30867">
        <f>IF(M30867="","",'Master Barang'!A61)</f>
        <v>0</v>
      </c>
      <c r="O30867">
        <f>IF(N30867="","",'Master Barang'!B61)</f>
        <v>0</v>
      </c>
      <c r="P30867">
        <f>IF(OR(M30867="",N30867=""),"",SUMIFS('Barang Keluar'!$E:$E,'Barang Keluar'!$A:$A,M30867,'Barang Keluar'!$C:$C,N30867))</f>
        <v>0</v>
      </c>
    </row>
    <row r="30868" spans="13:16">
      <c r="M30868" s="49">
        <f>IF($A$4+308&gt;$B$4,"",$A$4+308)</f>
        <v>46331</v>
      </c>
      <c r="N30868">
        <f>IF(M30868="","",'Master Barang'!A62)</f>
        <v>0</v>
      </c>
      <c r="O30868">
        <f>IF(N30868="","",'Master Barang'!B62)</f>
        <v>0</v>
      </c>
      <c r="P30868">
        <f>IF(OR(M30868="",N30868=""),"",SUMIFS('Barang Keluar'!$E:$E,'Barang Keluar'!$A:$A,M30868,'Barang Keluar'!$C:$C,N30868))</f>
        <v>0</v>
      </c>
    </row>
    <row r="30869" spans="13:16">
      <c r="M30869" s="49">
        <f>IF($A$4+308&gt;$B$4,"",$A$4+308)</f>
        <v>46331</v>
      </c>
      <c r="N30869">
        <f>IF(M30869="","",'Master Barang'!A63)</f>
        <v>0</v>
      </c>
      <c r="O30869">
        <f>IF(N30869="","",'Master Barang'!B63)</f>
        <v>0</v>
      </c>
      <c r="P30869">
        <f>IF(OR(M30869="",N30869=""),"",SUMIFS('Barang Keluar'!$E:$E,'Barang Keluar'!$A:$A,M30869,'Barang Keluar'!$C:$C,N30869))</f>
        <v>0</v>
      </c>
    </row>
    <row r="30870" spans="13:16">
      <c r="M30870" s="49">
        <f>IF($A$4+308&gt;$B$4,"",$A$4+308)</f>
        <v>46331</v>
      </c>
      <c r="N30870">
        <f>IF(M30870="","",'Master Barang'!A64)</f>
        <v>0</v>
      </c>
      <c r="O30870">
        <f>IF(N30870="","",'Master Barang'!B64)</f>
        <v>0</v>
      </c>
      <c r="P30870">
        <f>IF(OR(M30870="",N30870=""),"",SUMIFS('Barang Keluar'!$E:$E,'Barang Keluar'!$A:$A,M30870,'Barang Keluar'!$C:$C,N30870))</f>
        <v>0</v>
      </c>
    </row>
    <row r="30871" spans="13:16">
      <c r="M30871" s="49">
        <f>IF($A$4+308&gt;$B$4,"",$A$4+308)</f>
        <v>46331</v>
      </c>
      <c r="N30871">
        <f>IF(M30871="","",'Master Barang'!A65)</f>
        <v>0</v>
      </c>
      <c r="O30871">
        <f>IF(N30871="","",'Master Barang'!B65)</f>
        <v>0</v>
      </c>
      <c r="P30871">
        <f>IF(OR(M30871="",N30871=""),"",SUMIFS('Barang Keluar'!$E:$E,'Barang Keluar'!$A:$A,M30871,'Barang Keluar'!$C:$C,N30871))</f>
        <v>0</v>
      </c>
    </row>
    <row r="30872" spans="13:16">
      <c r="M30872" s="49">
        <f>IF($A$4+308&gt;$B$4,"",$A$4+308)</f>
        <v>46331</v>
      </c>
      <c r="N30872">
        <f>IF(M30872="","",'Master Barang'!A66)</f>
        <v>0</v>
      </c>
      <c r="O30872">
        <f>IF(N30872="","",'Master Barang'!B66)</f>
        <v>0</v>
      </c>
      <c r="P30872">
        <f>IF(OR(M30872="",N30872=""),"",SUMIFS('Barang Keluar'!$E:$E,'Barang Keluar'!$A:$A,M30872,'Barang Keluar'!$C:$C,N30872))</f>
        <v>0</v>
      </c>
    </row>
    <row r="30873" spans="13:16">
      <c r="M30873" s="49">
        <f>IF($A$4+308&gt;$B$4,"",$A$4+308)</f>
        <v>46331</v>
      </c>
      <c r="N30873">
        <f>IF(M30873="","",'Master Barang'!A67)</f>
        <v>0</v>
      </c>
      <c r="O30873">
        <f>IF(N30873="","",'Master Barang'!B67)</f>
        <v>0</v>
      </c>
      <c r="P30873">
        <f>IF(OR(M30873="",N30873=""),"",SUMIFS('Barang Keluar'!$E:$E,'Barang Keluar'!$A:$A,M30873,'Barang Keluar'!$C:$C,N30873))</f>
        <v>0</v>
      </c>
    </row>
    <row r="30874" spans="13:16">
      <c r="M30874" s="49">
        <f>IF($A$4+308&gt;$B$4,"",$A$4+308)</f>
        <v>46331</v>
      </c>
      <c r="N30874">
        <f>IF(M30874="","",'Master Barang'!A68)</f>
        <v>0</v>
      </c>
      <c r="O30874">
        <f>IF(N30874="","",'Master Barang'!B68)</f>
        <v>0</v>
      </c>
      <c r="P30874">
        <f>IF(OR(M30874="",N30874=""),"",SUMIFS('Barang Keluar'!$E:$E,'Barang Keluar'!$A:$A,M30874,'Barang Keluar'!$C:$C,N30874))</f>
        <v>0</v>
      </c>
    </row>
    <row r="30875" spans="13:16">
      <c r="M30875" s="49">
        <f>IF($A$4+308&gt;$B$4,"",$A$4+308)</f>
        <v>46331</v>
      </c>
      <c r="N30875">
        <f>IF(M30875="","",'Master Barang'!A69)</f>
        <v>0</v>
      </c>
      <c r="O30875">
        <f>IF(N30875="","",'Master Barang'!B69)</f>
        <v>0</v>
      </c>
      <c r="P30875">
        <f>IF(OR(M30875="",N30875=""),"",SUMIFS('Barang Keluar'!$E:$E,'Barang Keluar'!$A:$A,M30875,'Barang Keluar'!$C:$C,N30875))</f>
        <v>0</v>
      </c>
    </row>
    <row r="30876" spans="13:16">
      <c r="M30876" s="49">
        <f>IF($A$4+308&gt;$B$4,"",$A$4+308)</f>
        <v>46331</v>
      </c>
      <c r="N30876">
        <f>IF(M30876="","",'Master Barang'!A70)</f>
        <v>0</v>
      </c>
      <c r="O30876">
        <f>IF(N30876="","",'Master Barang'!B70)</f>
        <v>0</v>
      </c>
      <c r="P30876">
        <f>IF(OR(M30876="",N30876=""),"",SUMIFS('Barang Keluar'!$E:$E,'Barang Keluar'!$A:$A,M30876,'Barang Keluar'!$C:$C,N30876))</f>
        <v>0</v>
      </c>
    </row>
    <row r="30877" spans="13:16">
      <c r="M30877" s="49">
        <f>IF($A$4+308&gt;$B$4,"",$A$4+308)</f>
        <v>46331</v>
      </c>
      <c r="N30877">
        <f>IF(M30877="","",'Master Barang'!A71)</f>
        <v>0</v>
      </c>
      <c r="O30877">
        <f>IF(N30877="","",'Master Barang'!B71)</f>
        <v>0</v>
      </c>
      <c r="P30877">
        <f>IF(OR(M30877="",N30877=""),"",SUMIFS('Barang Keluar'!$E:$E,'Barang Keluar'!$A:$A,M30877,'Barang Keluar'!$C:$C,N30877))</f>
        <v>0</v>
      </c>
    </row>
    <row r="30878" spans="13:16">
      <c r="M30878" s="49">
        <f>IF($A$4+308&gt;$B$4,"",$A$4+308)</f>
        <v>46331</v>
      </c>
      <c r="N30878">
        <f>IF(M30878="","",'Master Barang'!A72)</f>
        <v>0</v>
      </c>
      <c r="O30878">
        <f>IF(N30878="","",'Master Barang'!B72)</f>
        <v>0</v>
      </c>
      <c r="P30878">
        <f>IF(OR(M30878="",N30878=""),"",SUMIFS('Barang Keluar'!$E:$E,'Barang Keluar'!$A:$A,M30878,'Barang Keluar'!$C:$C,N30878))</f>
        <v>0</v>
      </c>
    </row>
    <row r="30879" spans="13:16">
      <c r="M30879" s="49">
        <f>IF($A$4+308&gt;$B$4,"",$A$4+308)</f>
        <v>46331</v>
      </c>
      <c r="N30879">
        <f>IF(M30879="","",'Master Barang'!A73)</f>
        <v>0</v>
      </c>
      <c r="O30879">
        <f>IF(N30879="","",'Master Barang'!B73)</f>
        <v>0</v>
      </c>
      <c r="P30879">
        <f>IF(OR(M30879="",N30879=""),"",SUMIFS('Barang Keluar'!$E:$E,'Barang Keluar'!$A:$A,M30879,'Barang Keluar'!$C:$C,N30879))</f>
        <v>0</v>
      </c>
    </row>
    <row r="30880" spans="13:16">
      <c r="M30880" s="49">
        <f>IF($A$4+308&gt;$B$4,"",$A$4+308)</f>
        <v>46331</v>
      </c>
      <c r="N30880">
        <f>IF(M30880="","",'Master Barang'!A74)</f>
        <v>0</v>
      </c>
      <c r="O30880">
        <f>IF(N30880="","",'Master Barang'!B74)</f>
        <v>0</v>
      </c>
      <c r="P30880">
        <f>IF(OR(M30880="",N30880=""),"",SUMIFS('Barang Keluar'!$E:$E,'Barang Keluar'!$A:$A,M30880,'Barang Keluar'!$C:$C,N30880))</f>
        <v>0</v>
      </c>
    </row>
    <row r="30881" spans="13:16">
      <c r="M30881" s="49">
        <f>IF($A$4+308&gt;$B$4,"",$A$4+308)</f>
        <v>46331</v>
      </c>
      <c r="N30881">
        <f>IF(M30881="","",'Master Barang'!A75)</f>
        <v>0</v>
      </c>
      <c r="O30881">
        <f>IF(N30881="","",'Master Barang'!B75)</f>
        <v>0</v>
      </c>
      <c r="P30881">
        <f>IF(OR(M30881="",N30881=""),"",SUMIFS('Barang Keluar'!$E:$E,'Barang Keluar'!$A:$A,M30881,'Barang Keluar'!$C:$C,N30881))</f>
        <v>0</v>
      </c>
    </row>
    <row r="30882" spans="13:16">
      <c r="M30882" s="49">
        <f>IF($A$4+308&gt;$B$4,"",$A$4+308)</f>
        <v>46331</v>
      </c>
      <c r="N30882">
        <f>IF(M30882="","",'Master Barang'!A76)</f>
        <v>0</v>
      </c>
      <c r="O30882">
        <f>IF(N30882="","",'Master Barang'!B76)</f>
        <v>0</v>
      </c>
      <c r="P30882">
        <f>IF(OR(M30882="",N30882=""),"",SUMIFS('Barang Keluar'!$E:$E,'Barang Keluar'!$A:$A,M30882,'Barang Keluar'!$C:$C,N30882))</f>
        <v>0</v>
      </c>
    </row>
    <row r="30883" spans="13:16">
      <c r="M30883" s="49">
        <f>IF($A$4+308&gt;$B$4,"",$A$4+308)</f>
        <v>46331</v>
      </c>
      <c r="N30883">
        <f>IF(M30883="","",'Master Barang'!A77)</f>
        <v>0</v>
      </c>
      <c r="O30883">
        <f>IF(N30883="","",'Master Barang'!B77)</f>
        <v>0</v>
      </c>
      <c r="P30883">
        <f>IF(OR(M30883="",N30883=""),"",SUMIFS('Barang Keluar'!$E:$E,'Barang Keluar'!$A:$A,M30883,'Barang Keluar'!$C:$C,N30883))</f>
        <v>0</v>
      </c>
    </row>
    <row r="30884" spans="13:16">
      <c r="M30884" s="49">
        <f>IF($A$4+308&gt;$B$4,"",$A$4+308)</f>
        <v>46331</v>
      </c>
      <c r="N30884">
        <f>IF(M30884="","",'Master Barang'!A78)</f>
        <v>0</v>
      </c>
      <c r="O30884">
        <f>IF(N30884="","",'Master Barang'!B78)</f>
        <v>0</v>
      </c>
      <c r="P30884">
        <f>IF(OR(M30884="",N30884=""),"",SUMIFS('Barang Keluar'!$E:$E,'Barang Keluar'!$A:$A,M30884,'Barang Keluar'!$C:$C,N30884))</f>
        <v>0</v>
      </c>
    </row>
    <row r="30885" spans="13:16">
      <c r="M30885" s="49">
        <f>IF($A$4+308&gt;$B$4,"",$A$4+308)</f>
        <v>46331</v>
      </c>
      <c r="N30885">
        <f>IF(M30885="","",'Master Barang'!A79)</f>
        <v>0</v>
      </c>
      <c r="O30885">
        <f>IF(N30885="","",'Master Barang'!B79)</f>
        <v>0</v>
      </c>
      <c r="P30885">
        <f>IF(OR(M30885="",N30885=""),"",SUMIFS('Barang Keluar'!$E:$E,'Barang Keluar'!$A:$A,M30885,'Barang Keluar'!$C:$C,N30885))</f>
        <v>0</v>
      </c>
    </row>
    <row r="30886" spans="13:16">
      <c r="M30886" s="49">
        <f>IF($A$4+308&gt;$B$4,"",$A$4+308)</f>
        <v>46331</v>
      </c>
      <c r="N30886">
        <f>IF(M30886="","",'Master Barang'!A80)</f>
        <v>0</v>
      </c>
      <c r="O30886">
        <f>IF(N30886="","",'Master Barang'!B80)</f>
        <v>0</v>
      </c>
      <c r="P30886">
        <f>IF(OR(M30886="",N30886=""),"",SUMIFS('Barang Keluar'!$E:$E,'Barang Keluar'!$A:$A,M30886,'Barang Keluar'!$C:$C,N30886))</f>
        <v>0</v>
      </c>
    </row>
    <row r="30887" spans="13:16">
      <c r="M30887" s="49">
        <f>IF($A$4+308&gt;$B$4,"",$A$4+308)</f>
        <v>46331</v>
      </c>
      <c r="N30887">
        <f>IF(M30887="","",'Master Barang'!A81)</f>
        <v>0</v>
      </c>
      <c r="O30887">
        <f>IF(N30887="","",'Master Barang'!B81)</f>
        <v>0</v>
      </c>
      <c r="P30887">
        <f>IF(OR(M30887="",N30887=""),"",SUMIFS('Barang Keluar'!$E:$E,'Barang Keluar'!$A:$A,M30887,'Barang Keluar'!$C:$C,N30887))</f>
        <v>0</v>
      </c>
    </row>
    <row r="30888" spans="13:16">
      <c r="M30888" s="49">
        <f>IF($A$4+308&gt;$B$4,"",$A$4+308)</f>
        <v>46331</v>
      </c>
      <c r="N30888">
        <f>IF(M30888="","",'Master Barang'!A82)</f>
        <v>0</v>
      </c>
      <c r="O30888">
        <f>IF(N30888="","",'Master Barang'!B82)</f>
        <v>0</v>
      </c>
      <c r="P30888">
        <f>IF(OR(M30888="",N30888=""),"",SUMIFS('Barang Keluar'!$E:$E,'Barang Keluar'!$A:$A,M30888,'Barang Keluar'!$C:$C,N30888))</f>
        <v>0</v>
      </c>
    </row>
    <row r="30889" spans="13:16">
      <c r="M30889" s="49">
        <f>IF($A$4+308&gt;$B$4,"",$A$4+308)</f>
        <v>46331</v>
      </c>
      <c r="N30889">
        <f>IF(M30889="","",'Master Barang'!A83)</f>
        <v>0</v>
      </c>
      <c r="O30889">
        <f>IF(N30889="","",'Master Barang'!B83)</f>
        <v>0</v>
      </c>
      <c r="P30889">
        <f>IF(OR(M30889="",N30889=""),"",SUMIFS('Barang Keluar'!$E:$E,'Barang Keluar'!$A:$A,M30889,'Barang Keluar'!$C:$C,N30889))</f>
        <v>0</v>
      </c>
    </row>
    <row r="30890" spans="13:16">
      <c r="M30890" s="49">
        <f>IF($A$4+308&gt;$B$4,"",$A$4+308)</f>
        <v>46331</v>
      </c>
      <c r="N30890">
        <f>IF(M30890="","",'Master Barang'!A84)</f>
        <v>0</v>
      </c>
      <c r="O30890">
        <f>IF(N30890="","",'Master Barang'!B84)</f>
        <v>0</v>
      </c>
      <c r="P30890">
        <f>IF(OR(M30890="",N30890=""),"",SUMIFS('Barang Keluar'!$E:$E,'Barang Keluar'!$A:$A,M30890,'Barang Keluar'!$C:$C,N30890))</f>
        <v>0</v>
      </c>
    </row>
    <row r="30891" spans="13:16">
      <c r="M30891" s="49">
        <f>IF($A$4+308&gt;$B$4,"",$A$4+308)</f>
        <v>46331</v>
      </c>
      <c r="N30891">
        <f>IF(M30891="","",'Master Barang'!A85)</f>
        <v>0</v>
      </c>
      <c r="O30891">
        <f>IF(N30891="","",'Master Barang'!B85)</f>
        <v>0</v>
      </c>
      <c r="P30891">
        <f>IF(OR(M30891="",N30891=""),"",SUMIFS('Barang Keluar'!$E:$E,'Barang Keluar'!$A:$A,M30891,'Barang Keluar'!$C:$C,N30891))</f>
        <v>0</v>
      </c>
    </row>
    <row r="30892" spans="13:16">
      <c r="M30892" s="49">
        <f>IF($A$4+308&gt;$B$4,"",$A$4+308)</f>
        <v>46331</v>
      </c>
      <c r="N30892">
        <f>IF(M30892="","",'Master Barang'!A86)</f>
        <v>0</v>
      </c>
      <c r="O30892">
        <f>IF(N30892="","",'Master Barang'!B86)</f>
        <v>0</v>
      </c>
      <c r="P30892">
        <f>IF(OR(M30892="",N30892=""),"",SUMIFS('Barang Keluar'!$E:$E,'Barang Keluar'!$A:$A,M30892,'Barang Keluar'!$C:$C,N30892))</f>
        <v>0</v>
      </c>
    </row>
    <row r="30893" spans="13:16">
      <c r="M30893" s="49">
        <f>IF($A$4+308&gt;$B$4,"",$A$4+308)</f>
        <v>46331</v>
      </c>
      <c r="N30893">
        <f>IF(M30893="","",'Master Barang'!A87)</f>
        <v>0</v>
      </c>
      <c r="O30893">
        <f>IF(N30893="","",'Master Barang'!B87)</f>
        <v>0</v>
      </c>
      <c r="P30893">
        <f>IF(OR(M30893="",N30893=""),"",SUMIFS('Barang Keluar'!$E:$E,'Barang Keluar'!$A:$A,M30893,'Barang Keluar'!$C:$C,N30893))</f>
        <v>0</v>
      </c>
    </row>
    <row r="30894" spans="13:16">
      <c r="M30894" s="49">
        <f>IF($A$4+308&gt;$B$4,"",$A$4+308)</f>
        <v>46331</v>
      </c>
      <c r="N30894">
        <f>IF(M30894="","",'Master Barang'!A88)</f>
        <v>0</v>
      </c>
      <c r="O30894">
        <f>IF(N30894="","",'Master Barang'!B88)</f>
        <v>0</v>
      </c>
      <c r="P30894">
        <f>IF(OR(M30894="",N30894=""),"",SUMIFS('Barang Keluar'!$E:$E,'Barang Keluar'!$A:$A,M30894,'Barang Keluar'!$C:$C,N30894))</f>
        <v>0</v>
      </c>
    </row>
    <row r="30895" spans="13:16">
      <c r="M30895" s="49">
        <f>IF($A$4+308&gt;$B$4,"",$A$4+308)</f>
        <v>46331</v>
      </c>
      <c r="N30895">
        <f>IF(M30895="","",'Master Barang'!A89)</f>
        <v>0</v>
      </c>
      <c r="O30895">
        <f>IF(N30895="","",'Master Barang'!B89)</f>
        <v>0</v>
      </c>
      <c r="P30895">
        <f>IF(OR(M30895="",N30895=""),"",SUMIFS('Barang Keluar'!$E:$E,'Barang Keluar'!$A:$A,M30895,'Barang Keluar'!$C:$C,N30895))</f>
        <v>0</v>
      </c>
    </row>
    <row r="30896" spans="13:16">
      <c r="M30896" s="49">
        <f>IF($A$4+308&gt;$B$4,"",$A$4+308)</f>
        <v>46331</v>
      </c>
      <c r="N30896">
        <f>IF(M30896="","",'Master Barang'!A90)</f>
        <v>0</v>
      </c>
      <c r="O30896">
        <f>IF(N30896="","",'Master Barang'!B90)</f>
        <v>0</v>
      </c>
      <c r="P30896">
        <f>IF(OR(M30896="",N30896=""),"",SUMIFS('Barang Keluar'!$E:$E,'Barang Keluar'!$A:$A,M30896,'Barang Keluar'!$C:$C,N30896))</f>
        <v>0</v>
      </c>
    </row>
    <row r="30897" spans="13:16">
      <c r="M30897" s="49">
        <f>IF($A$4+308&gt;$B$4,"",$A$4+308)</f>
        <v>46331</v>
      </c>
      <c r="N30897">
        <f>IF(M30897="","",'Master Barang'!A91)</f>
        <v>0</v>
      </c>
      <c r="O30897">
        <f>IF(N30897="","",'Master Barang'!B91)</f>
        <v>0</v>
      </c>
      <c r="P30897">
        <f>IF(OR(M30897="",N30897=""),"",SUMIFS('Barang Keluar'!$E:$E,'Barang Keluar'!$A:$A,M30897,'Barang Keluar'!$C:$C,N30897))</f>
        <v>0</v>
      </c>
    </row>
    <row r="30898" spans="13:16">
      <c r="M30898" s="49">
        <f>IF($A$4+308&gt;$B$4,"",$A$4+308)</f>
        <v>46331</v>
      </c>
      <c r="N30898">
        <f>IF(M30898="","",'Master Barang'!A92)</f>
        <v>0</v>
      </c>
      <c r="O30898">
        <f>IF(N30898="","",'Master Barang'!B92)</f>
        <v>0</v>
      </c>
      <c r="P30898">
        <f>IF(OR(M30898="",N30898=""),"",SUMIFS('Barang Keluar'!$E:$E,'Barang Keluar'!$A:$A,M30898,'Barang Keluar'!$C:$C,N30898))</f>
        <v>0</v>
      </c>
    </row>
    <row r="30899" spans="13:16">
      <c r="M30899" s="49">
        <f>IF($A$4+308&gt;$B$4,"",$A$4+308)</f>
        <v>46331</v>
      </c>
      <c r="N30899">
        <f>IF(M30899="","",'Master Barang'!A93)</f>
        <v>0</v>
      </c>
      <c r="O30899">
        <f>IF(N30899="","",'Master Barang'!B93)</f>
        <v>0</v>
      </c>
      <c r="P30899">
        <f>IF(OR(M30899="",N30899=""),"",SUMIFS('Barang Keluar'!$E:$E,'Barang Keluar'!$A:$A,M30899,'Barang Keluar'!$C:$C,N30899))</f>
        <v>0</v>
      </c>
    </row>
    <row r="30900" spans="13:16">
      <c r="M30900" s="49">
        <f>IF($A$4+308&gt;$B$4,"",$A$4+308)</f>
        <v>46331</v>
      </c>
      <c r="N30900">
        <f>IF(M30900="","",'Master Barang'!A94)</f>
        <v>0</v>
      </c>
      <c r="O30900">
        <f>IF(N30900="","",'Master Barang'!B94)</f>
        <v>0</v>
      </c>
      <c r="P30900">
        <f>IF(OR(M30900="",N30900=""),"",SUMIFS('Barang Keluar'!$E:$E,'Barang Keluar'!$A:$A,M30900,'Barang Keluar'!$C:$C,N30900))</f>
        <v>0</v>
      </c>
    </row>
    <row r="30901" spans="13:16">
      <c r="M30901" s="49">
        <f>IF($A$4+308&gt;$B$4,"",$A$4+308)</f>
        <v>46331</v>
      </c>
      <c r="N30901">
        <f>IF(M30901="","",'Master Barang'!A95)</f>
        <v>0</v>
      </c>
      <c r="O30901">
        <f>IF(N30901="","",'Master Barang'!B95)</f>
        <v>0</v>
      </c>
      <c r="P30901">
        <f>IF(OR(M30901="",N30901=""),"",SUMIFS('Barang Keluar'!$E:$E,'Barang Keluar'!$A:$A,M30901,'Barang Keluar'!$C:$C,N30901))</f>
        <v>0</v>
      </c>
    </row>
    <row r="30902" spans="13:16">
      <c r="M30902" s="49">
        <f>IF($A$4+308&gt;$B$4,"",$A$4+308)</f>
        <v>46331</v>
      </c>
      <c r="N30902">
        <f>IF(M30902="","",'Master Barang'!A96)</f>
        <v>0</v>
      </c>
      <c r="O30902">
        <f>IF(N30902="","",'Master Barang'!B96)</f>
        <v>0</v>
      </c>
      <c r="P30902">
        <f>IF(OR(M30902="",N30902=""),"",SUMIFS('Barang Keluar'!$E:$E,'Barang Keluar'!$A:$A,M30902,'Barang Keluar'!$C:$C,N30902))</f>
        <v>0</v>
      </c>
    </row>
    <row r="30903" spans="13:16">
      <c r="M30903" s="49">
        <f>IF($A$4+308&gt;$B$4,"",$A$4+308)</f>
        <v>46331</v>
      </c>
      <c r="N30903">
        <f>IF(M30903="","",'Master Barang'!A97)</f>
        <v>0</v>
      </c>
      <c r="O30903">
        <f>IF(N30903="","",'Master Barang'!B97)</f>
        <v>0</v>
      </c>
      <c r="P30903">
        <f>IF(OR(M30903="",N30903=""),"",SUMIFS('Barang Keluar'!$E:$E,'Barang Keluar'!$A:$A,M30903,'Barang Keluar'!$C:$C,N30903))</f>
        <v>0</v>
      </c>
    </row>
    <row r="30904" spans="13:16">
      <c r="M30904" s="49">
        <f>IF($A$4+308&gt;$B$4,"",$A$4+308)</f>
        <v>46331</v>
      </c>
      <c r="N30904">
        <f>IF(M30904="","",'Master Barang'!A98)</f>
        <v>0</v>
      </c>
      <c r="O30904">
        <f>IF(N30904="","",'Master Barang'!B98)</f>
        <v>0</v>
      </c>
      <c r="P30904">
        <f>IF(OR(M30904="",N30904=""),"",SUMIFS('Barang Keluar'!$E:$E,'Barang Keluar'!$A:$A,M30904,'Barang Keluar'!$C:$C,N30904))</f>
        <v>0</v>
      </c>
    </row>
    <row r="30905" spans="13:16">
      <c r="M30905" s="49">
        <f>IF($A$4+308&gt;$B$4,"",$A$4+308)</f>
        <v>46331</v>
      </c>
      <c r="N30905">
        <f>IF(M30905="","",'Master Barang'!A99)</f>
        <v>0</v>
      </c>
      <c r="O30905">
        <f>IF(N30905="","",'Master Barang'!B99)</f>
        <v>0</v>
      </c>
      <c r="P30905">
        <f>IF(OR(M30905="",N30905=""),"",SUMIFS('Barang Keluar'!$E:$E,'Barang Keluar'!$A:$A,M30905,'Barang Keluar'!$C:$C,N30905))</f>
        <v>0</v>
      </c>
    </row>
    <row r="30906" spans="13:16">
      <c r="M30906" s="49">
        <f>IF($A$4+308&gt;$B$4,"",$A$4+308)</f>
        <v>46331</v>
      </c>
      <c r="N30906">
        <f>IF(M30906="","",'Master Barang'!A100)</f>
        <v>0</v>
      </c>
      <c r="O30906">
        <f>IF(N30906="","",'Master Barang'!B100)</f>
        <v>0</v>
      </c>
      <c r="P30906">
        <f>IF(OR(M30906="",N30906=""),"",SUMIFS('Barang Keluar'!$E:$E,'Barang Keluar'!$A:$A,M30906,'Barang Keluar'!$C:$C,N30906))</f>
        <v>0</v>
      </c>
    </row>
    <row r="30907" spans="13:16">
      <c r="M30907" s="49">
        <f>IF($A$4+308&gt;$B$4,"",$A$4+308)</f>
        <v>46331</v>
      </c>
      <c r="N30907">
        <f>IF(M30907="","",'Master Barang'!A101)</f>
        <v>0</v>
      </c>
      <c r="O30907">
        <f>IF(N30907="","",'Master Barang'!B101)</f>
        <v>0</v>
      </c>
      <c r="P30907">
        <f>IF(OR(M30907="",N30907=""),"",SUMIFS('Barang Keluar'!$E:$E,'Barang Keluar'!$A:$A,M30907,'Barang Keluar'!$C:$C,N30907))</f>
        <v>0</v>
      </c>
    </row>
    <row r="30908" spans="13:16">
      <c r="M30908" s="49">
        <f>IF($A$4+309&gt;$B$4,"",$A$4+309)</f>
        <v>46332</v>
      </c>
      <c r="N30908" t="str">
        <f>IF(M30908="","",'Master Barang'!A2)</f>
        <v>PRL-001</v>
      </c>
      <c r="O30908" t="str">
        <f>IF(N30908="","",'Master Barang'!B2)</f>
        <v>natura desinfectant food grade 5l</v>
      </c>
      <c r="P30908">
        <f>IF(OR(M30908="",N30908=""),"",SUMIFS('Barang Keluar'!$E:$E,'Barang Keluar'!$A:$A,M30908,'Barang Keluar'!$C:$C,N30908))</f>
        <v>0</v>
      </c>
    </row>
    <row r="30909" spans="13:16">
      <c r="M30909" s="49">
        <f>IF($A$4+309&gt;$B$4,"",$A$4+309)</f>
        <v>46332</v>
      </c>
      <c r="N30909" t="str">
        <f>IF(M30909="","",'Master Barang'!A3)</f>
        <v>PRL-002</v>
      </c>
      <c r="O30909" t="str">
        <f>IF(N30909="","",'Master Barang'!B3)</f>
        <v>sunlight cairan pencuci piring 5l</v>
      </c>
      <c r="P30909">
        <f>IF(OR(M30909="",N30909=""),"",SUMIFS('Barang Keluar'!$E:$E,'Barang Keluar'!$A:$A,M30909,'Barang Keluar'!$C:$C,N30909))</f>
        <v>0</v>
      </c>
    </row>
    <row r="30910" spans="13:16">
      <c r="M30910" s="49">
        <f>IF($A$4+309&gt;$B$4,"",$A$4+309)</f>
        <v>46332</v>
      </c>
      <c r="N30910" t="str">
        <f>IF(M30910="","",'Master Barang'!A4)</f>
        <v>PRL-003</v>
      </c>
      <c r="O30910" t="str">
        <f>IF(N30910="","",'Master Barang'!B4)</f>
        <v>oixs cleaner 1l</v>
      </c>
      <c r="P30910">
        <f>IF(OR(M30910="",N30910=""),"",SUMIFS('Barang Keluar'!$E:$E,'Barang Keluar'!$A:$A,M30910,'Barang Keluar'!$C:$C,N30910))</f>
        <v>0</v>
      </c>
    </row>
    <row r="30911" spans="13:16">
      <c r="M30911" s="49">
        <f>IF($A$4+309&gt;$B$4,"",$A$4+309)</f>
        <v>46332</v>
      </c>
      <c r="N30911" t="str">
        <f>IF(M30911="","",'Master Barang'!A5)</f>
        <v>PRL-004</v>
      </c>
      <c r="O30911" t="str">
        <f>IF(N30911="","",'Master Barang'!B5)</f>
        <v>be clean tissue serbaguna</v>
      </c>
      <c r="P30911">
        <f>IF(OR(M30911="",N30911=""),"",SUMIFS('Barang Keluar'!$E:$E,'Barang Keluar'!$A:$A,M30911,'Barang Keluar'!$C:$C,N30911))</f>
        <v>0</v>
      </c>
    </row>
    <row r="30912" spans="13:16">
      <c r="M30912" s="49">
        <f>IF($A$4+309&gt;$B$4,"",$A$4+309)</f>
        <v>46332</v>
      </c>
      <c r="N30912" t="str">
        <f>IF(M30912="","",'Master Barang'!A6)</f>
        <v>PRL-005</v>
      </c>
      <c r="O30912" t="str">
        <f>IF(N30912="","",'Master Barang'!B6)</f>
        <v>spons cuci hijau</v>
      </c>
      <c r="P30912">
        <f>IF(OR(M30912="",N30912=""),"",SUMIFS('Barang Keluar'!$E:$E,'Barang Keluar'!$A:$A,M30912,'Barang Keluar'!$C:$C,N30912))</f>
        <v>0</v>
      </c>
    </row>
    <row r="30913" spans="13:16">
      <c r="M30913" s="49">
        <f>IF($A$4+309&gt;$B$4,"",$A$4+309)</f>
        <v>46332</v>
      </c>
      <c r="N30913" t="str">
        <f>IF(M30913="","",'Master Barang'!A7)</f>
        <v>PRL-006</v>
      </c>
      <c r="O30913" t="str">
        <f>IF(N30913="","",'Master Barang'!B7)</f>
        <v>sabut cuci stainless</v>
      </c>
      <c r="P30913">
        <f>IF(OR(M30913="",N30913=""),"",SUMIFS('Barang Keluar'!$E:$E,'Barang Keluar'!$A:$A,M30913,'Barang Keluar'!$C:$C,N30913))</f>
        <v>0</v>
      </c>
    </row>
    <row r="30914" spans="13:16">
      <c r="M30914" s="49">
        <f>IF($A$4+309&gt;$B$4,"",$A$4+309)</f>
        <v>46332</v>
      </c>
      <c r="N30914" t="str">
        <f>IF(M30914="","",'Master Barang'!A8)</f>
        <v>PRL-007</v>
      </c>
      <c r="O30914" t="str">
        <f>IF(N30914="","",'Master Barang'!B8)</f>
        <v>plastik kresek besar merah 50pc</v>
      </c>
      <c r="P30914">
        <f>IF(OR(M30914="",N30914=""),"",SUMIFS('Barang Keluar'!$E:$E,'Barang Keluar'!$A:$A,M30914,'Barang Keluar'!$C:$C,N30914))</f>
        <v>0</v>
      </c>
    </row>
    <row r="30915" spans="13:16">
      <c r="M30915" s="49">
        <f>IF($A$4+309&gt;$B$4,"",$A$4+309)</f>
        <v>46332</v>
      </c>
      <c r="N30915" t="str">
        <f>IF(M30915="","",'Master Barang'!A9)</f>
        <v>PRL-008</v>
      </c>
      <c r="O30915" t="str">
        <f>IF(N30915="","",'Master Barang'!B9)</f>
        <v>lap besar</v>
      </c>
      <c r="P30915">
        <f>IF(OR(M30915="",N30915=""),"",SUMIFS('Barang Keluar'!$E:$E,'Barang Keluar'!$A:$A,M30915,'Barang Keluar'!$C:$C,N30915))</f>
        <v>0</v>
      </c>
    </row>
    <row r="30916" spans="13:16">
      <c r="M30916" s="49">
        <f>IF($A$4+309&gt;$B$4,"",$A$4+309)</f>
        <v>46332</v>
      </c>
      <c r="N30916" t="str">
        <f>IF(M30916="","",'Master Barang'!A10)</f>
        <v>PRL-009</v>
      </c>
      <c r="O30916" t="str">
        <f>IF(N30916="","",'Master Barang'!B10)</f>
        <v>lap microfiber</v>
      </c>
      <c r="P30916">
        <f>IF(OR(M30916="",N30916=""),"",SUMIFS('Barang Keluar'!$E:$E,'Barang Keluar'!$A:$A,M30916,'Barang Keluar'!$C:$C,N30916))</f>
        <v>0</v>
      </c>
    </row>
    <row r="30917" spans="13:16">
      <c r="M30917" s="49">
        <f>IF($A$4+309&gt;$B$4,"",$A$4+309)</f>
        <v>46332</v>
      </c>
      <c r="N30917" t="str">
        <f>IF(M30917="","",'Master Barang'!A11)</f>
        <v>PRL-010</v>
      </c>
      <c r="O30917" t="str">
        <f>IF(N30917="","",'Master Barang'!B11)</f>
        <v>lap kecil</v>
      </c>
      <c r="P30917">
        <f>IF(OR(M30917="",N30917=""),"",SUMIFS('Barang Keluar'!$E:$E,'Barang Keluar'!$A:$A,M30917,'Barang Keluar'!$C:$C,N30917))</f>
        <v>0</v>
      </c>
    </row>
    <row r="30918" spans="13:16">
      <c r="M30918" s="49">
        <f>IF($A$4+309&gt;$B$4,"",$A$4+309)</f>
        <v>46332</v>
      </c>
      <c r="N30918" t="str">
        <f>IF(M30918="","",'Master Barang'!A12)</f>
        <v>PRL-011</v>
      </c>
      <c r="O30918" t="str">
        <f>IF(N30918="","",'Master Barang'!B12)</f>
        <v>kanebo kecil</v>
      </c>
      <c r="P30918">
        <f>IF(OR(M30918="",N30918=""),"",SUMIFS('Barang Keluar'!$E:$E,'Barang Keluar'!$A:$A,M30918,'Barang Keluar'!$C:$C,N30918))</f>
        <v>0</v>
      </c>
    </row>
    <row r="30919" spans="13:16">
      <c r="M30919" s="49">
        <f>IF($A$4+309&gt;$B$4,"",$A$4+309)</f>
        <v>46332</v>
      </c>
      <c r="N30919" t="str">
        <f>IF(M30919="","",'Master Barang'!A13)</f>
        <v>PRL-012</v>
      </c>
      <c r="O30919" t="str">
        <f>IF(N30919="","",'Master Barang'!B13)</f>
        <v>plastik 1/4kg joyoboyo 100 lembar</v>
      </c>
      <c r="P30919">
        <f>IF(OR(M30919="",N30919=""),"",SUMIFS('Barang Keluar'!$E:$E,'Barang Keluar'!$A:$A,M30919,'Barang Keluar'!$C:$C,N30919))</f>
        <v>0</v>
      </c>
    </row>
    <row r="30920" spans="13:16">
      <c r="M30920" s="49">
        <f>IF($A$4+309&gt;$B$4,"",$A$4+309)</f>
        <v>46332</v>
      </c>
      <c r="N30920" t="str">
        <f>IF(M30920="","",'Master Barang'!A14)</f>
        <v>PRL-013</v>
      </c>
      <c r="O30920" t="str">
        <f>IF(N30920="","",'Master Barang'!B14)</f>
        <v>sarung tangan plastik kaka 100 pcs</v>
      </c>
      <c r="P30920">
        <f>IF(OR(M30920="",N30920=""),"",SUMIFS('Barang Keluar'!$E:$E,'Barang Keluar'!$A:$A,M30920,'Barang Keluar'!$C:$C,N30920))</f>
        <v>0</v>
      </c>
    </row>
    <row r="30921" spans="13:16">
      <c r="M30921" s="49">
        <f>IF($A$4+309&gt;$B$4,"",$A$4+309)</f>
        <v>46332</v>
      </c>
      <c r="N30921" t="str">
        <f>IF(M30921="","",'Master Barang'!A15)</f>
        <v>PRL-014</v>
      </c>
      <c r="O30921" t="str">
        <f>IF(N30921="","",'Master Barang'!B15)</f>
        <v>optima trashbag 80x100</v>
      </c>
      <c r="P30921">
        <f>IF(OR(M30921="",N30921=""),"",SUMIFS('Barang Keluar'!$E:$E,'Barang Keluar'!$A:$A,M30921,'Barang Keluar'!$C:$C,N30921))</f>
        <v>0</v>
      </c>
    </row>
    <row r="30922" spans="13:16">
      <c r="M30922" s="49">
        <f>IF($A$4+309&gt;$B$4,"",$A$4+309)</f>
        <v>46332</v>
      </c>
      <c r="N30922" t="str">
        <f>IF(M30922="","",'Master Barang'!A16)</f>
        <v>PRL-015</v>
      </c>
      <c r="O30922" t="str">
        <f>IF(N30922="","",'Master Barang'!B16)</f>
        <v>optima trashbag 60x100</v>
      </c>
      <c r="P30922">
        <f>IF(OR(M30922="",N30922=""),"",SUMIFS('Barang Keluar'!$E:$E,'Barang Keluar'!$A:$A,M30922,'Barang Keluar'!$C:$C,N30922))</f>
        <v>0</v>
      </c>
    </row>
    <row r="30923" spans="13:16">
      <c r="M30923" s="49">
        <f>IF($A$4+309&gt;$B$4,"",$A$4+309)</f>
        <v>46332</v>
      </c>
      <c r="N30923" t="str">
        <f>IF(M30923="","",'Master Barang'!A17)</f>
        <v>PRL-016</v>
      </c>
      <c r="O30923" t="str">
        <f>IF(N30923="","",'Master Barang'!B17)</f>
        <v>rajawali trashbag 30x40</v>
      </c>
      <c r="P30923">
        <f>IF(OR(M30923="",N30923=""),"",SUMIFS('Barang Keluar'!$E:$E,'Barang Keluar'!$A:$A,M30923,'Barang Keluar'!$C:$C,N30923))</f>
        <v>0</v>
      </c>
    </row>
    <row r="30924" spans="13:16">
      <c r="M30924" s="49">
        <f>IF($A$4+309&gt;$B$4,"",$A$4+309)</f>
        <v>46332</v>
      </c>
      <c r="N30924" t="str">
        <f>IF(M30924="","",'Master Barang'!A18)</f>
        <v>PRL-017</v>
      </c>
      <c r="O30924" t="str">
        <f>IF(N30924="","",'Master Barang'!B18)</f>
        <v>onemed masker biru 3 play 50 pcs</v>
      </c>
      <c r="P30924">
        <f>IF(OR(M30924="",N30924=""),"",SUMIFS('Barang Keluar'!$E:$E,'Barang Keluar'!$A:$A,M30924,'Barang Keluar'!$C:$C,N30924))</f>
        <v>0</v>
      </c>
    </row>
    <row r="30925" spans="13:16">
      <c r="M30925" s="49">
        <f>IF($A$4+309&gt;$B$4,"",$A$4+309)</f>
        <v>46332</v>
      </c>
      <c r="N30925" t="str">
        <f>IF(M30925="","",'Master Barang'!A19)</f>
        <v>PRL-018</v>
      </c>
      <c r="O30925" t="str">
        <f>IF(N30925="","",'Master Barang'!B19)</f>
        <v>onemed masker biru 3 play hijab 50 pcs</v>
      </c>
      <c r="P30925">
        <f>IF(OR(M30925="",N30925=""),"",SUMIFS('Barang Keluar'!$E:$E,'Barang Keluar'!$A:$A,M30925,'Barang Keluar'!$C:$C,N30925))</f>
        <v>0</v>
      </c>
    </row>
    <row r="30926" spans="13:16">
      <c r="M30926" s="49">
        <f>IF($A$4+309&gt;$B$4,"",$A$4+309)</f>
        <v>46332</v>
      </c>
      <c r="N30926" t="str">
        <f>IF(M30926="","",'Master Barang'!A20)</f>
        <v>PRL-019</v>
      </c>
      <c r="O30926" t="str">
        <f>IF(N30926="","",'Master Barang'!B20)</f>
        <v>neo health masker biru 3 play 50 pcs</v>
      </c>
      <c r="P30926">
        <f>IF(OR(M30926="",N30926=""),"",SUMIFS('Barang Keluar'!$E:$E,'Barang Keluar'!$A:$A,M30926,'Barang Keluar'!$C:$C,N30926))</f>
        <v>0</v>
      </c>
    </row>
    <row r="30927" spans="13:16">
      <c r="M30927" s="49">
        <f>IF($A$4+309&gt;$B$4,"",$A$4+309)</f>
        <v>46332</v>
      </c>
      <c r="N30927" t="str">
        <f>IF(M30927="","",'Master Barang'!A21)</f>
        <v>PRL-020</v>
      </c>
      <c r="O30927" t="str">
        <f>IF(N30927="","",'Master Barang'!B21)</f>
        <v>baymed masker hijau 3 play hijau 50 pcs</v>
      </c>
      <c r="P30927">
        <f>IF(OR(M30927="",N30927=""),"",SUMIFS('Barang Keluar'!$E:$E,'Barang Keluar'!$A:$A,M30927,'Barang Keluar'!$C:$C,N30927))</f>
        <v>0</v>
      </c>
    </row>
    <row r="30928" spans="13:16">
      <c r="M30928" s="49">
        <f>IF($A$4+309&gt;$B$4,"",$A$4+309)</f>
        <v>46332</v>
      </c>
      <c r="N30928" t="str">
        <f>IF(M30928="","",'Master Barang'!A22)</f>
        <v>PRL-021</v>
      </c>
      <c r="O30928" t="str">
        <f>IF(N30928="","",'Master Barang'!B22)</f>
        <v>altamed nurse cap penutup kepala 100 pcs</v>
      </c>
      <c r="P30928">
        <f>IF(OR(M30928="",N30928=""),"",SUMIFS('Barang Keluar'!$E:$E,'Barang Keluar'!$A:$A,M30928,'Barang Keluar'!$C:$C,N30928))</f>
        <v>0</v>
      </c>
    </row>
    <row r="30929" spans="13:16">
      <c r="M30929" s="49">
        <f>IF($A$4+309&gt;$B$4,"",$A$4+309)</f>
        <v>46332</v>
      </c>
      <c r="N30929" t="str">
        <f>IF(M30929="","",'Master Barang'!A23)</f>
        <v>PRL-022</v>
      </c>
      <c r="O30929" t="str">
        <f>IF(N30929="","",'Master Barang'!B23)</f>
        <v>sabun cuci tangan</v>
      </c>
      <c r="P30929">
        <f>IF(OR(M30929="",N30929=""),"",SUMIFS('Barang Keluar'!$E:$E,'Barang Keluar'!$A:$A,M30929,'Barang Keluar'!$C:$C,N30929))</f>
        <v>0</v>
      </c>
    </row>
    <row r="30930" spans="13:16">
      <c r="M30930" s="49">
        <f>IF($A$4+309&gt;$B$4,"",$A$4+309)</f>
        <v>46332</v>
      </c>
      <c r="N30930" t="str">
        <f>IF(M30930="","",'Master Barang'!A24)</f>
        <v>PRL-023</v>
      </c>
      <c r="O30930" t="str">
        <f>IF(N30930="","",'Master Barang'!B24)</f>
        <v>gayung kecil</v>
      </c>
      <c r="P30930">
        <f>IF(OR(M30930="",N30930=""),"",SUMIFS('Barang Keluar'!$E:$E,'Barang Keluar'!$A:$A,M30930,'Barang Keluar'!$C:$C,N30930))</f>
        <v>0</v>
      </c>
    </row>
    <row r="30931" spans="13:16">
      <c r="M30931" s="49">
        <f>IF($A$4+309&gt;$B$4,"",$A$4+309)</f>
        <v>46332</v>
      </c>
      <c r="N30931" t="str">
        <f>IF(M30931="","",'Master Barang'!A25)</f>
        <v>PRL-024</v>
      </c>
      <c r="O30931" t="str">
        <f>IF(N30931="","",'Master Barang'!B25)</f>
        <v>cikrak kecil</v>
      </c>
      <c r="P30931">
        <f>IF(OR(M30931="",N30931=""),"",SUMIFS('Barang Keluar'!$E:$E,'Barang Keluar'!$A:$A,M30931,'Barang Keluar'!$C:$C,N30931))</f>
        <v>0</v>
      </c>
    </row>
    <row r="30932" spans="13:16">
      <c r="M30932" s="49">
        <f>IF($A$4+309&gt;$B$4,"",$A$4+309)</f>
        <v>46332</v>
      </c>
      <c r="N30932" t="str">
        <f>IF(M30932="","",'Master Barang'!A26)</f>
        <v>PRL-025</v>
      </c>
      <c r="O30932" t="str">
        <f>IF(N30932="","",'Master Barang'!B26)</f>
        <v>petromax plastik kecil 12x24 100 lembar</v>
      </c>
      <c r="P30932">
        <f>IF(OR(M30932="",N30932=""),"",SUMIFS('Barang Keluar'!$E:$E,'Barang Keluar'!$A:$A,M30932,'Barang Keluar'!$C:$C,N30932))</f>
        <v>0</v>
      </c>
    </row>
    <row r="30933" spans="13:16">
      <c r="M30933" s="49">
        <f>IF($A$4+309&gt;$B$4,"",$A$4+309)</f>
        <v>46332</v>
      </c>
      <c r="N30933" t="str">
        <f>IF(M30933="","",'Master Barang'!A27)</f>
        <v>PRL-026</v>
      </c>
      <c r="O30933" t="str">
        <f>IF(N30933="","",'Master Barang'!B27)</f>
        <v>lancar kresek kecil bening </v>
      </c>
      <c r="P30933">
        <f>IF(OR(M30933="",N30933=""),"",SUMIFS('Barang Keluar'!$E:$E,'Barang Keluar'!$A:$A,M30933,'Barang Keluar'!$C:$C,N30933))</f>
        <v>0</v>
      </c>
    </row>
    <row r="30934" spans="13:16">
      <c r="M30934" s="49">
        <f>IF($A$4+309&gt;$B$4,"",$A$4+309)</f>
        <v>46332</v>
      </c>
      <c r="N30934" t="str">
        <f>IF(M30934="","",'Master Barang'!A28)</f>
        <v>PRL-027</v>
      </c>
      <c r="O30934" t="str">
        <f>IF(N30934="","",'Master Barang'!B28)</f>
        <v>kresek klin warna warni kecil</v>
      </c>
      <c r="P30934">
        <f>IF(OR(M30934="",N30934=""),"",SUMIFS('Barang Keluar'!$E:$E,'Barang Keluar'!$A:$A,M30934,'Barang Keluar'!$C:$C,N30934))</f>
        <v>0</v>
      </c>
    </row>
    <row r="30935" spans="13:16">
      <c r="M30935" s="49">
        <f>IF($A$4+309&gt;$B$4,"",$A$4+309)</f>
        <v>46332</v>
      </c>
      <c r="N30935" t="str">
        <f>IF(M30935="","",'Master Barang'!A29)</f>
        <v>PRL-028</v>
      </c>
      <c r="O30935" t="str">
        <f>IF(N30935="","",'Master Barang'!B29)</f>
        <v>ctik plastik 7x10 100 pcs</v>
      </c>
      <c r="P30935">
        <f>IF(OR(M30935="",N30935=""),"",SUMIFS('Barang Keluar'!$E:$E,'Barang Keluar'!$A:$A,M30935,'Barang Keluar'!$C:$C,N30935))</f>
        <v>0</v>
      </c>
    </row>
    <row r="30936" spans="13:16">
      <c r="M30936" s="49">
        <f>IF($A$4+309&gt;$B$4,"",$A$4+309)</f>
        <v>46332</v>
      </c>
      <c r="N30936" t="str">
        <f>IF(M30936="","",'Master Barang'!A30)</f>
        <v>PRL-029</v>
      </c>
      <c r="O30936" t="str">
        <f>IF(N30936="","",'Master Barang'!B30)</f>
        <v>ctik plastik 6x10 100 pcs</v>
      </c>
      <c r="P30936">
        <f>IF(OR(M30936="",N30936=""),"",SUMIFS('Barang Keluar'!$E:$E,'Barang Keluar'!$A:$A,M30936,'Barang Keluar'!$C:$C,N30936))</f>
        <v>0</v>
      </c>
    </row>
    <row r="30937" spans="13:16">
      <c r="M30937" s="49">
        <f>IF($A$4+309&gt;$B$4,"",$A$4+309)</f>
        <v>46332</v>
      </c>
      <c r="N30937" t="str">
        <f>IF(M30937="","",'Master Barang'!A31)</f>
        <v>PRL-030</v>
      </c>
      <c r="O30937" t="str">
        <f>IF(N30937="","",'Master Barang'!B31)</f>
        <v>klip plastik 25x16 100 pcs</v>
      </c>
      <c r="P30937">
        <f>IF(OR(M30937="",N30937=""),"",SUMIFS('Barang Keluar'!$E:$E,'Barang Keluar'!$A:$A,M30937,'Barang Keluar'!$C:$C,N30937))</f>
        <v>0</v>
      </c>
    </row>
    <row r="30938" spans="13:16">
      <c r="M30938" s="49">
        <f>IF($A$4+309&gt;$B$4,"",$A$4+309)</f>
        <v>46332</v>
      </c>
      <c r="N30938" t="str">
        <f>IF(M30938="","",'Master Barang'!A32)</f>
        <v>PRL-031</v>
      </c>
      <c r="O30938" t="str">
        <f>IF(N30938="","",'Master Barang'!B32)</f>
        <v>tempat saus 20 ml</v>
      </c>
      <c r="P30938">
        <f>IF(OR(M30938="",N30938=""),"",SUMIFS('Barang Keluar'!$E:$E,'Barang Keluar'!$A:$A,M30938,'Barang Keluar'!$C:$C,N30938))</f>
        <v>0</v>
      </c>
    </row>
    <row r="30939" spans="13:16">
      <c r="M30939" s="49">
        <f>IF($A$4+309&gt;$B$4,"",$A$4+309)</f>
        <v>46332</v>
      </c>
      <c r="N30939" t="str">
        <f>IF(M30939="","",'Master Barang'!A33)</f>
        <v>PRL-032</v>
      </c>
      <c r="O30939" t="str">
        <f>IF(N30939="","",'Master Barang'!B33)</f>
        <v>plastik packaging ag box uk sedang</v>
      </c>
      <c r="P30939">
        <f>IF(OR(M30939="",N30939=""),"",SUMIFS('Barang Keluar'!$E:$E,'Barang Keluar'!$A:$A,M30939,'Barang Keluar'!$C:$C,N30939))</f>
        <v>0</v>
      </c>
    </row>
    <row r="30940" spans="13:16">
      <c r="M30940" s="49">
        <f>IF($A$4+309&gt;$B$4,"",$A$4+309)</f>
        <v>46332</v>
      </c>
      <c r="N30940" t="str">
        <f>IF(M30940="","",'Master Barang'!A34)</f>
        <v>PRL-033</v>
      </c>
      <c r="O30940">
        <f>IF(N30940="","",'Master Barang'!B34)</f>
        <v>0</v>
      </c>
      <c r="P30940">
        <f>IF(OR(M30940="",N30940=""),"",SUMIFS('Barang Keluar'!$E:$E,'Barang Keluar'!$A:$A,M30940,'Barang Keluar'!$C:$C,N30940))</f>
        <v>0</v>
      </c>
    </row>
    <row r="30941" spans="13:16">
      <c r="M30941" s="49">
        <f>IF($A$4+309&gt;$B$4,"",$A$4+309)</f>
        <v>46332</v>
      </c>
      <c r="N30941">
        <f>IF(M30941="","",'Master Barang'!A35)</f>
        <v>0</v>
      </c>
      <c r="O30941">
        <f>IF(N30941="","",'Master Barang'!B35)</f>
        <v>0</v>
      </c>
      <c r="P30941">
        <f>IF(OR(M30941="",N30941=""),"",SUMIFS('Barang Keluar'!$E:$E,'Barang Keluar'!$A:$A,M30941,'Barang Keluar'!$C:$C,N30941))</f>
        <v>0</v>
      </c>
    </row>
    <row r="30942" spans="13:16">
      <c r="M30942" s="49">
        <f>IF($A$4+309&gt;$B$4,"",$A$4+309)</f>
        <v>46332</v>
      </c>
      <c r="N30942">
        <f>IF(M30942="","",'Master Barang'!A36)</f>
        <v>0</v>
      </c>
      <c r="O30942">
        <f>IF(N30942="","",'Master Barang'!B36)</f>
        <v>0</v>
      </c>
      <c r="P30942">
        <f>IF(OR(M30942="",N30942=""),"",SUMIFS('Barang Keluar'!$E:$E,'Barang Keluar'!$A:$A,M30942,'Barang Keluar'!$C:$C,N30942))</f>
        <v>0</v>
      </c>
    </row>
    <row r="30943" spans="13:16">
      <c r="M30943" s="49">
        <f>IF($A$4+309&gt;$B$4,"",$A$4+309)</f>
        <v>46332</v>
      </c>
      <c r="N30943">
        <f>IF(M30943="","",'Master Barang'!A37)</f>
        <v>0</v>
      </c>
      <c r="O30943">
        <f>IF(N30943="","",'Master Barang'!B37)</f>
        <v>0</v>
      </c>
      <c r="P30943">
        <f>IF(OR(M30943="",N30943=""),"",SUMIFS('Barang Keluar'!$E:$E,'Barang Keluar'!$A:$A,M30943,'Barang Keluar'!$C:$C,N30943))</f>
        <v>0</v>
      </c>
    </row>
    <row r="30944" spans="13:16">
      <c r="M30944" s="49">
        <f>IF($A$4+309&gt;$B$4,"",$A$4+309)</f>
        <v>46332</v>
      </c>
      <c r="N30944">
        <f>IF(M30944="","",'Master Barang'!A38)</f>
        <v>0</v>
      </c>
      <c r="O30944">
        <f>IF(N30944="","",'Master Barang'!B38)</f>
        <v>0</v>
      </c>
      <c r="P30944">
        <f>IF(OR(M30944="",N30944=""),"",SUMIFS('Barang Keluar'!$E:$E,'Barang Keluar'!$A:$A,M30944,'Barang Keluar'!$C:$C,N30944))</f>
        <v>0</v>
      </c>
    </row>
    <row r="30945" spans="13:16">
      <c r="M30945" s="49">
        <f>IF($A$4+309&gt;$B$4,"",$A$4+309)</f>
        <v>46332</v>
      </c>
      <c r="N30945">
        <f>IF(M30945="","",'Master Barang'!A39)</f>
        <v>0</v>
      </c>
      <c r="O30945">
        <f>IF(N30945="","",'Master Barang'!B39)</f>
        <v>0</v>
      </c>
      <c r="P30945">
        <f>IF(OR(M30945="",N30945=""),"",SUMIFS('Barang Keluar'!$E:$E,'Barang Keluar'!$A:$A,M30945,'Barang Keluar'!$C:$C,N30945))</f>
        <v>0</v>
      </c>
    </row>
    <row r="30946" spans="13:16">
      <c r="M30946" s="49">
        <f>IF($A$4+309&gt;$B$4,"",$A$4+309)</f>
        <v>46332</v>
      </c>
      <c r="N30946">
        <f>IF(M30946="","",'Master Barang'!A40)</f>
        <v>0</v>
      </c>
      <c r="O30946">
        <f>IF(N30946="","",'Master Barang'!B40)</f>
        <v>0</v>
      </c>
      <c r="P30946">
        <f>IF(OR(M30946="",N30946=""),"",SUMIFS('Barang Keluar'!$E:$E,'Barang Keluar'!$A:$A,M30946,'Barang Keluar'!$C:$C,N30946))</f>
        <v>0</v>
      </c>
    </row>
    <row r="30947" spans="13:16">
      <c r="M30947" s="49">
        <f>IF($A$4+309&gt;$B$4,"",$A$4+309)</f>
        <v>46332</v>
      </c>
      <c r="N30947">
        <f>IF(M30947="","",'Master Barang'!A41)</f>
        <v>0</v>
      </c>
      <c r="O30947">
        <f>IF(N30947="","",'Master Barang'!B41)</f>
        <v>0</v>
      </c>
      <c r="P30947">
        <f>IF(OR(M30947="",N30947=""),"",SUMIFS('Barang Keluar'!$E:$E,'Barang Keluar'!$A:$A,M30947,'Barang Keluar'!$C:$C,N30947))</f>
        <v>0</v>
      </c>
    </row>
    <row r="30948" spans="13:16">
      <c r="M30948" s="49">
        <f>IF($A$4+309&gt;$B$4,"",$A$4+309)</f>
        <v>46332</v>
      </c>
      <c r="N30948">
        <f>IF(M30948="","",'Master Barang'!A42)</f>
        <v>0</v>
      </c>
      <c r="O30948">
        <f>IF(N30948="","",'Master Barang'!B42)</f>
        <v>0</v>
      </c>
      <c r="P30948">
        <f>IF(OR(M30948="",N30948=""),"",SUMIFS('Barang Keluar'!$E:$E,'Barang Keluar'!$A:$A,M30948,'Barang Keluar'!$C:$C,N30948))</f>
        <v>0</v>
      </c>
    </row>
    <row r="30949" spans="13:16">
      <c r="M30949" s="49">
        <f>IF($A$4+309&gt;$B$4,"",$A$4+309)</f>
        <v>46332</v>
      </c>
      <c r="N30949">
        <f>IF(M30949="","",'Master Barang'!A43)</f>
        <v>0</v>
      </c>
      <c r="O30949">
        <f>IF(N30949="","",'Master Barang'!B43)</f>
        <v>0</v>
      </c>
      <c r="P30949">
        <f>IF(OR(M30949="",N30949=""),"",SUMIFS('Barang Keluar'!$E:$E,'Barang Keluar'!$A:$A,M30949,'Barang Keluar'!$C:$C,N30949))</f>
        <v>0</v>
      </c>
    </row>
    <row r="30950" spans="13:16">
      <c r="M30950" s="49">
        <f>IF($A$4+309&gt;$B$4,"",$A$4+309)</f>
        <v>46332</v>
      </c>
      <c r="N30950">
        <f>IF(M30950="","",'Master Barang'!A44)</f>
        <v>0</v>
      </c>
      <c r="O30950">
        <f>IF(N30950="","",'Master Barang'!B44)</f>
        <v>0</v>
      </c>
      <c r="P30950">
        <f>IF(OR(M30950="",N30950=""),"",SUMIFS('Barang Keluar'!$E:$E,'Barang Keluar'!$A:$A,M30950,'Barang Keluar'!$C:$C,N30950))</f>
        <v>0</v>
      </c>
    </row>
    <row r="30951" spans="13:16">
      <c r="M30951" s="49">
        <f>IF($A$4+309&gt;$B$4,"",$A$4+309)</f>
        <v>46332</v>
      </c>
      <c r="N30951">
        <f>IF(M30951="","",'Master Barang'!A45)</f>
        <v>0</v>
      </c>
      <c r="O30951">
        <f>IF(N30951="","",'Master Barang'!B45)</f>
        <v>0</v>
      </c>
      <c r="P30951">
        <f>IF(OR(M30951="",N30951=""),"",SUMIFS('Barang Keluar'!$E:$E,'Barang Keluar'!$A:$A,M30951,'Barang Keluar'!$C:$C,N30951))</f>
        <v>0</v>
      </c>
    </row>
    <row r="30952" spans="13:16">
      <c r="M30952" s="49">
        <f>IF($A$4+309&gt;$B$4,"",$A$4+309)</f>
        <v>46332</v>
      </c>
      <c r="N30952">
        <f>IF(M30952="","",'Master Barang'!A46)</f>
        <v>0</v>
      </c>
      <c r="O30952">
        <f>IF(N30952="","",'Master Barang'!B46)</f>
        <v>0</v>
      </c>
      <c r="P30952">
        <f>IF(OR(M30952="",N30952=""),"",SUMIFS('Barang Keluar'!$E:$E,'Barang Keluar'!$A:$A,M30952,'Barang Keluar'!$C:$C,N30952))</f>
        <v>0</v>
      </c>
    </row>
    <row r="30953" spans="13:16">
      <c r="M30953" s="49">
        <f>IF($A$4+309&gt;$B$4,"",$A$4+309)</f>
        <v>46332</v>
      </c>
      <c r="N30953">
        <f>IF(M30953="","",'Master Barang'!A47)</f>
        <v>0</v>
      </c>
      <c r="O30953">
        <f>IF(N30953="","",'Master Barang'!B47)</f>
        <v>0</v>
      </c>
      <c r="P30953">
        <f>IF(OR(M30953="",N30953=""),"",SUMIFS('Barang Keluar'!$E:$E,'Barang Keluar'!$A:$A,M30953,'Barang Keluar'!$C:$C,N30953))</f>
        <v>0</v>
      </c>
    </row>
    <row r="30954" spans="13:16">
      <c r="M30954" s="49">
        <f>IF($A$4+309&gt;$B$4,"",$A$4+309)</f>
        <v>46332</v>
      </c>
      <c r="N30954">
        <f>IF(M30954="","",'Master Barang'!A48)</f>
        <v>0</v>
      </c>
      <c r="O30954">
        <f>IF(N30954="","",'Master Barang'!B48)</f>
        <v>0</v>
      </c>
      <c r="P30954">
        <f>IF(OR(M30954="",N30954=""),"",SUMIFS('Barang Keluar'!$E:$E,'Barang Keluar'!$A:$A,M30954,'Barang Keluar'!$C:$C,N30954))</f>
        <v>0</v>
      </c>
    </row>
    <row r="30955" spans="13:16">
      <c r="M30955" s="49">
        <f>IF($A$4+309&gt;$B$4,"",$A$4+309)</f>
        <v>46332</v>
      </c>
      <c r="N30955">
        <f>IF(M30955="","",'Master Barang'!A49)</f>
        <v>0</v>
      </c>
      <c r="O30955">
        <f>IF(N30955="","",'Master Barang'!B49)</f>
        <v>0</v>
      </c>
      <c r="P30955">
        <f>IF(OR(M30955="",N30955=""),"",SUMIFS('Barang Keluar'!$E:$E,'Barang Keluar'!$A:$A,M30955,'Barang Keluar'!$C:$C,N30955))</f>
        <v>0</v>
      </c>
    </row>
    <row r="30956" spans="13:16">
      <c r="M30956" s="49">
        <f>IF($A$4+309&gt;$B$4,"",$A$4+309)</f>
        <v>46332</v>
      </c>
      <c r="N30956">
        <f>IF(M30956="","",'Master Barang'!A50)</f>
        <v>0</v>
      </c>
      <c r="O30956">
        <f>IF(N30956="","",'Master Barang'!B50)</f>
        <v>0</v>
      </c>
      <c r="P30956">
        <f>IF(OR(M30956="",N30956=""),"",SUMIFS('Barang Keluar'!$E:$E,'Barang Keluar'!$A:$A,M30956,'Barang Keluar'!$C:$C,N30956))</f>
        <v>0</v>
      </c>
    </row>
    <row r="30957" spans="13:16">
      <c r="M30957" s="49">
        <f>IF($A$4+309&gt;$B$4,"",$A$4+309)</f>
        <v>46332</v>
      </c>
      <c r="N30957">
        <f>IF(M30957="","",'Master Barang'!A51)</f>
        <v>0</v>
      </c>
      <c r="O30957">
        <f>IF(N30957="","",'Master Barang'!B51)</f>
        <v>0</v>
      </c>
      <c r="P30957">
        <f>IF(OR(M30957="",N30957=""),"",SUMIFS('Barang Keluar'!$E:$E,'Barang Keluar'!$A:$A,M30957,'Barang Keluar'!$C:$C,N30957))</f>
        <v>0</v>
      </c>
    </row>
    <row r="30958" spans="13:16">
      <c r="M30958" s="49">
        <f>IF($A$4+309&gt;$B$4,"",$A$4+309)</f>
        <v>46332</v>
      </c>
      <c r="N30958">
        <f>IF(M30958="","",'Master Barang'!A52)</f>
        <v>0</v>
      </c>
      <c r="O30958">
        <f>IF(N30958="","",'Master Barang'!B52)</f>
        <v>0</v>
      </c>
      <c r="P30958">
        <f>IF(OR(M30958="",N30958=""),"",SUMIFS('Barang Keluar'!$E:$E,'Barang Keluar'!$A:$A,M30958,'Barang Keluar'!$C:$C,N30958))</f>
        <v>0</v>
      </c>
    </row>
    <row r="30959" spans="13:16">
      <c r="M30959" s="49">
        <f>IF($A$4+309&gt;$B$4,"",$A$4+309)</f>
        <v>46332</v>
      </c>
      <c r="N30959">
        <f>IF(M30959="","",'Master Barang'!A53)</f>
        <v>0</v>
      </c>
      <c r="O30959">
        <f>IF(N30959="","",'Master Barang'!B53)</f>
        <v>0</v>
      </c>
      <c r="P30959">
        <f>IF(OR(M30959="",N30959=""),"",SUMIFS('Barang Keluar'!$E:$E,'Barang Keluar'!$A:$A,M30959,'Barang Keluar'!$C:$C,N30959))</f>
        <v>0</v>
      </c>
    </row>
    <row r="30960" spans="13:16">
      <c r="M30960" s="49">
        <f>IF($A$4+309&gt;$B$4,"",$A$4+309)</f>
        <v>46332</v>
      </c>
      <c r="N30960">
        <f>IF(M30960="","",'Master Barang'!A54)</f>
        <v>0</v>
      </c>
      <c r="O30960">
        <f>IF(N30960="","",'Master Barang'!B54)</f>
        <v>0</v>
      </c>
      <c r="P30960">
        <f>IF(OR(M30960="",N30960=""),"",SUMIFS('Barang Keluar'!$E:$E,'Barang Keluar'!$A:$A,M30960,'Barang Keluar'!$C:$C,N30960))</f>
        <v>0</v>
      </c>
    </row>
    <row r="30961" spans="13:16">
      <c r="M30961" s="49">
        <f>IF($A$4+309&gt;$B$4,"",$A$4+309)</f>
        <v>46332</v>
      </c>
      <c r="N30961">
        <f>IF(M30961="","",'Master Barang'!A55)</f>
        <v>0</v>
      </c>
      <c r="O30961">
        <f>IF(N30961="","",'Master Barang'!B55)</f>
        <v>0</v>
      </c>
      <c r="P30961">
        <f>IF(OR(M30961="",N30961=""),"",SUMIFS('Barang Keluar'!$E:$E,'Barang Keluar'!$A:$A,M30961,'Barang Keluar'!$C:$C,N30961))</f>
        <v>0</v>
      </c>
    </row>
    <row r="30962" spans="13:16">
      <c r="M30962" s="49">
        <f>IF($A$4+309&gt;$B$4,"",$A$4+309)</f>
        <v>46332</v>
      </c>
      <c r="N30962">
        <f>IF(M30962="","",'Master Barang'!A56)</f>
        <v>0</v>
      </c>
      <c r="O30962">
        <f>IF(N30962="","",'Master Barang'!B56)</f>
        <v>0</v>
      </c>
      <c r="P30962">
        <f>IF(OR(M30962="",N30962=""),"",SUMIFS('Barang Keluar'!$E:$E,'Barang Keluar'!$A:$A,M30962,'Barang Keluar'!$C:$C,N30962))</f>
        <v>0</v>
      </c>
    </row>
    <row r="30963" spans="13:16">
      <c r="M30963" s="49">
        <f>IF($A$4+309&gt;$B$4,"",$A$4+309)</f>
        <v>46332</v>
      </c>
      <c r="N30963">
        <f>IF(M30963="","",'Master Barang'!A57)</f>
        <v>0</v>
      </c>
      <c r="O30963">
        <f>IF(N30963="","",'Master Barang'!B57)</f>
        <v>0</v>
      </c>
      <c r="P30963">
        <f>IF(OR(M30963="",N30963=""),"",SUMIFS('Barang Keluar'!$E:$E,'Barang Keluar'!$A:$A,M30963,'Barang Keluar'!$C:$C,N30963))</f>
        <v>0</v>
      </c>
    </row>
    <row r="30964" spans="13:16">
      <c r="M30964" s="49">
        <f>IF($A$4+309&gt;$B$4,"",$A$4+309)</f>
        <v>46332</v>
      </c>
      <c r="N30964">
        <f>IF(M30964="","",'Master Barang'!A58)</f>
        <v>0</v>
      </c>
      <c r="O30964">
        <f>IF(N30964="","",'Master Barang'!B58)</f>
        <v>0</v>
      </c>
      <c r="P30964">
        <f>IF(OR(M30964="",N30964=""),"",SUMIFS('Barang Keluar'!$E:$E,'Barang Keluar'!$A:$A,M30964,'Barang Keluar'!$C:$C,N30964))</f>
        <v>0</v>
      </c>
    </row>
    <row r="30965" spans="13:16">
      <c r="M30965" s="49">
        <f>IF($A$4+309&gt;$B$4,"",$A$4+309)</f>
        <v>46332</v>
      </c>
      <c r="N30965">
        <f>IF(M30965="","",'Master Barang'!A59)</f>
        <v>0</v>
      </c>
      <c r="O30965">
        <f>IF(N30965="","",'Master Barang'!B59)</f>
        <v>0</v>
      </c>
      <c r="P30965">
        <f>IF(OR(M30965="",N30965=""),"",SUMIFS('Barang Keluar'!$E:$E,'Barang Keluar'!$A:$A,M30965,'Barang Keluar'!$C:$C,N30965))</f>
        <v>0</v>
      </c>
    </row>
    <row r="30966" spans="13:16">
      <c r="M30966" s="49">
        <f>IF($A$4+309&gt;$B$4,"",$A$4+309)</f>
        <v>46332</v>
      </c>
      <c r="N30966">
        <f>IF(M30966="","",'Master Barang'!A60)</f>
        <v>0</v>
      </c>
      <c r="O30966">
        <f>IF(N30966="","",'Master Barang'!B60)</f>
        <v>0</v>
      </c>
      <c r="P30966">
        <f>IF(OR(M30966="",N30966=""),"",SUMIFS('Barang Keluar'!$E:$E,'Barang Keluar'!$A:$A,M30966,'Barang Keluar'!$C:$C,N30966))</f>
        <v>0</v>
      </c>
    </row>
    <row r="30967" spans="13:16">
      <c r="M30967" s="49">
        <f>IF($A$4+309&gt;$B$4,"",$A$4+309)</f>
        <v>46332</v>
      </c>
      <c r="N30967">
        <f>IF(M30967="","",'Master Barang'!A61)</f>
        <v>0</v>
      </c>
      <c r="O30967">
        <f>IF(N30967="","",'Master Barang'!B61)</f>
        <v>0</v>
      </c>
      <c r="P30967">
        <f>IF(OR(M30967="",N30967=""),"",SUMIFS('Barang Keluar'!$E:$E,'Barang Keluar'!$A:$A,M30967,'Barang Keluar'!$C:$C,N30967))</f>
        <v>0</v>
      </c>
    </row>
    <row r="30968" spans="13:16">
      <c r="M30968" s="49">
        <f>IF($A$4+309&gt;$B$4,"",$A$4+309)</f>
        <v>46332</v>
      </c>
      <c r="N30968">
        <f>IF(M30968="","",'Master Barang'!A62)</f>
        <v>0</v>
      </c>
      <c r="O30968">
        <f>IF(N30968="","",'Master Barang'!B62)</f>
        <v>0</v>
      </c>
      <c r="P30968">
        <f>IF(OR(M30968="",N30968=""),"",SUMIFS('Barang Keluar'!$E:$E,'Barang Keluar'!$A:$A,M30968,'Barang Keluar'!$C:$C,N30968))</f>
        <v>0</v>
      </c>
    </row>
    <row r="30969" spans="13:16">
      <c r="M30969" s="49">
        <f>IF($A$4+309&gt;$B$4,"",$A$4+309)</f>
        <v>46332</v>
      </c>
      <c r="N30969">
        <f>IF(M30969="","",'Master Barang'!A63)</f>
        <v>0</v>
      </c>
      <c r="O30969">
        <f>IF(N30969="","",'Master Barang'!B63)</f>
        <v>0</v>
      </c>
      <c r="P30969">
        <f>IF(OR(M30969="",N30969=""),"",SUMIFS('Barang Keluar'!$E:$E,'Barang Keluar'!$A:$A,M30969,'Barang Keluar'!$C:$C,N30969))</f>
        <v>0</v>
      </c>
    </row>
    <row r="30970" spans="13:16">
      <c r="M30970" s="49">
        <f>IF($A$4+309&gt;$B$4,"",$A$4+309)</f>
        <v>46332</v>
      </c>
      <c r="N30970">
        <f>IF(M30970="","",'Master Barang'!A64)</f>
        <v>0</v>
      </c>
      <c r="O30970">
        <f>IF(N30970="","",'Master Barang'!B64)</f>
        <v>0</v>
      </c>
      <c r="P30970">
        <f>IF(OR(M30970="",N30970=""),"",SUMIFS('Barang Keluar'!$E:$E,'Barang Keluar'!$A:$A,M30970,'Barang Keluar'!$C:$C,N30970))</f>
        <v>0</v>
      </c>
    </row>
    <row r="30971" spans="13:16">
      <c r="M30971" s="49">
        <f>IF($A$4+309&gt;$B$4,"",$A$4+309)</f>
        <v>46332</v>
      </c>
      <c r="N30971">
        <f>IF(M30971="","",'Master Barang'!A65)</f>
        <v>0</v>
      </c>
      <c r="O30971">
        <f>IF(N30971="","",'Master Barang'!B65)</f>
        <v>0</v>
      </c>
      <c r="P30971">
        <f>IF(OR(M30971="",N30971=""),"",SUMIFS('Barang Keluar'!$E:$E,'Barang Keluar'!$A:$A,M30971,'Barang Keluar'!$C:$C,N30971))</f>
        <v>0</v>
      </c>
    </row>
    <row r="30972" spans="13:16">
      <c r="M30972" s="49">
        <f>IF($A$4+309&gt;$B$4,"",$A$4+309)</f>
        <v>46332</v>
      </c>
      <c r="N30972">
        <f>IF(M30972="","",'Master Barang'!A66)</f>
        <v>0</v>
      </c>
      <c r="O30972">
        <f>IF(N30972="","",'Master Barang'!B66)</f>
        <v>0</v>
      </c>
      <c r="P30972">
        <f>IF(OR(M30972="",N30972=""),"",SUMIFS('Barang Keluar'!$E:$E,'Barang Keluar'!$A:$A,M30972,'Barang Keluar'!$C:$C,N30972))</f>
        <v>0</v>
      </c>
    </row>
    <row r="30973" spans="13:16">
      <c r="M30973" s="49">
        <f>IF($A$4+309&gt;$B$4,"",$A$4+309)</f>
        <v>46332</v>
      </c>
      <c r="N30973">
        <f>IF(M30973="","",'Master Barang'!A67)</f>
        <v>0</v>
      </c>
      <c r="O30973">
        <f>IF(N30973="","",'Master Barang'!B67)</f>
        <v>0</v>
      </c>
      <c r="P30973">
        <f>IF(OR(M30973="",N30973=""),"",SUMIFS('Barang Keluar'!$E:$E,'Barang Keluar'!$A:$A,M30973,'Barang Keluar'!$C:$C,N30973))</f>
        <v>0</v>
      </c>
    </row>
    <row r="30974" spans="13:16">
      <c r="M30974" s="49">
        <f>IF($A$4+309&gt;$B$4,"",$A$4+309)</f>
        <v>46332</v>
      </c>
      <c r="N30974">
        <f>IF(M30974="","",'Master Barang'!A68)</f>
        <v>0</v>
      </c>
      <c r="O30974">
        <f>IF(N30974="","",'Master Barang'!B68)</f>
        <v>0</v>
      </c>
      <c r="P30974">
        <f>IF(OR(M30974="",N30974=""),"",SUMIFS('Barang Keluar'!$E:$E,'Barang Keluar'!$A:$A,M30974,'Barang Keluar'!$C:$C,N30974))</f>
        <v>0</v>
      </c>
    </row>
    <row r="30975" spans="13:16">
      <c r="M30975" s="49">
        <f>IF($A$4+309&gt;$B$4,"",$A$4+309)</f>
        <v>46332</v>
      </c>
      <c r="N30975">
        <f>IF(M30975="","",'Master Barang'!A69)</f>
        <v>0</v>
      </c>
      <c r="O30975">
        <f>IF(N30975="","",'Master Barang'!B69)</f>
        <v>0</v>
      </c>
      <c r="P30975">
        <f>IF(OR(M30975="",N30975=""),"",SUMIFS('Barang Keluar'!$E:$E,'Barang Keluar'!$A:$A,M30975,'Barang Keluar'!$C:$C,N30975))</f>
        <v>0</v>
      </c>
    </row>
    <row r="30976" spans="13:16">
      <c r="M30976" s="49">
        <f>IF($A$4+309&gt;$B$4,"",$A$4+309)</f>
        <v>46332</v>
      </c>
      <c r="N30976">
        <f>IF(M30976="","",'Master Barang'!A70)</f>
        <v>0</v>
      </c>
      <c r="O30976">
        <f>IF(N30976="","",'Master Barang'!B70)</f>
        <v>0</v>
      </c>
      <c r="P30976">
        <f>IF(OR(M30976="",N30976=""),"",SUMIFS('Barang Keluar'!$E:$E,'Barang Keluar'!$A:$A,M30976,'Barang Keluar'!$C:$C,N30976))</f>
        <v>0</v>
      </c>
    </row>
    <row r="30977" spans="13:16">
      <c r="M30977" s="49">
        <f>IF($A$4+309&gt;$B$4,"",$A$4+309)</f>
        <v>46332</v>
      </c>
      <c r="N30977">
        <f>IF(M30977="","",'Master Barang'!A71)</f>
        <v>0</v>
      </c>
      <c r="O30977">
        <f>IF(N30977="","",'Master Barang'!B71)</f>
        <v>0</v>
      </c>
      <c r="P30977">
        <f>IF(OR(M30977="",N30977=""),"",SUMIFS('Barang Keluar'!$E:$E,'Barang Keluar'!$A:$A,M30977,'Barang Keluar'!$C:$C,N30977))</f>
        <v>0</v>
      </c>
    </row>
    <row r="30978" spans="13:16">
      <c r="M30978" s="49">
        <f>IF($A$4+309&gt;$B$4,"",$A$4+309)</f>
        <v>46332</v>
      </c>
      <c r="N30978">
        <f>IF(M30978="","",'Master Barang'!A72)</f>
        <v>0</v>
      </c>
      <c r="O30978">
        <f>IF(N30978="","",'Master Barang'!B72)</f>
        <v>0</v>
      </c>
      <c r="P30978">
        <f>IF(OR(M30978="",N30978=""),"",SUMIFS('Barang Keluar'!$E:$E,'Barang Keluar'!$A:$A,M30978,'Barang Keluar'!$C:$C,N30978))</f>
        <v>0</v>
      </c>
    </row>
    <row r="30979" spans="13:16">
      <c r="M30979" s="49">
        <f>IF($A$4+309&gt;$B$4,"",$A$4+309)</f>
        <v>46332</v>
      </c>
      <c r="N30979">
        <f>IF(M30979="","",'Master Barang'!A73)</f>
        <v>0</v>
      </c>
      <c r="O30979">
        <f>IF(N30979="","",'Master Barang'!B73)</f>
        <v>0</v>
      </c>
      <c r="P30979">
        <f>IF(OR(M30979="",N30979=""),"",SUMIFS('Barang Keluar'!$E:$E,'Barang Keluar'!$A:$A,M30979,'Barang Keluar'!$C:$C,N30979))</f>
        <v>0</v>
      </c>
    </row>
    <row r="30980" spans="13:16">
      <c r="M30980" s="49">
        <f>IF($A$4+309&gt;$B$4,"",$A$4+309)</f>
        <v>46332</v>
      </c>
      <c r="N30980">
        <f>IF(M30980="","",'Master Barang'!A74)</f>
        <v>0</v>
      </c>
      <c r="O30980">
        <f>IF(N30980="","",'Master Barang'!B74)</f>
        <v>0</v>
      </c>
      <c r="P30980">
        <f>IF(OR(M30980="",N30980=""),"",SUMIFS('Barang Keluar'!$E:$E,'Barang Keluar'!$A:$A,M30980,'Barang Keluar'!$C:$C,N30980))</f>
        <v>0</v>
      </c>
    </row>
    <row r="30981" spans="13:16">
      <c r="M30981" s="49">
        <f>IF($A$4+309&gt;$B$4,"",$A$4+309)</f>
        <v>46332</v>
      </c>
      <c r="N30981">
        <f>IF(M30981="","",'Master Barang'!A75)</f>
        <v>0</v>
      </c>
      <c r="O30981">
        <f>IF(N30981="","",'Master Barang'!B75)</f>
        <v>0</v>
      </c>
      <c r="P30981">
        <f>IF(OR(M30981="",N30981=""),"",SUMIFS('Barang Keluar'!$E:$E,'Barang Keluar'!$A:$A,M30981,'Barang Keluar'!$C:$C,N30981))</f>
        <v>0</v>
      </c>
    </row>
    <row r="30982" spans="13:16">
      <c r="M30982" s="49">
        <f>IF($A$4+309&gt;$B$4,"",$A$4+309)</f>
        <v>46332</v>
      </c>
      <c r="N30982">
        <f>IF(M30982="","",'Master Barang'!A76)</f>
        <v>0</v>
      </c>
      <c r="O30982">
        <f>IF(N30982="","",'Master Barang'!B76)</f>
        <v>0</v>
      </c>
      <c r="P30982">
        <f>IF(OR(M30982="",N30982=""),"",SUMIFS('Barang Keluar'!$E:$E,'Barang Keluar'!$A:$A,M30982,'Barang Keluar'!$C:$C,N30982))</f>
        <v>0</v>
      </c>
    </row>
    <row r="30983" spans="13:16">
      <c r="M30983" s="49">
        <f>IF($A$4+309&gt;$B$4,"",$A$4+309)</f>
        <v>46332</v>
      </c>
      <c r="N30983">
        <f>IF(M30983="","",'Master Barang'!A77)</f>
        <v>0</v>
      </c>
      <c r="O30983">
        <f>IF(N30983="","",'Master Barang'!B77)</f>
        <v>0</v>
      </c>
      <c r="P30983">
        <f>IF(OR(M30983="",N30983=""),"",SUMIFS('Barang Keluar'!$E:$E,'Barang Keluar'!$A:$A,M30983,'Barang Keluar'!$C:$C,N30983))</f>
        <v>0</v>
      </c>
    </row>
    <row r="30984" spans="13:16">
      <c r="M30984" s="49">
        <f>IF($A$4+309&gt;$B$4,"",$A$4+309)</f>
        <v>46332</v>
      </c>
      <c r="N30984">
        <f>IF(M30984="","",'Master Barang'!A78)</f>
        <v>0</v>
      </c>
      <c r="O30984">
        <f>IF(N30984="","",'Master Barang'!B78)</f>
        <v>0</v>
      </c>
      <c r="P30984">
        <f>IF(OR(M30984="",N30984=""),"",SUMIFS('Barang Keluar'!$E:$E,'Barang Keluar'!$A:$A,M30984,'Barang Keluar'!$C:$C,N30984))</f>
        <v>0</v>
      </c>
    </row>
    <row r="30985" spans="13:16">
      <c r="M30985" s="49">
        <f>IF($A$4+309&gt;$B$4,"",$A$4+309)</f>
        <v>46332</v>
      </c>
      <c r="N30985">
        <f>IF(M30985="","",'Master Barang'!A79)</f>
        <v>0</v>
      </c>
      <c r="O30985">
        <f>IF(N30985="","",'Master Barang'!B79)</f>
        <v>0</v>
      </c>
      <c r="P30985">
        <f>IF(OR(M30985="",N30985=""),"",SUMIFS('Barang Keluar'!$E:$E,'Barang Keluar'!$A:$A,M30985,'Barang Keluar'!$C:$C,N30985))</f>
        <v>0</v>
      </c>
    </row>
    <row r="30986" spans="13:16">
      <c r="M30986" s="49">
        <f>IF($A$4+309&gt;$B$4,"",$A$4+309)</f>
        <v>46332</v>
      </c>
      <c r="N30986">
        <f>IF(M30986="","",'Master Barang'!A80)</f>
        <v>0</v>
      </c>
      <c r="O30986">
        <f>IF(N30986="","",'Master Barang'!B80)</f>
        <v>0</v>
      </c>
      <c r="P30986">
        <f>IF(OR(M30986="",N30986=""),"",SUMIFS('Barang Keluar'!$E:$E,'Barang Keluar'!$A:$A,M30986,'Barang Keluar'!$C:$C,N30986))</f>
        <v>0</v>
      </c>
    </row>
    <row r="30987" spans="13:16">
      <c r="M30987" s="49">
        <f>IF($A$4+309&gt;$B$4,"",$A$4+309)</f>
        <v>46332</v>
      </c>
      <c r="N30987">
        <f>IF(M30987="","",'Master Barang'!A81)</f>
        <v>0</v>
      </c>
      <c r="O30987">
        <f>IF(N30987="","",'Master Barang'!B81)</f>
        <v>0</v>
      </c>
      <c r="P30987">
        <f>IF(OR(M30987="",N30987=""),"",SUMIFS('Barang Keluar'!$E:$E,'Barang Keluar'!$A:$A,M30987,'Barang Keluar'!$C:$C,N30987))</f>
        <v>0</v>
      </c>
    </row>
    <row r="30988" spans="13:16">
      <c r="M30988" s="49">
        <f>IF($A$4+309&gt;$B$4,"",$A$4+309)</f>
        <v>46332</v>
      </c>
      <c r="N30988">
        <f>IF(M30988="","",'Master Barang'!A82)</f>
        <v>0</v>
      </c>
      <c r="O30988">
        <f>IF(N30988="","",'Master Barang'!B82)</f>
        <v>0</v>
      </c>
      <c r="P30988">
        <f>IF(OR(M30988="",N30988=""),"",SUMIFS('Barang Keluar'!$E:$E,'Barang Keluar'!$A:$A,M30988,'Barang Keluar'!$C:$C,N30988))</f>
        <v>0</v>
      </c>
    </row>
    <row r="30989" spans="13:16">
      <c r="M30989" s="49">
        <f>IF($A$4+309&gt;$B$4,"",$A$4+309)</f>
        <v>46332</v>
      </c>
      <c r="N30989">
        <f>IF(M30989="","",'Master Barang'!A83)</f>
        <v>0</v>
      </c>
      <c r="O30989">
        <f>IF(N30989="","",'Master Barang'!B83)</f>
        <v>0</v>
      </c>
      <c r="P30989">
        <f>IF(OR(M30989="",N30989=""),"",SUMIFS('Barang Keluar'!$E:$E,'Barang Keluar'!$A:$A,M30989,'Barang Keluar'!$C:$C,N30989))</f>
        <v>0</v>
      </c>
    </row>
    <row r="30990" spans="13:16">
      <c r="M30990" s="49">
        <f>IF($A$4+309&gt;$B$4,"",$A$4+309)</f>
        <v>46332</v>
      </c>
      <c r="N30990">
        <f>IF(M30990="","",'Master Barang'!A84)</f>
        <v>0</v>
      </c>
      <c r="O30990">
        <f>IF(N30990="","",'Master Barang'!B84)</f>
        <v>0</v>
      </c>
      <c r="P30990">
        <f>IF(OR(M30990="",N30990=""),"",SUMIFS('Barang Keluar'!$E:$E,'Barang Keluar'!$A:$A,M30990,'Barang Keluar'!$C:$C,N30990))</f>
        <v>0</v>
      </c>
    </row>
    <row r="30991" spans="13:16">
      <c r="M30991" s="49">
        <f>IF($A$4+309&gt;$B$4,"",$A$4+309)</f>
        <v>46332</v>
      </c>
      <c r="N30991">
        <f>IF(M30991="","",'Master Barang'!A85)</f>
        <v>0</v>
      </c>
      <c r="O30991">
        <f>IF(N30991="","",'Master Barang'!B85)</f>
        <v>0</v>
      </c>
      <c r="P30991">
        <f>IF(OR(M30991="",N30991=""),"",SUMIFS('Barang Keluar'!$E:$E,'Barang Keluar'!$A:$A,M30991,'Barang Keluar'!$C:$C,N30991))</f>
        <v>0</v>
      </c>
    </row>
    <row r="30992" spans="13:16">
      <c r="M30992" s="49">
        <f>IF($A$4+309&gt;$B$4,"",$A$4+309)</f>
        <v>46332</v>
      </c>
      <c r="N30992">
        <f>IF(M30992="","",'Master Barang'!A86)</f>
        <v>0</v>
      </c>
      <c r="O30992">
        <f>IF(N30992="","",'Master Barang'!B86)</f>
        <v>0</v>
      </c>
      <c r="P30992">
        <f>IF(OR(M30992="",N30992=""),"",SUMIFS('Barang Keluar'!$E:$E,'Barang Keluar'!$A:$A,M30992,'Barang Keluar'!$C:$C,N30992))</f>
        <v>0</v>
      </c>
    </row>
    <row r="30993" spans="13:16">
      <c r="M30993" s="49">
        <f>IF($A$4+309&gt;$B$4,"",$A$4+309)</f>
        <v>46332</v>
      </c>
      <c r="N30993">
        <f>IF(M30993="","",'Master Barang'!A87)</f>
        <v>0</v>
      </c>
      <c r="O30993">
        <f>IF(N30993="","",'Master Barang'!B87)</f>
        <v>0</v>
      </c>
      <c r="P30993">
        <f>IF(OR(M30993="",N30993=""),"",SUMIFS('Barang Keluar'!$E:$E,'Barang Keluar'!$A:$A,M30993,'Barang Keluar'!$C:$C,N30993))</f>
        <v>0</v>
      </c>
    </row>
    <row r="30994" spans="13:16">
      <c r="M30994" s="49">
        <f>IF($A$4+309&gt;$B$4,"",$A$4+309)</f>
        <v>46332</v>
      </c>
      <c r="N30994">
        <f>IF(M30994="","",'Master Barang'!A88)</f>
        <v>0</v>
      </c>
      <c r="O30994">
        <f>IF(N30994="","",'Master Barang'!B88)</f>
        <v>0</v>
      </c>
      <c r="P30994">
        <f>IF(OR(M30994="",N30994=""),"",SUMIFS('Barang Keluar'!$E:$E,'Barang Keluar'!$A:$A,M30994,'Barang Keluar'!$C:$C,N30994))</f>
        <v>0</v>
      </c>
    </row>
    <row r="30995" spans="13:16">
      <c r="M30995" s="49">
        <f>IF($A$4+309&gt;$B$4,"",$A$4+309)</f>
        <v>46332</v>
      </c>
      <c r="N30995">
        <f>IF(M30995="","",'Master Barang'!A89)</f>
        <v>0</v>
      </c>
      <c r="O30995">
        <f>IF(N30995="","",'Master Barang'!B89)</f>
        <v>0</v>
      </c>
      <c r="P30995">
        <f>IF(OR(M30995="",N30995=""),"",SUMIFS('Barang Keluar'!$E:$E,'Barang Keluar'!$A:$A,M30995,'Barang Keluar'!$C:$C,N30995))</f>
        <v>0</v>
      </c>
    </row>
    <row r="30996" spans="13:16">
      <c r="M30996" s="49">
        <f>IF($A$4+309&gt;$B$4,"",$A$4+309)</f>
        <v>46332</v>
      </c>
      <c r="N30996">
        <f>IF(M30996="","",'Master Barang'!A90)</f>
        <v>0</v>
      </c>
      <c r="O30996">
        <f>IF(N30996="","",'Master Barang'!B90)</f>
        <v>0</v>
      </c>
      <c r="P30996">
        <f>IF(OR(M30996="",N30996=""),"",SUMIFS('Barang Keluar'!$E:$E,'Barang Keluar'!$A:$A,M30996,'Barang Keluar'!$C:$C,N30996))</f>
        <v>0</v>
      </c>
    </row>
    <row r="30997" spans="13:16">
      <c r="M30997" s="49">
        <f>IF($A$4+309&gt;$B$4,"",$A$4+309)</f>
        <v>46332</v>
      </c>
      <c r="N30997">
        <f>IF(M30997="","",'Master Barang'!A91)</f>
        <v>0</v>
      </c>
      <c r="O30997">
        <f>IF(N30997="","",'Master Barang'!B91)</f>
        <v>0</v>
      </c>
      <c r="P30997">
        <f>IF(OR(M30997="",N30997=""),"",SUMIFS('Barang Keluar'!$E:$E,'Barang Keluar'!$A:$A,M30997,'Barang Keluar'!$C:$C,N30997))</f>
        <v>0</v>
      </c>
    </row>
    <row r="30998" spans="13:16">
      <c r="M30998" s="49">
        <f>IF($A$4+309&gt;$B$4,"",$A$4+309)</f>
        <v>46332</v>
      </c>
      <c r="N30998">
        <f>IF(M30998="","",'Master Barang'!A92)</f>
        <v>0</v>
      </c>
      <c r="O30998">
        <f>IF(N30998="","",'Master Barang'!B92)</f>
        <v>0</v>
      </c>
      <c r="P30998">
        <f>IF(OR(M30998="",N30998=""),"",SUMIFS('Barang Keluar'!$E:$E,'Barang Keluar'!$A:$A,M30998,'Barang Keluar'!$C:$C,N30998))</f>
        <v>0</v>
      </c>
    </row>
    <row r="30999" spans="13:16">
      <c r="M30999" s="49">
        <f>IF($A$4+309&gt;$B$4,"",$A$4+309)</f>
        <v>46332</v>
      </c>
      <c r="N30999">
        <f>IF(M30999="","",'Master Barang'!A93)</f>
        <v>0</v>
      </c>
      <c r="O30999">
        <f>IF(N30999="","",'Master Barang'!B93)</f>
        <v>0</v>
      </c>
      <c r="P30999">
        <f>IF(OR(M30999="",N30999=""),"",SUMIFS('Barang Keluar'!$E:$E,'Barang Keluar'!$A:$A,M30999,'Barang Keluar'!$C:$C,N30999))</f>
        <v>0</v>
      </c>
    </row>
    <row r="31000" spans="13:16">
      <c r="M31000" s="49">
        <f>IF($A$4+309&gt;$B$4,"",$A$4+309)</f>
        <v>46332</v>
      </c>
      <c r="N31000">
        <f>IF(M31000="","",'Master Barang'!A94)</f>
        <v>0</v>
      </c>
      <c r="O31000">
        <f>IF(N31000="","",'Master Barang'!B94)</f>
        <v>0</v>
      </c>
      <c r="P31000">
        <f>IF(OR(M31000="",N31000=""),"",SUMIFS('Barang Keluar'!$E:$E,'Barang Keluar'!$A:$A,M31000,'Barang Keluar'!$C:$C,N31000))</f>
        <v>0</v>
      </c>
    </row>
    <row r="31001" spans="13:16">
      <c r="M31001" s="49">
        <f>IF($A$4+309&gt;$B$4,"",$A$4+309)</f>
        <v>46332</v>
      </c>
      <c r="N31001">
        <f>IF(M31001="","",'Master Barang'!A95)</f>
        <v>0</v>
      </c>
      <c r="O31001">
        <f>IF(N31001="","",'Master Barang'!B95)</f>
        <v>0</v>
      </c>
      <c r="P31001">
        <f>IF(OR(M31001="",N31001=""),"",SUMIFS('Barang Keluar'!$E:$E,'Barang Keluar'!$A:$A,M31001,'Barang Keluar'!$C:$C,N31001))</f>
        <v>0</v>
      </c>
    </row>
    <row r="31002" spans="13:16">
      <c r="M31002" s="49">
        <f>IF($A$4+309&gt;$B$4,"",$A$4+309)</f>
        <v>46332</v>
      </c>
      <c r="N31002">
        <f>IF(M31002="","",'Master Barang'!A96)</f>
        <v>0</v>
      </c>
      <c r="O31002">
        <f>IF(N31002="","",'Master Barang'!B96)</f>
        <v>0</v>
      </c>
      <c r="P31002">
        <f>IF(OR(M31002="",N31002=""),"",SUMIFS('Barang Keluar'!$E:$E,'Barang Keluar'!$A:$A,M31002,'Barang Keluar'!$C:$C,N31002))</f>
        <v>0</v>
      </c>
    </row>
    <row r="31003" spans="13:16">
      <c r="M31003" s="49">
        <f>IF($A$4+309&gt;$B$4,"",$A$4+309)</f>
        <v>46332</v>
      </c>
      <c r="N31003">
        <f>IF(M31003="","",'Master Barang'!A97)</f>
        <v>0</v>
      </c>
      <c r="O31003">
        <f>IF(N31003="","",'Master Barang'!B97)</f>
        <v>0</v>
      </c>
      <c r="P31003">
        <f>IF(OR(M31003="",N31003=""),"",SUMIFS('Barang Keluar'!$E:$E,'Barang Keluar'!$A:$A,M31003,'Barang Keluar'!$C:$C,N31003))</f>
        <v>0</v>
      </c>
    </row>
    <row r="31004" spans="13:16">
      <c r="M31004" s="49">
        <f>IF($A$4+309&gt;$B$4,"",$A$4+309)</f>
        <v>46332</v>
      </c>
      <c r="N31004">
        <f>IF(M31004="","",'Master Barang'!A98)</f>
        <v>0</v>
      </c>
      <c r="O31004">
        <f>IF(N31004="","",'Master Barang'!B98)</f>
        <v>0</v>
      </c>
      <c r="P31004">
        <f>IF(OR(M31004="",N31004=""),"",SUMIFS('Barang Keluar'!$E:$E,'Barang Keluar'!$A:$A,M31004,'Barang Keluar'!$C:$C,N31004))</f>
        <v>0</v>
      </c>
    </row>
    <row r="31005" spans="13:16">
      <c r="M31005" s="49">
        <f>IF($A$4+309&gt;$B$4,"",$A$4+309)</f>
        <v>46332</v>
      </c>
      <c r="N31005">
        <f>IF(M31005="","",'Master Barang'!A99)</f>
        <v>0</v>
      </c>
      <c r="O31005">
        <f>IF(N31005="","",'Master Barang'!B99)</f>
        <v>0</v>
      </c>
      <c r="P31005">
        <f>IF(OR(M31005="",N31005=""),"",SUMIFS('Barang Keluar'!$E:$E,'Barang Keluar'!$A:$A,M31005,'Barang Keluar'!$C:$C,N31005))</f>
        <v>0</v>
      </c>
    </row>
    <row r="31006" spans="13:16">
      <c r="M31006" s="49">
        <f>IF($A$4+309&gt;$B$4,"",$A$4+309)</f>
        <v>46332</v>
      </c>
      <c r="N31006">
        <f>IF(M31006="","",'Master Barang'!A100)</f>
        <v>0</v>
      </c>
      <c r="O31006">
        <f>IF(N31006="","",'Master Barang'!B100)</f>
        <v>0</v>
      </c>
      <c r="P31006">
        <f>IF(OR(M31006="",N31006=""),"",SUMIFS('Barang Keluar'!$E:$E,'Barang Keluar'!$A:$A,M31006,'Barang Keluar'!$C:$C,N31006))</f>
        <v>0</v>
      </c>
    </row>
    <row r="31007" spans="13:16">
      <c r="M31007" s="49">
        <f>IF($A$4+309&gt;$B$4,"",$A$4+309)</f>
        <v>46332</v>
      </c>
      <c r="N31007">
        <f>IF(M31007="","",'Master Barang'!A101)</f>
        <v>0</v>
      </c>
      <c r="O31007">
        <f>IF(N31007="","",'Master Barang'!B101)</f>
        <v>0</v>
      </c>
      <c r="P31007">
        <f>IF(OR(M31007="",N31007=""),"",SUMIFS('Barang Keluar'!$E:$E,'Barang Keluar'!$A:$A,M31007,'Barang Keluar'!$C:$C,N31007))</f>
        <v>0</v>
      </c>
    </row>
    <row r="31008" spans="13:16">
      <c r="M31008" s="49">
        <f>IF($A$4+310&gt;$B$4,"",$A$4+310)</f>
        <v>46333</v>
      </c>
      <c r="N31008" t="str">
        <f>IF(M31008="","",'Master Barang'!A2)</f>
        <v>PRL-001</v>
      </c>
      <c r="O31008" t="str">
        <f>IF(N31008="","",'Master Barang'!B2)</f>
        <v>natura desinfectant food grade 5l</v>
      </c>
      <c r="P31008">
        <f>IF(OR(M31008="",N31008=""),"",SUMIFS('Barang Keluar'!$E:$E,'Barang Keluar'!$A:$A,M31008,'Barang Keluar'!$C:$C,N31008))</f>
        <v>0</v>
      </c>
    </row>
    <row r="31009" spans="13:16">
      <c r="M31009" s="49">
        <f>IF($A$4+310&gt;$B$4,"",$A$4+310)</f>
        <v>46333</v>
      </c>
      <c r="N31009" t="str">
        <f>IF(M31009="","",'Master Barang'!A3)</f>
        <v>PRL-002</v>
      </c>
      <c r="O31009" t="str">
        <f>IF(N31009="","",'Master Barang'!B3)</f>
        <v>sunlight cairan pencuci piring 5l</v>
      </c>
      <c r="P31009">
        <f>IF(OR(M31009="",N31009=""),"",SUMIFS('Barang Keluar'!$E:$E,'Barang Keluar'!$A:$A,M31009,'Barang Keluar'!$C:$C,N31009))</f>
        <v>0</v>
      </c>
    </row>
    <row r="31010" spans="13:16">
      <c r="M31010" s="49">
        <f>IF($A$4+310&gt;$B$4,"",$A$4+310)</f>
        <v>46333</v>
      </c>
      <c r="N31010" t="str">
        <f>IF(M31010="","",'Master Barang'!A4)</f>
        <v>PRL-003</v>
      </c>
      <c r="O31010" t="str">
        <f>IF(N31010="","",'Master Barang'!B4)</f>
        <v>oixs cleaner 1l</v>
      </c>
      <c r="P31010">
        <f>IF(OR(M31010="",N31010=""),"",SUMIFS('Barang Keluar'!$E:$E,'Barang Keluar'!$A:$A,M31010,'Barang Keluar'!$C:$C,N31010))</f>
        <v>0</v>
      </c>
    </row>
    <row r="31011" spans="13:16">
      <c r="M31011" s="49">
        <f>IF($A$4+310&gt;$B$4,"",$A$4+310)</f>
        <v>46333</v>
      </c>
      <c r="N31011" t="str">
        <f>IF(M31011="","",'Master Barang'!A5)</f>
        <v>PRL-004</v>
      </c>
      <c r="O31011" t="str">
        <f>IF(N31011="","",'Master Barang'!B5)</f>
        <v>be clean tissue serbaguna</v>
      </c>
      <c r="P31011">
        <f>IF(OR(M31011="",N31011=""),"",SUMIFS('Barang Keluar'!$E:$E,'Barang Keluar'!$A:$A,M31011,'Barang Keluar'!$C:$C,N31011))</f>
        <v>0</v>
      </c>
    </row>
    <row r="31012" spans="13:16">
      <c r="M31012" s="49">
        <f>IF($A$4+310&gt;$B$4,"",$A$4+310)</f>
        <v>46333</v>
      </c>
      <c r="N31012" t="str">
        <f>IF(M31012="","",'Master Barang'!A6)</f>
        <v>PRL-005</v>
      </c>
      <c r="O31012" t="str">
        <f>IF(N31012="","",'Master Barang'!B6)</f>
        <v>spons cuci hijau</v>
      </c>
      <c r="P31012">
        <f>IF(OR(M31012="",N31012=""),"",SUMIFS('Barang Keluar'!$E:$E,'Barang Keluar'!$A:$A,M31012,'Barang Keluar'!$C:$C,N31012))</f>
        <v>0</v>
      </c>
    </row>
    <row r="31013" spans="13:16">
      <c r="M31013" s="49">
        <f>IF($A$4+310&gt;$B$4,"",$A$4+310)</f>
        <v>46333</v>
      </c>
      <c r="N31013" t="str">
        <f>IF(M31013="","",'Master Barang'!A7)</f>
        <v>PRL-006</v>
      </c>
      <c r="O31013" t="str">
        <f>IF(N31013="","",'Master Barang'!B7)</f>
        <v>sabut cuci stainless</v>
      </c>
      <c r="P31013">
        <f>IF(OR(M31013="",N31013=""),"",SUMIFS('Barang Keluar'!$E:$E,'Barang Keluar'!$A:$A,M31013,'Barang Keluar'!$C:$C,N31013))</f>
        <v>0</v>
      </c>
    </row>
    <row r="31014" spans="13:16">
      <c r="M31014" s="49">
        <f>IF($A$4+310&gt;$B$4,"",$A$4+310)</f>
        <v>46333</v>
      </c>
      <c r="N31014" t="str">
        <f>IF(M31014="","",'Master Barang'!A8)</f>
        <v>PRL-007</v>
      </c>
      <c r="O31014" t="str">
        <f>IF(N31014="","",'Master Barang'!B8)</f>
        <v>plastik kresek besar merah 50pc</v>
      </c>
      <c r="P31014">
        <f>IF(OR(M31014="",N31014=""),"",SUMIFS('Barang Keluar'!$E:$E,'Barang Keluar'!$A:$A,M31014,'Barang Keluar'!$C:$C,N31014))</f>
        <v>0</v>
      </c>
    </row>
    <row r="31015" spans="13:16">
      <c r="M31015" s="49">
        <f>IF($A$4+310&gt;$B$4,"",$A$4+310)</f>
        <v>46333</v>
      </c>
      <c r="N31015" t="str">
        <f>IF(M31015="","",'Master Barang'!A9)</f>
        <v>PRL-008</v>
      </c>
      <c r="O31015" t="str">
        <f>IF(N31015="","",'Master Barang'!B9)</f>
        <v>lap besar</v>
      </c>
      <c r="P31015">
        <f>IF(OR(M31015="",N31015=""),"",SUMIFS('Barang Keluar'!$E:$E,'Barang Keluar'!$A:$A,M31015,'Barang Keluar'!$C:$C,N31015))</f>
        <v>0</v>
      </c>
    </row>
    <row r="31016" spans="13:16">
      <c r="M31016" s="49">
        <f>IF($A$4+310&gt;$B$4,"",$A$4+310)</f>
        <v>46333</v>
      </c>
      <c r="N31016" t="str">
        <f>IF(M31016="","",'Master Barang'!A10)</f>
        <v>PRL-009</v>
      </c>
      <c r="O31016" t="str">
        <f>IF(N31016="","",'Master Barang'!B10)</f>
        <v>lap microfiber</v>
      </c>
      <c r="P31016">
        <f>IF(OR(M31016="",N31016=""),"",SUMIFS('Barang Keluar'!$E:$E,'Barang Keluar'!$A:$A,M31016,'Barang Keluar'!$C:$C,N31016))</f>
        <v>0</v>
      </c>
    </row>
    <row r="31017" spans="13:16">
      <c r="M31017" s="49">
        <f>IF($A$4+310&gt;$B$4,"",$A$4+310)</f>
        <v>46333</v>
      </c>
      <c r="N31017" t="str">
        <f>IF(M31017="","",'Master Barang'!A11)</f>
        <v>PRL-010</v>
      </c>
      <c r="O31017" t="str">
        <f>IF(N31017="","",'Master Barang'!B11)</f>
        <v>lap kecil</v>
      </c>
      <c r="P31017">
        <f>IF(OR(M31017="",N31017=""),"",SUMIFS('Barang Keluar'!$E:$E,'Barang Keluar'!$A:$A,M31017,'Barang Keluar'!$C:$C,N31017))</f>
        <v>0</v>
      </c>
    </row>
    <row r="31018" spans="13:16">
      <c r="M31018" s="49">
        <f>IF($A$4+310&gt;$B$4,"",$A$4+310)</f>
        <v>46333</v>
      </c>
      <c r="N31018" t="str">
        <f>IF(M31018="","",'Master Barang'!A12)</f>
        <v>PRL-011</v>
      </c>
      <c r="O31018" t="str">
        <f>IF(N31018="","",'Master Barang'!B12)</f>
        <v>kanebo kecil</v>
      </c>
      <c r="P31018">
        <f>IF(OR(M31018="",N31018=""),"",SUMIFS('Barang Keluar'!$E:$E,'Barang Keluar'!$A:$A,M31018,'Barang Keluar'!$C:$C,N31018))</f>
        <v>0</v>
      </c>
    </row>
    <row r="31019" spans="13:16">
      <c r="M31019" s="49">
        <f>IF($A$4+310&gt;$B$4,"",$A$4+310)</f>
        <v>46333</v>
      </c>
      <c r="N31019" t="str">
        <f>IF(M31019="","",'Master Barang'!A13)</f>
        <v>PRL-012</v>
      </c>
      <c r="O31019" t="str">
        <f>IF(N31019="","",'Master Barang'!B13)</f>
        <v>plastik 1/4kg joyoboyo 100 lembar</v>
      </c>
      <c r="P31019">
        <f>IF(OR(M31019="",N31019=""),"",SUMIFS('Barang Keluar'!$E:$E,'Barang Keluar'!$A:$A,M31019,'Barang Keluar'!$C:$C,N31019))</f>
        <v>0</v>
      </c>
    </row>
    <row r="31020" spans="13:16">
      <c r="M31020" s="49">
        <f>IF($A$4+310&gt;$B$4,"",$A$4+310)</f>
        <v>46333</v>
      </c>
      <c r="N31020" t="str">
        <f>IF(M31020="","",'Master Barang'!A14)</f>
        <v>PRL-013</v>
      </c>
      <c r="O31020" t="str">
        <f>IF(N31020="","",'Master Barang'!B14)</f>
        <v>sarung tangan plastik kaka 100 pcs</v>
      </c>
      <c r="P31020">
        <f>IF(OR(M31020="",N31020=""),"",SUMIFS('Barang Keluar'!$E:$E,'Barang Keluar'!$A:$A,M31020,'Barang Keluar'!$C:$C,N31020))</f>
        <v>0</v>
      </c>
    </row>
    <row r="31021" spans="13:16">
      <c r="M31021" s="49">
        <f>IF($A$4+310&gt;$B$4,"",$A$4+310)</f>
        <v>46333</v>
      </c>
      <c r="N31021" t="str">
        <f>IF(M31021="","",'Master Barang'!A15)</f>
        <v>PRL-014</v>
      </c>
      <c r="O31021" t="str">
        <f>IF(N31021="","",'Master Barang'!B15)</f>
        <v>optima trashbag 80x100</v>
      </c>
      <c r="P31021">
        <f>IF(OR(M31021="",N31021=""),"",SUMIFS('Barang Keluar'!$E:$E,'Barang Keluar'!$A:$A,M31021,'Barang Keluar'!$C:$C,N31021))</f>
        <v>0</v>
      </c>
    </row>
    <row r="31022" spans="13:16">
      <c r="M31022" s="49">
        <f>IF($A$4+310&gt;$B$4,"",$A$4+310)</f>
        <v>46333</v>
      </c>
      <c r="N31022" t="str">
        <f>IF(M31022="","",'Master Barang'!A16)</f>
        <v>PRL-015</v>
      </c>
      <c r="O31022" t="str">
        <f>IF(N31022="","",'Master Barang'!B16)</f>
        <v>optima trashbag 60x100</v>
      </c>
      <c r="P31022">
        <f>IF(OR(M31022="",N31022=""),"",SUMIFS('Barang Keluar'!$E:$E,'Barang Keluar'!$A:$A,M31022,'Barang Keluar'!$C:$C,N31022))</f>
        <v>0</v>
      </c>
    </row>
    <row r="31023" spans="13:16">
      <c r="M31023" s="49">
        <f>IF($A$4+310&gt;$B$4,"",$A$4+310)</f>
        <v>46333</v>
      </c>
      <c r="N31023" t="str">
        <f>IF(M31023="","",'Master Barang'!A17)</f>
        <v>PRL-016</v>
      </c>
      <c r="O31023" t="str">
        <f>IF(N31023="","",'Master Barang'!B17)</f>
        <v>rajawali trashbag 30x40</v>
      </c>
      <c r="P31023">
        <f>IF(OR(M31023="",N31023=""),"",SUMIFS('Barang Keluar'!$E:$E,'Barang Keluar'!$A:$A,M31023,'Barang Keluar'!$C:$C,N31023))</f>
        <v>0</v>
      </c>
    </row>
    <row r="31024" spans="13:16">
      <c r="M31024" s="49">
        <f>IF($A$4+310&gt;$B$4,"",$A$4+310)</f>
        <v>46333</v>
      </c>
      <c r="N31024" t="str">
        <f>IF(M31024="","",'Master Barang'!A18)</f>
        <v>PRL-017</v>
      </c>
      <c r="O31024" t="str">
        <f>IF(N31024="","",'Master Barang'!B18)</f>
        <v>onemed masker biru 3 play 50 pcs</v>
      </c>
      <c r="P31024">
        <f>IF(OR(M31024="",N31024=""),"",SUMIFS('Barang Keluar'!$E:$E,'Barang Keluar'!$A:$A,M31024,'Barang Keluar'!$C:$C,N31024))</f>
        <v>0</v>
      </c>
    </row>
    <row r="31025" spans="13:16">
      <c r="M31025" s="49">
        <f>IF($A$4+310&gt;$B$4,"",$A$4+310)</f>
        <v>46333</v>
      </c>
      <c r="N31025" t="str">
        <f>IF(M31025="","",'Master Barang'!A19)</f>
        <v>PRL-018</v>
      </c>
      <c r="O31025" t="str">
        <f>IF(N31025="","",'Master Barang'!B19)</f>
        <v>onemed masker biru 3 play hijab 50 pcs</v>
      </c>
      <c r="P31025">
        <f>IF(OR(M31025="",N31025=""),"",SUMIFS('Barang Keluar'!$E:$E,'Barang Keluar'!$A:$A,M31025,'Barang Keluar'!$C:$C,N31025))</f>
        <v>0</v>
      </c>
    </row>
    <row r="31026" spans="13:16">
      <c r="M31026" s="49">
        <f>IF($A$4+310&gt;$B$4,"",$A$4+310)</f>
        <v>46333</v>
      </c>
      <c r="N31026" t="str">
        <f>IF(M31026="","",'Master Barang'!A20)</f>
        <v>PRL-019</v>
      </c>
      <c r="O31026" t="str">
        <f>IF(N31026="","",'Master Barang'!B20)</f>
        <v>neo health masker biru 3 play 50 pcs</v>
      </c>
      <c r="P31026">
        <f>IF(OR(M31026="",N31026=""),"",SUMIFS('Barang Keluar'!$E:$E,'Barang Keluar'!$A:$A,M31026,'Barang Keluar'!$C:$C,N31026))</f>
        <v>0</v>
      </c>
    </row>
    <row r="31027" spans="13:16">
      <c r="M31027" s="49">
        <f>IF($A$4+310&gt;$B$4,"",$A$4+310)</f>
        <v>46333</v>
      </c>
      <c r="N31027" t="str">
        <f>IF(M31027="","",'Master Barang'!A21)</f>
        <v>PRL-020</v>
      </c>
      <c r="O31027" t="str">
        <f>IF(N31027="","",'Master Barang'!B21)</f>
        <v>baymed masker hijau 3 play hijau 50 pcs</v>
      </c>
      <c r="P31027">
        <f>IF(OR(M31027="",N31027=""),"",SUMIFS('Barang Keluar'!$E:$E,'Barang Keluar'!$A:$A,M31027,'Barang Keluar'!$C:$C,N31027))</f>
        <v>0</v>
      </c>
    </row>
    <row r="31028" spans="13:16">
      <c r="M31028" s="49">
        <f>IF($A$4+310&gt;$B$4,"",$A$4+310)</f>
        <v>46333</v>
      </c>
      <c r="N31028" t="str">
        <f>IF(M31028="","",'Master Barang'!A22)</f>
        <v>PRL-021</v>
      </c>
      <c r="O31028" t="str">
        <f>IF(N31028="","",'Master Barang'!B22)</f>
        <v>altamed nurse cap penutup kepala 100 pcs</v>
      </c>
      <c r="P31028">
        <f>IF(OR(M31028="",N31028=""),"",SUMIFS('Barang Keluar'!$E:$E,'Barang Keluar'!$A:$A,M31028,'Barang Keluar'!$C:$C,N31028))</f>
        <v>0</v>
      </c>
    </row>
    <row r="31029" spans="13:16">
      <c r="M31029" s="49">
        <f>IF($A$4+310&gt;$B$4,"",$A$4+310)</f>
        <v>46333</v>
      </c>
      <c r="N31029" t="str">
        <f>IF(M31029="","",'Master Barang'!A23)</f>
        <v>PRL-022</v>
      </c>
      <c r="O31029" t="str">
        <f>IF(N31029="","",'Master Barang'!B23)</f>
        <v>sabun cuci tangan</v>
      </c>
      <c r="P31029">
        <f>IF(OR(M31029="",N31029=""),"",SUMIFS('Barang Keluar'!$E:$E,'Barang Keluar'!$A:$A,M31029,'Barang Keluar'!$C:$C,N31029))</f>
        <v>0</v>
      </c>
    </row>
    <row r="31030" spans="13:16">
      <c r="M31030" s="49">
        <f>IF($A$4+310&gt;$B$4,"",$A$4+310)</f>
        <v>46333</v>
      </c>
      <c r="N31030" t="str">
        <f>IF(M31030="","",'Master Barang'!A24)</f>
        <v>PRL-023</v>
      </c>
      <c r="O31030" t="str">
        <f>IF(N31030="","",'Master Barang'!B24)</f>
        <v>gayung kecil</v>
      </c>
      <c r="P31030">
        <f>IF(OR(M31030="",N31030=""),"",SUMIFS('Barang Keluar'!$E:$E,'Barang Keluar'!$A:$A,M31030,'Barang Keluar'!$C:$C,N31030))</f>
        <v>0</v>
      </c>
    </row>
    <row r="31031" spans="13:16">
      <c r="M31031" s="49">
        <f>IF($A$4+310&gt;$B$4,"",$A$4+310)</f>
        <v>46333</v>
      </c>
      <c r="N31031" t="str">
        <f>IF(M31031="","",'Master Barang'!A25)</f>
        <v>PRL-024</v>
      </c>
      <c r="O31031" t="str">
        <f>IF(N31031="","",'Master Barang'!B25)</f>
        <v>cikrak kecil</v>
      </c>
      <c r="P31031">
        <f>IF(OR(M31031="",N31031=""),"",SUMIFS('Barang Keluar'!$E:$E,'Barang Keluar'!$A:$A,M31031,'Barang Keluar'!$C:$C,N31031))</f>
        <v>0</v>
      </c>
    </row>
    <row r="31032" spans="13:16">
      <c r="M31032" s="49">
        <f>IF($A$4+310&gt;$B$4,"",$A$4+310)</f>
        <v>46333</v>
      </c>
      <c r="N31032" t="str">
        <f>IF(M31032="","",'Master Barang'!A26)</f>
        <v>PRL-025</v>
      </c>
      <c r="O31032" t="str">
        <f>IF(N31032="","",'Master Barang'!B26)</f>
        <v>petromax plastik kecil 12x24 100 lembar</v>
      </c>
      <c r="P31032">
        <f>IF(OR(M31032="",N31032=""),"",SUMIFS('Barang Keluar'!$E:$E,'Barang Keluar'!$A:$A,M31032,'Barang Keluar'!$C:$C,N31032))</f>
        <v>0</v>
      </c>
    </row>
    <row r="31033" spans="13:16">
      <c r="M31033" s="49">
        <f>IF($A$4+310&gt;$B$4,"",$A$4+310)</f>
        <v>46333</v>
      </c>
      <c r="N31033" t="str">
        <f>IF(M31033="","",'Master Barang'!A27)</f>
        <v>PRL-026</v>
      </c>
      <c r="O31033" t="str">
        <f>IF(N31033="","",'Master Barang'!B27)</f>
        <v>lancar kresek kecil bening </v>
      </c>
      <c r="P31033">
        <f>IF(OR(M31033="",N31033=""),"",SUMIFS('Barang Keluar'!$E:$E,'Barang Keluar'!$A:$A,M31033,'Barang Keluar'!$C:$C,N31033))</f>
        <v>0</v>
      </c>
    </row>
    <row r="31034" spans="13:16">
      <c r="M31034" s="49">
        <f>IF($A$4+310&gt;$B$4,"",$A$4+310)</f>
        <v>46333</v>
      </c>
      <c r="N31034" t="str">
        <f>IF(M31034="","",'Master Barang'!A28)</f>
        <v>PRL-027</v>
      </c>
      <c r="O31034" t="str">
        <f>IF(N31034="","",'Master Barang'!B28)</f>
        <v>kresek klin warna warni kecil</v>
      </c>
      <c r="P31034">
        <f>IF(OR(M31034="",N31034=""),"",SUMIFS('Barang Keluar'!$E:$E,'Barang Keluar'!$A:$A,M31034,'Barang Keluar'!$C:$C,N31034))</f>
        <v>0</v>
      </c>
    </row>
    <row r="31035" spans="13:16">
      <c r="M31035" s="49">
        <f>IF($A$4+310&gt;$B$4,"",$A$4+310)</f>
        <v>46333</v>
      </c>
      <c r="N31035" t="str">
        <f>IF(M31035="","",'Master Barang'!A29)</f>
        <v>PRL-028</v>
      </c>
      <c r="O31035" t="str">
        <f>IF(N31035="","",'Master Barang'!B29)</f>
        <v>ctik plastik 7x10 100 pcs</v>
      </c>
      <c r="P31035">
        <f>IF(OR(M31035="",N31035=""),"",SUMIFS('Barang Keluar'!$E:$E,'Barang Keluar'!$A:$A,M31035,'Barang Keluar'!$C:$C,N31035))</f>
        <v>0</v>
      </c>
    </row>
    <row r="31036" spans="13:16">
      <c r="M31036" s="49">
        <f>IF($A$4+310&gt;$B$4,"",$A$4+310)</f>
        <v>46333</v>
      </c>
      <c r="N31036" t="str">
        <f>IF(M31036="","",'Master Barang'!A30)</f>
        <v>PRL-029</v>
      </c>
      <c r="O31036" t="str">
        <f>IF(N31036="","",'Master Barang'!B30)</f>
        <v>ctik plastik 6x10 100 pcs</v>
      </c>
      <c r="P31036">
        <f>IF(OR(M31036="",N31036=""),"",SUMIFS('Barang Keluar'!$E:$E,'Barang Keluar'!$A:$A,M31036,'Barang Keluar'!$C:$C,N31036))</f>
        <v>0</v>
      </c>
    </row>
    <row r="31037" spans="13:16">
      <c r="M31037" s="49">
        <f>IF($A$4+310&gt;$B$4,"",$A$4+310)</f>
        <v>46333</v>
      </c>
      <c r="N31037" t="str">
        <f>IF(M31037="","",'Master Barang'!A31)</f>
        <v>PRL-030</v>
      </c>
      <c r="O31037" t="str">
        <f>IF(N31037="","",'Master Barang'!B31)</f>
        <v>klip plastik 25x16 100 pcs</v>
      </c>
      <c r="P31037">
        <f>IF(OR(M31037="",N31037=""),"",SUMIFS('Barang Keluar'!$E:$E,'Barang Keluar'!$A:$A,M31037,'Barang Keluar'!$C:$C,N31037))</f>
        <v>0</v>
      </c>
    </row>
    <row r="31038" spans="13:16">
      <c r="M31038" s="49">
        <f>IF($A$4+310&gt;$B$4,"",$A$4+310)</f>
        <v>46333</v>
      </c>
      <c r="N31038" t="str">
        <f>IF(M31038="","",'Master Barang'!A32)</f>
        <v>PRL-031</v>
      </c>
      <c r="O31038" t="str">
        <f>IF(N31038="","",'Master Barang'!B32)</f>
        <v>tempat saus 20 ml</v>
      </c>
      <c r="P31038">
        <f>IF(OR(M31038="",N31038=""),"",SUMIFS('Barang Keluar'!$E:$E,'Barang Keluar'!$A:$A,M31038,'Barang Keluar'!$C:$C,N31038))</f>
        <v>0</v>
      </c>
    </row>
    <row r="31039" spans="13:16">
      <c r="M31039" s="49">
        <f>IF($A$4+310&gt;$B$4,"",$A$4+310)</f>
        <v>46333</v>
      </c>
      <c r="N31039" t="str">
        <f>IF(M31039="","",'Master Barang'!A33)</f>
        <v>PRL-032</v>
      </c>
      <c r="O31039" t="str">
        <f>IF(N31039="","",'Master Barang'!B33)</f>
        <v>plastik packaging ag box uk sedang</v>
      </c>
      <c r="P31039">
        <f>IF(OR(M31039="",N31039=""),"",SUMIFS('Barang Keluar'!$E:$E,'Barang Keluar'!$A:$A,M31039,'Barang Keluar'!$C:$C,N31039))</f>
        <v>0</v>
      </c>
    </row>
    <row r="31040" spans="13:16">
      <c r="M31040" s="49">
        <f>IF($A$4+310&gt;$B$4,"",$A$4+310)</f>
        <v>46333</v>
      </c>
      <c r="N31040" t="str">
        <f>IF(M31040="","",'Master Barang'!A34)</f>
        <v>PRL-033</v>
      </c>
      <c r="O31040">
        <f>IF(N31040="","",'Master Barang'!B34)</f>
        <v>0</v>
      </c>
      <c r="P31040">
        <f>IF(OR(M31040="",N31040=""),"",SUMIFS('Barang Keluar'!$E:$E,'Barang Keluar'!$A:$A,M31040,'Barang Keluar'!$C:$C,N31040))</f>
        <v>0</v>
      </c>
    </row>
    <row r="31041" spans="13:16">
      <c r="M31041" s="49">
        <f>IF($A$4+310&gt;$B$4,"",$A$4+310)</f>
        <v>46333</v>
      </c>
      <c r="N31041">
        <f>IF(M31041="","",'Master Barang'!A35)</f>
        <v>0</v>
      </c>
      <c r="O31041">
        <f>IF(N31041="","",'Master Barang'!B35)</f>
        <v>0</v>
      </c>
      <c r="P31041">
        <f>IF(OR(M31041="",N31041=""),"",SUMIFS('Barang Keluar'!$E:$E,'Barang Keluar'!$A:$A,M31041,'Barang Keluar'!$C:$C,N31041))</f>
        <v>0</v>
      </c>
    </row>
    <row r="31042" spans="13:16">
      <c r="M31042" s="49">
        <f>IF($A$4+310&gt;$B$4,"",$A$4+310)</f>
        <v>46333</v>
      </c>
      <c r="N31042">
        <f>IF(M31042="","",'Master Barang'!A36)</f>
        <v>0</v>
      </c>
      <c r="O31042">
        <f>IF(N31042="","",'Master Barang'!B36)</f>
        <v>0</v>
      </c>
      <c r="P31042">
        <f>IF(OR(M31042="",N31042=""),"",SUMIFS('Barang Keluar'!$E:$E,'Barang Keluar'!$A:$A,M31042,'Barang Keluar'!$C:$C,N31042))</f>
        <v>0</v>
      </c>
    </row>
    <row r="31043" spans="13:16">
      <c r="M31043" s="49">
        <f>IF($A$4+310&gt;$B$4,"",$A$4+310)</f>
        <v>46333</v>
      </c>
      <c r="N31043">
        <f>IF(M31043="","",'Master Barang'!A37)</f>
        <v>0</v>
      </c>
      <c r="O31043">
        <f>IF(N31043="","",'Master Barang'!B37)</f>
        <v>0</v>
      </c>
      <c r="P31043">
        <f>IF(OR(M31043="",N31043=""),"",SUMIFS('Barang Keluar'!$E:$E,'Barang Keluar'!$A:$A,M31043,'Barang Keluar'!$C:$C,N31043))</f>
        <v>0</v>
      </c>
    </row>
    <row r="31044" spans="13:16">
      <c r="M31044" s="49">
        <f>IF($A$4+310&gt;$B$4,"",$A$4+310)</f>
        <v>46333</v>
      </c>
      <c r="N31044">
        <f>IF(M31044="","",'Master Barang'!A38)</f>
        <v>0</v>
      </c>
      <c r="O31044">
        <f>IF(N31044="","",'Master Barang'!B38)</f>
        <v>0</v>
      </c>
      <c r="P31044">
        <f>IF(OR(M31044="",N31044=""),"",SUMIFS('Barang Keluar'!$E:$E,'Barang Keluar'!$A:$A,M31044,'Barang Keluar'!$C:$C,N31044))</f>
        <v>0</v>
      </c>
    </row>
    <row r="31045" spans="13:16">
      <c r="M31045" s="49">
        <f>IF($A$4+310&gt;$B$4,"",$A$4+310)</f>
        <v>46333</v>
      </c>
      <c r="N31045">
        <f>IF(M31045="","",'Master Barang'!A39)</f>
        <v>0</v>
      </c>
      <c r="O31045">
        <f>IF(N31045="","",'Master Barang'!B39)</f>
        <v>0</v>
      </c>
      <c r="P31045">
        <f>IF(OR(M31045="",N31045=""),"",SUMIFS('Barang Keluar'!$E:$E,'Barang Keluar'!$A:$A,M31045,'Barang Keluar'!$C:$C,N31045))</f>
        <v>0</v>
      </c>
    </row>
    <row r="31046" spans="13:16">
      <c r="M31046" s="49">
        <f>IF($A$4+310&gt;$B$4,"",$A$4+310)</f>
        <v>46333</v>
      </c>
      <c r="N31046">
        <f>IF(M31046="","",'Master Barang'!A40)</f>
        <v>0</v>
      </c>
      <c r="O31046">
        <f>IF(N31046="","",'Master Barang'!B40)</f>
        <v>0</v>
      </c>
      <c r="P31046">
        <f>IF(OR(M31046="",N31046=""),"",SUMIFS('Barang Keluar'!$E:$E,'Barang Keluar'!$A:$A,M31046,'Barang Keluar'!$C:$C,N31046))</f>
        <v>0</v>
      </c>
    </row>
    <row r="31047" spans="13:16">
      <c r="M31047" s="49">
        <f>IF($A$4+310&gt;$B$4,"",$A$4+310)</f>
        <v>46333</v>
      </c>
      <c r="N31047">
        <f>IF(M31047="","",'Master Barang'!A41)</f>
        <v>0</v>
      </c>
      <c r="O31047">
        <f>IF(N31047="","",'Master Barang'!B41)</f>
        <v>0</v>
      </c>
      <c r="P31047">
        <f>IF(OR(M31047="",N31047=""),"",SUMIFS('Barang Keluar'!$E:$E,'Barang Keluar'!$A:$A,M31047,'Barang Keluar'!$C:$C,N31047))</f>
        <v>0</v>
      </c>
    </row>
    <row r="31048" spans="13:16">
      <c r="M31048" s="49">
        <f>IF($A$4+310&gt;$B$4,"",$A$4+310)</f>
        <v>46333</v>
      </c>
      <c r="N31048">
        <f>IF(M31048="","",'Master Barang'!A42)</f>
        <v>0</v>
      </c>
      <c r="O31048">
        <f>IF(N31048="","",'Master Barang'!B42)</f>
        <v>0</v>
      </c>
      <c r="P31048">
        <f>IF(OR(M31048="",N31048=""),"",SUMIFS('Barang Keluar'!$E:$E,'Barang Keluar'!$A:$A,M31048,'Barang Keluar'!$C:$C,N31048))</f>
        <v>0</v>
      </c>
    </row>
    <row r="31049" spans="13:16">
      <c r="M31049" s="49">
        <f>IF($A$4+310&gt;$B$4,"",$A$4+310)</f>
        <v>46333</v>
      </c>
      <c r="N31049">
        <f>IF(M31049="","",'Master Barang'!A43)</f>
        <v>0</v>
      </c>
      <c r="O31049">
        <f>IF(N31049="","",'Master Barang'!B43)</f>
        <v>0</v>
      </c>
      <c r="P31049">
        <f>IF(OR(M31049="",N31049=""),"",SUMIFS('Barang Keluar'!$E:$E,'Barang Keluar'!$A:$A,M31049,'Barang Keluar'!$C:$C,N31049))</f>
        <v>0</v>
      </c>
    </row>
    <row r="31050" spans="13:16">
      <c r="M31050" s="49">
        <f>IF($A$4+310&gt;$B$4,"",$A$4+310)</f>
        <v>46333</v>
      </c>
      <c r="N31050">
        <f>IF(M31050="","",'Master Barang'!A44)</f>
        <v>0</v>
      </c>
      <c r="O31050">
        <f>IF(N31050="","",'Master Barang'!B44)</f>
        <v>0</v>
      </c>
      <c r="P31050">
        <f>IF(OR(M31050="",N31050=""),"",SUMIFS('Barang Keluar'!$E:$E,'Barang Keluar'!$A:$A,M31050,'Barang Keluar'!$C:$C,N31050))</f>
        <v>0</v>
      </c>
    </row>
    <row r="31051" spans="13:16">
      <c r="M31051" s="49">
        <f>IF($A$4+310&gt;$B$4,"",$A$4+310)</f>
        <v>46333</v>
      </c>
      <c r="N31051">
        <f>IF(M31051="","",'Master Barang'!A45)</f>
        <v>0</v>
      </c>
      <c r="O31051">
        <f>IF(N31051="","",'Master Barang'!B45)</f>
        <v>0</v>
      </c>
      <c r="P31051">
        <f>IF(OR(M31051="",N31051=""),"",SUMIFS('Barang Keluar'!$E:$E,'Barang Keluar'!$A:$A,M31051,'Barang Keluar'!$C:$C,N31051))</f>
        <v>0</v>
      </c>
    </row>
    <row r="31052" spans="13:16">
      <c r="M31052" s="49">
        <f>IF($A$4+310&gt;$B$4,"",$A$4+310)</f>
        <v>46333</v>
      </c>
      <c r="N31052">
        <f>IF(M31052="","",'Master Barang'!A46)</f>
        <v>0</v>
      </c>
      <c r="O31052">
        <f>IF(N31052="","",'Master Barang'!B46)</f>
        <v>0</v>
      </c>
      <c r="P31052">
        <f>IF(OR(M31052="",N31052=""),"",SUMIFS('Barang Keluar'!$E:$E,'Barang Keluar'!$A:$A,M31052,'Barang Keluar'!$C:$C,N31052))</f>
        <v>0</v>
      </c>
    </row>
    <row r="31053" spans="13:16">
      <c r="M31053" s="49">
        <f>IF($A$4+310&gt;$B$4,"",$A$4+310)</f>
        <v>46333</v>
      </c>
      <c r="N31053">
        <f>IF(M31053="","",'Master Barang'!A47)</f>
        <v>0</v>
      </c>
      <c r="O31053">
        <f>IF(N31053="","",'Master Barang'!B47)</f>
        <v>0</v>
      </c>
      <c r="P31053">
        <f>IF(OR(M31053="",N31053=""),"",SUMIFS('Barang Keluar'!$E:$E,'Barang Keluar'!$A:$A,M31053,'Barang Keluar'!$C:$C,N31053))</f>
        <v>0</v>
      </c>
    </row>
    <row r="31054" spans="13:16">
      <c r="M31054" s="49">
        <f>IF($A$4+310&gt;$B$4,"",$A$4+310)</f>
        <v>46333</v>
      </c>
      <c r="N31054">
        <f>IF(M31054="","",'Master Barang'!A48)</f>
        <v>0</v>
      </c>
      <c r="O31054">
        <f>IF(N31054="","",'Master Barang'!B48)</f>
        <v>0</v>
      </c>
      <c r="P31054">
        <f>IF(OR(M31054="",N31054=""),"",SUMIFS('Barang Keluar'!$E:$E,'Barang Keluar'!$A:$A,M31054,'Barang Keluar'!$C:$C,N31054))</f>
        <v>0</v>
      </c>
    </row>
    <row r="31055" spans="13:16">
      <c r="M31055" s="49">
        <f>IF($A$4+310&gt;$B$4,"",$A$4+310)</f>
        <v>46333</v>
      </c>
      <c r="N31055">
        <f>IF(M31055="","",'Master Barang'!A49)</f>
        <v>0</v>
      </c>
      <c r="O31055">
        <f>IF(N31055="","",'Master Barang'!B49)</f>
        <v>0</v>
      </c>
      <c r="P31055">
        <f>IF(OR(M31055="",N31055=""),"",SUMIFS('Barang Keluar'!$E:$E,'Barang Keluar'!$A:$A,M31055,'Barang Keluar'!$C:$C,N31055))</f>
        <v>0</v>
      </c>
    </row>
    <row r="31056" spans="13:16">
      <c r="M31056" s="49">
        <f>IF($A$4+310&gt;$B$4,"",$A$4+310)</f>
        <v>46333</v>
      </c>
      <c r="N31056">
        <f>IF(M31056="","",'Master Barang'!A50)</f>
        <v>0</v>
      </c>
      <c r="O31056">
        <f>IF(N31056="","",'Master Barang'!B50)</f>
        <v>0</v>
      </c>
      <c r="P31056">
        <f>IF(OR(M31056="",N31056=""),"",SUMIFS('Barang Keluar'!$E:$E,'Barang Keluar'!$A:$A,M31056,'Barang Keluar'!$C:$C,N31056))</f>
        <v>0</v>
      </c>
    </row>
    <row r="31057" spans="13:16">
      <c r="M31057" s="49">
        <f>IF($A$4+310&gt;$B$4,"",$A$4+310)</f>
        <v>46333</v>
      </c>
      <c r="N31057">
        <f>IF(M31057="","",'Master Barang'!A51)</f>
        <v>0</v>
      </c>
      <c r="O31057">
        <f>IF(N31057="","",'Master Barang'!B51)</f>
        <v>0</v>
      </c>
      <c r="P31057">
        <f>IF(OR(M31057="",N31057=""),"",SUMIFS('Barang Keluar'!$E:$E,'Barang Keluar'!$A:$A,M31057,'Barang Keluar'!$C:$C,N31057))</f>
        <v>0</v>
      </c>
    </row>
    <row r="31058" spans="13:16">
      <c r="M31058" s="49">
        <f>IF($A$4+310&gt;$B$4,"",$A$4+310)</f>
        <v>46333</v>
      </c>
      <c r="N31058">
        <f>IF(M31058="","",'Master Barang'!A52)</f>
        <v>0</v>
      </c>
      <c r="O31058">
        <f>IF(N31058="","",'Master Barang'!B52)</f>
        <v>0</v>
      </c>
      <c r="P31058">
        <f>IF(OR(M31058="",N31058=""),"",SUMIFS('Barang Keluar'!$E:$E,'Barang Keluar'!$A:$A,M31058,'Barang Keluar'!$C:$C,N31058))</f>
        <v>0</v>
      </c>
    </row>
    <row r="31059" spans="13:16">
      <c r="M31059" s="49">
        <f>IF($A$4+310&gt;$B$4,"",$A$4+310)</f>
        <v>46333</v>
      </c>
      <c r="N31059">
        <f>IF(M31059="","",'Master Barang'!A53)</f>
        <v>0</v>
      </c>
      <c r="O31059">
        <f>IF(N31059="","",'Master Barang'!B53)</f>
        <v>0</v>
      </c>
      <c r="P31059">
        <f>IF(OR(M31059="",N31059=""),"",SUMIFS('Barang Keluar'!$E:$E,'Barang Keluar'!$A:$A,M31059,'Barang Keluar'!$C:$C,N31059))</f>
        <v>0</v>
      </c>
    </row>
    <row r="31060" spans="13:16">
      <c r="M31060" s="49">
        <f>IF($A$4+310&gt;$B$4,"",$A$4+310)</f>
        <v>46333</v>
      </c>
      <c r="N31060">
        <f>IF(M31060="","",'Master Barang'!A54)</f>
        <v>0</v>
      </c>
      <c r="O31060">
        <f>IF(N31060="","",'Master Barang'!B54)</f>
        <v>0</v>
      </c>
      <c r="P31060">
        <f>IF(OR(M31060="",N31060=""),"",SUMIFS('Barang Keluar'!$E:$E,'Barang Keluar'!$A:$A,M31060,'Barang Keluar'!$C:$C,N31060))</f>
        <v>0</v>
      </c>
    </row>
    <row r="31061" spans="13:16">
      <c r="M31061" s="49">
        <f>IF($A$4+310&gt;$B$4,"",$A$4+310)</f>
        <v>46333</v>
      </c>
      <c r="N31061">
        <f>IF(M31061="","",'Master Barang'!A55)</f>
        <v>0</v>
      </c>
      <c r="O31061">
        <f>IF(N31061="","",'Master Barang'!B55)</f>
        <v>0</v>
      </c>
      <c r="P31061">
        <f>IF(OR(M31061="",N31061=""),"",SUMIFS('Barang Keluar'!$E:$E,'Barang Keluar'!$A:$A,M31061,'Barang Keluar'!$C:$C,N31061))</f>
        <v>0</v>
      </c>
    </row>
    <row r="31062" spans="13:16">
      <c r="M31062" s="49">
        <f>IF($A$4+310&gt;$B$4,"",$A$4+310)</f>
        <v>46333</v>
      </c>
      <c r="N31062">
        <f>IF(M31062="","",'Master Barang'!A56)</f>
        <v>0</v>
      </c>
      <c r="O31062">
        <f>IF(N31062="","",'Master Barang'!B56)</f>
        <v>0</v>
      </c>
      <c r="P31062">
        <f>IF(OR(M31062="",N31062=""),"",SUMIFS('Barang Keluar'!$E:$E,'Barang Keluar'!$A:$A,M31062,'Barang Keluar'!$C:$C,N31062))</f>
        <v>0</v>
      </c>
    </row>
    <row r="31063" spans="13:16">
      <c r="M31063" s="49">
        <f>IF($A$4+310&gt;$B$4,"",$A$4+310)</f>
        <v>46333</v>
      </c>
      <c r="N31063">
        <f>IF(M31063="","",'Master Barang'!A57)</f>
        <v>0</v>
      </c>
      <c r="O31063">
        <f>IF(N31063="","",'Master Barang'!B57)</f>
        <v>0</v>
      </c>
      <c r="P31063">
        <f>IF(OR(M31063="",N31063=""),"",SUMIFS('Barang Keluar'!$E:$E,'Barang Keluar'!$A:$A,M31063,'Barang Keluar'!$C:$C,N31063))</f>
        <v>0</v>
      </c>
    </row>
    <row r="31064" spans="13:16">
      <c r="M31064" s="49">
        <f>IF($A$4+310&gt;$B$4,"",$A$4+310)</f>
        <v>46333</v>
      </c>
      <c r="N31064">
        <f>IF(M31064="","",'Master Barang'!A58)</f>
        <v>0</v>
      </c>
      <c r="O31064">
        <f>IF(N31064="","",'Master Barang'!B58)</f>
        <v>0</v>
      </c>
      <c r="P31064">
        <f>IF(OR(M31064="",N31064=""),"",SUMIFS('Barang Keluar'!$E:$E,'Barang Keluar'!$A:$A,M31064,'Barang Keluar'!$C:$C,N31064))</f>
        <v>0</v>
      </c>
    </row>
    <row r="31065" spans="13:16">
      <c r="M31065" s="49">
        <f>IF($A$4+310&gt;$B$4,"",$A$4+310)</f>
        <v>46333</v>
      </c>
      <c r="N31065">
        <f>IF(M31065="","",'Master Barang'!A59)</f>
        <v>0</v>
      </c>
      <c r="O31065">
        <f>IF(N31065="","",'Master Barang'!B59)</f>
        <v>0</v>
      </c>
      <c r="P31065">
        <f>IF(OR(M31065="",N31065=""),"",SUMIFS('Barang Keluar'!$E:$E,'Barang Keluar'!$A:$A,M31065,'Barang Keluar'!$C:$C,N31065))</f>
        <v>0</v>
      </c>
    </row>
    <row r="31066" spans="13:16">
      <c r="M31066" s="49">
        <f>IF($A$4+310&gt;$B$4,"",$A$4+310)</f>
        <v>46333</v>
      </c>
      <c r="N31066">
        <f>IF(M31066="","",'Master Barang'!A60)</f>
        <v>0</v>
      </c>
      <c r="O31066">
        <f>IF(N31066="","",'Master Barang'!B60)</f>
        <v>0</v>
      </c>
      <c r="P31066">
        <f>IF(OR(M31066="",N31066=""),"",SUMIFS('Barang Keluar'!$E:$E,'Barang Keluar'!$A:$A,M31066,'Barang Keluar'!$C:$C,N31066))</f>
        <v>0</v>
      </c>
    </row>
    <row r="31067" spans="13:16">
      <c r="M31067" s="49">
        <f>IF($A$4+310&gt;$B$4,"",$A$4+310)</f>
        <v>46333</v>
      </c>
      <c r="N31067">
        <f>IF(M31067="","",'Master Barang'!A61)</f>
        <v>0</v>
      </c>
      <c r="O31067">
        <f>IF(N31067="","",'Master Barang'!B61)</f>
        <v>0</v>
      </c>
      <c r="P31067">
        <f>IF(OR(M31067="",N31067=""),"",SUMIFS('Barang Keluar'!$E:$E,'Barang Keluar'!$A:$A,M31067,'Barang Keluar'!$C:$C,N31067))</f>
        <v>0</v>
      </c>
    </row>
    <row r="31068" spans="13:16">
      <c r="M31068" s="49">
        <f>IF($A$4+310&gt;$B$4,"",$A$4+310)</f>
        <v>46333</v>
      </c>
      <c r="N31068">
        <f>IF(M31068="","",'Master Barang'!A62)</f>
        <v>0</v>
      </c>
      <c r="O31068">
        <f>IF(N31068="","",'Master Barang'!B62)</f>
        <v>0</v>
      </c>
      <c r="P31068">
        <f>IF(OR(M31068="",N31068=""),"",SUMIFS('Barang Keluar'!$E:$E,'Barang Keluar'!$A:$A,M31068,'Barang Keluar'!$C:$C,N31068))</f>
        <v>0</v>
      </c>
    </row>
    <row r="31069" spans="13:16">
      <c r="M31069" s="49">
        <f>IF($A$4+310&gt;$B$4,"",$A$4+310)</f>
        <v>46333</v>
      </c>
      <c r="N31069">
        <f>IF(M31069="","",'Master Barang'!A63)</f>
        <v>0</v>
      </c>
      <c r="O31069">
        <f>IF(N31069="","",'Master Barang'!B63)</f>
        <v>0</v>
      </c>
      <c r="P31069">
        <f>IF(OR(M31069="",N31069=""),"",SUMIFS('Barang Keluar'!$E:$E,'Barang Keluar'!$A:$A,M31069,'Barang Keluar'!$C:$C,N31069))</f>
        <v>0</v>
      </c>
    </row>
    <row r="31070" spans="13:16">
      <c r="M31070" s="49">
        <f>IF($A$4+310&gt;$B$4,"",$A$4+310)</f>
        <v>46333</v>
      </c>
      <c r="N31070">
        <f>IF(M31070="","",'Master Barang'!A64)</f>
        <v>0</v>
      </c>
      <c r="O31070">
        <f>IF(N31070="","",'Master Barang'!B64)</f>
        <v>0</v>
      </c>
      <c r="P31070">
        <f>IF(OR(M31070="",N31070=""),"",SUMIFS('Barang Keluar'!$E:$E,'Barang Keluar'!$A:$A,M31070,'Barang Keluar'!$C:$C,N31070))</f>
        <v>0</v>
      </c>
    </row>
    <row r="31071" spans="13:16">
      <c r="M31071" s="49">
        <f>IF($A$4+310&gt;$B$4,"",$A$4+310)</f>
        <v>46333</v>
      </c>
      <c r="N31071">
        <f>IF(M31071="","",'Master Barang'!A65)</f>
        <v>0</v>
      </c>
      <c r="O31071">
        <f>IF(N31071="","",'Master Barang'!B65)</f>
        <v>0</v>
      </c>
      <c r="P31071">
        <f>IF(OR(M31071="",N31071=""),"",SUMIFS('Barang Keluar'!$E:$E,'Barang Keluar'!$A:$A,M31071,'Barang Keluar'!$C:$C,N31071))</f>
        <v>0</v>
      </c>
    </row>
    <row r="31072" spans="13:16">
      <c r="M31072" s="49">
        <f>IF($A$4+310&gt;$B$4,"",$A$4+310)</f>
        <v>46333</v>
      </c>
      <c r="N31072">
        <f>IF(M31072="","",'Master Barang'!A66)</f>
        <v>0</v>
      </c>
      <c r="O31072">
        <f>IF(N31072="","",'Master Barang'!B66)</f>
        <v>0</v>
      </c>
      <c r="P31072">
        <f>IF(OR(M31072="",N31072=""),"",SUMIFS('Barang Keluar'!$E:$E,'Barang Keluar'!$A:$A,M31072,'Barang Keluar'!$C:$C,N31072))</f>
        <v>0</v>
      </c>
    </row>
    <row r="31073" spans="13:16">
      <c r="M31073" s="49">
        <f>IF($A$4+310&gt;$B$4,"",$A$4+310)</f>
        <v>46333</v>
      </c>
      <c r="N31073">
        <f>IF(M31073="","",'Master Barang'!A67)</f>
        <v>0</v>
      </c>
      <c r="O31073">
        <f>IF(N31073="","",'Master Barang'!B67)</f>
        <v>0</v>
      </c>
      <c r="P31073">
        <f>IF(OR(M31073="",N31073=""),"",SUMIFS('Barang Keluar'!$E:$E,'Barang Keluar'!$A:$A,M31073,'Barang Keluar'!$C:$C,N31073))</f>
        <v>0</v>
      </c>
    </row>
    <row r="31074" spans="13:16">
      <c r="M31074" s="49">
        <f>IF($A$4+310&gt;$B$4,"",$A$4+310)</f>
        <v>46333</v>
      </c>
      <c r="N31074">
        <f>IF(M31074="","",'Master Barang'!A68)</f>
        <v>0</v>
      </c>
      <c r="O31074">
        <f>IF(N31074="","",'Master Barang'!B68)</f>
        <v>0</v>
      </c>
      <c r="P31074">
        <f>IF(OR(M31074="",N31074=""),"",SUMIFS('Barang Keluar'!$E:$E,'Barang Keluar'!$A:$A,M31074,'Barang Keluar'!$C:$C,N31074))</f>
        <v>0</v>
      </c>
    </row>
    <row r="31075" spans="13:16">
      <c r="M31075" s="49">
        <f>IF($A$4+310&gt;$B$4,"",$A$4+310)</f>
        <v>46333</v>
      </c>
      <c r="N31075">
        <f>IF(M31075="","",'Master Barang'!A69)</f>
        <v>0</v>
      </c>
      <c r="O31075">
        <f>IF(N31075="","",'Master Barang'!B69)</f>
        <v>0</v>
      </c>
      <c r="P31075">
        <f>IF(OR(M31075="",N31075=""),"",SUMIFS('Barang Keluar'!$E:$E,'Barang Keluar'!$A:$A,M31075,'Barang Keluar'!$C:$C,N31075))</f>
        <v>0</v>
      </c>
    </row>
    <row r="31076" spans="13:16">
      <c r="M31076" s="49">
        <f>IF($A$4+310&gt;$B$4,"",$A$4+310)</f>
        <v>46333</v>
      </c>
      <c r="N31076">
        <f>IF(M31076="","",'Master Barang'!A70)</f>
        <v>0</v>
      </c>
      <c r="O31076">
        <f>IF(N31076="","",'Master Barang'!B70)</f>
        <v>0</v>
      </c>
      <c r="P31076">
        <f>IF(OR(M31076="",N31076=""),"",SUMIFS('Barang Keluar'!$E:$E,'Barang Keluar'!$A:$A,M31076,'Barang Keluar'!$C:$C,N31076))</f>
        <v>0</v>
      </c>
    </row>
    <row r="31077" spans="13:16">
      <c r="M31077" s="49">
        <f>IF($A$4+310&gt;$B$4,"",$A$4+310)</f>
        <v>46333</v>
      </c>
      <c r="N31077">
        <f>IF(M31077="","",'Master Barang'!A71)</f>
        <v>0</v>
      </c>
      <c r="O31077">
        <f>IF(N31077="","",'Master Barang'!B71)</f>
        <v>0</v>
      </c>
      <c r="P31077">
        <f>IF(OR(M31077="",N31077=""),"",SUMIFS('Barang Keluar'!$E:$E,'Barang Keluar'!$A:$A,M31077,'Barang Keluar'!$C:$C,N31077))</f>
        <v>0</v>
      </c>
    </row>
    <row r="31078" spans="13:16">
      <c r="M31078" s="49">
        <f>IF($A$4+310&gt;$B$4,"",$A$4+310)</f>
        <v>46333</v>
      </c>
      <c r="N31078">
        <f>IF(M31078="","",'Master Barang'!A72)</f>
        <v>0</v>
      </c>
      <c r="O31078">
        <f>IF(N31078="","",'Master Barang'!B72)</f>
        <v>0</v>
      </c>
      <c r="P31078">
        <f>IF(OR(M31078="",N31078=""),"",SUMIFS('Barang Keluar'!$E:$E,'Barang Keluar'!$A:$A,M31078,'Barang Keluar'!$C:$C,N31078))</f>
        <v>0</v>
      </c>
    </row>
    <row r="31079" spans="13:16">
      <c r="M31079" s="49">
        <f>IF($A$4+310&gt;$B$4,"",$A$4+310)</f>
        <v>46333</v>
      </c>
      <c r="N31079">
        <f>IF(M31079="","",'Master Barang'!A73)</f>
        <v>0</v>
      </c>
      <c r="O31079">
        <f>IF(N31079="","",'Master Barang'!B73)</f>
        <v>0</v>
      </c>
      <c r="P31079">
        <f>IF(OR(M31079="",N31079=""),"",SUMIFS('Barang Keluar'!$E:$E,'Barang Keluar'!$A:$A,M31079,'Barang Keluar'!$C:$C,N31079))</f>
        <v>0</v>
      </c>
    </row>
    <row r="31080" spans="13:16">
      <c r="M31080" s="49">
        <f>IF($A$4+310&gt;$B$4,"",$A$4+310)</f>
        <v>46333</v>
      </c>
      <c r="N31080">
        <f>IF(M31080="","",'Master Barang'!A74)</f>
        <v>0</v>
      </c>
      <c r="O31080">
        <f>IF(N31080="","",'Master Barang'!B74)</f>
        <v>0</v>
      </c>
      <c r="P31080">
        <f>IF(OR(M31080="",N31080=""),"",SUMIFS('Barang Keluar'!$E:$E,'Barang Keluar'!$A:$A,M31080,'Barang Keluar'!$C:$C,N31080))</f>
        <v>0</v>
      </c>
    </row>
    <row r="31081" spans="13:16">
      <c r="M31081" s="49">
        <f>IF($A$4+310&gt;$B$4,"",$A$4+310)</f>
        <v>46333</v>
      </c>
      <c r="N31081">
        <f>IF(M31081="","",'Master Barang'!A75)</f>
        <v>0</v>
      </c>
      <c r="O31081">
        <f>IF(N31081="","",'Master Barang'!B75)</f>
        <v>0</v>
      </c>
      <c r="P31081">
        <f>IF(OR(M31081="",N31081=""),"",SUMIFS('Barang Keluar'!$E:$E,'Barang Keluar'!$A:$A,M31081,'Barang Keluar'!$C:$C,N31081))</f>
        <v>0</v>
      </c>
    </row>
    <row r="31082" spans="13:16">
      <c r="M31082" s="49">
        <f>IF($A$4+310&gt;$B$4,"",$A$4+310)</f>
        <v>46333</v>
      </c>
      <c r="N31082">
        <f>IF(M31082="","",'Master Barang'!A76)</f>
        <v>0</v>
      </c>
      <c r="O31082">
        <f>IF(N31082="","",'Master Barang'!B76)</f>
        <v>0</v>
      </c>
      <c r="P31082">
        <f>IF(OR(M31082="",N31082=""),"",SUMIFS('Barang Keluar'!$E:$E,'Barang Keluar'!$A:$A,M31082,'Barang Keluar'!$C:$C,N31082))</f>
        <v>0</v>
      </c>
    </row>
    <row r="31083" spans="13:16">
      <c r="M31083" s="49">
        <f>IF($A$4+310&gt;$B$4,"",$A$4+310)</f>
        <v>46333</v>
      </c>
      <c r="N31083">
        <f>IF(M31083="","",'Master Barang'!A77)</f>
        <v>0</v>
      </c>
      <c r="O31083">
        <f>IF(N31083="","",'Master Barang'!B77)</f>
        <v>0</v>
      </c>
      <c r="P31083">
        <f>IF(OR(M31083="",N31083=""),"",SUMIFS('Barang Keluar'!$E:$E,'Barang Keluar'!$A:$A,M31083,'Barang Keluar'!$C:$C,N31083))</f>
        <v>0</v>
      </c>
    </row>
    <row r="31084" spans="13:16">
      <c r="M31084" s="49">
        <f>IF($A$4+310&gt;$B$4,"",$A$4+310)</f>
        <v>46333</v>
      </c>
      <c r="N31084">
        <f>IF(M31084="","",'Master Barang'!A78)</f>
        <v>0</v>
      </c>
      <c r="O31084">
        <f>IF(N31084="","",'Master Barang'!B78)</f>
        <v>0</v>
      </c>
      <c r="P31084">
        <f>IF(OR(M31084="",N31084=""),"",SUMIFS('Barang Keluar'!$E:$E,'Barang Keluar'!$A:$A,M31084,'Barang Keluar'!$C:$C,N31084))</f>
        <v>0</v>
      </c>
    </row>
    <row r="31085" spans="13:16">
      <c r="M31085" s="49">
        <f>IF($A$4+310&gt;$B$4,"",$A$4+310)</f>
        <v>46333</v>
      </c>
      <c r="N31085">
        <f>IF(M31085="","",'Master Barang'!A79)</f>
        <v>0</v>
      </c>
      <c r="O31085">
        <f>IF(N31085="","",'Master Barang'!B79)</f>
        <v>0</v>
      </c>
      <c r="P31085">
        <f>IF(OR(M31085="",N31085=""),"",SUMIFS('Barang Keluar'!$E:$E,'Barang Keluar'!$A:$A,M31085,'Barang Keluar'!$C:$C,N31085))</f>
        <v>0</v>
      </c>
    </row>
    <row r="31086" spans="13:16">
      <c r="M31086" s="49">
        <f>IF($A$4+310&gt;$B$4,"",$A$4+310)</f>
        <v>46333</v>
      </c>
      <c r="N31086">
        <f>IF(M31086="","",'Master Barang'!A80)</f>
        <v>0</v>
      </c>
      <c r="O31086">
        <f>IF(N31086="","",'Master Barang'!B80)</f>
        <v>0</v>
      </c>
      <c r="P31086">
        <f>IF(OR(M31086="",N31086=""),"",SUMIFS('Barang Keluar'!$E:$E,'Barang Keluar'!$A:$A,M31086,'Barang Keluar'!$C:$C,N31086))</f>
        <v>0</v>
      </c>
    </row>
    <row r="31087" spans="13:16">
      <c r="M31087" s="49">
        <f>IF($A$4+310&gt;$B$4,"",$A$4+310)</f>
        <v>46333</v>
      </c>
      <c r="N31087">
        <f>IF(M31087="","",'Master Barang'!A81)</f>
        <v>0</v>
      </c>
      <c r="O31087">
        <f>IF(N31087="","",'Master Barang'!B81)</f>
        <v>0</v>
      </c>
      <c r="P31087">
        <f>IF(OR(M31087="",N31087=""),"",SUMIFS('Barang Keluar'!$E:$E,'Barang Keluar'!$A:$A,M31087,'Barang Keluar'!$C:$C,N31087))</f>
        <v>0</v>
      </c>
    </row>
    <row r="31088" spans="13:16">
      <c r="M31088" s="49">
        <f>IF($A$4+310&gt;$B$4,"",$A$4+310)</f>
        <v>46333</v>
      </c>
      <c r="N31088">
        <f>IF(M31088="","",'Master Barang'!A82)</f>
        <v>0</v>
      </c>
      <c r="O31088">
        <f>IF(N31088="","",'Master Barang'!B82)</f>
        <v>0</v>
      </c>
      <c r="P31088">
        <f>IF(OR(M31088="",N31088=""),"",SUMIFS('Barang Keluar'!$E:$E,'Barang Keluar'!$A:$A,M31088,'Barang Keluar'!$C:$C,N31088))</f>
        <v>0</v>
      </c>
    </row>
    <row r="31089" spans="13:16">
      <c r="M31089" s="49">
        <f>IF($A$4+310&gt;$B$4,"",$A$4+310)</f>
        <v>46333</v>
      </c>
      <c r="N31089">
        <f>IF(M31089="","",'Master Barang'!A83)</f>
        <v>0</v>
      </c>
      <c r="O31089">
        <f>IF(N31089="","",'Master Barang'!B83)</f>
        <v>0</v>
      </c>
      <c r="P31089">
        <f>IF(OR(M31089="",N31089=""),"",SUMIFS('Barang Keluar'!$E:$E,'Barang Keluar'!$A:$A,M31089,'Barang Keluar'!$C:$C,N31089))</f>
        <v>0</v>
      </c>
    </row>
    <row r="31090" spans="13:16">
      <c r="M31090" s="49">
        <f>IF($A$4+310&gt;$B$4,"",$A$4+310)</f>
        <v>46333</v>
      </c>
      <c r="N31090">
        <f>IF(M31090="","",'Master Barang'!A84)</f>
        <v>0</v>
      </c>
      <c r="O31090">
        <f>IF(N31090="","",'Master Barang'!B84)</f>
        <v>0</v>
      </c>
      <c r="P31090">
        <f>IF(OR(M31090="",N31090=""),"",SUMIFS('Barang Keluar'!$E:$E,'Barang Keluar'!$A:$A,M31090,'Barang Keluar'!$C:$C,N31090))</f>
        <v>0</v>
      </c>
    </row>
    <row r="31091" spans="13:16">
      <c r="M31091" s="49">
        <f>IF($A$4+310&gt;$B$4,"",$A$4+310)</f>
        <v>46333</v>
      </c>
      <c r="N31091">
        <f>IF(M31091="","",'Master Barang'!A85)</f>
        <v>0</v>
      </c>
      <c r="O31091">
        <f>IF(N31091="","",'Master Barang'!B85)</f>
        <v>0</v>
      </c>
      <c r="P31091">
        <f>IF(OR(M31091="",N31091=""),"",SUMIFS('Barang Keluar'!$E:$E,'Barang Keluar'!$A:$A,M31091,'Barang Keluar'!$C:$C,N31091))</f>
        <v>0</v>
      </c>
    </row>
    <row r="31092" spans="13:16">
      <c r="M31092" s="49">
        <f>IF($A$4+310&gt;$B$4,"",$A$4+310)</f>
        <v>46333</v>
      </c>
      <c r="N31092">
        <f>IF(M31092="","",'Master Barang'!A86)</f>
        <v>0</v>
      </c>
      <c r="O31092">
        <f>IF(N31092="","",'Master Barang'!B86)</f>
        <v>0</v>
      </c>
      <c r="P31092">
        <f>IF(OR(M31092="",N31092=""),"",SUMIFS('Barang Keluar'!$E:$E,'Barang Keluar'!$A:$A,M31092,'Barang Keluar'!$C:$C,N31092))</f>
        <v>0</v>
      </c>
    </row>
    <row r="31093" spans="13:16">
      <c r="M31093" s="49">
        <f>IF($A$4+310&gt;$B$4,"",$A$4+310)</f>
        <v>46333</v>
      </c>
      <c r="N31093">
        <f>IF(M31093="","",'Master Barang'!A87)</f>
        <v>0</v>
      </c>
      <c r="O31093">
        <f>IF(N31093="","",'Master Barang'!B87)</f>
        <v>0</v>
      </c>
      <c r="P31093">
        <f>IF(OR(M31093="",N31093=""),"",SUMIFS('Barang Keluar'!$E:$E,'Barang Keluar'!$A:$A,M31093,'Barang Keluar'!$C:$C,N31093))</f>
        <v>0</v>
      </c>
    </row>
    <row r="31094" spans="13:16">
      <c r="M31094" s="49">
        <f>IF($A$4+310&gt;$B$4,"",$A$4+310)</f>
        <v>46333</v>
      </c>
      <c r="N31094">
        <f>IF(M31094="","",'Master Barang'!A88)</f>
        <v>0</v>
      </c>
      <c r="O31094">
        <f>IF(N31094="","",'Master Barang'!B88)</f>
        <v>0</v>
      </c>
      <c r="P31094">
        <f>IF(OR(M31094="",N31094=""),"",SUMIFS('Barang Keluar'!$E:$E,'Barang Keluar'!$A:$A,M31094,'Barang Keluar'!$C:$C,N31094))</f>
        <v>0</v>
      </c>
    </row>
    <row r="31095" spans="13:16">
      <c r="M31095" s="49">
        <f>IF($A$4+310&gt;$B$4,"",$A$4+310)</f>
        <v>46333</v>
      </c>
      <c r="N31095">
        <f>IF(M31095="","",'Master Barang'!A89)</f>
        <v>0</v>
      </c>
      <c r="O31095">
        <f>IF(N31095="","",'Master Barang'!B89)</f>
        <v>0</v>
      </c>
      <c r="P31095">
        <f>IF(OR(M31095="",N31095=""),"",SUMIFS('Barang Keluar'!$E:$E,'Barang Keluar'!$A:$A,M31095,'Barang Keluar'!$C:$C,N31095))</f>
        <v>0</v>
      </c>
    </row>
    <row r="31096" spans="13:16">
      <c r="M31096" s="49">
        <f>IF($A$4+310&gt;$B$4,"",$A$4+310)</f>
        <v>46333</v>
      </c>
      <c r="N31096">
        <f>IF(M31096="","",'Master Barang'!A90)</f>
        <v>0</v>
      </c>
      <c r="O31096">
        <f>IF(N31096="","",'Master Barang'!B90)</f>
        <v>0</v>
      </c>
      <c r="P31096">
        <f>IF(OR(M31096="",N31096=""),"",SUMIFS('Barang Keluar'!$E:$E,'Barang Keluar'!$A:$A,M31096,'Barang Keluar'!$C:$C,N31096))</f>
        <v>0</v>
      </c>
    </row>
    <row r="31097" spans="13:16">
      <c r="M31097" s="49">
        <f>IF($A$4+310&gt;$B$4,"",$A$4+310)</f>
        <v>46333</v>
      </c>
      <c r="N31097">
        <f>IF(M31097="","",'Master Barang'!A91)</f>
        <v>0</v>
      </c>
      <c r="O31097">
        <f>IF(N31097="","",'Master Barang'!B91)</f>
        <v>0</v>
      </c>
      <c r="P31097">
        <f>IF(OR(M31097="",N31097=""),"",SUMIFS('Barang Keluar'!$E:$E,'Barang Keluar'!$A:$A,M31097,'Barang Keluar'!$C:$C,N31097))</f>
        <v>0</v>
      </c>
    </row>
    <row r="31098" spans="13:16">
      <c r="M31098" s="49">
        <f>IF($A$4+310&gt;$B$4,"",$A$4+310)</f>
        <v>46333</v>
      </c>
      <c r="N31098">
        <f>IF(M31098="","",'Master Barang'!A92)</f>
        <v>0</v>
      </c>
      <c r="O31098">
        <f>IF(N31098="","",'Master Barang'!B92)</f>
        <v>0</v>
      </c>
      <c r="P31098">
        <f>IF(OR(M31098="",N31098=""),"",SUMIFS('Barang Keluar'!$E:$E,'Barang Keluar'!$A:$A,M31098,'Barang Keluar'!$C:$C,N31098))</f>
        <v>0</v>
      </c>
    </row>
    <row r="31099" spans="13:16">
      <c r="M31099" s="49">
        <f>IF($A$4+310&gt;$B$4,"",$A$4+310)</f>
        <v>46333</v>
      </c>
      <c r="N31099">
        <f>IF(M31099="","",'Master Barang'!A93)</f>
        <v>0</v>
      </c>
      <c r="O31099">
        <f>IF(N31099="","",'Master Barang'!B93)</f>
        <v>0</v>
      </c>
      <c r="P31099">
        <f>IF(OR(M31099="",N31099=""),"",SUMIFS('Barang Keluar'!$E:$E,'Barang Keluar'!$A:$A,M31099,'Barang Keluar'!$C:$C,N31099))</f>
        <v>0</v>
      </c>
    </row>
    <row r="31100" spans="13:16">
      <c r="M31100" s="49">
        <f>IF($A$4+310&gt;$B$4,"",$A$4+310)</f>
        <v>46333</v>
      </c>
      <c r="N31100">
        <f>IF(M31100="","",'Master Barang'!A94)</f>
        <v>0</v>
      </c>
      <c r="O31100">
        <f>IF(N31100="","",'Master Barang'!B94)</f>
        <v>0</v>
      </c>
      <c r="P31100">
        <f>IF(OR(M31100="",N31100=""),"",SUMIFS('Barang Keluar'!$E:$E,'Barang Keluar'!$A:$A,M31100,'Barang Keluar'!$C:$C,N31100))</f>
        <v>0</v>
      </c>
    </row>
    <row r="31101" spans="13:16">
      <c r="M31101" s="49">
        <f>IF($A$4+310&gt;$B$4,"",$A$4+310)</f>
        <v>46333</v>
      </c>
      <c r="N31101">
        <f>IF(M31101="","",'Master Barang'!A95)</f>
        <v>0</v>
      </c>
      <c r="O31101">
        <f>IF(N31101="","",'Master Barang'!B95)</f>
        <v>0</v>
      </c>
      <c r="P31101">
        <f>IF(OR(M31101="",N31101=""),"",SUMIFS('Barang Keluar'!$E:$E,'Barang Keluar'!$A:$A,M31101,'Barang Keluar'!$C:$C,N31101))</f>
        <v>0</v>
      </c>
    </row>
    <row r="31102" spans="13:16">
      <c r="M31102" s="49">
        <f>IF($A$4+310&gt;$B$4,"",$A$4+310)</f>
        <v>46333</v>
      </c>
      <c r="N31102">
        <f>IF(M31102="","",'Master Barang'!A96)</f>
        <v>0</v>
      </c>
      <c r="O31102">
        <f>IF(N31102="","",'Master Barang'!B96)</f>
        <v>0</v>
      </c>
      <c r="P31102">
        <f>IF(OR(M31102="",N31102=""),"",SUMIFS('Barang Keluar'!$E:$E,'Barang Keluar'!$A:$A,M31102,'Barang Keluar'!$C:$C,N31102))</f>
        <v>0</v>
      </c>
    </row>
    <row r="31103" spans="13:16">
      <c r="M31103" s="49">
        <f>IF($A$4+310&gt;$B$4,"",$A$4+310)</f>
        <v>46333</v>
      </c>
      <c r="N31103">
        <f>IF(M31103="","",'Master Barang'!A97)</f>
        <v>0</v>
      </c>
      <c r="O31103">
        <f>IF(N31103="","",'Master Barang'!B97)</f>
        <v>0</v>
      </c>
      <c r="P31103">
        <f>IF(OR(M31103="",N31103=""),"",SUMIFS('Barang Keluar'!$E:$E,'Barang Keluar'!$A:$A,M31103,'Barang Keluar'!$C:$C,N31103))</f>
        <v>0</v>
      </c>
    </row>
    <row r="31104" spans="13:16">
      <c r="M31104" s="49">
        <f>IF($A$4+310&gt;$B$4,"",$A$4+310)</f>
        <v>46333</v>
      </c>
      <c r="N31104">
        <f>IF(M31104="","",'Master Barang'!A98)</f>
        <v>0</v>
      </c>
      <c r="O31104">
        <f>IF(N31104="","",'Master Barang'!B98)</f>
        <v>0</v>
      </c>
      <c r="P31104">
        <f>IF(OR(M31104="",N31104=""),"",SUMIFS('Barang Keluar'!$E:$E,'Barang Keluar'!$A:$A,M31104,'Barang Keluar'!$C:$C,N31104))</f>
        <v>0</v>
      </c>
    </row>
    <row r="31105" spans="13:16">
      <c r="M31105" s="49">
        <f>IF($A$4+310&gt;$B$4,"",$A$4+310)</f>
        <v>46333</v>
      </c>
      <c r="N31105">
        <f>IF(M31105="","",'Master Barang'!A99)</f>
        <v>0</v>
      </c>
      <c r="O31105">
        <f>IF(N31105="","",'Master Barang'!B99)</f>
        <v>0</v>
      </c>
      <c r="P31105">
        <f>IF(OR(M31105="",N31105=""),"",SUMIFS('Barang Keluar'!$E:$E,'Barang Keluar'!$A:$A,M31105,'Barang Keluar'!$C:$C,N31105))</f>
        <v>0</v>
      </c>
    </row>
    <row r="31106" spans="13:16">
      <c r="M31106" s="49">
        <f>IF($A$4+310&gt;$B$4,"",$A$4+310)</f>
        <v>46333</v>
      </c>
      <c r="N31106">
        <f>IF(M31106="","",'Master Barang'!A100)</f>
        <v>0</v>
      </c>
      <c r="O31106">
        <f>IF(N31106="","",'Master Barang'!B100)</f>
        <v>0</v>
      </c>
      <c r="P31106">
        <f>IF(OR(M31106="",N31106=""),"",SUMIFS('Barang Keluar'!$E:$E,'Barang Keluar'!$A:$A,M31106,'Barang Keluar'!$C:$C,N31106))</f>
        <v>0</v>
      </c>
    </row>
    <row r="31107" spans="13:16">
      <c r="M31107" s="49">
        <f>IF($A$4+310&gt;$B$4,"",$A$4+310)</f>
        <v>46333</v>
      </c>
      <c r="N31107">
        <f>IF(M31107="","",'Master Barang'!A101)</f>
        <v>0</v>
      </c>
      <c r="O31107">
        <f>IF(N31107="","",'Master Barang'!B101)</f>
        <v>0</v>
      </c>
      <c r="P31107">
        <f>IF(OR(M31107="",N31107=""),"",SUMIFS('Barang Keluar'!$E:$E,'Barang Keluar'!$A:$A,M31107,'Barang Keluar'!$C:$C,N31107))</f>
        <v>0</v>
      </c>
    </row>
    <row r="31108" spans="13:16">
      <c r="M31108" s="49">
        <f>IF($A$4+311&gt;$B$4,"",$A$4+311)</f>
        <v>46334</v>
      </c>
      <c r="N31108" t="str">
        <f>IF(M31108="","",'Master Barang'!A2)</f>
        <v>PRL-001</v>
      </c>
      <c r="O31108" t="str">
        <f>IF(N31108="","",'Master Barang'!B2)</f>
        <v>natura desinfectant food grade 5l</v>
      </c>
      <c r="P31108">
        <f>IF(OR(M31108="",N31108=""),"",SUMIFS('Barang Keluar'!$E:$E,'Barang Keluar'!$A:$A,M31108,'Barang Keluar'!$C:$C,N31108))</f>
        <v>0</v>
      </c>
    </row>
    <row r="31109" spans="13:16">
      <c r="M31109" s="49">
        <f>IF($A$4+311&gt;$B$4,"",$A$4+311)</f>
        <v>46334</v>
      </c>
      <c r="N31109" t="str">
        <f>IF(M31109="","",'Master Barang'!A3)</f>
        <v>PRL-002</v>
      </c>
      <c r="O31109" t="str">
        <f>IF(N31109="","",'Master Barang'!B3)</f>
        <v>sunlight cairan pencuci piring 5l</v>
      </c>
      <c r="P31109">
        <f>IF(OR(M31109="",N31109=""),"",SUMIFS('Barang Keluar'!$E:$E,'Barang Keluar'!$A:$A,M31109,'Barang Keluar'!$C:$C,N31109))</f>
        <v>0</v>
      </c>
    </row>
    <row r="31110" spans="13:16">
      <c r="M31110" s="49">
        <f>IF($A$4+311&gt;$B$4,"",$A$4+311)</f>
        <v>46334</v>
      </c>
      <c r="N31110" t="str">
        <f>IF(M31110="","",'Master Barang'!A4)</f>
        <v>PRL-003</v>
      </c>
      <c r="O31110" t="str">
        <f>IF(N31110="","",'Master Barang'!B4)</f>
        <v>oixs cleaner 1l</v>
      </c>
      <c r="P31110">
        <f>IF(OR(M31110="",N31110=""),"",SUMIFS('Barang Keluar'!$E:$E,'Barang Keluar'!$A:$A,M31110,'Barang Keluar'!$C:$C,N31110))</f>
        <v>0</v>
      </c>
    </row>
    <row r="31111" spans="13:16">
      <c r="M31111" s="49">
        <f>IF($A$4+311&gt;$B$4,"",$A$4+311)</f>
        <v>46334</v>
      </c>
      <c r="N31111" t="str">
        <f>IF(M31111="","",'Master Barang'!A5)</f>
        <v>PRL-004</v>
      </c>
      <c r="O31111" t="str">
        <f>IF(N31111="","",'Master Barang'!B5)</f>
        <v>be clean tissue serbaguna</v>
      </c>
      <c r="P31111">
        <f>IF(OR(M31111="",N31111=""),"",SUMIFS('Barang Keluar'!$E:$E,'Barang Keluar'!$A:$A,M31111,'Barang Keluar'!$C:$C,N31111))</f>
        <v>0</v>
      </c>
    </row>
    <row r="31112" spans="13:16">
      <c r="M31112" s="49">
        <f>IF($A$4+311&gt;$B$4,"",$A$4+311)</f>
        <v>46334</v>
      </c>
      <c r="N31112" t="str">
        <f>IF(M31112="","",'Master Barang'!A6)</f>
        <v>PRL-005</v>
      </c>
      <c r="O31112" t="str">
        <f>IF(N31112="","",'Master Barang'!B6)</f>
        <v>spons cuci hijau</v>
      </c>
      <c r="P31112">
        <f>IF(OR(M31112="",N31112=""),"",SUMIFS('Barang Keluar'!$E:$E,'Barang Keluar'!$A:$A,M31112,'Barang Keluar'!$C:$C,N31112))</f>
        <v>0</v>
      </c>
    </row>
    <row r="31113" spans="13:16">
      <c r="M31113" s="49">
        <f>IF($A$4+311&gt;$B$4,"",$A$4+311)</f>
        <v>46334</v>
      </c>
      <c r="N31113" t="str">
        <f>IF(M31113="","",'Master Barang'!A7)</f>
        <v>PRL-006</v>
      </c>
      <c r="O31113" t="str">
        <f>IF(N31113="","",'Master Barang'!B7)</f>
        <v>sabut cuci stainless</v>
      </c>
      <c r="P31113">
        <f>IF(OR(M31113="",N31113=""),"",SUMIFS('Barang Keluar'!$E:$E,'Barang Keluar'!$A:$A,M31113,'Barang Keluar'!$C:$C,N31113))</f>
        <v>0</v>
      </c>
    </row>
    <row r="31114" spans="13:16">
      <c r="M31114" s="49">
        <f>IF($A$4+311&gt;$B$4,"",$A$4+311)</f>
        <v>46334</v>
      </c>
      <c r="N31114" t="str">
        <f>IF(M31114="","",'Master Barang'!A8)</f>
        <v>PRL-007</v>
      </c>
      <c r="O31114" t="str">
        <f>IF(N31114="","",'Master Barang'!B8)</f>
        <v>plastik kresek besar merah 50pc</v>
      </c>
      <c r="P31114">
        <f>IF(OR(M31114="",N31114=""),"",SUMIFS('Barang Keluar'!$E:$E,'Barang Keluar'!$A:$A,M31114,'Barang Keluar'!$C:$C,N31114))</f>
        <v>0</v>
      </c>
    </row>
    <row r="31115" spans="13:16">
      <c r="M31115" s="49">
        <f>IF($A$4+311&gt;$B$4,"",$A$4+311)</f>
        <v>46334</v>
      </c>
      <c r="N31115" t="str">
        <f>IF(M31115="","",'Master Barang'!A9)</f>
        <v>PRL-008</v>
      </c>
      <c r="O31115" t="str">
        <f>IF(N31115="","",'Master Barang'!B9)</f>
        <v>lap besar</v>
      </c>
      <c r="P31115">
        <f>IF(OR(M31115="",N31115=""),"",SUMIFS('Barang Keluar'!$E:$E,'Barang Keluar'!$A:$A,M31115,'Barang Keluar'!$C:$C,N31115))</f>
        <v>0</v>
      </c>
    </row>
    <row r="31116" spans="13:16">
      <c r="M31116" s="49">
        <f>IF($A$4+311&gt;$B$4,"",$A$4+311)</f>
        <v>46334</v>
      </c>
      <c r="N31116" t="str">
        <f>IF(M31116="","",'Master Barang'!A10)</f>
        <v>PRL-009</v>
      </c>
      <c r="O31116" t="str">
        <f>IF(N31116="","",'Master Barang'!B10)</f>
        <v>lap microfiber</v>
      </c>
      <c r="P31116">
        <f>IF(OR(M31116="",N31116=""),"",SUMIFS('Barang Keluar'!$E:$E,'Barang Keluar'!$A:$A,M31116,'Barang Keluar'!$C:$C,N31116))</f>
        <v>0</v>
      </c>
    </row>
    <row r="31117" spans="13:16">
      <c r="M31117" s="49">
        <f>IF($A$4+311&gt;$B$4,"",$A$4+311)</f>
        <v>46334</v>
      </c>
      <c r="N31117" t="str">
        <f>IF(M31117="","",'Master Barang'!A11)</f>
        <v>PRL-010</v>
      </c>
      <c r="O31117" t="str">
        <f>IF(N31117="","",'Master Barang'!B11)</f>
        <v>lap kecil</v>
      </c>
      <c r="P31117">
        <f>IF(OR(M31117="",N31117=""),"",SUMIFS('Barang Keluar'!$E:$E,'Barang Keluar'!$A:$A,M31117,'Barang Keluar'!$C:$C,N31117))</f>
        <v>0</v>
      </c>
    </row>
    <row r="31118" spans="13:16">
      <c r="M31118" s="49">
        <f>IF($A$4+311&gt;$B$4,"",$A$4+311)</f>
        <v>46334</v>
      </c>
      <c r="N31118" t="str">
        <f>IF(M31118="","",'Master Barang'!A12)</f>
        <v>PRL-011</v>
      </c>
      <c r="O31118" t="str">
        <f>IF(N31118="","",'Master Barang'!B12)</f>
        <v>kanebo kecil</v>
      </c>
      <c r="P31118">
        <f>IF(OR(M31118="",N31118=""),"",SUMIFS('Barang Keluar'!$E:$E,'Barang Keluar'!$A:$A,M31118,'Barang Keluar'!$C:$C,N31118))</f>
        <v>0</v>
      </c>
    </row>
    <row r="31119" spans="13:16">
      <c r="M31119" s="49">
        <f>IF($A$4+311&gt;$B$4,"",$A$4+311)</f>
        <v>46334</v>
      </c>
      <c r="N31119" t="str">
        <f>IF(M31119="","",'Master Barang'!A13)</f>
        <v>PRL-012</v>
      </c>
      <c r="O31119" t="str">
        <f>IF(N31119="","",'Master Barang'!B13)</f>
        <v>plastik 1/4kg joyoboyo 100 lembar</v>
      </c>
      <c r="P31119">
        <f>IF(OR(M31119="",N31119=""),"",SUMIFS('Barang Keluar'!$E:$E,'Barang Keluar'!$A:$A,M31119,'Barang Keluar'!$C:$C,N31119))</f>
        <v>0</v>
      </c>
    </row>
    <row r="31120" spans="13:16">
      <c r="M31120" s="49">
        <f>IF($A$4+311&gt;$B$4,"",$A$4+311)</f>
        <v>46334</v>
      </c>
      <c r="N31120" t="str">
        <f>IF(M31120="","",'Master Barang'!A14)</f>
        <v>PRL-013</v>
      </c>
      <c r="O31120" t="str">
        <f>IF(N31120="","",'Master Barang'!B14)</f>
        <v>sarung tangan plastik kaka 100 pcs</v>
      </c>
      <c r="P31120">
        <f>IF(OR(M31120="",N31120=""),"",SUMIFS('Barang Keluar'!$E:$E,'Barang Keluar'!$A:$A,M31120,'Barang Keluar'!$C:$C,N31120))</f>
        <v>0</v>
      </c>
    </row>
    <row r="31121" spans="13:16">
      <c r="M31121" s="49">
        <f>IF($A$4+311&gt;$B$4,"",$A$4+311)</f>
        <v>46334</v>
      </c>
      <c r="N31121" t="str">
        <f>IF(M31121="","",'Master Barang'!A15)</f>
        <v>PRL-014</v>
      </c>
      <c r="O31121" t="str">
        <f>IF(N31121="","",'Master Barang'!B15)</f>
        <v>optima trashbag 80x100</v>
      </c>
      <c r="P31121">
        <f>IF(OR(M31121="",N31121=""),"",SUMIFS('Barang Keluar'!$E:$E,'Barang Keluar'!$A:$A,M31121,'Barang Keluar'!$C:$C,N31121))</f>
        <v>0</v>
      </c>
    </row>
    <row r="31122" spans="13:16">
      <c r="M31122" s="49">
        <f>IF($A$4+311&gt;$B$4,"",$A$4+311)</f>
        <v>46334</v>
      </c>
      <c r="N31122" t="str">
        <f>IF(M31122="","",'Master Barang'!A16)</f>
        <v>PRL-015</v>
      </c>
      <c r="O31122" t="str">
        <f>IF(N31122="","",'Master Barang'!B16)</f>
        <v>optima trashbag 60x100</v>
      </c>
      <c r="P31122">
        <f>IF(OR(M31122="",N31122=""),"",SUMIFS('Barang Keluar'!$E:$E,'Barang Keluar'!$A:$A,M31122,'Barang Keluar'!$C:$C,N31122))</f>
        <v>0</v>
      </c>
    </row>
    <row r="31123" spans="13:16">
      <c r="M31123" s="49">
        <f>IF($A$4+311&gt;$B$4,"",$A$4+311)</f>
        <v>46334</v>
      </c>
      <c r="N31123" t="str">
        <f>IF(M31123="","",'Master Barang'!A17)</f>
        <v>PRL-016</v>
      </c>
      <c r="O31123" t="str">
        <f>IF(N31123="","",'Master Barang'!B17)</f>
        <v>rajawali trashbag 30x40</v>
      </c>
      <c r="P31123">
        <f>IF(OR(M31123="",N31123=""),"",SUMIFS('Barang Keluar'!$E:$E,'Barang Keluar'!$A:$A,M31123,'Barang Keluar'!$C:$C,N31123))</f>
        <v>0</v>
      </c>
    </row>
    <row r="31124" spans="13:16">
      <c r="M31124" s="49">
        <f>IF($A$4+311&gt;$B$4,"",$A$4+311)</f>
        <v>46334</v>
      </c>
      <c r="N31124" t="str">
        <f>IF(M31124="","",'Master Barang'!A18)</f>
        <v>PRL-017</v>
      </c>
      <c r="O31124" t="str">
        <f>IF(N31124="","",'Master Barang'!B18)</f>
        <v>onemed masker biru 3 play 50 pcs</v>
      </c>
      <c r="P31124">
        <f>IF(OR(M31124="",N31124=""),"",SUMIFS('Barang Keluar'!$E:$E,'Barang Keluar'!$A:$A,M31124,'Barang Keluar'!$C:$C,N31124))</f>
        <v>0</v>
      </c>
    </row>
    <row r="31125" spans="13:16">
      <c r="M31125" s="49">
        <f>IF($A$4+311&gt;$B$4,"",$A$4+311)</f>
        <v>46334</v>
      </c>
      <c r="N31125" t="str">
        <f>IF(M31125="","",'Master Barang'!A19)</f>
        <v>PRL-018</v>
      </c>
      <c r="O31125" t="str">
        <f>IF(N31125="","",'Master Barang'!B19)</f>
        <v>onemed masker biru 3 play hijab 50 pcs</v>
      </c>
      <c r="P31125">
        <f>IF(OR(M31125="",N31125=""),"",SUMIFS('Barang Keluar'!$E:$E,'Barang Keluar'!$A:$A,M31125,'Barang Keluar'!$C:$C,N31125))</f>
        <v>0</v>
      </c>
    </row>
    <row r="31126" spans="13:16">
      <c r="M31126" s="49">
        <f>IF($A$4+311&gt;$B$4,"",$A$4+311)</f>
        <v>46334</v>
      </c>
      <c r="N31126" t="str">
        <f>IF(M31126="","",'Master Barang'!A20)</f>
        <v>PRL-019</v>
      </c>
      <c r="O31126" t="str">
        <f>IF(N31126="","",'Master Barang'!B20)</f>
        <v>neo health masker biru 3 play 50 pcs</v>
      </c>
      <c r="P31126">
        <f>IF(OR(M31126="",N31126=""),"",SUMIFS('Barang Keluar'!$E:$E,'Barang Keluar'!$A:$A,M31126,'Barang Keluar'!$C:$C,N31126))</f>
        <v>0</v>
      </c>
    </row>
    <row r="31127" spans="13:16">
      <c r="M31127" s="49">
        <f>IF($A$4+311&gt;$B$4,"",$A$4+311)</f>
        <v>46334</v>
      </c>
      <c r="N31127" t="str">
        <f>IF(M31127="","",'Master Barang'!A21)</f>
        <v>PRL-020</v>
      </c>
      <c r="O31127" t="str">
        <f>IF(N31127="","",'Master Barang'!B21)</f>
        <v>baymed masker hijau 3 play hijau 50 pcs</v>
      </c>
      <c r="P31127">
        <f>IF(OR(M31127="",N31127=""),"",SUMIFS('Barang Keluar'!$E:$E,'Barang Keluar'!$A:$A,M31127,'Barang Keluar'!$C:$C,N31127))</f>
        <v>0</v>
      </c>
    </row>
    <row r="31128" spans="13:16">
      <c r="M31128" s="49">
        <f>IF($A$4+311&gt;$B$4,"",$A$4+311)</f>
        <v>46334</v>
      </c>
      <c r="N31128" t="str">
        <f>IF(M31128="","",'Master Barang'!A22)</f>
        <v>PRL-021</v>
      </c>
      <c r="O31128" t="str">
        <f>IF(N31128="","",'Master Barang'!B22)</f>
        <v>altamed nurse cap penutup kepala 100 pcs</v>
      </c>
      <c r="P31128">
        <f>IF(OR(M31128="",N31128=""),"",SUMIFS('Barang Keluar'!$E:$E,'Barang Keluar'!$A:$A,M31128,'Barang Keluar'!$C:$C,N31128))</f>
        <v>0</v>
      </c>
    </row>
    <row r="31129" spans="13:16">
      <c r="M31129" s="49">
        <f>IF($A$4+311&gt;$B$4,"",$A$4+311)</f>
        <v>46334</v>
      </c>
      <c r="N31129" t="str">
        <f>IF(M31129="","",'Master Barang'!A23)</f>
        <v>PRL-022</v>
      </c>
      <c r="O31129" t="str">
        <f>IF(N31129="","",'Master Barang'!B23)</f>
        <v>sabun cuci tangan</v>
      </c>
      <c r="P31129">
        <f>IF(OR(M31129="",N31129=""),"",SUMIFS('Barang Keluar'!$E:$E,'Barang Keluar'!$A:$A,M31129,'Barang Keluar'!$C:$C,N31129))</f>
        <v>0</v>
      </c>
    </row>
    <row r="31130" spans="13:16">
      <c r="M31130" s="49">
        <f>IF($A$4+311&gt;$B$4,"",$A$4+311)</f>
        <v>46334</v>
      </c>
      <c r="N31130" t="str">
        <f>IF(M31130="","",'Master Barang'!A24)</f>
        <v>PRL-023</v>
      </c>
      <c r="O31130" t="str">
        <f>IF(N31130="","",'Master Barang'!B24)</f>
        <v>gayung kecil</v>
      </c>
      <c r="P31130">
        <f>IF(OR(M31130="",N31130=""),"",SUMIFS('Barang Keluar'!$E:$E,'Barang Keluar'!$A:$A,M31130,'Barang Keluar'!$C:$C,N31130))</f>
        <v>0</v>
      </c>
    </row>
    <row r="31131" spans="13:16">
      <c r="M31131" s="49">
        <f>IF($A$4+311&gt;$B$4,"",$A$4+311)</f>
        <v>46334</v>
      </c>
      <c r="N31131" t="str">
        <f>IF(M31131="","",'Master Barang'!A25)</f>
        <v>PRL-024</v>
      </c>
      <c r="O31131" t="str">
        <f>IF(N31131="","",'Master Barang'!B25)</f>
        <v>cikrak kecil</v>
      </c>
      <c r="P31131">
        <f>IF(OR(M31131="",N31131=""),"",SUMIFS('Barang Keluar'!$E:$E,'Barang Keluar'!$A:$A,M31131,'Barang Keluar'!$C:$C,N31131))</f>
        <v>0</v>
      </c>
    </row>
    <row r="31132" spans="13:16">
      <c r="M31132" s="49">
        <f>IF($A$4+311&gt;$B$4,"",$A$4+311)</f>
        <v>46334</v>
      </c>
      <c r="N31132" t="str">
        <f>IF(M31132="","",'Master Barang'!A26)</f>
        <v>PRL-025</v>
      </c>
      <c r="O31132" t="str">
        <f>IF(N31132="","",'Master Barang'!B26)</f>
        <v>petromax plastik kecil 12x24 100 lembar</v>
      </c>
      <c r="P31132">
        <f>IF(OR(M31132="",N31132=""),"",SUMIFS('Barang Keluar'!$E:$E,'Barang Keluar'!$A:$A,M31132,'Barang Keluar'!$C:$C,N31132))</f>
        <v>0</v>
      </c>
    </row>
    <row r="31133" spans="13:16">
      <c r="M31133" s="49">
        <f>IF($A$4+311&gt;$B$4,"",$A$4+311)</f>
        <v>46334</v>
      </c>
      <c r="N31133" t="str">
        <f>IF(M31133="","",'Master Barang'!A27)</f>
        <v>PRL-026</v>
      </c>
      <c r="O31133" t="str">
        <f>IF(N31133="","",'Master Barang'!B27)</f>
        <v>lancar kresek kecil bening </v>
      </c>
      <c r="P31133">
        <f>IF(OR(M31133="",N31133=""),"",SUMIFS('Barang Keluar'!$E:$E,'Barang Keluar'!$A:$A,M31133,'Barang Keluar'!$C:$C,N31133))</f>
        <v>0</v>
      </c>
    </row>
    <row r="31134" spans="13:16">
      <c r="M31134" s="49">
        <f>IF($A$4+311&gt;$B$4,"",$A$4+311)</f>
        <v>46334</v>
      </c>
      <c r="N31134" t="str">
        <f>IF(M31134="","",'Master Barang'!A28)</f>
        <v>PRL-027</v>
      </c>
      <c r="O31134" t="str">
        <f>IF(N31134="","",'Master Barang'!B28)</f>
        <v>kresek klin warna warni kecil</v>
      </c>
      <c r="P31134">
        <f>IF(OR(M31134="",N31134=""),"",SUMIFS('Barang Keluar'!$E:$E,'Barang Keluar'!$A:$A,M31134,'Barang Keluar'!$C:$C,N31134))</f>
        <v>0</v>
      </c>
    </row>
    <row r="31135" spans="13:16">
      <c r="M31135" s="49">
        <f>IF($A$4+311&gt;$B$4,"",$A$4+311)</f>
        <v>46334</v>
      </c>
      <c r="N31135" t="str">
        <f>IF(M31135="","",'Master Barang'!A29)</f>
        <v>PRL-028</v>
      </c>
      <c r="O31135" t="str">
        <f>IF(N31135="","",'Master Barang'!B29)</f>
        <v>ctik plastik 7x10 100 pcs</v>
      </c>
      <c r="P31135">
        <f>IF(OR(M31135="",N31135=""),"",SUMIFS('Barang Keluar'!$E:$E,'Barang Keluar'!$A:$A,M31135,'Barang Keluar'!$C:$C,N31135))</f>
        <v>0</v>
      </c>
    </row>
    <row r="31136" spans="13:16">
      <c r="M31136" s="49">
        <f>IF($A$4+311&gt;$B$4,"",$A$4+311)</f>
        <v>46334</v>
      </c>
      <c r="N31136" t="str">
        <f>IF(M31136="","",'Master Barang'!A30)</f>
        <v>PRL-029</v>
      </c>
      <c r="O31136" t="str">
        <f>IF(N31136="","",'Master Barang'!B30)</f>
        <v>ctik plastik 6x10 100 pcs</v>
      </c>
      <c r="P31136">
        <f>IF(OR(M31136="",N31136=""),"",SUMIFS('Barang Keluar'!$E:$E,'Barang Keluar'!$A:$A,M31136,'Barang Keluar'!$C:$C,N31136))</f>
        <v>0</v>
      </c>
    </row>
    <row r="31137" spans="13:16">
      <c r="M31137" s="49">
        <f>IF($A$4+311&gt;$B$4,"",$A$4+311)</f>
        <v>46334</v>
      </c>
      <c r="N31137" t="str">
        <f>IF(M31137="","",'Master Barang'!A31)</f>
        <v>PRL-030</v>
      </c>
      <c r="O31137" t="str">
        <f>IF(N31137="","",'Master Barang'!B31)</f>
        <v>klip plastik 25x16 100 pcs</v>
      </c>
      <c r="P31137">
        <f>IF(OR(M31137="",N31137=""),"",SUMIFS('Barang Keluar'!$E:$E,'Barang Keluar'!$A:$A,M31137,'Barang Keluar'!$C:$C,N31137))</f>
        <v>0</v>
      </c>
    </row>
    <row r="31138" spans="13:16">
      <c r="M31138" s="49">
        <f>IF($A$4+311&gt;$B$4,"",$A$4+311)</f>
        <v>46334</v>
      </c>
      <c r="N31138" t="str">
        <f>IF(M31138="","",'Master Barang'!A32)</f>
        <v>PRL-031</v>
      </c>
      <c r="O31138" t="str">
        <f>IF(N31138="","",'Master Barang'!B32)</f>
        <v>tempat saus 20 ml</v>
      </c>
      <c r="P31138">
        <f>IF(OR(M31138="",N31138=""),"",SUMIFS('Barang Keluar'!$E:$E,'Barang Keluar'!$A:$A,M31138,'Barang Keluar'!$C:$C,N31138))</f>
        <v>0</v>
      </c>
    </row>
    <row r="31139" spans="13:16">
      <c r="M31139" s="49">
        <f>IF($A$4+311&gt;$B$4,"",$A$4+311)</f>
        <v>46334</v>
      </c>
      <c r="N31139" t="str">
        <f>IF(M31139="","",'Master Barang'!A33)</f>
        <v>PRL-032</v>
      </c>
      <c r="O31139" t="str">
        <f>IF(N31139="","",'Master Barang'!B33)</f>
        <v>plastik packaging ag box uk sedang</v>
      </c>
      <c r="P31139">
        <f>IF(OR(M31139="",N31139=""),"",SUMIFS('Barang Keluar'!$E:$E,'Barang Keluar'!$A:$A,M31139,'Barang Keluar'!$C:$C,N31139))</f>
        <v>0</v>
      </c>
    </row>
    <row r="31140" spans="13:16">
      <c r="M31140" s="49">
        <f>IF($A$4+311&gt;$B$4,"",$A$4+311)</f>
        <v>46334</v>
      </c>
      <c r="N31140" t="str">
        <f>IF(M31140="","",'Master Barang'!A34)</f>
        <v>PRL-033</v>
      </c>
      <c r="O31140">
        <f>IF(N31140="","",'Master Barang'!B34)</f>
        <v>0</v>
      </c>
      <c r="P31140">
        <f>IF(OR(M31140="",N31140=""),"",SUMIFS('Barang Keluar'!$E:$E,'Barang Keluar'!$A:$A,M31140,'Barang Keluar'!$C:$C,N31140))</f>
        <v>0</v>
      </c>
    </row>
    <row r="31141" spans="13:16">
      <c r="M31141" s="49">
        <f>IF($A$4+311&gt;$B$4,"",$A$4+311)</f>
        <v>46334</v>
      </c>
      <c r="N31141">
        <f>IF(M31141="","",'Master Barang'!A35)</f>
        <v>0</v>
      </c>
      <c r="O31141">
        <f>IF(N31141="","",'Master Barang'!B35)</f>
        <v>0</v>
      </c>
      <c r="P31141">
        <f>IF(OR(M31141="",N31141=""),"",SUMIFS('Barang Keluar'!$E:$E,'Barang Keluar'!$A:$A,M31141,'Barang Keluar'!$C:$C,N31141))</f>
        <v>0</v>
      </c>
    </row>
    <row r="31142" spans="13:16">
      <c r="M31142" s="49">
        <f>IF($A$4+311&gt;$B$4,"",$A$4+311)</f>
        <v>46334</v>
      </c>
      <c r="N31142">
        <f>IF(M31142="","",'Master Barang'!A36)</f>
        <v>0</v>
      </c>
      <c r="O31142">
        <f>IF(N31142="","",'Master Barang'!B36)</f>
        <v>0</v>
      </c>
      <c r="P31142">
        <f>IF(OR(M31142="",N31142=""),"",SUMIFS('Barang Keluar'!$E:$E,'Barang Keluar'!$A:$A,M31142,'Barang Keluar'!$C:$C,N31142))</f>
        <v>0</v>
      </c>
    </row>
    <row r="31143" spans="13:16">
      <c r="M31143" s="49">
        <f>IF($A$4+311&gt;$B$4,"",$A$4+311)</f>
        <v>46334</v>
      </c>
      <c r="N31143">
        <f>IF(M31143="","",'Master Barang'!A37)</f>
        <v>0</v>
      </c>
      <c r="O31143">
        <f>IF(N31143="","",'Master Barang'!B37)</f>
        <v>0</v>
      </c>
      <c r="P31143">
        <f>IF(OR(M31143="",N31143=""),"",SUMIFS('Barang Keluar'!$E:$E,'Barang Keluar'!$A:$A,M31143,'Barang Keluar'!$C:$C,N31143))</f>
        <v>0</v>
      </c>
    </row>
    <row r="31144" spans="13:16">
      <c r="M31144" s="49">
        <f>IF($A$4+311&gt;$B$4,"",$A$4+311)</f>
        <v>46334</v>
      </c>
      <c r="N31144">
        <f>IF(M31144="","",'Master Barang'!A38)</f>
        <v>0</v>
      </c>
      <c r="O31144">
        <f>IF(N31144="","",'Master Barang'!B38)</f>
        <v>0</v>
      </c>
      <c r="P31144">
        <f>IF(OR(M31144="",N31144=""),"",SUMIFS('Barang Keluar'!$E:$E,'Barang Keluar'!$A:$A,M31144,'Barang Keluar'!$C:$C,N31144))</f>
        <v>0</v>
      </c>
    </row>
    <row r="31145" spans="13:16">
      <c r="M31145" s="49">
        <f>IF($A$4+311&gt;$B$4,"",$A$4+311)</f>
        <v>46334</v>
      </c>
      <c r="N31145">
        <f>IF(M31145="","",'Master Barang'!A39)</f>
        <v>0</v>
      </c>
      <c r="O31145">
        <f>IF(N31145="","",'Master Barang'!B39)</f>
        <v>0</v>
      </c>
      <c r="P31145">
        <f>IF(OR(M31145="",N31145=""),"",SUMIFS('Barang Keluar'!$E:$E,'Barang Keluar'!$A:$A,M31145,'Barang Keluar'!$C:$C,N31145))</f>
        <v>0</v>
      </c>
    </row>
    <row r="31146" spans="13:16">
      <c r="M31146" s="49">
        <f>IF($A$4+311&gt;$B$4,"",$A$4+311)</f>
        <v>46334</v>
      </c>
      <c r="N31146">
        <f>IF(M31146="","",'Master Barang'!A40)</f>
        <v>0</v>
      </c>
      <c r="O31146">
        <f>IF(N31146="","",'Master Barang'!B40)</f>
        <v>0</v>
      </c>
      <c r="P31146">
        <f>IF(OR(M31146="",N31146=""),"",SUMIFS('Barang Keluar'!$E:$E,'Barang Keluar'!$A:$A,M31146,'Barang Keluar'!$C:$C,N31146))</f>
        <v>0</v>
      </c>
    </row>
    <row r="31147" spans="13:16">
      <c r="M31147" s="49">
        <f>IF($A$4+311&gt;$B$4,"",$A$4+311)</f>
        <v>46334</v>
      </c>
      <c r="N31147">
        <f>IF(M31147="","",'Master Barang'!A41)</f>
        <v>0</v>
      </c>
      <c r="O31147">
        <f>IF(N31147="","",'Master Barang'!B41)</f>
        <v>0</v>
      </c>
      <c r="P31147">
        <f>IF(OR(M31147="",N31147=""),"",SUMIFS('Barang Keluar'!$E:$E,'Barang Keluar'!$A:$A,M31147,'Barang Keluar'!$C:$C,N31147))</f>
        <v>0</v>
      </c>
    </row>
    <row r="31148" spans="13:16">
      <c r="M31148" s="49">
        <f>IF($A$4+311&gt;$B$4,"",$A$4+311)</f>
        <v>46334</v>
      </c>
      <c r="N31148">
        <f>IF(M31148="","",'Master Barang'!A42)</f>
        <v>0</v>
      </c>
      <c r="O31148">
        <f>IF(N31148="","",'Master Barang'!B42)</f>
        <v>0</v>
      </c>
      <c r="P31148">
        <f>IF(OR(M31148="",N31148=""),"",SUMIFS('Barang Keluar'!$E:$E,'Barang Keluar'!$A:$A,M31148,'Barang Keluar'!$C:$C,N31148))</f>
        <v>0</v>
      </c>
    </row>
    <row r="31149" spans="13:16">
      <c r="M31149" s="49">
        <f>IF($A$4+311&gt;$B$4,"",$A$4+311)</f>
        <v>46334</v>
      </c>
      <c r="N31149">
        <f>IF(M31149="","",'Master Barang'!A43)</f>
        <v>0</v>
      </c>
      <c r="O31149">
        <f>IF(N31149="","",'Master Barang'!B43)</f>
        <v>0</v>
      </c>
      <c r="P31149">
        <f>IF(OR(M31149="",N31149=""),"",SUMIFS('Barang Keluar'!$E:$E,'Barang Keluar'!$A:$A,M31149,'Barang Keluar'!$C:$C,N31149))</f>
        <v>0</v>
      </c>
    </row>
    <row r="31150" spans="13:16">
      <c r="M31150" s="49">
        <f>IF($A$4+311&gt;$B$4,"",$A$4+311)</f>
        <v>46334</v>
      </c>
      <c r="N31150">
        <f>IF(M31150="","",'Master Barang'!A44)</f>
        <v>0</v>
      </c>
      <c r="O31150">
        <f>IF(N31150="","",'Master Barang'!B44)</f>
        <v>0</v>
      </c>
      <c r="P31150">
        <f>IF(OR(M31150="",N31150=""),"",SUMIFS('Barang Keluar'!$E:$E,'Barang Keluar'!$A:$A,M31150,'Barang Keluar'!$C:$C,N31150))</f>
        <v>0</v>
      </c>
    </row>
    <row r="31151" spans="13:16">
      <c r="M31151" s="49">
        <f>IF($A$4+311&gt;$B$4,"",$A$4+311)</f>
        <v>46334</v>
      </c>
      <c r="N31151">
        <f>IF(M31151="","",'Master Barang'!A45)</f>
        <v>0</v>
      </c>
      <c r="O31151">
        <f>IF(N31151="","",'Master Barang'!B45)</f>
        <v>0</v>
      </c>
      <c r="P31151">
        <f>IF(OR(M31151="",N31151=""),"",SUMIFS('Barang Keluar'!$E:$E,'Barang Keluar'!$A:$A,M31151,'Barang Keluar'!$C:$C,N31151))</f>
        <v>0</v>
      </c>
    </row>
    <row r="31152" spans="13:16">
      <c r="M31152" s="49">
        <f>IF($A$4+311&gt;$B$4,"",$A$4+311)</f>
        <v>46334</v>
      </c>
      <c r="N31152">
        <f>IF(M31152="","",'Master Barang'!A46)</f>
        <v>0</v>
      </c>
      <c r="O31152">
        <f>IF(N31152="","",'Master Barang'!B46)</f>
        <v>0</v>
      </c>
      <c r="P31152">
        <f>IF(OR(M31152="",N31152=""),"",SUMIFS('Barang Keluar'!$E:$E,'Barang Keluar'!$A:$A,M31152,'Barang Keluar'!$C:$C,N31152))</f>
        <v>0</v>
      </c>
    </row>
    <row r="31153" spans="13:16">
      <c r="M31153" s="49">
        <f>IF($A$4+311&gt;$B$4,"",$A$4+311)</f>
        <v>46334</v>
      </c>
      <c r="N31153">
        <f>IF(M31153="","",'Master Barang'!A47)</f>
        <v>0</v>
      </c>
      <c r="O31153">
        <f>IF(N31153="","",'Master Barang'!B47)</f>
        <v>0</v>
      </c>
      <c r="P31153">
        <f>IF(OR(M31153="",N31153=""),"",SUMIFS('Barang Keluar'!$E:$E,'Barang Keluar'!$A:$A,M31153,'Barang Keluar'!$C:$C,N31153))</f>
        <v>0</v>
      </c>
    </row>
    <row r="31154" spans="13:16">
      <c r="M31154" s="49">
        <f>IF($A$4+311&gt;$B$4,"",$A$4+311)</f>
        <v>46334</v>
      </c>
      <c r="N31154">
        <f>IF(M31154="","",'Master Barang'!A48)</f>
        <v>0</v>
      </c>
      <c r="O31154">
        <f>IF(N31154="","",'Master Barang'!B48)</f>
        <v>0</v>
      </c>
      <c r="P31154">
        <f>IF(OR(M31154="",N31154=""),"",SUMIFS('Barang Keluar'!$E:$E,'Barang Keluar'!$A:$A,M31154,'Barang Keluar'!$C:$C,N31154))</f>
        <v>0</v>
      </c>
    </row>
    <row r="31155" spans="13:16">
      <c r="M31155" s="49">
        <f>IF($A$4+311&gt;$B$4,"",$A$4+311)</f>
        <v>46334</v>
      </c>
      <c r="N31155">
        <f>IF(M31155="","",'Master Barang'!A49)</f>
        <v>0</v>
      </c>
      <c r="O31155">
        <f>IF(N31155="","",'Master Barang'!B49)</f>
        <v>0</v>
      </c>
      <c r="P31155">
        <f>IF(OR(M31155="",N31155=""),"",SUMIFS('Barang Keluar'!$E:$E,'Barang Keluar'!$A:$A,M31155,'Barang Keluar'!$C:$C,N31155))</f>
        <v>0</v>
      </c>
    </row>
    <row r="31156" spans="13:16">
      <c r="M31156" s="49">
        <f>IF($A$4+311&gt;$B$4,"",$A$4+311)</f>
        <v>46334</v>
      </c>
      <c r="N31156">
        <f>IF(M31156="","",'Master Barang'!A50)</f>
        <v>0</v>
      </c>
      <c r="O31156">
        <f>IF(N31156="","",'Master Barang'!B50)</f>
        <v>0</v>
      </c>
      <c r="P31156">
        <f>IF(OR(M31156="",N31156=""),"",SUMIFS('Barang Keluar'!$E:$E,'Barang Keluar'!$A:$A,M31156,'Barang Keluar'!$C:$C,N31156))</f>
        <v>0</v>
      </c>
    </row>
    <row r="31157" spans="13:16">
      <c r="M31157" s="49">
        <f>IF($A$4+311&gt;$B$4,"",$A$4+311)</f>
        <v>46334</v>
      </c>
      <c r="N31157">
        <f>IF(M31157="","",'Master Barang'!A51)</f>
        <v>0</v>
      </c>
      <c r="O31157">
        <f>IF(N31157="","",'Master Barang'!B51)</f>
        <v>0</v>
      </c>
      <c r="P31157">
        <f>IF(OR(M31157="",N31157=""),"",SUMIFS('Barang Keluar'!$E:$E,'Barang Keluar'!$A:$A,M31157,'Barang Keluar'!$C:$C,N31157))</f>
        <v>0</v>
      </c>
    </row>
    <row r="31158" spans="13:16">
      <c r="M31158" s="49">
        <f>IF($A$4+311&gt;$B$4,"",$A$4+311)</f>
        <v>46334</v>
      </c>
      <c r="N31158">
        <f>IF(M31158="","",'Master Barang'!A52)</f>
        <v>0</v>
      </c>
      <c r="O31158">
        <f>IF(N31158="","",'Master Barang'!B52)</f>
        <v>0</v>
      </c>
      <c r="P31158">
        <f>IF(OR(M31158="",N31158=""),"",SUMIFS('Barang Keluar'!$E:$E,'Barang Keluar'!$A:$A,M31158,'Barang Keluar'!$C:$C,N31158))</f>
        <v>0</v>
      </c>
    </row>
    <row r="31159" spans="13:16">
      <c r="M31159" s="49">
        <f>IF($A$4+311&gt;$B$4,"",$A$4+311)</f>
        <v>46334</v>
      </c>
      <c r="N31159">
        <f>IF(M31159="","",'Master Barang'!A53)</f>
        <v>0</v>
      </c>
      <c r="O31159">
        <f>IF(N31159="","",'Master Barang'!B53)</f>
        <v>0</v>
      </c>
      <c r="P31159">
        <f>IF(OR(M31159="",N31159=""),"",SUMIFS('Barang Keluar'!$E:$E,'Barang Keluar'!$A:$A,M31159,'Barang Keluar'!$C:$C,N31159))</f>
        <v>0</v>
      </c>
    </row>
    <row r="31160" spans="13:16">
      <c r="M31160" s="49">
        <f>IF($A$4+311&gt;$B$4,"",$A$4+311)</f>
        <v>46334</v>
      </c>
      <c r="N31160">
        <f>IF(M31160="","",'Master Barang'!A54)</f>
        <v>0</v>
      </c>
      <c r="O31160">
        <f>IF(N31160="","",'Master Barang'!B54)</f>
        <v>0</v>
      </c>
      <c r="P31160">
        <f>IF(OR(M31160="",N31160=""),"",SUMIFS('Barang Keluar'!$E:$E,'Barang Keluar'!$A:$A,M31160,'Barang Keluar'!$C:$C,N31160))</f>
        <v>0</v>
      </c>
    </row>
    <row r="31161" spans="13:16">
      <c r="M31161" s="49">
        <f>IF($A$4+311&gt;$B$4,"",$A$4+311)</f>
        <v>46334</v>
      </c>
      <c r="N31161">
        <f>IF(M31161="","",'Master Barang'!A55)</f>
        <v>0</v>
      </c>
      <c r="O31161">
        <f>IF(N31161="","",'Master Barang'!B55)</f>
        <v>0</v>
      </c>
      <c r="P31161">
        <f>IF(OR(M31161="",N31161=""),"",SUMIFS('Barang Keluar'!$E:$E,'Barang Keluar'!$A:$A,M31161,'Barang Keluar'!$C:$C,N31161))</f>
        <v>0</v>
      </c>
    </row>
    <row r="31162" spans="13:16">
      <c r="M31162" s="49">
        <f>IF($A$4+311&gt;$B$4,"",$A$4+311)</f>
        <v>46334</v>
      </c>
      <c r="N31162">
        <f>IF(M31162="","",'Master Barang'!A56)</f>
        <v>0</v>
      </c>
      <c r="O31162">
        <f>IF(N31162="","",'Master Barang'!B56)</f>
        <v>0</v>
      </c>
      <c r="P31162">
        <f>IF(OR(M31162="",N31162=""),"",SUMIFS('Barang Keluar'!$E:$E,'Barang Keluar'!$A:$A,M31162,'Barang Keluar'!$C:$C,N31162))</f>
        <v>0</v>
      </c>
    </row>
    <row r="31163" spans="13:16">
      <c r="M31163" s="49">
        <f>IF($A$4+311&gt;$B$4,"",$A$4+311)</f>
        <v>46334</v>
      </c>
      <c r="N31163">
        <f>IF(M31163="","",'Master Barang'!A57)</f>
        <v>0</v>
      </c>
      <c r="O31163">
        <f>IF(N31163="","",'Master Barang'!B57)</f>
        <v>0</v>
      </c>
      <c r="P31163">
        <f>IF(OR(M31163="",N31163=""),"",SUMIFS('Barang Keluar'!$E:$E,'Barang Keluar'!$A:$A,M31163,'Barang Keluar'!$C:$C,N31163))</f>
        <v>0</v>
      </c>
    </row>
    <row r="31164" spans="13:16">
      <c r="M31164" s="49">
        <f>IF($A$4+311&gt;$B$4,"",$A$4+311)</f>
        <v>46334</v>
      </c>
      <c r="N31164">
        <f>IF(M31164="","",'Master Barang'!A58)</f>
        <v>0</v>
      </c>
      <c r="O31164">
        <f>IF(N31164="","",'Master Barang'!B58)</f>
        <v>0</v>
      </c>
      <c r="P31164">
        <f>IF(OR(M31164="",N31164=""),"",SUMIFS('Barang Keluar'!$E:$E,'Barang Keluar'!$A:$A,M31164,'Barang Keluar'!$C:$C,N31164))</f>
        <v>0</v>
      </c>
    </row>
    <row r="31165" spans="13:16">
      <c r="M31165" s="49">
        <f>IF($A$4+311&gt;$B$4,"",$A$4+311)</f>
        <v>46334</v>
      </c>
      <c r="N31165">
        <f>IF(M31165="","",'Master Barang'!A59)</f>
        <v>0</v>
      </c>
      <c r="O31165">
        <f>IF(N31165="","",'Master Barang'!B59)</f>
        <v>0</v>
      </c>
      <c r="P31165">
        <f>IF(OR(M31165="",N31165=""),"",SUMIFS('Barang Keluar'!$E:$E,'Barang Keluar'!$A:$A,M31165,'Barang Keluar'!$C:$C,N31165))</f>
        <v>0</v>
      </c>
    </row>
    <row r="31166" spans="13:16">
      <c r="M31166" s="49">
        <f>IF($A$4+311&gt;$B$4,"",$A$4+311)</f>
        <v>46334</v>
      </c>
      <c r="N31166">
        <f>IF(M31166="","",'Master Barang'!A60)</f>
        <v>0</v>
      </c>
      <c r="O31166">
        <f>IF(N31166="","",'Master Barang'!B60)</f>
        <v>0</v>
      </c>
      <c r="P31166">
        <f>IF(OR(M31166="",N31166=""),"",SUMIFS('Barang Keluar'!$E:$E,'Barang Keluar'!$A:$A,M31166,'Barang Keluar'!$C:$C,N31166))</f>
        <v>0</v>
      </c>
    </row>
    <row r="31167" spans="13:16">
      <c r="M31167" s="49">
        <f>IF($A$4+311&gt;$B$4,"",$A$4+311)</f>
        <v>46334</v>
      </c>
      <c r="N31167">
        <f>IF(M31167="","",'Master Barang'!A61)</f>
        <v>0</v>
      </c>
      <c r="O31167">
        <f>IF(N31167="","",'Master Barang'!B61)</f>
        <v>0</v>
      </c>
      <c r="P31167">
        <f>IF(OR(M31167="",N31167=""),"",SUMIFS('Barang Keluar'!$E:$E,'Barang Keluar'!$A:$A,M31167,'Barang Keluar'!$C:$C,N31167))</f>
        <v>0</v>
      </c>
    </row>
    <row r="31168" spans="13:16">
      <c r="M31168" s="49">
        <f>IF($A$4+311&gt;$B$4,"",$A$4+311)</f>
        <v>46334</v>
      </c>
      <c r="N31168">
        <f>IF(M31168="","",'Master Barang'!A62)</f>
        <v>0</v>
      </c>
      <c r="O31168">
        <f>IF(N31168="","",'Master Barang'!B62)</f>
        <v>0</v>
      </c>
      <c r="P31168">
        <f>IF(OR(M31168="",N31168=""),"",SUMIFS('Barang Keluar'!$E:$E,'Barang Keluar'!$A:$A,M31168,'Barang Keluar'!$C:$C,N31168))</f>
        <v>0</v>
      </c>
    </row>
    <row r="31169" spans="13:16">
      <c r="M31169" s="49">
        <f>IF($A$4+311&gt;$B$4,"",$A$4+311)</f>
        <v>46334</v>
      </c>
      <c r="N31169">
        <f>IF(M31169="","",'Master Barang'!A63)</f>
        <v>0</v>
      </c>
      <c r="O31169">
        <f>IF(N31169="","",'Master Barang'!B63)</f>
        <v>0</v>
      </c>
      <c r="P31169">
        <f>IF(OR(M31169="",N31169=""),"",SUMIFS('Barang Keluar'!$E:$E,'Barang Keluar'!$A:$A,M31169,'Barang Keluar'!$C:$C,N31169))</f>
        <v>0</v>
      </c>
    </row>
    <row r="31170" spans="13:16">
      <c r="M31170" s="49">
        <f>IF($A$4+311&gt;$B$4,"",$A$4+311)</f>
        <v>46334</v>
      </c>
      <c r="N31170">
        <f>IF(M31170="","",'Master Barang'!A64)</f>
        <v>0</v>
      </c>
      <c r="O31170">
        <f>IF(N31170="","",'Master Barang'!B64)</f>
        <v>0</v>
      </c>
      <c r="P31170">
        <f>IF(OR(M31170="",N31170=""),"",SUMIFS('Barang Keluar'!$E:$E,'Barang Keluar'!$A:$A,M31170,'Barang Keluar'!$C:$C,N31170))</f>
        <v>0</v>
      </c>
    </row>
    <row r="31171" spans="13:16">
      <c r="M31171" s="49">
        <f>IF($A$4+311&gt;$B$4,"",$A$4+311)</f>
        <v>46334</v>
      </c>
      <c r="N31171">
        <f>IF(M31171="","",'Master Barang'!A65)</f>
        <v>0</v>
      </c>
      <c r="O31171">
        <f>IF(N31171="","",'Master Barang'!B65)</f>
        <v>0</v>
      </c>
      <c r="P31171">
        <f>IF(OR(M31171="",N31171=""),"",SUMIFS('Barang Keluar'!$E:$E,'Barang Keluar'!$A:$A,M31171,'Barang Keluar'!$C:$C,N31171))</f>
        <v>0</v>
      </c>
    </row>
    <row r="31172" spans="13:16">
      <c r="M31172" s="49">
        <f>IF($A$4+311&gt;$B$4,"",$A$4+311)</f>
        <v>46334</v>
      </c>
      <c r="N31172">
        <f>IF(M31172="","",'Master Barang'!A66)</f>
        <v>0</v>
      </c>
      <c r="O31172">
        <f>IF(N31172="","",'Master Barang'!B66)</f>
        <v>0</v>
      </c>
      <c r="P31172">
        <f>IF(OR(M31172="",N31172=""),"",SUMIFS('Barang Keluar'!$E:$E,'Barang Keluar'!$A:$A,M31172,'Barang Keluar'!$C:$C,N31172))</f>
        <v>0</v>
      </c>
    </row>
    <row r="31173" spans="13:16">
      <c r="M31173" s="49">
        <f>IF($A$4+311&gt;$B$4,"",$A$4+311)</f>
        <v>46334</v>
      </c>
      <c r="N31173">
        <f>IF(M31173="","",'Master Barang'!A67)</f>
        <v>0</v>
      </c>
      <c r="O31173">
        <f>IF(N31173="","",'Master Barang'!B67)</f>
        <v>0</v>
      </c>
      <c r="P31173">
        <f>IF(OR(M31173="",N31173=""),"",SUMIFS('Barang Keluar'!$E:$E,'Barang Keluar'!$A:$A,M31173,'Barang Keluar'!$C:$C,N31173))</f>
        <v>0</v>
      </c>
    </row>
    <row r="31174" spans="13:16">
      <c r="M31174" s="49">
        <f>IF($A$4+311&gt;$B$4,"",$A$4+311)</f>
        <v>46334</v>
      </c>
      <c r="N31174">
        <f>IF(M31174="","",'Master Barang'!A68)</f>
        <v>0</v>
      </c>
      <c r="O31174">
        <f>IF(N31174="","",'Master Barang'!B68)</f>
        <v>0</v>
      </c>
      <c r="P31174">
        <f>IF(OR(M31174="",N31174=""),"",SUMIFS('Barang Keluar'!$E:$E,'Barang Keluar'!$A:$A,M31174,'Barang Keluar'!$C:$C,N31174))</f>
        <v>0</v>
      </c>
    </row>
    <row r="31175" spans="13:16">
      <c r="M31175" s="49">
        <f>IF($A$4+311&gt;$B$4,"",$A$4+311)</f>
        <v>46334</v>
      </c>
      <c r="N31175">
        <f>IF(M31175="","",'Master Barang'!A69)</f>
        <v>0</v>
      </c>
      <c r="O31175">
        <f>IF(N31175="","",'Master Barang'!B69)</f>
        <v>0</v>
      </c>
      <c r="P31175">
        <f>IF(OR(M31175="",N31175=""),"",SUMIFS('Barang Keluar'!$E:$E,'Barang Keluar'!$A:$A,M31175,'Barang Keluar'!$C:$C,N31175))</f>
        <v>0</v>
      </c>
    </row>
    <row r="31176" spans="13:16">
      <c r="M31176" s="49">
        <f>IF($A$4+311&gt;$B$4,"",$A$4+311)</f>
        <v>46334</v>
      </c>
      <c r="N31176">
        <f>IF(M31176="","",'Master Barang'!A70)</f>
        <v>0</v>
      </c>
      <c r="O31176">
        <f>IF(N31176="","",'Master Barang'!B70)</f>
        <v>0</v>
      </c>
      <c r="P31176">
        <f>IF(OR(M31176="",N31176=""),"",SUMIFS('Barang Keluar'!$E:$E,'Barang Keluar'!$A:$A,M31176,'Barang Keluar'!$C:$C,N31176))</f>
        <v>0</v>
      </c>
    </row>
    <row r="31177" spans="13:16">
      <c r="M31177" s="49">
        <f>IF($A$4+311&gt;$B$4,"",$A$4+311)</f>
        <v>46334</v>
      </c>
      <c r="N31177">
        <f>IF(M31177="","",'Master Barang'!A71)</f>
        <v>0</v>
      </c>
      <c r="O31177">
        <f>IF(N31177="","",'Master Barang'!B71)</f>
        <v>0</v>
      </c>
      <c r="P31177">
        <f>IF(OR(M31177="",N31177=""),"",SUMIFS('Barang Keluar'!$E:$E,'Barang Keluar'!$A:$A,M31177,'Barang Keluar'!$C:$C,N31177))</f>
        <v>0</v>
      </c>
    </row>
    <row r="31178" spans="13:16">
      <c r="M31178" s="49">
        <f>IF($A$4+311&gt;$B$4,"",$A$4+311)</f>
        <v>46334</v>
      </c>
      <c r="N31178">
        <f>IF(M31178="","",'Master Barang'!A72)</f>
        <v>0</v>
      </c>
      <c r="O31178">
        <f>IF(N31178="","",'Master Barang'!B72)</f>
        <v>0</v>
      </c>
      <c r="P31178">
        <f>IF(OR(M31178="",N31178=""),"",SUMIFS('Barang Keluar'!$E:$E,'Barang Keluar'!$A:$A,M31178,'Barang Keluar'!$C:$C,N31178))</f>
        <v>0</v>
      </c>
    </row>
    <row r="31179" spans="13:16">
      <c r="M31179" s="49">
        <f>IF($A$4+311&gt;$B$4,"",$A$4+311)</f>
        <v>46334</v>
      </c>
      <c r="N31179">
        <f>IF(M31179="","",'Master Barang'!A73)</f>
        <v>0</v>
      </c>
      <c r="O31179">
        <f>IF(N31179="","",'Master Barang'!B73)</f>
        <v>0</v>
      </c>
      <c r="P31179">
        <f>IF(OR(M31179="",N31179=""),"",SUMIFS('Barang Keluar'!$E:$E,'Barang Keluar'!$A:$A,M31179,'Barang Keluar'!$C:$C,N31179))</f>
        <v>0</v>
      </c>
    </row>
    <row r="31180" spans="13:16">
      <c r="M31180" s="49">
        <f>IF($A$4+311&gt;$B$4,"",$A$4+311)</f>
        <v>46334</v>
      </c>
      <c r="N31180">
        <f>IF(M31180="","",'Master Barang'!A74)</f>
        <v>0</v>
      </c>
      <c r="O31180">
        <f>IF(N31180="","",'Master Barang'!B74)</f>
        <v>0</v>
      </c>
      <c r="P31180">
        <f>IF(OR(M31180="",N31180=""),"",SUMIFS('Barang Keluar'!$E:$E,'Barang Keluar'!$A:$A,M31180,'Barang Keluar'!$C:$C,N31180))</f>
        <v>0</v>
      </c>
    </row>
    <row r="31181" spans="13:16">
      <c r="M31181" s="49">
        <f>IF($A$4+311&gt;$B$4,"",$A$4+311)</f>
        <v>46334</v>
      </c>
      <c r="N31181">
        <f>IF(M31181="","",'Master Barang'!A75)</f>
        <v>0</v>
      </c>
      <c r="O31181">
        <f>IF(N31181="","",'Master Barang'!B75)</f>
        <v>0</v>
      </c>
      <c r="P31181">
        <f>IF(OR(M31181="",N31181=""),"",SUMIFS('Barang Keluar'!$E:$E,'Barang Keluar'!$A:$A,M31181,'Barang Keluar'!$C:$C,N31181))</f>
        <v>0</v>
      </c>
    </row>
    <row r="31182" spans="13:16">
      <c r="M31182" s="49">
        <f>IF($A$4+311&gt;$B$4,"",$A$4+311)</f>
        <v>46334</v>
      </c>
      <c r="N31182">
        <f>IF(M31182="","",'Master Barang'!A76)</f>
        <v>0</v>
      </c>
      <c r="O31182">
        <f>IF(N31182="","",'Master Barang'!B76)</f>
        <v>0</v>
      </c>
      <c r="P31182">
        <f>IF(OR(M31182="",N31182=""),"",SUMIFS('Barang Keluar'!$E:$E,'Barang Keluar'!$A:$A,M31182,'Barang Keluar'!$C:$C,N31182))</f>
        <v>0</v>
      </c>
    </row>
    <row r="31183" spans="13:16">
      <c r="M31183" s="49">
        <f>IF($A$4+311&gt;$B$4,"",$A$4+311)</f>
        <v>46334</v>
      </c>
      <c r="N31183">
        <f>IF(M31183="","",'Master Barang'!A77)</f>
        <v>0</v>
      </c>
      <c r="O31183">
        <f>IF(N31183="","",'Master Barang'!B77)</f>
        <v>0</v>
      </c>
      <c r="P31183">
        <f>IF(OR(M31183="",N31183=""),"",SUMIFS('Barang Keluar'!$E:$E,'Barang Keluar'!$A:$A,M31183,'Barang Keluar'!$C:$C,N31183))</f>
        <v>0</v>
      </c>
    </row>
    <row r="31184" spans="13:16">
      <c r="M31184" s="49">
        <f>IF($A$4+311&gt;$B$4,"",$A$4+311)</f>
        <v>46334</v>
      </c>
      <c r="N31184">
        <f>IF(M31184="","",'Master Barang'!A78)</f>
        <v>0</v>
      </c>
      <c r="O31184">
        <f>IF(N31184="","",'Master Barang'!B78)</f>
        <v>0</v>
      </c>
      <c r="P31184">
        <f>IF(OR(M31184="",N31184=""),"",SUMIFS('Barang Keluar'!$E:$E,'Barang Keluar'!$A:$A,M31184,'Barang Keluar'!$C:$C,N31184))</f>
        <v>0</v>
      </c>
    </row>
    <row r="31185" spans="13:16">
      <c r="M31185" s="49">
        <f>IF($A$4+311&gt;$B$4,"",$A$4+311)</f>
        <v>46334</v>
      </c>
      <c r="N31185">
        <f>IF(M31185="","",'Master Barang'!A79)</f>
        <v>0</v>
      </c>
      <c r="O31185">
        <f>IF(N31185="","",'Master Barang'!B79)</f>
        <v>0</v>
      </c>
      <c r="P31185">
        <f>IF(OR(M31185="",N31185=""),"",SUMIFS('Barang Keluar'!$E:$E,'Barang Keluar'!$A:$A,M31185,'Barang Keluar'!$C:$C,N31185))</f>
        <v>0</v>
      </c>
    </row>
    <row r="31186" spans="13:16">
      <c r="M31186" s="49">
        <f>IF($A$4+311&gt;$B$4,"",$A$4+311)</f>
        <v>46334</v>
      </c>
      <c r="N31186">
        <f>IF(M31186="","",'Master Barang'!A80)</f>
        <v>0</v>
      </c>
      <c r="O31186">
        <f>IF(N31186="","",'Master Barang'!B80)</f>
        <v>0</v>
      </c>
      <c r="P31186">
        <f>IF(OR(M31186="",N31186=""),"",SUMIFS('Barang Keluar'!$E:$E,'Barang Keluar'!$A:$A,M31186,'Barang Keluar'!$C:$C,N31186))</f>
        <v>0</v>
      </c>
    </row>
    <row r="31187" spans="13:16">
      <c r="M31187" s="49">
        <f>IF($A$4+311&gt;$B$4,"",$A$4+311)</f>
        <v>46334</v>
      </c>
      <c r="N31187">
        <f>IF(M31187="","",'Master Barang'!A81)</f>
        <v>0</v>
      </c>
      <c r="O31187">
        <f>IF(N31187="","",'Master Barang'!B81)</f>
        <v>0</v>
      </c>
      <c r="P31187">
        <f>IF(OR(M31187="",N31187=""),"",SUMIFS('Barang Keluar'!$E:$E,'Barang Keluar'!$A:$A,M31187,'Barang Keluar'!$C:$C,N31187))</f>
        <v>0</v>
      </c>
    </row>
    <row r="31188" spans="13:16">
      <c r="M31188" s="49">
        <f>IF($A$4+311&gt;$B$4,"",$A$4+311)</f>
        <v>46334</v>
      </c>
      <c r="N31188">
        <f>IF(M31188="","",'Master Barang'!A82)</f>
        <v>0</v>
      </c>
      <c r="O31188">
        <f>IF(N31188="","",'Master Barang'!B82)</f>
        <v>0</v>
      </c>
      <c r="P31188">
        <f>IF(OR(M31188="",N31188=""),"",SUMIFS('Barang Keluar'!$E:$E,'Barang Keluar'!$A:$A,M31188,'Barang Keluar'!$C:$C,N31188))</f>
        <v>0</v>
      </c>
    </row>
    <row r="31189" spans="13:16">
      <c r="M31189" s="49">
        <f>IF($A$4+311&gt;$B$4,"",$A$4+311)</f>
        <v>46334</v>
      </c>
      <c r="N31189">
        <f>IF(M31189="","",'Master Barang'!A83)</f>
        <v>0</v>
      </c>
      <c r="O31189">
        <f>IF(N31189="","",'Master Barang'!B83)</f>
        <v>0</v>
      </c>
      <c r="P31189">
        <f>IF(OR(M31189="",N31189=""),"",SUMIFS('Barang Keluar'!$E:$E,'Barang Keluar'!$A:$A,M31189,'Barang Keluar'!$C:$C,N31189))</f>
        <v>0</v>
      </c>
    </row>
    <row r="31190" spans="13:16">
      <c r="M31190" s="49">
        <f>IF($A$4+311&gt;$B$4,"",$A$4+311)</f>
        <v>46334</v>
      </c>
      <c r="N31190">
        <f>IF(M31190="","",'Master Barang'!A84)</f>
        <v>0</v>
      </c>
      <c r="O31190">
        <f>IF(N31190="","",'Master Barang'!B84)</f>
        <v>0</v>
      </c>
      <c r="P31190">
        <f>IF(OR(M31190="",N31190=""),"",SUMIFS('Barang Keluar'!$E:$E,'Barang Keluar'!$A:$A,M31190,'Barang Keluar'!$C:$C,N31190))</f>
        <v>0</v>
      </c>
    </row>
    <row r="31191" spans="13:16">
      <c r="M31191" s="49">
        <f>IF($A$4+311&gt;$B$4,"",$A$4+311)</f>
        <v>46334</v>
      </c>
      <c r="N31191">
        <f>IF(M31191="","",'Master Barang'!A85)</f>
        <v>0</v>
      </c>
      <c r="O31191">
        <f>IF(N31191="","",'Master Barang'!B85)</f>
        <v>0</v>
      </c>
      <c r="P31191">
        <f>IF(OR(M31191="",N31191=""),"",SUMIFS('Barang Keluar'!$E:$E,'Barang Keluar'!$A:$A,M31191,'Barang Keluar'!$C:$C,N31191))</f>
        <v>0</v>
      </c>
    </row>
    <row r="31192" spans="13:16">
      <c r="M31192" s="49">
        <f>IF($A$4+311&gt;$B$4,"",$A$4+311)</f>
        <v>46334</v>
      </c>
      <c r="N31192">
        <f>IF(M31192="","",'Master Barang'!A86)</f>
        <v>0</v>
      </c>
      <c r="O31192">
        <f>IF(N31192="","",'Master Barang'!B86)</f>
        <v>0</v>
      </c>
      <c r="P31192">
        <f>IF(OR(M31192="",N31192=""),"",SUMIFS('Barang Keluar'!$E:$E,'Barang Keluar'!$A:$A,M31192,'Barang Keluar'!$C:$C,N31192))</f>
        <v>0</v>
      </c>
    </row>
    <row r="31193" spans="13:16">
      <c r="M31193" s="49">
        <f>IF($A$4+311&gt;$B$4,"",$A$4+311)</f>
        <v>46334</v>
      </c>
      <c r="N31193">
        <f>IF(M31193="","",'Master Barang'!A87)</f>
        <v>0</v>
      </c>
      <c r="O31193">
        <f>IF(N31193="","",'Master Barang'!B87)</f>
        <v>0</v>
      </c>
      <c r="P31193">
        <f>IF(OR(M31193="",N31193=""),"",SUMIFS('Barang Keluar'!$E:$E,'Barang Keluar'!$A:$A,M31193,'Barang Keluar'!$C:$C,N31193))</f>
        <v>0</v>
      </c>
    </row>
    <row r="31194" spans="13:16">
      <c r="M31194" s="49">
        <f>IF($A$4+311&gt;$B$4,"",$A$4+311)</f>
        <v>46334</v>
      </c>
      <c r="N31194">
        <f>IF(M31194="","",'Master Barang'!A88)</f>
        <v>0</v>
      </c>
      <c r="O31194">
        <f>IF(N31194="","",'Master Barang'!B88)</f>
        <v>0</v>
      </c>
      <c r="P31194">
        <f>IF(OR(M31194="",N31194=""),"",SUMIFS('Barang Keluar'!$E:$E,'Barang Keluar'!$A:$A,M31194,'Barang Keluar'!$C:$C,N31194))</f>
        <v>0</v>
      </c>
    </row>
    <row r="31195" spans="13:16">
      <c r="M31195" s="49">
        <f>IF($A$4+311&gt;$B$4,"",$A$4+311)</f>
        <v>46334</v>
      </c>
      <c r="N31195">
        <f>IF(M31195="","",'Master Barang'!A89)</f>
        <v>0</v>
      </c>
      <c r="O31195">
        <f>IF(N31195="","",'Master Barang'!B89)</f>
        <v>0</v>
      </c>
      <c r="P31195">
        <f>IF(OR(M31195="",N31195=""),"",SUMIFS('Barang Keluar'!$E:$E,'Barang Keluar'!$A:$A,M31195,'Barang Keluar'!$C:$C,N31195))</f>
        <v>0</v>
      </c>
    </row>
    <row r="31196" spans="13:16">
      <c r="M31196" s="49">
        <f>IF($A$4+311&gt;$B$4,"",$A$4+311)</f>
        <v>46334</v>
      </c>
      <c r="N31196">
        <f>IF(M31196="","",'Master Barang'!A90)</f>
        <v>0</v>
      </c>
      <c r="O31196">
        <f>IF(N31196="","",'Master Barang'!B90)</f>
        <v>0</v>
      </c>
      <c r="P31196">
        <f>IF(OR(M31196="",N31196=""),"",SUMIFS('Barang Keluar'!$E:$E,'Barang Keluar'!$A:$A,M31196,'Barang Keluar'!$C:$C,N31196))</f>
        <v>0</v>
      </c>
    </row>
    <row r="31197" spans="13:16">
      <c r="M31197" s="49">
        <f>IF($A$4+311&gt;$B$4,"",$A$4+311)</f>
        <v>46334</v>
      </c>
      <c r="N31197">
        <f>IF(M31197="","",'Master Barang'!A91)</f>
        <v>0</v>
      </c>
      <c r="O31197">
        <f>IF(N31197="","",'Master Barang'!B91)</f>
        <v>0</v>
      </c>
      <c r="P31197">
        <f>IF(OR(M31197="",N31197=""),"",SUMIFS('Barang Keluar'!$E:$E,'Barang Keluar'!$A:$A,M31197,'Barang Keluar'!$C:$C,N31197))</f>
        <v>0</v>
      </c>
    </row>
    <row r="31198" spans="13:16">
      <c r="M31198" s="49">
        <f>IF($A$4+311&gt;$B$4,"",$A$4+311)</f>
        <v>46334</v>
      </c>
      <c r="N31198">
        <f>IF(M31198="","",'Master Barang'!A92)</f>
        <v>0</v>
      </c>
      <c r="O31198">
        <f>IF(N31198="","",'Master Barang'!B92)</f>
        <v>0</v>
      </c>
      <c r="P31198">
        <f>IF(OR(M31198="",N31198=""),"",SUMIFS('Barang Keluar'!$E:$E,'Barang Keluar'!$A:$A,M31198,'Barang Keluar'!$C:$C,N31198))</f>
        <v>0</v>
      </c>
    </row>
    <row r="31199" spans="13:16">
      <c r="M31199" s="49">
        <f>IF($A$4+311&gt;$B$4,"",$A$4+311)</f>
        <v>46334</v>
      </c>
      <c r="N31199">
        <f>IF(M31199="","",'Master Barang'!A93)</f>
        <v>0</v>
      </c>
      <c r="O31199">
        <f>IF(N31199="","",'Master Barang'!B93)</f>
        <v>0</v>
      </c>
      <c r="P31199">
        <f>IF(OR(M31199="",N31199=""),"",SUMIFS('Barang Keluar'!$E:$E,'Barang Keluar'!$A:$A,M31199,'Barang Keluar'!$C:$C,N31199))</f>
        <v>0</v>
      </c>
    </row>
    <row r="31200" spans="13:16">
      <c r="M31200" s="49">
        <f>IF($A$4+311&gt;$B$4,"",$A$4+311)</f>
        <v>46334</v>
      </c>
      <c r="N31200">
        <f>IF(M31200="","",'Master Barang'!A94)</f>
        <v>0</v>
      </c>
      <c r="O31200">
        <f>IF(N31200="","",'Master Barang'!B94)</f>
        <v>0</v>
      </c>
      <c r="P31200">
        <f>IF(OR(M31200="",N31200=""),"",SUMIFS('Barang Keluar'!$E:$E,'Barang Keluar'!$A:$A,M31200,'Barang Keluar'!$C:$C,N31200))</f>
        <v>0</v>
      </c>
    </row>
    <row r="31201" spans="13:16">
      <c r="M31201" s="49">
        <f>IF($A$4+311&gt;$B$4,"",$A$4+311)</f>
        <v>46334</v>
      </c>
      <c r="N31201">
        <f>IF(M31201="","",'Master Barang'!A95)</f>
        <v>0</v>
      </c>
      <c r="O31201">
        <f>IF(N31201="","",'Master Barang'!B95)</f>
        <v>0</v>
      </c>
      <c r="P31201">
        <f>IF(OR(M31201="",N31201=""),"",SUMIFS('Barang Keluar'!$E:$E,'Barang Keluar'!$A:$A,M31201,'Barang Keluar'!$C:$C,N31201))</f>
        <v>0</v>
      </c>
    </row>
    <row r="31202" spans="13:16">
      <c r="M31202" s="49">
        <f>IF($A$4+311&gt;$B$4,"",$A$4+311)</f>
        <v>46334</v>
      </c>
      <c r="N31202">
        <f>IF(M31202="","",'Master Barang'!A96)</f>
        <v>0</v>
      </c>
      <c r="O31202">
        <f>IF(N31202="","",'Master Barang'!B96)</f>
        <v>0</v>
      </c>
      <c r="P31202">
        <f>IF(OR(M31202="",N31202=""),"",SUMIFS('Barang Keluar'!$E:$E,'Barang Keluar'!$A:$A,M31202,'Barang Keluar'!$C:$C,N31202))</f>
        <v>0</v>
      </c>
    </row>
    <row r="31203" spans="13:16">
      <c r="M31203" s="49">
        <f>IF($A$4+311&gt;$B$4,"",$A$4+311)</f>
        <v>46334</v>
      </c>
      <c r="N31203">
        <f>IF(M31203="","",'Master Barang'!A97)</f>
        <v>0</v>
      </c>
      <c r="O31203">
        <f>IF(N31203="","",'Master Barang'!B97)</f>
        <v>0</v>
      </c>
      <c r="P31203">
        <f>IF(OR(M31203="",N31203=""),"",SUMIFS('Barang Keluar'!$E:$E,'Barang Keluar'!$A:$A,M31203,'Barang Keluar'!$C:$C,N31203))</f>
        <v>0</v>
      </c>
    </row>
    <row r="31204" spans="13:16">
      <c r="M31204" s="49">
        <f>IF($A$4+311&gt;$B$4,"",$A$4+311)</f>
        <v>46334</v>
      </c>
      <c r="N31204">
        <f>IF(M31204="","",'Master Barang'!A98)</f>
        <v>0</v>
      </c>
      <c r="O31204">
        <f>IF(N31204="","",'Master Barang'!B98)</f>
        <v>0</v>
      </c>
      <c r="P31204">
        <f>IF(OR(M31204="",N31204=""),"",SUMIFS('Barang Keluar'!$E:$E,'Barang Keluar'!$A:$A,M31204,'Barang Keluar'!$C:$C,N31204))</f>
        <v>0</v>
      </c>
    </row>
    <row r="31205" spans="13:16">
      <c r="M31205" s="49">
        <f>IF($A$4+311&gt;$B$4,"",$A$4+311)</f>
        <v>46334</v>
      </c>
      <c r="N31205">
        <f>IF(M31205="","",'Master Barang'!A99)</f>
        <v>0</v>
      </c>
      <c r="O31205">
        <f>IF(N31205="","",'Master Barang'!B99)</f>
        <v>0</v>
      </c>
      <c r="P31205">
        <f>IF(OR(M31205="",N31205=""),"",SUMIFS('Barang Keluar'!$E:$E,'Barang Keluar'!$A:$A,M31205,'Barang Keluar'!$C:$C,N31205))</f>
        <v>0</v>
      </c>
    </row>
    <row r="31206" spans="13:16">
      <c r="M31206" s="49">
        <f>IF($A$4+311&gt;$B$4,"",$A$4+311)</f>
        <v>46334</v>
      </c>
      <c r="N31206">
        <f>IF(M31206="","",'Master Barang'!A100)</f>
        <v>0</v>
      </c>
      <c r="O31206">
        <f>IF(N31206="","",'Master Barang'!B100)</f>
        <v>0</v>
      </c>
      <c r="P31206">
        <f>IF(OR(M31206="",N31206=""),"",SUMIFS('Barang Keluar'!$E:$E,'Barang Keluar'!$A:$A,M31206,'Barang Keluar'!$C:$C,N31206))</f>
        <v>0</v>
      </c>
    </row>
    <row r="31207" spans="13:16">
      <c r="M31207" s="49">
        <f>IF($A$4+311&gt;$B$4,"",$A$4+311)</f>
        <v>46334</v>
      </c>
      <c r="N31207">
        <f>IF(M31207="","",'Master Barang'!A101)</f>
        <v>0</v>
      </c>
      <c r="O31207">
        <f>IF(N31207="","",'Master Barang'!B101)</f>
        <v>0</v>
      </c>
      <c r="P31207">
        <f>IF(OR(M31207="",N31207=""),"",SUMIFS('Barang Keluar'!$E:$E,'Barang Keluar'!$A:$A,M31207,'Barang Keluar'!$C:$C,N31207))</f>
        <v>0</v>
      </c>
    </row>
    <row r="31208" spans="13:16">
      <c r="M31208" s="49">
        <f>IF($A$4+312&gt;$B$4,"",$A$4+312)</f>
        <v>46335</v>
      </c>
      <c r="N31208" t="str">
        <f>IF(M31208="","",'Master Barang'!A2)</f>
        <v>PRL-001</v>
      </c>
      <c r="O31208" t="str">
        <f>IF(N31208="","",'Master Barang'!B2)</f>
        <v>natura desinfectant food grade 5l</v>
      </c>
      <c r="P31208">
        <f>IF(OR(M31208="",N31208=""),"",SUMIFS('Barang Keluar'!$E:$E,'Barang Keluar'!$A:$A,M31208,'Barang Keluar'!$C:$C,N31208))</f>
        <v>0</v>
      </c>
    </row>
    <row r="31209" spans="13:16">
      <c r="M31209" s="49">
        <f>IF($A$4+312&gt;$B$4,"",$A$4+312)</f>
        <v>46335</v>
      </c>
      <c r="N31209" t="str">
        <f>IF(M31209="","",'Master Barang'!A3)</f>
        <v>PRL-002</v>
      </c>
      <c r="O31209" t="str">
        <f>IF(N31209="","",'Master Barang'!B3)</f>
        <v>sunlight cairan pencuci piring 5l</v>
      </c>
      <c r="P31209">
        <f>IF(OR(M31209="",N31209=""),"",SUMIFS('Barang Keluar'!$E:$E,'Barang Keluar'!$A:$A,M31209,'Barang Keluar'!$C:$C,N31209))</f>
        <v>0</v>
      </c>
    </row>
    <row r="31210" spans="13:16">
      <c r="M31210" s="49">
        <f>IF($A$4+312&gt;$B$4,"",$A$4+312)</f>
        <v>46335</v>
      </c>
      <c r="N31210" t="str">
        <f>IF(M31210="","",'Master Barang'!A4)</f>
        <v>PRL-003</v>
      </c>
      <c r="O31210" t="str">
        <f>IF(N31210="","",'Master Barang'!B4)</f>
        <v>oixs cleaner 1l</v>
      </c>
      <c r="P31210">
        <f>IF(OR(M31210="",N31210=""),"",SUMIFS('Barang Keluar'!$E:$E,'Barang Keluar'!$A:$A,M31210,'Barang Keluar'!$C:$C,N31210))</f>
        <v>0</v>
      </c>
    </row>
    <row r="31211" spans="13:16">
      <c r="M31211" s="49">
        <f>IF($A$4+312&gt;$B$4,"",$A$4+312)</f>
        <v>46335</v>
      </c>
      <c r="N31211" t="str">
        <f>IF(M31211="","",'Master Barang'!A5)</f>
        <v>PRL-004</v>
      </c>
      <c r="O31211" t="str">
        <f>IF(N31211="","",'Master Barang'!B5)</f>
        <v>be clean tissue serbaguna</v>
      </c>
      <c r="P31211">
        <f>IF(OR(M31211="",N31211=""),"",SUMIFS('Barang Keluar'!$E:$E,'Barang Keluar'!$A:$A,M31211,'Barang Keluar'!$C:$C,N31211))</f>
        <v>0</v>
      </c>
    </row>
    <row r="31212" spans="13:16">
      <c r="M31212" s="49">
        <f>IF($A$4+312&gt;$B$4,"",$A$4+312)</f>
        <v>46335</v>
      </c>
      <c r="N31212" t="str">
        <f>IF(M31212="","",'Master Barang'!A6)</f>
        <v>PRL-005</v>
      </c>
      <c r="O31212" t="str">
        <f>IF(N31212="","",'Master Barang'!B6)</f>
        <v>spons cuci hijau</v>
      </c>
      <c r="P31212">
        <f>IF(OR(M31212="",N31212=""),"",SUMIFS('Barang Keluar'!$E:$E,'Barang Keluar'!$A:$A,M31212,'Barang Keluar'!$C:$C,N31212))</f>
        <v>0</v>
      </c>
    </row>
    <row r="31213" spans="13:16">
      <c r="M31213" s="49">
        <f>IF($A$4+312&gt;$B$4,"",$A$4+312)</f>
        <v>46335</v>
      </c>
      <c r="N31213" t="str">
        <f>IF(M31213="","",'Master Barang'!A7)</f>
        <v>PRL-006</v>
      </c>
      <c r="O31213" t="str">
        <f>IF(N31213="","",'Master Barang'!B7)</f>
        <v>sabut cuci stainless</v>
      </c>
      <c r="P31213">
        <f>IF(OR(M31213="",N31213=""),"",SUMIFS('Barang Keluar'!$E:$E,'Barang Keluar'!$A:$A,M31213,'Barang Keluar'!$C:$C,N31213))</f>
        <v>0</v>
      </c>
    </row>
    <row r="31214" spans="13:16">
      <c r="M31214" s="49">
        <f>IF($A$4+312&gt;$B$4,"",$A$4+312)</f>
        <v>46335</v>
      </c>
      <c r="N31214" t="str">
        <f>IF(M31214="","",'Master Barang'!A8)</f>
        <v>PRL-007</v>
      </c>
      <c r="O31214" t="str">
        <f>IF(N31214="","",'Master Barang'!B8)</f>
        <v>plastik kresek besar merah 50pc</v>
      </c>
      <c r="P31214">
        <f>IF(OR(M31214="",N31214=""),"",SUMIFS('Barang Keluar'!$E:$E,'Barang Keluar'!$A:$A,M31214,'Barang Keluar'!$C:$C,N31214))</f>
        <v>0</v>
      </c>
    </row>
    <row r="31215" spans="13:16">
      <c r="M31215" s="49">
        <f>IF($A$4+312&gt;$B$4,"",$A$4+312)</f>
        <v>46335</v>
      </c>
      <c r="N31215" t="str">
        <f>IF(M31215="","",'Master Barang'!A9)</f>
        <v>PRL-008</v>
      </c>
      <c r="O31215" t="str">
        <f>IF(N31215="","",'Master Barang'!B9)</f>
        <v>lap besar</v>
      </c>
      <c r="P31215">
        <f>IF(OR(M31215="",N31215=""),"",SUMIFS('Barang Keluar'!$E:$E,'Barang Keluar'!$A:$A,M31215,'Barang Keluar'!$C:$C,N31215))</f>
        <v>0</v>
      </c>
    </row>
    <row r="31216" spans="13:16">
      <c r="M31216" s="49">
        <f>IF($A$4+312&gt;$B$4,"",$A$4+312)</f>
        <v>46335</v>
      </c>
      <c r="N31216" t="str">
        <f>IF(M31216="","",'Master Barang'!A10)</f>
        <v>PRL-009</v>
      </c>
      <c r="O31216" t="str">
        <f>IF(N31216="","",'Master Barang'!B10)</f>
        <v>lap microfiber</v>
      </c>
      <c r="P31216">
        <f>IF(OR(M31216="",N31216=""),"",SUMIFS('Barang Keluar'!$E:$E,'Barang Keluar'!$A:$A,M31216,'Barang Keluar'!$C:$C,N31216))</f>
        <v>0</v>
      </c>
    </row>
    <row r="31217" spans="13:16">
      <c r="M31217" s="49">
        <f>IF($A$4+312&gt;$B$4,"",$A$4+312)</f>
        <v>46335</v>
      </c>
      <c r="N31217" t="str">
        <f>IF(M31217="","",'Master Barang'!A11)</f>
        <v>PRL-010</v>
      </c>
      <c r="O31217" t="str">
        <f>IF(N31217="","",'Master Barang'!B11)</f>
        <v>lap kecil</v>
      </c>
      <c r="P31217">
        <f>IF(OR(M31217="",N31217=""),"",SUMIFS('Barang Keluar'!$E:$E,'Barang Keluar'!$A:$A,M31217,'Barang Keluar'!$C:$C,N31217))</f>
        <v>0</v>
      </c>
    </row>
    <row r="31218" spans="13:16">
      <c r="M31218" s="49">
        <f>IF($A$4+312&gt;$B$4,"",$A$4+312)</f>
        <v>46335</v>
      </c>
      <c r="N31218" t="str">
        <f>IF(M31218="","",'Master Barang'!A12)</f>
        <v>PRL-011</v>
      </c>
      <c r="O31218" t="str">
        <f>IF(N31218="","",'Master Barang'!B12)</f>
        <v>kanebo kecil</v>
      </c>
      <c r="P31218">
        <f>IF(OR(M31218="",N31218=""),"",SUMIFS('Barang Keluar'!$E:$E,'Barang Keluar'!$A:$A,M31218,'Barang Keluar'!$C:$C,N31218))</f>
        <v>0</v>
      </c>
    </row>
    <row r="31219" spans="13:16">
      <c r="M31219" s="49">
        <f>IF($A$4+312&gt;$B$4,"",$A$4+312)</f>
        <v>46335</v>
      </c>
      <c r="N31219" t="str">
        <f>IF(M31219="","",'Master Barang'!A13)</f>
        <v>PRL-012</v>
      </c>
      <c r="O31219" t="str">
        <f>IF(N31219="","",'Master Barang'!B13)</f>
        <v>plastik 1/4kg joyoboyo 100 lembar</v>
      </c>
      <c r="P31219">
        <f>IF(OR(M31219="",N31219=""),"",SUMIFS('Barang Keluar'!$E:$E,'Barang Keluar'!$A:$A,M31219,'Barang Keluar'!$C:$C,N31219))</f>
        <v>0</v>
      </c>
    </row>
    <row r="31220" spans="13:16">
      <c r="M31220" s="49">
        <f>IF($A$4+312&gt;$B$4,"",$A$4+312)</f>
        <v>46335</v>
      </c>
      <c r="N31220" t="str">
        <f>IF(M31220="","",'Master Barang'!A14)</f>
        <v>PRL-013</v>
      </c>
      <c r="O31220" t="str">
        <f>IF(N31220="","",'Master Barang'!B14)</f>
        <v>sarung tangan plastik kaka 100 pcs</v>
      </c>
      <c r="P31220">
        <f>IF(OR(M31220="",N31220=""),"",SUMIFS('Barang Keluar'!$E:$E,'Barang Keluar'!$A:$A,M31220,'Barang Keluar'!$C:$C,N31220))</f>
        <v>0</v>
      </c>
    </row>
    <row r="31221" spans="13:16">
      <c r="M31221" s="49">
        <f>IF($A$4+312&gt;$B$4,"",$A$4+312)</f>
        <v>46335</v>
      </c>
      <c r="N31221" t="str">
        <f>IF(M31221="","",'Master Barang'!A15)</f>
        <v>PRL-014</v>
      </c>
      <c r="O31221" t="str">
        <f>IF(N31221="","",'Master Barang'!B15)</f>
        <v>optima trashbag 80x100</v>
      </c>
      <c r="P31221">
        <f>IF(OR(M31221="",N31221=""),"",SUMIFS('Barang Keluar'!$E:$E,'Barang Keluar'!$A:$A,M31221,'Barang Keluar'!$C:$C,N31221))</f>
        <v>0</v>
      </c>
    </row>
    <row r="31222" spans="13:16">
      <c r="M31222" s="49">
        <f>IF($A$4+312&gt;$B$4,"",$A$4+312)</f>
        <v>46335</v>
      </c>
      <c r="N31222" t="str">
        <f>IF(M31222="","",'Master Barang'!A16)</f>
        <v>PRL-015</v>
      </c>
      <c r="O31222" t="str">
        <f>IF(N31222="","",'Master Barang'!B16)</f>
        <v>optima trashbag 60x100</v>
      </c>
      <c r="P31222">
        <f>IF(OR(M31222="",N31222=""),"",SUMIFS('Barang Keluar'!$E:$E,'Barang Keluar'!$A:$A,M31222,'Barang Keluar'!$C:$C,N31222))</f>
        <v>0</v>
      </c>
    </row>
    <row r="31223" spans="13:16">
      <c r="M31223" s="49">
        <f>IF($A$4+312&gt;$B$4,"",$A$4+312)</f>
        <v>46335</v>
      </c>
      <c r="N31223" t="str">
        <f>IF(M31223="","",'Master Barang'!A17)</f>
        <v>PRL-016</v>
      </c>
      <c r="O31223" t="str">
        <f>IF(N31223="","",'Master Barang'!B17)</f>
        <v>rajawali trashbag 30x40</v>
      </c>
      <c r="P31223">
        <f>IF(OR(M31223="",N31223=""),"",SUMIFS('Barang Keluar'!$E:$E,'Barang Keluar'!$A:$A,M31223,'Barang Keluar'!$C:$C,N31223))</f>
        <v>0</v>
      </c>
    </row>
    <row r="31224" spans="13:16">
      <c r="M31224" s="49">
        <f>IF($A$4+312&gt;$B$4,"",$A$4+312)</f>
        <v>46335</v>
      </c>
      <c r="N31224" t="str">
        <f>IF(M31224="","",'Master Barang'!A18)</f>
        <v>PRL-017</v>
      </c>
      <c r="O31224" t="str">
        <f>IF(N31224="","",'Master Barang'!B18)</f>
        <v>onemed masker biru 3 play 50 pcs</v>
      </c>
      <c r="P31224">
        <f>IF(OR(M31224="",N31224=""),"",SUMIFS('Barang Keluar'!$E:$E,'Barang Keluar'!$A:$A,M31224,'Barang Keluar'!$C:$C,N31224))</f>
        <v>0</v>
      </c>
    </row>
    <row r="31225" spans="13:16">
      <c r="M31225" s="49">
        <f>IF($A$4+312&gt;$B$4,"",$A$4+312)</f>
        <v>46335</v>
      </c>
      <c r="N31225" t="str">
        <f>IF(M31225="","",'Master Barang'!A19)</f>
        <v>PRL-018</v>
      </c>
      <c r="O31225" t="str">
        <f>IF(N31225="","",'Master Barang'!B19)</f>
        <v>onemed masker biru 3 play hijab 50 pcs</v>
      </c>
      <c r="P31225">
        <f>IF(OR(M31225="",N31225=""),"",SUMIFS('Barang Keluar'!$E:$E,'Barang Keluar'!$A:$A,M31225,'Barang Keluar'!$C:$C,N31225))</f>
        <v>0</v>
      </c>
    </row>
    <row r="31226" spans="13:16">
      <c r="M31226" s="49">
        <f>IF($A$4+312&gt;$B$4,"",$A$4+312)</f>
        <v>46335</v>
      </c>
      <c r="N31226" t="str">
        <f>IF(M31226="","",'Master Barang'!A20)</f>
        <v>PRL-019</v>
      </c>
      <c r="O31226" t="str">
        <f>IF(N31226="","",'Master Barang'!B20)</f>
        <v>neo health masker biru 3 play 50 pcs</v>
      </c>
      <c r="P31226">
        <f>IF(OR(M31226="",N31226=""),"",SUMIFS('Barang Keluar'!$E:$E,'Barang Keluar'!$A:$A,M31226,'Barang Keluar'!$C:$C,N31226))</f>
        <v>0</v>
      </c>
    </row>
    <row r="31227" spans="13:16">
      <c r="M31227" s="49">
        <f>IF($A$4+312&gt;$B$4,"",$A$4+312)</f>
        <v>46335</v>
      </c>
      <c r="N31227" t="str">
        <f>IF(M31227="","",'Master Barang'!A21)</f>
        <v>PRL-020</v>
      </c>
      <c r="O31227" t="str">
        <f>IF(N31227="","",'Master Barang'!B21)</f>
        <v>baymed masker hijau 3 play hijau 50 pcs</v>
      </c>
      <c r="P31227">
        <f>IF(OR(M31227="",N31227=""),"",SUMIFS('Barang Keluar'!$E:$E,'Barang Keluar'!$A:$A,M31227,'Barang Keluar'!$C:$C,N31227))</f>
        <v>0</v>
      </c>
    </row>
    <row r="31228" spans="13:16">
      <c r="M31228" s="49">
        <f>IF($A$4+312&gt;$B$4,"",$A$4+312)</f>
        <v>46335</v>
      </c>
      <c r="N31228" t="str">
        <f>IF(M31228="","",'Master Barang'!A22)</f>
        <v>PRL-021</v>
      </c>
      <c r="O31228" t="str">
        <f>IF(N31228="","",'Master Barang'!B22)</f>
        <v>altamed nurse cap penutup kepala 100 pcs</v>
      </c>
      <c r="P31228">
        <f>IF(OR(M31228="",N31228=""),"",SUMIFS('Barang Keluar'!$E:$E,'Barang Keluar'!$A:$A,M31228,'Barang Keluar'!$C:$C,N31228))</f>
        <v>0</v>
      </c>
    </row>
    <row r="31229" spans="13:16">
      <c r="M31229" s="49">
        <f>IF($A$4+312&gt;$B$4,"",$A$4+312)</f>
        <v>46335</v>
      </c>
      <c r="N31229" t="str">
        <f>IF(M31229="","",'Master Barang'!A23)</f>
        <v>PRL-022</v>
      </c>
      <c r="O31229" t="str">
        <f>IF(N31229="","",'Master Barang'!B23)</f>
        <v>sabun cuci tangan</v>
      </c>
      <c r="P31229">
        <f>IF(OR(M31229="",N31229=""),"",SUMIFS('Barang Keluar'!$E:$E,'Barang Keluar'!$A:$A,M31229,'Barang Keluar'!$C:$C,N31229))</f>
        <v>0</v>
      </c>
    </row>
    <row r="31230" spans="13:16">
      <c r="M31230" s="49">
        <f>IF($A$4+312&gt;$B$4,"",$A$4+312)</f>
        <v>46335</v>
      </c>
      <c r="N31230" t="str">
        <f>IF(M31230="","",'Master Barang'!A24)</f>
        <v>PRL-023</v>
      </c>
      <c r="O31230" t="str">
        <f>IF(N31230="","",'Master Barang'!B24)</f>
        <v>gayung kecil</v>
      </c>
      <c r="P31230">
        <f>IF(OR(M31230="",N31230=""),"",SUMIFS('Barang Keluar'!$E:$E,'Barang Keluar'!$A:$A,M31230,'Barang Keluar'!$C:$C,N31230))</f>
        <v>0</v>
      </c>
    </row>
    <row r="31231" spans="13:16">
      <c r="M31231" s="49">
        <f>IF($A$4+312&gt;$B$4,"",$A$4+312)</f>
        <v>46335</v>
      </c>
      <c r="N31231" t="str">
        <f>IF(M31231="","",'Master Barang'!A25)</f>
        <v>PRL-024</v>
      </c>
      <c r="O31231" t="str">
        <f>IF(N31231="","",'Master Barang'!B25)</f>
        <v>cikrak kecil</v>
      </c>
      <c r="P31231">
        <f>IF(OR(M31231="",N31231=""),"",SUMIFS('Barang Keluar'!$E:$E,'Barang Keluar'!$A:$A,M31231,'Barang Keluar'!$C:$C,N31231))</f>
        <v>0</v>
      </c>
    </row>
    <row r="31232" spans="13:16">
      <c r="M31232" s="49">
        <f>IF($A$4+312&gt;$B$4,"",$A$4+312)</f>
        <v>46335</v>
      </c>
      <c r="N31232" t="str">
        <f>IF(M31232="","",'Master Barang'!A26)</f>
        <v>PRL-025</v>
      </c>
      <c r="O31232" t="str">
        <f>IF(N31232="","",'Master Barang'!B26)</f>
        <v>petromax plastik kecil 12x24 100 lembar</v>
      </c>
      <c r="P31232">
        <f>IF(OR(M31232="",N31232=""),"",SUMIFS('Barang Keluar'!$E:$E,'Barang Keluar'!$A:$A,M31232,'Barang Keluar'!$C:$C,N31232))</f>
        <v>0</v>
      </c>
    </row>
    <row r="31233" spans="13:16">
      <c r="M31233" s="49">
        <f>IF($A$4+312&gt;$B$4,"",$A$4+312)</f>
        <v>46335</v>
      </c>
      <c r="N31233" t="str">
        <f>IF(M31233="","",'Master Barang'!A27)</f>
        <v>PRL-026</v>
      </c>
      <c r="O31233" t="str">
        <f>IF(N31233="","",'Master Barang'!B27)</f>
        <v>lancar kresek kecil bening </v>
      </c>
      <c r="P31233">
        <f>IF(OR(M31233="",N31233=""),"",SUMIFS('Barang Keluar'!$E:$E,'Barang Keluar'!$A:$A,M31233,'Barang Keluar'!$C:$C,N31233))</f>
        <v>0</v>
      </c>
    </row>
    <row r="31234" spans="13:16">
      <c r="M31234" s="49">
        <f>IF($A$4+312&gt;$B$4,"",$A$4+312)</f>
        <v>46335</v>
      </c>
      <c r="N31234" t="str">
        <f>IF(M31234="","",'Master Barang'!A28)</f>
        <v>PRL-027</v>
      </c>
      <c r="O31234" t="str">
        <f>IF(N31234="","",'Master Barang'!B28)</f>
        <v>kresek klin warna warni kecil</v>
      </c>
      <c r="P31234">
        <f>IF(OR(M31234="",N31234=""),"",SUMIFS('Barang Keluar'!$E:$E,'Barang Keluar'!$A:$A,M31234,'Barang Keluar'!$C:$C,N31234))</f>
        <v>0</v>
      </c>
    </row>
    <row r="31235" spans="13:16">
      <c r="M31235" s="49">
        <f>IF($A$4+312&gt;$B$4,"",$A$4+312)</f>
        <v>46335</v>
      </c>
      <c r="N31235" t="str">
        <f>IF(M31235="","",'Master Barang'!A29)</f>
        <v>PRL-028</v>
      </c>
      <c r="O31235" t="str">
        <f>IF(N31235="","",'Master Barang'!B29)</f>
        <v>ctik plastik 7x10 100 pcs</v>
      </c>
      <c r="P31235">
        <f>IF(OR(M31235="",N31235=""),"",SUMIFS('Barang Keluar'!$E:$E,'Barang Keluar'!$A:$A,M31235,'Barang Keluar'!$C:$C,N31235))</f>
        <v>0</v>
      </c>
    </row>
    <row r="31236" spans="13:16">
      <c r="M31236" s="49">
        <f>IF($A$4+312&gt;$B$4,"",$A$4+312)</f>
        <v>46335</v>
      </c>
      <c r="N31236" t="str">
        <f>IF(M31236="","",'Master Barang'!A30)</f>
        <v>PRL-029</v>
      </c>
      <c r="O31236" t="str">
        <f>IF(N31236="","",'Master Barang'!B30)</f>
        <v>ctik plastik 6x10 100 pcs</v>
      </c>
      <c r="P31236">
        <f>IF(OR(M31236="",N31236=""),"",SUMIFS('Barang Keluar'!$E:$E,'Barang Keluar'!$A:$A,M31236,'Barang Keluar'!$C:$C,N31236))</f>
        <v>0</v>
      </c>
    </row>
    <row r="31237" spans="13:16">
      <c r="M31237" s="49">
        <f>IF($A$4+312&gt;$B$4,"",$A$4+312)</f>
        <v>46335</v>
      </c>
      <c r="N31237" t="str">
        <f>IF(M31237="","",'Master Barang'!A31)</f>
        <v>PRL-030</v>
      </c>
      <c r="O31237" t="str">
        <f>IF(N31237="","",'Master Barang'!B31)</f>
        <v>klip plastik 25x16 100 pcs</v>
      </c>
      <c r="P31237">
        <f>IF(OR(M31237="",N31237=""),"",SUMIFS('Barang Keluar'!$E:$E,'Barang Keluar'!$A:$A,M31237,'Barang Keluar'!$C:$C,N31237))</f>
        <v>0</v>
      </c>
    </row>
    <row r="31238" spans="13:16">
      <c r="M31238" s="49">
        <f>IF($A$4+312&gt;$B$4,"",$A$4+312)</f>
        <v>46335</v>
      </c>
      <c r="N31238" t="str">
        <f>IF(M31238="","",'Master Barang'!A32)</f>
        <v>PRL-031</v>
      </c>
      <c r="O31238" t="str">
        <f>IF(N31238="","",'Master Barang'!B32)</f>
        <v>tempat saus 20 ml</v>
      </c>
      <c r="P31238">
        <f>IF(OR(M31238="",N31238=""),"",SUMIFS('Barang Keluar'!$E:$E,'Barang Keluar'!$A:$A,M31238,'Barang Keluar'!$C:$C,N31238))</f>
        <v>0</v>
      </c>
    </row>
    <row r="31239" spans="13:16">
      <c r="M31239" s="49">
        <f>IF($A$4+312&gt;$B$4,"",$A$4+312)</f>
        <v>46335</v>
      </c>
      <c r="N31239" t="str">
        <f>IF(M31239="","",'Master Barang'!A33)</f>
        <v>PRL-032</v>
      </c>
      <c r="O31239" t="str">
        <f>IF(N31239="","",'Master Barang'!B33)</f>
        <v>plastik packaging ag box uk sedang</v>
      </c>
      <c r="P31239">
        <f>IF(OR(M31239="",N31239=""),"",SUMIFS('Barang Keluar'!$E:$E,'Barang Keluar'!$A:$A,M31239,'Barang Keluar'!$C:$C,N31239))</f>
        <v>0</v>
      </c>
    </row>
    <row r="31240" spans="13:16">
      <c r="M31240" s="49">
        <f>IF($A$4+312&gt;$B$4,"",$A$4+312)</f>
        <v>46335</v>
      </c>
      <c r="N31240" t="str">
        <f>IF(M31240="","",'Master Barang'!A34)</f>
        <v>PRL-033</v>
      </c>
      <c r="O31240">
        <f>IF(N31240="","",'Master Barang'!B34)</f>
        <v>0</v>
      </c>
      <c r="P31240">
        <f>IF(OR(M31240="",N31240=""),"",SUMIFS('Barang Keluar'!$E:$E,'Barang Keluar'!$A:$A,M31240,'Barang Keluar'!$C:$C,N31240))</f>
        <v>0</v>
      </c>
    </row>
    <row r="31241" spans="13:16">
      <c r="M31241" s="49">
        <f>IF($A$4+312&gt;$B$4,"",$A$4+312)</f>
        <v>46335</v>
      </c>
      <c r="N31241">
        <f>IF(M31241="","",'Master Barang'!A35)</f>
        <v>0</v>
      </c>
      <c r="O31241">
        <f>IF(N31241="","",'Master Barang'!B35)</f>
        <v>0</v>
      </c>
      <c r="P31241">
        <f>IF(OR(M31241="",N31241=""),"",SUMIFS('Barang Keluar'!$E:$E,'Barang Keluar'!$A:$A,M31241,'Barang Keluar'!$C:$C,N31241))</f>
        <v>0</v>
      </c>
    </row>
    <row r="31242" spans="13:16">
      <c r="M31242" s="49">
        <f>IF($A$4+312&gt;$B$4,"",$A$4+312)</f>
        <v>46335</v>
      </c>
      <c r="N31242">
        <f>IF(M31242="","",'Master Barang'!A36)</f>
        <v>0</v>
      </c>
      <c r="O31242">
        <f>IF(N31242="","",'Master Barang'!B36)</f>
        <v>0</v>
      </c>
      <c r="P31242">
        <f>IF(OR(M31242="",N31242=""),"",SUMIFS('Barang Keluar'!$E:$E,'Barang Keluar'!$A:$A,M31242,'Barang Keluar'!$C:$C,N31242))</f>
        <v>0</v>
      </c>
    </row>
    <row r="31243" spans="13:16">
      <c r="M31243" s="49">
        <f>IF($A$4+312&gt;$B$4,"",$A$4+312)</f>
        <v>46335</v>
      </c>
      <c r="N31243">
        <f>IF(M31243="","",'Master Barang'!A37)</f>
        <v>0</v>
      </c>
      <c r="O31243">
        <f>IF(N31243="","",'Master Barang'!B37)</f>
        <v>0</v>
      </c>
      <c r="P31243">
        <f>IF(OR(M31243="",N31243=""),"",SUMIFS('Barang Keluar'!$E:$E,'Barang Keluar'!$A:$A,M31243,'Barang Keluar'!$C:$C,N31243))</f>
        <v>0</v>
      </c>
    </row>
    <row r="31244" spans="13:16">
      <c r="M31244" s="49">
        <f>IF($A$4+312&gt;$B$4,"",$A$4+312)</f>
        <v>46335</v>
      </c>
      <c r="N31244">
        <f>IF(M31244="","",'Master Barang'!A38)</f>
        <v>0</v>
      </c>
      <c r="O31244">
        <f>IF(N31244="","",'Master Barang'!B38)</f>
        <v>0</v>
      </c>
      <c r="P31244">
        <f>IF(OR(M31244="",N31244=""),"",SUMIFS('Barang Keluar'!$E:$E,'Barang Keluar'!$A:$A,M31244,'Barang Keluar'!$C:$C,N31244))</f>
        <v>0</v>
      </c>
    </row>
    <row r="31245" spans="13:16">
      <c r="M31245" s="49">
        <f>IF($A$4+312&gt;$B$4,"",$A$4+312)</f>
        <v>46335</v>
      </c>
      <c r="N31245">
        <f>IF(M31245="","",'Master Barang'!A39)</f>
        <v>0</v>
      </c>
      <c r="O31245">
        <f>IF(N31245="","",'Master Barang'!B39)</f>
        <v>0</v>
      </c>
      <c r="P31245">
        <f>IF(OR(M31245="",N31245=""),"",SUMIFS('Barang Keluar'!$E:$E,'Barang Keluar'!$A:$A,M31245,'Barang Keluar'!$C:$C,N31245))</f>
        <v>0</v>
      </c>
    </row>
    <row r="31246" spans="13:16">
      <c r="M31246" s="49">
        <f>IF($A$4+312&gt;$B$4,"",$A$4+312)</f>
        <v>46335</v>
      </c>
      <c r="N31246">
        <f>IF(M31246="","",'Master Barang'!A40)</f>
        <v>0</v>
      </c>
      <c r="O31246">
        <f>IF(N31246="","",'Master Barang'!B40)</f>
        <v>0</v>
      </c>
      <c r="P31246">
        <f>IF(OR(M31246="",N31246=""),"",SUMIFS('Barang Keluar'!$E:$E,'Barang Keluar'!$A:$A,M31246,'Barang Keluar'!$C:$C,N31246))</f>
        <v>0</v>
      </c>
    </row>
    <row r="31247" spans="13:16">
      <c r="M31247" s="49">
        <f>IF($A$4+312&gt;$B$4,"",$A$4+312)</f>
        <v>46335</v>
      </c>
      <c r="N31247">
        <f>IF(M31247="","",'Master Barang'!A41)</f>
        <v>0</v>
      </c>
      <c r="O31247">
        <f>IF(N31247="","",'Master Barang'!B41)</f>
        <v>0</v>
      </c>
      <c r="P31247">
        <f>IF(OR(M31247="",N31247=""),"",SUMIFS('Barang Keluar'!$E:$E,'Barang Keluar'!$A:$A,M31247,'Barang Keluar'!$C:$C,N31247))</f>
        <v>0</v>
      </c>
    </row>
    <row r="31248" spans="13:16">
      <c r="M31248" s="49">
        <f>IF($A$4+312&gt;$B$4,"",$A$4+312)</f>
        <v>46335</v>
      </c>
      <c r="N31248">
        <f>IF(M31248="","",'Master Barang'!A42)</f>
        <v>0</v>
      </c>
      <c r="O31248">
        <f>IF(N31248="","",'Master Barang'!B42)</f>
        <v>0</v>
      </c>
      <c r="P31248">
        <f>IF(OR(M31248="",N31248=""),"",SUMIFS('Barang Keluar'!$E:$E,'Barang Keluar'!$A:$A,M31248,'Barang Keluar'!$C:$C,N31248))</f>
        <v>0</v>
      </c>
    </row>
    <row r="31249" spans="13:16">
      <c r="M31249" s="49">
        <f>IF($A$4+312&gt;$B$4,"",$A$4+312)</f>
        <v>46335</v>
      </c>
      <c r="N31249">
        <f>IF(M31249="","",'Master Barang'!A43)</f>
        <v>0</v>
      </c>
      <c r="O31249">
        <f>IF(N31249="","",'Master Barang'!B43)</f>
        <v>0</v>
      </c>
      <c r="P31249">
        <f>IF(OR(M31249="",N31249=""),"",SUMIFS('Barang Keluar'!$E:$E,'Barang Keluar'!$A:$A,M31249,'Barang Keluar'!$C:$C,N31249))</f>
        <v>0</v>
      </c>
    </row>
    <row r="31250" spans="13:16">
      <c r="M31250" s="49">
        <f>IF($A$4+312&gt;$B$4,"",$A$4+312)</f>
        <v>46335</v>
      </c>
      <c r="N31250">
        <f>IF(M31250="","",'Master Barang'!A44)</f>
        <v>0</v>
      </c>
      <c r="O31250">
        <f>IF(N31250="","",'Master Barang'!B44)</f>
        <v>0</v>
      </c>
      <c r="P31250">
        <f>IF(OR(M31250="",N31250=""),"",SUMIFS('Barang Keluar'!$E:$E,'Barang Keluar'!$A:$A,M31250,'Barang Keluar'!$C:$C,N31250))</f>
        <v>0</v>
      </c>
    </row>
    <row r="31251" spans="13:16">
      <c r="M31251" s="49">
        <f>IF($A$4+312&gt;$B$4,"",$A$4+312)</f>
        <v>46335</v>
      </c>
      <c r="N31251">
        <f>IF(M31251="","",'Master Barang'!A45)</f>
        <v>0</v>
      </c>
      <c r="O31251">
        <f>IF(N31251="","",'Master Barang'!B45)</f>
        <v>0</v>
      </c>
      <c r="P31251">
        <f>IF(OR(M31251="",N31251=""),"",SUMIFS('Barang Keluar'!$E:$E,'Barang Keluar'!$A:$A,M31251,'Barang Keluar'!$C:$C,N31251))</f>
        <v>0</v>
      </c>
    </row>
    <row r="31252" spans="13:16">
      <c r="M31252" s="49">
        <f>IF($A$4+312&gt;$B$4,"",$A$4+312)</f>
        <v>46335</v>
      </c>
      <c r="N31252">
        <f>IF(M31252="","",'Master Barang'!A46)</f>
        <v>0</v>
      </c>
      <c r="O31252">
        <f>IF(N31252="","",'Master Barang'!B46)</f>
        <v>0</v>
      </c>
      <c r="P31252">
        <f>IF(OR(M31252="",N31252=""),"",SUMIFS('Barang Keluar'!$E:$E,'Barang Keluar'!$A:$A,M31252,'Barang Keluar'!$C:$C,N31252))</f>
        <v>0</v>
      </c>
    </row>
    <row r="31253" spans="13:16">
      <c r="M31253" s="49">
        <f>IF($A$4+312&gt;$B$4,"",$A$4+312)</f>
        <v>46335</v>
      </c>
      <c r="N31253">
        <f>IF(M31253="","",'Master Barang'!A47)</f>
        <v>0</v>
      </c>
      <c r="O31253">
        <f>IF(N31253="","",'Master Barang'!B47)</f>
        <v>0</v>
      </c>
      <c r="P31253">
        <f>IF(OR(M31253="",N31253=""),"",SUMIFS('Barang Keluar'!$E:$E,'Barang Keluar'!$A:$A,M31253,'Barang Keluar'!$C:$C,N31253))</f>
        <v>0</v>
      </c>
    </row>
    <row r="31254" spans="13:16">
      <c r="M31254" s="49">
        <f>IF($A$4+312&gt;$B$4,"",$A$4+312)</f>
        <v>46335</v>
      </c>
      <c r="N31254">
        <f>IF(M31254="","",'Master Barang'!A48)</f>
        <v>0</v>
      </c>
      <c r="O31254">
        <f>IF(N31254="","",'Master Barang'!B48)</f>
        <v>0</v>
      </c>
      <c r="P31254">
        <f>IF(OR(M31254="",N31254=""),"",SUMIFS('Barang Keluar'!$E:$E,'Barang Keluar'!$A:$A,M31254,'Barang Keluar'!$C:$C,N31254))</f>
        <v>0</v>
      </c>
    </row>
    <row r="31255" spans="13:16">
      <c r="M31255" s="49">
        <f>IF($A$4+312&gt;$B$4,"",$A$4+312)</f>
        <v>46335</v>
      </c>
      <c r="N31255">
        <f>IF(M31255="","",'Master Barang'!A49)</f>
        <v>0</v>
      </c>
      <c r="O31255">
        <f>IF(N31255="","",'Master Barang'!B49)</f>
        <v>0</v>
      </c>
      <c r="P31255">
        <f>IF(OR(M31255="",N31255=""),"",SUMIFS('Barang Keluar'!$E:$E,'Barang Keluar'!$A:$A,M31255,'Barang Keluar'!$C:$C,N31255))</f>
        <v>0</v>
      </c>
    </row>
    <row r="31256" spans="13:16">
      <c r="M31256" s="49">
        <f>IF($A$4+312&gt;$B$4,"",$A$4+312)</f>
        <v>46335</v>
      </c>
      <c r="N31256">
        <f>IF(M31256="","",'Master Barang'!A50)</f>
        <v>0</v>
      </c>
      <c r="O31256">
        <f>IF(N31256="","",'Master Barang'!B50)</f>
        <v>0</v>
      </c>
      <c r="P31256">
        <f>IF(OR(M31256="",N31256=""),"",SUMIFS('Barang Keluar'!$E:$E,'Barang Keluar'!$A:$A,M31256,'Barang Keluar'!$C:$C,N31256))</f>
        <v>0</v>
      </c>
    </row>
    <row r="31257" spans="13:16">
      <c r="M31257" s="49">
        <f>IF($A$4+312&gt;$B$4,"",$A$4+312)</f>
        <v>46335</v>
      </c>
      <c r="N31257">
        <f>IF(M31257="","",'Master Barang'!A51)</f>
        <v>0</v>
      </c>
      <c r="O31257">
        <f>IF(N31257="","",'Master Barang'!B51)</f>
        <v>0</v>
      </c>
      <c r="P31257">
        <f>IF(OR(M31257="",N31257=""),"",SUMIFS('Barang Keluar'!$E:$E,'Barang Keluar'!$A:$A,M31257,'Barang Keluar'!$C:$C,N31257))</f>
        <v>0</v>
      </c>
    </row>
    <row r="31258" spans="13:16">
      <c r="M31258" s="49">
        <f>IF($A$4+312&gt;$B$4,"",$A$4+312)</f>
        <v>46335</v>
      </c>
      <c r="N31258">
        <f>IF(M31258="","",'Master Barang'!A52)</f>
        <v>0</v>
      </c>
      <c r="O31258">
        <f>IF(N31258="","",'Master Barang'!B52)</f>
        <v>0</v>
      </c>
      <c r="P31258">
        <f>IF(OR(M31258="",N31258=""),"",SUMIFS('Barang Keluar'!$E:$E,'Barang Keluar'!$A:$A,M31258,'Barang Keluar'!$C:$C,N31258))</f>
        <v>0</v>
      </c>
    </row>
    <row r="31259" spans="13:16">
      <c r="M31259" s="49">
        <f>IF($A$4+312&gt;$B$4,"",$A$4+312)</f>
        <v>46335</v>
      </c>
      <c r="N31259">
        <f>IF(M31259="","",'Master Barang'!A53)</f>
        <v>0</v>
      </c>
      <c r="O31259">
        <f>IF(N31259="","",'Master Barang'!B53)</f>
        <v>0</v>
      </c>
      <c r="P31259">
        <f>IF(OR(M31259="",N31259=""),"",SUMIFS('Barang Keluar'!$E:$E,'Barang Keluar'!$A:$A,M31259,'Barang Keluar'!$C:$C,N31259))</f>
        <v>0</v>
      </c>
    </row>
    <row r="31260" spans="13:16">
      <c r="M31260" s="49">
        <f>IF($A$4+312&gt;$B$4,"",$A$4+312)</f>
        <v>46335</v>
      </c>
      <c r="N31260">
        <f>IF(M31260="","",'Master Barang'!A54)</f>
        <v>0</v>
      </c>
      <c r="O31260">
        <f>IF(N31260="","",'Master Barang'!B54)</f>
        <v>0</v>
      </c>
      <c r="P31260">
        <f>IF(OR(M31260="",N31260=""),"",SUMIFS('Barang Keluar'!$E:$E,'Barang Keluar'!$A:$A,M31260,'Barang Keluar'!$C:$C,N31260))</f>
        <v>0</v>
      </c>
    </row>
    <row r="31261" spans="13:16">
      <c r="M31261" s="49">
        <f>IF($A$4+312&gt;$B$4,"",$A$4+312)</f>
        <v>46335</v>
      </c>
      <c r="N31261">
        <f>IF(M31261="","",'Master Barang'!A55)</f>
        <v>0</v>
      </c>
      <c r="O31261">
        <f>IF(N31261="","",'Master Barang'!B55)</f>
        <v>0</v>
      </c>
      <c r="P31261">
        <f>IF(OR(M31261="",N31261=""),"",SUMIFS('Barang Keluar'!$E:$E,'Barang Keluar'!$A:$A,M31261,'Barang Keluar'!$C:$C,N31261))</f>
        <v>0</v>
      </c>
    </row>
    <row r="31262" spans="13:16">
      <c r="M31262" s="49">
        <f>IF($A$4+312&gt;$B$4,"",$A$4+312)</f>
        <v>46335</v>
      </c>
      <c r="N31262">
        <f>IF(M31262="","",'Master Barang'!A56)</f>
        <v>0</v>
      </c>
      <c r="O31262">
        <f>IF(N31262="","",'Master Barang'!B56)</f>
        <v>0</v>
      </c>
      <c r="P31262">
        <f>IF(OR(M31262="",N31262=""),"",SUMIFS('Barang Keluar'!$E:$E,'Barang Keluar'!$A:$A,M31262,'Barang Keluar'!$C:$C,N31262))</f>
        <v>0</v>
      </c>
    </row>
    <row r="31263" spans="13:16">
      <c r="M31263" s="49">
        <f>IF($A$4+312&gt;$B$4,"",$A$4+312)</f>
        <v>46335</v>
      </c>
      <c r="N31263">
        <f>IF(M31263="","",'Master Barang'!A57)</f>
        <v>0</v>
      </c>
      <c r="O31263">
        <f>IF(N31263="","",'Master Barang'!B57)</f>
        <v>0</v>
      </c>
      <c r="P31263">
        <f>IF(OR(M31263="",N31263=""),"",SUMIFS('Barang Keluar'!$E:$E,'Barang Keluar'!$A:$A,M31263,'Barang Keluar'!$C:$C,N31263))</f>
        <v>0</v>
      </c>
    </row>
    <row r="31264" spans="13:16">
      <c r="M31264" s="49">
        <f>IF($A$4+312&gt;$B$4,"",$A$4+312)</f>
        <v>46335</v>
      </c>
      <c r="N31264">
        <f>IF(M31264="","",'Master Barang'!A58)</f>
        <v>0</v>
      </c>
      <c r="O31264">
        <f>IF(N31264="","",'Master Barang'!B58)</f>
        <v>0</v>
      </c>
      <c r="P31264">
        <f>IF(OR(M31264="",N31264=""),"",SUMIFS('Barang Keluar'!$E:$E,'Barang Keluar'!$A:$A,M31264,'Barang Keluar'!$C:$C,N31264))</f>
        <v>0</v>
      </c>
    </row>
    <row r="31265" spans="13:16">
      <c r="M31265" s="49">
        <f>IF($A$4+312&gt;$B$4,"",$A$4+312)</f>
        <v>46335</v>
      </c>
      <c r="N31265">
        <f>IF(M31265="","",'Master Barang'!A59)</f>
        <v>0</v>
      </c>
      <c r="O31265">
        <f>IF(N31265="","",'Master Barang'!B59)</f>
        <v>0</v>
      </c>
      <c r="P31265">
        <f>IF(OR(M31265="",N31265=""),"",SUMIFS('Barang Keluar'!$E:$E,'Barang Keluar'!$A:$A,M31265,'Barang Keluar'!$C:$C,N31265))</f>
        <v>0</v>
      </c>
    </row>
    <row r="31266" spans="13:16">
      <c r="M31266" s="49">
        <f>IF($A$4+312&gt;$B$4,"",$A$4+312)</f>
        <v>46335</v>
      </c>
      <c r="N31266">
        <f>IF(M31266="","",'Master Barang'!A60)</f>
        <v>0</v>
      </c>
      <c r="O31266">
        <f>IF(N31266="","",'Master Barang'!B60)</f>
        <v>0</v>
      </c>
      <c r="P31266">
        <f>IF(OR(M31266="",N31266=""),"",SUMIFS('Barang Keluar'!$E:$E,'Barang Keluar'!$A:$A,M31266,'Barang Keluar'!$C:$C,N31266))</f>
        <v>0</v>
      </c>
    </row>
    <row r="31267" spans="13:16">
      <c r="M31267" s="49">
        <f>IF($A$4+312&gt;$B$4,"",$A$4+312)</f>
        <v>46335</v>
      </c>
      <c r="N31267">
        <f>IF(M31267="","",'Master Barang'!A61)</f>
        <v>0</v>
      </c>
      <c r="O31267">
        <f>IF(N31267="","",'Master Barang'!B61)</f>
        <v>0</v>
      </c>
      <c r="P31267">
        <f>IF(OR(M31267="",N31267=""),"",SUMIFS('Barang Keluar'!$E:$E,'Barang Keluar'!$A:$A,M31267,'Barang Keluar'!$C:$C,N31267))</f>
        <v>0</v>
      </c>
    </row>
    <row r="31268" spans="13:16">
      <c r="M31268" s="49">
        <f>IF($A$4+312&gt;$B$4,"",$A$4+312)</f>
        <v>46335</v>
      </c>
      <c r="N31268">
        <f>IF(M31268="","",'Master Barang'!A62)</f>
        <v>0</v>
      </c>
      <c r="O31268">
        <f>IF(N31268="","",'Master Barang'!B62)</f>
        <v>0</v>
      </c>
      <c r="P31268">
        <f>IF(OR(M31268="",N31268=""),"",SUMIFS('Barang Keluar'!$E:$E,'Barang Keluar'!$A:$A,M31268,'Barang Keluar'!$C:$C,N31268))</f>
        <v>0</v>
      </c>
    </row>
    <row r="31269" spans="13:16">
      <c r="M31269" s="49">
        <f>IF($A$4+312&gt;$B$4,"",$A$4+312)</f>
        <v>46335</v>
      </c>
      <c r="N31269">
        <f>IF(M31269="","",'Master Barang'!A63)</f>
        <v>0</v>
      </c>
      <c r="O31269">
        <f>IF(N31269="","",'Master Barang'!B63)</f>
        <v>0</v>
      </c>
      <c r="P31269">
        <f>IF(OR(M31269="",N31269=""),"",SUMIFS('Barang Keluar'!$E:$E,'Barang Keluar'!$A:$A,M31269,'Barang Keluar'!$C:$C,N31269))</f>
        <v>0</v>
      </c>
    </row>
    <row r="31270" spans="13:16">
      <c r="M31270" s="49">
        <f>IF($A$4+312&gt;$B$4,"",$A$4+312)</f>
        <v>46335</v>
      </c>
      <c r="N31270">
        <f>IF(M31270="","",'Master Barang'!A64)</f>
        <v>0</v>
      </c>
      <c r="O31270">
        <f>IF(N31270="","",'Master Barang'!B64)</f>
        <v>0</v>
      </c>
      <c r="P31270">
        <f>IF(OR(M31270="",N31270=""),"",SUMIFS('Barang Keluar'!$E:$E,'Barang Keluar'!$A:$A,M31270,'Barang Keluar'!$C:$C,N31270))</f>
        <v>0</v>
      </c>
    </row>
    <row r="31271" spans="13:16">
      <c r="M31271" s="49">
        <f>IF($A$4+312&gt;$B$4,"",$A$4+312)</f>
        <v>46335</v>
      </c>
      <c r="N31271">
        <f>IF(M31271="","",'Master Barang'!A65)</f>
        <v>0</v>
      </c>
      <c r="O31271">
        <f>IF(N31271="","",'Master Barang'!B65)</f>
        <v>0</v>
      </c>
      <c r="P31271">
        <f>IF(OR(M31271="",N31271=""),"",SUMIFS('Barang Keluar'!$E:$E,'Barang Keluar'!$A:$A,M31271,'Barang Keluar'!$C:$C,N31271))</f>
        <v>0</v>
      </c>
    </row>
    <row r="31272" spans="13:16">
      <c r="M31272" s="49">
        <f>IF($A$4+312&gt;$B$4,"",$A$4+312)</f>
        <v>46335</v>
      </c>
      <c r="N31272">
        <f>IF(M31272="","",'Master Barang'!A66)</f>
        <v>0</v>
      </c>
      <c r="O31272">
        <f>IF(N31272="","",'Master Barang'!B66)</f>
        <v>0</v>
      </c>
      <c r="P31272">
        <f>IF(OR(M31272="",N31272=""),"",SUMIFS('Barang Keluar'!$E:$E,'Barang Keluar'!$A:$A,M31272,'Barang Keluar'!$C:$C,N31272))</f>
        <v>0</v>
      </c>
    </row>
    <row r="31273" spans="13:16">
      <c r="M31273" s="49">
        <f>IF($A$4+312&gt;$B$4,"",$A$4+312)</f>
        <v>46335</v>
      </c>
      <c r="N31273">
        <f>IF(M31273="","",'Master Barang'!A67)</f>
        <v>0</v>
      </c>
      <c r="O31273">
        <f>IF(N31273="","",'Master Barang'!B67)</f>
        <v>0</v>
      </c>
      <c r="P31273">
        <f>IF(OR(M31273="",N31273=""),"",SUMIFS('Barang Keluar'!$E:$E,'Barang Keluar'!$A:$A,M31273,'Barang Keluar'!$C:$C,N31273))</f>
        <v>0</v>
      </c>
    </row>
    <row r="31274" spans="13:16">
      <c r="M31274" s="49">
        <f>IF($A$4+312&gt;$B$4,"",$A$4+312)</f>
        <v>46335</v>
      </c>
      <c r="N31274">
        <f>IF(M31274="","",'Master Barang'!A68)</f>
        <v>0</v>
      </c>
      <c r="O31274">
        <f>IF(N31274="","",'Master Barang'!B68)</f>
        <v>0</v>
      </c>
      <c r="P31274">
        <f>IF(OR(M31274="",N31274=""),"",SUMIFS('Barang Keluar'!$E:$E,'Barang Keluar'!$A:$A,M31274,'Barang Keluar'!$C:$C,N31274))</f>
        <v>0</v>
      </c>
    </row>
    <row r="31275" spans="13:16">
      <c r="M31275" s="49">
        <f>IF($A$4+312&gt;$B$4,"",$A$4+312)</f>
        <v>46335</v>
      </c>
      <c r="N31275">
        <f>IF(M31275="","",'Master Barang'!A69)</f>
        <v>0</v>
      </c>
      <c r="O31275">
        <f>IF(N31275="","",'Master Barang'!B69)</f>
        <v>0</v>
      </c>
      <c r="P31275">
        <f>IF(OR(M31275="",N31275=""),"",SUMIFS('Barang Keluar'!$E:$E,'Barang Keluar'!$A:$A,M31275,'Barang Keluar'!$C:$C,N31275))</f>
        <v>0</v>
      </c>
    </row>
    <row r="31276" spans="13:16">
      <c r="M31276" s="49">
        <f>IF($A$4+312&gt;$B$4,"",$A$4+312)</f>
        <v>46335</v>
      </c>
      <c r="N31276">
        <f>IF(M31276="","",'Master Barang'!A70)</f>
        <v>0</v>
      </c>
      <c r="O31276">
        <f>IF(N31276="","",'Master Barang'!B70)</f>
        <v>0</v>
      </c>
      <c r="P31276">
        <f>IF(OR(M31276="",N31276=""),"",SUMIFS('Barang Keluar'!$E:$E,'Barang Keluar'!$A:$A,M31276,'Barang Keluar'!$C:$C,N31276))</f>
        <v>0</v>
      </c>
    </row>
    <row r="31277" spans="13:16">
      <c r="M31277" s="49">
        <f>IF($A$4+312&gt;$B$4,"",$A$4+312)</f>
        <v>46335</v>
      </c>
      <c r="N31277">
        <f>IF(M31277="","",'Master Barang'!A71)</f>
        <v>0</v>
      </c>
      <c r="O31277">
        <f>IF(N31277="","",'Master Barang'!B71)</f>
        <v>0</v>
      </c>
      <c r="P31277">
        <f>IF(OR(M31277="",N31277=""),"",SUMIFS('Barang Keluar'!$E:$E,'Barang Keluar'!$A:$A,M31277,'Barang Keluar'!$C:$C,N31277))</f>
        <v>0</v>
      </c>
    </row>
    <row r="31278" spans="13:16">
      <c r="M31278" s="49">
        <f>IF($A$4+312&gt;$B$4,"",$A$4+312)</f>
        <v>46335</v>
      </c>
      <c r="N31278">
        <f>IF(M31278="","",'Master Barang'!A72)</f>
        <v>0</v>
      </c>
      <c r="O31278">
        <f>IF(N31278="","",'Master Barang'!B72)</f>
        <v>0</v>
      </c>
      <c r="P31278">
        <f>IF(OR(M31278="",N31278=""),"",SUMIFS('Barang Keluar'!$E:$E,'Barang Keluar'!$A:$A,M31278,'Barang Keluar'!$C:$C,N31278))</f>
        <v>0</v>
      </c>
    </row>
    <row r="31279" spans="13:16">
      <c r="M31279" s="49">
        <f>IF($A$4+312&gt;$B$4,"",$A$4+312)</f>
        <v>46335</v>
      </c>
      <c r="N31279">
        <f>IF(M31279="","",'Master Barang'!A73)</f>
        <v>0</v>
      </c>
      <c r="O31279">
        <f>IF(N31279="","",'Master Barang'!B73)</f>
        <v>0</v>
      </c>
      <c r="P31279">
        <f>IF(OR(M31279="",N31279=""),"",SUMIFS('Barang Keluar'!$E:$E,'Barang Keluar'!$A:$A,M31279,'Barang Keluar'!$C:$C,N31279))</f>
        <v>0</v>
      </c>
    </row>
    <row r="31280" spans="13:16">
      <c r="M31280" s="49">
        <f>IF($A$4+312&gt;$B$4,"",$A$4+312)</f>
        <v>46335</v>
      </c>
      <c r="N31280">
        <f>IF(M31280="","",'Master Barang'!A74)</f>
        <v>0</v>
      </c>
      <c r="O31280">
        <f>IF(N31280="","",'Master Barang'!B74)</f>
        <v>0</v>
      </c>
      <c r="P31280">
        <f>IF(OR(M31280="",N31280=""),"",SUMIFS('Barang Keluar'!$E:$E,'Barang Keluar'!$A:$A,M31280,'Barang Keluar'!$C:$C,N31280))</f>
        <v>0</v>
      </c>
    </row>
    <row r="31281" spans="13:16">
      <c r="M31281" s="49">
        <f>IF($A$4+312&gt;$B$4,"",$A$4+312)</f>
        <v>46335</v>
      </c>
      <c r="N31281">
        <f>IF(M31281="","",'Master Barang'!A75)</f>
        <v>0</v>
      </c>
      <c r="O31281">
        <f>IF(N31281="","",'Master Barang'!B75)</f>
        <v>0</v>
      </c>
      <c r="P31281">
        <f>IF(OR(M31281="",N31281=""),"",SUMIFS('Barang Keluar'!$E:$E,'Barang Keluar'!$A:$A,M31281,'Barang Keluar'!$C:$C,N31281))</f>
        <v>0</v>
      </c>
    </row>
    <row r="31282" spans="13:16">
      <c r="M31282" s="49">
        <f>IF($A$4+312&gt;$B$4,"",$A$4+312)</f>
        <v>46335</v>
      </c>
      <c r="N31282">
        <f>IF(M31282="","",'Master Barang'!A76)</f>
        <v>0</v>
      </c>
      <c r="O31282">
        <f>IF(N31282="","",'Master Barang'!B76)</f>
        <v>0</v>
      </c>
      <c r="P31282">
        <f>IF(OR(M31282="",N31282=""),"",SUMIFS('Barang Keluar'!$E:$E,'Barang Keluar'!$A:$A,M31282,'Barang Keluar'!$C:$C,N31282))</f>
        <v>0</v>
      </c>
    </row>
    <row r="31283" spans="13:16">
      <c r="M31283" s="49">
        <f>IF($A$4+312&gt;$B$4,"",$A$4+312)</f>
        <v>46335</v>
      </c>
      <c r="N31283">
        <f>IF(M31283="","",'Master Barang'!A77)</f>
        <v>0</v>
      </c>
      <c r="O31283">
        <f>IF(N31283="","",'Master Barang'!B77)</f>
        <v>0</v>
      </c>
      <c r="P31283">
        <f>IF(OR(M31283="",N31283=""),"",SUMIFS('Barang Keluar'!$E:$E,'Barang Keluar'!$A:$A,M31283,'Barang Keluar'!$C:$C,N31283))</f>
        <v>0</v>
      </c>
    </row>
    <row r="31284" spans="13:16">
      <c r="M31284" s="49">
        <f>IF($A$4+312&gt;$B$4,"",$A$4+312)</f>
        <v>46335</v>
      </c>
      <c r="N31284">
        <f>IF(M31284="","",'Master Barang'!A78)</f>
        <v>0</v>
      </c>
      <c r="O31284">
        <f>IF(N31284="","",'Master Barang'!B78)</f>
        <v>0</v>
      </c>
      <c r="P31284">
        <f>IF(OR(M31284="",N31284=""),"",SUMIFS('Barang Keluar'!$E:$E,'Barang Keluar'!$A:$A,M31284,'Barang Keluar'!$C:$C,N31284))</f>
        <v>0</v>
      </c>
    </row>
    <row r="31285" spans="13:16">
      <c r="M31285" s="49">
        <f>IF($A$4+312&gt;$B$4,"",$A$4+312)</f>
        <v>46335</v>
      </c>
      <c r="N31285">
        <f>IF(M31285="","",'Master Barang'!A79)</f>
        <v>0</v>
      </c>
      <c r="O31285">
        <f>IF(N31285="","",'Master Barang'!B79)</f>
        <v>0</v>
      </c>
      <c r="P31285">
        <f>IF(OR(M31285="",N31285=""),"",SUMIFS('Barang Keluar'!$E:$E,'Barang Keluar'!$A:$A,M31285,'Barang Keluar'!$C:$C,N31285))</f>
        <v>0</v>
      </c>
    </row>
    <row r="31286" spans="13:16">
      <c r="M31286" s="49">
        <f>IF($A$4+312&gt;$B$4,"",$A$4+312)</f>
        <v>46335</v>
      </c>
      <c r="N31286">
        <f>IF(M31286="","",'Master Barang'!A80)</f>
        <v>0</v>
      </c>
      <c r="O31286">
        <f>IF(N31286="","",'Master Barang'!B80)</f>
        <v>0</v>
      </c>
      <c r="P31286">
        <f>IF(OR(M31286="",N31286=""),"",SUMIFS('Barang Keluar'!$E:$E,'Barang Keluar'!$A:$A,M31286,'Barang Keluar'!$C:$C,N31286))</f>
        <v>0</v>
      </c>
    </row>
    <row r="31287" spans="13:16">
      <c r="M31287" s="49">
        <f>IF($A$4+312&gt;$B$4,"",$A$4+312)</f>
        <v>46335</v>
      </c>
      <c r="N31287">
        <f>IF(M31287="","",'Master Barang'!A81)</f>
        <v>0</v>
      </c>
      <c r="O31287">
        <f>IF(N31287="","",'Master Barang'!B81)</f>
        <v>0</v>
      </c>
      <c r="P31287">
        <f>IF(OR(M31287="",N31287=""),"",SUMIFS('Barang Keluar'!$E:$E,'Barang Keluar'!$A:$A,M31287,'Barang Keluar'!$C:$C,N31287))</f>
        <v>0</v>
      </c>
    </row>
    <row r="31288" spans="13:16">
      <c r="M31288" s="49">
        <f>IF($A$4+312&gt;$B$4,"",$A$4+312)</f>
        <v>46335</v>
      </c>
      <c r="N31288">
        <f>IF(M31288="","",'Master Barang'!A82)</f>
        <v>0</v>
      </c>
      <c r="O31288">
        <f>IF(N31288="","",'Master Barang'!B82)</f>
        <v>0</v>
      </c>
      <c r="P31288">
        <f>IF(OR(M31288="",N31288=""),"",SUMIFS('Barang Keluar'!$E:$E,'Barang Keluar'!$A:$A,M31288,'Barang Keluar'!$C:$C,N31288))</f>
        <v>0</v>
      </c>
    </row>
    <row r="31289" spans="13:16">
      <c r="M31289" s="49">
        <f>IF($A$4+312&gt;$B$4,"",$A$4+312)</f>
        <v>46335</v>
      </c>
      <c r="N31289">
        <f>IF(M31289="","",'Master Barang'!A83)</f>
        <v>0</v>
      </c>
      <c r="O31289">
        <f>IF(N31289="","",'Master Barang'!B83)</f>
        <v>0</v>
      </c>
      <c r="P31289">
        <f>IF(OR(M31289="",N31289=""),"",SUMIFS('Barang Keluar'!$E:$E,'Barang Keluar'!$A:$A,M31289,'Barang Keluar'!$C:$C,N31289))</f>
        <v>0</v>
      </c>
    </row>
    <row r="31290" spans="13:16">
      <c r="M31290" s="49">
        <f>IF($A$4+312&gt;$B$4,"",$A$4+312)</f>
        <v>46335</v>
      </c>
      <c r="N31290">
        <f>IF(M31290="","",'Master Barang'!A84)</f>
        <v>0</v>
      </c>
      <c r="O31290">
        <f>IF(N31290="","",'Master Barang'!B84)</f>
        <v>0</v>
      </c>
      <c r="P31290">
        <f>IF(OR(M31290="",N31290=""),"",SUMIFS('Barang Keluar'!$E:$E,'Barang Keluar'!$A:$A,M31290,'Barang Keluar'!$C:$C,N31290))</f>
        <v>0</v>
      </c>
    </row>
    <row r="31291" spans="13:16">
      <c r="M31291" s="49">
        <f>IF($A$4+312&gt;$B$4,"",$A$4+312)</f>
        <v>46335</v>
      </c>
      <c r="N31291">
        <f>IF(M31291="","",'Master Barang'!A85)</f>
        <v>0</v>
      </c>
      <c r="O31291">
        <f>IF(N31291="","",'Master Barang'!B85)</f>
        <v>0</v>
      </c>
      <c r="P31291">
        <f>IF(OR(M31291="",N31291=""),"",SUMIFS('Barang Keluar'!$E:$E,'Barang Keluar'!$A:$A,M31291,'Barang Keluar'!$C:$C,N31291))</f>
        <v>0</v>
      </c>
    </row>
    <row r="31292" spans="13:16">
      <c r="M31292" s="49">
        <f>IF($A$4+312&gt;$B$4,"",$A$4+312)</f>
        <v>46335</v>
      </c>
      <c r="N31292">
        <f>IF(M31292="","",'Master Barang'!A86)</f>
        <v>0</v>
      </c>
      <c r="O31292">
        <f>IF(N31292="","",'Master Barang'!B86)</f>
        <v>0</v>
      </c>
      <c r="P31292">
        <f>IF(OR(M31292="",N31292=""),"",SUMIFS('Barang Keluar'!$E:$E,'Barang Keluar'!$A:$A,M31292,'Barang Keluar'!$C:$C,N31292))</f>
        <v>0</v>
      </c>
    </row>
    <row r="31293" spans="13:16">
      <c r="M31293" s="49">
        <f>IF($A$4+312&gt;$B$4,"",$A$4+312)</f>
        <v>46335</v>
      </c>
      <c r="N31293">
        <f>IF(M31293="","",'Master Barang'!A87)</f>
        <v>0</v>
      </c>
      <c r="O31293">
        <f>IF(N31293="","",'Master Barang'!B87)</f>
        <v>0</v>
      </c>
      <c r="P31293">
        <f>IF(OR(M31293="",N31293=""),"",SUMIFS('Barang Keluar'!$E:$E,'Barang Keluar'!$A:$A,M31293,'Barang Keluar'!$C:$C,N31293))</f>
        <v>0</v>
      </c>
    </row>
    <row r="31294" spans="13:16">
      <c r="M31294" s="49">
        <f>IF($A$4+312&gt;$B$4,"",$A$4+312)</f>
        <v>46335</v>
      </c>
      <c r="N31294">
        <f>IF(M31294="","",'Master Barang'!A88)</f>
        <v>0</v>
      </c>
      <c r="O31294">
        <f>IF(N31294="","",'Master Barang'!B88)</f>
        <v>0</v>
      </c>
      <c r="P31294">
        <f>IF(OR(M31294="",N31294=""),"",SUMIFS('Barang Keluar'!$E:$E,'Barang Keluar'!$A:$A,M31294,'Barang Keluar'!$C:$C,N31294))</f>
        <v>0</v>
      </c>
    </row>
    <row r="31295" spans="13:16">
      <c r="M31295" s="49">
        <f>IF($A$4+312&gt;$B$4,"",$A$4+312)</f>
        <v>46335</v>
      </c>
      <c r="N31295">
        <f>IF(M31295="","",'Master Barang'!A89)</f>
        <v>0</v>
      </c>
      <c r="O31295">
        <f>IF(N31295="","",'Master Barang'!B89)</f>
        <v>0</v>
      </c>
      <c r="P31295">
        <f>IF(OR(M31295="",N31295=""),"",SUMIFS('Barang Keluar'!$E:$E,'Barang Keluar'!$A:$A,M31295,'Barang Keluar'!$C:$C,N31295))</f>
        <v>0</v>
      </c>
    </row>
    <row r="31296" spans="13:16">
      <c r="M31296" s="49">
        <f>IF($A$4+312&gt;$B$4,"",$A$4+312)</f>
        <v>46335</v>
      </c>
      <c r="N31296">
        <f>IF(M31296="","",'Master Barang'!A90)</f>
        <v>0</v>
      </c>
      <c r="O31296">
        <f>IF(N31296="","",'Master Barang'!B90)</f>
        <v>0</v>
      </c>
      <c r="P31296">
        <f>IF(OR(M31296="",N31296=""),"",SUMIFS('Barang Keluar'!$E:$E,'Barang Keluar'!$A:$A,M31296,'Barang Keluar'!$C:$C,N31296))</f>
        <v>0</v>
      </c>
    </row>
    <row r="31297" spans="13:16">
      <c r="M31297" s="49">
        <f>IF($A$4+312&gt;$B$4,"",$A$4+312)</f>
        <v>46335</v>
      </c>
      <c r="N31297">
        <f>IF(M31297="","",'Master Barang'!A91)</f>
        <v>0</v>
      </c>
      <c r="O31297">
        <f>IF(N31297="","",'Master Barang'!B91)</f>
        <v>0</v>
      </c>
      <c r="P31297">
        <f>IF(OR(M31297="",N31297=""),"",SUMIFS('Barang Keluar'!$E:$E,'Barang Keluar'!$A:$A,M31297,'Barang Keluar'!$C:$C,N31297))</f>
        <v>0</v>
      </c>
    </row>
    <row r="31298" spans="13:16">
      <c r="M31298" s="49">
        <f>IF($A$4+312&gt;$B$4,"",$A$4+312)</f>
        <v>46335</v>
      </c>
      <c r="N31298">
        <f>IF(M31298="","",'Master Barang'!A92)</f>
        <v>0</v>
      </c>
      <c r="O31298">
        <f>IF(N31298="","",'Master Barang'!B92)</f>
        <v>0</v>
      </c>
      <c r="P31298">
        <f>IF(OR(M31298="",N31298=""),"",SUMIFS('Barang Keluar'!$E:$E,'Barang Keluar'!$A:$A,M31298,'Barang Keluar'!$C:$C,N31298))</f>
        <v>0</v>
      </c>
    </row>
    <row r="31299" spans="13:16">
      <c r="M31299" s="49">
        <f>IF($A$4+312&gt;$B$4,"",$A$4+312)</f>
        <v>46335</v>
      </c>
      <c r="N31299">
        <f>IF(M31299="","",'Master Barang'!A93)</f>
        <v>0</v>
      </c>
      <c r="O31299">
        <f>IF(N31299="","",'Master Barang'!B93)</f>
        <v>0</v>
      </c>
      <c r="P31299">
        <f>IF(OR(M31299="",N31299=""),"",SUMIFS('Barang Keluar'!$E:$E,'Barang Keluar'!$A:$A,M31299,'Barang Keluar'!$C:$C,N31299))</f>
        <v>0</v>
      </c>
    </row>
    <row r="31300" spans="13:16">
      <c r="M31300" s="49">
        <f>IF($A$4+312&gt;$B$4,"",$A$4+312)</f>
        <v>46335</v>
      </c>
      <c r="N31300">
        <f>IF(M31300="","",'Master Barang'!A94)</f>
        <v>0</v>
      </c>
      <c r="O31300">
        <f>IF(N31300="","",'Master Barang'!B94)</f>
        <v>0</v>
      </c>
      <c r="P31300">
        <f>IF(OR(M31300="",N31300=""),"",SUMIFS('Barang Keluar'!$E:$E,'Barang Keluar'!$A:$A,M31300,'Barang Keluar'!$C:$C,N31300))</f>
        <v>0</v>
      </c>
    </row>
    <row r="31301" spans="13:16">
      <c r="M31301" s="49">
        <f>IF($A$4+312&gt;$B$4,"",$A$4+312)</f>
        <v>46335</v>
      </c>
      <c r="N31301">
        <f>IF(M31301="","",'Master Barang'!A95)</f>
        <v>0</v>
      </c>
      <c r="O31301">
        <f>IF(N31301="","",'Master Barang'!B95)</f>
        <v>0</v>
      </c>
      <c r="P31301">
        <f>IF(OR(M31301="",N31301=""),"",SUMIFS('Barang Keluar'!$E:$E,'Barang Keluar'!$A:$A,M31301,'Barang Keluar'!$C:$C,N31301))</f>
        <v>0</v>
      </c>
    </row>
    <row r="31302" spans="13:16">
      <c r="M31302" s="49">
        <f>IF($A$4+312&gt;$B$4,"",$A$4+312)</f>
        <v>46335</v>
      </c>
      <c r="N31302">
        <f>IF(M31302="","",'Master Barang'!A96)</f>
        <v>0</v>
      </c>
      <c r="O31302">
        <f>IF(N31302="","",'Master Barang'!B96)</f>
        <v>0</v>
      </c>
      <c r="P31302">
        <f>IF(OR(M31302="",N31302=""),"",SUMIFS('Barang Keluar'!$E:$E,'Barang Keluar'!$A:$A,M31302,'Barang Keluar'!$C:$C,N31302))</f>
        <v>0</v>
      </c>
    </row>
    <row r="31303" spans="13:16">
      <c r="M31303" s="49">
        <f>IF($A$4+312&gt;$B$4,"",$A$4+312)</f>
        <v>46335</v>
      </c>
      <c r="N31303">
        <f>IF(M31303="","",'Master Barang'!A97)</f>
        <v>0</v>
      </c>
      <c r="O31303">
        <f>IF(N31303="","",'Master Barang'!B97)</f>
        <v>0</v>
      </c>
      <c r="P31303">
        <f>IF(OR(M31303="",N31303=""),"",SUMIFS('Barang Keluar'!$E:$E,'Barang Keluar'!$A:$A,M31303,'Barang Keluar'!$C:$C,N31303))</f>
        <v>0</v>
      </c>
    </row>
    <row r="31304" spans="13:16">
      <c r="M31304" s="49">
        <f>IF($A$4+312&gt;$B$4,"",$A$4+312)</f>
        <v>46335</v>
      </c>
      <c r="N31304">
        <f>IF(M31304="","",'Master Barang'!A98)</f>
        <v>0</v>
      </c>
      <c r="O31304">
        <f>IF(N31304="","",'Master Barang'!B98)</f>
        <v>0</v>
      </c>
      <c r="P31304">
        <f>IF(OR(M31304="",N31304=""),"",SUMIFS('Barang Keluar'!$E:$E,'Barang Keluar'!$A:$A,M31304,'Barang Keluar'!$C:$C,N31304))</f>
        <v>0</v>
      </c>
    </row>
    <row r="31305" spans="13:16">
      <c r="M31305" s="49">
        <f>IF($A$4+312&gt;$B$4,"",$A$4+312)</f>
        <v>46335</v>
      </c>
      <c r="N31305">
        <f>IF(M31305="","",'Master Barang'!A99)</f>
        <v>0</v>
      </c>
      <c r="O31305">
        <f>IF(N31305="","",'Master Barang'!B99)</f>
        <v>0</v>
      </c>
      <c r="P31305">
        <f>IF(OR(M31305="",N31305=""),"",SUMIFS('Barang Keluar'!$E:$E,'Barang Keluar'!$A:$A,M31305,'Barang Keluar'!$C:$C,N31305))</f>
        <v>0</v>
      </c>
    </row>
    <row r="31306" spans="13:16">
      <c r="M31306" s="49">
        <f>IF($A$4+312&gt;$B$4,"",$A$4+312)</f>
        <v>46335</v>
      </c>
      <c r="N31306">
        <f>IF(M31306="","",'Master Barang'!A100)</f>
        <v>0</v>
      </c>
      <c r="O31306">
        <f>IF(N31306="","",'Master Barang'!B100)</f>
        <v>0</v>
      </c>
      <c r="P31306">
        <f>IF(OR(M31306="",N31306=""),"",SUMIFS('Barang Keluar'!$E:$E,'Barang Keluar'!$A:$A,M31306,'Barang Keluar'!$C:$C,N31306))</f>
        <v>0</v>
      </c>
    </row>
    <row r="31307" spans="13:16">
      <c r="M31307" s="49">
        <f>IF($A$4+312&gt;$B$4,"",$A$4+312)</f>
        <v>46335</v>
      </c>
      <c r="N31307">
        <f>IF(M31307="","",'Master Barang'!A101)</f>
        <v>0</v>
      </c>
      <c r="O31307">
        <f>IF(N31307="","",'Master Barang'!B101)</f>
        <v>0</v>
      </c>
      <c r="P31307">
        <f>IF(OR(M31307="",N31307=""),"",SUMIFS('Barang Keluar'!$E:$E,'Barang Keluar'!$A:$A,M31307,'Barang Keluar'!$C:$C,N31307))</f>
        <v>0</v>
      </c>
    </row>
    <row r="31308" spans="13:16">
      <c r="M31308" s="49">
        <f>IF($A$4+313&gt;$B$4,"",$A$4+313)</f>
        <v>46336</v>
      </c>
      <c r="N31308" t="str">
        <f>IF(M31308="","",'Master Barang'!A2)</f>
        <v>PRL-001</v>
      </c>
      <c r="O31308" t="str">
        <f>IF(N31308="","",'Master Barang'!B2)</f>
        <v>natura desinfectant food grade 5l</v>
      </c>
      <c r="P31308">
        <f>IF(OR(M31308="",N31308=""),"",SUMIFS('Barang Keluar'!$E:$E,'Barang Keluar'!$A:$A,M31308,'Barang Keluar'!$C:$C,N31308))</f>
        <v>0</v>
      </c>
    </row>
    <row r="31309" spans="13:16">
      <c r="M31309" s="49">
        <f>IF($A$4+313&gt;$B$4,"",$A$4+313)</f>
        <v>46336</v>
      </c>
      <c r="N31309" t="str">
        <f>IF(M31309="","",'Master Barang'!A3)</f>
        <v>PRL-002</v>
      </c>
      <c r="O31309" t="str">
        <f>IF(N31309="","",'Master Barang'!B3)</f>
        <v>sunlight cairan pencuci piring 5l</v>
      </c>
      <c r="P31309">
        <f>IF(OR(M31309="",N31309=""),"",SUMIFS('Barang Keluar'!$E:$E,'Barang Keluar'!$A:$A,M31309,'Barang Keluar'!$C:$C,N31309))</f>
        <v>0</v>
      </c>
    </row>
    <row r="31310" spans="13:16">
      <c r="M31310" s="49">
        <f>IF($A$4+313&gt;$B$4,"",$A$4+313)</f>
        <v>46336</v>
      </c>
      <c r="N31310" t="str">
        <f>IF(M31310="","",'Master Barang'!A4)</f>
        <v>PRL-003</v>
      </c>
      <c r="O31310" t="str">
        <f>IF(N31310="","",'Master Barang'!B4)</f>
        <v>oixs cleaner 1l</v>
      </c>
      <c r="P31310">
        <f>IF(OR(M31310="",N31310=""),"",SUMIFS('Barang Keluar'!$E:$E,'Barang Keluar'!$A:$A,M31310,'Barang Keluar'!$C:$C,N31310))</f>
        <v>0</v>
      </c>
    </row>
    <row r="31311" spans="13:16">
      <c r="M31311" s="49">
        <f>IF($A$4+313&gt;$B$4,"",$A$4+313)</f>
        <v>46336</v>
      </c>
      <c r="N31311" t="str">
        <f>IF(M31311="","",'Master Barang'!A5)</f>
        <v>PRL-004</v>
      </c>
      <c r="O31311" t="str">
        <f>IF(N31311="","",'Master Barang'!B5)</f>
        <v>be clean tissue serbaguna</v>
      </c>
      <c r="P31311">
        <f>IF(OR(M31311="",N31311=""),"",SUMIFS('Barang Keluar'!$E:$E,'Barang Keluar'!$A:$A,M31311,'Barang Keluar'!$C:$C,N31311))</f>
        <v>0</v>
      </c>
    </row>
    <row r="31312" spans="13:16">
      <c r="M31312" s="49">
        <f>IF($A$4+313&gt;$B$4,"",$A$4+313)</f>
        <v>46336</v>
      </c>
      <c r="N31312" t="str">
        <f>IF(M31312="","",'Master Barang'!A6)</f>
        <v>PRL-005</v>
      </c>
      <c r="O31312" t="str">
        <f>IF(N31312="","",'Master Barang'!B6)</f>
        <v>spons cuci hijau</v>
      </c>
      <c r="P31312">
        <f>IF(OR(M31312="",N31312=""),"",SUMIFS('Barang Keluar'!$E:$E,'Barang Keluar'!$A:$A,M31312,'Barang Keluar'!$C:$C,N31312))</f>
        <v>0</v>
      </c>
    </row>
    <row r="31313" spans="13:16">
      <c r="M31313" s="49">
        <f>IF($A$4+313&gt;$B$4,"",$A$4+313)</f>
        <v>46336</v>
      </c>
      <c r="N31313" t="str">
        <f>IF(M31313="","",'Master Barang'!A7)</f>
        <v>PRL-006</v>
      </c>
      <c r="O31313" t="str">
        <f>IF(N31313="","",'Master Barang'!B7)</f>
        <v>sabut cuci stainless</v>
      </c>
      <c r="P31313">
        <f>IF(OR(M31313="",N31313=""),"",SUMIFS('Barang Keluar'!$E:$E,'Barang Keluar'!$A:$A,M31313,'Barang Keluar'!$C:$C,N31313))</f>
        <v>0</v>
      </c>
    </row>
    <row r="31314" spans="13:16">
      <c r="M31314" s="49">
        <f>IF($A$4+313&gt;$B$4,"",$A$4+313)</f>
        <v>46336</v>
      </c>
      <c r="N31314" t="str">
        <f>IF(M31314="","",'Master Barang'!A8)</f>
        <v>PRL-007</v>
      </c>
      <c r="O31314" t="str">
        <f>IF(N31314="","",'Master Barang'!B8)</f>
        <v>plastik kresek besar merah 50pc</v>
      </c>
      <c r="P31314">
        <f>IF(OR(M31314="",N31314=""),"",SUMIFS('Barang Keluar'!$E:$E,'Barang Keluar'!$A:$A,M31314,'Barang Keluar'!$C:$C,N31314))</f>
        <v>0</v>
      </c>
    </row>
    <row r="31315" spans="13:16">
      <c r="M31315" s="49">
        <f>IF($A$4+313&gt;$B$4,"",$A$4+313)</f>
        <v>46336</v>
      </c>
      <c r="N31315" t="str">
        <f>IF(M31315="","",'Master Barang'!A9)</f>
        <v>PRL-008</v>
      </c>
      <c r="O31315" t="str">
        <f>IF(N31315="","",'Master Barang'!B9)</f>
        <v>lap besar</v>
      </c>
      <c r="P31315">
        <f>IF(OR(M31315="",N31315=""),"",SUMIFS('Barang Keluar'!$E:$E,'Barang Keluar'!$A:$A,M31315,'Barang Keluar'!$C:$C,N31315))</f>
        <v>0</v>
      </c>
    </row>
    <row r="31316" spans="13:16">
      <c r="M31316" s="49">
        <f>IF($A$4+313&gt;$B$4,"",$A$4+313)</f>
        <v>46336</v>
      </c>
      <c r="N31316" t="str">
        <f>IF(M31316="","",'Master Barang'!A10)</f>
        <v>PRL-009</v>
      </c>
      <c r="O31316" t="str">
        <f>IF(N31316="","",'Master Barang'!B10)</f>
        <v>lap microfiber</v>
      </c>
      <c r="P31316">
        <f>IF(OR(M31316="",N31316=""),"",SUMIFS('Barang Keluar'!$E:$E,'Barang Keluar'!$A:$A,M31316,'Barang Keluar'!$C:$C,N31316))</f>
        <v>0</v>
      </c>
    </row>
    <row r="31317" spans="13:16">
      <c r="M31317" s="49">
        <f>IF($A$4+313&gt;$B$4,"",$A$4+313)</f>
        <v>46336</v>
      </c>
      <c r="N31317" t="str">
        <f>IF(M31317="","",'Master Barang'!A11)</f>
        <v>PRL-010</v>
      </c>
      <c r="O31317" t="str">
        <f>IF(N31317="","",'Master Barang'!B11)</f>
        <v>lap kecil</v>
      </c>
      <c r="P31317">
        <f>IF(OR(M31317="",N31317=""),"",SUMIFS('Barang Keluar'!$E:$E,'Barang Keluar'!$A:$A,M31317,'Barang Keluar'!$C:$C,N31317))</f>
        <v>0</v>
      </c>
    </row>
    <row r="31318" spans="13:16">
      <c r="M31318" s="49">
        <f>IF($A$4+313&gt;$B$4,"",$A$4+313)</f>
        <v>46336</v>
      </c>
      <c r="N31318" t="str">
        <f>IF(M31318="","",'Master Barang'!A12)</f>
        <v>PRL-011</v>
      </c>
      <c r="O31318" t="str">
        <f>IF(N31318="","",'Master Barang'!B12)</f>
        <v>kanebo kecil</v>
      </c>
      <c r="P31318">
        <f>IF(OR(M31318="",N31318=""),"",SUMIFS('Barang Keluar'!$E:$E,'Barang Keluar'!$A:$A,M31318,'Barang Keluar'!$C:$C,N31318))</f>
        <v>0</v>
      </c>
    </row>
    <row r="31319" spans="13:16">
      <c r="M31319" s="49">
        <f>IF($A$4+313&gt;$B$4,"",$A$4+313)</f>
        <v>46336</v>
      </c>
      <c r="N31319" t="str">
        <f>IF(M31319="","",'Master Barang'!A13)</f>
        <v>PRL-012</v>
      </c>
      <c r="O31319" t="str">
        <f>IF(N31319="","",'Master Barang'!B13)</f>
        <v>plastik 1/4kg joyoboyo 100 lembar</v>
      </c>
      <c r="P31319">
        <f>IF(OR(M31319="",N31319=""),"",SUMIFS('Barang Keluar'!$E:$E,'Barang Keluar'!$A:$A,M31319,'Barang Keluar'!$C:$C,N31319))</f>
        <v>0</v>
      </c>
    </row>
    <row r="31320" spans="13:16">
      <c r="M31320" s="49">
        <f>IF($A$4+313&gt;$B$4,"",$A$4+313)</f>
        <v>46336</v>
      </c>
      <c r="N31320" t="str">
        <f>IF(M31320="","",'Master Barang'!A14)</f>
        <v>PRL-013</v>
      </c>
      <c r="O31320" t="str">
        <f>IF(N31320="","",'Master Barang'!B14)</f>
        <v>sarung tangan plastik kaka 100 pcs</v>
      </c>
      <c r="P31320">
        <f>IF(OR(M31320="",N31320=""),"",SUMIFS('Barang Keluar'!$E:$E,'Barang Keluar'!$A:$A,M31320,'Barang Keluar'!$C:$C,N31320))</f>
        <v>0</v>
      </c>
    </row>
    <row r="31321" spans="13:16">
      <c r="M31321" s="49">
        <f>IF($A$4+313&gt;$B$4,"",$A$4+313)</f>
        <v>46336</v>
      </c>
      <c r="N31321" t="str">
        <f>IF(M31321="","",'Master Barang'!A15)</f>
        <v>PRL-014</v>
      </c>
      <c r="O31321" t="str">
        <f>IF(N31321="","",'Master Barang'!B15)</f>
        <v>optima trashbag 80x100</v>
      </c>
      <c r="P31321">
        <f>IF(OR(M31321="",N31321=""),"",SUMIFS('Barang Keluar'!$E:$E,'Barang Keluar'!$A:$A,M31321,'Barang Keluar'!$C:$C,N31321))</f>
        <v>0</v>
      </c>
    </row>
    <row r="31322" spans="13:16">
      <c r="M31322" s="49">
        <f>IF($A$4+313&gt;$B$4,"",$A$4+313)</f>
        <v>46336</v>
      </c>
      <c r="N31322" t="str">
        <f>IF(M31322="","",'Master Barang'!A16)</f>
        <v>PRL-015</v>
      </c>
      <c r="O31322" t="str">
        <f>IF(N31322="","",'Master Barang'!B16)</f>
        <v>optima trashbag 60x100</v>
      </c>
      <c r="P31322">
        <f>IF(OR(M31322="",N31322=""),"",SUMIFS('Barang Keluar'!$E:$E,'Barang Keluar'!$A:$A,M31322,'Barang Keluar'!$C:$C,N31322))</f>
        <v>0</v>
      </c>
    </row>
    <row r="31323" spans="13:16">
      <c r="M31323" s="49">
        <f>IF($A$4+313&gt;$B$4,"",$A$4+313)</f>
        <v>46336</v>
      </c>
      <c r="N31323" t="str">
        <f>IF(M31323="","",'Master Barang'!A17)</f>
        <v>PRL-016</v>
      </c>
      <c r="O31323" t="str">
        <f>IF(N31323="","",'Master Barang'!B17)</f>
        <v>rajawali trashbag 30x40</v>
      </c>
      <c r="P31323">
        <f>IF(OR(M31323="",N31323=""),"",SUMIFS('Barang Keluar'!$E:$E,'Barang Keluar'!$A:$A,M31323,'Barang Keluar'!$C:$C,N31323))</f>
        <v>0</v>
      </c>
    </row>
    <row r="31324" spans="13:16">
      <c r="M31324" s="49">
        <f>IF($A$4+313&gt;$B$4,"",$A$4+313)</f>
        <v>46336</v>
      </c>
      <c r="N31324" t="str">
        <f>IF(M31324="","",'Master Barang'!A18)</f>
        <v>PRL-017</v>
      </c>
      <c r="O31324" t="str">
        <f>IF(N31324="","",'Master Barang'!B18)</f>
        <v>onemed masker biru 3 play 50 pcs</v>
      </c>
      <c r="P31324">
        <f>IF(OR(M31324="",N31324=""),"",SUMIFS('Barang Keluar'!$E:$E,'Barang Keluar'!$A:$A,M31324,'Barang Keluar'!$C:$C,N31324))</f>
        <v>0</v>
      </c>
    </row>
    <row r="31325" spans="13:16">
      <c r="M31325" s="49">
        <f>IF($A$4+313&gt;$B$4,"",$A$4+313)</f>
        <v>46336</v>
      </c>
      <c r="N31325" t="str">
        <f>IF(M31325="","",'Master Barang'!A19)</f>
        <v>PRL-018</v>
      </c>
      <c r="O31325" t="str">
        <f>IF(N31325="","",'Master Barang'!B19)</f>
        <v>onemed masker biru 3 play hijab 50 pcs</v>
      </c>
      <c r="P31325">
        <f>IF(OR(M31325="",N31325=""),"",SUMIFS('Barang Keluar'!$E:$E,'Barang Keluar'!$A:$A,M31325,'Barang Keluar'!$C:$C,N31325))</f>
        <v>0</v>
      </c>
    </row>
    <row r="31326" spans="13:16">
      <c r="M31326" s="49">
        <f>IF($A$4+313&gt;$B$4,"",$A$4+313)</f>
        <v>46336</v>
      </c>
      <c r="N31326" t="str">
        <f>IF(M31326="","",'Master Barang'!A20)</f>
        <v>PRL-019</v>
      </c>
      <c r="O31326" t="str">
        <f>IF(N31326="","",'Master Barang'!B20)</f>
        <v>neo health masker biru 3 play 50 pcs</v>
      </c>
      <c r="P31326">
        <f>IF(OR(M31326="",N31326=""),"",SUMIFS('Barang Keluar'!$E:$E,'Barang Keluar'!$A:$A,M31326,'Barang Keluar'!$C:$C,N31326))</f>
        <v>0</v>
      </c>
    </row>
    <row r="31327" spans="13:16">
      <c r="M31327" s="49">
        <f>IF($A$4+313&gt;$B$4,"",$A$4+313)</f>
        <v>46336</v>
      </c>
      <c r="N31327" t="str">
        <f>IF(M31327="","",'Master Barang'!A21)</f>
        <v>PRL-020</v>
      </c>
      <c r="O31327" t="str">
        <f>IF(N31327="","",'Master Barang'!B21)</f>
        <v>baymed masker hijau 3 play hijau 50 pcs</v>
      </c>
      <c r="P31327">
        <f>IF(OR(M31327="",N31327=""),"",SUMIFS('Barang Keluar'!$E:$E,'Barang Keluar'!$A:$A,M31327,'Barang Keluar'!$C:$C,N31327))</f>
        <v>0</v>
      </c>
    </row>
    <row r="31328" spans="13:16">
      <c r="M31328" s="49">
        <f>IF($A$4+313&gt;$B$4,"",$A$4+313)</f>
        <v>46336</v>
      </c>
      <c r="N31328" t="str">
        <f>IF(M31328="","",'Master Barang'!A22)</f>
        <v>PRL-021</v>
      </c>
      <c r="O31328" t="str">
        <f>IF(N31328="","",'Master Barang'!B22)</f>
        <v>altamed nurse cap penutup kepala 100 pcs</v>
      </c>
      <c r="P31328">
        <f>IF(OR(M31328="",N31328=""),"",SUMIFS('Barang Keluar'!$E:$E,'Barang Keluar'!$A:$A,M31328,'Barang Keluar'!$C:$C,N31328))</f>
        <v>0</v>
      </c>
    </row>
    <row r="31329" spans="13:16">
      <c r="M31329" s="49">
        <f>IF($A$4+313&gt;$B$4,"",$A$4+313)</f>
        <v>46336</v>
      </c>
      <c r="N31329" t="str">
        <f>IF(M31329="","",'Master Barang'!A23)</f>
        <v>PRL-022</v>
      </c>
      <c r="O31329" t="str">
        <f>IF(N31329="","",'Master Barang'!B23)</f>
        <v>sabun cuci tangan</v>
      </c>
      <c r="P31329">
        <f>IF(OR(M31329="",N31329=""),"",SUMIFS('Barang Keluar'!$E:$E,'Barang Keluar'!$A:$A,M31329,'Barang Keluar'!$C:$C,N31329))</f>
        <v>0</v>
      </c>
    </row>
    <row r="31330" spans="13:16">
      <c r="M31330" s="49">
        <f>IF($A$4+313&gt;$B$4,"",$A$4+313)</f>
        <v>46336</v>
      </c>
      <c r="N31330" t="str">
        <f>IF(M31330="","",'Master Barang'!A24)</f>
        <v>PRL-023</v>
      </c>
      <c r="O31330" t="str">
        <f>IF(N31330="","",'Master Barang'!B24)</f>
        <v>gayung kecil</v>
      </c>
      <c r="P31330">
        <f>IF(OR(M31330="",N31330=""),"",SUMIFS('Barang Keluar'!$E:$E,'Barang Keluar'!$A:$A,M31330,'Barang Keluar'!$C:$C,N31330))</f>
        <v>0</v>
      </c>
    </row>
    <row r="31331" spans="13:16">
      <c r="M31331" s="49">
        <f>IF($A$4+313&gt;$B$4,"",$A$4+313)</f>
        <v>46336</v>
      </c>
      <c r="N31331" t="str">
        <f>IF(M31331="","",'Master Barang'!A25)</f>
        <v>PRL-024</v>
      </c>
      <c r="O31331" t="str">
        <f>IF(N31331="","",'Master Barang'!B25)</f>
        <v>cikrak kecil</v>
      </c>
      <c r="P31331">
        <f>IF(OR(M31331="",N31331=""),"",SUMIFS('Barang Keluar'!$E:$E,'Barang Keluar'!$A:$A,M31331,'Barang Keluar'!$C:$C,N31331))</f>
        <v>0</v>
      </c>
    </row>
    <row r="31332" spans="13:16">
      <c r="M31332" s="49">
        <f>IF($A$4+313&gt;$B$4,"",$A$4+313)</f>
        <v>46336</v>
      </c>
      <c r="N31332" t="str">
        <f>IF(M31332="","",'Master Barang'!A26)</f>
        <v>PRL-025</v>
      </c>
      <c r="O31332" t="str">
        <f>IF(N31332="","",'Master Barang'!B26)</f>
        <v>petromax plastik kecil 12x24 100 lembar</v>
      </c>
      <c r="P31332">
        <f>IF(OR(M31332="",N31332=""),"",SUMIFS('Barang Keluar'!$E:$E,'Barang Keluar'!$A:$A,M31332,'Barang Keluar'!$C:$C,N31332))</f>
        <v>0</v>
      </c>
    </row>
    <row r="31333" spans="13:16">
      <c r="M31333" s="49">
        <f>IF($A$4+313&gt;$B$4,"",$A$4+313)</f>
        <v>46336</v>
      </c>
      <c r="N31333" t="str">
        <f>IF(M31333="","",'Master Barang'!A27)</f>
        <v>PRL-026</v>
      </c>
      <c r="O31333" t="str">
        <f>IF(N31333="","",'Master Barang'!B27)</f>
        <v>lancar kresek kecil bening </v>
      </c>
      <c r="P31333">
        <f>IF(OR(M31333="",N31333=""),"",SUMIFS('Barang Keluar'!$E:$E,'Barang Keluar'!$A:$A,M31333,'Barang Keluar'!$C:$C,N31333))</f>
        <v>0</v>
      </c>
    </row>
    <row r="31334" spans="13:16">
      <c r="M31334" s="49">
        <f>IF($A$4+313&gt;$B$4,"",$A$4+313)</f>
        <v>46336</v>
      </c>
      <c r="N31334" t="str">
        <f>IF(M31334="","",'Master Barang'!A28)</f>
        <v>PRL-027</v>
      </c>
      <c r="O31334" t="str">
        <f>IF(N31334="","",'Master Barang'!B28)</f>
        <v>kresek klin warna warni kecil</v>
      </c>
      <c r="P31334">
        <f>IF(OR(M31334="",N31334=""),"",SUMIFS('Barang Keluar'!$E:$E,'Barang Keluar'!$A:$A,M31334,'Barang Keluar'!$C:$C,N31334))</f>
        <v>0</v>
      </c>
    </row>
    <row r="31335" spans="13:16">
      <c r="M31335" s="49">
        <f>IF($A$4+313&gt;$B$4,"",$A$4+313)</f>
        <v>46336</v>
      </c>
      <c r="N31335" t="str">
        <f>IF(M31335="","",'Master Barang'!A29)</f>
        <v>PRL-028</v>
      </c>
      <c r="O31335" t="str">
        <f>IF(N31335="","",'Master Barang'!B29)</f>
        <v>ctik plastik 7x10 100 pcs</v>
      </c>
      <c r="P31335">
        <f>IF(OR(M31335="",N31335=""),"",SUMIFS('Barang Keluar'!$E:$E,'Barang Keluar'!$A:$A,M31335,'Barang Keluar'!$C:$C,N31335))</f>
        <v>0</v>
      </c>
    </row>
    <row r="31336" spans="13:16">
      <c r="M31336" s="49">
        <f>IF($A$4+313&gt;$B$4,"",$A$4+313)</f>
        <v>46336</v>
      </c>
      <c r="N31336" t="str">
        <f>IF(M31336="","",'Master Barang'!A30)</f>
        <v>PRL-029</v>
      </c>
      <c r="O31336" t="str">
        <f>IF(N31336="","",'Master Barang'!B30)</f>
        <v>ctik plastik 6x10 100 pcs</v>
      </c>
      <c r="P31336">
        <f>IF(OR(M31336="",N31336=""),"",SUMIFS('Barang Keluar'!$E:$E,'Barang Keluar'!$A:$A,M31336,'Barang Keluar'!$C:$C,N31336))</f>
        <v>0</v>
      </c>
    </row>
    <row r="31337" spans="13:16">
      <c r="M31337" s="49">
        <f>IF($A$4+313&gt;$B$4,"",$A$4+313)</f>
        <v>46336</v>
      </c>
      <c r="N31337" t="str">
        <f>IF(M31337="","",'Master Barang'!A31)</f>
        <v>PRL-030</v>
      </c>
      <c r="O31337" t="str">
        <f>IF(N31337="","",'Master Barang'!B31)</f>
        <v>klip plastik 25x16 100 pcs</v>
      </c>
      <c r="P31337">
        <f>IF(OR(M31337="",N31337=""),"",SUMIFS('Barang Keluar'!$E:$E,'Barang Keluar'!$A:$A,M31337,'Barang Keluar'!$C:$C,N31337))</f>
        <v>0</v>
      </c>
    </row>
    <row r="31338" spans="13:16">
      <c r="M31338" s="49">
        <f>IF($A$4+313&gt;$B$4,"",$A$4+313)</f>
        <v>46336</v>
      </c>
      <c r="N31338" t="str">
        <f>IF(M31338="","",'Master Barang'!A32)</f>
        <v>PRL-031</v>
      </c>
      <c r="O31338" t="str">
        <f>IF(N31338="","",'Master Barang'!B32)</f>
        <v>tempat saus 20 ml</v>
      </c>
      <c r="P31338">
        <f>IF(OR(M31338="",N31338=""),"",SUMIFS('Barang Keluar'!$E:$E,'Barang Keluar'!$A:$A,M31338,'Barang Keluar'!$C:$C,N31338))</f>
        <v>0</v>
      </c>
    </row>
    <row r="31339" spans="13:16">
      <c r="M31339" s="49">
        <f>IF($A$4+313&gt;$B$4,"",$A$4+313)</f>
        <v>46336</v>
      </c>
      <c r="N31339" t="str">
        <f>IF(M31339="","",'Master Barang'!A33)</f>
        <v>PRL-032</v>
      </c>
      <c r="O31339" t="str">
        <f>IF(N31339="","",'Master Barang'!B33)</f>
        <v>plastik packaging ag box uk sedang</v>
      </c>
      <c r="P31339">
        <f>IF(OR(M31339="",N31339=""),"",SUMIFS('Barang Keluar'!$E:$E,'Barang Keluar'!$A:$A,M31339,'Barang Keluar'!$C:$C,N31339))</f>
        <v>0</v>
      </c>
    </row>
    <row r="31340" spans="13:16">
      <c r="M31340" s="49">
        <f>IF($A$4+313&gt;$B$4,"",$A$4+313)</f>
        <v>46336</v>
      </c>
      <c r="N31340" t="str">
        <f>IF(M31340="","",'Master Barang'!A34)</f>
        <v>PRL-033</v>
      </c>
      <c r="O31340">
        <f>IF(N31340="","",'Master Barang'!B34)</f>
        <v>0</v>
      </c>
      <c r="P31340">
        <f>IF(OR(M31340="",N31340=""),"",SUMIFS('Barang Keluar'!$E:$E,'Barang Keluar'!$A:$A,M31340,'Barang Keluar'!$C:$C,N31340))</f>
        <v>0</v>
      </c>
    </row>
    <row r="31341" spans="13:16">
      <c r="M31341" s="49">
        <f>IF($A$4+313&gt;$B$4,"",$A$4+313)</f>
        <v>46336</v>
      </c>
      <c r="N31341">
        <f>IF(M31341="","",'Master Barang'!A35)</f>
        <v>0</v>
      </c>
      <c r="O31341">
        <f>IF(N31341="","",'Master Barang'!B35)</f>
        <v>0</v>
      </c>
      <c r="P31341">
        <f>IF(OR(M31341="",N31341=""),"",SUMIFS('Barang Keluar'!$E:$E,'Barang Keluar'!$A:$A,M31341,'Barang Keluar'!$C:$C,N31341))</f>
        <v>0</v>
      </c>
    </row>
    <row r="31342" spans="13:16">
      <c r="M31342" s="49">
        <f>IF($A$4+313&gt;$B$4,"",$A$4+313)</f>
        <v>46336</v>
      </c>
      <c r="N31342">
        <f>IF(M31342="","",'Master Barang'!A36)</f>
        <v>0</v>
      </c>
      <c r="O31342">
        <f>IF(N31342="","",'Master Barang'!B36)</f>
        <v>0</v>
      </c>
      <c r="P31342">
        <f>IF(OR(M31342="",N31342=""),"",SUMIFS('Barang Keluar'!$E:$E,'Barang Keluar'!$A:$A,M31342,'Barang Keluar'!$C:$C,N31342))</f>
        <v>0</v>
      </c>
    </row>
    <row r="31343" spans="13:16">
      <c r="M31343" s="49">
        <f>IF($A$4+313&gt;$B$4,"",$A$4+313)</f>
        <v>46336</v>
      </c>
      <c r="N31343">
        <f>IF(M31343="","",'Master Barang'!A37)</f>
        <v>0</v>
      </c>
      <c r="O31343">
        <f>IF(N31343="","",'Master Barang'!B37)</f>
        <v>0</v>
      </c>
      <c r="P31343">
        <f>IF(OR(M31343="",N31343=""),"",SUMIFS('Barang Keluar'!$E:$E,'Barang Keluar'!$A:$A,M31343,'Barang Keluar'!$C:$C,N31343))</f>
        <v>0</v>
      </c>
    </row>
    <row r="31344" spans="13:16">
      <c r="M31344" s="49">
        <f>IF($A$4+313&gt;$B$4,"",$A$4+313)</f>
        <v>46336</v>
      </c>
      <c r="N31344">
        <f>IF(M31344="","",'Master Barang'!A38)</f>
        <v>0</v>
      </c>
      <c r="O31344">
        <f>IF(N31344="","",'Master Barang'!B38)</f>
        <v>0</v>
      </c>
      <c r="P31344">
        <f>IF(OR(M31344="",N31344=""),"",SUMIFS('Barang Keluar'!$E:$E,'Barang Keluar'!$A:$A,M31344,'Barang Keluar'!$C:$C,N31344))</f>
        <v>0</v>
      </c>
    </row>
    <row r="31345" spans="13:16">
      <c r="M31345" s="49">
        <f>IF($A$4+313&gt;$B$4,"",$A$4+313)</f>
        <v>46336</v>
      </c>
      <c r="N31345">
        <f>IF(M31345="","",'Master Barang'!A39)</f>
        <v>0</v>
      </c>
      <c r="O31345">
        <f>IF(N31345="","",'Master Barang'!B39)</f>
        <v>0</v>
      </c>
      <c r="P31345">
        <f>IF(OR(M31345="",N31345=""),"",SUMIFS('Barang Keluar'!$E:$E,'Barang Keluar'!$A:$A,M31345,'Barang Keluar'!$C:$C,N31345))</f>
        <v>0</v>
      </c>
    </row>
    <row r="31346" spans="13:16">
      <c r="M31346" s="49">
        <f>IF($A$4+313&gt;$B$4,"",$A$4+313)</f>
        <v>46336</v>
      </c>
      <c r="N31346">
        <f>IF(M31346="","",'Master Barang'!A40)</f>
        <v>0</v>
      </c>
      <c r="O31346">
        <f>IF(N31346="","",'Master Barang'!B40)</f>
        <v>0</v>
      </c>
      <c r="P31346">
        <f>IF(OR(M31346="",N31346=""),"",SUMIFS('Barang Keluar'!$E:$E,'Barang Keluar'!$A:$A,M31346,'Barang Keluar'!$C:$C,N31346))</f>
        <v>0</v>
      </c>
    </row>
    <row r="31347" spans="13:16">
      <c r="M31347" s="49">
        <f>IF($A$4+313&gt;$B$4,"",$A$4+313)</f>
        <v>46336</v>
      </c>
      <c r="N31347">
        <f>IF(M31347="","",'Master Barang'!A41)</f>
        <v>0</v>
      </c>
      <c r="O31347">
        <f>IF(N31347="","",'Master Barang'!B41)</f>
        <v>0</v>
      </c>
      <c r="P31347">
        <f>IF(OR(M31347="",N31347=""),"",SUMIFS('Barang Keluar'!$E:$E,'Barang Keluar'!$A:$A,M31347,'Barang Keluar'!$C:$C,N31347))</f>
        <v>0</v>
      </c>
    </row>
    <row r="31348" spans="13:16">
      <c r="M31348" s="49">
        <f>IF($A$4+313&gt;$B$4,"",$A$4+313)</f>
        <v>46336</v>
      </c>
      <c r="N31348">
        <f>IF(M31348="","",'Master Barang'!A42)</f>
        <v>0</v>
      </c>
      <c r="O31348">
        <f>IF(N31348="","",'Master Barang'!B42)</f>
        <v>0</v>
      </c>
      <c r="P31348">
        <f>IF(OR(M31348="",N31348=""),"",SUMIFS('Barang Keluar'!$E:$E,'Barang Keluar'!$A:$A,M31348,'Barang Keluar'!$C:$C,N31348))</f>
        <v>0</v>
      </c>
    </row>
    <row r="31349" spans="13:16">
      <c r="M31349" s="49">
        <f>IF($A$4+313&gt;$B$4,"",$A$4+313)</f>
        <v>46336</v>
      </c>
      <c r="N31349">
        <f>IF(M31349="","",'Master Barang'!A43)</f>
        <v>0</v>
      </c>
      <c r="O31349">
        <f>IF(N31349="","",'Master Barang'!B43)</f>
        <v>0</v>
      </c>
      <c r="P31349">
        <f>IF(OR(M31349="",N31349=""),"",SUMIFS('Barang Keluar'!$E:$E,'Barang Keluar'!$A:$A,M31349,'Barang Keluar'!$C:$C,N31349))</f>
        <v>0</v>
      </c>
    </row>
    <row r="31350" spans="13:16">
      <c r="M31350" s="49">
        <f>IF($A$4+313&gt;$B$4,"",$A$4+313)</f>
        <v>46336</v>
      </c>
      <c r="N31350">
        <f>IF(M31350="","",'Master Barang'!A44)</f>
        <v>0</v>
      </c>
      <c r="O31350">
        <f>IF(N31350="","",'Master Barang'!B44)</f>
        <v>0</v>
      </c>
      <c r="P31350">
        <f>IF(OR(M31350="",N31350=""),"",SUMIFS('Barang Keluar'!$E:$E,'Barang Keluar'!$A:$A,M31350,'Barang Keluar'!$C:$C,N31350))</f>
        <v>0</v>
      </c>
    </row>
    <row r="31351" spans="13:16">
      <c r="M31351" s="49">
        <f>IF($A$4+313&gt;$B$4,"",$A$4+313)</f>
        <v>46336</v>
      </c>
      <c r="N31351">
        <f>IF(M31351="","",'Master Barang'!A45)</f>
        <v>0</v>
      </c>
      <c r="O31351">
        <f>IF(N31351="","",'Master Barang'!B45)</f>
        <v>0</v>
      </c>
      <c r="P31351">
        <f>IF(OR(M31351="",N31351=""),"",SUMIFS('Barang Keluar'!$E:$E,'Barang Keluar'!$A:$A,M31351,'Barang Keluar'!$C:$C,N31351))</f>
        <v>0</v>
      </c>
    </row>
    <row r="31352" spans="13:16">
      <c r="M31352" s="49">
        <f>IF($A$4+313&gt;$B$4,"",$A$4+313)</f>
        <v>46336</v>
      </c>
      <c r="N31352">
        <f>IF(M31352="","",'Master Barang'!A46)</f>
        <v>0</v>
      </c>
      <c r="O31352">
        <f>IF(N31352="","",'Master Barang'!B46)</f>
        <v>0</v>
      </c>
      <c r="P31352">
        <f>IF(OR(M31352="",N31352=""),"",SUMIFS('Barang Keluar'!$E:$E,'Barang Keluar'!$A:$A,M31352,'Barang Keluar'!$C:$C,N31352))</f>
        <v>0</v>
      </c>
    </row>
    <row r="31353" spans="13:16">
      <c r="M31353" s="49">
        <f>IF($A$4+313&gt;$B$4,"",$A$4+313)</f>
        <v>46336</v>
      </c>
      <c r="N31353">
        <f>IF(M31353="","",'Master Barang'!A47)</f>
        <v>0</v>
      </c>
      <c r="O31353">
        <f>IF(N31353="","",'Master Barang'!B47)</f>
        <v>0</v>
      </c>
      <c r="P31353">
        <f>IF(OR(M31353="",N31353=""),"",SUMIFS('Barang Keluar'!$E:$E,'Barang Keluar'!$A:$A,M31353,'Barang Keluar'!$C:$C,N31353))</f>
        <v>0</v>
      </c>
    </row>
    <row r="31354" spans="13:16">
      <c r="M31354" s="49">
        <f>IF($A$4+313&gt;$B$4,"",$A$4+313)</f>
        <v>46336</v>
      </c>
      <c r="N31354">
        <f>IF(M31354="","",'Master Barang'!A48)</f>
        <v>0</v>
      </c>
      <c r="O31354">
        <f>IF(N31354="","",'Master Barang'!B48)</f>
        <v>0</v>
      </c>
      <c r="P31354">
        <f>IF(OR(M31354="",N31354=""),"",SUMIFS('Barang Keluar'!$E:$E,'Barang Keluar'!$A:$A,M31354,'Barang Keluar'!$C:$C,N31354))</f>
        <v>0</v>
      </c>
    </row>
    <row r="31355" spans="13:16">
      <c r="M31355" s="49">
        <f>IF($A$4+313&gt;$B$4,"",$A$4+313)</f>
        <v>46336</v>
      </c>
      <c r="N31355">
        <f>IF(M31355="","",'Master Barang'!A49)</f>
        <v>0</v>
      </c>
      <c r="O31355">
        <f>IF(N31355="","",'Master Barang'!B49)</f>
        <v>0</v>
      </c>
      <c r="P31355">
        <f>IF(OR(M31355="",N31355=""),"",SUMIFS('Barang Keluar'!$E:$E,'Barang Keluar'!$A:$A,M31355,'Barang Keluar'!$C:$C,N31355))</f>
        <v>0</v>
      </c>
    </row>
    <row r="31356" spans="13:16">
      <c r="M31356" s="49">
        <f>IF($A$4+313&gt;$B$4,"",$A$4+313)</f>
        <v>46336</v>
      </c>
      <c r="N31356">
        <f>IF(M31356="","",'Master Barang'!A50)</f>
        <v>0</v>
      </c>
      <c r="O31356">
        <f>IF(N31356="","",'Master Barang'!B50)</f>
        <v>0</v>
      </c>
      <c r="P31356">
        <f>IF(OR(M31356="",N31356=""),"",SUMIFS('Barang Keluar'!$E:$E,'Barang Keluar'!$A:$A,M31356,'Barang Keluar'!$C:$C,N31356))</f>
        <v>0</v>
      </c>
    </row>
    <row r="31357" spans="13:16">
      <c r="M31357" s="49">
        <f>IF($A$4+313&gt;$B$4,"",$A$4+313)</f>
        <v>46336</v>
      </c>
      <c r="N31357">
        <f>IF(M31357="","",'Master Barang'!A51)</f>
        <v>0</v>
      </c>
      <c r="O31357">
        <f>IF(N31357="","",'Master Barang'!B51)</f>
        <v>0</v>
      </c>
      <c r="P31357">
        <f>IF(OR(M31357="",N31357=""),"",SUMIFS('Barang Keluar'!$E:$E,'Barang Keluar'!$A:$A,M31357,'Barang Keluar'!$C:$C,N31357))</f>
        <v>0</v>
      </c>
    </row>
    <row r="31358" spans="13:16">
      <c r="M31358" s="49">
        <f>IF($A$4+313&gt;$B$4,"",$A$4+313)</f>
        <v>46336</v>
      </c>
      <c r="N31358">
        <f>IF(M31358="","",'Master Barang'!A52)</f>
        <v>0</v>
      </c>
      <c r="O31358">
        <f>IF(N31358="","",'Master Barang'!B52)</f>
        <v>0</v>
      </c>
      <c r="P31358">
        <f>IF(OR(M31358="",N31358=""),"",SUMIFS('Barang Keluar'!$E:$E,'Barang Keluar'!$A:$A,M31358,'Barang Keluar'!$C:$C,N31358))</f>
        <v>0</v>
      </c>
    </row>
    <row r="31359" spans="13:16">
      <c r="M31359" s="49">
        <f>IF($A$4+313&gt;$B$4,"",$A$4+313)</f>
        <v>46336</v>
      </c>
      <c r="N31359">
        <f>IF(M31359="","",'Master Barang'!A53)</f>
        <v>0</v>
      </c>
      <c r="O31359">
        <f>IF(N31359="","",'Master Barang'!B53)</f>
        <v>0</v>
      </c>
      <c r="P31359">
        <f>IF(OR(M31359="",N31359=""),"",SUMIFS('Barang Keluar'!$E:$E,'Barang Keluar'!$A:$A,M31359,'Barang Keluar'!$C:$C,N31359))</f>
        <v>0</v>
      </c>
    </row>
    <row r="31360" spans="13:16">
      <c r="M31360" s="49">
        <f>IF($A$4+313&gt;$B$4,"",$A$4+313)</f>
        <v>46336</v>
      </c>
      <c r="N31360">
        <f>IF(M31360="","",'Master Barang'!A54)</f>
        <v>0</v>
      </c>
      <c r="O31360">
        <f>IF(N31360="","",'Master Barang'!B54)</f>
        <v>0</v>
      </c>
      <c r="P31360">
        <f>IF(OR(M31360="",N31360=""),"",SUMIFS('Barang Keluar'!$E:$E,'Barang Keluar'!$A:$A,M31360,'Barang Keluar'!$C:$C,N31360))</f>
        <v>0</v>
      </c>
    </row>
    <row r="31361" spans="13:16">
      <c r="M31361" s="49">
        <f>IF($A$4+313&gt;$B$4,"",$A$4+313)</f>
        <v>46336</v>
      </c>
      <c r="N31361">
        <f>IF(M31361="","",'Master Barang'!A55)</f>
        <v>0</v>
      </c>
      <c r="O31361">
        <f>IF(N31361="","",'Master Barang'!B55)</f>
        <v>0</v>
      </c>
      <c r="P31361">
        <f>IF(OR(M31361="",N31361=""),"",SUMIFS('Barang Keluar'!$E:$E,'Barang Keluar'!$A:$A,M31361,'Barang Keluar'!$C:$C,N31361))</f>
        <v>0</v>
      </c>
    </row>
    <row r="31362" spans="13:16">
      <c r="M31362" s="49">
        <f>IF($A$4+313&gt;$B$4,"",$A$4+313)</f>
        <v>46336</v>
      </c>
      <c r="N31362">
        <f>IF(M31362="","",'Master Barang'!A56)</f>
        <v>0</v>
      </c>
      <c r="O31362">
        <f>IF(N31362="","",'Master Barang'!B56)</f>
        <v>0</v>
      </c>
      <c r="P31362">
        <f>IF(OR(M31362="",N31362=""),"",SUMIFS('Barang Keluar'!$E:$E,'Barang Keluar'!$A:$A,M31362,'Barang Keluar'!$C:$C,N31362))</f>
        <v>0</v>
      </c>
    </row>
    <row r="31363" spans="13:16">
      <c r="M31363" s="49">
        <f>IF($A$4+313&gt;$B$4,"",$A$4+313)</f>
        <v>46336</v>
      </c>
      <c r="N31363">
        <f>IF(M31363="","",'Master Barang'!A57)</f>
        <v>0</v>
      </c>
      <c r="O31363">
        <f>IF(N31363="","",'Master Barang'!B57)</f>
        <v>0</v>
      </c>
      <c r="P31363">
        <f>IF(OR(M31363="",N31363=""),"",SUMIFS('Barang Keluar'!$E:$E,'Barang Keluar'!$A:$A,M31363,'Barang Keluar'!$C:$C,N31363))</f>
        <v>0</v>
      </c>
    </row>
    <row r="31364" spans="13:16">
      <c r="M31364" s="49">
        <f>IF($A$4+313&gt;$B$4,"",$A$4+313)</f>
        <v>46336</v>
      </c>
      <c r="N31364">
        <f>IF(M31364="","",'Master Barang'!A58)</f>
        <v>0</v>
      </c>
      <c r="O31364">
        <f>IF(N31364="","",'Master Barang'!B58)</f>
        <v>0</v>
      </c>
      <c r="P31364">
        <f>IF(OR(M31364="",N31364=""),"",SUMIFS('Barang Keluar'!$E:$E,'Barang Keluar'!$A:$A,M31364,'Barang Keluar'!$C:$C,N31364))</f>
        <v>0</v>
      </c>
    </row>
    <row r="31365" spans="13:16">
      <c r="M31365" s="49">
        <f>IF($A$4+313&gt;$B$4,"",$A$4+313)</f>
        <v>46336</v>
      </c>
      <c r="N31365">
        <f>IF(M31365="","",'Master Barang'!A59)</f>
        <v>0</v>
      </c>
      <c r="O31365">
        <f>IF(N31365="","",'Master Barang'!B59)</f>
        <v>0</v>
      </c>
      <c r="P31365">
        <f>IF(OR(M31365="",N31365=""),"",SUMIFS('Barang Keluar'!$E:$E,'Barang Keluar'!$A:$A,M31365,'Barang Keluar'!$C:$C,N31365))</f>
        <v>0</v>
      </c>
    </row>
    <row r="31366" spans="13:16">
      <c r="M31366" s="49">
        <f>IF($A$4+313&gt;$B$4,"",$A$4+313)</f>
        <v>46336</v>
      </c>
      <c r="N31366">
        <f>IF(M31366="","",'Master Barang'!A60)</f>
        <v>0</v>
      </c>
      <c r="O31366">
        <f>IF(N31366="","",'Master Barang'!B60)</f>
        <v>0</v>
      </c>
      <c r="P31366">
        <f>IF(OR(M31366="",N31366=""),"",SUMIFS('Barang Keluar'!$E:$E,'Barang Keluar'!$A:$A,M31366,'Barang Keluar'!$C:$C,N31366))</f>
        <v>0</v>
      </c>
    </row>
    <row r="31367" spans="13:16">
      <c r="M31367" s="49">
        <f>IF($A$4+313&gt;$B$4,"",$A$4+313)</f>
        <v>46336</v>
      </c>
      <c r="N31367">
        <f>IF(M31367="","",'Master Barang'!A61)</f>
        <v>0</v>
      </c>
      <c r="O31367">
        <f>IF(N31367="","",'Master Barang'!B61)</f>
        <v>0</v>
      </c>
      <c r="P31367">
        <f>IF(OR(M31367="",N31367=""),"",SUMIFS('Barang Keluar'!$E:$E,'Barang Keluar'!$A:$A,M31367,'Barang Keluar'!$C:$C,N31367))</f>
        <v>0</v>
      </c>
    </row>
    <row r="31368" spans="13:16">
      <c r="M31368" s="49">
        <f>IF($A$4+313&gt;$B$4,"",$A$4+313)</f>
        <v>46336</v>
      </c>
      <c r="N31368">
        <f>IF(M31368="","",'Master Barang'!A62)</f>
        <v>0</v>
      </c>
      <c r="O31368">
        <f>IF(N31368="","",'Master Barang'!B62)</f>
        <v>0</v>
      </c>
      <c r="P31368">
        <f>IF(OR(M31368="",N31368=""),"",SUMIFS('Barang Keluar'!$E:$E,'Barang Keluar'!$A:$A,M31368,'Barang Keluar'!$C:$C,N31368))</f>
        <v>0</v>
      </c>
    </row>
    <row r="31369" spans="13:16">
      <c r="M31369" s="49">
        <f>IF($A$4+313&gt;$B$4,"",$A$4+313)</f>
        <v>46336</v>
      </c>
      <c r="N31369">
        <f>IF(M31369="","",'Master Barang'!A63)</f>
        <v>0</v>
      </c>
      <c r="O31369">
        <f>IF(N31369="","",'Master Barang'!B63)</f>
        <v>0</v>
      </c>
      <c r="P31369">
        <f>IF(OR(M31369="",N31369=""),"",SUMIFS('Barang Keluar'!$E:$E,'Barang Keluar'!$A:$A,M31369,'Barang Keluar'!$C:$C,N31369))</f>
        <v>0</v>
      </c>
    </row>
    <row r="31370" spans="13:16">
      <c r="M31370" s="49">
        <f>IF($A$4+313&gt;$B$4,"",$A$4+313)</f>
        <v>46336</v>
      </c>
      <c r="N31370">
        <f>IF(M31370="","",'Master Barang'!A64)</f>
        <v>0</v>
      </c>
      <c r="O31370">
        <f>IF(N31370="","",'Master Barang'!B64)</f>
        <v>0</v>
      </c>
      <c r="P31370">
        <f>IF(OR(M31370="",N31370=""),"",SUMIFS('Barang Keluar'!$E:$E,'Barang Keluar'!$A:$A,M31370,'Barang Keluar'!$C:$C,N31370))</f>
        <v>0</v>
      </c>
    </row>
    <row r="31371" spans="13:16">
      <c r="M31371" s="49">
        <f>IF($A$4+313&gt;$B$4,"",$A$4+313)</f>
        <v>46336</v>
      </c>
      <c r="N31371">
        <f>IF(M31371="","",'Master Barang'!A65)</f>
        <v>0</v>
      </c>
      <c r="O31371">
        <f>IF(N31371="","",'Master Barang'!B65)</f>
        <v>0</v>
      </c>
      <c r="P31371">
        <f>IF(OR(M31371="",N31371=""),"",SUMIFS('Barang Keluar'!$E:$E,'Barang Keluar'!$A:$A,M31371,'Barang Keluar'!$C:$C,N31371))</f>
        <v>0</v>
      </c>
    </row>
    <row r="31372" spans="13:16">
      <c r="M31372" s="49">
        <f>IF($A$4+313&gt;$B$4,"",$A$4+313)</f>
        <v>46336</v>
      </c>
      <c r="N31372">
        <f>IF(M31372="","",'Master Barang'!A66)</f>
        <v>0</v>
      </c>
      <c r="O31372">
        <f>IF(N31372="","",'Master Barang'!B66)</f>
        <v>0</v>
      </c>
      <c r="P31372">
        <f>IF(OR(M31372="",N31372=""),"",SUMIFS('Barang Keluar'!$E:$E,'Barang Keluar'!$A:$A,M31372,'Barang Keluar'!$C:$C,N31372))</f>
        <v>0</v>
      </c>
    </row>
    <row r="31373" spans="13:16">
      <c r="M31373" s="49">
        <f>IF($A$4+313&gt;$B$4,"",$A$4+313)</f>
        <v>46336</v>
      </c>
      <c r="N31373">
        <f>IF(M31373="","",'Master Barang'!A67)</f>
        <v>0</v>
      </c>
      <c r="O31373">
        <f>IF(N31373="","",'Master Barang'!B67)</f>
        <v>0</v>
      </c>
      <c r="P31373">
        <f>IF(OR(M31373="",N31373=""),"",SUMIFS('Barang Keluar'!$E:$E,'Barang Keluar'!$A:$A,M31373,'Barang Keluar'!$C:$C,N31373))</f>
        <v>0</v>
      </c>
    </row>
    <row r="31374" spans="13:16">
      <c r="M31374" s="49">
        <f>IF($A$4+313&gt;$B$4,"",$A$4+313)</f>
        <v>46336</v>
      </c>
      <c r="N31374">
        <f>IF(M31374="","",'Master Barang'!A68)</f>
        <v>0</v>
      </c>
      <c r="O31374">
        <f>IF(N31374="","",'Master Barang'!B68)</f>
        <v>0</v>
      </c>
      <c r="P31374">
        <f>IF(OR(M31374="",N31374=""),"",SUMIFS('Barang Keluar'!$E:$E,'Barang Keluar'!$A:$A,M31374,'Barang Keluar'!$C:$C,N31374))</f>
        <v>0</v>
      </c>
    </row>
    <row r="31375" spans="13:16">
      <c r="M31375" s="49">
        <f>IF($A$4+313&gt;$B$4,"",$A$4+313)</f>
        <v>46336</v>
      </c>
      <c r="N31375">
        <f>IF(M31375="","",'Master Barang'!A69)</f>
        <v>0</v>
      </c>
      <c r="O31375">
        <f>IF(N31375="","",'Master Barang'!B69)</f>
        <v>0</v>
      </c>
      <c r="P31375">
        <f>IF(OR(M31375="",N31375=""),"",SUMIFS('Barang Keluar'!$E:$E,'Barang Keluar'!$A:$A,M31375,'Barang Keluar'!$C:$C,N31375))</f>
        <v>0</v>
      </c>
    </row>
    <row r="31376" spans="13:16">
      <c r="M31376" s="49">
        <f>IF($A$4+313&gt;$B$4,"",$A$4+313)</f>
        <v>46336</v>
      </c>
      <c r="N31376">
        <f>IF(M31376="","",'Master Barang'!A70)</f>
        <v>0</v>
      </c>
      <c r="O31376">
        <f>IF(N31376="","",'Master Barang'!B70)</f>
        <v>0</v>
      </c>
      <c r="P31376">
        <f>IF(OR(M31376="",N31376=""),"",SUMIFS('Barang Keluar'!$E:$E,'Barang Keluar'!$A:$A,M31376,'Barang Keluar'!$C:$C,N31376))</f>
        <v>0</v>
      </c>
    </row>
    <row r="31377" spans="13:16">
      <c r="M31377" s="49">
        <f>IF($A$4+313&gt;$B$4,"",$A$4+313)</f>
        <v>46336</v>
      </c>
      <c r="N31377">
        <f>IF(M31377="","",'Master Barang'!A71)</f>
        <v>0</v>
      </c>
      <c r="O31377">
        <f>IF(N31377="","",'Master Barang'!B71)</f>
        <v>0</v>
      </c>
      <c r="P31377">
        <f>IF(OR(M31377="",N31377=""),"",SUMIFS('Barang Keluar'!$E:$E,'Barang Keluar'!$A:$A,M31377,'Barang Keluar'!$C:$C,N31377))</f>
        <v>0</v>
      </c>
    </row>
    <row r="31378" spans="13:16">
      <c r="M31378" s="49">
        <f>IF($A$4+313&gt;$B$4,"",$A$4+313)</f>
        <v>46336</v>
      </c>
      <c r="N31378">
        <f>IF(M31378="","",'Master Barang'!A72)</f>
        <v>0</v>
      </c>
      <c r="O31378">
        <f>IF(N31378="","",'Master Barang'!B72)</f>
        <v>0</v>
      </c>
      <c r="P31378">
        <f>IF(OR(M31378="",N31378=""),"",SUMIFS('Barang Keluar'!$E:$E,'Barang Keluar'!$A:$A,M31378,'Barang Keluar'!$C:$C,N31378))</f>
        <v>0</v>
      </c>
    </row>
    <row r="31379" spans="13:16">
      <c r="M31379" s="49">
        <f>IF($A$4+313&gt;$B$4,"",$A$4+313)</f>
        <v>46336</v>
      </c>
      <c r="N31379">
        <f>IF(M31379="","",'Master Barang'!A73)</f>
        <v>0</v>
      </c>
      <c r="O31379">
        <f>IF(N31379="","",'Master Barang'!B73)</f>
        <v>0</v>
      </c>
      <c r="P31379">
        <f>IF(OR(M31379="",N31379=""),"",SUMIFS('Barang Keluar'!$E:$E,'Barang Keluar'!$A:$A,M31379,'Barang Keluar'!$C:$C,N31379))</f>
        <v>0</v>
      </c>
    </row>
    <row r="31380" spans="13:16">
      <c r="M31380" s="49">
        <f>IF($A$4+313&gt;$B$4,"",$A$4+313)</f>
        <v>46336</v>
      </c>
      <c r="N31380">
        <f>IF(M31380="","",'Master Barang'!A74)</f>
        <v>0</v>
      </c>
      <c r="O31380">
        <f>IF(N31380="","",'Master Barang'!B74)</f>
        <v>0</v>
      </c>
      <c r="P31380">
        <f>IF(OR(M31380="",N31380=""),"",SUMIFS('Barang Keluar'!$E:$E,'Barang Keluar'!$A:$A,M31380,'Barang Keluar'!$C:$C,N31380))</f>
        <v>0</v>
      </c>
    </row>
    <row r="31381" spans="13:16">
      <c r="M31381" s="49">
        <f>IF($A$4+313&gt;$B$4,"",$A$4+313)</f>
        <v>46336</v>
      </c>
      <c r="N31381">
        <f>IF(M31381="","",'Master Barang'!A75)</f>
        <v>0</v>
      </c>
      <c r="O31381">
        <f>IF(N31381="","",'Master Barang'!B75)</f>
        <v>0</v>
      </c>
      <c r="P31381">
        <f>IF(OR(M31381="",N31381=""),"",SUMIFS('Barang Keluar'!$E:$E,'Barang Keluar'!$A:$A,M31381,'Barang Keluar'!$C:$C,N31381))</f>
        <v>0</v>
      </c>
    </row>
    <row r="31382" spans="13:16">
      <c r="M31382" s="49">
        <f>IF($A$4+313&gt;$B$4,"",$A$4+313)</f>
        <v>46336</v>
      </c>
      <c r="N31382">
        <f>IF(M31382="","",'Master Barang'!A76)</f>
        <v>0</v>
      </c>
      <c r="O31382">
        <f>IF(N31382="","",'Master Barang'!B76)</f>
        <v>0</v>
      </c>
      <c r="P31382">
        <f>IF(OR(M31382="",N31382=""),"",SUMIFS('Barang Keluar'!$E:$E,'Barang Keluar'!$A:$A,M31382,'Barang Keluar'!$C:$C,N31382))</f>
        <v>0</v>
      </c>
    </row>
    <row r="31383" spans="13:16">
      <c r="M31383" s="49">
        <f>IF($A$4+313&gt;$B$4,"",$A$4+313)</f>
        <v>46336</v>
      </c>
      <c r="N31383">
        <f>IF(M31383="","",'Master Barang'!A77)</f>
        <v>0</v>
      </c>
      <c r="O31383">
        <f>IF(N31383="","",'Master Barang'!B77)</f>
        <v>0</v>
      </c>
      <c r="P31383">
        <f>IF(OR(M31383="",N31383=""),"",SUMIFS('Barang Keluar'!$E:$E,'Barang Keluar'!$A:$A,M31383,'Barang Keluar'!$C:$C,N31383))</f>
        <v>0</v>
      </c>
    </row>
    <row r="31384" spans="13:16">
      <c r="M31384" s="49">
        <f>IF($A$4+313&gt;$B$4,"",$A$4+313)</f>
        <v>46336</v>
      </c>
      <c r="N31384">
        <f>IF(M31384="","",'Master Barang'!A78)</f>
        <v>0</v>
      </c>
      <c r="O31384">
        <f>IF(N31384="","",'Master Barang'!B78)</f>
        <v>0</v>
      </c>
      <c r="P31384">
        <f>IF(OR(M31384="",N31384=""),"",SUMIFS('Barang Keluar'!$E:$E,'Barang Keluar'!$A:$A,M31384,'Barang Keluar'!$C:$C,N31384))</f>
        <v>0</v>
      </c>
    </row>
    <row r="31385" spans="13:16">
      <c r="M31385" s="49">
        <f>IF($A$4+313&gt;$B$4,"",$A$4+313)</f>
        <v>46336</v>
      </c>
      <c r="N31385">
        <f>IF(M31385="","",'Master Barang'!A79)</f>
        <v>0</v>
      </c>
      <c r="O31385">
        <f>IF(N31385="","",'Master Barang'!B79)</f>
        <v>0</v>
      </c>
      <c r="P31385">
        <f>IF(OR(M31385="",N31385=""),"",SUMIFS('Barang Keluar'!$E:$E,'Barang Keluar'!$A:$A,M31385,'Barang Keluar'!$C:$C,N31385))</f>
        <v>0</v>
      </c>
    </row>
    <row r="31386" spans="13:16">
      <c r="M31386" s="49">
        <f>IF($A$4+313&gt;$B$4,"",$A$4+313)</f>
        <v>46336</v>
      </c>
      <c r="N31386">
        <f>IF(M31386="","",'Master Barang'!A80)</f>
        <v>0</v>
      </c>
      <c r="O31386">
        <f>IF(N31386="","",'Master Barang'!B80)</f>
        <v>0</v>
      </c>
      <c r="P31386">
        <f>IF(OR(M31386="",N31386=""),"",SUMIFS('Barang Keluar'!$E:$E,'Barang Keluar'!$A:$A,M31386,'Barang Keluar'!$C:$C,N31386))</f>
        <v>0</v>
      </c>
    </row>
    <row r="31387" spans="13:16">
      <c r="M31387" s="49">
        <f>IF($A$4+313&gt;$B$4,"",$A$4+313)</f>
        <v>46336</v>
      </c>
      <c r="N31387">
        <f>IF(M31387="","",'Master Barang'!A81)</f>
        <v>0</v>
      </c>
      <c r="O31387">
        <f>IF(N31387="","",'Master Barang'!B81)</f>
        <v>0</v>
      </c>
      <c r="P31387">
        <f>IF(OR(M31387="",N31387=""),"",SUMIFS('Barang Keluar'!$E:$E,'Barang Keluar'!$A:$A,M31387,'Barang Keluar'!$C:$C,N31387))</f>
        <v>0</v>
      </c>
    </row>
    <row r="31388" spans="13:16">
      <c r="M31388" s="49">
        <f>IF($A$4+313&gt;$B$4,"",$A$4+313)</f>
        <v>46336</v>
      </c>
      <c r="N31388">
        <f>IF(M31388="","",'Master Barang'!A82)</f>
        <v>0</v>
      </c>
      <c r="O31388">
        <f>IF(N31388="","",'Master Barang'!B82)</f>
        <v>0</v>
      </c>
      <c r="P31388">
        <f>IF(OR(M31388="",N31388=""),"",SUMIFS('Barang Keluar'!$E:$E,'Barang Keluar'!$A:$A,M31388,'Barang Keluar'!$C:$C,N31388))</f>
        <v>0</v>
      </c>
    </row>
    <row r="31389" spans="13:16">
      <c r="M31389" s="49">
        <f>IF($A$4+313&gt;$B$4,"",$A$4+313)</f>
        <v>46336</v>
      </c>
      <c r="N31389">
        <f>IF(M31389="","",'Master Barang'!A83)</f>
        <v>0</v>
      </c>
      <c r="O31389">
        <f>IF(N31389="","",'Master Barang'!B83)</f>
        <v>0</v>
      </c>
      <c r="P31389">
        <f>IF(OR(M31389="",N31389=""),"",SUMIFS('Barang Keluar'!$E:$E,'Barang Keluar'!$A:$A,M31389,'Barang Keluar'!$C:$C,N31389))</f>
        <v>0</v>
      </c>
    </row>
    <row r="31390" spans="13:16">
      <c r="M31390" s="49">
        <f>IF($A$4+313&gt;$B$4,"",$A$4+313)</f>
        <v>46336</v>
      </c>
      <c r="N31390">
        <f>IF(M31390="","",'Master Barang'!A84)</f>
        <v>0</v>
      </c>
      <c r="O31390">
        <f>IF(N31390="","",'Master Barang'!B84)</f>
        <v>0</v>
      </c>
      <c r="P31390">
        <f>IF(OR(M31390="",N31390=""),"",SUMIFS('Barang Keluar'!$E:$E,'Barang Keluar'!$A:$A,M31390,'Barang Keluar'!$C:$C,N31390))</f>
        <v>0</v>
      </c>
    </row>
    <row r="31391" spans="13:16">
      <c r="M31391" s="49">
        <f>IF($A$4+313&gt;$B$4,"",$A$4+313)</f>
        <v>46336</v>
      </c>
      <c r="N31391">
        <f>IF(M31391="","",'Master Barang'!A85)</f>
        <v>0</v>
      </c>
      <c r="O31391">
        <f>IF(N31391="","",'Master Barang'!B85)</f>
        <v>0</v>
      </c>
      <c r="P31391">
        <f>IF(OR(M31391="",N31391=""),"",SUMIFS('Barang Keluar'!$E:$E,'Barang Keluar'!$A:$A,M31391,'Barang Keluar'!$C:$C,N31391))</f>
        <v>0</v>
      </c>
    </row>
    <row r="31392" spans="13:16">
      <c r="M31392" s="49">
        <f>IF($A$4+313&gt;$B$4,"",$A$4+313)</f>
        <v>46336</v>
      </c>
      <c r="N31392">
        <f>IF(M31392="","",'Master Barang'!A86)</f>
        <v>0</v>
      </c>
      <c r="O31392">
        <f>IF(N31392="","",'Master Barang'!B86)</f>
        <v>0</v>
      </c>
      <c r="P31392">
        <f>IF(OR(M31392="",N31392=""),"",SUMIFS('Barang Keluar'!$E:$E,'Barang Keluar'!$A:$A,M31392,'Barang Keluar'!$C:$C,N31392))</f>
        <v>0</v>
      </c>
    </row>
    <row r="31393" spans="13:16">
      <c r="M31393" s="49">
        <f>IF($A$4+313&gt;$B$4,"",$A$4+313)</f>
        <v>46336</v>
      </c>
      <c r="N31393">
        <f>IF(M31393="","",'Master Barang'!A87)</f>
        <v>0</v>
      </c>
      <c r="O31393">
        <f>IF(N31393="","",'Master Barang'!B87)</f>
        <v>0</v>
      </c>
      <c r="P31393">
        <f>IF(OR(M31393="",N31393=""),"",SUMIFS('Barang Keluar'!$E:$E,'Barang Keluar'!$A:$A,M31393,'Barang Keluar'!$C:$C,N31393))</f>
        <v>0</v>
      </c>
    </row>
    <row r="31394" spans="13:16">
      <c r="M31394" s="49">
        <f>IF($A$4+313&gt;$B$4,"",$A$4+313)</f>
        <v>46336</v>
      </c>
      <c r="N31394">
        <f>IF(M31394="","",'Master Barang'!A88)</f>
        <v>0</v>
      </c>
      <c r="O31394">
        <f>IF(N31394="","",'Master Barang'!B88)</f>
        <v>0</v>
      </c>
      <c r="P31394">
        <f>IF(OR(M31394="",N31394=""),"",SUMIFS('Barang Keluar'!$E:$E,'Barang Keluar'!$A:$A,M31394,'Barang Keluar'!$C:$C,N31394))</f>
        <v>0</v>
      </c>
    </row>
    <row r="31395" spans="13:16">
      <c r="M31395" s="49">
        <f>IF($A$4+313&gt;$B$4,"",$A$4+313)</f>
        <v>46336</v>
      </c>
      <c r="N31395">
        <f>IF(M31395="","",'Master Barang'!A89)</f>
        <v>0</v>
      </c>
      <c r="O31395">
        <f>IF(N31395="","",'Master Barang'!B89)</f>
        <v>0</v>
      </c>
      <c r="P31395">
        <f>IF(OR(M31395="",N31395=""),"",SUMIFS('Barang Keluar'!$E:$E,'Barang Keluar'!$A:$A,M31395,'Barang Keluar'!$C:$C,N31395))</f>
        <v>0</v>
      </c>
    </row>
    <row r="31396" spans="13:16">
      <c r="M31396" s="49">
        <f>IF($A$4+313&gt;$B$4,"",$A$4+313)</f>
        <v>46336</v>
      </c>
      <c r="N31396">
        <f>IF(M31396="","",'Master Barang'!A90)</f>
        <v>0</v>
      </c>
      <c r="O31396">
        <f>IF(N31396="","",'Master Barang'!B90)</f>
        <v>0</v>
      </c>
      <c r="P31396">
        <f>IF(OR(M31396="",N31396=""),"",SUMIFS('Barang Keluar'!$E:$E,'Barang Keluar'!$A:$A,M31396,'Barang Keluar'!$C:$C,N31396))</f>
        <v>0</v>
      </c>
    </row>
    <row r="31397" spans="13:16">
      <c r="M31397" s="49">
        <f>IF($A$4+313&gt;$B$4,"",$A$4+313)</f>
        <v>46336</v>
      </c>
      <c r="N31397">
        <f>IF(M31397="","",'Master Barang'!A91)</f>
        <v>0</v>
      </c>
      <c r="O31397">
        <f>IF(N31397="","",'Master Barang'!B91)</f>
        <v>0</v>
      </c>
      <c r="P31397">
        <f>IF(OR(M31397="",N31397=""),"",SUMIFS('Barang Keluar'!$E:$E,'Barang Keluar'!$A:$A,M31397,'Barang Keluar'!$C:$C,N31397))</f>
        <v>0</v>
      </c>
    </row>
    <row r="31398" spans="13:16">
      <c r="M31398" s="49">
        <f>IF($A$4+313&gt;$B$4,"",$A$4+313)</f>
        <v>46336</v>
      </c>
      <c r="N31398">
        <f>IF(M31398="","",'Master Barang'!A92)</f>
        <v>0</v>
      </c>
      <c r="O31398">
        <f>IF(N31398="","",'Master Barang'!B92)</f>
        <v>0</v>
      </c>
      <c r="P31398">
        <f>IF(OR(M31398="",N31398=""),"",SUMIFS('Barang Keluar'!$E:$E,'Barang Keluar'!$A:$A,M31398,'Barang Keluar'!$C:$C,N31398))</f>
        <v>0</v>
      </c>
    </row>
    <row r="31399" spans="13:16">
      <c r="M31399" s="49">
        <f>IF($A$4+313&gt;$B$4,"",$A$4+313)</f>
        <v>46336</v>
      </c>
      <c r="N31399">
        <f>IF(M31399="","",'Master Barang'!A93)</f>
        <v>0</v>
      </c>
      <c r="O31399">
        <f>IF(N31399="","",'Master Barang'!B93)</f>
        <v>0</v>
      </c>
      <c r="P31399">
        <f>IF(OR(M31399="",N31399=""),"",SUMIFS('Barang Keluar'!$E:$E,'Barang Keluar'!$A:$A,M31399,'Barang Keluar'!$C:$C,N31399))</f>
        <v>0</v>
      </c>
    </row>
    <row r="31400" spans="13:16">
      <c r="M31400" s="49">
        <f>IF($A$4+313&gt;$B$4,"",$A$4+313)</f>
        <v>46336</v>
      </c>
      <c r="N31400">
        <f>IF(M31400="","",'Master Barang'!A94)</f>
        <v>0</v>
      </c>
      <c r="O31400">
        <f>IF(N31400="","",'Master Barang'!B94)</f>
        <v>0</v>
      </c>
      <c r="P31400">
        <f>IF(OR(M31400="",N31400=""),"",SUMIFS('Barang Keluar'!$E:$E,'Barang Keluar'!$A:$A,M31400,'Barang Keluar'!$C:$C,N31400))</f>
        <v>0</v>
      </c>
    </row>
    <row r="31401" spans="13:16">
      <c r="M31401" s="49">
        <f>IF($A$4+313&gt;$B$4,"",$A$4+313)</f>
        <v>46336</v>
      </c>
      <c r="N31401">
        <f>IF(M31401="","",'Master Barang'!A95)</f>
        <v>0</v>
      </c>
      <c r="O31401">
        <f>IF(N31401="","",'Master Barang'!B95)</f>
        <v>0</v>
      </c>
      <c r="P31401">
        <f>IF(OR(M31401="",N31401=""),"",SUMIFS('Barang Keluar'!$E:$E,'Barang Keluar'!$A:$A,M31401,'Barang Keluar'!$C:$C,N31401))</f>
        <v>0</v>
      </c>
    </row>
    <row r="31402" spans="13:16">
      <c r="M31402" s="49">
        <f>IF($A$4+313&gt;$B$4,"",$A$4+313)</f>
        <v>46336</v>
      </c>
      <c r="N31402">
        <f>IF(M31402="","",'Master Barang'!A96)</f>
        <v>0</v>
      </c>
      <c r="O31402">
        <f>IF(N31402="","",'Master Barang'!B96)</f>
        <v>0</v>
      </c>
      <c r="P31402">
        <f>IF(OR(M31402="",N31402=""),"",SUMIFS('Barang Keluar'!$E:$E,'Barang Keluar'!$A:$A,M31402,'Barang Keluar'!$C:$C,N31402))</f>
        <v>0</v>
      </c>
    </row>
    <row r="31403" spans="13:16">
      <c r="M31403" s="49">
        <f>IF($A$4+313&gt;$B$4,"",$A$4+313)</f>
        <v>46336</v>
      </c>
      <c r="N31403">
        <f>IF(M31403="","",'Master Barang'!A97)</f>
        <v>0</v>
      </c>
      <c r="O31403">
        <f>IF(N31403="","",'Master Barang'!B97)</f>
        <v>0</v>
      </c>
      <c r="P31403">
        <f>IF(OR(M31403="",N31403=""),"",SUMIFS('Barang Keluar'!$E:$E,'Barang Keluar'!$A:$A,M31403,'Barang Keluar'!$C:$C,N31403))</f>
        <v>0</v>
      </c>
    </row>
    <row r="31404" spans="13:16">
      <c r="M31404" s="49">
        <f>IF($A$4+313&gt;$B$4,"",$A$4+313)</f>
        <v>46336</v>
      </c>
      <c r="N31404">
        <f>IF(M31404="","",'Master Barang'!A98)</f>
        <v>0</v>
      </c>
      <c r="O31404">
        <f>IF(N31404="","",'Master Barang'!B98)</f>
        <v>0</v>
      </c>
      <c r="P31404">
        <f>IF(OR(M31404="",N31404=""),"",SUMIFS('Barang Keluar'!$E:$E,'Barang Keluar'!$A:$A,M31404,'Barang Keluar'!$C:$C,N31404))</f>
        <v>0</v>
      </c>
    </row>
    <row r="31405" spans="13:16">
      <c r="M31405" s="49">
        <f>IF($A$4+313&gt;$B$4,"",$A$4+313)</f>
        <v>46336</v>
      </c>
      <c r="N31405">
        <f>IF(M31405="","",'Master Barang'!A99)</f>
        <v>0</v>
      </c>
      <c r="O31405">
        <f>IF(N31405="","",'Master Barang'!B99)</f>
        <v>0</v>
      </c>
      <c r="P31405">
        <f>IF(OR(M31405="",N31405=""),"",SUMIFS('Barang Keluar'!$E:$E,'Barang Keluar'!$A:$A,M31405,'Barang Keluar'!$C:$C,N31405))</f>
        <v>0</v>
      </c>
    </row>
    <row r="31406" spans="13:16">
      <c r="M31406" s="49">
        <f>IF($A$4+313&gt;$B$4,"",$A$4+313)</f>
        <v>46336</v>
      </c>
      <c r="N31406">
        <f>IF(M31406="","",'Master Barang'!A100)</f>
        <v>0</v>
      </c>
      <c r="O31406">
        <f>IF(N31406="","",'Master Barang'!B100)</f>
        <v>0</v>
      </c>
      <c r="P31406">
        <f>IF(OR(M31406="",N31406=""),"",SUMIFS('Barang Keluar'!$E:$E,'Barang Keluar'!$A:$A,M31406,'Barang Keluar'!$C:$C,N31406))</f>
        <v>0</v>
      </c>
    </row>
    <row r="31407" spans="13:16">
      <c r="M31407" s="49">
        <f>IF($A$4+313&gt;$B$4,"",$A$4+313)</f>
        <v>46336</v>
      </c>
      <c r="N31407">
        <f>IF(M31407="","",'Master Barang'!A101)</f>
        <v>0</v>
      </c>
      <c r="O31407">
        <f>IF(N31407="","",'Master Barang'!B101)</f>
        <v>0</v>
      </c>
      <c r="P31407">
        <f>IF(OR(M31407="",N31407=""),"",SUMIFS('Barang Keluar'!$E:$E,'Barang Keluar'!$A:$A,M31407,'Barang Keluar'!$C:$C,N31407))</f>
        <v>0</v>
      </c>
    </row>
    <row r="31408" spans="13:16">
      <c r="M31408" s="49">
        <f>IF($A$4+314&gt;$B$4,"",$A$4+314)</f>
        <v>46337</v>
      </c>
      <c r="N31408" t="str">
        <f>IF(M31408="","",'Master Barang'!A2)</f>
        <v>PRL-001</v>
      </c>
      <c r="O31408" t="str">
        <f>IF(N31408="","",'Master Barang'!B2)</f>
        <v>natura desinfectant food grade 5l</v>
      </c>
      <c r="P31408">
        <f>IF(OR(M31408="",N31408=""),"",SUMIFS('Barang Keluar'!$E:$E,'Barang Keluar'!$A:$A,M31408,'Barang Keluar'!$C:$C,N31408))</f>
        <v>0</v>
      </c>
    </row>
    <row r="31409" spans="13:16">
      <c r="M31409" s="49">
        <f>IF($A$4+314&gt;$B$4,"",$A$4+314)</f>
        <v>46337</v>
      </c>
      <c r="N31409" t="str">
        <f>IF(M31409="","",'Master Barang'!A3)</f>
        <v>PRL-002</v>
      </c>
      <c r="O31409" t="str">
        <f>IF(N31409="","",'Master Barang'!B3)</f>
        <v>sunlight cairan pencuci piring 5l</v>
      </c>
      <c r="P31409">
        <f>IF(OR(M31409="",N31409=""),"",SUMIFS('Barang Keluar'!$E:$E,'Barang Keluar'!$A:$A,M31409,'Barang Keluar'!$C:$C,N31409))</f>
        <v>0</v>
      </c>
    </row>
    <row r="31410" spans="13:16">
      <c r="M31410" s="49">
        <f>IF($A$4+314&gt;$B$4,"",$A$4+314)</f>
        <v>46337</v>
      </c>
      <c r="N31410" t="str">
        <f>IF(M31410="","",'Master Barang'!A4)</f>
        <v>PRL-003</v>
      </c>
      <c r="O31410" t="str">
        <f>IF(N31410="","",'Master Barang'!B4)</f>
        <v>oixs cleaner 1l</v>
      </c>
      <c r="P31410">
        <f>IF(OR(M31410="",N31410=""),"",SUMIFS('Barang Keluar'!$E:$E,'Barang Keluar'!$A:$A,M31410,'Barang Keluar'!$C:$C,N31410))</f>
        <v>0</v>
      </c>
    </row>
    <row r="31411" spans="13:16">
      <c r="M31411" s="49">
        <f>IF($A$4+314&gt;$B$4,"",$A$4+314)</f>
        <v>46337</v>
      </c>
      <c r="N31411" t="str">
        <f>IF(M31411="","",'Master Barang'!A5)</f>
        <v>PRL-004</v>
      </c>
      <c r="O31411" t="str">
        <f>IF(N31411="","",'Master Barang'!B5)</f>
        <v>be clean tissue serbaguna</v>
      </c>
      <c r="P31411">
        <f>IF(OR(M31411="",N31411=""),"",SUMIFS('Barang Keluar'!$E:$E,'Barang Keluar'!$A:$A,M31411,'Barang Keluar'!$C:$C,N31411))</f>
        <v>0</v>
      </c>
    </row>
    <row r="31412" spans="13:16">
      <c r="M31412" s="49">
        <f>IF($A$4+314&gt;$B$4,"",$A$4+314)</f>
        <v>46337</v>
      </c>
      <c r="N31412" t="str">
        <f>IF(M31412="","",'Master Barang'!A6)</f>
        <v>PRL-005</v>
      </c>
      <c r="O31412" t="str">
        <f>IF(N31412="","",'Master Barang'!B6)</f>
        <v>spons cuci hijau</v>
      </c>
      <c r="P31412">
        <f>IF(OR(M31412="",N31412=""),"",SUMIFS('Barang Keluar'!$E:$E,'Barang Keluar'!$A:$A,M31412,'Barang Keluar'!$C:$C,N31412))</f>
        <v>0</v>
      </c>
    </row>
    <row r="31413" spans="13:16">
      <c r="M31413" s="49">
        <f>IF($A$4+314&gt;$B$4,"",$A$4+314)</f>
        <v>46337</v>
      </c>
      <c r="N31413" t="str">
        <f>IF(M31413="","",'Master Barang'!A7)</f>
        <v>PRL-006</v>
      </c>
      <c r="O31413" t="str">
        <f>IF(N31413="","",'Master Barang'!B7)</f>
        <v>sabut cuci stainless</v>
      </c>
      <c r="P31413">
        <f>IF(OR(M31413="",N31413=""),"",SUMIFS('Barang Keluar'!$E:$E,'Barang Keluar'!$A:$A,M31413,'Barang Keluar'!$C:$C,N31413))</f>
        <v>0</v>
      </c>
    </row>
    <row r="31414" spans="13:16">
      <c r="M31414" s="49">
        <f>IF($A$4+314&gt;$B$4,"",$A$4+314)</f>
        <v>46337</v>
      </c>
      <c r="N31414" t="str">
        <f>IF(M31414="","",'Master Barang'!A8)</f>
        <v>PRL-007</v>
      </c>
      <c r="O31414" t="str">
        <f>IF(N31414="","",'Master Barang'!B8)</f>
        <v>plastik kresek besar merah 50pc</v>
      </c>
      <c r="P31414">
        <f>IF(OR(M31414="",N31414=""),"",SUMIFS('Barang Keluar'!$E:$E,'Barang Keluar'!$A:$A,M31414,'Barang Keluar'!$C:$C,N31414))</f>
        <v>0</v>
      </c>
    </row>
    <row r="31415" spans="13:16">
      <c r="M31415" s="49">
        <f>IF($A$4+314&gt;$B$4,"",$A$4+314)</f>
        <v>46337</v>
      </c>
      <c r="N31415" t="str">
        <f>IF(M31415="","",'Master Barang'!A9)</f>
        <v>PRL-008</v>
      </c>
      <c r="O31415" t="str">
        <f>IF(N31415="","",'Master Barang'!B9)</f>
        <v>lap besar</v>
      </c>
      <c r="P31415">
        <f>IF(OR(M31415="",N31415=""),"",SUMIFS('Barang Keluar'!$E:$E,'Barang Keluar'!$A:$A,M31415,'Barang Keluar'!$C:$C,N31415))</f>
        <v>0</v>
      </c>
    </row>
    <row r="31416" spans="13:16">
      <c r="M31416" s="49">
        <f>IF($A$4+314&gt;$B$4,"",$A$4+314)</f>
        <v>46337</v>
      </c>
      <c r="N31416" t="str">
        <f>IF(M31416="","",'Master Barang'!A10)</f>
        <v>PRL-009</v>
      </c>
      <c r="O31416" t="str">
        <f>IF(N31416="","",'Master Barang'!B10)</f>
        <v>lap microfiber</v>
      </c>
      <c r="P31416">
        <f>IF(OR(M31416="",N31416=""),"",SUMIFS('Barang Keluar'!$E:$E,'Barang Keluar'!$A:$A,M31416,'Barang Keluar'!$C:$C,N31416))</f>
        <v>0</v>
      </c>
    </row>
    <row r="31417" spans="13:16">
      <c r="M31417" s="49">
        <f>IF($A$4+314&gt;$B$4,"",$A$4+314)</f>
        <v>46337</v>
      </c>
      <c r="N31417" t="str">
        <f>IF(M31417="","",'Master Barang'!A11)</f>
        <v>PRL-010</v>
      </c>
      <c r="O31417" t="str">
        <f>IF(N31417="","",'Master Barang'!B11)</f>
        <v>lap kecil</v>
      </c>
      <c r="P31417">
        <f>IF(OR(M31417="",N31417=""),"",SUMIFS('Barang Keluar'!$E:$E,'Barang Keluar'!$A:$A,M31417,'Barang Keluar'!$C:$C,N31417))</f>
        <v>0</v>
      </c>
    </row>
    <row r="31418" spans="13:16">
      <c r="M31418" s="49">
        <f>IF($A$4+314&gt;$B$4,"",$A$4+314)</f>
        <v>46337</v>
      </c>
      <c r="N31418" t="str">
        <f>IF(M31418="","",'Master Barang'!A12)</f>
        <v>PRL-011</v>
      </c>
      <c r="O31418" t="str">
        <f>IF(N31418="","",'Master Barang'!B12)</f>
        <v>kanebo kecil</v>
      </c>
      <c r="P31418">
        <f>IF(OR(M31418="",N31418=""),"",SUMIFS('Barang Keluar'!$E:$E,'Barang Keluar'!$A:$A,M31418,'Barang Keluar'!$C:$C,N31418))</f>
        <v>0</v>
      </c>
    </row>
    <row r="31419" spans="13:16">
      <c r="M31419" s="49">
        <f>IF($A$4+314&gt;$B$4,"",$A$4+314)</f>
        <v>46337</v>
      </c>
      <c r="N31419" t="str">
        <f>IF(M31419="","",'Master Barang'!A13)</f>
        <v>PRL-012</v>
      </c>
      <c r="O31419" t="str">
        <f>IF(N31419="","",'Master Barang'!B13)</f>
        <v>plastik 1/4kg joyoboyo 100 lembar</v>
      </c>
      <c r="P31419">
        <f>IF(OR(M31419="",N31419=""),"",SUMIFS('Barang Keluar'!$E:$E,'Barang Keluar'!$A:$A,M31419,'Barang Keluar'!$C:$C,N31419))</f>
        <v>0</v>
      </c>
    </row>
    <row r="31420" spans="13:16">
      <c r="M31420" s="49">
        <f>IF($A$4+314&gt;$B$4,"",$A$4+314)</f>
        <v>46337</v>
      </c>
      <c r="N31420" t="str">
        <f>IF(M31420="","",'Master Barang'!A14)</f>
        <v>PRL-013</v>
      </c>
      <c r="O31420" t="str">
        <f>IF(N31420="","",'Master Barang'!B14)</f>
        <v>sarung tangan plastik kaka 100 pcs</v>
      </c>
      <c r="P31420">
        <f>IF(OR(M31420="",N31420=""),"",SUMIFS('Barang Keluar'!$E:$E,'Barang Keluar'!$A:$A,M31420,'Barang Keluar'!$C:$C,N31420))</f>
        <v>0</v>
      </c>
    </row>
    <row r="31421" spans="13:16">
      <c r="M31421" s="49">
        <f>IF($A$4+314&gt;$B$4,"",$A$4+314)</f>
        <v>46337</v>
      </c>
      <c r="N31421" t="str">
        <f>IF(M31421="","",'Master Barang'!A15)</f>
        <v>PRL-014</v>
      </c>
      <c r="O31421" t="str">
        <f>IF(N31421="","",'Master Barang'!B15)</f>
        <v>optima trashbag 80x100</v>
      </c>
      <c r="P31421">
        <f>IF(OR(M31421="",N31421=""),"",SUMIFS('Barang Keluar'!$E:$E,'Barang Keluar'!$A:$A,M31421,'Barang Keluar'!$C:$C,N31421))</f>
        <v>0</v>
      </c>
    </row>
    <row r="31422" spans="13:16">
      <c r="M31422" s="49">
        <f>IF($A$4+314&gt;$B$4,"",$A$4+314)</f>
        <v>46337</v>
      </c>
      <c r="N31422" t="str">
        <f>IF(M31422="","",'Master Barang'!A16)</f>
        <v>PRL-015</v>
      </c>
      <c r="O31422" t="str">
        <f>IF(N31422="","",'Master Barang'!B16)</f>
        <v>optima trashbag 60x100</v>
      </c>
      <c r="P31422">
        <f>IF(OR(M31422="",N31422=""),"",SUMIFS('Barang Keluar'!$E:$E,'Barang Keluar'!$A:$A,M31422,'Barang Keluar'!$C:$C,N31422))</f>
        <v>0</v>
      </c>
    </row>
    <row r="31423" spans="13:16">
      <c r="M31423" s="49">
        <f>IF($A$4+314&gt;$B$4,"",$A$4+314)</f>
        <v>46337</v>
      </c>
      <c r="N31423" t="str">
        <f>IF(M31423="","",'Master Barang'!A17)</f>
        <v>PRL-016</v>
      </c>
      <c r="O31423" t="str">
        <f>IF(N31423="","",'Master Barang'!B17)</f>
        <v>rajawali trashbag 30x40</v>
      </c>
      <c r="P31423">
        <f>IF(OR(M31423="",N31423=""),"",SUMIFS('Barang Keluar'!$E:$E,'Barang Keluar'!$A:$A,M31423,'Barang Keluar'!$C:$C,N31423))</f>
        <v>0</v>
      </c>
    </row>
    <row r="31424" spans="13:16">
      <c r="M31424" s="49">
        <f>IF($A$4+314&gt;$B$4,"",$A$4+314)</f>
        <v>46337</v>
      </c>
      <c r="N31424" t="str">
        <f>IF(M31424="","",'Master Barang'!A18)</f>
        <v>PRL-017</v>
      </c>
      <c r="O31424" t="str">
        <f>IF(N31424="","",'Master Barang'!B18)</f>
        <v>onemed masker biru 3 play 50 pcs</v>
      </c>
      <c r="P31424">
        <f>IF(OR(M31424="",N31424=""),"",SUMIFS('Barang Keluar'!$E:$E,'Barang Keluar'!$A:$A,M31424,'Barang Keluar'!$C:$C,N31424))</f>
        <v>0</v>
      </c>
    </row>
    <row r="31425" spans="13:16">
      <c r="M31425" s="49">
        <f>IF($A$4+314&gt;$B$4,"",$A$4+314)</f>
        <v>46337</v>
      </c>
      <c r="N31425" t="str">
        <f>IF(M31425="","",'Master Barang'!A19)</f>
        <v>PRL-018</v>
      </c>
      <c r="O31425" t="str">
        <f>IF(N31425="","",'Master Barang'!B19)</f>
        <v>onemed masker biru 3 play hijab 50 pcs</v>
      </c>
      <c r="P31425">
        <f>IF(OR(M31425="",N31425=""),"",SUMIFS('Barang Keluar'!$E:$E,'Barang Keluar'!$A:$A,M31425,'Barang Keluar'!$C:$C,N31425))</f>
        <v>0</v>
      </c>
    </row>
    <row r="31426" spans="13:16">
      <c r="M31426" s="49">
        <f>IF($A$4+314&gt;$B$4,"",$A$4+314)</f>
        <v>46337</v>
      </c>
      <c r="N31426" t="str">
        <f>IF(M31426="","",'Master Barang'!A20)</f>
        <v>PRL-019</v>
      </c>
      <c r="O31426" t="str">
        <f>IF(N31426="","",'Master Barang'!B20)</f>
        <v>neo health masker biru 3 play 50 pcs</v>
      </c>
      <c r="P31426">
        <f>IF(OR(M31426="",N31426=""),"",SUMIFS('Barang Keluar'!$E:$E,'Barang Keluar'!$A:$A,M31426,'Barang Keluar'!$C:$C,N31426))</f>
        <v>0</v>
      </c>
    </row>
    <row r="31427" spans="13:16">
      <c r="M31427" s="49">
        <f>IF($A$4+314&gt;$B$4,"",$A$4+314)</f>
        <v>46337</v>
      </c>
      <c r="N31427" t="str">
        <f>IF(M31427="","",'Master Barang'!A21)</f>
        <v>PRL-020</v>
      </c>
      <c r="O31427" t="str">
        <f>IF(N31427="","",'Master Barang'!B21)</f>
        <v>baymed masker hijau 3 play hijau 50 pcs</v>
      </c>
      <c r="P31427">
        <f>IF(OR(M31427="",N31427=""),"",SUMIFS('Barang Keluar'!$E:$E,'Barang Keluar'!$A:$A,M31427,'Barang Keluar'!$C:$C,N31427))</f>
        <v>0</v>
      </c>
    </row>
    <row r="31428" spans="13:16">
      <c r="M31428" s="49">
        <f>IF($A$4+314&gt;$B$4,"",$A$4+314)</f>
        <v>46337</v>
      </c>
      <c r="N31428" t="str">
        <f>IF(M31428="","",'Master Barang'!A22)</f>
        <v>PRL-021</v>
      </c>
      <c r="O31428" t="str">
        <f>IF(N31428="","",'Master Barang'!B22)</f>
        <v>altamed nurse cap penutup kepala 100 pcs</v>
      </c>
      <c r="P31428">
        <f>IF(OR(M31428="",N31428=""),"",SUMIFS('Barang Keluar'!$E:$E,'Barang Keluar'!$A:$A,M31428,'Barang Keluar'!$C:$C,N31428))</f>
        <v>0</v>
      </c>
    </row>
    <row r="31429" spans="13:16">
      <c r="M31429" s="49">
        <f>IF($A$4+314&gt;$B$4,"",$A$4+314)</f>
        <v>46337</v>
      </c>
      <c r="N31429" t="str">
        <f>IF(M31429="","",'Master Barang'!A23)</f>
        <v>PRL-022</v>
      </c>
      <c r="O31429" t="str">
        <f>IF(N31429="","",'Master Barang'!B23)</f>
        <v>sabun cuci tangan</v>
      </c>
      <c r="P31429">
        <f>IF(OR(M31429="",N31429=""),"",SUMIFS('Barang Keluar'!$E:$E,'Barang Keluar'!$A:$A,M31429,'Barang Keluar'!$C:$C,N31429))</f>
        <v>0</v>
      </c>
    </row>
    <row r="31430" spans="13:16">
      <c r="M31430" s="49">
        <f>IF($A$4+314&gt;$B$4,"",$A$4+314)</f>
        <v>46337</v>
      </c>
      <c r="N31430" t="str">
        <f>IF(M31430="","",'Master Barang'!A24)</f>
        <v>PRL-023</v>
      </c>
      <c r="O31430" t="str">
        <f>IF(N31430="","",'Master Barang'!B24)</f>
        <v>gayung kecil</v>
      </c>
      <c r="P31430">
        <f>IF(OR(M31430="",N31430=""),"",SUMIFS('Barang Keluar'!$E:$E,'Barang Keluar'!$A:$A,M31430,'Barang Keluar'!$C:$C,N31430))</f>
        <v>0</v>
      </c>
    </row>
    <row r="31431" spans="13:16">
      <c r="M31431" s="49">
        <f>IF($A$4+314&gt;$B$4,"",$A$4+314)</f>
        <v>46337</v>
      </c>
      <c r="N31431" t="str">
        <f>IF(M31431="","",'Master Barang'!A25)</f>
        <v>PRL-024</v>
      </c>
      <c r="O31431" t="str">
        <f>IF(N31431="","",'Master Barang'!B25)</f>
        <v>cikrak kecil</v>
      </c>
      <c r="P31431">
        <f>IF(OR(M31431="",N31431=""),"",SUMIFS('Barang Keluar'!$E:$E,'Barang Keluar'!$A:$A,M31431,'Barang Keluar'!$C:$C,N31431))</f>
        <v>0</v>
      </c>
    </row>
    <row r="31432" spans="13:16">
      <c r="M31432" s="49">
        <f>IF($A$4+314&gt;$B$4,"",$A$4+314)</f>
        <v>46337</v>
      </c>
      <c r="N31432" t="str">
        <f>IF(M31432="","",'Master Barang'!A26)</f>
        <v>PRL-025</v>
      </c>
      <c r="O31432" t="str">
        <f>IF(N31432="","",'Master Barang'!B26)</f>
        <v>petromax plastik kecil 12x24 100 lembar</v>
      </c>
      <c r="P31432">
        <f>IF(OR(M31432="",N31432=""),"",SUMIFS('Barang Keluar'!$E:$E,'Barang Keluar'!$A:$A,M31432,'Barang Keluar'!$C:$C,N31432))</f>
        <v>0</v>
      </c>
    </row>
    <row r="31433" spans="13:16">
      <c r="M31433" s="49">
        <f>IF($A$4+314&gt;$B$4,"",$A$4+314)</f>
        <v>46337</v>
      </c>
      <c r="N31433" t="str">
        <f>IF(M31433="","",'Master Barang'!A27)</f>
        <v>PRL-026</v>
      </c>
      <c r="O31433" t="str">
        <f>IF(N31433="","",'Master Barang'!B27)</f>
        <v>lancar kresek kecil bening </v>
      </c>
      <c r="P31433">
        <f>IF(OR(M31433="",N31433=""),"",SUMIFS('Barang Keluar'!$E:$E,'Barang Keluar'!$A:$A,M31433,'Barang Keluar'!$C:$C,N31433))</f>
        <v>0</v>
      </c>
    </row>
    <row r="31434" spans="13:16">
      <c r="M31434" s="49">
        <f>IF($A$4+314&gt;$B$4,"",$A$4+314)</f>
        <v>46337</v>
      </c>
      <c r="N31434" t="str">
        <f>IF(M31434="","",'Master Barang'!A28)</f>
        <v>PRL-027</v>
      </c>
      <c r="O31434" t="str">
        <f>IF(N31434="","",'Master Barang'!B28)</f>
        <v>kresek klin warna warni kecil</v>
      </c>
      <c r="P31434">
        <f>IF(OR(M31434="",N31434=""),"",SUMIFS('Barang Keluar'!$E:$E,'Barang Keluar'!$A:$A,M31434,'Barang Keluar'!$C:$C,N31434))</f>
        <v>0</v>
      </c>
    </row>
    <row r="31435" spans="13:16">
      <c r="M31435" s="49">
        <f>IF($A$4+314&gt;$B$4,"",$A$4+314)</f>
        <v>46337</v>
      </c>
      <c r="N31435" t="str">
        <f>IF(M31435="","",'Master Barang'!A29)</f>
        <v>PRL-028</v>
      </c>
      <c r="O31435" t="str">
        <f>IF(N31435="","",'Master Barang'!B29)</f>
        <v>ctik plastik 7x10 100 pcs</v>
      </c>
      <c r="P31435">
        <f>IF(OR(M31435="",N31435=""),"",SUMIFS('Barang Keluar'!$E:$E,'Barang Keluar'!$A:$A,M31435,'Barang Keluar'!$C:$C,N31435))</f>
        <v>0</v>
      </c>
    </row>
    <row r="31436" spans="13:16">
      <c r="M31436" s="49">
        <f>IF($A$4+314&gt;$B$4,"",$A$4+314)</f>
        <v>46337</v>
      </c>
      <c r="N31436" t="str">
        <f>IF(M31436="","",'Master Barang'!A30)</f>
        <v>PRL-029</v>
      </c>
      <c r="O31436" t="str">
        <f>IF(N31436="","",'Master Barang'!B30)</f>
        <v>ctik plastik 6x10 100 pcs</v>
      </c>
      <c r="P31436">
        <f>IF(OR(M31436="",N31436=""),"",SUMIFS('Barang Keluar'!$E:$E,'Barang Keluar'!$A:$A,M31436,'Barang Keluar'!$C:$C,N31436))</f>
        <v>0</v>
      </c>
    </row>
    <row r="31437" spans="13:16">
      <c r="M31437" s="49">
        <f>IF($A$4+314&gt;$B$4,"",$A$4+314)</f>
        <v>46337</v>
      </c>
      <c r="N31437" t="str">
        <f>IF(M31437="","",'Master Barang'!A31)</f>
        <v>PRL-030</v>
      </c>
      <c r="O31437" t="str">
        <f>IF(N31437="","",'Master Barang'!B31)</f>
        <v>klip plastik 25x16 100 pcs</v>
      </c>
      <c r="P31437">
        <f>IF(OR(M31437="",N31437=""),"",SUMIFS('Barang Keluar'!$E:$E,'Barang Keluar'!$A:$A,M31437,'Barang Keluar'!$C:$C,N31437))</f>
        <v>0</v>
      </c>
    </row>
    <row r="31438" spans="13:16">
      <c r="M31438" s="49">
        <f>IF($A$4+314&gt;$B$4,"",$A$4+314)</f>
        <v>46337</v>
      </c>
      <c r="N31438" t="str">
        <f>IF(M31438="","",'Master Barang'!A32)</f>
        <v>PRL-031</v>
      </c>
      <c r="O31438" t="str">
        <f>IF(N31438="","",'Master Barang'!B32)</f>
        <v>tempat saus 20 ml</v>
      </c>
      <c r="P31438">
        <f>IF(OR(M31438="",N31438=""),"",SUMIFS('Barang Keluar'!$E:$E,'Barang Keluar'!$A:$A,M31438,'Barang Keluar'!$C:$C,N31438))</f>
        <v>0</v>
      </c>
    </row>
    <row r="31439" spans="13:16">
      <c r="M31439" s="49">
        <f>IF($A$4+314&gt;$B$4,"",$A$4+314)</f>
        <v>46337</v>
      </c>
      <c r="N31439" t="str">
        <f>IF(M31439="","",'Master Barang'!A33)</f>
        <v>PRL-032</v>
      </c>
      <c r="O31439" t="str">
        <f>IF(N31439="","",'Master Barang'!B33)</f>
        <v>plastik packaging ag box uk sedang</v>
      </c>
      <c r="P31439">
        <f>IF(OR(M31439="",N31439=""),"",SUMIFS('Barang Keluar'!$E:$E,'Barang Keluar'!$A:$A,M31439,'Barang Keluar'!$C:$C,N31439))</f>
        <v>0</v>
      </c>
    </row>
    <row r="31440" spans="13:16">
      <c r="M31440" s="49">
        <f>IF($A$4+314&gt;$B$4,"",$A$4+314)</f>
        <v>46337</v>
      </c>
      <c r="N31440" t="str">
        <f>IF(M31440="","",'Master Barang'!A34)</f>
        <v>PRL-033</v>
      </c>
      <c r="O31440">
        <f>IF(N31440="","",'Master Barang'!B34)</f>
        <v>0</v>
      </c>
      <c r="P31440">
        <f>IF(OR(M31440="",N31440=""),"",SUMIFS('Barang Keluar'!$E:$E,'Barang Keluar'!$A:$A,M31440,'Barang Keluar'!$C:$C,N31440))</f>
        <v>0</v>
      </c>
    </row>
    <row r="31441" spans="13:16">
      <c r="M31441" s="49">
        <f>IF($A$4+314&gt;$B$4,"",$A$4+314)</f>
        <v>46337</v>
      </c>
      <c r="N31441">
        <f>IF(M31441="","",'Master Barang'!A35)</f>
        <v>0</v>
      </c>
      <c r="O31441">
        <f>IF(N31441="","",'Master Barang'!B35)</f>
        <v>0</v>
      </c>
      <c r="P31441">
        <f>IF(OR(M31441="",N31441=""),"",SUMIFS('Barang Keluar'!$E:$E,'Barang Keluar'!$A:$A,M31441,'Barang Keluar'!$C:$C,N31441))</f>
        <v>0</v>
      </c>
    </row>
    <row r="31442" spans="13:16">
      <c r="M31442" s="49">
        <f>IF($A$4+314&gt;$B$4,"",$A$4+314)</f>
        <v>46337</v>
      </c>
      <c r="N31442">
        <f>IF(M31442="","",'Master Barang'!A36)</f>
        <v>0</v>
      </c>
      <c r="O31442">
        <f>IF(N31442="","",'Master Barang'!B36)</f>
        <v>0</v>
      </c>
      <c r="P31442">
        <f>IF(OR(M31442="",N31442=""),"",SUMIFS('Barang Keluar'!$E:$E,'Barang Keluar'!$A:$A,M31442,'Barang Keluar'!$C:$C,N31442))</f>
        <v>0</v>
      </c>
    </row>
    <row r="31443" spans="13:16">
      <c r="M31443" s="49">
        <f>IF($A$4+314&gt;$B$4,"",$A$4+314)</f>
        <v>46337</v>
      </c>
      <c r="N31443">
        <f>IF(M31443="","",'Master Barang'!A37)</f>
        <v>0</v>
      </c>
      <c r="O31443">
        <f>IF(N31443="","",'Master Barang'!B37)</f>
        <v>0</v>
      </c>
      <c r="P31443">
        <f>IF(OR(M31443="",N31443=""),"",SUMIFS('Barang Keluar'!$E:$E,'Barang Keluar'!$A:$A,M31443,'Barang Keluar'!$C:$C,N31443))</f>
        <v>0</v>
      </c>
    </row>
    <row r="31444" spans="13:16">
      <c r="M31444" s="49">
        <f>IF($A$4+314&gt;$B$4,"",$A$4+314)</f>
        <v>46337</v>
      </c>
      <c r="N31444">
        <f>IF(M31444="","",'Master Barang'!A38)</f>
        <v>0</v>
      </c>
      <c r="O31444">
        <f>IF(N31444="","",'Master Barang'!B38)</f>
        <v>0</v>
      </c>
      <c r="P31444">
        <f>IF(OR(M31444="",N31444=""),"",SUMIFS('Barang Keluar'!$E:$E,'Barang Keluar'!$A:$A,M31444,'Barang Keluar'!$C:$C,N31444))</f>
        <v>0</v>
      </c>
    </row>
    <row r="31445" spans="13:16">
      <c r="M31445" s="49">
        <f>IF($A$4+314&gt;$B$4,"",$A$4+314)</f>
        <v>46337</v>
      </c>
      <c r="N31445">
        <f>IF(M31445="","",'Master Barang'!A39)</f>
        <v>0</v>
      </c>
      <c r="O31445">
        <f>IF(N31445="","",'Master Barang'!B39)</f>
        <v>0</v>
      </c>
      <c r="P31445">
        <f>IF(OR(M31445="",N31445=""),"",SUMIFS('Barang Keluar'!$E:$E,'Barang Keluar'!$A:$A,M31445,'Barang Keluar'!$C:$C,N31445))</f>
        <v>0</v>
      </c>
    </row>
    <row r="31446" spans="13:16">
      <c r="M31446" s="49">
        <f>IF($A$4+314&gt;$B$4,"",$A$4+314)</f>
        <v>46337</v>
      </c>
      <c r="N31446">
        <f>IF(M31446="","",'Master Barang'!A40)</f>
        <v>0</v>
      </c>
      <c r="O31446">
        <f>IF(N31446="","",'Master Barang'!B40)</f>
        <v>0</v>
      </c>
      <c r="P31446">
        <f>IF(OR(M31446="",N31446=""),"",SUMIFS('Barang Keluar'!$E:$E,'Barang Keluar'!$A:$A,M31446,'Barang Keluar'!$C:$C,N31446))</f>
        <v>0</v>
      </c>
    </row>
    <row r="31447" spans="13:16">
      <c r="M31447" s="49">
        <f>IF($A$4+314&gt;$B$4,"",$A$4+314)</f>
        <v>46337</v>
      </c>
      <c r="N31447">
        <f>IF(M31447="","",'Master Barang'!A41)</f>
        <v>0</v>
      </c>
      <c r="O31447">
        <f>IF(N31447="","",'Master Barang'!B41)</f>
        <v>0</v>
      </c>
      <c r="P31447">
        <f>IF(OR(M31447="",N31447=""),"",SUMIFS('Barang Keluar'!$E:$E,'Barang Keluar'!$A:$A,M31447,'Barang Keluar'!$C:$C,N31447))</f>
        <v>0</v>
      </c>
    </row>
    <row r="31448" spans="13:16">
      <c r="M31448" s="49">
        <f>IF($A$4+314&gt;$B$4,"",$A$4+314)</f>
        <v>46337</v>
      </c>
      <c r="N31448">
        <f>IF(M31448="","",'Master Barang'!A42)</f>
        <v>0</v>
      </c>
      <c r="O31448">
        <f>IF(N31448="","",'Master Barang'!B42)</f>
        <v>0</v>
      </c>
      <c r="P31448">
        <f>IF(OR(M31448="",N31448=""),"",SUMIFS('Barang Keluar'!$E:$E,'Barang Keluar'!$A:$A,M31448,'Barang Keluar'!$C:$C,N31448))</f>
        <v>0</v>
      </c>
    </row>
    <row r="31449" spans="13:16">
      <c r="M31449" s="49">
        <f>IF($A$4+314&gt;$B$4,"",$A$4+314)</f>
        <v>46337</v>
      </c>
      <c r="N31449">
        <f>IF(M31449="","",'Master Barang'!A43)</f>
        <v>0</v>
      </c>
      <c r="O31449">
        <f>IF(N31449="","",'Master Barang'!B43)</f>
        <v>0</v>
      </c>
      <c r="P31449">
        <f>IF(OR(M31449="",N31449=""),"",SUMIFS('Barang Keluar'!$E:$E,'Barang Keluar'!$A:$A,M31449,'Barang Keluar'!$C:$C,N31449))</f>
        <v>0</v>
      </c>
    </row>
    <row r="31450" spans="13:16">
      <c r="M31450" s="49">
        <f>IF($A$4+314&gt;$B$4,"",$A$4+314)</f>
        <v>46337</v>
      </c>
      <c r="N31450">
        <f>IF(M31450="","",'Master Barang'!A44)</f>
        <v>0</v>
      </c>
      <c r="O31450">
        <f>IF(N31450="","",'Master Barang'!B44)</f>
        <v>0</v>
      </c>
      <c r="P31450">
        <f>IF(OR(M31450="",N31450=""),"",SUMIFS('Barang Keluar'!$E:$E,'Barang Keluar'!$A:$A,M31450,'Barang Keluar'!$C:$C,N31450))</f>
        <v>0</v>
      </c>
    </row>
    <row r="31451" spans="13:16">
      <c r="M31451" s="49">
        <f>IF($A$4+314&gt;$B$4,"",$A$4+314)</f>
        <v>46337</v>
      </c>
      <c r="N31451">
        <f>IF(M31451="","",'Master Barang'!A45)</f>
        <v>0</v>
      </c>
      <c r="O31451">
        <f>IF(N31451="","",'Master Barang'!B45)</f>
        <v>0</v>
      </c>
      <c r="P31451">
        <f>IF(OR(M31451="",N31451=""),"",SUMIFS('Barang Keluar'!$E:$E,'Barang Keluar'!$A:$A,M31451,'Barang Keluar'!$C:$C,N31451))</f>
        <v>0</v>
      </c>
    </row>
    <row r="31452" spans="13:16">
      <c r="M31452" s="49">
        <f>IF($A$4+314&gt;$B$4,"",$A$4+314)</f>
        <v>46337</v>
      </c>
      <c r="N31452">
        <f>IF(M31452="","",'Master Barang'!A46)</f>
        <v>0</v>
      </c>
      <c r="O31452">
        <f>IF(N31452="","",'Master Barang'!B46)</f>
        <v>0</v>
      </c>
      <c r="P31452">
        <f>IF(OR(M31452="",N31452=""),"",SUMIFS('Barang Keluar'!$E:$E,'Barang Keluar'!$A:$A,M31452,'Barang Keluar'!$C:$C,N31452))</f>
        <v>0</v>
      </c>
    </row>
    <row r="31453" spans="13:16">
      <c r="M31453" s="49">
        <f>IF($A$4+314&gt;$B$4,"",$A$4+314)</f>
        <v>46337</v>
      </c>
      <c r="N31453">
        <f>IF(M31453="","",'Master Barang'!A47)</f>
        <v>0</v>
      </c>
      <c r="O31453">
        <f>IF(N31453="","",'Master Barang'!B47)</f>
        <v>0</v>
      </c>
      <c r="P31453">
        <f>IF(OR(M31453="",N31453=""),"",SUMIFS('Barang Keluar'!$E:$E,'Barang Keluar'!$A:$A,M31453,'Barang Keluar'!$C:$C,N31453))</f>
        <v>0</v>
      </c>
    </row>
    <row r="31454" spans="13:16">
      <c r="M31454" s="49">
        <f>IF($A$4+314&gt;$B$4,"",$A$4+314)</f>
        <v>46337</v>
      </c>
      <c r="N31454">
        <f>IF(M31454="","",'Master Barang'!A48)</f>
        <v>0</v>
      </c>
      <c r="O31454">
        <f>IF(N31454="","",'Master Barang'!B48)</f>
        <v>0</v>
      </c>
      <c r="P31454">
        <f>IF(OR(M31454="",N31454=""),"",SUMIFS('Barang Keluar'!$E:$E,'Barang Keluar'!$A:$A,M31454,'Barang Keluar'!$C:$C,N31454))</f>
        <v>0</v>
      </c>
    </row>
    <row r="31455" spans="13:16">
      <c r="M31455" s="49">
        <f>IF($A$4+314&gt;$B$4,"",$A$4+314)</f>
        <v>46337</v>
      </c>
      <c r="N31455">
        <f>IF(M31455="","",'Master Barang'!A49)</f>
        <v>0</v>
      </c>
      <c r="O31455">
        <f>IF(N31455="","",'Master Barang'!B49)</f>
        <v>0</v>
      </c>
      <c r="P31455">
        <f>IF(OR(M31455="",N31455=""),"",SUMIFS('Barang Keluar'!$E:$E,'Barang Keluar'!$A:$A,M31455,'Barang Keluar'!$C:$C,N31455))</f>
        <v>0</v>
      </c>
    </row>
    <row r="31456" spans="13:16">
      <c r="M31456" s="49">
        <f>IF($A$4+314&gt;$B$4,"",$A$4+314)</f>
        <v>46337</v>
      </c>
      <c r="N31456">
        <f>IF(M31456="","",'Master Barang'!A50)</f>
        <v>0</v>
      </c>
      <c r="O31456">
        <f>IF(N31456="","",'Master Barang'!B50)</f>
        <v>0</v>
      </c>
      <c r="P31456">
        <f>IF(OR(M31456="",N31456=""),"",SUMIFS('Barang Keluar'!$E:$E,'Barang Keluar'!$A:$A,M31456,'Barang Keluar'!$C:$C,N31456))</f>
        <v>0</v>
      </c>
    </row>
    <row r="31457" spans="13:16">
      <c r="M31457" s="49">
        <f>IF($A$4+314&gt;$B$4,"",$A$4+314)</f>
        <v>46337</v>
      </c>
      <c r="N31457">
        <f>IF(M31457="","",'Master Barang'!A51)</f>
        <v>0</v>
      </c>
      <c r="O31457">
        <f>IF(N31457="","",'Master Barang'!B51)</f>
        <v>0</v>
      </c>
      <c r="P31457">
        <f>IF(OR(M31457="",N31457=""),"",SUMIFS('Barang Keluar'!$E:$E,'Barang Keluar'!$A:$A,M31457,'Barang Keluar'!$C:$C,N31457))</f>
        <v>0</v>
      </c>
    </row>
    <row r="31458" spans="13:16">
      <c r="M31458" s="49">
        <f>IF($A$4+314&gt;$B$4,"",$A$4+314)</f>
        <v>46337</v>
      </c>
      <c r="N31458">
        <f>IF(M31458="","",'Master Barang'!A52)</f>
        <v>0</v>
      </c>
      <c r="O31458">
        <f>IF(N31458="","",'Master Barang'!B52)</f>
        <v>0</v>
      </c>
      <c r="P31458">
        <f>IF(OR(M31458="",N31458=""),"",SUMIFS('Barang Keluar'!$E:$E,'Barang Keluar'!$A:$A,M31458,'Barang Keluar'!$C:$C,N31458))</f>
        <v>0</v>
      </c>
    </row>
    <row r="31459" spans="13:16">
      <c r="M31459" s="49">
        <f>IF($A$4+314&gt;$B$4,"",$A$4+314)</f>
        <v>46337</v>
      </c>
      <c r="N31459">
        <f>IF(M31459="","",'Master Barang'!A53)</f>
        <v>0</v>
      </c>
      <c r="O31459">
        <f>IF(N31459="","",'Master Barang'!B53)</f>
        <v>0</v>
      </c>
      <c r="P31459">
        <f>IF(OR(M31459="",N31459=""),"",SUMIFS('Barang Keluar'!$E:$E,'Barang Keluar'!$A:$A,M31459,'Barang Keluar'!$C:$C,N31459))</f>
        <v>0</v>
      </c>
    </row>
    <row r="31460" spans="13:16">
      <c r="M31460" s="49">
        <f>IF($A$4+314&gt;$B$4,"",$A$4+314)</f>
        <v>46337</v>
      </c>
      <c r="N31460">
        <f>IF(M31460="","",'Master Barang'!A54)</f>
        <v>0</v>
      </c>
      <c r="O31460">
        <f>IF(N31460="","",'Master Barang'!B54)</f>
        <v>0</v>
      </c>
      <c r="P31460">
        <f>IF(OR(M31460="",N31460=""),"",SUMIFS('Barang Keluar'!$E:$E,'Barang Keluar'!$A:$A,M31460,'Barang Keluar'!$C:$C,N31460))</f>
        <v>0</v>
      </c>
    </row>
    <row r="31461" spans="13:16">
      <c r="M31461" s="49">
        <f>IF($A$4+314&gt;$B$4,"",$A$4+314)</f>
        <v>46337</v>
      </c>
      <c r="N31461">
        <f>IF(M31461="","",'Master Barang'!A55)</f>
        <v>0</v>
      </c>
      <c r="O31461">
        <f>IF(N31461="","",'Master Barang'!B55)</f>
        <v>0</v>
      </c>
      <c r="P31461">
        <f>IF(OR(M31461="",N31461=""),"",SUMIFS('Barang Keluar'!$E:$E,'Barang Keluar'!$A:$A,M31461,'Barang Keluar'!$C:$C,N31461))</f>
        <v>0</v>
      </c>
    </row>
    <row r="31462" spans="13:16">
      <c r="M31462" s="49">
        <f>IF($A$4+314&gt;$B$4,"",$A$4+314)</f>
        <v>46337</v>
      </c>
      <c r="N31462">
        <f>IF(M31462="","",'Master Barang'!A56)</f>
        <v>0</v>
      </c>
      <c r="O31462">
        <f>IF(N31462="","",'Master Barang'!B56)</f>
        <v>0</v>
      </c>
      <c r="P31462">
        <f>IF(OR(M31462="",N31462=""),"",SUMIFS('Barang Keluar'!$E:$E,'Barang Keluar'!$A:$A,M31462,'Barang Keluar'!$C:$C,N31462))</f>
        <v>0</v>
      </c>
    </row>
    <row r="31463" spans="13:16">
      <c r="M31463" s="49">
        <f>IF($A$4+314&gt;$B$4,"",$A$4+314)</f>
        <v>46337</v>
      </c>
      <c r="N31463">
        <f>IF(M31463="","",'Master Barang'!A57)</f>
        <v>0</v>
      </c>
      <c r="O31463">
        <f>IF(N31463="","",'Master Barang'!B57)</f>
        <v>0</v>
      </c>
      <c r="P31463">
        <f>IF(OR(M31463="",N31463=""),"",SUMIFS('Barang Keluar'!$E:$E,'Barang Keluar'!$A:$A,M31463,'Barang Keluar'!$C:$C,N31463))</f>
        <v>0</v>
      </c>
    </row>
    <row r="31464" spans="13:16">
      <c r="M31464" s="49">
        <f>IF($A$4+314&gt;$B$4,"",$A$4+314)</f>
        <v>46337</v>
      </c>
      <c r="N31464">
        <f>IF(M31464="","",'Master Barang'!A58)</f>
        <v>0</v>
      </c>
      <c r="O31464">
        <f>IF(N31464="","",'Master Barang'!B58)</f>
        <v>0</v>
      </c>
      <c r="P31464">
        <f>IF(OR(M31464="",N31464=""),"",SUMIFS('Barang Keluar'!$E:$E,'Barang Keluar'!$A:$A,M31464,'Barang Keluar'!$C:$C,N31464))</f>
        <v>0</v>
      </c>
    </row>
    <row r="31465" spans="13:16">
      <c r="M31465" s="49">
        <f>IF($A$4+314&gt;$B$4,"",$A$4+314)</f>
        <v>46337</v>
      </c>
      <c r="N31465">
        <f>IF(M31465="","",'Master Barang'!A59)</f>
        <v>0</v>
      </c>
      <c r="O31465">
        <f>IF(N31465="","",'Master Barang'!B59)</f>
        <v>0</v>
      </c>
      <c r="P31465">
        <f>IF(OR(M31465="",N31465=""),"",SUMIFS('Barang Keluar'!$E:$E,'Barang Keluar'!$A:$A,M31465,'Barang Keluar'!$C:$C,N31465))</f>
        <v>0</v>
      </c>
    </row>
    <row r="31466" spans="13:16">
      <c r="M31466" s="49">
        <f>IF($A$4+314&gt;$B$4,"",$A$4+314)</f>
        <v>46337</v>
      </c>
      <c r="N31466">
        <f>IF(M31466="","",'Master Barang'!A60)</f>
        <v>0</v>
      </c>
      <c r="O31466">
        <f>IF(N31466="","",'Master Barang'!B60)</f>
        <v>0</v>
      </c>
      <c r="P31466">
        <f>IF(OR(M31466="",N31466=""),"",SUMIFS('Barang Keluar'!$E:$E,'Barang Keluar'!$A:$A,M31466,'Barang Keluar'!$C:$C,N31466))</f>
        <v>0</v>
      </c>
    </row>
    <row r="31467" spans="13:16">
      <c r="M31467" s="49">
        <f>IF($A$4+314&gt;$B$4,"",$A$4+314)</f>
        <v>46337</v>
      </c>
      <c r="N31467">
        <f>IF(M31467="","",'Master Barang'!A61)</f>
        <v>0</v>
      </c>
      <c r="O31467">
        <f>IF(N31467="","",'Master Barang'!B61)</f>
        <v>0</v>
      </c>
      <c r="P31467">
        <f>IF(OR(M31467="",N31467=""),"",SUMIFS('Barang Keluar'!$E:$E,'Barang Keluar'!$A:$A,M31467,'Barang Keluar'!$C:$C,N31467))</f>
        <v>0</v>
      </c>
    </row>
    <row r="31468" spans="13:16">
      <c r="M31468" s="49">
        <f>IF($A$4+314&gt;$B$4,"",$A$4+314)</f>
        <v>46337</v>
      </c>
      <c r="N31468">
        <f>IF(M31468="","",'Master Barang'!A62)</f>
        <v>0</v>
      </c>
      <c r="O31468">
        <f>IF(N31468="","",'Master Barang'!B62)</f>
        <v>0</v>
      </c>
      <c r="P31468">
        <f>IF(OR(M31468="",N31468=""),"",SUMIFS('Barang Keluar'!$E:$E,'Barang Keluar'!$A:$A,M31468,'Barang Keluar'!$C:$C,N31468))</f>
        <v>0</v>
      </c>
    </row>
    <row r="31469" spans="13:16">
      <c r="M31469" s="49">
        <f>IF($A$4+314&gt;$B$4,"",$A$4+314)</f>
        <v>46337</v>
      </c>
      <c r="N31469">
        <f>IF(M31469="","",'Master Barang'!A63)</f>
        <v>0</v>
      </c>
      <c r="O31469">
        <f>IF(N31469="","",'Master Barang'!B63)</f>
        <v>0</v>
      </c>
      <c r="P31469">
        <f>IF(OR(M31469="",N31469=""),"",SUMIFS('Barang Keluar'!$E:$E,'Barang Keluar'!$A:$A,M31469,'Barang Keluar'!$C:$C,N31469))</f>
        <v>0</v>
      </c>
    </row>
    <row r="31470" spans="13:16">
      <c r="M31470" s="49">
        <f>IF($A$4+314&gt;$B$4,"",$A$4+314)</f>
        <v>46337</v>
      </c>
      <c r="N31470">
        <f>IF(M31470="","",'Master Barang'!A64)</f>
        <v>0</v>
      </c>
      <c r="O31470">
        <f>IF(N31470="","",'Master Barang'!B64)</f>
        <v>0</v>
      </c>
      <c r="P31470">
        <f>IF(OR(M31470="",N31470=""),"",SUMIFS('Barang Keluar'!$E:$E,'Barang Keluar'!$A:$A,M31470,'Barang Keluar'!$C:$C,N31470))</f>
        <v>0</v>
      </c>
    </row>
    <row r="31471" spans="13:16">
      <c r="M31471" s="49">
        <f>IF($A$4+314&gt;$B$4,"",$A$4+314)</f>
        <v>46337</v>
      </c>
      <c r="N31471">
        <f>IF(M31471="","",'Master Barang'!A65)</f>
        <v>0</v>
      </c>
      <c r="O31471">
        <f>IF(N31471="","",'Master Barang'!B65)</f>
        <v>0</v>
      </c>
      <c r="P31471">
        <f>IF(OR(M31471="",N31471=""),"",SUMIFS('Barang Keluar'!$E:$E,'Barang Keluar'!$A:$A,M31471,'Barang Keluar'!$C:$C,N31471))</f>
        <v>0</v>
      </c>
    </row>
    <row r="31472" spans="13:16">
      <c r="M31472" s="49">
        <f>IF($A$4+314&gt;$B$4,"",$A$4+314)</f>
        <v>46337</v>
      </c>
      <c r="N31472">
        <f>IF(M31472="","",'Master Barang'!A66)</f>
        <v>0</v>
      </c>
      <c r="O31472">
        <f>IF(N31472="","",'Master Barang'!B66)</f>
        <v>0</v>
      </c>
      <c r="P31472">
        <f>IF(OR(M31472="",N31472=""),"",SUMIFS('Barang Keluar'!$E:$E,'Barang Keluar'!$A:$A,M31472,'Barang Keluar'!$C:$C,N31472))</f>
        <v>0</v>
      </c>
    </row>
    <row r="31473" spans="13:16">
      <c r="M31473" s="49">
        <f>IF($A$4+314&gt;$B$4,"",$A$4+314)</f>
        <v>46337</v>
      </c>
      <c r="N31473">
        <f>IF(M31473="","",'Master Barang'!A67)</f>
        <v>0</v>
      </c>
      <c r="O31473">
        <f>IF(N31473="","",'Master Barang'!B67)</f>
        <v>0</v>
      </c>
      <c r="P31473">
        <f>IF(OR(M31473="",N31473=""),"",SUMIFS('Barang Keluar'!$E:$E,'Barang Keluar'!$A:$A,M31473,'Barang Keluar'!$C:$C,N31473))</f>
        <v>0</v>
      </c>
    </row>
    <row r="31474" spans="13:16">
      <c r="M31474" s="49">
        <f>IF($A$4+314&gt;$B$4,"",$A$4+314)</f>
        <v>46337</v>
      </c>
      <c r="N31474">
        <f>IF(M31474="","",'Master Barang'!A68)</f>
        <v>0</v>
      </c>
      <c r="O31474">
        <f>IF(N31474="","",'Master Barang'!B68)</f>
        <v>0</v>
      </c>
      <c r="P31474">
        <f>IF(OR(M31474="",N31474=""),"",SUMIFS('Barang Keluar'!$E:$E,'Barang Keluar'!$A:$A,M31474,'Barang Keluar'!$C:$C,N31474))</f>
        <v>0</v>
      </c>
    </row>
    <row r="31475" spans="13:16">
      <c r="M31475" s="49">
        <f>IF($A$4+314&gt;$B$4,"",$A$4+314)</f>
        <v>46337</v>
      </c>
      <c r="N31475">
        <f>IF(M31475="","",'Master Barang'!A69)</f>
        <v>0</v>
      </c>
      <c r="O31475">
        <f>IF(N31475="","",'Master Barang'!B69)</f>
        <v>0</v>
      </c>
      <c r="P31475">
        <f>IF(OR(M31475="",N31475=""),"",SUMIFS('Barang Keluar'!$E:$E,'Barang Keluar'!$A:$A,M31475,'Barang Keluar'!$C:$C,N31475))</f>
        <v>0</v>
      </c>
    </row>
    <row r="31476" spans="13:16">
      <c r="M31476" s="49">
        <f>IF($A$4+314&gt;$B$4,"",$A$4+314)</f>
        <v>46337</v>
      </c>
      <c r="N31476">
        <f>IF(M31476="","",'Master Barang'!A70)</f>
        <v>0</v>
      </c>
      <c r="O31476">
        <f>IF(N31476="","",'Master Barang'!B70)</f>
        <v>0</v>
      </c>
      <c r="P31476">
        <f>IF(OR(M31476="",N31476=""),"",SUMIFS('Barang Keluar'!$E:$E,'Barang Keluar'!$A:$A,M31476,'Barang Keluar'!$C:$C,N31476))</f>
        <v>0</v>
      </c>
    </row>
    <row r="31477" spans="13:16">
      <c r="M31477" s="49">
        <f>IF($A$4+314&gt;$B$4,"",$A$4+314)</f>
        <v>46337</v>
      </c>
      <c r="N31477">
        <f>IF(M31477="","",'Master Barang'!A71)</f>
        <v>0</v>
      </c>
      <c r="O31477">
        <f>IF(N31477="","",'Master Barang'!B71)</f>
        <v>0</v>
      </c>
      <c r="P31477">
        <f>IF(OR(M31477="",N31477=""),"",SUMIFS('Barang Keluar'!$E:$E,'Barang Keluar'!$A:$A,M31477,'Barang Keluar'!$C:$C,N31477))</f>
        <v>0</v>
      </c>
    </row>
    <row r="31478" spans="13:16">
      <c r="M31478" s="49">
        <f>IF($A$4+314&gt;$B$4,"",$A$4+314)</f>
        <v>46337</v>
      </c>
      <c r="N31478">
        <f>IF(M31478="","",'Master Barang'!A72)</f>
        <v>0</v>
      </c>
      <c r="O31478">
        <f>IF(N31478="","",'Master Barang'!B72)</f>
        <v>0</v>
      </c>
      <c r="P31478">
        <f>IF(OR(M31478="",N31478=""),"",SUMIFS('Barang Keluar'!$E:$E,'Barang Keluar'!$A:$A,M31478,'Barang Keluar'!$C:$C,N31478))</f>
        <v>0</v>
      </c>
    </row>
    <row r="31479" spans="13:16">
      <c r="M31479" s="49">
        <f>IF($A$4+314&gt;$B$4,"",$A$4+314)</f>
        <v>46337</v>
      </c>
      <c r="N31479">
        <f>IF(M31479="","",'Master Barang'!A73)</f>
        <v>0</v>
      </c>
      <c r="O31479">
        <f>IF(N31479="","",'Master Barang'!B73)</f>
        <v>0</v>
      </c>
      <c r="P31479">
        <f>IF(OR(M31479="",N31479=""),"",SUMIFS('Barang Keluar'!$E:$E,'Barang Keluar'!$A:$A,M31479,'Barang Keluar'!$C:$C,N31479))</f>
        <v>0</v>
      </c>
    </row>
    <row r="31480" spans="13:16">
      <c r="M31480" s="49">
        <f>IF($A$4+314&gt;$B$4,"",$A$4+314)</f>
        <v>46337</v>
      </c>
      <c r="N31480">
        <f>IF(M31480="","",'Master Barang'!A74)</f>
        <v>0</v>
      </c>
      <c r="O31480">
        <f>IF(N31480="","",'Master Barang'!B74)</f>
        <v>0</v>
      </c>
      <c r="P31480">
        <f>IF(OR(M31480="",N31480=""),"",SUMIFS('Barang Keluar'!$E:$E,'Barang Keluar'!$A:$A,M31480,'Barang Keluar'!$C:$C,N31480))</f>
        <v>0</v>
      </c>
    </row>
    <row r="31481" spans="13:16">
      <c r="M31481" s="49">
        <f>IF($A$4+314&gt;$B$4,"",$A$4+314)</f>
        <v>46337</v>
      </c>
      <c r="N31481">
        <f>IF(M31481="","",'Master Barang'!A75)</f>
        <v>0</v>
      </c>
      <c r="O31481">
        <f>IF(N31481="","",'Master Barang'!B75)</f>
        <v>0</v>
      </c>
      <c r="P31481">
        <f>IF(OR(M31481="",N31481=""),"",SUMIFS('Barang Keluar'!$E:$E,'Barang Keluar'!$A:$A,M31481,'Barang Keluar'!$C:$C,N31481))</f>
        <v>0</v>
      </c>
    </row>
    <row r="31482" spans="13:16">
      <c r="M31482" s="49">
        <f>IF($A$4+314&gt;$B$4,"",$A$4+314)</f>
        <v>46337</v>
      </c>
      <c r="N31482">
        <f>IF(M31482="","",'Master Barang'!A76)</f>
        <v>0</v>
      </c>
      <c r="O31482">
        <f>IF(N31482="","",'Master Barang'!B76)</f>
        <v>0</v>
      </c>
      <c r="P31482">
        <f>IF(OR(M31482="",N31482=""),"",SUMIFS('Barang Keluar'!$E:$E,'Barang Keluar'!$A:$A,M31482,'Barang Keluar'!$C:$C,N31482))</f>
        <v>0</v>
      </c>
    </row>
    <row r="31483" spans="13:16">
      <c r="M31483" s="49">
        <f>IF($A$4+314&gt;$B$4,"",$A$4+314)</f>
        <v>46337</v>
      </c>
      <c r="N31483">
        <f>IF(M31483="","",'Master Barang'!A77)</f>
        <v>0</v>
      </c>
      <c r="O31483">
        <f>IF(N31483="","",'Master Barang'!B77)</f>
        <v>0</v>
      </c>
      <c r="P31483">
        <f>IF(OR(M31483="",N31483=""),"",SUMIFS('Barang Keluar'!$E:$E,'Barang Keluar'!$A:$A,M31483,'Barang Keluar'!$C:$C,N31483))</f>
        <v>0</v>
      </c>
    </row>
    <row r="31484" spans="13:16">
      <c r="M31484" s="49">
        <f>IF($A$4+314&gt;$B$4,"",$A$4+314)</f>
        <v>46337</v>
      </c>
      <c r="N31484">
        <f>IF(M31484="","",'Master Barang'!A78)</f>
        <v>0</v>
      </c>
      <c r="O31484">
        <f>IF(N31484="","",'Master Barang'!B78)</f>
        <v>0</v>
      </c>
      <c r="P31484">
        <f>IF(OR(M31484="",N31484=""),"",SUMIFS('Barang Keluar'!$E:$E,'Barang Keluar'!$A:$A,M31484,'Barang Keluar'!$C:$C,N31484))</f>
        <v>0</v>
      </c>
    </row>
    <row r="31485" spans="13:16">
      <c r="M31485" s="49">
        <f>IF($A$4+314&gt;$B$4,"",$A$4+314)</f>
        <v>46337</v>
      </c>
      <c r="N31485">
        <f>IF(M31485="","",'Master Barang'!A79)</f>
        <v>0</v>
      </c>
      <c r="O31485">
        <f>IF(N31485="","",'Master Barang'!B79)</f>
        <v>0</v>
      </c>
      <c r="P31485">
        <f>IF(OR(M31485="",N31485=""),"",SUMIFS('Barang Keluar'!$E:$E,'Barang Keluar'!$A:$A,M31485,'Barang Keluar'!$C:$C,N31485))</f>
        <v>0</v>
      </c>
    </row>
    <row r="31486" spans="13:16">
      <c r="M31486" s="49">
        <f>IF($A$4+314&gt;$B$4,"",$A$4+314)</f>
        <v>46337</v>
      </c>
      <c r="N31486">
        <f>IF(M31486="","",'Master Barang'!A80)</f>
        <v>0</v>
      </c>
      <c r="O31486">
        <f>IF(N31486="","",'Master Barang'!B80)</f>
        <v>0</v>
      </c>
      <c r="P31486">
        <f>IF(OR(M31486="",N31486=""),"",SUMIFS('Barang Keluar'!$E:$E,'Barang Keluar'!$A:$A,M31486,'Barang Keluar'!$C:$C,N31486))</f>
        <v>0</v>
      </c>
    </row>
    <row r="31487" spans="13:16">
      <c r="M31487" s="49">
        <f>IF($A$4+314&gt;$B$4,"",$A$4+314)</f>
        <v>46337</v>
      </c>
      <c r="N31487">
        <f>IF(M31487="","",'Master Barang'!A81)</f>
        <v>0</v>
      </c>
      <c r="O31487">
        <f>IF(N31487="","",'Master Barang'!B81)</f>
        <v>0</v>
      </c>
      <c r="P31487">
        <f>IF(OR(M31487="",N31487=""),"",SUMIFS('Barang Keluar'!$E:$E,'Barang Keluar'!$A:$A,M31487,'Barang Keluar'!$C:$C,N31487))</f>
        <v>0</v>
      </c>
    </row>
    <row r="31488" spans="13:16">
      <c r="M31488" s="49">
        <f>IF($A$4+314&gt;$B$4,"",$A$4+314)</f>
        <v>46337</v>
      </c>
      <c r="N31488">
        <f>IF(M31488="","",'Master Barang'!A82)</f>
        <v>0</v>
      </c>
      <c r="O31488">
        <f>IF(N31488="","",'Master Barang'!B82)</f>
        <v>0</v>
      </c>
      <c r="P31488">
        <f>IF(OR(M31488="",N31488=""),"",SUMIFS('Barang Keluar'!$E:$E,'Barang Keluar'!$A:$A,M31488,'Barang Keluar'!$C:$C,N31488))</f>
        <v>0</v>
      </c>
    </row>
    <row r="31489" spans="13:16">
      <c r="M31489" s="49">
        <f>IF($A$4+314&gt;$B$4,"",$A$4+314)</f>
        <v>46337</v>
      </c>
      <c r="N31489">
        <f>IF(M31489="","",'Master Barang'!A83)</f>
        <v>0</v>
      </c>
      <c r="O31489">
        <f>IF(N31489="","",'Master Barang'!B83)</f>
        <v>0</v>
      </c>
      <c r="P31489">
        <f>IF(OR(M31489="",N31489=""),"",SUMIFS('Barang Keluar'!$E:$E,'Barang Keluar'!$A:$A,M31489,'Barang Keluar'!$C:$C,N31489))</f>
        <v>0</v>
      </c>
    </row>
    <row r="31490" spans="13:16">
      <c r="M31490" s="49">
        <f>IF($A$4+314&gt;$B$4,"",$A$4+314)</f>
        <v>46337</v>
      </c>
      <c r="N31490">
        <f>IF(M31490="","",'Master Barang'!A84)</f>
        <v>0</v>
      </c>
      <c r="O31490">
        <f>IF(N31490="","",'Master Barang'!B84)</f>
        <v>0</v>
      </c>
      <c r="P31490">
        <f>IF(OR(M31490="",N31490=""),"",SUMIFS('Barang Keluar'!$E:$E,'Barang Keluar'!$A:$A,M31490,'Barang Keluar'!$C:$C,N31490))</f>
        <v>0</v>
      </c>
    </row>
    <row r="31491" spans="13:16">
      <c r="M31491" s="49">
        <f>IF($A$4+314&gt;$B$4,"",$A$4+314)</f>
        <v>46337</v>
      </c>
      <c r="N31491">
        <f>IF(M31491="","",'Master Barang'!A85)</f>
        <v>0</v>
      </c>
      <c r="O31491">
        <f>IF(N31491="","",'Master Barang'!B85)</f>
        <v>0</v>
      </c>
      <c r="P31491">
        <f>IF(OR(M31491="",N31491=""),"",SUMIFS('Barang Keluar'!$E:$E,'Barang Keluar'!$A:$A,M31491,'Barang Keluar'!$C:$C,N31491))</f>
        <v>0</v>
      </c>
    </row>
    <row r="31492" spans="13:16">
      <c r="M31492" s="49">
        <f>IF($A$4+314&gt;$B$4,"",$A$4+314)</f>
        <v>46337</v>
      </c>
      <c r="N31492">
        <f>IF(M31492="","",'Master Barang'!A86)</f>
        <v>0</v>
      </c>
      <c r="O31492">
        <f>IF(N31492="","",'Master Barang'!B86)</f>
        <v>0</v>
      </c>
      <c r="P31492">
        <f>IF(OR(M31492="",N31492=""),"",SUMIFS('Barang Keluar'!$E:$E,'Barang Keluar'!$A:$A,M31492,'Barang Keluar'!$C:$C,N31492))</f>
        <v>0</v>
      </c>
    </row>
    <row r="31493" spans="13:16">
      <c r="M31493" s="49">
        <f>IF($A$4+314&gt;$B$4,"",$A$4+314)</f>
        <v>46337</v>
      </c>
      <c r="N31493">
        <f>IF(M31493="","",'Master Barang'!A87)</f>
        <v>0</v>
      </c>
      <c r="O31493">
        <f>IF(N31493="","",'Master Barang'!B87)</f>
        <v>0</v>
      </c>
      <c r="P31493">
        <f>IF(OR(M31493="",N31493=""),"",SUMIFS('Barang Keluar'!$E:$E,'Barang Keluar'!$A:$A,M31493,'Barang Keluar'!$C:$C,N31493))</f>
        <v>0</v>
      </c>
    </row>
    <row r="31494" spans="13:16">
      <c r="M31494" s="49">
        <f>IF($A$4+314&gt;$B$4,"",$A$4+314)</f>
        <v>46337</v>
      </c>
      <c r="N31494">
        <f>IF(M31494="","",'Master Barang'!A88)</f>
        <v>0</v>
      </c>
      <c r="O31494">
        <f>IF(N31494="","",'Master Barang'!B88)</f>
        <v>0</v>
      </c>
      <c r="P31494">
        <f>IF(OR(M31494="",N31494=""),"",SUMIFS('Barang Keluar'!$E:$E,'Barang Keluar'!$A:$A,M31494,'Barang Keluar'!$C:$C,N31494))</f>
        <v>0</v>
      </c>
    </row>
    <row r="31495" spans="13:16">
      <c r="M31495" s="49">
        <f>IF($A$4+314&gt;$B$4,"",$A$4+314)</f>
        <v>46337</v>
      </c>
      <c r="N31495">
        <f>IF(M31495="","",'Master Barang'!A89)</f>
        <v>0</v>
      </c>
      <c r="O31495">
        <f>IF(N31495="","",'Master Barang'!B89)</f>
        <v>0</v>
      </c>
      <c r="P31495">
        <f>IF(OR(M31495="",N31495=""),"",SUMIFS('Barang Keluar'!$E:$E,'Barang Keluar'!$A:$A,M31495,'Barang Keluar'!$C:$C,N31495))</f>
        <v>0</v>
      </c>
    </row>
    <row r="31496" spans="13:16">
      <c r="M31496" s="49">
        <f>IF($A$4+314&gt;$B$4,"",$A$4+314)</f>
        <v>46337</v>
      </c>
      <c r="N31496">
        <f>IF(M31496="","",'Master Barang'!A90)</f>
        <v>0</v>
      </c>
      <c r="O31496">
        <f>IF(N31496="","",'Master Barang'!B90)</f>
        <v>0</v>
      </c>
      <c r="P31496">
        <f>IF(OR(M31496="",N31496=""),"",SUMIFS('Barang Keluar'!$E:$E,'Barang Keluar'!$A:$A,M31496,'Barang Keluar'!$C:$C,N31496))</f>
        <v>0</v>
      </c>
    </row>
    <row r="31497" spans="13:16">
      <c r="M31497" s="49">
        <f>IF($A$4+314&gt;$B$4,"",$A$4+314)</f>
        <v>46337</v>
      </c>
      <c r="N31497">
        <f>IF(M31497="","",'Master Barang'!A91)</f>
        <v>0</v>
      </c>
      <c r="O31497">
        <f>IF(N31497="","",'Master Barang'!B91)</f>
        <v>0</v>
      </c>
      <c r="P31497">
        <f>IF(OR(M31497="",N31497=""),"",SUMIFS('Barang Keluar'!$E:$E,'Barang Keluar'!$A:$A,M31497,'Barang Keluar'!$C:$C,N31497))</f>
        <v>0</v>
      </c>
    </row>
    <row r="31498" spans="13:16">
      <c r="M31498" s="49">
        <f>IF($A$4+314&gt;$B$4,"",$A$4+314)</f>
        <v>46337</v>
      </c>
      <c r="N31498">
        <f>IF(M31498="","",'Master Barang'!A92)</f>
        <v>0</v>
      </c>
      <c r="O31498">
        <f>IF(N31498="","",'Master Barang'!B92)</f>
        <v>0</v>
      </c>
      <c r="P31498">
        <f>IF(OR(M31498="",N31498=""),"",SUMIFS('Barang Keluar'!$E:$E,'Barang Keluar'!$A:$A,M31498,'Barang Keluar'!$C:$C,N31498))</f>
        <v>0</v>
      </c>
    </row>
    <row r="31499" spans="13:16">
      <c r="M31499" s="49">
        <f>IF($A$4+314&gt;$B$4,"",$A$4+314)</f>
        <v>46337</v>
      </c>
      <c r="N31499">
        <f>IF(M31499="","",'Master Barang'!A93)</f>
        <v>0</v>
      </c>
      <c r="O31499">
        <f>IF(N31499="","",'Master Barang'!B93)</f>
        <v>0</v>
      </c>
      <c r="P31499">
        <f>IF(OR(M31499="",N31499=""),"",SUMIFS('Barang Keluar'!$E:$E,'Barang Keluar'!$A:$A,M31499,'Barang Keluar'!$C:$C,N31499))</f>
        <v>0</v>
      </c>
    </row>
    <row r="31500" spans="13:16">
      <c r="M31500" s="49">
        <f>IF($A$4+314&gt;$B$4,"",$A$4+314)</f>
        <v>46337</v>
      </c>
      <c r="N31500">
        <f>IF(M31500="","",'Master Barang'!A94)</f>
        <v>0</v>
      </c>
      <c r="O31500">
        <f>IF(N31500="","",'Master Barang'!B94)</f>
        <v>0</v>
      </c>
      <c r="P31500">
        <f>IF(OR(M31500="",N31500=""),"",SUMIFS('Barang Keluar'!$E:$E,'Barang Keluar'!$A:$A,M31500,'Barang Keluar'!$C:$C,N31500))</f>
        <v>0</v>
      </c>
    </row>
    <row r="31501" spans="13:16">
      <c r="M31501" s="49">
        <f>IF($A$4+314&gt;$B$4,"",$A$4+314)</f>
        <v>46337</v>
      </c>
      <c r="N31501">
        <f>IF(M31501="","",'Master Barang'!A95)</f>
        <v>0</v>
      </c>
      <c r="O31501">
        <f>IF(N31501="","",'Master Barang'!B95)</f>
        <v>0</v>
      </c>
      <c r="P31501">
        <f>IF(OR(M31501="",N31501=""),"",SUMIFS('Barang Keluar'!$E:$E,'Barang Keluar'!$A:$A,M31501,'Barang Keluar'!$C:$C,N31501))</f>
        <v>0</v>
      </c>
    </row>
    <row r="31502" spans="13:16">
      <c r="M31502" s="49">
        <f>IF($A$4+314&gt;$B$4,"",$A$4+314)</f>
        <v>46337</v>
      </c>
      <c r="N31502">
        <f>IF(M31502="","",'Master Barang'!A96)</f>
        <v>0</v>
      </c>
      <c r="O31502">
        <f>IF(N31502="","",'Master Barang'!B96)</f>
        <v>0</v>
      </c>
      <c r="P31502">
        <f>IF(OR(M31502="",N31502=""),"",SUMIFS('Barang Keluar'!$E:$E,'Barang Keluar'!$A:$A,M31502,'Barang Keluar'!$C:$C,N31502))</f>
        <v>0</v>
      </c>
    </row>
    <row r="31503" spans="13:16">
      <c r="M31503" s="49">
        <f>IF($A$4+314&gt;$B$4,"",$A$4+314)</f>
        <v>46337</v>
      </c>
      <c r="N31503">
        <f>IF(M31503="","",'Master Barang'!A97)</f>
        <v>0</v>
      </c>
      <c r="O31503">
        <f>IF(N31503="","",'Master Barang'!B97)</f>
        <v>0</v>
      </c>
      <c r="P31503">
        <f>IF(OR(M31503="",N31503=""),"",SUMIFS('Barang Keluar'!$E:$E,'Barang Keluar'!$A:$A,M31503,'Barang Keluar'!$C:$C,N31503))</f>
        <v>0</v>
      </c>
    </row>
    <row r="31504" spans="13:16">
      <c r="M31504" s="49">
        <f>IF($A$4+314&gt;$B$4,"",$A$4+314)</f>
        <v>46337</v>
      </c>
      <c r="N31504">
        <f>IF(M31504="","",'Master Barang'!A98)</f>
        <v>0</v>
      </c>
      <c r="O31504">
        <f>IF(N31504="","",'Master Barang'!B98)</f>
        <v>0</v>
      </c>
      <c r="P31504">
        <f>IF(OR(M31504="",N31504=""),"",SUMIFS('Barang Keluar'!$E:$E,'Barang Keluar'!$A:$A,M31504,'Barang Keluar'!$C:$C,N31504))</f>
        <v>0</v>
      </c>
    </row>
    <row r="31505" spans="13:16">
      <c r="M31505" s="49">
        <f>IF($A$4+314&gt;$B$4,"",$A$4+314)</f>
        <v>46337</v>
      </c>
      <c r="N31505">
        <f>IF(M31505="","",'Master Barang'!A99)</f>
        <v>0</v>
      </c>
      <c r="O31505">
        <f>IF(N31505="","",'Master Barang'!B99)</f>
        <v>0</v>
      </c>
      <c r="P31505">
        <f>IF(OR(M31505="",N31505=""),"",SUMIFS('Barang Keluar'!$E:$E,'Barang Keluar'!$A:$A,M31505,'Barang Keluar'!$C:$C,N31505))</f>
        <v>0</v>
      </c>
    </row>
    <row r="31506" spans="13:16">
      <c r="M31506" s="49">
        <f>IF($A$4+314&gt;$B$4,"",$A$4+314)</f>
        <v>46337</v>
      </c>
      <c r="N31506">
        <f>IF(M31506="","",'Master Barang'!A100)</f>
        <v>0</v>
      </c>
      <c r="O31506">
        <f>IF(N31506="","",'Master Barang'!B100)</f>
        <v>0</v>
      </c>
      <c r="P31506">
        <f>IF(OR(M31506="",N31506=""),"",SUMIFS('Barang Keluar'!$E:$E,'Barang Keluar'!$A:$A,M31506,'Barang Keluar'!$C:$C,N31506))</f>
        <v>0</v>
      </c>
    </row>
    <row r="31507" spans="13:16">
      <c r="M31507" s="49">
        <f>IF($A$4+314&gt;$B$4,"",$A$4+314)</f>
        <v>46337</v>
      </c>
      <c r="N31507">
        <f>IF(M31507="","",'Master Barang'!A101)</f>
        <v>0</v>
      </c>
      <c r="O31507">
        <f>IF(N31507="","",'Master Barang'!B101)</f>
        <v>0</v>
      </c>
      <c r="P31507">
        <f>IF(OR(M31507="",N31507=""),"",SUMIFS('Barang Keluar'!$E:$E,'Barang Keluar'!$A:$A,M31507,'Barang Keluar'!$C:$C,N31507))</f>
        <v>0</v>
      </c>
    </row>
    <row r="31508" spans="13:16">
      <c r="M31508" s="49">
        <f>IF($A$4+315&gt;$B$4,"",$A$4+315)</f>
        <v>46338</v>
      </c>
      <c r="N31508" t="str">
        <f>IF(M31508="","",'Master Barang'!A2)</f>
        <v>PRL-001</v>
      </c>
      <c r="O31508" t="str">
        <f>IF(N31508="","",'Master Barang'!B2)</f>
        <v>natura desinfectant food grade 5l</v>
      </c>
      <c r="P31508">
        <f>IF(OR(M31508="",N31508=""),"",SUMIFS('Barang Keluar'!$E:$E,'Barang Keluar'!$A:$A,M31508,'Barang Keluar'!$C:$C,N31508))</f>
        <v>0</v>
      </c>
    </row>
    <row r="31509" spans="13:16">
      <c r="M31509" s="49">
        <f>IF($A$4+315&gt;$B$4,"",$A$4+315)</f>
        <v>46338</v>
      </c>
      <c r="N31509" t="str">
        <f>IF(M31509="","",'Master Barang'!A3)</f>
        <v>PRL-002</v>
      </c>
      <c r="O31509" t="str">
        <f>IF(N31509="","",'Master Barang'!B3)</f>
        <v>sunlight cairan pencuci piring 5l</v>
      </c>
      <c r="P31509">
        <f>IF(OR(M31509="",N31509=""),"",SUMIFS('Barang Keluar'!$E:$E,'Barang Keluar'!$A:$A,M31509,'Barang Keluar'!$C:$C,N31509))</f>
        <v>0</v>
      </c>
    </row>
    <row r="31510" spans="13:16">
      <c r="M31510" s="49">
        <f>IF($A$4+315&gt;$B$4,"",$A$4+315)</f>
        <v>46338</v>
      </c>
      <c r="N31510" t="str">
        <f>IF(M31510="","",'Master Barang'!A4)</f>
        <v>PRL-003</v>
      </c>
      <c r="O31510" t="str">
        <f>IF(N31510="","",'Master Barang'!B4)</f>
        <v>oixs cleaner 1l</v>
      </c>
      <c r="P31510">
        <f>IF(OR(M31510="",N31510=""),"",SUMIFS('Barang Keluar'!$E:$E,'Barang Keluar'!$A:$A,M31510,'Barang Keluar'!$C:$C,N31510))</f>
        <v>0</v>
      </c>
    </row>
    <row r="31511" spans="13:16">
      <c r="M31511" s="49">
        <f>IF($A$4+315&gt;$B$4,"",$A$4+315)</f>
        <v>46338</v>
      </c>
      <c r="N31511" t="str">
        <f>IF(M31511="","",'Master Barang'!A5)</f>
        <v>PRL-004</v>
      </c>
      <c r="O31511" t="str">
        <f>IF(N31511="","",'Master Barang'!B5)</f>
        <v>be clean tissue serbaguna</v>
      </c>
      <c r="P31511">
        <f>IF(OR(M31511="",N31511=""),"",SUMIFS('Barang Keluar'!$E:$E,'Barang Keluar'!$A:$A,M31511,'Barang Keluar'!$C:$C,N31511))</f>
        <v>0</v>
      </c>
    </row>
    <row r="31512" spans="13:16">
      <c r="M31512" s="49">
        <f>IF($A$4+315&gt;$B$4,"",$A$4+315)</f>
        <v>46338</v>
      </c>
      <c r="N31512" t="str">
        <f>IF(M31512="","",'Master Barang'!A6)</f>
        <v>PRL-005</v>
      </c>
      <c r="O31512" t="str">
        <f>IF(N31512="","",'Master Barang'!B6)</f>
        <v>spons cuci hijau</v>
      </c>
      <c r="P31512">
        <f>IF(OR(M31512="",N31512=""),"",SUMIFS('Barang Keluar'!$E:$E,'Barang Keluar'!$A:$A,M31512,'Barang Keluar'!$C:$C,N31512))</f>
        <v>0</v>
      </c>
    </row>
    <row r="31513" spans="13:16">
      <c r="M31513" s="49">
        <f>IF($A$4+315&gt;$B$4,"",$A$4+315)</f>
        <v>46338</v>
      </c>
      <c r="N31513" t="str">
        <f>IF(M31513="","",'Master Barang'!A7)</f>
        <v>PRL-006</v>
      </c>
      <c r="O31513" t="str">
        <f>IF(N31513="","",'Master Barang'!B7)</f>
        <v>sabut cuci stainless</v>
      </c>
      <c r="P31513">
        <f>IF(OR(M31513="",N31513=""),"",SUMIFS('Barang Keluar'!$E:$E,'Barang Keluar'!$A:$A,M31513,'Barang Keluar'!$C:$C,N31513))</f>
        <v>0</v>
      </c>
    </row>
    <row r="31514" spans="13:16">
      <c r="M31514" s="49">
        <f>IF($A$4+315&gt;$B$4,"",$A$4+315)</f>
        <v>46338</v>
      </c>
      <c r="N31514" t="str">
        <f>IF(M31514="","",'Master Barang'!A8)</f>
        <v>PRL-007</v>
      </c>
      <c r="O31514" t="str">
        <f>IF(N31514="","",'Master Barang'!B8)</f>
        <v>plastik kresek besar merah 50pc</v>
      </c>
      <c r="P31514">
        <f>IF(OR(M31514="",N31514=""),"",SUMIFS('Barang Keluar'!$E:$E,'Barang Keluar'!$A:$A,M31514,'Barang Keluar'!$C:$C,N31514))</f>
        <v>0</v>
      </c>
    </row>
    <row r="31515" spans="13:16">
      <c r="M31515" s="49">
        <f>IF($A$4+315&gt;$B$4,"",$A$4+315)</f>
        <v>46338</v>
      </c>
      <c r="N31515" t="str">
        <f>IF(M31515="","",'Master Barang'!A9)</f>
        <v>PRL-008</v>
      </c>
      <c r="O31515" t="str">
        <f>IF(N31515="","",'Master Barang'!B9)</f>
        <v>lap besar</v>
      </c>
      <c r="P31515">
        <f>IF(OR(M31515="",N31515=""),"",SUMIFS('Barang Keluar'!$E:$E,'Barang Keluar'!$A:$A,M31515,'Barang Keluar'!$C:$C,N31515))</f>
        <v>0</v>
      </c>
    </row>
    <row r="31516" spans="13:16">
      <c r="M31516" s="49">
        <f>IF($A$4+315&gt;$B$4,"",$A$4+315)</f>
        <v>46338</v>
      </c>
      <c r="N31516" t="str">
        <f>IF(M31516="","",'Master Barang'!A10)</f>
        <v>PRL-009</v>
      </c>
      <c r="O31516" t="str">
        <f>IF(N31516="","",'Master Barang'!B10)</f>
        <v>lap microfiber</v>
      </c>
      <c r="P31516">
        <f>IF(OR(M31516="",N31516=""),"",SUMIFS('Barang Keluar'!$E:$E,'Barang Keluar'!$A:$A,M31516,'Barang Keluar'!$C:$C,N31516))</f>
        <v>0</v>
      </c>
    </row>
    <row r="31517" spans="13:16">
      <c r="M31517" s="49">
        <f>IF($A$4+315&gt;$B$4,"",$A$4+315)</f>
        <v>46338</v>
      </c>
      <c r="N31517" t="str">
        <f>IF(M31517="","",'Master Barang'!A11)</f>
        <v>PRL-010</v>
      </c>
      <c r="O31517" t="str">
        <f>IF(N31517="","",'Master Barang'!B11)</f>
        <v>lap kecil</v>
      </c>
      <c r="P31517">
        <f>IF(OR(M31517="",N31517=""),"",SUMIFS('Barang Keluar'!$E:$E,'Barang Keluar'!$A:$A,M31517,'Barang Keluar'!$C:$C,N31517))</f>
        <v>0</v>
      </c>
    </row>
    <row r="31518" spans="13:16">
      <c r="M31518" s="49">
        <f>IF($A$4+315&gt;$B$4,"",$A$4+315)</f>
        <v>46338</v>
      </c>
      <c r="N31518" t="str">
        <f>IF(M31518="","",'Master Barang'!A12)</f>
        <v>PRL-011</v>
      </c>
      <c r="O31518" t="str">
        <f>IF(N31518="","",'Master Barang'!B12)</f>
        <v>kanebo kecil</v>
      </c>
      <c r="P31518">
        <f>IF(OR(M31518="",N31518=""),"",SUMIFS('Barang Keluar'!$E:$E,'Barang Keluar'!$A:$A,M31518,'Barang Keluar'!$C:$C,N31518))</f>
        <v>0</v>
      </c>
    </row>
    <row r="31519" spans="13:16">
      <c r="M31519" s="49">
        <f>IF($A$4+315&gt;$B$4,"",$A$4+315)</f>
        <v>46338</v>
      </c>
      <c r="N31519" t="str">
        <f>IF(M31519="","",'Master Barang'!A13)</f>
        <v>PRL-012</v>
      </c>
      <c r="O31519" t="str">
        <f>IF(N31519="","",'Master Barang'!B13)</f>
        <v>plastik 1/4kg joyoboyo 100 lembar</v>
      </c>
      <c r="P31519">
        <f>IF(OR(M31519="",N31519=""),"",SUMIFS('Barang Keluar'!$E:$E,'Barang Keluar'!$A:$A,M31519,'Barang Keluar'!$C:$C,N31519))</f>
        <v>0</v>
      </c>
    </row>
    <row r="31520" spans="13:16">
      <c r="M31520" s="49">
        <f>IF($A$4+315&gt;$B$4,"",$A$4+315)</f>
        <v>46338</v>
      </c>
      <c r="N31520" t="str">
        <f>IF(M31520="","",'Master Barang'!A14)</f>
        <v>PRL-013</v>
      </c>
      <c r="O31520" t="str">
        <f>IF(N31520="","",'Master Barang'!B14)</f>
        <v>sarung tangan plastik kaka 100 pcs</v>
      </c>
      <c r="P31520">
        <f>IF(OR(M31520="",N31520=""),"",SUMIFS('Barang Keluar'!$E:$E,'Barang Keluar'!$A:$A,M31520,'Barang Keluar'!$C:$C,N31520))</f>
        <v>0</v>
      </c>
    </row>
    <row r="31521" spans="13:16">
      <c r="M31521" s="49">
        <f>IF($A$4+315&gt;$B$4,"",$A$4+315)</f>
        <v>46338</v>
      </c>
      <c r="N31521" t="str">
        <f>IF(M31521="","",'Master Barang'!A15)</f>
        <v>PRL-014</v>
      </c>
      <c r="O31521" t="str">
        <f>IF(N31521="","",'Master Barang'!B15)</f>
        <v>optima trashbag 80x100</v>
      </c>
      <c r="P31521">
        <f>IF(OR(M31521="",N31521=""),"",SUMIFS('Barang Keluar'!$E:$E,'Barang Keluar'!$A:$A,M31521,'Barang Keluar'!$C:$C,N31521))</f>
        <v>0</v>
      </c>
    </row>
    <row r="31522" spans="13:16">
      <c r="M31522" s="49">
        <f>IF($A$4+315&gt;$B$4,"",$A$4+315)</f>
        <v>46338</v>
      </c>
      <c r="N31522" t="str">
        <f>IF(M31522="","",'Master Barang'!A16)</f>
        <v>PRL-015</v>
      </c>
      <c r="O31522" t="str">
        <f>IF(N31522="","",'Master Barang'!B16)</f>
        <v>optima trashbag 60x100</v>
      </c>
      <c r="P31522">
        <f>IF(OR(M31522="",N31522=""),"",SUMIFS('Barang Keluar'!$E:$E,'Barang Keluar'!$A:$A,M31522,'Barang Keluar'!$C:$C,N31522))</f>
        <v>0</v>
      </c>
    </row>
    <row r="31523" spans="13:16">
      <c r="M31523" s="49">
        <f>IF($A$4+315&gt;$B$4,"",$A$4+315)</f>
        <v>46338</v>
      </c>
      <c r="N31523" t="str">
        <f>IF(M31523="","",'Master Barang'!A17)</f>
        <v>PRL-016</v>
      </c>
      <c r="O31523" t="str">
        <f>IF(N31523="","",'Master Barang'!B17)</f>
        <v>rajawali trashbag 30x40</v>
      </c>
      <c r="P31523">
        <f>IF(OR(M31523="",N31523=""),"",SUMIFS('Barang Keluar'!$E:$E,'Barang Keluar'!$A:$A,M31523,'Barang Keluar'!$C:$C,N31523))</f>
        <v>0</v>
      </c>
    </row>
    <row r="31524" spans="13:16">
      <c r="M31524" s="49">
        <f>IF($A$4+315&gt;$B$4,"",$A$4+315)</f>
        <v>46338</v>
      </c>
      <c r="N31524" t="str">
        <f>IF(M31524="","",'Master Barang'!A18)</f>
        <v>PRL-017</v>
      </c>
      <c r="O31524" t="str">
        <f>IF(N31524="","",'Master Barang'!B18)</f>
        <v>onemed masker biru 3 play 50 pcs</v>
      </c>
      <c r="P31524">
        <f>IF(OR(M31524="",N31524=""),"",SUMIFS('Barang Keluar'!$E:$E,'Barang Keluar'!$A:$A,M31524,'Barang Keluar'!$C:$C,N31524))</f>
        <v>0</v>
      </c>
    </row>
    <row r="31525" spans="13:16">
      <c r="M31525" s="49">
        <f>IF($A$4+315&gt;$B$4,"",$A$4+315)</f>
        <v>46338</v>
      </c>
      <c r="N31525" t="str">
        <f>IF(M31525="","",'Master Barang'!A19)</f>
        <v>PRL-018</v>
      </c>
      <c r="O31525" t="str">
        <f>IF(N31525="","",'Master Barang'!B19)</f>
        <v>onemed masker biru 3 play hijab 50 pcs</v>
      </c>
      <c r="P31525">
        <f>IF(OR(M31525="",N31525=""),"",SUMIFS('Barang Keluar'!$E:$E,'Barang Keluar'!$A:$A,M31525,'Barang Keluar'!$C:$C,N31525))</f>
        <v>0</v>
      </c>
    </row>
    <row r="31526" spans="13:16">
      <c r="M31526" s="49">
        <f>IF($A$4+315&gt;$B$4,"",$A$4+315)</f>
        <v>46338</v>
      </c>
      <c r="N31526" t="str">
        <f>IF(M31526="","",'Master Barang'!A20)</f>
        <v>PRL-019</v>
      </c>
      <c r="O31526" t="str">
        <f>IF(N31526="","",'Master Barang'!B20)</f>
        <v>neo health masker biru 3 play 50 pcs</v>
      </c>
      <c r="P31526">
        <f>IF(OR(M31526="",N31526=""),"",SUMIFS('Barang Keluar'!$E:$E,'Barang Keluar'!$A:$A,M31526,'Barang Keluar'!$C:$C,N31526))</f>
        <v>0</v>
      </c>
    </row>
    <row r="31527" spans="13:16">
      <c r="M31527" s="49">
        <f>IF($A$4+315&gt;$B$4,"",$A$4+315)</f>
        <v>46338</v>
      </c>
      <c r="N31527" t="str">
        <f>IF(M31527="","",'Master Barang'!A21)</f>
        <v>PRL-020</v>
      </c>
      <c r="O31527" t="str">
        <f>IF(N31527="","",'Master Barang'!B21)</f>
        <v>baymed masker hijau 3 play hijau 50 pcs</v>
      </c>
      <c r="P31527">
        <f>IF(OR(M31527="",N31527=""),"",SUMIFS('Barang Keluar'!$E:$E,'Barang Keluar'!$A:$A,M31527,'Barang Keluar'!$C:$C,N31527))</f>
        <v>0</v>
      </c>
    </row>
    <row r="31528" spans="13:16">
      <c r="M31528" s="49">
        <f>IF($A$4+315&gt;$B$4,"",$A$4+315)</f>
        <v>46338</v>
      </c>
      <c r="N31528" t="str">
        <f>IF(M31528="","",'Master Barang'!A22)</f>
        <v>PRL-021</v>
      </c>
      <c r="O31528" t="str">
        <f>IF(N31528="","",'Master Barang'!B22)</f>
        <v>altamed nurse cap penutup kepala 100 pcs</v>
      </c>
      <c r="P31528">
        <f>IF(OR(M31528="",N31528=""),"",SUMIFS('Barang Keluar'!$E:$E,'Barang Keluar'!$A:$A,M31528,'Barang Keluar'!$C:$C,N31528))</f>
        <v>0</v>
      </c>
    </row>
    <row r="31529" spans="13:16">
      <c r="M31529" s="49">
        <f>IF($A$4+315&gt;$B$4,"",$A$4+315)</f>
        <v>46338</v>
      </c>
      <c r="N31529" t="str">
        <f>IF(M31529="","",'Master Barang'!A23)</f>
        <v>PRL-022</v>
      </c>
      <c r="O31529" t="str">
        <f>IF(N31529="","",'Master Barang'!B23)</f>
        <v>sabun cuci tangan</v>
      </c>
      <c r="P31529">
        <f>IF(OR(M31529="",N31529=""),"",SUMIFS('Barang Keluar'!$E:$E,'Barang Keluar'!$A:$A,M31529,'Barang Keluar'!$C:$C,N31529))</f>
        <v>0</v>
      </c>
    </row>
    <row r="31530" spans="13:16">
      <c r="M31530" s="49">
        <f>IF($A$4+315&gt;$B$4,"",$A$4+315)</f>
        <v>46338</v>
      </c>
      <c r="N31530" t="str">
        <f>IF(M31530="","",'Master Barang'!A24)</f>
        <v>PRL-023</v>
      </c>
      <c r="O31530" t="str">
        <f>IF(N31530="","",'Master Barang'!B24)</f>
        <v>gayung kecil</v>
      </c>
      <c r="P31530">
        <f>IF(OR(M31530="",N31530=""),"",SUMIFS('Barang Keluar'!$E:$E,'Barang Keluar'!$A:$A,M31530,'Barang Keluar'!$C:$C,N31530))</f>
        <v>0</v>
      </c>
    </row>
    <row r="31531" spans="13:16">
      <c r="M31531" s="49">
        <f>IF($A$4+315&gt;$B$4,"",$A$4+315)</f>
        <v>46338</v>
      </c>
      <c r="N31531" t="str">
        <f>IF(M31531="","",'Master Barang'!A25)</f>
        <v>PRL-024</v>
      </c>
      <c r="O31531" t="str">
        <f>IF(N31531="","",'Master Barang'!B25)</f>
        <v>cikrak kecil</v>
      </c>
      <c r="P31531">
        <f>IF(OR(M31531="",N31531=""),"",SUMIFS('Barang Keluar'!$E:$E,'Barang Keluar'!$A:$A,M31531,'Barang Keluar'!$C:$C,N31531))</f>
        <v>0</v>
      </c>
    </row>
    <row r="31532" spans="13:16">
      <c r="M31532" s="49">
        <f>IF($A$4+315&gt;$B$4,"",$A$4+315)</f>
        <v>46338</v>
      </c>
      <c r="N31532" t="str">
        <f>IF(M31532="","",'Master Barang'!A26)</f>
        <v>PRL-025</v>
      </c>
      <c r="O31532" t="str">
        <f>IF(N31532="","",'Master Barang'!B26)</f>
        <v>petromax plastik kecil 12x24 100 lembar</v>
      </c>
      <c r="P31532">
        <f>IF(OR(M31532="",N31532=""),"",SUMIFS('Barang Keluar'!$E:$E,'Barang Keluar'!$A:$A,M31532,'Barang Keluar'!$C:$C,N31532))</f>
        <v>0</v>
      </c>
    </row>
    <row r="31533" spans="13:16">
      <c r="M31533" s="49">
        <f>IF($A$4+315&gt;$B$4,"",$A$4+315)</f>
        <v>46338</v>
      </c>
      <c r="N31533" t="str">
        <f>IF(M31533="","",'Master Barang'!A27)</f>
        <v>PRL-026</v>
      </c>
      <c r="O31533" t="str">
        <f>IF(N31533="","",'Master Barang'!B27)</f>
        <v>lancar kresek kecil bening </v>
      </c>
      <c r="P31533">
        <f>IF(OR(M31533="",N31533=""),"",SUMIFS('Barang Keluar'!$E:$E,'Barang Keluar'!$A:$A,M31533,'Barang Keluar'!$C:$C,N31533))</f>
        <v>0</v>
      </c>
    </row>
    <row r="31534" spans="13:16">
      <c r="M31534" s="49">
        <f>IF($A$4+315&gt;$B$4,"",$A$4+315)</f>
        <v>46338</v>
      </c>
      <c r="N31534" t="str">
        <f>IF(M31534="","",'Master Barang'!A28)</f>
        <v>PRL-027</v>
      </c>
      <c r="O31534" t="str">
        <f>IF(N31534="","",'Master Barang'!B28)</f>
        <v>kresek klin warna warni kecil</v>
      </c>
      <c r="P31534">
        <f>IF(OR(M31534="",N31534=""),"",SUMIFS('Barang Keluar'!$E:$E,'Barang Keluar'!$A:$A,M31534,'Barang Keluar'!$C:$C,N31534))</f>
        <v>0</v>
      </c>
    </row>
    <row r="31535" spans="13:16">
      <c r="M31535" s="49">
        <f>IF($A$4+315&gt;$B$4,"",$A$4+315)</f>
        <v>46338</v>
      </c>
      <c r="N31535" t="str">
        <f>IF(M31535="","",'Master Barang'!A29)</f>
        <v>PRL-028</v>
      </c>
      <c r="O31535" t="str">
        <f>IF(N31535="","",'Master Barang'!B29)</f>
        <v>ctik plastik 7x10 100 pcs</v>
      </c>
      <c r="P31535">
        <f>IF(OR(M31535="",N31535=""),"",SUMIFS('Barang Keluar'!$E:$E,'Barang Keluar'!$A:$A,M31535,'Barang Keluar'!$C:$C,N31535))</f>
        <v>0</v>
      </c>
    </row>
    <row r="31536" spans="13:16">
      <c r="M31536" s="49">
        <f>IF($A$4+315&gt;$B$4,"",$A$4+315)</f>
        <v>46338</v>
      </c>
      <c r="N31536" t="str">
        <f>IF(M31536="","",'Master Barang'!A30)</f>
        <v>PRL-029</v>
      </c>
      <c r="O31536" t="str">
        <f>IF(N31536="","",'Master Barang'!B30)</f>
        <v>ctik plastik 6x10 100 pcs</v>
      </c>
      <c r="P31536">
        <f>IF(OR(M31536="",N31536=""),"",SUMIFS('Barang Keluar'!$E:$E,'Barang Keluar'!$A:$A,M31536,'Barang Keluar'!$C:$C,N31536))</f>
        <v>0</v>
      </c>
    </row>
    <row r="31537" spans="13:16">
      <c r="M31537" s="49">
        <f>IF($A$4+315&gt;$B$4,"",$A$4+315)</f>
        <v>46338</v>
      </c>
      <c r="N31537" t="str">
        <f>IF(M31537="","",'Master Barang'!A31)</f>
        <v>PRL-030</v>
      </c>
      <c r="O31537" t="str">
        <f>IF(N31537="","",'Master Barang'!B31)</f>
        <v>klip plastik 25x16 100 pcs</v>
      </c>
      <c r="P31537">
        <f>IF(OR(M31537="",N31537=""),"",SUMIFS('Barang Keluar'!$E:$E,'Barang Keluar'!$A:$A,M31537,'Barang Keluar'!$C:$C,N31537))</f>
        <v>0</v>
      </c>
    </row>
    <row r="31538" spans="13:16">
      <c r="M31538" s="49">
        <f>IF($A$4+315&gt;$B$4,"",$A$4+315)</f>
        <v>46338</v>
      </c>
      <c r="N31538" t="str">
        <f>IF(M31538="","",'Master Barang'!A32)</f>
        <v>PRL-031</v>
      </c>
      <c r="O31538" t="str">
        <f>IF(N31538="","",'Master Barang'!B32)</f>
        <v>tempat saus 20 ml</v>
      </c>
      <c r="P31538">
        <f>IF(OR(M31538="",N31538=""),"",SUMIFS('Barang Keluar'!$E:$E,'Barang Keluar'!$A:$A,M31538,'Barang Keluar'!$C:$C,N31538))</f>
        <v>0</v>
      </c>
    </row>
    <row r="31539" spans="13:16">
      <c r="M31539" s="49">
        <f>IF($A$4+315&gt;$B$4,"",$A$4+315)</f>
        <v>46338</v>
      </c>
      <c r="N31539" t="str">
        <f>IF(M31539="","",'Master Barang'!A33)</f>
        <v>PRL-032</v>
      </c>
      <c r="O31539" t="str">
        <f>IF(N31539="","",'Master Barang'!B33)</f>
        <v>plastik packaging ag box uk sedang</v>
      </c>
      <c r="P31539">
        <f>IF(OR(M31539="",N31539=""),"",SUMIFS('Barang Keluar'!$E:$E,'Barang Keluar'!$A:$A,M31539,'Barang Keluar'!$C:$C,N31539))</f>
        <v>0</v>
      </c>
    </row>
    <row r="31540" spans="13:16">
      <c r="M31540" s="49">
        <f>IF($A$4+315&gt;$B$4,"",$A$4+315)</f>
        <v>46338</v>
      </c>
      <c r="N31540" t="str">
        <f>IF(M31540="","",'Master Barang'!A34)</f>
        <v>PRL-033</v>
      </c>
      <c r="O31540">
        <f>IF(N31540="","",'Master Barang'!B34)</f>
        <v>0</v>
      </c>
      <c r="P31540">
        <f>IF(OR(M31540="",N31540=""),"",SUMIFS('Barang Keluar'!$E:$E,'Barang Keluar'!$A:$A,M31540,'Barang Keluar'!$C:$C,N31540))</f>
        <v>0</v>
      </c>
    </row>
    <row r="31541" spans="13:16">
      <c r="M31541" s="49">
        <f>IF($A$4+315&gt;$B$4,"",$A$4+315)</f>
        <v>46338</v>
      </c>
      <c r="N31541">
        <f>IF(M31541="","",'Master Barang'!A35)</f>
        <v>0</v>
      </c>
      <c r="O31541">
        <f>IF(N31541="","",'Master Barang'!B35)</f>
        <v>0</v>
      </c>
      <c r="P31541">
        <f>IF(OR(M31541="",N31541=""),"",SUMIFS('Barang Keluar'!$E:$E,'Barang Keluar'!$A:$A,M31541,'Barang Keluar'!$C:$C,N31541))</f>
        <v>0</v>
      </c>
    </row>
    <row r="31542" spans="13:16">
      <c r="M31542" s="49">
        <f>IF($A$4+315&gt;$B$4,"",$A$4+315)</f>
        <v>46338</v>
      </c>
      <c r="N31542">
        <f>IF(M31542="","",'Master Barang'!A36)</f>
        <v>0</v>
      </c>
      <c r="O31542">
        <f>IF(N31542="","",'Master Barang'!B36)</f>
        <v>0</v>
      </c>
      <c r="P31542">
        <f>IF(OR(M31542="",N31542=""),"",SUMIFS('Barang Keluar'!$E:$E,'Barang Keluar'!$A:$A,M31542,'Barang Keluar'!$C:$C,N31542))</f>
        <v>0</v>
      </c>
    </row>
    <row r="31543" spans="13:16">
      <c r="M31543" s="49">
        <f>IF($A$4+315&gt;$B$4,"",$A$4+315)</f>
        <v>46338</v>
      </c>
      <c r="N31543">
        <f>IF(M31543="","",'Master Barang'!A37)</f>
        <v>0</v>
      </c>
      <c r="O31543">
        <f>IF(N31543="","",'Master Barang'!B37)</f>
        <v>0</v>
      </c>
      <c r="P31543">
        <f>IF(OR(M31543="",N31543=""),"",SUMIFS('Barang Keluar'!$E:$E,'Barang Keluar'!$A:$A,M31543,'Barang Keluar'!$C:$C,N31543))</f>
        <v>0</v>
      </c>
    </row>
    <row r="31544" spans="13:16">
      <c r="M31544" s="49">
        <f>IF($A$4+315&gt;$B$4,"",$A$4+315)</f>
        <v>46338</v>
      </c>
      <c r="N31544">
        <f>IF(M31544="","",'Master Barang'!A38)</f>
        <v>0</v>
      </c>
      <c r="O31544">
        <f>IF(N31544="","",'Master Barang'!B38)</f>
        <v>0</v>
      </c>
      <c r="P31544">
        <f>IF(OR(M31544="",N31544=""),"",SUMIFS('Barang Keluar'!$E:$E,'Barang Keluar'!$A:$A,M31544,'Barang Keluar'!$C:$C,N31544))</f>
        <v>0</v>
      </c>
    </row>
    <row r="31545" spans="13:16">
      <c r="M31545" s="49">
        <f>IF($A$4+315&gt;$B$4,"",$A$4+315)</f>
        <v>46338</v>
      </c>
      <c r="N31545">
        <f>IF(M31545="","",'Master Barang'!A39)</f>
        <v>0</v>
      </c>
      <c r="O31545">
        <f>IF(N31545="","",'Master Barang'!B39)</f>
        <v>0</v>
      </c>
      <c r="P31545">
        <f>IF(OR(M31545="",N31545=""),"",SUMIFS('Barang Keluar'!$E:$E,'Barang Keluar'!$A:$A,M31545,'Barang Keluar'!$C:$C,N31545))</f>
        <v>0</v>
      </c>
    </row>
    <row r="31546" spans="13:16">
      <c r="M31546" s="49">
        <f>IF($A$4+315&gt;$B$4,"",$A$4+315)</f>
        <v>46338</v>
      </c>
      <c r="N31546">
        <f>IF(M31546="","",'Master Barang'!A40)</f>
        <v>0</v>
      </c>
      <c r="O31546">
        <f>IF(N31546="","",'Master Barang'!B40)</f>
        <v>0</v>
      </c>
      <c r="P31546">
        <f>IF(OR(M31546="",N31546=""),"",SUMIFS('Barang Keluar'!$E:$E,'Barang Keluar'!$A:$A,M31546,'Barang Keluar'!$C:$C,N31546))</f>
        <v>0</v>
      </c>
    </row>
    <row r="31547" spans="13:16">
      <c r="M31547" s="49">
        <f>IF($A$4+315&gt;$B$4,"",$A$4+315)</f>
        <v>46338</v>
      </c>
      <c r="N31547">
        <f>IF(M31547="","",'Master Barang'!A41)</f>
        <v>0</v>
      </c>
      <c r="O31547">
        <f>IF(N31547="","",'Master Barang'!B41)</f>
        <v>0</v>
      </c>
      <c r="P31547">
        <f>IF(OR(M31547="",N31547=""),"",SUMIFS('Barang Keluar'!$E:$E,'Barang Keluar'!$A:$A,M31547,'Barang Keluar'!$C:$C,N31547))</f>
        <v>0</v>
      </c>
    </row>
    <row r="31548" spans="13:16">
      <c r="M31548" s="49">
        <f>IF($A$4+315&gt;$B$4,"",$A$4+315)</f>
        <v>46338</v>
      </c>
      <c r="N31548">
        <f>IF(M31548="","",'Master Barang'!A42)</f>
        <v>0</v>
      </c>
      <c r="O31548">
        <f>IF(N31548="","",'Master Barang'!B42)</f>
        <v>0</v>
      </c>
      <c r="P31548">
        <f>IF(OR(M31548="",N31548=""),"",SUMIFS('Barang Keluar'!$E:$E,'Barang Keluar'!$A:$A,M31548,'Barang Keluar'!$C:$C,N31548))</f>
        <v>0</v>
      </c>
    </row>
    <row r="31549" spans="13:16">
      <c r="M31549" s="49">
        <f>IF($A$4+315&gt;$B$4,"",$A$4+315)</f>
        <v>46338</v>
      </c>
      <c r="N31549">
        <f>IF(M31549="","",'Master Barang'!A43)</f>
        <v>0</v>
      </c>
      <c r="O31549">
        <f>IF(N31549="","",'Master Barang'!B43)</f>
        <v>0</v>
      </c>
      <c r="P31549">
        <f>IF(OR(M31549="",N31549=""),"",SUMIFS('Barang Keluar'!$E:$E,'Barang Keluar'!$A:$A,M31549,'Barang Keluar'!$C:$C,N31549))</f>
        <v>0</v>
      </c>
    </row>
    <row r="31550" spans="13:16">
      <c r="M31550" s="49">
        <f>IF($A$4+315&gt;$B$4,"",$A$4+315)</f>
        <v>46338</v>
      </c>
      <c r="N31550">
        <f>IF(M31550="","",'Master Barang'!A44)</f>
        <v>0</v>
      </c>
      <c r="O31550">
        <f>IF(N31550="","",'Master Barang'!B44)</f>
        <v>0</v>
      </c>
      <c r="P31550">
        <f>IF(OR(M31550="",N31550=""),"",SUMIFS('Barang Keluar'!$E:$E,'Barang Keluar'!$A:$A,M31550,'Barang Keluar'!$C:$C,N31550))</f>
        <v>0</v>
      </c>
    </row>
    <row r="31551" spans="13:16">
      <c r="M31551" s="49">
        <f>IF($A$4+315&gt;$B$4,"",$A$4+315)</f>
        <v>46338</v>
      </c>
      <c r="N31551">
        <f>IF(M31551="","",'Master Barang'!A45)</f>
        <v>0</v>
      </c>
      <c r="O31551">
        <f>IF(N31551="","",'Master Barang'!B45)</f>
        <v>0</v>
      </c>
      <c r="P31551">
        <f>IF(OR(M31551="",N31551=""),"",SUMIFS('Barang Keluar'!$E:$E,'Barang Keluar'!$A:$A,M31551,'Barang Keluar'!$C:$C,N31551))</f>
        <v>0</v>
      </c>
    </row>
    <row r="31552" spans="13:16">
      <c r="M31552" s="49">
        <f>IF($A$4+315&gt;$B$4,"",$A$4+315)</f>
        <v>46338</v>
      </c>
      <c r="N31552">
        <f>IF(M31552="","",'Master Barang'!A46)</f>
        <v>0</v>
      </c>
      <c r="O31552">
        <f>IF(N31552="","",'Master Barang'!B46)</f>
        <v>0</v>
      </c>
      <c r="P31552">
        <f>IF(OR(M31552="",N31552=""),"",SUMIFS('Barang Keluar'!$E:$E,'Barang Keluar'!$A:$A,M31552,'Barang Keluar'!$C:$C,N31552))</f>
        <v>0</v>
      </c>
    </row>
    <row r="31553" spans="13:16">
      <c r="M31553" s="49">
        <f>IF($A$4+315&gt;$B$4,"",$A$4+315)</f>
        <v>46338</v>
      </c>
      <c r="N31553">
        <f>IF(M31553="","",'Master Barang'!A47)</f>
        <v>0</v>
      </c>
      <c r="O31553">
        <f>IF(N31553="","",'Master Barang'!B47)</f>
        <v>0</v>
      </c>
      <c r="P31553">
        <f>IF(OR(M31553="",N31553=""),"",SUMIFS('Barang Keluar'!$E:$E,'Barang Keluar'!$A:$A,M31553,'Barang Keluar'!$C:$C,N31553))</f>
        <v>0</v>
      </c>
    </row>
    <row r="31554" spans="13:16">
      <c r="M31554" s="49">
        <f>IF($A$4+315&gt;$B$4,"",$A$4+315)</f>
        <v>46338</v>
      </c>
      <c r="N31554">
        <f>IF(M31554="","",'Master Barang'!A48)</f>
        <v>0</v>
      </c>
      <c r="O31554">
        <f>IF(N31554="","",'Master Barang'!B48)</f>
        <v>0</v>
      </c>
      <c r="P31554">
        <f>IF(OR(M31554="",N31554=""),"",SUMIFS('Barang Keluar'!$E:$E,'Barang Keluar'!$A:$A,M31554,'Barang Keluar'!$C:$C,N31554))</f>
        <v>0</v>
      </c>
    </row>
    <row r="31555" spans="13:16">
      <c r="M31555" s="49">
        <f>IF($A$4+315&gt;$B$4,"",$A$4+315)</f>
        <v>46338</v>
      </c>
      <c r="N31555">
        <f>IF(M31555="","",'Master Barang'!A49)</f>
        <v>0</v>
      </c>
      <c r="O31555">
        <f>IF(N31555="","",'Master Barang'!B49)</f>
        <v>0</v>
      </c>
      <c r="P31555">
        <f>IF(OR(M31555="",N31555=""),"",SUMIFS('Barang Keluar'!$E:$E,'Barang Keluar'!$A:$A,M31555,'Barang Keluar'!$C:$C,N31555))</f>
        <v>0</v>
      </c>
    </row>
    <row r="31556" spans="13:16">
      <c r="M31556" s="49">
        <f>IF($A$4+315&gt;$B$4,"",$A$4+315)</f>
        <v>46338</v>
      </c>
      <c r="N31556">
        <f>IF(M31556="","",'Master Barang'!A50)</f>
        <v>0</v>
      </c>
      <c r="O31556">
        <f>IF(N31556="","",'Master Barang'!B50)</f>
        <v>0</v>
      </c>
      <c r="P31556">
        <f>IF(OR(M31556="",N31556=""),"",SUMIFS('Barang Keluar'!$E:$E,'Barang Keluar'!$A:$A,M31556,'Barang Keluar'!$C:$C,N31556))</f>
        <v>0</v>
      </c>
    </row>
    <row r="31557" spans="13:16">
      <c r="M31557" s="49">
        <f>IF($A$4+315&gt;$B$4,"",$A$4+315)</f>
        <v>46338</v>
      </c>
      <c r="N31557">
        <f>IF(M31557="","",'Master Barang'!A51)</f>
        <v>0</v>
      </c>
      <c r="O31557">
        <f>IF(N31557="","",'Master Barang'!B51)</f>
        <v>0</v>
      </c>
      <c r="P31557">
        <f>IF(OR(M31557="",N31557=""),"",SUMIFS('Barang Keluar'!$E:$E,'Barang Keluar'!$A:$A,M31557,'Barang Keluar'!$C:$C,N31557))</f>
        <v>0</v>
      </c>
    </row>
    <row r="31558" spans="13:16">
      <c r="M31558" s="49">
        <f>IF($A$4+315&gt;$B$4,"",$A$4+315)</f>
        <v>46338</v>
      </c>
      <c r="N31558">
        <f>IF(M31558="","",'Master Barang'!A52)</f>
        <v>0</v>
      </c>
      <c r="O31558">
        <f>IF(N31558="","",'Master Barang'!B52)</f>
        <v>0</v>
      </c>
      <c r="P31558">
        <f>IF(OR(M31558="",N31558=""),"",SUMIFS('Barang Keluar'!$E:$E,'Barang Keluar'!$A:$A,M31558,'Barang Keluar'!$C:$C,N31558))</f>
        <v>0</v>
      </c>
    </row>
    <row r="31559" spans="13:16">
      <c r="M31559" s="49">
        <f>IF($A$4+315&gt;$B$4,"",$A$4+315)</f>
        <v>46338</v>
      </c>
      <c r="N31559">
        <f>IF(M31559="","",'Master Barang'!A53)</f>
        <v>0</v>
      </c>
      <c r="O31559">
        <f>IF(N31559="","",'Master Barang'!B53)</f>
        <v>0</v>
      </c>
      <c r="P31559">
        <f>IF(OR(M31559="",N31559=""),"",SUMIFS('Barang Keluar'!$E:$E,'Barang Keluar'!$A:$A,M31559,'Barang Keluar'!$C:$C,N31559))</f>
        <v>0</v>
      </c>
    </row>
    <row r="31560" spans="13:16">
      <c r="M31560" s="49">
        <f>IF($A$4+315&gt;$B$4,"",$A$4+315)</f>
        <v>46338</v>
      </c>
      <c r="N31560">
        <f>IF(M31560="","",'Master Barang'!A54)</f>
        <v>0</v>
      </c>
      <c r="O31560">
        <f>IF(N31560="","",'Master Barang'!B54)</f>
        <v>0</v>
      </c>
      <c r="P31560">
        <f>IF(OR(M31560="",N31560=""),"",SUMIFS('Barang Keluar'!$E:$E,'Barang Keluar'!$A:$A,M31560,'Barang Keluar'!$C:$C,N31560))</f>
        <v>0</v>
      </c>
    </row>
    <row r="31561" spans="13:16">
      <c r="M31561" s="49">
        <f>IF($A$4+315&gt;$B$4,"",$A$4+315)</f>
        <v>46338</v>
      </c>
      <c r="N31561">
        <f>IF(M31561="","",'Master Barang'!A55)</f>
        <v>0</v>
      </c>
      <c r="O31561">
        <f>IF(N31561="","",'Master Barang'!B55)</f>
        <v>0</v>
      </c>
      <c r="P31561">
        <f>IF(OR(M31561="",N31561=""),"",SUMIFS('Barang Keluar'!$E:$E,'Barang Keluar'!$A:$A,M31561,'Barang Keluar'!$C:$C,N31561))</f>
        <v>0</v>
      </c>
    </row>
    <row r="31562" spans="13:16">
      <c r="M31562" s="49">
        <f>IF($A$4+315&gt;$B$4,"",$A$4+315)</f>
        <v>46338</v>
      </c>
      <c r="N31562">
        <f>IF(M31562="","",'Master Barang'!A56)</f>
        <v>0</v>
      </c>
      <c r="O31562">
        <f>IF(N31562="","",'Master Barang'!B56)</f>
        <v>0</v>
      </c>
      <c r="P31562">
        <f>IF(OR(M31562="",N31562=""),"",SUMIFS('Barang Keluar'!$E:$E,'Barang Keluar'!$A:$A,M31562,'Barang Keluar'!$C:$C,N31562))</f>
        <v>0</v>
      </c>
    </row>
    <row r="31563" spans="13:16">
      <c r="M31563" s="49">
        <f>IF($A$4+315&gt;$B$4,"",$A$4+315)</f>
        <v>46338</v>
      </c>
      <c r="N31563">
        <f>IF(M31563="","",'Master Barang'!A57)</f>
        <v>0</v>
      </c>
      <c r="O31563">
        <f>IF(N31563="","",'Master Barang'!B57)</f>
        <v>0</v>
      </c>
      <c r="P31563">
        <f>IF(OR(M31563="",N31563=""),"",SUMIFS('Barang Keluar'!$E:$E,'Barang Keluar'!$A:$A,M31563,'Barang Keluar'!$C:$C,N31563))</f>
        <v>0</v>
      </c>
    </row>
    <row r="31564" spans="13:16">
      <c r="M31564" s="49">
        <f>IF($A$4+315&gt;$B$4,"",$A$4+315)</f>
        <v>46338</v>
      </c>
      <c r="N31564">
        <f>IF(M31564="","",'Master Barang'!A58)</f>
        <v>0</v>
      </c>
      <c r="O31564">
        <f>IF(N31564="","",'Master Barang'!B58)</f>
        <v>0</v>
      </c>
      <c r="P31564">
        <f>IF(OR(M31564="",N31564=""),"",SUMIFS('Barang Keluar'!$E:$E,'Barang Keluar'!$A:$A,M31564,'Barang Keluar'!$C:$C,N31564))</f>
        <v>0</v>
      </c>
    </row>
    <row r="31565" spans="13:16">
      <c r="M31565" s="49">
        <f>IF($A$4+315&gt;$B$4,"",$A$4+315)</f>
        <v>46338</v>
      </c>
      <c r="N31565">
        <f>IF(M31565="","",'Master Barang'!A59)</f>
        <v>0</v>
      </c>
      <c r="O31565">
        <f>IF(N31565="","",'Master Barang'!B59)</f>
        <v>0</v>
      </c>
      <c r="P31565">
        <f>IF(OR(M31565="",N31565=""),"",SUMIFS('Barang Keluar'!$E:$E,'Barang Keluar'!$A:$A,M31565,'Barang Keluar'!$C:$C,N31565))</f>
        <v>0</v>
      </c>
    </row>
    <row r="31566" spans="13:16">
      <c r="M31566" s="49">
        <f>IF($A$4+315&gt;$B$4,"",$A$4+315)</f>
        <v>46338</v>
      </c>
      <c r="N31566">
        <f>IF(M31566="","",'Master Barang'!A60)</f>
        <v>0</v>
      </c>
      <c r="O31566">
        <f>IF(N31566="","",'Master Barang'!B60)</f>
        <v>0</v>
      </c>
      <c r="P31566">
        <f>IF(OR(M31566="",N31566=""),"",SUMIFS('Barang Keluar'!$E:$E,'Barang Keluar'!$A:$A,M31566,'Barang Keluar'!$C:$C,N31566))</f>
        <v>0</v>
      </c>
    </row>
    <row r="31567" spans="13:16">
      <c r="M31567" s="49">
        <f>IF($A$4+315&gt;$B$4,"",$A$4+315)</f>
        <v>46338</v>
      </c>
      <c r="N31567">
        <f>IF(M31567="","",'Master Barang'!A61)</f>
        <v>0</v>
      </c>
      <c r="O31567">
        <f>IF(N31567="","",'Master Barang'!B61)</f>
        <v>0</v>
      </c>
      <c r="P31567">
        <f>IF(OR(M31567="",N31567=""),"",SUMIFS('Barang Keluar'!$E:$E,'Barang Keluar'!$A:$A,M31567,'Barang Keluar'!$C:$C,N31567))</f>
        <v>0</v>
      </c>
    </row>
    <row r="31568" spans="13:16">
      <c r="M31568" s="49">
        <f>IF($A$4+315&gt;$B$4,"",$A$4+315)</f>
        <v>46338</v>
      </c>
      <c r="N31568">
        <f>IF(M31568="","",'Master Barang'!A62)</f>
        <v>0</v>
      </c>
      <c r="O31568">
        <f>IF(N31568="","",'Master Barang'!B62)</f>
        <v>0</v>
      </c>
      <c r="P31568">
        <f>IF(OR(M31568="",N31568=""),"",SUMIFS('Barang Keluar'!$E:$E,'Barang Keluar'!$A:$A,M31568,'Barang Keluar'!$C:$C,N31568))</f>
        <v>0</v>
      </c>
    </row>
    <row r="31569" spans="13:16">
      <c r="M31569" s="49">
        <f>IF($A$4+315&gt;$B$4,"",$A$4+315)</f>
        <v>46338</v>
      </c>
      <c r="N31569">
        <f>IF(M31569="","",'Master Barang'!A63)</f>
        <v>0</v>
      </c>
      <c r="O31569">
        <f>IF(N31569="","",'Master Barang'!B63)</f>
        <v>0</v>
      </c>
      <c r="P31569">
        <f>IF(OR(M31569="",N31569=""),"",SUMIFS('Barang Keluar'!$E:$E,'Barang Keluar'!$A:$A,M31569,'Barang Keluar'!$C:$C,N31569))</f>
        <v>0</v>
      </c>
    </row>
    <row r="31570" spans="13:16">
      <c r="M31570" s="49">
        <f>IF($A$4+315&gt;$B$4,"",$A$4+315)</f>
        <v>46338</v>
      </c>
      <c r="N31570">
        <f>IF(M31570="","",'Master Barang'!A64)</f>
        <v>0</v>
      </c>
      <c r="O31570">
        <f>IF(N31570="","",'Master Barang'!B64)</f>
        <v>0</v>
      </c>
      <c r="P31570">
        <f>IF(OR(M31570="",N31570=""),"",SUMIFS('Barang Keluar'!$E:$E,'Barang Keluar'!$A:$A,M31570,'Barang Keluar'!$C:$C,N31570))</f>
        <v>0</v>
      </c>
    </row>
    <row r="31571" spans="13:16">
      <c r="M31571" s="49">
        <f>IF($A$4+315&gt;$B$4,"",$A$4+315)</f>
        <v>46338</v>
      </c>
      <c r="N31571">
        <f>IF(M31571="","",'Master Barang'!A65)</f>
        <v>0</v>
      </c>
      <c r="O31571">
        <f>IF(N31571="","",'Master Barang'!B65)</f>
        <v>0</v>
      </c>
      <c r="P31571">
        <f>IF(OR(M31571="",N31571=""),"",SUMIFS('Barang Keluar'!$E:$E,'Barang Keluar'!$A:$A,M31571,'Barang Keluar'!$C:$C,N31571))</f>
        <v>0</v>
      </c>
    </row>
    <row r="31572" spans="13:16">
      <c r="M31572" s="49">
        <f>IF($A$4+315&gt;$B$4,"",$A$4+315)</f>
        <v>46338</v>
      </c>
      <c r="N31572">
        <f>IF(M31572="","",'Master Barang'!A66)</f>
        <v>0</v>
      </c>
      <c r="O31572">
        <f>IF(N31572="","",'Master Barang'!B66)</f>
        <v>0</v>
      </c>
      <c r="P31572">
        <f>IF(OR(M31572="",N31572=""),"",SUMIFS('Barang Keluar'!$E:$E,'Barang Keluar'!$A:$A,M31572,'Barang Keluar'!$C:$C,N31572))</f>
        <v>0</v>
      </c>
    </row>
    <row r="31573" spans="13:16">
      <c r="M31573" s="49">
        <f>IF($A$4+315&gt;$B$4,"",$A$4+315)</f>
        <v>46338</v>
      </c>
      <c r="N31573">
        <f>IF(M31573="","",'Master Barang'!A67)</f>
        <v>0</v>
      </c>
      <c r="O31573">
        <f>IF(N31573="","",'Master Barang'!B67)</f>
        <v>0</v>
      </c>
      <c r="P31573">
        <f>IF(OR(M31573="",N31573=""),"",SUMIFS('Barang Keluar'!$E:$E,'Barang Keluar'!$A:$A,M31573,'Barang Keluar'!$C:$C,N31573))</f>
        <v>0</v>
      </c>
    </row>
    <row r="31574" spans="13:16">
      <c r="M31574" s="49">
        <f>IF($A$4+315&gt;$B$4,"",$A$4+315)</f>
        <v>46338</v>
      </c>
      <c r="N31574">
        <f>IF(M31574="","",'Master Barang'!A68)</f>
        <v>0</v>
      </c>
      <c r="O31574">
        <f>IF(N31574="","",'Master Barang'!B68)</f>
        <v>0</v>
      </c>
      <c r="P31574">
        <f>IF(OR(M31574="",N31574=""),"",SUMIFS('Barang Keluar'!$E:$E,'Barang Keluar'!$A:$A,M31574,'Barang Keluar'!$C:$C,N31574))</f>
        <v>0</v>
      </c>
    </row>
    <row r="31575" spans="13:16">
      <c r="M31575" s="49">
        <f>IF($A$4+315&gt;$B$4,"",$A$4+315)</f>
        <v>46338</v>
      </c>
      <c r="N31575">
        <f>IF(M31575="","",'Master Barang'!A69)</f>
        <v>0</v>
      </c>
      <c r="O31575">
        <f>IF(N31575="","",'Master Barang'!B69)</f>
        <v>0</v>
      </c>
      <c r="P31575">
        <f>IF(OR(M31575="",N31575=""),"",SUMIFS('Barang Keluar'!$E:$E,'Barang Keluar'!$A:$A,M31575,'Barang Keluar'!$C:$C,N31575))</f>
        <v>0</v>
      </c>
    </row>
    <row r="31576" spans="13:16">
      <c r="M31576" s="49">
        <f>IF($A$4+315&gt;$B$4,"",$A$4+315)</f>
        <v>46338</v>
      </c>
      <c r="N31576">
        <f>IF(M31576="","",'Master Barang'!A70)</f>
        <v>0</v>
      </c>
      <c r="O31576">
        <f>IF(N31576="","",'Master Barang'!B70)</f>
        <v>0</v>
      </c>
      <c r="P31576">
        <f>IF(OR(M31576="",N31576=""),"",SUMIFS('Barang Keluar'!$E:$E,'Barang Keluar'!$A:$A,M31576,'Barang Keluar'!$C:$C,N31576))</f>
        <v>0</v>
      </c>
    </row>
    <row r="31577" spans="13:16">
      <c r="M31577" s="49">
        <f>IF($A$4+315&gt;$B$4,"",$A$4+315)</f>
        <v>46338</v>
      </c>
      <c r="N31577">
        <f>IF(M31577="","",'Master Barang'!A71)</f>
        <v>0</v>
      </c>
      <c r="O31577">
        <f>IF(N31577="","",'Master Barang'!B71)</f>
        <v>0</v>
      </c>
      <c r="P31577">
        <f>IF(OR(M31577="",N31577=""),"",SUMIFS('Barang Keluar'!$E:$E,'Barang Keluar'!$A:$A,M31577,'Barang Keluar'!$C:$C,N31577))</f>
        <v>0</v>
      </c>
    </row>
    <row r="31578" spans="13:16">
      <c r="M31578" s="49">
        <f>IF($A$4+315&gt;$B$4,"",$A$4+315)</f>
        <v>46338</v>
      </c>
      <c r="N31578">
        <f>IF(M31578="","",'Master Barang'!A72)</f>
        <v>0</v>
      </c>
      <c r="O31578">
        <f>IF(N31578="","",'Master Barang'!B72)</f>
        <v>0</v>
      </c>
      <c r="P31578">
        <f>IF(OR(M31578="",N31578=""),"",SUMIFS('Barang Keluar'!$E:$E,'Barang Keluar'!$A:$A,M31578,'Barang Keluar'!$C:$C,N31578))</f>
        <v>0</v>
      </c>
    </row>
    <row r="31579" spans="13:16">
      <c r="M31579" s="49">
        <f>IF($A$4+315&gt;$B$4,"",$A$4+315)</f>
        <v>46338</v>
      </c>
      <c r="N31579">
        <f>IF(M31579="","",'Master Barang'!A73)</f>
        <v>0</v>
      </c>
      <c r="O31579">
        <f>IF(N31579="","",'Master Barang'!B73)</f>
        <v>0</v>
      </c>
      <c r="P31579">
        <f>IF(OR(M31579="",N31579=""),"",SUMIFS('Barang Keluar'!$E:$E,'Barang Keluar'!$A:$A,M31579,'Barang Keluar'!$C:$C,N31579))</f>
        <v>0</v>
      </c>
    </row>
    <row r="31580" spans="13:16">
      <c r="M31580" s="49">
        <f>IF($A$4+315&gt;$B$4,"",$A$4+315)</f>
        <v>46338</v>
      </c>
      <c r="N31580">
        <f>IF(M31580="","",'Master Barang'!A74)</f>
        <v>0</v>
      </c>
      <c r="O31580">
        <f>IF(N31580="","",'Master Barang'!B74)</f>
        <v>0</v>
      </c>
      <c r="P31580">
        <f>IF(OR(M31580="",N31580=""),"",SUMIFS('Barang Keluar'!$E:$E,'Barang Keluar'!$A:$A,M31580,'Barang Keluar'!$C:$C,N31580))</f>
        <v>0</v>
      </c>
    </row>
    <row r="31581" spans="13:16">
      <c r="M31581" s="49">
        <f>IF($A$4+315&gt;$B$4,"",$A$4+315)</f>
        <v>46338</v>
      </c>
      <c r="N31581">
        <f>IF(M31581="","",'Master Barang'!A75)</f>
        <v>0</v>
      </c>
      <c r="O31581">
        <f>IF(N31581="","",'Master Barang'!B75)</f>
        <v>0</v>
      </c>
      <c r="P31581">
        <f>IF(OR(M31581="",N31581=""),"",SUMIFS('Barang Keluar'!$E:$E,'Barang Keluar'!$A:$A,M31581,'Barang Keluar'!$C:$C,N31581))</f>
        <v>0</v>
      </c>
    </row>
    <row r="31582" spans="13:16">
      <c r="M31582" s="49">
        <f>IF($A$4+315&gt;$B$4,"",$A$4+315)</f>
        <v>46338</v>
      </c>
      <c r="N31582">
        <f>IF(M31582="","",'Master Barang'!A76)</f>
        <v>0</v>
      </c>
      <c r="O31582">
        <f>IF(N31582="","",'Master Barang'!B76)</f>
        <v>0</v>
      </c>
      <c r="P31582">
        <f>IF(OR(M31582="",N31582=""),"",SUMIFS('Barang Keluar'!$E:$E,'Barang Keluar'!$A:$A,M31582,'Barang Keluar'!$C:$C,N31582))</f>
        <v>0</v>
      </c>
    </row>
    <row r="31583" spans="13:16">
      <c r="M31583" s="49">
        <f>IF($A$4+315&gt;$B$4,"",$A$4+315)</f>
        <v>46338</v>
      </c>
      <c r="N31583">
        <f>IF(M31583="","",'Master Barang'!A77)</f>
        <v>0</v>
      </c>
      <c r="O31583">
        <f>IF(N31583="","",'Master Barang'!B77)</f>
        <v>0</v>
      </c>
      <c r="P31583">
        <f>IF(OR(M31583="",N31583=""),"",SUMIFS('Barang Keluar'!$E:$E,'Barang Keluar'!$A:$A,M31583,'Barang Keluar'!$C:$C,N31583))</f>
        <v>0</v>
      </c>
    </row>
    <row r="31584" spans="13:16">
      <c r="M31584" s="49">
        <f>IF($A$4+315&gt;$B$4,"",$A$4+315)</f>
        <v>46338</v>
      </c>
      <c r="N31584">
        <f>IF(M31584="","",'Master Barang'!A78)</f>
        <v>0</v>
      </c>
      <c r="O31584">
        <f>IF(N31584="","",'Master Barang'!B78)</f>
        <v>0</v>
      </c>
      <c r="P31584">
        <f>IF(OR(M31584="",N31584=""),"",SUMIFS('Barang Keluar'!$E:$E,'Barang Keluar'!$A:$A,M31584,'Barang Keluar'!$C:$C,N31584))</f>
        <v>0</v>
      </c>
    </row>
    <row r="31585" spans="13:16">
      <c r="M31585" s="49">
        <f>IF($A$4+315&gt;$B$4,"",$A$4+315)</f>
        <v>46338</v>
      </c>
      <c r="N31585">
        <f>IF(M31585="","",'Master Barang'!A79)</f>
        <v>0</v>
      </c>
      <c r="O31585">
        <f>IF(N31585="","",'Master Barang'!B79)</f>
        <v>0</v>
      </c>
      <c r="P31585">
        <f>IF(OR(M31585="",N31585=""),"",SUMIFS('Barang Keluar'!$E:$E,'Barang Keluar'!$A:$A,M31585,'Barang Keluar'!$C:$C,N31585))</f>
        <v>0</v>
      </c>
    </row>
    <row r="31586" spans="13:16">
      <c r="M31586" s="49">
        <f>IF($A$4+315&gt;$B$4,"",$A$4+315)</f>
        <v>46338</v>
      </c>
      <c r="N31586">
        <f>IF(M31586="","",'Master Barang'!A80)</f>
        <v>0</v>
      </c>
      <c r="O31586">
        <f>IF(N31586="","",'Master Barang'!B80)</f>
        <v>0</v>
      </c>
      <c r="P31586">
        <f>IF(OR(M31586="",N31586=""),"",SUMIFS('Barang Keluar'!$E:$E,'Barang Keluar'!$A:$A,M31586,'Barang Keluar'!$C:$C,N31586))</f>
        <v>0</v>
      </c>
    </row>
    <row r="31587" spans="13:16">
      <c r="M31587" s="49">
        <f>IF($A$4+315&gt;$B$4,"",$A$4+315)</f>
        <v>46338</v>
      </c>
      <c r="N31587">
        <f>IF(M31587="","",'Master Barang'!A81)</f>
        <v>0</v>
      </c>
      <c r="O31587">
        <f>IF(N31587="","",'Master Barang'!B81)</f>
        <v>0</v>
      </c>
      <c r="P31587">
        <f>IF(OR(M31587="",N31587=""),"",SUMIFS('Barang Keluar'!$E:$E,'Barang Keluar'!$A:$A,M31587,'Barang Keluar'!$C:$C,N31587))</f>
        <v>0</v>
      </c>
    </row>
    <row r="31588" spans="13:16">
      <c r="M31588" s="49">
        <f>IF($A$4+315&gt;$B$4,"",$A$4+315)</f>
        <v>46338</v>
      </c>
      <c r="N31588">
        <f>IF(M31588="","",'Master Barang'!A82)</f>
        <v>0</v>
      </c>
      <c r="O31588">
        <f>IF(N31588="","",'Master Barang'!B82)</f>
        <v>0</v>
      </c>
      <c r="P31588">
        <f>IF(OR(M31588="",N31588=""),"",SUMIFS('Barang Keluar'!$E:$E,'Barang Keluar'!$A:$A,M31588,'Barang Keluar'!$C:$C,N31588))</f>
        <v>0</v>
      </c>
    </row>
    <row r="31589" spans="13:16">
      <c r="M31589" s="49">
        <f>IF($A$4+315&gt;$B$4,"",$A$4+315)</f>
        <v>46338</v>
      </c>
      <c r="N31589">
        <f>IF(M31589="","",'Master Barang'!A83)</f>
        <v>0</v>
      </c>
      <c r="O31589">
        <f>IF(N31589="","",'Master Barang'!B83)</f>
        <v>0</v>
      </c>
      <c r="P31589">
        <f>IF(OR(M31589="",N31589=""),"",SUMIFS('Barang Keluar'!$E:$E,'Barang Keluar'!$A:$A,M31589,'Barang Keluar'!$C:$C,N31589))</f>
        <v>0</v>
      </c>
    </row>
    <row r="31590" spans="13:16">
      <c r="M31590" s="49">
        <f>IF($A$4+315&gt;$B$4,"",$A$4+315)</f>
        <v>46338</v>
      </c>
      <c r="N31590">
        <f>IF(M31590="","",'Master Barang'!A84)</f>
        <v>0</v>
      </c>
      <c r="O31590">
        <f>IF(N31590="","",'Master Barang'!B84)</f>
        <v>0</v>
      </c>
      <c r="P31590">
        <f>IF(OR(M31590="",N31590=""),"",SUMIFS('Barang Keluar'!$E:$E,'Barang Keluar'!$A:$A,M31590,'Barang Keluar'!$C:$C,N31590))</f>
        <v>0</v>
      </c>
    </row>
    <row r="31591" spans="13:16">
      <c r="M31591" s="49">
        <f>IF($A$4+315&gt;$B$4,"",$A$4+315)</f>
        <v>46338</v>
      </c>
      <c r="N31591">
        <f>IF(M31591="","",'Master Barang'!A85)</f>
        <v>0</v>
      </c>
      <c r="O31591">
        <f>IF(N31591="","",'Master Barang'!B85)</f>
        <v>0</v>
      </c>
      <c r="P31591">
        <f>IF(OR(M31591="",N31591=""),"",SUMIFS('Barang Keluar'!$E:$E,'Barang Keluar'!$A:$A,M31591,'Barang Keluar'!$C:$C,N31591))</f>
        <v>0</v>
      </c>
    </row>
    <row r="31592" spans="13:16">
      <c r="M31592" s="49">
        <f>IF($A$4+315&gt;$B$4,"",$A$4+315)</f>
        <v>46338</v>
      </c>
      <c r="N31592">
        <f>IF(M31592="","",'Master Barang'!A86)</f>
        <v>0</v>
      </c>
      <c r="O31592">
        <f>IF(N31592="","",'Master Barang'!B86)</f>
        <v>0</v>
      </c>
      <c r="P31592">
        <f>IF(OR(M31592="",N31592=""),"",SUMIFS('Barang Keluar'!$E:$E,'Barang Keluar'!$A:$A,M31592,'Barang Keluar'!$C:$C,N31592))</f>
        <v>0</v>
      </c>
    </row>
    <row r="31593" spans="13:16">
      <c r="M31593" s="49">
        <f>IF($A$4+315&gt;$B$4,"",$A$4+315)</f>
        <v>46338</v>
      </c>
      <c r="N31593">
        <f>IF(M31593="","",'Master Barang'!A87)</f>
        <v>0</v>
      </c>
      <c r="O31593">
        <f>IF(N31593="","",'Master Barang'!B87)</f>
        <v>0</v>
      </c>
      <c r="P31593">
        <f>IF(OR(M31593="",N31593=""),"",SUMIFS('Barang Keluar'!$E:$E,'Barang Keluar'!$A:$A,M31593,'Barang Keluar'!$C:$C,N31593))</f>
        <v>0</v>
      </c>
    </row>
    <row r="31594" spans="13:16">
      <c r="M31594" s="49">
        <f>IF($A$4+315&gt;$B$4,"",$A$4+315)</f>
        <v>46338</v>
      </c>
      <c r="N31594">
        <f>IF(M31594="","",'Master Barang'!A88)</f>
        <v>0</v>
      </c>
      <c r="O31594">
        <f>IF(N31594="","",'Master Barang'!B88)</f>
        <v>0</v>
      </c>
      <c r="P31594">
        <f>IF(OR(M31594="",N31594=""),"",SUMIFS('Barang Keluar'!$E:$E,'Barang Keluar'!$A:$A,M31594,'Barang Keluar'!$C:$C,N31594))</f>
        <v>0</v>
      </c>
    </row>
    <row r="31595" spans="13:16">
      <c r="M31595" s="49">
        <f>IF($A$4+315&gt;$B$4,"",$A$4+315)</f>
        <v>46338</v>
      </c>
      <c r="N31595">
        <f>IF(M31595="","",'Master Barang'!A89)</f>
        <v>0</v>
      </c>
      <c r="O31595">
        <f>IF(N31595="","",'Master Barang'!B89)</f>
        <v>0</v>
      </c>
      <c r="P31595">
        <f>IF(OR(M31595="",N31595=""),"",SUMIFS('Barang Keluar'!$E:$E,'Barang Keluar'!$A:$A,M31595,'Barang Keluar'!$C:$C,N31595))</f>
        <v>0</v>
      </c>
    </row>
    <row r="31596" spans="13:16">
      <c r="M31596" s="49">
        <f>IF($A$4+315&gt;$B$4,"",$A$4+315)</f>
        <v>46338</v>
      </c>
      <c r="N31596">
        <f>IF(M31596="","",'Master Barang'!A90)</f>
        <v>0</v>
      </c>
      <c r="O31596">
        <f>IF(N31596="","",'Master Barang'!B90)</f>
        <v>0</v>
      </c>
      <c r="P31596">
        <f>IF(OR(M31596="",N31596=""),"",SUMIFS('Barang Keluar'!$E:$E,'Barang Keluar'!$A:$A,M31596,'Barang Keluar'!$C:$C,N31596))</f>
        <v>0</v>
      </c>
    </row>
    <row r="31597" spans="13:16">
      <c r="M31597" s="49">
        <f>IF($A$4+315&gt;$B$4,"",$A$4+315)</f>
        <v>46338</v>
      </c>
      <c r="N31597">
        <f>IF(M31597="","",'Master Barang'!A91)</f>
        <v>0</v>
      </c>
      <c r="O31597">
        <f>IF(N31597="","",'Master Barang'!B91)</f>
        <v>0</v>
      </c>
      <c r="P31597">
        <f>IF(OR(M31597="",N31597=""),"",SUMIFS('Barang Keluar'!$E:$E,'Barang Keluar'!$A:$A,M31597,'Barang Keluar'!$C:$C,N31597))</f>
        <v>0</v>
      </c>
    </row>
    <row r="31598" spans="13:16">
      <c r="M31598" s="49">
        <f>IF($A$4+315&gt;$B$4,"",$A$4+315)</f>
        <v>46338</v>
      </c>
      <c r="N31598">
        <f>IF(M31598="","",'Master Barang'!A92)</f>
        <v>0</v>
      </c>
      <c r="O31598">
        <f>IF(N31598="","",'Master Barang'!B92)</f>
        <v>0</v>
      </c>
      <c r="P31598">
        <f>IF(OR(M31598="",N31598=""),"",SUMIFS('Barang Keluar'!$E:$E,'Barang Keluar'!$A:$A,M31598,'Barang Keluar'!$C:$C,N31598))</f>
        <v>0</v>
      </c>
    </row>
    <row r="31599" spans="13:16">
      <c r="M31599" s="49">
        <f>IF($A$4+315&gt;$B$4,"",$A$4+315)</f>
        <v>46338</v>
      </c>
      <c r="N31599">
        <f>IF(M31599="","",'Master Barang'!A93)</f>
        <v>0</v>
      </c>
      <c r="O31599">
        <f>IF(N31599="","",'Master Barang'!B93)</f>
        <v>0</v>
      </c>
      <c r="P31599">
        <f>IF(OR(M31599="",N31599=""),"",SUMIFS('Barang Keluar'!$E:$E,'Barang Keluar'!$A:$A,M31599,'Barang Keluar'!$C:$C,N31599))</f>
        <v>0</v>
      </c>
    </row>
    <row r="31600" spans="13:16">
      <c r="M31600" s="49">
        <f>IF($A$4+315&gt;$B$4,"",$A$4+315)</f>
        <v>46338</v>
      </c>
      <c r="N31600">
        <f>IF(M31600="","",'Master Barang'!A94)</f>
        <v>0</v>
      </c>
      <c r="O31600">
        <f>IF(N31600="","",'Master Barang'!B94)</f>
        <v>0</v>
      </c>
      <c r="P31600">
        <f>IF(OR(M31600="",N31600=""),"",SUMIFS('Barang Keluar'!$E:$E,'Barang Keluar'!$A:$A,M31600,'Barang Keluar'!$C:$C,N31600))</f>
        <v>0</v>
      </c>
    </row>
    <row r="31601" spans="13:16">
      <c r="M31601" s="49">
        <f>IF($A$4+315&gt;$B$4,"",$A$4+315)</f>
        <v>46338</v>
      </c>
      <c r="N31601">
        <f>IF(M31601="","",'Master Barang'!A95)</f>
        <v>0</v>
      </c>
      <c r="O31601">
        <f>IF(N31601="","",'Master Barang'!B95)</f>
        <v>0</v>
      </c>
      <c r="P31601">
        <f>IF(OR(M31601="",N31601=""),"",SUMIFS('Barang Keluar'!$E:$E,'Barang Keluar'!$A:$A,M31601,'Barang Keluar'!$C:$C,N31601))</f>
        <v>0</v>
      </c>
    </row>
    <row r="31602" spans="13:16">
      <c r="M31602" s="49">
        <f>IF($A$4+315&gt;$B$4,"",$A$4+315)</f>
        <v>46338</v>
      </c>
      <c r="N31602">
        <f>IF(M31602="","",'Master Barang'!A96)</f>
        <v>0</v>
      </c>
      <c r="O31602">
        <f>IF(N31602="","",'Master Barang'!B96)</f>
        <v>0</v>
      </c>
      <c r="P31602">
        <f>IF(OR(M31602="",N31602=""),"",SUMIFS('Barang Keluar'!$E:$E,'Barang Keluar'!$A:$A,M31602,'Barang Keluar'!$C:$C,N31602))</f>
        <v>0</v>
      </c>
    </row>
    <row r="31603" spans="13:16">
      <c r="M31603" s="49">
        <f>IF($A$4+315&gt;$B$4,"",$A$4+315)</f>
        <v>46338</v>
      </c>
      <c r="N31603">
        <f>IF(M31603="","",'Master Barang'!A97)</f>
        <v>0</v>
      </c>
      <c r="O31603">
        <f>IF(N31603="","",'Master Barang'!B97)</f>
        <v>0</v>
      </c>
      <c r="P31603">
        <f>IF(OR(M31603="",N31603=""),"",SUMIFS('Barang Keluar'!$E:$E,'Barang Keluar'!$A:$A,M31603,'Barang Keluar'!$C:$C,N31603))</f>
        <v>0</v>
      </c>
    </row>
    <row r="31604" spans="13:16">
      <c r="M31604" s="49">
        <f>IF($A$4+315&gt;$B$4,"",$A$4+315)</f>
        <v>46338</v>
      </c>
      <c r="N31604">
        <f>IF(M31604="","",'Master Barang'!A98)</f>
        <v>0</v>
      </c>
      <c r="O31604">
        <f>IF(N31604="","",'Master Barang'!B98)</f>
        <v>0</v>
      </c>
      <c r="P31604">
        <f>IF(OR(M31604="",N31604=""),"",SUMIFS('Barang Keluar'!$E:$E,'Barang Keluar'!$A:$A,M31604,'Barang Keluar'!$C:$C,N31604))</f>
        <v>0</v>
      </c>
    </row>
    <row r="31605" spans="13:16">
      <c r="M31605" s="49">
        <f>IF($A$4+315&gt;$B$4,"",$A$4+315)</f>
        <v>46338</v>
      </c>
      <c r="N31605">
        <f>IF(M31605="","",'Master Barang'!A99)</f>
        <v>0</v>
      </c>
      <c r="O31605">
        <f>IF(N31605="","",'Master Barang'!B99)</f>
        <v>0</v>
      </c>
      <c r="P31605">
        <f>IF(OR(M31605="",N31605=""),"",SUMIFS('Barang Keluar'!$E:$E,'Barang Keluar'!$A:$A,M31605,'Barang Keluar'!$C:$C,N31605))</f>
        <v>0</v>
      </c>
    </row>
    <row r="31606" spans="13:16">
      <c r="M31606" s="49">
        <f>IF($A$4+315&gt;$B$4,"",$A$4+315)</f>
        <v>46338</v>
      </c>
      <c r="N31606">
        <f>IF(M31606="","",'Master Barang'!A100)</f>
        <v>0</v>
      </c>
      <c r="O31606">
        <f>IF(N31606="","",'Master Barang'!B100)</f>
        <v>0</v>
      </c>
      <c r="P31606">
        <f>IF(OR(M31606="",N31606=""),"",SUMIFS('Barang Keluar'!$E:$E,'Barang Keluar'!$A:$A,M31606,'Barang Keluar'!$C:$C,N31606))</f>
        <v>0</v>
      </c>
    </row>
    <row r="31607" spans="13:16">
      <c r="M31607" s="49">
        <f>IF($A$4+315&gt;$B$4,"",$A$4+315)</f>
        <v>46338</v>
      </c>
      <c r="N31607">
        <f>IF(M31607="","",'Master Barang'!A101)</f>
        <v>0</v>
      </c>
      <c r="O31607">
        <f>IF(N31607="","",'Master Barang'!B101)</f>
        <v>0</v>
      </c>
      <c r="P31607">
        <f>IF(OR(M31607="",N31607=""),"",SUMIFS('Barang Keluar'!$E:$E,'Barang Keluar'!$A:$A,M31607,'Barang Keluar'!$C:$C,N31607))</f>
        <v>0</v>
      </c>
    </row>
    <row r="31608" spans="13:16">
      <c r="M31608" s="49">
        <f>IF($A$4+316&gt;$B$4,"",$A$4+316)</f>
        <v>46339</v>
      </c>
      <c r="N31608" t="str">
        <f>IF(M31608="","",'Master Barang'!A2)</f>
        <v>PRL-001</v>
      </c>
      <c r="O31608" t="str">
        <f>IF(N31608="","",'Master Barang'!B2)</f>
        <v>natura desinfectant food grade 5l</v>
      </c>
      <c r="P31608">
        <f>IF(OR(M31608="",N31608=""),"",SUMIFS('Barang Keluar'!$E:$E,'Barang Keluar'!$A:$A,M31608,'Barang Keluar'!$C:$C,N31608))</f>
        <v>0</v>
      </c>
    </row>
    <row r="31609" spans="13:16">
      <c r="M31609" s="49">
        <f>IF($A$4+316&gt;$B$4,"",$A$4+316)</f>
        <v>46339</v>
      </c>
      <c r="N31609" t="str">
        <f>IF(M31609="","",'Master Barang'!A3)</f>
        <v>PRL-002</v>
      </c>
      <c r="O31609" t="str">
        <f>IF(N31609="","",'Master Barang'!B3)</f>
        <v>sunlight cairan pencuci piring 5l</v>
      </c>
      <c r="P31609">
        <f>IF(OR(M31609="",N31609=""),"",SUMIFS('Barang Keluar'!$E:$E,'Barang Keluar'!$A:$A,M31609,'Barang Keluar'!$C:$C,N31609))</f>
        <v>0</v>
      </c>
    </row>
    <row r="31610" spans="13:16">
      <c r="M31610" s="49">
        <f>IF($A$4+316&gt;$B$4,"",$A$4+316)</f>
        <v>46339</v>
      </c>
      <c r="N31610" t="str">
        <f>IF(M31610="","",'Master Barang'!A4)</f>
        <v>PRL-003</v>
      </c>
      <c r="O31610" t="str">
        <f>IF(N31610="","",'Master Barang'!B4)</f>
        <v>oixs cleaner 1l</v>
      </c>
      <c r="P31610">
        <f>IF(OR(M31610="",N31610=""),"",SUMIFS('Barang Keluar'!$E:$E,'Barang Keluar'!$A:$A,M31610,'Barang Keluar'!$C:$C,N31610))</f>
        <v>0</v>
      </c>
    </row>
    <row r="31611" spans="13:16">
      <c r="M31611" s="49">
        <f>IF($A$4+316&gt;$B$4,"",$A$4+316)</f>
        <v>46339</v>
      </c>
      <c r="N31611" t="str">
        <f>IF(M31611="","",'Master Barang'!A5)</f>
        <v>PRL-004</v>
      </c>
      <c r="O31611" t="str">
        <f>IF(N31611="","",'Master Barang'!B5)</f>
        <v>be clean tissue serbaguna</v>
      </c>
      <c r="P31611">
        <f>IF(OR(M31611="",N31611=""),"",SUMIFS('Barang Keluar'!$E:$E,'Barang Keluar'!$A:$A,M31611,'Barang Keluar'!$C:$C,N31611))</f>
        <v>0</v>
      </c>
    </row>
    <row r="31612" spans="13:16">
      <c r="M31612" s="49">
        <f>IF($A$4+316&gt;$B$4,"",$A$4+316)</f>
        <v>46339</v>
      </c>
      <c r="N31612" t="str">
        <f>IF(M31612="","",'Master Barang'!A6)</f>
        <v>PRL-005</v>
      </c>
      <c r="O31612" t="str">
        <f>IF(N31612="","",'Master Barang'!B6)</f>
        <v>spons cuci hijau</v>
      </c>
      <c r="P31612">
        <f>IF(OR(M31612="",N31612=""),"",SUMIFS('Barang Keluar'!$E:$E,'Barang Keluar'!$A:$A,M31612,'Barang Keluar'!$C:$C,N31612))</f>
        <v>0</v>
      </c>
    </row>
    <row r="31613" spans="13:16">
      <c r="M31613" s="49">
        <f>IF($A$4+316&gt;$B$4,"",$A$4+316)</f>
        <v>46339</v>
      </c>
      <c r="N31613" t="str">
        <f>IF(M31613="","",'Master Barang'!A7)</f>
        <v>PRL-006</v>
      </c>
      <c r="O31613" t="str">
        <f>IF(N31613="","",'Master Barang'!B7)</f>
        <v>sabut cuci stainless</v>
      </c>
      <c r="P31613">
        <f>IF(OR(M31613="",N31613=""),"",SUMIFS('Barang Keluar'!$E:$E,'Barang Keluar'!$A:$A,M31613,'Barang Keluar'!$C:$C,N31613))</f>
        <v>0</v>
      </c>
    </row>
    <row r="31614" spans="13:16">
      <c r="M31614" s="49">
        <f>IF($A$4+316&gt;$B$4,"",$A$4+316)</f>
        <v>46339</v>
      </c>
      <c r="N31614" t="str">
        <f>IF(M31614="","",'Master Barang'!A8)</f>
        <v>PRL-007</v>
      </c>
      <c r="O31614" t="str">
        <f>IF(N31614="","",'Master Barang'!B8)</f>
        <v>plastik kresek besar merah 50pc</v>
      </c>
      <c r="P31614">
        <f>IF(OR(M31614="",N31614=""),"",SUMIFS('Barang Keluar'!$E:$E,'Barang Keluar'!$A:$A,M31614,'Barang Keluar'!$C:$C,N31614))</f>
        <v>0</v>
      </c>
    </row>
    <row r="31615" spans="13:16">
      <c r="M31615" s="49">
        <f>IF($A$4+316&gt;$B$4,"",$A$4+316)</f>
        <v>46339</v>
      </c>
      <c r="N31615" t="str">
        <f>IF(M31615="","",'Master Barang'!A9)</f>
        <v>PRL-008</v>
      </c>
      <c r="O31615" t="str">
        <f>IF(N31615="","",'Master Barang'!B9)</f>
        <v>lap besar</v>
      </c>
      <c r="P31615">
        <f>IF(OR(M31615="",N31615=""),"",SUMIFS('Barang Keluar'!$E:$E,'Barang Keluar'!$A:$A,M31615,'Barang Keluar'!$C:$C,N31615))</f>
        <v>0</v>
      </c>
    </row>
    <row r="31616" spans="13:16">
      <c r="M31616" s="49">
        <f>IF($A$4+316&gt;$B$4,"",$A$4+316)</f>
        <v>46339</v>
      </c>
      <c r="N31616" t="str">
        <f>IF(M31616="","",'Master Barang'!A10)</f>
        <v>PRL-009</v>
      </c>
      <c r="O31616" t="str">
        <f>IF(N31616="","",'Master Barang'!B10)</f>
        <v>lap microfiber</v>
      </c>
      <c r="P31616">
        <f>IF(OR(M31616="",N31616=""),"",SUMIFS('Barang Keluar'!$E:$E,'Barang Keluar'!$A:$A,M31616,'Barang Keluar'!$C:$C,N31616))</f>
        <v>0</v>
      </c>
    </row>
    <row r="31617" spans="13:16">
      <c r="M31617" s="49">
        <f>IF($A$4+316&gt;$B$4,"",$A$4+316)</f>
        <v>46339</v>
      </c>
      <c r="N31617" t="str">
        <f>IF(M31617="","",'Master Barang'!A11)</f>
        <v>PRL-010</v>
      </c>
      <c r="O31617" t="str">
        <f>IF(N31617="","",'Master Barang'!B11)</f>
        <v>lap kecil</v>
      </c>
      <c r="P31617">
        <f>IF(OR(M31617="",N31617=""),"",SUMIFS('Barang Keluar'!$E:$E,'Barang Keluar'!$A:$A,M31617,'Barang Keluar'!$C:$C,N31617))</f>
        <v>0</v>
      </c>
    </row>
    <row r="31618" spans="13:16">
      <c r="M31618" s="49">
        <f>IF($A$4+316&gt;$B$4,"",$A$4+316)</f>
        <v>46339</v>
      </c>
      <c r="N31618" t="str">
        <f>IF(M31618="","",'Master Barang'!A12)</f>
        <v>PRL-011</v>
      </c>
      <c r="O31618" t="str">
        <f>IF(N31618="","",'Master Barang'!B12)</f>
        <v>kanebo kecil</v>
      </c>
      <c r="P31618">
        <f>IF(OR(M31618="",N31618=""),"",SUMIFS('Barang Keluar'!$E:$E,'Barang Keluar'!$A:$A,M31618,'Barang Keluar'!$C:$C,N31618))</f>
        <v>0</v>
      </c>
    </row>
    <row r="31619" spans="13:16">
      <c r="M31619" s="49">
        <f>IF($A$4+316&gt;$B$4,"",$A$4+316)</f>
        <v>46339</v>
      </c>
      <c r="N31619" t="str">
        <f>IF(M31619="","",'Master Barang'!A13)</f>
        <v>PRL-012</v>
      </c>
      <c r="O31619" t="str">
        <f>IF(N31619="","",'Master Barang'!B13)</f>
        <v>plastik 1/4kg joyoboyo 100 lembar</v>
      </c>
      <c r="P31619">
        <f>IF(OR(M31619="",N31619=""),"",SUMIFS('Barang Keluar'!$E:$E,'Barang Keluar'!$A:$A,M31619,'Barang Keluar'!$C:$C,N31619))</f>
        <v>0</v>
      </c>
    </row>
    <row r="31620" spans="13:16">
      <c r="M31620" s="49">
        <f>IF($A$4+316&gt;$B$4,"",$A$4+316)</f>
        <v>46339</v>
      </c>
      <c r="N31620" t="str">
        <f>IF(M31620="","",'Master Barang'!A14)</f>
        <v>PRL-013</v>
      </c>
      <c r="O31620" t="str">
        <f>IF(N31620="","",'Master Barang'!B14)</f>
        <v>sarung tangan plastik kaka 100 pcs</v>
      </c>
      <c r="P31620">
        <f>IF(OR(M31620="",N31620=""),"",SUMIFS('Barang Keluar'!$E:$E,'Barang Keluar'!$A:$A,M31620,'Barang Keluar'!$C:$C,N31620))</f>
        <v>0</v>
      </c>
    </row>
    <row r="31621" spans="13:16">
      <c r="M31621" s="49">
        <f>IF($A$4+316&gt;$B$4,"",$A$4+316)</f>
        <v>46339</v>
      </c>
      <c r="N31621" t="str">
        <f>IF(M31621="","",'Master Barang'!A15)</f>
        <v>PRL-014</v>
      </c>
      <c r="O31621" t="str">
        <f>IF(N31621="","",'Master Barang'!B15)</f>
        <v>optima trashbag 80x100</v>
      </c>
      <c r="P31621">
        <f>IF(OR(M31621="",N31621=""),"",SUMIFS('Barang Keluar'!$E:$E,'Barang Keluar'!$A:$A,M31621,'Barang Keluar'!$C:$C,N31621))</f>
        <v>0</v>
      </c>
    </row>
    <row r="31622" spans="13:16">
      <c r="M31622" s="49">
        <f>IF($A$4+316&gt;$B$4,"",$A$4+316)</f>
        <v>46339</v>
      </c>
      <c r="N31622" t="str">
        <f>IF(M31622="","",'Master Barang'!A16)</f>
        <v>PRL-015</v>
      </c>
      <c r="O31622" t="str">
        <f>IF(N31622="","",'Master Barang'!B16)</f>
        <v>optima trashbag 60x100</v>
      </c>
      <c r="P31622">
        <f>IF(OR(M31622="",N31622=""),"",SUMIFS('Barang Keluar'!$E:$E,'Barang Keluar'!$A:$A,M31622,'Barang Keluar'!$C:$C,N31622))</f>
        <v>0</v>
      </c>
    </row>
    <row r="31623" spans="13:16">
      <c r="M31623" s="49">
        <f>IF($A$4+316&gt;$B$4,"",$A$4+316)</f>
        <v>46339</v>
      </c>
      <c r="N31623" t="str">
        <f>IF(M31623="","",'Master Barang'!A17)</f>
        <v>PRL-016</v>
      </c>
      <c r="O31623" t="str">
        <f>IF(N31623="","",'Master Barang'!B17)</f>
        <v>rajawali trashbag 30x40</v>
      </c>
      <c r="P31623">
        <f>IF(OR(M31623="",N31623=""),"",SUMIFS('Barang Keluar'!$E:$E,'Barang Keluar'!$A:$A,M31623,'Barang Keluar'!$C:$C,N31623))</f>
        <v>0</v>
      </c>
    </row>
    <row r="31624" spans="13:16">
      <c r="M31624" s="49">
        <f>IF($A$4+316&gt;$B$4,"",$A$4+316)</f>
        <v>46339</v>
      </c>
      <c r="N31624" t="str">
        <f>IF(M31624="","",'Master Barang'!A18)</f>
        <v>PRL-017</v>
      </c>
      <c r="O31624" t="str">
        <f>IF(N31624="","",'Master Barang'!B18)</f>
        <v>onemed masker biru 3 play 50 pcs</v>
      </c>
      <c r="P31624">
        <f>IF(OR(M31624="",N31624=""),"",SUMIFS('Barang Keluar'!$E:$E,'Barang Keluar'!$A:$A,M31624,'Barang Keluar'!$C:$C,N31624))</f>
        <v>0</v>
      </c>
    </row>
    <row r="31625" spans="13:16">
      <c r="M31625" s="49">
        <f>IF($A$4+316&gt;$B$4,"",$A$4+316)</f>
        <v>46339</v>
      </c>
      <c r="N31625" t="str">
        <f>IF(M31625="","",'Master Barang'!A19)</f>
        <v>PRL-018</v>
      </c>
      <c r="O31625" t="str">
        <f>IF(N31625="","",'Master Barang'!B19)</f>
        <v>onemed masker biru 3 play hijab 50 pcs</v>
      </c>
      <c r="P31625">
        <f>IF(OR(M31625="",N31625=""),"",SUMIFS('Barang Keluar'!$E:$E,'Barang Keluar'!$A:$A,M31625,'Barang Keluar'!$C:$C,N31625))</f>
        <v>0</v>
      </c>
    </row>
    <row r="31626" spans="13:16">
      <c r="M31626" s="49">
        <f>IF($A$4+316&gt;$B$4,"",$A$4+316)</f>
        <v>46339</v>
      </c>
      <c r="N31626" t="str">
        <f>IF(M31626="","",'Master Barang'!A20)</f>
        <v>PRL-019</v>
      </c>
      <c r="O31626" t="str">
        <f>IF(N31626="","",'Master Barang'!B20)</f>
        <v>neo health masker biru 3 play 50 pcs</v>
      </c>
      <c r="P31626">
        <f>IF(OR(M31626="",N31626=""),"",SUMIFS('Barang Keluar'!$E:$E,'Barang Keluar'!$A:$A,M31626,'Barang Keluar'!$C:$C,N31626))</f>
        <v>0</v>
      </c>
    </row>
    <row r="31627" spans="13:16">
      <c r="M31627" s="49">
        <f>IF($A$4+316&gt;$B$4,"",$A$4+316)</f>
        <v>46339</v>
      </c>
      <c r="N31627" t="str">
        <f>IF(M31627="","",'Master Barang'!A21)</f>
        <v>PRL-020</v>
      </c>
      <c r="O31627" t="str">
        <f>IF(N31627="","",'Master Barang'!B21)</f>
        <v>baymed masker hijau 3 play hijau 50 pcs</v>
      </c>
      <c r="P31627">
        <f>IF(OR(M31627="",N31627=""),"",SUMIFS('Barang Keluar'!$E:$E,'Barang Keluar'!$A:$A,M31627,'Barang Keluar'!$C:$C,N31627))</f>
        <v>0</v>
      </c>
    </row>
    <row r="31628" spans="13:16">
      <c r="M31628" s="49">
        <f>IF($A$4+316&gt;$B$4,"",$A$4+316)</f>
        <v>46339</v>
      </c>
      <c r="N31628" t="str">
        <f>IF(M31628="","",'Master Barang'!A22)</f>
        <v>PRL-021</v>
      </c>
      <c r="O31628" t="str">
        <f>IF(N31628="","",'Master Barang'!B22)</f>
        <v>altamed nurse cap penutup kepala 100 pcs</v>
      </c>
      <c r="P31628">
        <f>IF(OR(M31628="",N31628=""),"",SUMIFS('Barang Keluar'!$E:$E,'Barang Keluar'!$A:$A,M31628,'Barang Keluar'!$C:$C,N31628))</f>
        <v>0</v>
      </c>
    </row>
    <row r="31629" spans="13:16">
      <c r="M31629" s="49">
        <f>IF($A$4+316&gt;$B$4,"",$A$4+316)</f>
        <v>46339</v>
      </c>
      <c r="N31629" t="str">
        <f>IF(M31629="","",'Master Barang'!A23)</f>
        <v>PRL-022</v>
      </c>
      <c r="O31629" t="str">
        <f>IF(N31629="","",'Master Barang'!B23)</f>
        <v>sabun cuci tangan</v>
      </c>
      <c r="P31629">
        <f>IF(OR(M31629="",N31629=""),"",SUMIFS('Barang Keluar'!$E:$E,'Barang Keluar'!$A:$A,M31629,'Barang Keluar'!$C:$C,N31629))</f>
        <v>0</v>
      </c>
    </row>
    <row r="31630" spans="13:16">
      <c r="M31630" s="49">
        <f>IF($A$4+316&gt;$B$4,"",$A$4+316)</f>
        <v>46339</v>
      </c>
      <c r="N31630" t="str">
        <f>IF(M31630="","",'Master Barang'!A24)</f>
        <v>PRL-023</v>
      </c>
      <c r="O31630" t="str">
        <f>IF(N31630="","",'Master Barang'!B24)</f>
        <v>gayung kecil</v>
      </c>
      <c r="P31630">
        <f>IF(OR(M31630="",N31630=""),"",SUMIFS('Barang Keluar'!$E:$E,'Barang Keluar'!$A:$A,M31630,'Barang Keluar'!$C:$C,N31630))</f>
        <v>0</v>
      </c>
    </row>
    <row r="31631" spans="13:16">
      <c r="M31631" s="49">
        <f>IF($A$4+316&gt;$B$4,"",$A$4+316)</f>
        <v>46339</v>
      </c>
      <c r="N31631" t="str">
        <f>IF(M31631="","",'Master Barang'!A25)</f>
        <v>PRL-024</v>
      </c>
      <c r="O31631" t="str">
        <f>IF(N31631="","",'Master Barang'!B25)</f>
        <v>cikrak kecil</v>
      </c>
      <c r="P31631">
        <f>IF(OR(M31631="",N31631=""),"",SUMIFS('Barang Keluar'!$E:$E,'Barang Keluar'!$A:$A,M31631,'Barang Keluar'!$C:$C,N31631))</f>
        <v>0</v>
      </c>
    </row>
    <row r="31632" spans="13:16">
      <c r="M31632" s="49">
        <f>IF($A$4+316&gt;$B$4,"",$A$4+316)</f>
        <v>46339</v>
      </c>
      <c r="N31632" t="str">
        <f>IF(M31632="","",'Master Barang'!A26)</f>
        <v>PRL-025</v>
      </c>
      <c r="O31632" t="str">
        <f>IF(N31632="","",'Master Barang'!B26)</f>
        <v>petromax plastik kecil 12x24 100 lembar</v>
      </c>
      <c r="P31632">
        <f>IF(OR(M31632="",N31632=""),"",SUMIFS('Barang Keluar'!$E:$E,'Barang Keluar'!$A:$A,M31632,'Barang Keluar'!$C:$C,N31632))</f>
        <v>0</v>
      </c>
    </row>
    <row r="31633" spans="13:16">
      <c r="M31633" s="49">
        <f>IF($A$4+316&gt;$B$4,"",$A$4+316)</f>
        <v>46339</v>
      </c>
      <c r="N31633" t="str">
        <f>IF(M31633="","",'Master Barang'!A27)</f>
        <v>PRL-026</v>
      </c>
      <c r="O31633" t="str">
        <f>IF(N31633="","",'Master Barang'!B27)</f>
        <v>lancar kresek kecil bening </v>
      </c>
      <c r="P31633">
        <f>IF(OR(M31633="",N31633=""),"",SUMIFS('Barang Keluar'!$E:$E,'Barang Keluar'!$A:$A,M31633,'Barang Keluar'!$C:$C,N31633))</f>
        <v>0</v>
      </c>
    </row>
    <row r="31634" spans="13:16">
      <c r="M31634" s="49">
        <f>IF($A$4+316&gt;$B$4,"",$A$4+316)</f>
        <v>46339</v>
      </c>
      <c r="N31634" t="str">
        <f>IF(M31634="","",'Master Barang'!A28)</f>
        <v>PRL-027</v>
      </c>
      <c r="O31634" t="str">
        <f>IF(N31634="","",'Master Barang'!B28)</f>
        <v>kresek klin warna warni kecil</v>
      </c>
      <c r="P31634">
        <f>IF(OR(M31634="",N31634=""),"",SUMIFS('Barang Keluar'!$E:$E,'Barang Keluar'!$A:$A,M31634,'Barang Keluar'!$C:$C,N31634))</f>
        <v>0</v>
      </c>
    </row>
    <row r="31635" spans="13:16">
      <c r="M31635" s="49">
        <f>IF($A$4+316&gt;$B$4,"",$A$4+316)</f>
        <v>46339</v>
      </c>
      <c r="N31635" t="str">
        <f>IF(M31635="","",'Master Barang'!A29)</f>
        <v>PRL-028</v>
      </c>
      <c r="O31635" t="str">
        <f>IF(N31635="","",'Master Barang'!B29)</f>
        <v>ctik plastik 7x10 100 pcs</v>
      </c>
      <c r="P31635">
        <f>IF(OR(M31635="",N31635=""),"",SUMIFS('Barang Keluar'!$E:$E,'Barang Keluar'!$A:$A,M31635,'Barang Keluar'!$C:$C,N31635))</f>
        <v>0</v>
      </c>
    </row>
    <row r="31636" spans="13:16">
      <c r="M31636" s="49">
        <f>IF($A$4+316&gt;$B$4,"",$A$4+316)</f>
        <v>46339</v>
      </c>
      <c r="N31636" t="str">
        <f>IF(M31636="","",'Master Barang'!A30)</f>
        <v>PRL-029</v>
      </c>
      <c r="O31636" t="str">
        <f>IF(N31636="","",'Master Barang'!B30)</f>
        <v>ctik plastik 6x10 100 pcs</v>
      </c>
      <c r="P31636">
        <f>IF(OR(M31636="",N31636=""),"",SUMIFS('Barang Keluar'!$E:$E,'Barang Keluar'!$A:$A,M31636,'Barang Keluar'!$C:$C,N31636))</f>
        <v>0</v>
      </c>
    </row>
    <row r="31637" spans="13:16">
      <c r="M31637" s="49">
        <f>IF($A$4+316&gt;$B$4,"",$A$4+316)</f>
        <v>46339</v>
      </c>
      <c r="N31637" t="str">
        <f>IF(M31637="","",'Master Barang'!A31)</f>
        <v>PRL-030</v>
      </c>
      <c r="O31637" t="str">
        <f>IF(N31637="","",'Master Barang'!B31)</f>
        <v>klip plastik 25x16 100 pcs</v>
      </c>
      <c r="P31637">
        <f>IF(OR(M31637="",N31637=""),"",SUMIFS('Barang Keluar'!$E:$E,'Barang Keluar'!$A:$A,M31637,'Barang Keluar'!$C:$C,N31637))</f>
        <v>0</v>
      </c>
    </row>
    <row r="31638" spans="13:16">
      <c r="M31638" s="49">
        <f>IF($A$4+316&gt;$B$4,"",$A$4+316)</f>
        <v>46339</v>
      </c>
      <c r="N31638" t="str">
        <f>IF(M31638="","",'Master Barang'!A32)</f>
        <v>PRL-031</v>
      </c>
      <c r="O31638" t="str">
        <f>IF(N31638="","",'Master Barang'!B32)</f>
        <v>tempat saus 20 ml</v>
      </c>
      <c r="P31638">
        <f>IF(OR(M31638="",N31638=""),"",SUMIFS('Barang Keluar'!$E:$E,'Barang Keluar'!$A:$A,M31638,'Barang Keluar'!$C:$C,N31638))</f>
        <v>0</v>
      </c>
    </row>
    <row r="31639" spans="13:16">
      <c r="M31639" s="49">
        <f>IF($A$4+316&gt;$B$4,"",$A$4+316)</f>
        <v>46339</v>
      </c>
      <c r="N31639" t="str">
        <f>IF(M31639="","",'Master Barang'!A33)</f>
        <v>PRL-032</v>
      </c>
      <c r="O31639" t="str">
        <f>IF(N31639="","",'Master Barang'!B33)</f>
        <v>plastik packaging ag box uk sedang</v>
      </c>
      <c r="P31639">
        <f>IF(OR(M31639="",N31639=""),"",SUMIFS('Barang Keluar'!$E:$E,'Barang Keluar'!$A:$A,M31639,'Barang Keluar'!$C:$C,N31639))</f>
        <v>0</v>
      </c>
    </row>
    <row r="31640" spans="13:16">
      <c r="M31640" s="49">
        <f>IF($A$4+316&gt;$B$4,"",$A$4+316)</f>
        <v>46339</v>
      </c>
      <c r="N31640" t="str">
        <f>IF(M31640="","",'Master Barang'!A34)</f>
        <v>PRL-033</v>
      </c>
      <c r="O31640">
        <f>IF(N31640="","",'Master Barang'!B34)</f>
        <v>0</v>
      </c>
      <c r="P31640">
        <f>IF(OR(M31640="",N31640=""),"",SUMIFS('Barang Keluar'!$E:$E,'Barang Keluar'!$A:$A,M31640,'Barang Keluar'!$C:$C,N31640))</f>
        <v>0</v>
      </c>
    </row>
    <row r="31641" spans="13:16">
      <c r="M31641" s="49">
        <f>IF($A$4+316&gt;$B$4,"",$A$4+316)</f>
        <v>46339</v>
      </c>
      <c r="N31641">
        <f>IF(M31641="","",'Master Barang'!A35)</f>
        <v>0</v>
      </c>
      <c r="O31641">
        <f>IF(N31641="","",'Master Barang'!B35)</f>
        <v>0</v>
      </c>
      <c r="P31641">
        <f>IF(OR(M31641="",N31641=""),"",SUMIFS('Barang Keluar'!$E:$E,'Barang Keluar'!$A:$A,M31641,'Barang Keluar'!$C:$C,N31641))</f>
        <v>0</v>
      </c>
    </row>
    <row r="31642" spans="13:16">
      <c r="M31642" s="49">
        <f>IF($A$4+316&gt;$B$4,"",$A$4+316)</f>
        <v>46339</v>
      </c>
      <c r="N31642">
        <f>IF(M31642="","",'Master Barang'!A36)</f>
        <v>0</v>
      </c>
      <c r="O31642">
        <f>IF(N31642="","",'Master Barang'!B36)</f>
        <v>0</v>
      </c>
      <c r="P31642">
        <f>IF(OR(M31642="",N31642=""),"",SUMIFS('Barang Keluar'!$E:$E,'Barang Keluar'!$A:$A,M31642,'Barang Keluar'!$C:$C,N31642))</f>
        <v>0</v>
      </c>
    </row>
    <row r="31643" spans="13:16">
      <c r="M31643" s="49">
        <f>IF($A$4+316&gt;$B$4,"",$A$4+316)</f>
        <v>46339</v>
      </c>
      <c r="N31643">
        <f>IF(M31643="","",'Master Barang'!A37)</f>
        <v>0</v>
      </c>
      <c r="O31643">
        <f>IF(N31643="","",'Master Barang'!B37)</f>
        <v>0</v>
      </c>
      <c r="P31643">
        <f>IF(OR(M31643="",N31643=""),"",SUMIFS('Barang Keluar'!$E:$E,'Barang Keluar'!$A:$A,M31643,'Barang Keluar'!$C:$C,N31643))</f>
        <v>0</v>
      </c>
    </row>
    <row r="31644" spans="13:16">
      <c r="M31644" s="49">
        <f>IF($A$4+316&gt;$B$4,"",$A$4+316)</f>
        <v>46339</v>
      </c>
      <c r="N31644">
        <f>IF(M31644="","",'Master Barang'!A38)</f>
        <v>0</v>
      </c>
      <c r="O31644">
        <f>IF(N31644="","",'Master Barang'!B38)</f>
        <v>0</v>
      </c>
      <c r="P31644">
        <f>IF(OR(M31644="",N31644=""),"",SUMIFS('Barang Keluar'!$E:$E,'Barang Keluar'!$A:$A,M31644,'Barang Keluar'!$C:$C,N31644))</f>
        <v>0</v>
      </c>
    </row>
    <row r="31645" spans="13:16">
      <c r="M31645" s="49">
        <f>IF($A$4+316&gt;$B$4,"",$A$4+316)</f>
        <v>46339</v>
      </c>
      <c r="N31645">
        <f>IF(M31645="","",'Master Barang'!A39)</f>
        <v>0</v>
      </c>
      <c r="O31645">
        <f>IF(N31645="","",'Master Barang'!B39)</f>
        <v>0</v>
      </c>
      <c r="P31645">
        <f>IF(OR(M31645="",N31645=""),"",SUMIFS('Barang Keluar'!$E:$E,'Barang Keluar'!$A:$A,M31645,'Barang Keluar'!$C:$C,N31645))</f>
        <v>0</v>
      </c>
    </row>
    <row r="31646" spans="13:16">
      <c r="M31646" s="49">
        <f>IF($A$4+316&gt;$B$4,"",$A$4+316)</f>
        <v>46339</v>
      </c>
      <c r="N31646">
        <f>IF(M31646="","",'Master Barang'!A40)</f>
        <v>0</v>
      </c>
      <c r="O31646">
        <f>IF(N31646="","",'Master Barang'!B40)</f>
        <v>0</v>
      </c>
      <c r="P31646">
        <f>IF(OR(M31646="",N31646=""),"",SUMIFS('Barang Keluar'!$E:$E,'Barang Keluar'!$A:$A,M31646,'Barang Keluar'!$C:$C,N31646))</f>
        <v>0</v>
      </c>
    </row>
    <row r="31647" spans="13:16">
      <c r="M31647" s="49">
        <f>IF($A$4+316&gt;$B$4,"",$A$4+316)</f>
        <v>46339</v>
      </c>
      <c r="N31647">
        <f>IF(M31647="","",'Master Barang'!A41)</f>
        <v>0</v>
      </c>
      <c r="O31647">
        <f>IF(N31647="","",'Master Barang'!B41)</f>
        <v>0</v>
      </c>
      <c r="P31647">
        <f>IF(OR(M31647="",N31647=""),"",SUMIFS('Barang Keluar'!$E:$E,'Barang Keluar'!$A:$A,M31647,'Barang Keluar'!$C:$C,N31647))</f>
        <v>0</v>
      </c>
    </row>
    <row r="31648" spans="13:16">
      <c r="M31648" s="49">
        <f>IF($A$4+316&gt;$B$4,"",$A$4+316)</f>
        <v>46339</v>
      </c>
      <c r="N31648">
        <f>IF(M31648="","",'Master Barang'!A42)</f>
        <v>0</v>
      </c>
      <c r="O31648">
        <f>IF(N31648="","",'Master Barang'!B42)</f>
        <v>0</v>
      </c>
      <c r="P31648">
        <f>IF(OR(M31648="",N31648=""),"",SUMIFS('Barang Keluar'!$E:$E,'Barang Keluar'!$A:$A,M31648,'Barang Keluar'!$C:$C,N31648))</f>
        <v>0</v>
      </c>
    </row>
    <row r="31649" spans="13:16">
      <c r="M31649" s="49">
        <f>IF($A$4+316&gt;$B$4,"",$A$4+316)</f>
        <v>46339</v>
      </c>
      <c r="N31649">
        <f>IF(M31649="","",'Master Barang'!A43)</f>
        <v>0</v>
      </c>
      <c r="O31649">
        <f>IF(N31649="","",'Master Barang'!B43)</f>
        <v>0</v>
      </c>
      <c r="P31649">
        <f>IF(OR(M31649="",N31649=""),"",SUMIFS('Barang Keluar'!$E:$E,'Barang Keluar'!$A:$A,M31649,'Barang Keluar'!$C:$C,N31649))</f>
        <v>0</v>
      </c>
    </row>
    <row r="31650" spans="13:16">
      <c r="M31650" s="49">
        <f>IF($A$4+316&gt;$B$4,"",$A$4+316)</f>
        <v>46339</v>
      </c>
      <c r="N31650">
        <f>IF(M31650="","",'Master Barang'!A44)</f>
        <v>0</v>
      </c>
      <c r="O31650">
        <f>IF(N31650="","",'Master Barang'!B44)</f>
        <v>0</v>
      </c>
      <c r="P31650">
        <f>IF(OR(M31650="",N31650=""),"",SUMIFS('Barang Keluar'!$E:$E,'Barang Keluar'!$A:$A,M31650,'Barang Keluar'!$C:$C,N31650))</f>
        <v>0</v>
      </c>
    </row>
    <row r="31651" spans="13:16">
      <c r="M31651" s="49">
        <f>IF($A$4+316&gt;$B$4,"",$A$4+316)</f>
        <v>46339</v>
      </c>
      <c r="N31651">
        <f>IF(M31651="","",'Master Barang'!A45)</f>
        <v>0</v>
      </c>
      <c r="O31651">
        <f>IF(N31651="","",'Master Barang'!B45)</f>
        <v>0</v>
      </c>
      <c r="P31651">
        <f>IF(OR(M31651="",N31651=""),"",SUMIFS('Barang Keluar'!$E:$E,'Barang Keluar'!$A:$A,M31651,'Barang Keluar'!$C:$C,N31651))</f>
        <v>0</v>
      </c>
    </row>
    <row r="31652" spans="13:16">
      <c r="M31652" s="49">
        <f>IF($A$4+316&gt;$B$4,"",$A$4+316)</f>
        <v>46339</v>
      </c>
      <c r="N31652">
        <f>IF(M31652="","",'Master Barang'!A46)</f>
        <v>0</v>
      </c>
      <c r="O31652">
        <f>IF(N31652="","",'Master Barang'!B46)</f>
        <v>0</v>
      </c>
      <c r="P31652">
        <f>IF(OR(M31652="",N31652=""),"",SUMIFS('Barang Keluar'!$E:$E,'Barang Keluar'!$A:$A,M31652,'Barang Keluar'!$C:$C,N31652))</f>
        <v>0</v>
      </c>
    </row>
    <row r="31653" spans="13:16">
      <c r="M31653" s="49">
        <f>IF($A$4+316&gt;$B$4,"",$A$4+316)</f>
        <v>46339</v>
      </c>
      <c r="N31653">
        <f>IF(M31653="","",'Master Barang'!A47)</f>
        <v>0</v>
      </c>
      <c r="O31653">
        <f>IF(N31653="","",'Master Barang'!B47)</f>
        <v>0</v>
      </c>
      <c r="P31653">
        <f>IF(OR(M31653="",N31653=""),"",SUMIFS('Barang Keluar'!$E:$E,'Barang Keluar'!$A:$A,M31653,'Barang Keluar'!$C:$C,N31653))</f>
        <v>0</v>
      </c>
    </row>
    <row r="31654" spans="13:16">
      <c r="M31654" s="49">
        <f>IF($A$4+316&gt;$B$4,"",$A$4+316)</f>
        <v>46339</v>
      </c>
      <c r="N31654">
        <f>IF(M31654="","",'Master Barang'!A48)</f>
        <v>0</v>
      </c>
      <c r="O31654">
        <f>IF(N31654="","",'Master Barang'!B48)</f>
        <v>0</v>
      </c>
      <c r="P31654">
        <f>IF(OR(M31654="",N31654=""),"",SUMIFS('Barang Keluar'!$E:$E,'Barang Keluar'!$A:$A,M31654,'Barang Keluar'!$C:$C,N31654))</f>
        <v>0</v>
      </c>
    </row>
    <row r="31655" spans="13:16">
      <c r="M31655" s="49">
        <f>IF($A$4+316&gt;$B$4,"",$A$4+316)</f>
        <v>46339</v>
      </c>
      <c r="N31655">
        <f>IF(M31655="","",'Master Barang'!A49)</f>
        <v>0</v>
      </c>
      <c r="O31655">
        <f>IF(N31655="","",'Master Barang'!B49)</f>
        <v>0</v>
      </c>
      <c r="P31655">
        <f>IF(OR(M31655="",N31655=""),"",SUMIFS('Barang Keluar'!$E:$E,'Barang Keluar'!$A:$A,M31655,'Barang Keluar'!$C:$C,N31655))</f>
        <v>0</v>
      </c>
    </row>
    <row r="31656" spans="13:16">
      <c r="M31656" s="49">
        <f>IF($A$4+316&gt;$B$4,"",$A$4+316)</f>
        <v>46339</v>
      </c>
      <c r="N31656">
        <f>IF(M31656="","",'Master Barang'!A50)</f>
        <v>0</v>
      </c>
      <c r="O31656">
        <f>IF(N31656="","",'Master Barang'!B50)</f>
        <v>0</v>
      </c>
      <c r="P31656">
        <f>IF(OR(M31656="",N31656=""),"",SUMIFS('Barang Keluar'!$E:$E,'Barang Keluar'!$A:$A,M31656,'Barang Keluar'!$C:$C,N31656))</f>
        <v>0</v>
      </c>
    </row>
    <row r="31657" spans="13:16">
      <c r="M31657" s="49">
        <f>IF($A$4+316&gt;$B$4,"",$A$4+316)</f>
        <v>46339</v>
      </c>
      <c r="N31657">
        <f>IF(M31657="","",'Master Barang'!A51)</f>
        <v>0</v>
      </c>
      <c r="O31657">
        <f>IF(N31657="","",'Master Barang'!B51)</f>
        <v>0</v>
      </c>
      <c r="P31657">
        <f>IF(OR(M31657="",N31657=""),"",SUMIFS('Barang Keluar'!$E:$E,'Barang Keluar'!$A:$A,M31657,'Barang Keluar'!$C:$C,N31657))</f>
        <v>0</v>
      </c>
    </row>
    <row r="31658" spans="13:16">
      <c r="M31658" s="49">
        <f>IF($A$4+316&gt;$B$4,"",$A$4+316)</f>
        <v>46339</v>
      </c>
      <c r="N31658">
        <f>IF(M31658="","",'Master Barang'!A52)</f>
        <v>0</v>
      </c>
      <c r="O31658">
        <f>IF(N31658="","",'Master Barang'!B52)</f>
        <v>0</v>
      </c>
      <c r="P31658">
        <f>IF(OR(M31658="",N31658=""),"",SUMIFS('Barang Keluar'!$E:$E,'Barang Keluar'!$A:$A,M31658,'Barang Keluar'!$C:$C,N31658))</f>
        <v>0</v>
      </c>
    </row>
    <row r="31659" spans="13:16">
      <c r="M31659" s="49">
        <f>IF($A$4+316&gt;$B$4,"",$A$4+316)</f>
        <v>46339</v>
      </c>
      <c r="N31659">
        <f>IF(M31659="","",'Master Barang'!A53)</f>
        <v>0</v>
      </c>
      <c r="O31659">
        <f>IF(N31659="","",'Master Barang'!B53)</f>
        <v>0</v>
      </c>
      <c r="P31659">
        <f>IF(OR(M31659="",N31659=""),"",SUMIFS('Barang Keluar'!$E:$E,'Barang Keluar'!$A:$A,M31659,'Barang Keluar'!$C:$C,N31659))</f>
        <v>0</v>
      </c>
    </row>
    <row r="31660" spans="13:16">
      <c r="M31660" s="49">
        <f>IF($A$4+316&gt;$B$4,"",$A$4+316)</f>
        <v>46339</v>
      </c>
      <c r="N31660">
        <f>IF(M31660="","",'Master Barang'!A54)</f>
        <v>0</v>
      </c>
      <c r="O31660">
        <f>IF(N31660="","",'Master Barang'!B54)</f>
        <v>0</v>
      </c>
      <c r="P31660">
        <f>IF(OR(M31660="",N31660=""),"",SUMIFS('Barang Keluar'!$E:$E,'Barang Keluar'!$A:$A,M31660,'Barang Keluar'!$C:$C,N31660))</f>
        <v>0</v>
      </c>
    </row>
    <row r="31661" spans="13:16">
      <c r="M31661" s="49">
        <f>IF($A$4+316&gt;$B$4,"",$A$4+316)</f>
        <v>46339</v>
      </c>
      <c r="N31661">
        <f>IF(M31661="","",'Master Barang'!A55)</f>
        <v>0</v>
      </c>
      <c r="O31661">
        <f>IF(N31661="","",'Master Barang'!B55)</f>
        <v>0</v>
      </c>
      <c r="P31661">
        <f>IF(OR(M31661="",N31661=""),"",SUMIFS('Barang Keluar'!$E:$E,'Barang Keluar'!$A:$A,M31661,'Barang Keluar'!$C:$C,N31661))</f>
        <v>0</v>
      </c>
    </row>
    <row r="31662" spans="13:16">
      <c r="M31662" s="49">
        <f>IF($A$4+316&gt;$B$4,"",$A$4+316)</f>
        <v>46339</v>
      </c>
      <c r="N31662">
        <f>IF(M31662="","",'Master Barang'!A56)</f>
        <v>0</v>
      </c>
      <c r="O31662">
        <f>IF(N31662="","",'Master Barang'!B56)</f>
        <v>0</v>
      </c>
      <c r="P31662">
        <f>IF(OR(M31662="",N31662=""),"",SUMIFS('Barang Keluar'!$E:$E,'Barang Keluar'!$A:$A,M31662,'Barang Keluar'!$C:$C,N31662))</f>
        <v>0</v>
      </c>
    </row>
    <row r="31663" spans="13:16">
      <c r="M31663" s="49">
        <f>IF($A$4+316&gt;$B$4,"",$A$4+316)</f>
        <v>46339</v>
      </c>
      <c r="N31663">
        <f>IF(M31663="","",'Master Barang'!A57)</f>
        <v>0</v>
      </c>
      <c r="O31663">
        <f>IF(N31663="","",'Master Barang'!B57)</f>
        <v>0</v>
      </c>
      <c r="P31663">
        <f>IF(OR(M31663="",N31663=""),"",SUMIFS('Barang Keluar'!$E:$E,'Barang Keluar'!$A:$A,M31663,'Barang Keluar'!$C:$C,N31663))</f>
        <v>0</v>
      </c>
    </row>
    <row r="31664" spans="13:16">
      <c r="M31664" s="49">
        <f>IF($A$4+316&gt;$B$4,"",$A$4+316)</f>
        <v>46339</v>
      </c>
      <c r="N31664">
        <f>IF(M31664="","",'Master Barang'!A58)</f>
        <v>0</v>
      </c>
      <c r="O31664">
        <f>IF(N31664="","",'Master Barang'!B58)</f>
        <v>0</v>
      </c>
      <c r="P31664">
        <f>IF(OR(M31664="",N31664=""),"",SUMIFS('Barang Keluar'!$E:$E,'Barang Keluar'!$A:$A,M31664,'Barang Keluar'!$C:$C,N31664))</f>
        <v>0</v>
      </c>
    </row>
    <row r="31665" spans="13:16">
      <c r="M31665" s="49">
        <f>IF($A$4+316&gt;$B$4,"",$A$4+316)</f>
        <v>46339</v>
      </c>
      <c r="N31665">
        <f>IF(M31665="","",'Master Barang'!A59)</f>
        <v>0</v>
      </c>
      <c r="O31665">
        <f>IF(N31665="","",'Master Barang'!B59)</f>
        <v>0</v>
      </c>
      <c r="P31665">
        <f>IF(OR(M31665="",N31665=""),"",SUMIFS('Barang Keluar'!$E:$E,'Barang Keluar'!$A:$A,M31665,'Barang Keluar'!$C:$C,N31665))</f>
        <v>0</v>
      </c>
    </row>
    <row r="31666" spans="13:16">
      <c r="M31666" s="49">
        <f>IF($A$4+316&gt;$B$4,"",$A$4+316)</f>
        <v>46339</v>
      </c>
      <c r="N31666">
        <f>IF(M31666="","",'Master Barang'!A60)</f>
        <v>0</v>
      </c>
      <c r="O31666">
        <f>IF(N31666="","",'Master Barang'!B60)</f>
        <v>0</v>
      </c>
      <c r="P31666">
        <f>IF(OR(M31666="",N31666=""),"",SUMIFS('Barang Keluar'!$E:$E,'Barang Keluar'!$A:$A,M31666,'Barang Keluar'!$C:$C,N31666))</f>
        <v>0</v>
      </c>
    </row>
    <row r="31667" spans="13:16">
      <c r="M31667" s="49">
        <f>IF($A$4+316&gt;$B$4,"",$A$4+316)</f>
        <v>46339</v>
      </c>
      <c r="N31667">
        <f>IF(M31667="","",'Master Barang'!A61)</f>
        <v>0</v>
      </c>
      <c r="O31667">
        <f>IF(N31667="","",'Master Barang'!B61)</f>
        <v>0</v>
      </c>
      <c r="P31667">
        <f>IF(OR(M31667="",N31667=""),"",SUMIFS('Barang Keluar'!$E:$E,'Barang Keluar'!$A:$A,M31667,'Barang Keluar'!$C:$C,N31667))</f>
        <v>0</v>
      </c>
    </row>
    <row r="31668" spans="13:16">
      <c r="M31668" s="49">
        <f>IF($A$4+316&gt;$B$4,"",$A$4+316)</f>
        <v>46339</v>
      </c>
      <c r="N31668">
        <f>IF(M31668="","",'Master Barang'!A62)</f>
        <v>0</v>
      </c>
      <c r="O31668">
        <f>IF(N31668="","",'Master Barang'!B62)</f>
        <v>0</v>
      </c>
      <c r="P31668">
        <f>IF(OR(M31668="",N31668=""),"",SUMIFS('Barang Keluar'!$E:$E,'Barang Keluar'!$A:$A,M31668,'Barang Keluar'!$C:$C,N31668))</f>
        <v>0</v>
      </c>
    </row>
    <row r="31669" spans="13:16">
      <c r="M31669" s="49">
        <f>IF($A$4+316&gt;$B$4,"",$A$4+316)</f>
        <v>46339</v>
      </c>
      <c r="N31669">
        <f>IF(M31669="","",'Master Barang'!A63)</f>
        <v>0</v>
      </c>
      <c r="O31669">
        <f>IF(N31669="","",'Master Barang'!B63)</f>
        <v>0</v>
      </c>
      <c r="P31669">
        <f>IF(OR(M31669="",N31669=""),"",SUMIFS('Barang Keluar'!$E:$E,'Barang Keluar'!$A:$A,M31669,'Barang Keluar'!$C:$C,N31669))</f>
        <v>0</v>
      </c>
    </row>
    <row r="31670" spans="13:16">
      <c r="M31670" s="49">
        <f>IF($A$4+316&gt;$B$4,"",$A$4+316)</f>
        <v>46339</v>
      </c>
      <c r="N31670">
        <f>IF(M31670="","",'Master Barang'!A64)</f>
        <v>0</v>
      </c>
      <c r="O31670">
        <f>IF(N31670="","",'Master Barang'!B64)</f>
        <v>0</v>
      </c>
      <c r="P31670">
        <f>IF(OR(M31670="",N31670=""),"",SUMIFS('Barang Keluar'!$E:$E,'Barang Keluar'!$A:$A,M31670,'Barang Keluar'!$C:$C,N31670))</f>
        <v>0</v>
      </c>
    </row>
    <row r="31671" spans="13:16">
      <c r="M31671" s="49">
        <f>IF($A$4+316&gt;$B$4,"",$A$4+316)</f>
        <v>46339</v>
      </c>
      <c r="N31671">
        <f>IF(M31671="","",'Master Barang'!A65)</f>
        <v>0</v>
      </c>
      <c r="O31671">
        <f>IF(N31671="","",'Master Barang'!B65)</f>
        <v>0</v>
      </c>
      <c r="P31671">
        <f>IF(OR(M31671="",N31671=""),"",SUMIFS('Barang Keluar'!$E:$E,'Barang Keluar'!$A:$A,M31671,'Barang Keluar'!$C:$C,N31671))</f>
        <v>0</v>
      </c>
    </row>
    <row r="31672" spans="13:16">
      <c r="M31672" s="49">
        <f>IF($A$4+316&gt;$B$4,"",$A$4+316)</f>
        <v>46339</v>
      </c>
      <c r="N31672">
        <f>IF(M31672="","",'Master Barang'!A66)</f>
        <v>0</v>
      </c>
      <c r="O31672">
        <f>IF(N31672="","",'Master Barang'!B66)</f>
        <v>0</v>
      </c>
      <c r="P31672">
        <f>IF(OR(M31672="",N31672=""),"",SUMIFS('Barang Keluar'!$E:$E,'Barang Keluar'!$A:$A,M31672,'Barang Keluar'!$C:$C,N31672))</f>
        <v>0</v>
      </c>
    </row>
    <row r="31673" spans="13:16">
      <c r="M31673" s="49">
        <f>IF($A$4+316&gt;$B$4,"",$A$4+316)</f>
        <v>46339</v>
      </c>
      <c r="N31673">
        <f>IF(M31673="","",'Master Barang'!A67)</f>
        <v>0</v>
      </c>
      <c r="O31673">
        <f>IF(N31673="","",'Master Barang'!B67)</f>
        <v>0</v>
      </c>
      <c r="P31673">
        <f>IF(OR(M31673="",N31673=""),"",SUMIFS('Barang Keluar'!$E:$E,'Barang Keluar'!$A:$A,M31673,'Barang Keluar'!$C:$C,N31673))</f>
        <v>0</v>
      </c>
    </row>
    <row r="31674" spans="13:16">
      <c r="M31674" s="49">
        <f>IF($A$4+316&gt;$B$4,"",$A$4+316)</f>
        <v>46339</v>
      </c>
      <c r="N31674">
        <f>IF(M31674="","",'Master Barang'!A68)</f>
        <v>0</v>
      </c>
      <c r="O31674">
        <f>IF(N31674="","",'Master Barang'!B68)</f>
        <v>0</v>
      </c>
      <c r="P31674">
        <f>IF(OR(M31674="",N31674=""),"",SUMIFS('Barang Keluar'!$E:$E,'Barang Keluar'!$A:$A,M31674,'Barang Keluar'!$C:$C,N31674))</f>
        <v>0</v>
      </c>
    </row>
    <row r="31675" spans="13:16">
      <c r="M31675" s="49">
        <f>IF($A$4+316&gt;$B$4,"",$A$4+316)</f>
        <v>46339</v>
      </c>
      <c r="N31675">
        <f>IF(M31675="","",'Master Barang'!A69)</f>
        <v>0</v>
      </c>
      <c r="O31675">
        <f>IF(N31675="","",'Master Barang'!B69)</f>
        <v>0</v>
      </c>
      <c r="P31675">
        <f>IF(OR(M31675="",N31675=""),"",SUMIFS('Barang Keluar'!$E:$E,'Barang Keluar'!$A:$A,M31675,'Barang Keluar'!$C:$C,N31675))</f>
        <v>0</v>
      </c>
    </row>
    <row r="31676" spans="13:16">
      <c r="M31676" s="49">
        <f>IF($A$4+316&gt;$B$4,"",$A$4+316)</f>
        <v>46339</v>
      </c>
      <c r="N31676">
        <f>IF(M31676="","",'Master Barang'!A70)</f>
        <v>0</v>
      </c>
      <c r="O31676">
        <f>IF(N31676="","",'Master Barang'!B70)</f>
        <v>0</v>
      </c>
      <c r="P31676">
        <f>IF(OR(M31676="",N31676=""),"",SUMIFS('Barang Keluar'!$E:$E,'Barang Keluar'!$A:$A,M31676,'Barang Keluar'!$C:$C,N31676))</f>
        <v>0</v>
      </c>
    </row>
    <row r="31677" spans="13:16">
      <c r="M31677" s="49">
        <f>IF($A$4+316&gt;$B$4,"",$A$4+316)</f>
        <v>46339</v>
      </c>
      <c r="N31677">
        <f>IF(M31677="","",'Master Barang'!A71)</f>
        <v>0</v>
      </c>
      <c r="O31677">
        <f>IF(N31677="","",'Master Barang'!B71)</f>
        <v>0</v>
      </c>
      <c r="P31677">
        <f>IF(OR(M31677="",N31677=""),"",SUMIFS('Barang Keluar'!$E:$E,'Barang Keluar'!$A:$A,M31677,'Barang Keluar'!$C:$C,N31677))</f>
        <v>0</v>
      </c>
    </row>
    <row r="31678" spans="13:16">
      <c r="M31678" s="49">
        <f>IF($A$4+316&gt;$B$4,"",$A$4+316)</f>
        <v>46339</v>
      </c>
      <c r="N31678">
        <f>IF(M31678="","",'Master Barang'!A72)</f>
        <v>0</v>
      </c>
      <c r="O31678">
        <f>IF(N31678="","",'Master Barang'!B72)</f>
        <v>0</v>
      </c>
      <c r="P31678">
        <f>IF(OR(M31678="",N31678=""),"",SUMIFS('Barang Keluar'!$E:$E,'Barang Keluar'!$A:$A,M31678,'Barang Keluar'!$C:$C,N31678))</f>
        <v>0</v>
      </c>
    </row>
    <row r="31679" spans="13:16">
      <c r="M31679" s="49">
        <f>IF($A$4+316&gt;$B$4,"",$A$4+316)</f>
        <v>46339</v>
      </c>
      <c r="N31679">
        <f>IF(M31679="","",'Master Barang'!A73)</f>
        <v>0</v>
      </c>
      <c r="O31679">
        <f>IF(N31679="","",'Master Barang'!B73)</f>
        <v>0</v>
      </c>
      <c r="P31679">
        <f>IF(OR(M31679="",N31679=""),"",SUMIFS('Barang Keluar'!$E:$E,'Barang Keluar'!$A:$A,M31679,'Barang Keluar'!$C:$C,N31679))</f>
        <v>0</v>
      </c>
    </row>
    <row r="31680" spans="13:16">
      <c r="M31680" s="49">
        <f>IF($A$4+316&gt;$B$4,"",$A$4+316)</f>
        <v>46339</v>
      </c>
      <c r="N31680">
        <f>IF(M31680="","",'Master Barang'!A74)</f>
        <v>0</v>
      </c>
      <c r="O31680">
        <f>IF(N31680="","",'Master Barang'!B74)</f>
        <v>0</v>
      </c>
      <c r="P31680">
        <f>IF(OR(M31680="",N31680=""),"",SUMIFS('Barang Keluar'!$E:$E,'Barang Keluar'!$A:$A,M31680,'Barang Keluar'!$C:$C,N31680))</f>
        <v>0</v>
      </c>
    </row>
    <row r="31681" spans="13:16">
      <c r="M31681" s="49">
        <f>IF($A$4+316&gt;$B$4,"",$A$4+316)</f>
        <v>46339</v>
      </c>
      <c r="N31681">
        <f>IF(M31681="","",'Master Barang'!A75)</f>
        <v>0</v>
      </c>
      <c r="O31681">
        <f>IF(N31681="","",'Master Barang'!B75)</f>
        <v>0</v>
      </c>
      <c r="P31681">
        <f>IF(OR(M31681="",N31681=""),"",SUMIFS('Barang Keluar'!$E:$E,'Barang Keluar'!$A:$A,M31681,'Barang Keluar'!$C:$C,N31681))</f>
        <v>0</v>
      </c>
    </row>
    <row r="31682" spans="13:16">
      <c r="M31682" s="49">
        <f>IF($A$4+316&gt;$B$4,"",$A$4+316)</f>
        <v>46339</v>
      </c>
      <c r="N31682">
        <f>IF(M31682="","",'Master Barang'!A76)</f>
        <v>0</v>
      </c>
      <c r="O31682">
        <f>IF(N31682="","",'Master Barang'!B76)</f>
        <v>0</v>
      </c>
      <c r="P31682">
        <f>IF(OR(M31682="",N31682=""),"",SUMIFS('Barang Keluar'!$E:$E,'Barang Keluar'!$A:$A,M31682,'Barang Keluar'!$C:$C,N31682))</f>
        <v>0</v>
      </c>
    </row>
    <row r="31683" spans="13:16">
      <c r="M31683" s="49">
        <f>IF($A$4+316&gt;$B$4,"",$A$4+316)</f>
        <v>46339</v>
      </c>
      <c r="N31683">
        <f>IF(M31683="","",'Master Barang'!A77)</f>
        <v>0</v>
      </c>
      <c r="O31683">
        <f>IF(N31683="","",'Master Barang'!B77)</f>
        <v>0</v>
      </c>
      <c r="P31683">
        <f>IF(OR(M31683="",N31683=""),"",SUMIFS('Barang Keluar'!$E:$E,'Barang Keluar'!$A:$A,M31683,'Barang Keluar'!$C:$C,N31683))</f>
        <v>0</v>
      </c>
    </row>
    <row r="31684" spans="13:16">
      <c r="M31684" s="49">
        <f>IF($A$4+316&gt;$B$4,"",$A$4+316)</f>
        <v>46339</v>
      </c>
      <c r="N31684">
        <f>IF(M31684="","",'Master Barang'!A78)</f>
        <v>0</v>
      </c>
      <c r="O31684">
        <f>IF(N31684="","",'Master Barang'!B78)</f>
        <v>0</v>
      </c>
      <c r="P31684">
        <f>IF(OR(M31684="",N31684=""),"",SUMIFS('Barang Keluar'!$E:$E,'Barang Keluar'!$A:$A,M31684,'Barang Keluar'!$C:$C,N31684))</f>
        <v>0</v>
      </c>
    </row>
    <row r="31685" spans="13:16">
      <c r="M31685" s="49">
        <f>IF($A$4+316&gt;$B$4,"",$A$4+316)</f>
        <v>46339</v>
      </c>
      <c r="N31685">
        <f>IF(M31685="","",'Master Barang'!A79)</f>
        <v>0</v>
      </c>
      <c r="O31685">
        <f>IF(N31685="","",'Master Barang'!B79)</f>
        <v>0</v>
      </c>
      <c r="P31685">
        <f>IF(OR(M31685="",N31685=""),"",SUMIFS('Barang Keluar'!$E:$E,'Barang Keluar'!$A:$A,M31685,'Barang Keluar'!$C:$C,N31685))</f>
        <v>0</v>
      </c>
    </row>
    <row r="31686" spans="13:16">
      <c r="M31686" s="49">
        <f>IF($A$4+316&gt;$B$4,"",$A$4+316)</f>
        <v>46339</v>
      </c>
      <c r="N31686">
        <f>IF(M31686="","",'Master Barang'!A80)</f>
        <v>0</v>
      </c>
      <c r="O31686">
        <f>IF(N31686="","",'Master Barang'!B80)</f>
        <v>0</v>
      </c>
      <c r="P31686">
        <f>IF(OR(M31686="",N31686=""),"",SUMIFS('Barang Keluar'!$E:$E,'Barang Keluar'!$A:$A,M31686,'Barang Keluar'!$C:$C,N31686))</f>
        <v>0</v>
      </c>
    </row>
    <row r="31687" spans="13:16">
      <c r="M31687" s="49">
        <f>IF($A$4+316&gt;$B$4,"",$A$4+316)</f>
        <v>46339</v>
      </c>
      <c r="N31687">
        <f>IF(M31687="","",'Master Barang'!A81)</f>
        <v>0</v>
      </c>
      <c r="O31687">
        <f>IF(N31687="","",'Master Barang'!B81)</f>
        <v>0</v>
      </c>
      <c r="P31687">
        <f>IF(OR(M31687="",N31687=""),"",SUMIFS('Barang Keluar'!$E:$E,'Barang Keluar'!$A:$A,M31687,'Barang Keluar'!$C:$C,N31687))</f>
        <v>0</v>
      </c>
    </row>
    <row r="31688" spans="13:16">
      <c r="M31688" s="49">
        <f>IF($A$4+316&gt;$B$4,"",$A$4+316)</f>
        <v>46339</v>
      </c>
      <c r="N31688">
        <f>IF(M31688="","",'Master Barang'!A82)</f>
        <v>0</v>
      </c>
      <c r="O31688">
        <f>IF(N31688="","",'Master Barang'!B82)</f>
        <v>0</v>
      </c>
      <c r="P31688">
        <f>IF(OR(M31688="",N31688=""),"",SUMIFS('Barang Keluar'!$E:$E,'Barang Keluar'!$A:$A,M31688,'Barang Keluar'!$C:$C,N31688))</f>
        <v>0</v>
      </c>
    </row>
    <row r="31689" spans="13:16">
      <c r="M31689" s="49">
        <f>IF($A$4+316&gt;$B$4,"",$A$4+316)</f>
        <v>46339</v>
      </c>
      <c r="N31689">
        <f>IF(M31689="","",'Master Barang'!A83)</f>
        <v>0</v>
      </c>
      <c r="O31689">
        <f>IF(N31689="","",'Master Barang'!B83)</f>
        <v>0</v>
      </c>
      <c r="P31689">
        <f>IF(OR(M31689="",N31689=""),"",SUMIFS('Barang Keluar'!$E:$E,'Barang Keluar'!$A:$A,M31689,'Barang Keluar'!$C:$C,N31689))</f>
        <v>0</v>
      </c>
    </row>
    <row r="31690" spans="13:16">
      <c r="M31690" s="49">
        <f>IF($A$4+316&gt;$B$4,"",$A$4+316)</f>
        <v>46339</v>
      </c>
      <c r="N31690">
        <f>IF(M31690="","",'Master Barang'!A84)</f>
        <v>0</v>
      </c>
      <c r="O31690">
        <f>IF(N31690="","",'Master Barang'!B84)</f>
        <v>0</v>
      </c>
      <c r="P31690">
        <f>IF(OR(M31690="",N31690=""),"",SUMIFS('Barang Keluar'!$E:$E,'Barang Keluar'!$A:$A,M31690,'Barang Keluar'!$C:$C,N31690))</f>
        <v>0</v>
      </c>
    </row>
    <row r="31691" spans="13:16">
      <c r="M31691" s="49">
        <f>IF($A$4+316&gt;$B$4,"",$A$4+316)</f>
        <v>46339</v>
      </c>
      <c r="N31691">
        <f>IF(M31691="","",'Master Barang'!A85)</f>
        <v>0</v>
      </c>
      <c r="O31691">
        <f>IF(N31691="","",'Master Barang'!B85)</f>
        <v>0</v>
      </c>
      <c r="P31691">
        <f>IF(OR(M31691="",N31691=""),"",SUMIFS('Barang Keluar'!$E:$E,'Barang Keluar'!$A:$A,M31691,'Barang Keluar'!$C:$C,N31691))</f>
        <v>0</v>
      </c>
    </row>
    <row r="31692" spans="13:16">
      <c r="M31692" s="49">
        <f>IF($A$4+316&gt;$B$4,"",$A$4+316)</f>
        <v>46339</v>
      </c>
      <c r="N31692">
        <f>IF(M31692="","",'Master Barang'!A86)</f>
        <v>0</v>
      </c>
      <c r="O31692">
        <f>IF(N31692="","",'Master Barang'!B86)</f>
        <v>0</v>
      </c>
      <c r="P31692">
        <f>IF(OR(M31692="",N31692=""),"",SUMIFS('Barang Keluar'!$E:$E,'Barang Keluar'!$A:$A,M31692,'Barang Keluar'!$C:$C,N31692))</f>
        <v>0</v>
      </c>
    </row>
    <row r="31693" spans="13:16">
      <c r="M31693" s="49">
        <f>IF($A$4+316&gt;$B$4,"",$A$4+316)</f>
        <v>46339</v>
      </c>
      <c r="N31693">
        <f>IF(M31693="","",'Master Barang'!A87)</f>
        <v>0</v>
      </c>
      <c r="O31693">
        <f>IF(N31693="","",'Master Barang'!B87)</f>
        <v>0</v>
      </c>
      <c r="P31693">
        <f>IF(OR(M31693="",N31693=""),"",SUMIFS('Barang Keluar'!$E:$E,'Barang Keluar'!$A:$A,M31693,'Barang Keluar'!$C:$C,N31693))</f>
        <v>0</v>
      </c>
    </row>
    <row r="31694" spans="13:16">
      <c r="M31694" s="49">
        <f>IF($A$4+316&gt;$B$4,"",$A$4+316)</f>
        <v>46339</v>
      </c>
      <c r="N31694">
        <f>IF(M31694="","",'Master Barang'!A88)</f>
        <v>0</v>
      </c>
      <c r="O31694">
        <f>IF(N31694="","",'Master Barang'!B88)</f>
        <v>0</v>
      </c>
      <c r="P31694">
        <f>IF(OR(M31694="",N31694=""),"",SUMIFS('Barang Keluar'!$E:$E,'Barang Keluar'!$A:$A,M31694,'Barang Keluar'!$C:$C,N31694))</f>
        <v>0</v>
      </c>
    </row>
    <row r="31695" spans="13:16">
      <c r="M31695" s="49">
        <f>IF($A$4+316&gt;$B$4,"",$A$4+316)</f>
        <v>46339</v>
      </c>
      <c r="N31695">
        <f>IF(M31695="","",'Master Barang'!A89)</f>
        <v>0</v>
      </c>
      <c r="O31695">
        <f>IF(N31695="","",'Master Barang'!B89)</f>
        <v>0</v>
      </c>
      <c r="P31695">
        <f>IF(OR(M31695="",N31695=""),"",SUMIFS('Barang Keluar'!$E:$E,'Barang Keluar'!$A:$A,M31695,'Barang Keluar'!$C:$C,N31695))</f>
        <v>0</v>
      </c>
    </row>
    <row r="31696" spans="13:16">
      <c r="M31696" s="49">
        <f>IF($A$4+316&gt;$B$4,"",$A$4+316)</f>
        <v>46339</v>
      </c>
      <c r="N31696">
        <f>IF(M31696="","",'Master Barang'!A90)</f>
        <v>0</v>
      </c>
      <c r="O31696">
        <f>IF(N31696="","",'Master Barang'!B90)</f>
        <v>0</v>
      </c>
      <c r="P31696">
        <f>IF(OR(M31696="",N31696=""),"",SUMIFS('Barang Keluar'!$E:$E,'Barang Keluar'!$A:$A,M31696,'Barang Keluar'!$C:$C,N31696))</f>
        <v>0</v>
      </c>
    </row>
    <row r="31697" spans="13:16">
      <c r="M31697" s="49">
        <f>IF($A$4+316&gt;$B$4,"",$A$4+316)</f>
        <v>46339</v>
      </c>
      <c r="N31697">
        <f>IF(M31697="","",'Master Barang'!A91)</f>
        <v>0</v>
      </c>
      <c r="O31697">
        <f>IF(N31697="","",'Master Barang'!B91)</f>
        <v>0</v>
      </c>
      <c r="P31697">
        <f>IF(OR(M31697="",N31697=""),"",SUMIFS('Barang Keluar'!$E:$E,'Barang Keluar'!$A:$A,M31697,'Barang Keluar'!$C:$C,N31697))</f>
        <v>0</v>
      </c>
    </row>
    <row r="31698" spans="13:16">
      <c r="M31698" s="49">
        <f>IF($A$4+316&gt;$B$4,"",$A$4+316)</f>
        <v>46339</v>
      </c>
      <c r="N31698">
        <f>IF(M31698="","",'Master Barang'!A92)</f>
        <v>0</v>
      </c>
      <c r="O31698">
        <f>IF(N31698="","",'Master Barang'!B92)</f>
        <v>0</v>
      </c>
      <c r="P31698">
        <f>IF(OR(M31698="",N31698=""),"",SUMIFS('Barang Keluar'!$E:$E,'Barang Keluar'!$A:$A,M31698,'Barang Keluar'!$C:$C,N31698))</f>
        <v>0</v>
      </c>
    </row>
    <row r="31699" spans="13:16">
      <c r="M31699" s="49">
        <f>IF($A$4+316&gt;$B$4,"",$A$4+316)</f>
        <v>46339</v>
      </c>
      <c r="N31699">
        <f>IF(M31699="","",'Master Barang'!A93)</f>
        <v>0</v>
      </c>
      <c r="O31699">
        <f>IF(N31699="","",'Master Barang'!B93)</f>
        <v>0</v>
      </c>
      <c r="P31699">
        <f>IF(OR(M31699="",N31699=""),"",SUMIFS('Barang Keluar'!$E:$E,'Barang Keluar'!$A:$A,M31699,'Barang Keluar'!$C:$C,N31699))</f>
        <v>0</v>
      </c>
    </row>
    <row r="31700" spans="13:16">
      <c r="M31700" s="49">
        <f>IF($A$4+316&gt;$B$4,"",$A$4+316)</f>
        <v>46339</v>
      </c>
      <c r="N31700">
        <f>IF(M31700="","",'Master Barang'!A94)</f>
        <v>0</v>
      </c>
      <c r="O31700">
        <f>IF(N31700="","",'Master Barang'!B94)</f>
        <v>0</v>
      </c>
      <c r="P31700">
        <f>IF(OR(M31700="",N31700=""),"",SUMIFS('Barang Keluar'!$E:$E,'Barang Keluar'!$A:$A,M31700,'Barang Keluar'!$C:$C,N31700))</f>
        <v>0</v>
      </c>
    </row>
    <row r="31701" spans="13:16">
      <c r="M31701" s="49">
        <f>IF($A$4+316&gt;$B$4,"",$A$4+316)</f>
        <v>46339</v>
      </c>
      <c r="N31701">
        <f>IF(M31701="","",'Master Barang'!A95)</f>
        <v>0</v>
      </c>
      <c r="O31701">
        <f>IF(N31701="","",'Master Barang'!B95)</f>
        <v>0</v>
      </c>
      <c r="P31701">
        <f>IF(OR(M31701="",N31701=""),"",SUMIFS('Barang Keluar'!$E:$E,'Barang Keluar'!$A:$A,M31701,'Barang Keluar'!$C:$C,N31701))</f>
        <v>0</v>
      </c>
    </row>
    <row r="31702" spans="13:16">
      <c r="M31702" s="49">
        <f>IF($A$4+316&gt;$B$4,"",$A$4+316)</f>
        <v>46339</v>
      </c>
      <c r="N31702">
        <f>IF(M31702="","",'Master Barang'!A96)</f>
        <v>0</v>
      </c>
      <c r="O31702">
        <f>IF(N31702="","",'Master Barang'!B96)</f>
        <v>0</v>
      </c>
      <c r="P31702">
        <f>IF(OR(M31702="",N31702=""),"",SUMIFS('Barang Keluar'!$E:$E,'Barang Keluar'!$A:$A,M31702,'Barang Keluar'!$C:$C,N31702))</f>
        <v>0</v>
      </c>
    </row>
    <row r="31703" spans="13:16">
      <c r="M31703" s="49">
        <f>IF($A$4+316&gt;$B$4,"",$A$4+316)</f>
        <v>46339</v>
      </c>
      <c r="N31703">
        <f>IF(M31703="","",'Master Barang'!A97)</f>
        <v>0</v>
      </c>
      <c r="O31703">
        <f>IF(N31703="","",'Master Barang'!B97)</f>
        <v>0</v>
      </c>
      <c r="P31703">
        <f>IF(OR(M31703="",N31703=""),"",SUMIFS('Barang Keluar'!$E:$E,'Barang Keluar'!$A:$A,M31703,'Barang Keluar'!$C:$C,N31703))</f>
        <v>0</v>
      </c>
    </row>
    <row r="31704" spans="13:16">
      <c r="M31704" s="49">
        <f>IF($A$4+316&gt;$B$4,"",$A$4+316)</f>
        <v>46339</v>
      </c>
      <c r="N31704">
        <f>IF(M31704="","",'Master Barang'!A98)</f>
        <v>0</v>
      </c>
      <c r="O31704">
        <f>IF(N31704="","",'Master Barang'!B98)</f>
        <v>0</v>
      </c>
      <c r="P31704">
        <f>IF(OR(M31704="",N31704=""),"",SUMIFS('Barang Keluar'!$E:$E,'Barang Keluar'!$A:$A,M31704,'Barang Keluar'!$C:$C,N31704))</f>
        <v>0</v>
      </c>
    </row>
    <row r="31705" spans="13:16">
      <c r="M31705" s="49">
        <f>IF($A$4+316&gt;$B$4,"",$A$4+316)</f>
        <v>46339</v>
      </c>
      <c r="N31705">
        <f>IF(M31705="","",'Master Barang'!A99)</f>
        <v>0</v>
      </c>
      <c r="O31705">
        <f>IF(N31705="","",'Master Barang'!B99)</f>
        <v>0</v>
      </c>
      <c r="P31705">
        <f>IF(OR(M31705="",N31705=""),"",SUMIFS('Barang Keluar'!$E:$E,'Barang Keluar'!$A:$A,M31705,'Barang Keluar'!$C:$C,N31705))</f>
        <v>0</v>
      </c>
    </row>
    <row r="31706" spans="13:16">
      <c r="M31706" s="49">
        <f>IF($A$4+316&gt;$B$4,"",$A$4+316)</f>
        <v>46339</v>
      </c>
      <c r="N31706">
        <f>IF(M31706="","",'Master Barang'!A100)</f>
        <v>0</v>
      </c>
      <c r="O31706">
        <f>IF(N31706="","",'Master Barang'!B100)</f>
        <v>0</v>
      </c>
      <c r="P31706">
        <f>IF(OR(M31706="",N31706=""),"",SUMIFS('Barang Keluar'!$E:$E,'Barang Keluar'!$A:$A,M31706,'Barang Keluar'!$C:$C,N31706))</f>
        <v>0</v>
      </c>
    </row>
    <row r="31707" spans="13:16">
      <c r="M31707" s="49">
        <f>IF($A$4+316&gt;$B$4,"",$A$4+316)</f>
        <v>46339</v>
      </c>
      <c r="N31707">
        <f>IF(M31707="","",'Master Barang'!A101)</f>
        <v>0</v>
      </c>
      <c r="O31707">
        <f>IF(N31707="","",'Master Barang'!B101)</f>
        <v>0</v>
      </c>
      <c r="P31707">
        <f>IF(OR(M31707="",N31707=""),"",SUMIFS('Barang Keluar'!$E:$E,'Barang Keluar'!$A:$A,M31707,'Barang Keluar'!$C:$C,N31707))</f>
        <v>0</v>
      </c>
    </row>
    <row r="31708" spans="13:16">
      <c r="M31708" s="49">
        <f>IF($A$4+317&gt;$B$4,"",$A$4+317)</f>
        <v>46340</v>
      </c>
      <c r="N31708" t="str">
        <f>IF(M31708="","",'Master Barang'!A2)</f>
        <v>PRL-001</v>
      </c>
      <c r="O31708" t="str">
        <f>IF(N31708="","",'Master Barang'!B2)</f>
        <v>natura desinfectant food grade 5l</v>
      </c>
      <c r="P31708">
        <f>IF(OR(M31708="",N31708=""),"",SUMIFS('Barang Keluar'!$E:$E,'Barang Keluar'!$A:$A,M31708,'Barang Keluar'!$C:$C,N31708))</f>
        <v>0</v>
      </c>
    </row>
    <row r="31709" spans="13:16">
      <c r="M31709" s="49">
        <f>IF($A$4+317&gt;$B$4,"",$A$4+317)</f>
        <v>46340</v>
      </c>
      <c r="N31709" t="str">
        <f>IF(M31709="","",'Master Barang'!A3)</f>
        <v>PRL-002</v>
      </c>
      <c r="O31709" t="str">
        <f>IF(N31709="","",'Master Barang'!B3)</f>
        <v>sunlight cairan pencuci piring 5l</v>
      </c>
      <c r="P31709">
        <f>IF(OR(M31709="",N31709=""),"",SUMIFS('Barang Keluar'!$E:$E,'Barang Keluar'!$A:$A,M31709,'Barang Keluar'!$C:$C,N31709))</f>
        <v>0</v>
      </c>
    </row>
    <row r="31710" spans="13:16">
      <c r="M31710" s="49">
        <f>IF($A$4+317&gt;$B$4,"",$A$4+317)</f>
        <v>46340</v>
      </c>
      <c r="N31710" t="str">
        <f>IF(M31710="","",'Master Barang'!A4)</f>
        <v>PRL-003</v>
      </c>
      <c r="O31710" t="str">
        <f>IF(N31710="","",'Master Barang'!B4)</f>
        <v>oixs cleaner 1l</v>
      </c>
      <c r="P31710">
        <f>IF(OR(M31710="",N31710=""),"",SUMIFS('Barang Keluar'!$E:$E,'Barang Keluar'!$A:$A,M31710,'Barang Keluar'!$C:$C,N31710))</f>
        <v>0</v>
      </c>
    </row>
    <row r="31711" spans="13:16">
      <c r="M31711" s="49">
        <f>IF($A$4+317&gt;$B$4,"",$A$4+317)</f>
        <v>46340</v>
      </c>
      <c r="N31711" t="str">
        <f>IF(M31711="","",'Master Barang'!A5)</f>
        <v>PRL-004</v>
      </c>
      <c r="O31711" t="str">
        <f>IF(N31711="","",'Master Barang'!B5)</f>
        <v>be clean tissue serbaguna</v>
      </c>
      <c r="P31711">
        <f>IF(OR(M31711="",N31711=""),"",SUMIFS('Barang Keluar'!$E:$E,'Barang Keluar'!$A:$A,M31711,'Barang Keluar'!$C:$C,N31711))</f>
        <v>0</v>
      </c>
    </row>
    <row r="31712" spans="13:16">
      <c r="M31712" s="49">
        <f>IF($A$4+317&gt;$B$4,"",$A$4+317)</f>
        <v>46340</v>
      </c>
      <c r="N31712" t="str">
        <f>IF(M31712="","",'Master Barang'!A6)</f>
        <v>PRL-005</v>
      </c>
      <c r="O31712" t="str">
        <f>IF(N31712="","",'Master Barang'!B6)</f>
        <v>spons cuci hijau</v>
      </c>
      <c r="P31712">
        <f>IF(OR(M31712="",N31712=""),"",SUMIFS('Barang Keluar'!$E:$E,'Barang Keluar'!$A:$A,M31712,'Barang Keluar'!$C:$C,N31712))</f>
        <v>0</v>
      </c>
    </row>
    <row r="31713" spans="13:16">
      <c r="M31713" s="49">
        <f>IF($A$4+317&gt;$B$4,"",$A$4+317)</f>
        <v>46340</v>
      </c>
      <c r="N31713" t="str">
        <f>IF(M31713="","",'Master Barang'!A7)</f>
        <v>PRL-006</v>
      </c>
      <c r="O31713" t="str">
        <f>IF(N31713="","",'Master Barang'!B7)</f>
        <v>sabut cuci stainless</v>
      </c>
      <c r="P31713">
        <f>IF(OR(M31713="",N31713=""),"",SUMIFS('Barang Keluar'!$E:$E,'Barang Keluar'!$A:$A,M31713,'Barang Keluar'!$C:$C,N31713))</f>
        <v>0</v>
      </c>
    </row>
    <row r="31714" spans="13:16">
      <c r="M31714" s="49">
        <f>IF($A$4+317&gt;$B$4,"",$A$4+317)</f>
        <v>46340</v>
      </c>
      <c r="N31714" t="str">
        <f>IF(M31714="","",'Master Barang'!A8)</f>
        <v>PRL-007</v>
      </c>
      <c r="O31714" t="str">
        <f>IF(N31714="","",'Master Barang'!B8)</f>
        <v>plastik kresek besar merah 50pc</v>
      </c>
      <c r="P31714">
        <f>IF(OR(M31714="",N31714=""),"",SUMIFS('Barang Keluar'!$E:$E,'Barang Keluar'!$A:$A,M31714,'Barang Keluar'!$C:$C,N31714))</f>
        <v>0</v>
      </c>
    </row>
    <row r="31715" spans="13:16">
      <c r="M31715" s="49">
        <f>IF($A$4+317&gt;$B$4,"",$A$4+317)</f>
        <v>46340</v>
      </c>
      <c r="N31715" t="str">
        <f>IF(M31715="","",'Master Barang'!A9)</f>
        <v>PRL-008</v>
      </c>
      <c r="O31715" t="str">
        <f>IF(N31715="","",'Master Barang'!B9)</f>
        <v>lap besar</v>
      </c>
      <c r="P31715">
        <f>IF(OR(M31715="",N31715=""),"",SUMIFS('Barang Keluar'!$E:$E,'Barang Keluar'!$A:$A,M31715,'Barang Keluar'!$C:$C,N31715))</f>
        <v>0</v>
      </c>
    </row>
    <row r="31716" spans="13:16">
      <c r="M31716" s="49">
        <f>IF($A$4+317&gt;$B$4,"",$A$4+317)</f>
        <v>46340</v>
      </c>
      <c r="N31716" t="str">
        <f>IF(M31716="","",'Master Barang'!A10)</f>
        <v>PRL-009</v>
      </c>
      <c r="O31716" t="str">
        <f>IF(N31716="","",'Master Barang'!B10)</f>
        <v>lap microfiber</v>
      </c>
      <c r="P31716">
        <f>IF(OR(M31716="",N31716=""),"",SUMIFS('Barang Keluar'!$E:$E,'Barang Keluar'!$A:$A,M31716,'Barang Keluar'!$C:$C,N31716))</f>
        <v>0</v>
      </c>
    </row>
    <row r="31717" spans="13:16">
      <c r="M31717" s="49">
        <f>IF($A$4+317&gt;$B$4,"",$A$4+317)</f>
        <v>46340</v>
      </c>
      <c r="N31717" t="str">
        <f>IF(M31717="","",'Master Barang'!A11)</f>
        <v>PRL-010</v>
      </c>
      <c r="O31717" t="str">
        <f>IF(N31717="","",'Master Barang'!B11)</f>
        <v>lap kecil</v>
      </c>
      <c r="P31717">
        <f>IF(OR(M31717="",N31717=""),"",SUMIFS('Barang Keluar'!$E:$E,'Barang Keluar'!$A:$A,M31717,'Barang Keluar'!$C:$C,N31717))</f>
        <v>0</v>
      </c>
    </row>
    <row r="31718" spans="13:16">
      <c r="M31718" s="49">
        <f>IF($A$4+317&gt;$B$4,"",$A$4+317)</f>
        <v>46340</v>
      </c>
      <c r="N31718" t="str">
        <f>IF(M31718="","",'Master Barang'!A12)</f>
        <v>PRL-011</v>
      </c>
      <c r="O31718" t="str">
        <f>IF(N31718="","",'Master Barang'!B12)</f>
        <v>kanebo kecil</v>
      </c>
      <c r="P31718">
        <f>IF(OR(M31718="",N31718=""),"",SUMIFS('Barang Keluar'!$E:$E,'Barang Keluar'!$A:$A,M31718,'Barang Keluar'!$C:$C,N31718))</f>
        <v>0</v>
      </c>
    </row>
    <row r="31719" spans="13:16">
      <c r="M31719" s="49">
        <f>IF($A$4+317&gt;$B$4,"",$A$4+317)</f>
        <v>46340</v>
      </c>
      <c r="N31719" t="str">
        <f>IF(M31719="","",'Master Barang'!A13)</f>
        <v>PRL-012</v>
      </c>
      <c r="O31719" t="str">
        <f>IF(N31719="","",'Master Barang'!B13)</f>
        <v>plastik 1/4kg joyoboyo 100 lembar</v>
      </c>
      <c r="P31719">
        <f>IF(OR(M31719="",N31719=""),"",SUMIFS('Barang Keluar'!$E:$E,'Barang Keluar'!$A:$A,M31719,'Barang Keluar'!$C:$C,N31719))</f>
        <v>0</v>
      </c>
    </row>
    <row r="31720" spans="13:16">
      <c r="M31720" s="49">
        <f>IF($A$4+317&gt;$B$4,"",$A$4+317)</f>
        <v>46340</v>
      </c>
      <c r="N31720" t="str">
        <f>IF(M31720="","",'Master Barang'!A14)</f>
        <v>PRL-013</v>
      </c>
      <c r="O31720" t="str">
        <f>IF(N31720="","",'Master Barang'!B14)</f>
        <v>sarung tangan plastik kaka 100 pcs</v>
      </c>
      <c r="P31720">
        <f>IF(OR(M31720="",N31720=""),"",SUMIFS('Barang Keluar'!$E:$E,'Barang Keluar'!$A:$A,M31720,'Barang Keluar'!$C:$C,N31720))</f>
        <v>0</v>
      </c>
    </row>
    <row r="31721" spans="13:16">
      <c r="M31721" s="49">
        <f>IF($A$4+317&gt;$B$4,"",$A$4+317)</f>
        <v>46340</v>
      </c>
      <c r="N31721" t="str">
        <f>IF(M31721="","",'Master Barang'!A15)</f>
        <v>PRL-014</v>
      </c>
      <c r="O31721" t="str">
        <f>IF(N31721="","",'Master Barang'!B15)</f>
        <v>optima trashbag 80x100</v>
      </c>
      <c r="P31721">
        <f>IF(OR(M31721="",N31721=""),"",SUMIFS('Barang Keluar'!$E:$E,'Barang Keluar'!$A:$A,M31721,'Barang Keluar'!$C:$C,N31721))</f>
        <v>0</v>
      </c>
    </row>
    <row r="31722" spans="13:16">
      <c r="M31722" s="49">
        <f>IF($A$4+317&gt;$B$4,"",$A$4+317)</f>
        <v>46340</v>
      </c>
      <c r="N31722" t="str">
        <f>IF(M31722="","",'Master Barang'!A16)</f>
        <v>PRL-015</v>
      </c>
      <c r="O31722" t="str">
        <f>IF(N31722="","",'Master Barang'!B16)</f>
        <v>optima trashbag 60x100</v>
      </c>
      <c r="P31722">
        <f>IF(OR(M31722="",N31722=""),"",SUMIFS('Barang Keluar'!$E:$E,'Barang Keluar'!$A:$A,M31722,'Barang Keluar'!$C:$C,N31722))</f>
        <v>0</v>
      </c>
    </row>
    <row r="31723" spans="13:16">
      <c r="M31723" s="49">
        <f>IF($A$4+317&gt;$B$4,"",$A$4+317)</f>
        <v>46340</v>
      </c>
      <c r="N31723" t="str">
        <f>IF(M31723="","",'Master Barang'!A17)</f>
        <v>PRL-016</v>
      </c>
      <c r="O31723" t="str">
        <f>IF(N31723="","",'Master Barang'!B17)</f>
        <v>rajawali trashbag 30x40</v>
      </c>
      <c r="P31723">
        <f>IF(OR(M31723="",N31723=""),"",SUMIFS('Barang Keluar'!$E:$E,'Barang Keluar'!$A:$A,M31723,'Barang Keluar'!$C:$C,N31723))</f>
        <v>0</v>
      </c>
    </row>
    <row r="31724" spans="13:16">
      <c r="M31724" s="49">
        <f>IF($A$4+317&gt;$B$4,"",$A$4+317)</f>
        <v>46340</v>
      </c>
      <c r="N31724" t="str">
        <f>IF(M31724="","",'Master Barang'!A18)</f>
        <v>PRL-017</v>
      </c>
      <c r="O31724" t="str">
        <f>IF(N31724="","",'Master Barang'!B18)</f>
        <v>onemed masker biru 3 play 50 pcs</v>
      </c>
      <c r="P31724">
        <f>IF(OR(M31724="",N31724=""),"",SUMIFS('Barang Keluar'!$E:$E,'Barang Keluar'!$A:$A,M31724,'Barang Keluar'!$C:$C,N31724))</f>
        <v>0</v>
      </c>
    </row>
    <row r="31725" spans="13:16">
      <c r="M31725" s="49">
        <f>IF($A$4+317&gt;$B$4,"",$A$4+317)</f>
        <v>46340</v>
      </c>
      <c r="N31725" t="str">
        <f>IF(M31725="","",'Master Barang'!A19)</f>
        <v>PRL-018</v>
      </c>
      <c r="O31725" t="str">
        <f>IF(N31725="","",'Master Barang'!B19)</f>
        <v>onemed masker biru 3 play hijab 50 pcs</v>
      </c>
      <c r="P31725">
        <f>IF(OR(M31725="",N31725=""),"",SUMIFS('Barang Keluar'!$E:$E,'Barang Keluar'!$A:$A,M31725,'Barang Keluar'!$C:$C,N31725))</f>
        <v>0</v>
      </c>
    </row>
    <row r="31726" spans="13:16">
      <c r="M31726" s="49">
        <f>IF($A$4+317&gt;$B$4,"",$A$4+317)</f>
        <v>46340</v>
      </c>
      <c r="N31726" t="str">
        <f>IF(M31726="","",'Master Barang'!A20)</f>
        <v>PRL-019</v>
      </c>
      <c r="O31726" t="str">
        <f>IF(N31726="","",'Master Barang'!B20)</f>
        <v>neo health masker biru 3 play 50 pcs</v>
      </c>
      <c r="P31726">
        <f>IF(OR(M31726="",N31726=""),"",SUMIFS('Barang Keluar'!$E:$E,'Barang Keluar'!$A:$A,M31726,'Barang Keluar'!$C:$C,N31726))</f>
        <v>0</v>
      </c>
    </row>
    <row r="31727" spans="13:16">
      <c r="M31727" s="49">
        <f>IF($A$4+317&gt;$B$4,"",$A$4+317)</f>
        <v>46340</v>
      </c>
      <c r="N31727" t="str">
        <f>IF(M31727="","",'Master Barang'!A21)</f>
        <v>PRL-020</v>
      </c>
      <c r="O31727" t="str">
        <f>IF(N31727="","",'Master Barang'!B21)</f>
        <v>baymed masker hijau 3 play hijau 50 pcs</v>
      </c>
      <c r="P31727">
        <f>IF(OR(M31727="",N31727=""),"",SUMIFS('Barang Keluar'!$E:$E,'Barang Keluar'!$A:$A,M31727,'Barang Keluar'!$C:$C,N31727))</f>
        <v>0</v>
      </c>
    </row>
    <row r="31728" spans="13:16">
      <c r="M31728" s="49">
        <f>IF($A$4+317&gt;$B$4,"",$A$4+317)</f>
        <v>46340</v>
      </c>
      <c r="N31728" t="str">
        <f>IF(M31728="","",'Master Barang'!A22)</f>
        <v>PRL-021</v>
      </c>
      <c r="O31728" t="str">
        <f>IF(N31728="","",'Master Barang'!B22)</f>
        <v>altamed nurse cap penutup kepala 100 pcs</v>
      </c>
      <c r="P31728">
        <f>IF(OR(M31728="",N31728=""),"",SUMIFS('Barang Keluar'!$E:$E,'Barang Keluar'!$A:$A,M31728,'Barang Keluar'!$C:$C,N31728))</f>
        <v>0</v>
      </c>
    </row>
    <row r="31729" spans="13:16">
      <c r="M31729" s="49">
        <f>IF($A$4+317&gt;$B$4,"",$A$4+317)</f>
        <v>46340</v>
      </c>
      <c r="N31729" t="str">
        <f>IF(M31729="","",'Master Barang'!A23)</f>
        <v>PRL-022</v>
      </c>
      <c r="O31729" t="str">
        <f>IF(N31729="","",'Master Barang'!B23)</f>
        <v>sabun cuci tangan</v>
      </c>
      <c r="P31729">
        <f>IF(OR(M31729="",N31729=""),"",SUMIFS('Barang Keluar'!$E:$E,'Barang Keluar'!$A:$A,M31729,'Barang Keluar'!$C:$C,N31729))</f>
        <v>0</v>
      </c>
    </row>
    <row r="31730" spans="13:16">
      <c r="M31730" s="49">
        <f>IF($A$4+317&gt;$B$4,"",$A$4+317)</f>
        <v>46340</v>
      </c>
      <c r="N31730" t="str">
        <f>IF(M31730="","",'Master Barang'!A24)</f>
        <v>PRL-023</v>
      </c>
      <c r="O31730" t="str">
        <f>IF(N31730="","",'Master Barang'!B24)</f>
        <v>gayung kecil</v>
      </c>
      <c r="P31730">
        <f>IF(OR(M31730="",N31730=""),"",SUMIFS('Barang Keluar'!$E:$E,'Barang Keluar'!$A:$A,M31730,'Barang Keluar'!$C:$C,N31730))</f>
        <v>0</v>
      </c>
    </row>
    <row r="31731" spans="13:16">
      <c r="M31731" s="49">
        <f>IF($A$4+317&gt;$B$4,"",$A$4+317)</f>
        <v>46340</v>
      </c>
      <c r="N31731" t="str">
        <f>IF(M31731="","",'Master Barang'!A25)</f>
        <v>PRL-024</v>
      </c>
      <c r="O31731" t="str">
        <f>IF(N31731="","",'Master Barang'!B25)</f>
        <v>cikrak kecil</v>
      </c>
      <c r="P31731">
        <f>IF(OR(M31731="",N31731=""),"",SUMIFS('Barang Keluar'!$E:$E,'Barang Keluar'!$A:$A,M31731,'Barang Keluar'!$C:$C,N31731))</f>
        <v>0</v>
      </c>
    </row>
    <row r="31732" spans="13:16">
      <c r="M31732" s="49">
        <f>IF($A$4+317&gt;$B$4,"",$A$4+317)</f>
        <v>46340</v>
      </c>
      <c r="N31732" t="str">
        <f>IF(M31732="","",'Master Barang'!A26)</f>
        <v>PRL-025</v>
      </c>
      <c r="O31732" t="str">
        <f>IF(N31732="","",'Master Barang'!B26)</f>
        <v>petromax plastik kecil 12x24 100 lembar</v>
      </c>
      <c r="P31732">
        <f>IF(OR(M31732="",N31732=""),"",SUMIFS('Barang Keluar'!$E:$E,'Barang Keluar'!$A:$A,M31732,'Barang Keluar'!$C:$C,N31732))</f>
        <v>0</v>
      </c>
    </row>
    <row r="31733" spans="13:16">
      <c r="M31733" s="49">
        <f>IF($A$4+317&gt;$B$4,"",$A$4+317)</f>
        <v>46340</v>
      </c>
      <c r="N31733" t="str">
        <f>IF(M31733="","",'Master Barang'!A27)</f>
        <v>PRL-026</v>
      </c>
      <c r="O31733" t="str">
        <f>IF(N31733="","",'Master Barang'!B27)</f>
        <v>lancar kresek kecil bening </v>
      </c>
      <c r="P31733">
        <f>IF(OR(M31733="",N31733=""),"",SUMIFS('Barang Keluar'!$E:$E,'Barang Keluar'!$A:$A,M31733,'Barang Keluar'!$C:$C,N31733))</f>
        <v>0</v>
      </c>
    </row>
    <row r="31734" spans="13:16">
      <c r="M31734" s="49">
        <f>IF($A$4+317&gt;$B$4,"",$A$4+317)</f>
        <v>46340</v>
      </c>
      <c r="N31734" t="str">
        <f>IF(M31734="","",'Master Barang'!A28)</f>
        <v>PRL-027</v>
      </c>
      <c r="O31734" t="str">
        <f>IF(N31734="","",'Master Barang'!B28)</f>
        <v>kresek klin warna warni kecil</v>
      </c>
      <c r="P31734">
        <f>IF(OR(M31734="",N31734=""),"",SUMIFS('Barang Keluar'!$E:$E,'Barang Keluar'!$A:$A,M31734,'Barang Keluar'!$C:$C,N31734))</f>
        <v>0</v>
      </c>
    </row>
    <row r="31735" spans="13:16">
      <c r="M31735" s="49">
        <f>IF($A$4+317&gt;$B$4,"",$A$4+317)</f>
        <v>46340</v>
      </c>
      <c r="N31735" t="str">
        <f>IF(M31735="","",'Master Barang'!A29)</f>
        <v>PRL-028</v>
      </c>
      <c r="O31735" t="str">
        <f>IF(N31735="","",'Master Barang'!B29)</f>
        <v>ctik plastik 7x10 100 pcs</v>
      </c>
      <c r="P31735">
        <f>IF(OR(M31735="",N31735=""),"",SUMIFS('Barang Keluar'!$E:$E,'Barang Keluar'!$A:$A,M31735,'Barang Keluar'!$C:$C,N31735))</f>
        <v>0</v>
      </c>
    </row>
    <row r="31736" spans="13:16">
      <c r="M31736" s="49">
        <f>IF($A$4+317&gt;$B$4,"",$A$4+317)</f>
        <v>46340</v>
      </c>
      <c r="N31736" t="str">
        <f>IF(M31736="","",'Master Barang'!A30)</f>
        <v>PRL-029</v>
      </c>
      <c r="O31736" t="str">
        <f>IF(N31736="","",'Master Barang'!B30)</f>
        <v>ctik plastik 6x10 100 pcs</v>
      </c>
      <c r="P31736">
        <f>IF(OR(M31736="",N31736=""),"",SUMIFS('Barang Keluar'!$E:$E,'Barang Keluar'!$A:$A,M31736,'Barang Keluar'!$C:$C,N31736))</f>
        <v>0</v>
      </c>
    </row>
    <row r="31737" spans="13:16">
      <c r="M31737" s="49">
        <f>IF($A$4+317&gt;$B$4,"",$A$4+317)</f>
        <v>46340</v>
      </c>
      <c r="N31737" t="str">
        <f>IF(M31737="","",'Master Barang'!A31)</f>
        <v>PRL-030</v>
      </c>
      <c r="O31737" t="str">
        <f>IF(N31737="","",'Master Barang'!B31)</f>
        <v>klip plastik 25x16 100 pcs</v>
      </c>
      <c r="P31737">
        <f>IF(OR(M31737="",N31737=""),"",SUMIFS('Barang Keluar'!$E:$E,'Barang Keluar'!$A:$A,M31737,'Barang Keluar'!$C:$C,N31737))</f>
        <v>0</v>
      </c>
    </row>
    <row r="31738" spans="13:16">
      <c r="M31738" s="49">
        <f>IF($A$4+317&gt;$B$4,"",$A$4+317)</f>
        <v>46340</v>
      </c>
      <c r="N31738" t="str">
        <f>IF(M31738="","",'Master Barang'!A32)</f>
        <v>PRL-031</v>
      </c>
      <c r="O31738" t="str">
        <f>IF(N31738="","",'Master Barang'!B32)</f>
        <v>tempat saus 20 ml</v>
      </c>
      <c r="P31738">
        <f>IF(OR(M31738="",N31738=""),"",SUMIFS('Barang Keluar'!$E:$E,'Barang Keluar'!$A:$A,M31738,'Barang Keluar'!$C:$C,N31738))</f>
        <v>0</v>
      </c>
    </row>
    <row r="31739" spans="13:16">
      <c r="M31739" s="49">
        <f>IF($A$4+317&gt;$B$4,"",$A$4+317)</f>
        <v>46340</v>
      </c>
      <c r="N31739" t="str">
        <f>IF(M31739="","",'Master Barang'!A33)</f>
        <v>PRL-032</v>
      </c>
      <c r="O31739" t="str">
        <f>IF(N31739="","",'Master Barang'!B33)</f>
        <v>plastik packaging ag box uk sedang</v>
      </c>
      <c r="P31739">
        <f>IF(OR(M31739="",N31739=""),"",SUMIFS('Barang Keluar'!$E:$E,'Barang Keluar'!$A:$A,M31739,'Barang Keluar'!$C:$C,N31739))</f>
        <v>0</v>
      </c>
    </row>
    <row r="31740" spans="13:16">
      <c r="M31740" s="49">
        <f>IF($A$4+317&gt;$B$4,"",$A$4+317)</f>
        <v>46340</v>
      </c>
      <c r="N31740" t="str">
        <f>IF(M31740="","",'Master Barang'!A34)</f>
        <v>PRL-033</v>
      </c>
      <c r="O31740">
        <f>IF(N31740="","",'Master Barang'!B34)</f>
        <v>0</v>
      </c>
      <c r="P31740">
        <f>IF(OR(M31740="",N31740=""),"",SUMIFS('Barang Keluar'!$E:$E,'Barang Keluar'!$A:$A,M31740,'Barang Keluar'!$C:$C,N31740))</f>
        <v>0</v>
      </c>
    </row>
    <row r="31741" spans="13:16">
      <c r="M31741" s="49">
        <f>IF($A$4+317&gt;$B$4,"",$A$4+317)</f>
        <v>46340</v>
      </c>
      <c r="N31741">
        <f>IF(M31741="","",'Master Barang'!A35)</f>
        <v>0</v>
      </c>
      <c r="O31741">
        <f>IF(N31741="","",'Master Barang'!B35)</f>
        <v>0</v>
      </c>
      <c r="P31741">
        <f>IF(OR(M31741="",N31741=""),"",SUMIFS('Barang Keluar'!$E:$E,'Barang Keluar'!$A:$A,M31741,'Barang Keluar'!$C:$C,N31741))</f>
        <v>0</v>
      </c>
    </row>
    <row r="31742" spans="13:16">
      <c r="M31742" s="49">
        <f>IF($A$4+317&gt;$B$4,"",$A$4+317)</f>
        <v>46340</v>
      </c>
      <c r="N31742">
        <f>IF(M31742="","",'Master Barang'!A36)</f>
        <v>0</v>
      </c>
      <c r="O31742">
        <f>IF(N31742="","",'Master Barang'!B36)</f>
        <v>0</v>
      </c>
      <c r="P31742">
        <f>IF(OR(M31742="",N31742=""),"",SUMIFS('Barang Keluar'!$E:$E,'Barang Keluar'!$A:$A,M31742,'Barang Keluar'!$C:$C,N31742))</f>
        <v>0</v>
      </c>
    </row>
    <row r="31743" spans="13:16">
      <c r="M31743" s="49">
        <f>IF($A$4+317&gt;$B$4,"",$A$4+317)</f>
        <v>46340</v>
      </c>
      <c r="N31743">
        <f>IF(M31743="","",'Master Barang'!A37)</f>
        <v>0</v>
      </c>
      <c r="O31743">
        <f>IF(N31743="","",'Master Barang'!B37)</f>
        <v>0</v>
      </c>
      <c r="P31743">
        <f>IF(OR(M31743="",N31743=""),"",SUMIFS('Barang Keluar'!$E:$E,'Barang Keluar'!$A:$A,M31743,'Barang Keluar'!$C:$C,N31743))</f>
        <v>0</v>
      </c>
    </row>
    <row r="31744" spans="13:16">
      <c r="M31744" s="49">
        <f>IF($A$4+317&gt;$B$4,"",$A$4+317)</f>
        <v>46340</v>
      </c>
      <c r="N31744">
        <f>IF(M31744="","",'Master Barang'!A38)</f>
        <v>0</v>
      </c>
      <c r="O31744">
        <f>IF(N31744="","",'Master Barang'!B38)</f>
        <v>0</v>
      </c>
      <c r="P31744">
        <f>IF(OR(M31744="",N31744=""),"",SUMIFS('Barang Keluar'!$E:$E,'Barang Keluar'!$A:$A,M31744,'Barang Keluar'!$C:$C,N31744))</f>
        <v>0</v>
      </c>
    </row>
    <row r="31745" spans="13:16">
      <c r="M31745" s="49">
        <f>IF($A$4+317&gt;$B$4,"",$A$4+317)</f>
        <v>46340</v>
      </c>
      <c r="N31745">
        <f>IF(M31745="","",'Master Barang'!A39)</f>
        <v>0</v>
      </c>
      <c r="O31745">
        <f>IF(N31745="","",'Master Barang'!B39)</f>
        <v>0</v>
      </c>
      <c r="P31745">
        <f>IF(OR(M31745="",N31745=""),"",SUMIFS('Barang Keluar'!$E:$E,'Barang Keluar'!$A:$A,M31745,'Barang Keluar'!$C:$C,N31745))</f>
        <v>0</v>
      </c>
    </row>
    <row r="31746" spans="13:16">
      <c r="M31746" s="49">
        <f>IF($A$4+317&gt;$B$4,"",$A$4+317)</f>
        <v>46340</v>
      </c>
      <c r="N31746">
        <f>IF(M31746="","",'Master Barang'!A40)</f>
        <v>0</v>
      </c>
      <c r="O31746">
        <f>IF(N31746="","",'Master Barang'!B40)</f>
        <v>0</v>
      </c>
      <c r="P31746">
        <f>IF(OR(M31746="",N31746=""),"",SUMIFS('Barang Keluar'!$E:$E,'Barang Keluar'!$A:$A,M31746,'Barang Keluar'!$C:$C,N31746))</f>
        <v>0</v>
      </c>
    </row>
    <row r="31747" spans="13:16">
      <c r="M31747" s="49">
        <f>IF($A$4+317&gt;$B$4,"",$A$4+317)</f>
        <v>46340</v>
      </c>
      <c r="N31747">
        <f>IF(M31747="","",'Master Barang'!A41)</f>
        <v>0</v>
      </c>
      <c r="O31747">
        <f>IF(N31747="","",'Master Barang'!B41)</f>
        <v>0</v>
      </c>
      <c r="P31747">
        <f>IF(OR(M31747="",N31747=""),"",SUMIFS('Barang Keluar'!$E:$E,'Barang Keluar'!$A:$A,M31747,'Barang Keluar'!$C:$C,N31747))</f>
        <v>0</v>
      </c>
    </row>
    <row r="31748" spans="13:16">
      <c r="M31748" s="49">
        <f>IF($A$4+317&gt;$B$4,"",$A$4+317)</f>
        <v>46340</v>
      </c>
      <c r="N31748">
        <f>IF(M31748="","",'Master Barang'!A42)</f>
        <v>0</v>
      </c>
      <c r="O31748">
        <f>IF(N31748="","",'Master Barang'!B42)</f>
        <v>0</v>
      </c>
      <c r="P31748">
        <f>IF(OR(M31748="",N31748=""),"",SUMIFS('Barang Keluar'!$E:$E,'Barang Keluar'!$A:$A,M31748,'Barang Keluar'!$C:$C,N31748))</f>
        <v>0</v>
      </c>
    </row>
    <row r="31749" spans="13:16">
      <c r="M31749" s="49">
        <f>IF($A$4+317&gt;$B$4,"",$A$4+317)</f>
        <v>46340</v>
      </c>
      <c r="N31749">
        <f>IF(M31749="","",'Master Barang'!A43)</f>
        <v>0</v>
      </c>
      <c r="O31749">
        <f>IF(N31749="","",'Master Barang'!B43)</f>
        <v>0</v>
      </c>
      <c r="P31749">
        <f>IF(OR(M31749="",N31749=""),"",SUMIFS('Barang Keluar'!$E:$E,'Barang Keluar'!$A:$A,M31749,'Barang Keluar'!$C:$C,N31749))</f>
        <v>0</v>
      </c>
    </row>
    <row r="31750" spans="13:16">
      <c r="M31750" s="49">
        <f>IF($A$4+317&gt;$B$4,"",$A$4+317)</f>
        <v>46340</v>
      </c>
      <c r="N31750">
        <f>IF(M31750="","",'Master Barang'!A44)</f>
        <v>0</v>
      </c>
      <c r="O31750">
        <f>IF(N31750="","",'Master Barang'!B44)</f>
        <v>0</v>
      </c>
      <c r="P31750">
        <f>IF(OR(M31750="",N31750=""),"",SUMIFS('Barang Keluar'!$E:$E,'Barang Keluar'!$A:$A,M31750,'Barang Keluar'!$C:$C,N31750))</f>
        <v>0</v>
      </c>
    </row>
    <row r="31751" spans="13:16">
      <c r="M31751" s="49">
        <f>IF($A$4+317&gt;$B$4,"",$A$4+317)</f>
        <v>46340</v>
      </c>
      <c r="N31751">
        <f>IF(M31751="","",'Master Barang'!A45)</f>
        <v>0</v>
      </c>
      <c r="O31751">
        <f>IF(N31751="","",'Master Barang'!B45)</f>
        <v>0</v>
      </c>
      <c r="P31751">
        <f>IF(OR(M31751="",N31751=""),"",SUMIFS('Barang Keluar'!$E:$E,'Barang Keluar'!$A:$A,M31751,'Barang Keluar'!$C:$C,N31751))</f>
        <v>0</v>
      </c>
    </row>
    <row r="31752" spans="13:16">
      <c r="M31752" s="49">
        <f>IF($A$4+317&gt;$B$4,"",$A$4+317)</f>
        <v>46340</v>
      </c>
      <c r="N31752">
        <f>IF(M31752="","",'Master Barang'!A46)</f>
        <v>0</v>
      </c>
      <c r="O31752">
        <f>IF(N31752="","",'Master Barang'!B46)</f>
        <v>0</v>
      </c>
      <c r="P31752">
        <f>IF(OR(M31752="",N31752=""),"",SUMIFS('Barang Keluar'!$E:$E,'Barang Keluar'!$A:$A,M31752,'Barang Keluar'!$C:$C,N31752))</f>
        <v>0</v>
      </c>
    </row>
    <row r="31753" spans="13:16">
      <c r="M31753" s="49">
        <f>IF($A$4+317&gt;$B$4,"",$A$4+317)</f>
        <v>46340</v>
      </c>
      <c r="N31753">
        <f>IF(M31753="","",'Master Barang'!A47)</f>
        <v>0</v>
      </c>
      <c r="O31753">
        <f>IF(N31753="","",'Master Barang'!B47)</f>
        <v>0</v>
      </c>
      <c r="P31753">
        <f>IF(OR(M31753="",N31753=""),"",SUMIFS('Barang Keluar'!$E:$E,'Barang Keluar'!$A:$A,M31753,'Barang Keluar'!$C:$C,N31753))</f>
        <v>0</v>
      </c>
    </row>
    <row r="31754" spans="13:16">
      <c r="M31754" s="49">
        <f>IF($A$4+317&gt;$B$4,"",$A$4+317)</f>
        <v>46340</v>
      </c>
      <c r="N31754">
        <f>IF(M31754="","",'Master Barang'!A48)</f>
        <v>0</v>
      </c>
      <c r="O31754">
        <f>IF(N31754="","",'Master Barang'!B48)</f>
        <v>0</v>
      </c>
      <c r="P31754">
        <f>IF(OR(M31754="",N31754=""),"",SUMIFS('Barang Keluar'!$E:$E,'Barang Keluar'!$A:$A,M31754,'Barang Keluar'!$C:$C,N31754))</f>
        <v>0</v>
      </c>
    </row>
    <row r="31755" spans="13:16">
      <c r="M31755" s="49">
        <f>IF($A$4+317&gt;$B$4,"",$A$4+317)</f>
        <v>46340</v>
      </c>
      <c r="N31755">
        <f>IF(M31755="","",'Master Barang'!A49)</f>
        <v>0</v>
      </c>
      <c r="O31755">
        <f>IF(N31755="","",'Master Barang'!B49)</f>
        <v>0</v>
      </c>
      <c r="P31755">
        <f>IF(OR(M31755="",N31755=""),"",SUMIFS('Barang Keluar'!$E:$E,'Barang Keluar'!$A:$A,M31755,'Barang Keluar'!$C:$C,N31755))</f>
        <v>0</v>
      </c>
    </row>
    <row r="31756" spans="13:16">
      <c r="M31756" s="49">
        <f>IF($A$4+317&gt;$B$4,"",$A$4+317)</f>
        <v>46340</v>
      </c>
      <c r="N31756">
        <f>IF(M31756="","",'Master Barang'!A50)</f>
        <v>0</v>
      </c>
      <c r="O31756">
        <f>IF(N31756="","",'Master Barang'!B50)</f>
        <v>0</v>
      </c>
      <c r="P31756">
        <f>IF(OR(M31756="",N31756=""),"",SUMIFS('Barang Keluar'!$E:$E,'Barang Keluar'!$A:$A,M31756,'Barang Keluar'!$C:$C,N31756))</f>
        <v>0</v>
      </c>
    </row>
    <row r="31757" spans="13:16">
      <c r="M31757" s="49">
        <f>IF($A$4+317&gt;$B$4,"",$A$4+317)</f>
        <v>46340</v>
      </c>
      <c r="N31757">
        <f>IF(M31757="","",'Master Barang'!A51)</f>
        <v>0</v>
      </c>
      <c r="O31757">
        <f>IF(N31757="","",'Master Barang'!B51)</f>
        <v>0</v>
      </c>
      <c r="P31757">
        <f>IF(OR(M31757="",N31757=""),"",SUMIFS('Barang Keluar'!$E:$E,'Barang Keluar'!$A:$A,M31757,'Barang Keluar'!$C:$C,N31757))</f>
        <v>0</v>
      </c>
    </row>
    <row r="31758" spans="13:16">
      <c r="M31758" s="49">
        <f>IF($A$4+317&gt;$B$4,"",$A$4+317)</f>
        <v>46340</v>
      </c>
      <c r="N31758">
        <f>IF(M31758="","",'Master Barang'!A52)</f>
        <v>0</v>
      </c>
      <c r="O31758">
        <f>IF(N31758="","",'Master Barang'!B52)</f>
        <v>0</v>
      </c>
      <c r="P31758">
        <f>IF(OR(M31758="",N31758=""),"",SUMIFS('Barang Keluar'!$E:$E,'Barang Keluar'!$A:$A,M31758,'Barang Keluar'!$C:$C,N31758))</f>
        <v>0</v>
      </c>
    </row>
    <row r="31759" spans="13:16">
      <c r="M31759" s="49">
        <f>IF($A$4+317&gt;$B$4,"",$A$4+317)</f>
        <v>46340</v>
      </c>
      <c r="N31759">
        <f>IF(M31759="","",'Master Barang'!A53)</f>
        <v>0</v>
      </c>
      <c r="O31759">
        <f>IF(N31759="","",'Master Barang'!B53)</f>
        <v>0</v>
      </c>
      <c r="P31759">
        <f>IF(OR(M31759="",N31759=""),"",SUMIFS('Barang Keluar'!$E:$E,'Barang Keluar'!$A:$A,M31759,'Barang Keluar'!$C:$C,N31759))</f>
        <v>0</v>
      </c>
    </row>
    <row r="31760" spans="13:16">
      <c r="M31760" s="49">
        <f>IF($A$4+317&gt;$B$4,"",$A$4+317)</f>
        <v>46340</v>
      </c>
      <c r="N31760">
        <f>IF(M31760="","",'Master Barang'!A54)</f>
        <v>0</v>
      </c>
      <c r="O31760">
        <f>IF(N31760="","",'Master Barang'!B54)</f>
        <v>0</v>
      </c>
      <c r="P31760">
        <f>IF(OR(M31760="",N31760=""),"",SUMIFS('Barang Keluar'!$E:$E,'Barang Keluar'!$A:$A,M31760,'Barang Keluar'!$C:$C,N31760))</f>
        <v>0</v>
      </c>
    </row>
    <row r="31761" spans="13:16">
      <c r="M31761" s="49">
        <f>IF($A$4+317&gt;$B$4,"",$A$4+317)</f>
        <v>46340</v>
      </c>
      <c r="N31761">
        <f>IF(M31761="","",'Master Barang'!A55)</f>
        <v>0</v>
      </c>
      <c r="O31761">
        <f>IF(N31761="","",'Master Barang'!B55)</f>
        <v>0</v>
      </c>
      <c r="P31761">
        <f>IF(OR(M31761="",N31761=""),"",SUMIFS('Barang Keluar'!$E:$E,'Barang Keluar'!$A:$A,M31761,'Barang Keluar'!$C:$C,N31761))</f>
        <v>0</v>
      </c>
    </row>
    <row r="31762" spans="13:16">
      <c r="M31762" s="49">
        <f>IF($A$4+317&gt;$B$4,"",$A$4+317)</f>
        <v>46340</v>
      </c>
      <c r="N31762">
        <f>IF(M31762="","",'Master Barang'!A56)</f>
        <v>0</v>
      </c>
      <c r="O31762">
        <f>IF(N31762="","",'Master Barang'!B56)</f>
        <v>0</v>
      </c>
      <c r="P31762">
        <f>IF(OR(M31762="",N31762=""),"",SUMIFS('Barang Keluar'!$E:$E,'Barang Keluar'!$A:$A,M31762,'Barang Keluar'!$C:$C,N31762))</f>
        <v>0</v>
      </c>
    </row>
    <row r="31763" spans="13:16">
      <c r="M31763" s="49">
        <f>IF($A$4+317&gt;$B$4,"",$A$4+317)</f>
        <v>46340</v>
      </c>
      <c r="N31763">
        <f>IF(M31763="","",'Master Barang'!A57)</f>
        <v>0</v>
      </c>
      <c r="O31763">
        <f>IF(N31763="","",'Master Barang'!B57)</f>
        <v>0</v>
      </c>
      <c r="P31763">
        <f>IF(OR(M31763="",N31763=""),"",SUMIFS('Barang Keluar'!$E:$E,'Barang Keluar'!$A:$A,M31763,'Barang Keluar'!$C:$C,N31763))</f>
        <v>0</v>
      </c>
    </row>
    <row r="31764" spans="13:16">
      <c r="M31764" s="49">
        <f>IF($A$4+317&gt;$B$4,"",$A$4+317)</f>
        <v>46340</v>
      </c>
      <c r="N31764">
        <f>IF(M31764="","",'Master Barang'!A58)</f>
        <v>0</v>
      </c>
      <c r="O31764">
        <f>IF(N31764="","",'Master Barang'!B58)</f>
        <v>0</v>
      </c>
      <c r="P31764">
        <f>IF(OR(M31764="",N31764=""),"",SUMIFS('Barang Keluar'!$E:$E,'Barang Keluar'!$A:$A,M31764,'Barang Keluar'!$C:$C,N31764))</f>
        <v>0</v>
      </c>
    </row>
    <row r="31765" spans="13:16">
      <c r="M31765" s="49">
        <f>IF($A$4+317&gt;$B$4,"",$A$4+317)</f>
        <v>46340</v>
      </c>
      <c r="N31765">
        <f>IF(M31765="","",'Master Barang'!A59)</f>
        <v>0</v>
      </c>
      <c r="O31765">
        <f>IF(N31765="","",'Master Barang'!B59)</f>
        <v>0</v>
      </c>
      <c r="P31765">
        <f>IF(OR(M31765="",N31765=""),"",SUMIFS('Barang Keluar'!$E:$E,'Barang Keluar'!$A:$A,M31765,'Barang Keluar'!$C:$C,N31765))</f>
        <v>0</v>
      </c>
    </row>
    <row r="31766" spans="13:16">
      <c r="M31766" s="49">
        <f>IF($A$4+317&gt;$B$4,"",$A$4+317)</f>
        <v>46340</v>
      </c>
      <c r="N31766">
        <f>IF(M31766="","",'Master Barang'!A60)</f>
        <v>0</v>
      </c>
      <c r="O31766">
        <f>IF(N31766="","",'Master Barang'!B60)</f>
        <v>0</v>
      </c>
      <c r="P31766">
        <f>IF(OR(M31766="",N31766=""),"",SUMIFS('Barang Keluar'!$E:$E,'Barang Keluar'!$A:$A,M31766,'Barang Keluar'!$C:$C,N31766))</f>
        <v>0</v>
      </c>
    </row>
    <row r="31767" spans="13:16">
      <c r="M31767" s="49">
        <f>IF($A$4+317&gt;$B$4,"",$A$4+317)</f>
        <v>46340</v>
      </c>
      <c r="N31767">
        <f>IF(M31767="","",'Master Barang'!A61)</f>
        <v>0</v>
      </c>
      <c r="O31767">
        <f>IF(N31767="","",'Master Barang'!B61)</f>
        <v>0</v>
      </c>
      <c r="P31767">
        <f>IF(OR(M31767="",N31767=""),"",SUMIFS('Barang Keluar'!$E:$E,'Barang Keluar'!$A:$A,M31767,'Barang Keluar'!$C:$C,N31767))</f>
        <v>0</v>
      </c>
    </row>
    <row r="31768" spans="13:16">
      <c r="M31768" s="49">
        <f>IF($A$4+317&gt;$B$4,"",$A$4+317)</f>
        <v>46340</v>
      </c>
      <c r="N31768">
        <f>IF(M31768="","",'Master Barang'!A62)</f>
        <v>0</v>
      </c>
      <c r="O31768">
        <f>IF(N31768="","",'Master Barang'!B62)</f>
        <v>0</v>
      </c>
      <c r="P31768">
        <f>IF(OR(M31768="",N31768=""),"",SUMIFS('Barang Keluar'!$E:$E,'Barang Keluar'!$A:$A,M31768,'Barang Keluar'!$C:$C,N31768))</f>
        <v>0</v>
      </c>
    </row>
    <row r="31769" spans="13:16">
      <c r="M31769" s="49">
        <f>IF($A$4+317&gt;$B$4,"",$A$4+317)</f>
        <v>46340</v>
      </c>
      <c r="N31769">
        <f>IF(M31769="","",'Master Barang'!A63)</f>
        <v>0</v>
      </c>
      <c r="O31769">
        <f>IF(N31769="","",'Master Barang'!B63)</f>
        <v>0</v>
      </c>
      <c r="P31769">
        <f>IF(OR(M31769="",N31769=""),"",SUMIFS('Barang Keluar'!$E:$E,'Barang Keluar'!$A:$A,M31769,'Barang Keluar'!$C:$C,N31769))</f>
        <v>0</v>
      </c>
    </row>
    <row r="31770" spans="13:16">
      <c r="M31770" s="49">
        <f>IF($A$4+317&gt;$B$4,"",$A$4+317)</f>
        <v>46340</v>
      </c>
      <c r="N31770">
        <f>IF(M31770="","",'Master Barang'!A64)</f>
        <v>0</v>
      </c>
      <c r="O31770">
        <f>IF(N31770="","",'Master Barang'!B64)</f>
        <v>0</v>
      </c>
      <c r="P31770">
        <f>IF(OR(M31770="",N31770=""),"",SUMIFS('Barang Keluar'!$E:$E,'Barang Keluar'!$A:$A,M31770,'Barang Keluar'!$C:$C,N31770))</f>
        <v>0</v>
      </c>
    </row>
    <row r="31771" spans="13:16">
      <c r="M31771" s="49">
        <f>IF($A$4+317&gt;$B$4,"",$A$4+317)</f>
        <v>46340</v>
      </c>
      <c r="N31771">
        <f>IF(M31771="","",'Master Barang'!A65)</f>
        <v>0</v>
      </c>
      <c r="O31771">
        <f>IF(N31771="","",'Master Barang'!B65)</f>
        <v>0</v>
      </c>
      <c r="P31771">
        <f>IF(OR(M31771="",N31771=""),"",SUMIFS('Barang Keluar'!$E:$E,'Barang Keluar'!$A:$A,M31771,'Barang Keluar'!$C:$C,N31771))</f>
        <v>0</v>
      </c>
    </row>
    <row r="31772" spans="13:16">
      <c r="M31772" s="49">
        <f>IF($A$4+317&gt;$B$4,"",$A$4+317)</f>
        <v>46340</v>
      </c>
      <c r="N31772">
        <f>IF(M31772="","",'Master Barang'!A66)</f>
        <v>0</v>
      </c>
      <c r="O31772">
        <f>IF(N31772="","",'Master Barang'!B66)</f>
        <v>0</v>
      </c>
      <c r="P31772">
        <f>IF(OR(M31772="",N31772=""),"",SUMIFS('Barang Keluar'!$E:$E,'Barang Keluar'!$A:$A,M31772,'Barang Keluar'!$C:$C,N31772))</f>
        <v>0</v>
      </c>
    </row>
    <row r="31773" spans="13:16">
      <c r="M31773" s="49">
        <f>IF($A$4+317&gt;$B$4,"",$A$4+317)</f>
        <v>46340</v>
      </c>
      <c r="N31773">
        <f>IF(M31773="","",'Master Barang'!A67)</f>
        <v>0</v>
      </c>
      <c r="O31773">
        <f>IF(N31773="","",'Master Barang'!B67)</f>
        <v>0</v>
      </c>
      <c r="P31773">
        <f>IF(OR(M31773="",N31773=""),"",SUMIFS('Barang Keluar'!$E:$E,'Barang Keluar'!$A:$A,M31773,'Barang Keluar'!$C:$C,N31773))</f>
        <v>0</v>
      </c>
    </row>
    <row r="31774" spans="13:16">
      <c r="M31774" s="49">
        <f>IF($A$4+317&gt;$B$4,"",$A$4+317)</f>
        <v>46340</v>
      </c>
      <c r="N31774">
        <f>IF(M31774="","",'Master Barang'!A68)</f>
        <v>0</v>
      </c>
      <c r="O31774">
        <f>IF(N31774="","",'Master Barang'!B68)</f>
        <v>0</v>
      </c>
      <c r="P31774">
        <f>IF(OR(M31774="",N31774=""),"",SUMIFS('Barang Keluar'!$E:$E,'Barang Keluar'!$A:$A,M31774,'Barang Keluar'!$C:$C,N31774))</f>
        <v>0</v>
      </c>
    </row>
    <row r="31775" spans="13:16">
      <c r="M31775" s="49">
        <f>IF($A$4+317&gt;$B$4,"",$A$4+317)</f>
        <v>46340</v>
      </c>
      <c r="N31775">
        <f>IF(M31775="","",'Master Barang'!A69)</f>
        <v>0</v>
      </c>
      <c r="O31775">
        <f>IF(N31775="","",'Master Barang'!B69)</f>
        <v>0</v>
      </c>
      <c r="P31775">
        <f>IF(OR(M31775="",N31775=""),"",SUMIFS('Barang Keluar'!$E:$E,'Barang Keluar'!$A:$A,M31775,'Barang Keluar'!$C:$C,N31775))</f>
        <v>0</v>
      </c>
    </row>
    <row r="31776" spans="13:16">
      <c r="M31776" s="49">
        <f>IF($A$4+317&gt;$B$4,"",$A$4+317)</f>
        <v>46340</v>
      </c>
      <c r="N31776">
        <f>IF(M31776="","",'Master Barang'!A70)</f>
        <v>0</v>
      </c>
      <c r="O31776">
        <f>IF(N31776="","",'Master Barang'!B70)</f>
        <v>0</v>
      </c>
      <c r="P31776">
        <f>IF(OR(M31776="",N31776=""),"",SUMIFS('Barang Keluar'!$E:$E,'Barang Keluar'!$A:$A,M31776,'Barang Keluar'!$C:$C,N31776))</f>
        <v>0</v>
      </c>
    </row>
    <row r="31777" spans="13:16">
      <c r="M31777" s="49">
        <f>IF($A$4+317&gt;$B$4,"",$A$4+317)</f>
        <v>46340</v>
      </c>
      <c r="N31777">
        <f>IF(M31777="","",'Master Barang'!A71)</f>
        <v>0</v>
      </c>
      <c r="O31777">
        <f>IF(N31777="","",'Master Barang'!B71)</f>
        <v>0</v>
      </c>
      <c r="P31777">
        <f>IF(OR(M31777="",N31777=""),"",SUMIFS('Barang Keluar'!$E:$E,'Barang Keluar'!$A:$A,M31777,'Barang Keluar'!$C:$C,N31777))</f>
        <v>0</v>
      </c>
    </row>
    <row r="31778" spans="13:16">
      <c r="M31778" s="49">
        <f>IF($A$4+317&gt;$B$4,"",$A$4+317)</f>
        <v>46340</v>
      </c>
      <c r="N31778">
        <f>IF(M31778="","",'Master Barang'!A72)</f>
        <v>0</v>
      </c>
      <c r="O31778">
        <f>IF(N31778="","",'Master Barang'!B72)</f>
        <v>0</v>
      </c>
      <c r="P31778">
        <f>IF(OR(M31778="",N31778=""),"",SUMIFS('Barang Keluar'!$E:$E,'Barang Keluar'!$A:$A,M31778,'Barang Keluar'!$C:$C,N31778))</f>
        <v>0</v>
      </c>
    </row>
    <row r="31779" spans="13:16">
      <c r="M31779" s="49">
        <f>IF($A$4+317&gt;$B$4,"",$A$4+317)</f>
        <v>46340</v>
      </c>
      <c r="N31779">
        <f>IF(M31779="","",'Master Barang'!A73)</f>
        <v>0</v>
      </c>
      <c r="O31779">
        <f>IF(N31779="","",'Master Barang'!B73)</f>
        <v>0</v>
      </c>
      <c r="P31779">
        <f>IF(OR(M31779="",N31779=""),"",SUMIFS('Barang Keluar'!$E:$E,'Barang Keluar'!$A:$A,M31779,'Barang Keluar'!$C:$C,N31779))</f>
        <v>0</v>
      </c>
    </row>
    <row r="31780" spans="13:16">
      <c r="M31780" s="49">
        <f>IF($A$4+317&gt;$B$4,"",$A$4+317)</f>
        <v>46340</v>
      </c>
      <c r="N31780">
        <f>IF(M31780="","",'Master Barang'!A74)</f>
        <v>0</v>
      </c>
      <c r="O31780">
        <f>IF(N31780="","",'Master Barang'!B74)</f>
        <v>0</v>
      </c>
      <c r="P31780">
        <f>IF(OR(M31780="",N31780=""),"",SUMIFS('Barang Keluar'!$E:$E,'Barang Keluar'!$A:$A,M31780,'Barang Keluar'!$C:$C,N31780))</f>
        <v>0</v>
      </c>
    </row>
    <row r="31781" spans="13:16">
      <c r="M31781" s="49">
        <f>IF($A$4+317&gt;$B$4,"",$A$4+317)</f>
        <v>46340</v>
      </c>
      <c r="N31781">
        <f>IF(M31781="","",'Master Barang'!A75)</f>
        <v>0</v>
      </c>
      <c r="O31781">
        <f>IF(N31781="","",'Master Barang'!B75)</f>
        <v>0</v>
      </c>
      <c r="P31781">
        <f>IF(OR(M31781="",N31781=""),"",SUMIFS('Barang Keluar'!$E:$E,'Barang Keluar'!$A:$A,M31781,'Barang Keluar'!$C:$C,N31781))</f>
        <v>0</v>
      </c>
    </row>
    <row r="31782" spans="13:16">
      <c r="M31782" s="49">
        <f>IF($A$4+317&gt;$B$4,"",$A$4+317)</f>
        <v>46340</v>
      </c>
      <c r="N31782">
        <f>IF(M31782="","",'Master Barang'!A76)</f>
        <v>0</v>
      </c>
      <c r="O31782">
        <f>IF(N31782="","",'Master Barang'!B76)</f>
        <v>0</v>
      </c>
      <c r="P31782">
        <f>IF(OR(M31782="",N31782=""),"",SUMIFS('Barang Keluar'!$E:$E,'Barang Keluar'!$A:$A,M31782,'Barang Keluar'!$C:$C,N31782))</f>
        <v>0</v>
      </c>
    </row>
    <row r="31783" spans="13:16">
      <c r="M31783" s="49">
        <f>IF($A$4+317&gt;$B$4,"",$A$4+317)</f>
        <v>46340</v>
      </c>
      <c r="N31783">
        <f>IF(M31783="","",'Master Barang'!A77)</f>
        <v>0</v>
      </c>
      <c r="O31783">
        <f>IF(N31783="","",'Master Barang'!B77)</f>
        <v>0</v>
      </c>
      <c r="P31783">
        <f>IF(OR(M31783="",N31783=""),"",SUMIFS('Barang Keluar'!$E:$E,'Barang Keluar'!$A:$A,M31783,'Barang Keluar'!$C:$C,N31783))</f>
        <v>0</v>
      </c>
    </row>
    <row r="31784" spans="13:16">
      <c r="M31784" s="49">
        <f>IF($A$4+317&gt;$B$4,"",$A$4+317)</f>
        <v>46340</v>
      </c>
      <c r="N31784">
        <f>IF(M31784="","",'Master Barang'!A78)</f>
        <v>0</v>
      </c>
      <c r="O31784">
        <f>IF(N31784="","",'Master Barang'!B78)</f>
        <v>0</v>
      </c>
      <c r="P31784">
        <f>IF(OR(M31784="",N31784=""),"",SUMIFS('Barang Keluar'!$E:$E,'Barang Keluar'!$A:$A,M31784,'Barang Keluar'!$C:$C,N31784))</f>
        <v>0</v>
      </c>
    </row>
    <row r="31785" spans="13:16">
      <c r="M31785" s="49">
        <f>IF($A$4+317&gt;$B$4,"",$A$4+317)</f>
        <v>46340</v>
      </c>
      <c r="N31785">
        <f>IF(M31785="","",'Master Barang'!A79)</f>
        <v>0</v>
      </c>
      <c r="O31785">
        <f>IF(N31785="","",'Master Barang'!B79)</f>
        <v>0</v>
      </c>
      <c r="P31785">
        <f>IF(OR(M31785="",N31785=""),"",SUMIFS('Barang Keluar'!$E:$E,'Barang Keluar'!$A:$A,M31785,'Barang Keluar'!$C:$C,N31785))</f>
        <v>0</v>
      </c>
    </row>
    <row r="31786" spans="13:16">
      <c r="M31786" s="49">
        <f>IF($A$4+317&gt;$B$4,"",$A$4+317)</f>
        <v>46340</v>
      </c>
      <c r="N31786">
        <f>IF(M31786="","",'Master Barang'!A80)</f>
        <v>0</v>
      </c>
      <c r="O31786">
        <f>IF(N31786="","",'Master Barang'!B80)</f>
        <v>0</v>
      </c>
      <c r="P31786">
        <f>IF(OR(M31786="",N31786=""),"",SUMIFS('Barang Keluar'!$E:$E,'Barang Keluar'!$A:$A,M31786,'Barang Keluar'!$C:$C,N31786))</f>
        <v>0</v>
      </c>
    </row>
    <row r="31787" spans="13:16">
      <c r="M31787" s="49">
        <f>IF($A$4+317&gt;$B$4,"",$A$4+317)</f>
        <v>46340</v>
      </c>
      <c r="N31787">
        <f>IF(M31787="","",'Master Barang'!A81)</f>
        <v>0</v>
      </c>
      <c r="O31787">
        <f>IF(N31787="","",'Master Barang'!B81)</f>
        <v>0</v>
      </c>
      <c r="P31787">
        <f>IF(OR(M31787="",N31787=""),"",SUMIFS('Barang Keluar'!$E:$E,'Barang Keluar'!$A:$A,M31787,'Barang Keluar'!$C:$C,N31787))</f>
        <v>0</v>
      </c>
    </row>
    <row r="31788" spans="13:16">
      <c r="M31788" s="49">
        <f>IF($A$4+317&gt;$B$4,"",$A$4+317)</f>
        <v>46340</v>
      </c>
      <c r="N31788">
        <f>IF(M31788="","",'Master Barang'!A82)</f>
        <v>0</v>
      </c>
      <c r="O31788">
        <f>IF(N31788="","",'Master Barang'!B82)</f>
        <v>0</v>
      </c>
      <c r="P31788">
        <f>IF(OR(M31788="",N31788=""),"",SUMIFS('Barang Keluar'!$E:$E,'Barang Keluar'!$A:$A,M31788,'Barang Keluar'!$C:$C,N31788))</f>
        <v>0</v>
      </c>
    </row>
    <row r="31789" spans="13:16">
      <c r="M31789" s="49">
        <f>IF($A$4+317&gt;$B$4,"",$A$4+317)</f>
        <v>46340</v>
      </c>
      <c r="N31789">
        <f>IF(M31789="","",'Master Barang'!A83)</f>
        <v>0</v>
      </c>
      <c r="O31789">
        <f>IF(N31789="","",'Master Barang'!B83)</f>
        <v>0</v>
      </c>
      <c r="P31789">
        <f>IF(OR(M31789="",N31789=""),"",SUMIFS('Barang Keluar'!$E:$E,'Barang Keluar'!$A:$A,M31789,'Barang Keluar'!$C:$C,N31789))</f>
        <v>0</v>
      </c>
    </row>
    <row r="31790" spans="13:16">
      <c r="M31790" s="49">
        <f>IF($A$4+317&gt;$B$4,"",$A$4+317)</f>
        <v>46340</v>
      </c>
      <c r="N31790">
        <f>IF(M31790="","",'Master Barang'!A84)</f>
        <v>0</v>
      </c>
      <c r="O31790">
        <f>IF(N31790="","",'Master Barang'!B84)</f>
        <v>0</v>
      </c>
      <c r="P31790">
        <f>IF(OR(M31790="",N31790=""),"",SUMIFS('Barang Keluar'!$E:$E,'Barang Keluar'!$A:$A,M31790,'Barang Keluar'!$C:$C,N31790))</f>
        <v>0</v>
      </c>
    </row>
    <row r="31791" spans="13:16">
      <c r="M31791" s="49">
        <f>IF($A$4+317&gt;$B$4,"",$A$4+317)</f>
        <v>46340</v>
      </c>
      <c r="N31791">
        <f>IF(M31791="","",'Master Barang'!A85)</f>
        <v>0</v>
      </c>
      <c r="O31791">
        <f>IF(N31791="","",'Master Barang'!B85)</f>
        <v>0</v>
      </c>
      <c r="P31791">
        <f>IF(OR(M31791="",N31791=""),"",SUMIFS('Barang Keluar'!$E:$E,'Barang Keluar'!$A:$A,M31791,'Barang Keluar'!$C:$C,N31791))</f>
        <v>0</v>
      </c>
    </row>
    <row r="31792" spans="13:16">
      <c r="M31792" s="49">
        <f>IF($A$4+317&gt;$B$4,"",$A$4+317)</f>
        <v>46340</v>
      </c>
      <c r="N31792">
        <f>IF(M31792="","",'Master Barang'!A86)</f>
        <v>0</v>
      </c>
      <c r="O31792">
        <f>IF(N31792="","",'Master Barang'!B86)</f>
        <v>0</v>
      </c>
      <c r="P31792">
        <f>IF(OR(M31792="",N31792=""),"",SUMIFS('Barang Keluar'!$E:$E,'Barang Keluar'!$A:$A,M31792,'Barang Keluar'!$C:$C,N31792))</f>
        <v>0</v>
      </c>
    </row>
    <row r="31793" spans="13:16">
      <c r="M31793" s="49">
        <f>IF($A$4+317&gt;$B$4,"",$A$4+317)</f>
        <v>46340</v>
      </c>
      <c r="N31793">
        <f>IF(M31793="","",'Master Barang'!A87)</f>
        <v>0</v>
      </c>
      <c r="O31793">
        <f>IF(N31793="","",'Master Barang'!B87)</f>
        <v>0</v>
      </c>
      <c r="P31793">
        <f>IF(OR(M31793="",N31793=""),"",SUMIFS('Barang Keluar'!$E:$E,'Barang Keluar'!$A:$A,M31793,'Barang Keluar'!$C:$C,N31793))</f>
        <v>0</v>
      </c>
    </row>
    <row r="31794" spans="13:16">
      <c r="M31794" s="49">
        <f>IF($A$4+317&gt;$B$4,"",$A$4+317)</f>
        <v>46340</v>
      </c>
      <c r="N31794">
        <f>IF(M31794="","",'Master Barang'!A88)</f>
        <v>0</v>
      </c>
      <c r="O31794">
        <f>IF(N31794="","",'Master Barang'!B88)</f>
        <v>0</v>
      </c>
      <c r="P31794">
        <f>IF(OR(M31794="",N31794=""),"",SUMIFS('Barang Keluar'!$E:$E,'Barang Keluar'!$A:$A,M31794,'Barang Keluar'!$C:$C,N31794))</f>
        <v>0</v>
      </c>
    </row>
    <row r="31795" spans="13:16">
      <c r="M31795" s="49">
        <f>IF($A$4+317&gt;$B$4,"",$A$4+317)</f>
        <v>46340</v>
      </c>
      <c r="N31795">
        <f>IF(M31795="","",'Master Barang'!A89)</f>
        <v>0</v>
      </c>
      <c r="O31795">
        <f>IF(N31795="","",'Master Barang'!B89)</f>
        <v>0</v>
      </c>
      <c r="P31795">
        <f>IF(OR(M31795="",N31795=""),"",SUMIFS('Barang Keluar'!$E:$E,'Barang Keluar'!$A:$A,M31795,'Barang Keluar'!$C:$C,N31795))</f>
        <v>0</v>
      </c>
    </row>
    <row r="31796" spans="13:16">
      <c r="M31796" s="49">
        <f>IF($A$4+317&gt;$B$4,"",$A$4+317)</f>
        <v>46340</v>
      </c>
      <c r="N31796">
        <f>IF(M31796="","",'Master Barang'!A90)</f>
        <v>0</v>
      </c>
      <c r="O31796">
        <f>IF(N31796="","",'Master Barang'!B90)</f>
        <v>0</v>
      </c>
      <c r="P31796">
        <f>IF(OR(M31796="",N31796=""),"",SUMIFS('Barang Keluar'!$E:$E,'Barang Keluar'!$A:$A,M31796,'Barang Keluar'!$C:$C,N31796))</f>
        <v>0</v>
      </c>
    </row>
    <row r="31797" spans="13:16">
      <c r="M31797" s="49">
        <f>IF($A$4+317&gt;$B$4,"",$A$4+317)</f>
        <v>46340</v>
      </c>
      <c r="N31797">
        <f>IF(M31797="","",'Master Barang'!A91)</f>
        <v>0</v>
      </c>
      <c r="O31797">
        <f>IF(N31797="","",'Master Barang'!B91)</f>
        <v>0</v>
      </c>
      <c r="P31797">
        <f>IF(OR(M31797="",N31797=""),"",SUMIFS('Barang Keluar'!$E:$E,'Barang Keluar'!$A:$A,M31797,'Barang Keluar'!$C:$C,N31797))</f>
        <v>0</v>
      </c>
    </row>
    <row r="31798" spans="13:16">
      <c r="M31798" s="49">
        <f>IF($A$4+317&gt;$B$4,"",$A$4+317)</f>
        <v>46340</v>
      </c>
      <c r="N31798">
        <f>IF(M31798="","",'Master Barang'!A92)</f>
        <v>0</v>
      </c>
      <c r="O31798">
        <f>IF(N31798="","",'Master Barang'!B92)</f>
        <v>0</v>
      </c>
      <c r="P31798">
        <f>IF(OR(M31798="",N31798=""),"",SUMIFS('Barang Keluar'!$E:$E,'Barang Keluar'!$A:$A,M31798,'Barang Keluar'!$C:$C,N31798))</f>
        <v>0</v>
      </c>
    </row>
    <row r="31799" spans="13:16">
      <c r="M31799" s="49">
        <f>IF($A$4+317&gt;$B$4,"",$A$4+317)</f>
        <v>46340</v>
      </c>
      <c r="N31799">
        <f>IF(M31799="","",'Master Barang'!A93)</f>
        <v>0</v>
      </c>
      <c r="O31799">
        <f>IF(N31799="","",'Master Barang'!B93)</f>
        <v>0</v>
      </c>
      <c r="P31799">
        <f>IF(OR(M31799="",N31799=""),"",SUMIFS('Barang Keluar'!$E:$E,'Barang Keluar'!$A:$A,M31799,'Barang Keluar'!$C:$C,N31799))</f>
        <v>0</v>
      </c>
    </row>
    <row r="31800" spans="13:16">
      <c r="M31800" s="49">
        <f>IF($A$4+317&gt;$B$4,"",$A$4+317)</f>
        <v>46340</v>
      </c>
      <c r="N31800">
        <f>IF(M31800="","",'Master Barang'!A94)</f>
        <v>0</v>
      </c>
      <c r="O31800">
        <f>IF(N31800="","",'Master Barang'!B94)</f>
        <v>0</v>
      </c>
      <c r="P31800">
        <f>IF(OR(M31800="",N31800=""),"",SUMIFS('Barang Keluar'!$E:$E,'Barang Keluar'!$A:$A,M31800,'Barang Keluar'!$C:$C,N31800))</f>
        <v>0</v>
      </c>
    </row>
    <row r="31801" spans="13:16">
      <c r="M31801" s="49">
        <f>IF($A$4+317&gt;$B$4,"",$A$4+317)</f>
        <v>46340</v>
      </c>
      <c r="N31801">
        <f>IF(M31801="","",'Master Barang'!A95)</f>
        <v>0</v>
      </c>
      <c r="O31801">
        <f>IF(N31801="","",'Master Barang'!B95)</f>
        <v>0</v>
      </c>
      <c r="P31801">
        <f>IF(OR(M31801="",N31801=""),"",SUMIFS('Barang Keluar'!$E:$E,'Barang Keluar'!$A:$A,M31801,'Barang Keluar'!$C:$C,N31801))</f>
        <v>0</v>
      </c>
    </row>
    <row r="31802" spans="13:16">
      <c r="M31802" s="49">
        <f>IF($A$4+317&gt;$B$4,"",$A$4+317)</f>
        <v>46340</v>
      </c>
      <c r="N31802">
        <f>IF(M31802="","",'Master Barang'!A96)</f>
        <v>0</v>
      </c>
      <c r="O31802">
        <f>IF(N31802="","",'Master Barang'!B96)</f>
        <v>0</v>
      </c>
      <c r="P31802">
        <f>IF(OR(M31802="",N31802=""),"",SUMIFS('Barang Keluar'!$E:$E,'Barang Keluar'!$A:$A,M31802,'Barang Keluar'!$C:$C,N31802))</f>
        <v>0</v>
      </c>
    </row>
    <row r="31803" spans="13:16">
      <c r="M31803" s="49">
        <f>IF($A$4+317&gt;$B$4,"",$A$4+317)</f>
        <v>46340</v>
      </c>
      <c r="N31803">
        <f>IF(M31803="","",'Master Barang'!A97)</f>
        <v>0</v>
      </c>
      <c r="O31803">
        <f>IF(N31803="","",'Master Barang'!B97)</f>
        <v>0</v>
      </c>
      <c r="P31803">
        <f>IF(OR(M31803="",N31803=""),"",SUMIFS('Barang Keluar'!$E:$E,'Barang Keluar'!$A:$A,M31803,'Barang Keluar'!$C:$C,N31803))</f>
        <v>0</v>
      </c>
    </row>
    <row r="31804" spans="13:16">
      <c r="M31804" s="49">
        <f>IF($A$4+317&gt;$B$4,"",$A$4+317)</f>
        <v>46340</v>
      </c>
      <c r="N31804">
        <f>IF(M31804="","",'Master Barang'!A98)</f>
        <v>0</v>
      </c>
      <c r="O31804">
        <f>IF(N31804="","",'Master Barang'!B98)</f>
        <v>0</v>
      </c>
      <c r="P31804">
        <f>IF(OR(M31804="",N31804=""),"",SUMIFS('Barang Keluar'!$E:$E,'Barang Keluar'!$A:$A,M31804,'Barang Keluar'!$C:$C,N31804))</f>
        <v>0</v>
      </c>
    </row>
    <row r="31805" spans="13:16">
      <c r="M31805" s="49">
        <f>IF($A$4+317&gt;$B$4,"",$A$4+317)</f>
        <v>46340</v>
      </c>
      <c r="N31805">
        <f>IF(M31805="","",'Master Barang'!A99)</f>
        <v>0</v>
      </c>
      <c r="O31805">
        <f>IF(N31805="","",'Master Barang'!B99)</f>
        <v>0</v>
      </c>
      <c r="P31805">
        <f>IF(OR(M31805="",N31805=""),"",SUMIFS('Barang Keluar'!$E:$E,'Barang Keluar'!$A:$A,M31805,'Barang Keluar'!$C:$C,N31805))</f>
        <v>0</v>
      </c>
    </row>
    <row r="31806" spans="13:16">
      <c r="M31806" s="49">
        <f>IF($A$4+317&gt;$B$4,"",$A$4+317)</f>
        <v>46340</v>
      </c>
      <c r="N31806">
        <f>IF(M31806="","",'Master Barang'!A100)</f>
        <v>0</v>
      </c>
      <c r="O31806">
        <f>IF(N31806="","",'Master Barang'!B100)</f>
        <v>0</v>
      </c>
      <c r="P31806">
        <f>IF(OR(M31806="",N31806=""),"",SUMIFS('Barang Keluar'!$E:$E,'Barang Keluar'!$A:$A,M31806,'Barang Keluar'!$C:$C,N31806))</f>
        <v>0</v>
      </c>
    </row>
    <row r="31807" spans="13:16">
      <c r="M31807" s="49">
        <f>IF($A$4+317&gt;$B$4,"",$A$4+317)</f>
        <v>46340</v>
      </c>
      <c r="N31807">
        <f>IF(M31807="","",'Master Barang'!A101)</f>
        <v>0</v>
      </c>
      <c r="O31807">
        <f>IF(N31807="","",'Master Barang'!B101)</f>
        <v>0</v>
      </c>
      <c r="P31807">
        <f>IF(OR(M31807="",N31807=""),"",SUMIFS('Barang Keluar'!$E:$E,'Barang Keluar'!$A:$A,M31807,'Barang Keluar'!$C:$C,N31807))</f>
        <v>0</v>
      </c>
    </row>
    <row r="31808" spans="13:16">
      <c r="M31808" s="49">
        <f>IF($A$4+318&gt;$B$4,"",$A$4+318)</f>
        <v>46341</v>
      </c>
      <c r="N31808" t="str">
        <f>IF(M31808="","",'Master Barang'!A2)</f>
        <v>PRL-001</v>
      </c>
      <c r="O31808" t="str">
        <f>IF(N31808="","",'Master Barang'!B2)</f>
        <v>natura desinfectant food grade 5l</v>
      </c>
      <c r="P31808">
        <f>IF(OR(M31808="",N31808=""),"",SUMIFS('Barang Keluar'!$E:$E,'Barang Keluar'!$A:$A,M31808,'Barang Keluar'!$C:$C,N31808))</f>
        <v>0</v>
      </c>
    </row>
    <row r="31809" spans="13:16">
      <c r="M31809" s="49">
        <f>IF($A$4+318&gt;$B$4,"",$A$4+318)</f>
        <v>46341</v>
      </c>
      <c r="N31809" t="str">
        <f>IF(M31809="","",'Master Barang'!A3)</f>
        <v>PRL-002</v>
      </c>
      <c r="O31809" t="str">
        <f>IF(N31809="","",'Master Barang'!B3)</f>
        <v>sunlight cairan pencuci piring 5l</v>
      </c>
      <c r="P31809">
        <f>IF(OR(M31809="",N31809=""),"",SUMIFS('Barang Keluar'!$E:$E,'Barang Keluar'!$A:$A,M31809,'Barang Keluar'!$C:$C,N31809))</f>
        <v>0</v>
      </c>
    </row>
    <row r="31810" spans="13:16">
      <c r="M31810" s="49">
        <f>IF($A$4+318&gt;$B$4,"",$A$4+318)</f>
        <v>46341</v>
      </c>
      <c r="N31810" t="str">
        <f>IF(M31810="","",'Master Barang'!A4)</f>
        <v>PRL-003</v>
      </c>
      <c r="O31810" t="str">
        <f>IF(N31810="","",'Master Barang'!B4)</f>
        <v>oixs cleaner 1l</v>
      </c>
      <c r="P31810">
        <f>IF(OR(M31810="",N31810=""),"",SUMIFS('Barang Keluar'!$E:$E,'Barang Keluar'!$A:$A,M31810,'Barang Keluar'!$C:$C,N31810))</f>
        <v>0</v>
      </c>
    </row>
    <row r="31811" spans="13:16">
      <c r="M31811" s="49">
        <f>IF($A$4+318&gt;$B$4,"",$A$4+318)</f>
        <v>46341</v>
      </c>
      <c r="N31811" t="str">
        <f>IF(M31811="","",'Master Barang'!A5)</f>
        <v>PRL-004</v>
      </c>
      <c r="O31811" t="str">
        <f>IF(N31811="","",'Master Barang'!B5)</f>
        <v>be clean tissue serbaguna</v>
      </c>
      <c r="P31811">
        <f>IF(OR(M31811="",N31811=""),"",SUMIFS('Barang Keluar'!$E:$E,'Barang Keluar'!$A:$A,M31811,'Barang Keluar'!$C:$C,N31811))</f>
        <v>0</v>
      </c>
    </row>
    <row r="31812" spans="13:16">
      <c r="M31812" s="49">
        <f>IF($A$4+318&gt;$B$4,"",$A$4+318)</f>
        <v>46341</v>
      </c>
      <c r="N31812" t="str">
        <f>IF(M31812="","",'Master Barang'!A6)</f>
        <v>PRL-005</v>
      </c>
      <c r="O31812" t="str">
        <f>IF(N31812="","",'Master Barang'!B6)</f>
        <v>spons cuci hijau</v>
      </c>
      <c r="P31812">
        <f>IF(OR(M31812="",N31812=""),"",SUMIFS('Barang Keluar'!$E:$E,'Barang Keluar'!$A:$A,M31812,'Barang Keluar'!$C:$C,N31812))</f>
        <v>0</v>
      </c>
    </row>
    <row r="31813" spans="13:16">
      <c r="M31813" s="49">
        <f>IF($A$4+318&gt;$B$4,"",$A$4+318)</f>
        <v>46341</v>
      </c>
      <c r="N31813" t="str">
        <f>IF(M31813="","",'Master Barang'!A7)</f>
        <v>PRL-006</v>
      </c>
      <c r="O31813" t="str">
        <f>IF(N31813="","",'Master Barang'!B7)</f>
        <v>sabut cuci stainless</v>
      </c>
      <c r="P31813">
        <f>IF(OR(M31813="",N31813=""),"",SUMIFS('Barang Keluar'!$E:$E,'Barang Keluar'!$A:$A,M31813,'Barang Keluar'!$C:$C,N31813))</f>
        <v>0</v>
      </c>
    </row>
    <row r="31814" spans="13:16">
      <c r="M31814" s="49">
        <f>IF($A$4+318&gt;$B$4,"",$A$4+318)</f>
        <v>46341</v>
      </c>
      <c r="N31814" t="str">
        <f>IF(M31814="","",'Master Barang'!A8)</f>
        <v>PRL-007</v>
      </c>
      <c r="O31814" t="str">
        <f>IF(N31814="","",'Master Barang'!B8)</f>
        <v>plastik kresek besar merah 50pc</v>
      </c>
      <c r="P31814">
        <f>IF(OR(M31814="",N31814=""),"",SUMIFS('Barang Keluar'!$E:$E,'Barang Keluar'!$A:$A,M31814,'Barang Keluar'!$C:$C,N31814))</f>
        <v>0</v>
      </c>
    </row>
    <row r="31815" spans="13:16">
      <c r="M31815" s="49">
        <f>IF($A$4+318&gt;$B$4,"",$A$4+318)</f>
        <v>46341</v>
      </c>
      <c r="N31815" t="str">
        <f>IF(M31815="","",'Master Barang'!A9)</f>
        <v>PRL-008</v>
      </c>
      <c r="O31815" t="str">
        <f>IF(N31815="","",'Master Barang'!B9)</f>
        <v>lap besar</v>
      </c>
      <c r="P31815">
        <f>IF(OR(M31815="",N31815=""),"",SUMIFS('Barang Keluar'!$E:$E,'Barang Keluar'!$A:$A,M31815,'Barang Keluar'!$C:$C,N31815))</f>
        <v>0</v>
      </c>
    </row>
    <row r="31816" spans="13:16">
      <c r="M31816" s="49">
        <f>IF($A$4+318&gt;$B$4,"",$A$4+318)</f>
        <v>46341</v>
      </c>
      <c r="N31816" t="str">
        <f>IF(M31816="","",'Master Barang'!A10)</f>
        <v>PRL-009</v>
      </c>
      <c r="O31816" t="str">
        <f>IF(N31816="","",'Master Barang'!B10)</f>
        <v>lap microfiber</v>
      </c>
      <c r="P31816">
        <f>IF(OR(M31816="",N31816=""),"",SUMIFS('Barang Keluar'!$E:$E,'Barang Keluar'!$A:$A,M31816,'Barang Keluar'!$C:$C,N31816))</f>
        <v>0</v>
      </c>
    </row>
    <row r="31817" spans="13:16">
      <c r="M31817" s="49">
        <f>IF($A$4+318&gt;$B$4,"",$A$4+318)</f>
        <v>46341</v>
      </c>
      <c r="N31817" t="str">
        <f>IF(M31817="","",'Master Barang'!A11)</f>
        <v>PRL-010</v>
      </c>
      <c r="O31817" t="str">
        <f>IF(N31817="","",'Master Barang'!B11)</f>
        <v>lap kecil</v>
      </c>
      <c r="P31817">
        <f>IF(OR(M31817="",N31817=""),"",SUMIFS('Barang Keluar'!$E:$E,'Barang Keluar'!$A:$A,M31817,'Barang Keluar'!$C:$C,N31817))</f>
        <v>0</v>
      </c>
    </row>
    <row r="31818" spans="13:16">
      <c r="M31818" s="49">
        <f>IF($A$4+318&gt;$B$4,"",$A$4+318)</f>
        <v>46341</v>
      </c>
      <c r="N31818" t="str">
        <f>IF(M31818="","",'Master Barang'!A12)</f>
        <v>PRL-011</v>
      </c>
      <c r="O31818" t="str">
        <f>IF(N31818="","",'Master Barang'!B12)</f>
        <v>kanebo kecil</v>
      </c>
      <c r="P31818">
        <f>IF(OR(M31818="",N31818=""),"",SUMIFS('Barang Keluar'!$E:$E,'Barang Keluar'!$A:$A,M31818,'Barang Keluar'!$C:$C,N31818))</f>
        <v>0</v>
      </c>
    </row>
    <row r="31819" spans="13:16">
      <c r="M31819" s="49">
        <f>IF($A$4+318&gt;$B$4,"",$A$4+318)</f>
        <v>46341</v>
      </c>
      <c r="N31819" t="str">
        <f>IF(M31819="","",'Master Barang'!A13)</f>
        <v>PRL-012</v>
      </c>
      <c r="O31819" t="str">
        <f>IF(N31819="","",'Master Barang'!B13)</f>
        <v>plastik 1/4kg joyoboyo 100 lembar</v>
      </c>
      <c r="P31819">
        <f>IF(OR(M31819="",N31819=""),"",SUMIFS('Barang Keluar'!$E:$E,'Barang Keluar'!$A:$A,M31819,'Barang Keluar'!$C:$C,N31819))</f>
        <v>0</v>
      </c>
    </row>
    <row r="31820" spans="13:16">
      <c r="M31820" s="49">
        <f>IF($A$4+318&gt;$B$4,"",$A$4+318)</f>
        <v>46341</v>
      </c>
      <c r="N31820" t="str">
        <f>IF(M31820="","",'Master Barang'!A14)</f>
        <v>PRL-013</v>
      </c>
      <c r="O31820" t="str">
        <f>IF(N31820="","",'Master Barang'!B14)</f>
        <v>sarung tangan plastik kaka 100 pcs</v>
      </c>
      <c r="P31820">
        <f>IF(OR(M31820="",N31820=""),"",SUMIFS('Barang Keluar'!$E:$E,'Barang Keluar'!$A:$A,M31820,'Barang Keluar'!$C:$C,N31820))</f>
        <v>0</v>
      </c>
    </row>
    <row r="31821" spans="13:16">
      <c r="M31821" s="49">
        <f>IF($A$4+318&gt;$B$4,"",$A$4+318)</f>
        <v>46341</v>
      </c>
      <c r="N31821" t="str">
        <f>IF(M31821="","",'Master Barang'!A15)</f>
        <v>PRL-014</v>
      </c>
      <c r="O31821" t="str">
        <f>IF(N31821="","",'Master Barang'!B15)</f>
        <v>optima trashbag 80x100</v>
      </c>
      <c r="P31821">
        <f>IF(OR(M31821="",N31821=""),"",SUMIFS('Barang Keluar'!$E:$E,'Barang Keluar'!$A:$A,M31821,'Barang Keluar'!$C:$C,N31821))</f>
        <v>0</v>
      </c>
    </row>
    <row r="31822" spans="13:16">
      <c r="M31822" s="49">
        <f>IF($A$4+318&gt;$B$4,"",$A$4+318)</f>
        <v>46341</v>
      </c>
      <c r="N31822" t="str">
        <f>IF(M31822="","",'Master Barang'!A16)</f>
        <v>PRL-015</v>
      </c>
      <c r="O31822" t="str">
        <f>IF(N31822="","",'Master Barang'!B16)</f>
        <v>optima trashbag 60x100</v>
      </c>
      <c r="P31822">
        <f>IF(OR(M31822="",N31822=""),"",SUMIFS('Barang Keluar'!$E:$E,'Barang Keluar'!$A:$A,M31822,'Barang Keluar'!$C:$C,N31822))</f>
        <v>0</v>
      </c>
    </row>
    <row r="31823" spans="13:16">
      <c r="M31823" s="49">
        <f>IF($A$4+318&gt;$B$4,"",$A$4+318)</f>
        <v>46341</v>
      </c>
      <c r="N31823" t="str">
        <f>IF(M31823="","",'Master Barang'!A17)</f>
        <v>PRL-016</v>
      </c>
      <c r="O31823" t="str">
        <f>IF(N31823="","",'Master Barang'!B17)</f>
        <v>rajawali trashbag 30x40</v>
      </c>
      <c r="P31823">
        <f>IF(OR(M31823="",N31823=""),"",SUMIFS('Barang Keluar'!$E:$E,'Barang Keluar'!$A:$A,M31823,'Barang Keluar'!$C:$C,N31823))</f>
        <v>0</v>
      </c>
    </row>
    <row r="31824" spans="13:16">
      <c r="M31824" s="49">
        <f>IF($A$4+318&gt;$B$4,"",$A$4+318)</f>
        <v>46341</v>
      </c>
      <c r="N31824" t="str">
        <f>IF(M31824="","",'Master Barang'!A18)</f>
        <v>PRL-017</v>
      </c>
      <c r="O31824" t="str">
        <f>IF(N31824="","",'Master Barang'!B18)</f>
        <v>onemed masker biru 3 play 50 pcs</v>
      </c>
      <c r="P31824">
        <f>IF(OR(M31824="",N31824=""),"",SUMIFS('Barang Keluar'!$E:$E,'Barang Keluar'!$A:$A,M31824,'Barang Keluar'!$C:$C,N31824))</f>
        <v>0</v>
      </c>
    </row>
    <row r="31825" spans="13:16">
      <c r="M31825" s="49">
        <f>IF($A$4+318&gt;$B$4,"",$A$4+318)</f>
        <v>46341</v>
      </c>
      <c r="N31825" t="str">
        <f>IF(M31825="","",'Master Barang'!A19)</f>
        <v>PRL-018</v>
      </c>
      <c r="O31825" t="str">
        <f>IF(N31825="","",'Master Barang'!B19)</f>
        <v>onemed masker biru 3 play hijab 50 pcs</v>
      </c>
      <c r="P31825">
        <f>IF(OR(M31825="",N31825=""),"",SUMIFS('Barang Keluar'!$E:$E,'Barang Keluar'!$A:$A,M31825,'Barang Keluar'!$C:$C,N31825))</f>
        <v>0</v>
      </c>
    </row>
    <row r="31826" spans="13:16">
      <c r="M31826" s="49">
        <f>IF($A$4+318&gt;$B$4,"",$A$4+318)</f>
        <v>46341</v>
      </c>
      <c r="N31826" t="str">
        <f>IF(M31826="","",'Master Barang'!A20)</f>
        <v>PRL-019</v>
      </c>
      <c r="O31826" t="str">
        <f>IF(N31826="","",'Master Barang'!B20)</f>
        <v>neo health masker biru 3 play 50 pcs</v>
      </c>
      <c r="P31826">
        <f>IF(OR(M31826="",N31826=""),"",SUMIFS('Barang Keluar'!$E:$E,'Barang Keluar'!$A:$A,M31826,'Barang Keluar'!$C:$C,N31826))</f>
        <v>0</v>
      </c>
    </row>
    <row r="31827" spans="13:16">
      <c r="M31827" s="49">
        <f>IF($A$4+318&gt;$B$4,"",$A$4+318)</f>
        <v>46341</v>
      </c>
      <c r="N31827" t="str">
        <f>IF(M31827="","",'Master Barang'!A21)</f>
        <v>PRL-020</v>
      </c>
      <c r="O31827" t="str">
        <f>IF(N31827="","",'Master Barang'!B21)</f>
        <v>baymed masker hijau 3 play hijau 50 pcs</v>
      </c>
      <c r="P31827">
        <f>IF(OR(M31827="",N31827=""),"",SUMIFS('Barang Keluar'!$E:$E,'Barang Keluar'!$A:$A,M31827,'Barang Keluar'!$C:$C,N31827))</f>
        <v>0</v>
      </c>
    </row>
    <row r="31828" spans="13:16">
      <c r="M31828" s="49">
        <f>IF($A$4+318&gt;$B$4,"",$A$4+318)</f>
        <v>46341</v>
      </c>
      <c r="N31828" t="str">
        <f>IF(M31828="","",'Master Barang'!A22)</f>
        <v>PRL-021</v>
      </c>
      <c r="O31828" t="str">
        <f>IF(N31828="","",'Master Barang'!B22)</f>
        <v>altamed nurse cap penutup kepala 100 pcs</v>
      </c>
      <c r="P31828">
        <f>IF(OR(M31828="",N31828=""),"",SUMIFS('Barang Keluar'!$E:$E,'Barang Keluar'!$A:$A,M31828,'Barang Keluar'!$C:$C,N31828))</f>
        <v>0</v>
      </c>
    </row>
    <row r="31829" spans="13:16">
      <c r="M31829" s="49">
        <f>IF($A$4+318&gt;$B$4,"",$A$4+318)</f>
        <v>46341</v>
      </c>
      <c r="N31829" t="str">
        <f>IF(M31829="","",'Master Barang'!A23)</f>
        <v>PRL-022</v>
      </c>
      <c r="O31829" t="str">
        <f>IF(N31829="","",'Master Barang'!B23)</f>
        <v>sabun cuci tangan</v>
      </c>
      <c r="P31829">
        <f>IF(OR(M31829="",N31829=""),"",SUMIFS('Barang Keluar'!$E:$E,'Barang Keluar'!$A:$A,M31829,'Barang Keluar'!$C:$C,N31829))</f>
        <v>0</v>
      </c>
    </row>
    <row r="31830" spans="13:16">
      <c r="M31830" s="49">
        <f>IF($A$4+318&gt;$B$4,"",$A$4+318)</f>
        <v>46341</v>
      </c>
      <c r="N31830" t="str">
        <f>IF(M31830="","",'Master Barang'!A24)</f>
        <v>PRL-023</v>
      </c>
      <c r="O31830" t="str">
        <f>IF(N31830="","",'Master Barang'!B24)</f>
        <v>gayung kecil</v>
      </c>
      <c r="P31830">
        <f>IF(OR(M31830="",N31830=""),"",SUMIFS('Barang Keluar'!$E:$E,'Barang Keluar'!$A:$A,M31830,'Barang Keluar'!$C:$C,N31830))</f>
        <v>0</v>
      </c>
    </row>
    <row r="31831" spans="13:16">
      <c r="M31831" s="49">
        <f>IF($A$4+318&gt;$B$4,"",$A$4+318)</f>
        <v>46341</v>
      </c>
      <c r="N31831" t="str">
        <f>IF(M31831="","",'Master Barang'!A25)</f>
        <v>PRL-024</v>
      </c>
      <c r="O31831" t="str">
        <f>IF(N31831="","",'Master Barang'!B25)</f>
        <v>cikrak kecil</v>
      </c>
      <c r="P31831">
        <f>IF(OR(M31831="",N31831=""),"",SUMIFS('Barang Keluar'!$E:$E,'Barang Keluar'!$A:$A,M31831,'Barang Keluar'!$C:$C,N31831))</f>
        <v>0</v>
      </c>
    </row>
    <row r="31832" spans="13:16">
      <c r="M31832" s="49">
        <f>IF($A$4+318&gt;$B$4,"",$A$4+318)</f>
        <v>46341</v>
      </c>
      <c r="N31832" t="str">
        <f>IF(M31832="","",'Master Barang'!A26)</f>
        <v>PRL-025</v>
      </c>
      <c r="O31832" t="str">
        <f>IF(N31832="","",'Master Barang'!B26)</f>
        <v>petromax plastik kecil 12x24 100 lembar</v>
      </c>
      <c r="P31832">
        <f>IF(OR(M31832="",N31832=""),"",SUMIFS('Barang Keluar'!$E:$E,'Barang Keluar'!$A:$A,M31832,'Barang Keluar'!$C:$C,N31832))</f>
        <v>0</v>
      </c>
    </row>
    <row r="31833" spans="13:16">
      <c r="M31833" s="49">
        <f>IF($A$4+318&gt;$B$4,"",$A$4+318)</f>
        <v>46341</v>
      </c>
      <c r="N31833" t="str">
        <f>IF(M31833="","",'Master Barang'!A27)</f>
        <v>PRL-026</v>
      </c>
      <c r="O31833" t="str">
        <f>IF(N31833="","",'Master Barang'!B27)</f>
        <v>lancar kresek kecil bening </v>
      </c>
      <c r="P31833">
        <f>IF(OR(M31833="",N31833=""),"",SUMIFS('Barang Keluar'!$E:$E,'Barang Keluar'!$A:$A,M31833,'Barang Keluar'!$C:$C,N31833))</f>
        <v>0</v>
      </c>
    </row>
    <row r="31834" spans="13:16">
      <c r="M31834" s="49">
        <f>IF($A$4+318&gt;$B$4,"",$A$4+318)</f>
        <v>46341</v>
      </c>
      <c r="N31834" t="str">
        <f>IF(M31834="","",'Master Barang'!A28)</f>
        <v>PRL-027</v>
      </c>
      <c r="O31834" t="str">
        <f>IF(N31834="","",'Master Barang'!B28)</f>
        <v>kresek klin warna warni kecil</v>
      </c>
      <c r="P31834">
        <f>IF(OR(M31834="",N31834=""),"",SUMIFS('Barang Keluar'!$E:$E,'Barang Keluar'!$A:$A,M31834,'Barang Keluar'!$C:$C,N31834))</f>
        <v>0</v>
      </c>
    </row>
    <row r="31835" spans="13:16">
      <c r="M31835" s="49">
        <f>IF($A$4+318&gt;$B$4,"",$A$4+318)</f>
        <v>46341</v>
      </c>
      <c r="N31835" t="str">
        <f>IF(M31835="","",'Master Barang'!A29)</f>
        <v>PRL-028</v>
      </c>
      <c r="O31835" t="str">
        <f>IF(N31835="","",'Master Barang'!B29)</f>
        <v>ctik plastik 7x10 100 pcs</v>
      </c>
      <c r="P31835">
        <f>IF(OR(M31835="",N31835=""),"",SUMIFS('Barang Keluar'!$E:$E,'Barang Keluar'!$A:$A,M31835,'Barang Keluar'!$C:$C,N31835))</f>
        <v>0</v>
      </c>
    </row>
    <row r="31836" spans="13:16">
      <c r="M31836" s="49">
        <f>IF($A$4+318&gt;$B$4,"",$A$4+318)</f>
        <v>46341</v>
      </c>
      <c r="N31836" t="str">
        <f>IF(M31836="","",'Master Barang'!A30)</f>
        <v>PRL-029</v>
      </c>
      <c r="O31836" t="str">
        <f>IF(N31836="","",'Master Barang'!B30)</f>
        <v>ctik plastik 6x10 100 pcs</v>
      </c>
      <c r="P31836">
        <f>IF(OR(M31836="",N31836=""),"",SUMIFS('Barang Keluar'!$E:$E,'Barang Keluar'!$A:$A,M31836,'Barang Keluar'!$C:$C,N31836))</f>
        <v>0</v>
      </c>
    </row>
    <row r="31837" spans="13:16">
      <c r="M31837" s="49">
        <f>IF($A$4+318&gt;$B$4,"",$A$4+318)</f>
        <v>46341</v>
      </c>
      <c r="N31837" t="str">
        <f>IF(M31837="","",'Master Barang'!A31)</f>
        <v>PRL-030</v>
      </c>
      <c r="O31837" t="str">
        <f>IF(N31837="","",'Master Barang'!B31)</f>
        <v>klip plastik 25x16 100 pcs</v>
      </c>
      <c r="P31837">
        <f>IF(OR(M31837="",N31837=""),"",SUMIFS('Barang Keluar'!$E:$E,'Barang Keluar'!$A:$A,M31837,'Barang Keluar'!$C:$C,N31837))</f>
        <v>0</v>
      </c>
    </row>
    <row r="31838" spans="13:16">
      <c r="M31838" s="49">
        <f>IF($A$4+318&gt;$B$4,"",$A$4+318)</f>
        <v>46341</v>
      </c>
      <c r="N31838" t="str">
        <f>IF(M31838="","",'Master Barang'!A32)</f>
        <v>PRL-031</v>
      </c>
      <c r="O31838" t="str">
        <f>IF(N31838="","",'Master Barang'!B32)</f>
        <v>tempat saus 20 ml</v>
      </c>
      <c r="P31838">
        <f>IF(OR(M31838="",N31838=""),"",SUMIFS('Barang Keluar'!$E:$E,'Barang Keluar'!$A:$A,M31838,'Barang Keluar'!$C:$C,N31838))</f>
        <v>0</v>
      </c>
    </row>
    <row r="31839" spans="13:16">
      <c r="M31839" s="49">
        <f>IF($A$4+318&gt;$B$4,"",$A$4+318)</f>
        <v>46341</v>
      </c>
      <c r="N31839" t="str">
        <f>IF(M31839="","",'Master Barang'!A33)</f>
        <v>PRL-032</v>
      </c>
      <c r="O31839" t="str">
        <f>IF(N31839="","",'Master Barang'!B33)</f>
        <v>plastik packaging ag box uk sedang</v>
      </c>
      <c r="P31839">
        <f>IF(OR(M31839="",N31839=""),"",SUMIFS('Barang Keluar'!$E:$E,'Barang Keluar'!$A:$A,M31839,'Barang Keluar'!$C:$C,N31839))</f>
        <v>0</v>
      </c>
    </row>
    <row r="31840" spans="13:16">
      <c r="M31840" s="49">
        <f>IF($A$4+318&gt;$B$4,"",$A$4+318)</f>
        <v>46341</v>
      </c>
      <c r="N31840" t="str">
        <f>IF(M31840="","",'Master Barang'!A34)</f>
        <v>PRL-033</v>
      </c>
      <c r="O31840">
        <f>IF(N31840="","",'Master Barang'!B34)</f>
        <v>0</v>
      </c>
      <c r="P31840">
        <f>IF(OR(M31840="",N31840=""),"",SUMIFS('Barang Keluar'!$E:$E,'Barang Keluar'!$A:$A,M31840,'Barang Keluar'!$C:$C,N31840))</f>
        <v>0</v>
      </c>
    </row>
    <row r="31841" spans="13:16">
      <c r="M31841" s="49">
        <f>IF($A$4+318&gt;$B$4,"",$A$4+318)</f>
        <v>46341</v>
      </c>
      <c r="N31841">
        <f>IF(M31841="","",'Master Barang'!A35)</f>
        <v>0</v>
      </c>
      <c r="O31841">
        <f>IF(N31841="","",'Master Barang'!B35)</f>
        <v>0</v>
      </c>
      <c r="P31841">
        <f>IF(OR(M31841="",N31841=""),"",SUMIFS('Barang Keluar'!$E:$E,'Barang Keluar'!$A:$A,M31841,'Barang Keluar'!$C:$C,N31841))</f>
        <v>0</v>
      </c>
    </row>
    <row r="31842" spans="13:16">
      <c r="M31842" s="49">
        <f>IF($A$4+318&gt;$B$4,"",$A$4+318)</f>
        <v>46341</v>
      </c>
      <c r="N31842">
        <f>IF(M31842="","",'Master Barang'!A36)</f>
        <v>0</v>
      </c>
      <c r="O31842">
        <f>IF(N31842="","",'Master Barang'!B36)</f>
        <v>0</v>
      </c>
      <c r="P31842">
        <f>IF(OR(M31842="",N31842=""),"",SUMIFS('Barang Keluar'!$E:$E,'Barang Keluar'!$A:$A,M31842,'Barang Keluar'!$C:$C,N31842))</f>
        <v>0</v>
      </c>
    </row>
    <row r="31843" spans="13:16">
      <c r="M31843" s="49">
        <f>IF($A$4+318&gt;$B$4,"",$A$4+318)</f>
        <v>46341</v>
      </c>
      <c r="N31843">
        <f>IF(M31843="","",'Master Barang'!A37)</f>
        <v>0</v>
      </c>
      <c r="O31843">
        <f>IF(N31843="","",'Master Barang'!B37)</f>
        <v>0</v>
      </c>
      <c r="P31843">
        <f>IF(OR(M31843="",N31843=""),"",SUMIFS('Barang Keluar'!$E:$E,'Barang Keluar'!$A:$A,M31843,'Barang Keluar'!$C:$C,N31843))</f>
        <v>0</v>
      </c>
    </row>
    <row r="31844" spans="13:16">
      <c r="M31844" s="49">
        <f>IF($A$4+318&gt;$B$4,"",$A$4+318)</f>
        <v>46341</v>
      </c>
      <c r="N31844">
        <f>IF(M31844="","",'Master Barang'!A38)</f>
        <v>0</v>
      </c>
      <c r="O31844">
        <f>IF(N31844="","",'Master Barang'!B38)</f>
        <v>0</v>
      </c>
      <c r="P31844">
        <f>IF(OR(M31844="",N31844=""),"",SUMIFS('Barang Keluar'!$E:$E,'Barang Keluar'!$A:$A,M31844,'Barang Keluar'!$C:$C,N31844))</f>
        <v>0</v>
      </c>
    </row>
    <row r="31845" spans="13:16">
      <c r="M31845" s="49">
        <f>IF($A$4+318&gt;$B$4,"",$A$4+318)</f>
        <v>46341</v>
      </c>
      <c r="N31845">
        <f>IF(M31845="","",'Master Barang'!A39)</f>
        <v>0</v>
      </c>
      <c r="O31845">
        <f>IF(N31845="","",'Master Barang'!B39)</f>
        <v>0</v>
      </c>
      <c r="P31845">
        <f>IF(OR(M31845="",N31845=""),"",SUMIFS('Barang Keluar'!$E:$E,'Barang Keluar'!$A:$A,M31845,'Barang Keluar'!$C:$C,N31845))</f>
        <v>0</v>
      </c>
    </row>
    <row r="31846" spans="13:16">
      <c r="M31846" s="49">
        <f>IF($A$4+318&gt;$B$4,"",$A$4+318)</f>
        <v>46341</v>
      </c>
      <c r="N31846">
        <f>IF(M31846="","",'Master Barang'!A40)</f>
        <v>0</v>
      </c>
      <c r="O31846">
        <f>IF(N31846="","",'Master Barang'!B40)</f>
        <v>0</v>
      </c>
      <c r="P31846">
        <f>IF(OR(M31846="",N31846=""),"",SUMIFS('Barang Keluar'!$E:$E,'Barang Keluar'!$A:$A,M31846,'Barang Keluar'!$C:$C,N31846))</f>
        <v>0</v>
      </c>
    </row>
    <row r="31847" spans="13:16">
      <c r="M31847" s="49">
        <f>IF($A$4+318&gt;$B$4,"",$A$4+318)</f>
        <v>46341</v>
      </c>
      <c r="N31847">
        <f>IF(M31847="","",'Master Barang'!A41)</f>
        <v>0</v>
      </c>
      <c r="O31847">
        <f>IF(N31847="","",'Master Barang'!B41)</f>
        <v>0</v>
      </c>
      <c r="P31847">
        <f>IF(OR(M31847="",N31847=""),"",SUMIFS('Barang Keluar'!$E:$E,'Barang Keluar'!$A:$A,M31847,'Barang Keluar'!$C:$C,N31847))</f>
        <v>0</v>
      </c>
    </row>
    <row r="31848" spans="13:16">
      <c r="M31848" s="49">
        <f>IF($A$4+318&gt;$B$4,"",$A$4+318)</f>
        <v>46341</v>
      </c>
      <c r="N31848">
        <f>IF(M31848="","",'Master Barang'!A42)</f>
        <v>0</v>
      </c>
      <c r="O31848">
        <f>IF(N31848="","",'Master Barang'!B42)</f>
        <v>0</v>
      </c>
      <c r="P31848">
        <f>IF(OR(M31848="",N31848=""),"",SUMIFS('Barang Keluar'!$E:$E,'Barang Keluar'!$A:$A,M31848,'Barang Keluar'!$C:$C,N31848))</f>
        <v>0</v>
      </c>
    </row>
    <row r="31849" spans="13:16">
      <c r="M31849" s="49">
        <f>IF($A$4+318&gt;$B$4,"",$A$4+318)</f>
        <v>46341</v>
      </c>
      <c r="N31849">
        <f>IF(M31849="","",'Master Barang'!A43)</f>
        <v>0</v>
      </c>
      <c r="O31849">
        <f>IF(N31849="","",'Master Barang'!B43)</f>
        <v>0</v>
      </c>
      <c r="P31849">
        <f>IF(OR(M31849="",N31849=""),"",SUMIFS('Barang Keluar'!$E:$E,'Barang Keluar'!$A:$A,M31849,'Barang Keluar'!$C:$C,N31849))</f>
        <v>0</v>
      </c>
    </row>
    <row r="31850" spans="13:16">
      <c r="M31850" s="49">
        <f>IF($A$4+318&gt;$B$4,"",$A$4+318)</f>
        <v>46341</v>
      </c>
      <c r="N31850">
        <f>IF(M31850="","",'Master Barang'!A44)</f>
        <v>0</v>
      </c>
      <c r="O31850">
        <f>IF(N31850="","",'Master Barang'!B44)</f>
        <v>0</v>
      </c>
      <c r="P31850">
        <f>IF(OR(M31850="",N31850=""),"",SUMIFS('Barang Keluar'!$E:$E,'Barang Keluar'!$A:$A,M31850,'Barang Keluar'!$C:$C,N31850))</f>
        <v>0</v>
      </c>
    </row>
    <row r="31851" spans="13:16">
      <c r="M31851" s="49">
        <f>IF($A$4+318&gt;$B$4,"",$A$4+318)</f>
        <v>46341</v>
      </c>
      <c r="N31851">
        <f>IF(M31851="","",'Master Barang'!A45)</f>
        <v>0</v>
      </c>
      <c r="O31851">
        <f>IF(N31851="","",'Master Barang'!B45)</f>
        <v>0</v>
      </c>
      <c r="P31851">
        <f>IF(OR(M31851="",N31851=""),"",SUMIFS('Barang Keluar'!$E:$E,'Barang Keluar'!$A:$A,M31851,'Barang Keluar'!$C:$C,N31851))</f>
        <v>0</v>
      </c>
    </row>
    <row r="31852" spans="13:16">
      <c r="M31852" s="49">
        <f>IF($A$4+318&gt;$B$4,"",$A$4+318)</f>
        <v>46341</v>
      </c>
      <c r="N31852">
        <f>IF(M31852="","",'Master Barang'!A46)</f>
        <v>0</v>
      </c>
      <c r="O31852">
        <f>IF(N31852="","",'Master Barang'!B46)</f>
        <v>0</v>
      </c>
      <c r="P31852">
        <f>IF(OR(M31852="",N31852=""),"",SUMIFS('Barang Keluar'!$E:$E,'Barang Keluar'!$A:$A,M31852,'Barang Keluar'!$C:$C,N31852))</f>
        <v>0</v>
      </c>
    </row>
    <row r="31853" spans="13:16">
      <c r="M31853" s="49">
        <f>IF($A$4+318&gt;$B$4,"",$A$4+318)</f>
        <v>46341</v>
      </c>
      <c r="N31853">
        <f>IF(M31853="","",'Master Barang'!A47)</f>
        <v>0</v>
      </c>
      <c r="O31853">
        <f>IF(N31853="","",'Master Barang'!B47)</f>
        <v>0</v>
      </c>
      <c r="P31853">
        <f>IF(OR(M31853="",N31853=""),"",SUMIFS('Barang Keluar'!$E:$E,'Barang Keluar'!$A:$A,M31853,'Barang Keluar'!$C:$C,N31853))</f>
        <v>0</v>
      </c>
    </row>
    <row r="31854" spans="13:16">
      <c r="M31854" s="49">
        <f>IF($A$4+318&gt;$B$4,"",$A$4+318)</f>
        <v>46341</v>
      </c>
      <c r="N31854">
        <f>IF(M31854="","",'Master Barang'!A48)</f>
        <v>0</v>
      </c>
      <c r="O31854">
        <f>IF(N31854="","",'Master Barang'!B48)</f>
        <v>0</v>
      </c>
      <c r="P31854">
        <f>IF(OR(M31854="",N31854=""),"",SUMIFS('Barang Keluar'!$E:$E,'Barang Keluar'!$A:$A,M31854,'Barang Keluar'!$C:$C,N31854))</f>
        <v>0</v>
      </c>
    </row>
    <row r="31855" spans="13:16">
      <c r="M31855" s="49">
        <f>IF($A$4+318&gt;$B$4,"",$A$4+318)</f>
        <v>46341</v>
      </c>
      <c r="N31855">
        <f>IF(M31855="","",'Master Barang'!A49)</f>
        <v>0</v>
      </c>
      <c r="O31855">
        <f>IF(N31855="","",'Master Barang'!B49)</f>
        <v>0</v>
      </c>
      <c r="P31855">
        <f>IF(OR(M31855="",N31855=""),"",SUMIFS('Barang Keluar'!$E:$E,'Barang Keluar'!$A:$A,M31855,'Barang Keluar'!$C:$C,N31855))</f>
        <v>0</v>
      </c>
    </row>
    <row r="31856" spans="13:16">
      <c r="M31856" s="49">
        <f>IF($A$4+318&gt;$B$4,"",$A$4+318)</f>
        <v>46341</v>
      </c>
      <c r="N31856">
        <f>IF(M31856="","",'Master Barang'!A50)</f>
        <v>0</v>
      </c>
      <c r="O31856">
        <f>IF(N31856="","",'Master Barang'!B50)</f>
        <v>0</v>
      </c>
      <c r="P31856">
        <f>IF(OR(M31856="",N31856=""),"",SUMIFS('Barang Keluar'!$E:$E,'Barang Keluar'!$A:$A,M31856,'Barang Keluar'!$C:$C,N31856))</f>
        <v>0</v>
      </c>
    </row>
    <row r="31857" spans="13:16">
      <c r="M31857" s="49">
        <f>IF($A$4+318&gt;$B$4,"",$A$4+318)</f>
        <v>46341</v>
      </c>
      <c r="N31857">
        <f>IF(M31857="","",'Master Barang'!A51)</f>
        <v>0</v>
      </c>
      <c r="O31857">
        <f>IF(N31857="","",'Master Barang'!B51)</f>
        <v>0</v>
      </c>
      <c r="P31857">
        <f>IF(OR(M31857="",N31857=""),"",SUMIFS('Barang Keluar'!$E:$E,'Barang Keluar'!$A:$A,M31857,'Barang Keluar'!$C:$C,N31857))</f>
        <v>0</v>
      </c>
    </row>
    <row r="31858" spans="13:16">
      <c r="M31858" s="49">
        <f>IF($A$4+318&gt;$B$4,"",$A$4+318)</f>
        <v>46341</v>
      </c>
      <c r="N31858">
        <f>IF(M31858="","",'Master Barang'!A52)</f>
        <v>0</v>
      </c>
      <c r="O31858">
        <f>IF(N31858="","",'Master Barang'!B52)</f>
        <v>0</v>
      </c>
      <c r="P31858">
        <f>IF(OR(M31858="",N31858=""),"",SUMIFS('Barang Keluar'!$E:$E,'Barang Keluar'!$A:$A,M31858,'Barang Keluar'!$C:$C,N31858))</f>
        <v>0</v>
      </c>
    </row>
    <row r="31859" spans="13:16">
      <c r="M31859" s="49">
        <f>IF($A$4+318&gt;$B$4,"",$A$4+318)</f>
        <v>46341</v>
      </c>
      <c r="N31859">
        <f>IF(M31859="","",'Master Barang'!A53)</f>
        <v>0</v>
      </c>
      <c r="O31859">
        <f>IF(N31859="","",'Master Barang'!B53)</f>
        <v>0</v>
      </c>
      <c r="P31859">
        <f>IF(OR(M31859="",N31859=""),"",SUMIFS('Barang Keluar'!$E:$E,'Barang Keluar'!$A:$A,M31859,'Barang Keluar'!$C:$C,N31859))</f>
        <v>0</v>
      </c>
    </row>
    <row r="31860" spans="13:16">
      <c r="M31860" s="49">
        <f>IF($A$4+318&gt;$B$4,"",$A$4+318)</f>
        <v>46341</v>
      </c>
      <c r="N31860">
        <f>IF(M31860="","",'Master Barang'!A54)</f>
        <v>0</v>
      </c>
      <c r="O31860">
        <f>IF(N31860="","",'Master Barang'!B54)</f>
        <v>0</v>
      </c>
      <c r="P31860">
        <f>IF(OR(M31860="",N31860=""),"",SUMIFS('Barang Keluar'!$E:$E,'Barang Keluar'!$A:$A,M31860,'Barang Keluar'!$C:$C,N31860))</f>
        <v>0</v>
      </c>
    </row>
    <row r="31861" spans="13:16">
      <c r="M31861" s="49">
        <f>IF($A$4+318&gt;$B$4,"",$A$4+318)</f>
        <v>46341</v>
      </c>
      <c r="N31861">
        <f>IF(M31861="","",'Master Barang'!A55)</f>
        <v>0</v>
      </c>
      <c r="O31861">
        <f>IF(N31861="","",'Master Barang'!B55)</f>
        <v>0</v>
      </c>
      <c r="P31861">
        <f>IF(OR(M31861="",N31861=""),"",SUMIFS('Barang Keluar'!$E:$E,'Barang Keluar'!$A:$A,M31861,'Barang Keluar'!$C:$C,N31861))</f>
        <v>0</v>
      </c>
    </row>
    <row r="31862" spans="13:16">
      <c r="M31862" s="49">
        <f>IF($A$4+318&gt;$B$4,"",$A$4+318)</f>
        <v>46341</v>
      </c>
      <c r="N31862">
        <f>IF(M31862="","",'Master Barang'!A56)</f>
        <v>0</v>
      </c>
      <c r="O31862">
        <f>IF(N31862="","",'Master Barang'!B56)</f>
        <v>0</v>
      </c>
      <c r="P31862">
        <f>IF(OR(M31862="",N31862=""),"",SUMIFS('Barang Keluar'!$E:$E,'Barang Keluar'!$A:$A,M31862,'Barang Keluar'!$C:$C,N31862))</f>
        <v>0</v>
      </c>
    </row>
    <row r="31863" spans="13:16">
      <c r="M31863" s="49">
        <f>IF($A$4+318&gt;$B$4,"",$A$4+318)</f>
        <v>46341</v>
      </c>
      <c r="N31863">
        <f>IF(M31863="","",'Master Barang'!A57)</f>
        <v>0</v>
      </c>
      <c r="O31863">
        <f>IF(N31863="","",'Master Barang'!B57)</f>
        <v>0</v>
      </c>
      <c r="P31863">
        <f>IF(OR(M31863="",N31863=""),"",SUMIFS('Barang Keluar'!$E:$E,'Barang Keluar'!$A:$A,M31863,'Barang Keluar'!$C:$C,N31863))</f>
        <v>0</v>
      </c>
    </row>
    <row r="31864" spans="13:16">
      <c r="M31864" s="49">
        <f>IF($A$4+318&gt;$B$4,"",$A$4+318)</f>
        <v>46341</v>
      </c>
      <c r="N31864">
        <f>IF(M31864="","",'Master Barang'!A58)</f>
        <v>0</v>
      </c>
      <c r="O31864">
        <f>IF(N31864="","",'Master Barang'!B58)</f>
        <v>0</v>
      </c>
      <c r="P31864">
        <f>IF(OR(M31864="",N31864=""),"",SUMIFS('Barang Keluar'!$E:$E,'Barang Keluar'!$A:$A,M31864,'Barang Keluar'!$C:$C,N31864))</f>
        <v>0</v>
      </c>
    </row>
    <row r="31865" spans="13:16">
      <c r="M31865" s="49">
        <f>IF($A$4+318&gt;$B$4,"",$A$4+318)</f>
        <v>46341</v>
      </c>
      <c r="N31865">
        <f>IF(M31865="","",'Master Barang'!A59)</f>
        <v>0</v>
      </c>
      <c r="O31865">
        <f>IF(N31865="","",'Master Barang'!B59)</f>
        <v>0</v>
      </c>
      <c r="P31865">
        <f>IF(OR(M31865="",N31865=""),"",SUMIFS('Barang Keluar'!$E:$E,'Barang Keluar'!$A:$A,M31865,'Barang Keluar'!$C:$C,N31865))</f>
        <v>0</v>
      </c>
    </row>
    <row r="31866" spans="13:16">
      <c r="M31866" s="49">
        <f>IF($A$4+318&gt;$B$4,"",$A$4+318)</f>
        <v>46341</v>
      </c>
      <c r="N31866">
        <f>IF(M31866="","",'Master Barang'!A60)</f>
        <v>0</v>
      </c>
      <c r="O31866">
        <f>IF(N31866="","",'Master Barang'!B60)</f>
        <v>0</v>
      </c>
      <c r="P31866">
        <f>IF(OR(M31866="",N31866=""),"",SUMIFS('Barang Keluar'!$E:$E,'Barang Keluar'!$A:$A,M31866,'Barang Keluar'!$C:$C,N31866))</f>
        <v>0</v>
      </c>
    </row>
    <row r="31867" spans="13:16">
      <c r="M31867" s="49">
        <f>IF($A$4+318&gt;$B$4,"",$A$4+318)</f>
        <v>46341</v>
      </c>
      <c r="N31867">
        <f>IF(M31867="","",'Master Barang'!A61)</f>
        <v>0</v>
      </c>
      <c r="O31867">
        <f>IF(N31867="","",'Master Barang'!B61)</f>
        <v>0</v>
      </c>
      <c r="P31867">
        <f>IF(OR(M31867="",N31867=""),"",SUMIFS('Barang Keluar'!$E:$E,'Barang Keluar'!$A:$A,M31867,'Barang Keluar'!$C:$C,N31867))</f>
        <v>0</v>
      </c>
    </row>
    <row r="31868" spans="13:16">
      <c r="M31868" s="49">
        <f>IF($A$4+318&gt;$B$4,"",$A$4+318)</f>
        <v>46341</v>
      </c>
      <c r="N31868">
        <f>IF(M31868="","",'Master Barang'!A62)</f>
        <v>0</v>
      </c>
      <c r="O31868">
        <f>IF(N31868="","",'Master Barang'!B62)</f>
        <v>0</v>
      </c>
      <c r="P31868">
        <f>IF(OR(M31868="",N31868=""),"",SUMIFS('Barang Keluar'!$E:$E,'Barang Keluar'!$A:$A,M31868,'Barang Keluar'!$C:$C,N31868))</f>
        <v>0</v>
      </c>
    </row>
    <row r="31869" spans="13:16">
      <c r="M31869" s="49">
        <f>IF($A$4+318&gt;$B$4,"",$A$4+318)</f>
        <v>46341</v>
      </c>
      <c r="N31869">
        <f>IF(M31869="","",'Master Barang'!A63)</f>
        <v>0</v>
      </c>
      <c r="O31869">
        <f>IF(N31869="","",'Master Barang'!B63)</f>
        <v>0</v>
      </c>
      <c r="P31869">
        <f>IF(OR(M31869="",N31869=""),"",SUMIFS('Barang Keluar'!$E:$E,'Barang Keluar'!$A:$A,M31869,'Barang Keluar'!$C:$C,N31869))</f>
        <v>0</v>
      </c>
    </row>
    <row r="31870" spans="13:16">
      <c r="M31870" s="49">
        <f>IF($A$4+318&gt;$B$4,"",$A$4+318)</f>
        <v>46341</v>
      </c>
      <c r="N31870">
        <f>IF(M31870="","",'Master Barang'!A64)</f>
        <v>0</v>
      </c>
      <c r="O31870">
        <f>IF(N31870="","",'Master Barang'!B64)</f>
        <v>0</v>
      </c>
      <c r="P31870">
        <f>IF(OR(M31870="",N31870=""),"",SUMIFS('Barang Keluar'!$E:$E,'Barang Keluar'!$A:$A,M31870,'Barang Keluar'!$C:$C,N31870))</f>
        <v>0</v>
      </c>
    </row>
    <row r="31871" spans="13:16">
      <c r="M31871" s="49">
        <f>IF($A$4+318&gt;$B$4,"",$A$4+318)</f>
        <v>46341</v>
      </c>
      <c r="N31871">
        <f>IF(M31871="","",'Master Barang'!A65)</f>
        <v>0</v>
      </c>
      <c r="O31871">
        <f>IF(N31871="","",'Master Barang'!B65)</f>
        <v>0</v>
      </c>
      <c r="P31871">
        <f>IF(OR(M31871="",N31871=""),"",SUMIFS('Barang Keluar'!$E:$E,'Barang Keluar'!$A:$A,M31871,'Barang Keluar'!$C:$C,N31871))</f>
        <v>0</v>
      </c>
    </row>
    <row r="31872" spans="13:16">
      <c r="M31872" s="49">
        <f>IF($A$4+318&gt;$B$4,"",$A$4+318)</f>
        <v>46341</v>
      </c>
      <c r="N31872">
        <f>IF(M31872="","",'Master Barang'!A66)</f>
        <v>0</v>
      </c>
      <c r="O31872">
        <f>IF(N31872="","",'Master Barang'!B66)</f>
        <v>0</v>
      </c>
      <c r="P31872">
        <f>IF(OR(M31872="",N31872=""),"",SUMIFS('Barang Keluar'!$E:$E,'Barang Keluar'!$A:$A,M31872,'Barang Keluar'!$C:$C,N31872))</f>
        <v>0</v>
      </c>
    </row>
    <row r="31873" spans="13:16">
      <c r="M31873" s="49">
        <f>IF($A$4+318&gt;$B$4,"",$A$4+318)</f>
        <v>46341</v>
      </c>
      <c r="N31873">
        <f>IF(M31873="","",'Master Barang'!A67)</f>
        <v>0</v>
      </c>
      <c r="O31873">
        <f>IF(N31873="","",'Master Barang'!B67)</f>
        <v>0</v>
      </c>
      <c r="P31873">
        <f>IF(OR(M31873="",N31873=""),"",SUMIFS('Barang Keluar'!$E:$E,'Barang Keluar'!$A:$A,M31873,'Barang Keluar'!$C:$C,N31873))</f>
        <v>0</v>
      </c>
    </row>
    <row r="31874" spans="13:16">
      <c r="M31874" s="49">
        <f>IF($A$4+318&gt;$B$4,"",$A$4+318)</f>
        <v>46341</v>
      </c>
      <c r="N31874">
        <f>IF(M31874="","",'Master Barang'!A68)</f>
        <v>0</v>
      </c>
      <c r="O31874">
        <f>IF(N31874="","",'Master Barang'!B68)</f>
        <v>0</v>
      </c>
      <c r="P31874">
        <f>IF(OR(M31874="",N31874=""),"",SUMIFS('Barang Keluar'!$E:$E,'Barang Keluar'!$A:$A,M31874,'Barang Keluar'!$C:$C,N31874))</f>
        <v>0</v>
      </c>
    </row>
    <row r="31875" spans="13:16">
      <c r="M31875" s="49">
        <f>IF($A$4+318&gt;$B$4,"",$A$4+318)</f>
        <v>46341</v>
      </c>
      <c r="N31875">
        <f>IF(M31875="","",'Master Barang'!A69)</f>
        <v>0</v>
      </c>
      <c r="O31875">
        <f>IF(N31875="","",'Master Barang'!B69)</f>
        <v>0</v>
      </c>
      <c r="P31875">
        <f>IF(OR(M31875="",N31875=""),"",SUMIFS('Barang Keluar'!$E:$E,'Barang Keluar'!$A:$A,M31875,'Barang Keluar'!$C:$C,N31875))</f>
        <v>0</v>
      </c>
    </row>
    <row r="31876" spans="13:16">
      <c r="M31876" s="49">
        <f>IF($A$4+318&gt;$B$4,"",$A$4+318)</f>
        <v>46341</v>
      </c>
      <c r="N31876">
        <f>IF(M31876="","",'Master Barang'!A70)</f>
        <v>0</v>
      </c>
      <c r="O31876">
        <f>IF(N31876="","",'Master Barang'!B70)</f>
        <v>0</v>
      </c>
      <c r="P31876">
        <f>IF(OR(M31876="",N31876=""),"",SUMIFS('Barang Keluar'!$E:$E,'Barang Keluar'!$A:$A,M31876,'Barang Keluar'!$C:$C,N31876))</f>
        <v>0</v>
      </c>
    </row>
    <row r="31877" spans="13:16">
      <c r="M31877" s="49">
        <f>IF($A$4+318&gt;$B$4,"",$A$4+318)</f>
        <v>46341</v>
      </c>
      <c r="N31877">
        <f>IF(M31877="","",'Master Barang'!A71)</f>
        <v>0</v>
      </c>
      <c r="O31877">
        <f>IF(N31877="","",'Master Barang'!B71)</f>
        <v>0</v>
      </c>
      <c r="P31877">
        <f>IF(OR(M31877="",N31877=""),"",SUMIFS('Barang Keluar'!$E:$E,'Barang Keluar'!$A:$A,M31877,'Barang Keluar'!$C:$C,N31877))</f>
        <v>0</v>
      </c>
    </row>
    <row r="31878" spans="13:16">
      <c r="M31878" s="49">
        <f>IF($A$4+318&gt;$B$4,"",$A$4+318)</f>
        <v>46341</v>
      </c>
      <c r="N31878">
        <f>IF(M31878="","",'Master Barang'!A72)</f>
        <v>0</v>
      </c>
      <c r="O31878">
        <f>IF(N31878="","",'Master Barang'!B72)</f>
        <v>0</v>
      </c>
      <c r="P31878">
        <f>IF(OR(M31878="",N31878=""),"",SUMIFS('Barang Keluar'!$E:$E,'Barang Keluar'!$A:$A,M31878,'Barang Keluar'!$C:$C,N31878))</f>
        <v>0</v>
      </c>
    </row>
    <row r="31879" spans="13:16">
      <c r="M31879" s="49">
        <f>IF($A$4+318&gt;$B$4,"",$A$4+318)</f>
        <v>46341</v>
      </c>
      <c r="N31879">
        <f>IF(M31879="","",'Master Barang'!A73)</f>
        <v>0</v>
      </c>
      <c r="O31879">
        <f>IF(N31879="","",'Master Barang'!B73)</f>
        <v>0</v>
      </c>
      <c r="P31879">
        <f>IF(OR(M31879="",N31879=""),"",SUMIFS('Barang Keluar'!$E:$E,'Barang Keluar'!$A:$A,M31879,'Barang Keluar'!$C:$C,N31879))</f>
        <v>0</v>
      </c>
    </row>
    <row r="31880" spans="13:16">
      <c r="M31880" s="49">
        <f>IF($A$4+318&gt;$B$4,"",$A$4+318)</f>
        <v>46341</v>
      </c>
      <c r="N31880">
        <f>IF(M31880="","",'Master Barang'!A74)</f>
        <v>0</v>
      </c>
      <c r="O31880">
        <f>IF(N31880="","",'Master Barang'!B74)</f>
        <v>0</v>
      </c>
      <c r="P31880">
        <f>IF(OR(M31880="",N31880=""),"",SUMIFS('Barang Keluar'!$E:$E,'Barang Keluar'!$A:$A,M31880,'Barang Keluar'!$C:$C,N31880))</f>
        <v>0</v>
      </c>
    </row>
    <row r="31881" spans="13:16">
      <c r="M31881" s="49">
        <f>IF($A$4+318&gt;$B$4,"",$A$4+318)</f>
        <v>46341</v>
      </c>
      <c r="N31881">
        <f>IF(M31881="","",'Master Barang'!A75)</f>
        <v>0</v>
      </c>
      <c r="O31881">
        <f>IF(N31881="","",'Master Barang'!B75)</f>
        <v>0</v>
      </c>
      <c r="P31881">
        <f>IF(OR(M31881="",N31881=""),"",SUMIFS('Barang Keluar'!$E:$E,'Barang Keluar'!$A:$A,M31881,'Barang Keluar'!$C:$C,N31881))</f>
        <v>0</v>
      </c>
    </row>
    <row r="31882" spans="13:16">
      <c r="M31882" s="49">
        <f>IF($A$4+318&gt;$B$4,"",$A$4+318)</f>
        <v>46341</v>
      </c>
      <c r="N31882">
        <f>IF(M31882="","",'Master Barang'!A76)</f>
        <v>0</v>
      </c>
      <c r="O31882">
        <f>IF(N31882="","",'Master Barang'!B76)</f>
        <v>0</v>
      </c>
      <c r="P31882">
        <f>IF(OR(M31882="",N31882=""),"",SUMIFS('Barang Keluar'!$E:$E,'Barang Keluar'!$A:$A,M31882,'Barang Keluar'!$C:$C,N31882))</f>
        <v>0</v>
      </c>
    </row>
    <row r="31883" spans="13:16">
      <c r="M31883" s="49">
        <f>IF($A$4+318&gt;$B$4,"",$A$4+318)</f>
        <v>46341</v>
      </c>
      <c r="N31883">
        <f>IF(M31883="","",'Master Barang'!A77)</f>
        <v>0</v>
      </c>
      <c r="O31883">
        <f>IF(N31883="","",'Master Barang'!B77)</f>
        <v>0</v>
      </c>
      <c r="P31883">
        <f>IF(OR(M31883="",N31883=""),"",SUMIFS('Barang Keluar'!$E:$E,'Barang Keluar'!$A:$A,M31883,'Barang Keluar'!$C:$C,N31883))</f>
        <v>0</v>
      </c>
    </row>
    <row r="31884" spans="13:16">
      <c r="M31884" s="49">
        <f>IF($A$4+318&gt;$B$4,"",$A$4+318)</f>
        <v>46341</v>
      </c>
      <c r="N31884">
        <f>IF(M31884="","",'Master Barang'!A78)</f>
        <v>0</v>
      </c>
      <c r="O31884">
        <f>IF(N31884="","",'Master Barang'!B78)</f>
        <v>0</v>
      </c>
      <c r="P31884">
        <f>IF(OR(M31884="",N31884=""),"",SUMIFS('Barang Keluar'!$E:$E,'Barang Keluar'!$A:$A,M31884,'Barang Keluar'!$C:$C,N31884))</f>
        <v>0</v>
      </c>
    </row>
    <row r="31885" spans="13:16">
      <c r="M31885" s="49">
        <f>IF($A$4+318&gt;$B$4,"",$A$4+318)</f>
        <v>46341</v>
      </c>
      <c r="N31885">
        <f>IF(M31885="","",'Master Barang'!A79)</f>
        <v>0</v>
      </c>
      <c r="O31885">
        <f>IF(N31885="","",'Master Barang'!B79)</f>
        <v>0</v>
      </c>
      <c r="P31885">
        <f>IF(OR(M31885="",N31885=""),"",SUMIFS('Barang Keluar'!$E:$E,'Barang Keluar'!$A:$A,M31885,'Barang Keluar'!$C:$C,N31885))</f>
        <v>0</v>
      </c>
    </row>
    <row r="31886" spans="13:16">
      <c r="M31886" s="49">
        <f>IF($A$4+318&gt;$B$4,"",$A$4+318)</f>
        <v>46341</v>
      </c>
      <c r="N31886">
        <f>IF(M31886="","",'Master Barang'!A80)</f>
        <v>0</v>
      </c>
      <c r="O31886">
        <f>IF(N31886="","",'Master Barang'!B80)</f>
        <v>0</v>
      </c>
      <c r="P31886">
        <f>IF(OR(M31886="",N31886=""),"",SUMIFS('Barang Keluar'!$E:$E,'Barang Keluar'!$A:$A,M31886,'Barang Keluar'!$C:$C,N31886))</f>
        <v>0</v>
      </c>
    </row>
    <row r="31887" spans="13:16">
      <c r="M31887" s="49">
        <f>IF($A$4+318&gt;$B$4,"",$A$4+318)</f>
        <v>46341</v>
      </c>
      <c r="N31887">
        <f>IF(M31887="","",'Master Barang'!A81)</f>
        <v>0</v>
      </c>
      <c r="O31887">
        <f>IF(N31887="","",'Master Barang'!B81)</f>
        <v>0</v>
      </c>
      <c r="P31887">
        <f>IF(OR(M31887="",N31887=""),"",SUMIFS('Barang Keluar'!$E:$E,'Barang Keluar'!$A:$A,M31887,'Barang Keluar'!$C:$C,N31887))</f>
        <v>0</v>
      </c>
    </row>
    <row r="31888" spans="13:16">
      <c r="M31888" s="49">
        <f>IF($A$4+318&gt;$B$4,"",$A$4+318)</f>
        <v>46341</v>
      </c>
      <c r="N31888">
        <f>IF(M31888="","",'Master Barang'!A82)</f>
        <v>0</v>
      </c>
      <c r="O31888">
        <f>IF(N31888="","",'Master Barang'!B82)</f>
        <v>0</v>
      </c>
      <c r="P31888">
        <f>IF(OR(M31888="",N31888=""),"",SUMIFS('Barang Keluar'!$E:$E,'Barang Keluar'!$A:$A,M31888,'Barang Keluar'!$C:$C,N31888))</f>
        <v>0</v>
      </c>
    </row>
    <row r="31889" spans="13:16">
      <c r="M31889" s="49">
        <f>IF($A$4+318&gt;$B$4,"",$A$4+318)</f>
        <v>46341</v>
      </c>
      <c r="N31889">
        <f>IF(M31889="","",'Master Barang'!A83)</f>
        <v>0</v>
      </c>
      <c r="O31889">
        <f>IF(N31889="","",'Master Barang'!B83)</f>
        <v>0</v>
      </c>
      <c r="P31889">
        <f>IF(OR(M31889="",N31889=""),"",SUMIFS('Barang Keluar'!$E:$E,'Barang Keluar'!$A:$A,M31889,'Barang Keluar'!$C:$C,N31889))</f>
        <v>0</v>
      </c>
    </row>
    <row r="31890" spans="13:16">
      <c r="M31890" s="49">
        <f>IF($A$4+318&gt;$B$4,"",$A$4+318)</f>
        <v>46341</v>
      </c>
      <c r="N31890">
        <f>IF(M31890="","",'Master Barang'!A84)</f>
        <v>0</v>
      </c>
      <c r="O31890">
        <f>IF(N31890="","",'Master Barang'!B84)</f>
        <v>0</v>
      </c>
      <c r="P31890">
        <f>IF(OR(M31890="",N31890=""),"",SUMIFS('Barang Keluar'!$E:$E,'Barang Keluar'!$A:$A,M31890,'Barang Keluar'!$C:$C,N31890))</f>
        <v>0</v>
      </c>
    </row>
    <row r="31891" spans="13:16">
      <c r="M31891" s="49">
        <f>IF($A$4+318&gt;$B$4,"",$A$4+318)</f>
        <v>46341</v>
      </c>
      <c r="N31891">
        <f>IF(M31891="","",'Master Barang'!A85)</f>
        <v>0</v>
      </c>
      <c r="O31891">
        <f>IF(N31891="","",'Master Barang'!B85)</f>
        <v>0</v>
      </c>
      <c r="P31891">
        <f>IF(OR(M31891="",N31891=""),"",SUMIFS('Barang Keluar'!$E:$E,'Barang Keluar'!$A:$A,M31891,'Barang Keluar'!$C:$C,N31891))</f>
        <v>0</v>
      </c>
    </row>
    <row r="31892" spans="13:16">
      <c r="M31892" s="49">
        <f>IF($A$4+318&gt;$B$4,"",$A$4+318)</f>
        <v>46341</v>
      </c>
      <c r="N31892">
        <f>IF(M31892="","",'Master Barang'!A86)</f>
        <v>0</v>
      </c>
      <c r="O31892">
        <f>IF(N31892="","",'Master Barang'!B86)</f>
        <v>0</v>
      </c>
      <c r="P31892">
        <f>IF(OR(M31892="",N31892=""),"",SUMIFS('Barang Keluar'!$E:$E,'Barang Keluar'!$A:$A,M31892,'Barang Keluar'!$C:$C,N31892))</f>
        <v>0</v>
      </c>
    </row>
    <row r="31893" spans="13:16">
      <c r="M31893" s="49">
        <f>IF($A$4+318&gt;$B$4,"",$A$4+318)</f>
        <v>46341</v>
      </c>
      <c r="N31893">
        <f>IF(M31893="","",'Master Barang'!A87)</f>
        <v>0</v>
      </c>
      <c r="O31893">
        <f>IF(N31893="","",'Master Barang'!B87)</f>
        <v>0</v>
      </c>
      <c r="P31893">
        <f>IF(OR(M31893="",N31893=""),"",SUMIFS('Barang Keluar'!$E:$E,'Barang Keluar'!$A:$A,M31893,'Barang Keluar'!$C:$C,N31893))</f>
        <v>0</v>
      </c>
    </row>
    <row r="31894" spans="13:16">
      <c r="M31894" s="49">
        <f>IF($A$4+318&gt;$B$4,"",$A$4+318)</f>
        <v>46341</v>
      </c>
      <c r="N31894">
        <f>IF(M31894="","",'Master Barang'!A88)</f>
        <v>0</v>
      </c>
      <c r="O31894">
        <f>IF(N31894="","",'Master Barang'!B88)</f>
        <v>0</v>
      </c>
      <c r="P31894">
        <f>IF(OR(M31894="",N31894=""),"",SUMIFS('Barang Keluar'!$E:$E,'Barang Keluar'!$A:$A,M31894,'Barang Keluar'!$C:$C,N31894))</f>
        <v>0</v>
      </c>
    </row>
    <row r="31895" spans="13:16">
      <c r="M31895" s="49">
        <f>IF($A$4+318&gt;$B$4,"",$A$4+318)</f>
        <v>46341</v>
      </c>
      <c r="N31895">
        <f>IF(M31895="","",'Master Barang'!A89)</f>
        <v>0</v>
      </c>
      <c r="O31895">
        <f>IF(N31895="","",'Master Barang'!B89)</f>
        <v>0</v>
      </c>
      <c r="P31895">
        <f>IF(OR(M31895="",N31895=""),"",SUMIFS('Barang Keluar'!$E:$E,'Barang Keluar'!$A:$A,M31895,'Barang Keluar'!$C:$C,N31895))</f>
        <v>0</v>
      </c>
    </row>
    <row r="31896" spans="13:16">
      <c r="M31896" s="49">
        <f>IF($A$4+318&gt;$B$4,"",$A$4+318)</f>
        <v>46341</v>
      </c>
      <c r="N31896">
        <f>IF(M31896="","",'Master Barang'!A90)</f>
        <v>0</v>
      </c>
      <c r="O31896">
        <f>IF(N31896="","",'Master Barang'!B90)</f>
        <v>0</v>
      </c>
      <c r="P31896">
        <f>IF(OR(M31896="",N31896=""),"",SUMIFS('Barang Keluar'!$E:$E,'Barang Keluar'!$A:$A,M31896,'Barang Keluar'!$C:$C,N31896))</f>
        <v>0</v>
      </c>
    </row>
    <row r="31897" spans="13:16">
      <c r="M31897" s="49">
        <f>IF($A$4+318&gt;$B$4,"",$A$4+318)</f>
        <v>46341</v>
      </c>
      <c r="N31897">
        <f>IF(M31897="","",'Master Barang'!A91)</f>
        <v>0</v>
      </c>
      <c r="O31897">
        <f>IF(N31897="","",'Master Barang'!B91)</f>
        <v>0</v>
      </c>
      <c r="P31897">
        <f>IF(OR(M31897="",N31897=""),"",SUMIFS('Barang Keluar'!$E:$E,'Barang Keluar'!$A:$A,M31897,'Barang Keluar'!$C:$C,N31897))</f>
        <v>0</v>
      </c>
    </row>
    <row r="31898" spans="13:16">
      <c r="M31898" s="49">
        <f>IF($A$4+318&gt;$B$4,"",$A$4+318)</f>
        <v>46341</v>
      </c>
      <c r="N31898">
        <f>IF(M31898="","",'Master Barang'!A92)</f>
        <v>0</v>
      </c>
      <c r="O31898">
        <f>IF(N31898="","",'Master Barang'!B92)</f>
        <v>0</v>
      </c>
      <c r="P31898">
        <f>IF(OR(M31898="",N31898=""),"",SUMIFS('Barang Keluar'!$E:$E,'Barang Keluar'!$A:$A,M31898,'Barang Keluar'!$C:$C,N31898))</f>
        <v>0</v>
      </c>
    </row>
    <row r="31899" spans="13:16">
      <c r="M31899" s="49">
        <f>IF($A$4+318&gt;$B$4,"",$A$4+318)</f>
        <v>46341</v>
      </c>
      <c r="N31899">
        <f>IF(M31899="","",'Master Barang'!A93)</f>
        <v>0</v>
      </c>
      <c r="O31899">
        <f>IF(N31899="","",'Master Barang'!B93)</f>
        <v>0</v>
      </c>
      <c r="P31899">
        <f>IF(OR(M31899="",N31899=""),"",SUMIFS('Barang Keluar'!$E:$E,'Barang Keluar'!$A:$A,M31899,'Barang Keluar'!$C:$C,N31899))</f>
        <v>0</v>
      </c>
    </row>
    <row r="31900" spans="13:16">
      <c r="M31900" s="49">
        <f>IF($A$4+318&gt;$B$4,"",$A$4+318)</f>
        <v>46341</v>
      </c>
      <c r="N31900">
        <f>IF(M31900="","",'Master Barang'!A94)</f>
        <v>0</v>
      </c>
      <c r="O31900">
        <f>IF(N31900="","",'Master Barang'!B94)</f>
        <v>0</v>
      </c>
      <c r="P31900">
        <f>IF(OR(M31900="",N31900=""),"",SUMIFS('Barang Keluar'!$E:$E,'Barang Keluar'!$A:$A,M31900,'Barang Keluar'!$C:$C,N31900))</f>
        <v>0</v>
      </c>
    </row>
    <row r="31901" spans="13:16">
      <c r="M31901" s="49">
        <f>IF($A$4+318&gt;$B$4,"",$A$4+318)</f>
        <v>46341</v>
      </c>
      <c r="N31901">
        <f>IF(M31901="","",'Master Barang'!A95)</f>
        <v>0</v>
      </c>
      <c r="O31901">
        <f>IF(N31901="","",'Master Barang'!B95)</f>
        <v>0</v>
      </c>
      <c r="P31901">
        <f>IF(OR(M31901="",N31901=""),"",SUMIFS('Barang Keluar'!$E:$E,'Barang Keluar'!$A:$A,M31901,'Barang Keluar'!$C:$C,N31901))</f>
        <v>0</v>
      </c>
    </row>
    <row r="31902" spans="13:16">
      <c r="M31902" s="49">
        <f>IF($A$4+318&gt;$B$4,"",$A$4+318)</f>
        <v>46341</v>
      </c>
      <c r="N31902">
        <f>IF(M31902="","",'Master Barang'!A96)</f>
        <v>0</v>
      </c>
      <c r="O31902">
        <f>IF(N31902="","",'Master Barang'!B96)</f>
        <v>0</v>
      </c>
      <c r="P31902">
        <f>IF(OR(M31902="",N31902=""),"",SUMIFS('Barang Keluar'!$E:$E,'Barang Keluar'!$A:$A,M31902,'Barang Keluar'!$C:$C,N31902))</f>
        <v>0</v>
      </c>
    </row>
    <row r="31903" spans="13:16">
      <c r="M31903" s="49">
        <f>IF($A$4+318&gt;$B$4,"",$A$4+318)</f>
        <v>46341</v>
      </c>
      <c r="N31903">
        <f>IF(M31903="","",'Master Barang'!A97)</f>
        <v>0</v>
      </c>
      <c r="O31903">
        <f>IF(N31903="","",'Master Barang'!B97)</f>
        <v>0</v>
      </c>
      <c r="P31903">
        <f>IF(OR(M31903="",N31903=""),"",SUMIFS('Barang Keluar'!$E:$E,'Barang Keluar'!$A:$A,M31903,'Barang Keluar'!$C:$C,N31903))</f>
        <v>0</v>
      </c>
    </row>
    <row r="31904" spans="13:16">
      <c r="M31904" s="49">
        <f>IF($A$4+318&gt;$B$4,"",$A$4+318)</f>
        <v>46341</v>
      </c>
      <c r="N31904">
        <f>IF(M31904="","",'Master Barang'!A98)</f>
        <v>0</v>
      </c>
      <c r="O31904">
        <f>IF(N31904="","",'Master Barang'!B98)</f>
        <v>0</v>
      </c>
      <c r="P31904">
        <f>IF(OR(M31904="",N31904=""),"",SUMIFS('Barang Keluar'!$E:$E,'Barang Keluar'!$A:$A,M31904,'Barang Keluar'!$C:$C,N31904))</f>
        <v>0</v>
      </c>
    </row>
    <row r="31905" spans="13:16">
      <c r="M31905" s="49">
        <f>IF($A$4+318&gt;$B$4,"",$A$4+318)</f>
        <v>46341</v>
      </c>
      <c r="N31905">
        <f>IF(M31905="","",'Master Barang'!A99)</f>
        <v>0</v>
      </c>
      <c r="O31905">
        <f>IF(N31905="","",'Master Barang'!B99)</f>
        <v>0</v>
      </c>
      <c r="P31905">
        <f>IF(OR(M31905="",N31905=""),"",SUMIFS('Barang Keluar'!$E:$E,'Barang Keluar'!$A:$A,M31905,'Barang Keluar'!$C:$C,N31905))</f>
        <v>0</v>
      </c>
    </row>
    <row r="31906" spans="13:16">
      <c r="M31906" s="49">
        <f>IF($A$4+318&gt;$B$4,"",$A$4+318)</f>
        <v>46341</v>
      </c>
      <c r="N31906">
        <f>IF(M31906="","",'Master Barang'!A100)</f>
        <v>0</v>
      </c>
      <c r="O31906">
        <f>IF(N31906="","",'Master Barang'!B100)</f>
        <v>0</v>
      </c>
      <c r="P31906">
        <f>IF(OR(M31906="",N31906=""),"",SUMIFS('Barang Keluar'!$E:$E,'Barang Keluar'!$A:$A,M31906,'Barang Keluar'!$C:$C,N31906))</f>
        <v>0</v>
      </c>
    </row>
    <row r="31907" spans="13:16">
      <c r="M31907" s="49">
        <f>IF($A$4+318&gt;$B$4,"",$A$4+318)</f>
        <v>46341</v>
      </c>
      <c r="N31907">
        <f>IF(M31907="","",'Master Barang'!A101)</f>
        <v>0</v>
      </c>
      <c r="O31907">
        <f>IF(N31907="","",'Master Barang'!B101)</f>
        <v>0</v>
      </c>
      <c r="P31907">
        <f>IF(OR(M31907="",N31907=""),"",SUMIFS('Barang Keluar'!$E:$E,'Barang Keluar'!$A:$A,M31907,'Barang Keluar'!$C:$C,N31907))</f>
        <v>0</v>
      </c>
    </row>
    <row r="31908" spans="13:16">
      <c r="M31908" s="49">
        <f>IF($A$4+319&gt;$B$4,"",$A$4+319)</f>
        <v>46342</v>
      </c>
      <c r="N31908" t="str">
        <f>IF(M31908="","",'Master Barang'!A2)</f>
        <v>PRL-001</v>
      </c>
      <c r="O31908" t="str">
        <f>IF(N31908="","",'Master Barang'!B2)</f>
        <v>natura desinfectant food grade 5l</v>
      </c>
      <c r="P31908">
        <f>IF(OR(M31908="",N31908=""),"",SUMIFS('Barang Keluar'!$E:$E,'Barang Keluar'!$A:$A,M31908,'Barang Keluar'!$C:$C,N31908))</f>
        <v>0</v>
      </c>
    </row>
    <row r="31909" spans="13:16">
      <c r="M31909" s="49">
        <f>IF($A$4+319&gt;$B$4,"",$A$4+319)</f>
        <v>46342</v>
      </c>
      <c r="N31909" t="str">
        <f>IF(M31909="","",'Master Barang'!A3)</f>
        <v>PRL-002</v>
      </c>
      <c r="O31909" t="str">
        <f>IF(N31909="","",'Master Barang'!B3)</f>
        <v>sunlight cairan pencuci piring 5l</v>
      </c>
      <c r="P31909">
        <f>IF(OR(M31909="",N31909=""),"",SUMIFS('Barang Keluar'!$E:$E,'Barang Keluar'!$A:$A,M31909,'Barang Keluar'!$C:$C,N31909))</f>
        <v>0</v>
      </c>
    </row>
    <row r="31910" spans="13:16">
      <c r="M31910" s="49">
        <f>IF($A$4+319&gt;$B$4,"",$A$4+319)</f>
        <v>46342</v>
      </c>
      <c r="N31910" t="str">
        <f>IF(M31910="","",'Master Barang'!A4)</f>
        <v>PRL-003</v>
      </c>
      <c r="O31910" t="str">
        <f>IF(N31910="","",'Master Barang'!B4)</f>
        <v>oixs cleaner 1l</v>
      </c>
      <c r="P31910">
        <f>IF(OR(M31910="",N31910=""),"",SUMIFS('Barang Keluar'!$E:$E,'Barang Keluar'!$A:$A,M31910,'Barang Keluar'!$C:$C,N31910))</f>
        <v>0</v>
      </c>
    </row>
    <row r="31911" spans="13:16">
      <c r="M31911" s="49">
        <f>IF($A$4+319&gt;$B$4,"",$A$4+319)</f>
        <v>46342</v>
      </c>
      <c r="N31911" t="str">
        <f>IF(M31911="","",'Master Barang'!A5)</f>
        <v>PRL-004</v>
      </c>
      <c r="O31911" t="str">
        <f>IF(N31911="","",'Master Barang'!B5)</f>
        <v>be clean tissue serbaguna</v>
      </c>
      <c r="P31911">
        <f>IF(OR(M31911="",N31911=""),"",SUMIFS('Barang Keluar'!$E:$E,'Barang Keluar'!$A:$A,M31911,'Barang Keluar'!$C:$C,N31911))</f>
        <v>0</v>
      </c>
    </row>
    <row r="31912" spans="13:16">
      <c r="M31912" s="49">
        <f>IF($A$4+319&gt;$B$4,"",$A$4+319)</f>
        <v>46342</v>
      </c>
      <c r="N31912" t="str">
        <f>IF(M31912="","",'Master Barang'!A6)</f>
        <v>PRL-005</v>
      </c>
      <c r="O31912" t="str">
        <f>IF(N31912="","",'Master Barang'!B6)</f>
        <v>spons cuci hijau</v>
      </c>
      <c r="P31912">
        <f>IF(OR(M31912="",N31912=""),"",SUMIFS('Barang Keluar'!$E:$E,'Barang Keluar'!$A:$A,M31912,'Barang Keluar'!$C:$C,N31912))</f>
        <v>0</v>
      </c>
    </row>
    <row r="31913" spans="13:16">
      <c r="M31913" s="49">
        <f>IF($A$4+319&gt;$B$4,"",$A$4+319)</f>
        <v>46342</v>
      </c>
      <c r="N31913" t="str">
        <f>IF(M31913="","",'Master Barang'!A7)</f>
        <v>PRL-006</v>
      </c>
      <c r="O31913" t="str">
        <f>IF(N31913="","",'Master Barang'!B7)</f>
        <v>sabut cuci stainless</v>
      </c>
      <c r="P31913">
        <f>IF(OR(M31913="",N31913=""),"",SUMIFS('Barang Keluar'!$E:$E,'Barang Keluar'!$A:$A,M31913,'Barang Keluar'!$C:$C,N31913))</f>
        <v>0</v>
      </c>
    </row>
    <row r="31914" spans="13:16">
      <c r="M31914" s="49">
        <f>IF($A$4+319&gt;$B$4,"",$A$4+319)</f>
        <v>46342</v>
      </c>
      <c r="N31914" t="str">
        <f>IF(M31914="","",'Master Barang'!A8)</f>
        <v>PRL-007</v>
      </c>
      <c r="O31914" t="str">
        <f>IF(N31914="","",'Master Barang'!B8)</f>
        <v>plastik kresek besar merah 50pc</v>
      </c>
      <c r="P31914">
        <f>IF(OR(M31914="",N31914=""),"",SUMIFS('Barang Keluar'!$E:$E,'Barang Keluar'!$A:$A,M31914,'Barang Keluar'!$C:$C,N31914))</f>
        <v>0</v>
      </c>
    </row>
    <row r="31915" spans="13:16">
      <c r="M31915" s="49">
        <f>IF($A$4+319&gt;$B$4,"",$A$4+319)</f>
        <v>46342</v>
      </c>
      <c r="N31915" t="str">
        <f>IF(M31915="","",'Master Barang'!A9)</f>
        <v>PRL-008</v>
      </c>
      <c r="O31915" t="str">
        <f>IF(N31915="","",'Master Barang'!B9)</f>
        <v>lap besar</v>
      </c>
      <c r="P31915">
        <f>IF(OR(M31915="",N31915=""),"",SUMIFS('Barang Keluar'!$E:$E,'Barang Keluar'!$A:$A,M31915,'Barang Keluar'!$C:$C,N31915))</f>
        <v>0</v>
      </c>
    </row>
    <row r="31916" spans="13:16">
      <c r="M31916" s="49">
        <f>IF($A$4+319&gt;$B$4,"",$A$4+319)</f>
        <v>46342</v>
      </c>
      <c r="N31916" t="str">
        <f>IF(M31916="","",'Master Barang'!A10)</f>
        <v>PRL-009</v>
      </c>
      <c r="O31916" t="str">
        <f>IF(N31916="","",'Master Barang'!B10)</f>
        <v>lap microfiber</v>
      </c>
      <c r="P31916">
        <f>IF(OR(M31916="",N31916=""),"",SUMIFS('Barang Keluar'!$E:$E,'Barang Keluar'!$A:$A,M31916,'Barang Keluar'!$C:$C,N31916))</f>
        <v>0</v>
      </c>
    </row>
    <row r="31917" spans="13:16">
      <c r="M31917" s="49">
        <f>IF($A$4+319&gt;$B$4,"",$A$4+319)</f>
        <v>46342</v>
      </c>
      <c r="N31917" t="str">
        <f>IF(M31917="","",'Master Barang'!A11)</f>
        <v>PRL-010</v>
      </c>
      <c r="O31917" t="str">
        <f>IF(N31917="","",'Master Barang'!B11)</f>
        <v>lap kecil</v>
      </c>
      <c r="P31917">
        <f>IF(OR(M31917="",N31917=""),"",SUMIFS('Barang Keluar'!$E:$E,'Barang Keluar'!$A:$A,M31917,'Barang Keluar'!$C:$C,N31917))</f>
        <v>0</v>
      </c>
    </row>
    <row r="31918" spans="13:16">
      <c r="M31918" s="49">
        <f>IF($A$4+319&gt;$B$4,"",$A$4+319)</f>
        <v>46342</v>
      </c>
      <c r="N31918" t="str">
        <f>IF(M31918="","",'Master Barang'!A12)</f>
        <v>PRL-011</v>
      </c>
      <c r="O31918" t="str">
        <f>IF(N31918="","",'Master Barang'!B12)</f>
        <v>kanebo kecil</v>
      </c>
      <c r="P31918">
        <f>IF(OR(M31918="",N31918=""),"",SUMIFS('Barang Keluar'!$E:$E,'Barang Keluar'!$A:$A,M31918,'Barang Keluar'!$C:$C,N31918))</f>
        <v>0</v>
      </c>
    </row>
    <row r="31919" spans="13:16">
      <c r="M31919" s="49">
        <f>IF($A$4+319&gt;$B$4,"",$A$4+319)</f>
        <v>46342</v>
      </c>
      <c r="N31919" t="str">
        <f>IF(M31919="","",'Master Barang'!A13)</f>
        <v>PRL-012</v>
      </c>
      <c r="O31919" t="str">
        <f>IF(N31919="","",'Master Barang'!B13)</f>
        <v>plastik 1/4kg joyoboyo 100 lembar</v>
      </c>
      <c r="P31919">
        <f>IF(OR(M31919="",N31919=""),"",SUMIFS('Barang Keluar'!$E:$E,'Barang Keluar'!$A:$A,M31919,'Barang Keluar'!$C:$C,N31919))</f>
        <v>0</v>
      </c>
    </row>
    <row r="31920" spans="13:16">
      <c r="M31920" s="49">
        <f>IF($A$4+319&gt;$B$4,"",$A$4+319)</f>
        <v>46342</v>
      </c>
      <c r="N31920" t="str">
        <f>IF(M31920="","",'Master Barang'!A14)</f>
        <v>PRL-013</v>
      </c>
      <c r="O31920" t="str">
        <f>IF(N31920="","",'Master Barang'!B14)</f>
        <v>sarung tangan plastik kaka 100 pcs</v>
      </c>
      <c r="P31920">
        <f>IF(OR(M31920="",N31920=""),"",SUMIFS('Barang Keluar'!$E:$E,'Barang Keluar'!$A:$A,M31920,'Barang Keluar'!$C:$C,N31920))</f>
        <v>0</v>
      </c>
    </row>
    <row r="31921" spans="13:16">
      <c r="M31921" s="49">
        <f>IF($A$4+319&gt;$B$4,"",$A$4+319)</f>
        <v>46342</v>
      </c>
      <c r="N31921" t="str">
        <f>IF(M31921="","",'Master Barang'!A15)</f>
        <v>PRL-014</v>
      </c>
      <c r="O31921" t="str">
        <f>IF(N31921="","",'Master Barang'!B15)</f>
        <v>optima trashbag 80x100</v>
      </c>
      <c r="P31921">
        <f>IF(OR(M31921="",N31921=""),"",SUMIFS('Barang Keluar'!$E:$E,'Barang Keluar'!$A:$A,M31921,'Barang Keluar'!$C:$C,N31921))</f>
        <v>0</v>
      </c>
    </row>
    <row r="31922" spans="13:16">
      <c r="M31922" s="49">
        <f>IF($A$4+319&gt;$B$4,"",$A$4+319)</f>
        <v>46342</v>
      </c>
      <c r="N31922" t="str">
        <f>IF(M31922="","",'Master Barang'!A16)</f>
        <v>PRL-015</v>
      </c>
      <c r="O31922" t="str">
        <f>IF(N31922="","",'Master Barang'!B16)</f>
        <v>optima trashbag 60x100</v>
      </c>
      <c r="P31922">
        <f>IF(OR(M31922="",N31922=""),"",SUMIFS('Barang Keluar'!$E:$E,'Barang Keluar'!$A:$A,M31922,'Barang Keluar'!$C:$C,N31922))</f>
        <v>0</v>
      </c>
    </row>
    <row r="31923" spans="13:16">
      <c r="M31923" s="49">
        <f>IF($A$4+319&gt;$B$4,"",$A$4+319)</f>
        <v>46342</v>
      </c>
      <c r="N31923" t="str">
        <f>IF(M31923="","",'Master Barang'!A17)</f>
        <v>PRL-016</v>
      </c>
      <c r="O31923" t="str">
        <f>IF(N31923="","",'Master Barang'!B17)</f>
        <v>rajawali trashbag 30x40</v>
      </c>
      <c r="P31923">
        <f>IF(OR(M31923="",N31923=""),"",SUMIFS('Barang Keluar'!$E:$E,'Barang Keluar'!$A:$A,M31923,'Barang Keluar'!$C:$C,N31923))</f>
        <v>0</v>
      </c>
    </row>
    <row r="31924" spans="13:16">
      <c r="M31924" s="49">
        <f>IF($A$4+319&gt;$B$4,"",$A$4+319)</f>
        <v>46342</v>
      </c>
      <c r="N31924" t="str">
        <f>IF(M31924="","",'Master Barang'!A18)</f>
        <v>PRL-017</v>
      </c>
      <c r="O31924" t="str">
        <f>IF(N31924="","",'Master Barang'!B18)</f>
        <v>onemed masker biru 3 play 50 pcs</v>
      </c>
      <c r="P31924">
        <f>IF(OR(M31924="",N31924=""),"",SUMIFS('Barang Keluar'!$E:$E,'Barang Keluar'!$A:$A,M31924,'Barang Keluar'!$C:$C,N31924))</f>
        <v>0</v>
      </c>
    </row>
    <row r="31925" spans="13:16">
      <c r="M31925" s="49">
        <f>IF($A$4+319&gt;$B$4,"",$A$4+319)</f>
        <v>46342</v>
      </c>
      <c r="N31925" t="str">
        <f>IF(M31925="","",'Master Barang'!A19)</f>
        <v>PRL-018</v>
      </c>
      <c r="O31925" t="str">
        <f>IF(N31925="","",'Master Barang'!B19)</f>
        <v>onemed masker biru 3 play hijab 50 pcs</v>
      </c>
      <c r="P31925">
        <f>IF(OR(M31925="",N31925=""),"",SUMIFS('Barang Keluar'!$E:$E,'Barang Keluar'!$A:$A,M31925,'Barang Keluar'!$C:$C,N31925))</f>
        <v>0</v>
      </c>
    </row>
    <row r="31926" spans="13:16">
      <c r="M31926" s="49">
        <f>IF($A$4+319&gt;$B$4,"",$A$4+319)</f>
        <v>46342</v>
      </c>
      <c r="N31926" t="str">
        <f>IF(M31926="","",'Master Barang'!A20)</f>
        <v>PRL-019</v>
      </c>
      <c r="O31926" t="str">
        <f>IF(N31926="","",'Master Barang'!B20)</f>
        <v>neo health masker biru 3 play 50 pcs</v>
      </c>
      <c r="P31926">
        <f>IF(OR(M31926="",N31926=""),"",SUMIFS('Barang Keluar'!$E:$E,'Barang Keluar'!$A:$A,M31926,'Barang Keluar'!$C:$C,N31926))</f>
        <v>0</v>
      </c>
    </row>
    <row r="31927" spans="13:16">
      <c r="M31927" s="49">
        <f>IF($A$4+319&gt;$B$4,"",$A$4+319)</f>
        <v>46342</v>
      </c>
      <c r="N31927" t="str">
        <f>IF(M31927="","",'Master Barang'!A21)</f>
        <v>PRL-020</v>
      </c>
      <c r="O31927" t="str">
        <f>IF(N31927="","",'Master Barang'!B21)</f>
        <v>baymed masker hijau 3 play hijau 50 pcs</v>
      </c>
      <c r="P31927">
        <f>IF(OR(M31927="",N31927=""),"",SUMIFS('Barang Keluar'!$E:$E,'Barang Keluar'!$A:$A,M31927,'Barang Keluar'!$C:$C,N31927))</f>
        <v>0</v>
      </c>
    </row>
    <row r="31928" spans="13:16">
      <c r="M31928" s="49">
        <f>IF($A$4+319&gt;$B$4,"",$A$4+319)</f>
        <v>46342</v>
      </c>
      <c r="N31928" t="str">
        <f>IF(M31928="","",'Master Barang'!A22)</f>
        <v>PRL-021</v>
      </c>
      <c r="O31928" t="str">
        <f>IF(N31928="","",'Master Barang'!B22)</f>
        <v>altamed nurse cap penutup kepala 100 pcs</v>
      </c>
      <c r="P31928">
        <f>IF(OR(M31928="",N31928=""),"",SUMIFS('Barang Keluar'!$E:$E,'Barang Keluar'!$A:$A,M31928,'Barang Keluar'!$C:$C,N31928))</f>
        <v>0</v>
      </c>
    </row>
    <row r="31929" spans="13:16">
      <c r="M31929" s="49">
        <f>IF($A$4+319&gt;$B$4,"",$A$4+319)</f>
        <v>46342</v>
      </c>
      <c r="N31929" t="str">
        <f>IF(M31929="","",'Master Barang'!A23)</f>
        <v>PRL-022</v>
      </c>
      <c r="O31929" t="str">
        <f>IF(N31929="","",'Master Barang'!B23)</f>
        <v>sabun cuci tangan</v>
      </c>
      <c r="P31929">
        <f>IF(OR(M31929="",N31929=""),"",SUMIFS('Barang Keluar'!$E:$E,'Barang Keluar'!$A:$A,M31929,'Barang Keluar'!$C:$C,N31929))</f>
        <v>0</v>
      </c>
    </row>
    <row r="31930" spans="13:16">
      <c r="M31930" s="49">
        <f>IF($A$4+319&gt;$B$4,"",$A$4+319)</f>
        <v>46342</v>
      </c>
      <c r="N31930" t="str">
        <f>IF(M31930="","",'Master Barang'!A24)</f>
        <v>PRL-023</v>
      </c>
      <c r="O31930" t="str">
        <f>IF(N31930="","",'Master Barang'!B24)</f>
        <v>gayung kecil</v>
      </c>
      <c r="P31930">
        <f>IF(OR(M31930="",N31930=""),"",SUMIFS('Barang Keluar'!$E:$E,'Barang Keluar'!$A:$A,M31930,'Barang Keluar'!$C:$C,N31930))</f>
        <v>0</v>
      </c>
    </row>
    <row r="31931" spans="13:16">
      <c r="M31931" s="49">
        <f>IF($A$4+319&gt;$B$4,"",$A$4+319)</f>
        <v>46342</v>
      </c>
      <c r="N31931" t="str">
        <f>IF(M31931="","",'Master Barang'!A25)</f>
        <v>PRL-024</v>
      </c>
      <c r="O31931" t="str">
        <f>IF(N31931="","",'Master Barang'!B25)</f>
        <v>cikrak kecil</v>
      </c>
      <c r="P31931">
        <f>IF(OR(M31931="",N31931=""),"",SUMIFS('Barang Keluar'!$E:$E,'Barang Keluar'!$A:$A,M31931,'Barang Keluar'!$C:$C,N31931))</f>
        <v>0</v>
      </c>
    </row>
    <row r="31932" spans="13:16">
      <c r="M31932" s="49">
        <f>IF($A$4+319&gt;$B$4,"",$A$4+319)</f>
        <v>46342</v>
      </c>
      <c r="N31932" t="str">
        <f>IF(M31932="","",'Master Barang'!A26)</f>
        <v>PRL-025</v>
      </c>
      <c r="O31932" t="str">
        <f>IF(N31932="","",'Master Barang'!B26)</f>
        <v>petromax plastik kecil 12x24 100 lembar</v>
      </c>
      <c r="P31932">
        <f>IF(OR(M31932="",N31932=""),"",SUMIFS('Barang Keluar'!$E:$E,'Barang Keluar'!$A:$A,M31932,'Barang Keluar'!$C:$C,N31932))</f>
        <v>0</v>
      </c>
    </row>
    <row r="31933" spans="13:16">
      <c r="M31933" s="49">
        <f>IF($A$4+319&gt;$B$4,"",$A$4+319)</f>
        <v>46342</v>
      </c>
      <c r="N31933" t="str">
        <f>IF(M31933="","",'Master Barang'!A27)</f>
        <v>PRL-026</v>
      </c>
      <c r="O31933" t="str">
        <f>IF(N31933="","",'Master Barang'!B27)</f>
        <v>lancar kresek kecil bening </v>
      </c>
      <c r="P31933">
        <f>IF(OR(M31933="",N31933=""),"",SUMIFS('Barang Keluar'!$E:$E,'Barang Keluar'!$A:$A,M31933,'Barang Keluar'!$C:$C,N31933))</f>
        <v>0</v>
      </c>
    </row>
    <row r="31934" spans="13:16">
      <c r="M31934" s="49">
        <f>IF($A$4+319&gt;$B$4,"",$A$4+319)</f>
        <v>46342</v>
      </c>
      <c r="N31934" t="str">
        <f>IF(M31934="","",'Master Barang'!A28)</f>
        <v>PRL-027</v>
      </c>
      <c r="O31934" t="str">
        <f>IF(N31934="","",'Master Barang'!B28)</f>
        <v>kresek klin warna warni kecil</v>
      </c>
      <c r="P31934">
        <f>IF(OR(M31934="",N31934=""),"",SUMIFS('Barang Keluar'!$E:$E,'Barang Keluar'!$A:$A,M31934,'Barang Keluar'!$C:$C,N31934))</f>
        <v>0</v>
      </c>
    </row>
    <row r="31935" spans="13:16">
      <c r="M31935" s="49">
        <f>IF($A$4+319&gt;$B$4,"",$A$4+319)</f>
        <v>46342</v>
      </c>
      <c r="N31935" t="str">
        <f>IF(M31935="","",'Master Barang'!A29)</f>
        <v>PRL-028</v>
      </c>
      <c r="O31935" t="str">
        <f>IF(N31935="","",'Master Barang'!B29)</f>
        <v>ctik plastik 7x10 100 pcs</v>
      </c>
      <c r="P31935">
        <f>IF(OR(M31935="",N31935=""),"",SUMIFS('Barang Keluar'!$E:$E,'Barang Keluar'!$A:$A,M31935,'Barang Keluar'!$C:$C,N31935))</f>
        <v>0</v>
      </c>
    </row>
    <row r="31936" spans="13:16">
      <c r="M31936" s="49">
        <f>IF($A$4+319&gt;$B$4,"",$A$4+319)</f>
        <v>46342</v>
      </c>
      <c r="N31936" t="str">
        <f>IF(M31936="","",'Master Barang'!A30)</f>
        <v>PRL-029</v>
      </c>
      <c r="O31936" t="str">
        <f>IF(N31936="","",'Master Barang'!B30)</f>
        <v>ctik plastik 6x10 100 pcs</v>
      </c>
      <c r="P31936">
        <f>IF(OR(M31936="",N31936=""),"",SUMIFS('Barang Keluar'!$E:$E,'Barang Keluar'!$A:$A,M31936,'Barang Keluar'!$C:$C,N31936))</f>
        <v>0</v>
      </c>
    </row>
    <row r="31937" spans="13:16">
      <c r="M31937" s="49">
        <f>IF($A$4+319&gt;$B$4,"",$A$4+319)</f>
        <v>46342</v>
      </c>
      <c r="N31937" t="str">
        <f>IF(M31937="","",'Master Barang'!A31)</f>
        <v>PRL-030</v>
      </c>
      <c r="O31937" t="str">
        <f>IF(N31937="","",'Master Barang'!B31)</f>
        <v>klip plastik 25x16 100 pcs</v>
      </c>
      <c r="P31937">
        <f>IF(OR(M31937="",N31937=""),"",SUMIFS('Barang Keluar'!$E:$E,'Barang Keluar'!$A:$A,M31937,'Barang Keluar'!$C:$C,N31937))</f>
        <v>0</v>
      </c>
    </row>
    <row r="31938" spans="13:16">
      <c r="M31938" s="49">
        <f>IF($A$4+319&gt;$B$4,"",$A$4+319)</f>
        <v>46342</v>
      </c>
      <c r="N31938" t="str">
        <f>IF(M31938="","",'Master Barang'!A32)</f>
        <v>PRL-031</v>
      </c>
      <c r="O31938" t="str">
        <f>IF(N31938="","",'Master Barang'!B32)</f>
        <v>tempat saus 20 ml</v>
      </c>
      <c r="P31938">
        <f>IF(OR(M31938="",N31938=""),"",SUMIFS('Barang Keluar'!$E:$E,'Barang Keluar'!$A:$A,M31938,'Barang Keluar'!$C:$C,N31938))</f>
        <v>0</v>
      </c>
    </row>
    <row r="31939" spans="13:16">
      <c r="M31939" s="49">
        <f>IF($A$4+319&gt;$B$4,"",$A$4+319)</f>
        <v>46342</v>
      </c>
      <c r="N31939" t="str">
        <f>IF(M31939="","",'Master Barang'!A33)</f>
        <v>PRL-032</v>
      </c>
      <c r="O31939" t="str">
        <f>IF(N31939="","",'Master Barang'!B33)</f>
        <v>plastik packaging ag box uk sedang</v>
      </c>
      <c r="P31939">
        <f>IF(OR(M31939="",N31939=""),"",SUMIFS('Barang Keluar'!$E:$E,'Barang Keluar'!$A:$A,M31939,'Barang Keluar'!$C:$C,N31939))</f>
        <v>0</v>
      </c>
    </row>
    <row r="31940" spans="13:16">
      <c r="M31940" s="49">
        <f>IF($A$4+319&gt;$B$4,"",$A$4+319)</f>
        <v>46342</v>
      </c>
      <c r="N31940" t="str">
        <f>IF(M31940="","",'Master Barang'!A34)</f>
        <v>PRL-033</v>
      </c>
      <c r="O31940">
        <f>IF(N31940="","",'Master Barang'!B34)</f>
        <v>0</v>
      </c>
      <c r="P31940">
        <f>IF(OR(M31940="",N31940=""),"",SUMIFS('Barang Keluar'!$E:$E,'Barang Keluar'!$A:$A,M31940,'Barang Keluar'!$C:$C,N31940))</f>
        <v>0</v>
      </c>
    </row>
    <row r="31941" spans="13:16">
      <c r="M31941" s="49">
        <f>IF($A$4+319&gt;$B$4,"",$A$4+319)</f>
        <v>46342</v>
      </c>
      <c r="N31941">
        <f>IF(M31941="","",'Master Barang'!A35)</f>
        <v>0</v>
      </c>
      <c r="O31941">
        <f>IF(N31941="","",'Master Barang'!B35)</f>
        <v>0</v>
      </c>
      <c r="P31941">
        <f>IF(OR(M31941="",N31941=""),"",SUMIFS('Barang Keluar'!$E:$E,'Barang Keluar'!$A:$A,M31941,'Barang Keluar'!$C:$C,N31941))</f>
        <v>0</v>
      </c>
    </row>
    <row r="31942" spans="13:16">
      <c r="M31942" s="49">
        <f>IF($A$4+319&gt;$B$4,"",$A$4+319)</f>
        <v>46342</v>
      </c>
      <c r="N31942">
        <f>IF(M31942="","",'Master Barang'!A36)</f>
        <v>0</v>
      </c>
      <c r="O31942">
        <f>IF(N31942="","",'Master Barang'!B36)</f>
        <v>0</v>
      </c>
      <c r="P31942">
        <f>IF(OR(M31942="",N31942=""),"",SUMIFS('Barang Keluar'!$E:$E,'Barang Keluar'!$A:$A,M31942,'Barang Keluar'!$C:$C,N31942))</f>
        <v>0</v>
      </c>
    </row>
    <row r="31943" spans="13:16">
      <c r="M31943" s="49">
        <f>IF($A$4+319&gt;$B$4,"",$A$4+319)</f>
        <v>46342</v>
      </c>
      <c r="N31943">
        <f>IF(M31943="","",'Master Barang'!A37)</f>
        <v>0</v>
      </c>
      <c r="O31943">
        <f>IF(N31943="","",'Master Barang'!B37)</f>
        <v>0</v>
      </c>
      <c r="P31943">
        <f>IF(OR(M31943="",N31943=""),"",SUMIFS('Barang Keluar'!$E:$E,'Barang Keluar'!$A:$A,M31943,'Barang Keluar'!$C:$C,N31943))</f>
        <v>0</v>
      </c>
    </row>
    <row r="31944" spans="13:16">
      <c r="M31944" s="49">
        <f>IF($A$4+319&gt;$B$4,"",$A$4+319)</f>
        <v>46342</v>
      </c>
      <c r="N31944">
        <f>IF(M31944="","",'Master Barang'!A38)</f>
        <v>0</v>
      </c>
      <c r="O31944">
        <f>IF(N31944="","",'Master Barang'!B38)</f>
        <v>0</v>
      </c>
      <c r="P31944">
        <f>IF(OR(M31944="",N31944=""),"",SUMIFS('Barang Keluar'!$E:$E,'Barang Keluar'!$A:$A,M31944,'Barang Keluar'!$C:$C,N31944))</f>
        <v>0</v>
      </c>
    </row>
    <row r="31945" spans="13:16">
      <c r="M31945" s="49">
        <f>IF($A$4+319&gt;$B$4,"",$A$4+319)</f>
        <v>46342</v>
      </c>
      <c r="N31945">
        <f>IF(M31945="","",'Master Barang'!A39)</f>
        <v>0</v>
      </c>
      <c r="O31945">
        <f>IF(N31945="","",'Master Barang'!B39)</f>
        <v>0</v>
      </c>
      <c r="P31945">
        <f>IF(OR(M31945="",N31945=""),"",SUMIFS('Barang Keluar'!$E:$E,'Barang Keluar'!$A:$A,M31945,'Barang Keluar'!$C:$C,N31945))</f>
        <v>0</v>
      </c>
    </row>
    <row r="31946" spans="13:16">
      <c r="M31946" s="49">
        <f>IF($A$4+319&gt;$B$4,"",$A$4+319)</f>
        <v>46342</v>
      </c>
      <c r="N31946">
        <f>IF(M31946="","",'Master Barang'!A40)</f>
        <v>0</v>
      </c>
      <c r="O31946">
        <f>IF(N31946="","",'Master Barang'!B40)</f>
        <v>0</v>
      </c>
      <c r="P31946">
        <f>IF(OR(M31946="",N31946=""),"",SUMIFS('Barang Keluar'!$E:$E,'Barang Keluar'!$A:$A,M31946,'Barang Keluar'!$C:$C,N31946))</f>
        <v>0</v>
      </c>
    </row>
    <row r="31947" spans="13:16">
      <c r="M31947" s="49">
        <f>IF($A$4+319&gt;$B$4,"",$A$4+319)</f>
        <v>46342</v>
      </c>
      <c r="N31947">
        <f>IF(M31947="","",'Master Barang'!A41)</f>
        <v>0</v>
      </c>
      <c r="O31947">
        <f>IF(N31947="","",'Master Barang'!B41)</f>
        <v>0</v>
      </c>
      <c r="P31947">
        <f>IF(OR(M31947="",N31947=""),"",SUMIFS('Barang Keluar'!$E:$E,'Barang Keluar'!$A:$A,M31947,'Barang Keluar'!$C:$C,N31947))</f>
        <v>0</v>
      </c>
    </row>
    <row r="31948" spans="13:16">
      <c r="M31948" s="49">
        <f>IF($A$4+319&gt;$B$4,"",$A$4+319)</f>
        <v>46342</v>
      </c>
      <c r="N31948">
        <f>IF(M31948="","",'Master Barang'!A42)</f>
        <v>0</v>
      </c>
      <c r="O31948">
        <f>IF(N31948="","",'Master Barang'!B42)</f>
        <v>0</v>
      </c>
      <c r="P31948">
        <f>IF(OR(M31948="",N31948=""),"",SUMIFS('Barang Keluar'!$E:$E,'Barang Keluar'!$A:$A,M31948,'Barang Keluar'!$C:$C,N31948))</f>
        <v>0</v>
      </c>
    </row>
    <row r="31949" spans="13:16">
      <c r="M31949" s="49">
        <f>IF($A$4+319&gt;$B$4,"",$A$4+319)</f>
        <v>46342</v>
      </c>
      <c r="N31949">
        <f>IF(M31949="","",'Master Barang'!A43)</f>
        <v>0</v>
      </c>
      <c r="O31949">
        <f>IF(N31949="","",'Master Barang'!B43)</f>
        <v>0</v>
      </c>
      <c r="P31949">
        <f>IF(OR(M31949="",N31949=""),"",SUMIFS('Barang Keluar'!$E:$E,'Barang Keluar'!$A:$A,M31949,'Barang Keluar'!$C:$C,N31949))</f>
        <v>0</v>
      </c>
    </row>
    <row r="31950" spans="13:16">
      <c r="M31950" s="49">
        <f>IF($A$4+319&gt;$B$4,"",$A$4+319)</f>
        <v>46342</v>
      </c>
      <c r="N31950">
        <f>IF(M31950="","",'Master Barang'!A44)</f>
        <v>0</v>
      </c>
      <c r="O31950">
        <f>IF(N31950="","",'Master Barang'!B44)</f>
        <v>0</v>
      </c>
      <c r="P31950">
        <f>IF(OR(M31950="",N31950=""),"",SUMIFS('Barang Keluar'!$E:$E,'Barang Keluar'!$A:$A,M31950,'Barang Keluar'!$C:$C,N31950))</f>
        <v>0</v>
      </c>
    </row>
    <row r="31951" spans="13:16">
      <c r="M31951" s="49">
        <f>IF($A$4+319&gt;$B$4,"",$A$4+319)</f>
        <v>46342</v>
      </c>
      <c r="N31951">
        <f>IF(M31951="","",'Master Barang'!A45)</f>
        <v>0</v>
      </c>
      <c r="O31951">
        <f>IF(N31951="","",'Master Barang'!B45)</f>
        <v>0</v>
      </c>
      <c r="P31951">
        <f>IF(OR(M31951="",N31951=""),"",SUMIFS('Barang Keluar'!$E:$E,'Barang Keluar'!$A:$A,M31951,'Barang Keluar'!$C:$C,N31951))</f>
        <v>0</v>
      </c>
    </row>
    <row r="31952" spans="13:16">
      <c r="M31952" s="49">
        <f>IF($A$4+319&gt;$B$4,"",$A$4+319)</f>
        <v>46342</v>
      </c>
      <c r="N31952">
        <f>IF(M31952="","",'Master Barang'!A46)</f>
        <v>0</v>
      </c>
      <c r="O31952">
        <f>IF(N31952="","",'Master Barang'!B46)</f>
        <v>0</v>
      </c>
      <c r="P31952">
        <f>IF(OR(M31952="",N31952=""),"",SUMIFS('Barang Keluar'!$E:$E,'Barang Keluar'!$A:$A,M31952,'Barang Keluar'!$C:$C,N31952))</f>
        <v>0</v>
      </c>
    </row>
    <row r="31953" spans="13:16">
      <c r="M31953" s="49">
        <f>IF($A$4+319&gt;$B$4,"",$A$4+319)</f>
        <v>46342</v>
      </c>
      <c r="N31953">
        <f>IF(M31953="","",'Master Barang'!A47)</f>
        <v>0</v>
      </c>
      <c r="O31953">
        <f>IF(N31953="","",'Master Barang'!B47)</f>
        <v>0</v>
      </c>
      <c r="P31953">
        <f>IF(OR(M31953="",N31953=""),"",SUMIFS('Barang Keluar'!$E:$E,'Barang Keluar'!$A:$A,M31953,'Barang Keluar'!$C:$C,N31953))</f>
        <v>0</v>
      </c>
    </row>
    <row r="31954" spans="13:16">
      <c r="M31954" s="49">
        <f>IF($A$4+319&gt;$B$4,"",$A$4+319)</f>
        <v>46342</v>
      </c>
      <c r="N31954">
        <f>IF(M31954="","",'Master Barang'!A48)</f>
        <v>0</v>
      </c>
      <c r="O31954">
        <f>IF(N31954="","",'Master Barang'!B48)</f>
        <v>0</v>
      </c>
      <c r="P31954">
        <f>IF(OR(M31954="",N31954=""),"",SUMIFS('Barang Keluar'!$E:$E,'Barang Keluar'!$A:$A,M31954,'Barang Keluar'!$C:$C,N31954))</f>
        <v>0</v>
      </c>
    </row>
    <row r="31955" spans="13:16">
      <c r="M31955" s="49">
        <f>IF($A$4+319&gt;$B$4,"",$A$4+319)</f>
        <v>46342</v>
      </c>
      <c r="N31955">
        <f>IF(M31955="","",'Master Barang'!A49)</f>
        <v>0</v>
      </c>
      <c r="O31955">
        <f>IF(N31955="","",'Master Barang'!B49)</f>
        <v>0</v>
      </c>
      <c r="P31955">
        <f>IF(OR(M31955="",N31955=""),"",SUMIFS('Barang Keluar'!$E:$E,'Barang Keluar'!$A:$A,M31955,'Barang Keluar'!$C:$C,N31955))</f>
        <v>0</v>
      </c>
    </row>
    <row r="31956" spans="13:16">
      <c r="M31956" s="49">
        <f>IF($A$4+319&gt;$B$4,"",$A$4+319)</f>
        <v>46342</v>
      </c>
      <c r="N31956">
        <f>IF(M31956="","",'Master Barang'!A50)</f>
        <v>0</v>
      </c>
      <c r="O31956">
        <f>IF(N31956="","",'Master Barang'!B50)</f>
        <v>0</v>
      </c>
      <c r="P31956">
        <f>IF(OR(M31956="",N31956=""),"",SUMIFS('Barang Keluar'!$E:$E,'Barang Keluar'!$A:$A,M31956,'Barang Keluar'!$C:$C,N31956))</f>
        <v>0</v>
      </c>
    </row>
    <row r="31957" spans="13:16">
      <c r="M31957" s="49">
        <f>IF($A$4+319&gt;$B$4,"",$A$4+319)</f>
        <v>46342</v>
      </c>
      <c r="N31957">
        <f>IF(M31957="","",'Master Barang'!A51)</f>
        <v>0</v>
      </c>
      <c r="O31957">
        <f>IF(N31957="","",'Master Barang'!B51)</f>
        <v>0</v>
      </c>
      <c r="P31957">
        <f>IF(OR(M31957="",N31957=""),"",SUMIFS('Barang Keluar'!$E:$E,'Barang Keluar'!$A:$A,M31957,'Barang Keluar'!$C:$C,N31957))</f>
        <v>0</v>
      </c>
    </row>
    <row r="31958" spans="13:16">
      <c r="M31958" s="49">
        <f>IF($A$4+319&gt;$B$4,"",$A$4+319)</f>
        <v>46342</v>
      </c>
      <c r="N31958">
        <f>IF(M31958="","",'Master Barang'!A52)</f>
        <v>0</v>
      </c>
      <c r="O31958">
        <f>IF(N31958="","",'Master Barang'!B52)</f>
        <v>0</v>
      </c>
      <c r="P31958">
        <f>IF(OR(M31958="",N31958=""),"",SUMIFS('Barang Keluar'!$E:$E,'Barang Keluar'!$A:$A,M31958,'Barang Keluar'!$C:$C,N31958))</f>
        <v>0</v>
      </c>
    </row>
    <row r="31959" spans="13:16">
      <c r="M31959" s="49">
        <f>IF($A$4+319&gt;$B$4,"",$A$4+319)</f>
        <v>46342</v>
      </c>
      <c r="N31959">
        <f>IF(M31959="","",'Master Barang'!A53)</f>
        <v>0</v>
      </c>
      <c r="O31959">
        <f>IF(N31959="","",'Master Barang'!B53)</f>
        <v>0</v>
      </c>
      <c r="P31959">
        <f>IF(OR(M31959="",N31959=""),"",SUMIFS('Barang Keluar'!$E:$E,'Barang Keluar'!$A:$A,M31959,'Barang Keluar'!$C:$C,N31959))</f>
        <v>0</v>
      </c>
    </row>
    <row r="31960" spans="13:16">
      <c r="M31960" s="49">
        <f>IF($A$4+319&gt;$B$4,"",$A$4+319)</f>
        <v>46342</v>
      </c>
      <c r="N31960">
        <f>IF(M31960="","",'Master Barang'!A54)</f>
        <v>0</v>
      </c>
      <c r="O31960">
        <f>IF(N31960="","",'Master Barang'!B54)</f>
        <v>0</v>
      </c>
      <c r="P31960">
        <f>IF(OR(M31960="",N31960=""),"",SUMIFS('Barang Keluar'!$E:$E,'Barang Keluar'!$A:$A,M31960,'Barang Keluar'!$C:$C,N31960))</f>
        <v>0</v>
      </c>
    </row>
    <row r="31961" spans="13:16">
      <c r="M31961" s="49">
        <f>IF($A$4+319&gt;$B$4,"",$A$4+319)</f>
        <v>46342</v>
      </c>
      <c r="N31961">
        <f>IF(M31961="","",'Master Barang'!A55)</f>
        <v>0</v>
      </c>
      <c r="O31961">
        <f>IF(N31961="","",'Master Barang'!B55)</f>
        <v>0</v>
      </c>
      <c r="P31961">
        <f>IF(OR(M31961="",N31961=""),"",SUMIFS('Barang Keluar'!$E:$E,'Barang Keluar'!$A:$A,M31961,'Barang Keluar'!$C:$C,N31961))</f>
        <v>0</v>
      </c>
    </row>
    <row r="31962" spans="13:16">
      <c r="M31962" s="49">
        <f>IF($A$4+319&gt;$B$4,"",$A$4+319)</f>
        <v>46342</v>
      </c>
      <c r="N31962">
        <f>IF(M31962="","",'Master Barang'!A56)</f>
        <v>0</v>
      </c>
      <c r="O31962">
        <f>IF(N31962="","",'Master Barang'!B56)</f>
        <v>0</v>
      </c>
      <c r="P31962">
        <f>IF(OR(M31962="",N31962=""),"",SUMIFS('Barang Keluar'!$E:$E,'Barang Keluar'!$A:$A,M31962,'Barang Keluar'!$C:$C,N31962))</f>
        <v>0</v>
      </c>
    </row>
    <row r="31963" spans="13:16">
      <c r="M31963" s="49">
        <f>IF($A$4+319&gt;$B$4,"",$A$4+319)</f>
        <v>46342</v>
      </c>
      <c r="N31963">
        <f>IF(M31963="","",'Master Barang'!A57)</f>
        <v>0</v>
      </c>
      <c r="O31963">
        <f>IF(N31963="","",'Master Barang'!B57)</f>
        <v>0</v>
      </c>
      <c r="P31963">
        <f>IF(OR(M31963="",N31963=""),"",SUMIFS('Barang Keluar'!$E:$E,'Barang Keluar'!$A:$A,M31963,'Barang Keluar'!$C:$C,N31963))</f>
        <v>0</v>
      </c>
    </row>
    <row r="31964" spans="13:16">
      <c r="M31964" s="49">
        <f>IF($A$4+319&gt;$B$4,"",$A$4+319)</f>
        <v>46342</v>
      </c>
      <c r="N31964">
        <f>IF(M31964="","",'Master Barang'!A58)</f>
        <v>0</v>
      </c>
      <c r="O31964">
        <f>IF(N31964="","",'Master Barang'!B58)</f>
        <v>0</v>
      </c>
      <c r="P31964">
        <f>IF(OR(M31964="",N31964=""),"",SUMIFS('Barang Keluar'!$E:$E,'Barang Keluar'!$A:$A,M31964,'Barang Keluar'!$C:$C,N31964))</f>
        <v>0</v>
      </c>
    </row>
    <row r="31965" spans="13:16">
      <c r="M31965" s="49">
        <f>IF($A$4+319&gt;$B$4,"",$A$4+319)</f>
        <v>46342</v>
      </c>
      <c r="N31965">
        <f>IF(M31965="","",'Master Barang'!A59)</f>
        <v>0</v>
      </c>
      <c r="O31965">
        <f>IF(N31965="","",'Master Barang'!B59)</f>
        <v>0</v>
      </c>
      <c r="P31965">
        <f>IF(OR(M31965="",N31965=""),"",SUMIFS('Barang Keluar'!$E:$E,'Barang Keluar'!$A:$A,M31965,'Barang Keluar'!$C:$C,N31965))</f>
        <v>0</v>
      </c>
    </row>
    <row r="31966" spans="13:16">
      <c r="M31966" s="49">
        <f>IF($A$4+319&gt;$B$4,"",$A$4+319)</f>
        <v>46342</v>
      </c>
      <c r="N31966">
        <f>IF(M31966="","",'Master Barang'!A60)</f>
        <v>0</v>
      </c>
      <c r="O31966">
        <f>IF(N31966="","",'Master Barang'!B60)</f>
        <v>0</v>
      </c>
      <c r="P31966">
        <f>IF(OR(M31966="",N31966=""),"",SUMIFS('Barang Keluar'!$E:$E,'Barang Keluar'!$A:$A,M31966,'Barang Keluar'!$C:$C,N31966))</f>
        <v>0</v>
      </c>
    </row>
    <row r="31967" spans="13:16">
      <c r="M31967" s="49">
        <f>IF($A$4+319&gt;$B$4,"",$A$4+319)</f>
        <v>46342</v>
      </c>
      <c r="N31967">
        <f>IF(M31967="","",'Master Barang'!A61)</f>
        <v>0</v>
      </c>
      <c r="O31967">
        <f>IF(N31967="","",'Master Barang'!B61)</f>
        <v>0</v>
      </c>
      <c r="P31967">
        <f>IF(OR(M31967="",N31967=""),"",SUMIFS('Barang Keluar'!$E:$E,'Barang Keluar'!$A:$A,M31967,'Barang Keluar'!$C:$C,N31967))</f>
        <v>0</v>
      </c>
    </row>
    <row r="31968" spans="13:16">
      <c r="M31968" s="49">
        <f>IF($A$4+319&gt;$B$4,"",$A$4+319)</f>
        <v>46342</v>
      </c>
      <c r="N31968">
        <f>IF(M31968="","",'Master Barang'!A62)</f>
        <v>0</v>
      </c>
      <c r="O31968">
        <f>IF(N31968="","",'Master Barang'!B62)</f>
        <v>0</v>
      </c>
      <c r="P31968">
        <f>IF(OR(M31968="",N31968=""),"",SUMIFS('Barang Keluar'!$E:$E,'Barang Keluar'!$A:$A,M31968,'Barang Keluar'!$C:$C,N31968))</f>
        <v>0</v>
      </c>
    </row>
    <row r="31969" spans="13:16">
      <c r="M31969" s="49">
        <f>IF($A$4+319&gt;$B$4,"",$A$4+319)</f>
        <v>46342</v>
      </c>
      <c r="N31969">
        <f>IF(M31969="","",'Master Barang'!A63)</f>
        <v>0</v>
      </c>
      <c r="O31969">
        <f>IF(N31969="","",'Master Barang'!B63)</f>
        <v>0</v>
      </c>
      <c r="P31969">
        <f>IF(OR(M31969="",N31969=""),"",SUMIFS('Barang Keluar'!$E:$E,'Barang Keluar'!$A:$A,M31969,'Barang Keluar'!$C:$C,N31969))</f>
        <v>0</v>
      </c>
    </row>
    <row r="31970" spans="13:16">
      <c r="M31970" s="49">
        <f>IF($A$4+319&gt;$B$4,"",$A$4+319)</f>
        <v>46342</v>
      </c>
      <c r="N31970">
        <f>IF(M31970="","",'Master Barang'!A64)</f>
        <v>0</v>
      </c>
      <c r="O31970">
        <f>IF(N31970="","",'Master Barang'!B64)</f>
        <v>0</v>
      </c>
      <c r="P31970">
        <f>IF(OR(M31970="",N31970=""),"",SUMIFS('Barang Keluar'!$E:$E,'Barang Keluar'!$A:$A,M31970,'Barang Keluar'!$C:$C,N31970))</f>
        <v>0</v>
      </c>
    </row>
    <row r="31971" spans="13:16">
      <c r="M31971" s="49">
        <f>IF($A$4+319&gt;$B$4,"",$A$4+319)</f>
        <v>46342</v>
      </c>
      <c r="N31971">
        <f>IF(M31971="","",'Master Barang'!A65)</f>
        <v>0</v>
      </c>
      <c r="O31971">
        <f>IF(N31971="","",'Master Barang'!B65)</f>
        <v>0</v>
      </c>
      <c r="P31971">
        <f>IF(OR(M31971="",N31971=""),"",SUMIFS('Barang Keluar'!$E:$E,'Barang Keluar'!$A:$A,M31971,'Barang Keluar'!$C:$C,N31971))</f>
        <v>0</v>
      </c>
    </row>
    <row r="31972" spans="13:16">
      <c r="M31972" s="49">
        <f>IF($A$4+319&gt;$B$4,"",$A$4+319)</f>
        <v>46342</v>
      </c>
      <c r="N31972">
        <f>IF(M31972="","",'Master Barang'!A66)</f>
        <v>0</v>
      </c>
      <c r="O31972">
        <f>IF(N31972="","",'Master Barang'!B66)</f>
        <v>0</v>
      </c>
      <c r="P31972">
        <f>IF(OR(M31972="",N31972=""),"",SUMIFS('Barang Keluar'!$E:$E,'Barang Keluar'!$A:$A,M31972,'Barang Keluar'!$C:$C,N31972))</f>
        <v>0</v>
      </c>
    </row>
    <row r="31973" spans="13:16">
      <c r="M31973" s="49">
        <f>IF($A$4+319&gt;$B$4,"",$A$4+319)</f>
        <v>46342</v>
      </c>
      <c r="N31973">
        <f>IF(M31973="","",'Master Barang'!A67)</f>
        <v>0</v>
      </c>
      <c r="O31973">
        <f>IF(N31973="","",'Master Barang'!B67)</f>
        <v>0</v>
      </c>
      <c r="P31973">
        <f>IF(OR(M31973="",N31973=""),"",SUMIFS('Barang Keluar'!$E:$E,'Barang Keluar'!$A:$A,M31973,'Barang Keluar'!$C:$C,N31973))</f>
        <v>0</v>
      </c>
    </row>
    <row r="31974" spans="13:16">
      <c r="M31974" s="49">
        <f>IF($A$4+319&gt;$B$4,"",$A$4+319)</f>
        <v>46342</v>
      </c>
      <c r="N31974">
        <f>IF(M31974="","",'Master Barang'!A68)</f>
        <v>0</v>
      </c>
      <c r="O31974">
        <f>IF(N31974="","",'Master Barang'!B68)</f>
        <v>0</v>
      </c>
      <c r="P31974">
        <f>IF(OR(M31974="",N31974=""),"",SUMIFS('Barang Keluar'!$E:$E,'Barang Keluar'!$A:$A,M31974,'Barang Keluar'!$C:$C,N31974))</f>
        <v>0</v>
      </c>
    </row>
    <row r="31975" spans="13:16">
      <c r="M31975" s="49">
        <f>IF($A$4+319&gt;$B$4,"",$A$4+319)</f>
        <v>46342</v>
      </c>
      <c r="N31975">
        <f>IF(M31975="","",'Master Barang'!A69)</f>
        <v>0</v>
      </c>
      <c r="O31975">
        <f>IF(N31975="","",'Master Barang'!B69)</f>
        <v>0</v>
      </c>
      <c r="P31975">
        <f>IF(OR(M31975="",N31975=""),"",SUMIFS('Barang Keluar'!$E:$E,'Barang Keluar'!$A:$A,M31975,'Barang Keluar'!$C:$C,N31975))</f>
        <v>0</v>
      </c>
    </row>
    <row r="31976" spans="13:16">
      <c r="M31976" s="49">
        <f>IF($A$4+319&gt;$B$4,"",$A$4+319)</f>
        <v>46342</v>
      </c>
      <c r="N31976">
        <f>IF(M31976="","",'Master Barang'!A70)</f>
        <v>0</v>
      </c>
      <c r="O31976">
        <f>IF(N31976="","",'Master Barang'!B70)</f>
        <v>0</v>
      </c>
      <c r="P31976">
        <f>IF(OR(M31976="",N31976=""),"",SUMIFS('Barang Keluar'!$E:$E,'Barang Keluar'!$A:$A,M31976,'Barang Keluar'!$C:$C,N31976))</f>
        <v>0</v>
      </c>
    </row>
    <row r="31977" spans="13:16">
      <c r="M31977" s="49">
        <f>IF($A$4+319&gt;$B$4,"",$A$4+319)</f>
        <v>46342</v>
      </c>
      <c r="N31977">
        <f>IF(M31977="","",'Master Barang'!A71)</f>
        <v>0</v>
      </c>
      <c r="O31977">
        <f>IF(N31977="","",'Master Barang'!B71)</f>
        <v>0</v>
      </c>
      <c r="P31977">
        <f>IF(OR(M31977="",N31977=""),"",SUMIFS('Barang Keluar'!$E:$E,'Barang Keluar'!$A:$A,M31977,'Barang Keluar'!$C:$C,N31977))</f>
        <v>0</v>
      </c>
    </row>
    <row r="31978" spans="13:16">
      <c r="M31978" s="49">
        <f>IF($A$4+319&gt;$B$4,"",$A$4+319)</f>
        <v>46342</v>
      </c>
      <c r="N31978">
        <f>IF(M31978="","",'Master Barang'!A72)</f>
        <v>0</v>
      </c>
      <c r="O31978">
        <f>IF(N31978="","",'Master Barang'!B72)</f>
        <v>0</v>
      </c>
      <c r="P31978">
        <f>IF(OR(M31978="",N31978=""),"",SUMIFS('Barang Keluar'!$E:$E,'Barang Keluar'!$A:$A,M31978,'Barang Keluar'!$C:$C,N31978))</f>
        <v>0</v>
      </c>
    </row>
    <row r="31979" spans="13:16">
      <c r="M31979" s="49">
        <f>IF($A$4+319&gt;$B$4,"",$A$4+319)</f>
        <v>46342</v>
      </c>
      <c r="N31979">
        <f>IF(M31979="","",'Master Barang'!A73)</f>
        <v>0</v>
      </c>
      <c r="O31979">
        <f>IF(N31979="","",'Master Barang'!B73)</f>
        <v>0</v>
      </c>
      <c r="P31979">
        <f>IF(OR(M31979="",N31979=""),"",SUMIFS('Barang Keluar'!$E:$E,'Barang Keluar'!$A:$A,M31979,'Barang Keluar'!$C:$C,N31979))</f>
        <v>0</v>
      </c>
    </row>
    <row r="31980" spans="13:16">
      <c r="M31980" s="49">
        <f>IF($A$4+319&gt;$B$4,"",$A$4+319)</f>
        <v>46342</v>
      </c>
      <c r="N31980">
        <f>IF(M31980="","",'Master Barang'!A74)</f>
        <v>0</v>
      </c>
      <c r="O31980">
        <f>IF(N31980="","",'Master Barang'!B74)</f>
        <v>0</v>
      </c>
      <c r="P31980">
        <f>IF(OR(M31980="",N31980=""),"",SUMIFS('Barang Keluar'!$E:$E,'Barang Keluar'!$A:$A,M31980,'Barang Keluar'!$C:$C,N31980))</f>
        <v>0</v>
      </c>
    </row>
    <row r="31981" spans="13:16">
      <c r="M31981" s="49">
        <f>IF($A$4+319&gt;$B$4,"",$A$4+319)</f>
        <v>46342</v>
      </c>
      <c r="N31981">
        <f>IF(M31981="","",'Master Barang'!A75)</f>
        <v>0</v>
      </c>
      <c r="O31981">
        <f>IF(N31981="","",'Master Barang'!B75)</f>
        <v>0</v>
      </c>
      <c r="P31981">
        <f>IF(OR(M31981="",N31981=""),"",SUMIFS('Barang Keluar'!$E:$E,'Barang Keluar'!$A:$A,M31981,'Barang Keluar'!$C:$C,N31981))</f>
        <v>0</v>
      </c>
    </row>
    <row r="31982" spans="13:16">
      <c r="M31982" s="49">
        <f>IF($A$4+319&gt;$B$4,"",$A$4+319)</f>
        <v>46342</v>
      </c>
      <c r="N31982">
        <f>IF(M31982="","",'Master Barang'!A76)</f>
        <v>0</v>
      </c>
      <c r="O31982">
        <f>IF(N31982="","",'Master Barang'!B76)</f>
        <v>0</v>
      </c>
      <c r="P31982">
        <f>IF(OR(M31982="",N31982=""),"",SUMIFS('Barang Keluar'!$E:$E,'Barang Keluar'!$A:$A,M31982,'Barang Keluar'!$C:$C,N31982))</f>
        <v>0</v>
      </c>
    </row>
    <row r="31983" spans="13:16">
      <c r="M31983" s="49">
        <f>IF($A$4+319&gt;$B$4,"",$A$4+319)</f>
        <v>46342</v>
      </c>
      <c r="N31983">
        <f>IF(M31983="","",'Master Barang'!A77)</f>
        <v>0</v>
      </c>
      <c r="O31983">
        <f>IF(N31983="","",'Master Barang'!B77)</f>
        <v>0</v>
      </c>
      <c r="P31983">
        <f>IF(OR(M31983="",N31983=""),"",SUMIFS('Barang Keluar'!$E:$E,'Barang Keluar'!$A:$A,M31983,'Barang Keluar'!$C:$C,N31983))</f>
        <v>0</v>
      </c>
    </row>
    <row r="31984" spans="13:16">
      <c r="M31984" s="49">
        <f>IF($A$4+319&gt;$B$4,"",$A$4+319)</f>
        <v>46342</v>
      </c>
      <c r="N31984">
        <f>IF(M31984="","",'Master Barang'!A78)</f>
        <v>0</v>
      </c>
      <c r="O31984">
        <f>IF(N31984="","",'Master Barang'!B78)</f>
        <v>0</v>
      </c>
      <c r="P31984">
        <f>IF(OR(M31984="",N31984=""),"",SUMIFS('Barang Keluar'!$E:$E,'Barang Keluar'!$A:$A,M31984,'Barang Keluar'!$C:$C,N31984))</f>
        <v>0</v>
      </c>
    </row>
    <row r="31985" spans="13:16">
      <c r="M31985" s="49">
        <f>IF($A$4+319&gt;$B$4,"",$A$4+319)</f>
        <v>46342</v>
      </c>
      <c r="N31985">
        <f>IF(M31985="","",'Master Barang'!A79)</f>
        <v>0</v>
      </c>
      <c r="O31985">
        <f>IF(N31985="","",'Master Barang'!B79)</f>
        <v>0</v>
      </c>
      <c r="P31985">
        <f>IF(OR(M31985="",N31985=""),"",SUMIFS('Barang Keluar'!$E:$E,'Barang Keluar'!$A:$A,M31985,'Barang Keluar'!$C:$C,N31985))</f>
        <v>0</v>
      </c>
    </row>
    <row r="31986" spans="13:16">
      <c r="M31986" s="49">
        <f>IF($A$4+319&gt;$B$4,"",$A$4+319)</f>
        <v>46342</v>
      </c>
      <c r="N31986">
        <f>IF(M31986="","",'Master Barang'!A80)</f>
        <v>0</v>
      </c>
      <c r="O31986">
        <f>IF(N31986="","",'Master Barang'!B80)</f>
        <v>0</v>
      </c>
      <c r="P31986">
        <f>IF(OR(M31986="",N31986=""),"",SUMIFS('Barang Keluar'!$E:$E,'Barang Keluar'!$A:$A,M31986,'Barang Keluar'!$C:$C,N31986))</f>
        <v>0</v>
      </c>
    </row>
    <row r="31987" spans="13:16">
      <c r="M31987" s="49">
        <f>IF($A$4+319&gt;$B$4,"",$A$4+319)</f>
        <v>46342</v>
      </c>
      <c r="N31987">
        <f>IF(M31987="","",'Master Barang'!A81)</f>
        <v>0</v>
      </c>
      <c r="O31987">
        <f>IF(N31987="","",'Master Barang'!B81)</f>
        <v>0</v>
      </c>
      <c r="P31987">
        <f>IF(OR(M31987="",N31987=""),"",SUMIFS('Barang Keluar'!$E:$E,'Barang Keluar'!$A:$A,M31987,'Barang Keluar'!$C:$C,N31987))</f>
        <v>0</v>
      </c>
    </row>
    <row r="31988" spans="13:16">
      <c r="M31988" s="49">
        <f>IF($A$4+319&gt;$B$4,"",$A$4+319)</f>
        <v>46342</v>
      </c>
      <c r="N31988">
        <f>IF(M31988="","",'Master Barang'!A82)</f>
        <v>0</v>
      </c>
      <c r="O31988">
        <f>IF(N31988="","",'Master Barang'!B82)</f>
        <v>0</v>
      </c>
      <c r="P31988">
        <f>IF(OR(M31988="",N31988=""),"",SUMIFS('Barang Keluar'!$E:$E,'Barang Keluar'!$A:$A,M31988,'Barang Keluar'!$C:$C,N31988))</f>
        <v>0</v>
      </c>
    </row>
    <row r="31989" spans="13:16">
      <c r="M31989" s="49">
        <f>IF($A$4+319&gt;$B$4,"",$A$4+319)</f>
        <v>46342</v>
      </c>
      <c r="N31989">
        <f>IF(M31989="","",'Master Barang'!A83)</f>
        <v>0</v>
      </c>
      <c r="O31989">
        <f>IF(N31989="","",'Master Barang'!B83)</f>
        <v>0</v>
      </c>
      <c r="P31989">
        <f>IF(OR(M31989="",N31989=""),"",SUMIFS('Barang Keluar'!$E:$E,'Barang Keluar'!$A:$A,M31989,'Barang Keluar'!$C:$C,N31989))</f>
        <v>0</v>
      </c>
    </row>
    <row r="31990" spans="13:16">
      <c r="M31990" s="49">
        <f>IF($A$4+319&gt;$B$4,"",$A$4+319)</f>
        <v>46342</v>
      </c>
      <c r="N31990">
        <f>IF(M31990="","",'Master Barang'!A84)</f>
        <v>0</v>
      </c>
      <c r="O31990">
        <f>IF(N31990="","",'Master Barang'!B84)</f>
        <v>0</v>
      </c>
      <c r="P31990">
        <f>IF(OR(M31990="",N31990=""),"",SUMIFS('Barang Keluar'!$E:$E,'Barang Keluar'!$A:$A,M31990,'Barang Keluar'!$C:$C,N31990))</f>
        <v>0</v>
      </c>
    </row>
    <row r="31991" spans="13:16">
      <c r="M31991" s="49">
        <f>IF($A$4+319&gt;$B$4,"",$A$4+319)</f>
        <v>46342</v>
      </c>
      <c r="N31991">
        <f>IF(M31991="","",'Master Barang'!A85)</f>
        <v>0</v>
      </c>
      <c r="O31991">
        <f>IF(N31991="","",'Master Barang'!B85)</f>
        <v>0</v>
      </c>
      <c r="P31991">
        <f>IF(OR(M31991="",N31991=""),"",SUMIFS('Barang Keluar'!$E:$E,'Barang Keluar'!$A:$A,M31991,'Barang Keluar'!$C:$C,N31991))</f>
        <v>0</v>
      </c>
    </row>
    <row r="31992" spans="13:16">
      <c r="M31992" s="49">
        <f>IF($A$4+319&gt;$B$4,"",$A$4+319)</f>
        <v>46342</v>
      </c>
      <c r="N31992">
        <f>IF(M31992="","",'Master Barang'!A86)</f>
        <v>0</v>
      </c>
      <c r="O31992">
        <f>IF(N31992="","",'Master Barang'!B86)</f>
        <v>0</v>
      </c>
      <c r="P31992">
        <f>IF(OR(M31992="",N31992=""),"",SUMIFS('Barang Keluar'!$E:$E,'Barang Keluar'!$A:$A,M31992,'Barang Keluar'!$C:$C,N31992))</f>
        <v>0</v>
      </c>
    </row>
    <row r="31993" spans="13:16">
      <c r="M31993" s="49">
        <f>IF($A$4+319&gt;$B$4,"",$A$4+319)</f>
        <v>46342</v>
      </c>
      <c r="N31993">
        <f>IF(M31993="","",'Master Barang'!A87)</f>
        <v>0</v>
      </c>
      <c r="O31993">
        <f>IF(N31993="","",'Master Barang'!B87)</f>
        <v>0</v>
      </c>
      <c r="P31993">
        <f>IF(OR(M31993="",N31993=""),"",SUMIFS('Barang Keluar'!$E:$E,'Barang Keluar'!$A:$A,M31993,'Barang Keluar'!$C:$C,N31993))</f>
        <v>0</v>
      </c>
    </row>
    <row r="31994" spans="13:16">
      <c r="M31994" s="49">
        <f>IF($A$4+319&gt;$B$4,"",$A$4+319)</f>
        <v>46342</v>
      </c>
      <c r="N31994">
        <f>IF(M31994="","",'Master Barang'!A88)</f>
        <v>0</v>
      </c>
      <c r="O31994">
        <f>IF(N31994="","",'Master Barang'!B88)</f>
        <v>0</v>
      </c>
      <c r="P31994">
        <f>IF(OR(M31994="",N31994=""),"",SUMIFS('Barang Keluar'!$E:$E,'Barang Keluar'!$A:$A,M31994,'Barang Keluar'!$C:$C,N31994))</f>
        <v>0</v>
      </c>
    </row>
    <row r="31995" spans="13:16">
      <c r="M31995" s="49">
        <f>IF($A$4+319&gt;$B$4,"",$A$4+319)</f>
        <v>46342</v>
      </c>
      <c r="N31995">
        <f>IF(M31995="","",'Master Barang'!A89)</f>
        <v>0</v>
      </c>
      <c r="O31995">
        <f>IF(N31995="","",'Master Barang'!B89)</f>
        <v>0</v>
      </c>
      <c r="P31995">
        <f>IF(OR(M31995="",N31995=""),"",SUMIFS('Barang Keluar'!$E:$E,'Barang Keluar'!$A:$A,M31995,'Barang Keluar'!$C:$C,N31995))</f>
        <v>0</v>
      </c>
    </row>
    <row r="31996" spans="13:16">
      <c r="M31996" s="49">
        <f>IF($A$4+319&gt;$B$4,"",$A$4+319)</f>
        <v>46342</v>
      </c>
      <c r="N31996">
        <f>IF(M31996="","",'Master Barang'!A90)</f>
        <v>0</v>
      </c>
      <c r="O31996">
        <f>IF(N31996="","",'Master Barang'!B90)</f>
        <v>0</v>
      </c>
      <c r="P31996">
        <f>IF(OR(M31996="",N31996=""),"",SUMIFS('Barang Keluar'!$E:$E,'Barang Keluar'!$A:$A,M31996,'Barang Keluar'!$C:$C,N31996))</f>
        <v>0</v>
      </c>
    </row>
    <row r="31997" spans="13:16">
      <c r="M31997" s="49">
        <f>IF($A$4+319&gt;$B$4,"",$A$4+319)</f>
        <v>46342</v>
      </c>
      <c r="N31997">
        <f>IF(M31997="","",'Master Barang'!A91)</f>
        <v>0</v>
      </c>
      <c r="O31997">
        <f>IF(N31997="","",'Master Barang'!B91)</f>
        <v>0</v>
      </c>
      <c r="P31997">
        <f>IF(OR(M31997="",N31997=""),"",SUMIFS('Barang Keluar'!$E:$E,'Barang Keluar'!$A:$A,M31997,'Barang Keluar'!$C:$C,N31997))</f>
        <v>0</v>
      </c>
    </row>
    <row r="31998" spans="13:16">
      <c r="M31998" s="49">
        <f>IF($A$4+319&gt;$B$4,"",$A$4+319)</f>
        <v>46342</v>
      </c>
      <c r="N31998">
        <f>IF(M31998="","",'Master Barang'!A92)</f>
        <v>0</v>
      </c>
      <c r="O31998">
        <f>IF(N31998="","",'Master Barang'!B92)</f>
        <v>0</v>
      </c>
      <c r="P31998">
        <f>IF(OR(M31998="",N31998=""),"",SUMIFS('Barang Keluar'!$E:$E,'Barang Keluar'!$A:$A,M31998,'Barang Keluar'!$C:$C,N31998))</f>
        <v>0</v>
      </c>
    </row>
    <row r="31999" spans="13:16">
      <c r="M31999" s="49">
        <f>IF($A$4+319&gt;$B$4,"",$A$4+319)</f>
        <v>46342</v>
      </c>
      <c r="N31999">
        <f>IF(M31999="","",'Master Barang'!A93)</f>
        <v>0</v>
      </c>
      <c r="O31999">
        <f>IF(N31999="","",'Master Barang'!B93)</f>
        <v>0</v>
      </c>
      <c r="P31999">
        <f>IF(OR(M31999="",N31999=""),"",SUMIFS('Barang Keluar'!$E:$E,'Barang Keluar'!$A:$A,M31999,'Barang Keluar'!$C:$C,N31999))</f>
        <v>0</v>
      </c>
    </row>
    <row r="32000" spans="13:16">
      <c r="M32000" s="49">
        <f>IF($A$4+319&gt;$B$4,"",$A$4+319)</f>
        <v>46342</v>
      </c>
      <c r="N32000">
        <f>IF(M32000="","",'Master Barang'!A94)</f>
        <v>0</v>
      </c>
      <c r="O32000">
        <f>IF(N32000="","",'Master Barang'!B94)</f>
        <v>0</v>
      </c>
      <c r="P32000">
        <f>IF(OR(M32000="",N32000=""),"",SUMIFS('Barang Keluar'!$E:$E,'Barang Keluar'!$A:$A,M32000,'Barang Keluar'!$C:$C,N32000))</f>
        <v>0</v>
      </c>
    </row>
    <row r="32001" spans="13:16">
      <c r="M32001" s="49">
        <f>IF($A$4+319&gt;$B$4,"",$A$4+319)</f>
        <v>46342</v>
      </c>
      <c r="N32001">
        <f>IF(M32001="","",'Master Barang'!A95)</f>
        <v>0</v>
      </c>
      <c r="O32001">
        <f>IF(N32001="","",'Master Barang'!B95)</f>
        <v>0</v>
      </c>
      <c r="P32001">
        <f>IF(OR(M32001="",N32001=""),"",SUMIFS('Barang Keluar'!$E:$E,'Barang Keluar'!$A:$A,M32001,'Barang Keluar'!$C:$C,N32001))</f>
        <v>0</v>
      </c>
    </row>
    <row r="32002" spans="13:16">
      <c r="M32002" s="49">
        <f>IF($A$4+319&gt;$B$4,"",$A$4+319)</f>
        <v>46342</v>
      </c>
      <c r="N32002">
        <f>IF(M32002="","",'Master Barang'!A96)</f>
        <v>0</v>
      </c>
      <c r="O32002">
        <f>IF(N32002="","",'Master Barang'!B96)</f>
        <v>0</v>
      </c>
      <c r="P32002">
        <f>IF(OR(M32002="",N32002=""),"",SUMIFS('Barang Keluar'!$E:$E,'Barang Keluar'!$A:$A,M32002,'Barang Keluar'!$C:$C,N32002))</f>
        <v>0</v>
      </c>
    </row>
    <row r="32003" spans="13:16">
      <c r="M32003" s="49">
        <f>IF($A$4+319&gt;$B$4,"",$A$4+319)</f>
        <v>46342</v>
      </c>
      <c r="N32003">
        <f>IF(M32003="","",'Master Barang'!A97)</f>
        <v>0</v>
      </c>
      <c r="O32003">
        <f>IF(N32003="","",'Master Barang'!B97)</f>
        <v>0</v>
      </c>
      <c r="P32003">
        <f>IF(OR(M32003="",N32003=""),"",SUMIFS('Barang Keluar'!$E:$E,'Barang Keluar'!$A:$A,M32003,'Barang Keluar'!$C:$C,N32003))</f>
        <v>0</v>
      </c>
    </row>
    <row r="32004" spans="13:16">
      <c r="M32004" s="49">
        <f>IF($A$4+319&gt;$B$4,"",$A$4+319)</f>
        <v>46342</v>
      </c>
      <c r="N32004">
        <f>IF(M32004="","",'Master Barang'!A98)</f>
        <v>0</v>
      </c>
      <c r="O32004">
        <f>IF(N32004="","",'Master Barang'!B98)</f>
        <v>0</v>
      </c>
      <c r="P32004">
        <f>IF(OR(M32004="",N32004=""),"",SUMIFS('Barang Keluar'!$E:$E,'Barang Keluar'!$A:$A,M32004,'Barang Keluar'!$C:$C,N32004))</f>
        <v>0</v>
      </c>
    </row>
    <row r="32005" spans="13:16">
      <c r="M32005" s="49">
        <f>IF($A$4+319&gt;$B$4,"",$A$4+319)</f>
        <v>46342</v>
      </c>
      <c r="N32005">
        <f>IF(M32005="","",'Master Barang'!A99)</f>
        <v>0</v>
      </c>
      <c r="O32005">
        <f>IF(N32005="","",'Master Barang'!B99)</f>
        <v>0</v>
      </c>
      <c r="P32005">
        <f>IF(OR(M32005="",N32005=""),"",SUMIFS('Barang Keluar'!$E:$E,'Barang Keluar'!$A:$A,M32005,'Barang Keluar'!$C:$C,N32005))</f>
        <v>0</v>
      </c>
    </row>
    <row r="32006" spans="13:16">
      <c r="M32006" s="49">
        <f>IF($A$4+319&gt;$B$4,"",$A$4+319)</f>
        <v>46342</v>
      </c>
      <c r="N32006">
        <f>IF(M32006="","",'Master Barang'!A100)</f>
        <v>0</v>
      </c>
      <c r="O32006">
        <f>IF(N32006="","",'Master Barang'!B100)</f>
        <v>0</v>
      </c>
      <c r="P32006">
        <f>IF(OR(M32006="",N32006=""),"",SUMIFS('Barang Keluar'!$E:$E,'Barang Keluar'!$A:$A,M32006,'Barang Keluar'!$C:$C,N32006))</f>
        <v>0</v>
      </c>
    </row>
    <row r="32007" spans="13:16">
      <c r="M32007" s="49">
        <f>IF($A$4+319&gt;$B$4,"",$A$4+319)</f>
        <v>46342</v>
      </c>
      <c r="N32007">
        <f>IF(M32007="","",'Master Barang'!A101)</f>
        <v>0</v>
      </c>
      <c r="O32007">
        <f>IF(N32007="","",'Master Barang'!B101)</f>
        <v>0</v>
      </c>
      <c r="P32007">
        <f>IF(OR(M32007="",N32007=""),"",SUMIFS('Barang Keluar'!$E:$E,'Barang Keluar'!$A:$A,M32007,'Barang Keluar'!$C:$C,N32007))</f>
        <v>0</v>
      </c>
    </row>
    <row r="32008" spans="13:16">
      <c r="M32008" s="49">
        <f>IF($A$4+320&gt;$B$4,"",$A$4+320)</f>
        <v>46343</v>
      </c>
      <c r="N32008" t="str">
        <f>IF(M32008="","",'Master Barang'!A2)</f>
        <v>PRL-001</v>
      </c>
      <c r="O32008" t="str">
        <f>IF(N32008="","",'Master Barang'!B2)</f>
        <v>natura desinfectant food grade 5l</v>
      </c>
      <c r="P32008">
        <f>IF(OR(M32008="",N32008=""),"",SUMIFS('Barang Keluar'!$E:$E,'Barang Keluar'!$A:$A,M32008,'Barang Keluar'!$C:$C,N32008))</f>
        <v>0</v>
      </c>
    </row>
    <row r="32009" spans="13:16">
      <c r="M32009" s="49">
        <f>IF($A$4+320&gt;$B$4,"",$A$4+320)</f>
        <v>46343</v>
      </c>
      <c r="N32009" t="str">
        <f>IF(M32009="","",'Master Barang'!A3)</f>
        <v>PRL-002</v>
      </c>
      <c r="O32009" t="str">
        <f>IF(N32009="","",'Master Barang'!B3)</f>
        <v>sunlight cairan pencuci piring 5l</v>
      </c>
      <c r="P32009">
        <f>IF(OR(M32009="",N32009=""),"",SUMIFS('Barang Keluar'!$E:$E,'Barang Keluar'!$A:$A,M32009,'Barang Keluar'!$C:$C,N32009))</f>
        <v>0</v>
      </c>
    </row>
    <row r="32010" spans="13:16">
      <c r="M32010" s="49">
        <f>IF($A$4+320&gt;$B$4,"",$A$4+320)</f>
        <v>46343</v>
      </c>
      <c r="N32010" t="str">
        <f>IF(M32010="","",'Master Barang'!A4)</f>
        <v>PRL-003</v>
      </c>
      <c r="O32010" t="str">
        <f>IF(N32010="","",'Master Barang'!B4)</f>
        <v>oixs cleaner 1l</v>
      </c>
      <c r="P32010">
        <f>IF(OR(M32010="",N32010=""),"",SUMIFS('Barang Keluar'!$E:$E,'Barang Keluar'!$A:$A,M32010,'Barang Keluar'!$C:$C,N32010))</f>
        <v>0</v>
      </c>
    </row>
    <row r="32011" spans="13:16">
      <c r="M32011" s="49">
        <f>IF($A$4+320&gt;$B$4,"",$A$4+320)</f>
        <v>46343</v>
      </c>
      <c r="N32011" t="str">
        <f>IF(M32011="","",'Master Barang'!A5)</f>
        <v>PRL-004</v>
      </c>
      <c r="O32011" t="str">
        <f>IF(N32011="","",'Master Barang'!B5)</f>
        <v>be clean tissue serbaguna</v>
      </c>
      <c r="P32011">
        <f>IF(OR(M32011="",N32011=""),"",SUMIFS('Barang Keluar'!$E:$E,'Barang Keluar'!$A:$A,M32011,'Barang Keluar'!$C:$C,N32011))</f>
        <v>0</v>
      </c>
    </row>
    <row r="32012" spans="13:16">
      <c r="M32012" s="49">
        <f>IF($A$4+320&gt;$B$4,"",$A$4+320)</f>
        <v>46343</v>
      </c>
      <c r="N32012" t="str">
        <f>IF(M32012="","",'Master Barang'!A6)</f>
        <v>PRL-005</v>
      </c>
      <c r="O32012" t="str">
        <f>IF(N32012="","",'Master Barang'!B6)</f>
        <v>spons cuci hijau</v>
      </c>
      <c r="P32012">
        <f>IF(OR(M32012="",N32012=""),"",SUMIFS('Barang Keluar'!$E:$E,'Barang Keluar'!$A:$A,M32012,'Barang Keluar'!$C:$C,N32012))</f>
        <v>0</v>
      </c>
    </row>
    <row r="32013" spans="13:16">
      <c r="M32013" s="49">
        <f>IF($A$4+320&gt;$B$4,"",$A$4+320)</f>
        <v>46343</v>
      </c>
      <c r="N32013" t="str">
        <f>IF(M32013="","",'Master Barang'!A7)</f>
        <v>PRL-006</v>
      </c>
      <c r="O32013" t="str">
        <f>IF(N32013="","",'Master Barang'!B7)</f>
        <v>sabut cuci stainless</v>
      </c>
      <c r="P32013">
        <f>IF(OR(M32013="",N32013=""),"",SUMIFS('Barang Keluar'!$E:$E,'Barang Keluar'!$A:$A,M32013,'Barang Keluar'!$C:$C,N32013))</f>
        <v>0</v>
      </c>
    </row>
    <row r="32014" spans="13:16">
      <c r="M32014" s="49">
        <f>IF($A$4+320&gt;$B$4,"",$A$4+320)</f>
        <v>46343</v>
      </c>
      <c r="N32014" t="str">
        <f>IF(M32014="","",'Master Barang'!A8)</f>
        <v>PRL-007</v>
      </c>
      <c r="O32014" t="str">
        <f>IF(N32014="","",'Master Barang'!B8)</f>
        <v>plastik kresek besar merah 50pc</v>
      </c>
      <c r="P32014">
        <f>IF(OR(M32014="",N32014=""),"",SUMIFS('Barang Keluar'!$E:$E,'Barang Keluar'!$A:$A,M32014,'Barang Keluar'!$C:$C,N32014))</f>
        <v>0</v>
      </c>
    </row>
    <row r="32015" spans="13:16">
      <c r="M32015" s="49">
        <f>IF($A$4+320&gt;$B$4,"",$A$4+320)</f>
        <v>46343</v>
      </c>
      <c r="N32015" t="str">
        <f>IF(M32015="","",'Master Barang'!A9)</f>
        <v>PRL-008</v>
      </c>
      <c r="O32015" t="str">
        <f>IF(N32015="","",'Master Barang'!B9)</f>
        <v>lap besar</v>
      </c>
      <c r="P32015">
        <f>IF(OR(M32015="",N32015=""),"",SUMIFS('Barang Keluar'!$E:$E,'Barang Keluar'!$A:$A,M32015,'Barang Keluar'!$C:$C,N32015))</f>
        <v>0</v>
      </c>
    </row>
    <row r="32016" spans="13:16">
      <c r="M32016" s="49">
        <f>IF($A$4+320&gt;$B$4,"",$A$4+320)</f>
        <v>46343</v>
      </c>
      <c r="N32016" t="str">
        <f>IF(M32016="","",'Master Barang'!A10)</f>
        <v>PRL-009</v>
      </c>
      <c r="O32016" t="str">
        <f>IF(N32016="","",'Master Barang'!B10)</f>
        <v>lap microfiber</v>
      </c>
      <c r="P32016">
        <f>IF(OR(M32016="",N32016=""),"",SUMIFS('Barang Keluar'!$E:$E,'Barang Keluar'!$A:$A,M32016,'Barang Keluar'!$C:$C,N32016))</f>
        <v>0</v>
      </c>
    </row>
    <row r="32017" spans="13:16">
      <c r="M32017" s="49">
        <f>IF($A$4+320&gt;$B$4,"",$A$4+320)</f>
        <v>46343</v>
      </c>
      <c r="N32017" t="str">
        <f>IF(M32017="","",'Master Barang'!A11)</f>
        <v>PRL-010</v>
      </c>
      <c r="O32017" t="str">
        <f>IF(N32017="","",'Master Barang'!B11)</f>
        <v>lap kecil</v>
      </c>
      <c r="P32017">
        <f>IF(OR(M32017="",N32017=""),"",SUMIFS('Barang Keluar'!$E:$E,'Barang Keluar'!$A:$A,M32017,'Barang Keluar'!$C:$C,N32017))</f>
        <v>0</v>
      </c>
    </row>
    <row r="32018" spans="13:16">
      <c r="M32018" s="49">
        <f>IF($A$4+320&gt;$B$4,"",$A$4+320)</f>
        <v>46343</v>
      </c>
      <c r="N32018" t="str">
        <f>IF(M32018="","",'Master Barang'!A12)</f>
        <v>PRL-011</v>
      </c>
      <c r="O32018" t="str">
        <f>IF(N32018="","",'Master Barang'!B12)</f>
        <v>kanebo kecil</v>
      </c>
      <c r="P32018">
        <f>IF(OR(M32018="",N32018=""),"",SUMIFS('Barang Keluar'!$E:$E,'Barang Keluar'!$A:$A,M32018,'Barang Keluar'!$C:$C,N32018))</f>
        <v>0</v>
      </c>
    </row>
    <row r="32019" spans="13:16">
      <c r="M32019" s="49">
        <f>IF($A$4+320&gt;$B$4,"",$A$4+320)</f>
        <v>46343</v>
      </c>
      <c r="N32019" t="str">
        <f>IF(M32019="","",'Master Barang'!A13)</f>
        <v>PRL-012</v>
      </c>
      <c r="O32019" t="str">
        <f>IF(N32019="","",'Master Barang'!B13)</f>
        <v>plastik 1/4kg joyoboyo 100 lembar</v>
      </c>
      <c r="P32019">
        <f>IF(OR(M32019="",N32019=""),"",SUMIFS('Barang Keluar'!$E:$E,'Barang Keluar'!$A:$A,M32019,'Barang Keluar'!$C:$C,N32019))</f>
        <v>0</v>
      </c>
    </row>
    <row r="32020" spans="13:16">
      <c r="M32020" s="49">
        <f>IF($A$4+320&gt;$B$4,"",$A$4+320)</f>
        <v>46343</v>
      </c>
      <c r="N32020" t="str">
        <f>IF(M32020="","",'Master Barang'!A14)</f>
        <v>PRL-013</v>
      </c>
      <c r="O32020" t="str">
        <f>IF(N32020="","",'Master Barang'!B14)</f>
        <v>sarung tangan plastik kaka 100 pcs</v>
      </c>
      <c r="P32020">
        <f>IF(OR(M32020="",N32020=""),"",SUMIFS('Barang Keluar'!$E:$E,'Barang Keluar'!$A:$A,M32020,'Barang Keluar'!$C:$C,N32020))</f>
        <v>0</v>
      </c>
    </row>
    <row r="32021" spans="13:16">
      <c r="M32021" s="49">
        <f>IF($A$4+320&gt;$B$4,"",$A$4+320)</f>
        <v>46343</v>
      </c>
      <c r="N32021" t="str">
        <f>IF(M32021="","",'Master Barang'!A15)</f>
        <v>PRL-014</v>
      </c>
      <c r="O32021" t="str">
        <f>IF(N32021="","",'Master Barang'!B15)</f>
        <v>optima trashbag 80x100</v>
      </c>
      <c r="P32021">
        <f>IF(OR(M32021="",N32021=""),"",SUMIFS('Barang Keluar'!$E:$E,'Barang Keluar'!$A:$A,M32021,'Barang Keluar'!$C:$C,N32021))</f>
        <v>0</v>
      </c>
    </row>
    <row r="32022" spans="13:16">
      <c r="M32022" s="49">
        <f>IF($A$4+320&gt;$B$4,"",$A$4+320)</f>
        <v>46343</v>
      </c>
      <c r="N32022" t="str">
        <f>IF(M32022="","",'Master Barang'!A16)</f>
        <v>PRL-015</v>
      </c>
      <c r="O32022" t="str">
        <f>IF(N32022="","",'Master Barang'!B16)</f>
        <v>optima trashbag 60x100</v>
      </c>
      <c r="P32022">
        <f>IF(OR(M32022="",N32022=""),"",SUMIFS('Barang Keluar'!$E:$E,'Barang Keluar'!$A:$A,M32022,'Barang Keluar'!$C:$C,N32022))</f>
        <v>0</v>
      </c>
    </row>
    <row r="32023" spans="13:16">
      <c r="M32023" s="49">
        <f>IF($A$4+320&gt;$B$4,"",$A$4+320)</f>
        <v>46343</v>
      </c>
      <c r="N32023" t="str">
        <f>IF(M32023="","",'Master Barang'!A17)</f>
        <v>PRL-016</v>
      </c>
      <c r="O32023" t="str">
        <f>IF(N32023="","",'Master Barang'!B17)</f>
        <v>rajawali trashbag 30x40</v>
      </c>
      <c r="P32023">
        <f>IF(OR(M32023="",N32023=""),"",SUMIFS('Barang Keluar'!$E:$E,'Barang Keluar'!$A:$A,M32023,'Barang Keluar'!$C:$C,N32023))</f>
        <v>0</v>
      </c>
    </row>
    <row r="32024" spans="13:16">
      <c r="M32024" s="49">
        <f>IF($A$4+320&gt;$B$4,"",$A$4+320)</f>
        <v>46343</v>
      </c>
      <c r="N32024" t="str">
        <f>IF(M32024="","",'Master Barang'!A18)</f>
        <v>PRL-017</v>
      </c>
      <c r="O32024" t="str">
        <f>IF(N32024="","",'Master Barang'!B18)</f>
        <v>onemed masker biru 3 play 50 pcs</v>
      </c>
      <c r="P32024">
        <f>IF(OR(M32024="",N32024=""),"",SUMIFS('Barang Keluar'!$E:$E,'Barang Keluar'!$A:$A,M32024,'Barang Keluar'!$C:$C,N32024))</f>
        <v>0</v>
      </c>
    </row>
    <row r="32025" spans="13:16">
      <c r="M32025" s="49">
        <f>IF($A$4+320&gt;$B$4,"",$A$4+320)</f>
        <v>46343</v>
      </c>
      <c r="N32025" t="str">
        <f>IF(M32025="","",'Master Barang'!A19)</f>
        <v>PRL-018</v>
      </c>
      <c r="O32025" t="str">
        <f>IF(N32025="","",'Master Barang'!B19)</f>
        <v>onemed masker biru 3 play hijab 50 pcs</v>
      </c>
      <c r="P32025">
        <f>IF(OR(M32025="",N32025=""),"",SUMIFS('Barang Keluar'!$E:$E,'Barang Keluar'!$A:$A,M32025,'Barang Keluar'!$C:$C,N32025))</f>
        <v>0</v>
      </c>
    </row>
    <row r="32026" spans="13:16">
      <c r="M32026" s="49">
        <f>IF($A$4+320&gt;$B$4,"",$A$4+320)</f>
        <v>46343</v>
      </c>
      <c r="N32026" t="str">
        <f>IF(M32026="","",'Master Barang'!A20)</f>
        <v>PRL-019</v>
      </c>
      <c r="O32026" t="str">
        <f>IF(N32026="","",'Master Barang'!B20)</f>
        <v>neo health masker biru 3 play 50 pcs</v>
      </c>
      <c r="P32026">
        <f>IF(OR(M32026="",N32026=""),"",SUMIFS('Barang Keluar'!$E:$E,'Barang Keluar'!$A:$A,M32026,'Barang Keluar'!$C:$C,N32026))</f>
        <v>0</v>
      </c>
    </row>
    <row r="32027" spans="13:16">
      <c r="M32027" s="49">
        <f>IF($A$4+320&gt;$B$4,"",$A$4+320)</f>
        <v>46343</v>
      </c>
      <c r="N32027" t="str">
        <f>IF(M32027="","",'Master Barang'!A21)</f>
        <v>PRL-020</v>
      </c>
      <c r="O32027" t="str">
        <f>IF(N32027="","",'Master Barang'!B21)</f>
        <v>baymed masker hijau 3 play hijau 50 pcs</v>
      </c>
      <c r="P32027">
        <f>IF(OR(M32027="",N32027=""),"",SUMIFS('Barang Keluar'!$E:$E,'Barang Keluar'!$A:$A,M32027,'Barang Keluar'!$C:$C,N32027))</f>
        <v>0</v>
      </c>
    </row>
    <row r="32028" spans="13:16">
      <c r="M32028" s="49">
        <f>IF($A$4+320&gt;$B$4,"",$A$4+320)</f>
        <v>46343</v>
      </c>
      <c r="N32028" t="str">
        <f>IF(M32028="","",'Master Barang'!A22)</f>
        <v>PRL-021</v>
      </c>
      <c r="O32028" t="str">
        <f>IF(N32028="","",'Master Barang'!B22)</f>
        <v>altamed nurse cap penutup kepala 100 pcs</v>
      </c>
      <c r="P32028">
        <f>IF(OR(M32028="",N32028=""),"",SUMIFS('Barang Keluar'!$E:$E,'Barang Keluar'!$A:$A,M32028,'Barang Keluar'!$C:$C,N32028))</f>
        <v>0</v>
      </c>
    </row>
    <row r="32029" spans="13:16">
      <c r="M32029" s="49">
        <f>IF($A$4+320&gt;$B$4,"",$A$4+320)</f>
        <v>46343</v>
      </c>
      <c r="N32029" t="str">
        <f>IF(M32029="","",'Master Barang'!A23)</f>
        <v>PRL-022</v>
      </c>
      <c r="O32029" t="str">
        <f>IF(N32029="","",'Master Barang'!B23)</f>
        <v>sabun cuci tangan</v>
      </c>
      <c r="P32029">
        <f>IF(OR(M32029="",N32029=""),"",SUMIFS('Barang Keluar'!$E:$E,'Barang Keluar'!$A:$A,M32029,'Barang Keluar'!$C:$C,N32029))</f>
        <v>0</v>
      </c>
    </row>
    <row r="32030" spans="13:16">
      <c r="M32030" s="49">
        <f>IF($A$4+320&gt;$B$4,"",$A$4+320)</f>
        <v>46343</v>
      </c>
      <c r="N32030" t="str">
        <f>IF(M32030="","",'Master Barang'!A24)</f>
        <v>PRL-023</v>
      </c>
      <c r="O32030" t="str">
        <f>IF(N32030="","",'Master Barang'!B24)</f>
        <v>gayung kecil</v>
      </c>
      <c r="P32030">
        <f>IF(OR(M32030="",N32030=""),"",SUMIFS('Barang Keluar'!$E:$E,'Barang Keluar'!$A:$A,M32030,'Barang Keluar'!$C:$C,N32030))</f>
        <v>0</v>
      </c>
    </row>
    <row r="32031" spans="13:16">
      <c r="M32031" s="49">
        <f>IF($A$4+320&gt;$B$4,"",$A$4+320)</f>
        <v>46343</v>
      </c>
      <c r="N32031" t="str">
        <f>IF(M32031="","",'Master Barang'!A25)</f>
        <v>PRL-024</v>
      </c>
      <c r="O32031" t="str">
        <f>IF(N32031="","",'Master Barang'!B25)</f>
        <v>cikrak kecil</v>
      </c>
      <c r="P32031">
        <f>IF(OR(M32031="",N32031=""),"",SUMIFS('Barang Keluar'!$E:$E,'Barang Keluar'!$A:$A,M32031,'Barang Keluar'!$C:$C,N32031))</f>
        <v>0</v>
      </c>
    </row>
    <row r="32032" spans="13:16">
      <c r="M32032" s="49">
        <f>IF($A$4+320&gt;$B$4,"",$A$4+320)</f>
        <v>46343</v>
      </c>
      <c r="N32032" t="str">
        <f>IF(M32032="","",'Master Barang'!A26)</f>
        <v>PRL-025</v>
      </c>
      <c r="O32032" t="str">
        <f>IF(N32032="","",'Master Barang'!B26)</f>
        <v>petromax plastik kecil 12x24 100 lembar</v>
      </c>
      <c r="P32032">
        <f>IF(OR(M32032="",N32032=""),"",SUMIFS('Barang Keluar'!$E:$E,'Barang Keluar'!$A:$A,M32032,'Barang Keluar'!$C:$C,N32032))</f>
        <v>0</v>
      </c>
    </row>
    <row r="32033" spans="13:16">
      <c r="M32033" s="49">
        <f>IF($A$4+320&gt;$B$4,"",$A$4+320)</f>
        <v>46343</v>
      </c>
      <c r="N32033" t="str">
        <f>IF(M32033="","",'Master Barang'!A27)</f>
        <v>PRL-026</v>
      </c>
      <c r="O32033" t="str">
        <f>IF(N32033="","",'Master Barang'!B27)</f>
        <v>lancar kresek kecil bening </v>
      </c>
      <c r="P32033">
        <f>IF(OR(M32033="",N32033=""),"",SUMIFS('Barang Keluar'!$E:$E,'Barang Keluar'!$A:$A,M32033,'Barang Keluar'!$C:$C,N32033))</f>
        <v>0</v>
      </c>
    </row>
    <row r="32034" spans="13:16">
      <c r="M32034" s="49">
        <f>IF($A$4+320&gt;$B$4,"",$A$4+320)</f>
        <v>46343</v>
      </c>
      <c r="N32034" t="str">
        <f>IF(M32034="","",'Master Barang'!A28)</f>
        <v>PRL-027</v>
      </c>
      <c r="O32034" t="str">
        <f>IF(N32034="","",'Master Barang'!B28)</f>
        <v>kresek klin warna warni kecil</v>
      </c>
      <c r="P32034">
        <f>IF(OR(M32034="",N32034=""),"",SUMIFS('Barang Keluar'!$E:$E,'Barang Keluar'!$A:$A,M32034,'Barang Keluar'!$C:$C,N32034))</f>
        <v>0</v>
      </c>
    </row>
    <row r="32035" spans="13:16">
      <c r="M32035" s="49">
        <f>IF($A$4+320&gt;$B$4,"",$A$4+320)</f>
        <v>46343</v>
      </c>
      <c r="N32035" t="str">
        <f>IF(M32035="","",'Master Barang'!A29)</f>
        <v>PRL-028</v>
      </c>
      <c r="O32035" t="str">
        <f>IF(N32035="","",'Master Barang'!B29)</f>
        <v>ctik plastik 7x10 100 pcs</v>
      </c>
      <c r="P32035">
        <f>IF(OR(M32035="",N32035=""),"",SUMIFS('Barang Keluar'!$E:$E,'Barang Keluar'!$A:$A,M32035,'Barang Keluar'!$C:$C,N32035))</f>
        <v>0</v>
      </c>
    </row>
    <row r="32036" spans="13:16">
      <c r="M32036" s="49">
        <f>IF($A$4+320&gt;$B$4,"",$A$4+320)</f>
        <v>46343</v>
      </c>
      <c r="N32036" t="str">
        <f>IF(M32036="","",'Master Barang'!A30)</f>
        <v>PRL-029</v>
      </c>
      <c r="O32036" t="str">
        <f>IF(N32036="","",'Master Barang'!B30)</f>
        <v>ctik plastik 6x10 100 pcs</v>
      </c>
      <c r="P32036">
        <f>IF(OR(M32036="",N32036=""),"",SUMIFS('Barang Keluar'!$E:$E,'Barang Keluar'!$A:$A,M32036,'Barang Keluar'!$C:$C,N32036))</f>
        <v>0</v>
      </c>
    </row>
    <row r="32037" spans="13:16">
      <c r="M32037" s="49">
        <f>IF($A$4+320&gt;$B$4,"",$A$4+320)</f>
        <v>46343</v>
      </c>
      <c r="N32037" t="str">
        <f>IF(M32037="","",'Master Barang'!A31)</f>
        <v>PRL-030</v>
      </c>
      <c r="O32037" t="str">
        <f>IF(N32037="","",'Master Barang'!B31)</f>
        <v>klip plastik 25x16 100 pcs</v>
      </c>
      <c r="P32037">
        <f>IF(OR(M32037="",N32037=""),"",SUMIFS('Barang Keluar'!$E:$E,'Barang Keluar'!$A:$A,M32037,'Barang Keluar'!$C:$C,N32037))</f>
        <v>0</v>
      </c>
    </row>
    <row r="32038" spans="13:16">
      <c r="M32038" s="49">
        <f>IF($A$4+320&gt;$B$4,"",$A$4+320)</f>
        <v>46343</v>
      </c>
      <c r="N32038" t="str">
        <f>IF(M32038="","",'Master Barang'!A32)</f>
        <v>PRL-031</v>
      </c>
      <c r="O32038" t="str">
        <f>IF(N32038="","",'Master Barang'!B32)</f>
        <v>tempat saus 20 ml</v>
      </c>
      <c r="P32038">
        <f>IF(OR(M32038="",N32038=""),"",SUMIFS('Barang Keluar'!$E:$E,'Barang Keluar'!$A:$A,M32038,'Barang Keluar'!$C:$C,N32038))</f>
        <v>0</v>
      </c>
    </row>
    <row r="32039" spans="13:16">
      <c r="M32039" s="49">
        <f>IF($A$4+320&gt;$B$4,"",$A$4+320)</f>
        <v>46343</v>
      </c>
      <c r="N32039" t="str">
        <f>IF(M32039="","",'Master Barang'!A33)</f>
        <v>PRL-032</v>
      </c>
      <c r="O32039" t="str">
        <f>IF(N32039="","",'Master Barang'!B33)</f>
        <v>plastik packaging ag box uk sedang</v>
      </c>
      <c r="P32039">
        <f>IF(OR(M32039="",N32039=""),"",SUMIFS('Barang Keluar'!$E:$E,'Barang Keluar'!$A:$A,M32039,'Barang Keluar'!$C:$C,N32039))</f>
        <v>0</v>
      </c>
    </row>
    <row r="32040" spans="13:16">
      <c r="M32040" s="49">
        <f>IF($A$4+320&gt;$B$4,"",$A$4+320)</f>
        <v>46343</v>
      </c>
      <c r="N32040" t="str">
        <f>IF(M32040="","",'Master Barang'!A34)</f>
        <v>PRL-033</v>
      </c>
      <c r="O32040">
        <f>IF(N32040="","",'Master Barang'!B34)</f>
        <v>0</v>
      </c>
      <c r="P32040">
        <f>IF(OR(M32040="",N32040=""),"",SUMIFS('Barang Keluar'!$E:$E,'Barang Keluar'!$A:$A,M32040,'Barang Keluar'!$C:$C,N32040))</f>
        <v>0</v>
      </c>
    </row>
    <row r="32041" spans="13:16">
      <c r="M32041" s="49">
        <f>IF($A$4+320&gt;$B$4,"",$A$4+320)</f>
        <v>46343</v>
      </c>
      <c r="N32041">
        <f>IF(M32041="","",'Master Barang'!A35)</f>
        <v>0</v>
      </c>
      <c r="O32041">
        <f>IF(N32041="","",'Master Barang'!B35)</f>
        <v>0</v>
      </c>
      <c r="P32041">
        <f>IF(OR(M32041="",N32041=""),"",SUMIFS('Barang Keluar'!$E:$E,'Barang Keluar'!$A:$A,M32041,'Barang Keluar'!$C:$C,N32041))</f>
        <v>0</v>
      </c>
    </row>
    <row r="32042" spans="13:16">
      <c r="M32042" s="49">
        <f>IF($A$4+320&gt;$B$4,"",$A$4+320)</f>
        <v>46343</v>
      </c>
      <c r="N32042">
        <f>IF(M32042="","",'Master Barang'!A36)</f>
        <v>0</v>
      </c>
      <c r="O32042">
        <f>IF(N32042="","",'Master Barang'!B36)</f>
        <v>0</v>
      </c>
      <c r="P32042">
        <f>IF(OR(M32042="",N32042=""),"",SUMIFS('Barang Keluar'!$E:$E,'Barang Keluar'!$A:$A,M32042,'Barang Keluar'!$C:$C,N32042))</f>
        <v>0</v>
      </c>
    </row>
    <row r="32043" spans="13:16">
      <c r="M32043" s="49">
        <f>IF($A$4+320&gt;$B$4,"",$A$4+320)</f>
        <v>46343</v>
      </c>
      <c r="N32043">
        <f>IF(M32043="","",'Master Barang'!A37)</f>
        <v>0</v>
      </c>
      <c r="O32043">
        <f>IF(N32043="","",'Master Barang'!B37)</f>
        <v>0</v>
      </c>
      <c r="P32043">
        <f>IF(OR(M32043="",N32043=""),"",SUMIFS('Barang Keluar'!$E:$E,'Barang Keluar'!$A:$A,M32043,'Barang Keluar'!$C:$C,N32043))</f>
        <v>0</v>
      </c>
    </row>
    <row r="32044" spans="13:16">
      <c r="M32044" s="49">
        <f>IF($A$4+320&gt;$B$4,"",$A$4+320)</f>
        <v>46343</v>
      </c>
      <c r="N32044">
        <f>IF(M32044="","",'Master Barang'!A38)</f>
        <v>0</v>
      </c>
      <c r="O32044">
        <f>IF(N32044="","",'Master Barang'!B38)</f>
        <v>0</v>
      </c>
      <c r="P32044">
        <f>IF(OR(M32044="",N32044=""),"",SUMIFS('Barang Keluar'!$E:$E,'Barang Keluar'!$A:$A,M32044,'Barang Keluar'!$C:$C,N32044))</f>
        <v>0</v>
      </c>
    </row>
    <row r="32045" spans="13:16">
      <c r="M32045" s="49">
        <f>IF($A$4+320&gt;$B$4,"",$A$4+320)</f>
        <v>46343</v>
      </c>
      <c r="N32045">
        <f>IF(M32045="","",'Master Barang'!A39)</f>
        <v>0</v>
      </c>
      <c r="O32045">
        <f>IF(N32045="","",'Master Barang'!B39)</f>
        <v>0</v>
      </c>
      <c r="P32045">
        <f>IF(OR(M32045="",N32045=""),"",SUMIFS('Barang Keluar'!$E:$E,'Barang Keluar'!$A:$A,M32045,'Barang Keluar'!$C:$C,N32045))</f>
        <v>0</v>
      </c>
    </row>
    <row r="32046" spans="13:16">
      <c r="M32046" s="49">
        <f>IF($A$4+320&gt;$B$4,"",$A$4+320)</f>
        <v>46343</v>
      </c>
      <c r="N32046">
        <f>IF(M32046="","",'Master Barang'!A40)</f>
        <v>0</v>
      </c>
      <c r="O32046">
        <f>IF(N32046="","",'Master Barang'!B40)</f>
        <v>0</v>
      </c>
      <c r="P32046">
        <f>IF(OR(M32046="",N32046=""),"",SUMIFS('Barang Keluar'!$E:$E,'Barang Keluar'!$A:$A,M32046,'Barang Keluar'!$C:$C,N32046))</f>
        <v>0</v>
      </c>
    </row>
    <row r="32047" spans="13:16">
      <c r="M32047" s="49">
        <f>IF($A$4+320&gt;$B$4,"",$A$4+320)</f>
        <v>46343</v>
      </c>
      <c r="N32047">
        <f>IF(M32047="","",'Master Barang'!A41)</f>
        <v>0</v>
      </c>
      <c r="O32047">
        <f>IF(N32047="","",'Master Barang'!B41)</f>
        <v>0</v>
      </c>
      <c r="P32047">
        <f>IF(OR(M32047="",N32047=""),"",SUMIFS('Barang Keluar'!$E:$E,'Barang Keluar'!$A:$A,M32047,'Barang Keluar'!$C:$C,N32047))</f>
        <v>0</v>
      </c>
    </row>
    <row r="32048" spans="13:16">
      <c r="M32048" s="49">
        <f>IF($A$4+320&gt;$B$4,"",$A$4+320)</f>
        <v>46343</v>
      </c>
      <c r="N32048">
        <f>IF(M32048="","",'Master Barang'!A42)</f>
        <v>0</v>
      </c>
      <c r="O32048">
        <f>IF(N32048="","",'Master Barang'!B42)</f>
        <v>0</v>
      </c>
      <c r="P32048">
        <f>IF(OR(M32048="",N32048=""),"",SUMIFS('Barang Keluar'!$E:$E,'Barang Keluar'!$A:$A,M32048,'Barang Keluar'!$C:$C,N32048))</f>
        <v>0</v>
      </c>
    </row>
    <row r="32049" spans="13:16">
      <c r="M32049" s="49">
        <f>IF($A$4+320&gt;$B$4,"",$A$4+320)</f>
        <v>46343</v>
      </c>
      <c r="N32049">
        <f>IF(M32049="","",'Master Barang'!A43)</f>
        <v>0</v>
      </c>
      <c r="O32049">
        <f>IF(N32049="","",'Master Barang'!B43)</f>
        <v>0</v>
      </c>
      <c r="P32049">
        <f>IF(OR(M32049="",N32049=""),"",SUMIFS('Barang Keluar'!$E:$E,'Barang Keluar'!$A:$A,M32049,'Barang Keluar'!$C:$C,N32049))</f>
        <v>0</v>
      </c>
    </row>
    <row r="32050" spans="13:16">
      <c r="M32050" s="49">
        <f>IF($A$4+320&gt;$B$4,"",$A$4+320)</f>
        <v>46343</v>
      </c>
      <c r="N32050">
        <f>IF(M32050="","",'Master Barang'!A44)</f>
        <v>0</v>
      </c>
      <c r="O32050">
        <f>IF(N32050="","",'Master Barang'!B44)</f>
        <v>0</v>
      </c>
      <c r="P32050">
        <f>IF(OR(M32050="",N32050=""),"",SUMIFS('Barang Keluar'!$E:$E,'Barang Keluar'!$A:$A,M32050,'Barang Keluar'!$C:$C,N32050))</f>
        <v>0</v>
      </c>
    </row>
    <row r="32051" spans="13:16">
      <c r="M32051" s="49">
        <f>IF($A$4+320&gt;$B$4,"",$A$4+320)</f>
        <v>46343</v>
      </c>
      <c r="N32051">
        <f>IF(M32051="","",'Master Barang'!A45)</f>
        <v>0</v>
      </c>
      <c r="O32051">
        <f>IF(N32051="","",'Master Barang'!B45)</f>
        <v>0</v>
      </c>
      <c r="P32051">
        <f>IF(OR(M32051="",N32051=""),"",SUMIFS('Barang Keluar'!$E:$E,'Barang Keluar'!$A:$A,M32051,'Barang Keluar'!$C:$C,N32051))</f>
        <v>0</v>
      </c>
    </row>
    <row r="32052" spans="13:16">
      <c r="M32052" s="49">
        <f>IF($A$4+320&gt;$B$4,"",$A$4+320)</f>
        <v>46343</v>
      </c>
      <c r="N32052">
        <f>IF(M32052="","",'Master Barang'!A46)</f>
        <v>0</v>
      </c>
      <c r="O32052">
        <f>IF(N32052="","",'Master Barang'!B46)</f>
        <v>0</v>
      </c>
      <c r="P32052">
        <f>IF(OR(M32052="",N32052=""),"",SUMIFS('Barang Keluar'!$E:$E,'Barang Keluar'!$A:$A,M32052,'Barang Keluar'!$C:$C,N32052))</f>
        <v>0</v>
      </c>
    </row>
    <row r="32053" spans="13:16">
      <c r="M32053" s="49">
        <f>IF($A$4+320&gt;$B$4,"",$A$4+320)</f>
        <v>46343</v>
      </c>
      <c r="N32053">
        <f>IF(M32053="","",'Master Barang'!A47)</f>
        <v>0</v>
      </c>
      <c r="O32053">
        <f>IF(N32053="","",'Master Barang'!B47)</f>
        <v>0</v>
      </c>
      <c r="P32053">
        <f>IF(OR(M32053="",N32053=""),"",SUMIFS('Barang Keluar'!$E:$E,'Barang Keluar'!$A:$A,M32053,'Barang Keluar'!$C:$C,N32053))</f>
        <v>0</v>
      </c>
    </row>
    <row r="32054" spans="13:16">
      <c r="M32054" s="49">
        <f>IF($A$4+320&gt;$B$4,"",$A$4+320)</f>
        <v>46343</v>
      </c>
      <c r="N32054">
        <f>IF(M32054="","",'Master Barang'!A48)</f>
        <v>0</v>
      </c>
      <c r="O32054">
        <f>IF(N32054="","",'Master Barang'!B48)</f>
        <v>0</v>
      </c>
      <c r="P32054">
        <f>IF(OR(M32054="",N32054=""),"",SUMIFS('Barang Keluar'!$E:$E,'Barang Keluar'!$A:$A,M32054,'Barang Keluar'!$C:$C,N32054))</f>
        <v>0</v>
      </c>
    </row>
    <row r="32055" spans="13:16">
      <c r="M32055" s="49">
        <f>IF($A$4+320&gt;$B$4,"",$A$4+320)</f>
        <v>46343</v>
      </c>
      <c r="N32055">
        <f>IF(M32055="","",'Master Barang'!A49)</f>
        <v>0</v>
      </c>
      <c r="O32055">
        <f>IF(N32055="","",'Master Barang'!B49)</f>
        <v>0</v>
      </c>
      <c r="P32055">
        <f>IF(OR(M32055="",N32055=""),"",SUMIFS('Barang Keluar'!$E:$E,'Barang Keluar'!$A:$A,M32055,'Barang Keluar'!$C:$C,N32055))</f>
        <v>0</v>
      </c>
    </row>
    <row r="32056" spans="13:16">
      <c r="M32056" s="49">
        <f>IF($A$4+320&gt;$B$4,"",$A$4+320)</f>
        <v>46343</v>
      </c>
      <c r="N32056">
        <f>IF(M32056="","",'Master Barang'!A50)</f>
        <v>0</v>
      </c>
      <c r="O32056">
        <f>IF(N32056="","",'Master Barang'!B50)</f>
        <v>0</v>
      </c>
      <c r="P32056">
        <f>IF(OR(M32056="",N32056=""),"",SUMIFS('Barang Keluar'!$E:$E,'Barang Keluar'!$A:$A,M32056,'Barang Keluar'!$C:$C,N32056))</f>
        <v>0</v>
      </c>
    </row>
    <row r="32057" spans="13:16">
      <c r="M32057" s="49">
        <f>IF($A$4+320&gt;$B$4,"",$A$4+320)</f>
        <v>46343</v>
      </c>
      <c r="N32057">
        <f>IF(M32057="","",'Master Barang'!A51)</f>
        <v>0</v>
      </c>
      <c r="O32057">
        <f>IF(N32057="","",'Master Barang'!B51)</f>
        <v>0</v>
      </c>
      <c r="P32057">
        <f>IF(OR(M32057="",N32057=""),"",SUMIFS('Barang Keluar'!$E:$E,'Barang Keluar'!$A:$A,M32057,'Barang Keluar'!$C:$C,N32057))</f>
        <v>0</v>
      </c>
    </row>
    <row r="32058" spans="13:16">
      <c r="M32058" s="49">
        <f>IF($A$4+320&gt;$B$4,"",$A$4+320)</f>
        <v>46343</v>
      </c>
      <c r="N32058">
        <f>IF(M32058="","",'Master Barang'!A52)</f>
        <v>0</v>
      </c>
      <c r="O32058">
        <f>IF(N32058="","",'Master Barang'!B52)</f>
        <v>0</v>
      </c>
      <c r="P32058">
        <f>IF(OR(M32058="",N32058=""),"",SUMIFS('Barang Keluar'!$E:$E,'Barang Keluar'!$A:$A,M32058,'Barang Keluar'!$C:$C,N32058))</f>
        <v>0</v>
      </c>
    </row>
    <row r="32059" spans="13:16">
      <c r="M32059" s="49">
        <f>IF($A$4+320&gt;$B$4,"",$A$4+320)</f>
        <v>46343</v>
      </c>
      <c r="N32059">
        <f>IF(M32059="","",'Master Barang'!A53)</f>
        <v>0</v>
      </c>
      <c r="O32059">
        <f>IF(N32059="","",'Master Barang'!B53)</f>
        <v>0</v>
      </c>
      <c r="P32059">
        <f>IF(OR(M32059="",N32059=""),"",SUMIFS('Barang Keluar'!$E:$E,'Barang Keluar'!$A:$A,M32059,'Barang Keluar'!$C:$C,N32059))</f>
        <v>0</v>
      </c>
    </row>
    <row r="32060" spans="13:16">
      <c r="M32060" s="49">
        <f>IF($A$4+320&gt;$B$4,"",$A$4+320)</f>
        <v>46343</v>
      </c>
      <c r="N32060">
        <f>IF(M32060="","",'Master Barang'!A54)</f>
        <v>0</v>
      </c>
      <c r="O32060">
        <f>IF(N32060="","",'Master Barang'!B54)</f>
        <v>0</v>
      </c>
      <c r="P32060">
        <f>IF(OR(M32060="",N32060=""),"",SUMIFS('Barang Keluar'!$E:$E,'Barang Keluar'!$A:$A,M32060,'Barang Keluar'!$C:$C,N32060))</f>
        <v>0</v>
      </c>
    </row>
    <row r="32061" spans="13:16">
      <c r="M32061" s="49">
        <f>IF($A$4+320&gt;$B$4,"",$A$4+320)</f>
        <v>46343</v>
      </c>
      <c r="N32061">
        <f>IF(M32061="","",'Master Barang'!A55)</f>
        <v>0</v>
      </c>
      <c r="O32061">
        <f>IF(N32061="","",'Master Barang'!B55)</f>
        <v>0</v>
      </c>
      <c r="P32061">
        <f>IF(OR(M32061="",N32061=""),"",SUMIFS('Barang Keluar'!$E:$E,'Barang Keluar'!$A:$A,M32061,'Barang Keluar'!$C:$C,N32061))</f>
        <v>0</v>
      </c>
    </row>
    <row r="32062" spans="13:16">
      <c r="M32062" s="49">
        <f>IF($A$4+320&gt;$B$4,"",$A$4+320)</f>
        <v>46343</v>
      </c>
      <c r="N32062">
        <f>IF(M32062="","",'Master Barang'!A56)</f>
        <v>0</v>
      </c>
      <c r="O32062">
        <f>IF(N32062="","",'Master Barang'!B56)</f>
        <v>0</v>
      </c>
      <c r="P32062">
        <f>IF(OR(M32062="",N32062=""),"",SUMIFS('Barang Keluar'!$E:$E,'Barang Keluar'!$A:$A,M32062,'Barang Keluar'!$C:$C,N32062))</f>
        <v>0</v>
      </c>
    </row>
    <row r="32063" spans="13:16">
      <c r="M32063" s="49">
        <f>IF($A$4+320&gt;$B$4,"",$A$4+320)</f>
        <v>46343</v>
      </c>
      <c r="N32063">
        <f>IF(M32063="","",'Master Barang'!A57)</f>
        <v>0</v>
      </c>
      <c r="O32063">
        <f>IF(N32063="","",'Master Barang'!B57)</f>
        <v>0</v>
      </c>
      <c r="P32063">
        <f>IF(OR(M32063="",N32063=""),"",SUMIFS('Barang Keluar'!$E:$E,'Barang Keluar'!$A:$A,M32063,'Barang Keluar'!$C:$C,N32063))</f>
        <v>0</v>
      </c>
    </row>
    <row r="32064" spans="13:16">
      <c r="M32064" s="49">
        <f>IF($A$4+320&gt;$B$4,"",$A$4+320)</f>
        <v>46343</v>
      </c>
      <c r="N32064">
        <f>IF(M32064="","",'Master Barang'!A58)</f>
        <v>0</v>
      </c>
      <c r="O32064">
        <f>IF(N32064="","",'Master Barang'!B58)</f>
        <v>0</v>
      </c>
      <c r="P32064">
        <f>IF(OR(M32064="",N32064=""),"",SUMIFS('Barang Keluar'!$E:$E,'Barang Keluar'!$A:$A,M32064,'Barang Keluar'!$C:$C,N32064))</f>
        <v>0</v>
      </c>
    </row>
    <row r="32065" spans="13:16">
      <c r="M32065" s="49">
        <f>IF($A$4+320&gt;$B$4,"",$A$4+320)</f>
        <v>46343</v>
      </c>
      <c r="N32065">
        <f>IF(M32065="","",'Master Barang'!A59)</f>
        <v>0</v>
      </c>
      <c r="O32065">
        <f>IF(N32065="","",'Master Barang'!B59)</f>
        <v>0</v>
      </c>
      <c r="P32065">
        <f>IF(OR(M32065="",N32065=""),"",SUMIFS('Barang Keluar'!$E:$E,'Barang Keluar'!$A:$A,M32065,'Barang Keluar'!$C:$C,N32065))</f>
        <v>0</v>
      </c>
    </row>
    <row r="32066" spans="13:16">
      <c r="M32066" s="49">
        <f>IF($A$4+320&gt;$B$4,"",$A$4+320)</f>
        <v>46343</v>
      </c>
      <c r="N32066">
        <f>IF(M32066="","",'Master Barang'!A60)</f>
        <v>0</v>
      </c>
      <c r="O32066">
        <f>IF(N32066="","",'Master Barang'!B60)</f>
        <v>0</v>
      </c>
      <c r="P32066">
        <f>IF(OR(M32066="",N32066=""),"",SUMIFS('Barang Keluar'!$E:$E,'Barang Keluar'!$A:$A,M32066,'Barang Keluar'!$C:$C,N32066))</f>
        <v>0</v>
      </c>
    </row>
    <row r="32067" spans="13:16">
      <c r="M32067" s="49">
        <f>IF($A$4+320&gt;$B$4,"",$A$4+320)</f>
        <v>46343</v>
      </c>
      <c r="N32067">
        <f>IF(M32067="","",'Master Barang'!A61)</f>
        <v>0</v>
      </c>
      <c r="O32067">
        <f>IF(N32067="","",'Master Barang'!B61)</f>
        <v>0</v>
      </c>
      <c r="P32067">
        <f>IF(OR(M32067="",N32067=""),"",SUMIFS('Barang Keluar'!$E:$E,'Barang Keluar'!$A:$A,M32067,'Barang Keluar'!$C:$C,N32067))</f>
        <v>0</v>
      </c>
    </row>
    <row r="32068" spans="13:16">
      <c r="M32068" s="49">
        <f>IF($A$4+320&gt;$B$4,"",$A$4+320)</f>
        <v>46343</v>
      </c>
      <c r="N32068">
        <f>IF(M32068="","",'Master Barang'!A62)</f>
        <v>0</v>
      </c>
      <c r="O32068">
        <f>IF(N32068="","",'Master Barang'!B62)</f>
        <v>0</v>
      </c>
      <c r="P32068">
        <f>IF(OR(M32068="",N32068=""),"",SUMIFS('Barang Keluar'!$E:$E,'Barang Keluar'!$A:$A,M32068,'Barang Keluar'!$C:$C,N32068))</f>
        <v>0</v>
      </c>
    </row>
    <row r="32069" spans="13:16">
      <c r="M32069" s="49">
        <f>IF($A$4+320&gt;$B$4,"",$A$4+320)</f>
        <v>46343</v>
      </c>
      <c r="N32069">
        <f>IF(M32069="","",'Master Barang'!A63)</f>
        <v>0</v>
      </c>
      <c r="O32069">
        <f>IF(N32069="","",'Master Barang'!B63)</f>
        <v>0</v>
      </c>
      <c r="P32069">
        <f>IF(OR(M32069="",N32069=""),"",SUMIFS('Barang Keluar'!$E:$E,'Barang Keluar'!$A:$A,M32069,'Barang Keluar'!$C:$C,N32069))</f>
        <v>0</v>
      </c>
    </row>
    <row r="32070" spans="13:16">
      <c r="M32070" s="49">
        <f>IF($A$4+320&gt;$B$4,"",$A$4+320)</f>
        <v>46343</v>
      </c>
      <c r="N32070">
        <f>IF(M32070="","",'Master Barang'!A64)</f>
        <v>0</v>
      </c>
      <c r="O32070">
        <f>IF(N32070="","",'Master Barang'!B64)</f>
        <v>0</v>
      </c>
      <c r="P32070">
        <f>IF(OR(M32070="",N32070=""),"",SUMIFS('Barang Keluar'!$E:$E,'Barang Keluar'!$A:$A,M32070,'Barang Keluar'!$C:$C,N32070))</f>
        <v>0</v>
      </c>
    </row>
    <row r="32071" spans="13:16">
      <c r="M32071" s="49">
        <f>IF($A$4+320&gt;$B$4,"",$A$4+320)</f>
        <v>46343</v>
      </c>
      <c r="N32071">
        <f>IF(M32071="","",'Master Barang'!A65)</f>
        <v>0</v>
      </c>
      <c r="O32071">
        <f>IF(N32071="","",'Master Barang'!B65)</f>
        <v>0</v>
      </c>
      <c r="P32071">
        <f>IF(OR(M32071="",N32071=""),"",SUMIFS('Barang Keluar'!$E:$E,'Barang Keluar'!$A:$A,M32071,'Barang Keluar'!$C:$C,N32071))</f>
        <v>0</v>
      </c>
    </row>
    <row r="32072" spans="13:16">
      <c r="M32072" s="49">
        <f>IF($A$4+320&gt;$B$4,"",$A$4+320)</f>
        <v>46343</v>
      </c>
      <c r="N32072">
        <f>IF(M32072="","",'Master Barang'!A66)</f>
        <v>0</v>
      </c>
      <c r="O32072">
        <f>IF(N32072="","",'Master Barang'!B66)</f>
        <v>0</v>
      </c>
      <c r="P32072">
        <f>IF(OR(M32072="",N32072=""),"",SUMIFS('Barang Keluar'!$E:$E,'Barang Keluar'!$A:$A,M32072,'Barang Keluar'!$C:$C,N32072))</f>
        <v>0</v>
      </c>
    </row>
    <row r="32073" spans="13:16">
      <c r="M32073" s="49">
        <f>IF($A$4+320&gt;$B$4,"",$A$4+320)</f>
        <v>46343</v>
      </c>
      <c r="N32073">
        <f>IF(M32073="","",'Master Barang'!A67)</f>
        <v>0</v>
      </c>
      <c r="O32073">
        <f>IF(N32073="","",'Master Barang'!B67)</f>
        <v>0</v>
      </c>
      <c r="P32073">
        <f>IF(OR(M32073="",N32073=""),"",SUMIFS('Barang Keluar'!$E:$E,'Barang Keluar'!$A:$A,M32073,'Barang Keluar'!$C:$C,N32073))</f>
        <v>0</v>
      </c>
    </row>
    <row r="32074" spans="13:16">
      <c r="M32074" s="49">
        <f>IF($A$4+320&gt;$B$4,"",$A$4+320)</f>
        <v>46343</v>
      </c>
      <c r="N32074">
        <f>IF(M32074="","",'Master Barang'!A68)</f>
        <v>0</v>
      </c>
      <c r="O32074">
        <f>IF(N32074="","",'Master Barang'!B68)</f>
        <v>0</v>
      </c>
      <c r="P32074">
        <f>IF(OR(M32074="",N32074=""),"",SUMIFS('Barang Keluar'!$E:$E,'Barang Keluar'!$A:$A,M32074,'Barang Keluar'!$C:$C,N32074))</f>
        <v>0</v>
      </c>
    </row>
    <row r="32075" spans="13:16">
      <c r="M32075" s="49">
        <f>IF($A$4+320&gt;$B$4,"",$A$4+320)</f>
        <v>46343</v>
      </c>
      <c r="N32075">
        <f>IF(M32075="","",'Master Barang'!A69)</f>
        <v>0</v>
      </c>
      <c r="O32075">
        <f>IF(N32075="","",'Master Barang'!B69)</f>
        <v>0</v>
      </c>
      <c r="P32075">
        <f>IF(OR(M32075="",N32075=""),"",SUMIFS('Barang Keluar'!$E:$E,'Barang Keluar'!$A:$A,M32075,'Barang Keluar'!$C:$C,N32075))</f>
        <v>0</v>
      </c>
    </row>
    <row r="32076" spans="13:16">
      <c r="M32076" s="49">
        <f>IF($A$4+320&gt;$B$4,"",$A$4+320)</f>
        <v>46343</v>
      </c>
      <c r="N32076">
        <f>IF(M32076="","",'Master Barang'!A70)</f>
        <v>0</v>
      </c>
      <c r="O32076">
        <f>IF(N32076="","",'Master Barang'!B70)</f>
        <v>0</v>
      </c>
      <c r="P32076">
        <f>IF(OR(M32076="",N32076=""),"",SUMIFS('Barang Keluar'!$E:$E,'Barang Keluar'!$A:$A,M32076,'Barang Keluar'!$C:$C,N32076))</f>
        <v>0</v>
      </c>
    </row>
    <row r="32077" spans="13:16">
      <c r="M32077" s="49">
        <f>IF($A$4+320&gt;$B$4,"",$A$4+320)</f>
        <v>46343</v>
      </c>
      <c r="N32077">
        <f>IF(M32077="","",'Master Barang'!A71)</f>
        <v>0</v>
      </c>
      <c r="O32077">
        <f>IF(N32077="","",'Master Barang'!B71)</f>
        <v>0</v>
      </c>
      <c r="P32077">
        <f>IF(OR(M32077="",N32077=""),"",SUMIFS('Barang Keluar'!$E:$E,'Barang Keluar'!$A:$A,M32077,'Barang Keluar'!$C:$C,N32077))</f>
        <v>0</v>
      </c>
    </row>
    <row r="32078" spans="13:16">
      <c r="M32078" s="49">
        <f>IF($A$4+320&gt;$B$4,"",$A$4+320)</f>
        <v>46343</v>
      </c>
      <c r="N32078">
        <f>IF(M32078="","",'Master Barang'!A72)</f>
        <v>0</v>
      </c>
      <c r="O32078">
        <f>IF(N32078="","",'Master Barang'!B72)</f>
        <v>0</v>
      </c>
      <c r="P32078">
        <f>IF(OR(M32078="",N32078=""),"",SUMIFS('Barang Keluar'!$E:$E,'Barang Keluar'!$A:$A,M32078,'Barang Keluar'!$C:$C,N32078))</f>
        <v>0</v>
      </c>
    </row>
    <row r="32079" spans="13:16">
      <c r="M32079" s="49">
        <f>IF($A$4+320&gt;$B$4,"",$A$4+320)</f>
        <v>46343</v>
      </c>
      <c r="N32079">
        <f>IF(M32079="","",'Master Barang'!A73)</f>
        <v>0</v>
      </c>
      <c r="O32079">
        <f>IF(N32079="","",'Master Barang'!B73)</f>
        <v>0</v>
      </c>
      <c r="P32079">
        <f>IF(OR(M32079="",N32079=""),"",SUMIFS('Barang Keluar'!$E:$E,'Barang Keluar'!$A:$A,M32079,'Barang Keluar'!$C:$C,N32079))</f>
        <v>0</v>
      </c>
    </row>
    <row r="32080" spans="13:16">
      <c r="M32080" s="49">
        <f>IF($A$4+320&gt;$B$4,"",$A$4+320)</f>
        <v>46343</v>
      </c>
      <c r="N32080">
        <f>IF(M32080="","",'Master Barang'!A74)</f>
        <v>0</v>
      </c>
      <c r="O32080">
        <f>IF(N32080="","",'Master Barang'!B74)</f>
        <v>0</v>
      </c>
      <c r="P32080">
        <f>IF(OR(M32080="",N32080=""),"",SUMIFS('Barang Keluar'!$E:$E,'Barang Keluar'!$A:$A,M32080,'Barang Keluar'!$C:$C,N32080))</f>
        <v>0</v>
      </c>
    </row>
    <row r="32081" spans="13:16">
      <c r="M32081" s="49">
        <f>IF($A$4+320&gt;$B$4,"",$A$4+320)</f>
        <v>46343</v>
      </c>
      <c r="N32081">
        <f>IF(M32081="","",'Master Barang'!A75)</f>
        <v>0</v>
      </c>
      <c r="O32081">
        <f>IF(N32081="","",'Master Barang'!B75)</f>
        <v>0</v>
      </c>
      <c r="P32081">
        <f>IF(OR(M32081="",N32081=""),"",SUMIFS('Barang Keluar'!$E:$E,'Barang Keluar'!$A:$A,M32081,'Barang Keluar'!$C:$C,N32081))</f>
        <v>0</v>
      </c>
    </row>
    <row r="32082" spans="13:16">
      <c r="M32082" s="49">
        <f>IF($A$4+320&gt;$B$4,"",$A$4+320)</f>
        <v>46343</v>
      </c>
      <c r="N32082">
        <f>IF(M32082="","",'Master Barang'!A76)</f>
        <v>0</v>
      </c>
      <c r="O32082">
        <f>IF(N32082="","",'Master Barang'!B76)</f>
        <v>0</v>
      </c>
      <c r="P32082">
        <f>IF(OR(M32082="",N32082=""),"",SUMIFS('Barang Keluar'!$E:$E,'Barang Keluar'!$A:$A,M32082,'Barang Keluar'!$C:$C,N32082))</f>
        <v>0</v>
      </c>
    </row>
    <row r="32083" spans="13:16">
      <c r="M32083" s="49">
        <f>IF($A$4+320&gt;$B$4,"",$A$4+320)</f>
        <v>46343</v>
      </c>
      <c r="N32083">
        <f>IF(M32083="","",'Master Barang'!A77)</f>
        <v>0</v>
      </c>
      <c r="O32083">
        <f>IF(N32083="","",'Master Barang'!B77)</f>
        <v>0</v>
      </c>
      <c r="P32083">
        <f>IF(OR(M32083="",N32083=""),"",SUMIFS('Barang Keluar'!$E:$E,'Barang Keluar'!$A:$A,M32083,'Barang Keluar'!$C:$C,N32083))</f>
        <v>0</v>
      </c>
    </row>
    <row r="32084" spans="13:16">
      <c r="M32084" s="49">
        <f>IF($A$4+320&gt;$B$4,"",$A$4+320)</f>
        <v>46343</v>
      </c>
      <c r="N32084">
        <f>IF(M32084="","",'Master Barang'!A78)</f>
        <v>0</v>
      </c>
      <c r="O32084">
        <f>IF(N32084="","",'Master Barang'!B78)</f>
        <v>0</v>
      </c>
      <c r="P32084">
        <f>IF(OR(M32084="",N32084=""),"",SUMIFS('Barang Keluar'!$E:$E,'Barang Keluar'!$A:$A,M32084,'Barang Keluar'!$C:$C,N32084))</f>
        <v>0</v>
      </c>
    </row>
    <row r="32085" spans="13:16">
      <c r="M32085" s="49">
        <f>IF($A$4+320&gt;$B$4,"",$A$4+320)</f>
        <v>46343</v>
      </c>
      <c r="N32085">
        <f>IF(M32085="","",'Master Barang'!A79)</f>
        <v>0</v>
      </c>
      <c r="O32085">
        <f>IF(N32085="","",'Master Barang'!B79)</f>
        <v>0</v>
      </c>
      <c r="P32085">
        <f>IF(OR(M32085="",N32085=""),"",SUMIFS('Barang Keluar'!$E:$E,'Barang Keluar'!$A:$A,M32085,'Barang Keluar'!$C:$C,N32085))</f>
        <v>0</v>
      </c>
    </row>
    <row r="32086" spans="13:16">
      <c r="M32086" s="49">
        <f>IF($A$4+320&gt;$B$4,"",$A$4+320)</f>
        <v>46343</v>
      </c>
      <c r="N32086">
        <f>IF(M32086="","",'Master Barang'!A80)</f>
        <v>0</v>
      </c>
      <c r="O32086">
        <f>IF(N32086="","",'Master Barang'!B80)</f>
        <v>0</v>
      </c>
      <c r="P32086">
        <f>IF(OR(M32086="",N32086=""),"",SUMIFS('Barang Keluar'!$E:$E,'Barang Keluar'!$A:$A,M32086,'Barang Keluar'!$C:$C,N32086))</f>
        <v>0</v>
      </c>
    </row>
    <row r="32087" spans="13:16">
      <c r="M32087" s="49">
        <f>IF($A$4+320&gt;$B$4,"",$A$4+320)</f>
        <v>46343</v>
      </c>
      <c r="N32087">
        <f>IF(M32087="","",'Master Barang'!A81)</f>
        <v>0</v>
      </c>
      <c r="O32087">
        <f>IF(N32087="","",'Master Barang'!B81)</f>
        <v>0</v>
      </c>
      <c r="P32087">
        <f>IF(OR(M32087="",N32087=""),"",SUMIFS('Barang Keluar'!$E:$E,'Barang Keluar'!$A:$A,M32087,'Barang Keluar'!$C:$C,N32087))</f>
        <v>0</v>
      </c>
    </row>
    <row r="32088" spans="13:16">
      <c r="M32088" s="49">
        <f>IF($A$4+320&gt;$B$4,"",$A$4+320)</f>
        <v>46343</v>
      </c>
      <c r="N32088">
        <f>IF(M32088="","",'Master Barang'!A82)</f>
        <v>0</v>
      </c>
      <c r="O32088">
        <f>IF(N32088="","",'Master Barang'!B82)</f>
        <v>0</v>
      </c>
      <c r="P32088">
        <f>IF(OR(M32088="",N32088=""),"",SUMIFS('Barang Keluar'!$E:$E,'Barang Keluar'!$A:$A,M32088,'Barang Keluar'!$C:$C,N32088))</f>
        <v>0</v>
      </c>
    </row>
    <row r="32089" spans="13:16">
      <c r="M32089" s="49">
        <f>IF($A$4+320&gt;$B$4,"",$A$4+320)</f>
        <v>46343</v>
      </c>
      <c r="N32089">
        <f>IF(M32089="","",'Master Barang'!A83)</f>
        <v>0</v>
      </c>
      <c r="O32089">
        <f>IF(N32089="","",'Master Barang'!B83)</f>
        <v>0</v>
      </c>
      <c r="P32089">
        <f>IF(OR(M32089="",N32089=""),"",SUMIFS('Barang Keluar'!$E:$E,'Barang Keluar'!$A:$A,M32089,'Barang Keluar'!$C:$C,N32089))</f>
        <v>0</v>
      </c>
    </row>
    <row r="32090" spans="13:16">
      <c r="M32090" s="49">
        <f>IF($A$4+320&gt;$B$4,"",$A$4+320)</f>
        <v>46343</v>
      </c>
      <c r="N32090">
        <f>IF(M32090="","",'Master Barang'!A84)</f>
        <v>0</v>
      </c>
      <c r="O32090">
        <f>IF(N32090="","",'Master Barang'!B84)</f>
        <v>0</v>
      </c>
      <c r="P32090">
        <f>IF(OR(M32090="",N32090=""),"",SUMIFS('Barang Keluar'!$E:$E,'Barang Keluar'!$A:$A,M32090,'Barang Keluar'!$C:$C,N32090))</f>
        <v>0</v>
      </c>
    </row>
    <row r="32091" spans="13:16">
      <c r="M32091" s="49">
        <f>IF($A$4+320&gt;$B$4,"",$A$4+320)</f>
        <v>46343</v>
      </c>
      <c r="N32091">
        <f>IF(M32091="","",'Master Barang'!A85)</f>
        <v>0</v>
      </c>
      <c r="O32091">
        <f>IF(N32091="","",'Master Barang'!B85)</f>
        <v>0</v>
      </c>
      <c r="P32091">
        <f>IF(OR(M32091="",N32091=""),"",SUMIFS('Barang Keluar'!$E:$E,'Barang Keluar'!$A:$A,M32091,'Barang Keluar'!$C:$C,N32091))</f>
        <v>0</v>
      </c>
    </row>
    <row r="32092" spans="13:16">
      <c r="M32092" s="49">
        <f>IF($A$4+320&gt;$B$4,"",$A$4+320)</f>
        <v>46343</v>
      </c>
      <c r="N32092">
        <f>IF(M32092="","",'Master Barang'!A86)</f>
        <v>0</v>
      </c>
      <c r="O32092">
        <f>IF(N32092="","",'Master Barang'!B86)</f>
        <v>0</v>
      </c>
      <c r="P32092">
        <f>IF(OR(M32092="",N32092=""),"",SUMIFS('Barang Keluar'!$E:$E,'Barang Keluar'!$A:$A,M32092,'Barang Keluar'!$C:$C,N32092))</f>
        <v>0</v>
      </c>
    </row>
    <row r="32093" spans="13:16">
      <c r="M32093" s="49">
        <f>IF($A$4+320&gt;$B$4,"",$A$4+320)</f>
        <v>46343</v>
      </c>
      <c r="N32093">
        <f>IF(M32093="","",'Master Barang'!A87)</f>
        <v>0</v>
      </c>
      <c r="O32093">
        <f>IF(N32093="","",'Master Barang'!B87)</f>
        <v>0</v>
      </c>
      <c r="P32093">
        <f>IF(OR(M32093="",N32093=""),"",SUMIFS('Barang Keluar'!$E:$E,'Barang Keluar'!$A:$A,M32093,'Barang Keluar'!$C:$C,N32093))</f>
        <v>0</v>
      </c>
    </row>
    <row r="32094" spans="13:16">
      <c r="M32094" s="49">
        <f>IF($A$4+320&gt;$B$4,"",$A$4+320)</f>
        <v>46343</v>
      </c>
      <c r="N32094">
        <f>IF(M32094="","",'Master Barang'!A88)</f>
        <v>0</v>
      </c>
      <c r="O32094">
        <f>IF(N32094="","",'Master Barang'!B88)</f>
        <v>0</v>
      </c>
      <c r="P32094">
        <f>IF(OR(M32094="",N32094=""),"",SUMIFS('Barang Keluar'!$E:$E,'Barang Keluar'!$A:$A,M32094,'Barang Keluar'!$C:$C,N32094))</f>
        <v>0</v>
      </c>
    </row>
    <row r="32095" spans="13:16">
      <c r="M32095" s="49">
        <f>IF($A$4+320&gt;$B$4,"",$A$4+320)</f>
        <v>46343</v>
      </c>
      <c r="N32095">
        <f>IF(M32095="","",'Master Barang'!A89)</f>
        <v>0</v>
      </c>
      <c r="O32095">
        <f>IF(N32095="","",'Master Barang'!B89)</f>
        <v>0</v>
      </c>
      <c r="P32095">
        <f>IF(OR(M32095="",N32095=""),"",SUMIFS('Barang Keluar'!$E:$E,'Barang Keluar'!$A:$A,M32095,'Barang Keluar'!$C:$C,N32095))</f>
        <v>0</v>
      </c>
    </row>
    <row r="32096" spans="13:16">
      <c r="M32096" s="49">
        <f>IF($A$4+320&gt;$B$4,"",$A$4+320)</f>
        <v>46343</v>
      </c>
      <c r="N32096">
        <f>IF(M32096="","",'Master Barang'!A90)</f>
        <v>0</v>
      </c>
      <c r="O32096">
        <f>IF(N32096="","",'Master Barang'!B90)</f>
        <v>0</v>
      </c>
      <c r="P32096">
        <f>IF(OR(M32096="",N32096=""),"",SUMIFS('Barang Keluar'!$E:$E,'Barang Keluar'!$A:$A,M32096,'Barang Keluar'!$C:$C,N32096))</f>
        <v>0</v>
      </c>
    </row>
    <row r="32097" spans="13:16">
      <c r="M32097" s="49">
        <f>IF($A$4+320&gt;$B$4,"",$A$4+320)</f>
        <v>46343</v>
      </c>
      <c r="N32097">
        <f>IF(M32097="","",'Master Barang'!A91)</f>
        <v>0</v>
      </c>
      <c r="O32097">
        <f>IF(N32097="","",'Master Barang'!B91)</f>
        <v>0</v>
      </c>
      <c r="P32097">
        <f>IF(OR(M32097="",N32097=""),"",SUMIFS('Barang Keluar'!$E:$E,'Barang Keluar'!$A:$A,M32097,'Barang Keluar'!$C:$C,N32097))</f>
        <v>0</v>
      </c>
    </row>
    <row r="32098" spans="13:16">
      <c r="M32098" s="49">
        <f>IF($A$4+320&gt;$B$4,"",$A$4+320)</f>
        <v>46343</v>
      </c>
      <c r="N32098">
        <f>IF(M32098="","",'Master Barang'!A92)</f>
        <v>0</v>
      </c>
      <c r="O32098">
        <f>IF(N32098="","",'Master Barang'!B92)</f>
        <v>0</v>
      </c>
      <c r="P32098">
        <f>IF(OR(M32098="",N32098=""),"",SUMIFS('Barang Keluar'!$E:$E,'Barang Keluar'!$A:$A,M32098,'Barang Keluar'!$C:$C,N32098))</f>
        <v>0</v>
      </c>
    </row>
    <row r="32099" spans="13:16">
      <c r="M32099" s="49">
        <f>IF($A$4+320&gt;$B$4,"",$A$4+320)</f>
        <v>46343</v>
      </c>
      <c r="N32099">
        <f>IF(M32099="","",'Master Barang'!A93)</f>
        <v>0</v>
      </c>
      <c r="O32099">
        <f>IF(N32099="","",'Master Barang'!B93)</f>
        <v>0</v>
      </c>
      <c r="P32099">
        <f>IF(OR(M32099="",N32099=""),"",SUMIFS('Barang Keluar'!$E:$E,'Barang Keluar'!$A:$A,M32099,'Barang Keluar'!$C:$C,N32099))</f>
        <v>0</v>
      </c>
    </row>
    <row r="32100" spans="13:16">
      <c r="M32100" s="49">
        <f>IF($A$4+320&gt;$B$4,"",$A$4+320)</f>
        <v>46343</v>
      </c>
      <c r="N32100">
        <f>IF(M32100="","",'Master Barang'!A94)</f>
        <v>0</v>
      </c>
      <c r="O32100">
        <f>IF(N32100="","",'Master Barang'!B94)</f>
        <v>0</v>
      </c>
      <c r="P32100">
        <f>IF(OR(M32100="",N32100=""),"",SUMIFS('Barang Keluar'!$E:$E,'Barang Keluar'!$A:$A,M32100,'Barang Keluar'!$C:$C,N32100))</f>
        <v>0</v>
      </c>
    </row>
    <row r="32101" spans="13:16">
      <c r="M32101" s="49">
        <f>IF($A$4+320&gt;$B$4,"",$A$4+320)</f>
        <v>46343</v>
      </c>
      <c r="N32101">
        <f>IF(M32101="","",'Master Barang'!A95)</f>
        <v>0</v>
      </c>
      <c r="O32101">
        <f>IF(N32101="","",'Master Barang'!B95)</f>
        <v>0</v>
      </c>
      <c r="P32101">
        <f>IF(OR(M32101="",N32101=""),"",SUMIFS('Barang Keluar'!$E:$E,'Barang Keluar'!$A:$A,M32101,'Barang Keluar'!$C:$C,N32101))</f>
        <v>0</v>
      </c>
    </row>
    <row r="32102" spans="13:16">
      <c r="M32102" s="49">
        <f>IF($A$4+320&gt;$B$4,"",$A$4+320)</f>
        <v>46343</v>
      </c>
      <c r="N32102">
        <f>IF(M32102="","",'Master Barang'!A96)</f>
        <v>0</v>
      </c>
      <c r="O32102">
        <f>IF(N32102="","",'Master Barang'!B96)</f>
        <v>0</v>
      </c>
      <c r="P32102">
        <f>IF(OR(M32102="",N32102=""),"",SUMIFS('Barang Keluar'!$E:$E,'Barang Keluar'!$A:$A,M32102,'Barang Keluar'!$C:$C,N32102))</f>
        <v>0</v>
      </c>
    </row>
    <row r="32103" spans="13:16">
      <c r="M32103" s="49">
        <f>IF($A$4+320&gt;$B$4,"",$A$4+320)</f>
        <v>46343</v>
      </c>
      <c r="N32103">
        <f>IF(M32103="","",'Master Barang'!A97)</f>
        <v>0</v>
      </c>
      <c r="O32103">
        <f>IF(N32103="","",'Master Barang'!B97)</f>
        <v>0</v>
      </c>
      <c r="P32103">
        <f>IF(OR(M32103="",N32103=""),"",SUMIFS('Barang Keluar'!$E:$E,'Barang Keluar'!$A:$A,M32103,'Barang Keluar'!$C:$C,N32103))</f>
        <v>0</v>
      </c>
    </row>
    <row r="32104" spans="13:16">
      <c r="M32104" s="49">
        <f>IF($A$4+320&gt;$B$4,"",$A$4+320)</f>
        <v>46343</v>
      </c>
      <c r="N32104">
        <f>IF(M32104="","",'Master Barang'!A98)</f>
        <v>0</v>
      </c>
      <c r="O32104">
        <f>IF(N32104="","",'Master Barang'!B98)</f>
        <v>0</v>
      </c>
      <c r="P32104">
        <f>IF(OR(M32104="",N32104=""),"",SUMIFS('Barang Keluar'!$E:$E,'Barang Keluar'!$A:$A,M32104,'Barang Keluar'!$C:$C,N32104))</f>
        <v>0</v>
      </c>
    </row>
    <row r="32105" spans="13:16">
      <c r="M32105" s="49">
        <f>IF($A$4+320&gt;$B$4,"",$A$4+320)</f>
        <v>46343</v>
      </c>
      <c r="N32105">
        <f>IF(M32105="","",'Master Barang'!A99)</f>
        <v>0</v>
      </c>
      <c r="O32105">
        <f>IF(N32105="","",'Master Barang'!B99)</f>
        <v>0</v>
      </c>
      <c r="P32105">
        <f>IF(OR(M32105="",N32105=""),"",SUMIFS('Barang Keluar'!$E:$E,'Barang Keluar'!$A:$A,M32105,'Barang Keluar'!$C:$C,N32105))</f>
        <v>0</v>
      </c>
    </row>
    <row r="32106" spans="13:16">
      <c r="M32106" s="49">
        <f>IF($A$4+320&gt;$B$4,"",$A$4+320)</f>
        <v>46343</v>
      </c>
      <c r="N32106">
        <f>IF(M32106="","",'Master Barang'!A100)</f>
        <v>0</v>
      </c>
      <c r="O32106">
        <f>IF(N32106="","",'Master Barang'!B100)</f>
        <v>0</v>
      </c>
      <c r="P32106">
        <f>IF(OR(M32106="",N32106=""),"",SUMIFS('Barang Keluar'!$E:$E,'Barang Keluar'!$A:$A,M32106,'Barang Keluar'!$C:$C,N32106))</f>
        <v>0</v>
      </c>
    </row>
    <row r="32107" spans="13:16">
      <c r="M32107" s="49">
        <f>IF($A$4+320&gt;$B$4,"",$A$4+320)</f>
        <v>46343</v>
      </c>
      <c r="N32107">
        <f>IF(M32107="","",'Master Barang'!A101)</f>
        <v>0</v>
      </c>
      <c r="O32107">
        <f>IF(N32107="","",'Master Barang'!B101)</f>
        <v>0</v>
      </c>
      <c r="P32107">
        <f>IF(OR(M32107="",N32107=""),"",SUMIFS('Barang Keluar'!$E:$E,'Barang Keluar'!$A:$A,M32107,'Barang Keluar'!$C:$C,N32107))</f>
        <v>0</v>
      </c>
    </row>
    <row r="32108" spans="13:16">
      <c r="M32108" s="49">
        <f>IF($A$4+321&gt;$B$4,"",$A$4+321)</f>
        <v>46344</v>
      </c>
      <c r="N32108" t="str">
        <f>IF(M32108="","",'Master Barang'!A2)</f>
        <v>PRL-001</v>
      </c>
      <c r="O32108" t="str">
        <f>IF(N32108="","",'Master Barang'!B2)</f>
        <v>natura desinfectant food grade 5l</v>
      </c>
      <c r="P32108">
        <f>IF(OR(M32108="",N32108=""),"",SUMIFS('Barang Keluar'!$E:$E,'Barang Keluar'!$A:$A,M32108,'Barang Keluar'!$C:$C,N32108))</f>
        <v>0</v>
      </c>
    </row>
    <row r="32109" spans="13:16">
      <c r="M32109" s="49">
        <f>IF($A$4+321&gt;$B$4,"",$A$4+321)</f>
        <v>46344</v>
      </c>
      <c r="N32109" t="str">
        <f>IF(M32109="","",'Master Barang'!A3)</f>
        <v>PRL-002</v>
      </c>
      <c r="O32109" t="str">
        <f>IF(N32109="","",'Master Barang'!B3)</f>
        <v>sunlight cairan pencuci piring 5l</v>
      </c>
      <c r="P32109">
        <f>IF(OR(M32109="",N32109=""),"",SUMIFS('Barang Keluar'!$E:$E,'Barang Keluar'!$A:$A,M32109,'Barang Keluar'!$C:$C,N32109))</f>
        <v>0</v>
      </c>
    </row>
    <row r="32110" spans="13:16">
      <c r="M32110" s="49">
        <f>IF($A$4+321&gt;$B$4,"",$A$4+321)</f>
        <v>46344</v>
      </c>
      <c r="N32110" t="str">
        <f>IF(M32110="","",'Master Barang'!A4)</f>
        <v>PRL-003</v>
      </c>
      <c r="O32110" t="str">
        <f>IF(N32110="","",'Master Barang'!B4)</f>
        <v>oixs cleaner 1l</v>
      </c>
      <c r="P32110">
        <f>IF(OR(M32110="",N32110=""),"",SUMIFS('Barang Keluar'!$E:$E,'Barang Keluar'!$A:$A,M32110,'Barang Keluar'!$C:$C,N32110))</f>
        <v>0</v>
      </c>
    </row>
    <row r="32111" spans="13:16">
      <c r="M32111" s="49">
        <f>IF($A$4+321&gt;$B$4,"",$A$4+321)</f>
        <v>46344</v>
      </c>
      <c r="N32111" t="str">
        <f>IF(M32111="","",'Master Barang'!A5)</f>
        <v>PRL-004</v>
      </c>
      <c r="O32111" t="str">
        <f>IF(N32111="","",'Master Barang'!B5)</f>
        <v>be clean tissue serbaguna</v>
      </c>
      <c r="P32111">
        <f>IF(OR(M32111="",N32111=""),"",SUMIFS('Barang Keluar'!$E:$E,'Barang Keluar'!$A:$A,M32111,'Barang Keluar'!$C:$C,N32111))</f>
        <v>0</v>
      </c>
    </row>
    <row r="32112" spans="13:16">
      <c r="M32112" s="49">
        <f>IF($A$4+321&gt;$B$4,"",$A$4+321)</f>
        <v>46344</v>
      </c>
      <c r="N32112" t="str">
        <f>IF(M32112="","",'Master Barang'!A6)</f>
        <v>PRL-005</v>
      </c>
      <c r="O32112" t="str">
        <f>IF(N32112="","",'Master Barang'!B6)</f>
        <v>spons cuci hijau</v>
      </c>
      <c r="P32112">
        <f>IF(OR(M32112="",N32112=""),"",SUMIFS('Barang Keluar'!$E:$E,'Barang Keluar'!$A:$A,M32112,'Barang Keluar'!$C:$C,N32112))</f>
        <v>0</v>
      </c>
    </row>
    <row r="32113" spans="13:16">
      <c r="M32113" s="49">
        <f>IF($A$4+321&gt;$B$4,"",$A$4+321)</f>
        <v>46344</v>
      </c>
      <c r="N32113" t="str">
        <f>IF(M32113="","",'Master Barang'!A7)</f>
        <v>PRL-006</v>
      </c>
      <c r="O32113" t="str">
        <f>IF(N32113="","",'Master Barang'!B7)</f>
        <v>sabut cuci stainless</v>
      </c>
      <c r="P32113">
        <f>IF(OR(M32113="",N32113=""),"",SUMIFS('Barang Keluar'!$E:$E,'Barang Keluar'!$A:$A,M32113,'Barang Keluar'!$C:$C,N32113))</f>
        <v>0</v>
      </c>
    </row>
    <row r="32114" spans="13:16">
      <c r="M32114" s="49">
        <f>IF($A$4+321&gt;$B$4,"",$A$4+321)</f>
        <v>46344</v>
      </c>
      <c r="N32114" t="str">
        <f>IF(M32114="","",'Master Barang'!A8)</f>
        <v>PRL-007</v>
      </c>
      <c r="O32114" t="str">
        <f>IF(N32114="","",'Master Barang'!B8)</f>
        <v>plastik kresek besar merah 50pc</v>
      </c>
      <c r="P32114">
        <f>IF(OR(M32114="",N32114=""),"",SUMIFS('Barang Keluar'!$E:$E,'Barang Keluar'!$A:$A,M32114,'Barang Keluar'!$C:$C,N32114))</f>
        <v>0</v>
      </c>
    </row>
    <row r="32115" spans="13:16">
      <c r="M32115" s="49">
        <f>IF($A$4+321&gt;$B$4,"",$A$4+321)</f>
        <v>46344</v>
      </c>
      <c r="N32115" t="str">
        <f>IF(M32115="","",'Master Barang'!A9)</f>
        <v>PRL-008</v>
      </c>
      <c r="O32115" t="str">
        <f>IF(N32115="","",'Master Barang'!B9)</f>
        <v>lap besar</v>
      </c>
      <c r="P32115">
        <f>IF(OR(M32115="",N32115=""),"",SUMIFS('Barang Keluar'!$E:$E,'Barang Keluar'!$A:$A,M32115,'Barang Keluar'!$C:$C,N32115))</f>
        <v>0</v>
      </c>
    </row>
    <row r="32116" spans="13:16">
      <c r="M32116" s="49">
        <f>IF($A$4+321&gt;$B$4,"",$A$4+321)</f>
        <v>46344</v>
      </c>
      <c r="N32116" t="str">
        <f>IF(M32116="","",'Master Barang'!A10)</f>
        <v>PRL-009</v>
      </c>
      <c r="O32116" t="str">
        <f>IF(N32116="","",'Master Barang'!B10)</f>
        <v>lap microfiber</v>
      </c>
      <c r="P32116">
        <f>IF(OR(M32116="",N32116=""),"",SUMIFS('Barang Keluar'!$E:$E,'Barang Keluar'!$A:$A,M32116,'Barang Keluar'!$C:$C,N32116))</f>
        <v>0</v>
      </c>
    </row>
    <row r="32117" spans="13:16">
      <c r="M32117" s="49">
        <f>IF($A$4+321&gt;$B$4,"",$A$4+321)</f>
        <v>46344</v>
      </c>
      <c r="N32117" t="str">
        <f>IF(M32117="","",'Master Barang'!A11)</f>
        <v>PRL-010</v>
      </c>
      <c r="O32117" t="str">
        <f>IF(N32117="","",'Master Barang'!B11)</f>
        <v>lap kecil</v>
      </c>
      <c r="P32117">
        <f>IF(OR(M32117="",N32117=""),"",SUMIFS('Barang Keluar'!$E:$E,'Barang Keluar'!$A:$A,M32117,'Barang Keluar'!$C:$C,N32117))</f>
        <v>0</v>
      </c>
    </row>
    <row r="32118" spans="13:16">
      <c r="M32118" s="49">
        <f>IF($A$4+321&gt;$B$4,"",$A$4+321)</f>
        <v>46344</v>
      </c>
      <c r="N32118" t="str">
        <f>IF(M32118="","",'Master Barang'!A12)</f>
        <v>PRL-011</v>
      </c>
      <c r="O32118" t="str">
        <f>IF(N32118="","",'Master Barang'!B12)</f>
        <v>kanebo kecil</v>
      </c>
      <c r="P32118">
        <f>IF(OR(M32118="",N32118=""),"",SUMIFS('Barang Keluar'!$E:$E,'Barang Keluar'!$A:$A,M32118,'Barang Keluar'!$C:$C,N32118))</f>
        <v>0</v>
      </c>
    </row>
    <row r="32119" spans="13:16">
      <c r="M32119" s="49">
        <f>IF($A$4+321&gt;$B$4,"",$A$4+321)</f>
        <v>46344</v>
      </c>
      <c r="N32119" t="str">
        <f>IF(M32119="","",'Master Barang'!A13)</f>
        <v>PRL-012</v>
      </c>
      <c r="O32119" t="str">
        <f>IF(N32119="","",'Master Barang'!B13)</f>
        <v>plastik 1/4kg joyoboyo 100 lembar</v>
      </c>
      <c r="P32119">
        <f>IF(OR(M32119="",N32119=""),"",SUMIFS('Barang Keluar'!$E:$E,'Barang Keluar'!$A:$A,M32119,'Barang Keluar'!$C:$C,N32119))</f>
        <v>0</v>
      </c>
    </row>
    <row r="32120" spans="13:16">
      <c r="M32120" s="49">
        <f>IF($A$4+321&gt;$B$4,"",$A$4+321)</f>
        <v>46344</v>
      </c>
      <c r="N32120" t="str">
        <f>IF(M32120="","",'Master Barang'!A14)</f>
        <v>PRL-013</v>
      </c>
      <c r="O32120" t="str">
        <f>IF(N32120="","",'Master Barang'!B14)</f>
        <v>sarung tangan plastik kaka 100 pcs</v>
      </c>
      <c r="P32120">
        <f>IF(OR(M32120="",N32120=""),"",SUMIFS('Barang Keluar'!$E:$E,'Barang Keluar'!$A:$A,M32120,'Barang Keluar'!$C:$C,N32120))</f>
        <v>0</v>
      </c>
    </row>
    <row r="32121" spans="13:16">
      <c r="M32121" s="49">
        <f>IF($A$4+321&gt;$B$4,"",$A$4+321)</f>
        <v>46344</v>
      </c>
      <c r="N32121" t="str">
        <f>IF(M32121="","",'Master Barang'!A15)</f>
        <v>PRL-014</v>
      </c>
      <c r="O32121" t="str">
        <f>IF(N32121="","",'Master Barang'!B15)</f>
        <v>optima trashbag 80x100</v>
      </c>
      <c r="P32121">
        <f>IF(OR(M32121="",N32121=""),"",SUMIFS('Barang Keluar'!$E:$E,'Barang Keluar'!$A:$A,M32121,'Barang Keluar'!$C:$C,N32121))</f>
        <v>0</v>
      </c>
    </row>
    <row r="32122" spans="13:16">
      <c r="M32122" s="49">
        <f>IF($A$4+321&gt;$B$4,"",$A$4+321)</f>
        <v>46344</v>
      </c>
      <c r="N32122" t="str">
        <f>IF(M32122="","",'Master Barang'!A16)</f>
        <v>PRL-015</v>
      </c>
      <c r="O32122" t="str">
        <f>IF(N32122="","",'Master Barang'!B16)</f>
        <v>optima trashbag 60x100</v>
      </c>
      <c r="P32122">
        <f>IF(OR(M32122="",N32122=""),"",SUMIFS('Barang Keluar'!$E:$E,'Barang Keluar'!$A:$A,M32122,'Barang Keluar'!$C:$C,N32122))</f>
        <v>0</v>
      </c>
    </row>
    <row r="32123" spans="13:16">
      <c r="M32123" s="49">
        <f>IF($A$4+321&gt;$B$4,"",$A$4+321)</f>
        <v>46344</v>
      </c>
      <c r="N32123" t="str">
        <f>IF(M32123="","",'Master Barang'!A17)</f>
        <v>PRL-016</v>
      </c>
      <c r="O32123" t="str">
        <f>IF(N32123="","",'Master Barang'!B17)</f>
        <v>rajawali trashbag 30x40</v>
      </c>
      <c r="P32123">
        <f>IF(OR(M32123="",N32123=""),"",SUMIFS('Barang Keluar'!$E:$E,'Barang Keluar'!$A:$A,M32123,'Barang Keluar'!$C:$C,N32123))</f>
        <v>0</v>
      </c>
    </row>
    <row r="32124" spans="13:16">
      <c r="M32124" s="49">
        <f>IF($A$4+321&gt;$B$4,"",$A$4+321)</f>
        <v>46344</v>
      </c>
      <c r="N32124" t="str">
        <f>IF(M32124="","",'Master Barang'!A18)</f>
        <v>PRL-017</v>
      </c>
      <c r="O32124" t="str">
        <f>IF(N32124="","",'Master Barang'!B18)</f>
        <v>onemed masker biru 3 play 50 pcs</v>
      </c>
      <c r="P32124">
        <f>IF(OR(M32124="",N32124=""),"",SUMIFS('Barang Keluar'!$E:$E,'Barang Keluar'!$A:$A,M32124,'Barang Keluar'!$C:$C,N32124))</f>
        <v>0</v>
      </c>
    </row>
    <row r="32125" spans="13:16">
      <c r="M32125" s="49">
        <f>IF($A$4+321&gt;$B$4,"",$A$4+321)</f>
        <v>46344</v>
      </c>
      <c r="N32125" t="str">
        <f>IF(M32125="","",'Master Barang'!A19)</f>
        <v>PRL-018</v>
      </c>
      <c r="O32125" t="str">
        <f>IF(N32125="","",'Master Barang'!B19)</f>
        <v>onemed masker biru 3 play hijab 50 pcs</v>
      </c>
      <c r="P32125">
        <f>IF(OR(M32125="",N32125=""),"",SUMIFS('Barang Keluar'!$E:$E,'Barang Keluar'!$A:$A,M32125,'Barang Keluar'!$C:$C,N32125))</f>
        <v>0</v>
      </c>
    </row>
    <row r="32126" spans="13:16">
      <c r="M32126" s="49">
        <f>IF($A$4+321&gt;$B$4,"",$A$4+321)</f>
        <v>46344</v>
      </c>
      <c r="N32126" t="str">
        <f>IF(M32126="","",'Master Barang'!A20)</f>
        <v>PRL-019</v>
      </c>
      <c r="O32126" t="str">
        <f>IF(N32126="","",'Master Barang'!B20)</f>
        <v>neo health masker biru 3 play 50 pcs</v>
      </c>
      <c r="P32126">
        <f>IF(OR(M32126="",N32126=""),"",SUMIFS('Barang Keluar'!$E:$E,'Barang Keluar'!$A:$A,M32126,'Barang Keluar'!$C:$C,N32126))</f>
        <v>0</v>
      </c>
    </row>
    <row r="32127" spans="13:16">
      <c r="M32127" s="49">
        <f>IF($A$4+321&gt;$B$4,"",$A$4+321)</f>
        <v>46344</v>
      </c>
      <c r="N32127" t="str">
        <f>IF(M32127="","",'Master Barang'!A21)</f>
        <v>PRL-020</v>
      </c>
      <c r="O32127" t="str">
        <f>IF(N32127="","",'Master Barang'!B21)</f>
        <v>baymed masker hijau 3 play hijau 50 pcs</v>
      </c>
      <c r="P32127">
        <f>IF(OR(M32127="",N32127=""),"",SUMIFS('Barang Keluar'!$E:$E,'Barang Keluar'!$A:$A,M32127,'Barang Keluar'!$C:$C,N32127))</f>
        <v>0</v>
      </c>
    </row>
    <row r="32128" spans="13:16">
      <c r="M32128" s="49">
        <f>IF($A$4+321&gt;$B$4,"",$A$4+321)</f>
        <v>46344</v>
      </c>
      <c r="N32128" t="str">
        <f>IF(M32128="","",'Master Barang'!A22)</f>
        <v>PRL-021</v>
      </c>
      <c r="O32128" t="str">
        <f>IF(N32128="","",'Master Barang'!B22)</f>
        <v>altamed nurse cap penutup kepala 100 pcs</v>
      </c>
      <c r="P32128">
        <f>IF(OR(M32128="",N32128=""),"",SUMIFS('Barang Keluar'!$E:$E,'Barang Keluar'!$A:$A,M32128,'Barang Keluar'!$C:$C,N32128))</f>
        <v>0</v>
      </c>
    </row>
    <row r="32129" spans="13:16">
      <c r="M32129" s="49">
        <f>IF($A$4+321&gt;$B$4,"",$A$4+321)</f>
        <v>46344</v>
      </c>
      <c r="N32129" t="str">
        <f>IF(M32129="","",'Master Barang'!A23)</f>
        <v>PRL-022</v>
      </c>
      <c r="O32129" t="str">
        <f>IF(N32129="","",'Master Barang'!B23)</f>
        <v>sabun cuci tangan</v>
      </c>
      <c r="P32129">
        <f>IF(OR(M32129="",N32129=""),"",SUMIFS('Barang Keluar'!$E:$E,'Barang Keluar'!$A:$A,M32129,'Barang Keluar'!$C:$C,N32129))</f>
        <v>0</v>
      </c>
    </row>
    <row r="32130" spans="13:16">
      <c r="M32130" s="49">
        <f>IF($A$4+321&gt;$B$4,"",$A$4+321)</f>
        <v>46344</v>
      </c>
      <c r="N32130" t="str">
        <f>IF(M32130="","",'Master Barang'!A24)</f>
        <v>PRL-023</v>
      </c>
      <c r="O32130" t="str">
        <f>IF(N32130="","",'Master Barang'!B24)</f>
        <v>gayung kecil</v>
      </c>
      <c r="P32130">
        <f>IF(OR(M32130="",N32130=""),"",SUMIFS('Barang Keluar'!$E:$E,'Barang Keluar'!$A:$A,M32130,'Barang Keluar'!$C:$C,N32130))</f>
        <v>0</v>
      </c>
    </row>
    <row r="32131" spans="13:16">
      <c r="M32131" s="49">
        <f>IF($A$4+321&gt;$B$4,"",$A$4+321)</f>
        <v>46344</v>
      </c>
      <c r="N32131" t="str">
        <f>IF(M32131="","",'Master Barang'!A25)</f>
        <v>PRL-024</v>
      </c>
      <c r="O32131" t="str">
        <f>IF(N32131="","",'Master Barang'!B25)</f>
        <v>cikrak kecil</v>
      </c>
      <c r="P32131">
        <f>IF(OR(M32131="",N32131=""),"",SUMIFS('Barang Keluar'!$E:$E,'Barang Keluar'!$A:$A,M32131,'Barang Keluar'!$C:$C,N32131))</f>
        <v>0</v>
      </c>
    </row>
    <row r="32132" spans="13:16">
      <c r="M32132" s="49">
        <f>IF($A$4+321&gt;$B$4,"",$A$4+321)</f>
        <v>46344</v>
      </c>
      <c r="N32132" t="str">
        <f>IF(M32132="","",'Master Barang'!A26)</f>
        <v>PRL-025</v>
      </c>
      <c r="O32132" t="str">
        <f>IF(N32132="","",'Master Barang'!B26)</f>
        <v>petromax plastik kecil 12x24 100 lembar</v>
      </c>
      <c r="P32132">
        <f>IF(OR(M32132="",N32132=""),"",SUMIFS('Barang Keluar'!$E:$E,'Barang Keluar'!$A:$A,M32132,'Barang Keluar'!$C:$C,N32132))</f>
        <v>0</v>
      </c>
    </row>
    <row r="32133" spans="13:16">
      <c r="M32133" s="49">
        <f>IF($A$4+321&gt;$B$4,"",$A$4+321)</f>
        <v>46344</v>
      </c>
      <c r="N32133" t="str">
        <f>IF(M32133="","",'Master Barang'!A27)</f>
        <v>PRL-026</v>
      </c>
      <c r="O32133" t="str">
        <f>IF(N32133="","",'Master Barang'!B27)</f>
        <v>lancar kresek kecil bening </v>
      </c>
      <c r="P32133">
        <f>IF(OR(M32133="",N32133=""),"",SUMIFS('Barang Keluar'!$E:$E,'Barang Keluar'!$A:$A,M32133,'Barang Keluar'!$C:$C,N32133))</f>
        <v>0</v>
      </c>
    </row>
    <row r="32134" spans="13:16">
      <c r="M32134" s="49">
        <f>IF($A$4+321&gt;$B$4,"",$A$4+321)</f>
        <v>46344</v>
      </c>
      <c r="N32134" t="str">
        <f>IF(M32134="","",'Master Barang'!A28)</f>
        <v>PRL-027</v>
      </c>
      <c r="O32134" t="str">
        <f>IF(N32134="","",'Master Barang'!B28)</f>
        <v>kresek klin warna warni kecil</v>
      </c>
      <c r="P32134">
        <f>IF(OR(M32134="",N32134=""),"",SUMIFS('Barang Keluar'!$E:$E,'Barang Keluar'!$A:$A,M32134,'Barang Keluar'!$C:$C,N32134))</f>
        <v>0</v>
      </c>
    </row>
    <row r="32135" spans="13:16">
      <c r="M32135" s="49">
        <f>IF($A$4+321&gt;$B$4,"",$A$4+321)</f>
        <v>46344</v>
      </c>
      <c r="N32135" t="str">
        <f>IF(M32135="","",'Master Barang'!A29)</f>
        <v>PRL-028</v>
      </c>
      <c r="O32135" t="str">
        <f>IF(N32135="","",'Master Barang'!B29)</f>
        <v>ctik plastik 7x10 100 pcs</v>
      </c>
      <c r="P32135">
        <f>IF(OR(M32135="",N32135=""),"",SUMIFS('Barang Keluar'!$E:$E,'Barang Keluar'!$A:$A,M32135,'Barang Keluar'!$C:$C,N32135))</f>
        <v>0</v>
      </c>
    </row>
    <row r="32136" spans="13:16">
      <c r="M32136" s="49">
        <f>IF($A$4+321&gt;$B$4,"",$A$4+321)</f>
        <v>46344</v>
      </c>
      <c r="N32136" t="str">
        <f>IF(M32136="","",'Master Barang'!A30)</f>
        <v>PRL-029</v>
      </c>
      <c r="O32136" t="str">
        <f>IF(N32136="","",'Master Barang'!B30)</f>
        <v>ctik plastik 6x10 100 pcs</v>
      </c>
      <c r="P32136">
        <f>IF(OR(M32136="",N32136=""),"",SUMIFS('Barang Keluar'!$E:$E,'Barang Keluar'!$A:$A,M32136,'Barang Keluar'!$C:$C,N32136))</f>
        <v>0</v>
      </c>
    </row>
    <row r="32137" spans="13:16">
      <c r="M32137" s="49">
        <f>IF($A$4+321&gt;$B$4,"",$A$4+321)</f>
        <v>46344</v>
      </c>
      <c r="N32137" t="str">
        <f>IF(M32137="","",'Master Barang'!A31)</f>
        <v>PRL-030</v>
      </c>
      <c r="O32137" t="str">
        <f>IF(N32137="","",'Master Barang'!B31)</f>
        <v>klip plastik 25x16 100 pcs</v>
      </c>
      <c r="P32137">
        <f>IF(OR(M32137="",N32137=""),"",SUMIFS('Barang Keluar'!$E:$E,'Barang Keluar'!$A:$A,M32137,'Barang Keluar'!$C:$C,N32137))</f>
        <v>0</v>
      </c>
    </row>
    <row r="32138" spans="13:16">
      <c r="M32138" s="49">
        <f>IF($A$4+321&gt;$B$4,"",$A$4+321)</f>
        <v>46344</v>
      </c>
      <c r="N32138" t="str">
        <f>IF(M32138="","",'Master Barang'!A32)</f>
        <v>PRL-031</v>
      </c>
      <c r="O32138" t="str">
        <f>IF(N32138="","",'Master Barang'!B32)</f>
        <v>tempat saus 20 ml</v>
      </c>
      <c r="P32138">
        <f>IF(OR(M32138="",N32138=""),"",SUMIFS('Barang Keluar'!$E:$E,'Barang Keluar'!$A:$A,M32138,'Barang Keluar'!$C:$C,N32138))</f>
        <v>0</v>
      </c>
    </row>
    <row r="32139" spans="13:16">
      <c r="M32139" s="49">
        <f>IF($A$4+321&gt;$B$4,"",$A$4+321)</f>
        <v>46344</v>
      </c>
      <c r="N32139" t="str">
        <f>IF(M32139="","",'Master Barang'!A33)</f>
        <v>PRL-032</v>
      </c>
      <c r="O32139" t="str">
        <f>IF(N32139="","",'Master Barang'!B33)</f>
        <v>plastik packaging ag box uk sedang</v>
      </c>
      <c r="P32139">
        <f>IF(OR(M32139="",N32139=""),"",SUMIFS('Barang Keluar'!$E:$E,'Barang Keluar'!$A:$A,M32139,'Barang Keluar'!$C:$C,N32139))</f>
        <v>0</v>
      </c>
    </row>
    <row r="32140" spans="13:16">
      <c r="M32140" s="49">
        <f>IF($A$4+321&gt;$B$4,"",$A$4+321)</f>
        <v>46344</v>
      </c>
      <c r="N32140" t="str">
        <f>IF(M32140="","",'Master Barang'!A34)</f>
        <v>PRL-033</v>
      </c>
      <c r="O32140">
        <f>IF(N32140="","",'Master Barang'!B34)</f>
        <v>0</v>
      </c>
      <c r="P32140">
        <f>IF(OR(M32140="",N32140=""),"",SUMIFS('Barang Keluar'!$E:$E,'Barang Keluar'!$A:$A,M32140,'Barang Keluar'!$C:$C,N32140))</f>
        <v>0</v>
      </c>
    </row>
    <row r="32141" spans="13:16">
      <c r="M32141" s="49">
        <f>IF($A$4+321&gt;$B$4,"",$A$4+321)</f>
        <v>46344</v>
      </c>
      <c r="N32141">
        <f>IF(M32141="","",'Master Barang'!A35)</f>
        <v>0</v>
      </c>
      <c r="O32141">
        <f>IF(N32141="","",'Master Barang'!B35)</f>
        <v>0</v>
      </c>
      <c r="P32141">
        <f>IF(OR(M32141="",N32141=""),"",SUMIFS('Barang Keluar'!$E:$E,'Barang Keluar'!$A:$A,M32141,'Barang Keluar'!$C:$C,N32141))</f>
        <v>0</v>
      </c>
    </row>
    <row r="32142" spans="13:16">
      <c r="M32142" s="49">
        <f>IF($A$4+321&gt;$B$4,"",$A$4+321)</f>
        <v>46344</v>
      </c>
      <c r="N32142">
        <f>IF(M32142="","",'Master Barang'!A36)</f>
        <v>0</v>
      </c>
      <c r="O32142">
        <f>IF(N32142="","",'Master Barang'!B36)</f>
        <v>0</v>
      </c>
      <c r="P32142">
        <f>IF(OR(M32142="",N32142=""),"",SUMIFS('Barang Keluar'!$E:$E,'Barang Keluar'!$A:$A,M32142,'Barang Keluar'!$C:$C,N32142))</f>
        <v>0</v>
      </c>
    </row>
    <row r="32143" spans="13:16">
      <c r="M32143" s="49">
        <f>IF($A$4+321&gt;$B$4,"",$A$4+321)</f>
        <v>46344</v>
      </c>
      <c r="N32143">
        <f>IF(M32143="","",'Master Barang'!A37)</f>
        <v>0</v>
      </c>
      <c r="O32143">
        <f>IF(N32143="","",'Master Barang'!B37)</f>
        <v>0</v>
      </c>
      <c r="P32143">
        <f>IF(OR(M32143="",N32143=""),"",SUMIFS('Barang Keluar'!$E:$E,'Barang Keluar'!$A:$A,M32143,'Barang Keluar'!$C:$C,N32143))</f>
        <v>0</v>
      </c>
    </row>
    <row r="32144" spans="13:16">
      <c r="M32144" s="49">
        <f>IF($A$4+321&gt;$B$4,"",$A$4+321)</f>
        <v>46344</v>
      </c>
      <c r="N32144">
        <f>IF(M32144="","",'Master Barang'!A38)</f>
        <v>0</v>
      </c>
      <c r="O32144">
        <f>IF(N32144="","",'Master Barang'!B38)</f>
        <v>0</v>
      </c>
      <c r="P32144">
        <f>IF(OR(M32144="",N32144=""),"",SUMIFS('Barang Keluar'!$E:$E,'Barang Keluar'!$A:$A,M32144,'Barang Keluar'!$C:$C,N32144))</f>
        <v>0</v>
      </c>
    </row>
    <row r="32145" spans="13:16">
      <c r="M32145" s="49">
        <f>IF($A$4+321&gt;$B$4,"",$A$4+321)</f>
        <v>46344</v>
      </c>
      <c r="N32145">
        <f>IF(M32145="","",'Master Barang'!A39)</f>
        <v>0</v>
      </c>
      <c r="O32145">
        <f>IF(N32145="","",'Master Barang'!B39)</f>
        <v>0</v>
      </c>
      <c r="P32145">
        <f>IF(OR(M32145="",N32145=""),"",SUMIFS('Barang Keluar'!$E:$E,'Barang Keluar'!$A:$A,M32145,'Barang Keluar'!$C:$C,N32145))</f>
        <v>0</v>
      </c>
    </row>
    <row r="32146" spans="13:16">
      <c r="M32146" s="49">
        <f>IF($A$4+321&gt;$B$4,"",$A$4+321)</f>
        <v>46344</v>
      </c>
      <c r="N32146">
        <f>IF(M32146="","",'Master Barang'!A40)</f>
        <v>0</v>
      </c>
      <c r="O32146">
        <f>IF(N32146="","",'Master Barang'!B40)</f>
        <v>0</v>
      </c>
      <c r="P32146">
        <f>IF(OR(M32146="",N32146=""),"",SUMIFS('Barang Keluar'!$E:$E,'Barang Keluar'!$A:$A,M32146,'Barang Keluar'!$C:$C,N32146))</f>
        <v>0</v>
      </c>
    </row>
    <row r="32147" spans="13:16">
      <c r="M32147" s="49">
        <f>IF($A$4+321&gt;$B$4,"",$A$4+321)</f>
        <v>46344</v>
      </c>
      <c r="N32147">
        <f>IF(M32147="","",'Master Barang'!A41)</f>
        <v>0</v>
      </c>
      <c r="O32147">
        <f>IF(N32147="","",'Master Barang'!B41)</f>
        <v>0</v>
      </c>
      <c r="P32147">
        <f>IF(OR(M32147="",N32147=""),"",SUMIFS('Barang Keluar'!$E:$E,'Barang Keluar'!$A:$A,M32147,'Barang Keluar'!$C:$C,N32147))</f>
        <v>0</v>
      </c>
    </row>
    <row r="32148" spans="13:16">
      <c r="M32148" s="49">
        <f>IF($A$4+321&gt;$B$4,"",$A$4+321)</f>
        <v>46344</v>
      </c>
      <c r="N32148">
        <f>IF(M32148="","",'Master Barang'!A42)</f>
        <v>0</v>
      </c>
      <c r="O32148">
        <f>IF(N32148="","",'Master Barang'!B42)</f>
        <v>0</v>
      </c>
      <c r="P32148">
        <f>IF(OR(M32148="",N32148=""),"",SUMIFS('Barang Keluar'!$E:$E,'Barang Keluar'!$A:$A,M32148,'Barang Keluar'!$C:$C,N32148))</f>
        <v>0</v>
      </c>
    </row>
    <row r="32149" spans="13:16">
      <c r="M32149" s="49">
        <f>IF($A$4+321&gt;$B$4,"",$A$4+321)</f>
        <v>46344</v>
      </c>
      <c r="N32149">
        <f>IF(M32149="","",'Master Barang'!A43)</f>
        <v>0</v>
      </c>
      <c r="O32149">
        <f>IF(N32149="","",'Master Barang'!B43)</f>
        <v>0</v>
      </c>
      <c r="P32149">
        <f>IF(OR(M32149="",N32149=""),"",SUMIFS('Barang Keluar'!$E:$E,'Barang Keluar'!$A:$A,M32149,'Barang Keluar'!$C:$C,N32149))</f>
        <v>0</v>
      </c>
    </row>
    <row r="32150" spans="13:16">
      <c r="M32150" s="49">
        <f>IF($A$4+321&gt;$B$4,"",$A$4+321)</f>
        <v>46344</v>
      </c>
      <c r="N32150">
        <f>IF(M32150="","",'Master Barang'!A44)</f>
        <v>0</v>
      </c>
      <c r="O32150">
        <f>IF(N32150="","",'Master Barang'!B44)</f>
        <v>0</v>
      </c>
      <c r="P32150">
        <f>IF(OR(M32150="",N32150=""),"",SUMIFS('Barang Keluar'!$E:$E,'Barang Keluar'!$A:$A,M32150,'Barang Keluar'!$C:$C,N32150))</f>
        <v>0</v>
      </c>
    </row>
    <row r="32151" spans="13:16">
      <c r="M32151" s="49">
        <f>IF($A$4+321&gt;$B$4,"",$A$4+321)</f>
        <v>46344</v>
      </c>
      <c r="N32151">
        <f>IF(M32151="","",'Master Barang'!A45)</f>
        <v>0</v>
      </c>
      <c r="O32151">
        <f>IF(N32151="","",'Master Barang'!B45)</f>
        <v>0</v>
      </c>
      <c r="P32151">
        <f>IF(OR(M32151="",N32151=""),"",SUMIFS('Barang Keluar'!$E:$E,'Barang Keluar'!$A:$A,M32151,'Barang Keluar'!$C:$C,N32151))</f>
        <v>0</v>
      </c>
    </row>
    <row r="32152" spans="13:16">
      <c r="M32152" s="49">
        <f>IF($A$4+321&gt;$B$4,"",$A$4+321)</f>
        <v>46344</v>
      </c>
      <c r="N32152">
        <f>IF(M32152="","",'Master Barang'!A46)</f>
        <v>0</v>
      </c>
      <c r="O32152">
        <f>IF(N32152="","",'Master Barang'!B46)</f>
        <v>0</v>
      </c>
      <c r="P32152">
        <f>IF(OR(M32152="",N32152=""),"",SUMIFS('Barang Keluar'!$E:$E,'Barang Keluar'!$A:$A,M32152,'Barang Keluar'!$C:$C,N32152))</f>
        <v>0</v>
      </c>
    </row>
    <row r="32153" spans="13:16">
      <c r="M32153" s="49">
        <f>IF($A$4+321&gt;$B$4,"",$A$4+321)</f>
        <v>46344</v>
      </c>
      <c r="N32153">
        <f>IF(M32153="","",'Master Barang'!A47)</f>
        <v>0</v>
      </c>
      <c r="O32153">
        <f>IF(N32153="","",'Master Barang'!B47)</f>
        <v>0</v>
      </c>
      <c r="P32153">
        <f>IF(OR(M32153="",N32153=""),"",SUMIFS('Barang Keluar'!$E:$E,'Barang Keluar'!$A:$A,M32153,'Barang Keluar'!$C:$C,N32153))</f>
        <v>0</v>
      </c>
    </row>
    <row r="32154" spans="13:16">
      <c r="M32154" s="49">
        <f>IF($A$4+321&gt;$B$4,"",$A$4+321)</f>
        <v>46344</v>
      </c>
      <c r="N32154">
        <f>IF(M32154="","",'Master Barang'!A48)</f>
        <v>0</v>
      </c>
      <c r="O32154">
        <f>IF(N32154="","",'Master Barang'!B48)</f>
        <v>0</v>
      </c>
      <c r="P32154">
        <f>IF(OR(M32154="",N32154=""),"",SUMIFS('Barang Keluar'!$E:$E,'Barang Keluar'!$A:$A,M32154,'Barang Keluar'!$C:$C,N32154))</f>
        <v>0</v>
      </c>
    </row>
    <row r="32155" spans="13:16">
      <c r="M32155" s="49">
        <f>IF($A$4+321&gt;$B$4,"",$A$4+321)</f>
        <v>46344</v>
      </c>
      <c r="N32155">
        <f>IF(M32155="","",'Master Barang'!A49)</f>
        <v>0</v>
      </c>
      <c r="O32155">
        <f>IF(N32155="","",'Master Barang'!B49)</f>
        <v>0</v>
      </c>
      <c r="P32155">
        <f>IF(OR(M32155="",N32155=""),"",SUMIFS('Barang Keluar'!$E:$E,'Barang Keluar'!$A:$A,M32155,'Barang Keluar'!$C:$C,N32155))</f>
        <v>0</v>
      </c>
    </row>
    <row r="32156" spans="13:16">
      <c r="M32156" s="49">
        <f>IF($A$4+321&gt;$B$4,"",$A$4+321)</f>
        <v>46344</v>
      </c>
      <c r="N32156">
        <f>IF(M32156="","",'Master Barang'!A50)</f>
        <v>0</v>
      </c>
      <c r="O32156">
        <f>IF(N32156="","",'Master Barang'!B50)</f>
        <v>0</v>
      </c>
      <c r="P32156">
        <f>IF(OR(M32156="",N32156=""),"",SUMIFS('Barang Keluar'!$E:$E,'Barang Keluar'!$A:$A,M32156,'Barang Keluar'!$C:$C,N32156))</f>
        <v>0</v>
      </c>
    </row>
    <row r="32157" spans="13:16">
      <c r="M32157" s="49">
        <f>IF($A$4+321&gt;$B$4,"",$A$4+321)</f>
        <v>46344</v>
      </c>
      <c r="N32157">
        <f>IF(M32157="","",'Master Barang'!A51)</f>
        <v>0</v>
      </c>
      <c r="O32157">
        <f>IF(N32157="","",'Master Barang'!B51)</f>
        <v>0</v>
      </c>
      <c r="P32157">
        <f>IF(OR(M32157="",N32157=""),"",SUMIFS('Barang Keluar'!$E:$E,'Barang Keluar'!$A:$A,M32157,'Barang Keluar'!$C:$C,N32157))</f>
        <v>0</v>
      </c>
    </row>
    <row r="32158" spans="13:16">
      <c r="M32158" s="49">
        <f>IF($A$4+321&gt;$B$4,"",$A$4+321)</f>
        <v>46344</v>
      </c>
      <c r="N32158">
        <f>IF(M32158="","",'Master Barang'!A52)</f>
        <v>0</v>
      </c>
      <c r="O32158">
        <f>IF(N32158="","",'Master Barang'!B52)</f>
        <v>0</v>
      </c>
      <c r="P32158">
        <f>IF(OR(M32158="",N32158=""),"",SUMIFS('Barang Keluar'!$E:$E,'Barang Keluar'!$A:$A,M32158,'Barang Keluar'!$C:$C,N32158))</f>
        <v>0</v>
      </c>
    </row>
    <row r="32159" spans="13:16">
      <c r="M32159" s="49">
        <f>IF($A$4+321&gt;$B$4,"",$A$4+321)</f>
        <v>46344</v>
      </c>
      <c r="N32159">
        <f>IF(M32159="","",'Master Barang'!A53)</f>
        <v>0</v>
      </c>
      <c r="O32159">
        <f>IF(N32159="","",'Master Barang'!B53)</f>
        <v>0</v>
      </c>
      <c r="P32159">
        <f>IF(OR(M32159="",N32159=""),"",SUMIFS('Barang Keluar'!$E:$E,'Barang Keluar'!$A:$A,M32159,'Barang Keluar'!$C:$C,N32159))</f>
        <v>0</v>
      </c>
    </row>
    <row r="32160" spans="13:16">
      <c r="M32160" s="49">
        <f>IF($A$4+321&gt;$B$4,"",$A$4+321)</f>
        <v>46344</v>
      </c>
      <c r="N32160">
        <f>IF(M32160="","",'Master Barang'!A54)</f>
        <v>0</v>
      </c>
      <c r="O32160">
        <f>IF(N32160="","",'Master Barang'!B54)</f>
        <v>0</v>
      </c>
      <c r="P32160">
        <f>IF(OR(M32160="",N32160=""),"",SUMIFS('Barang Keluar'!$E:$E,'Barang Keluar'!$A:$A,M32160,'Barang Keluar'!$C:$C,N32160))</f>
        <v>0</v>
      </c>
    </row>
    <row r="32161" spans="13:16">
      <c r="M32161" s="49">
        <f>IF($A$4+321&gt;$B$4,"",$A$4+321)</f>
        <v>46344</v>
      </c>
      <c r="N32161">
        <f>IF(M32161="","",'Master Barang'!A55)</f>
        <v>0</v>
      </c>
      <c r="O32161">
        <f>IF(N32161="","",'Master Barang'!B55)</f>
        <v>0</v>
      </c>
      <c r="P32161">
        <f>IF(OR(M32161="",N32161=""),"",SUMIFS('Barang Keluar'!$E:$E,'Barang Keluar'!$A:$A,M32161,'Barang Keluar'!$C:$C,N32161))</f>
        <v>0</v>
      </c>
    </row>
    <row r="32162" spans="13:16">
      <c r="M32162" s="49">
        <f>IF($A$4+321&gt;$B$4,"",$A$4+321)</f>
        <v>46344</v>
      </c>
      <c r="N32162">
        <f>IF(M32162="","",'Master Barang'!A56)</f>
        <v>0</v>
      </c>
      <c r="O32162">
        <f>IF(N32162="","",'Master Barang'!B56)</f>
        <v>0</v>
      </c>
      <c r="P32162">
        <f>IF(OR(M32162="",N32162=""),"",SUMIFS('Barang Keluar'!$E:$E,'Barang Keluar'!$A:$A,M32162,'Barang Keluar'!$C:$C,N32162))</f>
        <v>0</v>
      </c>
    </row>
    <row r="32163" spans="13:16">
      <c r="M32163" s="49">
        <f>IF($A$4+321&gt;$B$4,"",$A$4+321)</f>
        <v>46344</v>
      </c>
      <c r="N32163">
        <f>IF(M32163="","",'Master Barang'!A57)</f>
        <v>0</v>
      </c>
      <c r="O32163">
        <f>IF(N32163="","",'Master Barang'!B57)</f>
        <v>0</v>
      </c>
      <c r="P32163">
        <f>IF(OR(M32163="",N32163=""),"",SUMIFS('Barang Keluar'!$E:$E,'Barang Keluar'!$A:$A,M32163,'Barang Keluar'!$C:$C,N32163))</f>
        <v>0</v>
      </c>
    </row>
    <row r="32164" spans="13:16">
      <c r="M32164" s="49">
        <f>IF($A$4+321&gt;$B$4,"",$A$4+321)</f>
        <v>46344</v>
      </c>
      <c r="N32164">
        <f>IF(M32164="","",'Master Barang'!A58)</f>
        <v>0</v>
      </c>
      <c r="O32164">
        <f>IF(N32164="","",'Master Barang'!B58)</f>
        <v>0</v>
      </c>
      <c r="P32164">
        <f>IF(OR(M32164="",N32164=""),"",SUMIFS('Barang Keluar'!$E:$E,'Barang Keluar'!$A:$A,M32164,'Barang Keluar'!$C:$C,N32164))</f>
        <v>0</v>
      </c>
    </row>
    <row r="32165" spans="13:16">
      <c r="M32165" s="49">
        <f>IF($A$4+321&gt;$B$4,"",$A$4+321)</f>
        <v>46344</v>
      </c>
      <c r="N32165">
        <f>IF(M32165="","",'Master Barang'!A59)</f>
        <v>0</v>
      </c>
      <c r="O32165">
        <f>IF(N32165="","",'Master Barang'!B59)</f>
        <v>0</v>
      </c>
      <c r="P32165">
        <f>IF(OR(M32165="",N32165=""),"",SUMIFS('Barang Keluar'!$E:$E,'Barang Keluar'!$A:$A,M32165,'Barang Keluar'!$C:$C,N32165))</f>
        <v>0</v>
      </c>
    </row>
    <row r="32166" spans="13:16">
      <c r="M32166" s="49">
        <f>IF($A$4+321&gt;$B$4,"",$A$4+321)</f>
        <v>46344</v>
      </c>
      <c r="N32166">
        <f>IF(M32166="","",'Master Barang'!A60)</f>
        <v>0</v>
      </c>
      <c r="O32166">
        <f>IF(N32166="","",'Master Barang'!B60)</f>
        <v>0</v>
      </c>
      <c r="P32166">
        <f>IF(OR(M32166="",N32166=""),"",SUMIFS('Barang Keluar'!$E:$E,'Barang Keluar'!$A:$A,M32166,'Barang Keluar'!$C:$C,N32166))</f>
        <v>0</v>
      </c>
    </row>
    <row r="32167" spans="13:16">
      <c r="M32167" s="49">
        <f>IF($A$4+321&gt;$B$4,"",$A$4+321)</f>
        <v>46344</v>
      </c>
      <c r="N32167">
        <f>IF(M32167="","",'Master Barang'!A61)</f>
        <v>0</v>
      </c>
      <c r="O32167">
        <f>IF(N32167="","",'Master Barang'!B61)</f>
        <v>0</v>
      </c>
      <c r="P32167">
        <f>IF(OR(M32167="",N32167=""),"",SUMIFS('Barang Keluar'!$E:$E,'Barang Keluar'!$A:$A,M32167,'Barang Keluar'!$C:$C,N32167))</f>
        <v>0</v>
      </c>
    </row>
    <row r="32168" spans="13:16">
      <c r="M32168" s="49">
        <f>IF($A$4+321&gt;$B$4,"",$A$4+321)</f>
        <v>46344</v>
      </c>
      <c r="N32168">
        <f>IF(M32168="","",'Master Barang'!A62)</f>
        <v>0</v>
      </c>
      <c r="O32168">
        <f>IF(N32168="","",'Master Barang'!B62)</f>
        <v>0</v>
      </c>
      <c r="P32168">
        <f>IF(OR(M32168="",N32168=""),"",SUMIFS('Barang Keluar'!$E:$E,'Barang Keluar'!$A:$A,M32168,'Barang Keluar'!$C:$C,N32168))</f>
        <v>0</v>
      </c>
    </row>
    <row r="32169" spans="13:16">
      <c r="M32169" s="49">
        <f>IF($A$4+321&gt;$B$4,"",$A$4+321)</f>
        <v>46344</v>
      </c>
      <c r="N32169">
        <f>IF(M32169="","",'Master Barang'!A63)</f>
        <v>0</v>
      </c>
      <c r="O32169">
        <f>IF(N32169="","",'Master Barang'!B63)</f>
        <v>0</v>
      </c>
      <c r="P32169">
        <f>IF(OR(M32169="",N32169=""),"",SUMIFS('Barang Keluar'!$E:$E,'Barang Keluar'!$A:$A,M32169,'Barang Keluar'!$C:$C,N32169))</f>
        <v>0</v>
      </c>
    </row>
    <row r="32170" spans="13:16">
      <c r="M32170" s="49">
        <f>IF($A$4+321&gt;$B$4,"",$A$4+321)</f>
        <v>46344</v>
      </c>
      <c r="N32170">
        <f>IF(M32170="","",'Master Barang'!A64)</f>
        <v>0</v>
      </c>
      <c r="O32170">
        <f>IF(N32170="","",'Master Barang'!B64)</f>
        <v>0</v>
      </c>
      <c r="P32170">
        <f>IF(OR(M32170="",N32170=""),"",SUMIFS('Barang Keluar'!$E:$E,'Barang Keluar'!$A:$A,M32170,'Barang Keluar'!$C:$C,N32170))</f>
        <v>0</v>
      </c>
    </row>
    <row r="32171" spans="13:16">
      <c r="M32171" s="49">
        <f>IF($A$4+321&gt;$B$4,"",$A$4+321)</f>
        <v>46344</v>
      </c>
      <c r="N32171">
        <f>IF(M32171="","",'Master Barang'!A65)</f>
        <v>0</v>
      </c>
      <c r="O32171">
        <f>IF(N32171="","",'Master Barang'!B65)</f>
        <v>0</v>
      </c>
      <c r="P32171">
        <f>IF(OR(M32171="",N32171=""),"",SUMIFS('Barang Keluar'!$E:$E,'Barang Keluar'!$A:$A,M32171,'Barang Keluar'!$C:$C,N32171))</f>
        <v>0</v>
      </c>
    </row>
    <row r="32172" spans="13:16">
      <c r="M32172" s="49">
        <f>IF($A$4+321&gt;$B$4,"",$A$4+321)</f>
        <v>46344</v>
      </c>
      <c r="N32172">
        <f>IF(M32172="","",'Master Barang'!A66)</f>
        <v>0</v>
      </c>
      <c r="O32172">
        <f>IF(N32172="","",'Master Barang'!B66)</f>
        <v>0</v>
      </c>
      <c r="P32172">
        <f>IF(OR(M32172="",N32172=""),"",SUMIFS('Barang Keluar'!$E:$E,'Barang Keluar'!$A:$A,M32172,'Barang Keluar'!$C:$C,N32172))</f>
        <v>0</v>
      </c>
    </row>
    <row r="32173" spans="13:16">
      <c r="M32173" s="49">
        <f>IF($A$4+321&gt;$B$4,"",$A$4+321)</f>
        <v>46344</v>
      </c>
      <c r="N32173">
        <f>IF(M32173="","",'Master Barang'!A67)</f>
        <v>0</v>
      </c>
      <c r="O32173">
        <f>IF(N32173="","",'Master Barang'!B67)</f>
        <v>0</v>
      </c>
      <c r="P32173">
        <f>IF(OR(M32173="",N32173=""),"",SUMIFS('Barang Keluar'!$E:$E,'Barang Keluar'!$A:$A,M32173,'Barang Keluar'!$C:$C,N32173))</f>
        <v>0</v>
      </c>
    </row>
    <row r="32174" spans="13:16">
      <c r="M32174" s="49">
        <f>IF($A$4+321&gt;$B$4,"",$A$4+321)</f>
        <v>46344</v>
      </c>
      <c r="N32174">
        <f>IF(M32174="","",'Master Barang'!A68)</f>
        <v>0</v>
      </c>
      <c r="O32174">
        <f>IF(N32174="","",'Master Barang'!B68)</f>
        <v>0</v>
      </c>
      <c r="P32174">
        <f>IF(OR(M32174="",N32174=""),"",SUMIFS('Barang Keluar'!$E:$E,'Barang Keluar'!$A:$A,M32174,'Barang Keluar'!$C:$C,N32174))</f>
        <v>0</v>
      </c>
    </row>
    <row r="32175" spans="13:16">
      <c r="M32175" s="49">
        <f>IF($A$4+321&gt;$B$4,"",$A$4+321)</f>
        <v>46344</v>
      </c>
      <c r="N32175">
        <f>IF(M32175="","",'Master Barang'!A69)</f>
        <v>0</v>
      </c>
      <c r="O32175">
        <f>IF(N32175="","",'Master Barang'!B69)</f>
        <v>0</v>
      </c>
      <c r="P32175">
        <f>IF(OR(M32175="",N32175=""),"",SUMIFS('Barang Keluar'!$E:$E,'Barang Keluar'!$A:$A,M32175,'Barang Keluar'!$C:$C,N32175))</f>
        <v>0</v>
      </c>
    </row>
    <row r="32176" spans="13:16">
      <c r="M32176" s="49">
        <f>IF($A$4+321&gt;$B$4,"",$A$4+321)</f>
        <v>46344</v>
      </c>
      <c r="N32176">
        <f>IF(M32176="","",'Master Barang'!A70)</f>
        <v>0</v>
      </c>
      <c r="O32176">
        <f>IF(N32176="","",'Master Barang'!B70)</f>
        <v>0</v>
      </c>
      <c r="P32176">
        <f>IF(OR(M32176="",N32176=""),"",SUMIFS('Barang Keluar'!$E:$E,'Barang Keluar'!$A:$A,M32176,'Barang Keluar'!$C:$C,N32176))</f>
        <v>0</v>
      </c>
    </row>
    <row r="32177" spans="13:16">
      <c r="M32177" s="49">
        <f>IF($A$4+321&gt;$B$4,"",$A$4+321)</f>
        <v>46344</v>
      </c>
      <c r="N32177">
        <f>IF(M32177="","",'Master Barang'!A71)</f>
        <v>0</v>
      </c>
      <c r="O32177">
        <f>IF(N32177="","",'Master Barang'!B71)</f>
        <v>0</v>
      </c>
      <c r="P32177">
        <f>IF(OR(M32177="",N32177=""),"",SUMIFS('Barang Keluar'!$E:$E,'Barang Keluar'!$A:$A,M32177,'Barang Keluar'!$C:$C,N32177))</f>
        <v>0</v>
      </c>
    </row>
    <row r="32178" spans="13:16">
      <c r="M32178" s="49">
        <f>IF($A$4+321&gt;$B$4,"",$A$4+321)</f>
        <v>46344</v>
      </c>
      <c r="N32178">
        <f>IF(M32178="","",'Master Barang'!A72)</f>
        <v>0</v>
      </c>
      <c r="O32178">
        <f>IF(N32178="","",'Master Barang'!B72)</f>
        <v>0</v>
      </c>
      <c r="P32178">
        <f>IF(OR(M32178="",N32178=""),"",SUMIFS('Barang Keluar'!$E:$E,'Barang Keluar'!$A:$A,M32178,'Barang Keluar'!$C:$C,N32178))</f>
        <v>0</v>
      </c>
    </row>
    <row r="32179" spans="13:16">
      <c r="M32179" s="49">
        <f>IF($A$4+321&gt;$B$4,"",$A$4+321)</f>
        <v>46344</v>
      </c>
      <c r="N32179">
        <f>IF(M32179="","",'Master Barang'!A73)</f>
        <v>0</v>
      </c>
      <c r="O32179">
        <f>IF(N32179="","",'Master Barang'!B73)</f>
        <v>0</v>
      </c>
      <c r="P32179">
        <f>IF(OR(M32179="",N32179=""),"",SUMIFS('Barang Keluar'!$E:$E,'Barang Keluar'!$A:$A,M32179,'Barang Keluar'!$C:$C,N32179))</f>
        <v>0</v>
      </c>
    </row>
    <row r="32180" spans="13:16">
      <c r="M32180" s="49">
        <f>IF($A$4+321&gt;$B$4,"",$A$4+321)</f>
        <v>46344</v>
      </c>
      <c r="N32180">
        <f>IF(M32180="","",'Master Barang'!A74)</f>
        <v>0</v>
      </c>
      <c r="O32180">
        <f>IF(N32180="","",'Master Barang'!B74)</f>
        <v>0</v>
      </c>
      <c r="P32180">
        <f>IF(OR(M32180="",N32180=""),"",SUMIFS('Barang Keluar'!$E:$E,'Barang Keluar'!$A:$A,M32180,'Barang Keluar'!$C:$C,N32180))</f>
        <v>0</v>
      </c>
    </row>
    <row r="32181" spans="13:16">
      <c r="M32181" s="49">
        <f>IF($A$4+321&gt;$B$4,"",$A$4+321)</f>
        <v>46344</v>
      </c>
      <c r="N32181">
        <f>IF(M32181="","",'Master Barang'!A75)</f>
        <v>0</v>
      </c>
      <c r="O32181">
        <f>IF(N32181="","",'Master Barang'!B75)</f>
        <v>0</v>
      </c>
      <c r="P32181">
        <f>IF(OR(M32181="",N32181=""),"",SUMIFS('Barang Keluar'!$E:$E,'Barang Keluar'!$A:$A,M32181,'Barang Keluar'!$C:$C,N32181))</f>
        <v>0</v>
      </c>
    </row>
    <row r="32182" spans="13:16">
      <c r="M32182" s="49">
        <f>IF($A$4+321&gt;$B$4,"",$A$4+321)</f>
        <v>46344</v>
      </c>
      <c r="N32182">
        <f>IF(M32182="","",'Master Barang'!A76)</f>
        <v>0</v>
      </c>
      <c r="O32182">
        <f>IF(N32182="","",'Master Barang'!B76)</f>
        <v>0</v>
      </c>
      <c r="P32182">
        <f>IF(OR(M32182="",N32182=""),"",SUMIFS('Barang Keluar'!$E:$E,'Barang Keluar'!$A:$A,M32182,'Barang Keluar'!$C:$C,N32182))</f>
        <v>0</v>
      </c>
    </row>
    <row r="32183" spans="13:16">
      <c r="M32183" s="49">
        <f>IF($A$4+321&gt;$B$4,"",$A$4+321)</f>
        <v>46344</v>
      </c>
      <c r="N32183">
        <f>IF(M32183="","",'Master Barang'!A77)</f>
        <v>0</v>
      </c>
      <c r="O32183">
        <f>IF(N32183="","",'Master Barang'!B77)</f>
        <v>0</v>
      </c>
      <c r="P32183">
        <f>IF(OR(M32183="",N32183=""),"",SUMIFS('Barang Keluar'!$E:$E,'Barang Keluar'!$A:$A,M32183,'Barang Keluar'!$C:$C,N32183))</f>
        <v>0</v>
      </c>
    </row>
    <row r="32184" spans="13:16">
      <c r="M32184" s="49">
        <f>IF($A$4+321&gt;$B$4,"",$A$4+321)</f>
        <v>46344</v>
      </c>
      <c r="N32184">
        <f>IF(M32184="","",'Master Barang'!A78)</f>
        <v>0</v>
      </c>
      <c r="O32184">
        <f>IF(N32184="","",'Master Barang'!B78)</f>
        <v>0</v>
      </c>
      <c r="P32184">
        <f>IF(OR(M32184="",N32184=""),"",SUMIFS('Barang Keluar'!$E:$E,'Barang Keluar'!$A:$A,M32184,'Barang Keluar'!$C:$C,N32184))</f>
        <v>0</v>
      </c>
    </row>
    <row r="32185" spans="13:16">
      <c r="M32185" s="49">
        <f>IF($A$4+321&gt;$B$4,"",$A$4+321)</f>
        <v>46344</v>
      </c>
      <c r="N32185">
        <f>IF(M32185="","",'Master Barang'!A79)</f>
        <v>0</v>
      </c>
      <c r="O32185">
        <f>IF(N32185="","",'Master Barang'!B79)</f>
        <v>0</v>
      </c>
      <c r="P32185">
        <f>IF(OR(M32185="",N32185=""),"",SUMIFS('Barang Keluar'!$E:$E,'Barang Keluar'!$A:$A,M32185,'Barang Keluar'!$C:$C,N32185))</f>
        <v>0</v>
      </c>
    </row>
    <row r="32186" spans="13:16">
      <c r="M32186" s="49">
        <f>IF($A$4+321&gt;$B$4,"",$A$4+321)</f>
        <v>46344</v>
      </c>
      <c r="N32186">
        <f>IF(M32186="","",'Master Barang'!A80)</f>
        <v>0</v>
      </c>
      <c r="O32186">
        <f>IF(N32186="","",'Master Barang'!B80)</f>
        <v>0</v>
      </c>
      <c r="P32186">
        <f>IF(OR(M32186="",N32186=""),"",SUMIFS('Barang Keluar'!$E:$E,'Barang Keluar'!$A:$A,M32186,'Barang Keluar'!$C:$C,N32186))</f>
        <v>0</v>
      </c>
    </row>
    <row r="32187" spans="13:16">
      <c r="M32187" s="49">
        <f>IF($A$4+321&gt;$B$4,"",$A$4+321)</f>
        <v>46344</v>
      </c>
      <c r="N32187">
        <f>IF(M32187="","",'Master Barang'!A81)</f>
        <v>0</v>
      </c>
      <c r="O32187">
        <f>IF(N32187="","",'Master Barang'!B81)</f>
        <v>0</v>
      </c>
      <c r="P32187">
        <f>IF(OR(M32187="",N32187=""),"",SUMIFS('Barang Keluar'!$E:$E,'Barang Keluar'!$A:$A,M32187,'Barang Keluar'!$C:$C,N32187))</f>
        <v>0</v>
      </c>
    </row>
    <row r="32188" spans="13:16">
      <c r="M32188" s="49">
        <f>IF($A$4+321&gt;$B$4,"",$A$4+321)</f>
        <v>46344</v>
      </c>
      <c r="N32188">
        <f>IF(M32188="","",'Master Barang'!A82)</f>
        <v>0</v>
      </c>
      <c r="O32188">
        <f>IF(N32188="","",'Master Barang'!B82)</f>
        <v>0</v>
      </c>
      <c r="P32188">
        <f>IF(OR(M32188="",N32188=""),"",SUMIFS('Barang Keluar'!$E:$E,'Barang Keluar'!$A:$A,M32188,'Barang Keluar'!$C:$C,N32188))</f>
        <v>0</v>
      </c>
    </row>
    <row r="32189" spans="13:16">
      <c r="M32189" s="49">
        <f>IF($A$4+321&gt;$B$4,"",$A$4+321)</f>
        <v>46344</v>
      </c>
      <c r="N32189">
        <f>IF(M32189="","",'Master Barang'!A83)</f>
        <v>0</v>
      </c>
      <c r="O32189">
        <f>IF(N32189="","",'Master Barang'!B83)</f>
        <v>0</v>
      </c>
      <c r="P32189">
        <f>IF(OR(M32189="",N32189=""),"",SUMIFS('Barang Keluar'!$E:$E,'Barang Keluar'!$A:$A,M32189,'Barang Keluar'!$C:$C,N32189))</f>
        <v>0</v>
      </c>
    </row>
    <row r="32190" spans="13:16">
      <c r="M32190" s="49">
        <f>IF($A$4+321&gt;$B$4,"",$A$4+321)</f>
        <v>46344</v>
      </c>
      <c r="N32190">
        <f>IF(M32190="","",'Master Barang'!A84)</f>
        <v>0</v>
      </c>
      <c r="O32190">
        <f>IF(N32190="","",'Master Barang'!B84)</f>
        <v>0</v>
      </c>
      <c r="P32190">
        <f>IF(OR(M32190="",N32190=""),"",SUMIFS('Barang Keluar'!$E:$E,'Barang Keluar'!$A:$A,M32190,'Barang Keluar'!$C:$C,N32190))</f>
        <v>0</v>
      </c>
    </row>
    <row r="32191" spans="13:16">
      <c r="M32191" s="49">
        <f>IF($A$4+321&gt;$B$4,"",$A$4+321)</f>
        <v>46344</v>
      </c>
      <c r="N32191">
        <f>IF(M32191="","",'Master Barang'!A85)</f>
        <v>0</v>
      </c>
      <c r="O32191">
        <f>IF(N32191="","",'Master Barang'!B85)</f>
        <v>0</v>
      </c>
      <c r="P32191">
        <f>IF(OR(M32191="",N32191=""),"",SUMIFS('Barang Keluar'!$E:$E,'Barang Keluar'!$A:$A,M32191,'Barang Keluar'!$C:$C,N32191))</f>
        <v>0</v>
      </c>
    </row>
    <row r="32192" spans="13:16">
      <c r="M32192" s="49">
        <f>IF($A$4+321&gt;$B$4,"",$A$4+321)</f>
        <v>46344</v>
      </c>
      <c r="N32192">
        <f>IF(M32192="","",'Master Barang'!A86)</f>
        <v>0</v>
      </c>
      <c r="O32192">
        <f>IF(N32192="","",'Master Barang'!B86)</f>
        <v>0</v>
      </c>
      <c r="P32192">
        <f>IF(OR(M32192="",N32192=""),"",SUMIFS('Barang Keluar'!$E:$E,'Barang Keluar'!$A:$A,M32192,'Barang Keluar'!$C:$C,N32192))</f>
        <v>0</v>
      </c>
    </row>
    <row r="32193" spans="13:16">
      <c r="M32193" s="49">
        <f>IF($A$4+321&gt;$B$4,"",$A$4+321)</f>
        <v>46344</v>
      </c>
      <c r="N32193">
        <f>IF(M32193="","",'Master Barang'!A87)</f>
        <v>0</v>
      </c>
      <c r="O32193">
        <f>IF(N32193="","",'Master Barang'!B87)</f>
        <v>0</v>
      </c>
      <c r="P32193">
        <f>IF(OR(M32193="",N32193=""),"",SUMIFS('Barang Keluar'!$E:$E,'Barang Keluar'!$A:$A,M32193,'Barang Keluar'!$C:$C,N32193))</f>
        <v>0</v>
      </c>
    </row>
    <row r="32194" spans="13:16">
      <c r="M32194" s="49">
        <f>IF($A$4+321&gt;$B$4,"",$A$4+321)</f>
        <v>46344</v>
      </c>
      <c r="N32194">
        <f>IF(M32194="","",'Master Barang'!A88)</f>
        <v>0</v>
      </c>
      <c r="O32194">
        <f>IF(N32194="","",'Master Barang'!B88)</f>
        <v>0</v>
      </c>
      <c r="P32194">
        <f>IF(OR(M32194="",N32194=""),"",SUMIFS('Barang Keluar'!$E:$E,'Barang Keluar'!$A:$A,M32194,'Barang Keluar'!$C:$C,N32194))</f>
        <v>0</v>
      </c>
    </row>
    <row r="32195" spans="13:16">
      <c r="M32195" s="49">
        <f>IF($A$4+321&gt;$B$4,"",$A$4+321)</f>
        <v>46344</v>
      </c>
      <c r="N32195">
        <f>IF(M32195="","",'Master Barang'!A89)</f>
        <v>0</v>
      </c>
      <c r="O32195">
        <f>IF(N32195="","",'Master Barang'!B89)</f>
        <v>0</v>
      </c>
      <c r="P32195">
        <f>IF(OR(M32195="",N32195=""),"",SUMIFS('Barang Keluar'!$E:$E,'Barang Keluar'!$A:$A,M32195,'Barang Keluar'!$C:$C,N32195))</f>
        <v>0</v>
      </c>
    </row>
    <row r="32196" spans="13:16">
      <c r="M32196" s="49">
        <f>IF($A$4+321&gt;$B$4,"",$A$4+321)</f>
        <v>46344</v>
      </c>
      <c r="N32196">
        <f>IF(M32196="","",'Master Barang'!A90)</f>
        <v>0</v>
      </c>
      <c r="O32196">
        <f>IF(N32196="","",'Master Barang'!B90)</f>
        <v>0</v>
      </c>
      <c r="P32196">
        <f>IF(OR(M32196="",N32196=""),"",SUMIFS('Barang Keluar'!$E:$E,'Barang Keluar'!$A:$A,M32196,'Barang Keluar'!$C:$C,N32196))</f>
        <v>0</v>
      </c>
    </row>
    <row r="32197" spans="13:16">
      <c r="M32197" s="49">
        <f>IF($A$4+321&gt;$B$4,"",$A$4+321)</f>
        <v>46344</v>
      </c>
      <c r="N32197">
        <f>IF(M32197="","",'Master Barang'!A91)</f>
        <v>0</v>
      </c>
      <c r="O32197">
        <f>IF(N32197="","",'Master Barang'!B91)</f>
        <v>0</v>
      </c>
      <c r="P32197">
        <f>IF(OR(M32197="",N32197=""),"",SUMIFS('Barang Keluar'!$E:$E,'Barang Keluar'!$A:$A,M32197,'Barang Keluar'!$C:$C,N32197))</f>
        <v>0</v>
      </c>
    </row>
    <row r="32198" spans="13:16">
      <c r="M32198" s="49">
        <f>IF($A$4+321&gt;$B$4,"",$A$4+321)</f>
        <v>46344</v>
      </c>
      <c r="N32198">
        <f>IF(M32198="","",'Master Barang'!A92)</f>
        <v>0</v>
      </c>
      <c r="O32198">
        <f>IF(N32198="","",'Master Barang'!B92)</f>
        <v>0</v>
      </c>
      <c r="P32198">
        <f>IF(OR(M32198="",N32198=""),"",SUMIFS('Barang Keluar'!$E:$E,'Barang Keluar'!$A:$A,M32198,'Barang Keluar'!$C:$C,N32198))</f>
        <v>0</v>
      </c>
    </row>
    <row r="32199" spans="13:16">
      <c r="M32199" s="49">
        <f>IF($A$4+321&gt;$B$4,"",$A$4+321)</f>
        <v>46344</v>
      </c>
      <c r="N32199">
        <f>IF(M32199="","",'Master Barang'!A93)</f>
        <v>0</v>
      </c>
      <c r="O32199">
        <f>IF(N32199="","",'Master Barang'!B93)</f>
        <v>0</v>
      </c>
      <c r="P32199">
        <f>IF(OR(M32199="",N32199=""),"",SUMIFS('Barang Keluar'!$E:$E,'Barang Keluar'!$A:$A,M32199,'Barang Keluar'!$C:$C,N32199))</f>
        <v>0</v>
      </c>
    </row>
    <row r="32200" spans="13:16">
      <c r="M32200" s="49">
        <f>IF($A$4+321&gt;$B$4,"",$A$4+321)</f>
        <v>46344</v>
      </c>
      <c r="N32200">
        <f>IF(M32200="","",'Master Barang'!A94)</f>
        <v>0</v>
      </c>
      <c r="O32200">
        <f>IF(N32200="","",'Master Barang'!B94)</f>
        <v>0</v>
      </c>
      <c r="P32200">
        <f>IF(OR(M32200="",N32200=""),"",SUMIFS('Barang Keluar'!$E:$E,'Barang Keluar'!$A:$A,M32200,'Barang Keluar'!$C:$C,N32200))</f>
        <v>0</v>
      </c>
    </row>
    <row r="32201" spans="13:16">
      <c r="M32201" s="49">
        <f>IF($A$4+321&gt;$B$4,"",$A$4+321)</f>
        <v>46344</v>
      </c>
      <c r="N32201">
        <f>IF(M32201="","",'Master Barang'!A95)</f>
        <v>0</v>
      </c>
      <c r="O32201">
        <f>IF(N32201="","",'Master Barang'!B95)</f>
        <v>0</v>
      </c>
      <c r="P32201">
        <f>IF(OR(M32201="",N32201=""),"",SUMIFS('Barang Keluar'!$E:$E,'Barang Keluar'!$A:$A,M32201,'Barang Keluar'!$C:$C,N32201))</f>
        <v>0</v>
      </c>
    </row>
    <row r="32202" spans="13:16">
      <c r="M32202" s="49">
        <f>IF($A$4+321&gt;$B$4,"",$A$4+321)</f>
        <v>46344</v>
      </c>
      <c r="N32202">
        <f>IF(M32202="","",'Master Barang'!A96)</f>
        <v>0</v>
      </c>
      <c r="O32202">
        <f>IF(N32202="","",'Master Barang'!B96)</f>
        <v>0</v>
      </c>
      <c r="P32202">
        <f>IF(OR(M32202="",N32202=""),"",SUMIFS('Barang Keluar'!$E:$E,'Barang Keluar'!$A:$A,M32202,'Barang Keluar'!$C:$C,N32202))</f>
        <v>0</v>
      </c>
    </row>
    <row r="32203" spans="13:16">
      <c r="M32203" s="49">
        <f>IF($A$4+321&gt;$B$4,"",$A$4+321)</f>
        <v>46344</v>
      </c>
      <c r="N32203">
        <f>IF(M32203="","",'Master Barang'!A97)</f>
        <v>0</v>
      </c>
      <c r="O32203">
        <f>IF(N32203="","",'Master Barang'!B97)</f>
        <v>0</v>
      </c>
      <c r="P32203">
        <f>IF(OR(M32203="",N32203=""),"",SUMIFS('Barang Keluar'!$E:$E,'Barang Keluar'!$A:$A,M32203,'Barang Keluar'!$C:$C,N32203))</f>
        <v>0</v>
      </c>
    </row>
    <row r="32204" spans="13:16">
      <c r="M32204" s="49">
        <f>IF($A$4+321&gt;$B$4,"",$A$4+321)</f>
        <v>46344</v>
      </c>
      <c r="N32204">
        <f>IF(M32204="","",'Master Barang'!A98)</f>
        <v>0</v>
      </c>
      <c r="O32204">
        <f>IF(N32204="","",'Master Barang'!B98)</f>
        <v>0</v>
      </c>
      <c r="P32204">
        <f>IF(OR(M32204="",N32204=""),"",SUMIFS('Barang Keluar'!$E:$E,'Barang Keluar'!$A:$A,M32204,'Barang Keluar'!$C:$C,N32204))</f>
        <v>0</v>
      </c>
    </row>
    <row r="32205" spans="13:16">
      <c r="M32205" s="49">
        <f>IF($A$4+321&gt;$B$4,"",$A$4+321)</f>
        <v>46344</v>
      </c>
      <c r="N32205">
        <f>IF(M32205="","",'Master Barang'!A99)</f>
        <v>0</v>
      </c>
      <c r="O32205">
        <f>IF(N32205="","",'Master Barang'!B99)</f>
        <v>0</v>
      </c>
      <c r="P32205">
        <f>IF(OR(M32205="",N32205=""),"",SUMIFS('Barang Keluar'!$E:$E,'Barang Keluar'!$A:$A,M32205,'Barang Keluar'!$C:$C,N32205))</f>
        <v>0</v>
      </c>
    </row>
    <row r="32206" spans="13:16">
      <c r="M32206" s="49">
        <f>IF($A$4+321&gt;$B$4,"",$A$4+321)</f>
        <v>46344</v>
      </c>
      <c r="N32206">
        <f>IF(M32206="","",'Master Barang'!A100)</f>
        <v>0</v>
      </c>
      <c r="O32206">
        <f>IF(N32206="","",'Master Barang'!B100)</f>
        <v>0</v>
      </c>
      <c r="P32206">
        <f>IF(OR(M32206="",N32206=""),"",SUMIFS('Barang Keluar'!$E:$E,'Barang Keluar'!$A:$A,M32206,'Barang Keluar'!$C:$C,N32206))</f>
        <v>0</v>
      </c>
    </row>
    <row r="32207" spans="13:16">
      <c r="M32207" s="49">
        <f>IF($A$4+321&gt;$B$4,"",$A$4+321)</f>
        <v>46344</v>
      </c>
      <c r="N32207">
        <f>IF(M32207="","",'Master Barang'!A101)</f>
        <v>0</v>
      </c>
      <c r="O32207">
        <f>IF(N32207="","",'Master Barang'!B101)</f>
        <v>0</v>
      </c>
      <c r="P32207">
        <f>IF(OR(M32207="",N32207=""),"",SUMIFS('Barang Keluar'!$E:$E,'Barang Keluar'!$A:$A,M32207,'Barang Keluar'!$C:$C,N32207))</f>
        <v>0</v>
      </c>
    </row>
    <row r="32208" spans="13:16">
      <c r="M32208" s="49">
        <f>IF($A$4+322&gt;$B$4,"",$A$4+322)</f>
        <v>46345</v>
      </c>
      <c r="N32208" t="str">
        <f>IF(M32208="","",'Master Barang'!A2)</f>
        <v>PRL-001</v>
      </c>
      <c r="O32208" t="str">
        <f>IF(N32208="","",'Master Barang'!B2)</f>
        <v>natura desinfectant food grade 5l</v>
      </c>
      <c r="P32208">
        <f>IF(OR(M32208="",N32208=""),"",SUMIFS('Barang Keluar'!$E:$E,'Barang Keluar'!$A:$A,M32208,'Barang Keluar'!$C:$C,N32208))</f>
        <v>0</v>
      </c>
    </row>
    <row r="32209" spans="13:16">
      <c r="M32209" s="49">
        <f>IF($A$4+322&gt;$B$4,"",$A$4+322)</f>
        <v>46345</v>
      </c>
      <c r="N32209" t="str">
        <f>IF(M32209="","",'Master Barang'!A3)</f>
        <v>PRL-002</v>
      </c>
      <c r="O32209" t="str">
        <f>IF(N32209="","",'Master Barang'!B3)</f>
        <v>sunlight cairan pencuci piring 5l</v>
      </c>
      <c r="P32209">
        <f>IF(OR(M32209="",N32209=""),"",SUMIFS('Barang Keluar'!$E:$E,'Barang Keluar'!$A:$A,M32209,'Barang Keluar'!$C:$C,N32209))</f>
        <v>0</v>
      </c>
    </row>
    <row r="32210" spans="13:16">
      <c r="M32210" s="49">
        <f>IF($A$4+322&gt;$B$4,"",$A$4+322)</f>
        <v>46345</v>
      </c>
      <c r="N32210" t="str">
        <f>IF(M32210="","",'Master Barang'!A4)</f>
        <v>PRL-003</v>
      </c>
      <c r="O32210" t="str">
        <f>IF(N32210="","",'Master Barang'!B4)</f>
        <v>oixs cleaner 1l</v>
      </c>
      <c r="P32210">
        <f>IF(OR(M32210="",N32210=""),"",SUMIFS('Barang Keluar'!$E:$E,'Barang Keluar'!$A:$A,M32210,'Barang Keluar'!$C:$C,N32210))</f>
        <v>0</v>
      </c>
    </row>
    <row r="32211" spans="13:16">
      <c r="M32211" s="49">
        <f>IF($A$4+322&gt;$B$4,"",$A$4+322)</f>
        <v>46345</v>
      </c>
      <c r="N32211" t="str">
        <f>IF(M32211="","",'Master Barang'!A5)</f>
        <v>PRL-004</v>
      </c>
      <c r="O32211" t="str">
        <f>IF(N32211="","",'Master Barang'!B5)</f>
        <v>be clean tissue serbaguna</v>
      </c>
      <c r="P32211">
        <f>IF(OR(M32211="",N32211=""),"",SUMIFS('Barang Keluar'!$E:$E,'Barang Keluar'!$A:$A,M32211,'Barang Keluar'!$C:$C,N32211))</f>
        <v>0</v>
      </c>
    </row>
    <row r="32212" spans="13:16">
      <c r="M32212" s="49">
        <f>IF($A$4+322&gt;$B$4,"",$A$4+322)</f>
        <v>46345</v>
      </c>
      <c r="N32212" t="str">
        <f>IF(M32212="","",'Master Barang'!A6)</f>
        <v>PRL-005</v>
      </c>
      <c r="O32212" t="str">
        <f>IF(N32212="","",'Master Barang'!B6)</f>
        <v>spons cuci hijau</v>
      </c>
      <c r="P32212">
        <f>IF(OR(M32212="",N32212=""),"",SUMIFS('Barang Keluar'!$E:$E,'Barang Keluar'!$A:$A,M32212,'Barang Keluar'!$C:$C,N32212))</f>
        <v>0</v>
      </c>
    </row>
    <row r="32213" spans="13:16">
      <c r="M32213" s="49">
        <f>IF($A$4+322&gt;$B$4,"",$A$4+322)</f>
        <v>46345</v>
      </c>
      <c r="N32213" t="str">
        <f>IF(M32213="","",'Master Barang'!A7)</f>
        <v>PRL-006</v>
      </c>
      <c r="O32213" t="str">
        <f>IF(N32213="","",'Master Barang'!B7)</f>
        <v>sabut cuci stainless</v>
      </c>
      <c r="P32213">
        <f>IF(OR(M32213="",N32213=""),"",SUMIFS('Barang Keluar'!$E:$E,'Barang Keluar'!$A:$A,M32213,'Barang Keluar'!$C:$C,N32213))</f>
        <v>0</v>
      </c>
    </row>
    <row r="32214" spans="13:16">
      <c r="M32214" s="49">
        <f>IF($A$4+322&gt;$B$4,"",$A$4+322)</f>
        <v>46345</v>
      </c>
      <c r="N32214" t="str">
        <f>IF(M32214="","",'Master Barang'!A8)</f>
        <v>PRL-007</v>
      </c>
      <c r="O32214" t="str">
        <f>IF(N32214="","",'Master Barang'!B8)</f>
        <v>plastik kresek besar merah 50pc</v>
      </c>
      <c r="P32214">
        <f>IF(OR(M32214="",N32214=""),"",SUMIFS('Barang Keluar'!$E:$E,'Barang Keluar'!$A:$A,M32214,'Barang Keluar'!$C:$C,N32214))</f>
        <v>0</v>
      </c>
    </row>
    <row r="32215" spans="13:16">
      <c r="M32215" s="49">
        <f>IF($A$4+322&gt;$B$4,"",$A$4+322)</f>
        <v>46345</v>
      </c>
      <c r="N32215" t="str">
        <f>IF(M32215="","",'Master Barang'!A9)</f>
        <v>PRL-008</v>
      </c>
      <c r="O32215" t="str">
        <f>IF(N32215="","",'Master Barang'!B9)</f>
        <v>lap besar</v>
      </c>
      <c r="P32215">
        <f>IF(OR(M32215="",N32215=""),"",SUMIFS('Barang Keluar'!$E:$E,'Barang Keluar'!$A:$A,M32215,'Barang Keluar'!$C:$C,N32215))</f>
        <v>0</v>
      </c>
    </row>
    <row r="32216" spans="13:16">
      <c r="M32216" s="49">
        <f>IF($A$4+322&gt;$B$4,"",$A$4+322)</f>
        <v>46345</v>
      </c>
      <c r="N32216" t="str">
        <f>IF(M32216="","",'Master Barang'!A10)</f>
        <v>PRL-009</v>
      </c>
      <c r="O32216" t="str">
        <f>IF(N32216="","",'Master Barang'!B10)</f>
        <v>lap microfiber</v>
      </c>
      <c r="P32216">
        <f>IF(OR(M32216="",N32216=""),"",SUMIFS('Barang Keluar'!$E:$E,'Barang Keluar'!$A:$A,M32216,'Barang Keluar'!$C:$C,N32216))</f>
        <v>0</v>
      </c>
    </row>
    <row r="32217" spans="13:16">
      <c r="M32217" s="49">
        <f>IF($A$4+322&gt;$B$4,"",$A$4+322)</f>
        <v>46345</v>
      </c>
      <c r="N32217" t="str">
        <f>IF(M32217="","",'Master Barang'!A11)</f>
        <v>PRL-010</v>
      </c>
      <c r="O32217" t="str">
        <f>IF(N32217="","",'Master Barang'!B11)</f>
        <v>lap kecil</v>
      </c>
      <c r="P32217">
        <f>IF(OR(M32217="",N32217=""),"",SUMIFS('Barang Keluar'!$E:$E,'Barang Keluar'!$A:$A,M32217,'Barang Keluar'!$C:$C,N32217))</f>
        <v>0</v>
      </c>
    </row>
    <row r="32218" spans="13:16">
      <c r="M32218" s="49">
        <f>IF($A$4+322&gt;$B$4,"",$A$4+322)</f>
        <v>46345</v>
      </c>
      <c r="N32218" t="str">
        <f>IF(M32218="","",'Master Barang'!A12)</f>
        <v>PRL-011</v>
      </c>
      <c r="O32218" t="str">
        <f>IF(N32218="","",'Master Barang'!B12)</f>
        <v>kanebo kecil</v>
      </c>
      <c r="P32218">
        <f>IF(OR(M32218="",N32218=""),"",SUMIFS('Barang Keluar'!$E:$E,'Barang Keluar'!$A:$A,M32218,'Barang Keluar'!$C:$C,N32218))</f>
        <v>0</v>
      </c>
    </row>
    <row r="32219" spans="13:16">
      <c r="M32219" s="49">
        <f>IF($A$4+322&gt;$B$4,"",$A$4+322)</f>
        <v>46345</v>
      </c>
      <c r="N32219" t="str">
        <f>IF(M32219="","",'Master Barang'!A13)</f>
        <v>PRL-012</v>
      </c>
      <c r="O32219" t="str">
        <f>IF(N32219="","",'Master Barang'!B13)</f>
        <v>plastik 1/4kg joyoboyo 100 lembar</v>
      </c>
      <c r="P32219">
        <f>IF(OR(M32219="",N32219=""),"",SUMIFS('Barang Keluar'!$E:$E,'Barang Keluar'!$A:$A,M32219,'Barang Keluar'!$C:$C,N32219))</f>
        <v>0</v>
      </c>
    </row>
    <row r="32220" spans="13:16">
      <c r="M32220" s="49">
        <f>IF($A$4+322&gt;$B$4,"",$A$4+322)</f>
        <v>46345</v>
      </c>
      <c r="N32220" t="str">
        <f>IF(M32220="","",'Master Barang'!A14)</f>
        <v>PRL-013</v>
      </c>
      <c r="O32220" t="str">
        <f>IF(N32220="","",'Master Barang'!B14)</f>
        <v>sarung tangan plastik kaka 100 pcs</v>
      </c>
      <c r="P32220">
        <f>IF(OR(M32220="",N32220=""),"",SUMIFS('Barang Keluar'!$E:$E,'Barang Keluar'!$A:$A,M32220,'Barang Keluar'!$C:$C,N32220))</f>
        <v>0</v>
      </c>
    </row>
    <row r="32221" spans="13:16">
      <c r="M32221" s="49">
        <f>IF($A$4+322&gt;$B$4,"",$A$4+322)</f>
        <v>46345</v>
      </c>
      <c r="N32221" t="str">
        <f>IF(M32221="","",'Master Barang'!A15)</f>
        <v>PRL-014</v>
      </c>
      <c r="O32221" t="str">
        <f>IF(N32221="","",'Master Barang'!B15)</f>
        <v>optima trashbag 80x100</v>
      </c>
      <c r="P32221">
        <f>IF(OR(M32221="",N32221=""),"",SUMIFS('Barang Keluar'!$E:$E,'Barang Keluar'!$A:$A,M32221,'Barang Keluar'!$C:$C,N32221))</f>
        <v>0</v>
      </c>
    </row>
    <row r="32222" spans="13:16">
      <c r="M32222" s="49">
        <f>IF($A$4+322&gt;$B$4,"",$A$4+322)</f>
        <v>46345</v>
      </c>
      <c r="N32222" t="str">
        <f>IF(M32222="","",'Master Barang'!A16)</f>
        <v>PRL-015</v>
      </c>
      <c r="O32222" t="str">
        <f>IF(N32222="","",'Master Barang'!B16)</f>
        <v>optima trashbag 60x100</v>
      </c>
      <c r="P32222">
        <f>IF(OR(M32222="",N32222=""),"",SUMIFS('Barang Keluar'!$E:$E,'Barang Keluar'!$A:$A,M32222,'Barang Keluar'!$C:$C,N32222))</f>
        <v>0</v>
      </c>
    </row>
    <row r="32223" spans="13:16">
      <c r="M32223" s="49">
        <f>IF($A$4+322&gt;$B$4,"",$A$4+322)</f>
        <v>46345</v>
      </c>
      <c r="N32223" t="str">
        <f>IF(M32223="","",'Master Barang'!A17)</f>
        <v>PRL-016</v>
      </c>
      <c r="O32223" t="str">
        <f>IF(N32223="","",'Master Barang'!B17)</f>
        <v>rajawali trashbag 30x40</v>
      </c>
      <c r="P32223">
        <f>IF(OR(M32223="",N32223=""),"",SUMIFS('Barang Keluar'!$E:$E,'Barang Keluar'!$A:$A,M32223,'Barang Keluar'!$C:$C,N32223))</f>
        <v>0</v>
      </c>
    </row>
    <row r="32224" spans="13:16">
      <c r="M32224" s="49">
        <f>IF($A$4+322&gt;$B$4,"",$A$4+322)</f>
        <v>46345</v>
      </c>
      <c r="N32224" t="str">
        <f>IF(M32224="","",'Master Barang'!A18)</f>
        <v>PRL-017</v>
      </c>
      <c r="O32224" t="str">
        <f>IF(N32224="","",'Master Barang'!B18)</f>
        <v>onemed masker biru 3 play 50 pcs</v>
      </c>
      <c r="P32224">
        <f>IF(OR(M32224="",N32224=""),"",SUMIFS('Barang Keluar'!$E:$E,'Barang Keluar'!$A:$A,M32224,'Barang Keluar'!$C:$C,N32224))</f>
        <v>0</v>
      </c>
    </row>
    <row r="32225" spans="13:16">
      <c r="M32225" s="49">
        <f>IF($A$4+322&gt;$B$4,"",$A$4+322)</f>
        <v>46345</v>
      </c>
      <c r="N32225" t="str">
        <f>IF(M32225="","",'Master Barang'!A19)</f>
        <v>PRL-018</v>
      </c>
      <c r="O32225" t="str">
        <f>IF(N32225="","",'Master Barang'!B19)</f>
        <v>onemed masker biru 3 play hijab 50 pcs</v>
      </c>
      <c r="P32225">
        <f>IF(OR(M32225="",N32225=""),"",SUMIFS('Barang Keluar'!$E:$E,'Barang Keluar'!$A:$A,M32225,'Barang Keluar'!$C:$C,N32225))</f>
        <v>0</v>
      </c>
    </row>
    <row r="32226" spans="13:16">
      <c r="M32226" s="49">
        <f>IF($A$4+322&gt;$B$4,"",$A$4+322)</f>
        <v>46345</v>
      </c>
      <c r="N32226" t="str">
        <f>IF(M32226="","",'Master Barang'!A20)</f>
        <v>PRL-019</v>
      </c>
      <c r="O32226" t="str">
        <f>IF(N32226="","",'Master Barang'!B20)</f>
        <v>neo health masker biru 3 play 50 pcs</v>
      </c>
      <c r="P32226">
        <f>IF(OR(M32226="",N32226=""),"",SUMIFS('Barang Keluar'!$E:$E,'Barang Keluar'!$A:$A,M32226,'Barang Keluar'!$C:$C,N32226))</f>
        <v>0</v>
      </c>
    </row>
    <row r="32227" spans="13:16">
      <c r="M32227" s="49">
        <f>IF($A$4+322&gt;$B$4,"",$A$4+322)</f>
        <v>46345</v>
      </c>
      <c r="N32227" t="str">
        <f>IF(M32227="","",'Master Barang'!A21)</f>
        <v>PRL-020</v>
      </c>
      <c r="O32227" t="str">
        <f>IF(N32227="","",'Master Barang'!B21)</f>
        <v>baymed masker hijau 3 play hijau 50 pcs</v>
      </c>
      <c r="P32227">
        <f>IF(OR(M32227="",N32227=""),"",SUMIFS('Barang Keluar'!$E:$E,'Barang Keluar'!$A:$A,M32227,'Barang Keluar'!$C:$C,N32227))</f>
        <v>0</v>
      </c>
    </row>
    <row r="32228" spans="13:16">
      <c r="M32228" s="49">
        <f>IF($A$4+322&gt;$B$4,"",$A$4+322)</f>
        <v>46345</v>
      </c>
      <c r="N32228" t="str">
        <f>IF(M32228="","",'Master Barang'!A22)</f>
        <v>PRL-021</v>
      </c>
      <c r="O32228" t="str">
        <f>IF(N32228="","",'Master Barang'!B22)</f>
        <v>altamed nurse cap penutup kepala 100 pcs</v>
      </c>
      <c r="P32228">
        <f>IF(OR(M32228="",N32228=""),"",SUMIFS('Barang Keluar'!$E:$E,'Barang Keluar'!$A:$A,M32228,'Barang Keluar'!$C:$C,N32228))</f>
        <v>0</v>
      </c>
    </row>
    <row r="32229" spans="13:16">
      <c r="M32229" s="49">
        <f>IF($A$4+322&gt;$B$4,"",$A$4+322)</f>
        <v>46345</v>
      </c>
      <c r="N32229" t="str">
        <f>IF(M32229="","",'Master Barang'!A23)</f>
        <v>PRL-022</v>
      </c>
      <c r="O32229" t="str">
        <f>IF(N32229="","",'Master Barang'!B23)</f>
        <v>sabun cuci tangan</v>
      </c>
      <c r="P32229">
        <f>IF(OR(M32229="",N32229=""),"",SUMIFS('Barang Keluar'!$E:$E,'Barang Keluar'!$A:$A,M32229,'Barang Keluar'!$C:$C,N32229))</f>
        <v>0</v>
      </c>
    </row>
    <row r="32230" spans="13:16">
      <c r="M32230" s="49">
        <f>IF($A$4+322&gt;$B$4,"",$A$4+322)</f>
        <v>46345</v>
      </c>
      <c r="N32230" t="str">
        <f>IF(M32230="","",'Master Barang'!A24)</f>
        <v>PRL-023</v>
      </c>
      <c r="O32230" t="str">
        <f>IF(N32230="","",'Master Barang'!B24)</f>
        <v>gayung kecil</v>
      </c>
      <c r="P32230">
        <f>IF(OR(M32230="",N32230=""),"",SUMIFS('Barang Keluar'!$E:$E,'Barang Keluar'!$A:$A,M32230,'Barang Keluar'!$C:$C,N32230))</f>
        <v>0</v>
      </c>
    </row>
    <row r="32231" spans="13:16">
      <c r="M32231" s="49">
        <f>IF($A$4+322&gt;$B$4,"",$A$4+322)</f>
        <v>46345</v>
      </c>
      <c r="N32231" t="str">
        <f>IF(M32231="","",'Master Barang'!A25)</f>
        <v>PRL-024</v>
      </c>
      <c r="O32231" t="str">
        <f>IF(N32231="","",'Master Barang'!B25)</f>
        <v>cikrak kecil</v>
      </c>
      <c r="P32231">
        <f>IF(OR(M32231="",N32231=""),"",SUMIFS('Barang Keluar'!$E:$E,'Barang Keluar'!$A:$A,M32231,'Barang Keluar'!$C:$C,N32231))</f>
        <v>0</v>
      </c>
    </row>
    <row r="32232" spans="13:16">
      <c r="M32232" s="49">
        <f>IF($A$4+322&gt;$B$4,"",$A$4+322)</f>
        <v>46345</v>
      </c>
      <c r="N32232" t="str">
        <f>IF(M32232="","",'Master Barang'!A26)</f>
        <v>PRL-025</v>
      </c>
      <c r="O32232" t="str">
        <f>IF(N32232="","",'Master Barang'!B26)</f>
        <v>petromax plastik kecil 12x24 100 lembar</v>
      </c>
      <c r="P32232">
        <f>IF(OR(M32232="",N32232=""),"",SUMIFS('Barang Keluar'!$E:$E,'Barang Keluar'!$A:$A,M32232,'Barang Keluar'!$C:$C,N32232))</f>
        <v>0</v>
      </c>
    </row>
    <row r="32233" spans="13:16">
      <c r="M32233" s="49">
        <f>IF($A$4+322&gt;$B$4,"",$A$4+322)</f>
        <v>46345</v>
      </c>
      <c r="N32233" t="str">
        <f>IF(M32233="","",'Master Barang'!A27)</f>
        <v>PRL-026</v>
      </c>
      <c r="O32233" t="str">
        <f>IF(N32233="","",'Master Barang'!B27)</f>
        <v>lancar kresek kecil bening </v>
      </c>
      <c r="P32233">
        <f>IF(OR(M32233="",N32233=""),"",SUMIFS('Barang Keluar'!$E:$E,'Barang Keluar'!$A:$A,M32233,'Barang Keluar'!$C:$C,N32233))</f>
        <v>0</v>
      </c>
    </row>
    <row r="32234" spans="13:16">
      <c r="M32234" s="49">
        <f>IF($A$4+322&gt;$B$4,"",$A$4+322)</f>
        <v>46345</v>
      </c>
      <c r="N32234" t="str">
        <f>IF(M32234="","",'Master Barang'!A28)</f>
        <v>PRL-027</v>
      </c>
      <c r="O32234" t="str">
        <f>IF(N32234="","",'Master Barang'!B28)</f>
        <v>kresek klin warna warni kecil</v>
      </c>
      <c r="P32234">
        <f>IF(OR(M32234="",N32234=""),"",SUMIFS('Barang Keluar'!$E:$E,'Barang Keluar'!$A:$A,M32234,'Barang Keluar'!$C:$C,N32234))</f>
        <v>0</v>
      </c>
    </row>
    <row r="32235" spans="13:16">
      <c r="M32235" s="49">
        <f>IF($A$4+322&gt;$B$4,"",$A$4+322)</f>
        <v>46345</v>
      </c>
      <c r="N32235" t="str">
        <f>IF(M32235="","",'Master Barang'!A29)</f>
        <v>PRL-028</v>
      </c>
      <c r="O32235" t="str">
        <f>IF(N32235="","",'Master Barang'!B29)</f>
        <v>ctik plastik 7x10 100 pcs</v>
      </c>
      <c r="P32235">
        <f>IF(OR(M32235="",N32235=""),"",SUMIFS('Barang Keluar'!$E:$E,'Barang Keluar'!$A:$A,M32235,'Barang Keluar'!$C:$C,N32235))</f>
        <v>0</v>
      </c>
    </row>
    <row r="32236" spans="13:16">
      <c r="M32236" s="49">
        <f>IF($A$4+322&gt;$B$4,"",$A$4+322)</f>
        <v>46345</v>
      </c>
      <c r="N32236" t="str">
        <f>IF(M32236="","",'Master Barang'!A30)</f>
        <v>PRL-029</v>
      </c>
      <c r="O32236" t="str">
        <f>IF(N32236="","",'Master Barang'!B30)</f>
        <v>ctik plastik 6x10 100 pcs</v>
      </c>
      <c r="P32236">
        <f>IF(OR(M32236="",N32236=""),"",SUMIFS('Barang Keluar'!$E:$E,'Barang Keluar'!$A:$A,M32236,'Barang Keluar'!$C:$C,N32236))</f>
        <v>0</v>
      </c>
    </row>
    <row r="32237" spans="13:16">
      <c r="M32237" s="49">
        <f>IF($A$4+322&gt;$B$4,"",$A$4+322)</f>
        <v>46345</v>
      </c>
      <c r="N32237" t="str">
        <f>IF(M32237="","",'Master Barang'!A31)</f>
        <v>PRL-030</v>
      </c>
      <c r="O32237" t="str">
        <f>IF(N32237="","",'Master Barang'!B31)</f>
        <v>klip plastik 25x16 100 pcs</v>
      </c>
      <c r="P32237">
        <f>IF(OR(M32237="",N32237=""),"",SUMIFS('Barang Keluar'!$E:$E,'Barang Keluar'!$A:$A,M32237,'Barang Keluar'!$C:$C,N32237))</f>
        <v>0</v>
      </c>
    </row>
    <row r="32238" spans="13:16">
      <c r="M32238" s="49">
        <f>IF($A$4+322&gt;$B$4,"",$A$4+322)</f>
        <v>46345</v>
      </c>
      <c r="N32238" t="str">
        <f>IF(M32238="","",'Master Barang'!A32)</f>
        <v>PRL-031</v>
      </c>
      <c r="O32238" t="str">
        <f>IF(N32238="","",'Master Barang'!B32)</f>
        <v>tempat saus 20 ml</v>
      </c>
      <c r="P32238">
        <f>IF(OR(M32238="",N32238=""),"",SUMIFS('Barang Keluar'!$E:$E,'Barang Keluar'!$A:$A,M32238,'Barang Keluar'!$C:$C,N32238))</f>
        <v>0</v>
      </c>
    </row>
    <row r="32239" spans="13:16">
      <c r="M32239" s="49">
        <f>IF($A$4+322&gt;$B$4,"",$A$4+322)</f>
        <v>46345</v>
      </c>
      <c r="N32239" t="str">
        <f>IF(M32239="","",'Master Barang'!A33)</f>
        <v>PRL-032</v>
      </c>
      <c r="O32239" t="str">
        <f>IF(N32239="","",'Master Barang'!B33)</f>
        <v>plastik packaging ag box uk sedang</v>
      </c>
      <c r="P32239">
        <f>IF(OR(M32239="",N32239=""),"",SUMIFS('Barang Keluar'!$E:$E,'Barang Keluar'!$A:$A,M32239,'Barang Keluar'!$C:$C,N32239))</f>
        <v>0</v>
      </c>
    </row>
    <row r="32240" spans="13:16">
      <c r="M32240" s="49">
        <f>IF($A$4+322&gt;$B$4,"",$A$4+322)</f>
        <v>46345</v>
      </c>
      <c r="N32240" t="str">
        <f>IF(M32240="","",'Master Barang'!A34)</f>
        <v>PRL-033</v>
      </c>
      <c r="O32240">
        <f>IF(N32240="","",'Master Barang'!B34)</f>
        <v>0</v>
      </c>
      <c r="P32240">
        <f>IF(OR(M32240="",N32240=""),"",SUMIFS('Barang Keluar'!$E:$E,'Barang Keluar'!$A:$A,M32240,'Barang Keluar'!$C:$C,N32240))</f>
        <v>0</v>
      </c>
    </row>
    <row r="32241" spans="13:16">
      <c r="M32241" s="49">
        <f>IF($A$4+322&gt;$B$4,"",$A$4+322)</f>
        <v>46345</v>
      </c>
      <c r="N32241">
        <f>IF(M32241="","",'Master Barang'!A35)</f>
        <v>0</v>
      </c>
      <c r="O32241">
        <f>IF(N32241="","",'Master Barang'!B35)</f>
        <v>0</v>
      </c>
      <c r="P32241">
        <f>IF(OR(M32241="",N32241=""),"",SUMIFS('Barang Keluar'!$E:$E,'Barang Keluar'!$A:$A,M32241,'Barang Keluar'!$C:$C,N32241))</f>
        <v>0</v>
      </c>
    </row>
    <row r="32242" spans="13:16">
      <c r="M32242" s="49">
        <f>IF($A$4+322&gt;$B$4,"",$A$4+322)</f>
        <v>46345</v>
      </c>
      <c r="N32242">
        <f>IF(M32242="","",'Master Barang'!A36)</f>
        <v>0</v>
      </c>
      <c r="O32242">
        <f>IF(N32242="","",'Master Barang'!B36)</f>
        <v>0</v>
      </c>
      <c r="P32242">
        <f>IF(OR(M32242="",N32242=""),"",SUMIFS('Barang Keluar'!$E:$E,'Barang Keluar'!$A:$A,M32242,'Barang Keluar'!$C:$C,N32242))</f>
        <v>0</v>
      </c>
    </row>
    <row r="32243" spans="13:16">
      <c r="M32243" s="49">
        <f>IF($A$4+322&gt;$B$4,"",$A$4+322)</f>
        <v>46345</v>
      </c>
      <c r="N32243">
        <f>IF(M32243="","",'Master Barang'!A37)</f>
        <v>0</v>
      </c>
      <c r="O32243">
        <f>IF(N32243="","",'Master Barang'!B37)</f>
        <v>0</v>
      </c>
      <c r="P32243">
        <f>IF(OR(M32243="",N32243=""),"",SUMIFS('Barang Keluar'!$E:$E,'Barang Keluar'!$A:$A,M32243,'Barang Keluar'!$C:$C,N32243))</f>
        <v>0</v>
      </c>
    </row>
    <row r="32244" spans="13:16">
      <c r="M32244" s="49">
        <f>IF($A$4+322&gt;$B$4,"",$A$4+322)</f>
        <v>46345</v>
      </c>
      <c r="N32244">
        <f>IF(M32244="","",'Master Barang'!A38)</f>
        <v>0</v>
      </c>
      <c r="O32244">
        <f>IF(N32244="","",'Master Barang'!B38)</f>
        <v>0</v>
      </c>
      <c r="P32244">
        <f>IF(OR(M32244="",N32244=""),"",SUMIFS('Barang Keluar'!$E:$E,'Barang Keluar'!$A:$A,M32244,'Barang Keluar'!$C:$C,N32244))</f>
        <v>0</v>
      </c>
    </row>
    <row r="32245" spans="13:16">
      <c r="M32245" s="49">
        <f>IF($A$4+322&gt;$B$4,"",$A$4+322)</f>
        <v>46345</v>
      </c>
      <c r="N32245">
        <f>IF(M32245="","",'Master Barang'!A39)</f>
        <v>0</v>
      </c>
      <c r="O32245">
        <f>IF(N32245="","",'Master Barang'!B39)</f>
        <v>0</v>
      </c>
      <c r="P32245">
        <f>IF(OR(M32245="",N32245=""),"",SUMIFS('Barang Keluar'!$E:$E,'Barang Keluar'!$A:$A,M32245,'Barang Keluar'!$C:$C,N32245))</f>
        <v>0</v>
      </c>
    </row>
    <row r="32246" spans="13:16">
      <c r="M32246" s="49">
        <f>IF($A$4+322&gt;$B$4,"",$A$4+322)</f>
        <v>46345</v>
      </c>
      <c r="N32246">
        <f>IF(M32246="","",'Master Barang'!A40)</f>
        <v>0</v>
      </c>
      <c r="O32246">
        <f>IF(N32246="","",'Master Barang'!B40)</f>
        <v>0</v>
      </c>
      <c r="P32246">
        <f>IF(OR(M32246="",N32246=""),"",SUMIFS('Barang Keluar'!$E:$E,'Barang Keluar'!$A:$A,M32246,'Barang Keluar'!$C:$C,N32246))</f>
        <v>0</v>
      </c>
    </row>
    <row r="32247" spans="13:16">
      <c r="M32247" s="49">
        <f>IF($A$4+322&gt;$B$4,"",$A$4+322)</f>
        <v>46345</v>
      </c>
      <c r="N32247">
        <f>IF(M32247="","",'Master Barang'!A41)</f>
        <v>0</v>
      </c>
      <c r="O32247">
        <f>IF(N32247="","",'Master Barang'!B41)</f>
        <v>0</v>
      </c>
      <c r="P32247">
        <f>IF(OR(M32247="",N32247=""),"",SUMIFS('Barang Keluar'!$E:$E,'Barang Keluar'!$A:$A,M32247,'Barang Keluar'!$C:$C,N32247))</f>
        <v>0</v>
      </c>
    </row>
    <row r="32248" spans="13:16">
      <c r="M32248" s="49">
        <f>IF($A$4+322&gt;$B$4,"",$A$4+322)</f>
        <v>46345</v>
      </c>
      <c r="N32248">
        <f>IF(M32248="","",'Master Barang'!A42)</f>
        <v>0</v>
      </c>
      <c r="O32248">
        <f>IF(N32248="","",'Master Barang'!B42)</f>
        <v>0</v>
      </c>
      <c r="P32248">
        <f>IF(OR(M32248="",N32248=""),"",SUMIFS('Barang Keluar'!$E:$E,'Barang Keluar'!$A:$A,M32248,'Barang Keluar'!$C:$C,N32248))</f>
        <v>0</v>
      </c>
    </row>
    <row r="32249" spans="13:16">
      <c r="M32249" s="49">
        <f>IF($A$4+322&gt;$B$4,"",$A$4+322)</f>
        <v>46345</v>
      </c>
      <c r="N32249">
        <f>IF(M32249="","",'Master Barang'!A43)</f>
        <v>0</v>
      </c>
      <c r="O32249">
        <f>IF(N32249="","",'Master Barang'!B43)</f>
        <v>0</v>
      </c>
      <c r="P32249">
        <f>IF(OR(M32249="",N32249=""),"",SUMIFS('Barang Keluar'!$E:$E,'Barang Keluar'!$A:$A,M32249,'Barang Keluar'!$C:$C,N32249))</f>
        <v>0</v>
      </c>
    </row>
    <row r="32250" spans="13:16">
      <c r="M32250" s="49">
        <f>IF($A$4+322&gt;$B$4,"",$A$4+322)</f>
        <v>46345</v>
      </c>
      <c r="N32250">
        <f>IF(M32250="","",'Master Barang'!A44)</f>
        <v>0</v>
      </c>
      <c r="O32250">
        <f>IF(N32250="","",'Master Barang'!B44)</f>
        <v>0</v>
      </c>
      <c r="P32250">
        <f>IF(OR(M32250="",N32250=""),"",SUMIFS('Barang Keluar'!$E:$E,'Barang Keluar'!$A:$A,M32250,'Barang Keluar'!$C:$C,N32250))</f>
        <v>0</v>
      </c>
    </row>
    <row r="32251" spans="13:16">
      <c r="M32251" s="49">
        <f>IF($A$4+322&gt;$B$4,"",$A$4+322)</f>
        <v>46345</v>
      </c>
      <c r="N32251">
        <f>IF(M32251="","",'Master Barang'!A45)</f>
        <v>0</v>
      </c>
      <c r="O32251">
        <f>IF(N32251="","",'Master Barang'!B45)</f>
        <v>0</v>
      </c>
      <c r="P32251">
        <f>IF(OR(M32251="",N32251=""),"",SUMIFS('Barang Keluar'!$E:$E,'Barang Keluar'!$A:$A,M32251,'Barang Keluar'!$C:$C,N32251))</f>
        <v>0</v>
      </c>
    </row>
    <row r="32252" spans="13:16">
      <c r="M32252" s="49">
        <f>IF($A$4+322&gt;$B$4,"",$A$4+322)</f>
        <v>46345</v>
      </c>
      <c r="N32252">
        <f>IF(M32252="","",'Master Barang'!A46)</f>
        <v>0</v>
      </c>
      <c r="O32252">
        <f>IF(N32252="","",'Master Barang'!B46)</f>
        <v>0</v>
      </c>
      <c r="P32252">
        <f>IF(OR(M32252="",N32252=""),"",SUMIFS('Barang Keluar'!$E:$E,'Barang Keluar'!$A:$A,M32252,'Barang Keluar'!$C:$C,N32252))</f>
        <v>0</v>
      </c>
    </row>
    <row r="32253" spans="13:16">
      <c r="M32253" s="49">
        <f>IF($A$4+322&gt;$B$4,"",$A$4+322)</f>
        <v>46345</v>
      </c>
      <c r="N32253">
        <f>IF(M32253="","",'Master Barang'!A47)</f>
        <v>0</v>
      </c>
      <c r="O32253">
        <f>IF(N32253="","",'Master Barang'!B47)</f>
        <v>0</v>
      </c>
      <c r="P32253">
        <f>IF(OR(M32253="",N32253=""),"",SUMIFS('Barang Keluar'!$E:$E,'Barang Keluar'!$A:$A,M32253,'Barang Keluar'!$C:$C,N32253))</f>
        <v>0</v>
      </c>
    </row>
    <row r="32254" spans="13:16">
      <c r="M32254" s="49">
        <f>IF($A$4+322&gt;$B$4,"",$A$4+322)</f>
        <v>46345</v>
      </c>
      <c r="N32254">
        <f>IF(M32254="","",'Master Barang'!A48)</f>
        <v>0</v>
      </c>
      <c r="O32254">
        <f>IF(N32254="","",'Master Barang'!B48)</f>
        <v>0</v>
      </c>
      <c r="P32254">
        <f>IF(OR(M32254="",N32254=""),"",SUMIFS('Barang Keluar'!$E:$E,'Barang Keluar'!$A:$A,M32254,'Barang Keluar'!$C:$C,N32254))</f>
        <v>0</v>
      </c>
    </row>
    <row r="32255" spans="13:16">
      <c r="M32255" s="49">
        <f>IF($A$4+322&gt;$B$4,"",$A$4+322)</f>
        <v>46345</v>
      </c>
      <c r="N32255">
        <f>IF(M32255="","",'Master Barang'!A49)</f>
        <v>0</v>
      </c>
      <c r="O32255">
        <f>IF(N32255="","",'Master Barang'!B49)</f>
        <v>0</v>
      </c>
      <c r="P32255">
        <f>IF(OR(M32255="",N32255=""),"",SUMIFS('Barang Keluar'!$E:$E,'Barang Keluar'!$A:$A,M32255,'Barang Keluar'!$C:$C,N32255))</f>
        <v>0</v>
      </c>
    </row>
    <row r="32256" spans="13:16">
      <c r="M32256" s="49">
        <f>IF($A$4+322&gt;$B$4,"",$A$4+322)</f>
        <v>46345</v>
      </c>
      <c r="N32256">
        <f>IF(M32256="","",'Master Barang'!A50)</f>
        <v>0</v>
      </c>
      <c r="O32256">
        <f>IF(N32256="","",'Master Barang'!B50)</f>
        <v>0</v>
      </c>
      <c r="P32256">
        <f>IF(OR(M32256="",N32256=""),"",SUMIFS('Barang Keluar'!$E:$E,'Barang Keluar'!$A:$A,M32256,'Barang Keluar'!$C:$C,N32256))</f>
        <v>0</v>
      </c>
    </row>
    <row r="32257" spans="13:16">
      <c r="M32257" s="49">
        <f>IF($A$4+322&gt;$B$4,"",$A$4+322)</f>
        <v>46345</v>
      </c>
      <c r="N32257">
        <f>IF(M32257="","",'Master Barang'!A51)</f>
        <v>0</v>
      </c>
      <c r="O32257">
        <f>IF(N32257="","",'Master Barang'!B51)</f>
        <v>0</v>
      </c>
      <c r="P32257">
        <f>IF(OR(M32257="",N32257=""),"",SUMIFS('Barang Keluar'!$E:$E,'Barang Keluar'!$A:$A,M32257,'Barang Keluar'!$C:$C,N32257))</f>
        <v>0</v>
      </c>
    </row>
    <row r="32258" spans="13:16">
      <c r="M32258" s="49">
        <f>IF($A$4+322&gt;$B$4,"",$A$4+322)</f>
        <v>46345</v>
      </c>
      <c r="N32258">
        <f>IF(M32258="","",'Master Barang'!A52)</f>
        <v>0</v>
      </c>
      <c r="O32258">
        <f>IF(N32258="","",'Master Barang'!B52)</f>
        <v>0</v>
      </c>
      <c r="P32258">
        <f>IF(OR(M32258="",N32258=""),"",SUMIFS('Barang Keluar'!$E:$E,'Barang Keluar'!$A:$A,M32258,'Barang Keluar'!$C:$C,N32258))</f>
        <v>0</v>
      </c>
    </row>
    <row r="32259" spans="13:16">
      <c r="M32259" s="49">
        <f>IF($A$4+322&gt;$B$4,"",$A$4+322)</f>
        <v>46345</v>
      </c>
      <c r="N32259">
        <f>IF(M32259="","",'Master Barang'!A53)</f>
        <v>0</v>
      </c>
      <c r="O32259">
        <f>IF(N32259="","",'Master Barang'!B53)</f>
        <v>0</v>
      </c>
      <c r="P32259">
        <f>IF(OR(M32259="",N32259=""),"",SUMIFS('Barang Keluar'!$E:$E,'Barang Keluar'!$A:$A,M32259,'Barang Keluar'!$C:$C,N32259))</f>
        <v>0</v>
      </c>
    </row>
    <row r="32260" spans="13:16">
      <c r="M32260" s="49">
        <f>IF($A$4+322&gt;$B$4,"",$A$4+322)</f>
        <v>46345</v>
      </c>
      <c r="N32260">
        <f>IF(M32260="","",'Master Barang'!A54)</f>
        <v>0</v>
      </c>
      <c r="O32260">
        <f>IF(N32260="","",'Master Barang'!B54)</f>
        <v>0</v>
      </c>
      <c r="P32260">
        <f>IF(OR(M32260="",N32260=""),"",SUMIFS('Barang Keluar'!$E:$E,'Barang Keluar'!$A:$A,M32260,'Barang Keluar'!$C:$C,N32260))</f>
        <v>0</v>
      </c>
    </row>
    <row r="32261" spans="13:16">
      <c r="M32261" s="49">
        <f>IF($A$4+322&gt;$B$4,"",$A$4+322)</f>
        <v>46345</v>
      </c>
      <c r="N32261">
        <f>IF(M32261="","",'Master Barang'!A55)</f>
        <v>0</v>
      </c>
      <c r="O32261">
        <f>IF(N32261="","",'Master Barang'!B55)</f>
        <v>0</v>
      </c>
      <c r="P32261">
        <f>IF(OR(M32261="",N32261=""),"",SUMIFS('Barang Keluar'!$E:$E,'Barang Keluar'!$A:$A,M32261,'Barang Keluar'!$C:$C,N32261))</f>
        <v>0</v>
      </c>
    </row>
    <row r="32262" spans="13:16">
      <c r="M32262" s="49">
        <f>IF($A$4+322&gt;$B$4,"",$A$4+322)</f>
        <v>46345</v>
      </c>
      <c r="N32262">
        <f>IF(M32262="","",'Master Barang'!A56)</f>
        <v>0</v>
      </c>
      <c r="O32262">
        <f>IF(N32262="","",'Master Barang'!B56)</f>
        <v>0</v>
      </c>
      <c r="P32262">
        <f>IF(OR(M32262="",N32262=""),"",SUMIFS('Barang Keluar'!$E:$E,'Barang Keluar'!$A:$A,M32262,'Barang Keluar'!$C:$C,N32262))</f>
        <v>0</v>
      </c>
    </row>
    <row r="32263" spans="13:16">
      <c r="M32263" s="49">
        <f>IF($A$4+322&gt;$B$4,"",$A$4+322)</f>
        <v>46345</v>
      </c>
      <c r="N32263">
        <f>IF(M32263="","",'Master Barang'!A57)</f>
        <v>0</v>
      </c>
      <c r="O32263">
        <f>IF(N32263="","",'Master Barang'!B57)</f>
        <v>0</v>
      </c>
      <c r="P32263">
        <f>IF(OR(M32263="",N32263=""),"",SUMIFS('Barang Keluar'!$E:$E,'Barang Keluar'!$A:$A,M32263,'Barang Keluar'!$C:$C,N32263))</f>
        <v>0</v>
      </c>
    </row>
    <row r="32264" spans="13:16">
      <c r="M32264" s="49">
        <f>IF($A$4+322&gt;$B$4,"",$A$4+322)</f>
        <v>46345</v>
      </c>
      <c r="N32264">
        <f>IF(M32264="","",'Master Barang'!A58)</f>
        <v>0</v>
      </c>
      <c r="O32264">
        <f>IF(N32264="","",'Master Barang'!B58)</f>
        <v>0</v>
      </c>
      <c r="P32264">
        <f>IF(OR(M32264="",N32264=""),"",SUMIFS('Barang Keluar'!$E:$E,'Barang Keluar'!$A:$A,M32264,'Barang Keluar'!$C:$C,N32264))</f>
        <v>0</v>
      </c>
    </row>
    <row r="32265" spans="13:16">
      <c r="M32265" s="49">
        <f>IF($A$4+322&gt;$B$4,"",$A$4+322)</f>
        <v>46345</v>
      </c>
      <c r="N32265">
        <f>IF(M32265="","",'Master Barang'!A59)</f>
        <v>0</v>
      </c>
      <c r="O32265">
        <f>IF(N32265="","",'Master Barang'!B59)</f>
        <v>0</v>
      </c>
      <c r="P32265">
        <f>IF(OR(M32265="",N32265=""),"",SUMIFS('Barang Keluar'!$E:$E,'Barang Keluar'!$A:$A,M32265,'Barang Keluar'!$C:$C,N32265))</f>
        <v>0</v>
      </c>
    </row>
    <row r="32266" spans="13:16">
      <c r="M32266" s="49">
        <f>IF($A$4+322&gt;$B$4,"",$A$4+322)</f>
        <v>46345</v>
      </c>
      <c r="N32266">
        <f>IF(M32266="","",'Master Barang'!A60)</f>
        <v>0</v>
      </c>
      <c r="O32266">
        <f>IF(N32266="","",'Master Barang'!B60)</f>
        <v>0</v>
      </c>
      <c r="P32266">
        <f>IF(OR(M32266="",N32266=""),"",SUMIFS('Barang Keluar'!$E:$E,'Barang Keluar'!$A:$A,M32266,'Barang Keluar'!$C:$C,N32266))</f>
        <v>0</v>
      </c>
    </row>
    <row r="32267" spans="13:16">
      <c r="M32267" s="49">
        <f>IF($A$4+322&gt;$B$4,"",$A$4+322)</f>
        <v>46345</v>
      </c>
      <c r="N32267">
        <f>IF(M32267="","",'Master Barang'!A61)</f>
        <v>0</v>
      </c>
      <c r="O32267">
        <f>IF(N32267="","",'Master Barang'!B61)</f>
        <v>0</v>
      </c>
      <c r="P32267">
        <f>IF(OR(M32267="",N32267=""),"",SUMIFS('Barang Keluar'!$E:$E,'Barang Keluar'!$A:$A,M32267,'Barang Keluar'!$C:$C,N32267))</f>
        <v>0</v>
      </c>
    </row>
    <row r="32268" spans="13:16">
      <c r="M32268" s="49">
        <f>IF($A$4+322&gt;$B$4,"",$A$4+322)</f>
        <v>46345</v>
      </c>
      <c r="N32268">
        <f>IF(M32268="","",'Master Barang'!A62)</f>
        <v>0</v>
      </c>
      <c r="O32268">
        <f>IF(N32268="","",'Master Barang'!B62)</f>
        <v>0</v>
      </c>
      <c r="P32268">
        <f>IF(OR(M32268="",N32268=""),"",SUMIFS('Barang Keluar'!$E:$E,'Barang Keluar'!$A:$A,M32268,'Barang Keluar'!$C:$C,N32268))</f>
        <v>0</v>
      </c>
    </row>
    <row r="32269" spans="13:16">
      <c r="M32269" s="49">
        <f>IF($A$4+322&gt;$B$4,"",$A$4+322)</f>
        <v>46345</v>
      </c>
      <c r="N32269">
        <f>IF(M32269="","",'Master Barang'!A63)</f>
        <v>0</v>
      </c>
      <c r="O32269">
        <f>IF(N32269="","",'Master Barang'!B63)</f>
        <v>0</v>
      </c>
      <c r="P32269">
        <f>IF(OR(M32269="",N32269=""),"",SUMIFS('Barang Keluar'!$E:$E,'Barang Keluar'!$A:$A,M32269,'Barang Keluar'!$C:$C,N32269))</f>
        <v>0</v>
      </c>
    </row>
    <row r="32270" spans="13:16">
      <c r="M32270" s="49">
        <f>IF($A$4+322&gt;$B$4,"",$A$4+322)</f>
        <v>46345</v>
      </c>
      <c r="N32270">
        <f>IF(M32270="","",'Master Barang'!A64)</f>
        <v>0</v>
      </c>
      <c r="O32270">
        <f>IF(N32270="","",'Master Barang'!B64)</f>
        <v>0</v>
      </c>
      <c r="P32270">
        <f>IF(OR(M32270="",N32270=""),"",SUMIFS('Barang Keluar'!$E:$E,'Barang Keluar'!$A:$A,M32270,'Barang Keluar'!$C:$C,N32270))</f>
        <v>0</v>
      </c>
    </row>
    <row r="32271" spans="13:16">
      <c r="M32271" s="49">
        <f>IF($A$4+322&gt;$B$4,"",$A$4+322)</f>
        <v>46345</v>
      </c>
      <c r="N32271">
        <f>IF(M32271="","",'Master Barang'!A65)</f>
        <v>0</v>
      </c>
      <c r="O32271">
        <f>IF(N32271="","",'Master Barang'!B65)</f>
        <v>0</v>
      </c>
      <c r="P32271">
        <f>IF(OR(M32271="",N32271=""),"",SUMIFS('Barang Keluar'!$E:$E,'Barang Keluar'!$A:$A,M32271,'Barang Keluar'!$C:$C,N32271))</f>
        <v>0</v>
      </c>
    </row>
    <row r="32272" spans="13:16">
      <c r="M32272" s="49">
        <f>IF($A$4+322&gt;$B$4,"",$A$4+322)</f>
        <v>46345</v>
      </c>
      <c r="N32272">
        <f>IF(M32272="","",'Master Barang'!A66)</f>
        <v>0</v>
      </c>
      <c r="O32272">
        <f>IF(N32272="","",'Master Barang'!B66)</f>
        <v>0</v>
      </c>
      <c r="P32272">
        <f>IF(OR(M32272="",N32272=""),"",SUMIFS('Barang Keluar'!$E:$E,'Barang Keluar'!$A:$A,M32272,'Barang Keluar'!$C:$C,N32272))</f>
        <v>0</v>
      </c>
    </row>
    <row r="32273" spans="13:16">
      <c r="M32273" s="49">
        <f>IF($A$4+322&gt;$B$4,"",$A$4+322)</f>
        <v>46345</v>
      </c>
      <c r="N32273">
        <f>IF(M32273="","",'Master Barang'!A67)</f>
        <v>0</v>
      </c>
      <c r="O32273">
        <f>IF(N32273="","",'Master Barang'!B67)</f>
        <v>0</v>
      </c>
      <c r="P32273">
        <f>IF(OR(M32273="",N32273=""),"",SUMIFS('Barang Keluar'!$E:$E,'Barang Keluar'!$A:$A,M32273,'Barang Keluar'!$C:$C,N32273))</f>
        <v>0</v>
      </c>
    </row>
    <row r="32274" spans="13:16">
      <c r="M32274" s="49">
        <f>IF($A$4+322&gt;$B$4,"",$A$4+322)</f>
        <v>46345</v>
      </c>
      <c r="N32274">
        <f>IF(M32274="","",'Master Barang'!A68)</f>
        <v>0</v>
      </c>
      <c r="O32274">
        <f>IF(N32274="","",'Master Barang'!B68)</f>
        <v>0</v>
      </c>
      <c r="P32274">
        <f>IF(OR(M32274="",N32274=""),"",SUMIFS('Barang Keluar'!$E:$E,'Barang Keluar'!$A:$A,M32274,'Barang Keluar'!$C:$C,N32274))</f>
        <v>0</v>
      </c>
    </row>
    <row r="32275" spans="13:16">
      <c r="M32275" s="49">
        <f>IF($A$4+322&gt;$B$4,"",$A$4+322)</f>
        <v>46345</v>
      </c>
      <c r="N32275">
        <f>IF(M32275="","",'Master Barang'!A69)</f>
        <v>0</v>
      </c>
      <c r="O32275">
        <f>IF(N32275="","",'Master Barang'!B69)</f>
        <v>0</v>
      </c>
      <c r="P32275">
        <f>IF(OR(M32275="",N32275=""),"",SUMIFS('Barang Keluar'!$E:$E,'Barang Keluar'!$A:$A,M32275,'Barang Keluar'!$C:$C,N32275))</f>
        <v>0</v>
      </c>
    </row>
    <row r="32276" spans="13:16">
      <c r="M32276" s="49">
        <f>IF($A$4+322&gt;$B$4,"",$A$4+322)</f>
        <v>46345</v>
      </c>
      <c r="N32276">
        <f>IF(M32276="","",'Master Barang'!A70)</f>
        <v>0</v>
      </c>
      <c r="O32276">
        <f>IF(N32276="","",'Master Barang'!B70)</f>
        <v>0</v>
      </c>
      <c r="P32276">
        <f>IF(OR(M32276="",N32276=""),"",SUMIFS('Barang Keluar'!$E:$E,'Barang Keluar'!$A:$A,M32276,'Barang Keluar'!$C:$C,N32276))</f>
        <v>0</v>
      </c>
    </row>
    <row r="32277" spans="13:16">
      <c r="M32277" s="49">
        <f>IF($A$4+322&gt;$B$4,"",$A$4+322)</f>
        <v>46345</v>
      </c>
      <c r="N32277">
        <f>IF(M32277="","",'Master Barang'!A71)</f>
        <v>0</v>
      </c>
      <c r="O32277">
        <f>IF(N32277="","",'Master Barang'!B71)</f>
        <v>0</v>
      </c>
      <c r="P32277">
        <f>IF(OR(M32277="",N32277=""),"",SUMIFS('Barang Keluar'!$E:$E,'Barang Keluar'!$A:$A,M32277,'Barang Keluar'!$C:$C,N32277))</f>
        <v>0</v>
      </c>
    </row>
    <row r="32278" spans="13:16">
      <c r="M32278" s="49">
        <f>IF($A$4+322&gt;$B$4,"",$A$4+322)</f>
        <v>46345</v>
      </c>
      <c r="N32278">
        <f>IF(M32278="","",'Master Barang'!A72)</f>
        <v>0</v>
      </c>
      <c r="O32278">
        <f>IF(N32278="","",'Master Barang'!B72)</f>
        <v>0</v>
      </c>
      <c r="P32278">
        <f>IF(OR(M32278="",N32278=""),"",SUMIFS('Barang Keluar'!$E:$E,'Barang Keluar'!$A:$A,M32278,'Barang Keluar'!$C:$C,N32278))</f>
        <v>0</v>
      </c>
    </row>
    <row r="32279" spans="13:16">
      <c r="M32279" s="49">
        <f>IF($A$4+322&gt;$B$4,"",$A$4+322)</f>
        <v>46345</v>
      </c>
      <c r="N32279">
        <f>IF(M32279="","",'Master Barang'!A73)</f>
        <v>0</v>
      </c>
      <c r="O32279">
        <f>IF(N32279="","",'Master Barang'!B73)</f>
        <v>0</v>
      </c>
      <c r="P32279">
        <f>IF(OR(M32279="",N32279=""),"",SUMIFS('Barang Keluar'!$E:$E,'Barang Keluar'!$A:$A,M32279,'Barang Keluar'!$C:$C,N32279))</f>
        <v>0</v>
      </c>
    </row>
    <row r="32280" spans="13:16">
      <c r="M32280" s="49">
        <f>IF($A$4+322&gt;$B$4,"",$A$4+322)</f>
        <v>46345</v>
      </c>
      <c r="N32280">
        <f>IF(M32280="","",'Master Barang'!A74)</f>
        <v>0</v>
      </c>
      <c r="O32280">
        <f>IF(N32280="","",'Master Barang'!B74)</f>
        <v>0</v>
      </c>
      <c r="P32280">
        <f>IF(OR(M32280="",N32280=""),"",SUMIFS('Barang Keluar'!$E:$E,'Barang Keluar'!$A:$A,M32280,'Barang Keluar'!$C:$C,N32280))</f>
        <v>0</v>
      </c>
    </row>
    <row r="32281" spans="13:16">
      <c r="M32281" s="49">
        <f>IF($A$4+322&gt;$B$4,"",$A$4+322)</f>
        <v>46345</v>
      </c>
      <c r="N32281">
        <f>IF(M32281="","",'Master Barang'!A75)</f>
        <v>0</v>
      </c>
      <c r="O32281">
        <f>IF(N32281="","",'Master Barang'!B75)</f>
        <v>0</v>
      </c>
      <c r="P32281">
        <f>IF(OR(M32281="",N32281=""),"",SUMIFS('Barang Keluar'!$E:$E,'Barang Keluar'!$A:$A,M32281,'Barang Keluar'!$C:$C,N32281))</f>
        <v>0</v>
      </c>
    </row>
    <row r="32282" spans="13:16">
      <c r="M32282" s="49">
        <f>IF($A$4+322&gt;$B$4,"",$A$4+322)</f>
        <v>46345</v>
      </c>
      <c r="N32282">
        <f>IF(M32282="","",'Master Barang'!A76)</f>
        <v>0</v>
      </c>
      <c r="O32282">
        <f>IF(N32282="","",'Master Barang'!B76)</f>
        <v>0</v>
      </c>
      <c r="P32282">
        <f>IF(OR(M32282="",N32282=""),"",SUMIFS('Barang Keluar'!$E:$E,'Barang Keluar'!$A:$A,M32282,'Barang Keluar'!$C:$C,N32282))</f>
        <v>0</v>
      </c>
    </row>
    <row r="32283" spans="13:16">
      <c r="M32283" s="49">
        <f>IF($A$4+322&gt;$B$4,"",$A$4+322)</f>
        <v>46345</v>
      </c>
      <c r="N32283">
        <f>IF(M32283="","",'Master Barang'!A77)</f>
        <v>0</v>
      </c>
      <c r="O32283">
        <f>IF(N32283="","",'Master Barang'!B77)</f>
        <v>0</v>
      </c>
      <c r="P32283">
        <f>IF(OR(M32283="",N32283=""),"",SUMIFS('Barang Keluar'!$E:$E,'Barang Keluar'!$A:$A,M32283,'Barang Keluar'!$C:$C,N32283))</f>
        <v>0</v>
      </c>
    </row>
    <row r="32284" spans="13:16">
      <c r="M32284" s="49">
        <f>IF($A$4+322&gt;$B$4,"",$A$4+322)</f>
        <v>46345</v>
      </c>
      <c r="N32284">
        <f>IF(M32284="","",'Master Barang'!A78)</f>
        <v>0</v>
      </c>
      <c r="O32284">
        <f>IF(N32284="","",'Master Barang'!B78)</f>
        <v>0</v>
      </c>
      <c r="P32284">
        <f>IF(OR(M32284="",N32284=""),"",SUMIFS('Barang Keluar'!$E:$E,'Barang Keluar'!$A:$A,M32284,'Barang Keluar'!$C:$C,N32284))</f>
        <v>0</v>
      </c>
    </row>
    <row r="32285" spans="13:16">
      <c r="M32285" s="49">
        <f>IF($A$4+322&gt;$B$4,"",$A$4+322)</f>
        <v>46345</v>
      </c>
      <c r="N32285">
        <f>IF(M32285="","",'Master Barang'!A79)</f>
        <v>0</v>
      </c>
      <c r="O32285">
        <f>IF(N32285="","",'Master Barang'!B79)</f>
        <v>0</v>
      </c>
      <c r="P32285">
        <f>IF(OR(M32285="",N32285=""),"",SUMIFS('Barang Keluar'!$E:$E,'Barang Keluar'!$A:$A,M32285,'Barang Keluar'!$C:$C,N32285))</f>
        <v>0</v>
      </c>
    </row>
    <row r="32286" spans="13:16">
      <c r="M32286" s="49">
        <f>IF($A$4+322&gt;$B$4,"",$A$4+322)</f>
        <v>46345</v>
      </c>
      <c r="N32286">
        <f>IF(M32286="","",'Master Barang'!A80)</f>
        <v>0</v>
      </c>
      <c r="O32286">
        <f>IF(N32286="","",'Master Barang'!B80)</f>
        <v>0</v>
      </c>
      <c r="P32286">
        <f>IF(OR(M32286="",N32286=""),"",SUMIFS('Barang Keluar'!$E:$E,'Barang Keluar'!$A:$A,M32286,'Barang Keluar'!$C:$C,N32286))</f>
        <v>0</v>
      </c>
    </row>
    <row r="32287" spans="13:16">
      <c r="M32287" s="49">
        <f>IF($A$4+322&gt;$B$4,"",$A$4+322)</f>
        <v>46345</v>
      </c>
      <c r="N32287">
        <f>IF(M32287="","",'Master Barang'!A81)</f>
        <v>0</v>
      </c>
      <c r="O32287">
        <f>IF(N32287="","",'Master Barang'!B81)</f>
        <v>0</v>
      </c>
      <c r="P32287">
        <f>IF(OR(M32287="",N32287=""),"",SUMIFS('Barang Keluar'!$E:$E,'Barang Keluar'!$A:$A,M32287,'Barang Keluar'!$C:$C,N32287))</f>
        <v>0</v>
      </c>
    </row>
    <row r="32288" spans="13:16">
      <c r="M32288" s="49">
        <f>IF($A$4+322&gt;$B$4,"",$A$4+322)</f>
        <v>46345</v>
      </c>
      <c r="N32288">
        <f>IF(M32288="","",'Master Barang'!A82)</f>
        <v>0</v>
      </c>
      <c r="O32288">
        <f>IF(N32288="","",'Master Barang'!B82)</f>
        <v>0</v>
      </c>
      <c r="P32288">
        <f>IF(OR(M32288="",N32288=""),"",SUMIFS('Barang Keluar'!$E:$E,'Barang Keluar'!$A:$A,M32288,'Barang Keluar'!$C:$C,N32288))</f>
        <v>0</v>
      </c>
    </row>
    <row r="32289" spans="13:16">
      <c r="M32289" s="49">
        <f>IF($A$4+322&gt;$B$4,"",$A$4+322)</f>
        <v>46345</v>
      </c>
      <c r="N32289">
        <f>IF(M32289="","",'Master Barang'!A83)</f>
        <v>0</v>
      </c>
      <c r="O32289">
        <f>IF(N32289="","",'Master Barang'!B83)</f>
        <v>0</v>
      </c>
      <c r="P32289">
        <f>IF(OR(M32289="",N32289=""),"",SUMIFS('Barang Keluar'!$E:$E,'Barang Keluar'!$A:$A,M32289,'Barang Keluar'!$C:$C,N32289))</f>
        <v>0</v>
      </c>
    </row>
    <row r="32290" spans="13:16">
      <c r="M32290" s="49">
        <f>IF($A$4+322&gt;$B$4,"",$A$4+322)</f>
        <v>46345</v>
      </c>
      <c r="N32290">
        <f>IF(M32290="","",'Master Barang'!A84)</f>
        <v>0</v>
      </c>
      <c r="O32290">
        <f>IF(N32290="","",'Master Barang'!B84)</f>
        <v>0</v>
      </c>
      <c r="P32290">
        <f>IF(OR(M32290="",N32290=""),"",SUMIFS('Barang Keluar'!$E:$E,'Barang Keluar'!$A:$A,M32290,'Barang Keluar'!$C:$C,N32290))</f>
        <v>0</v>
      </c>
    </row>
    <row r="32291" spans="13:16">
      <c r="M32291" s="49">
        <f>IF($A$4+322&gt;$B$4,"",$A$4+322)</f>
        <v>46345</v>
      </c>
      <c r="N32291">
        <f>IF(M32291="","",'Master Barang'!A85)</f>
        <v>0</v>
      </c>
      <c r="O32291">
        <f>IF(N32291="","",'Master Barang'!B85)</f>
        <v>0</v>
      </c>
      <c r="P32291">
        <f>IF(OR(M32291="",N32291=""),"",SUMIFS('Barang Keluar'!$E:$E,'Barang Keluar'!$A:$A,M32291,'Barang Keluar'!$C:$C,N32291))</f>
        <v>0</v>
      </c>
    </row>
    <row r="32292" spans="13:16">
      <c r="M32292" s="49">
        <f>IF($A$4+322&gt;$B$4,"",$A$4+322)</f>
        <v>46345</v>
      </c>
      <c r="N32292">
        <f>IF(M32292="","",'Master Barang'!A86)</f>
        <v>0</v>
      </c>
      <c r="O32292">
        <f>IF(N32292="","",'Master Barang'!B86)</f>
        <v>0</v>
      </c>
      <c r="P32292">
        <f>IF(OR(M32292="",N32292=""),"",SUMIFS('Barang Keluar'!$E:$E,'Barang Keluar'!$A:$A,M32292,'Barang Keluar'!$C:$C,N32292))</f>
        <v>0</v>
      </c>
    </row>
    <row r="32293" spans="13:16">
      <c r="M32293" s="49">
        <f>IF($A$4+322&gt;$B$4,"",$A$4+322)</f>
        <v>46345</v>
      </c>
      <c r="N32293">
        <f>IF(M32293="","",'Master Barang'!A87)</f>
        <v>0</v>
      </c>
      <c r="O32293">
        <f>IF(N32293="","",'Master Barang'!B87)</f>
        <v>0</v>
      </c>
      <c r="P32293">
        <f>IF(OR(M32293="",N32293=""),"",SUMIFS('Barang Keluar'!$E:$E,'Barang Keluar'!$A:$A,M32293,'Barang Keluar'!$C:$C,N32293))</f>
        <v>0</v>
      </c>
    </row>
    <row r="32294" spans="13:16">
      <c r="M32294" s="49">
        <f>IF($A$4+322&gt;$B$4,"",$A$4+322)</f>
        <v>46345</v>
      </c>
      <c r="N32294">
        <f>IF(M32294="","",'Master Barang'!A88)</f>
        <v>0</v>
      </c>
      <c r="O32294">
        <f>IF(N32294="","",'Master Barang'!B88)</f>
        <v>0</v>
      </c>
      <c r="P32294">
        <f>IF(OR(M32294="",N32294=""),"",SUMIFS('Barang Keluar'!$E:$E,'Barang Keluar'!$A:$A,M32294,'Barang Keluar'!$C:$C,N32294))</f>
        <v>0</v>
      </c>
    </row>
    <row r="32295" spans="13:16">
      <c r="M32295" s="49">
        <f>IF($A$4+322&gt;$B$4,"",$A$4+322)</f>
        <v>46345</v>
      </c>
      <c r="N32295">
        <f>IF(M32295="","",'Master Barang'!A89)</f>
        <v>0</v>
      </c>
      <c r="O32295">
        <f>IF(N32295="","",'Master Barang'!B89)</f>
        <v>0</v>
      </c>
      <c r="P32295">
        <f>IF(OR(M32295="",N32295=""),"",SUMIFS('Barang Keluar'!$E:$E,'Barang Keluar'!$A:$A,M32295,'Barang Keluar'!$C:$C,N32295))</f>
        <v>0</v>
      </c>
    </row>
    <row r="32296" spans="13:16">
      <c r="M32296" s="49">
        <f>IF($A$4+322&gt;$B$4,"",$A$4+322)</f>
        <v>46345</v>
      </c>
      <c r="N32296">
        <f>IF(M32296="","",'Master Barang'!A90)</f>
        <v>0</v>
      </c>
      <c r="O32296">
        <f>IF(N32296="","",'Master Barang'!B90)</f>
        <v>0</v>
      </c>
      <c r="P32296">
        <f>IF(OR(M32296="",N32296=""),"",SUMIFS('Barang Keluar'!$E:$E,'Barang Keluar'!$A:$A,M32296,'Barang Keluar'!$C:$C,N32296))</f>
        <v>0</v>
      </c>
    </row>
    <row r="32297" spans="13:16">
      <c r="M32297" s="49">
        <f>IF($A$4+322&gt;$B$4,"",$A$4+322)</f>
        <v>46345</v>
      </c>
      <c r="N32297">
        <f>IF(M32297="","",'Master Barang'!A91)</f>
        <v>0</v>
      </c>
      <c r="O32297">
        <f>IF(N32297="","",'Master Barang'!B91)</f>
        <v>0</v>
      </c>
      <c r="P32297">
        <f>IF(OR(M32297="",N32297=""),"",SUMIFS('Barang Keluar'!$E:$E,'Barang Keluar'!$A:$A,M32297,'Barang Keluar'!$C:$C,N32297))</f>
        <v>0</v>
      </c>
    </row>
    <row r="32298" spans="13:16">
      <c r="M32298" s="49">
        <f>IF($A$4+322&gt;$B$4,"",$A$4+322)</f>
        <v>46345</v>
      </c>
      <c r="N32298">
        <f>IF(M32298="","",'Master Barang'!A92)</f>
        <v>0</v>
      </c>
      <c r="O32298">
        <f>IF(N32298="","",'Master Barang'!B92)</f>
        <v>0</v>
      </c>
      <c r="P32298">
        <f>IF(OR(M32298="",N32298=""),"",SUMIFS('Barang Keluar'!$E:$E,'Barang Keluar'!$A:$A,M32298,'Barang Keluar'!$C:$C,N32298))</f>
        <v>0</v>
      </c>
    </row>
    <row r="32299" spans="13:16">
      <c r="M32299" s="49">
        <f>IF($A$4+322&gt;$B$4,"",$A$4+322)</f>
        <v>46345</v>
      </c>
      <c r="N32299">
        <f>IF(M32299="","",'Master Barang'!A93)</f>
        <v>0</v>
      </c>
      <c r="O32299">
        <f>IF(N32299="","",'Master Barang'!B93)</f>
        <v>0</v>
      </c>
      <c r="P32299">
        <f>IF(OR(M32299="",N32299=""),"",SUMIFS('Barang Keluar'!$E:$E,'Barang Keluar'!$A:$A,M32299,'Barang Keluar'!$C:$C,N32299))</f>
        <v>0</v>
      </c>
    </row>
    <row r="32300" spans="13:16">
      <c r="M32300" s="49">
        <f>IF($A$4+322&gt;$B$4,"",$A$4+322)</f>
        <v>46345</v>
      </c>
      <c r="N32300">
        <f>IF(M32300="","",'Master Barang'!A94)</f>
        <v>0</v>
      </c>
      <c r="O32300">
        <f>IF(N32300="","",'Master Barang'!B94)</f>
        <v>0</v>
      </c>
      <c r="P32300">
        <f>IF(OR(M32300="",N32300=""),"",SUMIFS('Barang Keluar'!$E:$E,'Barang Keluar'!$A:$A,M32300,'Barang Keluar'!$C:$C,N32300))</f>
        <v>0</v>
      </c>
    </row>
    <row r="32301" spans="13:16">
      <c r="M32301" s="49">
        <f>IF($A$4+322&gt;$B$4,"",$A$4+322)</f>
        <v>46345</v>
      </c>
      <c r="N32301">
        <f>IF(M32301="","",'Master Barang'!A95)</f>
        <v>0</v>
      </c>
      <c r="O32301">
        <f>IF(N32301="","",'Master Barang'!B95)</f>
        <v>0</v>
      </c>
      <c r="P32301">
        <f>IF(OR(M32301="",N32301=""),"",SUMIFS('Barang Keluar'!$E:$E,'Barang Keluar'!$A:$A,M32301,'Barang Keluar'!$C:$C,N32301))</f>
        <v>0</v>
      </c>
    </row>
    <row r="32302" spans="13:16">
      <c r="M32302" s="49">
        <f>IF($A$4+322&gt;$B$4,"",$A$4+322)</f>
        <v>46345</v>
      </c>
      <c r="N32302">
        <f>IF(M32302="","",'Master Barang'!A96)</f>
        <v>0</v>
      </c>
      <c r="O32302">
        <f>IF(N32302="","",'Master Barang'!B96)</f>
        <v>0</v>
      </c>
      <c r="P32302">
        <f>IF(OR(M32302="",N32302=""),"",SUMIFS('Barang Keluar'!$E:$E,'Barang Keluar'!$A:$A,M32302,'Barang Keluar'!$C:$C,N32302))</f>
        <v>0</v>
      </c>
    </row>
    <row r="32303" spans="13:16">
      <c r="M32303" s="49">
        <f>IF($A$4+322&gt;$B$4,"",$A$4+322)</f>
        <v>46345</v>
      </c>
      <c r="N32303">
        <f>IF(M32303="","",'Master Barang'!A97)</f>
        <v>0</v>
      </c>
      <c r="O32303">
        <f>IF(N32303="","",'Master Barang'!B97)</f>
        <v>0</v>
      </c>
      <c r="P32303">
        <f>IF(OR(M32303="",N32303=""),"",SUMIFS('Barang Keluar'!$E:$E,'Barang Keluar'!$A:$A,M32303,'Barang Keluar'!$C:$C,N32303))</f>
        <v>0</v>
      </c>
    </row>
    <row r="32304" spans="13:16">
      <c r="M32304" s="49">
        <f>IF($A$4+322&gt;$B$4,"",$A$4+322)</f>
        <v>46345</v>
      </c>
      <c r="N32304">
        <f>IF(M32304="","",'Master Barang'!A98)</f>
        <v>0</v>
      </c>
      <c r="O32304">
        <f>IF(N32304="","",'Master Barang'!B98)</f>
        <v>0</v>
      </c>
      <c r="P32304">
        <f>IF(OR(M32304="",N32304=""),"",SUMIFS('Barang Keluar'!$E:$E,'Barang Keluar'!$A:$A,M32304,'Barang Keluar'!$C:$C,N32304))</f>
        <v>0</v>
      </c>
    </row>
    <row r="32305" spans="13:16">
      <c r="M32305" s="49">
        <f>IF($A$4+322&gt;$B$4,"",$A$4+322)</f>
        <v>46345</v>
      </c>
      <c r="N32305">
        <f>IF(M32305="","",'Master Barang'!A99)</f>
        <v>0</v>
      </c>
      <c r="O32305">
        <f>IF(N32305="","",'Master Barang'!B99)</f>
        <v>0</v>
      </c>
      <c r="P32305">
        <f>IF(OR(M32305="",N32305=""),"",SUMIFS('Barang Keluar'!$E:$E,'Barang Keluar'!$A:$A,M32305,'Barang Keluar'!$C:$C,N32305))</f>
        <v>0</v>
      </c>
    </row>
    <row r="32306" spans="13:16">
      <c r="M32306" s="49">
        <f>IF($A$4+322&gt;$B$4,"",$A$4+322)</f>
        <v>46345</v>
      </c>
      <c r="N32306">
        <f>IF(M32306="","",'Master Barang'!A100)</f>
        <v>0</v>
      </c>
      <c r="O32306">
        <f>IF(N32306="","",'Master Barang'!B100)</f>
        <v>0</v>
      </c>
      <c r="P32306">
        <f>IF(OR(M32306="",N32306=""),"",SUMIFS('Barang Keluar'!$E:$E,'Barang Keluar'!$A:$A,M32306,'Barang Keluar'!$C:$C,N32306))</f>
        <v>0</v>
      </c>
    </row>
    <row r="32307" spans="13:16">
      <c r="M32307" s="49">
        <f>IF($A$4+322&gt;$B$4,"",$A$4+322)</f>
        <v>46345</v>
      </c>
      <c r="N32307">
        <f>IF(M32307="","",'Master Barang'!A101)</f>
        <v>0</v>
      </c>
      <c r="O32307">
        <f>IF(N32307="","",'Master Barang'!B101)</f>
        <v>0</v>
      </c>
      <c r="P32307">
        <f>IF(OR(M32307="",N32307=""),"",SUMIFS('Barang Keluar'!$E:$E,'Barang Keluar'!$A:$A,M32307,'Barang Keluar'!$C:$C,N32307))</f>
        <v>0</v>
      </c>
    </row>
    <row r="32308" spans="13:16">
      <c r="M32308" s="49">
        <f>IF($A$4+323&gt;$B$4,"",$A$4+323)</f>
        <v>46346</v>
      </c>
      <c r="N32308" t="str">
        <f>IF(M32308="","",'Master Barang'!A2)</f>
        <v>PRL-001</v>
      </c>
      <c r="O32308" t="str">
        <f>IF(N32308="","",'Master Barang'!B2)</f>
        <v>natura desinfectant food grade 5l</v>
      </c>
      <c r="P32308">
        <f>IF(OR(M32308="",N32308=""),"",SUMIFS('Barang Keluar'!$E:$E,'Barang Keluar'!$A:$A,M32308,'Barang Keluar'!$C:$C,N32308))</f>
        <v>0</v>
      </c>
    </row>
    <row r="32309" spans="13:16">
      <c r="M32309" s="49">
        <f>IF($A$4+323&gt;$B$4,"",$A$4+323)</f>
        <v>46346</v>
      </c>
      <c r="N32309" t="str">
        <f>IF(M32309="","",'Master Barang'!A3)</f>
        <v>PRL-002</v>
      </c>
      <c r="O32309" t="str">
        <f>IF(N32309="","",'Master Barang'!B3)</f>
        <v>sunlight cairan pencuci piring 5l</v>
      </c>
      <c r="P32309">
        <f>IF(OR(M32309="",N32309=""),"",SUMIFS('Barang Keluar'!$E:$E,'Barang Keluar'!$A:$A,M32309,'Barang Keluar'!$C:$C,N32309))</f>
        <v>0</v>
      </c>
    </row>
    <row r="32310" spans="13:16">
      <c r="M32310" s="49">
        <f>IF($A$4+323&gt;$B$4,"",$A$4+323)</f>
        <v>46346</v>
      </c>
      <c r="N32310" t="str">
        <f>IF(M32310="","",'Master Barang'!A4)</f>
        <v>PRL-003</v>
      </c>
      <c r="O32310" t="str">
        <f>IF(N32310="","",'Master Barang'!B4)</f>
        <v>oixs cleaner 1l</v>
      </c>
      <c r="P32310">
        <f>IF(OR(M32310="",N32310=""),"",SUMIFS('Barang Keluar'!$E:$E,'Barang Keluar'!$A:$A,M32310,'Barang Keluar'!$C:$C,N32310))</f>
        <v>0</v>
      </c>
    </row>
    <row r="32311" spans="13:16">
      <c r="M32311" s="49">
        <f>IF($A$4+323&gt;$B$4,"",$A$4+323)</f>
        <v>46346</v>
      </c>
      <c r="N32311" t="str">
        <f>IF(M32311="","",'Master Barang'!A5)</f>
        <v>PRL-004</v>
      </c>
      <c r="O32311" t="str">
        <f>IF(N32311="","",'Master Barang'!B5)</f>
        <v>be clean tissue serbaguna</v>
      </c>
      <c r="P32311">
        <f>IF(OR(M32311="",N32311=""),"",SUMIFS('Barang Keluar'!$E:$E,'Barang Keluar'!$A:$A,M32311,'Barang Keluar'!$C:$C,N32311))</f>
        <v>0</v>
      </c>
    </row>
    <row r="32312" spans="13:16">
      <c r="M32312" s="49">
        <f>IF($A$4+323&gt;$B$4,"",$A$4+323)</f>
        <v>46346</v>
      </c>
      <c r="N32312" t="str">
        <f>IF(M32312="","",'Master Barang'!A6)</f>
        <v>PRL-005</v>
      </c>
      <c r="O32312" t="str">
        <f>IF(N32312="","",'Master Barang'!B6)</f>
        <v>spons cuci hijau</v>
      </c>
      <c r="P32312">
        <f>IF(OR(M32312="",N32312=""),"",SUMIFS('Barang Keluar'!$E:$E,'Barang Keluar'!$A:$A,M32312,'Barang Keluar'!$C:$C,N32312))</f>
        <v>0</v>
      </c>
    </row>
    <row r="32313" spans="13:16">
      <c r="M32313" s="49">
        <f>IF($A$4+323&gt;$B$4,"",$A$4+323)</f>
        <v>46346</v>
      </c>
      <c r="N32313" t="str">
        <f>IF(M32313="","",'Master Barang'!A7)</f>
        <v>PRL-006</v>
      </c>
      <c r="O32313" t="str">
        <f>IF(N32313="","",'Master Barang'!B7)</f>
        <v>sabut cuci stainless</v>
      </c>
      <c r="P32313">
        <f>IF(OR(M32313="",N32313=""),"",SUMIFS('Barang Keluar'!$E:$E,'Barang Keluar'!$A:$A,M32313,'Barang Keluar'!$C:$C,N32313))</f>
        <v>0</v>
      </c>
    </row>
    <row r="32314" spans="13:16">
      <c r="M32314" s="49">
        <f>IF($A$4+323&gt;$B$4,"",$A$4+323)</f>
        <v>46346</v>
      </c>
      <c r="N32314" t="str">
        <f>IF(M32314="","",'Master Barang'!A8)</f>
        <v>PRL-007</v>
      </c>
      <c r="O32314" t="str">
        <f>IF(N32314="","",'Master Barang'!B8)</f>
        <v>plastik kresek besar merah 50pc</v>
      </c>
      <c r="P32314">
        <f>IF(OR(M32314="",N32314=""),"",SUMIFS('Barang Keluar'!$E:$E,'Barang Keluar'!$A:$A,M32314,'Barang Keluar'!$C:$C,N32314))</f>
        <v>0</v>
      </c>
    </row>
    <row r="32315" spans="13:16">
      <c r="M32315" s="49">
        <f>IF($A$4+323&gt;$B$4,"",$A$4+323)</f>
        <v>46346</v>
      </c>
      <c r="N32315" t="str">
        <f>IF(M32315="","",'Master Barang'!A9)</f>
        <v>PRL-008</v>
      </c>
      <c r="O32315" t="str">
        <f>IF(N32315="","",'Master Barang'!B9)</f>
        <v>lap besar</v>
      </c>
      <c r="P32315">
        <f>IF(OR(M32315="",N32315=""),"",SUMIFS('Barang Keluar'!$E:$E,'Barang Keluar'!$A:$A,M32315,'Barang Keluar'!$C:$C,N32315))</f>
        <v>0</v>
      </c>
    </row>
    <row r="32316" spans="13:16">
      <c r="M32316" s="49">
        <f>IF($A$4+323&gt;$B$4,"",$A$4+323)</f>
        <v>46346</v>
      </c>
      <c r="N32316" t="str">
        <f>IF(M32316="","",'Master Barang'!A10)</f>
        <v>PRL-009</v>
      </c>
      <c r="O32316" t="str">
        <f>IF(N32316="","",'Master Barang'!B10)</f>
        <v>lap microfiber</v>
      </c>
      <c r="P32316">
        <f>IF(OR(M32316="",N32316=""),"",SUMIFS('Barang Keluar'!$E:$E,'Barang Keluar'!$A:$A,M32316,'Barang Keluar'!$C:$C,N32316))</f>
        <v>0</v>
      </c>
    </row>
    <row r="32317" spans="13:16">
      <c r="M32317" s="49">
        <f>IF($A$4+323&gt;$B$4,"",$A$4+323)</f>
        <v>46346</v>
      </c>
      <c r="N32317" t="str">
        <f>IF(M32317="","",'Master Barang'!A11)</f>
        <v>PRL-010</v>
      </c>
      <c r="O32317" t="str">
        <f>IF(N32317="","",'Master Barang'!B11)</f>
        <v>lap kecil</v>
      </c>
      <c r="P32317">
        <f>IF(OR(M32317="",N32317=""),"",SUMIFS('Barang Keluar'!$E:$E,'Barang Keluar'!$A:$A,M32317,'Barang Keluar'!$C:$C,N32317))</f>
        <v>0</v>
      </c>
    </row>
    <row r="32318" spans="13:16">
      <c r="M32318" s="49">
        <f>IF($A$4+323&gt;$B$4,"",$A$4+323)</f>
        <v>46346</v>
      </c>
      <c r="N32318" t="str">
        <f>IF(M32318="","",'Master Barang'!A12)</f>
        <v>PRL-011</v>
      </c>
      <c r="O32318" t="str">
        <f>IF(N32318="","",'Master Barang'!B12)</f>
        <v>kanebo kecil</v>
      </c>
      <c r="P32318">
        <f>IF(OR(M32318="",N32318=""),"",SUMIFS('Barang Keluar'!$E:$E,'Barang Keluar'!$A:$A,M32318,'Barang Keluar'!$C:$C,N32318))</f>
        <v>0</v>
      </c>
    </row>
    <row r="32319" spans="13:16">
      <c r="M32319" s="49">
        <f>IF($A$4+323&gt;$B$4,"",$A$4+323)</f>
        <v>46346</v>
      </c>
      <c r="N32319" t="str">
        <f>IF(M32319="","",'Master Barang'!A13)</f>
        <v>PRL-012</v>
      </c>
      <c r="O32319" t="str">
        <f>IF(N32319="","",'Master Barang'!B13)</f>
        <v>plastik 1/4kg joyoboyo 100 lembar</v>
      </c>
      <c r="P32319">
        <f>IF(OR(M32319="",N32319=""),"",SUMIFS('Barang Keluar'!$E:$E,'Barang Keluar'!$A:$A,M32319,'Barang Keluar'!$C:$C,N32319))</f>
        <v>0</v>
      </c>
    </row>
    <row r="32320" spans="13:16">
      <c r="M32320" s="49">
        <f>IF($A$4+323&gt;$B$4,"",$A$4+323)</f>
        <v>46346</v>
      </c>
      <c r="N32320" t="str">
        <f>IF(M32320="","",'Master Barang'!A14)</f>
        <v>PRL-013</v>
      </c>
      <c r="O32320" t="str">
        <f>IF(N32320="","",'Master Barang'!B14)</f>
        <v>sarung tangan plastik kaka 100 pcs</v>
      </c>
      <c r="P32320">
        <f>IF(OR(M32320="",N32320=""),"",SUMIFS('Barang Keluar'!$E:$E,'Barang Keluar'!$A:$A,M32320,'Barang Keluar'!$C:$C,N32320))</f>
        <v>0</v>
      </c>
    </row>
    <row r="32321" spans="13:16">
      <c r="M32321" s="49">
        <f>IF($A$4+323&gt;$B$4,"",$A$4+323)</f>
        <v>46346</v>
      </c>
      <c r="N32321" t="str">
        <f>IF(M32321="","",'Master Barang'!A15)</f>
        <v>PRL-014</v>
      </c>
      <c r="O32321" t="str">
        <f>IF(N32321="","",'Master Barang'!B15)</f>
        <v>optima trashbag 80x100</v>
      </c>
      <c r="P32321">
        <f>IF(OR(M32321="",N32321=""),"",SUMIFS('Barang Keluar'!$E:$E,'Barang Keluar'!$A:$A,M32321,'Barang Keluar'!$C:$C,N32321))</f>
        <v>0</v>
      </c>
    </row>
    <row r="32322" spans="13:16">
      <c r="M32322" s="49">
        <f>IF($A$4+323&gt;$B$4,"",$A$4+323)</f>
        <v>46346</v>
      </c>
      <c r="N32322" t="str">
        <f>IF(M32322="","",'Master Barang'!A16)</f>
        <v>PRL-015</v>
      </c>
      <c r="O32322" t="str">
        <f>IF(N32322="","",'Master Barang'!B16)</f>
        <v>optima trashbag 60x100</v>
      </c>
      <c r="P32322">
        <f>IF(OR(M32322="",N32322=""),"",SUMIFS('Barang Keluar'!$E:$E,'Barang Keluar'!$A:$A,M32322,'Barang Keluar'!$C:$C,N32322))</f>
        <v>0</v>
      </c>
    </row>
    <row r="32323" spans="13:16">
      <c r="M32323" s="49">
        <f>IF($A$4+323&gt;$B$4,"",$A$4+323)</f>
        <v>46346</v>
      </c>
      <c r="N32323" t="str">
        <f>IF(M32323="","",'Master Barang'!A17)</f>
        <v>PRL-016</v>
      </c>
      <c r="O32323" t="str">
        <f>IF(N32323="","",'Master Barang'!B17)</f>
        <v>rajawali trashbag 30x40</v>
      </c>
      <c r="P32323">
        <f>IF(OR(M32323="",N32323=""),"",SUMIFS('Barang Keluar'!$E:$E,'Barang Keluar'!$A:$A,M32323,'Barang Keluar'!$C:$C,N32323))</f>
        <v>0</v>
      </c>
    </row>
    <row r="32324" spans="13:16">
      <c r="M32324" s="49">
        <f>IF($A$4+323&gt;$B$4,"",$A$4+323)</f>
        <v>46346</v>
      </c>
      <c r="N32324" t="str">
        <f>IF(M32324="","",'Master Barang'!A18)</f>
        <v>PRL-017</v>
      </c>
      <c r="O32324" t="str">
        <f>IF(N32324="","",'Master Barang'!B18)</f>
        <v>onemed masker biru 3 play 50 pcs</v>
      </c>
      <c r="P32324">
        <f>IF(OR(M32324="",N32324=""),"",SUMIFS('Barang Keluar'!$E:$E,'Barang Keluar'!$A:$A,M32324,'Barang Keluar'!$C:$C,N32324))</f>
        <v>0</v>
      </c>
    </row>
    <row r="32325" spans="13:16">
      <c r="M32325" s="49">
        <f>IF($A$4+323&gt;$B$4,"",$A$4+323)</f>
        <v>46346</v>
      </c>
      <c r="N32325" t="str">
        <f>IF(M32325="","",'Master Barang'!A19)</f>
        <v>PRL-018</v>
      </c>
      <c r="O32325" t="str">
        <f>IF(N32325="","",'Master Barang'!B19)</f>
        <v>onemed masker biru 3 play hijab 50 pcs</v>
      </c>
      <c r="P32325">
        <f>IF(OR(M32325="",N32325=""),"",SUMIFS('Barang Keluar'!$E:$E,'Barang Keluar'!$A:$A,M32325,'Barang Keluar'!$C:$C,N32325))</f>
        <v>0</v>
      </c>
    </row>
    <row r="32326" spans="13:16">
      <c r="M32326" s="49">
        <f>IF($A$4+323&gt;$B$4,"",$A$4+323)</f>
        <v>46346</v>
      </c>
      <c r="N32326" t="str">
        <f>IF(M32326="","",'Master Barang'!A20)</f>
        <v>PRL-019</v>
      </c>
      <c r="O32326" t="str">
        <f>IF(N32326="","",'Master Barang'!B20)</f>
        <v>neo health masker biru 3 play 50 pcs</v>
      </c>
      <c r="P32326">
        <f>IF(OR(M32326="",N32326=""),"",SUMIFS('Barang Keluar'!$E:$E,'Barang Keluar'!$A:$A,M32326,'Barang Keluar'!$C:$C,N32326))</f>
        <v>0</v>
      </c>
    </row>
    <row r="32327" spans="13:16">
      <c r="M32327" s="49">
        <f>IF($A$4+323&gt;$B$4,"",$A$4+323)</f>
        <v>46346</v>
      </c>
      <c r="N32327" t="str">
        <f>IF(M32327="","",'Master Barang'!A21)</f>
        <v>PRL-020</v>
      </c>
      <c r="O32327" t="str">
        <f>IF(N32327="","",'Master Barang'!B21)</f>
        <v>baymed masker hijau 3 play hijau 50 pcs</v>
      </c>
      <c r="P32327">
        <f>IF(OR(M32327="",N32327=""),"",SUMIFS('Barang Keluar'!$E:$E,'Barang Keluar'!$A:$A,M32327,'Barang Keluar'!$C:$C,N32327))</f>
        <v>0</v>
      </c>
    </row>
    <row r="32328" spans="13:16">
      <c r="M32328" s="49">
        <f>IF($A$4+323&gt;$B$4,"",$A$4+323)</f>
        <v>46346</v>
      </c>
      <c r="N32328" t="str">
        <f>IF(M32328="","",'Master Barang'!A22)</f>
        <v>PRL-021</v>
      </c>
      <c r="O32328" t="str">
        <f>IF(N32328="","",'Master Barang'!B22)</f>
        <v>altamed nurse cap penutup kepala 100 pcs</v>
      </c>
      <c r="P32328">
        <f>IF(OR(M32328="",N32328=""),"",SUMIFS('Barang Keluar'!$E:$E,'Barang Keluar'!$A:$A,M32328,'Barang Keluar'!$C:$C,N32328))</f>
        <v>0</v>
      </c>
    </row>
    <row r="32329" spans="13:16">
      <c r="M32329" s="49">
        <f>IF($A$4+323&gt;$B$4,"",$A$4+323)</f>
        <v>46346</v>
      </c>
      <c r="N32329" t="str">
        <f>IF(M32329="","",'Master Barang'!A23)</f>
        <v>PRL-022</v>
      </c>
      <c r="O32329" t="str">
        <f>IF(N32329="","",'Master Barang'!B23)</f>
        <v>sabun cuci tangan</v>
      </c>
      <c r="P32329">
        <f>IF(OR(M32329="",N32329=""),"",SUMIFS('Barang Keluar'!$E:$E,'Barang Keluar'!$A:$A,M32329,'Barang Keluar'!$C:$C,N32329))</f>
        <v>0</v>
      </c>
    </row>
    <row r="32330" spans="13:16">
      <c r="M32330" s="49">
        <f>IF($A$4+323&gt;$B$4,"",$A$4+323)</f>
        <v>46346</v>
      </c>
      <c r="N32330" t="str">
        <f>IF(M32330="","",'Master Barang'!A24)</f>
        <v>PRL-023</v>
      </c>
      <c r="O32330" t="str">
        <f>IF(N32330="","",'Master Barang'!B24)</f>
        <v>gayung kecil</v>
      </c>
      <c r="P32330">
        <f>IF(OR(M32330="",N32330=""),"",SUMIFS('Barang Keluar'!$E:$E,'Barang Keluar'!$A:$A,M32330,'Barang Keluar'!$C:$C,N32330))</f>
        <v>0</v>
      </c>
    </row>
    <row r="32331" spans="13:16">
      <c r="M32331" s="49">
        <f>IF($A$4+323&gt;$B$4,"",$A$4+323)</f>
        <v>46346</v>
      </c>
      <c r="N32331" t="str">
        <f>IF(M32331="","",'Master Barang'!A25)</f>
        <v>PRL-024</v>
      </c>
      <c r="O32331" t="str">
        <f>IF(N32331="","",'Master Barang'!B25)</f>
        <v>cikrak kecil</v>
      </c>
      <c r="P32331">
        <f>IF(OR(M32331="",N32331=""),"",SUMIFS('Barang Keluar'!$E:$E,'Barang Keluar'!$A:$A,M32331,'Barang Keluar'!$C:$C,N32331))</f>
        <v>0</v>
      </c>
    </row>
    <row r="32332" spans="13:16">
      <c r="M32332" s="49">
        <f>IF($A$4+323&gt;$B$4,"",$A$4+323)</f>
        <v>46346</v>
      </c>
      <c r="N32332" t="str">
        <f>IF(M32332="","",'Master Barang'!A26)</f>
        <v>PRL-025</v>
      </c>
      <c r="O32332" t="str">
        <f>IF(N32332="","",'Master Barang'!B26)</f>
        <v>petromax plastik kecil 12x24 100 lembar</v>
      </c>
      <c r="P32332">
        <f>IF(OR(M32332="",N32332=""),"",SUMIFS('Barang Keluar'!$E:$E,'Barang Keluar'!$A:$A,M32332,'Barang Keluar'!$C:$C,N32332))</f>
        <v>0</v>
      </c>
    </row>
    <row r="32333" spans="13:16">
      <c r="M32333" s="49">
        <f>IF($A$4+323&gt;$B$4,"",$A$4+323)</f>
        <v>46346</v>
      </c>
      <c r="N32333" t="str">
        <f>IF(M32333="","",'Master Barang'!A27)</f>
        <v>PRL-026</v>
      </c>
      <c r="O32333" t="str">
        <f>IF(N32333="","",'Master Barang'!B27)</f>
        <v>lancar kresek kecil bening </v>
      </c>
      <c r="P32333">
        <f>IF(OR(M32333="",N32333=""),"",SUMIFS('Barang Keluar'!$E:$E,'Barang Keluar'!$A:$A,M32333,'Barang Keluar'!$C:$C,N32333))</f>
        <v>0</v>
      </c>
    </row>
    <row r="32334" spans="13:16">
      <c r="M32334" s="49">
        <f>IF($A$4+323&gt;$B$4,"",$A$4+323)</f>
        <v>46346</v>
      </c>
      <c r="N32334" t="str">
        <f>IF(M32334="","",'Master Barang'!A28)</f>
        <v>PRL-027</v>
      </c>
      <c r="O32334" t="str">
        <f>IF(N32334="","",'Master Barang'!B28)</f>
        <v>kresek klin warna warni kecil</v>
      </c>
      <c r="P32334">
        <f>IF(OR(M32334="",N32334=""),"",SUMIFS('Barang Keluar'!$E:$E,'Barang Keluar'!$A:$A,M32334,'Barang Keluar'!$C:$C,N32334))</f>
        <v>0</v>
      </c>
    </row>
    <row r="32335" spans="13:16">
      <c r="M32335" s="49">
        <f>IF($A$4+323&gt;$B$4,"",$A$4+323)</f>
        <v>46346</v>
      </c>
      <c r="N32335" t="str">
        <f>IF(M32335="","",'Master Barang'!A29)</f>
        <v>PRL-028</v>
      </c>
      <c r="O32335" t="str">
        <f>IF(N32335="","",'Master Barang'!B29)</f>
        <v>ctik plastik 7x10 100 pcs</v>
      </c>
      <c r="P32335">
        <f>IF(OR(M32335="",N32335=""),"",SUMIFS('Barang Keluar'!$E:$E,'Barang Keluar'!$A:$A,M32335,'Barang Keluar'!$C:$C,N32335))</f>
        <v>0</v>
      </c>
    </row>
    <row r="32336" spans="13:16">
      <c r="M32336" s="49">
        <f>IF($A$4+323&gt;$B$4,"",$A$4+323)</f>
        <v>46346</v>
      </c>
      <c r="N32336" t="str">
        <f>IF(M32336="","",'Master Barang'!A30)</f>
        <v>PRL-029</v>
      </c>
      <c r="O32336" t="str">
        <f>IF(N32336="","",'Master Barang'!B30)</f>
        <v>ctik plastik 6x10 100 pcs</v>
      </c>
      <c r="P32336">
        <f>IF(OR(M32336="",N32336=""),"",SUMIFS('Barang Keluar'!$E:$E,'Barang Keluar'!$A:$A,M32336,'Barang Keluar'!$C:$C,N32336))</f>
        <v>0</v>
      </c>
    </row>
    <row r="32337" spans="13:16">
      <c r="M32337" s="49">
        <f>IF($A$4+323&gt;$B$4,"",$A$4+323)</f>
        <v>46346</v>
      </c>
      <c r="N32337" t="str">
        <f>IF(M32337="","",'Master Barang'!A31)</f>
        <v>PRL-030</v>
      </c>
      <c r="O32337" t="str">
        <f>IF(N32337="","",'Master Barang'!B31)</f>
        <v>klip plastik 25x16 100 pcs</v>
      </c>
      <c r="P32337">
        <f>IF(OR(M32337="",N32337=""),"",SUMIFS('Barang Keluar'!$E:$E,'Barang Keluar'!$A:$A,M32337,'Barang Keluar'!$C:$C,N32337))</f>
        <v>0</v>
      </c>
    </row>
    <row r="32338" spans="13:16">
      <c r="M32338" s="49">
        <f>IF($A$4+323&gt;$B$4,"",$A$4+323)</f>
        <v>46346</v>
      </c>
      <c r="N32338" t="str">
        <f>IF(M32338="","",'Master Barang'!A32)</f>
        <v>PRL-031</v>
      </c>
      <c r="O32338" t="str">
        <f>IF(N32338="","",'Master Barang'!B32)</f>
        <v>tempat saus 20 ml</v>
      </c>
      <c r="P32338">
        <f>IF(OR(M32338="",N32338=""),"",SUMIFS('Barang Keluar'!$E:$E,'Barang Keluar'!$A:$A,M32338,'Barang Keluar'!$C:$C,N32338))</f>
        <v>0</v>
      </c>
    </row>
    <row r="32339" spans="13:16">
      <c r="M32339" s="49">
        <f>IF($A$4+323&gt;$B$4,"",$A$4+323)</f>
        <v>46346</v>
      </c>
      <c r="N32339" t="str">
        <f>IF(M32339="","",'Master Barang'!A33)</f>
        <v>PRL-032</v>
      </c>
      <c r="O32339" t="str">
        <f>IF(N32339="","",'Master Barang'!B33)</f>
        <v>plastik packaging ag box uk sedang</v>
      </c>
      <c r="P32339">
        <f>IF(OR(M32339="",N32339=""),"",SUMIFS('Barang Keluar'!$E:$E,'Barang Keluar'!$A:$A,M32339,'Barang Keluar'!$C:$C,N32339))</f>
        <v>0</v>
      </c>
    </row>
    <row r="32340" spans="13:16">
      <c r="M32340" s="49">
        <f>IF($A$4+323&gt;$B$4,"",$A$4+323)</f>
        <v>46346</v>
      </c>
      <c r="N32340" t="str">
        <f>IF(M32340="","",'Master Barang'!A34)</f>
        <v>PRL-033</v>
      </c>
      <c r="O32340">
        <f>IF(N32340="","",'Master Barang'!B34)</f>
        <v>0</v>
      </c>
      <c r="P32340">
        <f>IF(OR(M32340="",N32340=""),"",SUMIFS('Barang Keluar'!$E:$E,'Barang Keluar'!$A:$A,M32340,'Barang Keluar'!$C:$C,N32340))</f>
        <v>0</v>
      </c>
    </row>
    <row r="32341" spans="13:16">
      <c r="M32341" s="49">
        <f>IF($A$4+323&gt;$B$4,"",$A$4+323)</f>
        <v>46346</v>
      </c>
      <c r="N32341">
        <f>IF(M32341="","",'Master Barang'!A35)</f>
        <v>0</v>
      </c>
      <c r="O32341">
        <f>IF(N32341="","",'Master Barang'!B35)</f>
        <v>0</v>
      </c>
      <c r="P32341">
        <f>IF(OR(M32341="",N32341=""),"",SUMIFS('Barang Keluar'!$E:$E,'Barang Keluar'!$A:$A,M32341,'Barang Keluar'!$C:$C,N32341))</f>
        <v>0</v>
      </c>
    </row>
    <row r="32342" spans="13:16">
      <c r="M32342" s="49">
        <f>IF($A$4+323&gt;$B$4,"",$A$4+323)</f>
        <v>46346</v>
      </c>
      <c r="N32342">
        <f>IF(M32342="","",'Master Barang'!A36)</f>
        <v>0</v>
      </c>
      <c r="O32342">
        <f>IF(N32342="","",'Master Barang'!B36)</f>
        <v>0</v>
      </c>
      <c r="P32342">
        <f>IF(OR(M32342="",N32342=""),"",SUMIFS('Barang Keluar'!$E:$E,'Barang Keluar'!$A:$A,M32342,'Barang Keluar'!$C:$C,N32342))</f>
        <v>0</v>
      </c>
    </row>
    <row r="32343" spans="13:16">
      <c r="M32343" s="49">
        <f>IF($A$4+323&gt;$B$4,"",$A$4+323)</f>
        <v>46346</v>
      </c>
      <c r="N32343">
        <f>IF(M32343="","",'Master Barang'!A37)</f>
        <v>0</v>
      </c>
      <c r="O32343">
        <f>IF(N32343="","",'Master Barang'!B37)</f>
        <v>0</v>
      </c>
      <c r="P32343">
        <f>IF(OR(M32343="",N32343=""),"",SUMIFS('Barang Keluar'!$E:$E,'Barang Keluar'!$A:$A,M32343,'Barang Keluar'!$C:$C,N32343))</f>
        <v>0</v>
      </c>
    </row>
    <row r="32344" spans="13:16">
      <c r="M32344" s="49">
        <f>IF($A$4+323&gt;$B$4,"",$A$4+323)</f>
        <v>46346</v>
      </c>
      <c r="N32344">
        <f>IF(M32344="","",'Master Barang'!A38)</f>
        <v>0</v>
      </c>
      <c r="O32344">
        <f>IF(N32344="","",'Master Barang'!B38)</f>
        <v>0</v>
      </c>
      <c r="P32344">
        <f>IF(OR(M32344="",N32344=""),"",SUMIFS('Barang Keluar'!$E:$E,'Barang Keluar'!$A:$A,M32344,'Barang Keluar'!$C:$C,N32344))</f>
        <v>0</v>
      </c>
    </row>
    <row r="32345" spans="13:16">
      <c r="M32345" s="49">
        <f>IF($A$4+323&gt;$B$4,"",$A$4+323)</f>
        <v>46346</v>
      </c>
      <c r="N32345">
        <f>IF(M32345="","",'Master Barang'!A39)</f>
        <v>0</v>
      </c>
      <c r="O32345">
        <f>IF(N32345="","",'Master Barang'!B39)</f>
        <v>0</v>
      </c>
      <c r="P32345">
        <f>IF(OR(M32345="",N32345=""),"",SUMIFS('Barang Keluar'!$E:$E,'Barang Keluar'!$A:$A,M32345,'Barang Keluar'!$C:$C,N32345))</f>
        <v>0</v>
      </c>
    </row>
    <row r="32346" spans="13:16">
      <c r="M32346" s="49">
        <f>IF($A$4+323&gt;$B$4,"",$A$4+323)</f>
        <v>46346</v>
      </c>
      <c r="N32346">
        <f>IF(M32346="","",'Master Barang'!A40)</f>
        <v>0</v>
      </c>
      <c r="O32346">
        <f>IF(N32346="","",'Master Barang'!B40)</f>
        <v>0</v>
      </c>
      <c r="P32346">
        <f>IF(OR(M32346="",N32346=""),"",SUMIFS('Barang Keluar'!$E:$E,'Barang Keluar'!$A:$A,M32346,'Barang Keluar'!$C:$C,N32346))</f>
        <v>0</v>
      </c>
    </row>
    <row r="32347" spans="13:16">
      <c r="M32347" s="49">
        <f>IF($A$4+323&gt;$B$4,"",$A$4+323)</f>
        <v>46346</v>
      </c>
      <c r="N32347">
        <f>IF(M32347="","",'Master Barang'!A41)</f>
        <v>0</v>
      </c>
      <c r="O32347">
        <f>IF(N32347="","",'Master Barang'!B41)</f>
        <v>0</v>
      </c>
      <c r="P32347">
        <f>IF(OR(M32347="",N32347=""),"",SUMIFS('Barang Keluar'!$E:$E,'Barang Keluar'!$A:$A,M32347,'Barang Keluar'!$C:$C,N32347))</f>
        <v>0</v>
      </c>
    </row>
    <row r="32348" spans="13:16">
      <c r="M32348" s="49">
        <f>IF($A$4+323&gt;$B$4,"",$A$4+323)</f>
        <v>46346</v>
      </c>
      <c r="N32348">
        <f>IF(M32348="","",'Master Barang'!A42)</f>
        <v>0</v>
      </c>
      <c r="O32348">
        <f>IF(N32348="","",'Master Barang'!B42)</f>
        <v>0</v>
      </c>
      <c r="P32348">
        <f>IF(OR(M32348="",N32348=""),"",SUMIFS('Barang Keluar'!$E:$E,'Barang Keluar'!$A:$A,M32348,'Barang Keluar'!$C:$C,N32348))</f>
        <v>0</v>
      </c>
    </row>
    <row r="32349" spans="13:16">
      <c r="M32349" s="49">
        <f>IF($A$4+323&gt;$B$4,"",$A$4+323)</f>
        <v>46346</v>
      </c>
      <c r="N32349">
        <f>IF(M32349="","",'Master Barang'!A43)</f>
        <v>0</v>
      </c>
      <c r="O32349">
        <f>IF(N32349="","",'Master Barang'!B43)</f>
        <v>0</v>
      </c>
      <c r="P32349">
        <f>IF(OR(M32349="",N32349=""),"",SUMIFS('Barang Keluar'!$E:$E,'Barang Keluar'!$A:$A,M32349,'Barang Keluar'!$C:$C,N32349))</f>
        <v>0</v>
      </c>
    </row>
    <row r="32350" spans="13:16">
      <c r="M32350" s="49">
        <f>IF($A$4+323&gt;$B$4,"",$A$4+323)</f>
        <v>46346</v>
      </c>
      <c r="N32350">
        <f>IF(M32350="","",'Master Barang'!A44)</f>
        <v>0</v>
      </c>
      <c r="O32350">
        <f>IF(N32350="","",'Master Barang'!B44)</f>
        <v>0</v>
      </c>
      <c r="P32350">
        <f>IF(OR(M32350="",N32350=""),"",SUMIFS('Barang Keluar'!$E:$E,'Barang Keluar'!$A:$A,M32350,'Barang Keluar'!$C:$C,N32350))</f>
        <v>0</v>
      </c>
    </row>
    <row r="32351" spans="13:16">
      <c r="M32351" s="49">
        <f>IF($A$4+323&gt;$B$4,"",$A$4+323)</f>
        <v>46346</v>
      </c>
      <c r="N32351">
        <f>IF(M32351="","",'Master Barang'!A45)</f>
        <v>0</v>
      </c>
      <c r="O32351">
        <f>IF(N32351="","",'Master Barang'!B45)</f>
        <v>0</v>
      </c>
      <c r="P32351">
        <f>IF(OR(M32351="",N32351=""),"",SUMIFS('Barang Keluar'!$E:$E,'Barang Keluar'!$A:$A,M32351,'Barang Keluar'!$C:$C,N32351))</f>
        <v>0</v>
      </c>
    </row>
    <row r="32352" spans="13:16">
      <c r="M32352" s="49">
        <f>IF($A$4+323&gt;$B$4,"",$A$4+323)</f>
        <v>46346</v>
      </c>
      <c r="N32352">
        <f>IF(M32352="","",'Master Barang'!A46)</f>
        <v>0</v>
      </c>
      <c r="O32352">
        <f>IF(N32352="","",'Master Barang'!B46)</f>
        <v>0</v>
      </c>
      <c r="P32352">
        <f>IF(OR(M32352="",N32352=""),"",SUMIFS('Barang Keluar'!$E:$E,'Barang Keluar'!$A:$A,M32352,'Barang Keluar'!$C:$C,N32352))</f>
        <v>0</v>
      </c>
    </row>
    <row r="32353" spans="13:16">
      <c r="M32353" s="49">
        <f>IF($A$4+323&gt;$B$4,"",$A$4+323)</f>
        <v>46346</v>
      </c>
      <c r="N32353">
        <f>IF(M32353="","",'Master Barang'!A47)</f>
        <v>0</v>
      </c>
      <c r="O32353">
        <f>IF(N32353="","",'Master Barang'!B47)</f>
        <v>0</v>
      </c>
      <c r="P32353">
        <f>IF(OR(M32353="",N32353=""),"",SUMIFS('Barang Keluar'!$E:$E,'Barang Keluar'!$A:$A,M32353,'Barang Keluar'!$C:$C,N32353))</f>
        <v>0</v>
      </c>
    </row>
    <row r="32354" spans="13:16">
      <c r="M32354" s="49">
        <f>IF($A$4+323&gt;$B$4,"",$A$4+323)</f>
        <v>46346</v>
      </c>
      <c r="N32354">
        <f>IF(M32354="","",'Master Barang'!A48)</f>
        <v>0</v>
      </c>
      <c r="O32354">
        <f>IF(N32354="","",'Master Barang'!B48)</f>
        <v>0</v>
      </c>
      <c r="P32354">
        <f>IF(OR(M32354="",N32354=""),"",SUMIFS('Barang Keluar'!$E:$E,'Barang Keluar'!$A:$A,M32354,'Barang Keluar'!$C:$C,N32354))</f>
        <v>0</v>
      </c>
    </row>
    <row r="32355" spans="13:16">
      <c r="M32355" s="49">
        <f>IF($A$4+323&gt;$B$4,"",$A$4+323)</f>
        <v>46346</v>
      </c>
      <c r="N32355">
        <f>IF(M32355="","",'Master Barang'!A49)</f>
        <v>0</v>
      </c>
      <c r="O32355">
        <f>IF(N32355="","",'Master Barang'!B49)</f>
        <v>0</v>
      </c>
      <c r="P32355">
        <f>IF(OR(M32355="",N32355=""),"",SUMIFS('Barang Keluar'!$E:$E,'Barang Keluar'!$A:$A,M32355,'Barang Keluar'!$C:$C,N32355))</f>
        <v>0</v>
      </c>
    </row>
    <row r="32356" spans="13:16">
      <c r="M32356" s="49">
        <f>IF($A$4+323&gt;$B$4,"",$A$4+323)</f>
        <v>46346</v>
      </c>
      <c r="N32356">
        <f>IF(M32356="","",'Master Barang'!A50)</f>
        <v>0</v>
      </c>
      <c r="O32356">
        <f>IF(N32356="","",'Master Barang'!B50)</f>
        <v>0</v>
      </c>
      <c r="P32356">
        <f>IF(OR(M32356="",N32356=""),"",SUMIFS('Barang Keluar'!$E:$E,'Barang Keluar'!$A:$A,M32356,'Barang Keluar'!$C:$C,N32356))</f>
        <v>0</v>
      </c>
    </row>
    <row r="32357" spans="13:16">
      <c r="M32357" s="49">
        <f>IF($A$4+323&gt;$B$4,"",$A$4+323)</f>
        <v>46346</v>
      </c>
      <c r="N32357">
        <f>IF(M32357="","",'Master Barang'!A51)</f>
        <v>0</v>
      </c>
      <c r="O32357">
        <f>IF(N32357="","",'Master Barang'!B51)</f>
        <v>0</v>
      </c>
      <c r="P32357">
        <f>IF(OR(M32357="",N32357=""),"",SUMIFS('Barang Keluar'!$E:$E,'Barang Keluar'!$A:$A,M32357,'Barang Keluar'!$C:$C,N32357))</f>
        <v>0</v>
      </c>
    </row>
    <row r="32358" spans="13:16">
      <c r="M32358" s="49">
        <f>IF($A$4+323&gt;$B$4,"",$A$4+323)</f>
        <v>46346</v>
      </c>
      <c r="N32358">
        <f>IF(M32358="","",'Master Barang'!A52)</f>
        <v>0</v>
      </c>
      <c r="O32358">
        <f>IF(N32358="","",'Master Barang'!B52)</f>
        <v>0</v>
      </c>
      <c r="P32358">
        <f>IF(OR(M32358="",N32358=""),"",SUMIFS('Barang Keluar'!$E:$E,'Barang Keluar'!$A:$A,M32358,'Barang Keluar'!$C:$C,N32358))</f>
        <v>0</v>
      </c>
    </row>
    <row r="32359" spans="13:16">
      <c r="M32359" s="49">
        <f>IF($A$4+323&gt;$B$4,"",$A$4+323)</f>
        <v>46346</v>
      </c>
      <c r="N32359">
        <f>IF(M32359="","",'Master Barang'!A53)</f>
        <v>0</v>
      </c>
      <c r="O32359">
        <f>IF(N32359="","",'Master Barang'!B53)</f>
        <v>0</v>
      </c>
      <c r="P32359">
        <f>IF(OR(M32359="",N32359=""),"",SUMIFS('Barang Keluar'!$E:$E,'Barang Keluar'!$A:$A,M32359,'Barang Keluar'!$C:$C,N32359))</f>
        <v>0</v>
      </c>
    </row>
    <row r="32360" spans="13:16">
      <c r="M32360" s="49">
        <f>IF($A$4+323&gt;$B$4,"",$A$4+323)</f>
        <v>46346</v>
      </c>
      <c r="N32360">
        <f>IF(M32360="","",'Master Barang'!A54)</f>
        <v>0</v>
      </c>
      <c r="O32360">
        <f>IF(N32360="","",'Master Barang'!B54)</f>
        <v>0</v>
      </c>
      <c r="P32360">
        <f>IF(OR(M32360="",N32360=""),"",SUMIFS('Barang Keluar'!$E:$E,'Barang Keluar'!$A:$A,M32360,'Barang Keluar'!$C:$C,N32360))</f>
        <v>0</v>
      </c>
    </row>
    <row r="32361" spans="13:16">
      <c r="M32361" s="49">
        <f>IF($A$4+323&gt;$B$4,"",$A$4+323)</f>
        <v>46346</v>
      </c>
      <c r="N32361">
        <f>IF(M32361="","",'Master Barang'!A55)</f>
        <v>0</v>
      </c>
      <c r="O32361">
        <f>IF(N32361="","",'Master Barang'!B55)</f>
        <v>0</v>
      </c>
      <c r="P32361">
        <f>IF(OR(M32361="",N32361=""),"",SUMIFS('Barang Keluar'!$E:$E,'Barang Keluar'!$A:$A,M32361,'Barang Keluar'!$C:$C,N32361))</f>
        <v>0</v>
      </c>
    </row>
    <row r="32362" spans="13:16">
      <c r="M32362" s="49">
        <f>IF($A$4+323&gt;$B$4,"",$A$4+323)</f>
        <v>46346</v>
      </c>
      <c r="N32362">
        <f>IF(M32362="","",'Master Barang'!A56)</f>
        <v>0</v>
      </c>
      <c r="O32362">
        <f>IF(N32362="","",'Master Barang'!B56)</f>
        <v>0</v>
      </c>
      <c r="P32362">
        <f>IF(OR(M32362="",N32362=""),"",SUMIFS('Barang Keluar'!$E:$E,'Barang Keluar'!$A:$A,M32362,'Barang Keluar'!$C:$C,N32362))</f>
        <v>0</v>
      </c>
    </row>
    <row r="32363" spans="13:16">
      <c r="M32363" s="49">
        <f>IF($A$4+323&gt;$B$4,"",$A$4+323)</f>
        <v>46346</v>
      </c>
      <c r="N32363">
        <f>IF(M32363="","",'Master Barang'!A57)</f>
        <v>0</v>
      </c>
      <c r="O32363">
        <f>IF(N32363="","",'Master Barang'!B57)</f>
        <v>0</v>
      </c>
      <c r="P32363">
        <f>IF(OR(M32363="",N32363=""),"",SUMIFS('Barang Keluar'!$E:$E,'Barang Keluar'!$A:$A,M32363,'Barang Keluar'!$C:$C,N32363))</f>
        <v>0</v>
      </c>
    </row>
    <row r="32364" spans="13:16">
      <c r="M32364" s="49">
        <f>IF($A$4+323&gt;$B$4,"",$A$4+323)</f>
        <v>46346</v>
      </c>
      <c r="N32364">
        <f>IF(M32364="","",'Master Barang'!A58)</f>
        <v>0</v>
      </c>
      <c r="O32364">
        <f>IF(N32364="","",'Master Barang'!B58)</f>
        <v>0</v>
      </c>
      <c r="P32364">
        <f>IF(OR(M32364="",N32364=""),"",SUMIFS('Barang Keluar'!$E:$E,'Barang Keluar'!$A:$A,M32364,'Barang Keluar'!$C:$C,N32364))</f>
        <v>0</v>
      </c>
    </row>
    <row r="32365" spans="13:16">
      <c r="M32365" s="49">
        <f>IF($A$4+323&gt;$B$4,"",$A$4+323)</f>
        <v>46346</v>
      </c>
      <c r="N32365">
        <f>IF(M32365="","",'Master Barang'!A59)</f>
        <v>0</v>
      </c>
      <c r="O32365">
        <f>IF(N32365="","",'Master Barang'!B59)</f>
        <v>0</v>
      </c>
      <c r="P32365">
        <f>IF(OR(M32365="",N32365=""),"",SUMIFS('Barang Keluar'!$E:$E,'Barang Keluar'!$A:$A,M32365,'Barang Keluar'!$C:$C,N32365))</f>
        <v>0</v>
      </c>
    </row>
    <row r="32366" spans="13:16">
      <c r="M32366" s="49">
        <f>IF($A$4+323&gt;$B$4,"",$A$4+323)</f>
        <v>46346</v>
      </c>
      <c r="N32366">
        <f>IF(M32366="","",'Master Barang'!A60)</f>
        <v>0</v>
      </c>
      <c r="O32366">
        <f>IF(N32366="","",'Master Barang'!B60)</f>
        <v>0</v>
      </c>
      <c r="P32366">
        <f>IF(OR(M32366="",N32366=""),"",SUMIFS('Barang Keluar'!$E:$E,'Barang Keluar'!$A:$A,M32366,'Barang Keluar'!$C:$C,N32366))</f>
        <v>0</v>
      </c>
    </row>
    <row r="32367" spans="13:16">
      <c r="M32367" s="49">
        <f>IF($A$4+323&gt;$B$4,"",$A$4+323)</f>
        <v>46346</v>
      </c>
      <c r="N32367">
        <f>IF(M32367="","",'Master Barang'!A61)</f>
        <v>0</v>
      </c>
      <c r="O32367">
        <f>IF(N32367="","",'Master Barang'!B61)</f>
        <v>0</v>
      </c>
      <c r="P32367">
        <f>IF(OR(M32367="",N32367=""),"",SUMIFS('Barang Keluar'!$E:$E,'Barang Keluar'!$A:$A,M32367,'Barang Keluar'!$C:$C,N32367))</f>
        <v>0</v>
      </c>
    </row>
    <row r="32368" spans="13:16">
      <c r="M32368" s="49">
        <f>IF($A$4+323&gt;$B$4,"",$A$4+323)</f>
        <v>46346</v>
      </c>
      <c r="N32368">
        <f>IF(M32368="","",'Master Barang'!A62)</f>
        <v>0</v>
      </c>
      <c r="O32368">
        <f>IF(N32368="","",'Master Barang'!B62)</f>
        <v>0</v>
      </c>
      <c r="P32368">
        <f>IF(OR(M32368="",N32368=""),"",SUMIFS('Barang Keluar'!$E:$E,'Barang Keluar'!$A:$A,M32368,'Barang Keluar'!$C:$C,N32368))</f>
        <v>0</v>
      </c>
    </row>
    <row r="32369" spans="13:16">
      <c r="M32369" s="49">
        <f>IF($A$4+323&gt;$B$4,"",$A$4+323)</f>
        <v>46346</v>
      </c>
      <c r="N32369">
        <f>IF(M32369="","",'Master Barang'!A63)</f>
        <v>0</v>
      </c>
      <c r="O32369">
        <f>IF(N32369="","",'Master Barang'!B63)</f>
        <v>0</v>
      </c>
      <c r="P32369">
        <f>IF(OR(M32369="",N32369=""),"",SUMIFS('Barang Keluar'!$E:$E,'Barang Keluar'!$A:$A,M32369,'Barang Keluar'!$C:$C,N32369))</f>
        <v>0</v>
      </c>
    </row>
    <row r="32370" spans="13:16">
      <c r="M32370" s="49">
        <f>IF($A$4+323&gt;$B$4,"",$A$4+323)</f>
        <v>46346</v>
      </c>
      <c r="N32370">
        <f>IF(M32370="","",'Master Barang'!A64)</f>
        <v>0</v>
      </c>
      <c r="O32370">
        <f>IF(N32370="","",'Master Barang'!B64)</f>
        <v>0</v>
      </c>
      <c r="P32370">
        <f>IF(OR(M32370="",N32370=""),"",SUMIFS('Barang Keluar'!$E:$E,'Barang Keluar'!$A:$A,M32370,'Barang Keluar'!$C:$C,N32370))</f>
        <v>0</v>
      </c>
    </row>
    <row r="32371" spans="13:16">
      <c r="M32371" s="49">
        <f>IF($A$4+323&gt;$B$4,"",$A$4+323)</f>
        <v>46346</v>
      </c>
      <c r="N32371">
        <f>IF(M32371="","",'Master Barang'!A65)</f>
        <v>0</v>
      </c>
      <c r="O32371">
        <f>IF(N32371="","",'Master Barang'!B65)</f>
        <v>0</v>
      </c>
      <c r="P32371">
        <f>IF(OR(M32371="",N32371=""),"",SUMIFS('Barang Keluar'!$E:$E,'Barang Keluar'!$A:$A,M32371,'Barang Keluar'!$C:$C,N32371))</f>
        <v>0</v>
      </c>
    </row>
    <row r="32372" spans="13:16">
      <c r="M32372" s="49">
        <f>IF($A$4+323&gt;$B$4,"",$A$4+323)</f>
        <v>46346</v>
      </c>
      <c r="N32372">
        <f>IF(M32372="","",'Master Barang'!A66)</f>
        <v>0</v>
      </c>
      <c r="O32372">
        <f>IF(N32372="","",'Master Barang'!B66)</f>
        <v>0</v>
      </c>
      <c r="P32372">
        <f>IF(OR(M32372="",N32372=""),"",SUMIFS('Barang Keluar'!$E:$E,'Barang Keluar'!$A:$A,M32372,'Barang Keluar'!$C:$C,N32372))</f>
        <v>0</v>
      </c>
    </row>
    <row r="32373" spans="13:16">
      <c r="M32373" s="49">
        <f>IF($A$4+323&gt;$B$4,"",$A$4+323)</f>
        <v>46346</v>
      </c>
      <c r="N32373">
        <f>IF(M32373="","",'Master Barang'!A67)</f>
        <v>0</v>
      </c>
      <c r="O32373">
        <f>IF(N32373="","",'Master Barang'!B67)</f>
        <v>0</v>
      </c>
      <c r="P32373">
        <f>IF(OR(M32373="",N32373=""),"",SUMIFS('Barang Keluar'!$E:$E,'Barang Keluar'!$A:$A,M32373,'Barang Keluar'!$C:$C,N32373))</f>
        <v>0</v>
      </c>
    </row>
    <row r="32374" spans="13:16">
      <c r="M32374" s="49">
        <f>IF($A$4+323&gt;$B$4,"",$A$4+323)</f>
        <v>46346</v>
      </c>
      <c r="N32374">
        <f>IF(M32374="","",'Master Barang'!A68)</f>
        <v>0</v>
      </c>
      <c r="O32374">
        <f>IF(N32374="","",'Master Barang'!B68)</f>
        <v>0</v>
      </c>
      <c r="P32374">
        <f>IF(OR(M32374="",N32374=""),"",SUMIFS('Barang Keluar'!$E:$E,'Barang Keluar'!$A:$A,M32374,'Barang Keluar'!$C:$C,N32374))</f>
        <v>0</v>
      </c>
    </row>
    <row r="32375" spans="13:16">
      <c r="M32375" s="49">
        <f>IF($A$4+323&gt;$B$4,"",$A$4+323)</f>
        <v>46346</v>
      </c>
      <c r="N32375">
        <f>IF(M32375="","",'Master Barang'!A69)</f>
        <v>0</v>
      </c>
      <c r="O32375">
        <f>IF(N32375="","",'Master Barang'!B69)</f>
        <v>0</v>
      </c>
      <c r="P32375">
        <f>IF(OR(M32375="",N32375=""),"",SUMIFS('Barang Keluar'!$E:$E,'Barang Keluar'!$A:$A,M32375,'Barang Keluar'!$C:$C,N32375))</f>
        <v>0</v>
      </c>
    </row>
    <row r="32376" spans="13:16">
      <c r="M32376" s="49">
        <f>IF($A$4+323&gt;$B$4,"",$A$4+323)</f>
        <v>46346</v>
      </c>
      <c r="N32376">
        <f>IF(M32376="","",'Master Barang'!A70)</f>
        <v>0</v>
      </c>
      <c r="O32376">
        <f>IF(N32376="","",'Master Barang'!B70)</f>
        <v>0</v>
      </c>
      <c r="P32376">
        <f>IF(OR(M32376="",N32376=""),"",SUMIFS('Barang Keluar'!$E:$E,'Barang Keluar'!$A:$A,M32376,'Barang Keluar'!$C:$C,N32376))</f>
        <v>0</v>
      </c>
    </row>
    <row r="32377" spans="13:16">
      <c r="M32377" s="49">
        <f>IF($A$4+323&gt;$B$4,"",$A$4+323)</f>
        <v>46346</v>
      </c>
      <c r="N32377">
        <f>IF(M32377="","",'Master Barang'!A71)</f>
        <v>0</v>
      </c>
      <c r="O32377">
        <f>IF(N32377="","",'Master Barang'!B71)</f>
        <v>0</v>
      </c>
      <c r="P32377">
        <f>IF(OR(M32377="",N32377=""),"",SUMIFS('Barang Keluar'!$E:$E,'Barang Keluar'!$A:$A,M32377,'Barang Keluar'!$C:$C,N32377))</f>
        <v>0</v>
      </c>
    </row>
    <row r="32378" spans="13:16">
      <c r="M32378" s="49">
        <f>IF($A$4+323&gt;$B$4,"",$A$4+323)</f>
        <v>46346</v>
      </c>
      <c r="N32378">
        <f>IF(M32378="","",'Master Barang'!A72)</f>
        <v>0</v>
      </c>
      <c r="O32378">
        <f>IF(N32378="","",'Master Barang'!B72)</f>
        <v>0</v>
      </c>
      <c r="P32378">
        <f>IF(OR(M32378="",N32378=""),"",SUMIFS('Barang Keluar'!$E:$E,'Barang Keluar'!$A:$A,M32378,'Barang Keluar'!$C:$C,N32378))</f>
        <v>0</v>
      </c>
    </row>
    <row r="32379" spans="13:16">
      <c r="M32379" s="49">
        <f>IF($A$4+323&gt;$B$4,"",$A$4+323)</f>
        <v>46346</v>
      </c>
      <c r="N32379">
        <f>IF(M32379="","",'Master Barang'!A73)</f>
        <v>0</v>
      </c>
      <c r="O32379">
        <f>IF(N32379="","",'Master Barang'!B73)</f>
        <v>0</v>
      </c>
      <c r="P32379">
        <f>IF(OR(M32379="",N32379=""),"",SUMIFS('Barang Keluar'!$E:$E,'Barang Keluar'!$A:$A,M32379,'Barang Keluar'!$C:$C,N32379))</f>
        <v>0</v>
      </c>
    </row>
    <row r="32380" spans="13:16">
      <c r="M32380" s="49">
        <f>IF($A$4+323&gt;$B$4,"",$A$4+323)</f>
        <v>46346</v>
      </c>
      <c r="N32380">
        <f>IF(M32380="","",'Master Barang'!A74)</f>
        <v>0</v>
      </c>
      <c r="O32380">
        <f>IF(N32380="","",'Master Barang'!B74)</f>
        <v>0</v>
      </c>
      <c r="P32380">
        <f>IF(OR(M32380="",N32380=""),"",SUMIFS('Barang Keluar'!$E:$E,'Barang Keluar'!$A:$A,M32380,'Barang Keluar'!$C:$C,N32380))</f>
        <v>0</v>
      </c>
    </row>
    <row r="32381" spans="13:16">
      <c r="M32381" s="49">
        <f>IF($A$4+323&gt;$B$4,"",$A$4+323)</f>
        <v>46346</v>
      </c>
      <c r="N32381">
        <f>IF(M32381="","",'Master Barang'!A75)</f>
        <v>0</v>
      </c>
      <c r="O32381">
        <f>IF(N32381="","",'Master Barang'!B75)</f>
        <v>0</v>
      </c>
      <c r="P32381">
        <f>IF(OR(M32381="",N32381=""),"",SUMIFS('Barang Keluar'!$E:$E,'Barang Keluar'!$A:$A,M32381,'Barang Keluar'!$C:$C,N32381))</f>
        <v>0</v>
      </c>
    </row>
    <row r="32382" spans="13:16">
      <c r="M32382" s="49">
        <f>IF($A$4+323&gt;$B$4,"",$A$4+323)</f>
        <v>46346</v>
      </c>
      <c r="N32382">
        <f>IF(M32382="","",'Master Barang'!A76)</f>
        <v>0</v>
      </c>
      <c r="O32382">
        <f>IF(N32382="","",'Master Barang'!B76)</f>
        <v>0</v>
      </c>
      <c r="P32382">
        <f>IF(OR(M32382="",N32382=""),"",SUMIFS('Barang Keluar'!$E:$E,'Barang Keluar'!$A:$A,M32382,'Barang Keluar'!$C:$C,N32382))</f>
        <v>0</v>
      </c>
    </row>
    <row r="32383" spans="13:16">
      <c r="M32383" s="49">
        <f>IF($A$4+323&gt;$B$4,"",$A$4+323)</f>
        <v>46346</v>
      </c>
      <c r="N32383">
        <f>IF(M32383="","",'Master Barang'!A77)</f>
        <v>0</v>
      </c>
      <c r="O32383">
        <f>IF(N32383="","",'Master Barang'!B77)</f>
        <v>0</v>
      </c>
      <c r="P32383">
        <f>IF(OR(M32383="",N32383=""),"",SUMIFS('Barang Keluar'!$E:$E,'Barang Keluar'!$A:$A,M32383,'Barang Keluar'!$C:$C,N32383))</f>
        <v>0</v>
      </c>
    </row>
    <row r="32384" spans="13:16">
      <c r="M32384" s="49">
        <f>IF($A$4+323&gt;$B$4,"",$A$4+323)</f>
        <v>46346</v>
      </c>
      <c r="N32384">
        <f>IF(M32384="","",'Master Barang'!A78)</f>
        <v>0</v>
      </c>
      <c r="O32384">
        <f>IF(N32384="","",'Master Barang'!B78)</f>
        <v>0</v>
      </c>
      <c r="P32384">
        <f>IF(OR(M32384="",N32384=""),"",SUMIFS('Barang Keluar'!$E:$E,'Barang Keluar'!$A:$A,M32384,'Barang Keluar'!$C:$C,N32384))</f>
        <v>0</v>
      </c>
    </row>
    <row r="32385" spans="13:16">
      <c r="M32385" s="49">
        <f>IF($A$4+323&gt;$B$4,"",$A$4+323)</f>
        <v>46346</v>
      </c>
      <c r="N32385">
        <f>IF(M32385="","",'Master Barang'!A79)</f>
        <v>0</v>
      </c>
      <c r="O32385">
        <f>IF(N32385="","",'Master Barang'!B79)</f>
        <v>0</v>
      </c>
      <c r="P32385">
        <f>IF(OR(M32385="",N32385=""),"",SUMIFS('Barang Keluar'!$E:$E,'Barang Keluar'!$A:$A,M32385,'Barang Keluar'!$C:$C,N32385))</f>
        <v>0</v>
      </c>
    </row>
    <row r="32386" spans="13:16">
      <c r="M32386" s="49">
        <f>IF($A$4+323&gt;$B$4,"",$A$4+323)</f>
        <v>46346</v>
      </c>
      <c r="N32386">
        <f>IF(M32386="","",'Master Barang'!A80)</f>
        <v>0</v>
      </c>
      <c r="O32386">
        <f>IF(N32386="","",'Master Barang'!B80)</f>
        <v>0</v>
      </c>
      <c r="P32386">
        <f>IF(OR(M32386="",N32386=""),"",SUMIFS('Barang Keluar'!$E:$E,'Barang Keluar'!$A:$A,M32386,'Barang Keluar'!$C:$C,N32386))</f>
        <v>0</v>
      </c>
    </row>
    <row r="32387" spans="13:16">
      <c r="M32387" s="49">
        <f>IF($A$4+323&gt;$B$4,"",$A$4+323)</f>
        <v>46346</v>
      </c>
      <c r="N32387">
        <f>IF(M32387="","",'Master Barang'!A81)</f>
        <v>0</v>
      </c>
      <c r="O32387">
        <f>IF(N32387="","",'Master Barang'!B81)</f>
        <v>0</v>
      </c>
      <c r="P32387">
        <f>IF(OR(M32387="",N32387=""),"",SUMIFS('Barang Keluar'!$E:$E,'Barang Keluar'!$A:$A,M32387,'Barang Keluar'!$C:$C,N32387))</f>
        <v>0</v>
      </c>
    </row>
    <row r="32388" spans="13:16">
      <c r="M32388" s="49">
        <f>IF($A$4+323&gt;$B$4,"",$A$4+323)</f>
        <v>46346</v>
      </c>
      <c r="N32388">
        <f>IF(M32388="","",'Master Barang'!A82)</f>
        <v>0</v>
      </c>
      <c r="O32388">
        <f>IF(N32388="","",'Master Barang'!B82)</f>
        <v>0</v>
      </c>
      <c r="P32388">
        <f>IF(OR(M32388="",N32388=""),"",SUMIFS('Barang Keluar'!$E:$E,'Barang Keluar'!$A:$A,M32388,'Barang Keluar'!$C:$C,N32388))</f>
        <v>0</v>
      </c>
    </row>
    <row r="32389" spans="13:16">
      <c r="M32389" s="49">
        <f>IF($A$4+323&gt;$B$4,"",$A$4+323)</f>
        <v>46346</v>
      </c>
      <c r="N32389">
        <f>IF(M32389="","",'Master Barang'!A83)</f>
        <v>0</v>
      </c>
      <c r="O32389">
        <f>IF(N32389="","",'Master Barang'!B83)</f>
        <v>0</v>
      </c>
      <c r="P32389">
        <f>IF(OR(M32389="",N32389=""),"",SUMIFS('Barang Keluar'!$E:$E,'Barang Keluar'!$A:$A,M32389,'Barang Keluar'!$C:$C,N32389))</f>
        <v>0</v>
      </c>
    </row>
    <row r="32390" spans="13:16">
      <c r="M32390" s="49">
        <f>IF($A$4+323&gt;$B$4,"",$A$4+323)</f>
        <v>46346</v>
      </c>
      <c r="N32390">
        <f>IF(M32390="","",'Master Barang'!A84)</f>
        <v>0</v>
      </c>
      <c r="O32390">
        <f>IF(N32390="","",'Master Barang'!B84)</f>
        <v>0</v>
      </c>
      <c r="P32390">
        <f>IF(OR(M32390="",N32390=""),"",SUMIFS('Barang Keluar'!$E:$E,'Barang Keluar'!$A:$A,M32390,'Barang Keluar'!$C:$C,N32390))</f>
        <v>0</v>
      </c>
    </row>
    <row r="32391" spans="13:16">
      <c r="M32391" s="49">
        <f>IF($A$4+323&gt;$B$4,"",$A$4+323)</f>
        <v>46346</v>
      </c>
      <c r="N32391">
        <f>IF(M32391="","",'Master Barang'!A85)</f>
        <v>0</v>
      </c>
      <c r="O32391">
        <f>IF(N32391="","",'Master Barang'!B85)</f>
        <v>0</v>
      </c>
      <c r="P32391">
        <f>IF(OR(M32391="",N32391=""),"",SUMIFS('Barang Keluar'!$E:$E,'Barang Keluar'!$A:$A,M32391,'Barang Keluar'!$C:$C,N32391))</f>
        <v>0</v>
      </c>
    </row>
    <row r="32392" spans="13:16">
      <c r="M32392" s="49">
        <f>IF($A$4+323&gt;$B$4,"",$A$4+323)</f>
        <v>46346</v>
      </c>
      <c r="N32392">
        <f>IF(M32392="","",'Master Barang'!A86)</f>
        <v>0</v>
      </c>
      <c r="O32392">
        <f>IF(N32392="","",'Master Barang'!B86)</f>
        <v>0</v>
      </c>
      <c r="P32392">
        <f>IF(OR(M32392="",N32392=""),"",SUMIFS('Barang Keluar'!$E:$E,'Barang Keluar'!$A:$A,M32392,'Barang Keluar'!$C:$C,N32392))</f>
        <v>0</v>
      </c>
    </row>
    <row r="32393" spans="13:16">
      <c r="M32393" s="49">
        <f>IF($A$4+323&gt;$B$4,"",$A$4+323)</f>
        <v>46346</v>
      </c>
      <c r="N32393">
        <f>IF(M32393="","",'Master Barang'!A87)</f>
        <v>0</v>
      </c>
      <c r="O32393">
        <f>IF(N32393="","",'Master Barang'!B87)</f>
        <v>0</v>
      </c>
      <c r="P32393">
        <f>IF(OR(M32393="",N32393=""),"",SUMIFS('Barang Keluar'!$E:$E,'Barang Keluar'!$A:$A,M32393,'Barang Keluar'!$C:$C,N32393))</f>
        <v>0</v>
      </c>
    </row>
    <row r="32394" spans="13:16">
      <c r="M32394" s="49">
        <f>IF($A$4+323&gt;$B$4,"",$A$4+323)</f>
        <v>46346</v>
      </c>
      <c r="N32394">
        <f>IF(M32394="","",'Master Barang'!A88)</f>
        <v>0</v>
      </c>
      <c r="O32394">
        <f>IF(N32394="","",'Master Barang'!B88)</f>
        <v>0</v>
      </c>
      <c r="P32394">
        <f>IF(OR(M32394="",N32394=""),"",SUMIFS('Barang Keluar'!$E:$E,'Barang Keluar'!$A:$A,M32394,'Barang Keluar'!$C:$C,N32394))</f>
        <v>0</v>
      </c>
    </row>
    <row r="32395" spans="13:16">
      <c r="M32395" s="49">
        <f>IF($A$4+323&gt;$B$4,"",$A$4+323)</f>
        <v>46346</v>
      </c>
      <c r="N32395">
        <f>IF(M32395="","",'Master Barang'!A89)</f>
        <v>0</v>
      </c>
      <c r="O32395">
        <f>IF(N32395="","",'Master Barang'!B89)</f>
        <v>0</v>
      </c>
      <c r="P32395">
        <f>IF(OR(M32395="",N32395=""),"",SUMIFS('Barang Keluar'!$E:$E,'Barang Keluar'!$A:$A,M32395,'Barang Keluar'!$C:$C,N32395))</f>
        <v>0</v>
      </c>
    </row>
    <row r="32396" spans="13:16">
      <c r="M32396" s="49">
        <f>IF($A$4+323&gt;$B$4,"",$A$4+323)</f>
        <v>46346</v>
      </c>
      <c r="N32396">
        <f>IF(M32396="","",'Master Barang'!A90)</f>
        <v>0</v>
      </c>
      <c r="O32396">
        <f>IF(N32396="","",'Master Barang'!B90)</f>
        <v>0</v>
      </c>
      <c r="P32396">
        <f>IF(OR(M32396="",N32396=""),"",SUMIFS('Barang Keluar'!$E:$E,'Barang Keluar'!$A:$A,M32396,'Barang Keluar'!$C:$C,N32396))</f>
        <v>0</v>
      </c>
    </row>
    <row r="32397" spans="13:16">
      <c r="M32397" s="49">
        <f>IF($A$4+323&gt;$B$4,"",$A$4+323)</f>
        <v>46346</v>
      </c>
      <c r="N32397">
        <f>IF(M32397="","",'Master Barang'!A91)</f>
        <v>0</v>
      </c>
      <c r="O32397">
        <f>IF(N32397="","",'Master Barang'!B91)</f>
        <v>0</v>
      </c>
      <c r="P32397">
        <f>IF(OR(M32397="",N32397=""),"",SUMIFS('Barang Keluar'!$E:$E,'Barang Keluar'!$A:$A,M32397,'Barang Keluar'!$C:$C,N32397))</f>
        <v>0</v>
      </c>
    </row>
    <row r="32398" spans="13:16">
      <c r="M32398" s="49">
        <f>IF($A$4+323&gt;$B$4,"",$A$4+323)</f>
        <v>46346</v>
      </c>
      <c r="N32398">
        <f>IF(M32398="","",'Master Barang'!A92)</f>
        <v>0</v>
      </c>
      <c r="O32398">
        <f>IF(N32398="","",'Master Barang'!B92)</f>
        <v>0</v>
      </c>
      <c r="P32398">
        <f>IF(OR(M32398="",N32398=""),"",SUMIFS('Barang Keluar'!$E:$E,'Barang Keluar'!$A:$A,M32398,'Barang Keluar'!$C:$C,N32398))</f>
        <v>0</v>
      </c>
    </row>
    <row r="32399" spans="13:16">
      <c r="M32399" s="49">
        <f>IF($A$4+323&gt;$B$4,"",$A$4+323)</f>
        <v>46346</v>
      </c>
      <c r="N32399">
        <f>IF(M32399="","",'Master Barang'!A93)</f>
        <v>0</v>
      </c>
      <c r="O32399">
        <f>IF(N32399="","",'Master Barang'!B93)</f>
        <v>0</v>
      </c>
      <c r="P32399">
        <f>IF(OR(M32399="",N32399=""),"",SUMIFS('Barang Keluar'!$E:$E,'Barang Keluar'!$A:$A,M32399,'Barang Keluar'!$C:$C,N32399))</f>
        <v>0</v>
      </c>
    </row>
    <row r="32400" spans="13:16">
      <c r="M32400" s="49">
        <f>IF($A$4+323&gt;$B$4,"",$A$4+323)</f>
        <v>46346</v>
      </c>
      <c r="N32400">
        <f>IF(M32400="","",'Master Barang'!A94)</f>
        <v>0</v>
      </c>
      <c r="O32400">
        <f>IF(N32400="","",'Master Barang'!B94)</f>
        <v>0</v>
      </c>
      <c r="P32400">
        <f>IF(OR(M32400="",N32400=""),"",SUMIFS('Barang Keluar'!$E:$E,'Barang Keluar'!$A:$A,M32400,'Barang Keluar'!$C:$C,N32400))</f>
        <v>0</v>
      </c>
    </row>
    <row r="32401" spans="13:16">
      <c r="M32401" s="49">
        <f>IF($A$4+323&gt;$B$4,"",$A$4+323)</f>
        <v>46346</v>
      </c>
      <c r="N32401">
        <f>IF(M32401="","",'Master Barang'!A95)</f>
        <v>0</v>
      </c>
      <c r="O32401">
        <f>IF(N32401="","",'Master Barang'!B95)</f>
        <v>0</v>
      </c>
      <c r="P32401">
        <f>IF(OR(M32401="",N32401=""),"",SUMIFS('Barang Keluar'!$E:$E,'Barang Keluar'!$A:$A,M32401,'Barang Keluar'!$C:$C,N32401))</f>
        <v>0</v>
      </c>
    </row>
    <row r="32402" spans="13:16">
      <c r="M32402" s="49">
        <f>IF($A$4+323&gt;$B$4,"",$A$4+323)</f>
        <v>46346</v>
      </c>
      <c r="N32402">
        <f>IF(M32402="","",'Master Barang'!A96)</f>
        <v>0</v>
      </c>
      <c r="O32402">
        <f>IF(N32402="","",'Master Barang'!B96)</f>
        <v>0</v>
      </c>
      <c r="P32402">
        <f>IF(OR(M32402="",N32402=""),"",SUMIFS('Barang Keluar'!$E:$E,'Barang Keluar'!$A:$A,M32402,'Barang Keluar'!$C:$C,N32402))</f>
        <v>0</v>
      </c>
    </row>
    <row r="32403" spans="13:16">
      <c r="M32403" s="49">
        <f>IF($A$4+323&gt;$B$4,"",$A$4+323)</f>
        <v>46346</v>
      </c>
      <c r="N32403">
        <f>IF(M32403="","",'Master Barang'!A97)</f>
        <v>0</v>
      </c>
      <c r="O32403">
        <f>IF(N32403="","",'Master Barang'!B97)</f>
        <v>0</v>
      </c>
      <c r="P32403">
        <f>IF(OR(M32403="",N32403=""),"",SUMIFS('Barang Keluar'!$E:$E,'Barang Keluar'!$A:$A,M32403,'Barang Keluar'!$C:$C,N32403))</f>
        <v>0</v>
      </c>
    </row>
    <row r="32404" spans="13:16">
      <c r="M32404" s="49">
        <f>IF($A$4+323&gt;$B$4,"",$A$4+323)</f>
        <v>46346</v>
      </c>
      <c r="N32404">
        <f>IF(M32404="","",'Master Barang'!A98)</f>
        <v>0</v>
      </c>
      <c r="O32404">
        <f>IF(N32404="","",'Master Barang'!B98)</f>
        <v>0</v>
      </c>
      <c r="P32404">
        <f>IF(OR(M32404="",N32404=""),"",SUMIFS('Barang Keluar'!$E:$E,'Barang Keluar'!$A:$A,M32404,'Barang Keluar'!$C:$C,N32404))</f>
        <v>0</v>
      </c>
    </row>
    <row r="32405" spans="13:16">
      <c r="M32405" s="49">
        <f>IF($A$4+323&gt;$B$4,"",$A$4+323)</f>
        <v>46346</v>
      </c>
      <c r="N32405">
        <f>IF(M32405="","",'Master Barang'!A99)</f>
        <v>0</v>
      </c>
      <c r="O32405">
        <f>IF(N32405="","",'Master Barang'!B99)</f>
        <v>0</v>
      </c>
      <c r="P32405">
        <f>IF(OR(M32405="",N32405=""),"",SUMIFS('Barang Keluar'!$E:$E,'Barang Keluar'!$A:$A,M32405,'Barang Keluar'!$C:$C,N32405))</f>
        <v>0</v>
      </c>
    </row>
    <row r="32406" spans="13:16">
      <c r="M32406" s="49">
        <f>IF($A$4+323&gt;$B$4,"",$A$4+323)</f>
        <v>46346</v>
      </c>
      <c r="N32406">
        <f>IF(M32406="","",'Master Barang'!A100)</f>
        <v>0</v>
      </c>
      <c r="O32406">
        <f>IF(N32406="","",'Master Barang'!B100)</f>
        <v>0</v>
      </c>
      <c r="P32406">
        <f>IF(OR(M32406="",N32406=""),"",SUMIFS('Barang Keluar'!$E:$E,'Barang Keluar'!$A:$A,M32406,'Barang Keluar'!$C:$C,N32406))</f>
        <v>0</v>
      </c>
    </row>
    <row r="32407" spans="13:16">
      <c r="M32407" s="49">
        <f>IF($A$4+323&gt;$B$4,"",$A$4+323)</f>
        <v>46346</v>
      </c>
      <c r="N32407">
        <f>IF(M32407="","",'Master Barang'!A101)</f>
        <v>0</v>
      </c>
      <c r="O32407">
        <f>IF(N32407="","",'Master Barang'!B101)</f>
        <v>0</v>
      </c>
      <c r="P32407">
        <f>IF(OR(M32407="",N32407=""),"",SUMIFS('Barang Keluar'!$E:$E,'Barang Keluar'!$A:$A,M32407,'Barang Keluar'!$C:$C,N32407))</f>
        <v>0</v>
      </c>
    </row>
    <row r="32408" spans="13:16">
      <c r="M32408" s="49">
        <f>IF($A$4+324&gt;$B$4,"",$A$4+324)</f>
        <v>46347</v>
      </c>
      <c r="N32408" t="str">
        <f>IF(M32408="","",'Master Barang'!A2)</f>
        <v>PRL-001</v>
      </c>
      <c r="O32408" t="str">
        <f>IF(N32408="","",'Master Barang'!B2)</f>
        <v>natura desinfectant food grade 5l</v>
      </c>
      <c r="P32408">
        <f>IF(OR(M32408="",N32408=""),"",SUMIFS('Barang Keluar'!$E:$E,'Barang Keluar'!$A:$A,M32408,'Barang Keluar'!$C:$C,N32408))</f>
        <v>0</v>
      </c>
    </row>
    <row r="32409" spans="13:16">
      <c r="M32409" s="49">
        <f>IF($A$4+324&gt;$B$4,"",$A$4+324)</f>
        <v>46347</v>
      </c>
      <c r="N32409" t="str">
        <f>IF(M32409="","",'Master Barang'!A3)</f>
        <v>PRL-002</v>
      </c>
      <c r="O32409" t="str">
        <f>IF(N32409="","",'Master Barang'!B3)</f>
        <v>sunlight cairan pencuci piring 5l</v>
      </c>
      <c r="P32409">
        <f>IF(OR(M32409="",N32409=""),"",SUMIFS('Barang Keluar'!$E:$E,'Barang Keluar'!$A:$A,M32409,'Barang Keluar'!$C:$C,N32409))</f>
        <v>0</v>
      </c>
    </row>
    <row r="32410" spans="13:16">
      <c r="M32410" s="49">
        <f>IF($A$4+324&gt;$B$4,"",$A$4+324)</f>
        <v>46347</v>
      </c>
      <c r="N32410" t="str">
        <f>IF(M32410="","",'Master Barang'!A4)</f>
        <v>PRL-003</v>
      </c>
      <c r="O32410" t="str">
        <f>IF(N32410="","",'Master Barang'!B4)</f>
        <v>oixs cleaner 1l</v>
      </c>
      <c r="P32410">
        <f>IF(OR(M32410="",N32410=""),"",SUMIFS('Barang Keluar'!$E:$E,'Barang Keluar'!$A:$A,M32410,'Barang Keluar'!$C:$C,N32410))</f>
        <v>0</v>
      </c>
    </row>
    <row r="32411" spans="13:16">
      <c r="M32411" s="49">
        <f>IF($A$4+324&gt;$B$4,"",$A$4+324)</f>
        <v>46347</v>
      </c>
      <c r="N32411" t="str">
        <f>IF(M32411="","",'Master Barang'!A5)</f>
        <v>PRL-004</v>
      </c>
      <c r="O32411" t="str">
        <f>IF(N32411="","",'Master Barang'!B5)</f>
        <v>be clean tissue serbaguna</v>
      </c>
      <c r="P32411">
        <f>IF(OR(M32411="",N32411=""),"",SUMIFS('Barang Keluar'!$E:$E,'Barang Keluar'!$A:$A,M32411,'Barang Keluar'!$C:$C,N32411))</f>
        <v>0</v>
      </c>
    </row>
    <row r="32412" spans="13:16">
      <c r="M32412" s="49">
        <f>IF($A$4+324&gt;$B$4,"",$A$4+324)</f>
        <v>46347</v>
      </c>
      <c r="N32412" t="str">
        <f>IF(M32412="","",'Master Barang'!A6)</f>
        <v>PRL-005</v>
      </c>
      <c r="O32412" t="str">
        <f>IF(N32412="","",'Master Barang'!B6)</f>
        <v>spons cuci hijau</v>
      </c>
      <c r="P32412">
        <f>IF(OR(M32412="",N32412=""),"",SUMIFS('Barang Keluar'!$E:$E,'Barang Keluar'!$A:$A,M32412,'Barang Keluar'!$C:$C,N32412))</f>
        <v>0</v>
      </c>
    </row>
    <row r="32413" spans="13:16">
      <c r="M32413" s="49">
        <f>IF($A$4+324&gt;$B$4,"",$A$4+324)</f>
        <v>46347</v>
      </c>
      <c r="N32413" t="str">
        <f>IF(M32413="","",'Master Barang'!A7)</f>
        <v>PRL-006</v>
      </c>
      <c r="O32413" t="str">
        <f>IF(N32413="","",'Master Barang'!B7)</f>
        <v>sabut cuci stainless</v>
      </c>
      <c r="P32413">
        <f>IF(OR(M32413="",N32413=""),"",SUMIFS('Barang Keluar'!$E:$E,'Barang Keluar'!$A:$A,M32413,'Barang Keluar'!$C:$C,N32413))</f>
        <v>0</v>
      </c>
    </row>
    <row r="32414" spans="13:16">
      <c r="M32414" s="49">
        <f>IF($A$4+324&gt;$B$4,"",$A$4+324)</f>
        <v>46347</v>
      </c>
      <c r="N32414" t="str">
        <f>IF(M32414="","",'Master Barang'!A8)</f>
        <v>PRL-007</v>
      </c>
      <c r="O32414" t="str">
        <f>IF(N32414="","",'Master Barang'!B8)</f>
        <v>plastik kresek besar merah 50pc</v>
      </c>
      <c r="P32414">
        <f>IF(OR(M32414="",N32414=""),"",SUMIFS('Barang Keluar'!$E:$E,'Barang Keluar'!$A:$A,M32414,'Barang Keluar'!$C:$C,N32414))</f>
        <v>0</v>
      </c>
    </row>
    <row r="32415" spans="13:16">
      <c r="M32415" s="49">
        <f>IF($A$4+324&gt;$B$4,"",$A$4+324)</f>
        <v>46347</v>
      </c>
      <c r="N32415" t="str">
        <f>IF(M32415="","",'Master Barang'!A9)</f>
        <v>PRL-008</v>
      </c>
      <c r="O32415" t="str">
        <f>IF(N32415="","",'Master Barang'!B9)</f>
        <v>lap besar</v>
      </c>
      <c r="P32415">
        <f>IF(OR(M32415="",N32415=""),"",SUMIFS('Barang Keluar'!$E:$E,'Barang Keluar'!$A:$A,M32415,'Barang Keluar'!$C:$C,N32415))</f>
        <v>0</v>
      </c>
    </row>
    <row r="32416" spans="13:16">
      <c r="M32416" s="49">
        <f>IF($A$4+324&gt;$B$4,"",$A$4+324)</f>
        <v>46347</v>
      </c>
      <c r="N32416" t="str">
        <f>IF(M32416="","",'Master Barang'!A10)</f>
        <v>PRL-009</v>
      </c>
      <c r="O32416" t="str">
        <f>IF(N32416="","",'Master Barang'!B10)</f>
        <v>lap microfiber</v>
      </c>
      <c r="P32416">
        <f>IF(OR(M32416="",N32416=""),"",SUMIFS('Barang Keluar'!$E:$E,'Barang Keluar'!$A:$A,M32416,'Barang Keluar'!$C:$C,N32416))</f>
        <v>0</v>
      </c>
    </row>
    <row r="32417" spans="13:16">
      <c r="M32417" s="49">
        <f>IF($A$4+324&gt;$B$4,"",$A$4+324)</f>
        <v>46347</v>
      </c>
      <c r="N32417" t="str">
        <f>IF(M32417="","",'Master Barang'!A11)</f>
        <v>PRL-010</v>
      </c>
      <c r="O32417" t="str">
        <f>IF(N32417="","",'Master Barang'!B11)</f>
        <v>lap kecil</v>
      </c>
      <c r="P32417">
        <f>IF(OR(M32417="",N32417=""),"",SUMIFS('Barang Keluar'!$E:$E,'Barang Keluar'!$A:$A,M32417,'Barang Keluar'!$C:$C,N32417))</f>
        <v>0</v>
      </c>
    </row>
    <row r="32418" spans="13:16">
      <c r="M32418" s="49">
        <f>IF($A$4+324&gt;$B$4,"",$A$4+324)</f>
        <v>46347</v>
      </c>
      <c r="N32418" t="str">
        <f>IF(M32418="","",'Master Barang'!A12)</f>
        <v>PRL-011</v>
      </c>
      <c r="O32418" t="str">
        <f>IF(N32418="","",'Master Barang'!B12)</f>
        <v>kanebo kecil</v>
      </c>
      <c r="P32418">
        <f>IF(OR(M32418="",N32418=""),"",SUMIFS('Barang Keluar'!$E:$E,'Barang Keluar'!$A:$A,M32418,'Barang Keluar'!$C:$C,N32418))</f>
        <v>0</v>
      </c>
    </row>
    <row r="32419" spans="13:16">
      <c r="M32419" s="49">
        <f>IF($A$4+324&gt;$B$4,"",$A$4+324)</f>
        <v>46347</v>
      </c>
      <c r="N32419" t="str">
        <f>IF(M32419="","",'Master Barang'!A13)</f>
        <v>PRL-012</v>
      </c>
      <c r="O32419" t="str">
        <f>IF(N32419="","",'Master Barang'!B13)</f>
        <v>plastik 1/4kg joyoboyo 100 lembar</v>
      </c>
      <c r="P32419">
        <f>IF(OR(M32419="",N32419=""),"",SUMIFS('Barang Keluar'!$E:$E,'Barang Keluar'!$A:$A,M32419,'Barang Keluar'!$C:$C,N32419))</f>
        <v>0</v>
      </c>
    </row>
    <row r="32420" spans="13:16">
      <c r="M32420" s="49">
        <f>IF($A$4+324&gt;$B$4,"",$A$4+324)</f>
        <v>46347</v>
      </c>
      <c r="N32420" t="str">
        <f>IF(M32420="","",'Master Barang'!A14)</f>
        <v>PRL-013</v>
      </c>
      <c r="O32420" t="str">
        <f>IF(N32420="","",'Master Barang'!B14)</f>
        <v>sarung tangan plastik kaka 100 pcs</v>
      </c>
      <c r="P32420">
        <f>IF(OR(M32420="",N32420=""),"",SUMIFS('Barang Keluar'!$E:$E,'Barang Keluar'!$A:$A,M32420,'Barang Keluar'!$C:$C,N32420))</f>
        <v>0</v>
      </c>
    </row>
    <row r="32421" spans="13:16">
      <c r="M32421" s="49">
        <f>IF($A$4+324&gt;$B$4,"",$A$4+324)</f>
        <v>46347</v>
      </c>
      <c r="N32421" t="str">
        <f>IF(M32421="","",'Master Barang'!A15)</f>
        <v>PRL-014</v>
      </c>
      <c r="O32421" t="str">
        <f>IF(N32421="","",'Master Barang'!B15)</f>
        <v>optima trashbag 80x100</v>
      </c>
      <c r="P32421">
        <f>IF(OR(M32421="",N32421=""),"",SUMIFS('Barang Keluar'!$E:$E,'Barang Keluar'!$A:$A,M32421,'Barang Keluar'!$C:$C,N32421))</f>
        <v>0</v>
      </c>
    </row>
    <row r="32422" spans="13:16">
      <c r="M32422" s="49">
        <f>IF($A$4+324&gt;$B$4,"",$A$4+324)</f>
        <v>46347</v>
      </c>
      <c r="N32422" t="str">
        <f>IF(M32422="","",'Master Barang'!A16)</f>
        <v>PRL-015</v>
      </c>
      <c r="O32422" t="str">
        <f>IF(N32422="","",'Master Barang'!B16)</f>
        <v>optima trashbag 60x100</v>
      </c>
      <c r="P32422">
        <f>IF(OR(M32422="",N32422=""),"",SUMIFS('Barang Keluar'!$E:$E,'Barang Keluar'!$A:$A,M32422,'Barang Keluar'!$C:$C,N32422))</f>
        <v>0</v>
      </c>
    </row>
    <row r="32423" spans="13:16">
      <c r="M32423" s="49">
        <f>IF($A$4+324&gt;$B$4,"",$A$4+324)</f>
        <v>46347</v>
      </c>
      <c r="N32423" t="str">
        <f>IF(M32423="","",'Master Barang'!A17)</f>
        <v>PRL-016</v>
      </c>
      <c r="O32423" t="str">
        <f>IF(N32423="","",'Master Barang'!B17)</f>
        <v>rajawali trashbag 30x40</v>
      </c>
      <c r="P32423">
        <f>IF(OR(M32423="",N32423=""),"",SUMIFS('Barang Keluar'!$E:$E,'Barang Keluar'!$A:$A,M32423,'Barang Keluar'!$C:$C,N32423))</f>
        <v>0</v>
      </c>
    </row>
    <row r="32424" spans="13:16">
      <c r="M32424" s="49">
        <f>IF($A$4+324&gt;$B$4,"",$A$4+324)</f>
        <v>46347</v>
      </c>
      <c r="N32424" t="str">
        <f>IF(M32424="","",'Master Barang'!A18)</f>
        <v>PRL-017</v>
      </c>
      <c r="O32424" t="str">
        <f>IF(N32424="","",'Master Barang'!B18)</f>
        <v>onemed masker biru 3 play 50 pcs</v>
      </c>
      <c r="P32424">
        <f>IF(OR(M32424="",N32424=""),"",SUMIFS('Barang Keluar'!$E:$E,'Barang Keluar'!$A:$A,M32424,'Barang Keluar'!$C:$C,N32424))</f>
        <v>0</v>
      </c>
    </row>
    <row r="32425" spans="13:16">
      <c r="M32425" s="49">
        <f>IF($A$4+324&gt;$B$4,"",$A$4+324)</f>
        <v>46347</v>
      </c>
      <c r="N32425" t="str">
        <f>IF(M32425="","",'Master Barang'!A19)</f>
        <v>PRL-018</v>
      </c>
      <c r="O32425" t="str">
        <f>IF(N32425="","",'Master Barang'!B19)</f>
        <v>onemed masker biru 3 play hijab 50 pcs</v>
      </c>
      <c r="P32425">
        <f>IF(OR(M32425="",N32425=""),"",SUMIFS('Barang Keluar'!$E:$E,'Barang Keluar'!$A:$A,M32425,'Barang Keluar'!$C:$C,N32425))</f>
        <v>0</v>
      </c>
    </row>
    <row r="32426" spans="13:16">
      <c r="M32426" s="49">
        <f>IF($A$4+324&gt;$B$4,"",$A$4+324)</f>
        <v>46347</v>
      </c>
      <c r="N32426" t="str">
        <f>IF(M32426="","",'Master Barang'!A20)</f>
        <v>PRL-019</v>
      </c>
      <c r="O32426" t="str">
        <f>IF(N32426="","",'Master Barang'!B20)</f>
        <v>neo health masker biru 3 play 50 pcs</v>
      </c>
      <c r="P32426">
        <f>IF(OR(M32426="",N32426=""),"",SUMIFS('Barang Keluar'!$E:$E,'Barang Keluar'!$A:$A,M32426,'Barang Keluar'!$C:$C,N32426))</f>
        <v>0</v>
      </c>
    </row>
    <row r="32427" spans="13:16">
      <c r="M32427" s="49">
        <f>IF($A$4+324&gt;$B$4,"",$A$4+324)</f>
        <v>46347</v>
      </c>
      <c r="N32427" t="str">
        <f>IF(M32427="","",'Master Barang'!A21)</f>
        <v>PRL-020</v>
      </c>
      <c r="O32427" t="str">
        <f>IF(N32427="","",'Master Barang'!B21)</f>
        <v>baymed masker hijau 3 play hijau 50 pcs</v>
      </c>
      <c r="P32427">
        <f>IF(OR(M32427="",N32427=""),"",SUMIFS('Barang Keluar'!$E:$E,'Barang Keluar'!$A:$A,M32427,'Barang Keluar'!$C:$C,N32427))</f>
        <v>0</v>
      </c>
    </row>
    <row r="32428" spans="13:16">
      <c r="M32428" s="49">
        <f>IF($A$4+324&gt;$B$4,"",$A$4+324)</f>
        <v>46347</v>
      </c>
      <c r="N32428" t="str">
        <f>IF(M32428="","",'Master Barang'!A22)</f>
        <v>PRL-021</v>
      </c>
      <c r="O32428" t="str">
        <f>IF(N32428="","",'Master Barang'!B22)</f>
        <v>altamed nurse cap penutup kepala 100 pcs</v>
      </c>
      <c r="P32428">
        <f>IF(OR(M32428="",N32428=""),"",SUMIFS('Barang Keluar'!$E:$E,'Barang Keluar'!$A:$A,M32428,'Barang Keluar'!$C:$C,N32428))</f>
        <v>0</v>
      </c>
    </row>
    <row r="32429" spans="13:16">
      <c r="M32429" s="49">
        <f>IF($A$4+324&gt;$B$4,"",$A$4+324)</f>
        <v>46347</v>
      </c>
      <c r="N32429" t="str">
        <f>IF(M32429="","",'Master Barang'!A23)</f>
        <v>PRL-022</v>
      </c>
      <c r="O32429" t="str">
        <f>IF(N32429="","",'Master Barang'!B23)</f>
        <v>sabun cuci tangan</v>
      </c>
      <c r="P32429">
        <f>IF(OR(M32429="",N32429=""),"",SUMIFS('Barang Keluar'!$E:$E,'Barang Keluar'!$A:$A,M32429,'Barang Keluar'!$C:$C,N32429))</f>
        <v>0</v>
      </c>
    </row>
    <row r="32430" spans="13:16">
      <c r="M32430" s="49">
        <f>IF($A$4+324&gt;$B$4,"",$A$4+324)</f>
        <v>46347</v>
      </c>
      <c r="N32430" t="str">
        <f>IF(M32430="","",'Master Barang'!A24)</f>
        <v>PRL-023</v>
      </c>
      <c r="O32430" t="str">
        <f>IF(N32430="","",'Master Barang'!B24)</f>
        <v>gayung kecil</v>
      </c>
      <c r="P32430">
        <f>IF(OR(M32430="",N32430=""),"",SUMIFS('Barang Keluar'!$E:$E,'Barang Keluar'!$A:$A,M32430,'Barang Keluar'!$C:$C,N32430))</f>
        <v>0</v>
      </c>
    </row>
    <row r="32431" spans="13:16">
      <c r="M32431" s="49">
        <f>IF($A$4+324&gt;$B$4,"",$A$4+324)</f>
        <v>46347</v>
      </c>
      <c r="N32431" t="str">
        <f>IF(M32431="","",'Master Barang'!A25)</f>
        <v>PRL-024</v>
      </c>
      <c r="O32431" t="str">
        <f>IF(N32431="","",'Master Barang'!B25)</f>
        <v>cikrak kecil</v>
      </c>
      <c r="P32431">
        <f>IF(OR(M32431="",N32431=""),"",SUMIFS('Barang Keluar'!$E:$E,'Barang Keluar'!$A:$A,M32431,'Barang Keluar'!$C:$C,N32431))</f>
        <v>0</v>
      </c>
    </row>
    <row r="32432" spans="13:16">
      <c r="M32432" s="49">
        <f>IF($A$4+324&gt;$B$4,"",$A$4+324)</f>
        <v>46347</v>
      </c>
      <c r="N32432" t="str">
        <f>IF(M32432="","",'Master Barang'!A26)</f>
        <v>PRL-025</v>
      </c>
      <c r="O32432" t="str">
        <f>IF(N32432="","",'Master Barang'!B26)</f>
        <v>petromax plastik kecil 12x24 100 lembar</v>
      </c>
      <c r="P32432">
        <f>IF(OR(M32432="",N32432=""),"",SUMIFS('Barang Keluar'!$E:$E,'Barang Keluar'!$A:$A,M32432,'Barang Keluar'!$C:$C,N32432))</f>
        <v>0</v>
      </c>
    </row>
    <row r="32433" spans="13:16">
      <c r="M32433" s="49">
        <f>IF($A$4+324&gt;$B$4,"",$A$4+324)</f>
        <v>46347</v>
      </c>
      <c r="N32433" t="str">
        <f>IF(M32433="","",'Master Barang'!A27)</f>
        <v>PRL-026</v>
      </c>
      <c r="O32433" t="str">
        <f>IF(N32433="","",'Master Barang'!B27)</f>
        <v>lancar kresek kecil bening </v>
      </c>
      <c r="P32433">
        <f>IF(OR(M32433="",N32433=""),"",SUMIFS('Barang Keluar'!$E:$E,'Barang Keluar'!$A:$A,M32433,'Barang Keluar'!$C:$C,N32433))</f>
        <v>0</v>
      </c>
    </row>
    <row r="32434" spans="13:16">
      <c r="M32434" s="49">
        <f>IF($A$4+324&gt;$B$4,"",$A$4+324)</f>
        <v>46347</v>
      </c>
      <c r="N32434" t="str">
        <f>IF(M32434="","",'Master Barang'!A28)</f>
        <v>PRL-027</v>
      </c>
      <c r="O32434" t="str">
        <f>IF(N32434="","",'Master Barang'!B28)</f>
        <v>kresek klin warna warni kecil</v>
      </c>
      <c r="P32434">
        <f>IF(OR(M32434="",N32434=""),"",SUMIFS('Barang Keluar'!$E:$E,'Barang Keluar'!$A:$A,M32434,'Barang Keluar'!$C:$C,N32434))</f>
        <v>0</v>
      </c>
    </row>
    <row r="32435" spans="13:16">
      <c r="M32435" s="49">
        <f>IF($A$4+324&gt;$B$4,"",$A$4+324)</f>
        <v>46347</v>
      </c>
      <c r="N32435" t="str">
        <f>IF(M32435="","",'Master Barang'!A29)</f>
        <v>PRL-028</v>
      </c>
      <c r="O32435" t="str">
        <f>IF(N32435="","",'Master Barang'!B29)</f>
        <v>ctik plastik 7x10 100 pcs</v>
      </c>
      <c r="P32435">
        <f>IF(OR(M32435="",N32435=""),"",SUMIFS('Barang Keluar'!$E:$E,'Barang Keluar'!$A:$A,M32435,'Barang Keluar'!$C:$C,N32435))</f>
        <v>0</v>
      </c>
    </row>
    <row r="32436" spans="13:16">
      <c r="M32436" s="49">
        <f>IF($A$4+324&gt;$B$4,"",$A$4+324)</f>
        <v>46347</v>
      </c>
      <c r="N32436" t="str">
        <f>IF(M32436="","",'Master Barang'!A30)</f>
        <v>PRL-029</v>
      </c>
      <c r="O32436" t="str">
        <f>IF(N32436="","",'Master Barang'!B30)</f>
        <v>ctik plastik 6x10 100 pcs</v>
      </c>
      <c r="P32436">
        <f>IF(OR(M32436="",N32436=""),"",SUMIFS('Barang Keluar'!$E:$E,'Barang Keluar'!$A:$A,M32436,'Barang Keluar'!$C:$C,N32436))</f>
        <v>0</v>
      </c>
    </row>
    <row r="32437" spans="13:16">
      <c r="M32437" s="49">
        <f>IF($A$4+324&gt;$B$4,"",$A$4+324)</f>
        <v>46347</v>
      </c>
      <c r="N32437" t="str">
        <f>IF(M32437="","",'Master Barang'!A31)</f>
        <v>PRL-030</v>
      </c>
      <c r="O32437" t="str">
        <f>IF(N32437="","",'Master Barang'!B31)</f>
        <v>klip plastik 25x16 100 pcs</v>
      </c>
      <c r="P32437">
        <f>IF(OR(M32437="",N32437=""),"",SUMIFS('Barang Keluar'!$E:$E,'Barang Keluar'!$A:$A,M32437,'Barang Keluar'!$C:$C,N32437))</f>
        <v>0</v>
      </c>
    </row>
    <row r="32438" spans="13:16">
      <c r="M32438" s="49">
        <f>IF($A$4+324&gt;$B$4,"",$A$4+324)</f>
        <v>46347</v>
      </c>
      <c r="N32438" t="str">
        <f>IF(M32438="","",'Master Barang'!A32)</f>
        <v>PRL-031</v>
      </c>
      <c r="O32438" t="str">
        <f>IF(N32438="","",'Master Barang'!B32)</f>
        <v>tempat saus 20 ml</v>
      </c>
      <c r="P32438">
        <f>IF(OR(M32438="",N32438=""),"",SUMIFS('Barang Keluar'!$E:$E,'Barang Keluar'!$A:$A,M32438,'Barang Keluar'!$C:$C,N32438))</f>
        <v>0</v>
      </c>
    </row>
    <row r="32439" spans="13:16">
      <c r="M32439" s="49">
        <f>IF($A$4+324&gt;$B$4,"",$A$4+324)</f>
        <v>46347</v>
      </c>
      <c r="N32439" t="str">
        <f>IF(M32439="","",'Master Barang'!A33)</f>
        <v>PRL-032</v>
      </c>
      <c r="O32439" t="str">
        <f>IF(N32439="","",'Master Barang'!B33)</f>
        <v>plastik packaging ag box uk sedang</v>
      </c>
      <c r="P32439">
        <f>IF(OR(M32439="",N32439=""),"",SUMIFS('Barang Keluar'!$E:$E,'Barang Keluar'!$A:$A,M32439,'Barang Keluar'!$C:$C,N32439))</f>
        <v>0</v>
      </c>
    </row>
    <row r="32440" spans="13:16">
      <c r="M32440" s="49">
        <f>IF($A$4+324&gt;$B$4,"",$A$4+324)</f>
        <v>46347</v>
      </c>
      <c r="N32440" t="str">
        <f>IF(M32440="","",'Master Barang'!A34)</f>
        <v>PRL-033</v>
      </c>
      <c r="O32440">
        <f>IF(N32440="","",'Master Barang'!B34)</f>
        <v>0</v>
      </c>
      <c r="P32440">
        <f>IF(OR(M32440="",N32440=""),"",SUMIFS('Barang Keluar'!$E:$E,'Barang Keluar'!$A:$A,M32440,'Barang Keluar'!$C:$C,N32440))</f>
        <v>0</v>
      </c>
    </row>
    <row r="32441" spans="13:16">
      <c r="M32441" s="49">
        <f>IF($A$4+324&gt;$B$4,"",$A$4+324)</f>
        <v>46347</v>
      </c>
      <c r="N32441">
        <f>IF(M32441="","",'Master Barang'!A35)</f>
        <v>0</v>
      </c>
      <c r="O32441">
        <f>IF(N32441="","",'Master Barang'!B35)</f>
        <v>0</v>
      </c>
      <c r="P32441">
        <f>IF(OR(M32441="",N32441=""),"",SUMIFS('Barang Keluar'!$E:$E,'Barang Keluar'!$A:$A,M32441,'Barang Keluar'!$C:$C,N32441))</f>
        <v>0</v>
      </c>
    </row>
    <row r="32442" spans="13:16">
      <c r="M32442" s="49">
        <f>IF($A$4+324&gt;$B$4,"",$A$4+324)</f>
        <v>46347</v>
      </c>
      <c r="N32442">
        <f>IF(M32442="","",'Master Barang'!A36)</f>
        <v>0</v>
      </c>
      <c r="O32442">
        <f>IF(N32442="","",'Master Barang'!B36)</f>
        <v>0</v>
      </c>
      <c r="P32442">
        <f>IF(OR(M32442="",N32442=""),"",SUMIFS('Barang Keluar'!$E:$E,'Barang Keluar'!$A:$A,M32442,'Barang Keluar'!$C:$C,N32442))</f>
        <v>0</v>
      </c>
    </row>
    <row r="32443" spans="13:16">
      <c r="M32443" s="49">
        <f>IF($A$4+324&gt;$B$4,"",$A$4+324)</f>
        <v>46347</v>
      </c>
      <c r="N32443">
        <f>IF(M32443="","",'Master Barang'!A37)</f>
        <v>0</v>
      </c>
      <c r="O32443">
        <f>IF(N32443="","",'Master Barang'!B37)</f>
        <v>0</v>
      </c>
      <c r="P32443">
        <f>IF(OR(M32443="",N32443=""),"",SUMIFS('Barang Keluar'!$E:$E,'Barang Keluar'!$A:$A,M32443,'Barang Keluar'!$C:$C,N32443))</f>
        <v>0</v>
      </c>
    </row>
    <row r="32444" spans="13:16">
      <c r="M32444" s="49">
        <f>IF($A$4+324&gt;$B$4,"",$A$4+324)</f>
        <v>46347</v>
      </c>
      <c r="N32444">
        <f>IF(M32444="","",'Master Barang'!A38)</f>
        <v>0</v>
      </c>
      <c r="O32444">
        <f>IF(N32444="","",'Master Barang'!B38)</f>
        <v>0</v>
      </c>
      <c r="P32444">
        <f>IF(OR(M32444="",N32444=""),"",SUMIFS('Barang Keluar'!$E:$E,'Barang Keluar'!$A:$A,M32444,'Barang Keluar'!$C:$C,N32444))</f>
        <v>0</v>
      </c>
    </row>
    <row r="32445" spans="13:16">
      <c r="M32445" s="49">
        <f>IF($A$4+324&gt;$B$4,"",$A$4+324)</f>
        <v>46347</v>
      </c>
      <c r="N32445">
        <f>IF(M32445="","",'Master Barang'!A39)</f>
        <v>0</v>
      </c>
      <c r="O32445">
        <f>IF(N32445="","",'Master Barang'!B39)</f>
        <v>0</v>
      </c>
      <c r="P32445">
        <f>IF(OR(M32445="",N32445=""),"",SUMIFS('Barang Keluar'!$E:$E,'Barang Keluar'!$A:$A,M32445,'Barang Keluar'!$C:$C,N32445))</f>
        <v>0</v>
      </c>
    </row>
    <row r="32446" spans="13:16">
      <c r="M32446" s="49">
        <f>IF($A$4+324&gt;$B$4,"",$A$4+324)</f>
        <v>46347</v>
      </c>
      <c r="N32446">
        <f>IF(M32446="","",'Master Barang'!A40)</f>
        <v>0</v>
      </c>
      <c r="O32446">
        <f>IF(N32446="","",'Master Barang'!B40)</f>
        <v>0</v>
      </c>
      <c r="P32446">
        <f>IF(OR(M32446="",N32446=""),"",SUMIFS('Barang Keluar'!$E:$E,'Barang Keluar'!$A:$A,M32446,'Barang Keluar'!$C:$C,N32446))</f>
        <v>0</v>
      </c>
    </row>
    <row r="32447" spans="13:16">
      <c r="M32447" s="49">
        <f>IF($A$4+324&gt;$B$4,"",$A$4+324)</f>
        <v>46347</v>
      </c>
      <c r="N32447">
        <f>IF(M32447="","",'Master Barang'!A41)</f>
        <v>0</v>
      </c>
      <c r="O32447">
        <f>IF(N32447="","",'Master Barang'!B41)</f>
        <v>0</v>
      </c>
      <c r="P32447">
        <f>IF(OR(M32447="",N32447=""),"",SUMIFS('Barang Keluar'!$E:$E,'Barang Keluar'!$A:$A,M32447,'Barang Keluar'!$C:$C,N32447))</f>
        <v>0</v>
      </c>
    </row>
    <row r="32448" spans="13:16">
      <c r="M32448" s="49">
        <f>IF($A$4+324&gt;$B$4,"",$A$4+324)</f>
        <v>46347</v>
      </c>
      <c r="N32448">
        <f>IF(M32448="","",'Master Barang'!A42)</f>
        <v>0</v>
      </c>
      <c r="O32448">
        <f>IF(N32448="","",'Master Barang'!B42)</f>
        <v>0</v>
      </c>
      <c r="P32448">
        <f>IF(OR(M32448="",N32448=""),"",SUMIFS('Barang Keluar'!$E:$E,'Barang Keluar'!$A:$A,M32448,'Barang Keluar'!$C:$C,N32448))</f>
        <v>0</v>
      </c>
    </row>
    <row r="32449" spans="13:16">
      <c r="M32449" s="49">
        <f>IF($A$4+324&gt;$B$4,"",$A$4+324)</f>
        <v>46347</v>
      </c>
      <c r="N32449">
        <f>IF(M32449="","",'Master Barang'!A43)</f>
        <v>0</v>
      </c>
      <c r="O32449">
        <f>IF(N32449="","",'Master Barang'!B43)</f>
        <v>0</v>
      </c>
      <c r="P32449">
        <f>IF(OR(M32449="",N32449=""),"",SUMIFS('Barang Keluar'!$E:$E,'Barang Keluar'!$A:$A,M32449,'Barang Keluar'!$C:$C,N32449))</f>
        <v>0</v>
      </c>
    </row>
    <row r="32450" spans="13:16">
      <c r="M32450" s="49">
        <f>IF($A$4+324&gt;$B$4,"",$A$4+324)</f>
        <v>46347</v>
      </c>
      <c r="N32450">
        <f>IF(M32450="","",'Master Barang'!A44)</f>
        <v>0</v>
      </c>
      <c r="O32450">
        <f>IF(N32450="","",'Master Barang'!B44)</f>
        <v>0</v>
      </c>
      <c r="P32450">
        <f>IF(OR(M32450="",N32450=""),"",SUMIFS('Barang Keluar'!$E:$E,'Barang Keluar'!$A:$A,M32450,'Barang Keluar'!$C:$C,N32450))</f>
        <v>0</v>
      </c>
    </row>
    <row r="32451" spans="13:16">
      <c r="M32451" s="49">
        <f>IF($A$4+324&gt;$B$4,"",$A$4+324)</f>
        <v>46347</v>
      </c>
      <c r="N32451">
        <f>IF(M32451="","",'Master Barang'!A45)</f>
        <v>0</v>
      </c>
      <c r="O32451">
        <f>IF(N32451="","",'Master Barang'!B45)</f>
        <v>0</v>
      </c>
      <c r="P32451">
        <f>IF(OR(M32451="",N32451=""),"",SUMIFS('Barang Keluar'!$E:$E,'Barang Keluar'!$A:$A,M32451,'Barang Keluar'!$C:$C,N32451))</f>
        <v>0</v>
      </c>
    </row>
    <row r="32452" spans="13:16">
      <c r="M32452" s="49">
        <f>IF($A$4+324&gt;$B$4,"",$A$4+324)</f>
        <v>46347</v>
      </c>
      <c r="N32452">
        <f>IF(M32452="","",'Master Barang'!A46)</f>
        <v>0</v>
      </c>
      <c r="O32452">
        <f>IF(N32452="","",'Master Barang'!B46)</f>
        <v>0</v>
      </c>
      <c r="P32452">
        <f>IF(OR(M32452="",N32452=""),"",SUMIFS('Barang Keluar'!$E:$E,'Barang Keluar'!$A:$A,M32452,'Barang Keluar'!$C:$C,N32452))</f>
        <v>0</v>
      </c>
    </row>
    <row r="32453" spans="13:16">
      <c r="M32453" s="49">
        <f>IF($A$4+324&gt;$B$4,"",$A$4+324)</f>
        <v>46347</v>
      </c>
      <c r="N32453">
        <f>IF(M32453="","",'Master Barang'!A47)</f>
        <v>0</v>
      </c>
      <c r="O32453">
        <f>IF(N32453="","",'Master Barang'!B47)</f>
        <v>0</v>
      </c>
      <c r="P32453">
        <f>IF(OR(M32453="",N32453=""),"",SUMIFS('Barang Keluar'!$E:$E,'Barang Keluar'!$A:$A,M32453,'Barang Keluar'!$C:$C,N32453))</f>
        <v>0</v>
      </c>
    </row>
    <row r="32454" spans="13:16">
      <c r="M32454" s="49">
        <f>IF($A$4+324&gt;$B$4,"",$A$4+324)</f>
        <v>46347</v>
      </c>
      <c r="N32454">
        <f>IF(M32454="","",'Master Barang'!A48)</f>
        <v>0</v>
      </c>
      <c r="O32454">
        <f>IF(N32454="","",'Master Barang'!B48)</f>
        <v>0</v>
      </c>
      <c r="P32454">
        <f>IF(OR(M32454="",N32454=""),"",SUMIFS('Barang Keluar'!$E:$E,'Barang Keluar'!$A:$A,M32454,'Barang Keluar'!$C:$C,N32454))</f>
        <v>0</v>
      </c>
    </row>
    <row r="32455" spans="13:16">
      <c r="M32455" s="49">
        <f>IF($A$4+324&gt;$B$4,"",$A$4+324)</f>
        <v>46347</v>
      </c>
      <c r="N32455">
        <f>IF(M32455="","",'Master Barang'!A49)</f>
        <v>0</v>
      </c>
      <c r="O32455">
        <f>IF(N32455="","",'Master Barang'!B49)</f>
        <v>0</v>
      </c>
      <c r="P32455">
        <f>IF(OR(M32455="",N32455=""),"",SUMIFS('Barang Keluar'!$E:$E,'Barang Keluar'!$A:$A,M32455,'Barang Keluar'!$C:$C,N32455))</f>
        <v>0</v>
      </c>
    </row>
    <row r="32456" spans="13:16">
      <c r="M32456" s="49">
        <f>IF($A$4+324&gt;$B$4,"",$A$4+324)</f>
        <v>46347</v>
      </c>
      <c r="N32456">
        <f>IF(M32456="","",'Master Barang'!A50)</f>
        <v>0</v>
      </c>
      <c r="O32456">
        <f>IF(N32456="","",'Master Barang'!B50)</f>
        <v>0</v>
      </c>
      <c r="P32456">
        <f>IF(OR(M32456="",N32456=""),"",SUMIFS('Barang Keluar'!$E:$E,'Barang Keluar'!$A:$A,M32456,'Barang Keluar'!$C:$C,N32456))</f>
        <v>0</v>
      </c>
    </row>
    <row r="32457" spans="13:16">
      <c r="M32457" s="49">
        <f>IF($A$4+324&gt;$B$4,"",$A$4+324)</f>
        <v>46347</v>
      </c>
      <c r="N32457">
        <f>IF(M32457="","",'Master Barang'!A51)</f>
        <v>0</v>
      </c>
      <c r="O32457">
        <f>IF(N32457="","",'Master Barang'!B51)</f>
        <v>0</v>
      </c>
      <c r="P32457">
        <f>IF(OR(M32457="",N32457=""),"",SUMIFS('Barang Keluar'!$E:$E,'Barang Keluar'!$A:$A,M32457,'Barang Keluar'!$C:$C,N32457))</f>
        <v>0</v>
      </c>
    </row>
    <row r="32458" spans="13:16">
      <c r="M32458" s="49">
        <f>IF($A$4+324&gt;$B$4,"",$A$4+324)</f>
        <v>46347</v>
      </c>
      <c r="N32458">
        <f>IF(M32458="","",'Master Barang'!A52)</f>
        <v>0</v>
      </c>
      <c r="O32458">
        <f>IF(N32458="","",'Master Barang'!B52)</f>
        <v>0</v>
      </c>
      <c r="P32458">
        <f>IF(OR(M32458="",N32458=""),"",SUMIFS('Barang Keluar'!$E:$E,'Barang Keluar'!$A:$A,M32458,'Barang Keluar'!$C:$C,N32458))</f>
        <v>0</v>
      </c>
    </row>
    <row r="32459" spans="13:16">
      <c r="M32459" s="49">
        <f>IF($A$4+324&gt;$B$4,"",$A$4+324)</f>
        <v>46347</v>
      </c>
      <c r="N32459">
        <f>IF(M32459="","",'Master Barang'!A53)</f>
        <v>0</v>
      </c>
      <c r="O32459">
        <f>IF(N32459="","",'Master Barang'!B53)</f>
        <v>0</v>
      </c>
      <c r="P32459">
        <f>IF(OR(M32459="",N32459=""),"",SUMIFS('Barang Keluar'!$E:$E,'Barang Keluar'!$A:$A,M32459,'Barang Keluar'!$C:$C,N32459))</f>
        <v>0</v>
      </c>
    </row>
    <row r="32460" spans="13:16">
      <c r="M32460" s="49">
        <f>IF($A$4+324&gt;$B$4,"",$A$4+324)</f>
        <v>46347</v>
      </c>
      <c r="N32460">
        <f>IF(M32460="","",'Master Barang'!A54)</f>
        <v>0</v>
      </c>
      <c r="O32460">
        <f>IF(N32460="","",'Master Barang'!B54)</f>
        <v>0</v>
      </c>
      <c r="P32460">
        <f>IF(OR(M32460="",N32460=""),"",SUMIFS('Barang Keluar'!$E:$E,'Barang Keluar'!$A:$A,M32460,'Barang Keluar'!$C:$C,N32460))</f>
        <v>0</v>
      </c>
    </row>
    <row r="32461" spans="13:16">
      <c r="M32461" s="49">
        <f>IF($A$4+324&gt;$B$4,"",$A$4+324)</f>
        <v>46347</v>
      </c>
      <c r="N32461">
        <f>IF(M32461="","",'Master Barang'!A55)</f>
        <v>0</v>
      </c>
      <c r="O32461">
        <f>IF(N32461="","",'Master Barang'!B55)</f>
        <v>0</v>
      </c>
      <c r="P32461">
        <f>IF(OR(M32461="",N32461=""),"",SUMIFS('Barang Keluar'!$E:$E,'Barang Keluar'!$A:$A,M32461,'Barang Keluar'!$C:$C,N32461))</f>
        <v>0</v>
      </c>
    </row>
    <row r="32462" spans="13:16">
      <c r="M32462" s="49">
        <f>IF($A$4+324&gt;$B$4,"",$A$4+324)</f>
        <v>46347</v>
      </c>
      <c r="N32462">
        <f>IF(M32462="","",'Master Barang'!A56)</f>
        <v>0</v>
      </c>
      <c r="O32462">
        <f>IF(N32462="","",'Master Barang'!B56)</f>
        <v>0</v>
      </c>
      <c r="P32462">
        <f>IF(OR(M32462="",N32462=""),"",SUMIFS('Barang Keluar'!$E:$E,'Barang Keluar'!$A:$A,M32462,'Barang Keluar'!$C:$C,N32462))</f>
        <v>0</v>
      </c>
    </row>
    <row r="32463" spans="13:16">
      <c r="M32463" s="49">
        <f>IF($A$4+324&gt;$B$4,"",$A$4+324)</f>
        <v>46347</v>
      </c>
      <c r="N32463">
        <f>IF(M32463="","",'Master Barang'!A57)</f>
        <v>0</v>
      </c>
      <c r="O32463">
        <f>IF(N32463="","",'Master Barang'!B57)</f>
        <v>0</v>
      </c>
      <c r="P32463">
        <f>IF(OR(M32463="",N32463=""),"",SUMIFS('Barang Keluar'!$E:$E,'Barang Keluar'!$A:$A,M32463,'Barang Keluar'!$C:$C,N32463))</f>
        <v>0</v>
      </c>
    </row>
    <row r="32464" spans="13:16">
      <c r="M32464" s="49">
        <f>IF($A$4+324&gt;$B$4,"",$A$4+324)</f>
        <v>46347</v>
      </c>
      <c r="N32464">
        <f>IF(M32464="","",'Master Barang'!A58)</f>
        <v>0</v>
      </c>
      <c r="O32464">
        <f>IF(N32464="","",'Master Barang'!B58)</f>
        <v>0</v>
      </c>
      <c r="P32464">
        <f>IF(OR(M32464="",N32464=""),"",SUMIFS('Barang Keluar'!$E:$E,'Barang Keluar'!$A:$A,M32464,'Barang Keluar'!$C:$C,N32464))</f>
        <v>0</v>
      </c>
    </row>
    <row r="32465" spans="13:16">
      <c r="M32465" s="49">
        <f>IF($A$4+324&gt;$B$4,"",$A$4+324)</f>
        <v>46347</v>
      </c>
      <c r="N32465">
        <f>IF(M32465="","",'Master Barang'!A59)</f>
        <v>0</v>
      </c>
      <c r="O32465">
        <f>IF(N32465="","",'Master Barang'!B59)</f>
        <v>0</v>
      </c>
      <c r="P32465">
        <f>IF(OR(M32465="",N32465=""),"",SUMIFS('Barang Keluar'!$E:$E,'Barang Keluar'!$A:$A,M32465,'Barang Keluar'!$C:$C,N32465))</f>
        <v>0</v>
      </c>
    </row>
    <row r="32466" spans="13:16">
      <c r="M32466" s="49">
        <f>IF($A$4+324&gt;$B$4,"",$A$4+324)</f>
        <v>46347</v>
      </c>
      <c r="N32466">
        <f>IF(M32466="","",'Master Barang'!A60)</f>
        <v>0</v>
      </c>
      <c r="O32466">
        <f>IF(N32466="","",'Master Barang'!B60)</f>
        <v>0</v>
      </c>
      <c r="P32466">
        <f>IF(OR(M32466="",N32466=""),"",SUMIFS('Barang Keluar'!$E:$E,'Barang Keluar'!$A:$A,M32466,'Barang Keluar'!$C:$C,N32466))</f>
        <v>0</v>
      </c>
    </row>
    <row r="32467" spans="13:16">
      <c r="M32467" s="49">
        <f>IF($A$4+324&gt;$B$4,"",$A$4+324)</f>
        <v>46347</v>
      </c>
      <c r="N32467">
        <f>IF(M32467="","",'Master Barang'!A61)</f>
        <v>0</v>
      </c>
      <c r="O32467">
        <f>IF(N32467="","",'Master Barang'!B61)</f>
        <v>0</v>
      </c>
      <c r="P32467">
        <f>IF(OR(M32467="",N32467=""),"",SUMIFS('Barang Keluar'!$E:$E,'Barang Keluar'!$A:$A,M32467,'Barang Keluar'!$C:$C,N32467))</f>
        <v>0</v>
      </c>
    </row>
    <row r="32468" spans="13:16">
      <c r="M32468" s="49">
        <f>IF($A$4+324&gt;$B$4,"",$A$4+324)</f>
        <v>46347</v>
      </c>
      <c r="N32468">
        <f>IF(M32468="","",'Master Barang'!A62)</f>
        <v>0</v>
      </c>
      <c r="O32468">
        <f>IF(N32468="","",'Master Barang'!B62)</f>
        <v>0</v>
      </c>
      <c r="P32468">
        <f>IF(OR(M32468="",N32468=""),"",SUMIFS('Barang Keluar'!$E:$E,'Barang Keluar'!$A:$A,M32468,'Barang Keluar'!$C:$C,N32468))</f>
        <v>0</v>
      </c>
    </row>
    <row r="32469" spans="13:16">
      <c r="M32469" s="49">
        <f>IF($A$4+324&gt;$B$4,"",$A$4+324)</f>
        <v>46347</v>
      </c>
      <c r="N32469">
        <f>IF(M32469="","",'Master Barang'!A63)</f>
        <v>0</v>
      </c>
      <c r="O32469">
        <f>IF(N32469="","",'Master Barang'!B63)</f>
        <v>0</v>
      </c>
      <c r="P32469">
        <f>IF(OR(M32469="",N32469=""),"",SUMIFS('Barang Keluar'!$E:$E,'Barang Keluar'!$A:$A,M32469,'Barang Keluar'!$C:$C,N32469))</f>
        <v>0</v>
      </c>
    </row>
    <row r="32470" spans="13:16">
      <c r="M32470" s="49">
        <f>IF($A$4+324&gt;$B$4,"",$A$4+324)</f>
        <v>46347</v>
      </c>
      <c r="N32470">
        <f>IF(M32470="","",'Master Barang'!A64)</f>
        <v>0</v>
      </c>
      <c r="O32470">
        <f>IF(N32470="","",'Master Barang'!B64)</f>
        <v>0</v>
      </c>
      <c r="P32470">
        <f>IF(OR(M32470="",N32470=""),"",SUMIFS('Barang Keluar'!$E:$E,'Barang Keluar'!$A:$A,M32470,'Barang Keluar'!$C:$C,N32470))</f>
        <v>0</v>
      </c>
    </row>
    <row r="32471" spans="13:16">
      <c r="M32471" s="49">
        <f>IF($A$4+324&gt;$B$4,"",$A$4+324)</f>
        <v>46347</v>
      </c>
      <c r="N32471">
        <f>IF(M32471="","",'Master Barang'!A65)</f>
        <v>0</v>
      </c>
      <c r="O32471">
        <f>IF(N32471="","",'Master Barang'!B65)</f>
        <v>0</v>
      </c>
      <c r="P32471">
        <f>IF(OR(M32471="",N32471=""),"",SUMIFS('Barang Keluar'!$E:$E,'Barang Keluar'!$A:$A,M32471,'Barang Keluar'!$C:$C,N32471))</f>
        <v>0</v>
      </c>
    </row>
    <row r="32472" spans="13:16">
      <c r="M32472" s="49">
        <f>IF($A$4+324&gt;$B$4,"",$A$4+324)</f>
        <v>46347</v>
      </c>
      <c r="N32472">
        <f>IF(M32472="","",'Master Barang'!A66)</f>
        <v>0</v>
      </c>
      <c r="O32472">
        <f>IF(N32472="","",'Master Barang'!B66)</f>
        <v>0</v>
      </c>
      <c r="P32472">
        <f>IF(OR(M32472="",N32472=""),"",SUMIFS('Barang Keluar'!$E:$E,'Barang Keluar'!$A:$A,M32472,'Barang Keluar'!$C:$C,N32472))</f>
        <v>0</v>
      </c>
    </row>
    <row r="32473" spans="13:16">
      <c r="M32473" s="49">
        <f>IF($A$4+324&gt;$B$4,"",$A$4+324)</f>
        <v>46347</v>
      </c>
      <c r="N32473">
        <f>IF(M32473="","",'Master Barang'!A67)</f>
        <v>0</v>
      </c>
      <c r="O32473">
        <f>IF(N32473="","",'Master Barang'!B67)</f>
        <v>0</v>
      </c>
      <c r="P32473">
        <f>IF(OR(M32473="",N32473=""),"",SUMIFS('Barang Keluar'!$E:$E,'Barang Keluar'!$A:$A,M32473,'Barang Keluar'!$C:$C,N32473))</f>
        <v>0</v>
      </c>
    </row>
    <row r="32474" spans="13:16">
      <c r="M32474" s="49">
        <f>IF($A$4+324&gt;$B$4,"",$A$4+324)</f>
        <v>46347</v>
      </c>
      <c r="N32474">
        <f>IF(M32474="","",'Master Barang'!A68)</f>
        <v>0</v>
      </c>
      <c r="O32474">
        <f>IF(N32474="","",'Master Barang'!B68)</f>
        <v>0</v>
      </c>
      <c r="P32474">
        <f>IF(OR(M32474="",N32474=""),"",SUMIFS('Barang Keluar'!$E:$E,'Barang Keluar'!$A:$A,M32474,'Barang Keluar'!$C:$C,N32474))</f>
        <v>0</v>
      </c>
    </row>
    <row r="32475" spans="13:16">
      <c r="M32475" s="49">
        <f>IF($A$4+324&gt;$B$4,"",$A$4+324)</f>
        <v>46347</v>
      </c>
      <c r="N32475">
        <f>IF(M32475="","",'Master Barang'!A69)</f>
        <v>0</v>
      </c>
      <c r="O32475">
        <f>IF(N32475="","",'Master Barang'!B69)</f>
        <v>0</v>
      </c>
      <c r="P32475">
        <f>IF(OR(M32475="",N32475=""),"",SUMIFS('Barang Keluar'!$E:$E,'Barang Keluar'!$A:$A,M32475,'Barang Keluar'!$C:$C,N32475))</f>
        <v>0</v>
      </c>
    </row>
    <row r="32476" spans="13:16">
      <c r="M32476" s="49">
        <f>IF($A$4+324&gt;$B$4,"",$A$4+324)</f>
        <v>46347</v>
      </c>
      <c r="N32476">
        <f>IF(M32476="","",'Master Barang'!A70)</f>
        <v>0</v>
      </c>
      <c r="O32476">
        <f>IF(N32476="","",'Master Barang'!B70)</f>
        <v>0</v>
      </c>
      <c r="P32476">
        <f>IF(OR(M32476="",N32476=""),"",SUMIFS('Barang Keluar'!$E:$E,'Barang Keluar'!$A:$A,M32476,'Barang Keluar'!$C:$C,N32476))</f>
        <v>0</v>
      </c>
    </row>
    <row r="32477" spans="13:16">
      <c r="M32477" s="49">
        <f>IF($A$4+324&gt;$B$4,"",$A$4+324)</f>
        <v>46347</v>
      </c>
      <c r="N32477">
        <f>IF(M32477="","",'Master Barang'!A71)</f>
        <v>0</v>
      </c>
      <c r="O32477">
        <f>IF(N32477="","",'Master Barang'!B71)</f>
        <v>0</v>
      </c>
      <c r="P32477">
        <f>IF(OR(M32477="",N32477=""),"",SUMIFS('Barang Keluar'!$E:$E,'Barang Keluar'!$A:$A,M32477,'Barang Keluar'!$C:$C,N32477))</f>
        <v>0</v>
      </c>
    </row>
    <row r="32478" spans="13:16">
      <c r="M32478" s="49">
        <f>IF($A$4+324&gt;$B$4,"",$A$4+324)</f>
        <v>46347</v>
      </c>
      <c r="N32478">
        <f>IF(M32478="","",'Master Barang'!A72)</f>
        <v>0</v>
      </c>
      <c r="O32478">
        <f>IF(N32478="","",'Master Barang'!B72)</f>
        <v>0</v>
      </c>
      <c r="P32478">
        <f>IF(OR(M32478="",N32478=""),"",SUMIFS('Barang Keluar'!$E:$E,'Barang Keluar'!$A:$A,M32478,'Barang Keluar'!$C:$C,N32478))</f>
        <v>0</v>
      </c>
    </row>
    <row r="32479" spans="13:16">
      <c r="M32479" s="49">
        <f>IF($A$4+324&gt;$B$4,"",$A$4+324)</f>
        <v>46347</v>
      </c>
      <c r="N32479">
        <f>IF(M32479="","",'Master Barang'!A73)</f>
        <v>0</v>
      </c>
      <c r="O32479">
        <f>IF(N32479="","",'Master Barang'!B73)</f>
        <v>0</v>
      </c>
      <c r="P32479">
        <f>IF(OR(M32479="",N32479=""),"",SUMIFS('Barang Keluar'!$E:$E,'Barang Keluar'!$A:$A,M32479,'Barang Keluar'!$C:$C,N32479))</f>
        <v>0</v>
      </c>
    </row>
    <row r="32480" spans="13:16">
      <c r="M32480" s="49">
        <f>IF($A$4+324&gt;$B$4,"",$A$4+324)</f>
        <v>46347</v>
      </c>
      <c r="N32480">
        <f>IF(M32480="","",'Master Barang'!A74)</f>
        <v>0</v>
      </c>
      <c r="O32480">
        <f>IF(N32480="","",'Master Barang'!B74)</f>
        <v>0</v>
      </c>
      <c r="P32480">
        <f>IF(OR(M32480="",N32480=""),"",SUMIFS('Barang Keluar'!$E:$E,'Barang Keluar'!$A:$A,M32480,'Barang Keluar'!$C:$C,N32480))</f>
        <v>0</v>
      </c>
    </row>
    <row r="32481" spans="13:16">
      <c r="M32481" s="49">
        <f>IF($A$4+324&gt;$B$4,"",$A$4+324)</f>
        <v>46347</v>
      </c>
      <c r="N32481">
        <f>IF(M32481="","",'Master Barang'!A75)</f>
        <v>0</v>
      </c>
      <c r="O32481">
        <f>IF(N32481="","",'Master Barang'!B75)</f>
        <v>0</v>
      </c>
      <c r="P32481">
        <f>IF(OR(M32481="",N32481=""),"",SUMIFS('Barang Keluar'!$E:$E,'Barang Keluar'!$A:$A,M32481,'Barang Keluar'!$C:$C,N32481))</f>
        <v>0</v>
      </c>
    </row>
    <row r="32482" spans="13:16">
      <c r="M32482" s="49">
        <f>IF($A$4+324&gt;$B$4,"",$A$4+324)</f>
        <v>46347</v>
      </c>
      <c r="N32482">
        <f>IF(M32482="","",'Master Barang'!A76)</f>
        <v>0</v>
      </c>
      <c r="O32482">
        <f>IF(N32482="","",'Master Barang'!B76)</f>
        <v>0</v>
      </c>
      <c r="P32482">
        <f>IF(OR(M32482="",N32482=""),"",SUMIFS('Barang Keluar'!$E:$E,'Barang Keluar'!$A:$A,M32482,'Barang Keluar'!$C:$C,N32482))</f>
        <v>0</v>
      </c>
    </row>
    <row r="32483" spans="13:16">
      <c r="M32483" s="49">
        <f>IF($A$4+324&gt;$B$4,"",$A$4+324)</f>
        <v>46347</v>
      </c>
      <c r="N32483">
        <f>IF(M32483="","",'Master Barang'!A77)</f>
        <v>0</v>
      </c>
      <c r="O32483">
        <f>IF(N32483="","",'Master Barang'!B77)</f>
        <v>0</v>
      </c>
      <c r="P32483">
        <f>IF(OR(M32483="",N32483=""),"",SUMIFS('Barang Keluar'!$E:$E,'Barang Keluar'!$A:$A,M32483,'Barang Keluar'!$C:$C,N32483))</f>
        <v>0</v>
      </c>
    </row>
    <row r="32484" spans="13:16">
      <c r="M32484" s="49">
        <f>IF($A$4+324&gt;$B$4,"",$A$4+324)</f>
        <v>46347</v>
      </c>
      <c r="N32484">
        <f>IF(M32484="","",'Master Barang'!A78)</f>
        <v>0</v>
      </c>
      <c r="O32484">
        <f>IF(N32484="","",'Master Barang'!B78)</f>
        <v>0</v>
      </c>
      <c r="P32484">
        <f>IF(OR(M32484="",N32484=""),"",SUMIFS('Barang Keluar'!$E:$E,'Barang Keluar'!$A:$A,M32484,'Barang Keluar'!$C:$C,N32484))</f>
        <v>0</v>
      </c>
    </row>
    <row r="32485" spans="13:16">
      <c r="M32485" s="49">
        <f>IF($A$4+324&gt;$B$4,"",$A$4+324)</f>
        <v>46347</v>
      </c>
      <c r="N32485">
        <f>IF(M32485="","",'Master Barang'!A79)</f>
        <v>0</v>
      </c>
      <c r="O32485">
        <f>IF(N32485="","",'Master Barang'!B79)</f>
        <v>0</v>
      </c>
      <c r="P32485">
        <f>IF(OR(M32485="",N32485=""),"",SUMIFS('Barang Keluar'!$E:$E,'Barang Keluar'!$A:$A,M32485,'Barang Keluar'!$C:$C,N32485))</f>
        <v>0</v>
      </c>
    </row>
    <row r="32486" spans="13:16">
      <c r="M32486" s="49">
        <f>IF($A$4+324&gt;$B$4,"",$A$4+324)</f>
        <v>46347</v>
      </c>
      <c r="N32486">
        <f>IF(M32486="","",'Master Barang'!A80)</f>
        <v>0</v>
      </c>
      <c r="O32486">
        <f>IF(N32486="","",'Master Barang'!B80)</f>
        <v>0</v>
      </c>
      <c r="P32486">
        <f>IF(OR(M32486="",N32486=""),"",SUMIFS('Barang Keluar'!$E:$E,'Barang Keluar'!$A:$A,M32486,'Barang Keluar'!$C:$C,N32486))</f>
        <v>0</v>
      </c>
    </row>
    <row r="32487" spans="13:16">
      <c r="M32487" s="49">
        <f>IF($A$4+324&gt;$B$4,"",$A$4+324)</f>
        <v>46347</v>
      </c>
      <c r="N32487">
        <f>IF(M32487="","",'Master Barang'!A81)</f>
        <v>0</v>
      </c>
      <c r="O32487">
        <f>IF(N32487="","",'Master Barang'!B81)</f>
        <v>0</v>
      </c>
      <c r="P32487">
        <f>IF(OR(M32487="",N32487=""),"",SUMIFS('Barang Keluar'!$E:$E,'Barang Keluar'!$A:$A,M32487,'Barang Keluar'!$C:$C,N32487))</f>
        <v>0</v>
      </c>
    </row>
    <row r="32488" spans="13:16">
      <c r="M32488" s="49">
        <f>IF($A$4+324&gt;$B$4,"",$A$4+324)</f>
        <v>46347</v>
      </c>
      <c r="N32488">
        <f>IF(M32488="","",'Master Barang'!A82)</f>
        <v>0</v>
      </c>
      <c r="O32488">
        <f>IF(N32488="","",'Master Barang'!B82)</f>
        <v>0</v>
      </c>
      <c r="P32488">
        <f>IF(OR(M32488="",N32488=""),"",SUMIFS('Barang Keluar'!$E:$E,'Barang Keluar'!$A:$A,M32488,'Barang Keluar'!$C:$C,N32488))</f>
        <v>0</v>
      </c>
    </row>
    <row r="32489" spans="13:16">
      <c r="M32489" s="49">
        <f>IF($A$4+324&gt;$B$4,"",$A$4+324)</f>
        <v>46347</v>
      </c>
      <c r="N32489">
        <f>IF(M32489="","",'Master Barang'!A83)</f>
        <v>0</v>
      </c>
      <c r="O32489">
        <f>IF(N32489="","",'Master Barang'!B83)</f>
        <v>0</v>
      </c>
      <c r="P32489">
        <f>IF(OR(M32489="",N32489=""),"",SUMIFS('Barang Keluar'!$E:$E,'Barang Keluar'!$A:$A,M32489,'Barang Keluar'!$C:$C,N32489))</f>
        <v>0</v>
      </c>
    </row>
    <row r="32490" spans="13:16">
      <c r="M32490" s="49">
        <f>IF($A$4+324&gt;$B$4,"",$A$4+324)</f>
        <v>46347</v>
      </c>
      <c r="N32490">
        <f>IF(M32490="","",'Master Barang'!A84)</f>
        <v>0</v>
      </c>
      <c r="O32490">
        <f>IF(N32490="","",'Master Barang'!B84)</f>
        <v>0</v>
      </c>
      <c r="P32490">
        <f>IF(OR(M32490="",N32490=""),"",SUMIFS('Barang Keluar'!$E:$E,'Barang Keluar'!$A:$A,M32490,'Barang Keluar'!$C:$C,N32490))</f>
        <v>0</v>
      </c>
    </row>
    <row r="32491" spans="13:16">
      <c r="M32491" s="49">
        <f>IF($A$4+324&gt;$B$4,"",$A$4+324)</f>
        <v>46347</v>
      </c>
      <c r="N32491">
        <f>IF(M32491="","",'Master Barang'!A85)</f>
        <v>0</v>
      </c>
      <c r="O32491">
        <f>IF(N32491="","",'Master Barang'!B85)</f>
        <v>0</v>
      </c>
      <c r="P32491">
        <f>IF(OR(M32491="",N32491=""),"",SUMIFS('Barang Keluar'!$E:$E,'Barang Keluar'!$A:$A,M32491,'Barang Keluar'!$C:$C,N32491))</f>
        <v>0</v>
      </c>
    </row>
    <row r="32492" spans="13:16">
      <c r="M32492" s="49">
        <f>IF($A$4+324&gt;$B$4,"",$A$4+324)</f>
        <v>46347</v>
      </c>
      <c r="N32492">
        <f>IF(M32492="","",'Master Barang'!A86)</f>
        <v>0</v>
      </c>
      <c r="O32492">
        <f>IF(N32492="","",'Master Barang'!B86)</f>
        <v>0</v>
      </c>
      <c r="P32492">
        <f>IF(OR(M32492="",N32492=""),"",SUMIFS('Barang Keluar'!$E:$E,'Barang Keluar'!$A:$A,M32492,'Barang Keluar'!$C:$C,N32492))</f>
        <v>0</v>
      </c>
    </row>
    <row r="32493" spans="13:16">
      <c r="M32493" s="49">
        <f>IF($A$4+324&gt;$B$4,"",$A$4+324)</f>
        <v>46347</v>
      </c>
      <c r="N32493">
        <f>IF(M32493="","",'Master Barang'!A87)</f>
        <v>0</v>
      </c>
      <c r="O32493">
        <f>IF(N32493="","",'Master Barang'!B87)</f>
        <v>0</v>
      </c>
      <c r="P32493">
        <f>IF(OR(M32493="",N32493=""),"",SUMIFS('Barang Keluar'!$E:$E,'Barang Keluar'!$A:$A,M32493,'Barang Keluar'!$C:$C,N32493))</f>
        <v>0</v>
      </c>
    </row>
    <row r="32494" spans="13:16">
      <c r="M32494" s="49">
        <f>IF($A$4+324&gt;$B$4,"",$A$4+324)</f>
        <v>46347</v>
      </c>
      <c r="N32494">
        <f>IF(M32494="","",'Master Barang'!A88)</f>
        <v>0</v>
      </c>
      <c r="O32494">
        <f>IF(N32494="","",'Master Barang'!B88)</f>
        <v>0</v>
      </c>
      <c r="P32494">
        <f>IF(OR(M32494="",N32494=""),"",SUMIFS('Barang Keluar'!$E:$E,'Barang Keluar'!$A:$A,M32494,'Barang Keluar'!$C:$C,N32494))</f>
        <v>0</v>
      </c>
    </row>
    <row r="32495" spans="13:16">
      <c r="M32495" s="49">
        <f>IF($A$4+324&gt;$B$4,"",$A$4+324)</f>
        <v>46347</v>
      </c>
      <c r="N32495">
        <f>IF(M32495="","",'Master Barang'!A89)</f>
        <v>0</v>
      </c>
      <c r="O32495">
        <f>IF(N32495="","",'Master Barang'!B89)</f>
        <v>0</v>
      </c>
      <c r="P32495">
        <f>IF(OR(M32495="",N32495=""),"",SUMIFS('Barang Keluar'!$E:$E,'Barang Keluar'!$A:$A,M32495,'Barang Keluar'!$C:$C,N32495))</f>
        <v>0</v>
      </c>
    </row>
    <row r="32496" spans="13:16">
      <c r="M32496" s="49">
        <f>IF($A$4+324&gt;$B$4,"",$A$4+324)</f>
        <v>46347</v>
      </c>
      <c r="N32496">
        <f>IF(M32496="","",'Master Barang'!A90)</f>
        <v>0</v>
      </c>
      <c r="O32496">
        <f>IF(N32496="","",'Master Barang'!B90)</f>
        <v>0</v>
      </c>
      <c r="P32496">
        <f>IF(OR(M32496="",N32496=""),"",SUMIFS('Barang Keluar'!$E:$E,'Barang Keluar'!$A:$A,M32496,'Barang Keluar'!$C:$C,N32496))</f>
        <v>0</v>
      </c>
    </row>
    <row r="32497" spans="13:16">
      <c r="M32497" s="49">
        <f>IF($A$4+324&gt;$B$4,"",$A$4+324)</f>
        <v>46347</v>
      </c>
      <c r="N32497">
        <f>IF(M32497="","",'Master Barang'!A91)</f>
        <v>0</v>
      </c>
      <c r="O32497">
        <f>IF(N32497="","",'Master Barang'!B91)</f>
        <v>0</v>
      </c>
      <c r="P32497">
        <f>IF(OR(M32497="",N32497=""),"",SUMIFS('Barang Keluar'!$E:$E,'Barang Keluar'!$A:$A,M32497,'Barang Keluar'!$C:$C,N32497))</f>
        <v>0</v>
      </c>
    </row>
    <row r="32498" spans="13:16">
      <c r="M32498" s="49">
        <f>IF($A$4+324&gt;$B$4,"",$A$4+324)</f>
        <v>46347</v>
      </c>
      <c r="N32498">
        <f>IF(M32498="","",'Master Barang'!A92)</f>
        <v>0</v>
      </c>
      <c r="O32498">
        <f>IF(N32498="","",'Master Barang'!B92)</f>
        <v>0</v>
      </c>
      <c r="P32498">
        <f>IF(OR(M32498="",N32498=""),"",SUMIFS('Barang Keluar'!$E:$E,'Barang Keluar'!$A:$A,M32498,'Barang Keluar'!$C:$C,N32498))</f>
        <v>0</v>
      </c>
    </row>
    <row r="32499" spans="13:16">
      <c r="M32499" s="49">
        <f>IF($A$4+324&gt;$B$4,"",$A$4+324)</f>
        <v>46347</v>
      </c>
      <c r="N32499">
        <f>IF(M32499="","",'Master Barang'!A93)</f>
        <v>0</v>
      </c>
      <c r="O32499">
        <f>IF(N32499="","",'Master Barang'!B93)</f>
        <v>0</v>
      </c>
      <c r="P32499">
        <f>IF(OR(M32499="",N32499=""),"",SUMIFS('Barang Keluar'!$E:$E,'Barang Keluar'!$A:$A,M32499,'Barang Keluar'!$C:$C,N32499))</f>
        <v>0</v>
      </c>
    </row>
    <row r="32500" spans="13:16">
      <c r="M32500" s="49">
        <f>IF($A$4+324&gt;$B$4,"",$A$4+324)</f>
        <v>46347</v>
      </c>
      <c r="N32500">
        <f>IF(M32500="","",'Master Barang'!A94)</f>
        <v>0</v>
      </c>
      <c r="O32500">
        <f>IF(N32500="","",'Master Barang'!B94)</f>
        <v>0</v>
      </c>
      <c r="P32500">
        <f>IF(OR(M32500="",N32500=""),"",SUMIFS('Barang Keluar'!$E:$E,'Barang Keluar'!$A:$A,M32500,'Barang Keluar'!$C:$C,N32500))</f>
        <v>0</v>
      </c>
    </row>
    <row r="32501" spans="13:16">
      <c r="M32501" s="49">
        <f>IF($A$4+324&gt;$B$4,"",$A$4+324)</f>
        <v>46347</v>
      </c>
      <c r="N32501">
        <f>IF(M32501="","",'Master Barang'!A95)</f>
        <v>0</v>
      </c>
      <c r="O32501">
        <f>IF(N32501="","",'Master Barang'!B95)</f>
        <v>0</v>
      </c>
      <c r="P32501">
        <f>IF(OR(M32501="",N32501=""),"",SUMIFS('Barang Keluar'!$E:$E,'Barang Keluar'!$A:$A,M32501,'Barang Keluar'!$C:$C,N32501))</f>
        <v>0</v>
      </c>
    </row>
    <row r="32502" spans="13:16">
      <c r="M32502" s="49">
        <f>IF($A$4+324&gt;$B$4,"",$A$4+324)</f>
        <v>46347</v>
      </c>
      <c r="N32502">
        <f>IF(M32502="","",'Master Barang'!A96)</f>
        <v>0</v>
      </c>
      <c r="O32502">
        <f>IF(N32502="","",'Master Barang'!B96)</f>
        <v>0</v>
      </c>
      <c r="P32502">
        <f>IF(OR(M32502="",N32502=""),"",SUMIFS('Barang Keluar'!$E:$E,'Barang Keluar'!$A:$A,M32502,'Barang Keluar'!$C:$C,N32502))</f>
        <v>0</v>
      </c>
    </row>
    <row r="32503" spans="13:16">
      <c r="M32503" s="49">
        <f>IF($A$4+324&gt;$B$4,"",$A$4+324)</f>
        <v>46347</v>
      </c>
      <c r="N32503">
        <f>IF(M32503="","",'Master Barang'!A97)</f>
        <v>0</v>
      </c>
      <c r="O32503">
        <f>IF(N32503="","",'Master Barang'!B97)</f>
        <v>0</v>
      </c>
      <c r="P32503">
        <f>IF(OR(M32503="",N32503=""),"",SUMIFS('Barang Keluar'!$E:$E,'Barang Keluar'!$A:$A,M32503,'Barang Keluar'!$C:$C,N32503))</f>
        <v>0</v>
      </c>
    </row>
    <row r="32504" spans="13:16">
      <c r="M32504" s="49">
        <f>IF($A$4+324&gt;$B$4,"",$A$4+324)</f>
        <v>46347</v>
      </c>
      <c r="N32504">
        <f>IF(M32504="","",'Master Barang'!A98)</f>
        <v>0</v>
      </c>
      <c r="O32504">
        <f>IF(N32504="","",'Master Barang'!B98)</f>
        <v>0</v>
      </c>
      <c r="P32504">
        <f>IF(OR(M32504="",N32504=""),"",SUMIFS('Barang Keluar'!$E:$E,'Barang Keluar'!$A:$A,M32504,'Barang Keluar'!$C:$C,N32504))</f>
        <v>0</v>
      </c>
    </row>
    <row r="32505" spans="13:16">
      <c r="M32505" s="49">
        <f>IF($A$4+324&gt;$B$4,"",$A$4+324)</f>
        <v>46347</v>
      </c>
      <c r="N32505">
        <f>IF(M32505="","",'Master Barang'!A99)</f>
        <v>0</v>
      </c>
      <c r="O32505">
        <f>IF(N32505="","",'Master Barang'!B99)</f>
        <v>0</v>
      </c>
      <c r="P32505">
        <f>IF(OR(M32505="",N32505=""),"",SUMIFS('Barang Keluar'!$E:$E,'Barang Keluar'!$A:$A,M32505,'Barang Keluar'!$C:$C,N32505))</f>
        <v>0</v>
      </c>
    </row>
    <row r="32506" spans="13:16">
      <c r="M32506" s="49">
        <f>IF($A$4+324&gt;$B$4,"",$A$4+324)</f>
        <v>46347</v>
      </c>
      <c r="N32506">
        <f>IF(M32506="","",'Master Barang'!A100)</f>
        <v>0</v>
      </c>
      <c r="O32506">
        <f>IF(N32506="","",'Master Barang'!B100)</f>
        <v>0</v>
      </c>
      <c r="P32506">
        <f>IF(OR(M32506="",N32506=""),"",SUMIFS('Barang Keluar'!$E:$E,'Barang Keluar'!$A:$A,M32506,'Barang Keluar'!$C:$C,N32506))</f>
        <v>0</v>
      </c>
    </row>
    <row r="32507" spans="13:16">
      <c r="M32507" s="49">
        <f>IF($A$4+324&gt;$B$4,"",$A$4+324)</f>
        <v>46347</v>
      </c>
      <c r="N32507">
        <f>IF(M32507="","",'Master Barang'!A101)</f>
        <v>0</v>
      </c>
      <c r="O32507">
        <f>IF(N32507="","",'Master Barang'!B101)</f>
        <v>0</v>
      </c>
      <c r="P32507">
        <f>IF(OR(M32507="",N32507=""),"",SUMIFS('Barang Keluar'!$E:$E,'Barang Keluar'!$A:$A,M32507,'Barang Keluar'!$C:$C,N32507))</f>
        <v>0</v>
      </c>
    </row>
    <row r="32508" spans="13:16">
      <c r="M32508" s="49">
        <f>IF($A$4+325&gt;$B$4,"",$A$4+325)</f>
        <v>46348</v>
      </c>
      <c r="N32508" t="str">
        <f>IF(M32508="","",'Master Barang'!A2)</f>
        <v>PRL-001</v>
      </c>
      <c r="O32508" t="str">
        <f>IF(N32508="","",'Master Barang'!B2)</f>
        <v>natura desinfectant food grade 5l</v>
      </c>
      <c r="P32508">
        <f>IF(OR(M32508="",N32508=""),"",SUMIFS('Barang Keluar'!$E:$E,'Barang Keluar'!$A:$A,M32508,'Barang Keluar'!$C:$C,N32508))</f>
        <v>0</v>
      </c>
    </row>
    <row r="32509" spans="13:16">
      <c r="M32509" s="49">
        <f>IF($A$4+325&gt;$B$4,"",$A$4+325)</f>
        <v>46348</v>
      </c>
      <c r="N32509" t="str">
        <f>IF(M32509="","",'Master Barang'!A3)</f>
        <v>PRL-002</v>
      </c>
      <c r="O32509" t="str">
        <f>IF(N32509="","",'Master Barang'!B3)</f>
        <v>sunlight cairan pencuci piring 5l</v>
      </c>
      <c r="P32509">
        <f>IF(OR(M32509="",N32509=""),"",SUMIFS('Barang Keluar'!$E:$E,'Barang Keluar'!$A:$A,M32509,'Barang Keluar'!$C:$C,N32509))</f>
        <v>0</v>
      </c>
    </row>
    <row r="32510" spans="13:16">
      <c r="M32510" s="49">
        <f>IF($A$4+325&gt;$B$4,"",$A$4+325)</f>
        <v>46348</v>
      </c>
      <c r="N32510" t="str">
        <f>IF(M32510="","",'Master Barang'!A4)</f>
        <v>PRL-003</v>
      </c>
      <c r="O32510" t="str">
        <f>IF(N32510="","",'Master Barang'!B4)</f>
        <v>oixs cleaner 1l</v>
      </c>
      <c r="P32510">
        <f>IF(OR(M32510="",N32510=""),"",SUMIFS('Barang Keluar'!$E:$E,'Barang Keluar'!$A:$A,M32510,'Barang Keluar'!$C:$C,N32510))</f>
        <v>0</v>
      </c>
    </row>
    <row r="32511" spans="13:16">
      <c r="M32511" s="49">
        <f>IF($A$4+325&gt;$B$4,"",$A$4+325)</f>
        <v>46348</v>
      </c>
      <c r="N32511" t="str">
        <f>IF(M32511="","",'Master Barang'!A5)</f>
        <v>PRL-004</v>
      </c>
      <c r="O32511" t="str">
        <f>IF(N32511="","",'Master Barang'!B5)</f>
        <v>be clean tissue serbaguna</v>
      </c>
      <c r="P32511">
        <f>IF(OR(M32511="",N32511=""),"",SUMIFS('Barang Keluar'!$E:$E,'Barang Keluar'!$A:$A,M32511,'Barang Keluar'!$C:$C,N32511))</f>
        <v>0</v>
      </c>
    </row>
    <row r="32512" spans="13:16">
      <c r="M32512" s="49">
        <f>IF($A$4+325&gt;$B$4,"",$A$4+325)</f>
        <v>46348</v>
      </c>
      <c r="N32512" t="str">
        <f>IF(M32512="","",'Master Barang'!A6)</f>
        <v>PRL-005</v>
      </c>
      <c r="O32512" t="str">
        <f>IF(N32512="","",'Master Barang'!B6)</f>
        <v>spons cuci hijau</v>
      </c>
      <c r="P32512">
        <f>IF(OR(M32512="",N32512=""),"",SUMIFS('Barang Keluar'!$E:$E,'Barang Keluar'!$A:$A,M32512,'Barang Keluar'!$C:$C,N32512))</f>
        <v>0</v>
      </c>
    </row>
    <row r="32513" spans="13:16">
      <c r="M32513" s="49">
        <f>IF($A$4+325&gt;$B$4,"",$A$4+325)</f>
        <v>46348</v>
      </c>
      <c r="N32513" t="str">
        <f>IF(M32513="","",'Master Barang'!A7)</f>
        <v>PRL-006</v>
      </c>
      <c r="O32513" t="str">
        <f>IF(N32513="","",'Master Barang'!B7)</f>
        <v>sabut cuci stainless</v>
      </c>
      <c r="P32513">
        <f>IF(OR(M32513="",N32513=""),"",SUMIFS('Barang Keluar'!$E:$E,'Barang Keluar'!$A:$A,M32513,'Barang Keluar'!$C:$C,N32513))</f>
        <v>0</v>
      </c>
    </row>
    <row r="32514" spans="13:16">
      <c r="M32514" s="49">
        <f>IF($A$4+325&gt;$B$4,"",$A$4+325)</f>
        <v>46348</v>
      </c>
      <c r="N32514" t="str">
        <f>IF(M32514="","",'Master Barang'!A8)</f>
        <v>PRL-007</v>
      </c>
      <c r="O32514" t="str">
        <f>IF(N32514="","",'Master Barang'!B8)</f>
        <v>plastik kresek besar merah 50pc</v>
      </c>
      <c r="P32514">
        <f>IF(OR(M32514="",N32514=""),"",SUMIFS('Barang Keluar'!$E:$E,'Barang Keluar'!$A:$A,M32514,'Barang Keluar'!$C:$C,N32514))</f>
        <v>0</v>
      </c>
    </row>
    <row r="32515" spans="13:16">
      <c r="M32515" s="49">
        <f>IF($A$4+325&gt;$B$4,"",$A$4+325)</f>
        <v>46348</v>
      </c>
      <c r="N32515" t="str">
        <f>IF(M32515="","",'Master Barang'!A9)</f>
        <v>PRL-008</v>
      </c>
      <c r="O32515" t="str">
        <f>IF(N32515="","",'Master Barang'!B9)</f>
        <v>lap besar</v>
      </c>
      <c r="P32515">
        <f>IF(OR(M32515="",N32515=""),"",SUMIFS('Barang Keluar'!$E:$E,'Barang Keluar'!$A:$A,M32515,'Barang Keluar'!$C:$C,N32515))</f>
        <v>0</v>
      </c>
    </row>
    <row r="32516" spans="13:16">
      <c r="M32516" s="49">
        <f>IF($A$4+325&gt;$B$4,"",$A$4+325)</f>
        <v>46348</v>
      </c>
      <c r="N32516" t="str">
        <f>IF(M32516="","",'Master Barang'!A10)</f>
        <v>PRL-009</v>
      </c>
      <c r="O32516" t="str">
        <f>IF(N32516="","",'Master Barang'!B10)</f>
        <v>lap microfiber</v>
      </c>
      <c r="P32516">
        <f>IF(OR(M32516="",N32516=""),"",SUMIFS('Barang Keluar'!$E:$E,'Barang Keluar'!$A:$A,M32516,'Barang Keluar'!$C:$C,N32516))</f>
        <v>0</v>
      </c>
    </row>
    <row r="32517" spans="13:16">
      <c r="M32517" s="49">
        <f>IF($A$4+325&gt;$B$4,"",$A$4+325)</f>
        <v>46348</v>
      </c>
      <c r="N32517" t="str">
        <f>IF(M32517="","",'Master Barang'!A11)</f>
        <v>PRL-010</v>
      </c>
      <c r="O32517" t="str">
        <f>IF(N32517="","",'Master Barang'!B11)</f>
        <v>lap kecil</v>
      </c>
      <c r="P32517">
        <f>IF(OR(M32517="",N32517=""),"",SUMIFS('Barang Keluar'!$E:$E,'Barang Keluar'!$A:$A,M32517,'Barang Keluar'!$C:$C,N32517))</f>
        <v>0</v>
      </c>
    </row>
    <row r="32518" spans="13:16">
      <c r="M32518" s="49">
        <f>IF($A$4+325&gt;$B$4,"",$A$4+325)</f>
        <v>46348</v>
      </c>
      <c r="N32518" t="str">
        <f>IF(M32518="","",'Master Barang'!A12)</f>
        <v>PRL-011</v>
      </c>
      <c r="O32518" t="str">
        <f>IF(N32518="","",'Master Barang'!B12)</f>
        <v>kanebo kecil</v>
      </c>
      <c r="P32518">
        <f>IF(OR(M32518="",N32518=""),"",SUMIFS('Barang Keluar'!$E:$E,'Barang Keluar'!$A:$A,M32518,'Barang Keluar'!$C:$C,N32518))</f>
        <v>0</v>
      </c>
    </row>
    <row r="32519" spans="13:16">
      <c r="M32519" s="49">
        <f>IF($A$4+325&gt;$B$4,"",$A$4+325)</f>
        <v>46348</v>
      </c>
      <c r="N32519" t="str">
        <f>IF(M32519="","",'Master Barang'!A13)</f>
        <v>PRL-012</v>
      </c>
      <c r="O32519" t="str">
        <f>IF(N32519="","",'Master Barang'!B13)</f>
        <v>plastik 1/4kg joyoboyo 100 lembar</v>
      </c>
      <c r="P32519">
        <f>IF(OR(M32519="",N32519=""),"",SUMIFS('Barang Keluar'!$E:$E,'Barang Keluar'!$A:$A,M32519,'Barang Keluar'!$C:$C,N32519))</f>
        <v>0</v>
      </c>
    </row>
    <row r="32520" spans="13:16">
      <c r="M32520" s="49">
        <f>IF($A$4+325&gt;$B$4,"",$A$4+325)</f>
        <v>46348</v>
      </c>
      <c r="N32520" t="str">
        <f>IF(M32520="","",'Master Barang'!A14)</f>
        <v>PRL-013</v>
      </c>
      <c r="O32520" t="str">
        <f>IF(N32520="","",'Master Barang'!B14)</f>
        <v>sarung tangan plastik kaka 100 pcs</v>
      </c>
      <c r="P32520">
        <f>IF(OR(M32520="",N32520=""),"",SUMIFS('Barang Keluar'!$E:$E,'Barang Keluar'!$A:$A,M32520,'Barang Keluar'!$C:$C,N32520))</f>
        <v>0</v>
      </c>
    </row>
    <row r="32521" spans="13:16">
      <c r="M32521" s="49">
        <f>IF($A$4+325&gt;$B$4,"",$A$4+325)</f>
        <v>46348</v>
      </c>
      <c r="N32521" t="str">
        <f>IF(M32521="","",'Master Barang'!A15)</f>
        <v>PRL-014</v>
      </c>
      <c r="O32521" t="str">
        <f>IF(N32521="","",'Master Barang'!B15)</f>
        <v>optima trashbag 80x100</v>
      </c>
      <c r="P32521">
        <f>IF(OR(M32521="",N32521=""),"",SUMIFS('Barang Keluar'!$E:$E,'Barang Keluar'!$A:$A,M32521,'Barang Keluar'!$C:$C,N32521))</f>
        <v>0</v>
      </c>
    </row>
    <row r="32522" spans="13:16">
      <c r="M32522" s="49">
        <f>IF($A$4+325&gt;$B$4,"",$A$4+325)</f>
        <v>46348</v>
      </c>
      <c r="N32522" t="str">
        <f>IF(M32522="","",'Master Barang'!A16)</f>
        <v>PRL-015</v>
      </c>
      <c r="O32522" t="str">
        <f>IF(N32522="","",'Master Barang'!B16)</f>
        <v>optima trashbag 60x100</v>
      </c>
      <c r="P32522">
        <f>IF(OR(M32522="",N32522=""),"",SUMIFS('Barang Keluar'!$E:$E,'Barang Keluar'!$A:$A,M32522,'Barang Keluar'!$C:$C,N32522))</f>
        <v>0</v>
      </c>
    </row>
    <row r="32523" spans="13:16">
      <c r="M32523" s="49">
        <f>IF($A$4+325&gt;$B$4,"",$A$4+325)</f>
        <v>46348</v>
      </c>
      <c r="N32523" t="str">
        <f>IF(M32523="","",'Master Barang'!A17)</f>
        <v>PRL-016</v>
      </c>
      <c r="O32523" t="str">
        <f>IF(N32523="","",'Master Barang'!B17)</f>
        <v>rajawali trashbag 30x40</v>
      </c>
      <c r="P32523">
        <f>IF(OR(M32523="",N32523=""),"",SUMIFS('Barang Keluar'!$E:$E,'Barang Keluar'!$A:$A,M32523,'Barang Keluar'!$C:$C,N32523))</f>
        <v>0</v>
      </c>
    </row>
    <row r="32524" spans="13:16">
      <c r="M32524" s="49">
        <f>IF($A$4+325&gt;$B$4,"",$A$4+325)</f>
        <v>46348</v>
      </c>
      <c r="N32524" t="str">
        <f>IF(M32524="","",'Master Barang'!A18)</f>
        <v>PRL-017</v>
      </c>
      <c r="O32524" t="str">
        <f>IF(N32524="","",'Master Barang'!B18)</f>
        <v>onemed masker biru 3 play 50 pcs</v>
      </c>
      <c r="P32524">
        <f>IF(OR(M32524="",N32524=""),"",SUMIFS('Barang Keluar'!$E:$E,'Barang Keluar'!$A:$A,M32524,'Barang Keluar'!$C:$C,N32524))</f>
        <v>0</v>
      </c>
    </row>
    <row r="32525" spans="13:16">
      <c r="M32525" s="49">
        <f>IF($A$4+325&gt;$B$4,"",$A$4+325)</f>
        <v>46348</v>
      </c>
      <c r="N32525" t="str">
        <f>IF(M32525="","",'Master Barang'!A19)</f>
        <v>PRL-018</v>
      </c>
      <c r="O32525" t="str">
        <f>IF(N32525="","",'Master Barang'!B19)</f>
        <v>onemed masker biru 3 play hijab 50 pcs</v>
      </c>
      <c r="P32525">
        <f>IF(OR(M32525="",N32525=""),"",SUMIFS('Barang Keluar'!$E:$E,'Barang Keluar'!$A:$A,M32525,'Barang Keluar'!$C:$C,N32525))</f>
        <v>0</v>
      </c>
    </row>
    <row r="32526" spans="13:16">
      <c r="M32526" s="49">
        <f>IF($A$4+325&gt;$B$4,"",$A$4+325)</f>
        <v>46348</v>
      </c>
      <c r="N32526" t="str">
        <f>IF(M32526="","",'Master Barang'!A20)</f>
        <v>PRL-019</v>
      </c>
      <c r="O32526" t="str">
        <f>IF(N32526="","",'Master Barang'!B20)</f>
        <v>neo health masker biru 3 play 50 pcs</v>
      </c>
      <c r="P32526">
        <f>IF(OR(M32526="",N32526=""),"",SUMIFS('Barang Keluar'!$E:$E,'Barang Keluar'!$A:$A,M32526,'Barang Keluar'!$C:$C,N32526))</f>
        <v>0</v>
      </c>
    </row>
    <row r="32527" spans="13:16">
      <c r="M32527" s="49">
        <f>IF($A$4+325&gt;$B$4,"",$A$4+325)</f>
        <v>46348</v>
      </c>
      <c r="N32527" t="str">
        <f>IF(M32527="","",'Master Barang'!A21)</f>
        <v>PRL-020</v>
      </c>
      <c r="O32527" t="str">
        <f>IF(N32527="","",'Master Barang'!B21)</f>
        <v>baymed masker hijau 3 play hijau 50 pcs</v>
      </c>
      <c r="P32527">
        <f>IF(OR(M32527="",N32527=""),"",SUMIFS('Barang Keluar'!$E:$E,'Barang Keluar'!$A:$A,M32527,'Barang Keluar'!$C:$C,N32527))</f>
        <v>0</v>
      </c>
    </row>
    <row r="32528" spans="13:16">
      <c r="M32528" s="49">
        <f>IF($A$4+325&gt;$B$4,"",$A$4+325)</f>
        <v>46348</v>
      </c>
      <c r="N32528" t="str">
        <f>IF(M32528="","",'Master Barang'!A22)</f>
        <v>PRL-021</v>
      </c>
      <c r="O32528" t="str">
        <f>IF(N32528="","",'Master Barang'!B22)</f>
        <v>altamed nurse cap penutup kepala 100 pcs</v>
      </c>
      <c r="P32528">
        <f>IF(OR(M32528="",N32528=""),"",SUMIFS('Barang Keluar'!$E:$E,'Barang Keluar'!$A:$A,M32528,'Barang Keluar'!$C:$C,N32528))</f>
        <v>0</v>
      </c>
    </row>
    <row r="32529" spans="13:16">
      <c r="M32529" s="49">
        <f>IF($A$4+325&gt;$B$4,"",$A$4+325)</f>
        <v>46348</v>
      </c>
      <c r="N32529" t="str">
        <f>IF(M32529="","",'Master Barang'!A23)</f>
        <v>PRL-022</v>
      </c>
      <c r="O32529" t="str">
        <f>IF(N32529="","",'Master Barang'!B23)</f>
        <v>sabun cuci tangan</v>
      </c>
      <c r="P32529">
        <f>IF(OR(M32529="",N32529=""),"",SUMIFS('Barang Keluar'!$E:$E,'Barang Keluar'!$A:$A,M32529,'Barang Keluar'!$C:$C,N32529))</f>
        <v>0</v>
      </c>
    </row>
    <row r="32530" spans="13:16">
      <c r="M32530" s="49">
        <f>IF($A$4+325&gt;$B$4,"",$A$4+325)</f>
        <v>46348</v>
      </c>
      <c r="N32530" t="str">
        <f>IF(M32530="","",'Master Barang'!A24)</f>
        <v>PRL-023</v>
      </c>
      <c r="O32530" t="str">
        <f>IF(N32530="","",'Master Barang'!B24)</f>
        <v>gayung kecil</v>
      </c>
      <c r="P32530">
        <f>IF(OR(M32530="",N32530=""),"",SUMIFS('Barang Keluar'!$E:$E,'Barang Keluar'!$A:$A,M32530,'Barang Keluar'!$C:$C,N32530))</f>
        <v>0</v>
      </c>
    </row>
    <row r="32531" spans="13:16">
      <c r="M32531" s="49">
        <f>IF($A$4+325&gt;$B$4,"",$A$4+325)</f>
        <v>46348</v>
      </c>
      <c r="N32531" t="str">
        <f>IF(M32531="","",'Master Barang'!A25)</f>
        <v>PRL-024</v>
      </c>
      <c r="O32531" t="str">
        <f>IF(N32531="","",'Master Barang'!B25)</f>
        <v>cikrak kecil</v>
      </c>
      <c r="P32531">
        <f>IF(OR(M32531="",N32531=""),"",SUMIFS('Barang Keluar'!$E:$E,'Barang Keluar'!$A:$A,M32531,'Barang Keluar'!$C:$C,N32531))</f>
        <v>0</v>
      </c>
    </row>
    <row r="32532" spans="13:16">
      <c r="M32532" s="49">
        <f>IF($A$4+325&gt;$B$4,"",$A$4+325)</f>
        <v>46348</v>
      </c>
      <c r="N32532" t="str">
        <f>IF(M32532="","",'Master Barang'!A26)</f>
        <v>PRL-025</v>
      </c>
      <c r="O32532" t="str">
        <f>IF(N32532="","",'Master Barang'!B26)</f>
        <v>petromax plastik kecil 12x24 100 lembar</v>
      </c>
      <c r="P32532">
        <f>IF(OR(M32532="",N32532=""),"",SUMIFS('Barang Keluar'!$E:$E,'Barang Keluar'!$A:$A,M32532,'Barang Keluar'!$C:$C,N32532))</f>
        <v>0</v>
      </c>
    </row>
    <row r="32533" spans="13:16">
      <c r="M32533" s="49">
        <f>IF($A$4+325&gt;$B$4,"",$A$4+325)</f>
        <v>46348</v>
      </c>
      <c r="N32533" t="str">
        <f>IF(M32533="","",'Master Barang'!A27)</f>
        <v>PRL-026</v>
      </c>
      <c r="O32533" t="str">
        <f>IF(N32533="","",'Master Barang'!B27)</f>
        <v>lancar kresek kecil bening </v>
      </c>
      <c r="P32533">
        <f>IF(OR(M32533="",N32533=""),"",SUMIFS('Barang Keluar'!$E:$E,'Barang Keluar'!$A:$A,M32533,'Barang Keluar'!$C:$C,N32533))</f>
        <v>0</v>
      </c>
    </row>
    <row r="32534" spans="13:16">
      <c r="M32534" s="49">
        <f>IF($A$4+325&gt;$B$4,"",$A$4+325)</f>
        <v>46348</v>
      </c>
      <c r="N32534" t="str">
        <f>IF(M32534="","",'Master Barang'!A28)</f>
        <v>PRL-027</v>
      </c>
      <c r="O32534" t="str">
        <f>IF(N32534="","",'Master Barang'!B28)</f>
        <v>kresek klin warna warni kecil</v>
      </c>
      <c r="P32534">
        <f>IF(OR(M32534="",N32534=""),"",SUMIFS('Barang Keluar'!$E:$E,'Barang Keluar'!$A:$A,M32534,'Barang Keluar'!$C:$C,N32534))</f>
        <v>0</v>
      </c>
    </row>
    <row r="32535" spans="13:16">
      <c r="M32535" s="49">
        <f>IF($A$4+325&gt;$B$4,"",$A$4+325)</f>
        <v>46348</v>
      </c>
      <c r="N32535" t="str">
        <f>IF(M32535="","",'Master Barang'!A29)</f>
        <v>PRL-028</v>
      </c>
      <c r="O32535" t="str">
        <f>IF(N32535="","",'Master Barang'!B29)</f>
        <v>ctik plastik 7x10 100 pcs</v>
      </c>
      <c r="P32535">
        <f>IF(OR(M32535="",N32535=""),"",SUMIFS('Barang Keluar'!$E:$E,'Barang Keluar'!$A:$A,M32535,'Barang Keluar'!$C:$C,N32535))</f>
        <v>0</v>
      </c>
    </row>
    <row r="32536" spans="13:16">
      <c r="M32536" s="49">
        <f>IF($A$4+325&gt;$B$4,"",$A$4+325)</f>
        <v>46348</v>
      </c>
      <c r="N32536" t="str">
        <f>IF(M32536="","",'Master Barang'!A30)</f>
        <v>PRL-029</v>
      </c>
      <c r="O32536" t="str">
        <f>IF(N32536="","",'Master Barang'!B30)</f>
        <v>ctik plastik 6x10 100 pcs</v>
      </c>
      <c r="P32536">
        <f>IF(OR(M32536="",N32536=""),"",SUMIFS('Barang Keluar'!$E:$E,'Barang Keluar'!$A:$A,M32536,'Barang Keluar'!$C:$C,N32536))</f>
        <v>0</v>
      </c>
    </row>
    <row r="32537" spans="13:16">
      <c r="M32537" s="49">
        <f>IF($A$4+325&gt;$B$4,"",$A$4+325)</f>
        <v>46348</v>
      </c>
      <c r="N32537" t="str">
        <f>IF(M32537="","",'Master Barang'!A31)</f>
        <v>PRL-030</v>
      </c>
      <c r="O32537" t="str">
        <f>IF(N32537="","",'Master Barang'!B31)</f>
        <v>klip plastik 25x16 100 pcs</v>
      </c>
      <c r="P32537">
        <f>IF(OR(M32537="",N32537=""),"",SUMIFS('Barang Keluar'!$E:$E,'Barang Keluar'!$A:$A,M32537,'Barang Keluar'!$C:$C,N32537))</f>
        <v>0</v>
      </c>
    </row>
    <row r="32538" spans="13:16">
      <c r="M32538" s="49">
        <f>IF($A$4+325&gt;$B$4,"",$A$4+325)</f>
        <v>46348</v>
      </c>
      <c r="N32538" t="str">
        <f>IF(M32538="","",'Master Barang'!A32)</f>
        <v>PRL-031</v>
      </c>
      <c r="O32538" t="str">
        <f>IF(N32538="","",'Master Barang'!B32)</f>
        <v>tempat saus 20 ml</v>
      </c>
      <c r="P32538">
        <f>IF(OR(M32538="",N32538=""),"",SUMIFS('Barang Keluar'!$E:$E,'Barang Keluar'!$A:$A,M32538,'Barang Keluar'!$C:$C,N32538))</f>
        <v>0</v>
      </c>
    </row>
    <row r="32539" spans="13:16">
      <c r="M32539" s="49">
        <f>IF($A$4+325&gt;$B$4,"",$A$4+325)</f>
        <v>46348</v>
      </c>
      <c r="N32539" t="str">
        <f>IF(M32539="","",'Master Barang'!A33)</f>
        <v>PRL-032</v>
      </c>
      <c r="O32539" t="str">
        <f>IF(N32539="","",'Master Barang'!B33)</f>
        <v>plastik packaging ag box uk sedang</v>
      </c>
      <c r="P32539">
        <f>IF(OR(M32539="",N32539=""),"",SUMIFS('Barang Keluar'!$E:$E,'Barang Keluar'!$A:$A,M32539,'Barang Keluar'!$C:$C,N32539))</f>
        <v>0</v>
      </c>
    </row>
    <row r="32540" spans="13:16">
      <c r="M32540" s="49">
        <f>IF($A$4+325&gt;$B$4,"",$A$4+325)</f>
        <v>46348</v>
      </c>
      <c r="N32540" t="str">
        <f>IF(M32540="","",'Master Barang'!A34)</f>
        <v>PRL-033</v>
      </c>
      <c r="O32540">
        <f>IF(N32540="","",'Master Barang'!B34)</f>
        <v>0</v>
      </c>
      <c r="P32540">
        <f>IF(OR(M32540="",N32540=""),"",SUMIFS('Barang Keluar'!$E:$E,'Barang Keluar'!$A:$A,M32540,'Barang Keluar'!$C:$C,N32540))</f>
        <v>0</v>
      </c>
    </row>
    <row r="32541" spans="13:16">
      <c r="M32541" s="49">
        <f>IF($A$4+325&gt;$B$4,"",$A$4+325)</f>
        <v>46348</v>
      </c>
      <c r="N32541">
        <f>IF(M32541="","",'Master Barang'!A35)</f>
        <v>0</v>
      </c>
      <c r="O32541">
        <f>IF(N32541="","",'Master Barang'!B35)</f>
        <v>0</v>
      </c>
      <c r="P32541">
        <f>IF(OR(M32541="",N32541=""),"",SUMIFS('Barang Keluar'!$E:$E,'Barang Keluar'!$A:$A,M32541,'Barang Keluar'!$C:$C,N32541))</f>
        <v>0</v>
      </c>
    </row>
    <row r="32542" spans="13:16">
      <c r="M32542" s="49">
        <f>IF($A$4+325&gt;$B$4,"",$A$4+325)</f>
        <v>46348</v>
      </c>
      <c r="N32542">
        <f>IF(M32542="","",'Master Barang'!A36)</f>
        <v>0</v>
      </c>
      <c r="O32542">
        <f>IF(N32542="","",'Master Barang'!B36)</f>
        <v>0</v>
      </c>
      <c r="P32542">
        <f>IF(OR(M32542="",N32542=""),"",SUMIFS('Barang Keluar'!$E:$E,'Barang Keluar'!$A:$A,M32542,'Barang Keluar'!$C:$C,N32542))</f>
        <v>0</v>
      </c>
    </row>
    <row r="32543" spans="13:16">
      <c r="M32543" s="49">
        <f>IF($A$4+325&gt;$B$4,"",$A$4+325)</f>
        <v>46348</v>
      </c>
      <c r="N32543">
        <f>IF(M32543="","",'Master Barang'!A37)</f>
        <v>0</v>
      </c>
      <c r="O32543">
        <f>IF(N32543="","",'Master Barang'!B37)</f>
        <v>0</v>
      </c>
      <c r="P32543">
        <f>IF(OR(M32543="",N32543=""),"",SUMIFS('Barang Keluar'!$E:$E,'Barang Keluar'!$A:$A,M32543,'Barang Keluar'!$C:$C,N32543))</f>
        <v>0</v>
      </c>
    </row>
    <row r="32544" spans="13:16">
      <c r="M32544" s="49">
        <f>IF($A$4+325&gt;$B$4,"",$A$4+325)</f>
        <v>46348</v>
      </c>
      <c r="N32544">
        <f>IF(M32544="","",'Master Barang'!A38)</f>
        <v>0</v>
      </c>
      <c r="O32544">
        <f>IF(N32544="","",'Master Barang'!B38)</f>
        <v>0</v>
      </c>
      <c r="P32544">
        <f>IF(OR(M32544="",N32544=""),"",SUMIFS('Barang Keluar'!$E:$E,'Barang Keluar'!$A:$A,M32544,'Barang Keluar'!$C:$C,N32544))</f>
        <v>0</v>
      </c>
    </row>
    <row r="32545" spans="13:16">
      <c r="M32545" s="49">
        <f>IF($A$4+325&gt;$B$4,"",$A$4+325)</f>
        <v>46348</v>
      </c>
      <c r="N32545">
        <f>IF(M32545="","",'Master Barang'!A39)</f>
        <v>0</v>
      </c>
      <c r="O32545">
        <f>IF(N32545="","",'Master Barang'!B39)</f>
        <v>0</v>
      </c>
      <c r="P32545">
        <f>IF(OR(M32545="",N32545=""),"",SUMIFS('Barang Keluar'!$E:$E,'Barang Keluar'!$A:$A,M32545,'Barang Keluar'!$C:$C,N32545))</f>
        <v>0</v>
      </c>
    </row>
    <row r="32546" spans="13:16">
      <c r="M32546" s="49">
        <f>IF($A$4+325&gt;$B$4,"",$A$4+325)</f>
        <v>46348</v>
      </c>
      <c r="N32546">
        <f>IF(M32546="","",'Master Barang'!A40)</f>
        <v>0</v>
      </c>
      <c r="O32546">
        <f>IF(N32546="","",'Master Barang'!B40)</f>
        <v>0</v>
      </c>
      <c r="P32546">
        <f>IF(OR(M32546="",N32546=""),"",SUMIFS('Barang Keluar'!$E:$E,'Barang Keluar'!$A:$A,M32546,'Barang Keluar'!$C:$C,N32546))</f>
        <v>0</v>
      </c>
    </row>
    <row r="32547" spans="13:16">
      <c r="M32547" s="49">
        <f>IF($A$4+325&gt;$B$4,"",$A$4+325)</f>
        <v>46348</v>
      </c>
      <c r="N32547">
        <f>IF(M32547="","",'Master Barang'!A41)</f>
        <v>0</v>
      </c>
      <c r="O32547">
        <f>IF(N32547="","",'Master Barang'!B41)</f>
        <v>0</v>
      </c>
      <c r="P32547">
        <f>IF(OR(M32547="",N32547=""),"",SUMIFS('Barang Keluar'!$E:$E,'Barang Keluar'!$A:$A,M32547,'Barang Keluar'!$C:$C,N32547))</f>
        <v>0</v>
      </c>
    </row>
    <row r="32548" spans="13:16">
      <c r="M32548" s="49">
        <f>IF($A$4+325&gt;$B$4,"",$A$4+325)</f>
        <v>46348</v>
      </c>
      <c r="N32548">
        <f>IF(M32548="","",'Master Barang'!A42)</f>
        <v>0</v>
      </c>
      <c r="O32548">
        <f>IF(N32548="","",'Master Barang'!B42)</f>
        <v>0</v>
      </c>
      <c r="P32548">
        <f>IF(OR(M32548="",N32548=""),"",SUMIFS('Barang Keluar'!$E:$E,'Barang Keluar'!$A:$A,M32548,'Barang Keluar'!$C:$C,N32548))</f>
        <v>0</v>
      </c>
    </row>
    <row r="32549" spans="13:16">
      <c r="M32549" s="49">
        <f>IF($A$4+325&gt;$B$4,"",$A$4+325)</f>
        <v>46348</v>
      </c>
      <c r="N32549">
        <f>IF(M32549="","",'Master Barang'!A43)</f>
        <v>0</v>
      </c>
      <c r="O32549">
        <f>IF(N32549="","",'Master Barang'!B43)</f>
        <v>0</v>
      </c>
      <c r="P32549">
        <f>IF(OR(M32549="",N32549=""),"",SUMIFS('Barang Keluar'!$E:$E,'Barang Keluar'!$A:$A,M32549,'Barang Keluar'!$C:$C,N32549))</f>
        <v>0</v>
      </c>
    </row>
    <row r="32550" spans="13:16">
      <c r="M32550" s="49">
        <f>IF($A$4+325&gt;$B$4,"",$A$4+325)</f>
        <v>46348</v>
      </c>
      <c r="N32550">
        <f>IF(M32550="","",'Master Barang'!A44)</f>
        <v>0</v>
      </c>
      <c r="O32550">
        <f>IF(N32550="","",'Master Barang'!B44)</f>
        <v>0</v>
      </c>
      <c r="P32550">
        <f>IF(OR(M32550="",N32550=""),"",SUMIFS('Barang Keluar'!$E:$E,'Barang Keluar'!$A:$A,M32550,'Barang Keluar'!$C:$C,N32550))</f>
        <v>0</v>
      </c>
    </row>
    <row r="32551" spans="13:16">
      <c r="M32551" s="49">
        <f>IF($A$4+325&gt;$B$4,"",$A$4+325)</f>
        <v>46348</v>
      </c>
      <c r="N32551">
        <f>IF(M32551="","",'Master Barang'!A45)</f>
        <v>0</v>
      </c>
      <c r="O32551">
        <f>IF(N32551="","",'Master Barang'!B45)</f>
        <v>0</v>
      </c>
      <c r="P32551">
        <f>IF(OR(M32551="",N32551=""),"",SUMIFS('Barang Keluar'!$E:$E,'Barang Keluar'!$A:$A,M32551,'Barang Keluar'!$C:$C,N32551))</f>
        <v>0</v>
      </c>
    </row>
    <row r="32552" spans="13:16">
      <c r="M32552" s="49">
        <f>IF($A$4+325&gt;$B$4,"",$A$4+325)</f>
        <v>46348</v>
      </c>
      <c r="N32552">
        <f>IF(M32552="","",'Master Barang'!A46)</f>
        <v>0</v>
      </c>
      <c r="O32552">
        <f>IF(N32552="","",'Master Barang'!B46)</f>
        <v>0</v>
      </c>
      <c r="P32552">
        <f>IF(OR(M32552="",N32552=""),"",SUMIFS('Barang Keluar'!$E:$E,'Barang Keluar'!$A:$A,M32552,'Barang Keluar'!$C:$C,N32552))</f>
        <v>0</v>
      </c>
    </row>
    <row r="32553" spans="13:16">
      <c r="M32553" s="49">
        <f>IF($A$4+325&gt;$B$4,"",$A$4+325)</f>
        <v>46348</v>
      </c>
      <c r="N32553">
        <f>IF(M32553="","",'Master Barang'!A47)</f>
        <v>0</v>
      </c>
      <c r="O32553">
        <f>IF(N32553="","",'Master Barang'!B47)</f>
        <v>0</v>
      </c>
      <c r="P32553">
        <f>IF(OR(M32553="",N32553=""),"",SUMIFS('Barang Keluar'!$E:$E,'Barang Keluar'!$A:$A,M32553,'Barang Keluar'!$C:$C,N32553))</f>
        <v>0</v>
      </c>
    </row>
    <row r="32554" spans="13:16">
      <c r="M32554" s="49">
        <f>IF($A$4+325&gt;$B$4,"",$A$4+325)</f>
        <v>46348</v>
      </c>
      <c r="N32554">
        <f>IF(M32554="","",'Master Barang'!A48)</f>
        <v>0</v>
      </c>
      <c r="O32554">
        <f>IF(N32554="","",'Master Barang'!B48)</f>
        <v>0</v>
      </c>
      <c r="P32554">
        <f>IF(OR(M32554="",N32554=""),"",SUMIFS('Barang Keluar'!$E:$E,'Barang Keluar'!$A:$A,M32554,'Barang Keluar'!$C:$C,N32554))</f>
        <v>0</v>
      </c>
    </row>
    <row r="32555" spans="13:16">
      <c r="M32555" s="49">
        <f>IF($A$4+325&gt;$B$4,"",$A$4+325)</f>
        <v>46348</v>
      </c>
      <c r="N32555">
        <f>IF(M32555="","",'Master Barang'!A49)</f>
        <v>0</v>
      </c>
      <c r="O32555">
        <f>IF(N32555="","",'Master Barang'!B49)</f>
        <v>0</v>
      </c>
      <c r="P32555">
        <f>IF(OR(M32555="",N32555=""),"",SUMIFS('Barang Keluar'!$E:$E,'Barang Keluar'!$A:$A,M32555,'Barang Keluar'!$C:$C,N32555))</f>
        <v>0</v>
      </c>
    </row>
    <row r="32556" spans="13:16">
      <c r="M32556" s="49">
        <f>IF($A$4+325&gt;$B$4,"",$A$4+325)</f>
        <v>46348</v>
      </c>
      <c r="N32556">
        <f>IF(M32556="","",'Master Barang'!A50)</f>
        <v>0</v>
      </c>
      <c r="O32556">
        <f>IF(N32556="","",'Master Barang'!B50)</f>
        <v>0</v>
      </c>
      <c r="P32556">
        <f>IF(OR(M32556="",N32556=""),"",SUMIFS('Barang Keluar'!$E:$E,'Barang Keluar'!$A:$A,M32556,'Barang Keluar'!$C:$C,N32556))</f>
        <v>0</v>
      </c>
    </row>
    <row r="32557" spans="13:16">
      <c r="M32557" s="49">
        <f>IF($A$4+325&gt;$B$4,"",$A$4+325)</f>
        <v>46348</v>
      </c>
      <c r="N32557">
        <f>IF(M32557="","",'Master Barang'!A51)</f>
        <v>0</v>
      </c>
      <c r="O32557">
        <f>IF(N32557="","",'Master Barang'!B51)</f>
        <v>0</v>
      </c>
      <c r="P32557">
        <f>IF(OR(M32557="",N32557=""),"",SUMIFS('Barang Keluar'!$E:$E,'Barang Keluar'!$A:$A,M32557,'Barang Keluar'!$C:$C,N32557))</f>
        <v>0</v>
      </c>
    </row>
    <row r="32558" spans="13:16">
      <c r="M32558" s="49">
        <f>IF($A$4+325&gt;$B$4,"",$A$4+325)</f>
        <v>46348</v>
      </c>
      <c r="N32558">
        <f>IF(M32558="","",'Master Barang'!A52)</f>
        <v>0</v>
      </c>
      <c r="O32558">
        <f>IF(N32558="","",'Master Barang'!B52)</f>
        <v>0</v>
      </c>
      <c r="P32558">
        <f>IF(OR(M32558="",N32558=""),"",SUMIFS('Barang Keluar'!$E:$E,'Barang Keluar'!$A:$A,M32558,'Barang Keluar'!$C:$C,N32558))</f>
        <v>0</v>
      </c>
    </row>
    <row r="32559" spans="13:16">
      <c r="M32559" s="49">
        <f>IF($A$4+325&gt;$B$4,"",$A$4+325)</f>
        <v>46348</v>
      </c>
      <c r="N32559">
        <f>IF(M32559="","",'Master Barang'!A53)</f>
        <v>0</v>
      </c>
      <c r="O32559">
        <f>IF(N32559="","",'Master Barang'!B53)</f>
        <v>0</v>
      </c>
      <c r="P32559">
        <f>IF(OR(M32559="",N32559=""),"",SUMIFS('Barang Keluar'!$E:$E,'Barang Keluar'!$A:$A,M32559,'Barang Keluar'!$C:$C,N32559))</f>
        <v>0</v>
      </c>
    </row>
    <row r="32560" spans="13:16">
      <c r="M32560" s="49">
        <f>IF($A$4+325&gt;$B$4,"",$A$4+325)</f>
        <v>46348</v>
      </c>
      <c r="N32560">
        <f>IF(M32560="","",'Master Barang'!A54)</f>
        <v>0</v>
      </c>
      <c r="O32560">
        <f>IF(N32560="","",'Master Barang'!B54)</f>
        <v>0</v>
      </c>
      <c r="P32560">
        <f>IF(OR(M32560="",N32560=""),"",SUMIFS('Barang Keluar'!$E:$E,'Barang Keluar'!$A:$A,M32560,'Barang Keluar'!$C:$C,N32560))</f>
        <v>0</v>
      </c>
    </row>
    <row r="32561" spans="13:16">
      <c r="M32561" s="49">
        <f>IF($A$4+325&gt;$B$4,"",$A$4+325)</f>
        <v>46348</v>
      </c>
      <c r="N32561">
        <f>IF(M32561="","",'Master Barang'!A55)</f>
        <v>0</v>
      </c>
      <c r="O32561">
        <f>IF(N32561="","",'Master Barang'!B55)</f>
        <v>0</v>
      </c>
      <c r="P32561">
        <f>IF(OR(M32561="",N32561=""),"",SUMIFS('Barang Keluar'!$E:$E,'Barang Keluar'!$A:$A,M32561,'Barang Keluar'!$C:$C,N32561))</f>
        <v>0</v>
      </c>
    </row>
    <row r="32562" spans="13:16">
      <c r="M32562" s="49">
        <f>IF($A$4+325&gt;$B$4,"",$A$4+325)</f>
        <v>46348</v>
      </c>
      <c r="N32562">
        <f>IF(M32562="","",'Master Barang'!A56)</f>
        <v>0</v>
      </c>
      <c r="O32562">
        <f>IF(N32562="","",'Master Barang'!B56)</f>
        <v>0</v>
      </c>
      <c r="P32562">
        <f>IF(OR(M32562="",N32562=""),"",SUMIFS('Barang Keluar'!$E:$E,'Barang Keluar'!$A:$A,M32562,'Barang Keluar'!$C:$C,N32562))</f>
        <v>0</v>
      </c>
    </row>
    <row r="32563" spans="13:16">
      <c r="M32563" s="49">
        <f>IF($A$4+325&gt;$B$4,"",$A$4+325)</f>
        <v>46348</v>
      </c>
      <c r="N32563">
        <f>IF(M32563="","",'Master Barang'!A57)</f>
        <v>0</v>
      </c>
      <c r="O32563">
        <f>IF(N32563="","",'Master Barang'!B57)</f>
        <v>0</v>
      </c>
      <c r="P32563">
        <f>IF(OR(M32563="",N32563=""),"",SUMIFS('Barang Keluar'!$E:$E,'Barang Keluar'!$A:$A,M32563,'Barang Keluar'!$C:$C,N32563))</f>
        <v>0</v>
      </c>
    </row>
    <row r="32564" spans="13:16">
      <c r="M32564" s="49">
        <f>IF($A$4+325&gt;$B$4,"",$A$4+325)</f>
        <v>46348</v>
      </c>
      <c r="N32564">
        <f>IF(M32564="","",'Master Barang'!A58)</f>
        <v>0</v>
      </c>
      <c r="O32564">
        <f>IF(N32564="","",'Master Barang'!B58)</f>
        <v>0</v>
      </c>
      <c r="P32564">
        <f>IF(OR(M32564="",N32564=""),"",SUMIFS('Barang Keluar'!$E:$E,'Barang Keluar'!$A:$A,M32564,'Barang Keluar'!$C:$C,N32564))</f>
        <v>0</v>
      </c>
    </row>
    <row r="32565" spans="13:16">
      <c r="M32565" s="49">
        <f>IF($A$4+325&gt;$B$4,"",$A$4+325)</f>
        <v>46348</v>
      </c>
      <c r="N32565">
        <f>IF(M32565="","",'Master Barang'!A59)</f>
        <v>0</v>
      </c>
      <c r="O32565">
        <f>IF(N32565="","",'Master Barang'!B59)</f>
        <v>0</v>
      </c>
      <c r="P32565">
        <f>IF(OR(M32565="",N32565=""),"",SUMIFS('Barang Keluar'!$E:$E,'Barang Keluar'!$A:$A,M32565,'Barang Keluar'!$C:$C,N32565))</f>
        <v>0</v>
      </c>
    </row>
    <row r="32566" spans="13:16">
      <c r="M32566" s="49">
        <f>IF($A$4+325&gt;$B$4,"",$A$4+325)</f>
        <v>46348</v>
      </c>
      <c r="N32566">
        <f>IF(M32566="","",'Master Barang'!A60)</f>
        <v>0</v>
      </c>
      <c r="O32566">
        <f>IF(N32566="","",'Master Barang'!B60)</f>
        <v>0</v>
      </c>
      <c r="P32566">
        <f>IF(OR(M32566="",N32566=""),"",SUMIFS('Barang Keluar'!$E:$E,'Barang Keluar'!$A:$A,M32566,'Barang Keluar'!$C:$C,N32566))</f>
        <v>0</v>
      </c>
    </row>
    <row r="32567" spans="13:16">
      <c r="M32567" s="49">
        <f>IF($A$4+325&gt;$B$4,"",$A$4+325)</f>
        <v>46348</v>
      </c>
      <c r="N32567">
        <f>IF(M32567="","",'Master Barang'!A61)</f>
        <v>0</v>
      </c>
      <c r="O32567">
        <f>IF(N32567="","",'Master Barang'!B61)</f>
        <v>0</v>
      </c>
      <c r="P32567">
        <f>IF(OR(M32567="",N32567=""),"",SUMIFS('Barang Keluar'!$E:$E,'Barang Keluar'!$A:$A,M32567,'Barang Keluar'!$C:$C,N32567))</f>
        <v>0</v>
      </c>
    </row>
    <row r="32568" spans="13:16">
      <c r="M32568" s="49">
        <f>IF($A$4+325&gt;$B$4,"",$A$4+325)</f>
        <v>46348</v>
      </c>
      <c r="N32568">
        <f>IF(M32568="","",'Master Barang'!A62)</f>
        <v>0</v>
      </c>
      <c r="O32568">
        <f>IF(N32568="","",'Master Barang'!B62)</f>
        <v>0</v>
      </c>
      <c r="P32568">
        <f>IF(OR(M32568="",N32568=""),"",SUMIFS('Barang Keluar'!$E:$E,'Barang Keluar'!$A:$A,M32568,'Barang Keluar'!$C:$C,N32568))</f>
        <v>0</v>
      </c>
    </row>
    <row r="32569" spans="13:16">
      <c r="M32569" s="49">
        <f>IF($A$4+325&gt;$B$4,"",$A$4+325)</f>
        <v>46348</v>
      </c>
      <c r="N32569">
        <f>IF(M32569="","",'Master Barang'!A63)</f>
        <v>0</v>
      </c>
      <c r="O32569">
        <f>IF(N32569="","",'Master Barang'!B63)</f>
        <v>0</v>
      </c>
      <c r="P32569">
        <f>IF(OR(M32569="",N32569=""),"",SUMIFS('Barang Keluar'!$E:$E,'Barang Keluar'!$A:$A,M32569,'Barang Keluar'!$C:$C,N32569))</f>
        <v>0</v>
      </c>
    </row>
    <row r="32570" spans="13:16">
      <c r="M32570" s="49">
        <f>IF($A$4+325&gt;$B$4,"",$A$4+325)</f>
        <v>46348</v>
      </c>
      <c r="N32570">
        <f>IF(M32570="","",'Master Barang'!A64)</f>
        <v>0</v>
      </c>
      <c r="O32570">
        <f>IF(N32570="","",'Master Barang'!B64)</f>
        <v>0</v>
      </c>
      <c r="P32570">
        <f>IF(OR(M32570="",N32570=""),"",SUMIFS('Barang Keluar'!$E:$E,'Barang Keluar'!$A:$A,M32570,'Barang Keluar'!$C:$C,N32570))</f>
        <v>0</v>
      </c>
    </row>
    <row r="32571" spans="13:16">
      <c r="M32571" s="49">
        <f>IF($A$4+325&gt;$B$4,"",$A$4+325)</f>
        <v>46348</v>
      </c>
      <c r="N32571">
        <f>IF(M32571="","",'Master Barang'!A65)</f>
        <v>0</v>
      </c>
      <c r="O32571">
        <f>IF(N32571="","",'Master Barang'!B65)</f>
        <v>0</v>
      </c>
      <c r="P32571">
        <f>IF(OR(M32571="",N32571=""),"",SUMIFS('Barang Keluar'!$E:$E,'Barang Keluar'!$A:$A,M32571,'Barang Keluar'!$C:$C,N32571))</f>
        <v>0</v>
      </c>
    </row>
    <row r="32572" spans="13:16">
      <c r="M32572" s="49">
        <f>IF($A$4+325&gt;$B$4,"",$A$4+325)</f>
        <v>46348</v>
      </c>
      <c r="N32572">
        <f>IF(M32572="","",'Master Barang'!A66)</f>
        <v>0</v>
      </c>
      <c r="O32572">
        <f>IF(N32572="","",'Master Barang'!B66)</f>
        <v>0</v>
      </c>
      <c r="P32572">
        <f>IF(OR(M32572="",N32572=""),"",SUMIFS('Barang Keluar'!$E:$E,'Barang Keluar'!$A:$A,M32572,'Barang Keluar'!$C:$C,N32572))</f>
        <v>0</v>
      </c>
    </row>
    <row r="32573" spans="13:16">
      <c r="M32573" s="49">
        <f>IF($A$4+325&gt;$B$4,"",$A$4+325)</f>
        <v>46348</v>
      </c>
      <c r="N32573">
        <f>IF(M32573="","",'Master Barang'!A67)</f>
        <v>0</v>
      </c>
      <c r="O32573">
        <f>IF(N32573="","",'Master Barang'!B67)</f>
        <v>0</v>
      </c>
      <c r="P32573">
        <f>IF(OR(M32573="",N32573=""),"",SUMIFS('Barang Keluar'!$E:$E,'Barang Keluar'!$A:$A,M32573,'Barang Keluar'!$C:$C,N32573))</f>
        <v>0</v>
      </c>
    </row>
    <row r="32574" spans="13:16">
      <c r="M32574" s="49">
        <f>IF($A$4+325&gt;$B$4,"",$A$4+325)</f>
        <v>46348</v>
      </c>
      <c r="N32574">
        <f>IF(M32574="","",'Master Barang'!A68)</f>
        <v>0</v>
      </c>
      <c r="O32574">
        <f>IF(N32574="","",'Master Barang'!B68)</f>
        <v>0</v>
      </c>
      <c r="P32574">
        <f>IF(OR(M32574="",N32574=""),"",SUMIFS('Barang Keluar'!$E:$E,'Barang Keluar'!$A:$A,M32574,'Barang Keluar'!$C:$C,N32574))</f>
        <v>0</v>
      </c>
    </row>
    <row r="32575" spans="13:16">
      <c r="M32575" s="49">
        <f>IF($A$4+325&gt;$B$4,"",$A$4+325)</f>
        <v>46348</v>
      </c>
      <c r="N32575">
        <f>IF(M32575="","",'Master Barang'!A69)</f>
        <v>0</v>
      </c>
      <c r="O32575">
        <f>IF(N32575="","",'Master Barang'!B69)</f>
        <v>0</v>
      </c>
      <c r="P32575">
        <f>IF(OR(M32575="",N32575=""),"",SUMIFS('Barang Keluar'!$E:$E,'Barang Keluar'!$A:$A,M32575,'Barang Keluar'!$C:$C,N32575))</f>
        <v>0</v>
      </c>
    </row>
    <row r="32576" spans="13:16">
      <c r="M32576" s="49">
        <f>IF($A$4+325&gt;$B$4,"",$A$4+325)</f>
        <v>46348</v>
      </c>
      <c r="N32576">
        <f>IF(M32576="","",'Master Barang'!A70)</f>
        <v>0</v>
      </c>
      <c r="O32576">
        <f>IF(N32576="","",'Master Barang'!B70)</f>
        <v>0</v>
      </c>
      <c r="P32576">
        <f>IF(OR(M32576="",N32576=""),"",SUMIFS('Barang Keluar'!$E:$E,'Barang Keluar'!$A:$A,M32576,'Barang Keluar'!$C:$C,N32576))</f>
        <v>0</v>
      </c>
    </row>
    <row r="32577" spans="13:16">
      <c r="M32577" s="49">
        <f>IF($A$4+325&gt;$B$4,"",$A$4+325)</f>
        <v>46348</v>
      </c>
      <c r="N32577">
        <f>IF(M32577="","",'Master Barang'!A71)</f>
        <v>0</v>
      </c>
      <c r="O32577">
        <f>IF(N32577="","",'Master Barang'!B71)</f>
        <v>0</v>
      </c>
      <c r="P32577">
        <f>IF(OR(M32577="",N32577=""),"",SUMIFS('Barang Keluar'!$E:$E,'Barang Keluar'!$A:$A,M32577,'Barang Keluar'!$C:$C,N32577))</f>
        <v>0</v>
      </c>
    </row>
    <row r="32578" spans="13:16">
      <c r="M32578" s="49">
        <f>IF($A$4+325&gt;$B$4,"",$A$4+325)</f>
        <v>46348</v>
      </c>
      <c r="N32578">
        <f>IF(M32578="","",'Master Barang'!A72)</f>
        <v>0</v>
      </c>
      <c r="O32578">
        <f>IF(N32578="","",'Master Barang'!B72)</f>
        <v>0</v>
      </c>
      <c r="P32578">
        <f>IF(OR(M32578="",N32578=""),"",SUMIFS('Barang Keluar'!$E:$E,'Barang Keluar'!$A:$A,M32578,'Barang Keluar'!$C:$C,N32578))</f>
        <v>0</v>
      </c>
    </row>
    <row r="32579" spans="13:16">
      <c r="M32579" s="49">
        <f>IF($A$4+325&gt;$B$4,"",$A$4+325)</f>
        <v>46348</v>
      </c>
      <c r="N32579">
        <f>IF(M32579="","",'Master Barang'!A73)</f>
        <v>0</v>
      </c>
      <c r="O32579">
        <f>IF(N32579="","",'Master Barang'!B73)</f>
        <v>0</v>
      </c>
      <c r="P32579">
        <f>IF(OR(M32579="",N32579=""),"",SUMIFS('Barang Keluar'!$E:$E,'Barang Keluar'!$A:$A,M32579,'Barang Keluar'!$C:$C,N32579))</f>
        <v>0</v>
      </c>
    </row>
    <row r="32580" spans="13:16">
      <c r="M32580" s="49">
        <f>IF($A$4+325&gt;$B$4,"",$A$4+325)</f>
        <v>46348</v>
      </c>
      <c r="N32580">
        <f>IF(M32580="","",'Master Barang'!A74)</f>
        <v>0</v>
      </c>
      <c r="O32580">
        <f>IF(N32580="","",'Master Barang'!B74)</f>
        <v>0</v>
      </c>
      <c r="P32580">
        <f>IF(OR(M32580="",N32580=""),"",SUMIFS('Barang Keluar'!$E:$E,'Barang Keluar'!$A:$A,M32580,'Barang Keluar'!$C:$C,N32580))</f>
        <v>0</v>
      </c>
    </row>
    <row r="32581" spans="13:16">
      <c r="M32581" s="49">
        <f>IF($A$4+325&gt;$B$4,"",$A$4+325)</f>
        <v>46348</v>
      </c>
      <c r="N32581">
        <f>IF(M32581="","",'Master Barang'!A75)</f>
        <v>0</v>
      </c>
      <c r="O32581">
        <f>IF(N32581="","",'Master Barang'!B75)</f>
        <v>0</v>
      </c>
      <c r="P32581">
        <f>IF(OR(M32581="",N32581=""),"",SUMIFS('Barang Keluar'!$E:$E,'Barang Keluar'!$A:$A,M32581,'Barang Keluar'!$C:$C,N32581))</f>
        <v>0</v>
      </c>
    </row>
    <row r="32582" spans="13:16">
      <c r="M32582" s="49">
        <f>IF($A$4+325&gt;$B$4,"",$A$4+325)</f>
        <v>46348</v>
      </c>
      <c r="N32582">
        <f>IF(M32582="","",'Master Barang'!A76)</f>
        <v>0</v>
      </c>
      <c r="O32582">
        <f>IF(N32582="","",'Master Barang'!B76)</f>
        <v>0</v>
      </c>
      <c r="P32582">
        <f>IF(OR(M32582="",N32582=""),"",SUMIFS('Barang Keluar'!$E:$E,'Barang Keluar'!$A:$A,M32582,'Barang Keluar'!$C:$C,N32582))</f>
        <v>0</v>
      </c>
    </row>
    <row r="32583" spans="13:16">
      <c r="M32583" s="49">
        <f>IF($A$4+325&gt;$B$4,"",$A$4+325)</f>
        <v>46348</v>
      </c>
      <c r="N32583">
        <f>IF(M32583="","",'Master Barang'!A77)</f>
        <v>0</v>
      </c>
      <c r="O32583">
        <f>IF(N32583="","",'Master Barang'!B77)</f>
        <v>0</v>
      </c>
      <c r="P32583">
        <f>IF(OR(M32583="",N32583=""),"",SUMIFS('Barang Keluar'!$E:$E,'Barang Keluar'!$A:$A,M32583,'Barang Keluar'!$C:$C,N32583))</f>
        <v>0</v>
      </c>
    </row>
    <row r="32584" spans="13:16">
      <c r="M32584" s="49">
        <f>IF($A$4+325&gt;$B$4,"",$A$4+325)</f>
        <v>46348</v>
      </c>
      <c r="N32584">
        <f>IF(M32584="","",'Master Barang'!A78)</f>
        <v>0</v>
      </c>
      <c r="O32584">
        <f>IF(N32584="","",'Master Barang'!B78)</f>
        <v>0</v>
      </c>
      <c r="P32584">
        <f>IF(OR(M32584="",N32584=""),"",SUMIFS('Barang Keluar'!$E:$E,'Barang Keluar'!$A:$A,M32584,'Barang Keluar'!$C:$C,N32584))</f>
        <v>0</v>
      </c>
    </row>
    <row r="32585" spans="13:16">
      <c r="M32585" s="49">
        <f>IF($A$4+325&gt;$B$4,"",$A$4+325)</f>
        <v>46348</v>
      </c>
      <c r="N32585">
        <f>IF(M32585="","",'Master Barang'!A79)</f>
        <v>0</v>
      </c>
      <c r="O32585">
        <f>IF(N32585="","",'Master Barang'!B79)</f>
        <v>0</v>
      </c>
      <c r="P32585">
        <f>IF(OR(M32585="",N32585=""),"",SUMIFS('Barang Keluar'!$E:$E,'Barang Keluar'!$A:$A,M32585,'Barang Keluar'!$C:$C,N32585))</f>
        <v>0</v>
      </c>
    </row>
    <row r="32586" spans="13:16">
      <c r="M32586" s="49">
        <f>IF($A$4+325&gt;$B$4,"",$A$4+325)</f>
        <v>46348</v>
      </c>
      <c r="N32586">
        <f>IF(M32586="","",'Master Barang'!A80)</f>
        <v>0</v>
      </c>
      <c r="O32586">
        <f>IF(N32586="","",'Master Barang'!B80)</f>
        <v>0</v>
      </c>
      <c r="P32586">
        <f>IF(OR(M32586="",N32586=""),"",SUMIFS('Barang Keluar'!$E:$E,'Barang Keluar'!$A:$A,M32586,'Barang Keluar'!$C:$C,N32586))</f>
        <v>0</v>
      </c>
    </row>
    <row r="32587" spans="13:16">
      <c r="M32587" s="49">
        <f>IF($A$4+325&gt;$B$4,"",$A$4+325)</f>
        <v>46348</v>
      </c>
      <c r="N32587">
        <f>IF(M32587="","",'Master Barang'!A81)</f>
        <v>0</v>
      </c>
      <c r="O32587">
        <f>IF(N32587="","",'Master Barang'!B81)</f>
        <v>0</v>
      </c>
      <c r="P32587">
        <f>IF(OR(M32587="",N32587=""),"",SUMIFS('Barang Keluar'!$E:$E,'Barang Keluar'!$A:$A,M32587,'Barang Keluar'!$C:$C,N32587))</f>
        <v>0</v>
      </c>
    </row>
    <row r="32588" spans="13:16">
      <c r="M32588" s="49">
        <f>IF($A$4+325&gt;$B$4,"",$A$4+325)</f>
        <v>46348</v>
      </c>
      <c r="N32588">
        <f>IF(M32588="","",'Master Barang'!A82)</f>
        <v>0</v>
      </c>
      <c r="O32588">
        <f>IF(N32588="","",'Master Barang'!B82)</f>
        <v>0</v>
      </c>
      <c r="P32588">
        <f>IF(OR(M32588="",N32588=""),"",SUMIFS('Barang Keluar'!$E:$E,'Barang Keluar'!$A:$A,M32588,'Barang Keluar'!$C:$C,N32588))</f>
        <v>0</v>
      </c>
    </row>
    <row r="32589" spans="13:16">
      <c r="M32589" s="49">
        <f>IF($A$4+325&gt;$B$4,"",$A$4+325)</f>
        <v>46348</v>
      </c>
      <c r="N32589">
        <f>IF(M32589="","",'Master Barang'!A83)</f>
        <v>0</v>
      </c>
      <c r="O32589">
        <f>IF(N32589="","",'Master Barang'!B83)</f>
        <v>0</v>
      </c>
      <c r="P32589">
        <f>IF(OR(M32589="",N32589=""),"",SUMIFS('Barang Keluar'!$E:$E,'Barang Keluar'!$A:$A,M32589,'Barang Keluar'!$C:$C,N32589))</f>
        <v>0</v>
      </c>
    </row>
    <row r="32590" spans="13:16">
      <c r="M32590" s="49">
        <f>IF($A$4+325&gt;$B$4,"",$A$4+325)</f>
        <v>46348</v>
      </c>
      <c r="N32590">
        <f>IF(M32590="","",'Master Barang'!A84)</f>
        <v>0</v>
      </c>
      <c r="O32590">
        <f>IF(N32590="","",'Master Barang'!B84)</f>
        <v>0</v>
      </c>
      <c r="P32590">
        <f>IF(OR(M32590="",N32590=""),"",SUMIFS('Barang Keluar'!$E:$E,'Barang Keluar'!$A:$A,M32590,'Barang Keluar'!$C:$C,N32590))</f>
        <v>0</v>
      </c>
    </row>
    <row r="32591" spans="13:16">
      <c r="M32591" s="49">
        <f>IF($A$4+325&gt;$B$4,"",$A$4+325)</f>
        <v>46348</v>
      </c>
      <c r="N32591">
        <f>IF(M32591="","",'Master Barang'!A85)</f>
        <v>0</v>
      </c>
      <c r="O32591">
        <f>IF(N32591="","",'Master Barang'!B85)</f>
        <v>0</v>
      </c>
      <c r="P32591">
        <f>IF(OR(M32591="",N32591=""),"",SUMIFS('Barang Keluar'!$E:$E,'Barang Keluar'!$A:$A,M32591,'Barang Keluar'!$C:$C,N32591))</f>
        <v>0</v>
      </c>
    </row>
    <row r="32592" spans="13:16">
      <c r="M32592" s="49">
        <f>IF($A$4+325&gt;$B$4,"",$A$4+325)</f>
        <v>46348</v>
      </c>
      <c r="N32592">
        <f>IF(M32592="","",'Master Barang'!A86)</f>
        <v>0</v>
      </c>
      <c r="O32592">
        <f>IF(N32592="","",'Master Barang'!B86)</f>
        <v>0</v>
      </c>
      <c r="P32592">
        <f>IF(OR(M32592="",N32592=""),"",SUMIFS('Barang Keluar'!$E:$E,'Barang Keluar'!$A:$A,M32592,'Barang Keluar'!$C:$C,N32592))</f>
        <v>0</v>
      </c>
    </row>
    <row r="32593" spans="13:16">
      <c r="M32593" s="49">
        <f>IF($A$4+325&gt;$B$4,"",$A$4+325)</f>
        <v>46348</v>
      </c>
      <c r="N32593">
        <f>IF(M32593="","",'Master Barang'!A87)</f>
        <v>0</v>
      </c>
      <c r="O32593">
        <f>IF(N32593="","",'Master Barang'!B87)</f>
        <v>0</v>
      </c>
      <c r="P32593">
        <f>IF(OR(M32593="",N32593=""),"",SUMIFS('Barang Keluar'!$E:$E,'Barang Keluar'!$A:$A,M32593,'Barang Keluar'!$C:$C,N32593))</f>
        <v>0</v>
      </c>
    </row>
    <row r="32594" spans="13:16">
      <c r="M32594" s="49">
        <f>IF($A$4+325&gt;$B$4,"",$A$4+325)</f>
        <v>46348</v>
      </c>
      <c r="N32594">
        <f>IF(M32594="","",'Master Barang'!A88)</f>
        <v>0</v>
      </c>
      <c r="O32594">
        <f>IF(N32594="","",'Master Barang'!B88)</f>
        <v>0</v>
      </c>
      <c r="P32594">
        <f>IF(OR(M32594="",N32594=""),"",SUMIFS('Barang Keluar'!$E:$E,'Barang Keluar'!$A:$A,M32594,'Barang Keluar'!$C:$C,N32594))</f>
        <v>0</v>
      </c>
    </row>
    <row r="32595" spans="13:16">
      <c r="M32595" s="49">
        <f>IF($A$4+325&gt;$B$4,"",$A$4+325)</f>
        <v>46348</v>
      </c>
      <c r="N32595">
        <f>IF(M32595="","",'Master Barang'!A89)</f>
        <v>0</v>
      </c>
      <c r="O32595">
        <f>IF(N32595="","",'Master Barang'!B89)</f>
        <v>0</v>
      </c>
      <c r="P32595">
        <f>IF(OR(M32595="",N32595=""),"",SUMIFS('Barang Keluar'!$E:$E,'Barang Keluar'!$A:$A,M32595,'Barang Keluar'!$C:$C,N32595))</f>
        <v>0</v>
      </c>
    </row>
    <row r="32596" spans="13:16">
      <c r="M32596" s="49">
        <f>IF($A$4+325&gt;$B$4,"",$A$4+325)</f>
        <v>46348</v>
      </c>
      <c r="N32596">
        <f>IF(M32596="","",'Master Barang'!A90)</f>
        <v>0</v>
      </c>
      <c r="O32596">
        <f>IF(N32596="","",'Master Barang'!B90)</f>
        <v>0</v>
      </c>
      <c r="P32596">
        <f>IF(OR(M32596="",N32596=""),"",SUMIFS('Barang Keluar'!$E:$E,'Barang Keluar'!$A:$A,M32596,'Barang Keluar'!$C:$C,N32596))</f>
        <v>0</v>
      </c>
    </row>
    <row r="32597" spans="13:16">
      <c r="M32597" s="49">
        <f>IF($A$4+325&gt;$B$4,"",$A$4+325)</f>
        <v>46348</v>
      </c>
      <c r="N32597">
        <f>IF(M32597="","",'Master Barang'!A91)</f>
        <v>0</v>
      </c>
      <c r="O32597">
        <f>IF(N32597="","",'Master Barang'!B91)</f>
        <v>0</v>
      </c>
      <c r="P32597">
        <f>IF(OR(M32597="",N32597=""),"",SUMIFS('Barang Keluar'!$E:$E,'Barang Keluar'!$A:$A,M32597,'Barang Keluar'!$C:$C,N32597))</f>
        <v>0</v>
      </c>
    </row>
    <row r="32598" spans="13:16">
      <c r="M32598" s="49">
        <f>IF($A$4+325&gt;$B$4,"",$A$4+325)</f>
        <v>46348</v>
      </c>
      <c r="N32598">
        <f>IF(M32598="","",'Master Barang'!A92)</f>
        <v>0</v>
      </c>
      <c r="O32598">
        <f>IF(N32598="","",'Master Barang'!B92)</f>
        <v>0</v>
      </c>
      <c r="P32598">
        <f>IF(OR(M32598="",N32598=""),"",SUMIFS('Barang Keluar'!$E:$E,'Barang Keluar'!$A:$A,M32598,'Barang Keluar'!$C:$C,N32598))</f>
        <v>0</v>
      </c>
    </row>
    <row r="32599" spans="13:16">
      <c r="M32599" s="49">
        <f>IF($A$4+325&gt;$B$4,"",$A$4+325)</f>
        <v>46348</v>
      </c>
      <c r="N32599">
        <f>IF(M32599="","",'Master Barang'!A93)</f>
        <v>0</v>
      </c>
      <c r="O32599">
        <f>IF(N32599="","",'Master Barang'!B93)</f>
        <v>0</v>
      </c>
      <c r="P32599">
        <f>IF(OR(M32599="",N32599=""),"",SUMIFS('Barang Keluar'!$E:$E,'Barang Keluar'!$A:$A,M32599,'Barang Keluar'!$C:$C,N32599))</f>
        <v>0</v>
      </c>
    </row>
    <row r="32600" spans="13:16">
      <c r="M32600" s="49">
        <f>IF($A$4+325&gt;$B$4,"",$A$4+325)</f>
        <v>46348</v>
      </c>
      <c r="N32600">
        <f>IF(M32600="","",'Master Barang'!A94)</f>
        <v>0</v>
      </c>
      <c r="O32600">
        <f>IF(N32600="","",'Master Barang'!B94)</f>
        <v>0</v>
      </c>
      <c r="P32600">
        <f>IF(OR(M32600="",N32600=""),"",SUMIFS('Barang Keluar'!$E:$E,'Barang Keluar'!$A:$A,M32600,'Barang Keluar'!$C:$C,N32600))</f>
        <v>0</v>
      </c>
    </row>
    <row r="32601" spans="13:16">
      <c r="M32601" s="49">
        <f>IF($A$4+325&gt;$B$4,"",$A$4+325)</f>
        <v>46348</v>
      </c>
      <c r="N32601">
        <f>IF(M32601="","",'Master Barang'!A95)</f>
        <v>0</v>
      </c>
      <c r="O32601">
        <f>IF(N32601="","",'Master Barang'!B95)</f>
        <v>0</v>
      </c>
      <c r="P32601">
        <f>IF(OR(M32601="",N32601=""),"",SUMIFS('Barang Keluar'!$E:$E,'Barang Keluar'!$A:$A,M32601,'Barang Keluar'!$C:$C,N32601))</f>
        <v>0</v>
      </c>
    </row>
    <row r="32602" spans="13:16">
      <c r="M32602" s="49">
        <f>IF($A$4+325&gt;$B$4,"",$A$4+325)</f>
        <v>46348</v>
      </c>
      <c r="N32602">
        <f>IF(M32602="","",'Master Barang'!A96)</f>
        <v>0</v>
      </c>
      <c r="O32602">
        <f>IF(N32602="","",'Master Barang'!B96)</f>
        <v>0</v>
      </c>
      <c r="P32602">
        <f>IF(OR(M32602="",N32602=""),"",SUMIFS('Barang Keluar'!$E:$E,'Barang Keluar'!$A:$A,M32602,'Barang Keluar'!$C:$C,N32602))</f>
        <v>0</v>
      </c>
    </row>
    <row r="32603" spans="13:16">
      <c r="M32603" s="49">
        <f>IF($A$4+325&gt;$B$4,"",$A$4+325)</f>
        <v>46348</v>
      </c>
      <c r="N32603">
        <f>IF(M32603="","",'Master Barang'!A97)</f>
        <v>0</v>
      </c>
      <c r="O32603">
        <f>IF(N32603="","",'Master Barang'!B97)</f>
        <v>0</v>
      </c>
      <c r="P32603">
        <f>IF(OR(M32603="",N32603=""),"",SUMIFS('Barang Keluar'!$E:$E,'Barang Keluar'!$A:$A,M32603,'Barang Keluar'!$C:$C,N32603))</f>
        <v>0</v>
      </c>
    </row>
    <row r="32604" spans="13:16">
      <c r="M32604" s="49">
        <f>IF($A$4+325&gt;$B$4,"",$A$4+325)</f>
        <v>46348</v>
      </c>
      <c r="N32604">
        <f>IF(M32604="","",'Master Barang'!A98)</f>
        <v>0</v>
      </c>
      <c r="O32604">
        <f>IF(N32604="","",'Master Barang'!B98)</f>
        <v>0</v>
      </c>
      <c r="P32604">
        <f>IF(OR(M32604="",N32604=""),"",SUMIFS('Barang Keluar'!$E:$E,'Barang Keluar'!$A:$A,M32604,'Barang Keluar'!$C:$C,N32604))</f>
        <v>0</v>
      </c>
    </row>
    <row r="32605" spans="13:16">
      <c r="M32605" s="49">
        <f>IF($A$4+325&gt;$B$4,"",$A$4+325)</f>
        <v>46348</v>
      </c>
      <c r="N32605">
        <f>IF(M32605="","",'Master Barang'!A99)</f>
        <v>0</v>
      </c>
      <c r="O32605">
        <f>IF(N32605="","",'Master Barang'!B99)</f>
        <v>0</v>
      </c>
      <c r="P32605">
        <f>IF(OR(M32605="",N32605=""),"",SUMIFS('Barang Keluar'!$E:$E,'Barang Keluar'!$A:$A,M32605,'Barang Keluar'!$C:$C,N32605))</f>
        <v>0</v>
      </c>
    </row>
    <row r="32606" spans="13:16">
      <c r="M32606" s="49">
        <f>IF($A$4+325&gt;$B$4,"",$A$4+325)</f>
        <v>46348</v>
      </c>
      <c r="N32606">
        <f>IF(M32606="","",'Master Barang'!A100)</f>
        <v>0</v>
      </c>
      <c r="O32606">
        <f>IF(N32606="","",'Master Barang'!B100)</f>
        <v>0</v>
      </c>
      <c r="P32606">
        <f>IF(OR(M32606="",N32606=""),"",SUMIFS('Barang Keluar'!$E:$E,'Barang Keluar'!$A:$A,M32606,'Barang Keluar'!$C:$C,N32606))</f>
        <v>0</v>
      </c>
    </row>
    <row r="32607" spans="13:16">
      <c r="M32607" s="49">
        <f>IF($A$4+325&gt;$B$4,"",$A$4+325)</f>
        <v>46348</v>
      </c>
      <c r="N32607">
        <f>IF(M32607="","",'Master Barang'!A101)</f>
        <v>0</v>
      </c>
      <c r="O32607">
        <f>IF(N32607="","",'Master Barang'!B101)</f>
        <v>0</v>
      </c>
      <c r="P32607">
        <f>IF(OR(M32607="",N32607=""),"",SUMIFS('Barang Keluar'!$E:$E,'Barang Keluar'!$A:$A,M32607,'Barang Keluar'!$C:$C,N32607))</f>
        <v>0</v>
      </c>
    </row>
    <row r="32608" spans="13:16">
      <c r="M32608" s="49">
        <f>IF($A$4+326&gt;$B$4,"",$A$4+326)</f>
        <v>46349</v>
      </c>
      <c r="N32608" t="str">
        <f>IF(M32608="","",'Master Barang'!A2)</f>
        <v>PRL-001</v>
      </c>
      <c r="O32608" t="str">
        <f>IF(N32608="","",'Master Barang'!B2)</f>
        <v>natura desinfectant food grade 5l</v>
      </c>
      <c r="P32608">
        <f>IF(OR(M32608="",N32608=""),"",SUMIFS('Barang Keluar'!$E:$E,'Barang Keluar'!$A:$A,M32608,'Barang Keluar'!$C:$C,N32608))</f>
        <v>0</v>
      </c>
    </row>
    <row r="32609" spans="13:16">
      <c r="M32609" s="49">
        <f>IF($A$4+326&gt;$B$4,"",$A$4+326)</f>
        <v>46349</v>
      </c>
      <c r="N32609" t="str">
        <f>IF(M32609="","",'Master Barang'!A3)</f>
        <v>PRL-002</v>
      </c>
      <c r="O32609" t="str">
        <f>IF(N32609="","",'Master Barang'!B3)</f>
        <v>sunlight cairan pencuci piring 5l</v>
      </c>
      <c r="P32609">
        <f>IF(OR(M32609="",N32609=""),"",SUMIFS('Barang Keluar'!$E:$E,'Barang Keluar'!$A:$A,M32609,'Barang Keluar'!$C:$C,N32609))</f>
        <v>0</v>
      </c>
    </row>
    <row r="32610" spans="13:16">
      <c r="M32610" s="49">
        <f>IF($A$4+326&gt;$B$4,"",$A$4+326)</f>
        <v>46349</v>
      </c>
      <c r="N32610" t="str">
        <f>IF(M32610="","",'Master Barang'!A4)</f>
        <v>PRL-003</v>
      </c>
      <c r="O32610" t="str">
        <f>IF(N32610="","",'Master Barang'!B4)</f>
        <v>oixs cleaner 1l</v>
      </c>
      <c r="P32610">
        <f>IF(OR(M32610="",N32610=""),"",SUMIFS('Barang Keluar'!$E:$E,'Barang Keluar'!$A:$A,M32610,'Barang Keluar'!$C:$C,N32610))</f>
        <v>0</v>
      </c>
    </row>
    <row r="32611" spans="13:16">
      <c r="M32611" s="49">
        <f>IF($A$4+326&gt;$B$4,"",$A$4+326)</f>
        <v>46349</v>
      </c>
      <c r="N32611" t="str">
        <f>IF(M32611="","",'Master Barang'!A5)</f>
        <v>PRL-004</v>
      </c>
      <c r="O32611" t="str">
        <f>IF(N32611="","",'Master Barang'!B5)</f>
        <v>be clean tissue serbaguna</v>
      </c>
      <c r="P32611">
        <f>IF(OR(M32611="",N32611=""),"",SUMIFS('Barang Keluar'!$E:$E,'Barang Keluar'!$A:$A,M32611,'Barang Keluar'!$C:$C,N32611))</f>
        <v>0</v>
      </c>
    </row>
    <row r="32612" spans="13:16">
      <c r="M32612" s="49">
        <f>IF($A$4+326&gt;$B$4,"",$A$4+326)</f>
        <v>46349</v>
      </c>
      <c r="N32612" t="str">
        <f>IF(M32612="","",'Master Barang'!A6)</f>
        <v>PRL-005</v>
      </c>
      <c r="O32612" t="str">
        <f>IF(N32612="","",'Master Barang'!B6)</f>
        <v>spons cuci hijau</v>
      </c>
      <c r="P32612">
        <f>IF(OR(M32612="",N32612=""),"",SUMIFS('Barang Keluar'!$E:$E,'Barang Keluar'!$A:$A,M32612,'Barang Keluar'!$C:$C,N32612))</f>
        <v>0</v>
      </c>
    </row>
    <row r="32613" spans="13:16">
      <c r="M32613" s="49">
        <f>IF($A$4+326&gt;$B$4,"",$A$4+326)</f>
        <v>46349</v>
      </c>
      <c r="N32613" t="str">
        <f>IF(M32613="","",'Master Barang'!A7)</f>
        <v>PRL-006</v>
      </c>
      <c r="O32613" t="str">
        <f>IF(N32613="","",'Master Barang'!B7)</f>
        <v>sabut cuci stainless</v>
      </c>
      <c r="P32613">
        <f>IF(OR(M32613="",N32613=""),"",SUMIFS('Barang Keluar'!$E:$E,'Barang Keluar'!$A:$A,M32613,'Barang Keluar'!$C:$C,N32613))</f>
        <v>0</v>
      </c>
    </row>
    <row r="32614" spans="13:16">
      <c r="M32614" s="49">
        <f>IF($A$4+326&gt;$B$4,"",$A$4+326)</f>
        <v>46349</v>
      </c>
      <c r="N32614" t="str">
        <f>IF(M32614="","",'Master Barang'!A8)</f>
        <v>PRL-007</v>
      </c>
      <c r="O32614" t="str">
        <f>IF(N32614="","",'Master Barang'!B8)</f>
        <v>plastik kresek besar merah 50pc</v>
      </c>
      <c r="P32614">
        <f>IF(OR(M32614="",N32614=""),"",SUMIFS('Barang Keluar'!$E:$E,'Barang Keluar'!$A:$A,M32614,'Barang Keluar'!$C:$C,N32614))</f>
        <v>0</v>
      </c>
    </row>
    <row r="32615" spans="13:16">
      <c r="M32615" s="49">
        <f>IF($A$4+326&gt;$B$4,"",$A$4+326)</f>
        <v>46349</v>
      </c>
      <c r="N32615" t="str">
        <f>IF(M32615="","",'Master Barang'!A9)</f>
        <v>PRL-008</v>
      </c>
      <c r="O32615" t="str">
        <f>IF(N32615="","",'Master Barang'!B9)</f>
        <v>lap besar</v>
      </c>
      <c r="P32615">
        <f>IF(OR(M32615="",N32615=""),"",SUMIFS('Barang Keluar'!$E:$E,'Barang Keluar'!$A:$A,M32615,'Barang Keluar'!$C:$C,N32615))</f>
        <v>0</v>
      </c>
    </row>
    <row r="32616" spans="13:16">
      <c r="M32616" s="49">
        <f>IF($A$4+326&gt;$B$4,"",$A$4+326)</f>
        <v>46349</v>
      </c>
      <c r="N32616" t="str">
        <f>IF(M32616="","",'Master Barang'!A10)</f>
        <v>PRL-009</v>
      </c>
      <c r="O32616" t="str">
        <f>IF(N32616="","",'Master Barang'!B10)</f>
        <v>lap microfiber</v>
      </c>
      <c r="P32616">
        <f>IF(OR(M32616="",N32616=""),"",SUMIFS('Barang Keluar'!$E:$E,'Barang Keluar'!$A:$A,M32616,'Barang Keluar'!$C:$C,N32616))</f>
        <v>0</v>
      </c>
    </row>
    <row r="32617" spans="13:16">
      <c r="M32617" s="49">
        <f>IF($A$4+326&gt;$B$4,"",$A$4+326)</f>
        <v>46349</v>
      </c>
      <c r="N32617" t="str">
        <f>IF(M32617="","",'Master Barang'!A11)</f>
        <v>PRL-010</v>
      </c>
      <c r="O32617" t="str">
        <f>IF(N32617="","",'Master Barang'!B11)</f>
        <v>lap kecil</v>
      </c>
      <c r="P32617">
        <f>IF(OR(M32617="",N32617=""),"",SUMIFS('Barang Keluar'!$E:$E,'Barang Keluar'!$A:$A,M32617,'Barang Keluar'!$C:$C,N32617))</f>
        <v>0</v>
      </c>
    </row>
    <row r="32618" spans="13:16">
      <c r="M32618" s="49">
        <f>IF($A$4+326&gt;$B$4,"",$A$4+326)</f>
        <v>46349</v>
      </c>
      <c r="N32618" t="str">
        <f>IF(M32618="","",'Master Barang'!A12)</f>
        <v>PRL-011</v>
      </c>
      <c r="O32618" t="str">
        <f>IF(N32618="","",'Master Barang'!B12)</f>
        <v>kanebo kecil</v>
      </c>
      <c r="P32618">
        <f>IF(OR(M32618="",N32618=""),"",SUMIFS('Barang Keluar'!$E:$E,'Barang Keluar'!$A:$A,M32618,'Barang Keluar'!$C:$C,N32618))</f>
        <v>0</v>
      </c>
    </row>
    <row r="32619" spans="13:16">
      <c r="M32619" s="49">
        <f>IF($A$4+326&gt;$B$4,"",$A$4+326)</f>
        <v>46349</v>
      </c>
      <c r="N32619" t="str">
        <f>IF(M32619="","",'Master Barang'!A13)</f>
        <v>PRL-012</v>
      </c>
      <c r="O32619" t="str">
        <f>IF(N32619="","",'Master Barang'!B13)</f>
        <v>plastik 1/4kg joyoboyo 100 lembar</v>
      </c>
      <c r="P32619">
        <f>IF(OR(M32619="",N32619=""),"",SUMIFS('Barang Keluar'!$E:$E,'Barang Keluar'!$A:$A,M32619,'Barang Keluar'!$C:$C,N32619))</f>
        <v>0</v>
      </c>
    </row>
    <row r="32620" spans="13:16">
      <c r="M32620" s="49">
        <f>IF($A$4+326&gt;$B$4,"",$A$4+326)</f>
        <v>46349</v>
      </c>
      <c r="N32620" t="str">
        <f>IF(M32620="","",'Master Barang'!A14)</f>
        <v>PRL-013</v>
      </c>
      <c r="O32620" t="str">
        <f>IF(N32620="","",'Master Barang'!B14)</f>
        <v>sarung tangan plastik kaka 100 pcs</v>
      </c>
      <c r="P32620">
        <f>IF(OR(M32620="",N32620=""),"",SUMIFS('Barang Keluar'!$E:$E,'Barang Keluar'!$A:$A,M32620,'Barang Keluar'!$C:$C,N32620))</f>
        <v>0</v>
      </c>
    </row>
    <row r="32621" spans="13:16">
      <c r="M32621" s="49">
        <f>IF($A$4+326&gt;$B$4,"",$A$4+326)</f>
        <v>46349</v>
      </c>
      <c r="N32621" t="str">
        <f>IF(M32621="","",'Master Barang'!A15)</f>
        <v>PRL-014</v>
      </c>
      <c r="O32621" t="str">
        <f>IF(N32621="","",'Master Barang'!B15)</f>
        <v>optima trashbag 80x100</v>
      </c>
      <c r="P32621">
        <f>IF(OR(M32621="",N32621=""),"",SUMIFS('Barang Keluar'!$E:$E,'Barang Keluar'!$A:$A,M32621,'Barang Keluar'!$C:$C,N32621))</f>
        <v>0</v>
      </c>
    </row>
    <row r="32622" spans="13:16">
      <c r="M32622" s="49">
        <f>IF($A$4+326&gt;$B$4,"",$A$4+326)</f>
        <v>46349</v>
      </c>
      <c r="N32622" t="str">
        <f>IF(M32622="","",'Master Barang'!A16)</f>
        <v>PRL-015</v>
      </c>
      <c r="O32622" t="str">
        <f>IF(N32622="","",'Master Barang'!B16)</f>
        <v>optima trashbag 60x100</v>
      </c>
      <c r="P32622">
        <f>IF(OR(M32622="",N32622=""),"",SUMIFS('Barang Keluar'!$E:$E,'Barang Keluar'!$A:$A,M32622,'Barang Keluar'!$C:$C,N32622))</f>
        <v>0</v>
      </c>
    </row>
    <row r="32623" spans="13:16">
      <c r="M32623" s="49">
        <f>IF($A$4+326&gt;$B$4,"",$A$4+326)</f>
        <v>46349</v>
      </c>
      <c r="N32623" t="str">
        <f>IF(M32623="","",'Master Barang'!A17)</f>
        <v>PRL-016</v>
      </c>
      <c r="O32623" t="str">
        <f>IF(N32623="","",'Master Barang'!B17)</f>
        <v>rajawali trashbag 30x40</v>
      </c>
      <c r="P32623">
        <f>IF(OR(M32623="",N32623=""),"",SUMIFS('Barang Keluar'!$E:$E,'Barang Keluar'!$A:$A,M32623,'Barang Keluar'!$C:$C,N32623))</f>
        <v>0</v>
      </c>
    </row>
    <row r="32624" spans="13:16">
      <c r="M32624" s="49">
        <f>IF($A$4+326&gt;$B$4,"",$A$4+326)</f>
        <v>46349</v>
      </c>
      <c r="N32624" t="str">
        <f>IF(M32624="","",'Master Barang'!A18)</f>
        <v>PRL-017</v>
      </c>
      <c r="O32624" t="str">
        <f>IF(N32624="","",'Master Barang'!B18)</f>
        <v>onemed masker biru 3 play 50 pcs</v>
      </c>
      <c r="P32624">
        <f>IF(OR(M32624="",N32624=""),"",SUMIFS('Barang Keluar'!$E:$E,'Barang Keluar'!$A:$A,M32624,'Barang Keluar'!$C:$C,N32624))</f>
        <v>0</v>
      </c>
    </row>
    <row r="32625" spans="13:16">
      <c r="M32625" s="49">
        <f>IF($A$4+326&gt;$B$4,"",$A$4+326)</f>
        <v>46349</v>
      </c>
      <c r="N32625" t="str">
        <f>IF(M32625="","",'Master Barang'!A19)</f>
        <v>PRL-018</v>
      </c>
      <c r="O32625" t="str">
        <f>IF(N32625="","",'Master Barang'!B19)</f>
        <v>onemed masker biru 3 play hijab 50 pcs</v>
      </c>
      <c r="P32625">
        <f>IF(OR(M32625="",N32625=""),"",SUMIFS('Barang Keluar'!$E:$E,'Barang Keluar'!$A:$A,M32625,'Barang Keluar'!$C:$C,N32625))</f>
        <v>0</v>
      </c>
    </row>
    <row r="32626" spans="13:16">
      <c r="M32626" s="49">
        <f>IF($A$4+326&gt;$B$4,"",$A$4+326)</f>
        <v>46349</v>
      </c>
      <c r="N32626" t="str">
        <f>IF(M32626="","",'Master Barang'!A20)</f>
        <v>PRL-019</v>
      </c>
      <c r="O32626" t="str">
        <f>IF(N32626="","",'Master Barang'!B20)</f>
        <v>neo health masker biru 3 play 50 pcs</v>
      </c>
      <c r="P32626">
        <f>IF(OR(M32626="",N32626=""),"",SUMIFS('Barang Keluar'!$E:$E,'Barang Keluar'!$A:$A,M32626,'Barang Keluar'!$C:$C,N32626))</f>
        <v>0</v>
      </c>
    </row>
    <row r="32627" spans="13:16">
      <c r="M32627" s="49">
        <f>IF($A$4+326&gt;$B$4,"",$A$4+326)</f>
        <v>46349</v>
      </c>
      <c r="N32627" t="str">
        <f>IF(M32627="","",'Master Barang'!A21)</f>
        <v>PRL-020</v>
      </c>
      <c r="O32627" t="str">
        <f>IF(N32627="","",'Master Barang'!B21)</f>
        <v>baymed masker hijau 3 play hijau 50 pcs</v>
      </c>
      <c r="P32627">
        <f>IF(OR(M32627="",N32627=""),"",SUMIFS('Barang Keluar'!$E:$E,'Barang Keluar'!$A:$A,M32627,'Barang Keluar'!$C:$C,N32627))</f>
        <v>0</v>
      </c>
    </row>
    <row r="32628" spans="13:16">
      <c r="M32628" s="49">
        <f>IF($A$4+326&gt;$B$4,"",$A$4+326)</f>
        <v>46349</v>
      </c>
      <c r="N32628" t="str">
        <f>IF(M32628="","",'Master Barang'!A22)</f>
        <v>PRL-021</v>
      </c>
      <c r="O32628" t="str">
        <f>IF(N32628="","",'Master Barang'!B22)</f>
        <v>altamed nurse cap penutup kepala 100 pcs</v>
      </c>
      <c r="P32628">
        <f>IF(OR(M32628="",N32628=""),"",SUMIFS('Barang Keluar'!$E:$E,'Barang Keluar'!$A:$A,M32628,'Barang Keluar'!$C:$C,N32628))</f>
        <v>0</v>
      </c>
    </row>
    <row r="32629" spans="13:16">
      <c r="M32629" s="49">
        <f>IF($A$4+326&gt;$B$4,"",$A$4+326)</f>
        <v>46349</v>
      </c>
      <c r="N32629" t="str">
        <f>IF(M32629="","",'Master Barang'!A23)</f>
        <v>PRL-022</v>
      </c>
      <c r="O32629" t="str">
        <f>IF(N32629="","",'Master Barang'!B23)</f>
        <v>sabun cuci tangan</v>
      </c>
      <c r="P32629">
        <f>IF(OR(M32629="",N32629=""),"",SUMIFS('Barang Keluar'!$E:$E,'Barang Keluar'!$A:$A,M32629,'Barang Keluar'!$C:$C,N32629))</f>
        <v>0</v>
      </c>
    </row>
    <row r="32630" spans="13:16">
      <c r="M32630" s="49">
        <f>IF($A$4+326&gt;$B$4,"",$A$4+326)</f>
        <v>46349</v>
      </c>
      <c r="N32630" t="str">
        <f>IF(M32630="","",'Master Barang'!A24)</f>
        <v>PRL-023</v>
      </c>
      <c r="O32630" t="str">
        <f>IF(N32630="","",'Master Barang'!B24)</f>
        <v>gayung kecil</v>
      </c>
      <c r="P32630">
        <f>IF(OR(M32630="",N32630=""),"",SUMIFS('Barang Keluar'!$E:$E,'Barang Keluar'!$A:$A,M32630,'Barang Keluar'!$C:$C,N32630))</f>
        <v>0</v>
      </c>
    </row>
    <row r="32631" spans="13:16">
      <c r="M32631" s="49">
        <f>IF($A$4+326&gt;$B$4,"",$A$4+326)</f>
        <v>46349</v>
      </c>
      <c r="N32631" t="str">
        <f>IF(M32631="","",'Master Barang'!A25)</f>
        <v>PRL-024</v>
      </c>
      <c r="O32631" t="str">
        <f>IF(N32631="","",'Master Barang'!B25)</f>
        <v>cikrak kecil</v>
      </c>
      <c r="P32631">
        <f>IF(OR(M32631="",N32631=""),"",SUMIFS('Barang Keluar'!$E:$E,'Barang Keluar'!$A:$A,M32631,'Barang Keluar'!$C:$C,N32631))</f>
        <v>0</v>
      </c>
    </row>
    <row r="32632" spans="13:16">
      <c r="M32632" s="49">
        <f>IF($A$4+326&gt;$B$4,"",$A$4+326)</f>
        <v>46349</v>
      </c>
      <c r="N32632" t="str">
        <f>IF(M32632="","",'Master Barang'!A26)</f>
        <v>PRL-025</v>
      </c>
      <c r="O32632" t="str">
        <f>IF(N32632="","",'Master Barang'!B26)</f>
        <v>petromax plastik kecil 12x24 100 lembar</v>
      </c>
      <c r="P32632">
        <f>IF(OR(M32632="",N32632=""),"",SUMIFS('Barang Keluar'!$E:$E,'Barang Keluar'!$A:$A,M32632,'Barang Keluar'!$C:$C,N32632))</f>
        <v>0</v>
      </c>
    </row>
    <row r="32633" spans="13:16">
      <c r="M32633" s="49">
        <f>IF($A$4+326&gt;$B$4,"",$A$4+326)</f>
        <v>46349</v>
      </c>
      <c r="N32633" t="str">
        <f>IF(M32633="","",'Master Barang'!A27)</f>
        <v>PRL-026</v>
      </c>
      <c r="O32633" t="str">
        <f>IF(N32633="","",'Master Barang'!B27)</f>
        <v>lancar kresek kecil bening </v>
      </c>
      <c r="P32633">
        <f>IF(OR(M32633="",N32633=""),"",SUMIFS('Barang Keluar'!$E:$E,'Barang Keluar'!$A:$A,M32633,'Barang Keluar'!$C:$C,N32633))</f>
        <v>0</v>
      </c>
    </row>
    <row r="32634" spans="13:16">
      <c r="M32634" s="49">
        <f>IF($A$4+326&gt;$B$4,"",$A$4+326)</f>
        <v>46349</v>
      </c>
      <c r="N32634" t="str">
        <f>IF(M32634="","",'Master Barang'!A28)</f>
        <v>PRL-027</v>
      </c>
      <c r="O32634" t="str">
        <f>IF(N32634="","",'Master Barang'!B28)</f>
        <v>kresek klin warna warni kecil</v>
      </c>
      <c r="P32634">
        <f>IF(OR(M32634="",N32634=""),"",SUMIFS('Barang Keluar'!$E:$E,'Barang Keluar'!$A:$A,M32634,'Barang Keluar'!$C:$C,N32634))</f>
        <v>0</v>
      </c>
    </row>
    <row r="32635" spans="13:16">
      <c r="M32635" s="49">
        <f>IF($A$4+326&gt;$B$4,"",$A$4+326)</f>
        <v>46349</v>
      </c>
      <c r="N32635" t="str">
        <f>IF(M32635="","",'Master Barang'!A29)</f>
        <v>PRL-028</v>
      </c>
      <c r="O32635" t="str">
        <f>IF(N32635="","",'Master Barang'!B29)</f>
        <v>ctik plastik 7x10 100 pcs</v>
      </c>
      <c r="P32635">
        <f>IF(OR(M32635="",N32635=""),"",SUMIFS('Barang Keluar'!$E:$E,'Barang Keluar'!$A:$A,M32635,'Barang Keluar'!$C:$C,N32635))</f>
        <v>0</v>
      </c>
    </row>
    <row r="32636" spans="13:16">
      <c r="M32636" s="49">
        <f>IF($A$4+326&gt;$B$4,"",$A$4+326)</f>
        <v>46349</v>
      </c>
      <c r="N32636" t="str">
        <f>IF(M32636="","",'Master Barang'!A30)</f>
        <v>PRL-029</v>
      </c>
      <c r="O32636" t="str">
        <f>IF(N32636="","",'Master Barang'!B30)</f>
        <v>ctik plastik 6x10 100 pcs</v>
      </c>
      <c r="P32636">
        <f>IF(OR(M32636="",N32636=""),"",SUMIFS('Barang Keluar'!$E:$E,'Barang Keluar'!$A:$A,M32636,'Barang Keluar'!$C:$C,N32636))</f>
        <v>0</v>
      </c>
    </row>
    <row r="32637" spans="13:16">
      <c r="M32637" s="49">
        <f>IF($A$4+326&gt;$B$4,"",$A$4+326)</f>
        <v>46349</v>
      </c>
      <c r="N32637" t="str">
        <f>IF(M32637="","",'Master Barang'!A31)</f>
        <v>PRL-030</v>
      </c>
      <c r="O32637" t="str">
        <f>IF(N32637="","",'Master Barang'!B31)</f>
        <v>klip plastik 25x16 100 pcs</v>
      </c>
      <c r="P32637">
        <f>IF(OR(M32637="",N32637=""),"",SUMIFS('Barang Keluar'!$E:$E,'Barang Keluar'!$A:$A,M32637,'Barang Keluar'!$C:$C,N32637))</f>
        <v>0</v>
      </c>
    </row>
    <row r="32638" spans="13:16">
      <c r="M32638" s="49">
        <f>IF($A$4+326&gt;$B$4,"",$A$4+326)</f>
        <v>46349</v>
      </c>
      <c r="N32638" t="str">
        <f>IF(M32638="","",'Master Barang'!A32)</f>
        <v>PRL-031</v>
      </c>
      <c r="O32638" t="str">
        <f>IF(N32638="","",'Master Barang'!B32)</f>
        <v>tempat saus 20 ml</v>
      </c>
      <c r="P32638">
        <f>IF(OR(M32638="",N32638=""),"",SUMIFS('Barang Keluar'!$E:$E,'Barang Keluar'!$A:$A,M32638,'Barang Keluar'!$C:$C,N32638))</f>
        <v>0</v>
      </c>
    </row>
    <row r="32639" spans="13:16">
      <c r="M32639" s="49">
        <f>IF($A$4+326&gt;$B$4,"",$A$4+326)</f>
        <v>46349</v>
      </c>
      <c r="N32639" t="str">
        <f>IF(M32639="","",'Master Barang'!A33)</f>
        <v>PRL-032</v>
      </c>
      <c r="O32639" t="str">
        <f>IF(N32639="","",'Master Barang'!B33)</f>
        <v>plastik packaging ag box uk sedang</v>
      </c>
      <c r="P32639">
        <f>IF(OR(M32639="",N32639=""),"",SUMIFS('Barang Keluar'!$E:$E,'Barang Keluar'!$A:$A,M32639,'Barang Keluar'!$C:$C,N32639))</f>
        <v>0</v>
      </c>
    </row>
    <row r="32640" spans="13:16">
      <c r="M32640" s="49">
        <f>IF($A$4+326&gt;$B$4,"",$A$4+326)</f>
        <v>46349</v>
      </c>
      <c r="N32640" t="str">
        <f>IF(M32640="","",'Master Barang'!A34)</f>
        <v>PRL-033</v>
      </c>
      <c r="O32640">
        <f>IF(N32640="","",'Master Barang'!B34)</f>
        <v>0</v>
      </c>
      <c r="P32640">
        <f>IF(OR(M32640="",N32640=""),"",SUMIFS('Barang Keluar'!$E:$E,'Barang Keluar'!$A:$A,M32640,'Barang Keluar'!$C:$C,N32640))</f>
        <v>0</v>
      </c>
    </row>
    <row r="32641" spans="13:16">
      <c r="M32641" s="49">
        <f>IF($A$4+326&gt;$B$4,"",$A$4+326)</f>
        <v>46349</v>
      </c>
      <c r="N32641">
        <f>IF(M32641="","",'Master Barang'!A35)</f>
        <v>0</v>
      </c>
      <c r="O32641">
        <f>IF(N32641="","",'Master Barang'!B35)</f>
        <v>0</v>
      </c>
      <c r="P32641">
        <f>IF(OR(M32641="",N32641=""),"",SUMIFS('Barang Keluar'!$E:$E,'Barang Keluar'!$A:$A,M32641,'Barang Keluar'!$C:$C,N32641))</f>
        <v>0</v>
      </c>
    </row>
    <row r="32642" spans="13:16">
      <c r="M32642" s="49">
        <f>IF($A$4+326&gt;$B$4,"",$A$4+326)</f>
        <v>46349</v>
      </c>
      <c r="N32642">
        <f>IF(M32642="","",'Master Barang'!A36)</f>
        <v>0</v>
      </c>
      <c r="O32642">
        <f>IF(N32642="","",'Master Barang'!B36)</f>
        <v>0</v>
      </c>
      <c r="P32642">
        <f>IF(OR(M32642="",N32642=""),"",SUMIFS('Barang Keluar'!$E:$E,'Barang Keluar'!$A:$A,M32642,'Barang Keluar'!$C:$C,N32642))</f>
        <v>0</v>
      </c>
    </row>
    <row r="32643" spans="13:16">
      <c r="M32643" s="49">
        <f>IF($A$4+326&gt;$B$4,"",$A$4+326)</f>
        <v>46349</v>
      </c>
      <c r="N32643">
        <f>IF(M32643="","",'Master Barang'!A37)</f>
        <v>0</v>
      </c>
      <c r="O32643">
        <f>IF(N32643="","",'Master Barang'!B37)</f>
        <v>0</v>
      </c>
      <c r="P32643">
        <f>IF(OR(M32643="",N32643=""),"",SUMIFS('Barang Keluar'!$E:$E,'Barang Keluar'!$A:$A,M32643,'Barang Keluar'!$C:$C,N32643))</f>
        <v>0</v>
      </c>
    </row>
    <row r="32644" spans="13:16">
      <c r="M32644" s="49">
        <f>IF($A$4+326&gt;$B$4,"",$A$4+326)</f>
        <v>46349</v>
      </c>
      <c r="N32644">
        <f>IF(M32644="","",'Master Barang'!A38)</f>
        <v>0</v>
      </c>
      <c r="O32644">
        <f>IF(N32644="","",'Master Barang'!B38)</f>
        <v>0</v>
      </c>
      <c r="P32644">
        <f>IF(OR(M32644="",N32644=""),"",SUMIFS('Barang Keluar'!$E:$E,'Barang Keluar'!$A:$A,M32644,'Barang Keluar'!$C:$C,N32644))</f>
        <v>0</v>
      </c>
    </row>
    <row r="32645" spans="13:16">
      <c r="M32645" s="49">
        <f>IF($A$4+326&gt;$B$4,"",$A$4+326)</f>
        <v>46349</v>
      </c>
      <c r="N32645">
        <f>IF(M32645="","",'Master Barang'!A39)</f>
        <v>0</v>
      </c>
      <c r="O32645">
        <f>IF(N32645="","",'Master Barang'!B39)</f>
        <v>0</v>
      </c>
      <c r="P32645">
        <f>IF(OR(M32645="",N32645=""),"",SUMIFS('Barang Keluar'!$E:$E,'Barang Keluar'!$A:$A,M32645,'Barang Keluar'!$C:$C,N32645))</f>
        <v>0</v>
      </c>
    </row>
    <row r="32646" spans="13:16">
      <c r="M32646" s="49">
        <f>IF($A$4+326&gt;$B$4,"",$A$4+326)</f>
        <v>46349</v>
      </c>
      <c r="N32646">
        <f>IF(M32646="","",'Master Barang'!A40)</f>
        <v>0</v>
      </c>
      <c r="O32646">
        <f>IF(N32646="","",'Master Barang'!B40)</f>
        <v>0</v>
      </c>
      <c r="P32646">
        <f>IF(OR(M32646="",N32646=""),"",SUMIFS('Barang Keluar'!$E:$E,'Barang Keluar'!$A:$A,M32646,'Barang Keluar'!$C:$C,N32646))</f>
        <v>0</v>
      </c>
    </row>
    <row r="32647" spans="13:16">
      <c r="M32647" s="49">
        <f>IF($A$4+326&gt;$B$4,"",$A$4+326)</f>
        <v>46349</v>
      </c>
      <c r="N32647">
        <f>IF(M32647="","",'Master Barang'!A41)</f>
        <v>0</v>
      </c>
      <c r="O32647">
        <f>IF(N32647="","",'Master Barang'!B41)</f>
        <v>0</v>
      </c>
      <c r="P32647">
        <f>IF(OR(M32647="",N32647=""),"",SUMIFS('Barang Keluar'!$E:$E,'Barang Keluar'!$A:$A,M32647,'Barang Keluar'!$C:$C,N32647))</f>
        <v>0</v>
      </c>
    </row>
    <row r="32648" spans="13:16">
      <c r="M32648" s="49">
        <f>IF($A$4+326&gt;$B$4,"",$A$4+326)</f>
        <v>46349</v>
      </c>
      <c r="N32648">
        <f>IF(M32648="","",'Master Barang'!A42)</f>
        <v>0</v>
      </c>
      <c r="O32648">
        <f>IF(N32648="","",'Master Barang'!B42)</f>
        <v>0</v>
      </c>
      <c r="P32648">
        <f>IF(OR(M32648="",N32648=""),"",SUMIFS('Barang Keluar'!$E:$E,'Barang Keluar'!$A:$A,M32648,'Barang Keluar'!$C:$C,N32648))</f>
        <v>0</v>
      </c>
    </row>
    <row r="32649" spans="13:16">
      <c r="M32649" s="49">
        <f>IF($A$4+326&gt;$B$4,"",$A$4+326)</f>
        <v>46349</v>
      </c>
      <c r="N32649">
        <f>IF(M32649="","",'Master Barang'!A43)</f>
        <v>0</v>
      </c>
      <c r="O32649">
        <f>IF(N32649="","",'Master Barang'!B43)</f>
        <v>0</v>
      </c>
      <c r="P32649">
        <f>IF(OR(M32649="",N32649=""),"",SUMIFS('Barang Keluar'!$E:$E,'Barang Keluar'!$A:$A,M32649,'Barang Keluar'!$C:$C,N32649))</f>
        <v>0</v>
      </c>
    </row>
    <row r="32650" spans="13:16">
      <c r="M32650" s="49">
        <f>IF($A$4+326&gt;$B$4,"",$A$4+326)</f>
        <v>46349</v>
      </c>
      <c r="N32650">
        <f>IF(M32650="","",'Master Barang'!A44)</f>
        <v>0</v>
      </c>
      <c r="O32650">
        <f>IF(N32650="","",'Master Barang'!B44)</f>
        <v>0</v>
      </c>
      <c r="P32650">
        <f>IF(OR(M32650="",N32650=""),"",SUMIFS('Barang Keluar'!$E:$E,'Barang Keluar'!$A:$A,M32650,'Barang Keluar'!$C:$C,N32650))</f>
        <v>0</v>
      </c>
    </row>
    <row r="32651" spans="13:16">
      <c r="M32651" s="49">
        <f>IF($A$4+326&gt;$B$4,"",$A$4+326)</f>
        <v>46349</v>
      </c>
      <c r="N32651">
        <f>IF(M32651="","",'Master Barang'!A45)</f>
        <v>0</v>
      </c>
      <c r="O32651">
        <f>IF(N32651="","",'Master Barang'!B45)</f>
        <v>0</v>
      </c>
      <c r="P32651">
        <f>IF(OR(M32651="",N32651=""),"",SUMIFS('Barang Keluar'!$E:$E,'Barang Keluar'!$A:$A,M32651,'Barang Keluar'!$C:$C,N32651))</f>
        <v>0</v>
      </c>
    </row>
    <row r="32652" spans="13:16">
      <c r="M32652" s="49">
        <f>IF($A$4+326&gt;$B$4,"",$A$4+326)</f>
        <v>46349</v>
      </c>
      <c r="N32652">
        <f>IF(M32652="","",'Master Barang'!A46)</f>
        <v>0</v>
      </c>
      <c r="O32652">
        <f>IF(N32652="","",'Master Barang'!B46)</f>
        <v>0</v>
      </c>
      <c r="P32652">
        <f>IF(OR(M32652="",N32652=""),"",SUMIFS('Barang Keluar'!$E:$E,'Barang Keluar'!$A:$A,M32652,'Barang Keluar'!$C:$C,N32652))</f>
        <v>0</v>
      </c>
    </row>
    <row r="32653" spans="13:16">
      <c r="M32653" s="49">
        <f>IF($A$4+326&gt;$B$4,"",$A$4+326)</f>
        <v>46349</v>
      </c>
      <c r="N32653">
        <f>IF(M32653="","",'Master Barang'!A47)</f>
        <v>0</v>
      </c>
      <c r="O32653">
        <f>IF(N32653="","",'Master Barang'!B47)</f>
        <v>0</v>
      </c>
      <c r="P32653">
        <f>IF(OR(M32653="",N32653=""),"",SUMIFS('Barang Keluar'!$E:$E,'Barang Keluar'!$A:$A,M32653,'Barang Keluar'!$C:$C,N32653))</f>
        <v>0</v>
      </c>
    </row>
    <row r="32654" spans="13:16">
      <c r="M32654" s="49">
        <f>IF($A$4+326&gt;$B$4,"",$A$4+326)</f>
        <v>46349</v>
      </c>
      <c r="N32654">
        <f>IF(M32654="","",'Master Barang'!A48)</f>
        <v>0</v>
      </c>
      <c r="O32654">
        <f>IF(N32654="","",'Master Barang'!B48)</f>
        <v>0</v>
      </c>
      <c r="P32654">
        <f>IF(OR(M32654="",N32654=""),"",SUMIFS('Barang Keluar'!$E:$E,'Barang Keluar'!$A:$A,M32654,'Barang Keluar'!$C:$C,N32654))</f>
        <v>0</v>
      </c>
    </row>
    <row r="32655" spans="13:16">
      <c r="M32655" s="49">
        <f>IF($A$4+326&gt;$B$4,"",$A$4+326)</f>
        <v>46349</v>
      </c>
      <c r="N32655">
        <f>IF(M32655="","",'Master Barang'!A49)</f>
        <v>0</v>
      </c>
      <c r="O32655">
        <f>IF(N32655="","",'Master Barang'!B49)</f>
        <v>0</v>
      </c>
      <c r="P32655">
        <f>IF(OR(M32655="",N32655=""),"",SUMIFS('Barang Keluar'!$E:$E,'Barang Keluar'!$A:$A,M32655,'Barang Keluar'!$C:$C,N32655))</f>
        <v>0</v>
      </c>
    </row>
    <row r="32656" spans="13:16">
      <c r="M32656" s="49">
        <f>IF($A$4+326&gt;$B$4,"",$A$4+326)</f>
        <v>46349</v>
      </c>
      <c r="N32656">
        <f>IF(M32656="","",'Master Barang'!A50)</f>
        <v>0</v>
      </c>
      <c r="O32656">
        <f>IF(N32656="","",'Master Barang'!B50)</f>
        <v>0</v>
      </c>
      <c r="P32656">
        <f>IF(OR(M32656="",N32656=""),"",SUMIFS('Barang Keluar'!$E:$E,'Barang Keluar'!$A:$A,M32656,'Barang Keluar'!$C:$C,N32656))</f>
        <v>0</v>
      </c>
    </row>
    <row r="32657" spans="13:16">
      <c r="M32657" s="49">
        <f>IF($A$4+326&gt;$B$4,"",$A$4+326)</f>
        <v>46349</v>
      </c>
      <c r="N32657">
        <f>IF(M32657="","",'Master Barang'!A51)</f>
        <v>0</v>
      </c>
      <c r="O32657">
        <f>IF(N32657="","",'Master Barang'!B51)</f>
        <v>0</v>
      </c>
      <c r="P32657">
        <f>IF(OR(M32657="",N32657=""),"",SUMIFS('Barang Keluar'!$E:$E,'Barang Keluar'!$A:$A,M32657,'Barang Keluar'!$C:$C,N32657))</f>
        <v>0</v>
      </c>
    </row>
    <row r="32658" spans="13:16">
      <c r="M32658" s="49">
        <f>IF($A$4+326&gt;$B$4,"",$A$4+326)</f>
        <v>46349</v>
      </c>
      <c r="N32658">
        <f>IF(M32658="","",'Master Barang'!A52)</f>
        <v>0</v>
      </c>
      <c r="O32658">
        <f>IF(N32658="","",'Master Barang'!B52)</f>
        <v>0</v>
      </c>
      <c r="P32658">
        <f>IF(OR(M32658="",N32658=""),"",SUMIFS('Barang Keluar'!$E:$E,'Barang Keluar'!$A:$A,M32658,'Barang Keluar'!$C:$C,N32658))</f>
        <v>0</v>
      </c>
    </row>
    <row r="32659" spans="13:16">
      <c r="M32659" s="49">
        <f>IF($A$4+326&gt;$B$4,"",$A$4+326)</f>
        <v>46349</v>
      </c>
      <c r="N32659">
        <f>IF(M32659="","",'Master Barang'!A53)</f>
        <v>0</v>
      </c>
      <c r="O32659">
        <f>IF(N32659="","",'Master Barang'!B53)</f>
        <v>0</v>
      </c>
      <c r="P32659">
        <f>IF(OR(M32659="",N32659=""),"",SUMIFS('Barang Keluar'!$E:$E,'Barang Keluar'!$A:$A,M32659,'Barang Keluar'!$C:$C,N32659))</f>
        <v>0</v>
      </c>
    </row>
    <row r="32660" spans="13:16">
      <c r="M32660" s="49">
        <f>IF($A$4+326&gt;$B$4,"",$A$4+326)</f>
        <v>46349</v>
      </c>
      <c r="N32660">
        <f>IF(M32660="","",'Master Barang'!A54)</f>
        <v>0</v>
      </c>
      <c r="O32660">
        <f>IF(N32660="","",'Master Barang'!B54)</f>
        <v>0</v>
      </c>
      <c r="P32660">
        <f>IF(OR(M32660="",N32660=""),"",SUMIFS('Barang Keluar'!$E:$E,'Barang Keluar'!$A:$A,M32660,'Barang Keluar'!$C:$C,N32660))</f>
        <v>0</v>
      </c>
    </row>
    <row r="32661" spans="13:16">
      <c r="M32661" s="49">
        <f>IF($A$4+326&gt;$B$4,"",$A$4+326)</f>
        <v>46349</v>
      </c>
      <c r="N32661">
        <f>IF(M32661="","",'Master Barang'!A55)</f>
        <v>0</v>
      </c>
      <c r="O32661">
        <f>IF(N32661="","",'Master Barang'!B55)</f>
        <v>0</v>
      </c>
      <c r="P32661">
        <f>IF(OR(M32661="",N32661=""),"",SUMIFS('Barang Keluar'!$E:$E,'Barang Keluar'!$A:$A,M32661,'Barang Keluar'!$C:$C,N32661))</f>
        <v>0</v>
      </c>
    </row>
    <row r="32662" spans="13:16">
      <c r="M32662" s="49">
        <f>IF($A$4+326&gt;$B$4,"",$A$4+326)</f>
        <v>46349</v>
      </c>
      <c r="N32662">
        <f>IF(M32662="","",'Master Barang'!A56)</f>
        <v>0</v>
      </c>
      <c r="O32662">
        <f>IF(N32662="","",'Master Barang'!B56)</f>
        <v>0</v>
      </c>
      <c r="P32662">
        <f>IF(OR(M32662="",N32662=""),"",SUMIFS('Barang Keluar'!$E:$E,'Barang Keluar'!$A:$A,M32662,'Barang Keluar'!$C:$C,N32662))</f>
        <v>0</v>
      </c>
    </row>
    <row r="32663" spans="13:16">
      <c r="M32663" s="49">
        <f>IF($A$4+326&gt;$B$4,"",$A$4+326)</f>
        <v>46349</v>
      </c>
      <c r="N32663">
        <f>IF(M32663="","",'Master Barang'!A57)</f>
        <v>0</v>
      </c>
      <c r="O32663">
        <f>IF(N32663="","",'Master Barang'!B57)</f>
        <v>0</v>
      </c>
      <c r="P32663">
        <f>IF(OR(M32663="",N32663=""),"",SUMIFS('Barang Keluar'!$E:$E,'Barang Keluar'!$A:$A,M32663,'Barang Keluar'!$C:$C,N32663))</f>
        <v>0</v>
      </c>
    </row>
    <row r="32664" spans="13:16">
      <c r="M32664" s="49">
        <f>IF($A$4+326&gt;$B$4,"",$A$4+326)</f>
        <v>46349</v>
      </c>
      <c r="N32664">
        <f>IF(M32664="","",'Master Barang'!A58)</f>
        <v>0</v>
      </c>
      <c r="O32664">
        <f>IF(N32664="","",'Master Barang'!B58)</f>
        <v>0</v>
      </c>
      <c r="P32664">
        <f>IF(OR(M32664="",N32664=""),"",SUMIFS('Barang Keluar'!$E:$E,'Barang Keluar'!$A:$A,M32664,'Barang Keluar'!$C:$C,N32664))</f>
        <v>0</v>
      </c>
    </row>
    <row r="32665" spans="13:16">
      <c r="M32665" s="49">
        <f>IF($A$4+326&gt;$B$4,"",$A$4+326)</f>
        <v>46349</v>
      </c>
      <c r="N32665">
        <f>IF(M32665="","",'Master Barang'!A59)</f>
        <v>0</v>
      </c>
      <c r="O32665">
        <f>IF(N32665="","",'Master Barang'!B59)</f>
        <v>0</v>
      </c>
      <c r="P32665">
        <f>IF(OR(M32665="",N32665=""),"",SUMIFS('Barang Keluar'!$E:$E,'Barang Keluar'!$A:$A,M32665,'Barang Keluar'!$C:$C,N32665))</f>
        <v>0</v>
      </c>
    </row>
    <row r="32666" spans="13:16">
      <c r="M32666" s="49">
        <f>IF($A$4+326&gt;$B$4,"",$A$4+326)</f>
        <v>46349</v>
      </c>
      <c r="N32666">
        <f>IF(M32666="","",'Master Barang'!A60)</f>
        <v>0</v>
      </c>
      <c r="O32666">
        <f>IF(N32666="","",'Master Barang'!B60)</f>
        <v>0</v>
      </c>
      <c r="P32666">
        <f>IF(OR(M32666="",N32666=""),"",SUMIFS('Barang Keluar'!$E:$E,'Barang Keluar'!$A:$A,M32666,'Barang Keluar'!$C:$C,N32666))</f>
        <v>0</v>
      </c>
    </row>
    <row r="32667" spans="13:16">
      <c r="M32667" s="49">
        <f>IF($A$4+326&gt;$B$4,"",$A$4+326)</f>
        <v>46349</v>
      </c>
      <c r="N32667">
        <f>IF(M32667="","",'Master Barang'!A61)</f>
        <v>0</v>
      </c>
      <c r="O32667">
        <f>IF(N32667="","",'Master Barang'!B61)</f>
        <v>0</v>
      </c>
      <c r="P32667">
        <f>IF(OR(M32667="",N32667=""),"",SUMIFS('Barang Keluar'!$E:$E,'Barang Keluar'!$A:$A,M32667,'Barang Keluar'!$C:$C,N32667))</f>
        <v>0</v>
      </c>
    </row>
    <row r="32668" spans="13:16">
      <c r="M32668" s="49">
        <f>IF($A$4+326&gt;$B$4,"",$A$4+326)</f>
        <v>46349</v>
      </c>
      <c r="N32668">
        <f>IF(M32668="","",'Master Barang'!A62)</f>
        <v>0</v>
      </c>
      <c r="O32668">
        <f>IF(N32668="","",'Master Barang'!B62)</f>
        <v>0</v>
      </c>
      <c r="P32668">
        <f>IF(OR(M32668="",N32668=""),"",SUMIFS('Barang Keluar'!$E:$E,'Barang Keluar'!$A:$A,M32668,'Barang Keluar'!$C:$C,N32668))</f>
        <v>0</v>
      </c>
    </row>
    <row r="32669" spans="13:16">
      <c r="M32669" s="49">
        <f>IF($A$4+326&gt;$B$4,"",$A$4+326)</f>
        <v>46349</v>
      </c>
      <c r="N32669">
        <f>IF(M32669="","",'Master Barang'!A63)</f>
        <v>0</v>
      </c>
      <c r="O32669">
        <f>IF(N32669="","",'Master Barang'!B63)</f>
        <v>0</v>
      </c>
      <c r="P32669">
        <f>IF(OR(M32669="",N32669=""),"",SUMIFS('Barang Keluar'!$E:$E,'Barang Keluar'!$A:$A,M32669,'Barang Keluar'!$C:$C,N32669))</f>
        <v>0</v>
      </c>
    </row>
    <row r="32670" spans="13:16">
      <c r="M32670" s="49">
        <f>IF($A$4+326&gt;$B$4,"",$A$4+326)</f>
        <v>46349</v>
      </c>
      <c r="N32670">
        <f>IF(M32670="","",'Master Barang'!A64)</f>
        <v>0</v>
      </c>
      <c r="O32670">
        <f>IF(N32670="","",'Master Barang'!B64)</f>
        <v>0</v>
      </c>
      <c r="P32670">
        <f>IF(OR(M32670="",N32670=""),"",SUMIFS('Barang Keluar'!$E:$E,'Barang Keluar'!$A:$A,M32670,'Barang Keluar'!$C:$C,N32670))</f>
        <v>0</v>
      </c>
    </row>
    <row r="32671" spans="13:16">
      <c r="M32671" s="49">
        <f>IF($A$4+326&gt;$B$4,"",$A$4+326)</f>
        <v>46349</v>
      </c>
      <c r="N32671">
        <f>IF(M32671="","",'Master Barang'!A65)</f>
        <v>0</v>
      </c>
      <c r="O32671">
        <f>IF(N32671="","",'Master Barang'!B65)</f>
        <v>0</v>
      </c>
      <c r="P32671">
        <f>IF(OR(M32671="",N32671=""),"",SUMIFS('Barang Keluar'!$E:$E,'Barang Keluar'!$A:$A,M32671,'Barang Keluar'!$C:$C,N32671))</f>
        <v>0</v>
      </c>
    </row>
    <row r="32672" spans="13:16">
      <c r="M32672" s="49">
        <f>IF($A$4+326&gt;$B$4,"",$A$4+326)</f>
        <v>46349</v>
      </c>
      <c r="N32672">
        <f>IF(M32672="","",'Master Barang'!A66)</f>
        <v>0</v>
      </c>
      <c r="O32672">
        <f>IF(N32672="","",'Master Barang'!B66)</f>
        <v>0</v>
      </c>
      <c r="P32672">
        <f>IF(OR(M32672="",N32672=""),"",SUMIFS('Barang Keluar'!$E:$E,'Barang Keluar'!$A:$A,M32672,'Barang Keluar'!$C:$C,N32672))</f>
        <v>0</v>
      </c>
    </row>
    <row r="32673" spans="13:16">
      <c r="M32673" s="49">
        <f>IF($A$4+326&gt;$B$4,"",$A$4+326)</f>
        <v>46349</v>
      </c>
      <c r="N32673">
        <f>IF(M32673="","",'Master Barang'!A67)</f>
        <v>0</v>
      </c>
      <c r="O32673">
        <f>IF(N32673="","",'Master Barang'!B67)</f>
        <v>0</v>
      </c>
      <c r="P32673">
        <f>IF(OR(M32673="",N32673=""),"",SUMIFS('Barang Keluar'!$E:$E,'Barang Keluar'!$A:$A,M32673,'Barang Keluar'!$C:$C,N32673))</f>
        <v>0</v>
      </c>
    </row>
    <row r="32674" spans="13:16">
      <c r="M32674" s="49">
        <f>IF($A$4+326&gt;$B$4,"",$A$4+326)</f>
        <v>46349</v>
      </c>
      <c r="N32674">
        <f>IF(M32674="","",'Master Barang'!A68)</f>
        <v>0</v>
      </c>
      <c r="O32674">
        <f>IF(N32674="","",'Master Barang'!B68)</f>
        <v>0</v>
      </c>
      <c r="P32674">
        <f>IF(OR(M32674="",N32674=""),"",SUMIFS('Barang Keluar'!$E:$E,'Barang Keluar'!$A:$A,M32674,'Barang Keluar'!$C:$C,N32674))</f>
        <v>0</v>
      </c>
    </row>
    <row r="32675" spans="13:16">
      <c r="M32675" s="49">
        <f>IF($A$4+326&gt;$B$4,"",$A$4+326)</f>
        <v>46349</v>
      </c>
      <c r="N32675">
        <f>IF(M32675="","",'Master Barang'!A69)</f>
        <v>0</v>
      </c>
      <c r="O32675">
        <f>IF(N32675="","",'Master Barang'!B69)</f>
        <v>0</v>
      </c>
      <c r="P32675">
        <f>IF(OR(M32675="",N32675=""),"",SUMIFS('Barang Keluar'!$E:$E,'Barang Keluar'!$A:$A,M32675,'Barang Keluar'!$C:$C,N32675))</f>
        <v>0</v>
      </c>
    </row>
    <row r="32676" spans="13:16">
      <c r="M32676" s="49">
        <f>IF($A$4+326&gt;$B$4,"",$A$4+326)</f>
        <v>46349</v>
      </c>
      <c r="N32676">
        <f>IF(M32676="","",'Master Barang'!A70)</f>
        <v>0</v>
      </c>
      <c r="O32676">
        <f>IF(N32676="","",'Master Barang'!B70)</f>
        <v>0</v>
      </c>
      <c r="P32676">
        <f>IF(OR(M32676="",N32676=""),"",SUMIFS('Barang Keluar'!$E:$E,'Barang Keluar'!$A:$A,M32676,'Barang Keluar'!$C:$C,N32676))</f>
        <v>0</v>
      </c>
    </row>
    <row r="32677" spans="13:16">
      <c r="M32677" s="49">
        <f>IF($A$4+326&gt;$B$4,"",$A$4+326)</f>
        <v>46349</v>
      </c>
      <c r="N32677">
        <f>IF(M32677="","",'Master Barang'!A71)</f>
        <v>0</v>
      </c>
      <c r="O32677">
        <f>IF(N32677="","",'Master Barang'!B71)</f>
        <v>0</v>
      </c>
      <c r="P32677">
        <f>IF(OR(M32677="",N32677=""),"",SUMIFS('Barang Keluar'!$E:$E,'Barang Keluar'!$A:$A,M32677,'Barang Keluar'!$C:$C,N32677))</f>
        <v>0</v>
      </c>
    </row>
    <row r="32678" spans="13:16">
      <c r="M32678" s="49">
        <f>IF($A$4+326&gt;$B$4,"",$A$4+326)</f>
        <v>46349</v>
      </c>
      <c r="N32678">
        <f>IF(M32678="","",'Master Barang'!A72)</f>
        <v>0</v>
      </c>
      <c r="O32678">
        <f>IF(N32678="","",'Master Barang'!B72)</f>
        <v>0</v>
      </c>
      <c r="P32678">
        <f>IF(OR(M32678="",N32678=""),"",SUMIFS('Barang Keluar'!$E:$E,'Barang Keluar'!$A:$A,M32678,'Barang Keluar'!$C:$C,N32678))</f>
        <v>0</v>
      </c>
    </row>
    <row r="32679" spans="13:16">
      <c r="M32679" s="49">
        <f>IF($A$4+326&gt;$B$4,"",$A$4+326)</f>
        <v>46349</v>
      </c>
      <c r="N32679">
        <f>IF(M32679="","",'Master Barang'!A73)</f>
        <v>0</v>
      </c>
      <c r="O32679">
        <f>IF(N32679="","",'Master Barang'!B73)</f>
        <v>0</v>
      </c>
      <c r="P32679">
        <f>IF(OR(M32679="",N32679=""),"",SUMIFS('Barang Keluar'!$E:$E,'Barang Keluar'!$A:$A,M32679,'Barang Keluar'!$C:$C,N32679))</f>
        <v>0</v>
      </c>
    </row>
    <row r="32680" spans="13:16">
      <c r="M32680" s="49">
        <f>IF($A$4+326&gt;$B$4,"",$A$4+326)</f>
        <v>46349</v>
      </c>
      <c r="N32680">
        <f>IF(M32680="","",'Master Barang'!A74)</f>
        <v>0</v>
      </c>
      <c r="O32680">
        <f>IF(N32680="","",'Master Barang'!B74)</f>
        <v>0</v>
      </c>
      <c r="P32680">
        <f>IF(OR(M32680="",N32680=""),"",SUMIFS('Barang Keluar'!$E:$E,'Barang Keluar'!$A:$A,M32680,'Barang Keluar'!$C:$C,N32680))</f>
        <v>0</v>
      </c>
    </row>
    <row r="32681" spans="13:16">
      <c r="M32681" s="49">
        <f>IF($A$4+326&gt;$B$4,"",$A$4+326)</f>
        <v>46349</v>
      </c>
      <c r="N32681">
        <f>IF(M32681="","",'Master Barang'!A75)</f>
        <v>0</v>
      </c>
      <c r="O32681">
        <f>IF(N32681="","",'Master Barang'!B75)</f>
        <v>0</v>
      </c>
      <c r="P32681">
        <f>IF(OR(M32681="",N32681=""),"",SUMIFS('Barang Keluar'!$E:$E,'Barang Keluar'!$A:$A,M32681,'Barang Keluar'!$C:$C,N32681))</f>
        <v>0</v>
      </c>
    </row>
    <row r="32682" spans="13:16">
      <c r="M32682" s="49">
        <f>IF($A$4+326&gt;$B$4,"",$A$4+326)</f>
        <v>46349</v>
      </c>
      <c r="N32682">
        <f>IF(M32682="","",'Master Barang'!A76)</f>
        <v>0</v>
      </c>
      <c r="O32682">
        <f>IF(N32682="","",'Master Barang'!B76)</f>
        <v>0</v>
      </c>
      <c r="P32682">
        <f>IF(OR(M32682="",N32682=""),"",SUMIFS('Barang Keluar'!$E:$E,'Barang Keluar'!$A:$A,M32682,'Barang Keluar'!$C:$C,N32682))</f>
        <v>0</v>
      </c>
    </row>
    <row r="32683" spans="13:16">
      <c r="M32683" s="49">
        <f>IF($A$4+326&gt;$B$4,"",$A$4+326)</f>
        <v>46349</v>
      </c>
      <c r="N32683">
        <f>IF(M32683="","",'Master Barang'!A77)</f>
        <v>0</v>
      </c>
      <c r="O32683">
        <f>IF(N32683="","",'Master Barang'!B77)</f>
        <v>0</v>
      </c>
      <c r="P32683">
        <f>IF(OR(M32683="",N32683=""),"",SUMIFS('Barang Keluar'!$E:$E,'Barang Keluar'!$A:$A,M32683,'Barang Keluar'!$C:$C,N32683))</f>
        <v>0</v>
      </c>
    </row>
    <row r="32684" spans="13:16">
      <c r="M32684" s="49">
        <f>IF($A$4+326&gt;$B$4,"",$A$4+326)</f>
        <v>46349</v>
      </c>
      <c r="N32684">
        <f>IF(M32684="","",'Master Barang'!A78)</f>
        <v>0</v>
      </c>
      <c r="O32684">
        <f>IF(N32684="","",'Master Barang'!B78)</f>
        <v>0</v>
      </c>
      <c r="P32684">
        <f>IF(OR(M32684="",N32684=""),"",SUMIFS('Barang Keluar'!$E:$E,'Barang Keluar'!$A:$A,M32684,'Barang Keluar'!$C:$C,N32684))</f>
        <v>0</v>
      </c>
    </row>
    <row r="32685" spans="13:16">
      <c r="M32685" s="49">
        <f>IF($A$4+326&gt;$B$4,"",$A$4+326)</f>
        <v>46349</v>
      </c>
      <c r="N32685">
        <f>IF(M32685="","",'Master Barang'!A79)</f>
        <v>0</v>
      </c>
      <c r="O32685">
        <f>IF(N32685="","",'Master Barang'!B79)</f>
        <v>0</v>
      </c>
      <c r="P32685">
        <f>IF(OR(M32685="",N32685=""),"",SUMIFS('Barang Keluar'!$E:$E,'Barang Keluar'!$A:$A,M32685,'Barang Keluar'!$C:$C,N32685))</f>
        <v>0</v>
      </c>
    </row>
    <row r="32686" spans="13:16">
      <c r="M32686" s="49">
        <f>IF($A$4+326&gt;$B$4,"",$A$4+326)</f>
        <v>46349</v>
      </c>
      <c r="N32686">
        <f>IF(M32686="","",'Master Barang'!A80)</f>
        <v>0</v>
      </c>
      <c r="O32686">
        <f>IF(N32686="","",'Master Barang'!B80)</f>
        <v>0</v>
      </c>
      <c r="P32686">
        <f>IF(OR(M32686="",N32686=""),"",SUMIFS('Barang Keluar'!$E:$E,'Barang Keluar'!$A:$A,M32686,'Barang Keluar'!$C:$C,N32686))</f>
        <v>0</v>
      </c>
    </row>
    <row r="32687" spans="13:16">
      <c r="M32687" s="49">
        <f>IF($A$4+326&gt;$B$4,"",$A$4+326)</f>
        <v>46349</v>
      </c>
      <c r="N32687">
        <f>IF(M32687="","",'Master Barang'!A81)</f>
        <v>0</v>
      </c>
      <c r="O32687">
        <f>IF(N32687="","",'Master Barang'!B81)</f>
        <v>0</v>
      </c>
      <c r="P32687">
        <f>IF(OR(M32687="",N32687=""),"",SUMIFS('Barang Keluar'!$E:$E,'Barang Keluar'!$A:$A,M32687,'Barang Keluar'!$C:$C,N32687))</f>
        <v>0</v>
      </c>
    </row>
    <row r="32688" spans="13:16">
      <c r="M32688" s="49">
        <f>IF($A$4+326&gt;$B$4,"",$A$4+326)</f>
        <v>46349</v>
      </c>
      <c r="N32688">
        <f>IF(M32688="","",'Master Barang'!A82)</f>
        <v>0</v>
      </c>
      <c r="O32688">
        <f>IF(N32688="","",'Master Barang'!B82)</f>
        <v>0</v>
      </c>
      <c r="P32688">
        <f>IF(OR(M32688="",N32688=""),"",SUMIFS('Barang Keluar'!$E:$E,'Barang Keluar'!$A:$A,M32688,'Barang Keluar'!$C:$C,N32688))</f>
        <v>0</v>
      </c>
    </row>
    <row r="32689" spans="13:16">
      <c r="M32689" s="49">
        <f>IF($A$4+326&gt;$B$4,"",$A$4+326)</f>
        <v>46349</v>
      </c>
      <c r="N32689">
        <f>IF(M32689="","",'Master Barang'!A83)</f>
        <v>0</v>
      </c>
      <c r="O32689">
        <f>IF(N32689="","",'Master Barang'!B83)</f>
        <v>0</v>
      </c>
      <c r="P32689">
        <f>IF(OR(M32689="",N32689=""),"",SUMIFS('Barang Keluar'!$E:$E,'Barang Keluar'!$A:$A,M32689,'Barang Keluar'!$C:$C,N32689))</f>
        <v>0</v>
      </c>
    </row>
    <row r="32690" spans="13:16">
      <c r="M32690" s="49">
        <f>IF($A$4+326&gt;$B$4,"",$A$4+326)</f>
        <v>46349</v>
      </c>
      <c r="N32690">
        <f>IF(M32690="","",'Master Barang'!A84)</f>
        <v>0</v>
      </c>
      <c r="O32690">
        <f>IF(N32690="","",'Master Barang'!B84)</f>
        <v>0</v>
      </c>
      <c r="P32690">
        <f>IF(OR(M32690="",N32690=""),"",SUMIFS('Barang Keluar'!$E:$E,'Barang Keluar'!$A:$A,M32690,'Barang Keluar'!$C:$C,N32690))</f>
        <v>0</v>
      </c>
    </row>
    <row r="32691" spans="13:16">
      <c r="M32691" s="49">
        <f>IF($A$4+326&gt;$B$4,"",$A$4+326)</f>
        <v>46349</v>
      </c>
      <c r="N32691">
        <f>IF(M32691="","",'Master Barang'!A85)</f>
        <v>0</v>
      </c>
      <c r="O32691">
        <f>IF(N32691="","",'Master Barang'!B85)</f>
        <v>0</v>
      </c>
      <c r="P32691">
        <f>IF(OR(M32691="",N32691=""),"",SUMIFS('Barang Keluar'!$E:$E,'Barang Keluar'!$A:$A,M32691,'Barang Keluar'!$C:$C,N32691))</f>
        <v>0</v>
      </c>
    </row>
    <row r="32692" spans="13:16">
      <c r="M32692" s="49">
        <f>IF($A$4+326&gt;$B$4,"",$A$4+326)</f>
        <v>46349</v>
      </c>
      <c r="N32692">
        <f>IF(M32692="","",'Master Barang'!A86)</f>
        <v>0</v>
      </c>
      <c r="O32692">
        <f>IF(N32692="","",'Master Barang'!B86)</f>
        <v>0</v>
      </c>
      <c r="P32692">
        <f>IF(OR(M32692="",N32692=""),"",SUMIFS('Barang Keluar'!$E:$E,'Barang Keluar'!$A:$A,M32692,'Barang Keluar'!$C:$C,N32692))</f>
        <v>0</v>
      </c>
    </row>
    <row r="32693" spans="13:16">
      <c r="M32693" s="49">
        <f>IF($A$4+326&gt;$B$4,"",$A$4+326)</f>
        <v>46349</v>
      </c>
      <c r="N32693">
        <f>IF(M32693="","",'Master Barang'!A87)</f>
        <v>0</v>
      </c>
      <c r="O32693">
        <f>IF(N32693="","",'Master Barang'!B87)</f>
        <v>0</v>
      </c>
      <c r="P32693">
        <f>IF(OR(M32693="",N32693=""),"",SUMIFS('Barang Keluar'!$E:$E,'Barang Keluar'!$A:$A,M32693,'Barang Keluar'!$C:$C,N32693))</f>
        <v>0</v>
      </c>
    </row>
    <row r="32694" spans="13:16">
      <c r="M32694" s="49">
        <f>IF($A$4+326&gt;$B$4,"",$A$4+326)</f>
        <v>46349</v>
      </c>
      <c r="N32694">
        <f>IF(M32694="","",'Master Barang'!A88)</f>
        <v>0</v>
      </c>
      <c r="O32694">
        <f>IF(N32694="","",'Master Barang'!B88)</f>
        <v>0</v>
      </c>
      <c r="P32694">
        <f>IF(OR(M32694="",N32694=""),"",SUMIFS('Barang Keluar'!$E:$E,'Barang Keluar'!$A:$A,M32694,'Barang Keluar'!$C:$C,N32694))</f>
        <v>0</v>
      </c>
    </row>
    <row r="32695" spans="13:16">
      <c r="M32695" s="49">
        <f>IF($A$4+326&gt;$B$4,"",$A$4+326)</f>
        <v>46349</v>
      </c>
      <c r="N32695">
        <f>IF(M32695="","",'Master Barang'!A89)</f>
        <v>0</v>
      </c>
      <c r="O32695">
        <f>IF(N32695="","",'Master Barang'!B89)</f>
        <v>0</v>
      </c>
      <c r="P32695">
        <f>IF(OR(M32695="",N32695=""),"",SUMIFS('Barang Keluar'!$E:$E,'Barang Keluar'!$A:$A,M32695,'Barang Keluar'!$C:$C,N32695))</f>
        <v>0</v>
      </c>
    </row>
    <row r="32696" spans="13:16">
      <c r="M32696" s="49">
        <f>IF($A$4+326&gt;$B$4,"",$A$4+326)</f>
        <v>46349</v>
      </c>
      <c r="N32696">
        <f>IF(M32696="","",'Master Barang'!A90)</f>
        <v>0</v>
      </c>
      <c r="O32696">
        <f>IF(N32696="","",'Master Barang'!B90)</f>
        <v>0</v>
      </c>
      <c r="P32696">
        <f>IF(OR(M32696="",N32696=""),"",SUMIFS('Barang Keluar'!$E:$E,'Barang Keluar'!$A:$A,M32696,'Barang Keluar'!$C:$C,N32696))</f>
        <v>0</v>
      </c>
    </row>
    <row r="32697" spans="13:16">
      <c r="M32697" s="49">
        <f>IF($A$4+326&gt;$B$4,"",$A$4+326)</f>
        <v>46349</v>
      </c>
      <c r="N32697">
        <f>IF(M32697="","",'Master Barang'!A91)</f>
        <v>0</v>
      </c>
      <c r="O32697">
        <f>IF(N32697="","",'Master Barang'!B91)</f>
        <v>0</v>
      </c>
      <c r="P32697">
        <f>IF(OR(M32697="",N32697=""),"",SUMIFS('Barang Keluar'!$E:$E,'Barang Keluar'!$A:$A,M32697,'Barang Keluar'!$C:$C,N32697))</f>
        <v>0</v>
      </c>
    </row>
    <row r="32698" spans="13:16">
      <c r="M32698" s="49">
        <f>IF($A$4+326&gt;$B$4,"",$A$4+326)</f>
        <v>46349</v>
      </c>
      <c r="N32698">
        <f>IF(M32698="","",'Master Barang'!A92)</f>
        <v>0</v>
      </c>
      <c r="O32698">
        <f>IF(N32698="","",'Master Barang'!B92)</f>
        <v>0</v>
      </c>
      <c r="P32698">
        <f>IF(OR(M32698="",N32698=""),"",SUMIFS('Barang Keluar'!$E:$E,'Barang Keluar'!$A:$A,M32698,'Barang Keluar'!$C:$C,N32698))</f>
        <v>0</v>
      </c>
    </row>
    <row r="32699" spans="13:16">
      <c r="M32699" s="49">
        <f>IF($A$4+326&gt;$B$4,"",$A$4+326)</f>
        <v>46349</v>
      </c>
      <c r="N32699">
        <f>IF(M32699="","",'Master Barang'!A93)</f>
        <v>0</v>
      </c>
      <c r="O32699">
        <f>IF(N32699="","",'Master Barang'!B93)</f>
        <v>0</v>
      </c>
      <c r="P32699">
        <f>IF(OR(M32699="",N32699=""),"",SUMIFS('Barang Keluar'!$E:$E,'Barang Keluar'!$A:$A,M32699,'Barang Keluar'!$C:$C,N32699))</f>
        <v>0</v>
      </c>
    </row>
    <row r="32700" spans="13:16">
      <c r="M32700" s="49">
        <f>IF($A$4+326&gt;$B$4,"",$A$4+326)</f>
        <v>46349</v>
      </c>
      <c r="N32700">
        <f>IF(M32700="","",'Master Barang'!A94)</f>
        <v>0</v>
      </c>
      <c r="O32700">
        <f>IF(N32700="","",'Master Barang'!B94)</f>
        <v>0</v>
      </c>
      <c r="P32700">
        <f>IF(OR(M32700="",N32700=""),"",SUMIFS('Barang Keluar'!$E:$E,'Barang Keluar'!$A:$A,M32700,'Barang Keluar'!$C:$C,N32700))</f>
        <v>0</v>
      </c>
    </row>
    <row r="32701" spans="13:16">
      <c r="M32701" s="49">
        <f>IF($A$4+326&gt;$B$4,"",$A$4+326)</f>
        <v>46349</v>
      </c>
      <c r="N32701">
        <f>IF(M32701="","",'Master Barang'!A95)</f>
        <v>0</v>
      </c>
      <c r="O32701">
        <f>IF(N32701="","",'Master Barang'!B95)</f>
        <v>0</v>
      </c>
      <c r="P32701">
        <f>IF(OR(M32701="",N32701=""),"",SUMIFS('Barang Keluar'!$E:$E,'Barang Keluar'!$A:$A,M32701,'Barang Keluar'!$C:$C,N32701))</f>
        <v>0</v>
      </c>
    </row>
    <row r="32702" spans="13:16">
      <c r="M32702" s="49">
        <f>IF($A$4+326&gt;$B$4,"",$A$4+326)</f>
        <v>46349</v>
      </c>
      <c r="N32702">
        <f>IF(M32702="","",'Master Barang'!A96)</f>
        <v>0</v>
      </c>
      <c r="O32702">
        <f>IF(N32702="","",'Master Barang'!B96)</f>
        <v>0</v>
      </c>
      <c r="P32702">
        <f>IF(OR(M32702="",N32702=""),"",SUMIFS('Barang Keluar'!$E:$E,'Barang Keluar'!$A:$A,M32702,'Barang Keluar'!$C:$C,N32702))</f>
        <v>0</v>
      </c>
    </row>
    <row r="32703" spans="13:16">
      <c r="M32703" s="49">
        <f>IF($A$4+326&gt;$B$4,"",$A$4+326)</f>
        <v>46349</v>
      </c>
      <c r="N32703">
        <f>IF(M32703="","",'Master Barang'!A97)</f>
        <v>0</v>
      </c>
      <c r="O32703">
        <f>IF(N32703="","",'Master Barang'!B97)</f>
        <v>0</v>
      </c>
      <c r="P32703">
        <f>IF(OR(M32703="",N32703=""),"",SUMIFS('Barang Keluar'!$E:$E,'Barang Keluar'!$A:$A,M32703,'Barang Keluar'!$C:$C,N32703))</f>
        <v>0</v>
      </c>
    </row>
    <row r="32704" spans="13:16">
      <c r="M32704" s="49">
        <f>IF($A$4+326&gt;$B$4,"",$A$4+326)</f>
        <v>46349</v>
      </c>
      <c r="N32704">
        <f>IF(M32704="","",'Master Barang'!A98)</f>
        <v>0</v>
      </c>
      <c r="O32704">
        <f>IF(N32704="","",'Master Barang'!B98)</f>
        <v>0</v>
      </c>
      <c r="P32704">
        <f>IF(OR(M32704="",N32704=""),"",SUMIFS('Barang Keluar'!$E:$E,'Barang Keluar'!$A:$A,M32704,'Barang Keluar'!$C:$C,N32704))</f>
        <v>0</v>
      </c>
    </row>
    <row r="32705" spans="13:16">
      <c r="M32705" s="49">
        <f>IF($A$4+326&gt;$B$4,"",$A$4+326)</f>
        <v>46349</v>
      </c>
      <c r="N32705">
        <f>IF(M32705="","",'Master Barang'!A99)</f>
        <v>0</v>
      </c>
      <c r="O32705">
        <f>IF(N32705="","",'Master Barang'!B99)</f>
        <v>0</v>
      </c>
      <c r="P32705">
        <f>IF(OR(M32705="",N32705=""),"",SUMIFS('Barang Keluar'!$E:$E,'Barang Keluar'!$A:$A,M32705,'Barang Keluar'!$C:$C,N32705))</f>
        <v>0</v>
      </c>
    </row>
    <row r="32706" spans="13:16">
      <c r="M32706" s="49">
        <f>IF($A$4+326&gt;$B$4,"",$A$4+326)</f>
        <v>46349</v>
      </c>
      <c r="N32706">
        <f>IF(M32706="","",'Master Barang'!A100)</f>
        <v>0</v>
      </c>
      <c r="O32706">
        <f>IF(N32706="","",'Master Barang'!B100)</f>
        <v>0</v>
      </c>
      <c r="P32706">
        <f>IF(OR(M32706="",N32706=""),"",SUMIFS('Barang Keluar'!$E:$E,'Barang Keluar'!$A:$A,M32706,'Barang Keluar'!$C:$C,N32706))</f>
        <v>0</v>
      </c>
    </row>
    <row r="32707" spans="13:16">
      <c r="M32707" s="49">
        <f>IF($A$4+326&gt;$B$4,"",$A$4+326)</f>
        <v>46349</v>
      </c>
      <c r="N32707">
        <f>IF(M32707="","",'Master Barang'!A101)</f>
        <v>0</v>
      </c>
      <c r="O32707">
        <f>IF(N32707="","",'Master Barang'!B101)</f>
        <v>0</v>
      </c>
      <c r="P32707">
        <f>IF(OR(M32707="",N32707=""),"",SUMIFS('Barang Keluar'!$E:$E,'Barang Keluar'!$A:$A,M32707,'Barang Keluar'!$C:$C,N32707))</f>
        <v>0</v>
      </c>
    </row>
    <row r="32708" spans="13:16">
      <c r="M32708" s="49">
        <f>IF($A$4+327&gt;$B$4,"",$A$4+327)</f>
        <v>46350</v>
      </c>
      <c r="N32708" t="str">
        <f>IF(M32708="","",'Master Barang'!A2)</f>
        <v>PRL-001</v>
      </c>
      <c r="O32708" t="str">
        <f>IF(N32708="","",'Master Barang'!B2)</f>
        <v>natura desinfectant food grade 5l</v>
      </c>
      <c r="P32708">
        <f>IF(OR(M32708="",N32708=""),"",SUMIFS('Barang Keluar'!$E:$E,'Barang Keluar'!$A:$A,M32708,'Barang Keluar'!$C:$C,N32708))</f>
        <v>0</v>
      </c>
    </row>
    <row r="32709" spans="13:16">
      <c r="M32709" s="49">
        <f>IF($A$4+327&gt;$B$4,"",$A$4+327)</f>
        <v>46350</v>
      </c>
      <c r="N32709" t="str">
        <f>IF(M32709="","",'Master Barang'!A3)</f>
        <v>PRL-002</v>
      </c>
      <c r="O32709" t="str">
        <f>IF(N32709="","",'Master Barang'!B3)</f>
        <v>sunlight cairan pencuci piring 5l</v>
      </c>
      <c r="P32709">
        <f>IF(OR(M32709="",N32709=""),"",SUMIFS('Barang Keluar'!$E:$E,'Barang Keluar'!$A:$A,M32709,'Barang Keluar'!$C:$C,N32709))</f>
        <v>0</v>
      </c>
    </row>
    <row r="32710" spans="13:16">
      <c r="M32710" s="49">
        <f>IF($A$4+327&gt;$B$4,"",$A$4+327)</f>
        <v>46350</v>
      </c>
      <c r="N32710" t="str">
        <f>IF(M32710="","",'Master Barang'!A4)</f>
        <v>PRL-003</v>
      </c>
      <c r="O32710" t="str">
        <f>IF(N32710="","",'Master Barang'!B4)</f>
        <v>oixs cleaner 1l</v>
      </c>
      <c r="P32710">
        <f>IF(OR(M32710="",N32710=""),"",SUMIFS('Barang Keluar'!$E:$E,'Barang Keluar'!$A:$A,M32710,'Barang Keluar'!$C:$C,N32710))</f>
        <v>0</v>
      </c>
    </row>
    <row r="32711" spans="13:16">
      <c r="M32711" s="49">
        <f>IF($A$4+327&gt;$B$4,"",$A$4+327)</f>
        <v>46350</v>
      </c>
      <c r="N32711" t="str">
        <f>IF(M32711="","",'Master Barang'!A5)</f>
        <v>PRL-004</v>
      </c>
      <c r="O32711" t="str">
        <f>IF(N32711="","",'Master Barang'!B5)</f>
        <v>be clean tissue serbaguna</v>
      </c>
      <c r="P32711">
        <f>IF(OR(M32711="",N32711=""),"",SUMIFS('Barang Keluar'!$E:$E,'Barang Keluar'!$A:$A,M32711,'Barang Keluar'!$C:$C,N32711))</f>
        <v>0</v>
      </c>
    </row>
    <row r="32712" spans="13:16">
      <c r="M32712" s="49">
        <f>IF($A$4+327&gt;$B$4,"",$A$4+327)</f>
        <v>46350</v>
      </c>
      <c r="N32712" t="str">
        <f>IF(M32712="","",'Master Barang'!A6)</f>
        <v>PRL-005</v>
      </c>
      <c r="O32712" t="str">
        <f>IF(N32712="","",'Master Barang'!B6)</f>
        <v>spons cuci hijau</v>
      </c>
      <c r="P32712">
        <f>IF(OR(M32712="",N32712=""),"",SUMIFS('Barang Keluar'!$E:$E,'Barang Keluar'!$A:$A,M32712,'Barang Keluar'!$C:$C,N32712))</f>
        <v>0</v>
      </c>
    </row>
    <row r="32713" spans="13:16">
      <c r="M32713" s="49">
        <f>IF($A$4+327&gt;$B$4,"",$A$4+327)</f>
        <v>46350</v>
      </c>
      <c r="N32713" t="str">
        <f>IF(M32713="","",'Master Barang'!A7)</f>
        <v>PRL-006</v>
      </c>
      <c r="O32713" t="str">
        <f>IF(N32713="","",'Master Barang'!B7)</f>
        <v>sabut cuci stainless</v>
      </c>
      <c r="P32713">
        <f>IF(OR(M32713="",N32713=""),"",SUMIFS('Barang Keluar'!$E:$E,'Barang Keluar'!$A:$A,M32713,'Barang Keluar'!$C:$C,N32713))</f>
        <v>0</v>
      </c>
    </row>
    <row r="32714" spans="13:16">
      <c r="M32714" s="49">
        <f>IF($A$4+327&gt;$B$4,"",$A$4+327)</f>
        <v>46350</v>
      </c>
      <c r="N32714" t="str">
        <f>IF(M32714="","",'Master Barang'!A8)</f>
        <v>PRL-007</v>
      </c>
      <c r="O32714" t="str">
        <f>IF(N32714="","",'Master Barang'!B8)</f>
        <v>plastik kresek besar merah 50pc</v>
      </c>
      <c r="P32714">
        <f>IF(OR(M32714="",N32714=""),"",SUMIFS('Barang Keluar'!$E:$E,'Barang Keluar'!$A:$A,M32714,'Barang Keluar'!$C:$C,N32714))</f>
        <v>0</v>
      </c>
    </row>
    <row r="32715" spans="13:16">
      <c r="M32715" s="49">
        <f>IF($A$4+327&gt;$B$4,"",$A$4+327)</f>
        <v>46350</v>
      </c>
      <c r="N32715" t="str">
        <f>IF(M32715="","",'Master Barang'!A9)</f>
        <v>PRL-008</v>
      </c>
      <c r="O32715" t="str">
        <f>IF(N32715="","",'Master Barang'!B9)</f>
        <v>lap besar</v>
      </c>
      <c r="P32715">
        <f>IF(OR(M32715="",N32715=""),"",SUMIFS('Barang Keluar'!$E:$E,'Barang Keluar'!$A:$A,M32715,'Barang Keluar'!$C:$C,N32715))</f>
        <v>0</v>
      </c>
    </row>
    <row r="32716" spans="13:16">
      <c r="M32716" s="49">
        <f>IF($A$4+327&gt;$B$4,"",$A$4+327)</f>
        <v>46350</v>
      </c>
      <c r="N32716" t="str">
        <f>IF(M32716="","",'Master Barang'!A10)</f>
        <v>PRL-009</v>
      </c>
      <c r="O32716" t="str">
        <f>IF(N32716="","",'Master Barang'!B10)</f>
        <v>lap microfiber</v>
      </c>
      <c r="P32716">
        <f>IF(OR(M32716="",N32716=""),"",SUMIFS('Barang Keluar'!$E:$E,'Barang Keluar'!$A:$A,M32716,'Barang Keluar'!$C:$C,N32716))</f>
        <v>0</v>
      </c>
    </row>
    <row r="32717" spans="13:16">
      <c r="M32717" s="49">
        <f>IF($A$4+327&gt;$B$4,"",$A$4+327)</f>
        <v>46350</v>
      </c>
      <c r="N32717" t="str">
        <f>IF(M32717="","",'Master Barang'!A11)</f>
        <v>PRL-010</v>
      </c>
      <c r="O32717" t="str">
        <f>IF(N32717="","",'Master Barang'!B11)</f>
        <v>lap kecil</v>
      </c>
      <c r="P32717">
        <f>IF(OR(M32717="",N32717=""),"",SUMIFS('Barang Keluar'!$E:$E,'Barang Keluar'!$A:$A,M32717,'Barang Keluar'!$C:$C,N32717))</f>
        <v>0</v>
      </c>
    </row>
    <row r="32718" spans="13:16">
      <c r="M32718" s="49">
        <f>IF($A$4+327&gt;$B$4,"",$A$4+327)</f>
        <v>46350</v>
      </c>
      <c r="N32718" t="str">
        <f>IF(M32718="","",'Master Barang'!A12)</f>
        <v>PRL-011</v>
      </c>
      <c r="O32718" t="str">
        <f>IF(N32718="","",'Master Barang'!B12)</f>
        <v>kanebo kecil</v>
      </c>
      <c r="P32718">
        <f>IF(OR(M32718="",N32718=""),"",SUMIFS('Barang Keluar'!$E:$E,'Barang Keluar'!$A:$A,M32718,'Barang Keluar'!$C:$C,N32718))</f>
        <v>0</v>
      </c>
    </row>
    <row r="32719" spans="13:16">
      <c r="M32719" s="49">
        <f>IF($A$4+327&gt;$B$4,"",$A$4+327)</f>
        <v>46350</v>
      </c>
      <c r="N32719" t="str">
        <f>IF(M32719="","",'Master Barang'!A13)</f>
        <v>PRL-012</v>
      </c>
      <c r="O32719" t="str">
        <f>IF(N32719="","",'Master Barang'!B13)</f>
        <v>plastik 1/4kg joyoboyo 100 lembar</v>
      </c>
      <c r="P32719">
        <f>IF(OR(M32719="",N32719=""),"",SUMIFS('Barang Keluar'!$E:$E,'Barang Keluar'!$A:$A,M32719,'Barang Keluar'!$C:$C,N32719))</f>
        <v>0</v>
      </c>
    </row>
    <row r="32720" spans="13:16">
      <c r="M32720" s="49">
        <f>IF($A$4+327&gt;$B$4,"",$A$4+327)</f>
        <v>46350</v>
      </c>
      <c r="N32720" t="str">
        <f>IF(M32720="","",'Master Barang'!A14)</f>
        <v>PRL-013</v>
      </c>
      <c r="O32720" t="str">
        <f>IF(N32720="","",'Master Barang'!B14)</f>
        <v>sarung tangan plastik kaka 100 pcs</v>
      </c>
      <c r="P32720">
        <f>IF(OR(M32720="",N32720=""),"",SUMIFS('Barang Keluar'!$E:$E,'Barang Keluar'!$A:$A,M32720,'Barang Keluar'!$C:$C,N32720))</f>
        <v>0</v>
      </c>
    </row>
    <row r="32721" spans="13:16">
      <c r="M32721" s="49">
        <f>IF($A$4+327&gt;$B$4,"",$A$4+327)</f>
        <v>46350</v>
      </c>
      <c r="N32721" t="str">
        <f>IF(M32721="","",'Master Barang'!A15)</f>
        <v>PRL-014</v>
      </c>
      <c r="O32721" t="str">
        <f>IF(N32721="","",'Master Barang'!B15)</f>
        <v>optima trashbag 80x100</v>
      </c>
      <c r="P32721">
        <f>IF(OR(M32721="",N32721=""),"",SUMIFS('Barang Keluar'!$E:$E,'Barang Keluar'!$A:$A,M32721,'Barang Keluar'!$C:$C,N32721))</f>
        <v>0</v>
      </c>
    </row>
    <row r="32722" spans="13:16">
      <c r="M32722" s="49">
        <f>IF($A$4+327&gt;$B$4,"",$A$4+327)</f>
        <v>46350</v>
      </c>
      <c r="N32722" t="str">
        <f>IF(M32722="","",'Master Barang'!A16)</f>
        <v>PRL-015</v>
      </c>
      <c r="O32722" t="str">
        <f>IF(N32722="","",'Master Barang'!B16)</f>
        <v>optima trashbag 60x100</v>
      </c>
      <c r="P32722">
        <f>IF(OR(M32722="",N32722=""),"",SUMIFS('Barang Keluar'!$E:$E,'Barang Keluar'!$A:$A,M32722,'Barang Keluar'!$C:$C,N32722))</f>
        <v>0</v>
      </c>
    </row>
    <row r="32723" spans="13:16">
      <c r="M32723" s="49">
        <f>IF($A$4+327&gt;$B$4,"",$A$4+327)</f>
        <v>46350</v>
      </c>
      <c r="N32723" t="str">
        <f>IF(M32723="","",'Master Barang'!A17)</f>
        <v>PRL-016</v>
      </c>
      <c r="O32723" t="str">
        <f>IF(N32723="","",'Master Barang'!B17)</f>
        <v>rajawali trashbag 30x40</v>
      </c>
      <c r="P32723">
        <f>IF(OR(M32723="",N32723=""),"",SUMIFS('Barang Keluar'!$E:$E,'Barang Keluar'!$A:$A,M32723,'Barang Keluar'!$C:$C,N32723))</f>
        <v>0</v>
      </c>
    </row>
    <row r="32724" spans="13:16">
      <c r="M32724" s="49">
        <f>IF($A$4+327&gt;$B$4,"",$A$4+327)</f>
        <v>46350</v>
      </c>
      <c r="N32724" t="str">
        <f>IF(M32724="","",'Master Barang'!A18)</f>
        <v>PRL-017</v>
      </c>
      <c r="O32724" t="str">
        <f>IF(N32724="","",'Master Barang'!B18)</f>
        <v>onemed masker biru 3 play 50 pcs</v>
      </c>
      <c r="P32724">
        <f>IF(OR(M32724="",N32724=""),"",SUMIFS('Barang Keluar'!$E:$E,'Barang Keluar'!$A:$A,M32724,'Barang Keluar'!$C:$C,N32724))</f>
        <v>0</v>
      </c>
    </row>
    <row r="32725" spans="13:16">
      <c r="M32725" s="49">
        <f>IF($A$4+327&gt;$B$4,"",$A$4+327)</f>
        <v>46350</v>
      </c>
      <c r="N32725" t="str">
        <f>IF(M32725="","",'Master Barang'!A19)</f>
        <v>PRL-018</v>
      </c>
      <c r="O32725" t="str">
        <f>IF(N32725="","",'Master Barang'!B19)</f>
        <v>onemed masker biru 3 play hijab 50 pcs</v>
      </c>
      <c r="P32725">
        <f>IF(OR(M32725="",N32725=""),"",SUMIFS('Barang Keluar'!$E:$E,'Barang Keluar'!$A:$A,M32725,'Barang Keluar'!$C:$C,N32725))</f>
        <v>0</v>
      </c>
    </row>
    <row r="32726" spans="13:16">
      <c r="M32726" s="49">
        <f>IF($A$4+327&gt;$B$4,"",$A$4+327)</f>
        <v>46350</v>
      </c>
      <c r="N32726" t="str">
        <f>IF(M32726="","",'Master Barang'!A20)</f>
        <v>PRL-019</v>
      </c>
      <c r="O32726" t="str">
        <f>IF(N32726="","",'Master Barang'!B20)</f>
        <v>neo health masker biru 3 play 50 pcs</v>
      </c>
      <c r="P32726">
        <f>IF(OR(M32726="",N32726=""),"",SUMIFS('Barang Keluar'!$E:$E,'Barang Keluar'!$A:$A,M32726,'Barang Keluar'!$C:$C,N32726))</f>
        <v>0</v>
      </c>
    </row>
    <row r="32727" spans="13:16">
      <c r="M32727" s="49">
        <f>IF($A$4+327&gt;$B$4,"",$A$4+327)</f>
        <v>46350</v>
      </c>
      <c r="N32727" t="str">
        <f>IF(M32727="","",'Master Barang'!A21)</f>
        <v>PRL-020</v>
      </c>
      <c r="O32727" t="str">
        <f>IF(N32727="","",'Master Barang'!B21)</f>
        <v>baymed masker hijau 3 play hijau 50 pcs</v>
      </c>
      <c r="P32727">
        <f>IF(OR(M32727="",N32727=""),"",SUMIFS('Barang Keluar'!$E:$E,'Barang Keluar'!$A:$A,M32727,'Barang Keluar'!$C:$C,N32727))</f>
        <v>0</v>
      </c>
    </row>
    <row r="32728" spans="13:16">
      <c r="M32728" s="49">
        <f>IF($A$4+327&gt;$B$4,"",$A$4+327)</f>
        <v>46350</v>
      </c>
      <c r="N32728" t="str">
        <f>IF(M32728="","",'Master Barang'!A22)</f>
        <v>PRL-021</v>
      </c>
      <c r="O32728" t="str">
        <f>IF(N32728="","",'Master Barang'!B22)</f>
        <v>altamed nurse cap penutup kepala 100 pcs</v>
      </c>
      <c r="P32728">
        <f>IF(OR(M32728="",N32728=""),"",SUMIFS('Barang Keluar'!$E:$E,'Barang Keluar'!$A:$A,M32728,'Barang Keluar'!$C:$C,N32728))</f>
        <v>0</v>
      </c>
    </row>
    <row r="32729" spans="13:16">
      <c r="M32729" s="49">
        <f>IF($A$4+327&gt;$B$4,"",$A$4+327)</f>
        <v>46350</v>
      </c>
      <c r="N32729" t="str">
        <f>IF(M32729="","",'Master Barang'!A23)</f>
        <v>PRL-022</v>
      </c>
      <c r="O32729" t="str">
        <f>IF(N32729="","",'Master Barang'!B23)</f>
        <v>sabun cuci tangan</v>
      </c>
      <c r="P32729">
        <f>IF(OR(M32729="",N32729=""),"",SUMIFS('Barang Keluar'!$E:$E,'Barang Keluar'!$A:$A,M32729,'Barang Keluar'!$C:$C,N32729))</f>
        <v>0</v>
      </c>
    </row>
    <row r="32730" spans="13:16">
      <c r="M32730" s="49">
        <f>IF($A$4+327&gt;$B$4,"",$A$4+327)</f>
        <v>46350</v>
      </c>
      <c r="N32730" t="str">
        <f>IF(M32730="","",'Master Barang'!A24)</f>
        <v>PRL-023</v>
      </c>
      <c r="O32730" t="str">
        <f>IF(N32730="","",'Master Barang'!B24)</f>
        <v>gayung kecil</v>
      </c>
      <c r="P32730">
        <f>IF(OR(M32730="",N32730=""),"",SUMIFS('Barang Keluar'!$E:$E,'Barang Keluar'!$A:$A,M32730,'Barang Keluar'!$C:$C,N32730))</f>
        <v>0</v>
      </c>
    </row>
    <row r="32731" spans="13:16">
      <c r="M32731" s="49">
        <f>IF($A$4+327&gt;$B$4,"",$A$4+327)</f>
        <v>46350</v>
      </c>
      <c r="N32731" t="str">
        <f>IF(M32731="","",'Master Barang'!A25)</f>
        <v>PRL-024</v>
      </c>
      <c r="O32731" t="str">
        <f>IF(N32731="","",'Master Barang'!B25)</f>
        <v>cikrak kecil</v>
      </c>
      <c r="P32731">
        <f>IF(OR(M32731="",N32731=""),"",SUMIFS('Barang Keluar'!$E:$E,'Barang Keluar'!$A:$A,M32731,'Barang Keluar'!$C:$C,N32731))</f>
        <v>0</v>
      </c>
    </row>
    <row r="32732" spans="13:16">
      <c r="M32732" s="49">
        <f>IF($A$4+327&gt;$B$4,"",$A$4+327)</f>
        <v>46350</v>
      </c>
      <c r="N32732" t="str">
        <f>IF(M32732="","",'Master Barang'!A26)</f>
        <v>PRL-025</v>
      </c>
      <c r="O32732" t="str">
        <f>IF(N32732="","",'Master Barang'!B26)</f>
        <v>petromax plastik kecil 12x24 100 lembar</v>
      </c>
      <c r="P32732">
        <f>IF(OR(M32732="",N32732=""),"",SUMIFS('Barang Keluar'!$E:$E,'Barang Keluar'!$A:$A,M32732,'Barang Keluar'!$C:$C,N32732))</f>
        <v>0</v>
      </c>
    </row>
    <row r="32733" spans="13:16">
      <c r="M32733" s="49">
        <f>IF($A$4+327&gt;$B$4,"",$A$4+327)</f>
        <v>46350</v>
      </c>
      <c r="N32733" t="str">
        <f>IF(M32733="","",'Master Barang'!A27)</f>
        <v>PRL-026</v>
      </c>
      <c r="O32733" t="str">
        <f>IF(N32733="","",'Master Barang'!B27)</f>
        <v>lancar kresek kecil bening </v>
      </c>
      <c r="P32733">
        <f>IF(OR(M32733="",N32733=""),"",SUMIFS('Barang Keluar'!$E:$E,'Barang Keluar'!$A:$A,M32733,'Barang Keluar'!$C:$C,N32733))</f>
        <v>0</v>
      </c>
    </row>
    <row r="32734" spans="13:16">
      <c r="M32734" s="49">
        <f>IF($A$4+327&gt;$B$4,"",$A$4+327)</f>
        <v>46350</v>
      </c>
      <c r="N32734" t="str">
        <f>IF(M32734="","",'Master Barang'!A28)</f>
        <v>PRL-027</v>
      </c>
      <c r="O32734" t="str">
        <f>IF(N32734="","",'Master Barang'!B28)</f>
        <v>kresek klin warna warni kecil</v>
      </c>
      <c r="P32734">
        <f>IF(OR(M32734="",N32734=""),"",SUMIFS('Barang Keluar'!$E:$E,'Barang Keluar'!$A:$A,M32734,'Barang Keluar'!$C:$C,N32734))</f>
        <v>0</v>
      </c>
    </row>
    <row r="32735" spans="13:16">
      <c r="M32735" s="49">
        <f>IF($A$4+327&gt;$B$4,"",$A$4+327)</f>
        <v>46350</v>
      </c>
      <c r="N32735" t="str">
        <f>IF(M32735="","",'Master Barang'!A29)</f>
        <v>PRL-028</v>
      </c>
      <c r="O32735" t="str">
        <f>IF(N32735="","",'Master Barang'!B29)</f>
        <v>ctik plastik 7x10 100 pcs</v>
      </c>
      <c r="P32735">
        <f>IF(OR(M32735="",N32735=""),"",SUMIFS('Barang Keluar'!$E:$E,'Barang Keluar'!$A:$A,M32735,'Barang Keluar'!$C:$C,N32735))</f>
        <v>0</v>
      </c>
    </row>
    <row r="32736" spans="13:16">
      <c r="M32736" s="49">
        <f>IF($A$4+327&gt;$B$4,"",$A$4+327)</f>
        <v>46350</v>
      </c>
      <c r="N32736" t="str">
        <f>IF(M32736="","",'Master Barang'!A30)</f>
        <v>PRL-029</v>
      </c>
      <c r="O32736" t="str">
        <f>IF(N32736="","",'Master Barang'!B30)</f>
        <v>ctik plastik 6x10 100 pcs</v>
      </c>
      <c r="P32736">
        <f>IF(OR(M32736="",N32736=""),"",SUMIFS('Barang Keluar'!$E:$E,'Barang Keluar'!$A:$A,M32736,'Barang Keluar'!$C:$C,N32736))</f>
        <v>0</v>
      </c>
    </row>
    <row r="32737" spans="13:16">
      <c r="M32737" s="49">
        <f>IF($A$4+327&gt;$B$4,"",$A$4+327)</f>
        <v>46350</v>
      </c>
      <c r="N32737" t="str">
        <f>IF(M32737="","",'Master Barang'!A31)</f>
        <v>PRL-030</v>
      </c>
      <c r="O32737" t="str">
        <f>IF(N32737="","",'Master Barang'!B31)</f>
        <v>klip plastik 25x16 100 pcs</v>
      </c>
      <c r="P32737">
        <f>IF(OR(M32737="",N32737=""),"",SUMIFS('Barang Keluar'!$E:$E,'Barang Keluar'!$A:$A,M32737,'Barang Keluar'!$C:$C,N32737))</f>
        <v>0</v>
      </c>
    </row>
    <row r="32738" spans="13:16">
      <c r="M32738" s="49">
        <f>IF($A$4+327&gt;$B$4,"",$A$4+327)</f>
        <v>46350</v>
      </c>
      <c r="N32738" t="str">
        <f>IF(M32738="","",'Master Barang'!A32)</f>
        <v>PRL-031</v>
      </c>
      <c r="O32738" t="str">
        <f>IF(N32738="","",'Master Barang'!B32)</f>
        <v>tempat saus 20 ml</v>
      </c>
      <c r="P32738">
        <f>IF(OR(M32738="",N32738=""),"",SUMIFS('Barang Keluar'!$E:$E,'Barang Keluar'!$A:$A,M32738,'Barang Keluar'!$C:$C,N32738))</f>
        <v>0</v>
      </c>
    </row>
    <row r="32739" spans="13:16">
      <c r="M32739" s="49">
        <f>IF($A$4+327&gt;$B$4,"",$A$4+327)</f>
        <v>46350</v>
      </c>
      <c r="N32739" t="str">
        <f>IF(M32739="","",'Master Barang'!A33)</f>
        <v>PRL-032</v>
      </c>
      <c r="O32739" t="str">
        <f>IF(N32739="","",'Master Barang'!B33)</f>
        <v>plastik packaging ag box uk sedang</v>
      </c>
      <c r="P32739">
        <f>IF(OR(M32739="",N32739=""),"",SUMIFS('Barang Keluar'!$E:$E,'Barang Keluar'!$A:$A,M32739,'Barang Keluar'!$C:$C,N32739))</f>
        <v>0</v>
      </c>
    </row>
    <row r="32740" spans="13:16">
      <c r="M32740" s="49">
        <f>IF($A$4+327&gt;$B$4,"",$A$4+327)</f>
        <v>46350</v>
      </c>
      <c r="N32740" t="str">
        <f>IF(M32740="","",'Master Barang'!A34)</f>
        <v>PRL-033</v>
      </c>
      <c r="O32740">
        <f>IF(N32740="","",'Master Barang'!B34)</f>
        <v>0</v>
      </c>
      <c r="P32740">
        <f>IF(OR(M32740="",N32740=""),"",SUMIFS('Barang Keluar'!$E:$E,'Barang Keluar'!$A:$A,M32740,'Barang Keluar'!$C:$C,N32740))</f>
        <v>0</v>
      </c>
    </row>
    <row r="32741" spans="13:16">
      <c r="M32741" s="49">
        <f>IF($A$4+327&gt;$B$4,"",$A$4+327)</f>
        <v>46350</v>
      </c>
      <c r="N32741">
        <f>IF(M32741="","",'Master Barang'!A35)</f>
        <v>0</v>
      </c>
      <c r="O32741">
        <f>IF(N32741="","",'Master Barang'!B35)</f>
        <v>0</v>
      </c>
      <c r="P32741">
        <f>IF(OR(M32741="",N32741=""),"",SUMIFS('Barang Keluar'!$E:$E,'Barang Keluar'!$A:$A,M32741,'Barang Keluar'!$C:$C,N32741))</f>
        <v>0</v>
      </c>
    </row>
    <row r="32742" spans="13:16">
      <c r="M32742" s="49">
        <f>IF($A$4+327&gt;$B$4,"",$A$4+327)</f>
        <v>46350</v>
      </c>
      <c r="N32742">
        <f>IF(M32742="","",'Master Barang'!A36)</f>
        <v>0</v>
      </c>
      <c r="O32742">
        <f>IF(N32742="","",'Master Barang'!B36)</f>
        <v>0</v>
      </c>
      <c r="P32742">
        <f>IF(OR(M32742="",N32742=""),"",SUMIFS('Barang Keluar'!$E:$E,'Barang Keluar'!$A:$A,M32742,'Barang Keluar'!$C:$C,N32742))</f>
        <v>0</v>
      </c>
    </row>
    <row r="32743" spans="13:16">
      <c r="M32743" s="49">
        <f>IF($A$4+327&gt;$B$4,"",$A$4+327)</f>
        <v>46350</v>
      </c>
      <c r="N32743">
        <f>IF(M32743="","",'Master Barang'!A37)</f>
        <v>0</v>
      </c>
      <c r="O32743">
        <f>IF(N32743="","",'Master Barang'!B37)</f>
        <v>0</v>
      </c>
      <c r="P32743">
        <f>IF(OR(M32743="",N32743=""),"",SUMIFS('Barang Keluar'!$E:$E,'Barang Keluar'!$A:$A,M32743,'Barang Keluar'!$C:$C,N32743))</f>
        <v>0</v>
      </c>
    </row>
    <row r="32744" spans="13:16">
      <c r="M32744" s="49">
        <f>IF($A$4+327&gt;$B$4,"",$A$4+327)</f>
        <v>46350</v>
      </c>
      <c r="N32744">
        <f>IF(M32744="","",'Master Barang'!A38)</f>
        <v>0</v>
      </c>
      <c r="O32744">
        <f>IF(N32744="","",'Master Barang'!B38)</f>
        <v>0</v>
      </c>
      <c r="P32744">
        <f>IF(OR(M32744="",N32744=""),"",SUMIFS('Barang Keluar'!$E:$E,'Barang Keluar'!$A:$A,M32744,'Barang Keluar'!$C:$C,N32744))</f>
        <v>0</v>
      </c>
    </row>
    <row r="32745" spans="13:16">
      <c r="M32745" s="49">
        <f>IF($A$4+327&gt;$B$4,"",$A$4+327)</f>
        <v>46350</v>
      </c>
      <c r="N32745">
        <f>IF(M32745="","",'Master Barang'!A39)</f>
        <v>0</v>
      </c>
      <c r="O32745">
        <f>IF(N32745="","",'Master Barang'!B39)</f>
        <v>0</v>
      </c>
      <c r="P32745">
        <f>IF(OR(M32745="",N32745=""),"",SUMIFS('Barang Keluar'!$E:$E,'Barang Keluar'!$A:$A,M32745,'Barang Keluar'!$C:$C,N32745))</f>
        <v>0</v>
      </c>
    </row>
    <row r="32746" spans="13:16">
      <c r="M32746" s="49">
        <f>IF($A$4+327&gt;$B$4,"",$A$4+327)</f>
        <v>46350</v>
      </c>
      <c r="N32746">
        <f>IF(M32746="","",'Master Barang'!A40)</f>
        <v>0</v>
      </c>
      <c r="O32746">
        <f>IF(N32746="","",'Master Barang'!B40)</f>
        <v>0</v>
      </c>
      <c r="P32746">
        <f>IF(OR(M32746="",N32746=""),"",SUMIFS('Barang Keluar'!$E:$E,'Barang Keluar'!$A:$A,M32746,'Barang Keluar'!$C:$C,N32746))</f>
        <v>0</v>
      </c>
    </row>
    <row r="32747" spans="13:16">
      <c r="M32747" s="49">
        <f>IF($A$4+327&gt;$B$4,"",$A$4+327)</f>
        <v>46350</v>
      </c>
      <c r="N32747">
        <f>IF(M32747="","",'Master Barang'!A41)</f>
        <v>0</v>
      </c>
      <c r="O32747">
        <f>IF(N32747="","",'Master Barang'!B41)</f>
        <v>0</v>
      </c>
      <c r="P32747">
        <f>IF(OR(M32747="",N32747=""),"",SUMIFS('Barang Keluar'!$E:$E,'Barang Keluar'!$A:$A,M32747,'Barang Keluar'!$C:$C,N32747))</f>
        <v>0</v>
      </c>
    </row>
    <row r="32748" spans="13:16">
      <c r="M32748" s="49">
        <f>IF($A$4+327&gt;$B$4,"",$A$4+327)</f>
        <v>46350</v>
      </c>
      <c r="N32748">
        <f>IF(M32748="","",'Master Barang'!A42)</f>
        <v>0</v>
      </c>
      <c r="O32748">
        <f>IF(N32748="","",'Master Barang'!B42)</f>
        <v>0</v>
      </c>
      <c r="P32748">
        <f>IF(OR(M32748="",N32748=""),"",SUMIFS('Barang Keluar'!$E:$E,'Barang Keluar'!$A:$A,M32748,'Barang Keluar'!$C:$C,N32748))</f>
        <v>0</v>
      </c>
    </row>
    <row r="32749" spans="13:16">
      <c r="M32749" s="49">
        <f>IF($A$4+327&gt;$B$4,"",$A$4+327)</f>
        <v>46350</v>
      </c>
      <c r="N32749">
        <f>IF(M32749="","",'Master Barang'!A43)</f>
        <v>0</v>
      </c>
      <c r="O32749">
        <f>IF(N32749="","",'Master Barang'!B43)</f>
        <v>0</v>
      </c>
      <c r="P32749">
        <f>IF(OR(M32749="",N32749=""),"",SUMIFS('Barang Keluar'!$E:$E,'Barang Keluar'!$A:$A,M32749,'Barang Keluar'!$C:$C,N32749))</f>
        <v>0</v>
      </c>
    </row>
    <row r="32750" spans="13:16">
      <c r="M32750" s="49">
        <f>IF($A$4+327&gt;$B$4,"",$A$4+327)</f>
        <v>46350</v>
      </c>
      <c r="N32750">
        <f>IF(M32750="","",'Master Barang'!A44)</f>
        <v>0</v>
      </c>
      <c r="O32750">
        <f>IF(N32750="","",'Master Barang'!B44)</f>
        <v>0</v>
      </c>
      <c r="P32750">
        <f>IF(OR(M32750="",N32750=""),"",SUMIFS('Barang Keluar'!$E:$E,'Barang Keluar'!$A:$A,M32750,'Barang Keluar'!$C:$C,N32750))</f>
        <v>0</v>
      </c>
    </row>
    <row r="32751" spans="13:16">
      <c r="M32751" s="49">
        <f>IF($A$4+327&gt;$B$4,"",$A$4+327)</f>
        <v>46350</v>
      </c>
      <c r="N32751">
        <f>IF(M32751="","",'Master Barang'!A45)</f>
        <v>0</v>
      </c>
      <c r="O32751">
        <f>IF(N32751="","",'Master Barang'!B45)</f>
        <v>0</v>
      </c>
      <c r="P32751">
        <f>IF(OR(M32751="",N32751=""),"",SUMIFS('Barang Keluar'!$E:$E,'Barang Keluar'!$A:$A,M32751,'Barang Keluar'!$C:$C,N32751))</f>
        <v>0</v>
      </c>
    </row>
    <row r="32752" spans="13:16">
      <c r="M32752" s="49">
        <f>IF($A$4+327&gt;$B$4,"",$A$4+327)</f>
        <v>46350</v>
      </c>
      <c r="N32752">
        <f>IF(M32752="","",'Master Barang'!A46)</f>
        <v>0</v>
      </c>
      <c r="O32752">
        <f>IF(N32752="","",'Master Barang'!B46)</f>
        <v>0</v>
      </c>
      <c r="P32752">
        <f>IF(OR(M32752="",N32752=""),"",SUMIFS('Barang Keluar'!$E:$E,'Barang Keluar'!$A:$A,M32752,'Barang Keluar'!$C:$C,N32752))</f>
        <v>0</v>
      </c>
    </row>
    <row r="32753" spans="13:16">
      <c r="M32753" s="49">
        <f>IF($A$4+327&gt;$B$4,"",$A$4+327)</f>
        <v>46350</v>
      </c>
      <c r="N32753">
        <f>IF(M32753="","",'Master Barang'!A47)</f>
        <v>0</v>
      </c>
      <c r="O32753">
        <f>IF(N32753="","",'Master Barang'!B47)</f>
        <v>0</v>
      </c>
      <c r="P32753">
        <f>IF(OR(M32753="",N32753=""),"",SUMIFS('Barang Keluar'!$E:$E,'Barang Keluar'!$A:$A,M32753,'Barang Keluar'!$C:$C,N32753))</f>
        <v>0</v>
      </c>
    </row>
    <row r="32754" spans="13:16">
      <c r="M32754" s="49">
        <f>IF($A$4+327&gt;$B$4,"",$A$4+327)</f>
        <v>46350</v>
      </c>
      <c r="N32754">
        <f>IF(M32754="","",'Master Barang'!A48)</f>
        <v>0</v>
      </c>
      <c r="O32754">
        <f>IF(N32754="","",'Master Barang'!B48)</f>
        <v>0</v>
      </c>
      <c r="P32754">
        <f>IF(OR(M32754="",N32754=""),"",SUMIFS('Barang Keluar'!$E:$E,'Barang Keluar'!$A:$A,M32754,'Barang Keluar'!$C:$C,N32754))</f>
        <v>0</v>
      </c>
    </row>
    <row r="32755" spans="13:16">
      <c r="M32755" s="49">
        <f>IF($A$4+327&gt;$B$4,"",$A$4+327)</f>
        <v>46350</v>
      </c>
      <c r="N32755">
        <f>IF(M32755="","",'Master Barang'!A49)</f>
        <v>0</v>
      </c>
      <c r="O32755">
        <f>IF(N32755="","",'Master Barang'!B49)</f>
        <v>0</v>
      </c>
      <c r="P32755">
        <f>IF(OR(M32755="",N32755=""),"",SUMIFS('Barang Keluar'!$E:$E,'Barang Keluar'!$A:$A,M32755,'Barang Keluar'!$C:$C,N32755))</f>
        <v>0</v>
      </c>
    </row>
    <row r="32756" spans="13:16">
      <c r="M32756" s="49">
        <f>IF($A$4+327&gt;$B$4,"",$A$4+327)</f>
        <v>46350</v>
      </c>
      <c r="N32756">
        <f>IF(M32756="","",'Master Barang'!A50)</f>
        <v>0</v>
      </c>
      <c r="O32756">
        <f>IF(N32756="","",'Master Barang'!B50)</f>
        <v>0</v>
      </c>
      <c r="P32756">
        <f>IF(OR(M32756="",N32756=""),"",SUMIFS('Barang Keluar'!$E:$E,'Barang Keluar'!$A:$A,M32756,'Barang Keluar'!$C:$C,N32756))</f>
        <v>0</v>
      </c>
    </row>
    <row r="32757" spans="13:16">
      <c r="M32757" s="49">
        <f>IF($A$4+327&gt;$B$4,"",$A$4+327)</f>
        <v>46350</v>
      </c>
      <c r="N32757">
        <f>IF(M32757="","",'Master Barang'!A51)</f>
        <v>0</v>
      </c>
      <c r="O32757">
        <f>IF(N32757="","",'Master Barang'!B51)</f>
        <v>0</v>
      </c>
      <c r="P32757">
        <f>IF(OR(M32757="",N32757=""),"",SUMIFS('Barang Keluar'!$E:$E,'Barang Keluar'!$A:$A,M32757,'Barang Keluar'!$C:$C,N32757))</f>
        <v>0</v>
      </c>
    </row>
    <row r="32758" spans="13:16">
      <c r="M32758" s="49">
        <f>IF($A$4+327&gt;$B$4,"",$A$4+327)</f>
        <v>46350</v>
      </c>
      <c r="N32758">
        <f>IF(M32758="","",'Master Barang'!A52)</f>
        <v>0</v>
      </c>
      <c r="O32758">
        <f>IF(N32758="","",'Master Barang'!B52)</f>
        <v>0</v>
      </c>
      <c r="P32758">
        <f>IF(OR(M32758="",N32758=""),"",SUMIFS('Barang Keluar'!$E:$E,'Barang Keluar'!$A:$A,M32758,'Barang Keluar'!$C:$C,N32758))</f>
        <v>0</v>
      </c>
    </row>
    <row r="32759" spans="13:16">
      <c r="M32759" s="49">
        <f>IF($A$4+327&gt;$B$4,"",$A$4+327)</f>
        <v>46350</v>
      </c>
      <c r="N32759">
        <f>IF(M32759="","",'Master Barang'!A53)</f>
        <v>0</v>
      </c>
      <c r="O32759">
        <f>IF(N32759="","",'Master Barang'!B53)</f>
        <v>0</v>
      </c>
      <c r="P32759">
        <f>IF(OR(M32759="",N32759=""),"",SUMIFS('Barang Keluar'!$E:$E,'Barang Keluar'!$A:$A,M32759,'Barang Keluar'!$C:$C,N32759))</f>
        <v>0</v>
      </c>
    </row>
    <row r="32760" spans="13:16">
      <c r="M32760" s="49">
        <f>IF($A$4+327&gt;$B$4,"",$A$4+327)</f>
        <v>46350</v>
      </c>
      <c r="N32760">
        <f>IF(M32760="","",'Master Barang'!A54)</f>
        <v>0</v>
      </c>
      <c r="O32760">
        <f>IF(N32760="","",'Master Barang'!B54)</f>
        <v>0</v>
      </c>
      <c r="P32760">
        <f>IF(OR(M32760="",N32760=""),"",SUMIFS('Barang Keluar'!$E:$E,'Barang Keluar'!$A:$A,M32760,'Barang Keluar'!$C:$C,N32760))</f>
        <v>0</v>
      </c>
    </row>
    <row r="32761" spans="13:16">
      <c r="M32761" s="49">
        <f>IF($A$4+327&gt;$B$4,"",$A$4+327)</f>
        <v>46350</v>
      </c>
      <c r="N32761">
        <f>IF(M32761="","",'Master Barang'!A55)</f>
        <v>0</v>
      </c>
      <c r="O32761">
        <f>IF(N32761="","",'Master Barang'!B55)</f>
        <v>0</v>
      </c>
      <c r="P32761">
        <f>IF(OR(M32761="",N32761=""),"",SUMIFS('Barang Keluar'!$E:$E,'Barang Keluar'!$A:$A,M32761,'Barang Keluar'!$C:$C,N32761))</f>
        <v>0</v>
      </c>
    </row>
    <row r="32762" spans="13:16">
      <c r="M32762" s="49">
        <f>IF($A$4+327&gt;$B$4,"",$A$4+327)</f>
        <v>46350</v>
      </c>
      <c r="N32762">
        <f>IF(M32762="","",'Master Barang'!A56)</f>
        <v>0</v>
      </c>
      <c r="O32762">
        <f>IF(N32762="","",'Master Barang'!B56)</f>
        <v>0</v>
      </c>
      <c r="P32762">
        <f>IF(OR(M32762="",N32762=""),"",SUMIFS('Barang Keluar'!$E:$E,'Barang Keluar'!$A:$A,M32762,'Barang Keluar'!$C:$C,N32762))</f>
        <v>0</v>
      </c>
    </row>
    <row r="32763" spans="13:16">
      <c r="M32763" s="49">
        <f>IF($A$4+327&gt;$B$4,"",$A$4+327)</f>
        <v>46350</v>
      </c>
      <c r="N32763">
        <f>IF(M32763="","",'Master Barang'!A57)</f>
        <v>0</v>
      </c>
      <c r="O32763">
        <f>IF(N32763="","",'Master Barang'!B57)</f>
        <v>0</v>
      </c>
      <c r="P32763">
        <f>IF(OR(M32763="",N32763=""),"",SUMIFS('Barang Keluar'!$E:$E,'Barang Keluar'!$A:$A,M32763,'Barang Keluar'!$C:$C,N32763))</f>
        <v>0</v>
      </c>
    </row>
    <row r="32764" spans="13:16">
      <c r="M32764" s="49">
        <f>IF($A$4+327&gt;$B$4,"",$A$4+327)</f>
        <v>46350</v>
      </c>
      <c r="N32764">
        <f>IF(M32764="","",'Master Barang'!A58)</f>
        <v>0</v>
      </c>
      <c r="O32764">
        <f>IF(N32764="","",'Master Barang'!B58)</f>
        <v>0</v>
      </c>
      <c r="P32764">
        <f>IF(OR(M32764="",N32764=""),"",SUMIFS('Barang Keluar'!$E:$E,'Barang Keluar'!$A:$A,M32764,'Barang Keluar'!$C:$C,N32764))</f>
        <v>0</v>
      </c>
    </row>
    <row r="32765" spans="13:16">
      <c r="M32765" s="49">
        <f>IF($A$4+327&gt;$B$4,"",$A$4+327)</f>
        <v>46350</v>
      </c>
      <c r="N32765">
        <f>IF(M32765="","",'Master Barang'!A59)</f>
        <v>0</v>
      </c>
      <c r="O32765">
        <f>IF(N32765="","",'Master Barang'!B59)</f>
        <v>0</v>
      </c>
      <c r="P32765">
        <f>IF(OR(M32765="",N32765=""),"",SUMIFS('Barang Keluar'!$E:$E,'Barang Keluar'!$A:$A,M32765,'Barang Keluar'!$C:$C,N32765))</f>
        <v>0</v>
      </c>
    </row>
    <row r="32766" spans="13:16">
      <c r="M32766" s="49">
        <f>IF($A$4+327&gt;$B$4,"",$A$4+327)</f>
        <v>46350</v>
      </c>
      <c r="N32766">
        <f>IF(M32766="","",'Master Barang'!A60)</f>
        <v>0</v>
      </c>
      <c r="O32766">
        <f>IF(N32766="","",'Master Barang'!B60)</f>
        <v>0</v>
      </c>
      <c r="P32766">
        <f>IF(OR(M32766="",N32766=""),"",SUMIFS('Barang Keluar'!$E:$E,'Barang Keluar'!$A:$A,M32766,'Barang Keluar'!$C:$C,N32766))</f>
        <v>0</v>
      </c>
    </row>
    <row r="32767" spans="13:16">
      <c r="M32767" s="49">
        <f>IF($A$4+327&gt;$B$4,"",$A$4+327)</f>
        <v>46350</v>
      </c>
      <c r="N32767">
        <f>IF(M32767="","",'Master Barang'!A61)</f>
        <v>0</v>
      </c>
      <c r="O32767">
        <f>IF(N32767="","",'Master Barang'!B61)</f>
        <v>0</v>
      </c>
      <c r="P32767">
        <f>IF(OR(M32767="",N32767=""),"",SUMIFS('Barang Keluar'!$E:$E,'Barang Keluar'!$A:$A,M32767,'Barang Keluar'!$C:$C,N32767))</f>
        <v>0</v>
      </c>
    </row>
    <row r="32768" spans="13:16">
      <c r="M32768" s="49">
        <f>IF($A$4+327&gt;$B$4,"",$A$4+327)</f>
        <v>46350</v>
      </c>
      <c r="N32768">
        <f>IF(M32768="","",'Master Barang'!A62)</f>
        <v>0</v>
      </c>
      <c r="O32768">
        <f>IF(N32768="","",'Master Barang'!B62)</f>
        <v>0</v>
      </c>
      <c r="P32768">
        <f>IF(OR(M32768="",N32768=""),"",SUMIFS('Barang Keluar'!$E:$E,'Barang Keluar'!$A:$A,M32768,'Barang Keluar'!$C:$C,N32768))</f>
        <v>0</v>
      </c>
    </row>
    <row r="32769" spans="13:16">
      <c r="M32769" s="49">
        <f>IF($A$4+327&gt;$B$4,"",$A$4+327)</f>
        <v>46350</v>
      </c>
      <c r="N32769">
        <f>IF(M32769="","",'Master Barang'!A63)</f>
        <v>0</v>
      </c>
      <c r="O32769">
        <f>IF(N32769="","",'Master Barang'!B63)</f>
        <v>0</v>
      </c>
      <c r="P32769">
        <f>IF(OR(M32769="",N32769=""),"",SUMIFS('Barang Keluar'!$E:$E,'Barang Keluar'!$A:$A,M32769,'Barang Keluar'!$C:$C,N32769))</f>
        <v>0</v>
      </c>
    </row>
    <row r="32770" spans="13:16">
      <c r="M32770" s="49">
        <f>IF($A$4+327&gt;$B$4,"",$A$4+327)</f>
        <v>46350</v>
      </c>
      <c r="N32770">
        <f>IF(M32770="","",'Master Barang'!A64)</f>
        <v>0</v>
      </c>
      <c r="O32770">
        <f>IF(N32770="","",'Master Barang'!B64)</f>
        <v>0</v>
      </c>
      <c r="P32770">
        <f>IF(OR(M32770="",N32770=""),"",SUMIFS('Barang Keluar'!$E:$E,'Barang Keluar'!$A:$A,M32770,'Barang Keluar'!$C:$C,N32770))</f>
        <v>0</v>
      </c>
    </row>
    <row r="32771" spans="13:16">
      <c r="M32771" s="49">
        <f>IF($A$4+327&gt;$B$4,"",$A$4+327)</f>
        <v>46350</v>
      </c>
      <c r="N32771">
        <f>IF(M32771="","",'Master Barang'!A65)</f>
        <v>0</v>
      </c>
      <c r="O32771">
        <f>IF(N32771="","",'Master Barang'!B65)</f>
        <v>0</v>
      </c>
      <c r="P32771">
        <f>IF(OR(M32771="",N32771=""),"",SUMIFS('Barang Keluar'!$E:$E,'Barang Keluar'!$A:$A,M32771,'Barang Keluar'!$C:$C,N32771))</f>
        <v>0</v>
      </c>
    </row>
    <row r="32772" spans="13:16">
      <c r="M32772" s="49">
        <f>IF($A$4+327&gt;$B$4,"",$A$4+327)</f>
        <v>46350</v>
      </c>
      <c r="N32772">
        <f>IF(M32772="","",'Master Barang'!A66)</f>
        <v>0</v>
      </c>
      <c r="O32772">
        <f>IF(N32772="","",'Master Barang'!B66)</f>
        <v>0</v>
      </c>
      <c r="P32772">
        <f>IF(OR(M32772="",N32772=""),"",SUMIFS('Barang Keluar'!$E:$E,'Barang Keluar'!$A:$A,M32772,'Barang Keluar'!$C:$C,N32772))</f>
        <v>0</v>
      </c>
    </row>
    <row r="32773" spans="13:16">
      <c r="M32773" s="49">
        <f>IF($A$4+327&gt;$B$4,"",$A$4+327)</f>
        <v>46350</v>
      </c>
      <c r="N32773">
        <f>IF(M32773="","",'Master Barang'!A67)</f>
        <v>0</v>
      </c>
      <c r="O32773">
        <f>IF(N32773="","",'Master Barang'!B67)</f>
        <v>0</v>
      </c>
      <c r="P32773">
        <f>IF(OR(M32773="",N32773=""),"",SUMIFS('Barang Keluar'!$E:$E,'Barang Keluar'!$A:$A,M32773,'Barang Keluar'!$C:$C,N32773))</f>
        <v>0</v>
      </c>
    </row>
    <row r="32774" spans="13:16">
      <c r="M32774" s="49">
        <f>IF($A$4+327&gt;$B$4,"",$A$4+327)</f>
        <v>46350</v>
      </c>
      <c r="N32774">
        <f>IF(M32774="","",'Master Barang'!A68)</f>
        <v>0</v>
      </c>
      <c r="O32774">
        <f>IF(N32774="","",'Master Barang'!B68)</f>
        <v>0</v>
      </c>
      <c r="P32774">
        <f>IF(OR(M32774="",N32774=""),"",SUMIFS('Barang Keluar'!$E:$E,'Barang Keluar'!$A:$A,M32774,'Barang Keluar'!$C:$C,N32774))</f>
        <v>0</v>
      </c>
    </row>
    <row r="32775" spans="13:16">
      <c r="M32775" s="49">
        <f>IF($A$4+327&gt;$B$4,"",$A$4+327)</f>
        <v>46350</v>
      </c>
      <c r="N32775">
        <f>IF(M32775="","",'Master Barang'!A69)</f>
        <v>0</v>
      </c>
      <c r="O32775">
        <f>IF(N32775="","",'Master Barang'!B69)</f>
        <v>0</v>
      </c>
      <c r="P32775">
        <f>IF(OR(M32775="",N32775=""),"",SUMIFS('Barang Keluar'!$E:$E,'Barang Keluar'!$A:$A,M32775,'Barang Keluar'!$C:$C,N32775))</f>
        <v>0</v>
      </c>
    </row>
    <row r="32776" spans="13:16">
      <c r="M32776" s="49">
        <f>IF($A$4+327&gt;$B$4,"",$A$4+327)</f>
        <v>46350</v>
      </c>
      <c r="N32776">
        <f>IF(M32776="","",'Master Barang'!A70)</f>
        <v>0</v>
      </c>
      <c r="O32776">
        <f>IF(N32776="","",'Master Barang'!B70)</f>
        <v>0</v>
      </c>
      <c r="P32776">
        <f>IF(OR(M32776="",N32776=""),"",SUMIFS('Barang Keluar'!$E:$E,'Barang Keluar'!$A:$A,M32776,'Barang Keluar'!$C:$C,N32776))</f>
        <v>0</v>
      </c>
    </row>
    <row r="32777" spans="13:16">
      <c r="M32777" s="49">
        <f>IF($A$4+327&gt;$B$4,"",$A$4+327)</f>
        <v>46350</v>
      </c>
      <c r="N32777">
        <f>IF(M32777="","",'Master Barang'!A71)</f>
        <v>0</v>
      </c>
      <c r="O32777">
        <f>IF(N32777="","",'Master Barang'!B71)</f>
        <v>0</v>
      </c>
      <c r="P32777">
        <f>IF(OR(M32777="",N32777=""),"",SUMIFS('Barang Keluar'!$E:$E,'Barang Keluar'!$A:$A,M32777,'Barang Keluar'!$C:$C,N32777))</f>
        <v>0</v>
      </c>
    </row>
    <row r="32778" spans="13:16">
      <c r="M32778" s="49">
        <f>IF($A$4+327&gt;$B$4,"",$A$4+327)</f>
        <v>46350</v>
      </c>
      <c r="N32778">
        <f>IF(M32778="","",'Master Barang'!A72)</f>
        <v>0</v>
      </c>
      <c r="O32778">
        <f>IF(N32778="","",'Master Barang'!B72)</f>
        <v>0</v>
      </c>
      <c r="P32778">
        <f>IF(OR(M32778="",N32778=""),"",SUMIFS('Barang Keluar'!$E:$E,'Barang Keluar'!$A:$A,M32778,'Barang Keluar'!$C:$C,N32778))</f>
        <v>0</v>
      </c>
    </row>
    <row r="32779" spans="13:16">
      <c r="M32779" s="49">
        <f>IF($A$4+327&gt;$B$4,"",$A$4+327)</f>
        <v>46350</v>
      </c>
      <c r="N32779">
        <f>IF(M32779="","",'Master Barang'!A73)</f>
        <v>0</v>
      </c>
      <c r="O32779">
        <f>IF(N32779="","",'Master Barang'!B73)</f>
        <v>0</v>
      </c>
      <c r="P32779">
        <f>IF(OR(M32779="",N32779=""),"",SUMIFS('Barang Keluar'!$E:$E,'Barang Keluar'!$A:$A,M32779,'Barang Keluar'!$C:$C,N32779))</f>
        <v>0</v>
      </c>
    </row>
    <row r="32780" spans="13:16">
      <c r="M32780" s="49">
        <f>IF($A$4+327&gt;$B$4,"",$A$4+327)</f>
        <v>46350</v>
      </c>
      <c r="N32780">
        <f>IF(M32780="","",'Master Barang'!A74)</f>
        <v>0</v>
      </c>
      <c r="O32780">
        <f>IF(N32780="","",'Master Barang'!B74)</f>
        <v>0</v>
      </c>
      <c r="P32780">
        <f>IF(OR(M32780="",N32780=""),"",SUMIFS('Barang Keluar'!$E:$E,'Barang Keluar'!$A:$A,M32780,'Barang Keluar'!$C:$C,N32780))</f>
        <v>0</v>
      </c>
    </row>
    <row r="32781" spans="13:16">
      <c r="M32781" s="49">
        <f>IF($A$4+327&gt;$B$4,"",$A$4+327)</f>
        <v>46350</v>
      </c>
      <c r="N32781">
        <f>IF(M32781="","",'Master Barang'!A75)</f>
        <v>0</v>
      </c>
      <c r="O32781">
        <f>IF(N32781="","",'Master Barang'!B75)</f>
        <v>0</v>
      </c>
      <c r="P32781">
        <f>IF(OR(M32781="",N32781=""),"",SUMIFS('Barang Keluar'!$E:$E,'Barang Keluar'!$A:$A,M32781,'Barang Keluar'!$C:$C,N32781))</f>
        <v>0</v>
      </c>
    </row>
    <row r="32782" spans="13:16">
      <c r="M32782" s="49">
        <f>IF($A$4+327&gt;$B$4,"",$A$4+327)</f>
        <v>46350</v>
      </c>
      <c r="N32782">
        <f>IF(M32782="","",'Master Barang'!A76)</f>
        <v>0</v>
      </c>
      <c r="O32782">
        <f>IF(N32782="","",'Master Barang'!B76)</f>
        <v>0</v>
      </c>
      <c r="P32782">
        <f>IF(OR(M32782="",N32782=""),"",SUMIFS('Barang Keluar'!$E:$E,'Barang Keluar'!$A:$A,M32782,'Barang Keluar'!$C:$C,N32782))</f>
        <v>0</v>
      </c>
    </row>
    <row r="32783" spans="13:16">
      <c r="M32783" s="49">
        <f>IF($A$4+327&gt;$B$4,"",$A$4+327)</f>
        <v>46350</v>
      </c>
      <c r="N32783">
        <f>IF(M32783="","",'Master Barang'!A77)</f>
        <v>0</v>
      </c>
      <c r="O32783">
        <f>IF(N32783="","",'Master Barang'!B77)</f>
        <v>0</v>
      </c>
      <c r="P32783">
        <f>IF(OR(M32783="",N32783=""),"",SUMIFS('Barang Keluar'!$E:$E,'Barang Keluar'!$A:$A,M32783,'Barang Keluar'!$C:$C,N32783))</f>
        <v>0</v>
      </c>
    </row>
    <row r="32784" spans="13:16">
      <c r="M32784" s="49">
        <f>IF($A$4+327&gt;$B$4,"",$A$4+327)</f>
        <v>46350</v>
      </c>
      <c r="N32784">
        <f>IF(M32784="","",'Master Barang'!A78)</f>
        <v>0</v>
      </c>
      <c r="O32784">
        <f>IF(N32784="","",'Master Barang'!B78)</f>
        <v>0</v>
      </c>
      <c r="P32784">
        <f>IF(OR(M32784="",N32784=""),"",SUMIFS('Barang Keluar'!$E:$E,'Barang Keluar'!$A:$A,M32784,'Barang Keluar'!$C:$C,N32784))</f>
        <v>0</v>
      </c>
    </row>
    <row r="32785" spans="13:16">
      <c r="M32785" s="49">
        <f>IF($A$4+327&gt;$B$4,"",$A$4+327)</f>
        <v>46350</v>
      </c>
      <c r="N32785">
        <f>IF(M32785="","",'Master Barang'!A79)</f>
        <v>0</v>
      </c>
      <c r="O32785">
        <f>IF(N32785="","",'Master Barang'!B79)</f>
        <v>0</v>
      </c>
      <c r="P32785">
        <f>IF(OR(M32785="",N32785=""),"",SUMIFS('Barang Keluar'!$E:$E,'Barang Keluar'!$A:$A,M32785,'Barang Keluar'!$C:$C,N32785))</f>
        <v>0</v>
      </c>
    </row>
    <row r="32786" spans="13:16">
      <c r="M32786" s="49">
        <f>IF($A$4+327&gt;$B$4,"",$A$4+327)</f>
        <v>46350</v>
      </c>
      <c r="N32786">
        <f>IF(M32786="","",'Master Barang'!A80)</f>
        <v>0</v>
      </c>
      <c r="O32786">
        <f>IF(N32786="","",'Master Barang'!B80)</f>
        <v>0</v>
      </c>
      <c r="P32786">
        <f>IF(OR(M32786="",N32786=""),"",SUMIFS('Barang Keluar'!$E:$E,'Barang Keluar'!$A:$A,M32786,'Barang Keluar'!$C:$C,N32786))</f>
        <v>0</v>
      </c>
    </row>
    <row r="32787" spans="13:16">
      <c r="M32787" s="49">
        <f>IF($A$4+327&gt;$B$4,"",$A$4+327)</f>
        <v>46350</v>
      </c>
      <c r="N32787">
        <f>IF(M32787="","",'Master Barang'!A81)</f>
        <v>0</v>
      </c>
      <c r="O32787">
        <f>IF(N32787="","",'Master Barang'!B81)</f>
        <v>0</v>
      </c>
      <c r="P32787">
        <f>IF(OR(M32787="",N32787=""),"",SUMIFS('Barang Keluar'!$E:$E,'Barang Keluar'!$A:$A,M32787,'Barang Keluar'!$C:$C,N32787))</f>
        <v>0</v>
      </c>
    </row>
    <row r="32788" spans="13:16">
      <c r="M32788" s="49">
        <f>IF($A$4+327&gt;$B$4,"",$A$4+327)</f>
        <v>46350</v>
      </c>
      <c r="N32788">
        <f>IF(M32788="","",'Master Barang'!A82)</f>
        <v>0</v>
      </c>
      <c r="O32788">
        <f>IF(N32788="","",'Master Barang'!B82)</f>
        <v>0</v>
      </c>
      <c r="P32788">
        <f>IF(OR(M32788="",N32788=""),"",SUMIFS('Barang Keluar'!$E:$E,'Barang Keluar'!$A:$A,M32788,'Barang Keluar'!$C:$C,N32788))</f>
        <v>0</v>
      </c>
    </row>
    <row r="32789" spans="13:16">
      <c r="M32789" s="49">
        <f>IF($A$4+327&gt;$B$4,"",$A$4+327)</f>
        <v>46350</v>
      </c>
      <c r="N32789">
        <f>IF(M32789="","",'Master Barang'!A83)</f>
        <v>0</v>
      </c>
      <c r="O32789">
        <f>IF(N32789="","",'Master Barang'!B83)</f>
        <v>0</v>
      </c>
      <c r="P32789">
        <f>IF(OR(M32789="",N32789=""),"",SUMIFS('Barang Keluar'!$E:$E,'Barang Keluar'!$A:$A,M32789,'Barang Keluar'!$C:$C,N32789))</f>
        <v>0</v>
      </c>
    </row>
    <row r="32790" spans="13:16">
      <c r="M32790" s="49">
        <f>IF($A$4+327&gt;$B$4,"",$A$4+327)</f>
        <v>46350</v>
      </c>
      <c r="N32790">
        <f>IF(M32790="","",'Master Barang'!A84)</f>
        <v>0</v>
      </c>
      <c r="O32790">
        <f>IF(N32790="","",'Master Barang'!B84)</f>
        <v>0</v>
      </c>
      <c r="P32790">
        <f>IF(OR(M32790="",N32790=""),"",SUMIFS('Barang Keluar'!$E:$E,'Barang Keluar'!$A:$A,M32790,'Barang Keluar'!$C:$C,N32790))</f>
        <v>0</v>
      </c>
    </row>
    <row r="32791" spans="13:16">
      <c r="M32791" s="49">
        <f>IF($A$4+327&gt;$B$4,"",$A$4+327)</f>
        <v>46350</v>
      </c>
      <c r="N32791">
        <f>IF(M32791="","",'Master Barang'!A85)</f>
        <v>0</v>
      </c>
      <c r="O32791">
        <f>IF(N32791="","",'Master Barang'!B85)</f>
        <v>0</v>
      </c>
      <c r="P32791">
        <f>IF(OR(M32791="",N32791=""),"",SUMIFS('Barang Keluar'!$E:$E,'Barang Keluar'!$A:$A,M32791,'Barang Keluar'!$C:$C,N32791))</f>
        <v>0</v>
      </c>
    </row>
    <row r="32792" spans="13:16">
      <c r="M32792" s="49">
        <f>IF($A$4+327&gt;$B$4,"",$A$4+327)</f>
        <v>46350</v>
      </c>
      <c r="N32792">
        <f>IF(M32792="","",'Master Barang'!A86)</f>
        <v>0</v>
      </c>
      <c r="O32792">
        <f>IF(N32792="","",'Master Barang'!B86)</f>
        <v>0</v>
      </c>
      <c r="P32792">
        <f>IF(OR(M32792="",N32792=""),"",SUMIFS('Barang Keluar'!$E:$E,'Barang Keluar'!$A:$A,M32792,'Barang Keluar'!$C:$C,N32792))</f>
        <v>0</v>
      </c>
    </row>
    <row r="32793" spans="13:16">
      <c r="M32793" s="49">
        <f>IF($A$4+327&gt;$B$4,"",$A$4+327)</f>
        <v>46350</v>
      </c>
      <c r="N32793">
        <f>IF(M32793="","",'Master Barang'!A87)</f>
        <v>0</v>
      </c>
      <c r="O32793">
        <f>IF(N32793="","",'Master Barang'!B87)</f>
        <v>0</v>
      </c>
      <c r="P32793">
        <f>IF(OR(M32793="",N32793=""),"",SUMIFS('Barang Keluar'!$E:$E,'Barang Keluar'!$A:$A,M32793,'Barang Keluar'!$C:$C,N32793))</f>
        <v>0</v>
      </c>
    </row>
    <row r="32794" spans="13:16">
      <c r="M32794" s="49">
        <f>IF($A$4+327&gt;$B$4,"",$A$4+327)</f>
        <v>46350</v>
      </c>
      <c r="N32794">
        <f>IF(M32794="","",'Master Barang'!A88)</f>
        <v>0</v>
      </c>
      <c r="O32794">
        <f>IF(N32794="","",'Master Barang'!B88)</f>
        <v>0</v>
      </c>
      <c r="P32794">
        <f>IF(OR(M32794="",N32794=""),"",SUMIFS('Barang Keluar'!$E:$E,'Barang Keluar'!$A:$A,M32794,'Barang Keluar'!$C:$C,N32794))</f>
        <v>0</v>
      </c>
    </row>
    <row r="32795" spans="13:16">
      <c r="M32795" s="49">
        <f>IF($A$4+327&gt;$B$4,"",$A$4+327)</f>
        <v>46350</v>
      </c>
      <c r="N32795">
        <f>IF(M32795="","",'Master Barang'!A89)</f>
        <v>0</v>
      </c>
      <c r="O32795">
        <f>IF(N32795="","",'Master Barang'!B89)</f>
        <v>0</v>
      </c>
      <c r="P32795">
        <f>IF(OR(M32795="",N32795=""),"",SUMIFS('Barang Keluar'!$E:$E,'Barang Keluar'!$A:$A,M32795,'Barang Keluar'!$C:$C,N32795))</f>
        <v>0</v>
      </c>
    </row>
    <row r="32796" spans="13:16">
      <c r="M32796" s="49">
        <f>IF($A$4+327&gt;$B$4,"",$A$4+327)</f>
        <v>46350</v>
      </c>
      <c r="N32796">
        <f>IF(M32796="","",'Master Barang'!A90)</f>
        <v>0</v>
      </c>
      <c r="O32796">
        <f>IF(N32796="","",'Master Barang'!B90)</f>
        <v>0</v>
      </c>
      <c r="P32796">
        <f>IF(OR(M32796="",N32796=""),"",SUMIFS('Barang Keluar'!$E:$E,'Barang Keluar'!$A:$A,M32796,'Barang Keluar'!$C:$C,N32796))</f>
        <v>0</v>
      </c>
    </row>
    <row r="32797" spans="13:16">
      <c r="M32797" s="49">
        <f>IF($A$4+327&gt;$B$4,"",$A$4+327)</f>
        <v>46350</v>
      </c>
      <c r="N32797">
        <f>IF(M32797="","",'Master Barang'!A91)</f>
        <v>0</v>
      </c>
      <c r="O32797">
        <f>IF(N32797="","",'Master Barang'!B91)</f>
        <v>0</v>
      </c>
      <c r="P32797">
        <f>IF(OR(M32797="",N32797=""),"",SUMIFS('Barang Keluar'!$E:$E,'Barang Keluar'!$A:$A,M32797,'Barang Keluar'!$C:$C,N32797))</f>
        <v>0</v>
      </c>
    </row>
    <row r="32798" spans="13:16">
      <c r="M32798" s="49">
        <f>IF($A$4+327&gt;$B$4,"",$A$4+327)</f>
        <v>46350</v>
      </c>
      <c r="N32798">
        <f>IF(M32798="","",'Master Barang'!A92)</f>
        <v>0</v>
      </c>
      <c r="O32798">
        <f>IF(N32798="","",'Master Barang'!B92)</f>
        <v>0</v>
      </c>
      <c r="P32798">
        <f>IF(OR(M32798="",N32798=""),"",SUMIFS('Barang Keluar'!$E:$E,'Barang Keluar'!$A:$A,M32798,'Barang Keluar'!$C:$C,N32798))</f>
        <v>0</v>
      </c>
    </row>
    <row r="32799" spans="13:16">
      <c r="M32799" s="49">
        <f>IF($A$4+327&gt;$B$4,"",$A$4+327)</f>
        <v>46350</v>
      </c>
      <c r="N32799">
        <f>IF(M32799="","",'Master Barang'!A93)</f>
        <v>0</v>
      </c>
      <c r="O32799">
        <f>IF(N32799="","",'Master Barang'!B93)</f>
        <v>0</v>
      </c>
      <c r="P32799">
        <f>IF(OR(M32799="",N32799=""),"",SUMIFS('Barang Keluar'!$E:$E,'Barang Keluar'!$A:$A,M32799,'Barang Keluar'!$C:$C,N32799))</f>
        <v>0</v>
      </c>
    </row>
    <row r="32800" spans="13:16">
      <c r="M32800" s="49">
        <f>IF($A$4+327&gt;$B$4,"",$A$4+327)</f>
        <v>46350</v>
      </c>
      <c r="N32800">
        <f>IF(M32800="","",'Master Barang'!A94)</f>
        <v>0</v>
      </c>
      <c r="O32800">
        <f>IF(N32800="","",'Master Barang'!B94)</f>
        <v>0</v>
      </c>
      <c r="P32800">
        <f>IF(OR(M32800="",N32800=""),"",SUMIFS('Barang Keluar'!$E:$E,'Barang Keluar'!$A:$A,M32800,'Barang Keluar'!$C:$C,N32800))</f>
        <v>0</v>
      </c>
    </row>
    <row r="32801" spans="13:16">
      <c r="M32801" s="49">
        <f>IF($A$4+327&gt;$B$4,"",$A$4+327)</f>
        <v>46350</v>
      </c>
      <c r="N32801">
        <f>IF(M32801="","",'Master Barang'!A95)</f>
        <v>0</v>
      </c>
      <c r="O32801">
        <f>IF(N32801="","",'Master Barang'!B95)</f>
        <v>0</v>
      </c>
      <c r="P32801">
        <f>IF(OR(M32801="",N32801=""),"",SUMIFS('Barang Keluar'!$E:$E,'Barang Keluar'!$A:$A,M32801,'Barang Keluar'!$C:$C,N32801))</f>
        <v>0</v>
      </c>
    </row>
    <row r="32802" spans="13:16">
      <c r="M32802" s="49">
        <f>IF($A$4+327&gt;$B$4,"",$A$4+327)</f>
        <v>46350</v>
      </c>
      <c r="N32802">
        <f>IF(M32802="","",'Master Barang'!A96)</f>
        <v>0</v>
      </c>
      <c r="O32802">
        <f>IF(N32802="","",'Master Barang'!B96)</f>
        <v>0</v>
      </c>
      <c r="P32802">
        <f>IF(OR(M32802="",N32802=""),"",SUMIFS('Barang Keluar'!$E:$E,'Barang Keluar'!$A:$A,M32802,'Barang Keluar'!$C:$C,N32802))</f>
        <v>0</v>
      </c>
    </row>
    <row r="32803" spans="13:16">
      <c r="M32803" s="49">
        <f>IF($A$4+327&gt;$B$4,"",$A$4+327)</f>
        <v>46350</v>
      </c>
      <c r="N32803">
        <f>IF(M32803="","",'Master Barang'!A97)</f>
        <v>0</v>
      </c>
      <c r="O32803">
        <f>IF(N32803="","",'Master Barang'!B97)</f>
        <v>0</v>
      </c>
      <c r="P32803">
        <f>IF(OR(M32803="",N32803=""),"",SUMIFS('Barang Keluar'!$E:$E,'Barang Keluar'!$A:$A,M32803,'Barang Keluar'!$C:$C,N32803))</f>
        <v>0</v>
      </c>
    </row>
    <row r="32804" spans="13:16">
      <c r="M32804" s="49">
        <f>IF($A$4+327&gt;$B$4,"",$A$4+327)</f>
        <v>46350</v>
      </c>
      <c r="N32804">
        <f>IF(M32804="","",'Master Barang'!A98)</f>
        <v>0</v>
      </c>
      <c r="O32804">
        <f>IF(N32804="","",'Master Barang'!B98)</f>
        <v>0</v>
      </c>
      <c r="P32804">
        <f>IF(OR(M32804="",N32804=""),"",SUMIFS('Barang Keluar'!$E:$E,'Barang Keluar'!$A:$A,M32804,'Barang Keluar'!$C:$C,N32804))</f>
        <v>0</v>
      </c>
    </row>
    <row r="32805" spans="13:16">
      <c r="M32805" s="49">
        <f>IF($A$4+327&gt;$B$4,"",$A$4+327)</f>
        <v>46350</v>
      </c>
      <c r="N32805">
        <f>IF(M32805="","",'Master Barang'!A99)</f>
        <v>0</v>
      </c>
      <c r="O32805">
        <f>IF(N32805="","",'Master Barang'!B99)</f>
        <v>0</v>
      </c>
      <c r="P32805">
        <f>IF(OR(M32805="",N32805=""),"",SUMIFS('Barang Keluar'!$E:$E,'Barang Keluar'!$A:$A,M32805,'Barang Keluar'!$C:$C,N32805))</f>
        <v>0</v>
      </c>
    </row>
    <row r="32806" spans="13:16">
      <c r="M32806" s="49">
        <f>IF($A$4+327&gt;$B$4,"",$A$4+327)</f>
        <v>46350</v>
      </c>
      <c r="N32806">
        <f>IF(M32806="","",'Master Barang'!A100)</f>
        <v>0</v>
      </c>
      <c r="O32806">
        <f>IF(N32806="","",'Master Barang'!B100)</f>
        <v>0</v>
      </c>
      <c r="P32806">
        <f>IF(OR(M32806="",N32806=""),"",SUMIFS('Barang Keluar'!$E:$E,'Barang Keluar'!$A:$A,M32806,'Barang Keluar'!$C:$C,N32806))</f>
        <v>0</v>
      </c>
    </row>
    <row r="32807" spans="13:16">
      <c r="M32807" s="49">
        <f>IF($A$4+327&gt;$B$4,"",$A$4+327)</f>
        <v>46350</v>
      </c>
      <c r="N32807">
        <f>IF(M32807="","",'Master Barang'!A101)</f>
        <v>0</v>
      </c>
      <c r="O32807">
        <f>IF(N32807="","",'Master Barang'!B101)</f>
        <v>0</v>
      </c>
      <c r="P32807">
        <f>IF(OR(M32807="",N32807=""),"",SUMIFS('Barang Keluar'!$E:$E,'Barang Keluar'!$A:$A,M32807,'Barang Keluar'!$C:$C,N32807))</f>
        <v>0</v>
      </c>
    </row>
    <row r="32808" spans="13:16">
      <c r="M32808" s="49">
        <f>IF($A$4+328&gt;$B$4,"",$A$4+328)</f>
        <v>46351</v>
      </c>
      <c r="N32808" t="str">
        <f>IF(M32808="","",'Master Barang'!A2)</f>
        <v>PRL-001</v>
      </c>
      <c r="O32808" t="str">
        <f>IF(N32808="","",'Master Barang'!B2)</f>
        <v>natura desinfectant food grade 5l</v>
      </c>
      <c r="P32808">
        <f>IF(OR(M32808="",N32808=""),"",SUMIFS('Barang Keluar'!$E:$E,'Barang Keluar'!$A:$A,M32808,'Barang Keluar'!$C:$C,N32808))</f>
        <v>0</v>
      </c>
    </row>
    <row r="32809" spans="13:16">
      <c r="M32809" s="49">
        <f>IF($A$4+328&gt;$B$4,"",$A$4+328)</f>
        <v>46351</v>
      </c>
      <c r="N32809" t="str">
        <f>IF(M32809="","",'Master Barang'!A3)</f>
        <v>PRL-002</v>
      </c>
      <c r="O32809" t="str">
        <f>IF(N32809="","",'Master Barang'!B3)</f>
        <v>sunlight cairan pencuci piring 5l</v>
      </c>
      <c r="P32809">
        <f>IF(OR(M32809="",N32809=""),"",SUMIFS('Barang Keluar'!$E:$E,'Barang Keluar'!$A:$A,M32809,'Barang Keluar'!$C:$C,N32809))</f>
        <v>0</v>
      </c>
    </row>
    <row r="32810" spans="13:16">
      <c r="M32810" s="49">
        <f>IF($A$4+328&gt;$B$4,"",$A$4+328)</f>
        <v>46351</v>
      </c>
      <c r="N32810" t="str">
        <f>IF(M32810="","",'Master Barang'!A4)</f>
        <v>PRL-003</v>
      </c>
      <c r="O32810" t="str">
        <f>IF(N32810="","",'Master Barang'!B4)</f>
        <v>oixs cleaner 1l</v>
      </c>
      <c r="P32810">
        <f>IF(OR(M32810="",N32810=""),"",SUMIFS('Barang Keluar'!$E:$E,'Barang Keluar'!$A:$A,M32810,'Barang Keluar'!$C:$C,N32810))</f>
        <v>0</v>
      </c>
    </row>
    <row r="32811" spans="13:16">
      <c r="M32811" s="49">
        <f>IF($A$4+328&gt;$B$4,"",$A$4+328)</f>
        <v>46351</v>
      </c>
      <c r="N32811" t="str">
        <f>IF(M32811="","",'Master Barang'!A5)</f>
        <v>PRL-004</v>
      </c>
      <c r="O32811" t="str">
        <f>IF(N32811="","",'Master Barang'!B5)</f>
        <v>be clean tissue serbaguna</v>
      </c>
      <c r="P32811">
        <f>IF(OR(M32811="",N32811=""),"",SUMIFS('Barang Keluar'!$E:$E,'Barang Keluar'!$A:$A,M32811,'Barang Keluar'!$C:$C,N32811))</f>
        <v>0</v>
      </c>
    </row>
    <row r="32812" spans="13:16">
      <c r="M32812" s="49">
        <f>IF($A$4+328&gt;$B$4,"",$A$4+328)</f>
        <v>46351</v>
      </c>
      <c r="N32812" t="str">
        <f>IF(M32812="","",'Master Barang'!A6)</f>
        <v>PRL-005</v>
      </c>
      <c r="O32812" t="str">
        <f>IF(N32812="","",'Master Barang'!B6)</f>
        <v>spons cuci hijau</v>
      </c>
      <c r="P32812">
        <f>IF(OR(M32812="",N32812=""),"",SUMIFS('Barang Keluar'!$E:$E,'Barang Keluar'!$A:$A,M32812,'Barang Keluar'!$C:$C,N32812))</f>
        <v>0</v>
      </c>
    </row>
    <row r="32813" spans="13:16">
      <c r="M32813" s="49">
        <f>IF($A$4+328&gt;$B$4,"",$A$4+328)</f>
        <v>46351</v>
      </c>
      <c r="N32813" t="str">
        <f>IF(M32813="","",'Master Barang'!A7)</f>
        <v>PRL-006</v>
      </c>
      <c r="O32813" t="str">
        <f>IF(N32813="","",'Master Barang'!B7)</f>
        <v>sabut cuci stainless</v>
      </c>
      <c r="P32813">
        <f>IF(OR(M32813="",N32813=""),"",SUMIFS('Barang Keluar'!$E:$E,'Barang Keluar'!$A:$A,M32813,'Barang Keluar'!$C:$C,N32813))</f>
        <v>0</v>
      </c>
    </row>
    <row r="32814" spans="13:16">
      <c r="M32814" s="49">
        <f>IF($A$4+328&gt;$B$4,"",$A$4+328)</f>
        <v>46351</v>
      </c>
      <c r="N32814" t="str">
        <f>IF(M32814="","",'Master Barang'!A8)</f>
        <v>PRL-007</v>
      </c>
      <c r="O32814" t="str">
        <f>IF(N32814="","",'Master Barang'!B8)</f>
        <v>plastik kresek besar merah 50pc</v>
      </c>
      <c r="P32814">
        <f>IF(OR(M32814="",N32814=""),"",SUMIFS('Barang Keluar'!$E:$E,'Barang Keluar'!$A:$A,M32814,'Barang Keluar'!$C:$C,N32814))</f>
        <v>0</v>
      </c>
    </row>
    <row r="32815" spans="13:16">
      <c r="M32815" s="49">
        <f>IF($A$4+328&gt;$B$4,"",$A$4+328)</f>
        <v>46351</v>
      </c>
      <c r="N32815" t="str">
        <f>IF(M32815="","",'Master Barang'!A9)</f>
        <v>PRL-008</v>
      </c>
      <c r="O32815" t="str">
        <f>IF(N32815="","",'Master Barang'!B9)</f>
        <v>lap besar</v>
      </c>
      <c r="P32815">
        <f>IF(OR(M32815="",N32815=""),"",SUMIFS('Barang Keluar'!$E:$E,'Barang Keluar'!$A:$A,M32815,'Barang Keluar'!$C:$C,N32815))</f>
        <v>0</v>
      </c>
    </row>
    <row r="32816" spans="13:16">
      <c r="M32816" s="49">
        <f>IF($A$4+328&gt;$B$4,"",$A$4+328)</f>
        <v>46351</v>
      </c>
      <c r="N32816" t="str">
        <f>IF(M32816="","",'Master Barang'!A10)</f>
        <v>PRL-009</v>
      </c>
      <c r="O32816" t="str">
        <f>IF(N32816="","",'Master Barang'!B10)</f>
        <v>lap microfiber</v>
      </c>
      <c r="P32816">
        <f>IF(OR(M32816="",N32816=""),"",SUMIFS('Barang Keluar'!$E:$E,'Barang Keluar'!$A:$A,M32816,'Barang Keluar'!$C:$C,N32816))</f>
        <v>0</v>
      </c>
    </row>
    <row r="32817" spans="13:16">
      <c r="M32817" s="49">
        <f>IF($A$4+328&gt;$B$4,"",$A$4+328)</f>
        <v>46351</v>
      </c>
      <c r="N32817" t="str">
        <f>IF(M32817="","",'Master Barang'!A11)</f>
        <v>PRL-010</v>
      </c>
      <c r="O32817" t="str">
        <f>IF(N32817="","",'Master Barang'!B11)</f>
        <v>lap kecil</v>
      </c>
      <c r="P32817">
        <f>IF(OR(M32817="",N32817=""),"",SUMIFS('Barang Keluar'!$E:$E,'Barang Keluar'!$A:$A,M32817,'Barang Keluar'!$C:$C,N32817))</f>
        <v>0</v>
      </c>
    </row>
    <row r="32818" spans="13:16">
      <c r="M32818" s="49">
        <f>IF($A$4+328&gt;$B$4,"",$A$4+328)</f>
        <v>46351</v>
      </c>
      <c r="N32818" t="str">
        <f>IF(M32818="","",'Master Barang'!A12)</f>
        <v>PRL-011</v>
      </c>
      <c r="O32818" t="str">
        <f>IF(N32818="","",'Master Barang'!B12)</f>
        <v>kanebo kecil</v>
      </c>
      <c r="P32818">
        <f>IF(OR(M32818="",N32818=""),"",SUMIFS('Barang Keluar'!$E:$E,'Barang Keluar'!$A:$A,M32818,'Barang Keluar'!$C:$C,N32818))</f>
        <v>0</v>
      </c>
    </row>
    <row r="32819" spans="13:16">
      <c r="M32819" s="49">
        <f>IF($A$4+328&gt;$B$4,"",$A$4+328)</f>
        <v>46351</v>
      </c>
      <c r="N32819" t="str">
        <f>IF(M32819="","",'Master Barang'!A13)</f>
        <v>PRL-012</v>
      </c>
      <c r="O32819" t="str">
        <f>IF(N32819="","",'Master Barang'!B13)</f>
        <v>plastik 1/4kg joyoboyo 100 lembar</v>
      </c>
      <c r="P32819">
        <f>IF(OR(M32819="",N32819=""),"",SUMIFS('Barang Keluar'!$E:$E,'Barang Keluar'!$A:$A,M32819,'Barang Keluar'!$C:$C,N32819))</f>
        <v>0</v>
      </c>
    </row>
    <row r="32820" spans="13:16">
      <c r="M32820" s="49">
        <f>IF($A$4+328&gt;$B$4,"",$A$4+328)</f>
        <v>46351</v>
      </c>
      <c r="N32820" t="str">
        <f>IF(M32820="","",'Master Barang'!A14)</f>
        <v>PRL-013</v>
      </c>
      <c r="O32820" t="str">
        <f>IF(N32820="","",'Master Barang'!B14)</f>
        <v>sarung tangan plastik kaka 100 pcs</v>
      </c>
      <c r="P32820">
        <f>IF(OR(M32820="",N32820=""),"",SUMIFS('Barang Keluar'!$E:$E,'Barang Keluar'!$A:$A,M32820,'Barang Keluar'!$C:$C,N32820))</f>
        <v>0</v>
      </c>
    </row>
    <row r="32821" spans="13:16">
      <c r="M32821" s="49">
        <f>IF($A$4+328&gt;$B$4,"",$A$4+328)</f>
        <v>46351</v>
      </c>
      <c r="N32821" t="str">
        <f>IF(M32821="","",'Master Barang'!A15)</f>
        <v>PRL-014</v>
      </c>
      <c r="O32821" t="str">
        <f>IF(N32821="","",'Master Barang'!B15)</f>
        <v>optima trashbag 80x100</v>
      </c>
      <c r="P32821">
        <f>IF(OR(M32821="",N32821=""),"",SUMIFS('Barang Keluar'!$E:$E,'Barang Keluar'!$A:$A,M32821,'Barang Keluar'!$C:$C,N32821))</f>
        <v>0</v>
      </c>
    </row>
    <row r="32822" spans="13:16">
      <c r="M32822" s="49">
        <f>IF($A$4+328&gt;$B$4,"",$A$4+328)</f>
        <v>46351</v>
      </c>
      <c r="N32822" t="str">
        <f>IF(M32822="","",'Master Barang'!A16)</f>
        <v>PRL-015</v>
      </c>
      <c r="O32822" t="str">
        <f>IF(N32822="","",'Master Barang'!B16)</f>
        <v>optima trashbag 60x100</v>
      </c>
      <c r="P32822">
        <f>IF(OR(M32822="",N32822=""),"",SUMIFS('Barang Keluar'!$E:$E,'Barang Keluar'!$A:$A,M32822,'Barang Keluar'!$C:$C,N32822))</f>
        <v>0</v>
      </c>
    </row>
    <row r="32823" spans="13:16">
      <c r="M32823" s="49">
        <f>IF($A$4+328&gt;$B$4,"",$A$4+328)</f>
        <v>46351</v>
      </c>
      <c r="N32823" t="str">
        <f>IF(M32823="","",'Master Barang'!A17)</f>
        <v>PRL-016</v>
      </c>
      <c r="O32823" t="str">
        <f>IF(N32823="","",'Master Barang'!B17)</f>
        <v>rajawali trashbag 30x40</v>
      </c>
      <c r="P32823">
        <f>IF(OR(M32823="",N32823=""),"",SUMIFS('Barang Keluar'!$E:$E,'Barang Keluar'!$A:$A,M32823,'Barang Keluar'!$C:$C,N32823))</f>
        <v>0</v>
      </c>
    </row>
    <row r="32824" spans="13:16">
      <c r="M32824" s="49">
        <f>IF($A$4+328&gt;$B$4,"",$A$4+328)</f>
        <v>46351</v>
      </c>
      <c r="N32824" t="str">
        <f>IF(M32824="","",'Master Barang'!A18)</f>
        <v>PRL-017</v>
      </c>
      <c r="O32824" t="str">
        <f>IF(N32824="","",'Master Barang'!B18)</f>
        <v>onemed masker biru 3 play 50 pcs</v>
      </c>
      <c r="P32824">
        <f>IF(OR(M32824="",N32824=""),"",SUMIFS('Barang Keluar'!$E:$E,'Barang Keluar'!$A:$A,M32824,'Barang Keluar'!$C:$C,N32824))</f>
        <v>0</v>
      </c>
    </row>
    <row r="32825" spans="13:16">
      <c r="M32825" s="49">
        <f>IF($A$4+328&gt;$B$4,"",$A$4+328)</f>
        <v>46351</v>
      </c>
      <c r="N32825" t="str">
        <f>IF(M32825="","",'Master Barang'!A19)</f>
        <v>PRL-018</v>
      </c>
      <c r="O32825" t="str">
        <f>IF(N32825="","",'Master Barang'!B19)</f>
        <v>onemed masker biru 3 play hijab 50 pcs</v>
      </c>
      <c r="P32825">
        <f>IF(OR(M32825="",N32825=""),"",SUMIFS('Barang Keluar'!$E:$E,'Barang Keluar'!$A:$A,M32825,'Barang Keluar'!$C:$C,N32825))</f>
        <v>0</v>
      </c>
    </row>
    <row r="32826" spans="13:16">
      <c r="M32826" s="49">
        <f>IF($A$4+328&gt;$B$4,"",$A$4+328)</f>
        <v>46351</v>
      </c>
      <c r="N32826" t="str">
        <f>IF(M32826="","",'Master Barang'!A20)</f>
        <v>PRL-019</v>
      </c>
      <c r="O32826" t="str">
        <f>IF(N32826="","",'Master Barang'!B20)</f>
        <v>neo health masker biru 3 play 50 pcs</v>
      </c>
      <c r="P32826">
        <f>IF(OR(M32826="",N32826=""),"",SUMIFS('Barang Keluar'!$E:$E,'Barang Keluar'!$A:$A,M32826,'Barang Keluar'!$C:$C,N32826))</f>
        <v>0</v>
      </c>
    </row>
    <row r="32827" spans="13:16">
      <c r="M32827" s="49">
        <f>IF($A$4+328&gt;$B$4,"",$A$4+328)</f>
        <v>46351</v>
      </c>
      <c r="N32827" t="str">
        <f>IF(M32827="","",'Master Barang'!A21)</f>
        <v>PRL-020</v>
      </c>
      <c r="O32827" t="str">
        <f>IF(N32827="","",'Master Barang'!B21)</f>
        <v>baymed masker hijau 3 play hijau 50 pcs</v>
      </c>
      <c r="P32827">
        <f>IF(OR(M32827="",N32827=""),"",SUMIFS('Barang Keluar'!$E:$E,'Barang Keluar'!$A:$A,M32827,'Barang Keluar'!$C:$C,N32827))</f>
        <v>0</v>
      </c>
    </row>
    <row r="32828" spans="13:16">
      <c r="M32828" s="49">
        <f>IF($A$4+328&gt;$B$4,"",$A$4+328)</f>
        <v>46351</v>
      </c>
      <c r="N32828" t="str">
        <f>IF(M32828="","",'Master Barang'!A22)</f>
        <v>PRL-021</v>
      </c>
      <c r="O32828" t="str">
        <f>IF(N32828="","",'Master Barang'!B22)</f>
        <v>altamed nurse cap penutup kepala 100 pcs</v>
      </c>
      <c r="P32828">
        <f>IF(OR(M32828="",N32828=""),"",SUMIFS('Barang Keluar'!$E:$E,'Barang Keluar'!$A:$A,M32828,'Barang Keluar'!$C:$C,N32828))</f>
        <v>0</v>
      </c>
    </row>
    <row r="32829" spans="13:16">
      <c r="M32829" s="49">
        <f>IF($A$4+328&gt;$B$4,"",$A$4+328)</f>
        <v>46351</v>
      </c>
      <c r="N32829" t="str">
        <f>IF(M32829="","",'Master Barang'!A23)</f>
        <v>PRL-022</v>
      </c>
      <c r="O32829" t="str">
        <f>IF(N32829="","",'Master Barang'!B23)</f>
        <v>sabun cuci tangan</v>
      </c>
      <c r="P32829">
        <f>IF(OR(M32829="",N32829=""),"",SUMIFS('Barang Keluar'!$E:$E,'Barang Keluar'!$A:$A,M32829,'Barang Keluar'!$C:$C,N32829))</f>
        <v>0</v>
      </c>
    </row>
    <row r="32830" spans="13:16">
      <c r="M32830" s="49">
        <f>IF($A$4+328&gt;$B$4,"",$A$4+328)</f>
        <v>46351</v>
      </c>
      <c r="N32830" t="str">
        <f>IF(M32830="","",'Master Barang'!A24)</f>
        <v>PRL-023</v>
      </c>
      <c r="O32830" t="str">
        <f>IF(N32830="","",'Master Barang'!B24)</f>
        <v>gayung kecil</v>
      </c>
      <c r="P32830">
        <f>IF(OR(M32830="",N32830=""),"",SUMIFS('Barang Keluar'!$E:$E,'Barang Keluar'!$A:$A,M32830,'Barang Keluar'!$C:$C,N32830))</f>
        <v>0</v>
      </c>
    </row>
    <row r="32831" spans="13:16">
      <c r="M32831" s="49">
        <f>IF($A$4+328&gt;$B$4,"",$A$4+328)</f>
        <v>46351</v>
      </c>
      <c r="N32831" t="str">
        <f>IF(M32831="","",'Master Barang'!A25)</f>
        <v>PRL-024</v>
      </c>
      <c r="O32831" t="str">
        <f>IF(N32831="","",'Master Barang'!B25)</f>
        <v>cikrak kecil</v>
      </c>
      <c r="P32831">
        <f>IF(OR(M32831="",N32831=""),"",SUMIFS('Barang Keluar'!$E:$E,'Barang Keluar'!$A:$A,M32831,'Barang Keluar'!$C:$C,N32831))</f>
        <v>0</v>
      </c>
    </row>
    <row r="32832" spans="13:16">
      <c r="M32832" s="49">
        <f>IF($A$4+328&gt;$B$4,"",$A$4+328)</f>
        <v>46351</v>
      </c>
      <c r="N32832" t="str">
        <f>IF(M32832="","",'Master Barang'!A26)</f>
        <v>PRL-025</v>
      </c>
      <c r="O32832" t="str">
        <f>IF(N32832="","",'Master Barang'!B26)</f>
        <v>petromax plastik kecil 12x24 100 lembar</v>
      </c>
      <c r="P32832">
        <f>IF(OR(M32832="",N32832=""),"",SUMIFS('Barang Keluar'!$E:$E,'Barang Keluar'!$A:$A,M32832,'Barang Keluar'!$C:$C,N32832))</f>
        <v>0</v>
      </c>
    </row>
    <row r="32833" spans="13:16">
      <c r="M32833" s="49">
        <f>IF($A$4+328&gt;$B$4,"",$A$4+328)</f>
        <v>46351</v>
      </c>
      <c r="N32833" t="str">
        <f>IF(M32833="","",'Master Barang'!A27)</f>
        <v>PRL-026</v>
      </c>
      <c r="O32833" t="str">
        <f>IF(N32833="","",'Master Barang'!B27)</f>
        <v>lancar kresek kecil bening </v>
      </c>
      <c r="P32833">
        <f>IF(OR(M32833="",N32833=""),"",SUMIFS('Barang Keluar'!$E:$E,'Barang Keluar'!$A:$A,M32833,'Barang Keluar'!$C:$C,N32833))</f>
        <v>0</v>
      </c>
    </row>
    <row r="32834" spans="13:16">
      <c r="M32834" s="49">
        <f>IF($A$4+328&gt;$B$4,"",$A$4+328)</f>
        <v>46351</v>
      </c>
      <c r="N32834" t="str">
        <f>IF(M32834="","",'Master Barang'!A28)</f>
        <v>PRL-027</v>
      </c>
      <c r="O32834" t="str">
        <f>IF(N32834="","",'Master Barang'!B28)</f>
        <v>kresek klin warna warni kecil</v>
      </c>
      <c r="P32834">
        <f>IF(OR(M32834="",N32834=""),"",SUMIFS('Barang Keluar'!$E:$E,'Barang Keluar'!$A:$A,M32834,'Barang Keluar'!$C:$C,N32834))</f>
        <v>0</v>
      </c>
    </row>
    <row r="32835" spans="13:16">
      <c r="M32835" s="49">
        <f>IF($A$4+328&gt;$B$4,"",$A$4+328)</f>
        <v>46351</v>
      </c>
      <c r="N32835" t="str">
        <f>IF(M32835="","",'Master Barang'!A29)</f>
        <v>PRL-028</v>
      </c>
      <c r="O32835" t="str">
        <f>IF(N32835="","",'Master Barang'!B29)</f>
        <v>ctik plastik 7x10 100 pcs</v>
      </c>
      <c r="P32835">
        <f>IF(OR(M32835="",N32835=""),"",SUMIFS('Barang Keluar'!$E:$E,'Barang Keluar'!$A:$A,M32835,'Barang Keluar'!$C:$C,N32835))</f>
        <v>0</v>
      </c>
    </row>
    <row r="32836" spans="13:16">
      <c r="M32836" s="49">
        <f>IF($A$4+328&gt;$B$4,"",$A$4+328)</f>
        <v>46351</v>
      </c>
      <c r="N32836" t="str">
        <f>IF(M32836="","",'Master Barang'!A30)</f>
        <v>PRL-029</v>
      </c>
      <c r="O32836" t="str">
        <f>IF(N32836="","",'Master Barang'!B30)</f>
        <v>ctik plastik 6x10 100 pcs</v>
      </c>
      <c r="P32836">
        <f>IF(OR(M32836="",N32836=""),"",SUMIFS('Barang Keluar'!$E:$E,'Barang Keluar'!$A:$A,M32836,'Barang Keluar'!$C:$C,N32836))</f>
        <v>0</v>
      </c>
    </row>
    <row r="32837" spans="13:16">
      <c r="M32837" s="49">
        <f>IF($A$4+328&gt;$B$4,"",$A$4+328)</f>
        <v>46351</v>
      </c>
      <c r="N32837" t="str">
        <f>IF(M32837="","",'Master Barang'!A31)</f>
        <v>PRL-030</v>
      </c>
      <c r="O32837" t="str">
        <f>IF(N32837="","",'Master Barang'!B31)</f>
        <v>klip plastik 25x16 100 pcs</v>
      </c>
      <c r="P32837">
        <f>IF(OR(M32837="",N32837=""),"",SUMIFS('Barang Keluar'!$E:$E,'Barang Keluar'!$A:$A,M32837,'Barang Keluar'!$C:$C,N32837))</f>
        <v>0</v>
      </c>
    </row>
    <row r="32838" spans="13:16">
      <c r="M32838" s="49">
        <f>IF($A$4+328&gt;$B$4,"",$A$4+328)</f>
        <v>46351</v>
      </c>
      <c r="N32838" t="str">
        <f>IF(M32838="","",'Master Barang'!A32)</f>
        <v>PRL-031</v>
      </c>
      <c r="O32838" t="str">
        <f>IF(N32838="","",'Master Barang'!B32)</f>
        <v>tempat saus 20 ml</v>
      </c>
      <c r="P32838">
        <f>IF(OR(M32838="",N32838=""),"",SUMIFS('Barang Keluar'!$E:$E,'Barang Keluar'!$A:$A,M32838,'Barang Keluar'!$C:$C,N32838))</f>
        <v>0</v>
      </c>
    </row>
    <row r="32839" spans="13:16">
      <c r="M32839" s="49">
        <f>IF($A$4+328&gt;$B$4,"",$A$4+328)</f>
        <v>46351</v>
      </c>
      <c r="N32839" t="str">
        <f>IF(M32839="","",'Master Barang'!A33)</f>
        <v>PRL-032</v>
      </c>
      <c r="O32839" t="str">
        <f>IF(N32839="","",'Master Barang'!B33)</f>
        <v>plastik packaging ag box uk sedang</v>
      </c>
      <c r="P32839">
        <f>IF(OR(M32839="",N32839=""),"",SUMIFS('Barang Keluar'!$E:$E,'Barang Keluar'!$A:$A,M32839,'Barang Keluar'!$C:$C,N32839))</f>
        <v>0</v>
      </c>
    </row>
    <row r="32840" spans="13:16">
      <c r="M32840" s="49">
        <f>IF($A$4+328&gt;$B$4,"",$A$4+328)</f>
        <v>46351</v>
      </c>
      <c r="N32840" t="str">
        <f>IF(M32840="","",'Master Barang'!A34)</f>
        <v>PRL-033</v>
      </c>
      <c r="O32840">
        <f>IF(N32840="","",'Master Barang'!B34)</f>
        <v>0</v>
      </c>
      <c r="P32840">
        <f>IF(OR(M32840="",N32840=""),"",SUMIFS('Barang Keluar'!$E:$E,'Barang Keluar'!$A:$A,M32840,'Barang Keluar'!$C:$C,N32840))</f>
        <v>0</v>
      </c>
    </row>
    <row r="32841" spans="13:16">
      <c r="M32841" s="49">
        <f>IF($A$4+328&gt;$B$4,"",$A$4+328)</f>
        <v>46351</v>
      </c>
      <c r="N32841">
        <f>IF(M32841="","",'Master Barang'!A35)</f>
        <v>0</v>
      </c>
      <c r="O32841">
        <f>IF(N32841="","",'Master Barang'!B35)</f>
        <v>0</v>
      </c>
      <c r="P32841">
        <f>IF(OR(M32841="",N32841=""),"",SUMIFS('Barang Keluar'!$E:$E,'Barang Keluar'!$A:$A,M32841,'Barang Keluar'!$C:$C,N32841))</f>
        <v>0</v>
      </c>
    </row>
    <row r="32842" spans="13:16">
      <c r="M32842" s="49">
        <f>IF($A$4+328&gt;$B$4,"",$A$4+328)</f>
        <v>46351</v>
      </c>
      <c r="N32842">
        <f>IF(M32842="","",'Master Barang'!A36)</f>
        <v>0</v>
      </c>
      <c r="O32842">
        <f>IF(N32842="","",'Master Barang'!B36)</f>
        <v>0</v>
      </c>
      <c r="P32842">
        <f>IF(OR(M32842="",N32842=""),"",SUMIFS('Barang Keluar'!$E:$E,'Barang Keluar'!$A:$A,M32842,'Barang Keluar'!$C:$C,N32842))</f>
        <v>0</v>
      </c>
    </row>
    <row r="32843" spans="13:16">
      <c r="M32843" s="49">
        <f>IF($A$4+328&gt;$B$4,"",$A$4+328)</f>
        <v>46351</v>
      </c>
      <c r="N32843">
        <f>IF(M32843="","",'Master Barang'!A37)</f>
        <v>0</v>
      </c>
      <c r="O32843">
        <f>IF(N32843="","",'Master Barang'!B37)</f>
        <v>0</v>
      </c>
      <c r="P32843">
        <f>IF(OR(M32843="",N32843=""),"",SUMIFS('Barang Keluar'!$E:$E,'Barang Keluar'!$A:$A,M32843,'Barang Keluar'!$C:$C,N32843))</f>
        <v>0</v>
      </c>
    </row>
    <row r="32844" spans="13:16">
      <c r="M32844" s="49">
        <f>IF($A$4+328&gt;$B$4,"",$A$4+328)</f>
        <v>46351</v>
      </c>
      <c r="N32844">
        <f>IF(M32844="","",'Master Barang'!A38)</f>
        <v>0</v>
      </c>
      <c r="O32844">
        <f>IF(N32844="","",'Master Barang'!B38)</f>
        <v>0</v>
      </c>
      <c r="P32844">
        <f>IF(OR(M32844="",N32844=""),"",SUMIFS('Barang Keluar'!$E:$E,'Barang Keluar'!$A:$A,M32844,'Barang Keluar'!$C:$C,N32844))</f>
        <v>0</v>
      </c>
    </row>
    <row r="32845" spans="13:16">
      <c r="M32845" s="49">
        <f>IF($A$4+328&gt;$B$4,"",$A$4+328)</f>
        <v>46351</v>
      </c>
      <c r="N32845">
        <f>IF(M32845="","",'Master Barang'!A39)</f>
        <v>0</v>
      </c>
      <c r="O32845">
        <f>IF(N32845="","",'Master Barang'!B39)</f>
        <v>0</v>
      </c>
      <c r="P32845">
        <f>IF(OR(M32845="",N32845=""),"",SUMIFS('Barang Keluar'!$E:$E,'Barang Keluar'!$A:$A,M32845,'Barang Keluar'!$C:$C,N32845))</f>
        <v>0</v>
      </c>
    </row>
    <row r="32846" spans="13:16">
      <c r="M32846" s="49">
        <f>IF($A$4+328&gt;$B$4,"",$A$4+328)</f>
        <v>46351</v>
      </c>
      <c r="N32846">
        <f>IF(M32846="","",'Master Barang'!A40)</f>
        <v>0</v>
      </c>
      <c r="O32846">
        <f>IF(N32846="","",'Master Barang'!B40)</f>
        <v>0</v>
      </c>
      <c r="P32846">
        <f>IF(OR(M32846="",N32846=""),"",SUMIFS('Barang Keluar'!$E:$E,'Barang Keluar'!$A:$A,M32846,'Barang Keluar'!$C:$C,N32846))</f>
        <v>0</v>
      </c>
    </row>
    <row r="32847" spans="13:16">
      <c r="M32847" s="49">
        <f>IF($A$4+328&gt;$B$4,"",$A$4+328)</f>
        <v>46351</v>
      </c>
      <c r="N32847">
        <f>IF(M32847="","",'Master Barang'!A41)</f>
        <v>0</v>
      </c>
      <c r="O32847">
        <f>IF(N32847="","",'Master Barang'!B41)</f>
        <v>0</v>
      </c>
      <c r="P32847">
        <f>IF(OR(M32847="",N32847=""),"",SUMIFS('Barang Keluar'!$E:$E,'Barang Keluar'!$A:$A,M32847,'Barang Keluar'!$C:$C,N32847))</f>
        <v>0</v>
      </c>
    </row>
    <row r="32848" spans="13:16">
      <c r="M32848" s="49">
        <f>IF($A$4+328&gt;$B$4,"",$A$4+328)</f>
        <v>46351</v>
      </c>
      <c r="N32848">
        <f>IF(M32848="","",'Master Barang'!A42)</f>
        <v>0</v>
      </c>
      <c r="O32848">
        <f>IF(N32848="","",'Master Barang'!B42)</f>
        <v>0</v>
      </c>
      <c r="P32848">
        <f>IF(OR(M32848="",N32848=""),"",SUMIFS('Barang Keluar'!$E:$E,'Barang Keluar'!$A:$A,M32848,'Barang Keluar'!$C:$C,N32848))</f>
        <v>0</v>
      </c>
    </row>
    <row r="32849" spans="13:16">
      <c r="M32849" s="49">
        <f>IF($A$4+328&gt;$B$4,"",$A$4+328)</f>
        <v>46351</v>
      </c>
      <c r="N32849">
        <f>IF(M32849="","",'Master Barang'!A43)</f>
        <v>0</v>
      </c>
      <c r="O32849">
        <f>IF(N32849="","",'Master Barang'!B43)</f>
        <v>0</v>
      </c>
      <c r="P32849">
        <f>IF(OR(M32849="",N32849=""),"",SUMIFS('Barang Keluar'!$E:$E,'Barang Keluar'!$A:$A,M32849,'Barang Keluar'!$C:$C,N32849))</f>
        <v>0</v>
      </c>
    </row>
    <row r="32850" spans="13:16">
      <c r="M32850" s="49">
        <f>IF($A$4+328&gt;$B$4,"",$A$4+328)</f>
        <v>46351</v>
      </c>
      <c r="N32850">
        <f>IF(M32850="","",'Master Barang'!A44)</f>
        <v>0</v>
      </c>
      <c r="O32850">
        <f>IF(N32850="","",'Master Barang'!B44)</f>
        <v>0</v>
      </c>
      <c r="P32850">
        <f>IF(OR(M32850="",N32850=""),"",SUMIFS('Barang Keluar'!$E:$E,'Barang Keluar'!$A:$A,M32850,'Barang Keluar'!$C:$C,N32850))</f>
        <v>0</v>
      </c>
    </row>
    <row r="32851" spans="13:16">
      <c r="M32851" s="49">
        <f>IF($A$4+328&gt;$B$4,"",$A$4+328)</f>
        <v>46351</v>
      </c>
      <c r="N32851">
        <f>IF(M32851="","",'Master Barang'!A45)</f>
        <v>0</v>
      </c>
      <c r="O32851">
        <f>IF(N32851="","",'Master Barang'!B45)</f>
        <v>0</v>
      </c>
      <c r="P32851">
        <f>IF(OR(M32851="",N32851=""),"",SUMIFS('Barang Keluar'!$E:$E,'Barang Keluar'!$A:$A,M32851,'Barang Keluar'!$C:$C,N32851))</f>
        <v>0</v>
      </c>
    </row>
    <row r="32852" spans="13:16">
      <c r="M32852" s="49">
        <f>IF($A$4+328&gt;$B$4,"",$A$4+328)</f>
        <v>46351</v>
      </c>
      <c r="N32852">
        <f>IF(M32852="","",'Master Barang'!A46)</f>
        <v>0</v>
      </c>
      <c r="O32852">
        <f>IF(N32852="","",'Master Barang'!B46)</f>
        <v>0</v>
      </c>
      <c r="P32852">
        <f>IF(OR(M32852="",N32852=""),"",SUMIFS('Barang Keluar'!$E:$E,'Barang Keluar'!$A:$A,M32852,'Barang Keluar'!$C:$C,N32852))</f>
        <v>0</v>
      </c>
    </row>
    <row r="32853" spans="13:16">
      <c r="M32853" s="49">
        <f>IF($A$4+328&gt;$B$4,"",$A$4+328)</f>
        <v>46351</v>
      </c>
      <c r="N32853">
        <f>IF(M32853="","",'Master Barang'!A47)</f>
        <v>0</v>
      </c>
      <c r="O32853">
        <f>IF(N32853="","",'Master Barang'!B47)</f>
        <v>0</v>
      </c>
      <c r="P32853">
        <f>IF(OR(M32853="",N32853=""),"",SUMIFS('Barang Keluar'!$E:$E,'Barang Keluar'!$A:$A,M32853,'Barang Keluar'!$C:$C,N32853))</f>
        <v>0</v>
      </c>
    </row>
    <row r="32854" spans="13:16">
      <c r="M32854" s="49">
        <f>IF($A$4+328&gt;$B$4,"",$A$4+328)</f>
        <v>46351</v>
      </c>
      <c r="N32854">
        <f>IF(M32854="","",'Master Barang'!A48)</f>
        <v>0</v>
      </c>
      <c r="O32854">
        <f>IF(N32854="","",'Master Barang'!B48)</f>
        <v>0</v>
      </c>
      <c r="P32854">
        <f>IF(OR(M32854="",N32854=""),"",SUMIFS('Barang Keluar'!$E:$E,'Barang Keluar'!$A:$A,M32854,'Barang Keluar'!$C:$C,N32854))</f>
        <v>0</v>
      </c>
    </row>
    <row r="32855" spans="13:16">
      <c r="M32855" s="49">
        <f>IF($A$4+328&gt;$B$4,"",$A$4+328)</f>
        <v>46351</v>
      </c>
      <c r="N32855">
        <f>IF(M32855="","",'Master Barang'!A49)</f>
        <v>0</v>
      </c>
      <c r="O32855">
        <f>IF(N32855="","",'Master Barang'!B49)</f>
        <v>0</v>
      </c>
      <c r="P32855">
        <f>IF(OR(M32855="",N32855=""),"",SUMIFS('Barang Keluar'!$E:$E,'Barang Keluar'!$A:$A,M32855,'Barang Keluar'!$C:$C,N32855))</f>
        <v>0</v>
      </c>
    </row>
    <row r="32856" spans="13:16">
      <c r="M32856" s="49">
        <f>IF($A$4+328&gt;$B$4,"",$A$4+328)</f>
        <v>46351</v>
      </c>
      <c r="N32856">
        <f>IF(M32856="","",'Master Barang'!A50)</f>
        <v>0</v>
      </c>
      <c r="O32856">
        <f>IF(N32856="","",'Master Barang'!B50)</f>
        <v>0</v>
      </c>
      <c r="P32856">
        <f>IF(OR(M32856="",N32856=""),"",SUMIFS('Barang Keluar'!$E:$E,'Barang Keluar'!$A:$A,M32856,'Barang Keluar'!$C:$C,N32856))</f>
        <v>0</v>
      </c>
    </row>
    <row r="32857" spans="13:16">
      <c r="M32857" s="49">
        <f>IF($A$4+328&gt;$B$4,"",$A$4+328)</f>
        <v>46351</v>
      </c>
      <c r="N32857">
        <f>IF(M32857="","",'Master Barang'!A51)</f>
        <v>0</v>
      </c>
      <c r="O32857">
        <f>IF(N32857="","",'Master Barang'!B51)</f>
        <v>0</v>
      </c>
      <c r="P32857">
        <f>IF(OR(M32857="",N32857=""),"",SUMIFS('Barang Keluar'!$E:$E,'Barang Keluar'!$A:$A,M32857,'Barang Keluar'!$C:$C,N32857))</f>
        <v>0</v>
      </c>
    </row>
    <row r="32858" spans="13:16">
      <c r="M32858" s="49">
        <f>IF($A$4+328&gt;$B$4,"",$A$4+328)</f>
        <v>46351</v>
      </c>
      <c r="N32858">
        <f>IF(M32858="","",'Master Barang'!A52)</f>
        <v>0</v>
      </c>
      <c r="O32858">
        <f>IF(N32858="","",'Master Barang'!B52)</f>
        <v>0</v>
      </c>
      <c r="P32858">
        <f>IF(OR(M32858="",N32858=""),"",SUMIFS('Barang Keluar'!$E:$E,'Barang Keluar'!$A:$A,M32858,'Barang Keluar'!$C:$C,N32858))</f>
        <v>0</v>
      </c>
    </row>
    <row r="32859" spans="13:16">
      <c r="M32859" s="49">
        <f>IF($A$4+328&gt;$B$4,"",$A$4+328)</f>
        <v>46351</v>
      </c>
      <c r="N32859">
        <f>IF(M32859="","",'Master Barang'!A53)</f>
        <v>0</v>
      </c>
      <c r="O32859">
        <f>IF(N32859="","",'Master Barang'!B53)</f>
        <v>0</v>
      </c>
      <c r="P32859">
        <f>IF(OR(M32859="",N32859=""),"",SUMIFS('Barang Keluar'!$E:$E,'Barang Keluar'!$A:$A,M32859,'Barang Keluar'!$C:$C,N32859))</f>
        <v>0</v>
      </c>
    </row>
    <row r="32860" spans="13:16">
      <c r="M32860" s="49">
        <f>IF($A$4+328&gt;$B$4,"",$A$4+328)</f>
        <v>46351</v>
      </c>
      <c r="N32860">
        <f>IF(M32860="","",'Master Barang'!A54)</f>
        <v>0</v>
      </c>
      <c r="O32860">
        <f>IF(N32860="","",'Master Barang'!B54)</f>
        <v>0</v>
      </c>
      <c r="P32860">
        <f>IF(OR(M32860="",N32860=""),"",SUMIFS('Barang Keluar'!$E:$E,'Barang Keluar'!$A:$A,M32860,'Barang Keluar'!$C:$C,N32860))</f>
        <v>0</v>
      </c>
    </row>
    <row r="32861" spans="13:16">
      <c r="M32861" s="49">
        <f>IF($A$4+328&gt;$B$4,"",$A$4+328)</f>
        <v>46351</v>
      </c>
      <c r="N32861">
        <f>IF(M32861="","",'Master Barang'!A55)</f>
        <v>0</v>
      </c>
      <c r="O32861">
        <f>IF(N32861="","",'Master Barang'!B55)</f>
        <v>0</v>
      </c>
      <c r="P32861">
        <f>IF(OR(M32861="",N32861=""),"",SUMIFS('Barang Keluar'!$E:$E,'Barang Keluar'!$A:$A,M32861,'Barang Keluar'!$C:$C,N32861))</f>
        <v>0</v>
      </c>
    </row>
    <row r="32862" spans="13:16">
      <c r="M32862" s="49">
        <f>IF($A$4+328&gt;$B$4,"",$A$4+328)</f>
        <v>46351</v>
      </c>
      <c r="N32862">
        <f>IF(M32862="","",'Master Barang'!A56)</f>
        <v>0</v>
      </c>
      <c r="O32862">
        <f>IF(N32862="","",'Master Barang'!B56)</f>
        <v>0</v>
      </c>
      <c r="P32862">
        <f>IF(OR(M32862="",N32862=""),"",SUMIFS('Barang Keluar'!$E:$E,'Barang Keluar'!$A:$A,M32862,'Barang Keluar'!$C:$C,N32862))</f>
        <v>0</v>
      </c>
    </row>
    <row r="32863" spans="13:16">
      <c r="M32863" s="49">
        <f>IF($A$4+328&gt;$B$4,"",$A$4+328)</f>
        <v>46351</v>
      </c>
      <c r="N32863">
        <f>IF(M32863="","",'Master Barang'!A57)</f>
        <v>0</v>
      </c>
      <c r="O32863">
        <f>IF(N32863="","",'Master Barang'!B57)</f>
        <v>0</v>
      </c>
      <c r="P32863">
        <f>IF(OR(M32863="",N32863=""),"",SUMIFS('Barang Keluar'!$E:$E,'Barang Keluar'!$A:$A,M32863,'Barang Keluar'!$C:$C,N32863))</f>
        <v>0</v>
      </c>
    </row>
    <row r="32864" spans="13:16">
      <c r="M32864" s="49">
        <f>IF($A$4+328&gt;$B$4,"",$A$4+328)</f>
        <v>46351</v>
      </c>
      <c r="N32864">
        <f>IF(M32864="","",'Master Barang'!A58)</f>
        <v>0</v>
      </c>
      <c r="O32864">
        <f>IF(N32864="","",'Master Barang'!B58)</f>
        <v>0</v>
      </c>
      <c r="P32864">
        <f>IF(OR(M32864="",N32864=""),"",SUMIFS('Barang Keluar'!$E:$E,'Barang Keluar'!$A:$A,M32864,'Barang Keluar'!$C:$C,N32864))</f>
        <v>0</v>
      </c>
    </row>
    <row r="32865" spans="13:16">
      <c r="M32865" s="49">
        <f>IF($A$4+328&gt;$B$4,"",$A$4+328)</f>
        <v>46351</v>
      </c>
      <c r="N32865">
        <f>IF(M32865="","",'Master Barang'!A59)</f>
        <v>0</v>
      </c>
      <c r="O32865">
        <f>IF(N32865="","",'Master Barang'!B59)</f>
        <v>0</v>
      </c>
      <c r="P32865">
        <f>IF(OR(M32865="",N32865=""),"",SUMIFS('Barang Keluar'!$E:$E,'Barang Keluar'!$A:$A,M32865,'Barang Keluar'!$C:$C,N32865))</f>
        <v>0</v>
      </c>
    </row>
    <row r="32866" spans="13:16">
      <c r="M32866" s="49">
        <f>IF($A$4+328&gt;$B$4,"",$A$4+328)</f>
        <v>46351</v>
      </c>
      <c r="N32866">
        <f>IF(M32866="","",'Master Barang'!A60)</f>
        <v>0</v>
      </c>
      <c r="O32866">
        <f>IF(N32866="","",'Master Barang'!B60)</f>
        <v>0</v>
      </c>
      <c r="P32866">
        <f>IF(OR(M32866="",N32866=""),"",SUMIFS('Barang Keluar'!$E:$E,'Barang Keluar'!$A:$A,M32866,'Barang Keluar'!$C:$C,N32866))</f>
        <v>0</v>
      </c>
    </row>
    <row r="32867" spans="13:16">
      <c r="M32867" s="49">
        <f>IF($A$4+328&gt;$B$4,"",$A$4+328)</f>
        <v>46351</v>
      </c>
      <c r="N32867">
        <f>IF(M32867="","",'Master Barang'!A61)</f>
        <v>0</v>
      </c>
      <c r="O32867">
        <f>IF(N32867="","",'Master Barang'!B61)</f>
        <v>0</v>
      </c>
      <c r="P32867">
        <f>IF(OR(M32867="",N32867=""),"",SUMIFS('Barang Keluar'!$E:$E,'Barang Keluar'!$A:$A,M32867,'Barang Keluar'!$C:$C,N32867))</f>
        <v>0</v>
      </c>
    </row>
    <row r="32868" spans="13:16">
      <c r="M32868" s="49">
        <f>IF($A$4+328&gt;$B$4,"",$A$4+328)</f>
        <v>46351</v>
      </c>
      <c r="N32868">
        <f>IF(M32868="","",'Master Barang'!A62)</f>
        <v>0</v>
      </c>
      <c r="O32868">
        <f>IF(N32868="","",'Master Barang'!B62)</f>
        <v>0</v>
      </c>
      <c r="P32868">
        <f>IF(OR(M32868="",N32868=""),"",SUMIFS('Barang Keluar'!$E:$E,'Barang Keluar'!$A:$A,M32868,'Barang Keluar'!$C:$C,N32868))</f>
        <v>0</v>
      </c>
    </row>
    <row r="32869" spans="13:16">
      <c r="M32869" s="49">
        <f>IF($A$4+328&gt;$B$4,"",$A$4+328)</f>
        <v>46351</v>
      </c>
      <c r="N32869">
        <f>IF(M32869="","",'Master Barang'!A63)</f>
        <v>0</v>
      </c>
      <c r="O32869">
        <f>IF(N32869="","",'Master Barang'!B63)</f>
        <v>0</v>
      </c>
      <c r="P32869">
        <f>IF(OR(M32869="",N32869=""),"",SUMIFS('Barang Keluar'!$E:$E,'Barang Keluar'!$A:$A,M32869,'Barang Keluar'!$C:$C,N32869))</f>
        <v>0</v>
      </c>
    </row>
    <row r="32870" spans="13:16">
      <c r="M32870" s="49">
        <f>IF($A$4+328&gt;$B$4,"",$A$4+328)</f>
        <v>46351</v>
      </c>
      <c r="N32870">
        <f>IF(M32870="","",'Master Barang'!A64)</f>
        <v>0</v>
      </c>
      <c r="O32870">
        <f>IF(N32870="","",'Master Barang'!B64)</f>
        <v>0</v>
      </c>
      <c r="P32870">
        <f>IF(OR(M32870="",N32870=""),"",SUMIFS('Barang Keluar'!$E:$E,'Barang Keluar'!$A:$A,M32870,'Barang Keluar'!$C:$C,N32870))</f>
        <v>0</v>
      </c>
    </row>
    <row r="32871" spans="13:16">
      <c r="M32871" s="49">
        <f>IF($A$4+328&gt;$B$4,"",$A$4+328)</f>
        <v>46351</v>
      </c>
      <c r="N32871">
        <f>IF(M32871="","",'Master Barang'!A65)</f>
        <v>0</v>
      </c>
      <c r="O32871">
        <f>IF(N32871="","",'Master Barang'!B65)</f>
        <v>0</v>
      </c>
      <c r="P32871">
        <f>IF(OR(M32871="",N32871=""),"",SUMIFS('Barang Keluar'!$E:$E,'Barang Keluar'!$A:$A,M32871,'Barang Keluar'!$C:$C,N32871))</f>
        <v>0</v>
      </c>
    </row>
    <row r="32872" spans="13:16">
      <c r="M32872" s="49">
        <f>IF($A$4+328&gt;$B$4,"",$A$4+328)</f>
        <v>46351</v>
      </c>
      <c r="N32872">
        <f>IF(M32872="","",'Master Barang'!A66)</f>
        <v>0</v>
      </c>
      <c r="O32872">
        <f>IF(N32872="","",'Master Barang'!B66)</f>
        <v>0</v>
      </c>
      <c r="P32872">
        <f>IF(OR(M32872="",N32872=""),"",SUMIFS('Barang Keluar'!$E:$E,'Barang Keluar'!$A:$A,M32872,'Barang Keluar'!$C:$C,N32872))</f>
        <v>0</v>
      </c>
    </row>
    <row r="32873" spans="13:16">
      <c r="M32873" s="49">
        <f>IF($A$4+328&gt;$B$4,"",$A$4+328)</f>
        <v>46351</v>
      </c>
      <c r="N32873">
        <f>IF(M32873="","",'Master Barang'!A67)</f>
        <v>0</v>
      </c>
      <c r="O32873">
        <f>IF(N32873="","",'Master Barang'!B67)</f>
        <v>0</v>
      </c>
      <c r="P32873">
        <f>IF(OR(M32873="",N32873=""),"",SUMIFS('Barang Keluar'!$E:$E,'Barang Keluar'!$A:$A,M32873,'Barang Keluar'!$C:$C,N32873))</f>
        <v>0</v>
      </c>
    </row>
    <row r="32874" spans="13:16">
      <c r="M32874" s="49">
        <f>IF($A$4+328&gt;$B$4,"",$A$4+328)</f>
        <v>46351</v>
      </c>
      <c r="N32874">
        <f>IF(M32874="","",'Master Barang'!A68)</f>
        <v>0</v>
      </c>
      <c r="O32874">
        <f>IF(N32874="","",'Master Barang'!B68)</f>
        <v>0</v>
      </c>
      <c r="P32874">
        <f>IF(OR(M32874="",N32874=""),"",SUMIFS('Barang Keluar'!$E:$E,'Barang Keluar'!$A:$A,M32874,'Barang Keluar'!$C:$C,N32874))</f>
        <v>0</v>
      </c>
    </row>
    <row r="32875" spans="13:16">
      <c r="M32875" s="49">
        <f>IF($A$4+328&gt;$B$4,"",$A$4+328)</f>
        <v>46351</v>
      </c>
      <c r="N32875">
        <f>IF(M32875="","",'Master Barang'!A69)</f>
        <v>0</v>
      </c>
      <c r="O32875">
        <f>IF(N32875="","",'Master Barang'!B69)</f>
        <v>0</v>
      </c>
      <c r="P32875">
        <f>IF(OR(M32875="",N32875=""),"",SUMIFS('Barang Keluar'!$E:$E,'Barang Keluar'!$A:$A,M32875,'Barang Keluar'!$C:$C,N32875))</f>
        <v>0</v>
      </c>
    </row>
    <row r="32876" spans="13:16">
      <c r="M32876" s="49">
        <f>IF($A$4+328&gt;$B$4,"",$A$4+328)</f>
        <v>46351</v>
      </c>
      <c r="N32876">
        <f>IF(M32876="","",'Master Barang'!A70)</f>
        <v>0</v>
      </c>
      <c r="O32876">
        <f>IF(N32876="","",'Master Barang'!B70)</f>
        <v>0</v>
      </c>
      <c r="P32876">
        <f>IF(OR(M32876="",N32876=""),"",SUMIFS('Barang Keluar'!$E:$E,'Barang Keluar'!$A:$A,M32876,'Barang Keluar'!$C:$C,N32876))</f>
        <v>0</v>
      </c>
    </row>
    <row r="32877" spans="13:16">
      <c r="M32877" s="49">
        <f>IF($A$4+328&gt;$B$4,"",$A$4+328)</f>
        <v>46351</v>
      </c>
      <c r="N32877">
        <f>IF(M32877="","",'Master Barang'!A71)</f>
        <v>0</v>
      </c>
      <c r="O32877">
        <f>IF(N32877="","",'Master Barang'!B71)</f>
        <v>0</v>
      </c>
      <c r="P32877">
        <f>IF(OR(M32877="",N32877=""),"",SUMIFS('Barang Keluar'!$E:$E,'Barang Keluar'!$A:$A,M32877,'Barang Keluar'!$C:$C,N32877))</f>
        <v>0</v>
      </c>
    </row>
    <row r="32878" spans="13:16">
      <c r="M32878" s="49">
        <f>IF($A$4+328&gt;$B$4,"",$A$4+328)</f>
        <v>46351</v>
      </c>
      <c r="N32878">
        <f>IF(M32878="","",'Master Barang'!A72)</f>
        <v>0</v>
      </c>
      <c r="O32878">
        <f>IF(N32878="","",'Master Barang'!B72)</f>
        <v>0</v>
      </c>
      <c r="P32878">
        <f>IF(OR(M32878="",N32878=""),"",SUMIFS('Barang Keluar'!$E:$E,'Barang Keluar'!$A:$A,M32878,'Barang Keluar'!$C:$C,N32878))</f>
        <v>0</v>
      </c>
    </row>
    <row r="32879" spans="13:16">
      <c r="M32879" s="49">
        <f>IF($A$4+328&gt;$B$4,"",$A$4+328)</f>
        <v>46351</v>
      </c>
      <c r="N32879">
        <f>IF(M32879="","",'Master Barang'!A73)</f>
        <v>0</v>
      </c>
      <c r="O32879">
        <f>IF(N32879="","",'Master Barang'!B73)</f>
        <v>0</v>
      </c>
      <c r="P32879">
        <f>IF(OR(M32879="",N32879=""),"",SUMIFS('Barang Keluar'!$E:$E,'Barang Keluar'!$A:$A,M32879,'Barang Keluar'!$C:$C,N32879))</f>
        <v>0</v>
      </c>
    </row>
    <row r="32880" spans="13:16">
      <c r="M32880" s="49">
        <f>IF($A$4+328&gt;$B$4,"",$A$4+328)</f>
        <v>46351</v>
      </c>
      <c r="N32880">
        <f>IF(M32880="","",'Master Barang'!A74)</f>
        <v>0</v>
      </c>
      <c r="O32880">
        <f>IF(N32880="","",'Master Barang'!B74)</f>
        <v>0</v>
      </c>
      <c r="P32880">
        <f>IF(OR(M32880="",N32880=""),"",SUMIFS('Barang Keluar'!$E:$E,'Barang Keluar'!$A:$A,M32880,'Barang Keluar'!$C:$C,N32880))</f>
        <v>0</v>
      </c>
    </row>
    <row r="32881" spans="13:16">
      <c r="M32881" s="49">
        <f>IF($A$4+328&gt;$B$4,"",$A$4+328)</f>
        <v>46351</v>
      </c>
      <c r="N32881">
        <f>IF(M32881="","",'Master Barang'!A75)</f>
        <v>0</v>
      </c>
      <c r="O32881">
        <f>IF(N32881="","",'Master Barang'!B75)</f>
        <v>0</v>
      </c>
      <c r="P32881">
        <f>IF(OR(M32881="",N32881=""),"",SUMIFS('Barang Keluar'!$E:$E,'Barang Keluar'!$A:$A,M32881,'Barang Keluar'!$C:$C,N32881))</f>
        <v>0</v>
      </c>
    </row>
    <row r="32882" spans="13:16">
      <c r="M32882" s="49">
        <f>IF($A$4+328&gt;$B$4,"",$A$4+328)</f>
        <v>46351</v>
      </c>
      <c r="N32882">
        <f>IF(M32882="","",'Master Barang'!A76)</f>
        <v>0</v>
      </c>
      <c r="O32882">
        <f>IF(N32882="","",'Master Barang'!B76)</f>
        <v>0</v>
      </c>
      <c r="P32882">
        <f>IF(OR(M32882="",N32882=""),"",SUMIFS('Barang Keluar'!$E:$E,'Barang Keluar'!$A:$A,M32882,'Barang Keluar'!$C:$C,N32882))</f>
        <v>0</v>
      </c>
    </row>
    <row r="32883" spans="13:16">
      <c r="M32883" s="49">
        <f>IF($A$4+328&gt;$B$4,"",$A$4+328)</f>
        <v>46351</v>
      </c>
      <c r="N32883">
        <f>IF(M32883="","",'Master Barang'!A77)</f>
        <v>0</v>
      </c>
      <c r="O32883">
        <f>IF(N32883="","",'Master Barang'!B77)</f>
        <v>0</v>
      </c>
      <c r="P32883">
        <f>IF(OR(M32883="",N32883=""),"",SUMIFS('Barang Keluar'!$E:$E,'Barang Keluar'!$A:$A,M32883,'Barang Keluar'!$C:$C,N32883))</f>
        <v>0</v>
      </c>
    </row>
    <row r="32884" spans="13:16">
      <c r="M32884" s="49">
        <f>IF($A$4+328&gt;$B$4,"",$A$4+328)</f>
        <v>46351</v>
      </c>
      <c r="N32884">
        <f>IF(M32884="","",'Master Barang'!A78)</f>
        <v>0</v>
      </c>
      <c r="O32884">
        <f>IF(N32884="","",'Master Barang'!B78)</f>
        <v>0</v>
      </c>
      <c r="P32884">
        <f>IF(OR(M32884="",N32884=""),"",SUMIFS('Barang Keluar'!$E:$E,'Barang Keluar'!$A:$A,M32884,'Barang Keluar'!$C:$C,N32884))</f>
        <v>0</v>
      </c>
    </row>
    <row r="32885" spans="13:16">
      <c r="M32885" s="49">
        <f>IF($A$4+328&gt;$B$4,"",$A$4+328)</f>
        <v>46351</v>
      </c>
      <c r="N32885">
        <f>IF(M32885="","",'Master Barang'!A79)</f>
        <v>0</v>
      </c>
      <c r="O32885">
        <f>IF(N32885="","",'Master Barang'!B79)</f>
        <v>0</v>
      </c>
      <c r="P32885">
        <f>IF(OR(M32885="",N32885=""),"",SUMIFS('Barang Keluar'!$E:$E,'Barang Keluar'!$A:$A,M32885,'Barang Keluar'!$C:$C,N32885))</f>
        <v>0</v>
      </c>
    </row>
    <row r="32886" spans="13:16">
      <c r="M32886" s="49">
        <f>IF($A$4+328&gt;$B$4,"",$A$4+328)</f>
        <v>46351</v>
      </c>
      <c r="N32886">
        <f>IF(M32886="","",'Master Barang'!A80)</f>
        <v>0</v>
      </c>
      <c r="O32886">
        <f>IF(N32886="","",'Master Barang'!B80)</f>
        <v>0</v>
      </c>
      <c r="P32886">
        <f>IF(OR(M32886="",N32886=""),"",SUMIFS('Barang Keluar'!$E:$E,'Barang Keluar'!$A:$A,M32886,'Barang Keluar'!$C:$C,N32886))</f>
        <v>0</v>
      </c>
    </row>
    <row r="32887" spans="13:16">
      <c r="M32887" s="49">
        <f>IF($A$4+328&gt;$B$4,"",$A$4+328)</f>
        <v>46351</v>
      </c>
      <c r="N32887">
        <f>IF(M32887="","",'Master Barang'!A81)</f>
        <v>0</v>
      </c>
      <c r="O32887">
        <f>IF(N32887="","",'Master Barang'!B81)</f>
        <v>0</v>
      </c>
      <c r="P32887">
        <f>IF(OR(M32887="",N32887=""),"",SUMIFS('Barang Keluar'!$E:$E,'Barang Keluar'!$A:$A,M32887,'Barang Keluar'!$C:$C,N32887))</f>
        <v>0</v>
      </c>
    </row>
    <row r="32888" spans="13:16">
      <c r="M32888" s="49">
        <f>IF($A$4+328&gt;$B$4,"",$A$4+328)</f>
        <v>46351</v>
      </c>
      <c r="N32888">
        <f>IF(M32888="","",'Master Barang'!A82)</f>
        <v>0</v>
      </c>
      <c r="O32888">
        <f>IF(N32888="","",'Master Barang'!B82)</f>
        <v>0</v>
      </c>
      <c r="P32888">
        <f>IF(OR(M32888="",N32888=""),"",SUMIFS('Barang Keluar'!$E:$E,'Barang Keluar'!$A:$A,M32888,'Barang Keluar'!$C:$C,N32888))</f>
        <v>0</v>
      </c>
    </row>
    <row r="32889" spans="13:16">
      <c r="M32889" s="49">
        <f>IF($A$4+328&gt;$B$4,"",$A$4+328)</f>
        <v>46351</v>
      </c>
      <c r="N32889">
        <f>IF(M32889="","",'Master Barang'!A83)</f>
        <v>0</v>
      </c>
      <c r="O32889">
        <f>IF(N32889="","",'Master Barang'!B83)</f>
        <v>0</v>
      </c>
      <c r="P32889">
        <f>IF(OR(M32889="",N32889=""),"",SUMIFS('Barang Keluar'!$E:$E,'Barang Keluar'!$A:$A,M32889,'Barang Keluar'!$C:$C,N32889))</f>
        <v>0</v>
      </c>
    </row>
    <row r="32890" spans="13:16">
      <c r="M32890" s="49">
        <f>IF($A$4+328&gt;$B$4,"",$A$4+328)</f>
        <v>46351</v>
      </c>
      <c r="N32890">
        <f>IF(M32890="","",'Master Barang'!A84)</f>
        <v>0</v>
      </c>
      <c r="O32890">
        <f>IF(N32890="","",'Master Barang'!B84)</f>
        <v>0</v>
      </c>
      <c r="P32890">
        <f>IF(OR(M32890="",N32890=""),"",SUMIFS('Barang Keluar'!$E:$E,'Barang Keluar'!$A:$A,M32890,'Barang Keluar'!$C:$C,N32890))</f>
        <v>0</v>
      </c>
    </row>
    <row r="32891" spans="13:16">
      <c r="M32891" s="49">
        <f>IF($A$4+328&gt;$B$4,"",$A$4+328)</f>
        <v>46351</v>
      </c>
      <c r="N32891">
        <f>IF(M32891="","",'Master Barang'!A85)</f>
        <v>0</v>
      </c>
      <c r="O32891">
        <f>IF(N32891="","",'Master Barang'!B85)</f>
        <v>0</v>
      </c>
      <c r="P32891">
        <f>IF(OR(M32891="",N32891=""),"",SUMIFS('Barang Keluar'!$E:$E,'Barang Keluar'!$A:$A,M32891,'Barang Keluar'!$C:$C,N32891))</f>
        <v>0</v>
      </c>
    </row>
    <row r="32892" spans="13:16">
      <c r="M32892" s="49">
        <f>IF($A$4+328&gt;$B$4,"",$A$4+328)</f>
        <v>46351</v>
      </c>
      <c r="N32892">
        <f>IF(M32892="","",'Master Barang'!A86)</f>
        <v>0</v>
      </c>
      <c r="O32892">
        <f>IF(N32892="","",'Master Barang'!B86)</f>
        <v>0</v>
      </c>
      <c r="P32892">
        <f>IF(OR(M32892="",N32892=""),"",SUMIFS('Barang Keluar'!$E:$E,'Barang Keluar'!$A:$A,M32892,'Barang Keluar'!$C:$C,N32892))</f>
        <v>0</v>
      </c>
    </row>
    <row r="32893" spans="13:16">
      <c r="M32893" s="49">
        <f>IF($A$4+328&gt;$B$4,"",$A$4+328)</f>
        <v>46351</v>
      </c>
      <c r="N32893">
        <f>IF(M32893="","",'Master Barang'!A87)</f>
        <v>0</v>
      </c>
      <c r="O32893">
        <f>IF(N32893="","",'Master Barang'!B87)</f>
        <v>0</v>
      </c>
      <c r="P32893">
        <f>IF(OR(M32893="",N32893=""),"",SUMIFS('Barang Keluar'!$E:$E,'Barang Keluar'!$A:$A,M32893,'Barang Keluar'!$C:$C,N32893))</f>
        <v>0</v>
      </c>
    </row>
    <row r="32894" spans="13:16">
      <c r="M32894" s="49">
        <f>IF($A$4+328&gt;$B$4,"",$A$4+328)</f>
        <v>46351</v>
      </c>
      <c r="N32894">
        <f>IF(M32894="","",'Master Barang'!A88)</f>
        <v>0</v>
      </c>
      <c r="O32894">
        <f>IF(N32894="","",'Master Barang'!B88)</f>
        <v>0</v>
      </c>
      <c r="P32894">
        <f>IF(OR(M32894="",N32894=""),"",SUMIFS('Barang Keluar'!$E:$E,'Barang Keluar'!$A:$A,M32894,'Barang Keluar'!$C:$C,N32894))</f>
        <v>0</v>
      </c>
    </row>
    <row r="32895" spans="13:16">
      <c r="M32895" s="49">
        <f>IF($A$4+328&gt;$B$4,"",$A$4+328)</f>
        <v>46351</v>
      </c>
      <c r="N32895">
        <f>IF(M32895="","",'Master Barang'!A89)</f>
        <v>0</v>
      </c>
      <c r="O32895">
        <f>IF(N32895="","",'Master Barang'!B89)</f>
        <v>0</v>
      </c>
      <c r="P32895">
        <f>IF(OR(M32895="",N32895=""),"",SUMIFS('Barang Keluar'!$E:$E,'Barang Keluar'!$A:$A,M32895,'Barang Keluar'!$C:$C,N32895))</f>
        <v>0</v>
      </c>
    </row>
    <row r="32896" spans="13:16">
      <c r="M32896" s="49">
        <f>IF($A$4+328&gt;$B$4,"",$A$4+328)</f>
        <v>46351</v>
      </c>
      <c r="N32896">
        <f>IF(M32896="","",'Master Barang'!A90)</f>
        <v>0</v>
      </c>
      <c r="O32896">
        <f>IF(N32896="","",'Master Barang'!B90)</f>
        <v>0</v>
      </c>
      <c r="P32896">
        <f>IF(OR(M32896="",N32896=""),"",SUMIFS('Barang Keluar'!$E:$E,'Barang Keluar'!$A:$A,M32896,'Barang Keluar'!$C:$C,N32896))</f>
        <v>0</v>
      </c>
    </row>
    <row r="32897" spans="13:16">
      <c r="M32897" s="49">
        <f>IF($A$4+328&gt;$B$4,"",$A$4+328)</f>
        <v>46351</v>
      </c>
      <c r="N32897">
        <f>IF(M32897="","",'Master Barang'!A91)</f>
        <v>0</v>
      </c>
      <c r="O32897">
        <f>IF(N32897="","",'Master Barang'!B91)</f>
        <v>0</v>
      </c>
      <c r="P32897">
        <f>IF(OR(M32897="",N32897=""),"",SUMIFS('Barang Keluar'!$E:$E,'Barang Keluar'!$A:$A,M32897,'Barang Keluar'!$C:$C,N32897))</f>
        <v>0</v>
      </c>
    </row>
    <row r="32898" spans="13:16">
      <c r="M32898" s="49">
        <f>IF($A$4+328&gt;$B$4,"",$A$4+328)</f>
        <v>46351</v>
      </c>
      <c r="N32898">
        <f>IF(M32898="","",'Master Barang'!A92)</f>
        <v>0</v>
      </c>
      <c r="O32898">
        <f>IF(N32898="","",'Master Barang'!B92)</f>
        <v>0</v>
      </c>
      <c r="P32898">
        <f>IF(OR(M32898="",N32898=""),"",SUMIFS('Barang Keluar'!$E:$E,'Barang Keluar'!$A:$A,M32898,'Barang Keluar'!$C:$C,N32898))</f>
        <v>0</v>
      </c>
    </row>
    <row r="32899" spans="13:16">
      <c r="M32899" s="49">
        <f>IF($A$4+328&gt;$B$4,"",$A$4+328)</f>
        <v>46351</v>
      </c>
      <c r="N32899">
        <f>IF(M32899="","",'Master Barang'!A93)</f>
        <v>0</v>
      </c>
      <c r="O32899">
        <f>IF(N32899="","",'Master Barang'!B93)</f>
        <v>0</v>
      </c>
      <c r="P32899">
        <f>IF(OR(M32899="",N32899=""),"",SUMIFS('Barang Keluar'!$E:$E,'Barang Keluar'!$A:$A,M32899,'Barang Keluar'!$C:$C,N32899))</f>
        <v>0</v>
      </c>
    </row>
    <row r="32900" spans="13:16">
      <c r="M32900" s="49">
        <f>IF($A$4+328&gt;$B$4,"",$A$4+328)</f>
        <v>46351</v>
      </c>
      <c r="N32900">
        <f>IF(M32900="","",'Master Barang'!A94)</f>
        <v>0</v>
      </c>
      <c r="O32900">
        <f>IF(N32900="","",'Master Barang'!B94)</f>
        <v>0</v>
      </c>
      <c r="P32900">
        <f>IF(OR(M32900="",N32900=""),"",SUMIFS('Barang Keluar'!$E:$E,'Barang Keluar'!$A:$A,M32900,'Barang Keluar'!$C:$C,N32900))</f>
        <v>0</v>
      </c>
    </row>
    <row r="32901" spans="13:16">
      <c r="M32901" s="49">
        <f>IF($A$4+328&gt;$B$4,"",$A$4+328)</f>
        <v>46351</v>
      </c>
      <c r="N32901">
        <f>IF(M32901="","",'Master Barang'!A95)</f>
        <v>0</v>
      </c>
      <c r="O32901">
        <f>IF(N32901="","",'Master Barang'!B95)</f>
        <v>0</v>
      </c>
      <c r="P32901">
        <f>IF(OR(M32901="",N32901=""),"",SUMIFS('Barang Keluar'!$E:$E,'Barang Keluar'!$A:$A,M32901,'Barang Keluar'!$C:$C,N32901))</f>
        <v>0</v>
      </c>
    </row>
    <row r="32902" spans="13:16">
      <c r="M32902" s="49">
        <f>IF($A$4+328&gt;$B$4,"",$A$4+328)</f>
        <v>46351</v>
      </c>
      <c r="N32902">
        <f>IF(M32902="","",'Master Barang'!A96)</f>
        <v>0</v>
      </c>
      <c r="O32902">
        <f>IF(N32902="","",'Master Barang'!B96)</f>
        <v>0</v>
      </c>
      <c r="P32902">
        <f>IF(OR(M32902="",N32902=""),"",SUMIFS('Barang Keluar'!$E:$E,'Barang Keluar'!$A:$A,M32902,'Barang Keluar'!$C:$C,N32902))</f>
        <v>0</v>
      </c>
    </row>
    <row r="32903" spans="13:16">
      <c r="M32903" s="49">
        <f>IF($A$4+328&gt;$B$4,"",$A$4+328)</f>
        <v>46351</v>
      </c>
      <c r="N32903">
        <f>IF(M32903="","",'Master Barang'!A97)</f>
        <v>0</v>
      </c>
      <c r="O32903">
        <f>IF(N32903="","",'Master Barang'!B97)</f>
        <v>0</v>
      </c>
      <c r="P32903">
        <f>IF(OR(M32903="",N32903=""),"",SUMIFS('Barang Keluar'!$E:$E,'Barang Keluar'!$A:$A,M32903,'Barang Keluar'!$C:$C,N32903))</f>
        <v>0</v>
      </c>
    </row>
    <row r="32904" spans="13:16">
      <c r="M32904" s="49">
        <f>IF($A$4+328&gt;$B$4,"",$A$4+328)</f>
        <v>46351</v>
      </c>
      <c r="N32904">
        <f>IF(M32904="","",'Master Barang'!A98)</f>
        <v>0</v>
      </c>
      <c r="O32904">
        <f>IF(N32904="","",'Master Barang'!B98)</f>
        <v>0</v>
      </c>
      <c r="P32904">
        <f>IF(OR(M32904="",N32904=""),"",SUMIFS('Barang Keluar'!$E:$E,'Barang Keluar'!$A:$A,M32904,'Barang Keluar'!$C:$C,N32904))</f>
        <v>0</v>
      </c>
    </row>
    <row r="32905" spans="13:16">
      <c r="M32905" s="49">
        <f>IF($A$4+328&gt;$B$4,"",$A$4+328)</f>
        <v>46351</v>
      </c>
      <c r="N32905">
        <f>IF(M32905="","",'Master Barang'!A99)</f>
        <v>0</v>
      </c>
      <c r="O32905">
        <f>IF(N32905="","",'Master Barang'!B99)</f>
        <v>0</v>
      </c>
      <c r="P32905">
        <f>IF(OR(M32905="",N32905=""),"",SUMIFS('Barang Keluar'!$E:$E,'Barang Keluar'!$A:$A,M32905,'Barang Keluar'!$C:$C,N32905))</f>
        <v>0</v>
      </c>
    </row>
    <row r="32906" spans="13:16">
      <c r="M32906" s="49">
        <f>IF($A$4+328&gt;$B$4,"",$A$4+328)</f>
        <v>46351</v>
      </c>
      <c r="N32906">
        <f>IF(M32906="","",'Master Barang'!A100)</f>
        <v>0</v>
      </c>
      <c r="O32906">
        <f>IF(N32906="","",'Master Barang'!B100)</f>
        <v>0</v>
      </c>
      <c r="P32906">
        <f>IF(OR(M32906="",N32906=""),"",SUMIFS('Barang Keluar'!$E:$E,'Barang Keluar'!$A:$A,M32906,'Barang Keluar'!$C:$C,N32906))</f>
        <v>0</v>
      </c>
    </row>
    <row r="32907" spans="13:16">
      <c r="M32907" s="49">
        <f>IF($A$4+328&gt;$B$4,"",$A$4+328)</f>
        <v>46351</v>
      </c>
      <c r="N32907">
        <f>IF(M32907="","",'Master Barang'!A101)</f>
        <v>0</v>
      </c>
      <c r="O32907">
        <f>IF(N32907="","",'Master Barang'!B101)</f>
        <v>0</v>
      </c>
      <c r="P32907">
        <f>IF(OR(M32907="",N32907=""),"",SUMIFS('Barang Keluar'!$E:$E,'Barang Keluar'!$A:$A,M32907,'Barang Keluar'!$C:$C,N32907))</f>
        <v>0</v>
      </c>
    </row>
    <row r="32908" spans="13:16">
      <c r="M32908" s="49">
        <f>IF($A$4+329&gt;$B$4,"",$A$4+329)</f>
        <v>46352</v>
      </c>
      <c r="N32908" t="str">
        <f>IF(M32908="","",'Master Barang'!A2)</f>
        <v>PRL-001</v>
      </c>
      <c r="O32908" t="str">
        <f>IF(N32908="","",'Master Barang'!B2)</f>
        <v>natura desinfectant food grade 5l</v>
      </c>
      <c r="P32908">
        <f>IF(OR(M32908="",N32908=""),"",SUMIFS('Barang Keluar'!$E:$E,'Barang Keluar'!$A:$A,M32908,'Barang Keluar'!$C:$C,N32908))</f>
        <v>0</v>
      </c>
    </row>
    <row r="32909" spans="13:16">
      <c r="M32909" s="49">
        <f>IF($A$4+329&gt;$B$4,"",$A$4+329)</f>
        <v>46352</v>
      </c>
      <c r="N32909" t="str">
        <f>IF(M32909="","",'Master Barang'!A3)</f>
        <v>PRL-002</v>
      </c>
      <c r="O32909" t="str">
        <f>IF(N32909="","",'Master Barang'!B3)</f>
        <v>sunlight cairan pencuci piring 5l</v>
      </c>
      <c r="P32909">
        <f>IF(OR(M32909="",N32909=""),"",SUMIFS('Barang Keluar'!$E:$E,'Barang Keluar'!$A:$A,M32909,'Barang Keluar'!$C:$C,N32909))</f>
        <v>0</v>
      </c>
    </row>
    <row r="32910" spans="13:16">
      <c r="M32910" s="49">
        <f>IF($A$4+329&gt;$B$4,"",$A$4+329)</f>
        <v>46352</v>
      </c>
      <c r="N32910" t="str">
        <f>IF(M32910="","",'Master Barang'!A4)</f>
        <v>PRL-003</v>
      </c>
      <c r="O32910" t="str">
        <f>IF(N32910="","",'Master Barang'!B4)</f>
        <v>oixs cleaner 1l</v>
      </c>
      <c r="P32910">
        <f>IF(OR(M32910="",N32910=""),"",SUMIFS('Barang Keluar'!$E:$E,'Barang Keluar'!$A:$A,M32910,'Barang Keluar'!$C:$C,N32910))</f>
        <v>0</v>
      </c>
    </row>
    <row r="32911" spans="13:16">
      <c r="M32911" s="49">
        <f>IF($A$4+329&gt;$B$4,"",$A$4+329)</f>
        <v>46352</v>
      </c>
      <c r="N32911" t="str">
        <f>IF(M32911="","",'Master Barang'!A5)</f>
        <v>PRL-004</v>
      </c>
      <c r="O32911" t="str">
        <f>IF(N32911="","",'Master Barang'!B5)</f>
        <v>be clean tissue serbaguna</v>
      </c>
      <c r="P32911">
        <f>IF(OR(M32911="",N32911=""),"",SUMIFS('Barang Keluar'!$E:$E,'Barang Keluar'!$A:$A,M32911,'Barang Keluar'!$C:$C,N32911))</f>
        <v>0</v>
      </c>
    </row>
    <row r="32912" spans="13:16">
      <c r="M32912" s="49">
        <f>IF($A$4+329&gt;$B$4,"",$A$4+329)</f>
        <v>46352</v>
      </c>
      <c r="N32912" t="str">
        <f>IF(M32912="","",'Master Barang'!A6)</f>
        <v>PRL-005</v>
      </c>
      <c r="O32912" t="str">
        <f>IF(N32912="","",'Master Barang'!B6)</f>
        <v>spons cuci hijau</v>
      </c>
      <c r="P32912">
        <f>IF(OR(M32912="",N32912=""),"",SUMIFS('Barang Keluar'!$E:$E,'Barang Keluar'!$A:$A,M32912,'Barang Keluar'!$C:$C,N32912))</f>
        <v>0</v>
      </c>
    </row>
    <row r="32913" spans="13:16">
      <c r="M32913" s="49">
        <f>IF($A$4+329&gt;$B$4,"",$A$4+329)</f>
        <v>46352</v>
      </c>
      <c r="N32913" t="str">
        <f>IF(M32913="","",'Master Barang'!A7)</f>
        <v>PRL-006</v>
      </c>
      <c r="O32913" t="str">
        <f>IF(N32913="","",'Master Barang'!B7)</f>
        <v>sabut cuci stainless</v>
      </c>
      <c r="P32913">
        <f>IF(OR(M32913="",N32913=""),"",SUMIFS('Barang Keluar'!$E:$E,'Barang Keluar'!$A:$A,M32913,'Barang Keluar'!$C:$C,N32913))</f>
        <v>0</v>
      </c>
    </row>
    <row r="32914" spans="13:16">
      <c r="M32914" s="49">
        <f>IF($A$4+329&gt;$B$4,"",$A$4+329)</f>
        <v>46352</v>
      </c>
      <c r="N32914" t="str">
        <f>IF(M32914="","",'Master Barang'!A8)</f>
        <v>PRL-007</v>
      </c>
      <c r="O32914" t="str">
        <f>IF(N32914="","",'Master Barang'!B8)</f>
        <v>plastik kresek besar merah 50pc</v>
      </c>
      <c r="P32914">
        <f>IF(OR(M32914="",N32914=""),"",SUMIFS('Barang Keluar'!$E:$E,'Barang Keluar'!$A:$A,M32914,'Barang Keluar'!$C:$C,N32914))</f>
        <v>0</v>
      </c>
    </row>
    <row r="32915" spans="13:16">
      <c r="M32915" s="49">
        <f>IF($A$4+329&gt;$B$4,"",$A$4+329)</f>
        <v>46352</v>
      </c>
      <c r="N32915" t="str">
        <f>IF(M32915="","",'Master Barang'!A9)</f>
        <v>PRL-008</v>
      </c>
      <c r="O32915" t="str">
        <f>IF(N32915="","",'Master Barang'!B9)</f>
        <v>lap besar</v>
      </c>
      <c r="P32915">
        <f>IF(OR(M32915="",N32915=""),"",SUMIFS('Barang Keluar'!$E:$E,'Barang Keluar'!$A:$A,M32915,'Barang Keluar'!$C:$C,N32915))</f>
        <v>0</v>
      </c>
    </row>
    <row r="32916" spans="13:16">
      <c r="M32916" s="49">
        <f>IF($A$4+329&gt;$B$4,"",$A$4+329)</f>
        <v>46352</v>
      </c>
      <c r="N32916" t="str">
        <f>IF(M32916="","",'Master Barang'!A10)</f>
        <v>PRL-009</v>
      </c>
      <c r="O32916" t="str">
        <f>IF(N32916="","",'Master Barang'!B10)</f>
        <v>lap microfiber</v>
      </c>
      <c r="P32916">
        <f>IF(OR(M32916="",N32916=""),"",SUMIFS('Barang Keluar'!$E:$E,'Barang Keluar'!$A:$A,M32916,'Barang Keluar'!$C:$C,N32916))</f>
        <v>0</v>
      </c>
    </row>
    <row r="32917" spans="13:16">
      <c r="M32917" s="49">
        <f>IF($A$4+329&gt;$B$4,"",$A$4+329)</f>
        <v>46352</v>
      </c>
      <c r="N32917" t="str">
        <f>IF(M32917="","",'Master Barang'!A11)</f>
        <v>PRL-010</v>
      </c>
      <c r="O32917" t="str">
        <f>IF(N32917="","",'Master Barang'!B11)</f>
        <v>lap kecil</v>
      </c>
      <c r="P32917">
        <f>IF(OR(M32917="",N32917=""),"",SUMIFS('Barang Keluar'!$E:$E,'Barang Keluar'!$A:$A,M32917,'Barang Keluar'!$C:$C,N32917))</f>
        <v>0</v>
      </c>
    </row>
    <row r="32918" spans="13:16">
      <c r="M32918" s="49">
        <f>IF($A$4+329&gt;$B$4,"",$A$4+329)</f>
        <v>46352</v>
      </c>
      <c r="N32918" t="str">
        <f>IF(M32918="","",'Master Barang'!A12)</f>
        <v>PRL-011</v>
      </c>
      <c r="O32918" t="str">
        <f>IF(N32918="","",'Master Barang'!B12)</f>
        <v>kanebo kecil</v>
      </c>
      <c r="P32918">
        <f>IF(OR(M32918="",N32918=""),"",SUMIFS('Barang Keluar'!$E:$E,'Barang Keluar'!$A:$A,M32918,'Barang Keluar'!$C:$C,N32918))</f>
        <v>0</v>
      </c>
    </row>
    <row r="32919" spans="13:16">
      <c r="M32919" s="49">
        <f>IF($A$4+329&gt;$B$4,"",$A$4+329)</f>
        <v>46352</v>
      </c>
      <c r="N32919" t="str">
        <f>IF(M32919="","",'Master Barang'!A13)</f>
        <v>PRL-012</v>
      </c>
      <c r="O32919" t="str">
        <f>IF(N32919="","",'Master Barang'!B13)</f>
        <v>plastik 1/4kg joyoboyo 100 lembar</v>
      </c>
      <c r="P32919">
        <f>IF(OR(M32919="",N32919=""),"",SUMIFS('Barang Keluar'!$E:$E,'Barang Keluar'!$A:$A,M32919,'Barang Keluar'!$C:$C,N32919))</f>
        <v>0</v>
      </c>
    </row>
    <row r="32920" spans="13:16">
      <c r="M32920" s="49">
        <f>IF($A$4+329&gt;$B$4,"",$A$4+329)</f>
        <v>46352</v>
      </c>
      <c r="N32920" t="str">
        <f>IF(M32920="","",'Master Barang'!A14)</f>
        <v>PRL-013</v>
      </c>
      <c r="O32920" t="str">
        <f>IF(N32920="","",'Master Barang'!B14)</f>
        <v>sarung tangan plastik kaka 100 pcs</v>
      </c>
      <c r="P32920">
        <f>IF(OR(M32920="",N32920=""),"",SUMIFS('Barang Keluar'!$E:$E,'Barang Keluar'!$A:$A,M32920,'Barang Keluar'!$C:$C,N32920))</f>
        <v>0</v>
      </c>
    </row>
    <row r="32921" spans="13:16">
      <c r="M32921" s="49">
        <f>IF($A$4+329&gt;$B$4,"",$A$4+329)</f>
        <v>46352</v>
      </c>
      <c r="N32921" t="str">
        <f>IF(M32921="","",'Master Barang'!A15)</f>
        <v>PRL-014</v>
      </c>
      <c r="O32921" t="str">
        <f>IF(N32921="","",'Master Barang'!B15)</f>
        <v>optima trashbag 80x100</v>
      </c>
      <c r="P32921">
        <f>IF(OR(M32921="",N32921=""),"",SUMIFS('Barang Keluar'!$E:$E,'Barang Keluar'!$A:$A,M32921,'Barang Keluar'!$C:$C,N32921))</f>
        <v>0</v>
      </c>
    </row>
    <row r="32922" spans="13:16">
      <c r="M32922" s="49">
        <f>IF($A$4+329&gt;$B$4,"",$A$4+329)</f>
        <v>46352</v>
      </c>
      <c r="N32922" t="str">
        <f>IF(M32922="","",'Master Barang'!A16)</f>
        <v>PRL-015</v>
      </c>
      <c r="O32922" t="str">
        <f>IF(N32922="","",'Master Barang'!B16)</f>
        <v>optima trashbag 60x100</v>
      </c>
      <c r="P32922">
        <f>IF(OR(M32922="",N32922=""),"",SUMIFS('Barang Keluar'!$E:$E,'Barang Keluar'!$A:$A,M32922,'Barang Keluar'!$C:$C,N32922))</f>
        <v>0</v>
      </c>
    </row>
    <row r="32923" spans="13:16">
      <c r="M32923" s="49">
        <f>IF($A$4+329&gt;$B$4,"",$A$4+329)</f>
        <v>46352</v>
      </c>
      <c r="N32923" t="str">
        <f>IF(M32923="","",'Master Barang'!A17)</f>
        <v>PRL-016</v>
      </c>
      <c r="O32923" t="str">
        <f>IF(N32923="","",'Master Barang'!B17)</f>
        <v>rajawali trashbag 30x40</v>
      </c>
      <c r="P32923">
        <f>IF(OR(M32923="",N32923=""),"",SUMIFS('Barang Keluar'!$E:$E,'Barang Keluar'!$A:$A,M32923,'Barang Keluar'!$C:$C,N32923))</f>
        <v>0</v>
      </c>
    </row>
    <row r="32924" spans="13:16">
      <c r="M32924" s="49">
        <f>IF($A$4+329&gt;$B$4,"",$A$4+329)</f>
        <v>46352</v>
      </c>
      <c r="N32924" t="str">
        <f>IF(M32924="","",'Master Barang'!A18)</f>
        <v>PRL-017</v>
      </c>
      <c r="O32924" t="str">
        <f>IF(N32924="","",'Master Barang'!B18)</f>
        <v>onemed masker biru 3 play 50 pcs</v>
      </c>
      <c r="P32924">
        <f>IF(OR(M32924="",N32924=""),"",SUMIFS('Barang Keluar'!$E:$E,'Barang Keluar'!$A:$A,M32924,'Barang Keluar'!$C:$C,N32924))</f>
        <v>0</v>
      </c>
    </row>
    <row r="32925" spans="13:16">
      <c r="M32925" s="49">
        <f>IF($A$4+329&gt;$B$4,"",$A$4+329)</f>
        <v>46352</v>
      </c>
      <c r="N32925" t="str">
        <f>IF(M32925="","",'Master Barang'!A19)</f>
        <v>PRL-018</v>
      </c>
      <c r="O32925" t="str">
        <f>IF(N32925="","",'Master Barang'!B19)</f>
        <v>onemed masker biru 3 play hijab 50 pcs</v>
      </c>
      <c r="P32925">
        <f>IF(OR(M32925="",N32925=""),"",SUMIFS('Barang Keluar'!$E:$E,'Barang Keluar'!$A:$A,M32925,'Barang Keluar'!$C:$C,N32925))</f>
        <v>0</v>
      </c>
    </row>
    <row r="32926" spans="13:16">
      <c r="M32926" s="49">
        <f>IF($A$4+329&gt;$B$4,"",$A$4+329)</f>
        <v>46352</v>
      </c>
      <c r="N32926" t="str">
        <f>IF(M32926="","",'Master Barang'!A20)</f>
        <v>PRL-019</v>
      </c>
      <c r="O32926" t="str">
        <f>IF(N32926="","",'Master Barang'!B20)</f>
        <v>neo health masker biru 3 play 50 pcs</v>
      </c>
      <c r="P32926">
        <f>IF(OR(M32926="",N32926=""),"",SUMIFS('Barang Keluar'!$E:$E,'Barang Keluar'!$A:$A,M32926,'Barang Keluar'!$C:$C,N32926))</f>
        <v>0</v>
      </c>
    </row>
    <row r="32927" spans="13:16">
      <c r="M32927" s="49">
        <f>IF($A$4+329&gt;$B$4,"",$A$4+329)</f>
        <v>46352</v>
      </c>
      <c r="N32927" t="str">
        <f>IF(M32927="","",'Master Barang'!A21)</f>
        <v>PRL-020</v>
      </c>
      <c r="O32927" t="str">
        <f>IF(N32927="","",'Master Barang'!B21)</f>
        <v>baymed masker hijau 3 play hijau 50 pcs</v>
      </c>
      <c r="P32927">
        <f>IF(OR(M32927="",N32927=""),"",SUMIFS('Barang Keluar'!$E:$E,'Barang Keluar'!$A:$A,M32927,'Barang Keluar'!$C:$C,N32927))</f>
        <v>0</v>
      </c>
    </row>
    <row r="32928" spans="13:16">
      <c r="M32928" s="49">
        <f>IF($A$4+329&gt;$B$4,"",$A$4+329)</f>
        <v>46352</v>
      </c>
      <c r="N32928" t="str">
        <f>IF(M32928="","",'Master Barang'!A22)</f>
        <v>PRL-021</v>
      </c>
      <c r="O32928" t="str">
        <f>IF(N32928="","",'Master Barang'!B22)</f>
        <v>altamed nurse cap penutup kepala 100 pcs</v>
      </c>
      <c r="P32928">
        <f>IF(OR(M32928="",N32928=""),"",SUMIFS('Barang Keluar'!$E:$E,'Barang Keluar'!$A:$A,M32928,'Barang Keluar'!$C:$C,N32928))</f>
        <v>0</v>
      </c>
    </row>
    <row r="32929" spans="13:16">
      <c r="M32929" s="49">
        <f>IF($A$4+329&gt;$B$4,"",$A$4+329)</f>
        <v>46352</v>
      </c>
      <c r="N32929" t="str">
        <f>IF(M32929="","",'Master Barang'!A23)</f>
        <v>PRL-022</v>
      </c>
      <c r="O32929" t="str">
        <f>IF(N32929="","",'Master Barang'!B23)</f>
        <v>sabun cuci tangan</v>
      </c>
      <c r="P32929">
        <f>IF(OR(M32929="",N32929=""),"",SUMIFS('Barang Keluar'!$E:$E,'Barang Keluar'!$A:$A,M32929,'Barang Keluar'!$C:$C,N32929))</f>
        <v>0</v>
      </c>
    </row>
    <row r="32930" spans="13:16">
      <c r="M32930" s="49">
        <f>IF($A$4+329&gt;$B$4,"",$A$4+329)</f>
        <v>46352</v>
      </c>
      <c r="N32930" t="str">
        <f>IF(M32930="","",'Master Barang'!A24)</f>
        <v>PRL-023</v>
      </c>
      <c r="O32930" t="str">
        <f>IF(N32930="","",'Master Barang'!B24)</f>
        <v>gayung kecil</v>
      </c>
      <c r="P32930">
        <f>IF(OR(M32930="",N32930=""),"",SUMIFS('Barang Keluar'!$E:$E,'Barang Keluar'!$A:$A,M32930,'Barang Keluar'!$C:$C,N32930))</f>
        <v>0</v>
      </c>
    </row>
    <row r="32931" spans="13:16">
      <c r="M32931" s="49">
        <f>IF($A$4+329&gt;$B$4,"",$A$4+329)</f>
        <v>46352</v>
      </c>
      <c r="N32931" t="str">
        <f>IF(M32931="","",'Master Barang'!A25)</f>
        <v>PRL-024</v>
      </c>
      <c r="O32931" t="str">
        <f>IF(N32931="","",'Master Barang'!B25)</f>
        <v>cikrak kecil</v>
      </c>
      <c r="P32931">
        <f>IF(OR(M32931="",N32931=""),"",SUMIFS('Barang Keluar'!$E:$E,'Barang Keluar'!$A:$A,M32931,'Barang Keluar'!$C:$C,N32931))</f>
        <v>0</v>
      </c>
    </row>
    <row r="32932" spans="13:16">
      <c r="M32932" s="49">
        <f>IF($A$4+329&gt;$B$4,"",$A$4+329)</f>
        <v>46352</v>
      </c>
      <c r="N32932" t="str">
        <f>IF(M32932="","",'Master Barang'!A26)</f>
        <v>PRL-025</v>
      </c>
      <c r="O32932" t="str">
        <f>IF(N32932="","",'Master Barang'!B26)</f>
        <v>petromax plastik kecil 12x24 100 lembar</v>
      </c>
      <c r="P32932">
        <f>IF(OR(M32932="",N32932=""),"",SUMIFS('Barang Keluar'!$E:$E,'Barang Keluar'!$A:$A,M32932,'Barang Keluar'!$C:$C,N32932))</f>
        <v>0</v>
      </c>
    </row>
    <row r="32933" spans="13:16">
      <c r="M32933" s="49">
        <f>IF($A$4+329&gt;$B$4,"",$A$4+329)</f>
        <v>46352</v>
      </c>
      <c r="N32933" t="str">
        <f>IF(M32933="","",'Master Barang'!A27)</f>
        <v>PRL-026</v>
      </c>
      <c r="O32933" t="str">
        <f>IF(N32933="","",'Master Barang'!B27)</f>
        <v>lancar kresek kecil bening </v>
      </c>
      <c r="P32933">
        <f>IF(OR(M32933="",N32933=""),"",SUMIFS('Barang Keluar'!$E:$E,'Barang Keluar'!$A:$A,M32933,'Barang Keluar'!$C:$C,N32933))</f>
        <v>0</v>
      </c>
    </row>
    <row r="32934" spans="13:16">
      <c r="M32934" s="49">
        <f>IF($A$4+329&gt;$B$4,"",$A$4+329)</f>
        <v>46352</v>
      </c>
      <c r="N32934" t="str">
        <f>IF(M32934="","",'Master Barang'!A28)</f>
        <v>PRL-027</v>
      </c>
      <c r="O32934" t="str">
        <f>IF(N32934="","",'Master Barang'!B28)</f>
        <v>kresek klin warna warni kecil</v>
      </c>
      <c r="P32934">
        <f>IF(OR(M32934="",N32934=""),"",SUMIFS('Barang Keluar'!$E:$E,'Barang Keluar'!$A:$A,M32934,'Barang Keluar'!$C:$C,N32934))</f>
        <v>0</v>
      </c>
    </row>
    <row r="32935" spans="13:16">
      <c r="M32935" s="49">
        <f>IF($A$4+329&gt;$B$4,"",$A$4+329)</f>
        <v>46352</v>
      </c>
      <c r="N32935" t="str">
        <f>IF(M32935="","",'Master Barang'!A29)</f>
        <v>PRL-028</v>
      </c>
      <c r="O32935" t="str">
        <f>IF(N32935="","",'Master Barang'!B29)</f>
        <v>ctik plastik 7x10 100 pcs</v>
      </c>
      <c r="P32935">
        <f>IF(OR(M32935="",N32935=""),"",SUMIFS('Barang Keluar'!$E:$E,'Barang Keluar'!$A:$A,M32935,'Barang Keluar'!$C:$C,N32935))</f>
        <v>0</v>
      </c>
    </row>
    <row r="32936" spans="13:16">
      <c r="M32936" s="49">
        <f>IF($A$4+329&gt;$B$4,"",$A$4+329)</f>
        <v>46352</v>
      </c>
      <c r="N32936" t="str">
        <f>IF(M32936="","",'Master Barang'!A30)</f>
        <v>PRL-029</v>
      </c>
      <c r="O32936" t="str">
        <f>IF(N32936="","",'Master Barang'!B30)</f>
        <v>ctik plastik 6x10 100 pcs</v>
      </c>
      <c r="P32936">
        <f>IF(OR(M32936="",N32936=""),"",SUMIFS('Barang Keluar'!$E:$E,'Barang Keluar'!$A:$A,M32936,'Barang Keluar'!$C:$C,N32936))</f>
        <v>0</v>
      </c>
    </row>
    <row r="32937" spans="13:16">
      <c r="M32937" s="49">
        <f>IF($A$4+329&gt;$B$4,"",$A$4+329)</f>
        <v>46352</v>
      </c>
      <c r="N32937" t="str">
        <f>IF(M32937="","",'Master Barang'!A31)</f>
        <v>PRL-030</v>
      </c>
      <c r="O32937" t="str">
        <f>IF(N32937="","",'Master Barang'!B31)</f>
        <v>klip plastik 25x16 100 pcs</v>
      </c>
      <c r="P32937">
        <f>IF(OR(M32937="",N32937=""),"",SUMIFS('Barang Keluar'!$E:$E,'Barang Keluar'!$A:$A,M32937,'Barang Keluar'!$C:$C,N32937))</f>
        <v>0</v>
      </c>
    </row>
    <row r="32938" spans="13:16">
      <c r="M32938" s="49">
        <f>IF($A$4+329&gt;$B$4,"",$A$4+329)</f>
        <v>46352</v>
      </c>
      <c r="N32938" t="str">
        <f>IF(M32938="","",'Master Barang'!A32)</f>
        <v>PRL-031</v>
      </c>
      <c r="O32938" t="str">
        <f>IF(N32938="","",'Master Barang'!B32)</f>
        <v>tempat saus 20 ml</v>
      </c>
      <c r="P32938">
        <f>IF(OR(M32938="",N32938=""),"",SUMIFS('Barang Keluar'!$E:$E,'Barang Keluar'!$A:$A,M32938,'Barang Keluar'!$C:$C,N32938))</f>
        <v>0</v>
      </c>
    </row>
    <row r="32939" spans="13:16">
      <c r="M32939" s="49">
        <f>IF($A$4+329&gt;$B$4,"",$A$4+329)</f>
        <v>46352</v>
      </c>
      <c r="N32939" t="str">
        <f>IF(M32939="","",'Master Barang'!A33)</f>
        <v>PRL-032</v>
      </c>
      <c r="O32939" t="str">
        <f>IF(N32939="","",'Master Barang'!B33)</f>
        <v>plastik packaging ag box uk sedang</v>
      </c>
      <c r="P32939">
        <f>IF(OR(M32939="",N32939=""),"",SUMIFS('Barang Keluar'!$E:$E,'Barang Keluar'!$A:$A,M32939,'Barang Keluar'!$C:$C,N32939))</f>
        <v>0</v>
      </c>
    </row>
    <row r="32940" spans="13:16">
      <c r="M32940" s="49">
        <f>IF($A$4+329&gt;$B$4,"",$A$4+329)</f>
        <v>46352</v>
      </c>
      <c r="N32940" t="str">
        <f>IF(M32940="","",'Master Barang'!A34)</f>
        <v>PRL-033</v>
      </c>
      <c r="O32940">
        <f>IF(N32940="","",'Master Barang'!B34)</f>
        <v>0</v>
      </c>
      <c r="P32940">
        <f>IF(OR(M32940="",N32940=""),"",SUMIFS('Barang Keluar'!$E:$E,'Barang Keluar'!$A:$A,M32940,'Barang Keluar'!$C:$C,N32940))</f>
        <v>0</v>
      </c>
    </row>
    <row r="32941" spans="13:16">
      <c r="M32941" s="49">
        <f>IF($A$4+329&gt;$B$4,"",$A$4+329)</f>
        <v>46352</v>
      </c>
      <c r="N32941">
        <f>IF(M32941="","",'Master Barang'!A35)</f>
        <v>0</v>
      </c>
      <c r="O32941">
        <f>IF(N32941="","",'Master Barang'!B35)</f>
        <v>0</v>
      </c>
      <c r="P32941">
        <f>IF(OR(M32941="",N32941=""),"",SUMIFS('Barang Keluar'!$E:$E,'Barang Keluar'!$A:$A,M32941,'Barang Keluar'!$C:$C,N32941))</f>
        <v>0</v>
      </c>
    </row>
    <row r="32942" spans="13:16">
      <c r="M32942" s="49">
        <f>IF($A$4+329&gt;$B$4,"",$A$4+329)</f>
        <v>46352</v>
      </c>
      <c r="N32942">
        <f>IF(M32942="","",'Master Barang'!A36)</f>
        <v>0</v>
      </c>
      <c r="O32942">
        <f>IF(N32942="","",'Master Barang'!B36)</f>
        <v>0</v>
      </c>
      <c r="P32942">
        <f>IF(OR(M32942="",N32942=""),"",SUMIFS('Barang Keluar'!$E:$E,'Barang Keluar'!$A:$A,M32942,'Barang Keluar'!$C:$C,N32942))</f>
        <v>0</v>
      </c>
    </row>
    <row r="32943" spans="13:16">
      <c r="M32943" s="49">
        <f>IF($A$4+329&gt;$B$4,"",$A$4+329)</f>
        <v>46352</v>
      </c>
      <c r="N32943">
        <f>IF(M32943="","",'Master Barang'!A37)</f>
        <v>0</v>
      </c>
      <c r="O32943">
        <f>IF(N32943="","",'Master Barang'!B37)</f>
        <v>0</v>
      </c>
      <c r="P32943">
        <f>IF(OR(M32943="",N32943=""),"",SUMIFS('Barang Keluar'!$E:$E,'Barang Keluar'!$A:$A,M32943,'Barang Keluar'!$C:$C,N32943))</f>
        <v>0</v>
      </c>
    </row>
    <row r="32944" spans="13:16">
      <c r="M32944" s="49">
        <f>IF($A$4+329&gt;$B$4,"",$A$4+329)</f>
        <v>46352</v>
      </c>
      <c r="N32944">
        <f>IF(M32944="","",'Master Barang'!A38)</f>
        <v>0</v>
      </c>
      <c r="O32944">
        <f>IF(N32944="","",'Master Barang'!B38)</f>
        <v>0</v>
      </c>
      <c r="P32944">
        <f>IF(OR(M32944="",N32944=""),"",SUMIFS('Barang Keluar'!$E:$E,'Barang Keluar'!$A:$A,M32944,'Barang Keluar'!$C:$C,N32944))</f>
        <v>0</v>
      </c>
    </row>
    <row r="32945" spans="13:16">
      <c r="M32945" s="49">
        <f>IF($A$4+329&gt;$B$4,"",$A$4+329)</f>
        <v>46352</v>
      </c>
      <c r="N32945">
        <f>IF(M32945="","",'Master Barang'!A39)</f>
        <v>0</v>
      </c>
      <c r="O32945">
        <f>IF(N32945="","",'Master Barang'!B39)</f>
        <v>0</v>
      </c>
      <c r="P32945">
        <f>IF(OR(M32945="",N32945=""),"",SUMIFS('Barang Keluar'!$E:$E,'Barang Keluar'!$A:$A,M32945,'Barang Keluar'!$C:$C,N32945))</f>
        <v>0</v>
      </c>
    </row>
    <row r="32946" spans="13:16">
      <c r="M32946" s="49">
        <f>IF($A$4+329&gt;$B$4,"",$A$4+329)</f>
        <v>46352</v>
      </c>
      <c r="N32946">
        <f>IF(M32946="","",'Master Barang'!A40)</f>
        <v>0</v>
      </c>
      <c r="O32946">
        <f>IF(N32946="","",'Master Barang'!B40)</f>
        <v>0</v>
      </c>
      <c r="P32946">
        <f>IF(OR(M32946="",N32946=""),"",SUMIFS('Barang Keluar'!$E:$E,'Barang Keluar'!$A:$A,M32946,'Barang Keluar'!$C:$C,N32946))</f>
        <v>0</v>
      </c>
    </row>
    <row r="32947" spans="13:16">
      <c r="M32947" s="49">
        <f>IF($A$4+329&gt;$B$4,"",$A$4+329)</f>
        <v>46352</v>
      </c>
      <c r="N32947">
        <f>IF(M32947="","",'Master Barang'!A41)</f>
        <v>0</v>
      </c>
      <c r="O32947">
        <f>IF(N32947="","",'Master Barang'!B41)</f>
        <v>0</v>
      </c>
      <c r="P32947">
        <f>IF(OR(M32947="",N32947=""),"",SUMIFS('Barang Keluar'!$E:$E,'Barang Keluar'!$A:$A,M32947,'Barang Keluar'!$C:$C,N32947))</f>
        <v>0</v>
      </c>
    </row>
    <row r="32948" spans="13:16">
      <c r="M32948" s="49">
        <f>IF($A$4+329&gt;$B$4,"",$A$4+329)</f>
        <v>46352</v>
      </c>
      <c r="N32948">
        <f>IF(M32948="","",'Master Barang'!A42)</f>
        <v>0</v>
      </c>
      <c r="O32948">
        <f>IF(N32948="","",'Master Barang'!B42)</f>
        <v>0</v>
      </c>
      <c r="P32948">
        <f>IF(OR(M32948="",N32948=""),"",SUMIFS('Barang Keluar'!$E:$E,'Barang Keluar'!$A:$A,M32948,'Barang Keluar'!$C:$C,N32948))</f>
        <v>0</v>
      </c>
    </row>
    <row r="32949" spans="13:16">
      <c r="M32949" s="49">
        <f>IF($A$4+329&gt;$B$4,"",$A$4+329)</f>
        <v>46352</v>
      </c>
      <c r="N32949">
        <f>IF(M32949="","",'Master Barang'!A43)</f>
        <v>0</v>
      </c>
      <c r="O32949">
        <f>IF(N32949="","",'Master Barang'!B43)</f>
        <v>0</v>
      </c>
      <c r="P32949">
        <f>IF(OR(M32949="",N32949=""),"",SUMIFS('Barang Keluar'!$E:$E,'Barang Keluar'!$A:$A,M32949,'Barang Keluar'!$C:$C,N32949))</f>
        <v>0</v>
      </c>
    </row>
    <row r="32950" spans="13:16">
      <c r="M32950" s="49">
        <f>IF($A$4+329&gt;$B$4,"",$A$4+329)</f>
        <v>46352</v>
      </c>
      <c r="N32950">
        <f>IF(M32950="","",'Master Barang'!A44)</f>
        <v>0</v>
      </c>
      <c r="O32950">
        <f>IF(N32950="","",'Master Barang'!B44)</f>
        <v>0</v>
      </c>
      <c r="P32950">
        <f>IF(OR(M32950="",N32950=""),"",SUMIFS('Barang Keluar'!$E:$E,'Barang Keluar'!$A:$A,M32950,'Barang Keluar'!$C:$C,N32950))</f>
        <v>0</v>
      </c>
    </row>
    <row r="32951" spans="13:16">
      <c r="M32951" s="49">
        <f>IF($A$4+329&gt;$B$4,"",$A$4+329)</f>
        <v>46352</v>
      </c>
      <c r="N32951">
        <f>IF(M32951="","",'Master Barang'!A45)</f>
        <v>0</v>
      </c>
      <c r="O32951">
        <f>IF(N32951="","",'Master Barang'!B45)</f>
        <v>0</v>
      </c>
      <c r="P32951">
        <f>IF(OR(M32951="",N32951=""),"",SUMIFS('Barang Keluar'!$E:$E,'Barang Keluar'!$A:$A,M32951,'Barang Keluar'!$C:$C,N32951))</f>
        <v>0</v>
      </c>
    </row>
    <row r="32952" spans="13:16">
      <c r="M32952" s="49">
        <f>IF($A$4+329&gt;$B$4,"",$A$4+329)</f>
        <v>46352</v>
      </c>
      <c r="N32952">
        <f>IF(M32952="","",'Master Barang'!A46)</f>
        <v>0</v>
      </c>
      <c r="O32952">
        <f>IF(N32952="","",'Master Barang'!B46)</f>
        <v>0</v>
      </c>
      <c r="P32952">
        <f>IF(OR(M32952="",N32952=""),"",SUMIFS('Barang Keluar'!$E:$E,'Barang Keluar'!$A:$A,M32952,'Barang Keluar'!$C:$C,N32952))</f>
        <v>0</v>
      </c>
    </row>
    <row r="32953" spans="13:16">
      <c r="M32953" s="49">
        <f>IF($A$4+329&gt;$B$4,"",$A$4+329)</f>
        <v>46352</v>
      </c>
      <c r="N32953">
        <f>IF(M32953="","",'Master Barang'!A47)</f>
        <v>0</v>
      </c>
      <c r="O32953">
        <f>IF(N32953="","",'Master Barang'!B47)</f>
        <v>0</v>
      </c>
      <c r="P32953">
        <f>IF(OR(M32953="",N32953=""),"",SUMIFS('Barang Keluar'!$E:$E,'Barang Keluar'!$A:$A,M32953,'Barang Keluar'!$C:$C,N32953))</f>
        <v>0</v>
      </c>
    </row>
    <row r="32954" spans="13:16">
      <c r="M32954" s="49">
        <f>IF($A$4+329&gt;$B$4,"",$A$4+329)</f>
        <v>46352</v>
      </c>
      <c r="N32954">
        <f>IF(M32954="","",'Master Barang'!A48)</f>
        <v>0</v>
      </c>
      <c r="O32954">
        <f>IF(N32954="","",'Master Barang'!B48)</f>
        <v>0</v>
      </c>
      <c r="P32954">
        <f>IF(OR(M32954="",N32954=""),"",SUMIFS('Barang Keluar'!$E:$E,'Barang Keluar'!$A:$A,M32954,'Barang Keluar'!$C:$C,N32954))</f>
        <v>0</v>
      </c>
    </row>
    <row r="32955" spans="13:16">
      <c r="M32955" s="49">
        <f>IF($A$4+329&gt;$B$4,"",$A$4+329)</f>
        <v>46352</v>
      </c>
      <c r="N32955">
        <f>IF(M32955="","",'Master Barang'!A49)</f>
        <v>0</v>
      </c>
      <c r="O32955">
        <f>IF(N32955="","",'Master Barang'!B49)</f>
        <v>0</v>
      </c>
      <c r="P32955">
        <f>IF(OR(M32955="",N32955=""),"",SUMIFS('Barang Keluar'!$E:$E,'Barang Keluar'!$A:$A,M32955,'Barang Keluar'!$C:$C,N32955))</f>
        <v>0</v>
      </c>
    </row>
    <row r="32956" spans="13:16">
      <c r="M32956" s="49">
        <f>IF($A$4+329&gt;$B$4,"",$A$4+329)</f>
        <v>46352</v>
      </c>
      <c r="N32956">
        <f>IF(M32956="","",'Master Barang'!A50)</f>
        <v>0</v>
      </c>
      <c r="O32956">
        <f>IF(N32956="","",'Master Barang'!B50)</f>
        <v>0</v>
      </c>
      <c r="P32956">
        <f>IF(OR(M32956="",N32956=""),"",SUMIFS('Barang Keluar'!$E:$E,'Barang Keluar'!$A:$A,M32956,'Barang Keluar'!$C:$C,N32956))</f>
        <v>0</v>
      </c>
    </row>
    <row r="32957" spans="13:16">
      <c r="M32957" s="49">
        <f>IF($A$4+329&gt;$B$4,"",$A$4+329)</f>
        <v>46352</v>
      </c>
      <c r="N32957">
        <f>IF(M32957="","",'Master Barang'!A51)</f>
        <v>0</v>
      </c>
      <c r="O32957">
        <f>IF(N32957="","",'Master Barang'!B51)</f>
        <v>0</v>
      </c>
      <c r="P32957">
        <f>IF(OR(M32957="",N32957=""),"",SUMIFS('Barang Keluar'!$E:$E,'Barang Keluar'!$A:$A,M32957,'Barang Keluar'!$C:$C,N32957))</f>
        <v>0</v>
      </c>
    </row>
    <row r="32958" spans="13:16">
      <c r="M32958" s="49">
        <f>IF($A$4+329&gt;$B$4,"",$A$4+329)</f>
        <v>46352</v>
      </c>
      <c r="N32958">
        <f>IF(M32958="","",'Master Barang'!A52)</f>
        <v>0</v>
      </c>
      <c r="O32958">
        <f>IF(N32958="","",'Master Barang'!B52)</f>
        <v>0</v>
      </c>
      <c r="P32958">
        <f>IF(OR(M32958="",N32958=""),"",SUMIFS('Barang Keluar'!$E:$E,'Barang Keluar'!$A:$A,M32958,'Barang Keluar'!$C:$C,N32958))</f>
        <v>0</v>
      </c>
    </row>
    <row r="32959" spans="13:16">
      <c r="M32959" s="49">
        <f>IF($A$4+329&gt;$B$4,"",$A$4+329)</f>
        <v>46352</v>
      </c>
      <c r="N32959">
        <f>IF(M32959="","",'Master Barang'!A53)</f>
        <v>0</v>
      </c>
      <c r="O32959">
        <f>IF(N32959="","",'Master Barang'!B53)</f>
        <v>0</v>
      </c>
      <c r="P32959">
        <f>IF(OR(M32959="",N32959=""),"",SUMIFS('Barang Keluar'!$E:$E,'Barang Keluar'!$A:$A,M32959,'Barang Keluar'!$C:$C,N32959))</f>
        <v>0</v>
      </c>
    </row>
    <row r="32960" spans="13:16">
      <c r="M32960" s="49">
        <f>IF($A$4+329&gt;$B$4,"",$A$4+329)</f>
        <v>46352</v>
      </c>
      <c r="N32960">
        <f>IF(M32960="","",'Master Barang'!A54)</f>
        <v>0</v>
      </c>
      <c r="O32960">
        <f>IF(N32960="","",'Master Barang'!B54)</f>
        <v>0</v>
      </c>
      <c r="P32960">
        <f>IF(OR(M32960="",N32960=""),"",SUMIFS('Barang Keluar'!$E:$E,'Barang Keluar'!$A:$A,M32960,'Barang Keluar'!$C:$C,N32960))</f>
        <v>0</v>
      </c>
    </row>
    <row r="32961" spans="13:16">
      <c r="M32961" s="49">
        <f>IF($A$4+329&gt;$B$4,"",$A$4+329)</f>
        <v>46352</v>
      </c>
      <c r="N32961">
        <f>IF(M32961="","",'Master Barang'!A55)</f>
        <v>0</v>
      </c>
      <c r="O32961">
        <f>IF(N32961="","",'Master Barang'!B55)</f>
        <v>0</v>
      </c>
      <c r="P32961">
        <f>IF(OR(M32961="",N32961=""),"",SUMIFS('Barang Keluar'!$E:$E,'Barang Keluar'!$A:$A,M32961,'Barang Keluar'!$C:$C,N32961))</f>
        <v>0</v>
      </c>
    </row>
    <row r="32962" spans="13:16">
      <c r="M32962" s="49">
        <f>IF($A$4+329&gt;$B$4,"",$A$4+329)</f>
        <v>46352</v>
      </c>
      <c r="N32962">
        <f>IF(M32962="","",'Master Barang'!A56)</f>
        <v>0</v>
      </c>
      <c r="O32962">
        <f>IF(N32962="","",'Master Barang'!B56)</f>
        <v>0</v>
      </c>
      <c r="P32962">
        <f>IF(OR(M32962="",N32962=""),"",SUMIFS('Barang Keluar'!$E:$E,'Barang Keluar'!$A:$A,M32962,'Barang Keluar'!$C:$C,N32962))</f>
        <v>0</v>
      </c>
    </row>
    <row r="32963" spans="13:16">
      <c r="M32963" s="49">
        <f>IF($A$4+329&gt;$B$4,"",$A$4+329)</f>
        <v>46352</v>
      </c>
      <c r="N32963">
        <f>IF(M32963="","",'Master Barang'!A57)</f>
        <v>0</v>
      </c>
      <c r="O32963">
        <f>IF(N32963="","",'Master Barang'!B57)</f>
        <v>0</v>
      </c>
      <c r="P32963">
        <f>IF(OR(M32963="",N32963=""),"",SUMIFS('Barang Keluar'!$E:$E,'Barang Keluar'!$A:$A,M32963,'Barang Keluar'!$C:$C,N32963))</f>
        <v>0</v>
      </c>
    </row>
    <row r="32964" spans="13:16">
      <c r="M32964" s="49">
        <f>IF($A$4+329&gt;$B$4,"",$A$4+329)</f>
        <v>46352</v>
      </c>
      <c r="N32964">
        <f>IF(M32964="","",'Master Barang'!A58)</f>
        <v>0</v>
      </c>
      <c r="O32964">
        <f>IF(N32964="","",'Master Barang'!B58)</f>
        <v>0</v>
      </c>
      <c r="P32964">
        <f>IF(OR(M32964="",N32964=""),"",SUMIFS('Barang Keluar'!$E:$E,'Barang Keluar'!$A:$A,M32964,'Barang Keluar'!$C:$C,N32964))</f>
        <v>0</v>
      </c>
    </row>
    <row r="32965" spans="13:16">
      <c r="M32965" s="49">
        <f>IF($A$4+329&gt;$B$4,"",$A$4+329)</f>
        <v>46352</v>
      </c>
      <c r="N32965">
        <f>IF(M32965="","",'Master Barang'!A59)</f>
        <v>0</v>
      </c>
      <c r="O32965">
        <f>IF(N32965="","",'Master Barang'!B59)</f>
        <v>0</v>
      </c>
      <c r="P32965">
        <f>IF(OR(M32965="",N32965=""),"",SUMIFS('Barang Keluar'!$E:$E,'Barang Keluar'!$A:$A,M32965,'Barang Keluar'!$C:$C,N32965))</f>
        <v>0</v>
      </c>
    </row>
    <row r="32966" spans="13:16">
      <c r="M32966" s="49">
        <f>IF($A$4+329&gt;$B$4,"",$A$4+329)</f>
        <v>46352</v>
      </c>
      <c r="N32966">
        <f>IF(M32966="","",'Master Barang'!A60)</f>
        <v>0</v>
      </c>
      <c r="O32966">
        <f>IF(N32966="","",'Master Barang'!B60)</f>
        <v>0</v>
      </c>
      <c r="P32966">
        <f>IF(OR(M32966="",N32966=""),"",SUMIFS('Barang Keluar'!$E:$E,'Barang Keluar'!$A:$A,M32966,'Barang Keluar'!$C:$C,N32966))</f>
        <v>0</v>
      </c>
    </row>
    <row r="32967" spans="13:16">
      <c r="M32967" s="49">
        <f>IF($A$4+329&gt;$B$4,"",$A$4+329)</f>
        <v>46352</v>
      </c>
      <c r="N32967">
        <f>IF(M32967="","",'Master Barang'!A61)</f>
        <v>0</v>
      </c>
      <c r="O32967">
        <f>IF(N32967="","",'Master Barang'!B61)</f>
        <v>0</v>
      </c>
      <c r="P32967">
        <f>IF(OR(M32967="",N32967=""),"",SUMIFS('Barang Keluar'!$E:$E,'Barang Keluar'!$A:$A,M32967,'Barang Keluar'!$C:$C,N32967))</f>
        <v>0</v>
      </c>
    </row>
    <row r="32968" spans="13:16">
      <c r="M32968" s="49">
        <f>IF($A$4+329&gt;$B$4,"",$A$4+329)</f>
        <v>46352</v>
      </c>
      <c r="N32968">
        <f>IF(M32968="","",'Master Barang'!A62)</f>
        <v>0</v>
      </c>
      <c r="O32968">
        <f>IF(N32968="","",'Master Barang'!B62)</f>
        <v>0</v>
      </c>
      <c r="P32968">
        <f>IF(OR(M32968="",N32968=""),"",SUMIFS('Barang Keluar'!$E:$E,'Barang Keluar'!$A:$A,M32968,'Barang Keluar'!$C:$C,N32968))</f>
        <v>0</v>
      </c>
    </row>
    <row r="32969" spans="13:16">
      <c r="M32969" s="49">
        <f>IF($A$4+329&gt;$B$4,"",$A$4+329)</f>
        <v>46352</v>
      </c>
      <c r="N32969">
        <f>IF(M32969="","",'Master Barang'!A63)</f>
        <v>0</v>
      </c>
      <c r="O32969">
        <f>IF(N32969="","",'Master Barang'!B63)</f>
        <v>0</v>
      </c>
      <c r="P32969">
        <f>IF(OR(M32969="",N32969=""),"",SUMIFS('Barang Keluar'!$E:$E,'Barang Keluar'!$A:$A,M32969,'Barang Keluar'!$C:$C,N32969))</f>
        <v>0</v>
      </c>
    </row>
    <row r="32970" spans="13:16">
      <c r="M32970" s="49">
        <f>IF($A$4+329&gt;$B$4,"",$A$4+329)</f>
        <v>46352</v>
      </c>
      <c r="N32970">
        <f>IF(M32970="","",'Master Barang'!A64)</f>
        <v>0</v>
      </c>
      <c r="O32970">
        <f>IF(N32970="","",'Master Barang'!B64)</f>
        <v>0</v>
      </c>
      <c r="P32970">
        <f>IF(OR(M32970="",N32970=""),"",SUMIFS('Barang Keluar'!$E:$E,'Barang Keluar'!$A:$A,M32970,'Barang Keluar'!$C:$C,N32970))</f>
        <v>0</v>
      </c>
    </row>
    <row r="32971" spans="13:16">
      <c r="M32971" s="49">
        <f>IF($A$4+329&gt;$B$4,"",$A$4+329)</f>
        <v>46352</v>
      </c>
      <c r="N32971">
        <f>IF(M32971="","",'Master Barang'!A65)</f>
        <v>0</v>
      </c>
      <c r="O32971">
        <f>IF(N32971="","",'Master Barang'!B65)</f>
        <v>0</v>
      </c>
      <c r="P32971">
        <f>IF(OR(M32971="",N32971=""),"",SUMIFS('Barang Keluar'!$E:$E,'Barang Keluar'!$A:$A,M32971,'Barang Keluar'!$C:$C,N32971))</f>
        <v>0</v>
      </c>
    </row>
    <row r="32972" spans="13:16">
      <c r="M32972" s="49">
        <f>IF($A$4+329&gt;$B$4,"",$A$4+329)</f>
        <v>46352</v>
      </c>
      <c r="N32972">
        <f>IF(M32972="","",'Master Barang'!A66)</f>
        <v>0</v>
      </c>
      <c r="O32972">
        <f>IF(N32972="","",'Master Barang'!B66)</f>
        <v>0</v>
      </c>
      <c r="P32972">
        <f>IF(OR(M32972="",N32972=""),"",SUMIFS('Barang Keluar'!$E:$E,'Barang Keluar'!$A:$A,M32972,'Barang Keluar'!$C:$C,N32972))</f>
        <v>0</v>
      </c>
    </row>
    <row r="32973" spans="13:16">
      <c r="M32973" s="49">
        <f>IF($A$4+329&gt;$B$4,"",$A$4+329)</f>
        <v>46352</v>
      </c>
      <c r="N32973">
        <f>IF(M32973="","",'Master Barang'!A67)</f>
        <v>0</v>
      </c>
      <c r="O32973">
        <f>IF(N32973="","",'Master Barang'!B67)</f>
        <v>0</v>
      </c>
      <c r="P32973">
        <f>IF(OR(M32973="",N32973=""),"",SUMIFS('Barang Keluar'!$E:$E,'Barang Keluar'!$A:$A,M32973,'Barang Keluar'!$C:$C,N32973))</f>
        <v>0</v>
      </c>
    </row>
    <row r="32974" spans="13:16">
      <c r="M32974" s="49">
        <f>IF($A$4+329&gt;$B$4,"",$A$4+329)</f>
        <v>46352</v>
      </c>
      <c r="N32974">
        <f>IF(M32974="","",'Master Barang'!A68)</f>
        <v>0</v>
      </c>
      <c r="O32974">
        <f>IF(N32974="","",'Master Barang'!B68)</f>
        <v>0</v>
      </c>
      <c r="P32974">
        <f>IF(OR(M32974="",N32974=""),"",SUMIFS('Barang Keluar'!$E:$E,'Barang Keluar'!$A:$A,M32974,'Barang Keluar'!$C:$C,N32974))</f>
        <v>0</v>
      </c>
    </row>
    <row r="32975" spans="13:16">
      <c r="M32975" s="49">
        <f>IF($A$4+329&gt;$B$4,"",$A$4+329)</f>
        <v>46352</v>
      </c>
      <c r="N32975">
        <f>IF(M32975="","",'Master Barang'!A69)</f>
        <v>0</v>
      </c>
      <c r="O32975">
        <f>IF(N32975="","",'Master Barang'!B69)</f>
        <v>0</v>
      </c>
      <c r="P32975">
        <f>IF(OR(M32975="",N32975=""),"",SUMIFS('Barang Keluar'!$E:$E,'Barang Keluar'!$A:$A,M32975,'Barang Keluar'!$C:$C,N32975))</f>
        <v>0</v>
      </c>
    </row>
    <row r="32976" spans="13:16">
      <c r="M32976" s="49">
        <f>IF($A$4+329&gt;$B$4,"",$A$4+329)</f>
        <v>46352</v>
      </c>
      <c r="N32976">
        <f>IF(M32976="","",'Master Barang'!A70)</f>
        <v>0</v>
      </c>
      <c r="O32976">
        <f>IF(N32976="","",'Master Barang'!B70)</f>
        <v>0</v>
      </c>
      <c r="P32976">
        <f>IF(OR(M32976="",N32976=""),"",SUMIFS('Barang Keluar'!$E:$E,'Barang Keluar'!$A:$A,M32976,'Barang Keluar'!$C:$C,N32976))</f>
        <v>0</v>
      </c>
    </row>
    <row r="32977" spans="13:16">
      <c r="M32977" s="49">
        <f>IF($A$4+329&gt;$B$4,"",$A$4+329)</f>
        <v>46352</v>
      </c>
      <c r="N32977">
        <f>IF(M32977="","",'Master Barang'!A71)</f>
        <v>0</v>
      </c>
      <c r="O32977">
        <f>IF(N32977="","",'Master Barang'!B71)</f>
        <v>0</v>
      </c>
      <c r="P32977">
        <f>IF(OR(M32977="",N32977=""),"",SUMIFS('Barang Keluar'!$E:$E,'Barang Keluar'!$A:$A,M32977,'Barang Keluar'!$C:$C,N32977))</f>
        <v>0</v>
      </c>
    </row>
    <row r="32978" spans="13:16">
      <c r="M32978" s="49">
        <f>IF($A$4+329&gt;$B$4,"",$A$4+329)</f>
        <v>46352</v>
      </c>
      <c r="N32978">
        <f>IF(M32978="","",'Master Barang'!A72)</f>
        <v>0</v>
      </c>
      <c r="O32978">
        <f>IF(N32978="","",'Master Barang'!B72)</f>
        <v>0</v>
      </c>
      <c r="P32978">
        <f>IF(OR(M32978="",N32978=""),"",SUMIFS('Barang Keluar'!$E:$E,'Barang Keluar'!$A:$A,M32978,'Barang Keluar'!$C:$C,N32978))</f>
        <v>0</v>
      </c>
    </row>
    <row r="32979" spans="13:16">
      <c r="M32979" s="49">
        <f>IF($A$4+329&gt;$B$4,"",$A$4+329)</f>
        <v>46352</v>
      </c>
      <c r="N32979">
        <f>IF(M32979="","",'Master Barang'!A73)</f>
        <v>0</v>
      </c>
      <c r="O32979">
        <f>IF(N32979="","",'Master Barang'!B73)</f>
        <v>0</v>
      </c>
      <c r="P32979">
        <f>IF(OR(M32979="",N32979=""),"",SUMIFS('Barang Keluar'!$E:$E,'Barang Keluar'!$A:$A,M32979,'Barang Keluar'!$C:$C,N32979))</f>
        <v>0</v>
      </c>
    </row>
    <row r="32980" spans="13:16">
      <c r="M32980" s="49">
        <f>IF($A$4+329&gt;$B$4,"",$A$4+329)</f>
        <v>46352</v>
      </c>
      <c r="N32980">
        <f>IF(M32980="","",'Master Barang'!A74)</f>
        <v>0</v>
      </c>
      <c r="O32980">
        <f>IF(N32980="","",'Master Barang'!B74)</f>
        <v>0</v>
      </c>
      <c r="P32980">
        <f>IF(OR(M32980="",N32980=""),"",SUMIFS('Barang Keluar'!$E:$E,'Barang Keluar'!$A:$A,M32980,'Barang Keluar'!$C:$C,N32980))</f>
        <v>0</v>
      </c>
    </row>
    <row r="32981" spans="13:16">
      <c r="M32981" s="49">
        <f>IF($A$4+329&gt;$B$4,"",$A$4+329)</f>
        <v>46352</v>
      </c>
      <c r="N32981">
        <f>IF(M32981="","",'Master Barang'!A75)</f>
        <v>0</v>
      </c>
      <c r="O32981">
        <f>IF(N32981="","",'Master Barang'!B75)</f>
        <v>0</v>
      </c>
      <c r="P32981">
        <f>IF(OR(M32981="",N32981=""),"",SUMIFS('Barang Keluar'!$E:$E,'Barang Keluar'!$A:$A,M32981,'Barang Keluar'!$C:$C,N32981))</f>
        <v>0</v>
      </c>
    </row>
    <row r="32982" spans="13:16">
      <c r="M32982" s="49">
        <f>IF($A$4+329&gt;$B$4,"",$A$4+329)</f>
        <v>46352</v>
      </c>
      <c r="N32982">
        <f>IF(M32982="","",'Master Barang'!A76)</f>
        <v>0</v>
      </c>
      <c r="O32982">
        <f>IF(N32982="","",'Master Barang'!B76)</f>
        <v>0</v>
      </c>
      <c r="P32982">
        <f>IF(OR(M32982="",N32982=""),"",SUMIFS('Barang Keluar'!$E:$E,'Barang Keluar'!$A:$A,M32982,'Barang Keluar'!$C:$C,N32982))</f>
        <v>0</v>
      </c>
    </row>
    <row r="32983" spans="13:16">
      <c r="M32983" s="49">
        <f>IF($A$4+329&gt;$B$4,"",$A$4+329)</f>
        <v>46352</v>
      </c>
      <c r="N32983">
        <f>IF(M32983="","",'Master Barang'!A77)</f>
        <v>0</v>
      </c>
      <c r="O32983">
        <f>IF(N32983="","",'Master Barang'!B77)</f>
        <v>0</v>
      </c>
      <c r="P32983">
        <f>IF(OR(M32983="",N32983=""),"",SUMIFS('Barang Keluar'!$E:$E,'Barang Keluar'!$A:$A,M32983,'Barang Keluar'!$C:$C,N32983))</f>
        <v>0</v>
      </c>
    </row>
    <row r="32984" spans="13:16">
      <c r="M32984" s="49">
        <f>IF($A$4+329&gt;$B$4,"",$A$4+329)</f>
        <v>46352</v>
      </c>
      <c r="N32984">
        <f>IF(M32984="","",'Master Barang'!A78)</f>
        <v>0</v>
      </c>
      <c r="O32984">
        <f>IF(N32984="","",'Master Barang'!B78)</f>
        <v>0</v>
      </c>
      <c r="P32984">
        <f>IF(OR(M32984="",N32984=""),"",SUMIFS('Barang Keluar'!$E:$E,'Barang Keluar'!$A:$A,M32984,'Barang Keluar'!$C:$C,N32984))</f>
        <v>0</v>
      </c>
    </row>
    <row r="32985" spans="13:16">
      <c r="M32985" s="49">
        <f>IF($A$4+329&gt;$B$4,"",$A$4+329)</f>
        <v>46352</v>
      </c>
      <c r="N32985">
        <f>IF(M32985="","",'Master Barang'!A79)</f>
        <v>0</v>
      </c>
      <c r="O32985">
        <f>IF(N32985="","",'Master Barang'!B79)</f>
        <v>0</v>
      </c>
      <c r="P32985">
        <f>IF(OR(M32985="",N32985=""),"",SUMIFS('Barang Keluar'!$E:$E,'Barang Keluar'!$A:$A,M32985,'Barang Keluar'!$C:$C,N32985))</f>
        <v>0</v>
      </c>
    </row>
    <row r="32986" spans="13:16">
      <c r="M32986" s="49">
        <f>IF($A$4+329&gt;$B$4,"",$A$4+329)</f>
        <v>46352</v>
      </c>
      <c r="N32986">
        <f>IF(M32986="","",'Master Barang'!A80)</f>
        <v>0</v>
      </c>
      <c r="O32986">
        <f>IF(N32986="","",'Master Barang'!B80)</f>
        <v>0</v>
      </c>
      <c r="P32986">
        <f>IF(OR(M32986="",N32986=""),"",SUMIFS('Barang Keluar'!$E:$E,'Barang Keluar'!$A:$A,M32986,'Barang Keluar'!$C:$C,N32986))</f>
        <v>0</v>
      </c>
    </row>
    <row r="32987" spans="13:16">
      <c r="M32987" s="49">
        <f>IF($A$4+329&gt;$B$4,"",$A$4+329)</f>
        <v>46352</v>
      </c>
      <c r="N32987">
        <f>IF(M32987="","",'Master Barang'!A81)</f>
        <v>0</v>
      </c>
      <c r="O32987">
        <f>IF(N32987="","",'Master Barang'!B81)</f>
        <v>0</v>
      </c>
      <c r="P32987">
        <f>IF(OR(M32987="",N32987=""),"",SUMIFS('Barang Keluar'!$E:$E,'Barang Keluar'!$A:$A,M32987,'Barang Keluar'!$C:$C,N32987))</f>
        <v>0</v>
      </c>
    </row>
    <row r="32988" spans="13:16">
      <c r="M32988" s="49">
        <f>IF($A$4+329&gt;$B$4,"",$A$4+329)</f>
        <v>46352</v>
      </c>
      <c r="N32988">
        <f>IF(M32988="","",'Master Barang'!A82)</f>
        <v>0</v>
      </c>
      <c r="O32988">
        <f>IF(N32988="","",'Master Barang'!B82)</f>
        <v>0</v>
      </c>
      <c r="P32988">
        <f>IF(OR(M32988="",N32988=""),"",SUMIFS('Barang Keluar'!$E:$E,'Barang Keluar'!$A:$A,M32988,'Barang Keluar'!$C:$C,N32988))</f>
        <v>0</v>
      </c>
    </row>
    <row r="32989" spans="13:16">
      <c r="M32989" s="49">
        <f>IF($A$4+329&gt;$B$4,"",$A$4+329)</f>
        <v>46352</v>
      </c>
      <c r="N32989">
        <f>IF(M32989="","",'Master Barang'!A83)</f>
        <v>0</v>
      </c>
      <c r="O32989">
        <f>IF(N32989="","",'Master Barang'!B83)</f>
        <v>0</v>
      </c>
      <c r="P32989">
        <f>IF(OR(M32989="",N32989=""),"",SUMIFS('Barang Keluar'!$E:$E,'Barang Keluar'!$A:$A,M32989,'Barang Keluar'!$C:$C,N32989))</f>
        <v>0</v>
      </c>
    </row>
    <row r="32990" spans="13:16">
      <c r="M32990" s="49">
        <f>IF($A$4+329&gt;$B$4,"",$A$4+329)</f>
        <v>46352</v>
      </c>
      <c r="N32990">
        <f>IF(M32990="","",'Master Barang'!A84)</f>
        <v>0</v>
      </c>
      <c r="O32990">
        <f>IF(N32990="","",'Master Barang'!B84)</f>
        <v>0</v>
      </c>
      <c r="P32990">
        <f>IF(OR(M32990="",N32990=""),"",SUMIFS('Barang Keluar'!$E:$E,'Barang Keluar'!$A:$A,M32990,'Barang Keluar'!$C:$C,N32990))</f>
        <v>0</v>
      </c>
    </row>
    <row r="32991" spans="13:16">
      <c r="M32991" s="49">
        <f>IF($A$4+329&gt;$B$4,"",$A$4+329)</f>
        <v>46352</v>
      </c>
      <c r="N32991">
        <f>IF(M32991="","",'Master Barang'!A85)</f>
        <v>0</v>
      </c>
      <c r="O32991">
        <f>IF(N32991="","",'Master Barang'!B85)</f>
        <v>0</v>
      </c>
      <c r="P32991">
        <f>IF(OR(M32991="",N32991=""),"",SUMIFS('Barang Keluar'!$E:$E,'Barang Keluar'!$A:$A,M32991,'Barang Keluar'!$C:$C,N32991))</f>
        <v>0</v>
      </c>
    </row>
    <row r="32992" spans="13:16">
      <c r="M32992" s="49">
        <f>IF($A$4+329&gt;$B$4,"",$A$4+329)</f>
        <v>46352</v>
      </c>
      <c r="N32992">
        <f>IF(M32992="","",'Master Barang'!A86)</f>
        <v>0</v>
      </c>
      <c r="O32992">
        <f>IF(N32992="","",'Master Barang'!B86)</f>
        <v>0</v>
      </c>
      <c r="P32992">
        <f>IF(OR(M32992="",N32992=""),"",SUMIFS('Barang Keluar'!$E:$E,'Barang Keluar'!$A:$A,M32992,'Barang Keluar'!$C:$C,N32992))</f>
        <v>0</v>
      </c>
    </row>
    <row r="32993" spans="13:16">
      <c r="M32993" s="49">
        <f>IF($A$4+329&gt;$B$4,"",$A$4+329)</f>
        <v>46352</v>
      </c>
      <c r="N32993">
        <f>IF(M32993="","",'Master Barang'!A87)</f>
        <v>0</v>
      </c>
      <c r="O32993">
        <f>IF(N32993="","",'Master Barang'!B87)</f>
        <v>0</v>
      </c>
      <c r="P32993">
        <f>IF(OR(M32993="",N32993=""),"",SUMIFS('Barang Keluar'!$E:$E,'Barang Keluar'!$A:$A,M32993,'Barang Keluar'!$C:$C,N32993))</f>
        <v>0</v>
      </c>
    </row>
    <row r="32994" spans="13:16">
      <c r="M32994" s="49">
        <f>IF($A$4+329&gt;$B$4,"",$A$4+329)</f>
        <v>46352</v>
      </c>
      <c r="N32994">
        <f>IF(M32994="","",'Master Barang'!A88)</f>
        <v>0</v>
      </c>
      <c r="O32994">
        <f>IF(N32994="","",'Master Barang'!B88)</f>
        <v>0</v>
      </c>
      <c r="P32994">
        <f>IF(OR(M32994="",N32994=""),"",SUMIFS('Barang Keluar'!$E:$E,'Barang Keluar'!$A:$A,M32994,'Barang Keluar'!$C:$C,N32994))</f>
        <v>0</v>
      </c>
    </row>
    <row r="32995" spans="13:16">
      <c r="M32995" s="49">
        <f>IF($A$4+329&gt;$B$4,"",$A$4+329)</f>
        <v>46352</v>
      </c>
      <c r="N32995">
        <f>IF(M32995="","",'Master Barang'!A89)</f>
        <v>0</v>
      </c>
      <c r="O32995">
        <f>IF(N32995="","",'Master Barang'!B89)</f>
        <v>0</v>
      </c>
      <c r="P32995">
        <f>IF(OR(M32995="",N32995=""),"",SUMIFS('Barang Keluar'!$E:$E,'Barang Keluar'!$A:$A,M32995,'Barang Keluar'!$C:$C,N32995))</f>
        <v>0</v>
      </c>
    </row>
    <row r="32996" spans="13:16">
      <c r="M32996" s="49">
        <f>IF($A$4+329&gt;$B$4,"",$A$4+329)</f>
        <v>46352</v>
      </c>
      <c r="N32996">
        <f>IF(M32996="","",'Master Barang'!A90)</f>
        <v>0</v>
      </c>
      <c r="O32996">
        <f>IF(N32996="","",'Master Barang'!B90)</f>
        <v>0</v>
      </c>
      <c r="P32996">
        <f>IF(OR(M32996="",N32996=""),"",SUMIFS('Barang Keluar'!$E:$E,'Barang Keluar'!$A:$A,M32996,'Barang Keluar'!$C:$C,N32996))</f>
        <v>0</v>
      </c>
    </row>
    <row r="32997" spans="13:16">
      <c r="M32997" s="49">
        <f>IF($A$4+329&gt;$B$4,"",$A$4+329)</f>
        <v>46352</v>
      </c>
      <c r="N32997">
        <f>IF(M32997="","",'Master Barang'!A91)</f>
        <v>0</v>
      </c>
      <c r="O32997">
        <f>IF(N32997="","",'Master Barang'!B91)</f>
        <v>0</v>
      </c>
      <c r="P32997">
        <f>IF(OR(M32997="",N32997=""),"",SUMIFS('Barang Keluar'!$E:$E,'Barang Keluar'!$A:$A,M32997,'Barang Keluar'!$C:$C,N32997))</f>
        <v>0</v>
      </c>
    </row>
    <row r="32998" spans="13:16">
      <c r="M32998" s="49">
        <f>IF($A$4+329&gt;$B$4,"",$A$4+329)</f>
        <v>46352</v>
      </c>
      <c r="N32998">
        <f>IF(M32998="","",'Master Barang'!A92)</f>
        <v>0</v>
      </c>
      <c r="O32998">
        <f>IF(N32998="","",'Master Barang'!B92)</f>
        <v>0</v>
      </c>
      <c r="P32998">
        <f>IF(OR(M32998="",N32998=""),"",SUMIFS('Barang Keluar'!$E:$E,'Barang Keluar'!$A:$A,M32998,'Barang Keluar'!$C:$C,N32998))</f>
        <v>0</v>
      </c>
    </row>
    <row r="32999" spans="13:16">
      <c r="M32999" s="49">
        <f>IF($A$4+329&gt;$B$4,"",$A$4+329)</f>
        <v>46352</v>
      </c>
      <c r="N32999">
        <f>IF(M32999="","",'Master Barang'!A93)</f>
        <v>0</v>
      </c>
      <c r="O32999">
        <f>IF(N32999="","",'Master Barang'!B93)</f>
        <v>0</v>
      </c>
      <c r="P32999">
        <f>IF(OR(M32999="",N32999=""),"",SUMIFS('Barang Keluar'!$E:$E,'Barang Keluar'!$A:$A,M32999,'Barang Keluar'!$C:$C,N32999))</f>
        <v>0</v>
      </c>
    </row>
    <row r="33000" spans="13:16">
      <c r="M33000" s="49">
        <f>IF($A$4+329&gt;$B$4,"",$A$4+329)</f>
        <v>46352</v>
      </c>
      <c r="N33000">
        <f>IF(M33000="","",'Master Barang'!A94)</f>
        <v>0</v>
      </c>
      <c r="O33000">
        <f>IF(N33000="","",'Master Barang'!B94)</f>
        <v>0</v>
      </c>
      <c r="P33000">
        <f>IF(OR(M33000="",N33000=""),"",SUMIFS('Barang Keluar'!$E:$E,'Barang Keluar'!$A:$A,M33000,'Barang Keluar'!$C:$C,N33000))</f>
        <v>0</v>
      </c>
    </row>
    <row r="33001" spans="13:16">
      <c r="M33001" s="49">
        <f>IF($A$4+329&gt;$B$4,"",$A$4+329)</f>
        <v>46352</v>
      </c>
      <c r="N33001">
        <f>IF(M33001="","",'Master Barang'!A95)</f>
        <v>0</v>
      </c>
      <c r="O33001">
        <f>IF(N33001="","",'Master Barang'!B95)</f>
        <v>0</v>
      </c>
      <c r="P33001">
        <f>IF(OR(M33001="",N33001=""),"",SUMIFS('Barang Keluar'!$E:$E,'Barang Keluar'!$A:$A,M33001,'Barang Keluar'!$C:$C,N33001))</f>
        <v>0</v>
      </c>
    </row>
    <row r="33002" spans="13:16">
      <c r="M33002" s="49">
        <f>IF($A$4+329&gt;$B$4,"",$A$4+329)</f>
        <v>46352</v>
      </c>
      <c r="N33002">
        <f>IF(M33002="","",'Master Barang'!A96)</f>
        <v>0</v>
      </c>
      <c r="O33002">
        <f>IF(N33002="","",'Master Barang'!B96)</f>
        <v>0</v>
      </c>
      <c r="P33002">
        <f>IF(OR(M33002="",N33002=""),"",SUMIFS('Barang Keluar'!$E:$E,'Barang Keluar'!$A:$A,M33002,'Barang Keluar'!$C:$C,N33002))</f>
        <v>0</v>
      </c>
    </row>
    <row r="33003" spans="13:16">
      <c r="M33003" s="49">
        <f>IF($A$4+329&gt;$B$4,"",$A$4+329)</f>
        <v>46352</v>
      </c>
      <c r="N33003">
        <f>IF(M33003="","",'Master Barang'!A97)</f>
        <v>0</v>
      </c>
      <c r="O33003">
        <f>IF(N33003="","",'Master Barang'!B97)</f>
        <v>0</v>
      </c>
      <c r="P33003">
        <f>IF(OR(M33003="",N33003=""),"",SUMIFS('Barang Keluar'!$E:$E,'Barang Keluar'!$A:$A,M33003,'Barang Keluar'!$C:$C,N33003))</f>
        <v>0</v>
      </c>
    </row>
    <row r="33004" spans="13:16">
      <c r="M33004" s="49">
        <f>IF($A$4+329&gt;$B$4,"",$A$4+329)</f>
        <v>46352</v>
      </c>
      <c r="N33004">
        <f>IF(M33004="","",'Master Barang'!A98)</f>
        <v>0</v>
      </c>
      <c r="O33004">
        <f>IF(N33004="","",'Master Barang'!B98)</f>
        <v>0</v>
      </c>
      <c r="P33004">
        <f>IF(OR(M33004="",N33004=""),"",SUMIFS('Barang Keluar'!$E:$E,'Barang Keluar'!$A:$A,M33004,'Barang Keluar'!$C:$C,N33004))</f>
        <v>0</v>
      </c>
    </row>
    <row r="33005" spans="13:16">
      <c r="M33005" s="49">
        <f>IF($A$4+329&gt;$B$4,"",$A$4+329)</f>
        <v>46352</v>
      </c>
      <c r="N33005">
        <f>IF(M33005="","",'Master Barang'!A99)</f>
        <v>0</v>
      </c>
      <c r="O33005">
        <f>IF(N33005="","",'Master Barang'!B99)</f>
        <v>0</v>
      </c>
      <c r="P33005">
        <f>IF(OR(M33005="",N33005=""),"",SUMIFS('Barang Keluar'!$E:$E,'Barang Keluar'!$A:$A,M33005,'Barang Keluar'!$C:$C,N33005))</f>
        <v>0</v>
      </c>
    </row>
    <row r="33006" spans="13:16">
      <c r="M33006" s="49">
        <f>IF($A$4+329&gt;$B$4,"",$A$4+329)</f>
        <v>46352</v>
      </c>
      <c r="N33006">
        <f>IF(M33006="","",'Master Barang'!A100)</f>
        <v>0</v>
      </c>
      <c r="O33006">
        <f>IF(N33006="","",'Master Barang'!B100)</f>
        <v>0</v>
      </c>
      <c r="P33006">
        <f>IF(OR(M33006="",N33006=""),"",SUMIFS('Barang Keluar'!$E:$E,'Barang Keluar'!$A:$A,M33006,'Barang Keluar'!$C:$C,N33006))</f>
        <v>0</v>
      </c>
    </row>
    <row r="33007" spans="13:16">
      <c r="M33007" s="49">
        <f>IF($A$4+329&gt;$B$4,"",$A$4+329)</f>
        <v>46352</v>
      </c>
      <c r="N33007">
        <f>IF(M33007="","",'Master Barang'!A101)</f>
        <v>0</v>
      </c>
      <c r="O33007">
        <f>IF(N33007="","",'Master Barang'!B101)</f>
        <v>0</v>
      </c>
      <c r="P33007">
        <f>IF(OR(M33007="",N33007=""),"",SUMIFS('Barang Keluar'!$E:$E,'Barang Keluar'!$A:$A,M33007,'Barang Keluar'!$C:$C,N33007))</f>
        <v>0</v>
      </c>
    </row>
    <row r="33008" spans="13:16">
      <c r="M33008" s="49">
        <f>IF($A$4+330&gt;$B$4,"",$A$4+330)</f>
        <v>46353</v>
      </c>
      <c r="N33008" t="str">
        <f>IF(M33008="","",'Master Barang'!A2)</f>
        <v>PRL-001</v>
      </c>
      <c r="O33008" t="str">
        <f>IF(N33008="","",'Master Barang'!B2)</f>
        <v>natura desinfectant food grade 5l</v>
      </c>
      <c r="P33008">
        <f>IF(OR(M33008="",N33008=""),"",SUMIFS('Barang Keluar'!$E:$E,'Barang Keluar'!$A:$A,M33008,'Barang Keluar'!$C:$C,N33008))</f>
        <v>0</v>
      </c>
    </row>
    <row r="33009" spans="13:16">
      <c r="M33009" s="49">
        <f>IF($A$4+330&gt;$B$4,"",$A$4+330)</f>
        <v>46353</v>
      </c>
      <c r="N33009" t="str">
        <f>IF(M33009="","",'Master Barang'!A3)</f>
        <v>PRL-002</v>
      </c>
      <c r="O33009" t="str">
        <f>IF(N33009="","",'Master Barang'!B3)</f>
        <v>sunlight cairan pencuci piring 5l</v>
      </c>
      <c r="P33009">
        <f>IF(OR(M33009="",N33009=""),"",SUMIFS('Barang Keluar'!$E:$E,'Barang Keluar'!$A:$A,M33009,'Barang Keluar'!$C:$C,N33009))</f>
        <v>0</v>
      </c>
    </row>
    <row r="33010" spans="13:16">
      <c r="M33010" s="49">
        <f>IF($A$4+330&gt;$B$4,"",$A$4+330)</f>
        <v>46353</v>
      </c>
      <c r="N33010" t="str">
        <f>IF(M33010="","",'Master Barang'!A4)</f>
        <v>PRL-003</v>
      </c>
      <c r="O33010" t="str">
        <f>IF(N33010="","",'Master Barang'!B4)</f>
        <v>oixs cleaner 1l</v>
      </c>
      <c r="P33010">
        <f>IF(OR(M33010="",N33010=""),"",SUMIFS('Barang Keluar'!$E:$E,'Barang Keluar'!$A:$A,M33010,'Barang Keluar'!$C:$C,N33010))</f>
        <v>0</v>
      </c>
    </row>
    <row r="33011" spans="13:16">
      <c r="M33011" s="49">
        <f>IF($A$4+330&gt;$B$4,"",$A$4+330)</f>
        <v>46353</v>
      </c>
      <c r="N33011" t="str">
        <f>IF(M33011="","",'Master Barang'!A5)</f>
        <v>PRL-004</v>
      </c>
      <c r="O33011" t="str">
        <f>IF(N33011="","",'Master Barang'!B5)</f>
        <v>be clean tissue serbaguna</v>
      </c>
      <c r="P33011">
        <f>IF(OR(M33011="",N33011=""),"",SUMIFS('Barang Keluar'!$E:$E,'Barang Keluar'!$A:$A,M33011,'Barang Keluar'!$C:$C,N33011))</f>
        <v>0</v>
      </c>
    </row>
    <row r="33012" spans="13:16">
      <c r="M33012" s="49">
        <f>IF($A$4+330&gt;$B$4,"",$A$4+330)</f>
        <v>46353</v>
      </c>
      <c r="N33012" t="str">
        <f>IF(M33012="","",'Master Barang'!A6)</f>
        <v>PRL-005</v>
      </c>
      <c r="O33012" t="str">
        <f>IF(N33012="","",'Master Barang'!B6)</f>
        <v>spons cuci hijau</v>
      </c>
      <c r="P33012">
        <f>IF(OR(M33012="",N33012=""),"",SUMIFS('Barang Keluar'!$E:$E,'Barang Keluar'!$A:$A,M33012,'Barang Keluar'!$C:$C,N33012))</f>
        <v>0</v>
      </c>
    </row>
    <row r="33013" spans="13:16">
      <c r="M33013" s="49">
        <f>IF($A$4+330&gt;$B$4,"",$A$4+330)</f>
        <v>46353</v>
      </c>
      <c r="N33013" t="str">
        <f>IF(M33013="","",'Master Barang'!A7)</f>
        <v>PRL-006</v>
      </c>
      <c r="O33013" t="str">
        <f>IF(N33013="","",'Master Barang'!B7)</f>
        <v>sabut cuci stainless</v>
      </c>
      <c r="P33013">
        <f>IF(OR(M33013="",N33013=""),"",SUMIFS('Barang Keluar'!$E:$E,'Barang Keluar'!$A:$A,M33013,'Barang Keluar'!$C:$C,N33013))</f>
        <v>0</v>
      </c>
    </row>
    <row r="33014" spans="13:16">
      <c r="M33014" s="49">
        <f>IF($A$4+330&gt;$B$4,"",$A$4+330)</f>
        <v>46353</v>
      </c>
      <c r="N33014" t="str">
        <f>IF(M33014="","",'Master Barang'!A8)</f>
        <v>PRL-007</v>
      </c>
      <c r="O33014" t="str">
        <f>IF(N33014="","",'Master Barang'!B8)</f>
        <v>plastik kresek besar merah 50pc</v>
      </c>
      <c r="P33014">
        <f>IF(OR(M33014="",N33014=""),"",SUMIFS('Barang Keluar'!$E:$E,'Barang Keluar'!$A:$A,M33014,'Barang Keluar'!$C:$C,N33014))</f>
        <v>0</v>
      </c>
    </row>
    <row r="33015" spans="13:16">
      <c r="M33015" s="49">
        <f>IF($A$4+330&gt;$B$4,"",$A$4+330)</f>
        <v>46353</v>
      </c>
      <c r="N33015" t="str">
        <f>IF(M33015="","",'Master Barang'!A9)</f>
        <v>PRL-008</v>
      </c>
      <c r="O33015" t="str">
        <f>IF(N33015="","",'Master Barang'!B9)</f>
        <v>lap besar</v>
      </c>
      <c r="P33015">
        <f>IF(OR(M33015="",N33015=""),"",SUMIFS('Barang Keluar'!$E:$E,'Barang Keluar'!$A:$A,M33015,'Barang Keluar'!$C:$C,N33015))</f>
        <v>0</v>
      </c>
    </row>
    <row r="33016" spans="13:16">
      <c r="M33016" s="49">
        <f>IF($A$4+330&gt;$B$4,"",$A$4+330)</f>
        <v>46353</v>
      </c>
      <c r="N33016" t="str">
        <f>IF(M33016="","",'Master Barang'!A10)</f>
        <v>PRL-009</v>
      </c>
      <c r="O33016" t="str">
        <f>IF(N33016="","",'Master Barang'!B10)</f>
        <v>lap microfiber</v>
      </c>
      <c r="P33016">
        <f>IF(OR(M33016="",N33016=""),"",SUMIFS('Barang Keluar'!$E:$E,'Barang Keluar'!$A:$A,M33016,'Barang Keluar'!$C:$C,N33016))</f>
        <v>0</v>
      </c>
    </row>
    <row r="33017" spans="13:16">
      <c r="M33017" s="49">
        <f>IF($A$4+330&gt;$B$4,"",$A$4+330)</f>
        <v>46353</v>
      </c>
      <c r="N33017" t="str">
        <f>IF(M33017="","",'Master Barang'!A11)</f>
        <v>PRL-010</v>
      </c>
      <c r="O33017" t="str">
        <f>IF(N33017="","",'Master Barang'!B11)</f>
        <v>lap kecil</v>
      </c>
      <c r="P33017">
        <f>IF(OR(M33017="",N33017=""),"",SUMIFS('Barang Keluar'!$E:$E,'Barang Keluar'!$A:$A,M33017,'Barang Keluar'!$C:$C,N33017))</f>
        <v>0</v>
      </c>
    </row>
    <row r="33018" spans="13:16">
      <c r="M33018" s="49">
        <f>IF($A$4+330&gt;$B$4,"",$A$4+330)</f>
        <v>46353</v>
      </c>
      <c r="N33018" t="str">
        <f>IF(M33018="","",'Master Barang'!A12)</f>
        <v>PRL-011</v>
      </c>
      <c r="O33018" t="str">
        <f>IF(N33018="","",'Master Barang'!B12)</f>
        <v>kanebo kecil</v>
      </c>
      <c r="P33018">
        <f>IF(OR(M33018="",N33018=""),"",SUMIFS('Barang Keluar'!$E:$E,'Barang Keluar'!$A:$A,M33018,'Barang Keluar'!$C:$C,N33018))</f>
        <v>0</v>
      </c>
    </row>
    <row r="33019" spans="13:16">
      <c r="M33019" s="49">
        <f>IF($A$4+330&gt;$B$4,"",$A$4+330)</f>
        <v>46353</v>
      </c>
      <c r="N33019" t="str">
        <f>IF(M33019="","",'Master Barang'!A13)</f>
        <v>PRL-012</v>
      </c>
      <c r="O33019" t="str">
        <f>IF(N33019="","",'Master Barang'!B13)</f>
        <v>plastik 1/4kg joyoboyo 100 lembar</v>
      </c>
      <c r="P33019">
        <f>IF(OR(M33019="",N33019=""),"",SUMIFS('Barang Keluar'!$E:$E,'Barang Keluar'!$A:$A,M33019,'Barang Keluar'!$C:$C,N33019))</f>
        <v>0</v>
      </c>
    </row>
    <row r="33020" spans="13:16">
      <c r="M33020" s="49">
        <f>IF($A$4+330&gt;$B$4,"",$A$4+330)</f>
        <v>46353</v>
      </c>
      <c r="N33020" t="str">
        <f>IF(M33020="","",'Master Barang'!A14)</f>
        <v>PRL-013</v>
      </c>
      <c r="O33020" t="str">
        <f>IF(N33020="","",'Master Barang'!B14)</f>
        <v>sarung tangan plastik kaka 100 pcs</v>
      </c>
      <c r="P33020">
        <f>IF(OR(M33020="",N33020=""),"",SUMIFS('Barang Keluar'!$E:$E,'Barang Keluar'!$A:$A,M33020,'Barang Keluar'!$C:$C,N33020))</f>
        <v>0</v>
      </c>
    </row>
    <row r="33021" spans="13:16">
      <c r="M33021" s="49">
        <f>IF($A$4+330&gt;$B$4,"",$A$4+330)</f>
        <v>46353</v>
      </c>
      <c r="N33021" t="str">
        <f>IF(M33021="","",'Master Barang'!A15)</f>
        <v>PRL-014</v>
      </c>
      <c r="O33021" t="str">
        <f>IF(N33021="","",'Master Barang'!B15)</f>
        <v>optima trashbag 80x100</v>
      </c>
      <c r="P33021">
        <f>IF(OR(M33021="",N33021=""),"",SUMIFS('Barang Keluar'!$E:$E,'Barang Keluar'!$A:$A,M33021,'Barang Keluar'!$C:$C,N33021))</f>
        <v>0</v>
      </c>
    </row>
    <row r="33022" spans="13:16">
      <c r="M33022" s="49">
        <f>IF($A$4+330&gt;$B$4,"",$A$4+330)</f>
        <v>46353</v>
      </c>
      <c r="N33022" t="str">
        <f>IF(M33022="","",'Master Barang'!A16)</f>
        <v>PRL-015</v>
      </c>
      <c r="O33022" t="str">
        <f>IF(N33022="","",'Master Barang'!B16)</f>
        <v>optima trashbag 60x100</v>
      </c>
      <c r="P33022">
        <f>IF(OR(M33022="",N33022=""),"",SUMIFS('Barang Keluar'!$E:$E,'Barang Keluar'!$A:$A,M33022,'Barang Keluar'!$C:$C,N33022))</f>
        <v>0</v>
      </c>
    </row>
    <row r="33023" spans="13:16">
      <c r="M33023" s="49">
        <f>IF($A$4+330&gt;$B$4,"",$A$4+330)</f>
        <v>46353</v>
      </c>
      <c r="N33023" t="str">
        <f>IF(M33023="","",'Master Barang'!A17)</f>
        <v>PRL-016</v>
      </c>
      <c r="O33023" t="str">
        <f>IF(N33023="","",'Master Barang'!B17)</f>
        <v>rajawali trashbag 30x40</v>
      </c>
      <c r="P33023">
        <f>IF(OR(M33023="",N33023=""),"",SUMIFS('Barang Keluar'!$E:$E,'Barang Keluar'!$A:$A,M33023,'Barang Keluar'!$C:$C,N33023))</f>
        <v>0</v>
      </c>
    </row>
    <row r="33024" spans="13:16">
      <c r="M33024" s="49">
        <f>IF($A$4+330&gt;$B$4,"",$A$4+330)</f>
        <v>46353</v>
      </c>
      <c r="N33024" t="str">
        <f>IF(M33024="","",'Master Barang'!A18)</f>
        <v>PRL-017</v>
      </c>
      <c r="O33024" t="str">
        <f>IF(N33024="","",'Master Barang'!B18)</f>
        <v>onemed masker biru 3 play 50 pcs</v>
      </c>
      <c r="P33024">
        <f>IF(OR(M33024="",N33024=""),"",SUMIFS('Barang Keluar'!$E:$E,'Barang Keluar'!$A:$A,M33024,'Barang Keluar'!$C:$C,N33024))</f>
        <v>0</v>
      </c>
    </row>
    <row r="33025" spans="13:16">
      <c r="M33025" s="49">
        <f>IF($A$4+330&gt;$B$4,"",$A$4+330)</f>
        <v>46353</v>
      </c>
      <c r="N33025" t="str">
        <f>IF(M33025="","",'Master Barang'!A19)</f>
        <v>PRL-018</v>
      </c>
      <c r="O33025" t="str">
        <f>IF(N33025="","",'Master Barang'!B19)</f>
        <v>onemed masker biru 3 play hijab 50 pcs</v>
      </c>
      <c r="P33025">
        <f>IF(OR(M33025="",N33025=""),"",SUMIFS('Barang Keluar'!$E:$E,'Barang Keluar'!$A:$A,M33025,'Barang Keluar'!$C:$C,N33025))</f>
        <v>0</v>
      </c>
    </row>
    <row r="33026" spans="13:16">
      <c r="M33026" s="49">
        <f>IF($A$4+330&gt;$B$4,"",$A$4+330)</f>
        <v>46353</v>
      </c>
      <c r="N33026" t="str">
        <f>IF(M33026="","",'Master Barang'!A20)</f>
        <v>PRL-019</v>
      </c>
      <c r="O33026" t="str">
        <f>IF(N33026="","",'Master Barang'!B20)</f>
        <v>neo health masker biru 3 play 50 pcs</v>
      </c>
      <c r="P33026">
        <f>IF(OR(M33026="",N33026=""),"",SUMIFS('Barang Keluar'!$E:$E,'Barang Keluar'!$A:$A,M33026,'Barang Keluar'!$C:$C,N33026))</f>
        <v>0</v>
      </c>
    </row>
    <row r="33027" spans="13:16">
      <c r="M33027" s="49">
        <f>IF($A$4+330&gt;$B$4,"",$A$4+330)</f>
        <v>46353</v>
      </c>
      <c r="N33027" t="str">
        <f>IF(M33027="","",'Master Barang'!A21)</f>
        <v>PRL-020</v>
      </c>
      <c r="O33027" t="str">
        <f>IF(N33027="","",'Master Barang'!B21)</f>
        <v>baymed masker hijau 3 play hijau 50 pcs</v>
      </c>
      <c r="P33027">
        <f>IF(OR(M33027="",N33027=""),"",SUMIFS('Barang Keluar'!$E:$E,'Barang Keluar'!$A:$A,M33027,'Barang Keluar'!$C:$C,N33027))</f>
        <v>0</v>
      </c>
    </row>
    <row r="33028" spans="13:16">
      <c r="M33028" s="49">
        <f>IF($A$4+330&gt;$B$4,"",$A$4+330)</f>
        <v>46353</v>
      </c>
      <c r="N33028" t="str">
        <f>IF(M33028="","",'Master Barang'!A22)</f>
        <v>PRL-021</v>
      </c>
      <c r="O33028" t="str">
        <f>IF(N33028="","",'Master Barang'!B22)</f>
        <v>altamed nurse cap penutup kepala 100 pcs</v>
      </c>
      <c r="P33028">
        <f>IF(OR(M33028="",N33028=""),"",SUMIFS('Barang Keluar'!$E:$E,'Barang Keluar'!$A:$A,M33028,'Barang Keluar'!$C:$C,N33028))</f>
        <v>0</v>
      </c>
    </row>
    <row r="33029" spans="13:16">
      <c r="M33029" s="49">
        <f>IF($A$4+330&gt;$B$4,"",$A$4+330)</f>
        <v>46353</v>
      </c>
      <c r="N33029" t="str">
        <f>IF(M33029="","",'Master Barang'!A23)</f>
        <v>PRL-022</v>
      </c>
      <c r="O33029" t="str">
        <f>IF(N33029="","",'Master Barang'!B23)</f>
        <v>sabun cuci tangan</v>
      </c>
      <c r="P33029">
        <f>IF(OR(M33029="",N33029=""),"",SUMIFS('Barang Keluar'!$E:$E,'Barang Keluar'!$A:$A,M33029,'Barang Keluar'!$C:$C,N33029))</f>
        <v>0</v>
      </c>
    </row>
    <row r="33030" spans="13:16">
      <c r="M33030" s="49">
        <f>IF($A$4+330&gt;$B$4,"",$A$4+330)</f>
        <v>46353</v>
      </c>
      <c r="N33030" t="str">
        <f>IF(M33030="","",'Master Barang'!A24)</f>
        <v>PRL-023</v>
      </c>
      <c r="O33030" t="str">
        <f>IF(N33030="","",'Master Barang'!B24)</f>
        <v>gayung kecil</v>
      </c>
      <c r="P33030">
        <f>IF(OR(M33030="",N33030=""),"",SUMIFS('Barang Keluar'!$E:$E,'Barang Keluar'!$A:$A,M33030,'Barang Keluar'!$C:$C,N33030))</f>
        <v>0</v>
      </c>
    </row>
    <row r="33031" spans="13:16">
      <c r="M33031" s="49">
        <f>IF($A$4+330&gt;$B$4,"",$A$4+330)</f>
        <v>46353</v>
      </c>
      <c r="N33031" t="str">
        <f>IF(M33031="","",'Master Barang'!A25)</f>
        <v>PRL-024</v>
      </c>
      <c r="O33031" t="str">
        <f>IF(N33031="","",'Master Barang'!B25)</f>
        <v>cikrak kecil</v>
      </c>
      <c r="P33031">
        <f>IF(OR(M33031="",N33031=""),"",SUMIFS('Barang Keluar'!$E:$E,'Barang Keluar'!$A:$A,M33031,'Barang Keluar'!$C:$C,N33031))</f>
        <v>0</v>
      </c>
    </row>
    <row r="33032" spans="13:16">
      <c r="M33032" s="49">
        <f>IF($A$4+330&gt;$B$4,"",$A$4+330)</f>
        <v>46353</v>
      </c>
      <c r="N33032" t="str">
        <f>IF(M33032="","",'Master Barang'!A26)</f>
        <v>PRL-025</v>
      </c>
      <c r="O33032" t="str">
        <f>IF(N33032="","",'Master Barang'!B26)</f>
        <v>petromax plastik kecil 12x24 100 lembar</v>
      </c>
      <c r="P33032">
        <f>IF(OR(M33032="",N33032=""),"",SUMIFS('Barang Keluar'!$E:$E,'Barang Keluar'!$A:$A,M33032,'Barang Keluar'!$C:$C,N33032))</f>
        <v>0</v>
      </c>
    </row>
    <row r="33033" spans="13:16">
      <c r="M33033" s="49">
        <f>IF($A$4+330&gt;$B$4,"",$A$4+330)</f>
        <v>46353</v>
      </c>
      <c r="N33033" t="str">
        <f>IF(M33033="","",'Master Barang'!A27)</f>
        <v>PRL-026</v>
      </c>
      <c r="O33033" t="str">
        <f>IF(N33033="","",'Master Barang'!B27)</f>
        <v>lancar kresek kecil bening </v>
      </c>
      <c r="P33033">
        <f>IF(OR(M33033="",N33033=""),"",SUMIFS('Barang Keluar'!$E:$E,'Barang Keluar'!$A:$A,M33033,'Barang Keluar'!$C:$C,N33033))</f>
        <v>0</v>
      </c>
    </row>
    <row r="33034" spans="13:16">
      <c r="M33034" s="49">
        <f>IF($A$4+330&gt;$B$4,"",$A$4+330)</f>
        <v>46353</v>
      </c>
      <c r="N33034" t="str">
        <f>IF(M33034="","",'Master Barang'!A28)</f>
        <v>PRL-027</v>
      </c>
      <c r="O33034" t="str">
        <f>IF(N33034="","",'Master Barang'!B28)</f>
        <v>kresek klin warna warni kecil</v>
      </c>
      <c r="P33034">
        <f>IF(OR(M33034="",N33034=""),"",SUMIFS('Barang Keluar'!$E:$E,'Barang Keluar'!$A:$A,M33034,'Barang Keluar'!$C:$C,N33034))</f>
        <v>0</v>
      </c>
    </row>
    <row r="33035" spans="13:16">
      <c r="M33035" s="49">
        <f>IF($A$4+330&gt;$B$4,"",$A$4+330)</f>
        <v>46353</v>
      </c>
      <c r="N33035" t="str">
        <f>IF(M33035="","",'Master Barang'!A29)</f>
        <v>PRL-028</v>
      </c>
      <c r="O33035" t="str">
        <f>IF(N33035="","",'Master Barang'!B29)</f>
        <v>ctik plastik 7x10 100 pcs</v>
      </c>
      <c r="P33035">
        <f>IF(OR(M33035="",N33035=""),"",SUMIFS('Barang Keluar'!$E:$E,'Barang Keluar'!$A:$A,M33035,'Barang Keluar'!$C:$C,N33035))</f>
        <v>0</v>
      </c>
    </row>
    <row r="33036" spans="13:16">
      <c r="M33036" s="49">
        <f>IF($A$4+330&gt;$B$4,"",$A$4+330)</f>
        <v>46353</v>
      </c>
      <c r="N33036" t="str">
        <f>IF(M33036="","",'Master Barang'!A30)</f>
        <v>PRL-029</v>
      </c>
      <c r="O33036" t="str">
        <f>IF(N33036="","",'Master Barang'!B30)</f>
        <v>ctik plastik 6x10 100 pcs</v>
      </c>
      <c r="P33036">
        <f>IF(OR(M33036="",N33036=""),"",SUMIFS('Barang Keluar'!$E:$E,'Barang Keluar'!$A:$A,M33036,'Barang Keluar'!$C:$C,N33036))</f>
        <v>0</v>
      </c>
    </row>
    <row r="33037" spans="13:16">
      <c r="M33037" s="49">
        <f>IF($A$4+330&gt;$B$4,"",$A$4+330)</f>
        <v>46353</v>
      </c>
      <c r="N33037" t="str">
        <f>IF(M33037="","",'Master Barang'!A31)</f>
        <v>PRL-030</v>
      </c>
      <c r="O33037" t="str">
        <f>IF(N33037="","",'Master Barang'!B31)</f>
        <v>klip plastik 25x16 100 pcs</v>
      </c>
      <c r="P33037">
        <f>IF(OR(M33037="",N33037=""),"",SUMIFS('Barang Keluar'!$E:$E,'Barang Keluar'!$A:$A,M33037,'Barang Keluar'!$C:$C,N33037))</f>
        <v>0</v>
      </c>
    </row>
    <row r="33038" spans="13:16">
      <c r="M33038" s="49">
        <f>IF($A$4+330&gt;$B$4,"",$A$4+330)</f>
        <v>46353</v>
      </c>
      <c r="N33038" t="str">
        <f>IF(M33038="","",'Master Barang'!A32)</f>
        <v>PRL-031</v>
      </c>
      <c r="O33038" t="str">
        <f>IF(N33038="","",'Master Barang'!B32)</f>
        <v>tempat saus 20 ml</v>
      </c>
      <c r="P33038">
        <f>IF(OR(M33038="",N33038=""),"",SUMIFS('Barang Keluar'!$E:$E,'Barang Keluar'!$A:$A,M33038,'Barang Keluar'!$C:$C,N33038))</f>
        <v>0</v>
      </c>
    </row>
    <row r="33039" spans="13:16">
      <c r="M33039" s="49">
        <f>IF($A$4+330&gt;$B$4,"",$A$4+330)</f>
        <v>46353</v>
      </c>
      <c r="N33039" t="str">
        <f>IF(M33039="","",'Master Barang'!A33)</f>
        <v>PRL-032</v>
      </c>
      <c r="O33039" t="str">
        <f>IF(N33039="","",'Master Barang'!B33)</f>
        <v>plastik packaging ag box uk sedang</v>
      </c>
      <c r="P33039">
        <f>IF(OR(M33039="",N33039=""),"",SUMIFS('Barang Keluar'!$E:$E,'Barang Keluar'!$A:$A,M33039,'Barang Keluar'!$C:$C,N33039))</f>
        <v>0</v>
      </c>
    </row>
    <row r="33040" spans="13:16">
      <c r="M33040" s="49">
        <f>IF($A$4+330&gt;$B$4,"",$A$4+330)</f>
        <v>46353</v>
      </c>
      <c r="N33040" t="str">
        <f>IF(M33040="","",'Master Barang'!A34)</f>
        <v>PRL-033</v>
      </c>
      <c r="O33040">
        <f>IF(N33040="","",'Master Barang'!B34)</f>
        <v>0</v>
      </c>
      <c r="P33040">
        <f>IF(OR(M33040="",N33040=""),"",SUMIFS('Barang Keluar'!$E:$E,'Barang Keluar'!$A:$A,M33040,'Barang Keluar'!$C:$C,N33040))</f>
        <v>0</v>
      </c>
    </row>
    <row r="33041" spans="13:16">
      <c r="M33041" s="49">
        <f>IF($A$4+330&gt;$B$4,"",$A$4+330)</f>
        <v>46353</v>
      </c>
      <c r="N33041">
        <f>IF(M33041="","",'Master Barang'!A35)</f>
        <v>0</v>
      </c>
      <c r="O33041">
        <f>IF(N33041="","",'Master Barang'!B35)</f>
        <v>0</v>
      </c>
      <c r="P33041">
        <f>IF(OR(M33041="",N33041=""),"",SUMIFS('Barang Keluar'!$E:$E,'Barang Keluar'!$A:$A,M33041,'Barang Keluar'!$C:$C,N33041))</f>
        <v>0</v>
      </c>
    </row>
    <row r="33042" spans="13:16">
      <c r="M33042" s="49">
        <f>IF($A$4+330&gt;$B$4,"",$A$4+330)</f>
        <v>46353</v>
      </c>
      <c r="N33042">
        <f>IF(M33042="","",'Master Barang'!A36)</f>
        <v>0</v>
      </c>
      <c r="O33042">
        <f>IF(N33042="","",'Master Barang'!B36)</f>
        <v>0</v>
      </c>
      <c r="P33042">
        <f>IF(OR(M33042="",N33042=""),"",SUMIFS('Barang Keluar'!$E:$E,'Barang Keluar'!$A:$A,M33042,'Barang Keluar'!$C:$C,N33042))</f>
        <v>0</v>
      </c>
    </row>
    <row r="33043" spans="13:16">
      <c r="M33043" s="49">
        <f>IF($A$4+330&gt;$B$4,"",$A$4+330)</f>
        <v>46353</v>
      </c>
      <c r="N33043">
        <f>IF(M33043="","",'Master Barang'!A37)</f>
        <v>0</v>
      </c>
      <c r="O33043">
        <f>IF(N33043="","",'Master Barang'!B37)</f>
        <v>0</v>
      </c>
      <c r="P33043">
        <f>IF(OR(M33043="",N33043=""),"",SUMIFS('Barang Keluar'!$E:$E,'Barang Keluar'!$A:$A,M33043,'Barang Keluar'!$C:$C,N33043))</f>
        <v>0</v>
      </c>
    </row>
    <row r="33044" spans="13:16">
      <c r="M33044" s="49">
        <f>IF($A$4+330&gt;$B$4,"",$A$4+330)</f>
        <v>46353</v>
      </c>
      <c r="N33044">
        <f>IF(M33044="","",'Master Barang'!A38)</f>
        <v>0</v>
      </c>
      <c r="O33044">
        <f>IF(N33044="","",'Master Barang'!B38)</f>
        <v>0</v>
      </c>
      <c r="P33044">
        <f>IF(OR(M33044="",N33044=""),"",SUMIFS('Barang Keluar'!$E:$E,'Barang Keluar'!$A:$A,M33044,'Barang Keluar'!$C:$C,N33044))</f>
        <v>0</v>
      </c>
    </row>
    <row r="33045" spans="13:16">
      <c r="M33045" s="49">
        <f>IF($A$4+330&gt;$B$4,"",$A$4+330)</f>
        <v>46353</v>
      </c>
      <c r="N33045">
        <f>IF(M33045="","",'Master Barang'!A39)</f>
        <v>0</v>
      </c>
      <c r="O33045">
        <f>IF(N33045="","",'Master Barang'!B39)</f>
        <v>0</v>
      </c>
      <c r="P33045">
        <f>IF(OR(M33045="",N33045=""),"",SUMIFS('Barang Keluar'!$E:$E,'Barang Keluar'!$A:$A,M33045,'Barang Keluar'!$C:$C,N33045))</f>
        <v>0</v>
      </c>
    </row>
    <row r="33046" spans="13:16">
      <c r="M33046" s="49">
        <f>IF($A$4+330&gt;$B$4,"",$A$4+330)</f>
        <v>46353</v>
      </c>
      <c r="N33046">
        <f>IF(M33046="","",'Master Barang'!A40)</f>
        <v>0</v>
      </c>
      <c r="O33046">
        <f>IF(N33046="","",'Master Barang'!B40)</f>
        <v>0</v>
      </c>
      <c r="P33046">
        <f>IF(OR(M33046="",N33046=""),"",SUMIFS('Barang Keluar'!$E:$E,'Barang Keluar'!$A:$A,M33046,'Barang Keluar'!$C:$C,N33046))</f>
        <v>0</v>
      </c>
    </row>
    <row r="33047" spans="13:16">
      <c r="M33047" s="49">
        <f>IF($A$4+330&gt;$B$4,"",$A$4+330)</f>
        <v>46353</v>
      </c>
      <c r="N33047">
        <f>IF(M33047="","",'Master Barang'!A41)</f>
        <v>0</v>
      </c>
      <c r="O33047">
        <f>IF(N33047="","",'Master Barang'!B41)</f>
        <v>0</v>
      </c>
      <c r="P33047">
        <f>IF(OR(M33047="",N33047=""),"",SUMIFS('Barang Keluar'!$E:$E,'Barang Keluar'!$A:$A,M33047,'Barang Keluar'!$C:$C,N33047))</f>
        <v>0</v>
      </c>
    </row>
    <row r="33048" spans="13:16">
      <c r="M33048" s="49">
        <f>IF($A$4+330&gt;$B$4,"",$A$4+330)</f>
        <v>46353</v>
      </c>
      <c r="N33048">
        <f>IF(M33048="","",'Master Barang'!A42)</f>
        <v>0</v>
      </c>
      <c r="O33048">
        <f>IF(N33048="","",'Master Barang'!B42)</f>
        <v>0</v>
      </c>
      <c r="P33048">
        <f>IF(OR(M33048="",N33048=""),"",SUMIFS('Barang Keluar'!$E:$E,'Barang Keluar'!$A:$A,M33048,'Barang Keluar'!$C:$C,N33048))</f>
        <v>0</v>
      </c>
    </row>
    <row r="33049" spans="13:16">
      <c r="M33049" s="49">
        <f>IF($A$4+330&gt;$B$4,"",$A$4+330)</f>
        <v>46353</v>
      </c>
      <c r="N33049">
        <f>IF(M33049="","",'Master Barang'!A43)</f>
        <v>0</v>
      </c>
      <c r="O33049">
        <f>IF(N33049="","",'Master Barang'!B43)</f>
        <v>0</v>
      </c>
      <c r="P33049">
        <f>IF(OR(M33049="",N33049=""),"",SUMIFS('Barang Keluar'!$E:$E,'Barang Keluar'!$A:$A,M33049,'Barang Keluar'!$C:$C,N33049))</f>
        <v>0</v>
      </c>
    </row>
    <row r="33050" spans="13:16">
      <c r="M33050" s="49">
        <f>IF($A$4+330&gt;$B$4,"",$A$4+330)</f>
        <v>46353</v>
      </c>
      <c r="N33050">
        <f>IF(M33050="","",'Master Barang'!A44)</f>
        <v>0</v>
      </c>
      <c r="O33050">
        <f>IF(N33050="","",'Master Barang'!B44)</f>
        <v>0</v>
      </c>
      <c r="P33050">
        <f>IF(OR(M33050="",N33050=""),"",SUMIFS('Barang Keluar'!$E:$E,'Barang Keluar'!$A:$A,M33050,'Barang Keluar'!$C:$C,N33050))</f>
        <v>0</v>
      </c>
    </row>
    <row r="33051" spans="13:16">
      <c r="M33051" s="49">
        <f>IF($A$4+330&gt;$B$4,"",$A$4+330)</f>
        <v>46353</v>
      </c>
      <c r="N33051">
        <f>IF(M33051="","",'Master Barang'!A45)</f>
        <v>0</v>
      </c>
      <c r="O33051">
        <f>IF(N33051="","",'Master Barang'!B45)</f>
        <v>0</v>
      </c>
      <c r="P33051">
        <f>IF(OR(M33051="",N33051=""),"",SUMIFS('Barang Keluar'!$E:$E,'Barang Keluar'!$A:$A,M33051,'Barang Keluar'!$C:$C,N33051))</f>
        <v>0</v>
      </c>
    </row>
    <row r="33052" spans="13:16">
      <c r="M33052" s="49">
        <f>IF($A$4+330&gt;$B$4,"",$A$4+330)</f>
        <v>46353</v>
      </c>
      <c r="N33052">
        <f>IF(M33052="","",'Master Barang'!A46)</f>
        <v>0</v>
      </c>
      <c r="O33052">
        <f>IF(N33052="","",'Master Barang'!B46)</f>
        <v>0</v>
      </c>
      <c r="P33052">
        <f>IF(OR(M33052="",N33052=""),"",SUMIFS('Barang Keluar'!$E:$E,'Barang Keluar'!$A:$A,M33052,'Barang Keluar'!$C:$C,N33052))</f>
        <v>0</v>
      </c>
    </row>
    <row r="33053" spans="13:16">
      <c r="M33053" s="49">
        <f>IF($A$4+330&gt;$B$4,"",$A$4+330)</f>
        <v>46353</v>
      </c>
      <c r="N33053">
        <f>IF(M33053="","",'Master Barang'!A47)</f>
        <v>0</v>
      </c>
      <c r="O33053">
        <f>IF(N33053="","",'Master Barang'!B47)</f>
        <v>0</v>
      </c>
      <c r="P33053">
        <f>IF(OR(M33053="",N33053=""),"",SUMIFS('Barang Keluar'!$E:$E,'Barang Keluar'!$A:$A,M33053,'Barang Keluar'!$C:$C,N33053))</f>
        <v>0</v>
      </c>
    </row>
    <row r="33054" spans="13:16">
      <c r="M33054" s="49">
        <f>IF($A$4+330&gt;$B$4,"",$A$4+330)</f>
        <v>46353</v>
      </c>
      <c r="N33054">
        <f>IF(M33054="","",'Master Barang'!A48)</f>
        <v>0</v>
      </c>
      <c r="O33054">
        <f>IF(N33054="","",'Master Barang'!B48)</f>
        <v>0</v>
      </c>
      <c r="P33054">
        <f>IF(OR(M33054="",N33054=""),"",SUMIFS('Barang Keluar'!$E:$E,'Barang Keluar'!$A:$A,M33054,'Barang Keluar'!$C:$C,N33054))</f>
        <v>0</v>
      </c>
    </row>
    <row r="33055" spans="13:16">
      <c r="M33055" s="49">
        <f>IF($A$4+330&gt;$B$4,"",$A$4+330)</f>
        <v>46353</v>
      </c>
      <c r="N33055">
        <f>IF(M33055="","",'Master Barang'!A49)</f>
        <v>0</v>
      </c>
      <c r="O33055">
        <f>IF(N33055="","",'Master Barang'!B49)</f>
        <v>0</v>
      </c>
      <c r="P33055">
        <f>IF(OR(M33055="",N33055=""),"",SUMIFS('Barang Keluar'!$E:$E,'Barang Keluar'!$A:$A,M33055,'Barang Keluar'!$C:$C,N33055))</f>
        <v>0</v>
      </c>
    </row>
    <row r="33056" spans="13:16">
      <c r="M33056" s="49">
        <f>IF($A$4+330&gt;$B$4,"",$A$4+330)</f>
        <v>46353</v>
      </c>
      <c r="N33056">
        <f>IF(M33056="","",'Master Barang'!A50)</f>
        <v>0</v>
      </c>
      <c r="O33056">
        <f>IF(N33056="","",'Master Barang'!B50)</f>
        <v>0</v>
      </c>
      <c r="P33056">
        <f>IF(OR(M33056="",N33056=""),"",SUMIFS('Barang Keluar'!$E:$E,'Barang Keluar'!$A:$A,M33056,'Barang Keluar'!$C:$C,N33056))</f>
        <v>0</v>
      </c>
    </row>
    <row r="33057" spans="13:16">
      <c r="M33057" s="49">
        <f>IF($A$4+330&gt;$B$4,"",$A$4+330)</f>
        <v>46353</v>
      </c>
      <c r="N33057">
        <f>IF(M33057="","",'Master Barang'!A51)</f>
        <v>0</v>
      </c>
      <c r="O33057">
        <f>IF(N33057="","",'Master Barang'!B51)</f>
        <v>0</v>
      </c>
      <c r="P33057">
        <f>IF(OR(M33057="",N33057=""),"",SUMIFS('Barang Keluar'!$E:$E,'Barang Keluar'!$A:$A,M33057,'Barang Keluar'!$C:$C,N33057))</f>
        <v>0</v>
      </c>
    </row>
    <row r="33058" spans="13:16">
      <c r="M33058" s="49">
        <f>IF($A$4+330&gt;$B$4,"",$A$4+330)</f>
        <v>46353</v>
      </c>
      <c r="N33058">
        <f>IF(M33058="","",'Master Barang'!A52)</f>
        <v>0</v>
      </c>
      <c r="O33058">
        <f>IF(N33058="","",'Master Barang'!B52)</f>
        <v>0</v>
      </c>
      <c r="P33058">
        <f>IF(OR(M33058="",N33058=""),"",SUMIFS('Barang Keluar'!$E:$E,'Barang Keluar'!$A:$A,M33058,'Barang Keluar'!$C:$C,N33058))</f>
        <v>0</v>
      </c>
    </row>
    <row r="33059" spans="13:16">
      <c r="M33059" s="49">
        <f>IF($A$4+330&gt;$B$4,"",$A$4+330)</f>
        <v>46353</v>
      </c>
      <c r="N33059">
        <f>IF(M33059="","",'Master Barang'!A53)</f>
        <v>0</v>
      </c>
      <c r="O33059">
        <f>IF(N33059="","",'Master Barang'!B53)</f>
        <v>0</v>
      </c>
      <c r="P33059">
        <f>IF(OR(M33059="",N33059=""),"",SUMIFS('Barang Keluar'!$E:$E,'Barang Keluar'!$A:$A,M33059,'Barang Keluar'!$C:$C,N33059))</f>
        <v>0</v>
      </c>
    </row>
    <row r="33060" spans="13:16">
      <c r="M33060" s="49">
        <f>IF($A$4+330&gt;$B$4,"",$A$4+330)</f>
        <v>46353</v>
      </c>
      <c r="N33060">
        <f>IF(M33060="","",'Master Barang'!A54)</f>
        <v>0</v>
      </c>
      <c r="O33060">
        <f>IF(N33060="","",'Master Barang'!B54)</f>
        <v>0</v>
      </c>
      <c r="P33060">
        <f>IF(OR(M33060="",N33060=""),"",SUMIFS('Barang Keluar'!$E:$E,'Barang Keluar'!$A:$A,M33060,'Barang Keluar'!$C:$C,N33060))</f>
        <v>0</v>
      </c>
    </row>
    <row r="33061" spans="13:16">
      <c r="M33061" s="49">
        <f>IF($A$4+330&gt;$B$4,"",$A$4+330)</f>
        <v>46353</v>
      </c>
      <c r="N33061">
        <f>IF(M33061="","",'Master Barang'!A55)</f>
        <v>0</v>
      </c>
      <c r="O33061">
        <f>IF(N33061="","",'Master Barang'!B55)</f>
        <v>0</v>
      </c>
      <c r="P33061">
        <f>IF(OR(M33061="",N33061=""),"",SUMIFS('Barang Keluar'!$E:$E,'Barang Keluar'!$A:$A,M33061,'Barang Keluar'!$C:$C,N33061))</f>
        <v>0</v>
      </c>
    </row>
    <row r="33062" spans="13:16">
      <c r="M33062" s="49">
        <f>IF($A$4+330&gt;$B$4,"",$A$4+330)</f>
        <v>46353</v>
      </c>
      <c r="N33062">
        <f>IF(M33062="","",'Master Barang'!A56)</f>
        <v>0</v>
      </c>
      <c r="O33062">
        <f>IF(N33062="","",'Master Barang'!B56)</f>
        <v>0</v>
      </c>
      <c r="P33062">
        <f>IF(OR(M33062="",N33062=""),"",SUMIFS('Barang Keluar'!$E:$E,'Barang Keluar'!$A:$A,M33062,'Barang Keluar'!$C:$C,N33062))</f>
        <v>0</v>
      </c>
    </row>
    <row r="33063" spans="13:16">
      <c r="M33063" s="49">
        <f>IF($A$4+330&gt;$B$4,"",$A$4+330)</f>
        <v>46353</v>
      </c>
      <c r="N33063">
        <f>IF(M33063="","",'Master Barang'!A57)</f>
        <v>0</v>
      </c>
      <c r="O33063">
        <f>IF(N33063="","",'Master Barang'!B57)</f>
        <v>0</v>
      </c>
      <c r="P33063">
        <f>IF(OR(M33063="",N33063=""),"",SUMIFS('Barang Keluar'!$E:$E,'Barang Keluar'!$A:$A,M33063,'Barang Keluar'!$C:$C,N33063))</f>
        <v>0</v>
      </c>
    </row>
    <row r="33064" spans="13:16">
      <c r="M33064" s="49">
        <f>IF($A$4+330&gt;$B$4,"",$A$4+330)</f>
        <v>46353</v>
      </c>
      <c r="N33064">
        <f>IF(M33064="","",'Master Barang'!A58)</f>
        <v>0</v>
      </c>
      <c r="O33064">
        <f>IF(N33064="","",'Master Barang'!B58)</f>
        <v>0</v>
      </c>
      <c r="P33064">
        <f>IF(OR(M33064="",N33064=""),"",SUMIFS('Barang Keluar'!$E:$E,'Barang Keluar'!$A:$A,M33064,'Barang Keluar'!$C:$C,N33064))</f>
        <v>0</v>
      </c>
    </row>
    <row r="33065" spans="13:16">
      <c r="M33065" s="49">
        <f>IF($A$4+330&gt;$B$4,"",$A$4+330)</f>
        <v>46353</v>
      </c>
      <c r="N33065">
        <f>IF(M33065="","",'Master Barang'!A59)</f>
        <v>0</v>
      </c>
      <c r="O33065">
        <f>IF(N33065="","",'Master Barang'!B59)</f>
        <v>0</v>
      </c>
      <c r="P33065">
        <f>IF(OR(M33065="",N33065=""),"",SUMIFS('Barang Keluar'!$E:$E,'Barang Keluar'!$A:$A,M33065,'Barang Keluar'!$C:$C,N33065))</f>
        <v>0</v>
      </c>
    </row>
    <row r="33066" spans="13:16">
      <c r="M33066" s="49">
        <f>IF($A$4+330&gt;$B$4,"",$A$4+330)</f>
        <v>46353</v>
      </c>
      <c r="N33066">
        <f>IF(M33066="","",'Master Barang'!A60)</f>
        <v>0</v>
      </c>
      <c r="O33066">
        <f>IF(N33066="","",'Master Barang'!B60)</f>
        <v>0</v>
      </c>
      <c r="P33066">
        <f>IF(OR(M33066="",N33066=""),"",SUMIFS('Barang Keluar'!$E:$E,'Barang Keluar'!$A:$A,M33066,'Barang Keluar'!$C:$C,N33066))</f>
        <v>0</v>
      </c>
    </row>
    <row r="33067" spans="13:16">
      <c r="M33067" s="49">
        <f>IF($A$4+330&gt;$B$4,"",$A$4+330)</f>
        <v>46353</v>
      </c>
      <c r="N33067">
        <f>IF(M33067="","",'Master Barang'!A61)</f>
        <v>0</v>
      </c>
      <c r="O33067">
        <f>IF(N33067="","",'Master Barang'!B61)</f>
        <v>0</v>
      </c>
      <c r="P33067">
        <f>IF(OR(M33067="",N33067=""),"",SUMIFS('Barang Keluar'!$E:$E,'Barang Keluar'!$A:$A,M33067,'Barang Keluar'!$C:$C,N33067))</f>
        <v>0</v>
      </c>
    </row>
    <row r="33068" spans="13:16">
      <c r="M33068" s="49">
        <f>IF($A$4+330&gt;$B$4,"",$A$4+330)</f>
        <v>46353</v>
      </c>
      <c r="N33068">
        <f>IF(M33068="","",'Master Barang'!A62)</f>
        <v>0</v>
      </c>
      <c r="O33068">
        <f>IF(N33068="","",'Master Barang'!B62)</f>
        <v>0</v>
      </c>
      <c r="P33068">
        <f>IF(OR(M33068="",N33068=""),"",SUMIFS('Barang Keluar'!$E:$E,'Barang Keluar'!$A:$A,M33068,'Barang Keluar'!$C:$C,N33068))</f>
        <v>0</v>
      </c>
    </row>
    <row r="33069" spans="13:16">
      <c r="M33069" s="49">
        <f>IF($A$4+330&gt;$B$4,"",$A$4+330)</f>
        <v>46353</v>
      </c>
      <c r="N33069">
        <f>IF(M33069="","",'Master Barang'!A63)</f>
        <v>0</v>
      </c>
      <c r="O33069">
        <f>IF(N33069="","",'Master Barang'!B63)</f>
        <v>0</v>
      </c>
      <c r="P33069">
        <f>IF(OR(M33069="",N33069=""),"",SUMIFS('Barang Keluar'!$E:$E,'Barang Keluar'!$A:$A,M33069,'Barang Keluar'!$C:$C,N33069))</f>
        <v>0</v>
      </c>
    </row>
    <row r="33070" spans="13:16">
      <c r="M33070" s="49">
        <f>IF($A$4+330&gt;$B$4,"",$A$4+330)</f>
        <v>46353</v>
      </c>
      <c r="N33070">
        <f>IF(M33070="","",'Master Barang'!A64)</f>
        <v>0</v>
      </c>
      <c r="O33070">
        <f>IF(N33070="","",'Master Barang'!B64)</f>
        <v>0</v>
      </c>
      <c r="P33070">
        <f>IF(OR(M33070="",N33070=""),"",SUMIFS('Barang Keluar'!$E:$E,'Barang Keluar'!$A:$A,M33070,'Barang Keluar'!$C:$C,N33070))</f>
        <v>0</v>
      </c>
    </row>
    <row r="33071" spans="13:16">
      <c r="M33071" s="49">
        <f>IF($A$4+330&gt;$B$4,"",$A$4+330)</f>
        <v>46353</v>
      </c>
      <c r="N33071">
        <f>IF(M33071="","",'Master Barang'!A65)</f>
        <v>0</v>
      </c>
      <c r="O33071">
        <f>IF(N33071="","",'Master Barang'!B65)</f>
        <v>0</v>
      </c>
      <c r="P33071">
        <f>IF(OR(M33071="",N33071=""),"",SUMIFS('Barang Keluar'!$E:$E,'Barang Keluar'!$A:$A,M33071,'Barang Keluar'!$C:$C,N33071))</f>
        <v>0</v>
      </c>
    </row>
    <row r="33072" spans="13:16">
      <c r="M33072" s="49">
        <f>IF($A$4+330&gt;$B$4,"",$A$4+330)</f>
        <v>46353</v>
      </c>
      <c r="N33072">
        <f>IF(M33072="","",'Master Barang'!A66)</f>
        <v>0</v>
      </c>
      <c r="O33072">
        <f>IF(N33072="","",'Master Barang'!B66)</f>
        <v>0</v>
      </c>
      <c r="P33072">
        <f>IF(OR(M33072="",N33072=""),"",SUMIFS('Barang Keluar'!$E:$E,'Barang Keluar'!$A:$A,M33072,'Barang Keluar'!$C:$C,N33072))</f>
        <v>0</v>
      </c>
    </row>
    <row r="33073" spans="13:16">
      <c r="M33073" s="49">
        <f>IF($A$4+330&gt;$B$4,"",$A$4+330)</f>
        <v>46353</v>
      </c>
      <c r="N33073">
        <f>IF(M33073="","",'Master Barang'!A67)</f>
        <v>0</v>
      </c>
      <c r="O33073">
        <f>IF(N33073="","",'Master Barang'!B67)</f>
        <v>0</v>
      </c>
      <c r="P33073">
        <f>IF(OR(M33073="",N33073=""),"",SUMIFS('Barang Keluar'!$E:$E,'Barang Keluar'!$A:$A,M33073,'Barang Keluar'!$C:$C,N33073))</f>
        <v>0</v>
      </c>
    </row>
    <row r="33074" spans="13:16">
      <c r="M33074" s="49">
        <f>IF($A$4+330&gt;$B$4,"",$A$4+330)</f>
        <v>46353</v>
      </c>
      <c r="N33074">
        <f>IF(M33074="","",'Master Barang'!A68)</f>
        <v>0</v>
      </c>
      <c r="O33074">
        <f>IF(N33074="","",'Master Barang'!B68)</f>
        <v>0</v>
      </c>
      <c r="P33074">
        <f>IF(OR(M33074="",N33074=""),"",SUMIFS('Barang Keluar'!$E:$E,'Barang Keluar'!$A:$A,M33074,'Barang Keluar'!$C:$C,N33074))</f>
        <v>0</v>
      </c>
    </row>
    <row r="33075" spans="13:16">
      <c r="M33075" s="49">
        <f>IF($A$4+330&gt;$B$4,"",$A$4+330)</f>
        <v>46353</v>
      </c>
      <c r="N33075">
        <f>IF(M33075="","",'Master Barang'!A69)</f>
        <v>0</v>
      </c>
      <c r="O33075">
        <f>IF(N33075="","",'Master Barang'!B69)</f>
        <v>0</v>
      </c>
      <c r="P33075">
        <f>IF(OR(M33075="",N33075=""),"",SUMIFS('Barang Keluar'!$E:$E,'Barang Keluar'!$A:$A,M33075,'Barang Keluar'!$C:$C,N33075))</f>
        <v>0</v>
      </c>
    </row>
    <row r="33076" spans="13:16">
      <c r="M33076" s="49">
        <f>IF($A$4+330&gt;$B$4,"",$A$4+330)</f>
        <v>46353</v>
      </c>
      <c r="N33076">
        <f>IF(M33076="","",'Master Barang'!A70)</f>
        <v>0</v>
      </c>
      <c r="O33076">
        <f>IF(N33076="","",'Master Barang'!B70)</f>
        <v>0</v>
      </c>
      <c r="P33076">
        <f>IF(OR(M33076="",N33076=""),"",SUMIFS('Barang Keluar'!$E:$E,'Barang Keluar'!$A:$A,M33076,'Barang Keluar'!$C:$C,N33076))</f>
        <v>0</v>
      </c>
    </row>
    <row r="33077" spans="13:16">
      <c r="M33077" s="49">
        <f>IF($A$4+330&gt;$B$4,"",$A$4+330)</f>
        <v>46353</v>
      </c>
      <c r="N33077">
        <f>IF(M33077="","",'Master Barang'!A71)</f>
        <v>0</v>
      </c>
      <c r="O33077">
        <f>IF(N33077="","",'Master Barang'!B71)</f>
        <v>0</v>
      </c>
      <c r="P33077">
        <f>IF(OR(M33077="",N33077=""),"",SUMIFS('Barang Keluar'!$E:$E,'Barang Keluar'!$A:$A,M33077,'Barang Keluar'!$C:$C,N33077))</f>
        <v>0</v>
      </c>
    </row>
    <row r="33078" spans="13:16">
      <c r="M33078" s="49">
        <f>IF($A$4+330&gt;$B$4,"",$A$4+330)</f>
        <v>46353</v>
      </c>
      <c r="N33078">
        <f>IF(M33078="","",'Master Barang'!A72)</f>
        <v>0</v>
      </c>
      <c r="O33078">
        <f>IF(N33078="","",'Master Barang'!B72)</f>
        <v>0</v>
      </c>
      <c r="P33078">
        <f>IF(OR(M33078="",N33078=""),"",SUMIFS('Barang Keluar'!$E:$E,'Barang Keluar'!$A:$A,M33078,'Barang Keluar'!$C:$C,N33078))</f>
        <v>0</v>
      </c>
    </row>
    <row r="33079" spans="13:16">
      <c r="M33079" s="49">
        <f>IF($A$4+330&gt;$B$4,"",$A$4+330)</f>
        <v>46353</v>
      </c>
      <c r="N33079">
        <f>IF(M33079="","",'Master Barang'!A73)</f>
        <v>0</v>
      </c>
      <c r="O33079">
        <f>IF(N33079="","",'Master Barang'!B73)</f>
        <v>0</v>
      </c>
      <c r="P33079">
        <f>IF(OR(M33079="",N33079=""),"",SUMIFS('Barang Keluar'!$E:$E,'Barang Keluar'!$A:$A,M33079,'Barang Keluar'!$C:$C,N33079))</f>
        <v>0</v>
      </c>
    </row>
    <row r="33080" spans="13:16">
      <c r="M33080" s="49">
        <f>IF($A$4+330&gt;$B$4,"",$A$4+330)</f>
        <v>46353</v>
      </c>
      <c r="N33080">
        <f>IF(M33080="","",'Master Barang'!A74)</f>
        <v>0</v>
      </c>
      <c r="O33080">
        <f>IF(N33080="","",'Master Barang'!B74)</f>
        <v>0</v>
      </c>
      <c r="P33080">
        <f>IF(OR(M33080="",N33080=""),"",SUMIFS('Barang Keluar'!$E:$E,'Barang Keluar'!$A:$A,M33080,'Barang Keluar'!$C:$C,N33080))</f>
        <v>0</v>
      </c>
    </row>
    <row r="33081" spans="13:16">
      <c r="M33081" s="49">
        <f>IF($A$4+330&gt;$B$4,"",$A$4+330)</f>
        <v>46353</v>
      </c>
      <c r="N33081">
        <f>IF(M33081="","",'Master Barang'!A75)</f>
        <v>0</v>
      </c>
      <c r="O33081">
        <f>IF(N33081="","",'Master Barang'!B75)</f>
        <v>0</v>
      </c>
      <c r="P33081">
        <f>IF(OR(M33081="",N33081=""),"",SUMIFS('Barang Keluar'!$E:$E,'Barang Keluar'!$A:$A,M33081,'Barang Keluar'!$C:$C,N33081))</f>
        <v>0</v>
      </c>
    </row>
    <row r="33082" spans="13:16">
      <c r="M33082" s="49">
        <f>IF($A$4+330&gt;$B$4,"",$A$4+330)</f>
        <v>46353</v>
      </c>
      <c r="N33082">
        <f>IF(M33082="","",'Master Barang'!A76)</f>
        <v>0</v>
      </c>
      <c r="O33082">
        <f>IF(N33082="","",'Master Barang'!B76)</f>
        <v>0</v>
      </c>
      <c r="P33082">
        <f>IF(OR(M33082="",N33082=""),"",SUMIFS('Barang Keluar'!$E:$E,'Barang Keluar'!$A:$A,M33082,'Barang Keluar'!$C:$C,N33082))</f>
        <v>0</v>
      </c>
    </row>
    <row r="33083" spans="13:16">
      <c r="M33083" s="49">
        <f>IF($A$4+330&gt;$B$4,"",$A$4+330)</f>
        <v>46353</v>
      </c>
      <c r="N33083">
        <f>IF(M33083="","",'Master Barang'!A77)</f>
        <v>0</v>
      </c>
      <c r="O33083">
        <f>IF(N33083="","",'Master Barang'!B77)</f>
        <v>0</v>
      </c>
      <c r="P33083">
        <f>IF(OR(M33083="",N33083=""),"",SUMIFS('Barang Keluar'!$E:$E,'Barang Keluar'!$A:$A,M33083,'Barang Keluar'!$C:$C,N33083))</f>
        <v>0</v>
      </c>
    </row>
    <row r="33084" spans="13:16">
      <c r="M33084" s="49">
        <f>IF($A$4+330&gt;$B$4,"",$A$4+330)</f>
        <v>46353</v>
      </c>
      <c r="N33084">
        <f>IF(M33084="","",'Master Barang'!A78)</f>
        <v>0</v>
      </c>
      <c r="O33084">
        <f>IF(N33084="","",'Master Barang'!B78)</f>
        <v>0</v>
      </c>
      <c r="P33084">
        <f>IF(OR(M33084="",N33084=""),"",SUMIFS('Barang Keluar'!$E:$E,'Barang Keluar'!$A:$A,M33084,'Barang Keluar'!$C:$C,N33084))</f>
        <v>0</v>
      </c>
    </row>
    <row r="33085" spans="13:16">
      <c r="M33085" s="49">
        <f>IF($A$4+330&gt;$B$4,"",$A$4+330)</f>
        <v>46353</v>
      </c>
      <c r="N33085">
        <f>IF(M33085="","",'Master Barang'!A79)</f>
        <v>0</v>
      </c>
      <c r="O33085">
        <f>IF(N33085="","",'Master Barang'!B79)</f>
        <v>0</v>
      </c>
      <c r="P33085">
        <f>IF(OR(M33085="",N33085=""),"",SUMIFS('Barang Keluar'!$E:$E,'Barang Keluar'!$A:$A,M33085,'Barang Keluar'!$C:$C,N33085))</f>
        <v>0</v>
      </c>
    </row>
    <row r="33086" spans="13:16">
      <c r="M33086" s="49">
        <f>IF($A$4+330&gt;$B$4,"",$A$4+330)</f>
        <v>46353</v>
      </c>
      <c r="N33086">
        <f>IF(M33086="","",'Master Barang'!A80)</f>
        <v>0</v>
      </c>
      <c r="O33086">
        <f>IF(N33086="","",'Master Barang'!B80)</f>
        <v>0</v>
      </c>
      <c r="P33086">
        <f>IF(OR(M33086="",N33086=""),"",SUMIFS('Barang Keluar'!$E:$E,'Barang Keluar'!$A:$A,M33086,'Barang Keluar'!$C:$C,N33086))</f>
        <v>0</v>
      </c>
    </row>
    <row r="33087" spans="13:16">
      <c r="M33087" s="49">
        <f>IF($A$4+330&gt;$B$4,"",$A$4+330)</f>
        <v>46353</v>
      </c>
      <c r="N33087">
        <f>IF(M33087="","",'Master Barang'!A81)</f>
        <v>0</v>
      </c>
      <c r="O33087">
        <f>IF(N33087="","",'Master Barang'!B81)</f>
        <v>0</v>
      </c>
      <c r="P33087">
        <f>IF(OR(M33087="",N33087=""),"",SUMIFS('Barang Keluar'!$E:$E,'Barang Keluar'!$A:$A,M33087,'Barang Keluar'!$C:$C,N33087))</f>
        <v>0</v>
      </c>
    </row>
    <row r="33088" spans="13:16">
      <c r="M33088" s="49">
        <f>IF($A$4+330&gt;$B$4,"",$A$4+330)</f>
        <v>46353</v>
      </c>
      <c r="N33088">
        <f>IF(M33088="","",'Master Barang'!A82)</f>
        <v>0</v>
      </c>
      <c r="O33088">
        <f>IF(N33088="","",'Master Barang'!B82)</f>
        <v>0</v>
      </c>
      <c r="P33088">
        <f>IF(OR(M33088="",N33088=""),"",SUMIFS('Barang Keluar'!$E:$E,'Barang Keluar'!$A:$A,M33088,'Barang Keluar'!$C:$C,N33088))</f>
        <v>0</v>
      </c>
    </row>
    <row r="33089" spans="13:16">
      <c r="M33089" s="49">
        <f>IF($A$4+330&gt;$B$4,"",$A$4+330)</f>
        <v>46353</v>
      </c>
      <c r="N33089">
        <f>IF(M33089="","",'Master Barang'!A83)</f>
        <v>0</v>
      </c>
      <c r="O33089">
        <f>IF(N33089="","",'Master Barang'!B83)</f>
        <v>0</v>
      </c>
      <c r="P33089">
        <f>IF(OR(M33089="",N33089=""),"",SUMIFS('Barang Keluar'!$E:$E,'Barang Keluar'!$A:$A,M33089,'Barang Keluar'!$C:$C,N33089))</f>
        <v>0</v>
      </c>
    </row>
    <row r="33090" spans="13:16">
      <c r="M33090" s="49">
        <f>IF($A$4+330&gt;$B$4,"",$A$4+330)</f>
        <v>46353</v>
      </c>
      <c r="N33090">
        <f>IF(M33090="","",'Master Barang'!A84)</f>
        <v>0</v>
      </c>
      <c r="O33090">
        <f>IF(N33090="","",'Master Barang'!B84)</f>
        <v>0</v>
      </c>
      <c r="P33090">
        <f>IF(OR(M33090="",N33090=""),"",SUMIFS('Barang Keluar'!$E:$E,'Barang Keluar'!$A:$A,M33090,'Barang Keluar'!$C:$C,N33090))</f>
        <v>0</v>
      </c>
    </row>
    <row r="33091" spans="13:16">
      <c r="M33091" s="49">
        <f>IF($A$4+330&gt;$B$4,"",$A$4+330)</f>
        <v>46353</v>
      </c>
      <c r="N33091">
        <f>IF(M33091="","",'Master Barang'!A85)</f>
        <v>0</v>
      </c>
      <c r="O33091">
        <f>IF(N33091="","",'Master Barang'!B85)</f>
        <v>0</v>
      </c>
      <c r="P33091">
        <f>IF(OR(M33091="",N33091=""),"",SUMIFS('Barang Keluar'!$E:$E,'Barang Keluar'!$A:$A,M33091,'Barang Keluar'!$C:$C,N33091))</f>
        <v>0</v>
      </c>
    </row>
    <row r="33092" spans="13:16">
      <c r="M33092" s="49">
        <f>IF($A$4+330&gt;$B$4,"",$A$4+330)</f>
        <v>46353</v>
      </c>
      <c r="N33092">
        <f>IF(M33092="","",'Master Barang'!A86)</f>
        <v>0</v>
      </c>
      <c r="O33092">
        <f>IF(N33092="","",'Master Barang'!B86)</f>
        <v>0</v>
      </c>
      <c r="P33092">
        <f>IF(OR(M33092="",N33092=""),"",SUMIFS('Barang Keluar'!$E:$E,'Barang Keluar'!$A:$A,M33092,'Barang Keluar'!$C:$C,N33092))</f>
        <v>0</v>
      </c>
    </row>
    <row r="33093" spans="13:16">
      <c r="M33093" s="49">
        <f>IF($A$4+330&gt;$B$4,"",$A$4+330)</f>
        <v>46353</v>
      </c>
      <c r="N33093">
        <f>IF(M33093="","",'Master Barang'!A87)</f>
        <v>0</v>
      </c>
      <c r="O33093">
        <f>IF(N33093="","",'Master Barang'!B87)</f>
        <v>0</v>
      </c>
      <c r="P33093">
        <f>IF(OR(M33093="",N33093=""),"",SUMIFS('Barang Keluar'!$E:$E,'Barang Keluar'!$A:$A,M33093,'Barang Keluar'!$C:$C,N33093))</f>
        <v>0</v>
      </c>
    </row>
    <row r="33094" spans="13:16">
      <c r="M33094" s="49">
        <f>IF($A$4+330&gt;$B$4,"",$A$4+330)</f>
        <v>46353</v>
      </c>
      <c r="N33094">
        <f>IF(M33094="","",'Master Barang'!A88)</f>
        <v>0</v>
      </c>
      <c r="O33094">
        <f>IF(N33094="","",'Master Barang'!B88)</f>
        <v>0</v>
      </c>
      <c r="P33094">
        <f>IF(OR(M33094="",N33094=""),"",SUMIFS('Barang Keluar'!$E:$E,'Barang Keluar'!$A:$A,M33094,'Barang Keluar'!$C:$C,N33094))</f>
        <v>0</v>
      </c>
    </row>
    <row r="33095" spans="13:16">
      <c r="M33095" s="49">
        <f>IF($A$4+330&gt;$B$4,"",$A$4+330)</f>
        <v>46353</v>
      </c>
      <c r="N33095">
        <f>IF(M33095="","",'Master Barang'!A89)</f>
        <v>0</v>
      </c>
      <c r="O33095">
        <f>IF(N33095="","",'Master Barang'!B89)</f>
        <v>0</v>
      </c>
      <c r="P33095">
        <f>IF(OR(M33095="",N33095=""),"",SUMIFS('Barang Keluar'!$E:$E,'Barang Keluar'!$A:$A,M33095,'Barang Keluar'!$C:$C,N33095))</f>
        <v>0</v>
      </c>
    </row>
    <row r="33096" spans="13:16">
      <c r="M33096" s="49">
        <f>IF($A$4+330&gt;$B$4,"",$A$4+330)</f>
        <v>46353</v>
      </c>
      <c r="N33096">
        <f>IF(M33096="","",'Master Barang'!A90)</f>
        <v>0</v>
      </c>
      <c r="O33096">
        <f>IF(N33096="","",'Master Barang'!B90)</f>
        <v>0</v>
      </c>
      <c r="P33096">
        <f>IF(OR(M33096="",N33096=""),"",SUMIFS('Barang Keluar'!$E:$E,'Barang Keluar'!$A:$A,M33096,'Barang Keluar'!$C:$C,N33096))</f>
        <v>0</v>
      </c>
    </row>
    <row r="33097" spans="13:16">
      <c r="M33097" s="49">
        <f>IF($A$4+330&gt;$B$4,"",$A$4+330)</f>
        <v>46353</v>
      </c>
      <c r="N33097">
        <f>IF(M33097="","",'Master Barang'!A91)</f>
        <v>0</v>
      </c>
      <c r="O33097">
        <f>IF(N33097="","",'Master Barang'!B91)</f>
        <v>0</v>
      </c>
      <c r="P33097">
        <f>IF(OR(M33097="",N33097=""),"",SUMIFS('Barang Keluar'!$E:$E,'Barang Keluar'!$A:$A,M33097,'Barang Keluar'!$C:$C,N33097))</f>
        <v>0</v>
      </c>
    </row>
    <row r="33098" spans="13:16">
      <c r="M33098" s="49">
        <f>IF($A$4+330&gt;$B$4,"",$A$4+330)</f>
        <v>46353</v>
      </c>
      <c r="N33098">
        <f>IF(M33098="","",'Master Barang'!A92)</f>
        <v>0</v>
      </c>
      <c r="O33098">
        <f>IF(N33098="","",'Master Barang'!B92)</f>
        <v>0</v>
      </c>
      <c r="P33098">
        <f>IF(OR(M33098="",N33098=""),"",SUMIFS('Barang Keluar'!$E:$E,'Barang Keluar'!$A:$A,M33098,'Barang Keluar'!$C:$C,N33098))</f>
        <v>0</v>
      </c>
    </row>
    <row r="33099" spans="13:16">
      <c r="M33099" s="49">
        <f>IF($A$4+330&gt;$B$4,"",$A$4+330)</f>
        <v>46353</v>
      </c>
      <c r="N33099">
        <f>IF(M33099="","",'Master Barang'!A93)</f>
        <v>0</v>
      </c>
      <c r="O33099">
        <f>IF(N33099="","",'Master Barang'!B93)</f>
        <v>0</v>
      </c>
      <c r="P33099">
        <f>IF(OR(M33099="",N33099=""),"",SUMIFS('Barang Keluar'!$E:$E,'Barang Keluar'!$A:$A,M33099,'Barang Keluar'!$C:$C,N33099))</f>
        <v>0</v>
      </c>
    </row>
    <row r="33100" spans="13:16">
      <c r="M33100" s="49">
        <f>IF($A$4+330&gt;$B$4,"",$A$4+330)</f>
        <v>46353</v>
      </c>
      <c r="N33100">
        <f>IF(M33100="","",'Master Barang'!A94)</f>
        <v>0</v>
      </c>
      <c r="O33100">
        <f>IF(N33100="","",'Master Barang'!B94)</f>
        <v>0</v>
      </c>
      <c r="P33100">
        <f>IF(OR(M33100="",N33100=""),"",SUMIFS('Barang Keluar'!$E:$E,'Barang Keluar'!$A:$A,M33100,'Barang Keluar'!$C:$C,N33100))</f>
        <v>0</v>
      </c>
    </row>
    <row r="33101" spans="13:16">
      <c r="M33101" s="49">
        <f>IF($A$4+330&gt;$B$4,"",$A$4+330)</f>
        <v>46353</v>
      </c>
      <c r="N33101">
        <f>IF(M33101="","",'Master Barang'!A95)</f>
        <v>0</v>
      </c>
      <c r="O33101">
        <f>IF(N33101="","",'Master Barang'!B95)</f>
        <v>0</v>
      </c>
      <c r="P33101">
        <f>IF(OR(M33101="",N33101=""),"",SUMIFS('Barang Keluar'!$E:$E,'Barang Keluar'!$A:$A,M33101,'Barang Keluar'!$C:$C,N33101))</f>
        <v>0</v>
      </c>
    </row>
    <row r="33102" spans="13:16">
      <c r="M33102" s="49">
        <f>IF($A$4+330&gt;$B$4,"",$A$4+330)</f>
        <v>46353</v>
      </c>
      <c r="N33102">
        <f>IF(M33102="","",'Master Barang'!A96)</f>
        <v>0</v>
      </c>
      <c r="O33102">
        <f>IF(N33102="","",'Master Barang'!B96)</f>
        <v>0</v>
      </c>
      <c r="P33102">
        <f>IF(OR(M33102="",N33102=""),"",SUMIFS('Barang Keluar'!$E:$E,'Barang Keluar'!$A:$A,M33102,'Barang Keluar'!$C:$C,N33102))</f>
        <v>0</v>
      </c>
    </row>
    <row r="33103" spans="13:16">
      <c r="M33103" s="49">
        <f>IF($A$4+330&gt;$B$4,"",$A$4+330)</f>
        <v>46353</v>
      </c>
      <c r="N33103">
        <f>IF(M33103="","",'Master Barang'!A97)</f>
        <v>0</v>
      </c>
      <c r="O33103">
        <f>IF(N33103="","",'Master Barang'!B97)</f>
        <v>0</v>
      </c>
      <c r="P33103">
        <f>IF(OR(M33103="",N33103=""),"",SUMIFS('Barang Keluar'!$E:$E,'Barang Keluar'!$A:$A,M33103,'Barang Keluar'!$C:$C,N33103))</f>
        <v>0</v>
      </c>
    </row>
    <row r="33104" spans="13:16">
      <c r="M33104" s="49">
        <f>IF($A$4+330&gt;$B$4,"",$A$4+330)</f>
        <v>46353</v>
      </c>
      <c r="N33104">
        <f>IF(M33104="","",'Master Barang'!A98)</f>
        <v>0</v>
      </c>
      <c r="O33104">
        <f>IF(N33104="","",'Master Barang'!B98)</f>
        <v>0</v>
      </c>
      <c r="P33104">
        <f>IF(OR(M33104="",N33104=""),"",SUMIFS('Barang Keluar'!$E:$E,'Barang Keluar'!$A:$A,M33104,'Barang Keluar'!$C:$C,N33104))</f>
        <v>0</v>
      </c>
    </row>
    <row r="33105" spans="13:16">
      <c r="M33105" s="49">
        <f>IF($A$4+330&gt;$B$4,"",$A$4+330)</f>
        <v>46353</v>
      </c>
      <c r="N33105">
        <f>IF(M33105="","",'Master Barang'!A99)</f>
        <v>0</v>
      </c>
      <c r="O33105">
        <f>IF(N33105="","",'Master Barang'!B99)</f>
        <v>0</v>
      </c>
      <c r="P33105">
        <f>IF(OR(M33105="",N33105=""),"",SUMIFS('Barang Keluar'!$E:$E,'Barang Keluar'!$A:$A,M33105,'Barang Keluar'!$C:$C,N33105))</f>
        <v>0</v>
      </c>
    </row>
    <row r="33106" spans="13:16">
      <c r="M33106" s="49">
        <f>IF($A$4+330&gt;$B$4,"",$A$4+330)</f>
        <v>46353</v>
      </c>
      <c r="N33106">
        <f>IF(M33106="","",'Master Barang'!A100)</f>
        <v>0</v>
      </c>
      <c r="O33106">
        <f>IF(N33106="","",'Master Barang'!B100)</f>
        <v>0</v>
      </c>
      <c r="P33106">
        <f>IF(OR(M33106="",N33106=""),"",SUMIFS('Barang Keluar'!$E:$E,'Barang Keluar'!$A:$A,M33106,'Barang Keluar'!$C:$C,N33106))</f>
        <v>0</v>
      </c>
    </row>
    <row r="33107" spans="13:16">
      <c r="M33107" s="49">
        <f>IF($A$4+330&gt;$B$4,"",$A$4+330)</f>
        <v>46353</v>
      </c>
      <c r="N33107">
        <f>IF(M33107="","",'Master Barang'!A101)</f>
        <v>0</v>
      </c>
      <c r="O33107">
        <f>IF(N33107="","",'Master Barang'!B101)</f>
        <v>0</v>
      </c>
      <c r="P33107">
        <f>IF(OR(M33107="",N33107=""),"",SUMIFS('Barang Keluar'!$E:$E,'Barang Keluar'!$A:$A,M33107,'Barang Keluar'!$C:$C,N33107))</f>
        <v>0</v>
      </c>
    </row>
    <row r="33108" spans="13:16">
      <c r="M33108" s="49">
        <f>IF($A$4+331&gt;$B$4,"",$A$4+331)</f>
        <v>46354</v>
      </c>
      <c r="N33108" t="str">
        <f>IF(M33108="","",'Master Barang'!A2)</f>
        <v>PRL-001</v>
      </c>
      <c r="O33108" t="str">
        <f>IF(N33108="","",'Master Barang'!B2)</f>
        <v>natura desinfectant food grade 5l</v>
      </c>
      <c r="P33108">
        <f>IF(OR(M33108="",N33108=""),"",SUMIFS('Barang Keluar'!$E:$E,'Barang Keluar'!$A:$A,M33108,'Barang Keluar'!$C:$C,N33108))</f>
        <v>0</v>
      </c>
    </row>
    <row r="33109" spans="13:16">
      <c r="M33109" s="49">
        <f>IF($A$4+331&gt;$B$4,"",$A$4+331)</f>
        <v>46354</v>
      </c>
      <c r="N33109" t="str">
        <f>IF(M33109="","",'Master Barang'!A3)</f>
        <v>PRL-002</v>
      </c>
      <c r="O33109" t="str">
        <f>IF(N33109="","",'Master Barang'!B3)</f>
        <v>sunlight cairan pencuci piring 5l</v>
      </c>
      <c r="P33109">
        <f>IF(OR(M33109="",N33109=""),"",SUMIFS('Barang Keluar'!$E:$E,'Barang Keluar'!$A:$A,M33109,'Barang Keluar'!$C:$C,N33109))</f>
        <v>0</v>
      </c>
    </row>
    <row r="33110" spans="13:16">
      <c r="M33110" s="49">
        <f>IF($A$4+331&gt;$B$4,"",$A$4+331)</f>
        <v>46354</v>
      </c>
      <c r="N33110" t="str">
        <f>IF(M33110="","",'Master Barang'!A4)</f>
        <v>PRL-003</v>
      </c>
      <c r="O33110" t="str">
        <f>IF(N33110="","",'Master Barang'!B4)</f>
        <v>oixs cleaner 1l</v>
      </c>
      <c r="P33110">
        <f>IF(OR(M33110="",N33110=""),"",SUMIFS('Barang Keluar'!$E:$E,'Barang Keluar'!$A:$A,M33110,'Barang Keluar'!$C:$C,N33110))</f>
        <v>0</v>
      </c>
    </row>
    <row r="33111" spans="13:16">
      <c r="M33111" s="49">
        <f>IF($A$4+331&gt;$B$4,"",$A$4+331)</f>
        <v>46354</v>
      </c>
      <c r="N33111" t="str">
        <f>IF(M33111="","",'Master Barang'!A5)</f>
        <v>PRL-004</v>
      </c>
      <c r="O33111" t="str">
        <f>IF(N33111="","",'Master Barang'!B5)</f>
        <v>be clean tissue serbaguna</v>
      </c>
      <c r="P33111">
        <f>IF(OR(M33111="",N33111=""),"",SUMIFS('Barang Keluar'!$E:$E,'Barang Keluar'!$A:$A,M33111,'Barang Keluar'!$C:$C,N33111))</f>
        <v>0</v>
      </c>
    </row>
    <row r="33112" spans="13:16">
      <c r="M33112" s="49">
        <f>IF($A$4+331&gt;$B$4,"",$A$4+331)</f>
        <v>46354</v>
      </c>
      <c r="N33112" t="str">
        <f>IF(M33112="","",'Master Barang'!A6)</f>
        <v>PRL-005</v>
      </c>
      <c r="O33112" t="str">
        <f>IF(N33112="","",'Master Barang'!B6)</f>
        <v>spons cuci hijau</v>
      </c>
      <c r="P33112">
        <f>IF(OR(M33112="",N33112=""),"",SUMIFS('Barang Keluar'!$E:$E,'Barang Keluar'!$A:$A,M33112,'Barang Keluar'!$C:$C,N33112))</f>
        <v>0</v>
      </c>
    </row>
    <row r="33113" spans="13:16">
      <c r="M33113" s="49">
        <f>IF($A$4+331&gt;$B$4,"",$A$4+331)</f>
        <v>46354</v>
      </c>
      <c r="N33113" t="str">
        <f>IF(M33113="","",'Master Barang'!A7)</f>
        <v>PRL-006</v>
      </c>
      <c r="O33113" t="str">
        <f>IF(N33113="","",'Master Barang'!B7)</f>
        <v>sabut cuci stainless</v>
      </c>
      <c r="P33113">
        <f>IF(OR(M33113="",N33113=""),"",SUMIFS('Barang Keluar'!$E:$E,'Barang Keluar'!$A:$A,M33113,'Barang Keluar'!$C:$C,N33113))</f>
        <v>0</v>
      </c>
    </row>
    <row r="33114" spans="13:16">
      <c r="M33114" s="49">
        <f>IF($A$4+331&gt;$B$4,"",$A$4+331)</f>
        <v>46354</v>
      </c>
      <c r="N33114" t="str">
        <f>IF(M33114="","",'Master Barang'!A8)</f>
        <v>PRL-007</v>
      </c>
      <c r="O33114" t="str">
        <f>IF(N33114="","",'Master Barang'!B8)</f>
        <v>plastik kresek besar merah 50pc</v>
      </c>
      <c r="P33114">
        <f>IF(OR(M33114="",N33114=""),"",SUMIFS('Barang Keluar'!$E:$E,'Barang Keluar'!$A:$A,M33114,'Barang Keluar'!$C:$C,N33114))</f>
        <v>0</v>
      </c>
    </row>
    <row r="33115" spans="13:16">
      <c r="M33115" s="49">
        <f>IF($A$4+331&gt;$B$4,"",$A$4+331)</f>
        <v>46354</v>
      </c>
      <c r="N33115" t="str">
        <f>IF(M33115="","",'Master Barang'!A9)</f>
        <v>PRL-008</v>
      </c>
      <c r="O33115" t="str">
        <f>IF(N33115="","",'Master Barang'!B9)</f>
        <v>lap besar</v>
      </c>
      <c r="P33115">
        <f>IF(OR(M33115="",N33115=""),"",SUMIFS('Barang Keluar'!$E:$E,'Barang Keluar'!$A:$A,M33115,'Barang Keluar'!$C:$C,N33115))</f>
        <v>0</v>
      </c>
    </row>
    <row r="33116" spans="13:16">
      <c r="M33116" s="49">
        <f>IF($A$4+331&gt;$B$4,"",$A$4+331)</f>
        <v>46354</v>
      </c>
      <c r="N33116" t="str">
        <f>IF(M33116="","",'Master Barang'!A10)</f>
        <v>PRL-009</v>
      </c>
      <c r="O33116" t="str">
        <f>IF(N33116="","",'Master Barang'!B10)</f>
        <v>lap microfiber</v>
      </c>
      <c r="P33116">
        <f>IF(OR(M33116="",N33116=""),"",SUMIFS('Barang Keluar'!$E:$E,'Barang Keluar'!$A:$A,M33116,'Barang Keluar'!$C:$C,N33116))</f>
        <v>0</v>
      </c>
    </row>
    <row r="33117" spans="13:16">
      <c r="M33117" s="49">
        <f>IF($A$4+331&gt;$B$4,"",$A$4+331)</f>
        <v>46354</v>
      </c>
      <c r="N33117" t="str">
        <f>IF(M33117="","",'Master Barang'!A11)</f>
        <v>PRL-010</v>
      </c>
      <c r="O33117" t="str">
        <f>IF(N33117="","",'Master Barang'!B11)</f>
        <v>lap kecil</v>
      </c>
      <c r="P33117">
        <f>IF(OR(M33117="",N33117=""),"",SUMIFS('Barang Keluar'!$E:$E,'Barang Keluar'!$A:$A,M33117,'Barang Keluar'!$C:$C,N33117))</f>
        <v>0</v>
      </c>
    </row>
    <row r="33118" spans="13:16">
      <c r="M33118" s="49">
        <f>IF($A$4+331&gt;$B$4,"",$A$4+331)</f>
        <v>46354</v>
      </c>
      <c r="N33118" t="str">
        <f>IF(M33118="","",'Master Barang'!A12)</f>
        <v>PRL-011</v>
      </c>
      <c r="O33118" t="str">
        <f>IF(N33118="","",'Master Barang'!B12)</f>
        <v>kanebo kecil</v>
      </c>
      <c r="P33118">
        <f>IF(OR(M33118="",N33118=""),"",SUMIFS('Barang Keluar'!$E:$E,'Barang Keluar'!$A:$A,M33118,'Barang Keluar'!$C:$C,N33118))</f>
        <v>0</v>
      </c>
    </row>
    <row r="33119" spans="13:16">
      <c r="M33119" s="49">
        <f>IF($A$4+331&gt;$B$4,"",$A$4+331)</f>
        <v>46354</v>
      </c>
      <c r="N33119" t="str">
        <f>IF(M33119="","",'Master Barang'!A13)</f>
        <v>PRL-012</v>
      </c>
      <c r="O33119" t="str">
        <f>IF(N33119="","",'Master Barang'!B13)</f>
        <v>plastik 1/4kg joyoboyo 100 lembar</v>
      </c>
      <c r="P33119">
        <f>IF(OR(M33119="",N33119=""),"",SUMIFS('Barang Keluar'!$E:$E,'Barang Keluar'!$A:$A,M33119,'Barang Keluar'!$C:$C,N33119))</f>
        <v>0</v>
      </c>
    </row>
    <row r="33120" spans="13:16">
      <c r="M33120" s="49">
        <f>IF($A$4+331&gt;$B$4,"",$A$4+331)</f>
        <v>46354</v>
      </c>
      <c r="N33120" t="str">
        <f>IF(M33120="","",'Master Barang'!A14)</f>
        <v>PRL-013</v>
      </c>
      <c r="O33120" t="str">
        <f>IF(N33120="","",'Master Barang'!B14)</f>
        <v>sarung tangan plastik kaka 100 pcs</v>
      </c>
      <c r="P33120">
        <f>IF(OR(M33120="",N33120=""),"",SUMIFS('Barang Keluar'!$E:$E,'Barang Keluar'!$A:$A,M33120,'Barang Keluar'!$C:$C,N33120))</f>
        <v>0</v>
      </c>
    </row>
    <row r="33121" spans="13:16">
      <c r="M33121" s="49">
        <f>IF($A$4+331&gt;$B$4,"",$A$4+331)</f>
        <v>46354</v>
      </c>
      <c r="N33121" t="str">
        <f>IF(M33121="","",'Master Barang'!A15)</f>
        <v>PRL-014</v>
      </c>
      <c r="O33121" t="str">
        <f>IF(N33121="","",'Master Barang'!B15)</f>
        <v>optima trashbag 80x100</v>
      </c>
      <c r="P33121">
        <f>IF(OR(M33121="",N33121=""),"",SUMIFS('Barang Keluar'!$E:$E,'Barang Keluar'!$A:$A,M33121,'Barang Keluar'!$C:$C,N33121))</f>
        <v>0</v>
      </c>
    </row>
    <row r="33122" spans="13:16">
      <c r="M33122" s="49">
        <f>IF($A$4+331&gt;$B$4,"",$A$4+331)</f>
        <v>46354</v>
      </c>
      <c r="N33122" t="str">
        <f>IF(M33122="","",'Master Barang'!A16)</f>
        <v>PRL-015</v>
      </c>
      <c r="O33122" t="str">
        <f>IF(N33122="","",'Master Barang'!B16)</f>
        <v>optima trashbag 60x100</v>
      </c>
      <c r="P33122">
        <f>IF(OR(M33122="",N33122=""),"",SUMIFS('Barang Keluar'!$E:$E,'Barang Keluar'!$A:$A,M33122,'Barang Keluar'!$C:$C,N33122))</f>
        <v>0</v>
      </c>
    </row>
    <row r="33123" spans="13:16">
      <c r="M33123" s="49">
        <f>IF($A$4+331&gt;$B$4,"",$A$4+331)</f>
        <v>46354</v>
      </c>
      <c r="N33123" t="str">
        <f>IF(M33123="","",'Master Barang'!A17)</f>
        <v>PRL-016</v>
      </c>
      <c r="O33123" t="str">
        <f>IF(N33123="","",'Master Barang'!B17)</f>
        <v>rajawali trashbag 30x40</v>
      </c>
      <c r="P33123">
        <f>IF(OR(M33123="",N33123=""),"",SUMIFS('Barang Keluar'!$E:$E,'Barang Keluar'!$A:$A,M33123,'Barang Keluar'!$C:$C,N33123))</f>
        <v>0</v>
      </c>
    </row>
    <row r="33124" spans="13:16">
      <c r="M33124" s="49">
        <f>IF($A$4+331&gt;$B$4,"",$A$4+331)</f>
        <v>46354</v>
      </c>
      <c r="N33124" t="str">
        <f>IF(M33124="","",'Master Barang'!A18)</f>
        <v>PRL-017</v>
      </c>
      <c r="O33124" t="str">
        <f>IF(N33124="","",'Master Barang'!B18)</f>
        <v>onemed masker biru 3 play 50 pcs</v>
      </c>
      <c r="P33124">
        <f>IF(OR(M33124="",N33124=""),"",SUMIFS('Barang Keluar'!$E:$E,'Barang Keluar'!$A:$A,M33124,'Barang Keluar'!$C:$C,N33124))</f>
        <v>0</v>
      </c>
    </row>
    <row r="33125" spans="13:16">
      <c r="M33125" s="49">
        <f>IF($A$4+331&gt;$B$4,"",$A$4+331)</f>
        <v>46354</v>
      </c>
      <c r="N33125" t="str">
        <f>IF(M33125="","",'Master Barang'!A19)</f>
        <v>PRL-018</v>
      </c>
      <c r="O33125" t="str">
        <f>IF(N33125="","",'Master Barang'!B19)</f>
        <v>onemed masker biru 3 play hijab 50 pcs</v>
      </c>
      <c r="P33125">
        <f>IF(OR(M33125="",N33125=""),"",SUMIFS('Barang Keluar'!$E:$E,'Barang Keluar'!$A:$A,M33125,'Barang Keluar'!$C:$C,N33125))</f>
        <v>0</v>
      </c>
    </row>
    <row r="33126" spans="13:16">
      <c r="M33126" s="49">
        <f>IF($A$4+331&gt;$B$4,"",$A$4+331)</f>
        <v>46354</v>
      </c>
      <c r="N33126" t="str">
        <f>IF(M33126="","",'Master Barang'!A20)</f>
        <v>PRL-019</v>
      </c>
      <c r="O33126" t="str">
        <f>IF(N33126="","",'Master Barang'!B20)</f>
        <v>neo health masker biru 3 play 50 pcs</v>
      </c>
      <c r="P33126">
        <f>IF(OR(M33126="",N33126=""),"",SUMIFS('Barang Keluar'!$E:$E,'Barang Keluar'!$A:$A,M33126,'Barang Keluar'!$C:$C,N33126))</f>
        <v>0</v>
      </c>
    </row>
    <row r="33127" spans="13:16">
      <c r="M33127" s="49">
        <f>IF($A$4+331&gt;$B$4,"",$A$4+331)</f>
        <v>46354</v>
      </c>
      <c r="N33127" t="str">
        <f>IF(M33127="","",'Master Barang'!A21)</f>
        <v>PRL-020</v>
      </c>
      <c r="O33127" t="str">
        <f>IF(N33127="","",'Master Barang'!B21)</f>
        <v>baymed masker hijau 3 play hijau 50 pcs</v>
      </c>
      <c r="P33127">
        <f>IF(OR(M33127="",N33127=""),"",SUMIFS('Barang Keluar'!$E:$E,'Barang Keluar'!$A:$A,M33127,'Barang Keluar'!$C:$C,N33127))</f>
        <v>0</v>
      </c>
    </row>
    <row r="33128" spans="13:16">
      <c r="M33128" s="49">
        <f>IF($A$4+331&gt;$B$4,"",$A$4+331)</f>
        <v>46354</v>
      </c>
      <c r="N33128" t="str">
        <f>IF(M33128="","",'Master Barang'!A22)</f>
        <v>PRL-021</v>
      </c>
      <c r="O33128" t="str">
        <f>IF(N33128="","",'Master Barang'!B22)</f>
        <v>altamed nurse cap penutup kepala 100 pcs</v>
      </c>
      <c r="P33128">
        <f>IF(OR(M33128="",N33128=""),"",SUMIFS('Barang Keluar'!$E:$E,'Barang Keluar'!$A:$A,M33128,'Barang Keluar'!$C:$C,N33128))</f>
        <v>0</v>
      </c>
    </row>
    <row r="33129" spans="13:16">
      <c r="M33129" s="49">
        <f>IF($A$4+331&gt;$B$4,"",$A$4+331)</f>
        <v>46354</v>
      </c>
      <c r="N33129" t="str">
        <f>IF(M33129="","",'Master Barang'!A23)</f>
        <v>PRL-022</v>
      </c>
      <c r="O33129" t="str">
        <f>IF(N33129="","",'Master Barang'!B23)</f>
        <v>sabun cuci tangan</v>
      </c>
      <c r="P33129">
        <f>IF(OR(M33129="",N33129=""),"",SUMIFS('Barang Keluar'!$E:$E,'Barang Keluar'!$A:$A,M33129,'Barang Keluar'!$C:$C,N33129))</f>
        <v>0</v>
      </c>
    </row>
    <row r="33130" spans="13:16">
      <c r="M33130" s="49">
        <f>IF($A$4+331&gt;$B$4,"",$A$4+331)</f>
        <v>46354</v>
      </c>
      <c r="N33130" t="str">
        <f>IF(M33130="","",'Master Barang'!A24)</f>
        <v>PRL-023</v>
      </c>
      <c r="O33130" t="str">
        <f>IF(N33130="","",'Master Barang'!B24)</f>
        <v>gayung kecil</v>
      </c>
      <c r="P33130">
        <f>IF(OR(M33130="",N33130=""),"",SUMIFS('Barang Keluar'!$E:$E,'Barang Keluar'!$A:$A,M33130,'Barang Keluar'!$C:$C,N33130))</f>
        <v>0</v>
      </c>
    </row>
    <row r="33131" spans="13:16">
      <c r="M33131" s="49">
        <f>IF($A$4+331&gt;$B$4,"",$A$4+331)</f>
        <v>46354</v>
      </c>
      <c r="N33131" t="str">
        <f>IF(M33131="","",'Master Barang'!A25)</f>
        <v>PRL-024</v>
      </c>
      <c r="O33131" t="str">
        <f>IF(N33131="","",'Master Barang'!B25)</f>
        <v>cikrak kecil</v>
      </c>
      <c r="P33131">
        <f>IF(OR(M33131="",N33131=""),"",SUMIFS('Barang Keluar'!$E:$E,'Barang Keluar'!$A:$A,M33131,'Barang Keluar'!$C:$C,N33131))</f>
        <v>0</v>
      </c>
    </row>
    <row r="33132" spans="13:16">
      <c r="M33132" s="49">
        <f>IF($A$4+331&gt;$B$4,"",$A$4+331)</f>
        <v>46354</v>
      </c>
      <c r="N33132" t="str">
        <f>IF(M33132="","",'Master Barang'!A26)</f>
        <v>PRL-025</v>
      </c>
      <c r="O33132" t="str">
        <f>IF(N33132="","",'Master Barang'!B26)</f>
        <v>petromax plastik kecil 12x24 100 lembar</v>
      </c>
      <c r="P33132">
        <f>IF(OR(M33132="",N33132=""),"",SUMIFS('Barang Keluar'!$E:$E,'Barang Keluar'!$A:$A,M33132,'Barang Keluar'!$C:$C,N33132))</f>
        <v>0</v>
      </c>
    </row>
    <row r="33133" spans="13:16">
      <c r="M33133" s="49">
        <f>IF($A$4+331&gt;$B$4,"",$A$4+331)</f>
        <v>46354</v>
      </c>
      <c r="N33133" t="str">
        <f>IF(M33133="","",'Master Barang'!A27)</f>
        <v>PRL-026</v>
      </c>
      <c r="O33133" t="str">
        <f>IF(N33133="","",'Master Barang'!B27)</f>
        <v>lancar kresek kecil bening </v>
      </c>
      <c r="P33133">
        <f>IF(OR(M33133="",N33133=""),"",SUMIFS('Barang Keluar'!$E:$E,'Barang Keluar'!$A:$A,M33133,'Barang Keluar'!$C:$C,N33133))</f>
        <v>0</v>
      </c>
    </row>
    <row r="33134" spans="13:16">
      <c r="M33134" s="49">
        <f>IF($A$4+331&gt;$B$4,"",$A$4+331)</f>
        <v>46354</v>
      </c>
      <c r="N33134" t="str">
        <f>IF(M33134="","",'Master Barang'!A28)</f>
        <v>PRL-027</v>
      </c>
      <c r="O33134" t="str">
        <f>IF(N33134="","",'Master Barang'!B28)</f>
        <v>kresek klin warna warni kecil</v>
      </c>
      <c r="P33134">
        <f>IF(OR(M33134="",N33134=""),"",SUMIFS('Barang Keluar'!$E:$E,'Barang Keluar'!$A:$A,M33134,'Barang Keluar'!$C:$C,N33134))</f>
        <v>0</v>
      </c>
    </row>
    <row r="33135" spans="13:16">
      <c r="M33135" s="49">
        <f>IF($A$4+331&gt;$B$4,"",$A$4+331)</f>
        <v>46354</v>
      </c>
      <c r="N33135" t="str">
        <f>IF(M33135="","",'Master Barang'!A29)</f>
        <v>PRL-028</v>
      </c>
      <c r="O33135" t="str">
        <f>IF(N33135="","",'Master Barang'!B29)</f>
        <v>ctik plastik 7x10 100 pcs</v>
      </c>
      <c r="P33135">
        <f>IF(OR(M33135="",N33135=""),"",SUMIFS('Barang Keluar'!$E:$E,'Barang Keluar'!$A:$A,M33135,'Barang Keluar'!$C:$C,N33135))</f>
        <v>0</v>
      </c>
    </row>
    <row r="33136" spans="13:16">
      <c r="M33136" s="49">
        <f>IF($A$4+331&gt;$B$4,"",$A$4+331)</f>
        <v>46354</v>
      </c>
      <c r="N33136" t="str">
        <f>IF(M33136="","",'Master Barang'!A30)</f>
        <v>PRL-029</v>
      </c>
      <c r="O33136" t="str">
        <f>IF(N33136="","",'Master Barang'!B30)</f>
        <v>ctik plastik 6x10 100 pcs</v>
      </c>
      <c r="P33136">
        <f>IF(OR(M33136="",N33136=""),"",SUMIFS('Barang Keluar'!$E:$E,'Barang Keluar'!$A:$A,M33136,'Barang Keluar'!$C:$C,N33136))</f>
        <v>0</v>
      </c>
    </row>
    <row r="33137" spans="13:16">
      <c r="M33137" s="49">
        <f>IF($A$4+331&gt;$B$4,"",$A$4+331)</f>
        <v>46354</v>
      </c>
      <c r="N33137" t="str">
        <f>IF(M33137="","",'Master Barang'!A31)</f>
        <v>PRL-030</v>
      </c>
      <c r="O33137" t="str">
        <f>IF(N33137="","",'Master Barang'!B31)</f>
        <v>klip plastik 25x16 100 pcs</v>
      </c>
      <c r="P33137">
        <f>IF(OR(M33137="",N33137=""),"",SUMIFS('Barang Keluar'!$E:$E,'Barang Keluar'!$A:$A,M33137,'Barang Keluar'!$C:$C,N33137))</f>
        <v>0</v>
      </c>
    </row>
    <row r="33138" spans="13:16">
      <c r="M33138" s="49">
        <f>IF($A$4+331&gt;$B$4,"",$A$4+331)</f>
        <v>46354</v>
      </c>
      <c r="N33138" t="str">
        <f>IF(M33138="","",'Master Barang'!A32)</f>
        <v>PRL-031</v>
      </c>
      <c r="O33138" t="str">
        <f>IF(N33138="","",'Master Barang'!B32)</f>
        <v>tempat saus 20 ml</v>
      </c>
      <c r="P33138">
        <f>IF(OR(M33138="",N33138=""),"",SUMIFS('Barang Keluar'!$E:$E,'Barang Keluar'!$A:$A,M33138,'Barang Keluar'!$C:$C,N33138))</f>
        <v>0</v>
      </c>
    </row>
    <row r="33139" spans="13:16">
      <c r="M33139" s="49">
        <f>IF($A$4+331&gt;$B$4,"",$A$4+331)</f>
        <v>46354</v>
      </c>
      <c r="N33139" t="str">
        <f>IF(M33139="","",'Master Barang'!A33)</f>
        <v>PRL-032</v>
      </c>
      <c r="O33139" t="str">
        <f>IF(N33139="","",'Master Barang'!B33)</f>
        <v>plastik packaging ag box uk sedang</v>
      </c>
      <c r="P33139">
        <f>IF(OR(M33139="",N33139=""),"",SUMIFS('Barang Keluar'!$E:$E,'Barang Keluar'!$A:$A,M33139,'Barang Keluar'!$C:$C,N33139))</f>
        <v>0</v>
      </c>
    </row>
    <row r="33140" spans="13:16">
      <c r="M33140" s="49">
        <f>IF($A$4+331&gt;$B$4,"",$A$4+331)</f>
        <v>46354</v>
      </c>
      <c r="N33140" t="str">
        <f>IF(M33140="","",'Master Barang'!A34)</f>
        <v>PRL-033</v>
      </c>
      <c r="O33140">
        <f>IF(N33140="","",'Master Barang'!B34)</f>
        <v>0</v>
      </c>
      <c r="P33140">
        <f>IF(OR(M33140="",N33140=""),"",SUMIFS('Barang Keluar'!$E:$E,'Barang Keluar'!$A:$A,M33140,'Barang Keluar'!$C:$C,N33140))</f>
        <v>0</v>
      </c>
    </row>
    <row r="33141" spans="13:16">
      <c r="M33141" s="49">
        <f>IF($A$4+331&gt;$B$4,"",$A$4+331)</f>
        <v>46354</v>
      </c>
      <c r="N33141">
        <f>IF(M33141="","",'Master Barang'!A35)</f>
        <v>0</v>
      </c>
      <c r="O33141">
        <f>IF(N33141="","",'Master Barang'!B35)</f>
        <v>0</v>
      </c>
      <c r="P33141">
        <f>IF(OR(M33141="",N33141=""),"",SUMIFS('Barang Keluar'!$E:$E,'Barang Keluar'!$A:$A,M33141,'Barang Keluar'!$C:$C,N33141))</f>
        <v>0</v>
      </c>
    </row>
    <row r="33142" spans="13:16">
      <c r="M33142" s="49">
        <f>IF($A$4+331&gt;$B$4,"",$A$4+331)</f>
        <v>46354</v>
      </c>
      <c r="N33142">
        <f>IF(M33142="","",'Master Barang'!A36)</f>
        <v>0</v>
      </c>
      <c r="O33142">
        <f>IF(N33142="","",'Master Barang'!B36)</f>
        <v>0</v>
      </c>
      <c r="P33142">
        <f>IF(OR(M33142="",N33142=""),"",SUMIFS('Barang Keluar'!$E:$E,'Barang Keluar'!$A:$A,M33142,'Barang Keluar'!$C:$C,N33142))</f>
        <v>0</v>
      </c>
    </row>
    <row r="33143" spans="13:16">
      <c r="M33143" s="49">
        <f>IF($A$4+331&gt;$B$4,"",$A$4+331)</f>
        <v>46354</v>
      </c>
      <c r="N33143">
        <f>IF(M33143="","",'Master Barang'!A37)</f>
        <v>0</v>
      </c>
      <c r="O33143">
        <f>IF(N33143="","",'Master Barang'!B37)</f>
        <v>0</v>
      </c>
      <c r="P33143">
        <f>IF(OR(M33143="",N33143=""),"",SUMIFS('Barang Keluar'!$E:$E,'Barang Keluar'!$A:$A,M33143,'Barang Keluar'!$C:$C,N33143))</f>
        <v>0</v>
      </c>
    </row>
    <row r="33144" spans="13:16">
      <c r="M33144" s="49">
        <f>IF($A$4+331&gt;$B$4,"",$A$4+331)</f>
        <v>46354</v>
      </c>
      <c r="N33144">
        <f>IF(M33144="","",'Master Barang'!A38)</f>
        <v>0</v>
      </c>
      <c r="O33144">
        <f>IF(N33144="","",'Master Barang'!B38)</f>
        <v>0</v>
      </c>
      <c r="P33144">
        <f>IF(OR(M33144="",N33144=""),"",SUMIFS('Barang Keluar'!$E:$E,'Barang Keluar'!$A:$A,M33144,'Barang Keluar'!$C:$C,N33144))</f>
        <v>0</v>
      </c>
    </row>
    <row r="33145" spans="13:16">
      <c r="M33145" s="49">
        <f>IF($A$4+331&gt;$B$4,"",$A$4+331)</f>
        <v>46354</v>
      </c>
      <c r="N33145">
        <f>IF(M33145="","",'Master Barang'!A39)</f>
        <v>0</v>
      </c>
      <c r="O33145">
        <f>IF(N33145="","",'Master Barang'!B39)</f>
        <v>0</v>
      </c>
      <c r="P33145">
        <f>IF(OR(M33145="",N33145=""),"",SUMIFS('Barang Keluar'!$E:$E,'Barang Keluar'!$A:$A,M33145,'Barang Keluar'!$C:$C,N33145))</f>
        <v>0</v>
      </c>
    </row>
    <row r="33146" spans="13:16">
      <c r="M33146" s="49">
        <f>IF($A$4+331&gt;$B$4,"",$A$4+331)</f>
        <v>46354</v>
      </c>
      <c r="N33146">
        <f>IF(M33146="","",'Master Barang'!A40)</f>
        <v>0</v>
      </c>
      <c r="O33146">
        <f>IF(N33146="","",'Master Barang'!B40)</f>
        <v>0</v>
      </c>
      <c r="P33146">
        <f>IF(OR(M33146="",N33146=""),"",SUMIFS('Barang Keluar'!$E:$E,'Barang Keluar'!$A:$A,M33146,'Barang Keluar'!$C:$C,N33146))</f>
        <v>0</v>
      </c>
    </row>
    <row r="33147" spans="13:16">
      <c r="M33147" s="49">
        <f>IF($A$4+331&gt;$B$4,"",$A$4+331)</f>
        <v>46354</v>
      </c>
      <c r="N33147">
        <f>IF(M33147="","",'Master Barang'!A41)</f>
        <v>0</v>
      </c>
      <c r="O33147">
        <f>IF(N33147="","",'Master Barang'!B41)</f>
        <v>0</v>
      </c>
      <c r="P33147">
        <f>IF(OR(M33147="",N33147=""),"",SUMIFS('Barang Keluar'!$E:$E,'Barang Keluar'!$A:$A,M33147,'Barang Keluar'!$C:$C,N33147))</f>
        <v>0</v>
      </c>
    </row>
    <row r="33148" spans="13:16">
      <c r="M33148" s="49">
        <f>IF($A$4+331&gt;$B$4,"",$A$4+331)</f>
        <v>46354</v>
      </c>
      <c r="N33148">
        <f>IF(M33148="","",'Master Barang'!A42)</f>
        <v>0</v>
      </c>
      <c r="O33148">
        <f>IF(N33148="","",'Master Barang'!B42)</f>
        <v>0</v>
      </c>
      <c r="P33148">
        <f>IF(OR(M33148="",N33148=""),"",SUMIFS('Barang Keluar'!$E:$E,'Barang Keluar'!$A:$A,M33148,'Barang Keluar'!$C:$C,N33148))</f>
        <v>0</v>
      </c>
    </row>
    <row r="33149" spans="13:16">
      <c r="M33149" s="49">
        <f>IF($A$4+331&gt;$B$4,"",$A$4+331)</f>
        <v>46354</v>
      </c>
      <c r="N33149">
        <f>IF(M33149="","",'Master Barang'!A43)</f>
        <v>0</v>
      </c>
      <c r="O33149">
        <f>IF(N33149="","",'Master Barang'!B43)</f>
        <v>0</v>
      </c>
      <c r="P33149">
        <f>IF(OR(M33149="",N33149=""),"",SUMIFS('Barang Keluar'!$E:$E,'Barang Keluar'!$A:$A,M33149,'Barang Keluar'!$C:$C,N33149))</f>
        <v>0</v>
      </c>
    </row>
    <row r="33150" spans="13:16">
      <c r="M33150" s="49">
        <f>IF($A$4+331&gt;$B$4,"",$A$4+331)</f>
        <v>46354</v>
      </c>
      <c r="N33150">
        <f>IF(M33150="","",'Master Barang'!A44)</f>
        <v>0</v>
      </c>
      <c r="O33150">
        <f>IF(N33150="","",'Master Barang'!B44)</f>
        <v>0</v>
      </c>
      <c r="P33150">
        <f>IF(OR(M33150="",N33150=""),"",SUMIFS('Barang Keluar'!$E:$E,'Barang Keluar'!$A:$A,M33150,'Barang Keluar'!$C:$C,N33150))</f>
        <v>0</v>
      </c>
    </row>
    <row r="33151" spans="13:16">
      <c r="M33151" s="49">
        <f>IF($A$4+331&gt;$B$4,"",$A$4+331)</f>
        <v>46354</v>
      </c>
      <c r="N33151">
        <f>IF(M33151="","",'Master Barang'!A45)</f>
        <v>0</v>
      </c>
      <c r="O33151">
        <f>IF(N33151="","",'Master Barang'!B45)</f>
        <v>0</v>
      </c>
      <c r="P33151">
        <f>IF(OR(M33151="",N33151=""),"",SUMIFS('Barang Keluar'!$E:$E,'Barang Keluar'!$A:$A,M33151,'Barang Keluar'!$C:$C,N33151))</f>
        <v>0</v>
      </c>
    </row>
    <row r="33152" spans="13:16">
      <c r="M33152" s="49">
        <f>IF($A$4+331&gt;$B$4,"",$A$4+331)</f>
        <v>46354</v>
      </c>
      <c r="N33152">
        <f>IF(M33152="","",'Master Barang'!A46)</f>
        <v>0</v>
      </c>
      <c r="O33152">
        <f>IF(N33152="","",'Master Barang'!B46)</f>
        <v>0</v>
      </c>
      <c r="P33152">
        <f>IF(OR(M33152="",N33152=""),"",SUMIFS('Barang Keluar'!$E:$E,'Barang Keluar'!$A:$A,M33152,'Barang Keluar'!$C:$C,N33152))</f>
        <v>0</v>
      </c>
    </row>
    <row r="33153" spans="13:16">
      <c r="M33153" s="49">
        <f>IF($A$4+331&gt;$B$4,"",$A$4+331)</f>
        <v>46354</v>
      </c>
      <c r="N33153">
        <f>IF(M33153="","",'Master Barang'!A47)</f>
        <v>0</v>
      </c>
      <c r="O33153">
        <f>IF(N33153="","",'Master Barang'!B47)</f>
        <v>0</v>
      </c>
      <c r="P33153">
        <f>IF(OR(M33153="",N33153=""),"",SUMIFS('Barang Keluar'!$E:$E,'Barang Keluar'!$A:$A,M33153,'Barang Keluar'!$C:$C,N33153))</f>
        <v>0</v>
      </c>
    </row>
    <row r="33154" spans="13:16">
      <c r="M33154" s="49">
        <f>IF($A$4+331&gt;$B$4,"",$A$4+331)</f>
        <v>46354</v>
      </c>
      <c r="N33154">
        <f>IF(M33154="","",'Master Barang'!A48)</f>
        <v>0</v>
      </c>
      <c r="O33154">
        <f>IF(N33154="","",'Master Barang'!B48)</f>
        <v>0</v>
      </c>
      <c r="P33154">
        <f>IF(OR(M33154="",N33154=""),"",SUMIFS('Barang Keluar'!$E:$E,'Barang Keluar'!$A:$A,M33154,'Barang Keluar'!$C:$C,N33154))</f>
        <v>0</v>
      </c>
    </row>
    <row r="33155" spans="13:16">
      <c r="M33155" s="49">
        <f>IF($A$4+331&gt;$B$4,"",$A$4+331)</f>
        <v>46354</v>
      </c>
      <c r="N33155">
        <f>IF(M33155="","",'Master Barang'!A49)</f>
        <v>0</v>
      </c>
      <c r="O33155">
        <f>IF(N33155="","",'Master Barang'!B49)</f>
        <v>0</v>
      </c>
      <c r="P33155">
        <f>IF(OR(M33155="",N33155=""),"",SUMIFS('Barang Keluar'!$E:$E,'Barang Keluar'!$A:$A,M33155,'Barang Keluar'!$C:$C,N33155))</f>
        <v>0</v>
      </c>
    </row>
    <row r="33156" spans="13:16">
      <c r="M33156" s="49">
        <f>IF($A$4+331&gt;$B$4,"",$A$4+331)</f>
        <v>46354</v>
      </c>
      <c r="N33156">
        <f>IF(M33156="","",'Master Barang'!A50)</f>
        <v>0</v>
      </c>
      <c r="O33156">
        <f>IF(N33156="","",'Master Barang'!B50)</f>
        <v>0</v>
      </c>
      <c r="P33156">
        <f>IF(OR(M33156="",N33156=""),"",SUMIFS('Barang Keluar'!$E:$E,'Barang Keluar'!$A:$A,M33156,'Barang Keluar'!$C:$C,N33156))</f>
        <v>0</v>
      </c>
    </row>
    <row r="33157" spans="13:16">
      <c r="M33157" s="49">
        <f>IF($A$4+331&gt;$B$4,"",$A$4+331)</f>
        <v>46354</v>
      </c>
      <c r="N33157">
        <f>IF(M33157="","",'Master Barang'!A51)</f>
        <v>0</v>
      </c>
      <c r="O33157">
        <f>IF(N33157="","",'Master Barang'!B51)</f>
        <v>0</v>
      </c>
      <c r="P33157">
        <f>IF(OR(M33157="",N33157=""),"",SUMIFS('Barang Keluar'!$E:$E,'Barang Keluar'!$A:$A,M33157,'Barang Keluar'!$C:$C,N33157))</f>
        <v>0</v>
      </c>
    </row>
    <row r="33158" spans="13:16">
      <c r="M33158" s="49">
        <f>IF($A$4+331&gt;$B$4,"",$A$4+331)</f>
        <v>46354</v>
      </c>
      <c r="N33158">
        <f>IF(M33158="","",'Master Barang'!A52)</f>
        <v>0</v>
      </c>
      <c r="O33158">
        <f>IF(N33158="","",'Master Barang'!B52)</f>
        <v>0</v>
      </c>
      <c r="P33158">
        <f>IF(OR(M33158="",N33158=""),"",SUMIFS('Barang Keluar'!$E:$E,'Barang Keluar'!$A:$A,M33158,'Barang Keluar'!$C:$C,N33158))</f>
        <v>0</v>
      </c>
    </row>
    <row r="33159" spans="13:16">
      <c r="M33159" s="49">
        <f>IF($A$4+331&gt;$B$4,"",$A$4+331)</f>
        <v>46354</v>
      </c>
      <c r="N33159">
        <f>IF(M33159="","",'Master Barang'!A53)</f>
        <v>0</v>
      </c>
      <c r="O33159">
        <f>IF(N33159="","",'Master Barang'!B53)</f>
        <v>0</v>
      </c>
      <c r="P33159">
        <f>IF(OR(M33159="",N33159=""),"",SUMIFS('Barang Keluar'!$E:$E,'Barang Keluar'!$A:$A,M33159,'Barang Keluar'!$C:$C,N33159))</f>
        <v>0</v>
      </c>
    </row>
    <row r="33160" spans="13:16">
      <c r="M33160" s="49">
        <f>IF($A$4+331&gt;$B$4,"",$A$4+331)</f>
        <v>46354</v>
      </c>
      <c r="N33160">
        <f>IF(M33160="","",'Master Barang'!A54)</f>
        <v>0</v>
      </c>
      <c r="O33160">
        <f>IF(N33160="","",'Master Barang'!B54)</f>
        <v>0</v>
      </c>
      <c r="P33160">
        <f>IF(OR(M33160="",N33160=""),"",SUMIFS('Barang Keluar'!$E:$E,'Barang Keluar'!$A:$A,M33160,'Barang Keluar'!$C:$C,N33160))</f>
        <v>0</v>
      </c>
    </row>
    <row r="33161" spans="13:16">
      <c r="M33161" s="49">
        <f>IF($A$4+331&gt;$B$4,"",$A$4+331)</f>
        <v>46354</v>
      </c>
      <c r="N33161">
        <f>IF(M33161="","",'Master Barang'!A55)</f>
        <v>0</v>
      </c>
      <c r="O33161">
        <f>IF(N33161="","",'Master Barang'!B55)</f>
        <v>0</v>
      </c>
      <c r="P33161">
        <f>IF(OR(M33161="",N33161=""),"",SUMIFS('Barang Keluar'!$E:$E,'Barang Keluar'!$A:$A,M33161,'Barang Keluar'!$C:$C,N33161))</f>
        <v>0</v>
      </c>
    </row>
    <row r="33162" spans="13:16">
      <c r="M33162" s="49">
        <f>IF($A$4+331&gt;$B$4,"",$A$4+331)</f>
        <v>46354</v>
      </c>
      <c r="N33162">
        <f>IF(M33162="","",'Master Barang'!A56)</f>
        <v>0</v>
      </c>
      <c r="O33162">
        <f>IF(N33162="","",'Master Barang'!B56)</f>
        <v>0</v>
      </c>
      <c r="P33162">
        <f>IF(OR(M33162="",N33162=""),"",SUMIFS('Barang Keluar'!$E:$E,'Barang Keluar'!$A:$A,M33162,'Barang Keluar'!$C:$C,N33162))</f>
        <v>0</v>
      </c>
    </row>
    <row r="33163" spans="13:16">
      <c r="M33163" s="49">
        <f>IF($A$4+331&gt;$B$4,"",$A$4+331)</f>
        <v>46354</v>
      </c>
      <c r="N33163">
        <f>IF(M33163="","",'Master Barang'!A57)</f>
        <v>0</v>
      </c>
      <c r="O33163">
        <f>IF(N33163="","",'Master Barang'!B57)</f>
        <v>0</v>
      </c>
      <c r="P33163">
        <f>IF(OR(M33163="",N33163=""),"",SUMIFS('Barang Keluar'!$E:$E,'Barang Keluar'!$A:$A,M33163,'Barang Keluar'!$C:$C,N33163))</f>
        <v>0</v>
      </c>
    </row>
    <row r="33164" spans="13:16">
      <c r="M33164" s="49">
        <f>IF($A$4+331&gt;$B$4,"",$A$4+331)</f>
        <v>46354</v>
      </c>
      <c r="N33164">
        <f>IF(M33164="","",'Master Barang'!A58)</f>
        <v>0</v>
      </c>
      <c r="O33164">
        <f>IF(N33164="","",'Master Barang'!B58)</f>
        <v>0</v>
      </c>
      <c r="P33164">
        <f>IF(OR(M33164="",N33164=""),"",SUMIFS('Barang Keluar'!$E:$E,'Barang Keluar'!$A:$A,M33164,'Barang Keluar'!$C:$C,N33164))</f>
        <v>0</v>
      </c>
    </row>
    <row r="33165" spans="13:16">
      <c r="M33165" s="49">
        <f>IF($A$4+331&gt;$B$4,"",$A$4+331)</f>
        <v>46354</v>
      </c>
      <c r="N33165">
        <f>IF(M33165="","",'Master Barang'!A59)</f>
        <v>0</v>
      </c>
      <c r="O33165">
        <f>IF(N33165="","",'Master Barang'!B59)</f>
        <v>0</v>
      </c>
      <c r="P33165">
        <f>IF(OR(M33165="",N33165=""),"",SUMIFS('Barang Keluar'!$E:$E,'Barang Keluar'!$A:$A,M33165,'Barang Keluar'!$C:$C,N33165))</f>
        <v>0</v>
      </c>
    </row>
    <row r="33166" spans="13:16">
      <c r="M33166" s="49">
        <f>IF($A$4+331&gt;$B$4,"",$A$4+331)</f>
        <v>46354</v>
      </c>
      <c r="N33166">
        <f>IF(M33166="","",'Master Barang'!A60)</f>
        <v>0</v>
      </c>
      <c r="O33166">
        <f>IF(N33166="","",'Master Barang'!B60)</f>
        <v>0</v>
      </c>
      <c r="P33166">
        <f>IF(OR(M33166="",N33166=""),"",SUMIFS('Barang Keluar'!$E:$E,'Barang Keluar'!$A:$A,M33166,'Barang Keluar'!$C:$C,N33166))</f>
        <v>0</v>
      </c>
    </row>
    <row r="33167" spans="13:16">
      <c r="M33167" s="49">
        <f>IF($A$4+331&gt;$B$4,"",$A$4+331)</f>
        <v>46354</v>
      </c>
      <c r="N33167">
        <f>IF(M33167="","",'Master Barang'!A61)</f>
        <v>0</v>
      </c>
      <c r="O33167">
        <f>IF(N33167="","",'Master Barang'!B61)</f>
        <v>0</v>
      </c>
      <c r="P33167">
        <f>IF(OR(M33167="",N33167=""),"",SUMIFS('Barang Keluar'!$E:$E,'Barang Keluar'!$A:$A,M33167,'Barang Keluar'!$C:$C,N33167))</f>
        <v>0</v>
      </c>
    </row>
    <row r="33168" spans="13:16">
      <c r="M33168" s="49">
        <f>IF($A$4+331&gt;$B$4,"",$A$4+331)</f>
        <v>46354</v>
      </c>
      <c r="N33168">
        <f>IF(M33168="","",'Master Barang'!A62)</f>
        <v>0</v>
      </c>
      <c r="O33168">
        <f>IF(N33168="","",'Master Barang'!B62)</f>
        <v>0</v>
      </c>
      <c r="P33168">
        <f>IF(OR(M33168="",N33168=""),"",SUMIFS('Barang Keluar'!$E:$E,'Barang Keluar'!$A:$A,M33168,'Barang Keluar'!$C:$C,N33168))</f>
        <v>0</v>
      </c>
    </row>
    <row r="33169" spans="13:16">
      <c r="M33169" s="49">
        <f>IF($A$4+331&gt;$B$4,"",$A$4+331)</f>
        <v>46354</v>
      </c>
      <c r="N33169">
        <f>IF(M33169="","",'Master Barang'!A63)</f>
        <v>0</v>
      </c>
      <c r="O33169">
        <f>IF(N33169="","",'Master Barang'!B63)</f>
        <v>0</v>
      </c>
      <c r="P33169">
        <f>IF(OR(M33169="",N33169=""),"",SUMIFS('Barang Keluar'!$E:$E,'Barang Keluar'!$A:$A,M33169,'Barang Keluar'!$C:$C,N33169))</f>
        <v>0</v>
      </c>
    </row>
    <row r="33170" spans="13:16">
      <c r="M33170" s="49">
        <f>IF($A$4+331&gt;$B$4,"",$A$4+331)</f>
        <v>46354</v>
      </c>
      <c r="N33170">
        <f>IF(M33170="","",'Master Barang'!A64)</f>
        <v>0</v>
      </c>
      <c r="O33170">
        <f>IF(N33170="","",'Master Barang'!B64)</f>
        <v>0</v>
      </c>
      <c r="P33170">
        <f>IF(OR(M33170="",N33170=""),"",SUMIFS('Barang Keluar'!$E:$E,'Barang Keluar'!$A:$A,M33170,'Barang Keluar'!$C:$C,N33170))</f>
        <v>0</v>
      </c>
    </row>
    <row r="33171" spans="13:16">
      <c r="M33171" s="49">
        <f>IF($A$4+331&gt;$B$4,"",$A$4+331)</f>
        <v>46354</v>
      </c>
      <c r="N33171">
        <f>IF(M33171="","",'Master Barang'!A65)</f>
        <v>0</v>
      </c>
      <c r="O33171">
        <f>IF(N33171="","",'Master Barang'!B65)</f>
        <v>0</v>
      </c>
      <c r="P33171">
        <f>IF(OR(M33171="",N33171=""),"",SUMIFS('Barang Keluar'!$E:$E,'Barang Keluar'!$A:$A,M33171,'Barang Keluar'!$C:$C,N33171))</f>
        <v>0</v>
      </c>
    </row>
    <row r="33172" spans="13:16">
      <c r="M33172" s="49">
        <f>IF($A$4+331&gt;$B$4,"",$A$4+331)</f>
        <v>46354</v>
      </c>
      <c r="N33172">
        <f>IF(M33172="","",'Master Barang'!A66)</f>
        <v>0</v>
      </c>
      <c r="O33172">
        <f>IF(N33172="","",'Master Barang'!B66)</f>
        <v>0</v>
      </c>
      <c r="P33172">
        <f>IF(OR(M33172="",N33172=""),"",SUMIFS('Barang Keluar'!$E:$E,'Barang Keluar'!$A:$A,M33172,'Barang Keluar'!$C:$C,N33172))</f>
        <v>0</v>
      </c>
    </row>
    <row r="33173" spans="13:16">
      <c r="M33173" s="49">
        <f>IF($A$4+331&gt;$B$4,"",$A$4+331)</f>
        <v>46354</v>
      </c>
      <c r="N33173">
        <f>IF(M33173="","",'Master Barang'!A67)</f>
        <v>0</v>
      </c>
      <c r="O33173">
        <f>IF(N33173="","",'Master Barang'!B67)</f>
        <v>0</v>
      </c>
      <c r="P33173">
        <f>IF(OR(M33173="",N33173=""),"",SUMIFS('Barang Keluar'!$E:$E,'Barang Keluar'!$A:$A,M33173,'Barang Keluar'!$C:$C,N33173))</f>
        <v>0</v>
      </c>
    </row>
    <row r="33174" spans="13:16">
      <c r="M33174" s="49">
        <f>IF($A$4+331&gt;$B$4,"",$A$4+331)</f>
        <v>46354</v>
      </c>
      <c r="N33174">
        <f>IF(M33174="","",'Master Barang'!A68)</f>
        <v>0</v>
      </c>
      <c r="O33174">
        <f>IF(N33174="","",'Master Barang'!B68)</f>
        <v>0</v>
      </c>
      <c r="P33174">
        <f>IF(OR(M33174="",N33174=""),"",SUMIFS('Barang Keluar'!$E:$E,'Barang Keluar'!$A:$A,M33174,'Barang Keluar'!$C:$C,N33174))</f>
        <v>0</v>
      </c>
    </row>
    <row r="33175" spans="13:16">
      <c r="M33175" s="49">
        <f>IF($A$4+331&gt;$B$4,"",$A$4+331)</f>
        <v>46354</v>
      </c>
      <c r="N33175">
        <f>IF(M33175="","",'Master Barang'!A69)</f>
        <v>0</v>
      </c>
      <c r="O33175">
        <f>IF(N33175="","",'Master Barang'!B69)</f>
        <v>0</v>
      </c>
      <c r="P33175">
        <f>IF(OR(M33175="",N33175=""),"",SUMIFS('Barang Keluar'!$E:$E,'Barang Keluar'!$A:$A,M33175,'Barang Keluar'!$C:$C,N33175))</f>
        <v>0</v>
      </c>
    </row>
    <row r="33176" spans="13:16">
      <c r="M33176" s="49">
        <f>IF($A$4+331&gt;$B$4,"",$A$4+331)</f>
        <v>46354</v>
      </c>
      <c r="N33176">
        <f>IF(M33176="","",'Master Barang'!A70)</f>
        <v>0</v>
      </c>
      <c r="O33176">
        <f>IF(N33176="","",'Master Barang'!B70)</f>
        <v>0</v>
      </c>
      <c r="P33176">
        <f>IF(OR(M33176="",N33176=""),"",SUMIFS('Barang Keluar'!$E:$E,'Barang Keluar'!$A:$A,M33176,'Barang Keluar'!$C:$C,N33176))</f>
        <v>0</v>
      </c>
    </row>
    <row r="33177" spans="13:16">
      <c r="M33177" s="49">
        <f>IF($A$4+331&gt;$B$4,"",$A$4+331)</f>
        <v>46354</v>
      </c>
      <c r="N33177">
        <f>IF(M33177="","",'Master Barang'!A71)</f>
        <v>0</v>
      </c>
      <c r="O33177">
        <f>IF(N33177="","",'Master Barang'!B71)</f>
        <v>0</v>
      </c>
      <c r="P33177">
        <f>IF(OR(M33177="",N33177=""),"",SUMIFS('Barang Keluar'!$E:$E,'Barang Keluar'!$A:$A,M33177,'Barang Keluar'!$C:$C,N33177))</f>
        <v>0</v>
      </c>
    </row>
    <row r="33178" spans="13:16">
      <c r="M33178" s="49">
        <f>IF($A$4+331&gt;$B$4,"",$A$4+331)</f>
        <v>46354</v>
      </c>
      <c r="N33178">
        <f>IF(M33178="","",'Master Barang'!A72)</f>
        <v>0</v>
      </c>
      <c r="O33178">
        <f>IF(N33178="","",'Master Barang'!B72)</f>
        <v>0</v>
      </c>
      <c r="P33178">
        <f>IF(OR(M33178="",N33178=""),"",SUMIFS('Barang Keluar'!$E:$E,'Barang Keluar'!$A:$A,M33178,'Barang Keluar'!$C:$C,N33178))</f>
        <v>0</v>
      </c>
    </row>
    <row r="33179" spans="13:16">
      <c r="M33179" s="49">
        <f>IF($A$4+331&gt;$B$4,"",$A$4+331)</f>
        <v>46354</v>
      </c>
      <c r="N33179">
        <f>IF(M33179="","",'Master Barang'!A73)</f>
        <v>0</v>
      </c>
      <c r="O33179">
        <f>IF(N33179="","",'Master Barang'!B73)</f>
        <v>0</v>
      </c>
      <c r="P33179">
        <f>IF(OR(M33179="",N33179=""),"",SUMIFS('Barang Keluar'!$E:$E,'Barang Keluar'!$A:$A,M33179,'Barang Keluar'!$C:$C,N33179))</f>
        <v>0</v>
      </c>
    </row>
    <row r="33180" spans="13:16">
      <c r="M33180" s="49">
        <f>IF($A$4+331&gt;$B$4,"",$A$4+331)</f>
        <v>46354</v>
      </c>
      <c r="N33180">
        <f>IF(M33180="","",'Master Barang'!A74)</f>
        <v>0</v>
      </c>
      <c r="O33180">
        <f>IF(N33180="","",'Master Barang'!B74)</f>
        <v>0</v>
      </c>
      <c r="P33180">
        <f>IF(OR(M33180="",N33180=""),"",SUMIFS('Barang Keluar'!$E:$E,'Barang Keluar'!$A:$A,M33180,'Barang Keluar'!$C:$C,N33180))</f>
        <v>0</v>
      </c>
    </row>
    <row r="33181" spans="13:16">
      <c r="M33181" s="49">
        <f>IF($A$4+331&gt;$B$4,"",$A$4+331)</f>
        <v>46354</v>
      </c>
      <c r="N33181">
        <f>IF(M33181="","",'Master Barang'!A75)</f>
        <v>0</v>
      </c>
      <c r="O33181">
        <f>IF(N33181="","",'Master Barang'!B75)</f>
        <v>0</v>
      </c>
      <c r="P33181">
        <f>IF(OR(M33181="",N33181=""),"",SUMIFS('Barang Keluar'!$E:$E,'Barang Keluar'!$A:$A,M33181,'Barang Keluar'!$C:$C,N33181))</f>
        <v>0</v>
      </c>
    </row>
    <row r="33182" spans="13:16">
      <c r="M33182" s="49">
        <f>IF($A$4+331&gt;$B$4,"",$A$4+331)</f>
        <v>46354</v>
      </c>
      <c r="N33182">
        <f>IF(M33182="","",'Master Barang'!A76)</f>
        <v>0</v>
      </c>
      <c r="O33182">
        <f>IF(N33182="","",'Master Barang'!B76)</f>
        <v>0</v>
      </c>
      <c r="P33182">
        <f>IF(OR(M33182="",N33182=""),"",SUMIFS('Barang Keluar'!$E:$E,'Barang Keluar'!$A:$A,M33182,'Barang Keluar'!$C:$C,N33182))</f>
        <v>0</v>
      </c>
    </row>
    <row r="33183" spans="13:16">
      <c r="M33183" s="49">
        <f>IF($A$4+331&gt;$B$4,"",$A$4+331)</f>
        <v>46354</v>
      </c>
      <c r="N33183">
        <f>IF(M33183="","",'Master Barang'!A77)</f>
        <v>0</v>
      </c>
      <c r="O33183">
        <f>IF(N33183="","",'Master Barang'!B77)</f>
        <v>0</v>
      </c>
      <c r="P33183">
        <f>IF(OR(M33183="",N33183=""),"",SUMIFS('Barang Keluar'!$E:$E,'Barang Keluar'!$A:$A,M33183,'Barang Keluar'!$C:$C,N33183))</f>
        <v>0</v>
      </c>
    </row>
    <row r="33184" spans="13:16">
      <c r="M33184" s="49">
        <f>IF($A$4+331&gt;$B$4,"",$A$4+331)</f>
        <v>46354</v>
      </c>
      <c r="N33184">
        <f>IF(M33184="","",'Master Barang'!A78)</f>
        <v>0</v>
      </c>
      <c r="O33184">
        <f>IF(N33184="","",'Master Barang'!B78)</f>
        <v>0</v>
      </c>
      <c r="P33184">
        <f>IF(OR(M33184="",N33184=""),"",SUMIFS('Barang Keluar'!$E:$E,'Barang Keluar'!$A:$A,M33184,'Barang Keluar'!$C:$C,N33184))</f>
        <v>0</v>
      </c>
    </row>
    <row r="33185" spans="13:16">
      <c r="M33185" s="49">
        <f>IF($A$4+331&gt;$B$4,"",$A$4+331)</f>
        <v>46354</v>
      </c>
      <c r="N33185">
        <f>IF(M33185="","",'Master Barang'!A79)</f>
        <v>0</v>
      </c>
      <c r="O33185">
        <f>IF(N33185="","",'Master Barang'!B79)</f>
        <v>0</v>
      </c>
      <c r="P33185">
        <f>IF(OR(M33185="",N33185=""),"",SUMIFS('Barang Keluar'!$E:$E,'Barang Keluar'!$A:$A,M33185,'Barang Keluar'!$C:$C,N33185))</f>
        <v>0</v>
      </c>
    </row>
    <row r="33186" spans="13:16">
      <c r="M33186" s="49">
        <f>IF($A$4+331&gt;$B$4,"",$A$4+331)</f>
        <v>46354</v>
      </c>
      <c r="N33186">
        <f>IF(M33186="","",'Master Barang'!A80)</f>
        <v>0</v>
      </c>
      <c r="O33186">
        <f>IF(N33186="","",'Master Barang'!B80)</f>
        <v>0</v>
      </c>
      <c r="P33186">
        <f>IF(OR(M33186="",N33186=""),"",SUMIFS('Barang Keluar'!$E:$E,'Barang Keluar'!$A:$A,M33186,'Barang Keluar'!$C:$C,N33186))</f>
        <v>0</v>
      </c>
    </row>
    <row r="33187" spans="13:16">
      <c r="M33187" s="49">
        <f>IF($A$4+331&gt;$B$4,"",$A$4+331)</f>
        <v>46354</v>
      </c>
      <c r="N33187">
        <f>IF(M33187="","",'Master Barang'!A81)</f>
        <v>0</v>
      </c>
      <c r="O33187">
        <f>IF(N33187="","",'Master Barang'!B81)</f>
        <v>0</v>
      </c>
      <c r="P33187">
        <f>IF(OR(M33187="",N33187=""),"",SUMIFS('Barang Keluar'!$E:$E,'Barang Keluar'!$A:$A,M33187,'Barang Keluar'!$C:$C,N33187))</f>
        <v>0</v>
      </c>
    </row>
    <row r="33188" spans="13:16">
      <c r="M33188" s="49">
        <f>IF($A$4+331&gt;$B$4,"",$A$4+331)</f>
        <v>46354</v>
      </c>
      <c r="N33188">
        <f>IF(M33188="","",'Master Barang'!A82)</f>
        <v>0</v>
      </c>
      <c r="O33188">
        <f>IF(N33188="","",'Master Barang'!B82)</f>
        <v>0</v>
      </c>
      <c r="P33188">
        <f>IF(OR(M33188="",N33188=""),"",SUMIFS('Barang Keluar'!$E:$E,'Barang Keluar'!$A:$A,M33188,'Barang Keluar'!$C:$C,N33188))</f>
        <v>0</v>
      </c>
    </row>
    <row r="33189" spans="13:16">
      <c r="M33189" s="49">
        <f>IF($A$4+331&gt;$B$4,"",$A$4+331)</f>
        <v>46354</v>
      </c>
      <c r="N33189">
        <f>IF(M33189="","",'Master Barang'!A83)</f>
        <v>0</v>
      </c>
      <c r="O33189">
        <f>IF(N33189="","",'Master Barang'!B83)</f>
        <v>0</v>
      </c>
      <c r="P33189">
        <f>IF(OR(M33189="",N33189=""),"",SUMIFS('Barang Keluar'!$E:$E,'Barang Keluar'!$A:$A,M33189,'Barang Keluar'!$C:$C,N33189))</f>
        <v>0</v>
      </c>
    </row>
    <row r="33190" spans="13:16">
      <c r="M33190" s="49">
        <f>IF($A$4+331&gt;$B$4,"",$A$4+331)</f>
        <v>46354</v>
      </c>
      <c r="N33190">
        <f>IF(M33190="","",'Master Barang'!A84)</f>
        <v>0</v>
      </c>
      <c r="O33190">
        <f>IF(N33190="","",'Master Barang'!B84)</f>
        <v>0</v>
      </c>
      <c r="P33190">
        <f>IF(OR(M33190="",N33190=""),"",SUMIFS('Barang Keluar'!$E:$E,'Barang Keluar'!$A:$A,M33190,'Barang Keluar'!$C:$C,N33190))</f>
        <v>0</v>
      </c>
    </row>
    <row r="33191" spans="13:16">
      <c r="M33191" s="49">
        <f>IF($A$4+331&gt;$B$4,"",$A$4+331)</f>
        <v>46354</v>
      </c>
      <c r="N33191">
        <f>IF(M33191="","",'Master Barang'!A85)</f>
        <v>0</v>
      </c>
      <c r="O33191">
        <f>IF(N33191="","",'Master Barang'!B85)</f>
        <v>0</v>
      </c>
      <c r="P33191">
        <f>IF(OR(M33191="",N33191=""),"",SUMIFS('Barang Keluar'!$E:$E,'Barang Keluar'!$A:$A,M33191,'Barang Keluar'!$C:$C,N33191))</f>
        <v>0</v>
      </c>
    </row>
    <row r="33192" spans="13:16">
      <c r="M33192" s="49">
        <f>IF($A$4+331&gt;$B$4,"",$A$4+331)</f>
        <v>46354</v>
      </c>
      <c r="N33192">
        <f>IF(M33192="","",'Master Barang'!A86)</f>
        <v>0</v>
      </c>
      <c r="O33192">
        <f>IF(N33192="","",'Master Barang'!B86)</f>
        <v>0</v>
      </c>
      <c r="P33192">
        <f>IF(OR(M33192="",N33192=""),"",SUMIFS('Barang Keluar'!$E:$E,'Barang Keluar'!$A:$A,M33192,'Barang Keluar'!$C:$C,N33192))</f>
        <v>0</v>
      </c>
    </row>
    <row r="33193" spans="13:16">
      <c r="M33193" s="49">
        <f>IF($A$4+331&gt;$B$4,"",$A$4+331)</f>
        <v>46354</v>
      </c>
      <c r="N33193">
        <f>IF(M33193="","",'Master Barang'!A87)</f>
        <v>0</v>
      </c>
      <c r="O33193">
        <f>IF(N33193="","",'Master Barang'!B87)</f>
        <v>0</v>
      </c>
      <c r="P33193">
        <f>IF(OR(M33193="",N33193=""),"",SUMIFS('Barang Keluar'!$E:$E,'Barang Keluar'!$A:$A,M33193,'Barang Keluar'!$C:$C,N33193))</f>
        <v>0</v>
      </c>
    </row>
    <row r="33194" spans="13:16">
      <c r="M33194" s="49">
        <f>IF($A$4+331&gt;$B$4,"",$A$4+331)</f>
        <v>46354</v>
      </c>
      <c r="N33194">
        <f>IF(M33194="","",'Master Barang'!A88)</f>
        <v>0</v>
      </c>
      <c r="O33194">
        <f>IF(N33194="","",'Master Barang'!B88)</f>
        <v>0</v>
      </c>
      <c r="P33194">
        <f>IF(OR(M33194="",N33194=""),"",SUMIFS('Barang Keluar'!$E:$E,'Barang Keluar'!$A:$A,M33194,'Barang Keluar'!$C:$C,N33194))</f>
        <v>0</v>
      </c>
    </row>
    <row r="33195" spans="13:16">
      <c r="M33195" s="49">
        <f>IF($A$4+331&gt;$B$4,"",$A$4+331)</f>
        <v>46354</v>
      </c>
      <c r="N33195">
        <f>IF(M33195="","",'Master Barang'!A89)</f>
        <v>0</v>
      </c>
      <c r="O33195">
        <f>IF(N33195="","",'Master Barang'!B89)</f>
        <v>0</v>
      </c>
      <c r="P33195">
        <f>IF(OR(M33195="",N33195=""),"",SUMIFS('Barang Keluar'!$E:$E,'Barang Keluar'!$A:$A,M33195,'Barang Keluar'!$C:$C,N33195))</f>
        <v>0</v>
      </c>
    </row>
    <row r="33196" spans="13:16">
      <c r="M33196" s="49">
        <f>IF($A$4+331&gt;$B$4,"",$A$4+331)</f>
        <v>46354</v>
      </c>
      <c r="N33196">
        <f>IF(M33196="","",'Master Barang'!A90)</f>
        <v>0</v>
      </c>
      <c r="O33196">
        <f>IF(N33196="","",'Master Barang'!B90)</f>
        <v>0</v>
      </c>
      <c r="P33196">
        <f>IF(OR(M33196="",N33196=""),"",SUMIFS('Barang Keluar'!$E:$E,'Barang Keluar'!$A:$A,M33196,'Barang Keluar'!$C:$C,N33196))</f>
        <v>0</v>
      </c>
    </row>
    <row r="33197" spans="13:16">
      <c r="M33197" s="49">
        <f>IF($A$4+331&gt;$B$4,"",$A$4+331)</f>
        <v>46354</v>
      </c>
      <c r="N33197">
        <f>IF(M33197="","",'Master Barang'!A91)</f>
        <v>0</v>
      </c>
      <c r="O33197">
        <f>IF(N33197="","",'Master Barang'!B91)</f>
        <v>0</v>
      </c>
      <c r="P33197">
        <f>IF(OR(M33197="",N33197=""),"",SUMIFS('Barang Keluar'!$E:$E,'Barang Keluar'!$A:$A,M33197,'Barang Keluar'!$C:$C,N33197))</f>
        <v>0</v>
      </c>
    </row>
    <row r="33198" spans="13:16">
      <c r="M33198" s="49">
        <f>IF($A$4+331&gt;$B$4,"",$A$4+331)</f>
        <v>46354</v>
      </c>
      <c r="N33198">
        <f>IF(M33198="","",'Master Barang'!A92)</f>
        <v>0</v>
      </c>
      <c r="O33198">
        <f>IF(N33198="","",'Master Barang'!B92)</f>
        <v>0</v>
      </c>
      <c r="P33198">
        <f>IF(OR(M33198="",N33198=""),"",SUMIFS('Barang Keluar'!$E:$E,'Barang Keluar'!$A:$A,M33198,'Barang Keluar'!$C:$C,N33198))</f>
        <v>0</v>
      </c>
    </row>
    <row r="33199" spans="13:16">
      <c r="M33199" s="49">
        <f>IF($A$4+331&gt;$B$4,"",$A$4+331)</f>
        <v>46354</v>
      </c>
      <c r="N33199">
        <f>IF(M33199="","",'Master Barang'!A93)</f>
        <v>0</v>
      </c>
      <c r="O33199">
        <f>IF(N33199="","",'Master Barang'!B93)</f>
        <v>0</v>
      </c>
      <c r="P33199">
        <f>IF(OR(M33199="",N33199=""),"",SUMIFS('Barang Keluar'!$E:$E,'Barang Keluar'!$A:$A,M33199,'Barang Keluar'!$C:$C,N33199))</f>
        <v>0</v>
      </c>
    </row>
    <row r="33200" spans="13:16">
      <c r="M33200" s="49">
        <f>IF($A$4+331&gt;$B$4,"",$A$4+331)</f>
        <v>46354</v>
      </c>
      <c r="N33200">
        <f>IF(M33200="","",'Master Barang'!A94)</f>
        <v>0</v>
      </c>
      <c r="O33200">
        <f>IF(N33200="","",'Master Barang'!B94)</f>
        <v>0</v>
      </c>
      <c r="P33200">
        <f>IF(OR(M33200="",N33200=""),"",SUMIFS('Barang Keluar'!$E:$E,'Barang Keluar'!$A:$A,M33200,'Barang Keluar'!$C:$C,N33200))</f>
        <v>0</v>
      </c>
    </row>
    <row r="33201" spans="13:16">
      <c r="M33201" s="49">
        <f>IF($A$4+331&gt;$B$4,"",$A$4+331)</f>
        <v>46354</v>
      </c>
      <c r="N33201">
        <f>IF(M33201="","",'Master Barang'!A95)</f>
        <v>0</v>
      </c>
      <c r="O33201">
        <f>IF(N33201="","",'Master Barang'!B95)</f>
        <v>0</v>
      </c>
      <c r="P33201">
        <f>IF(OR(M33201="",N33201=""),"",SUMIFS('Barang Keluar'!$E:$E,'Barang Keluar'!$A:$A,M33201,'Barang Keluar'!$C:$C,N33201))</f>
        <v>0</v>
      </c>
    </row>
    <row r="33202" spans="13:16">
      <c r="M33202" s="49">
        <f>IF($A$4+331&gt;$B$4,"",$A$4+331)</f>
        <v>46354</v>
      </c>
      <c r="N33202">
        <f>IF(M33202="","",'Master Barang'!A96)</f>
        <v>0</v>
      </c>
      <c r="O33202">
        <f>IF(N33202="","",'Master Barang'!B96)</f>
        <v>0</v>
      </c>
      <c r="P33202">
        <f>IF(OR(M33202="",N33202=""),"",SUMIFS('Barang Keluar'!$E:$E,'Barang Keluar'!$A:$A,M33202,'Barang Keluar'!$C:$C,N33202))</f>
        <v>0</v>
      </c>
    </row>
    <row r="33203" spans="13:16">
      <c r="M33203" s="49">
        <f>IF($A$4+331&gt;$B$4,"",$A$4+331)</f>
        <v>46354</v>
      </c>
      <c r="N33203">
        <f>IF(M33203="","",'Master Barang'!A97)</f>
        <v>0</v>
      </c>
      <c r="O33203">
        <f>IF(N33203="","",'Master Barang'!B97)</f>
        <v>0</v>
      </c>
      <c r="P33203">
        <f>IF(OR(M33203="",N33203=""),"",SUMIFS('Barang Keluar'!$E:$E,'Barang Keluar'!$A:$A,M33203,'Barang Keluar'!$C:$C,N33203))</f>
        <v>0</v>
      </c>
    </row>
    <row r="33204" spans="13:16">
      <c r="M33204" s="49">
        <f>IF($A$4+331&gt;$B$4,"",$A$4+331)</f>
        <v>46354</v>
      </c>
      <c r="N33204">
        <f>IF(M33204="","",'Master Barang'!A98)</f>
        <v>0</v>
      </c>
      <c r="O33204">
        <f>IF(N33204="","",'Master Barang'!B98)</f>
        <v>0</v>
      </c>
      <c r="P33204">
        <f>IF(OR(M33204="",N33204=""),"",SUMIFS('Barang Keluar'!$E:$E,'Barang Keluar'!$A:$A,M33204,'Barang Keluar'!$C:$C,N33204))</f>
        <v>0</v>
      </c>
    </row>
    <row r="33205" spans="13:16">
      <c r="M33205" s="49">
        <f>IF($A$4+331&gt;$B$4,"",$A$4+331)</f>
        <v>46354</v>
      </c>
      <c r="N33205">
        <f>IF(M33205="","",'Master Barang'!A99)</f>
        <v>0</v>
      </c>
      <c r="O33205">
        <f>IF(N33205="","",'Master Barang'!B99)</f>
        <v>0</v>
      </c>
      <c r="P33205">
        <f>IF(OR(M33205="",N33205=""),"",SUMIFS('Barang Keluar'!$E:$E,'Barang Keluar'!$A:$A,M33205,'Barang Keluar'!$C:$C,N33205))</f>
        <v>0</v>
      </c>
    </row>
    <row r="33206" spans="13:16">
      <c r="M33206" s="49">
        <f>IF($A$4+331&gt;$B$4,"",$A$4+331)</f>
        <v>46354</v>
      </c>
      <c r="N33206">
        <f>IF(M33206="","",'Master Barang'!A100)</f>
        <v>0</v>
      </c>
      <c r="O33206">
        <f>IF(N33206="","",'Master Barang'!B100)</f>
        <v>0</v>
      </c>
      <c r="P33206">
        <f>IF(OR(M33206="",N33206=""),"",SUMIFS('Barang Keluar'!$E:$E,'Barang Keluar'!$A:$A,M33206,'Barang Keluar'!$C:$C,N33206))</f>
        <v>0</v>
      </c>
    </row>
    <row r="33207" spans="13:16">
      <c r="M33207" s="49">
        <f>IF($A$4+331&gt;$B$4,"",$A$4+331)</f>
        <v>46354</v>
      </c>
      <c r="N33207">
        <f>IF(M33207="","",'Master Barang'!A101)</f>
        <v>0</v>
      </c>
      <c r="O33207">
        <f>IF(N33207="","",'Master Barang'!B101)</f>
        <v>0</v>
      </c>
      <c r="P33207">
        <f>IF(OR(M33207="",N33207=""),"",SUMIFS('Barang Keluar'!$E:$E,'Barang Keluar'!$A:$A,M33207,'Barang Keluar'!$C:$C,N33207))</f>
        <v>0</v>
      </c>
    </row>
    <row r="33208" spans="13:16">
      <c r="M33208" s="49">
        <f>IF($A$4+332&gt;$B$4,"",$A$4+332)</f>
        <v>46355</v>
      </c>
      <c r="N33208" t="str">
        <f>IF(M33208="","",'Master Barang'!A2)</f>
        <v>PRL-001</v>
      </c>
      <c r="O33208" t="str">
        <f>IF(N33208="","",'Master Barang'!B2)</f>
        <v>natura desinfectant food grade 5l</v>
      </c>
      <c r="P33208">
        <f>IF(OR(M33208="",N33208=""),"",SUMIFS('Barang Keluar'!$E:$E,'Barang Keluar'!$A:$A,M33208,'Barang Keluar'!$C:$C,N33208))</f>
        <v>0</v>
      </c>
    </row>
    <row r="33209" spans="13:16">
      <c r="M33209" s="49">
        <f>IF($A$4+332&gt;$B$4,"",$A$4+332)</f>
        <v>46355</v>
      </c>
      <c r="N33209" t="str">
        <f>IF(M33209="","",'Master Barang'!A3)</f>
        <v>PRL-002</v>
      </c>
      <c r="O33209" t="str">
        <f>IF(N33209="","",'Master Barang'!B3)</f>
        <v>sunlight cairan pencuci piring 5l</v>
      </c>
      <c r="P33209">
        <f>IF(OR(M33209="",N33209=""),"",SUMIFS('Barang Keluar'!$E:$E,'Barang Keluar'!$A:$A,M33209,'Barang Keluar'!$C:$C,N33209))</f>
        <v>0</v>
      </c>
    </row>
    <row r="33210" spans="13:16">
      <c r="M33210" s="49">
        <f>IF($A$4+332&gt;$B$4,"",$A$4+332)</f>
        <v>46355</v>
      </c>
      <c r="N33210" t="str">
        <f>IF(M33210="","",'Master Barang'!A4)</f>
        <v>PRL-003</v>
      </c>
      <c r="O33210" t="str">
        <f>IF(N33210="","",'Master Barang'!B4)</f>
        <v>oixs cleaner 1l</v>
      </c>
      <c r="P33210">
        <f>IF(OR(M33210="",N33210=""),"",SUMIFS('Barang Keluar'!$E:$E,'Barang Keluar'!$A:$A,M33210,'Barang Keluar'!$C:$C,N33210))</f>
        <v>0</v>
      </c>
    </row>
    <row r="33211" spans="13:16">
      <c r="M33211" s="49">
        <f>IF($A$4+332&gt;$B$4,"",$A$4+332)</f>
        <v>46355</v>
      </c>
      <c r="N33211" t="str">
        <f>IF(M33211="","",'Master Barang'!A5)</f>
        <v>PRL-004</v>
      </c>
      <c r="O33211" t="str">
        <f>IF(N33211="","",'Master Barang'!B5)</f>
        <v>be clean tissue serbaguna</v>
      </c>
      <c r="P33211">
        <f>IF(OR(M33211="",N33211=""),"",SUMIFS('Barang Keluar'!$E:$E,'Barang Keluar'!$A:$A,M33211,'Barang Keluar'!$C:$C,N33211))</f>
        <v>0</v>
      </c>
    </row>
    <row r="33212" spans="13:16">
      <c r="M33212" s="49">
        <f>IF($A$4+332&gt;$B$4,"",$A$4+332)</f>
        <v>46355</v>
      </c>
      <c r="N33212" t="str">
        <f>IF(M33212="","",'Master Barang'!A6)</f>
        <v>PRL-005</v>
      </c>
      <c r="O33212" t="str">
        <f>IF(N33212="","",'Master Barang'!B6)</f>
        <v>spons cuci hijau</v>
      </c>
      <c r="P33212">
        <f>IF(OR(M33212="",N33212=""),"",SUMIFS('Barang Keluar'!$E:$E,'Barang Keluar'!$A:$A,M33212,'Barang Keluar'!$C:$C,N33212))</f>
        <v>0</v>
      </c>
    </row>
    <row r="33213" spans="13:16">
      <c r="M33213" s="49">
        <f>IF($A$4+332&gt;$B$4,"",$A$4+332)</f>
        <v>46355</v>
      </c>
      <c r="N33213" t="str">
        <f>IF(M33213="","",'Master Barang'!A7)</f>
        <v>PRL-006</v>
      </c>
      <c r="O33213" t="str">
        <f>IF(N33213="","",'Master Barang'!B7)</f>
        <v>sabut cuci stainless</v>
      </c>
      <c r="P33213">
        <f>IF(OR(M33213="",N33213=""),"",SUMIFS('Barang Keluar'!$E:$E,'Barang Keluar'!$A:$A,M33213,'Barang Keluar'!$C:$C,N33213))</f>
        <v>0</v>
      </c>
    </row>
    <row r="33214" spans="13:16">
      <c r="M33214" s="49">
        <f>IF($A$4+332&gt;$B$4,"",$A$4+332)</f>
        <v>46355</v>
      </c>
      <c r="N33214" t="str">
        <f>IF(M33214="","",'Master Barang'!A8)</f>
        <v>PRL-007</v>
      </c>
      <c r="O33214" t="str">
        <f>IF(N33214="","",'Master Barang'!B8)</f>
        <v>plastik kresek besar merah 50pc</v>
      </c>
      <c r="P33214">
        <f>IF(OR(M33214="",N33214=""),"",SUMIFS('Barang Keluar'!$E:$E,'Barang Keluar'!$A:$A,M33214,'Barang Keluar'!$C:$C,N33214))</f>
        <v>0</v>
      </c>
    </row>
    <row r="33215" spans="13:16">
      <c r="M33215" s="49">
        <f>IF($A$4+332&gt;$B$4,"",$A$4+332)</f>
        <v>46355</v>
      </c>
      <c r="N33215" t="str">
        <f>IF(M33215="","",'Master Barang'!A9)</f>
        <v>PRL-008</v>
      </c>
      <c r="O33215" t="str">
        <f>IF(N33215="","",'Master Barang'!B9)</f>
        <v>lap besar</v>
      </c>
      <c r="P33215">
        <f>IF(OR(M33215="",N33215=""),"",SUMIFS('Barang Keluar'!$E:$E,'Barang Keluar'!$A:$A,M33215,'Barang Keluar'!$C:$C,N33215))</f>
        <v>0</v>
      </c>
    </row>
    <row r="33216" spans="13:16">
      <c r="M33216" s="49">
        <f>IF($A$4+332&gt;$B$4,"",$A$4+332)</f>
        <v>46355</v>
      </c>
      <c r="N33216" t="str">
        <f>IF(M33216="","",'Master Barang'!A10)</f>
        <v>PRL-009</v>
      </c>
      <c r="O33216" t="str">
        <f>IF(N33216="","",'Master Barang'!B10)</f>
        <v>lap microfiber</v>
      </c>
      <c r="P33216">
        <f>IF(OR(M33216="",N33216=""),"",SUMIFS('Barang Keluar'!$E:$E,'Barang Keluar'!$A:$A,M33216,'Barang Keluar'!$C:$C,N33216))</f>
        <v>0</v>
      </c>
    </row>
    <row r="33217" spans="13:16">
      <c r="M33217" s="49">
        <f>IF($A$4+332&gt;$B$4,"",$A$4+332)</f>
        <v>46355</v>
      </c>
      <c r="N33217" t="str">
        <f>IF(M33217="","",'Master Barang'!A11)</f>
        <v>PRL-010</v>
      </c>
      <c r="O33217" t="str">
        <f>IF(N33217="","",'Master Barang'!B11)</f>
        <v>lap kecil</v>
      </c>
      <c r="P33217">
        <f>IF(OR(M33217="",N33217=""),"",SUMIFS('Barang Keluar'!$E:$E,'Barang Keluar'!$A:$A,M33217,'Barang Keluar'!$C:$C,N33217))</f>
        <v>0</v>
      </c>
    </row>
    <row r="33218" spans="13:16">
      <c r="M33218" s="49">
        <f>IF($A$4+332&gt;$B$4,"",$A$4+332)</f>
        <v>46355</v>
      </c>
      <c r="N33218" t="str">
        <f>IF(M33218="","",'Master Barang'!A12)</f>
        <v>PRL-011</v>
      </c>
      <c r="O33218" t="str">
        <f>IF(N33218="","",'Master Barang'!B12)</f>
        <v>kanebo kecil</v>
      </c>
      <c r="P33218">
        <f>IF(OR(M33218="",N33218=""),"",SUMIFS('Barang Keluar'!$E:$E,'Barang Keluar'!$A:$A,M33218,'Barang Keluar'!$C:$C,N33218))</f>
        <v>0</v>
      </c>
    </row>
    <row r="33219" spans="13:16">
      <c r="M33219" s="49">
        <f>IF($A$4+332&gt;$B$4,"",$A$4+332)</f>
        <v>46355</v>
      </c>
      <c r="N33219" t="str">
        <f>IF(M33219="","",'Master Barang'!A13)</f>
        <v>PRL-012</v>
      </c>
      <c r="O33219" t="str">
        <f>IF(N33219="","",'Master Barang'!B13)</f>
        <v>plastik 1/4kg joyoboyo 100 lembar</v>
      </c>
      <c r="P33219">
        <f>IF(OR(M33219="",N33219=""),"",SUMIFS('Barang Keluar'!$E:$E,'Barang Keluar'!$A:$A,M33219,'Barang Keluar'!$C:$C,N33219))</f>
        <v>0</v>
      </c>
    </row>
    <row r="33220" spans="13:16">
      <c r="M33220" s="49">
        <f>IF($A$4+332&gt;$B$4,"",$A$4+332)</f>
        <v>46355</v>
      </c>
      <c r="N33220" t="str">
        <f>IF(M33220="","",'Master Barang'!A14)</f>
        <v>PRL-013</v>
      </c>
      <c r="O33220" t="str">
        <f>IF(N33220="","",'Master Barang'!B14)</f>
        <v>sarung tangan plastik kaka 100 pcs</v>
      </c>
      <c r="P33220">
        <f>IF(OR(M33220="",N33220=""),"",SUMIFS('Barang Keluar'!$E:$E,'Barang Keluar'!$A:$A,M33220,'Barang Keluar'!$C:$C,N33220))</f>
        <v>0</v>
      </c>
    </row>
    <row r="33221" spans="13:16">
      <c r="M33221" s="49">
        <f>IF($A$4+332&gt;$B$4,"",$A$4+332)</f>
        <v>46355</v>
      </c>
      <c r="N33221" t="str">
        <f>IF(M33221="","",'Master Barang'!A15)</f>
        <v>PRL-014</v>
      </c>
      <c r="O33221" t="str">
        <f>IF(N33221="","",'Master Barang'!B15)</f>
        <v>optima trashbag 80x100</v>
      </c>
      <c r="P33221">
        <f>IF(OR(M33221="",N33221=""),"",SUMIFS('Barang Keluar'!$E:$E,'Barang Keluar'!$A:$A,M33221,'Barang Keluar'!$C:$C,N33221))</f>
        <v>0</v>
      </c>
    </row>
    <row r="33222" spans="13:16">
      <c r="M33222" s="49">
        <f>IF($A$4+332&gt;$B$4,"",$A$4+332)</f>
        <v>46355</v>
      </c>
      <c r="N33222" t="str">
        <f>IF(M33222="","",'Master Barang'!A16)</f>
        <v>PRL-015</v>
      </c>
      <c r="O33222" t="str">
        <f>IF(N33222="","",'Master Barang'!B16)</f>
        <v>optima trashbag 60x100</v>
      </c>
      <c r="P33222">
        <f>IF(OR(M33222="",N33222=""),"",SUMIFS('Barang Keluar'!$E:$E,'Barang Keluar'!$A:$A,M33222,'Barang Keluar'!$C:$C,N33222))</f>
        <v>0</v>
      </c>
    </row>
    <row r="33223" spans="13:16">
      <c r="M33223" s="49">
        <f>IF($A$4+332&gt;$B$4,"",$A$4+332)</f>
        <v>46355</v>
      </c>
      <c r="N33223" t="str">
        <f>IF(M33223="","",'Master Barang'!A17)</f>
        <v>PRL-016</v>
      </c>
      <c r="O33223" t="str">
        <f>IF(N33223="","",'Master Barang'!B17)</f>
        <v>rajawali trashbag 30x40</v>
      </c>
      <c r="P33223">
        <f>IF(OR(M33223="",N33223=""),"",SUMIFS('Barang Keluar'!$E:$E,'Barang Keluar'!$A:$A,M33223,'Barang Keluar'!$C:$C,N33223))</f>
        <v>0</v>
      </c>
    </row>
    <row r="33224" spans="13:16">
      <c r="M33224" s="49">
        <f>IF($A$4+332&gt;$B$4,"",$A$4+332)</f>
        <v>46355</v>
      </c>
      <c r="N33224" t="str">
        <f>IF(M33224="","",'Master Barang'!A18)</f>
        <v>PRL-017</v>
      </c>
      <c r="O33224" t="str">
        <f>IF(N33224="","",'Master Barang'!B18)</f>
        <v>onemed masker biru 3 play 50 pcs</v>
      </c>
      <c r="P33224">
        <f>IF(OR(M33224="",N33224=""),"",SUMIFS('Barang Keluar'!$E:$E,'Barang Keluar'!$A:$A,M33224,'Barang Keluar'!$C:$C,N33224))</f>
        <v>0</v>
      </c>
    </row>
    <row r="33225" spans="13:16">
      <c r="M33225" s="49">
        <f>IF($A$4+332&gt;$B$4,"",$A$4+332)</f>
        <v>46355</v>
      </c>
      <c r="N33225" t="str">
        <f>IF(M33225="","",'Master Barang'!A19)</f>
        <v>PRL-018</v>
      </c>
      <c r="O33225" t="str">
        <f>IF(N33225="","",'Master Barang'!B19)</f>
        <v>onemed masker biru 3 play hijab 50 pcs</v>
      </c>
      <c r="P33225">
        <f>IF(OR(M33225="",N33225=""),"",SUMIFS('Barang Keluar'!$E:$E,'Barang Keluar'!$A:$A,M33225,'Barang Keluar'!$C:$C,N33225))</f>
        <v>0</v>
      </c>
    </row>
    <row r="33226" spans="13:16">
      <c r="M33226" s="49">
        <f>IF($A$4+332&gt;$B$4,"",$A$4+332)</f>
        <v>46355</v>
      </c>
      <c r="N33226" t="str">
        <f>IF(M33226="","",'Master Barang'!A20)</f>
        <v>PRL-019</v>
      </c>
      <c r="O33226" t="str">
        <f>IF(N33226="","",'Master Barang'!B20)</f>
        <v>neo health masker biru 3 play 50 pcs</v>
      </c>
      <c r="P33226">
        <f>IF(OR(M33226="",N33226=""),"",SUMIFS('Barang Keluar'!$E:$E,'Barang Keluar'!$A:$A,M33226,'Barang Keluar'!$C:$C,N33226))</f>
        <v>0</v>
      </c>
    </row>
    <row r="33227" spans="13:16">
      <c r="M33227" s="49">
        <f>IF($A$4+332&gt;$B$4,"",$A$4+332)</f>
        <v>46355</v>
      </c>
      <c r="N33227" t="str">
        <f>IF(M33227="","",'Master Barang'!A21)</f>
        <v>PRL-020</v>
      </c>
      <c r="O33227" t="str">
        <f>IF(N33227="","",'Master Barang'!B21)</f>
        <v>baymed masker hijau 3 play hijau 50 pcs</v>
      </c>
      <c r="P33227">
        <f>IF(OR(M33227="",N33227=""),"",SUMIFS('Barang Keluar'!$E:$E,'Barang Keluar'!$A:$A,M33227,'Barang Keluar'!$C:$C,N33227))</f>
        <v>0</v>
      </c>
    </row>
    <row r="33228" spans="13:16">
      <c r="M33228" s="49">
        <f>IF($A$4+332&gt;$B$4,"",$A$4+332)</f>
        <v>46355</v>
      </c>
      <c r="N33228" t="str">
        <f>IF(M33228="","",'Master Barang'!A22)</f>
        <v>PRL-021</v>
      </c>
      <c r="O33228" t="str">
        <f>IF(N33228="","",'Master Barang'!B22)</f>
        <v>altamed nurse cap penutup kepala 100 pcs</v>
      </c>
      <c r="P33228">
        <f>IF(OR(M33228="",N33228=""),"",SUMIFS('Barang Keluar'!$E:$E,'Barang Keluar'!$A:$A,M33228,'Barang Keluar'!$C:$C,N33228))</f>
        <v>0</v>
      </c>
    </row>
    <row r="33229" spans="13:16">
      <c r="M33229" s="49">
        <f>IF($A$4+332&gt;$B$4,"",$A$4+332)</f>
        <v>46355</v>
      </c>
      <c r="N33229" t="str">
        <f>IF(M33229="","",'Master Barang'!A23)</f>
        <v>PRL-022</v>
      </c>
      <c r="O33229" t="str">
        <f>IF(N33229="","",'Master Barang'!B23)</f>
        <v>sabun cuci tangan</v>
      </c>
      <c r="P33229">
        <f>IF(OR(M33229="",N33229=""),"",SUMIFS('Barang Keluar'!$E:$E,'Barang Keluar'!$A:$A,M33229,'Barang Keluar'!$C:$C,N33229))</f>
        <v>0</v>
      </c>
    </row>
    <row r="33230" spans="13:16">
      <c r="M33230" s="49">
        <f>IF($A$4+332&gt;$B$4,"",$A$4+332)</f>
        <v>46355</v>
      </c>
      <c r="N33230" t="str">
        <f>IF(M33230="","",'Master Barang'!A24)</f>
        <v>PRL-023</v>
      </c>
      <c r="O33230" t="str">
        <f>IF(N33230="","",'Master Barang'!B24)</f>
        <v>gayung kecil</v>
      </c>
      <c r="P33230">
        <f>IF(OR(M33230="",N33230=""),"",SUMIFS('Barang Keluar'!$E:$E,'Barang Keluar'!$A:$A,M33230,'Barang Keluar'!$C:$C,N33230))</f>
        <v>0</v>
      </c>
    </row>
    <row r="33231" spans="13:16">
      <c r="M33231" s="49">
        <f>IF($A$4+332&gt;$B$4,"",$A$4+332)</f>
        <v>46355</v>
      </c>
      <c r="N33231" t="str">
        <f>IF(M33231="","",'Master Barang'!A25)</f>
        <v>PRL-024</v>
      </c>
      <c r="O33231" t="str">
        <f>IF(N33231="","",'Master Barang'!B25)</f>
        <v>cikrak kecil</v>
      </c>
      <c r="P33231">
        <f>IF(OR(M33231="",N33231=""),"",SUMIFS('Barang Keluar'!$E:$E,'Barang Keluar'!$A:$A,M33231,'Barang Keluar'!$C:$C,N33231))</f>
        <v>0</v>
      </c>
    </row>
    <row r="33232" spans="13:16">
      <c r="M33232" s="49">
        <f>IF($A$4+332&gt;$B$4,"",$A$4+332)</f>
        <v>46355</v>
      </c>
      <c r="N33232" t="str">
        <f>IF(M33232="","",'Master Barang'!A26)</f>
        <v>PRL-025</v>
      </c>
      <c r="O33232" t="str">
        <f>IF(N33232="","",'Master Barang'!B26)</f>
        <v>petromax plastik kecil 12x24 100 lembar</v>
      </c>
      <c r="P33232">
        <f>IF(OR(M33232="",N33232=""),"",SUMIFS('Barang Keluar'!$E:$E,'Barang Keluar'!$A:$A,M33232,'Barang Keluar'!$C:$C,N33232))</f>
        <v>0</v>
      </c>
    </row>
    <row r="33233" spans="13:16">
      <c r="M33233" s="49">
        <f>IF($A$4+332&gt;$B$4,"",$A$4+332)</f>
        <v>46355</v>
      </c>
      <c r="N33233" t="str">
        <f>IF(M33233="","",'Master Barang'!A27)</f>
        <v>PRL-026</v>
      </c>
      <c r="O33233" t="str">
        <f>IF(N33233="","",'Master Barang'!B27)</f>
        <v>lancar kresek kecil bening </v>
      </c>
      <c r="P33233">
        <f>IF(OR(M33233="",N33233=""),"",SUMIFS('Barang Keluar'!$E:$E,'Barang Keluar'!$A:$A,M33233,'Barang Keluar'!$C:$C,N33233))</f>
        <v>0</v>
      </c>
    </row>
    <row r="33234" spans="13:16">
      <c r="M33234" s="49">
        <f>IF($A$4+332&gt;$B$4,"",$A$4+332)</f>
        <v>46355</v>
      </c>
      <c r="N33234" t="str">
        <f>IF(M33234="","",'Master Barang'!A28)</f>
        <v>PRL-027</v>
      </c>
      <c r="O33234" t="str">
        <f>IF(N33234="","",'Master Barang'!B28)</f>
        <v>kresek klin warna warni kecil</v>
      </c>
      <c r="P33234">
        <f>IF(OR(M33234="",N33234=""),"",SUMIFS('Barang Keluar'!$E:$E,'Barang Keluar'!$A:$A,M33234,'Barang Keluar'!$C:$C,N33234))</f>
        <v>0</v>
      </c>
    </row>
    <row r="33235" spans="13:16">
      <c r="M33235" s="49">
        <f>IF($A$4+332&gt;$B$4,"",$A$4+332)</f>
        <v>46355</v>
      </c>
      <c r="N33235" t="str">
        <f>IF(M33235="","",'Master Barang'!A29)</f>
        <v>PRL-028</v>
      </c>
      <c r="O33235" t="str">
        <f>IF(N33235="","",'Master Barang'!B29)</f>
        <v>ctik plastik 7x10 100 pcs</v>
      </c>
      <c r="P33235">
        <f>IF(OR(M33235="",N33235=""),"",SUMIFS('Barang Keluar'!$E:$E,'Barang Keluar'!$A:$A,M33235,'Barang Keluar'!$C:$C,N33235))</f>
        <v>0</v>
      </c>
    </row>
    <row r="33236" spans="13:16">
      <c r="M33236" s="49">
        <f>IF($A$4+332&gt;$B$4,"",$A$4+332)</f>
        <v>46355</v>
      </c>
      <c r="N33236" t="str">
        <f>IF(M33236="","",'Master Barang'!A30)</f>
        <v>PRL-029</v>
      </c>
      <c r="O33236" t="str">
        <f>IF(N33236="","",'Master Barang'!B30)</f>
        <v>ctik plastik 6x10 100 pcs</v>
      </c>
      <c r="P33236">
        <f>IF(OR(M33236="",N33236=""),"",SUMIFS('Barang Keluar'!$E:$E,'Barang Keluar'!$A:$A,M33236,'Barang Keluar'!$C:$C,N33236))</f>
        <v>0</v>
      </c>
    </row>
    <row r="33237" spans="13:16">
      <c r="M33237" s="49">
        <f>IF($A$4+332&gt;$B$4,"",$A$4+332)</f>
        <v>46355</v>
      </c>
      <c r="N33237" t="str">
        <f>IF(M33237="","",'Master Barang'!A31)</f>
        <v>PRL-030</v>
      </c>
      <c r="O33237" t="str">
        <f>IF(N33237="","",'Master Barang'!B31)</f>
        <v>klip plastik 25x16 100 pcs</v>
      </c>
      <c r="P33237">
        <f>IF(OR(M33237="",N33237=""),"",SUMIFS('Barang Keluar'!$E:$E,'Barang Keluar'!$A:$A,M33237,'Barang Keluar'!$C:$C,N33237))</f>
        <v>0</v>
      </c>
    </row>
    <row r="33238" spans="13:16">
      <c r="M33238" s="49">
        <f>IF($A$4+332&gt;$B$4,"",$A$4+332)</f>
        <v>46355</v>
      </c>
      <c r="N33238" t="str">
        <f>IF(M33238="","",'Master Barang'!A32)</f>
        <v>PRL-031</v>
      </c>
      <c r="O33238" t="str">
        <f>IF(N33238="","",'Master Barang'!B32)</f>
        <v>tempat saus 20 ml</v>
      </c>
      <c r="P33238">
        <f>IF(OR(M33238="",N33238=""),"",SUMIFS('Barang Keluar'!$E:$E,'Barang Keluar'!$A:$A,M33238,'Barang Keluar'!$C:$C,N33238))</f>
        <v>0</v>
      </c>
    </row>
    <row r="33239" spans="13:16">
      <c r="M33239" s="49">
        <f>IF($A$4+332&gt;$B$4,"",$A$4+332)</f>
        <v>46355</v>
      </c>
      <c r="N33239" t="str">
        <f>IF(M33239="","",'Master Barang'!A33)</f>
        <v>PRL-032</v>
      </c>
      <c r="O33239" t="str">
        <f>IF(N33239="","",'Master Barang'!B33)</f>
        <v>plastik packaging ag box uk sedang</v>
      </c>
      <c r="P33239">
        <f>IF(OR(M33239="",N33239=""),"",SUMIFS('Barang Keluar'!$E:$E,'Barang Keluar'!$A:$A,M33239,'Barang Keluar'!$C:$C,N33239))</f>
        <v>0</v>
      </c>
    </row>
    <row r="33240" spans="13:16">
      <c r="M33240" s="49">
        <f>IF($A$4+332&gt;$B$4,"",$A$4+332)</f>
        <v>46355</v>
      </c>
      <c r="N33240" t="str">
        <f>IF(M33240="","",'Master Barang'!A34)</f>
        <v>PRL-033</v>
      </c>
      <c r="O33240">
        <f>IF(N33240="","",'Master Barang'!B34)</f>
        <v>0</v>
      </c>
      <c r="P33240">
        <f>IF(OR(M33240="",N33240=""),"",SUMIFS('Barang Keluar'!$E:$E,'Barang Keluar'!$A:$A,M33240,'Barang Keluar'!$C:$C,N33240))</f>
        <v>0</v>
      </c>
    </row>
    <row r="33241" spans="13:16">
      <c r="M33241" s="49">
        <f>IF($A$4+332&gt;$B$4,"",$A$4+332)</f>
        <v>46355</v>
      </c>
      <c r="N33241">
        <f>IF(M33241="","",'Master Barang'!A35)</f>
        <v>0</v>
      </c>
      <c r="O33241">
        <f>IF(N33241="","",'Master Barang'!B35)</f>
        <v>0</v>
      </c>
      <c r="P33241">
        <f>IF(OR(M33241="",N33241=""),"",SUMIFS('Barang Keluar'!$E:$E,'Barang Keluar'!$A:$A,M33241,'Barang Keluar'!$C:$C,N33241))</f>
        <v>0</v>
      </c>
    </row>
    <row r="33242" spans="13:16">
      <c r="M33242" s="49">
        <f>IF($A$4+332&gt;$B$4,"",$A$4+332)</f>
        <v>46355</v>
      </c>
      <c r="N33242">
        <f>IF(M33242="","",'Master Barang'!A36)</f>
        <v>0</v>
      </c>
      <c r="O33242">
        <f>IF(N33242="","",'Master Barang'!B36)</f>
        <v>0</v>
      </c>
      <c r="P33242">
        <f>IF(OR(M33242="",N33242=""),"",SUMIFS('Barang Keluar'!$E:$E,'Barang Keluar'!$A:$A,M33242,'Barang Keluar'!$C:$C,N33242))</f>
        <v>0</v>
      </c>
    </row>
    <row r="33243" spans="13:16">
      <c r="M33243" s="49">
        <f>IF($A$4+332&gt;$B$4,"",$A$4+332)</f>
        <v>46355</v>
      </c>
      <c r="N33243">
        <f>IF(M33243="","",'Master Barang'!A37)</f>
        <v>0</v>
      </c>
      <c r="O33243">
        <f>IF(N33243="","",'Master Barang'!B37)</f>
        <v>0</v>
      </c>
      <c r="P33243">
        <f>IF(OR(M33243="",N33243=""),"",SUMIFS('Barang Keluar'!$E:$E,'Barang Keluar'!$A:$A,M33243,'Barang Keluar'!$C:$C,N33243))</f>
        <v>0</v>
      </c>
    </row>
    <row r="33244" spans="13:16">
      <c r="M33244" s="49">
        <f>IF($A$4+332&gt;$B$4,"",$A$4+332)</f>
        <v>46355</v>
      </c>
      <c r="N33244">
        <f>IF(M33244="","",'Master Barang'!A38)</f>
        <v>0</v>
      </c>
      <c r="O33244">
        <f>IF(N33244="","",'Master Barang'!B38)</f>
        <v>0</v>
      </c>
      <c r="P33244">
        <f>IF(OR(M33244="",N33244=""),"",SUMIFS('Barang Keluar'!$E:$E,'Barang Keluar'!$A:$A,M33244,'Barang Keluar'!$C:$C,N33244))</f>
        <v>0</v>
      </c>
    </row>
    <row r="33245" spans="13:16">
      <c r="M33245" s="49">
        <f>IF($A$4+332&gt;$B$4,"",$A$4+332)</f>
        <v>46355</v>
      </c>
      <c r="N33245">
        <f>IF(M33245="","",'Master Barang'!A39)</f>
        <v>0</v>
      </c>
      <c r="O33245">
        <f>IF(N33245="","",'Master Barang'!B39)</f>
        <v>0</v>
      </c>
      <c r="P33245">
        <f>IF(OR(M33245="",N33245=""),"",SUMIFS('Barang Keluar'!$E:$E,'Barang Keluar'!$A:$A,M33245,'Barang Keluar'!$C:$C,N33245))</f>
        <v>0</v>
      </c>
    </row>
    <row r="33246" spans="13:16">
      <c r="M33246" s="49">
        <f>IF($A$4+332&gt;$B$4,"",$A$4+332)</f>
        <v>46355</v>
      </c>
      <c r="N33246">
        <f>IF(M33246="","",'Master Barang'!A40)</f>
        <v>0</v>
      </c>
      <c r="O33246">
        <f>IF(N33246="","",'Master Barang'!B40)</f>
        <v>0</v>
      </c>
      <c r="P33246">
        <f>IF(OR(M33246="",N33246=""),"",SUMIFS('Barang Keluar'!$E:$E,'Barang Keluar'!$A:$A,M33246,'Barang Keluar'!$C:$C,N33246))</f>
        <v>0</v>
      </c>
    </row>
    <row r="33247" spans="13:16">
      <c r="M33247" s="49">
        <f>IF($A$4+332&gt;$B$4,"",$A$4+332)</f>
        <v>46355</v>
      </c>
      <c r="N33247">
        <f>IF(M33247="","",'Master Barang'!A41)</f>
        <v>0</v>
      </c>
      <c r="O33247">
        <f>IF(N33247="","",'Master Barang'!B41)</f>
        <v>0</v>
      </c>
      <c r="P33247">
        <f>IF(OR(M33247="",N33247=""),"",SUMIFS('Barang Keluar'!$E:$E,'Barang Keluar'!$A:$A,M33247,'Barang Keluar'!$C:$C,N33247))</f>
        <v>0</v>
      </c>
    </row>
    <row r="33248" spans="13:16">
      <c r="M33248" s="49">
        <f>IF($A$4+332&gt;$B$4,"",$A$4+332)</f>
        <v>46355</v>
      </c>
      <c r="N33248">
        <f>IF(M33248="","",'Master Barang'!A42)</f>
        <v>0</v>
      </c>
      <c r="O33248">
        <f>IF(N33248="","",'Master Barang'!B42)</f>
        <v>0</v>
      </c>
      <c r="P33248">
        <f>IF(OR(M33248="",N33248=""),"",SUMIFS('Barang Keluar'!$E:$E,'Barang Keluar'!$A:$A,M33248,'Barang Keluar'!$C:$C,N33248))</f>
        <v>0</v>
      </c>
    </row>
    <row r="33249" spans="13:16">
      <c r="M33249" s="49">
        <f>IF($A$4+332&gt;$B$4,"",$A$4+332)</f>
        <v>46355</v>
      </c>
      <c r="N33249">
        <f>IF(M33249="","",'Master Barang'!A43)</f>
        <v>0</v>
      </c>
      <c r="O33249">
        <f>IF(N33249="","",'Master Barang'!B43)</f>
        <v>0</v>
      </c>
      <c r="P33249">
        <f>IF(OR(M33249="",N33249=""),"",SUMIFS('Barang Keluar'!$E:$E,'Barang Keluar'!$A:$A,M33249,'Barang Keluar'!$C:$C,N33249))</f>
        <v>0</v>
      </c>
    </row>
    <row r="33250" spans="13:16">
      <c r="M33250" s="49">
        <f>IF($A$4+332&gt;$B$4,"",$A$4+332)</f>
        <v>46355</v>
      </c>
      <c r="N33250">
        <f>IF(M33250="","",'Master Barang'!A44)</f>
        <v>0</v>
      </c>
      <c r="O33250">
        <f>IF(N33250="","",'Master Barang'!B44)</f>
        <v>0</v>
      </c>
      <c r="P33250">
        <f>IF(OR(M33250="",N33250=""),"",SUMIFS('Barang Keluar'!$E:$E,'Barang Keluar'!$A:$A,M33250,'Barang Keluar'!$C:$C,N33250))</f>
        <v>0</v>
      </c>
    </row>
    <row r="33251" spans="13:16">
      <c r="M33251" s="49">
        <f>IF($A$4+332&gt;$B$4,"",$A$4+332)</f>
        <v>46355</v>
      </c>
      <c r="N33251">
        <f>IF(M33251="","",'Master Barang'!A45)</f>
        <v>0</v>
      </c>
      <c r="O33251">
        <f>IF(N33251="","",'Master Barang'!B45)</f>
        <v>0</v>
      </c>
      <c r="P33251">
        <f>IF(OR(M33251="",N33251=""),"",SUMIFS('Barang Keluar'!$E:$E,'Barang Keluar'!$A:$A,M33251,'Barang Keluar'!$C:$C,N33251))</f>
        <v>0</v>
      </c>
    </row>
    <row r="33252" spans="13:16">
      <c r="M33252" s="49">
        <f>IF($A$4+332&gt;$B$4,"",$A$4+332)</f>
        <v>46355</v>
      </c>
      <c r="N33252">
        <f>IF(M33252="","",'Master Barang'!A46)</f>
        <v>0</v>
      </c>
      <c r="O33252">
        <f>IF(N33252="","",'Master Barang'!B46)</f>
        <v>0</v>
      </c>
      <c r="P33252">
        <f>IF(OR(M33252="",N33252=""),"",SUMIFS('Barang Keluar'!$E:$E,'Barang Keluar'!$A:$A,M33252,'Barang Keluar'!$C:$C,N33252))</f>
        <v>0</v>
      </c>
    </row>
    <row r="33253" spans="13:16">
      <c r="M33253" s="49">
        <f>IF($A$4+332&gt;$B$4,"",$A$4+332)</f>
        <v>46355</v>
      </c>
      <c r="N33253">
        <f>IF(M33253="","",'Master Barang'!A47)</f>
        <v>0</v>
      </c>
      <c r="O33253">
        <f>IF(N33253="","",'Master Barang'!B47)</f>
        <v>0</v>
      </c>
      <c r="P33253">
        <f>IF(OR(M33253="",N33253=""),"",SUMIFS('Barang Keluar'!$E:$E,'Barang Keluar'!$A:$A,M33253,'Barang Keluar'!$C:$C,N33253))</f>
        <v>0</v>
      </c>
    </row>
    <row r="33254" spans="13:16">
      <c r="M33254" s="49">
        <f>IF($A$4+332&gt;$B$4,"",$A$4+332)</f>
        <v>46355</v>
      </c>
      <c r="N33254">
        <f>IF(M33254="","",'Master Barang'!A48)</f>
        <v>0</v>
      </c>
      <c r="O33254">
        <f>IF(N33254="","",'Master Barang'!B48)</f>
        <v>0</v>
      </c>
      <c r="P33254">
        <f>IF(OR(M33254="",N33254=""),"",SUMIFS('Barang Keluar'!$E:$E,'Barang Keluar'!$A:$A,M33254,'Barang Keluar'!$C:$C,N33254))</f>
        <v>0</v>
      </c>
    </row>
    <row r="33255" spans="13:16">
      <c r="M33255" s="49">
        <f>IF($A$4+332&gt;$B$4,"",$A$4+332)</f>
        <v>46355</v>
      </c>
      <c r="N33255">
        <f>IF(M33255="","",'Master Barang'!A49)</f>
        <v>0</v>
      </c>
      <c r="O33255">
        <f>IF(N33255="","",'Master Barang'!B49)</f>
        <v>0</v>
      </c>
      <c r="P33255">
        <f>IF(OR(M33255="",N33255=""),"",SUMIFS('Barang Keluar'!$E:$E,'Barang Keluar'!$A:$A,M33255,'Barang Keluar'!$C:$C,N33255))</f>
        <v>0</v>
      </c>
    </row>
    <row r="33256" spans="13:16">
      <c r="M33256" s="49">
        <f>IF($A$4+332&gt;$B$4,"",$A$4+332)</f>
        <v>46355</v>
      </c>
      <c r="N33256">
        <f>IF(M33256="","",'Master Barang'!A50)</f>
        <v>0</v>
      </c>
      <c r="O33256">
        <f>IF(N33256="","",'Master Barang'!B50)</f>
        <v>0</v>
      </c>
      <c r="P33256">
        <f>IF(OR(M33256="",N33256=""),"",SUMIFS('Barang Keluar'!$E:$E,'Barang Keluar'!$A:$A,M33256,'Barang Keluar'!$C:$C,N33256))</f>
        <v>0</v>
      </c>
    </row>
    <row r="33257" spans="13:16">
      <c r="M33257" s="49">
        <f>IF($A$4+332&gt;$B$4,"",$A$4+332)</f>
        <v>46355</v>
      </c>
      <c r="N33257">
        <f>IF(M33257="","",'Master Barang'!A51)</f>
        <v>0</v>
      </c>
      <c r="O33257">
        <f>IF(N33257="","",'Master Barang'!B51)</f>
        <v>0</v>
      </c>
      <c r="P33257">
        <f>IF(OR(M33257="",N33257=""),"",SUMIFS('Barang Keluar'!$E:$E,'Barang Keluar'!$A:$A,M33257,'Barang Keluar'!$C:$C,N33257))</f>
        <v>0</v>
      </c>
    </row>
    <row r="33258" spans="13:16">
      <c r="M33258" s="49">
        <f>IF($A$4+332&gt;$B$4,"",$A$4+332)</f>
        <v>46355</v>
      </c>
      <c r="N33258">
        <f>IF(M33258="","",'Master Barang'!A52)</f>
        <v>0</v>
      </c>
      <c r="O33258">
        <f>IF(N33258="","",'Master Barang'!B52)</f>
        <v>0</v>
      </c>
      <c r="P33258">
        <f>IF(OR(M33258="",N33258=""),"",SUMIFS('Barang Keluar'!$E:$E,'Barang Keluar'!$A:$A,M33258,'Barang Keluar'!$C:$C,N33258))</f>
        <v>0</v>
      </c>
    </row>
    <row r="33259" spans="13:16">
      <c r="M33259" s="49">
        <f>IF($A$4+332&gt;$B$4,"",$A$4+332)</f>
        <v>46355</v>
      </c>
      <c r="N33259">
        <f>IF(M33259="","",'Master Barang'!A53)</f>
        <v>0</v>
      </c>
      <c r="O33259">
        <f>IF(N33259="","",'Master Barang'!B53)</f>
        <v>0</v>
      </c>
      <c r="P33259">
        <f>IF(OR(M33259="",N33259=""),"",SUMIFS('Barang Keluar'!$E:$E,'Barang Keluar'!$A:$A,M33259,'Barang Keluar'!$C:$C,N33259))</f>
        <v>0</v>
      </c>
    </row>
    <row r="33260" spans="13:16">
      <c r="M33260" s="49">
        <f>IF($A$4+332&gt;$B$4,"",$A$4+332)</f>
        <v>46355</v>
      </c>
      <c r="N33260">
        <f>IF(M33260="","",'Master Barang'!A54)</f>
        <v>0</v>
      </c>
      <c r="O33260">
        <f>IF(N33260="","",'Master Barang'!B54)</f>
        <v>0</v>
      </c>
      <c r="P33260">
        <f>IF(OR(M33260="",N33260=""),"",SUMIFS('Barang Keluar'!$E:$E,'Barang Keluar'!$A:$A,M33260,'Barang Keluar'!$C:$C,N33260))</f>
        <v>0</v>
      </c>
    </row>
    <row r="33261" spans="13:16">
      <c r="M33261" s="49">
        <f>IF($A$4+332&gt;$B$4,"",$A$4+332)</f>
        <v>46355</v>
      </c>
      <c r="N33261">
        <f>IF(M33261="","",'Master Barang'!A55)</f>
        <v>0</v>
      </c>
      <c r="O33261">
        <f>IF(N33261="","",'Master Barang'!B55)</f>
        <v>0</v>
      </c>
      <c r="P33261">
        <f>IF(OR(M33261="",N33261=""),"",SUMIFS('Barang Keluar'!$E:$E,'Barang Keluar'!$A:$A,M33261,'Barang Keluar'!$C:$C,N33261))</f>
        <v>0</v>
      </c>
    </row>
    <row r="33262" spans="13:16">
      <c r="M33262" s="49">
        <f>IF($A$4+332&gt;$B$4,"",$A$4+332)</f>
        <v>46355</v>
      </c>
      <c r="N33262">
        <f>IF(M33262="","",'Master Barang'!A56)</f>
        <v>0</v>
      </c>
      <c r="O33262">
        <f>IF(N33262="","",'Master Barang'!B56)</f>
        <v>0</v>
      </c>
      <c r="P33262">
        <f>IF(OR(M33262="",N33262=""),"",SUMIFS('Barang Keluar'!$E:$E,'Barang Keluar'!$A:$A,M33262,'Barang Keluar'!$C:$C,N33262))</f>
        <v>0</v>
      </c>
    </row>
    <row r="33263" spans="13:16">
      <c r="M33263" s="49">
        <f>IF($A$4+332&gt;$B$4,"",$A$4+332)</f>
        <v>46355</v>
      </c>
      <c r="N33263">
        <f>IF(M33263="","",'Master Barang'!A57)</f>
        <v>0</v>
      </c>
      <c r="O33263">
        <f>IF(N33263="","",'Master Barang'!B57)</f>
        <v>0</v>
      </c>
      <c r="P33263">
        <f>IF(OR(M33263="",N33263=""),"",SUMIFS('Barang Keluar'!$E:$E,'Barang Keluar'!$A:$A,M33263,'Barang Keluar'!$C:$C,N33263))</f>
        <v>0</v>
      </c>
    </row>
    <row r="33264" spans="13:16">
      <c r="M33264" s="49">
        <f>IF($A$4+332&gt;$B$4,"",$A$4+332)</f>
        <v>46355</v>
      </c>
      <c r="N33264">
        <f>IF(M33264="","",'Master Barang'!A58)</f>
        <v>0</v>
      </c>
      <c r="O33264">
        <f>IF(N33264="","",'Master Barang'!B58)</f>
        <v>0</v>
      </c>
      <c r="P33264">
        <f>IF(OR(M33264="",N33264=""),"",SUMIFS('Barang Keluar'!$E:$E,'Barang Keluar'!$A:$A,M33264,'Barang Keluar'!$C:$C,N33264))</f>
        <v>0</v>
      </c>
    </row>
    <row r="33265" spans="13:16">
      <c r="M33265" s="49">
        <f>IF($A$4+332&gt;$B$4,"",$A$4+332)</f>
        <v>46355</v>
      </c>
      <c r="N33265">
        <f>IF(M33265="","",'Master Barang'!A59)</f>
        <v>0</v>
      </c>
      <c r="O33265">
        <f>IF(N33265="","",'Master Barang'!B59)</f>
        <v>0</v>
      </c>
      <c r="P33265">
        <f>IF(OR(M33265="",N33265=""),"",SUMIFS('Barang Keluar'!$E:$E,'Barang Keluar'!$A:$A,M33265,'Barang Keluar'!$C:$C,N33265))</f>
        <v>0</v>
      </c>
    </row>
    <row r="33266" spans="13:16">
      <c r="M33266" s="49">
        <f>IF($A$4+332&gt;$B$4,"",$A$4+332)</f>
        <v>46355</v>
      </c>
      <c r="N33266">
        <f>IF(M33266="","",'Master Barang'!A60)</f>
        <v>0</v>
      </c>
      <c r="O33266">
        <f>IF(N33266="","",'Master Barang'!B60)</f>
        <v>0</v>
      </c>
      <c r="P33266">
        <f>IF(OR(M33266="",N33266=""),"",SUMIFS('Barang Keluar'!$E:$E,'Barang Keluar'!$A:$A,M33266,'Barang Keluar'!$C:$C,N33266))</f>
        <v>0</v>
      </c>
    </row>
    <row r="33267" spans="13:16">
      <c r="M33267" s="49">
        <f>IF($A$4+332&gt;$B$4,"",$A$4+332)</f>
        <v>46355</v>
      </c>
      <c r="N33267">
        <f>IF(M33267="","",'Master Barang'!A61)</f>
        <v>0</v>
      </c>
      <c r="O33267">
        <f>IF(N33267="","",'Master Barang'!B61)</f>
        <v>0</v>
      </c>
      <c r="P33267">
        <f>IF(OR(M33267="",N33267=""),"",SUMIFS('Barang Keluar'!$E:$E,'Barang Keluar'!$A:$A,M33267,'Barang Keluar'!$C:$C,N33267))</f>
        <v>0</v>
      </c>
    </row>
    <row r="33268" spans="13:16">
      <c r="M33268" s="49">
        <f>IF($A$4+332&gt;$B$4,"",$A$4+332)</f>
        <v>46355</v>
      </c>
      <c r="N33268">
        <f>IF(M33268="","",'Master Barang'!A62)</f>
        <v>0</v>
      </c>
      <c r="O33268">
        <f>IF(N33268="","",'Master Barang'!B62)</f>
        <v>0</v>
      </c>
      <c r="P33268">
        <f>IF(OR(M33268="",N33268=""),"",SUMIFS('Barang Keluar'!$E:$E,'Barang Keluar'!$A:$A,M33268,'Barang Keluar'!$C:$C,N33268))</f>
        <v>0</v>
      </c>
    </row>
    <row r="33269" spans="13:16">
      <c r="M33269" s="49">
        <f>IF($A$4+332&gt;$B$4,"",$A$4+332)</f>
        <v>46355</v>
      </c>
      <c r="N33269">
        <f>IF(M33269="","",'Master Barang'!A63)</f>
        <v>0</v>
      </c>
      <c r="O33269">
        <f>IF(N33269="","",'Master Barang'!B63)</f>
        <v>0</v>
      </c>
      <c r="P33269">
        <f>IF(OR(M33269="",N33269=""),"",SUMIFS('Barang Keluar'!$E:$E,'Barang Keluar'!$A:$A,M33269,'Barang Keluar'!$C:$C,N33269))</f>
        <v>0</v>
      </c>
    </row>
    <row r="33270" spans="13:16">
      <c r="M33270" s="49">
        <f>IF($A$4+332&gt;$B$4,"",$A$4+332)</f>
        <v>46355</v>
      </c>
      <c r="N33270">
        <f>IF(M33270="","",'Master Barang'!A64)</f>
        <v>0</v>
      </c>
      <c r="O33270">
        <f>IF(N33270="","",'Master Barang'!B64)</f>
        <v>0</v>
      </c>
      <c r="P33270">
        <f>IF(OR(M33270="",N33270=""),"",SUMIFS('Barang Keluar'!$E:$E,'Barang Keluar'!$A:$A,M33270,'Barang Keluar'!$C:$C,N33270))</f>
        <v>0</v>
      </c>
    </row>
    <row r="33271" spans="13:16">
      <c r="M33271" s="49">
        <f>IF($A$4+332&gt;$B$4,"",$A$4+332)</f>
        <v>46355</v>
      </c>
      <c r="N33271">
        <f>IF(M33271="","",'Master Barang'!A65)</f>
        <v>0</v>
      </c>
      <c r="O33271">
        <f>IF(N33271="","",'Master Barang'!B65)</f>
        <v>0</v>
      </c>
      <c r="P33271">
        <f>IF(OR(M33271="",N33271=""),"",SUMIFS('Barang Keluar'!$E:$E,'Barang Keluar'!$A:$A,M33271,'Barang Keluar'!$C:$C,N33271))</f>
        <v>0</v>
      </c>
    </row>
    <row r="33272" spans="13:16">
      <c r="M33272" s="49">
        <f>IF($A$4+332&gt;$B$4,"",$A$4+332)</f>
        <v>46355</v>
      </c>
      <c r="N33272">
        <f>IF(M33272="","",'Master Barang'!A66)</f>
        <v>0</v>
      </c>
      <c r="O33272">
        <f>IF(N33272="","",'Master Barang'!B66)</f>
        <v>0</v>
      </c>
      <c r="P33272">
        <f>IF(OR(M33272="",N33272=""),"",SUMIFS('Barang Keluar'!$E:$E,'Barang Keluar'!$A:$A,M33272,'Barang Keluar'!$C:$C,N33272))</f>
        <v>0</v>
      </c>
    </row>
    <row r="33273" spans="13:16">
      <c r="M33273" s="49">
        <f>IF($A$4+332&gt;$B$4,"",$A$4+332)</f>
        <v>46355</v>
      </c>
      <c r="N33273">
        <f>IF(M33273="","",'Master Barang'!A67)</f>
        <v>0</v>
      </c>
      <c r="O33273">
        <f>IF(N33273="","",'Master Barang'!B67)</f>
        <v>0</v>
      </c>
      <c r="P33273">
        <f>IF(OR(M33273="",N33273=""),"",SUMIFS('Barang Keluar'!$E:$E,'Barang Keluar'!$A:$A,M33273,'Barang Keluar'!$C:$C,N33273))</f>
        <v>0</v>
      </c>
    </row>
    <row r="33274" spans="13:16">
      <c r="M33274" s="49">
        <f>IF($A$4+332&gt;$B$4,"",$A$4+332)</f>
        <v>46355</v>
      </c>
      <c r="N33274">
        <f>IF(M33274="","",'Master Barang'!A68)</f>
        <v>0</v>
      </c>
      <c r="O33274">
        <f>IF(N33274="","",'Master Barang'!B68)</f>
        <v>0</v>
      </c>
      <c r="P33274">
        <f>IF(OR(M33274="",N33274=""),"",SUMIFS('Barang Keluar'!$E:$E,'Barang Keluar'!$A:$A,M33274,'Barang Keluar'!$C:$C,N33274))</f>
        <v>0</v>
      </c>
    </row>
    <row r="33275" spans="13:16">
      <c r="M33275" s="49">
        <f>IF($A$4+332&gt;$B$4,"",$A$4+332)</f>
        <v>46355</v>
      </c>
      <c r="N33275">
        <f>IF(M33275="","",'Master Barang'!A69)</f>
        <v>0</v>
      </c>
      <c r="O33275">
        <f>IF(N33275="","",'Master Barang'!B69)</f>
        <v>0</v>
      </c>
      <c r="P33275">
        <f>IF(OR(M33275="",N33275=""),"",SUMIFS('Barang Keluar'!$E:$E,'Barang Keluar'!$A:$A,M33275,'Barang Keluar'!$C:$C,N33275))</f>
        <v>0</v>
      </c>
    </row>
    <row r="33276" spans="13:16">
      <c r="M33276" s="49">
        <f>IF($A$4+332&gt;$B$4,"",$A$4+332)</f>
        <v>46355</v>
      </c>
      <c r="N33276">
        <f>IF(M33276="","",'Master Barang'!A70)</f>
        <v>0</v>
      </c>
      <c r="O33276">
        <f>IF(N33276="","",'Master Barang'!B70)</f>
        <v>0</v>
      </c>
      <c r="P33276">
        <f>IF(OR(M33276="",N33276=""),"",SUMIFS('Barang Keluar'!$E:$E,'Barang Keluar'!$A:$A,M33276,'Barang Keluar'!$C:$C,N33276))</f>
        <v>0</v>
      </c>
    </row>
    <row r="33277" spans="13:16">
      <c r="M33277" s="49">
        <f>IF($A$4+332&gt;$B$4,"",$A$4+332)</f>
        <v>46355</v>
      </c>
      <c r="N33277">
        <f>IF(M33277="","",'Master Barang'!A71)</f>
        <v>0</v>
      </c>
      <c r="O33277">
        <f>IF(N33277="","",'Master Barang'!B71)</f>
        <v>0</v>
      </c>
      <c r="P33277">
        <f>IF(OR(M33277="",N33277=""),"",SUMIFS('Barang Keluar'!$E:$E,'Barang Keluar'!$A:$A,M33277,'Barang Keluar'!$C:$C,N33277))</f>
        <v>0</v>
      </c>
    </row>
    <row r="33278" spans="13:16">
      <c r="M33278" s="49">
        <f>IF($A$4+332&gt;$B$4,"",$A$4+332)</f>
        <v>46355</v>
      </c>
      <c r="N33278">
        <f>IF(M33278="","",'Master Barang'!A72)</f>
        <v>0</v>
      </c>
      <c r="O33278">
        <f>IF(N33278="","",'Master Barang'!B72)</f>
        <v>0</v>
      </c>
      <c r="P33278">
        <f>IF(OR(M33278="",N33278=""),"",SUMIFS('Barang Keluar'!$E:$E,'Barang Keluar'!$A:$A,M33278,'Barang Keluar'!$C:$C,N33278))</f>
        <v>0</v>
      </c>
    </row>
    <row r="33279" spans="13:16">
      <c r="M33279" s="49">
        <f>IF($A$4+332&gt;$B$4,"",$A$4+332)</f>
        <v>46355</v>
      </c>
      <c r="N33279">
        <f>IF(M33279="","",'Master Barang'!A73)</f>
        <v>0</v>
      </c>
      <c r="O33279">
        <f>IF(N33279="","",'Master Barang'!B73)</f>
        <v>0</v>
      </c>
      <c r="P33279">
        <f>IF(OR(M33279="",N33279=""),"",SUMIFS('Barang Keluar'!$E:$E,'Barang Keluar'!$A:$A,M33279,'Barang Keluar'!$C:$C,N33279))</f>
        <v>0</v>
      </c>
    </row>
    <row r="33280" spans="13:16">
      <c r="M33280" s="49">
        <f>IF($A$4+332&gt;$B$4,"",$A$4+332)</f>
        <v>46355</v>
      </c>
      <c r="N33280">
        <f>IF(M33280="","",'Master Barang'!A74)</f>
        <v>0</v>
      </c>
      <c r="O33280">
        <f>IF(N33280="","",'Master Barang'!B74)</f>
        <v>0</v>
      </c>
      <c r="P33280">
        <f>IF(OR(M33280="",N33280=""),"",SUMIFS('Barang Keluar'!$E:$E,'Barang Keluar'!$A:$A,M33280,'Barang Keluar'!$C:$C,N33280))</f>
        <v>0</v>
      </c>
    </row>
    <row r="33281" spans="13:16">
      <c r="M33281" s="49">
        <f>IF($A$4+332&gt;$B$4,"",$A$4+332)</f>
        <v>46355</v>
      </c>
      <c r="N33281">
        <f>IF(M33281="","",'Master Barang'!A75)</f>
        <v>0</v>
      </c>
      <c r="O33281">
        <f>IF(N33281="","",'Master Barang'!B75)</f>
        <v>0</v>
      </c>
      <c r="P33281">
        <f>IF(OR(M33281="",N33281=""),"",SUMIFS('Barang Keluar'!$E:$E,'Barang Keluar'!$A:$A,M33281,'Barang Keluar'!$C:$C,N33281))</f>
        <v>0</v>
      </c>
    </row>
    <row r="33282" spans="13:16">
      <c r="M33282" s="49">
        <f>IF($A$4+332&gt;$B$4,"",$A$4+332)</f>
        <v>46355</v>
      </c>
      <c r="N33282">
        <f>IF(M33282="","",'Master Barang'!A76)</f>
        <v>0</v>
      </c>
      <c r="O33282">
        <f>IF(N33282="","",'Master Barang'!B76)</f>
        <v>0</v>
      </c>
      <c r="P33282">
        <f>IF(OR(M33282="",N33282=""),"",SUMIFS('Barang Keluar'!$E:$E,'Barang Keluar'!$A:$A,M33282,'Barang Keluar'!$C:$C,N33282))</f>
        <v>0</v>
      </c>
    </row>
    <row r="33283" spans="13:16">
      <c r="M33283" s="49">
        <f>IF($A$4+332&gt;$B$4,"",$A$4+332)</f>
        <v>46355</v>
      </c>
      <c r="N33283">
        <f>IF(M33283="","",'Master Barang'!A77)</f>
        <v>0</v>
      </c>
      <c r="O33283">
        <f>IF(N33283="","",'Master Barang'!B77)</f>
        <v>0</v>
      </c>
      <c r="P33283">
        <f>IF(OR(M33283="",N33283=""),"",SUMIFS('Barang Keluar'!$E:$E,'Barang Keluar'!$A:$A,M33283,'Barang Keluar'!$C:$C,N33283))</f>
        <v>0</v>
      </c>
    </row>
    <row r="33284" spans="13:16">
      <c r="M33284" s="49">
        <f>IF($A$4+332&gt;$B$4,"",$A$4+332)</f>
        <v>46355</v>
      </c>
      <c r="N33284">
        <f>IF(M33284="","",'Master Barang'!A78)</f>
        <v>0</v>
      </c>
      <c r="O33284">
        <f>IF(N33284="","",'Master Barang'!B78)</f>
        <v>0</v>
      </c>
      <c r="P33284">
        <f>IF(OR(M33284="",N33284=""),"",SUMIFS('Barang Keluar'!$E:$E,'Barang Keluar'!$A:$A,M33284,'Barang Keluar'!$C:$C,N33284))</f>
        <v>0</v>
      </c>
    </row>
    <row r="33285" spans="13:16">
      <c r="M33285" s="49">
        <f>IF($A$4+332&gt;$B$4,"",$A$4+332)</f>
        <v>46355</v>
      </c>
      <c r="N33285">
        <f>IF(M33285="","",'Master Barang'!A79)</f>
        <v>0</v>
      </c>
      <c r="O33285">
        <f>IF(N33285="","",'Master Barang'!B79)</f>
        <v>0</v>
      </c>
      <c r="P33285">
        <f>IF(OR(M33285="",N33285=""),"",SUMIFS('Barang Keluar'!$E:$E,'Barang Keluar'!$A:$A,M33285,'Barang Keluar'!$C:$C,N33285))</f>
        <v>0</v>
      </c>
    </row>
    <row r="33286" spans="13:16">
      <c r="M33286" s="49">
        <f>IF($A$4+332&gt;$B$4,"",$A$4+332)</f>
        <v>46355</v>
      </c>
      <c r="N33286">
        <f>IF(M33286="","",'Master Barang'!A80)</f>
        <v>0</v>
      </c>
      <c r="O33286">
        <f>IF(N33286="","",'Master Barang'!B80)</f>
        <v>0</v>
      </c>
      <c r="P33286">
        <f>IF(OR(M33286="",N33286=""),"",SUMIFS('Barang Keluar'!$E:$E,'Barang Keluar'!$A:$A,M33286,'Barang Keluar'!$C:$C,N33286))</f>
        <v>0</v>
      </c>
    </row>
    <row r="33287" spans="13:16">
      <c r="M33287" s="49">
        <f>IF($A$4+332&gt;$B$4,"",$A$4+332)</f>
        <v>46355</v>
      </c>
      <c r="N33287">
        <f>IF(M33287="","",'Master Barang'!A81)</f>
        <v>0</v>
      </c>
      <c r="O33287">
        <f>IF(N33287="","",'Master Barang'!B81)</f>
        <v>0</v>
      </c>
      <c r="P33287">
        <f>IF(OR(M33287="",N33287=""),"",SUMIFS('Barang Keluar'!$E:$E,'Barang Keluar'!$A:$A,M33287,'Barang Keluar'!$C:$C,N33287))</f>
        <v>0</v>
      </c>
    </row>
    <row r="33288" spans="13:16">
      <c r="M33288" s="49">
        <f>IF($A$4+332&gt;$B$4,"",$A$4+332)</f>
        <v>46355</v>
      </c>
      <c r="N33288">
        <f>IF(M33288="","",'Master Barang'!A82)</f>
        <v>0</v>
      </c>
      <c r="O33288">
        <f>IF(N33288="","",'Master Barang'!B82)</f>
        <v>0</v>
      </c>
      <c r="P33288">
        <f>IF(OR(M33288="",N33288=""),"",SUMIFS('Barang Keluar'!$E:$E,'Barang Keluar'!$A:$A,M33288,'Barang Keluar'!$C:$C,N33288))</f>
        <v>0</v>
      </c>
    </row>
    <row r="33289" spans="13:16">
      <c r="M33289" s="49">
        <f>IF($A$4+332&gt;$B$4,"",$A$4+332)</f>
        <v>46355</v>
      </c>
      <c r="N33289">
        <f>IF(M33289="","",'Master Barang'!A83)</f>
        <v>0</v>
      </c>
      <c r="O33289">
        <f>IF(N33289="","",'Master Barang'!B83)</f>
        <v>0</v>
      </c>
      <c r="P33289">
        <f>IF(OR(M33289="",N33289=""),"",SUMIFS('Barang Keluar'!$E:$E,'Barang Keluar'!$A:$A,M33289,'Barang Keluar'!$C:$C,N33289))</f>
        <v>0</v>
      </c>
    </row>
    <row r="33290" spans="13:16">
      <c r="M33290" s="49">
        <f>IF($A$4+332&gt;$B$4,"",$A$4+332)</f>
        <v>46355</v>
      </c>
      <c r="N33290">
        <f>IF(M33290="","",'Master Barang'!A84)</f>
        <v>0</v>
      </c>
      <c r="O33290">
        <f>IF(N33290="","",'Master Barang'!B84)</f>
        <v>0</v>
      </c>
      <c r="P33290">
        <f>IF(OR(M33290="",N33290=""),"",SUMIFS('Barang Keluar'!$E:$E,'Barang Keluar'!$A:$A,M33290,'Barang Keluar'!$C:$C,N33290))</f>
        <v>0</v>
      </c>
    </row>
    <row r="33291" spans="13:16">
      <c r="M33291" s="49">
        <f>IF($A$4+332&gt;$B$4,"",$A$4+332)</f>
        <v>46355</v>
      </c>
      <c r="N33291">
        <f>IF(M33291="","",'Master Barang'!A85)</f>
        <v>0</v>
      </c>
      <c r="O33291">
        <f>IF(N33291="","",'Master Barang'!B85)</f>
        <v>0</v>
      </c>
      <c r="P33291">
        <f>IF(OR(M33291="",N33291=""),"",SUMIFS('Barang Keluar'!$E:$E,'Barang Keluar'!$A:$A,M33291,'Barang Keluar'!$C:$C,N33291))</f>
        <v>0</v>
      </c>
    </row>
    <row r="33292" spans="13:16">
      <c r="M33292" s="49">
        <f>IF($A$4+332&gt;$B$4,"",$A$4+332)</f>
        <v>46355</v>
      </c>
      <c r="N33292">
        <f>IF(M33292="","",'Master Barang'!A86)</f>
        <v>0</v>
      </c>
      <c r="O33292">
        <f>IF(N33292="","",'Master Barang'!B86)</f>
        <v>0</v>
      </c>
      <c r="P33292">
        <f>IF(OR(M33292="",N33292=""),"",SUMIFS('Barang Keluar'!$E:$E,'Barang Keluar'!$A:$A,M33292,'Barang Keluar'!$C:$C,N33292))</f>
        <v>0</v>
      </c>
    </row>
    <row r="33293" spans="13:16">
      <c r="M33293" s="49">
        <f>IF($A$4+332&gt;$B$4,"",$A$4+332)</f>
        <v>46355</v>
      </c>
      <c r="N33293">
        <f>IF(M33293="","",'Master Barang'!A87)</f>
        <v>0</v>
      </c>
      <c r="O33293">
        <f>IF(N33293="","",'Master Barang'!B87)</f>
        <v>0</v>
      </c>
      <c r="P33293">
        <f>IF(OR(M33293="",N33293=""),"",SUMIFS('Barang Keluar'!$E:$E,'Barang Keluar'!$A:$A,M33293,'Barang Keluar'!$C:$C,N33293))</f>
        <v>0</v>
      </c>
    </row>
    <row r="33294" spans="13:16">
      <c r="M33294" s="49">
        <f>IF($A$4+332&gt;$B$4,"",$A$4+332)</f>
        <v>46355</v>
      </c>
      <c r="N33294">
        <f>IF(M33294="","",'Master Barang'!A88)</f>
        <v>0</v>
      </c>
      <c r="O33294">
        <f>IF(N33294="","",'Master Barang'!B88)</f>
        <v>0</v>
      </c>
      <c r="P33294">
        <f>IF(OR(M33294="",N33294=""),"",SUMIFS('Barang Keluar'!$E:$E,'Barang Keluar'!$A:$A,M33294,'Barang Keluar'!$C:$C,N33294))</f>
        <v>0</v>
      </c>
    </row>
    <row r="33295" spans="13:16">
      <c r="M33295" s="49">
        <f>IF($A$4+332&gt;$B$4,"",$A$4+332)</f>
        <v>46355</v>
      </c>
      <c r="N33295">
        <f>IF(M33295="","",'Master Barang'!A89)</f>
        <v>0</v>
      </c>
      <c r="O33295">
        <f>IF(N33295="","",'Master Barang'!B89)</f>
        <v>0</v>
      </c>
      <c r="P33295">
        <f>IF(OR(M33295="",N33295=""),"",SUMIFS('Barang Keluar'!$E:$E,'Barang Keluar'!$A:$A,M33295,'Barang Keluar'!$C:$C,N33295))</f>
        <v>0</v>
      </c>
    </row>
    <row r="33296" spans="13:16">
      <c r="M33296" s="49">
        <f>IF($A$4+332&gt;$B$4,"",$A$4+332)</f>
        <v>46355</v>
      </c>
      <c r="N33296">
        <f>IF(M33296="","",'Master Barang'!A90)</f>
        <v>0</v>
      </c>
      <c r="O33296">
        <f>IF(N33296="","",'Master Barang'!B90)</f>
        <v>0</v>
      </c>
      <c r="P33296">
        <f>IF(OR(M33296="",N33296=""),"",SUMIFS('Barang Keluar'!$E:$E,'Barang Keluar'!$A:$A,M33296,'Barang Keluar'!$C:$C,N33296))</f>
        <v>0</v>
      </c>
    </row>
    <row r="33297" spans="13:16">
      <c r="M33297" s="49">
        <f>IF($A$4+332&gt;$B$4,"",$A$4+332)</f>
        <v>46355</v>
      </c>
      <c r="N33297">
        <f>IF(M33297="","",'Master Barang'!A91)</f>
        <v>0</v>
      </c>
      <c r="O33297">
        <f>IF(N33297="","",'Master Barang'!B91)</f>
        <v>0</v>
      </c>
      <c r="P33297">
        <f>IF(OR(M33297="",N33297=""),"",SUMIFS('Barang Keluar'!$E:$E,'Barang Keluar'!$A:$A,M33297,'Barang Keluar'!$C:$C,N33297))</f>
        <v>0</v>
      </c>
    </row>
    <row r="33298" spans="13:16">
      <c r="M33298" s="49">
        <f>IF($A$4+332&gt;$B$4,"",$A$4+332)</f>
        <v>46355</v>
      </c>
      <c r="N33298">
        <f>IF(M33298="","",'Master Barang'!A92)</f>
        <v>0</v>
      </c>
      <c r="O33298">
        <f>IF(N33298="","",'Master Barang'!B92)</f>
        <v>0</v>
      </c>
      <c r="P33298">
        <f>IF(OR(M33298="",N33298=""),"",SUMIFS('Barang Keluar'!$E:$E,'Barang Keluar'!$A:$A,M33298,'Barang Keluar'!$C:$C,N33298))</f>
        <v>0</v>
      </c>
    </row>
    <row r="33299" spans="13:16">
      <c r="M33299" s="49">
        <f>IF($A$4+332&gt;$B$4,"",$A$4+332)</f>
        <v>46355</v>
      </c>
      <c r="N33299">
        <f>IF(M33299="","",'Master Barang'!A93)</f>
        <v>0</v>
      </c>
      <c r="O33299">
        <f>IF(N33299="","",'Master Barang'!B93)</f>
        <v>0</v>
      </c>
      <c r="P33299">
        <f>IF(OR(M33299="",N33299=""),"",SUMIFS('Barang Keluar'!$E:$E,'Barang Keluar'!$A:$A,M33299,'Barang Keluar'!$C:$C,N33299))</f>
        <v>0</v>
      </c>
    </row>
    <row r="33300" spans="13:16">
      <c r="M33300" s="49">
        <f>IF($A$4+332&gt;$B$4,"",$A$4+332)</f>
        <v>46355</v>
      </c>
      <c r="N33300">
        <f>IF(M33300="","",'Master Barang'!A94)</f>
        <v>0</v>
      </c>
      <c r="O33300">
        <f>IF(N33300="","",'Master Barang'!B94)</f>
        <v>0</v>
      </c>
      <c r="P33300">
        <f>IF(OR(M33300="",N33300=""),"",SUMIFS('Barang Keluar'!$E:$E,'Barang Keluar'!$A:$A,M33300,'Barang Keluar'!$C:$C,N33300))</f>
        <v>0</v>
      </c>
    </row>
    <row r="33301" spans="13:16">
      <c r="M33301" s="49">
        <f>IF($A$4+332&gt;$B$4,"",$A$4+332)</f>
        <v>46355</v>
      </c>
      <c r="N33301">
        <f>IF(M33301="","",'Master Barang'!A95)</f>
        <v>0</v>
      </c>
      <c r="O33301">
        <f>IF(N33301="","",'Master Barang'!B95)</f>
        <v>0</v>
      </c>
      <c r="P33301">
        <f>IF(OR(M33301="",N33301=""),"",SUMIFS('Barang Keluar'!$E:$E,'Barang Keluar'!$A:$A,M33301,'Barang Keluar'!$C:$C,N33301))</f>
        <v>0</v>
      </c>
    </row>
    <row r="33302" spans="13:16">
      <c r="M33302" s="49">
        <f>IF($A$4+332&gt;$B$4,"",$A$4+332)</f>
        <v>46355</v>
      </c>
      <c r="N33302">
        <f>IF(M33302="","",'Master Barang'!A96)</f>
        <v>0</v>
      </c>
      <c r="O33302">
        <f>IF(N33302="","",'Master Barang'!B96)</f>
        <v>0</v>
      </c>
      <c r="P33302">
        <f>IF(OR(M33302="",N33302=""),"",SUMIFS('Barang Keluar'!$E:$E,'Barang Keluar'!$A:$A,M33302,'Barang Keluar'!$C:$C,N33302))</f>
        <v>0</v>
      </c>
    </row>
    <row r="33303" spans="13:16">
      <c r="M33303" s="49">
        <f>IF($A$4+332&gt;$B$4,"",$A$4+332)</f>
        <v>46355</v>
      </c>
      <c r="N33303">
        <f>IF(M33303="","",'Master Barang'!A97)</f>
        <v>0</v>
      </c>
      <c r="O33303">
        <f>IF(N33303="","",'Master Barang'!B97)</f>
        <v>0</v>
      </c>
      <c r="P33303">
        <f>IF(OR(M33303="",N33303=""),"",SUMIFS('Barang Keluar'!$E:$E,'Barang Keluar'!$A:$A,M33303,'Barang Keluar'!$C:$C,N33303))</f>
        <v>0</v>
      </c>
    </row>
    <row r="33304" spans="13:16">
      <c r="M33304" s="49">
        <f>IF($A$4+332&gt;$B$4,"",$A$4+332)</f>
        <v>46355</v>
      </c>
      <c r="N33304">
        <f>IF(M33304="","",'Master Barang'!A98)</f>
        <v>0</v>
      </c>
      <c r="O33304">
        <f>IF(N33304="","",'Master Barang'!B98)</f>
        <v>0</v>
      </c>
      <c r="P33304">
        <f>IF(OR(M33304="",N33304=""),"",SUMIFS('Barang Keluar'!$E:$E,'Barang Keluar'!$A:$A,M33304,'Barang Keluar'!$C:$C,N33304))</f>
        <v>0</v>
      </c>
    </row>
    <row r="33305" spans="13:16">
      <c r="M33305" s="49">
        <f>IF($A$4+332&gt;$B$4,"",$A$4+332)</f>
        <v>46355</v>
      </c>
      <c r="N33305">
        <f>IF(M33305="","",'Master Barang'!A99)</f>
        <v>0</v>
      </c>
      <c r="O33305">
        <f>IF(N33305="","",'Master Barang'!B99)</f>
        <v>0</v>
      </c>
      <c r="P33305">
        <f>IF(OR(M33305="",N33305=""),"",SUMIFS('Barang Keluar'!$E:$E,'Barang Keluar'!$A:$A,M33305,'Barang Keluar'!$C:$C,N33305))</f>
        <v>0</v>
      </c>
    </row>
    <row r="33306" spans="13:16">
      <c r="M33306" s="49">
        <f>IF($A$4+332&gt;$B$4,"",$A$4+332)</f>
        <v>46355</v>
      </c>
      <c r="N33306">
        <f>IF(M33306="","",'Master Barang'!A100)</f>
        <v>0</v>
      </c>
      <c r="O33306">
        <f>IF(N33306="","",'Master Barang'!B100)</f>
        <v>0</v>
      </c>
      <c r="P33306">
        <f>IF(OR(M33306="",N33306=""),"",SUMIFS('Barang Keluar'!$E:$E,'Barang Keluar'!$A:$A,M33306,'Barang Keluar'!$C:$C,N33306))</f>
        <v>0</v>
      </c>
    </row>
    <row r="33307" spans="13:16">
      <c r="M33307" s="49">
        <f>IF($A$4+332&gt;$B$4,"",$A$4+332)</f>
        <v>46355</v>
      </c>
      <c r="N33307">
        <f>IF(M33307="","",'Master Barang'!A101)</f>
        <v>0</v>
      </c>
      <c r="O33307">
        <f>IF(N33307="","",'Master Barang'!B101)</f>
        <v>0</v>
      </c>
      <c r="P33307">
        <f>IF(OR(M33307="",N33307=""),"",SUMIFS('Barang Keluar'!$E:$E,'Barang Keluar'!$A:$A,M33307,'Barang Keluar'!$C:$C,N33307))</f>
        <v>0</v>
      </c>
    </row>
    <row r="33308" spans="13:16">
      <c r="M33308" s="49">
        <f>IF($A$4+333&gt;$B$4,"",$A$4+333)</f>
        <v>46356</v>
      </c>
      <c r="N33308" t="str">
        <f>IF(M33308="","",'Master Barang'!A2)</f>
        <v>PRL-001</v>
      </c>
      <c r="O33308" t="str">
        <f>IF(N33308="","",'Master Barang'!B2)</f>
        <v>natura desinfectant food grade 5l</v>
      </c>
      <c r="P33308">
        <f>IF(OR(M33308="",N33308=""),"",SUMIFS('Barang Keluar'!$E:$E,'Barang Keluar'!$A:$A,M33308,'Barang Keluar'!$C:$C,N33308))</f>
        <v>0</v>
      </c>
    </row>
    <row r="33309" spans="13:16">
      <c r="M33309" s="49">
        <f>IF($A$4+333&gt;$B$4,"",$A$4+333)</f>
        <v>46356</v>
      </c>
      <c r="N33309" t="str">
        <f>IF(M33309="","",'Master Barang'!A3)</f>
        <v>PRL-002</v>
      </c>
      <c r="O33309" t="str">
        <f>IF(N33309="","",'Master Barang'!B3)</f>
        <v>sunlight cairan pencuci piring 5l</v>
      </c>
      <c r="P33309">
        <f>IF(OR(M33309="",N33309=""),"",SUMIFS('Barang Keluar'!$E:$E,'Barang Keluar'!$A:$A,M33309,'Barang Keluar'!$C:$C,N33309))</f>
        <v>0</v>
      </c>
    </row>
    <row r="33310" spans="13:16">
      <c r="M33310" s="49">
        <f>IF($A$4+333&gt;$B$4,"",$A$4+333)</f>
        <v>46356</v>
      </c>
      <c r="N33310" t="str">
        <f>IF(M33310="","",'Master Barang'!A4)</f>
        <v>PRL-003</v>
      </c>
      <c r="O33310" t="str">
        <f>IF(N33310="","",'Master Barang'!B4)</f>
        <v>oixs cleaner 1l</v>
      </c>
      <c r="P33310">
        <f>IF(OR(M33310="",N33310=""),"",SUMIFS('Barang Keluar'!$E:$E,'Barang Keluar'!$A:$A,M33310,'Barang Keluar'!$C:$C,N33310))</f>
        <v>0</v>
      </c>
    </row>
    <row r="33311" spans="13:16">
      <c r="M33311" s="49">
        <f>IF($A$4+333&gt;$B$4,"",$A$4+333)</f>
        <v>46356</v>
      </c>
      <c r="N33311" t="str">
        <f>IF(M33311="","",'Master Barang'!A5)</f>
        <v>PRL-004</v>
      </c>
      <c r="O33311" t="str">
        <f>IF(N33311="","",'Master Barang'!B5)</f>
        <v>be clean tissue serbaguna</v>
      </c>
      <c r="P33311">
        <f>IF(OR(M33311="",N33311=""),"",SUMIFS('Barang Keluar'!$E:$E,'Barang Keluar'!$A:$A,M33311,'Barang Keluar'!$C:$C,N33311))</f>
        <v>0</v>
      </c>
    </row>
    <row r="33312" spans="13:16">
      <c r="M33312" s="49">
        <f>IF($A$4+333&gt;$B$4,"",$A$4+333)</f>
        <v>46356</v>
      </c>
      <c r="N33312" t="str">
        <f>IF(M33312="","",'Master Barang'!A6)</f>
        <v>PRL-005</v>
      </c>
      <c r="O33312" t="str">
        <f>IF(N33312="","",'Master Barang'!B6)</f>
        <v>spons cuci hijau</v>
      </c>
      <c r="P33312">
        <f>IF(OR(M33312="",N33312=""),"",SUMIFS('Barang Keluar'!$E:$E,'Barang Keluar'!$A:$A,M33312,'Barang Keluar'!$C:$C,N33312))</f>
        <v>0</v>
      </c>
    </row>
    <row r="33313" spans="13:16">
      <c r="M33313" s="49">
        <f>IF($A$4+333&gt;$B$4,"",$A$4+333)</f>
        <v>46356</v>
      </c>
      <c r="N33313" t="str">
        <f>IF(M33313="","",'Master Barang'!A7)</f>
        <v>PRL-006</v>
      </c>
      <c r="O33313" t="str">
        <f>IF(N33313="","",'Master Barang'!B7)</f>
        <v>sabut cuci stainless</v>
      </c>
      <c r="P33313">
        <f>IF(OR(M33313="",N33313=""),"",SUMIFS('Barang Keluar'!$E:$E,'Barang Keluar'!$A:$A,M33313,'Barang Keluar'!$C:$C,N33313))</f>
        <v>0</v>
      </c>
    </row>
    <row r="33314" spans="13:16">
      <c r="M33314" s="49">
        <f>IF($A$4+333&gt;$B$4,"",$A$4+333)</f>
        <v>46356</v>
      </c>
      <c r="N33314" t="str">
        <f>IF(M33314="","",'Master Barang'!A8)</f>
        <v>PRL-007</v>
      </c>
      <c r="O33314" t="str">
        <f>IF(N33314="","",'Master Barang'!B8)</f>
        <v>plastik kresek besar merah 50pc</v>
      </c>
      <c r="P33314">
        <f>IF(OR(M33314="",N33314=""),"",SUMIFS('Barang Keluar'!$E:$E,'Barang Keluar'!$A:$A,M33314,'Barang Keluar'!$C:$C,N33314))</f>
        <v>0</v>
      </c>
    </row>
    <row r="33315" spans="13:16">
      <c r="M33315" s="49">
        <f>IF($A$4+333&gt;$B$4,"",$A$4+333)</f>
        <v>46356</v>
      </c>
      <c r="N33315" t="str">
        <f>IF(M33315="","",'Master Barang'!A9)</f>
        <v>PRL-008</v>
      </c>
      <c r="O33315" t="str">
        <f>IF(N33315="","",'Master Barang'!B9)</f>
        <v>lap besar</v>
      </c>
      <c r="P33315">
        <f>IF(OR(M33315="",N33315=""),"",SUMIFS('Barang Keluar'!$E:$E,'Barang Keluar'!$A:$A,M33315,'Barang Keluar'!$C:$C,N33315))</f>
        <v>0</v>
      </c>
    </row>
    <row r="33316" spans="13:16">
      <c r="M33316" s="49">
        <f>IF($A$4+333&gt;$B$4,"",$A$4+333)</f>
        <v>46356</v>
      </c>
      <c r="N33316" t="str">
        <f>IF(M33316="","",'Master Barang'!A10)</f>
        <v>PRL-009</v>
      </c>
      <c r="O33316" t="str">
        <f>IF(N33316="","",'Master Barang'!B10)</f>
        <v>lap microfiber</v>
      </c>
      <c r="P33316">
        <f>IF(OR(M33316="",N33316=""),"",SUMIFS('Barang Keluar'!$E:$E,'Barang Keluar'!$A:$A,M33316,'Barang Keluar'!$C:$C,N33316))</f>
        <v>0</v>
      </c>
    </row>
    <row r="33317" spans="13:16">
      <c r="M33317" s="49">
        <f>IF($A$4+333&gt;$B$4,"",$A$4+333)</f>
        <v>46356</v>
      </c>
      <c r="N33317" t="str">
        <f>IF(M33317="","",'Master Barang'!A11)</f>
        <v>PRL-010</v>
      </c>
      <c r="O33317" t="str">
        <f>IF(N33317="","",'Master Barang'!B11)</f>
        <v>lap kecil</v>
      </c>
      <c r="P33317">
        <f>IF(OR(M33317="",N33317=""),"",SUMIFS('Barang Keluar'!$E:$E,'Barang Keluar'!$A:$A,M33317,'Barang Keluar'!$C:$C,N33317))</f>
        <v>0</v>
      </c>
    </row>
    <row r="33318" spans="13:16">
      <c r="M33318" s="49">
        <f>IF($A$4+333&gt;$B$4,"",$A$4+333)</f>
        <v>46356</v>
      </c>
      <c r="N33318" t="str">
        <f>IF(M33318="","",'Master Barang'!A12)</f>
        <v>PRL-011</v>
      </c>
      <c r="O33318" t="str">
        <f>IF(N33318="","",'Master Barang'!B12)</f>
        <v>kanebo kecil</v>
      </c>
      <c r="P33318">
        <f>IF(OR(M33318="",N33318=""),"",SUMIFS('Barang Keluar'!$E:$E,'Barang Keluar'!$A:$A,M33318,'Barang Keluar'!$C:$C,N33318))</f>
        <v>0</v>
      </c>
    </row>
    <row r="33319" spans="13:16">
      <c r="M33319" s="49">
        <f>IF($A$4+333&gt;$B$4,"",$A$4+333)</f>
        <v>46356</v>
      </c>
      <c r="N33319" t="str">
        <f>IF(M33319="","",'Master Barang'!A13)</f>
        <v>PRL-012</v>
      </c>
      <c r="O33319" t="str">
        <f>IF(N33319="","",'Master Barang'!B13)</f>
        <v>plastik 1/4kg joyoboyo 100 lembar</v>
      </c>
      <c r="P33319">
        <f>IF(OR(M33319="",N33319=""),"",SUMIFS('Barang Keluar'!$E:$E,'Barang Keluar'!$A:$A,M33319,'Barang Keluar'!$C:$C,N33319))</f>
        <v>0</v>
      </c>
    </row>
    <row r="33320" spans="13:16">
      <c r="M33320" s="49">
        <f>IF($A$4+333&gt;$B$4,"",$A$4+333)</f>
        <v>46356</v>
      </c>
      <c r="N33320" t="str">
        <f>IF(M33320="","",'Master Barang'!A14)</f>
        <v>PRL-013</v>
      </c>
      <c r="O33320" t="str">
        <f>IF(N33320="","",'Master Barang'!B14)</f>
        <v>sarung tangan plastik kaka 100 pcs</v>
      </c>
      <c r="P33320">
        <f>IF(OR(M33320="",N33320=""),"",SUMIFS('Barang Keluar'!$E:$E,'Barang Keluar'!$A:$A,M33320,'Barang Keluar'!$C:$C,N33320))</f>
        <v>0</v>
      </c>
    </row>
    <row r="33321" spans="13:16">
      <c r="M33321" s="49">
        <f>IF($A$4+333&gt;$B$4,"",$A$4+333)</f>
        <v>46356</v>
      </c>
      <c r="N33321" t="str">
        <f>IF(M33321="","",'Master Barang'!A15)</f>
        <v>PRL-014</v>
      </c>
      <c r="O33321" t="str">
        <f>IF(N33321="","",'Master Barang'!B15)</f>
        <v>optima trashbag 80x100</v>
      </c>
      <c r="P33321">
        <f>IF(OR(M33321="",N33321=""),"",SUMIFS('Barang Keluar'!$E:$E,'Barang Keluar'!$A:$A,M33321,'Barang Keluar'!$C:$C,N33321))</f>
        <v>0</v>
      </c>
    </row>
    <row r="33322" spans="13:16">
      <c r="M33322" s="49">
        <f>IF($A$4+333&gt;$B$4,"",$A$4+333)</f>
        <v>46356</v>
      </c>
      <c r="N33322" t="str">
        <f>IF(M33322="","",'Master Barang'!A16)</f>
        <v>PRL-015</v>
      </c>
      <c r="O33322" t="str">
        <f>IF(N33322="","",'Master Barang'!B16)</f>
        <v>optima trashbag 60x100</v>
      </c>
      <c r="P33322">
        <f>IF(OR(M33322="",N33322=""),"",SUMIFS('Barang Keluar'!$E:$E,'Barang Keluar'!$A:$A,M33322,'Barang Keluar'!$C:$C,N33322))</f>
        <v>0</v>
      </c>
    </row>
    <row r="33323" spans="13:16">
      <c r="M33323" s="49">
        <f>IF($A$4+333&gt;$B$4,"",$A$4+333)</f>
        <v>46356</v>
      </c>
      <c r="N33323" t="str">
        <f>IF(M33323="","",'Master Barang'!A17)</f>
        <v>PRL-016</v>
      </c>
      <c r="O33323" t="str">
        <f>IF(N33323="","",'Master Barang'!B17)</f>
        <v>rajawali trashbag 30x40</v>
      </c>
      <c r="P33323">
        <f>IF(OR(M33323="",N33323=""),"",SUMIFS('Barang Keluar'!$E:$E,'Barang Keluar'!$A:$A,M33323,'Barang Keluar'!$C:$C,N33323))</f>
        <v>0</v>
      </c>
    </row>
    <row r="33324" spans="13:16">
      <c r="M33324" s="49">
        <f>IF($A$4+333&gt;$B$4,"",$A$4+333)</f>
        <v>46356</v>
      </c>
      <c r="N33324" t="str">
        <f>IF(M33324="","",'Master Barang'!A18)</f>
        <v>PRL-017</v>
      </c>
      <c r="O33324" t="str">
        <f>IF(N33324="","",'Master Barang'!B18)</f>
        <v>onemed masker biru 3 play 50 pcs</v>
      </c>
      <c r="P33324">
        <f>IF(OR(M33324="",N33324=""),"",SUMIFS('Barang Keluar'!$E:$E,'Barang Keluar'!$A:$A,M33324,'Barang Keluar'!$C:$C,N33324))</f>
        <v>0</v>
      </c>
    </row>
    <row r="33325" spans="13:16">
      <c r="M33325" s="49">
        <f>IF($A$4+333&gt;$B$4,"",$A$4+333)</f>
        <v>46356</v>
      </c>
      <c r="N33325" t="str">
        <f>IF(M33325="","",'Master Barang'!A19)</f>
        <v>PRL-018</v>
      </c>
      <c r="O33325" t="str">
        <f>IF(N33325="","",'Master Barang'!B19)</f>
        <v>onemed masker biru 3 play hijab 50 pcs</v>
      </c>
      <c r="P33325">
        <f>IF(OR(M33325="",N33325=""),"",SUMIFS('Barang Keluar'!$E:$E,'Barang Keluar'!$A:$A,M33325,'Barang Keluar'!$C:$C,N33325))</f>
        <v>0</v>
      </c>
    </row>
    <row r="33326" spans="13:16">
      <c r="M33326" s="49">
        <f>IF($A$4+333&gt;$B$4,"",$A$4+333)</f>
        <v>46356</v>
      </c>
      <c r="N33326" t="str">
        <f>IF(M33326="","",'Master Barang'!A20)</f>
        <v>PRL-019</v>
      </c>
      <c r="O33326" t="str">
        <f>IF(N33326="","",'Master Barang'!B20)</f>
        <v>neo health masker biru 3 play 50 pcs</v>
      </c>
      <c r="P33326">
        <f>IF(OR(M33326="",N33326=""),"",SUMIFS('Barang Keluar'!$E:$E,'Barang Keluar'!$A:$A,M33326,'Barang Keluar'!$C:$C,N33326))</f>
        <v>0</v>
      </c>
    </row>
    <row r="33327" spans="13:16">
      <c r="M33327" s="49">
        <f>IF($A$4+333&gt;$B$4,"",$A$4+333)</f>
        <v>46356</v>
      </c>
      <c r="N33327" t="str">
        <f>IF(M33327="","",'Master Barang'!A21)</f>
        <v>PRL-020</v>
      </c>
      <c r="O33327" t="str">
        <f>IF(N33327="","",'Master Barang'!B21)</f>
        <v>baymed masker hijau 3 play hijau 50 pcs</v>
      </c>
      <c r="P33327">
        <f>IF(OR(M33327="",N33327=""),"",SUMIFS('Barang Keluar'!$E:$E,'Barang Keluar'!$A:$A,M33327,'Barang Keluar'!$C:$C,N33327))</f>
        <v>0</v>
      </c>
    </row>
    <row r="33328" spans="13:16">
      <c r="M33328" s="49">
        <f>IF($A$4+333&gt;$B$4,"",$A$4+333)</f>
        <v>46356</v>
      </c>
      <c r="N33328" t="str">
        <f>IF(M33328="","",'Master Barang'!A22)</f>
        <v>PRL-021</v>
      </c>
      <c r="O33328" t="str">
        <f>IF(N33328="","",'Master Barang'!B22)</f>
        <v>altamed nurse cap penutup kepala 100 pcs</v>
      </c>
      <c r="P33328">
        <f>IF(OR(M33328="",N33328=""),"",SUMIFS('Barang Keluar'!$E:$E,'Barang Keluar'!$A:$A,M33328,'Barang Keluar'!$C:$C,N33328))</f>
        <v>0</v>
      </c>
    </row>
    <row r="33329" spans="13:16">
      <c r="M33329" s="49">
        <f>IF($A$4+333&gt;$B$4,"",$A$4+333)</f>
        <v>46356</v>
      </c>
      <c r="N33329" t="str">
        <f>IF(M33329="","",'Master Barang'!A23)</f>
        <v>PRL-022</v>
      </c>
      <c r="O33329" t="str">
        <f>IF(N33329="","",'Master Barang'!B23)</f>
        <v>sabun cuci tangan</v>
      </c>
      <c r="P33329">
        <f>IF(OR(M33329="",N33329=""),"",SUMIFS('Barang Keluar'!$E:$E,'Barang Keluar'!$A:$A,M33329,'Barang Keluar'!$C:$C,N33329))</f>
        <v>0</v>
      </c>
    </row>
    <row r="33330" spans="13:16">
      <c r="M33330" s="49">
        <f>IF($A$4+333&gt;$B$4,"",$A$4+333)</f>
        <v>46356</v>
      </c>
      <c r="N33330" t="str">
        <f>IF(M33330="","",'Master Barang'!A24)</f>
        <v>PRL-023</v>
      </c>
      <c r="O33330" t="str">
        <f>IF(N33330="","",'Master Barang'!B24)</f>
        <v>gayung kecil</v>
      </c>
      <c r="P33330">
        <f>IF(OR(M33330="",N33330=""),"",SUMIFS('Barang Keluar'!$E:$E,'Barang Keluar'!$A:$A,M33330,'Barang Keluar'!$C:$C,N33330))</f>
        <v>0</v>
      </c>
    </row>
    <row r="33331" spans="13:16">
      <c r="M33331" s="49">
        <f>IF($A$4+333&gt;$B$4,"",$A$4+333)</f>
        <v>46356</v>
      </c>
      <c r="N33331" t="str">
        <f>IF(M33331="","",'Master Barang'!A25)</f>
        <v>PRL-024</v>
      </c>
      <c r="O33331" t="str">
        <f>IF(N33331="","",'Master Barang'!B25)</f>
        <v>cikrak kecil</v>
      </c>
      <c r="P33331">
        <f>IF(OR(M33331="",N33331=""),"",SUMIFS('Barang Keluar'!$E:$E,'Barang Keluar'!$A:$A,M33331,'Barang Keluar'!$C:$C,N33331))</f>
        <v>0</v>
      </c>
    </row>
    <row r="33332" spans="13:16">
      <c r="M33332" s="49">
        <f>IF($A$4+333&gt;$B$4,"",$A$4+333)</f>
        <v>46356</v>
      </c>
      <c r="N33332" t="str">
        <f>IF(M33332="","",'Master Barang'!A26)</f>
        <v>PRL-025</v>
      </c>
      <c r="O33332" t="str">
        <f>IF(N33332="","",'Master Barang'!B26)</f>
        <v>petromax plastik kecil 12x24 100 lembar</v>
      </c>
      <c r="P33332">
        <f>IF(OR(M33332="",N33332=""),"",SUMIFS('Barang Keluar'!$E:$E,'Barang Keluar'!$A:$A,M33332,'Barang Keluar'!$C:$C,N33332))</f>
        <v>0</v>
      </c>
    </row>
    <row r="33333" spans="13:16">
      <c r="M33333" s="49">
        <f>IF($A$4+333&gt;$B$4,"",$A$4+333)</f>
        <v>46356</v>
      </c>
      <c r="N33333" t="str">
        <f>IF(M33333="","",'Master Barang'!A27)</f>
        <v>PRL-026</v>
      </c>
      <c r="O33333" t="str">
        <f>IF(N33333="","",'Master Barang'!B27)</f>
        <v>lancar kresek kecil bening </v>
      </c>
      <c r="P33333">
        <f>IF(OR(M33333="",N33333=""),"",SUMIFS('Barang Keluar'!$E:$E,'Barang Keluar'!$A:$A,M33333,'Barang Keluar'!$C:$C,N33333))</f>
        <v>0</v>
      </c>
    </row>
    <row r="33334" spans="13:16">
      <c r="M33334" s="49">
        <f>IF($A$4+333&gt;$B$4,"",$A$4+333)</f>
        <v>46356</v>
      </c>
      <c r="N33334" t="str">
        <f>IF(M33334="","",'Master Barang'!A28)</f>
        <v>PRL-027</v>
      </c>
      <c r="O33334" t="str">
        <f>IF(N33334="","",'Master Barang'!B28)</f>
        <v>kresek klin warna warni kecil</v>
      </c>
      <c r="P33334">
        <f>IF(OR(M33334="",N33334=""),"",SUMIFS('Barang Keluar'!$E:$E,'Barang Keluar'!$A:$A,M33334,'Barang Keluar'!$C:$C,N33334))</f>
        <v>0</v>
      </c>
    </row>
    <row r="33335" spans="13:16">
      <c r="M33335" s="49">
        <f>IF($A$4+333&gt;$B$4,"",$A$4+333)</f>
        <v>46356</v>
      </c>
      <c r="N33335" t="str">
        <f>IF(M33335="","",'Master Barang'!A29)</f>
        <v>PRL-028</v>
      </c>
      <c r="O33335" t="str">
        <f>IF(N33335="","",'Master Barang'!B29)</f>
        <v>ctik plastik 7x10 100 pcs</v>
      </c>
      <c r="P33335">
        <f>IF(OR(M33335="",N33335=""),"",SUMIFS('Barang Keluar'!$E:$E,'Barang Keluar'!$A:$A,M33335,'Barang Keluar'!$C:$C,N33335))</f>
        <v>0</v>
      </c>
    </row>
    <row r="33336" spans="13:16">
      <c r="M33336" s="49">
        <f>IF($A$4+333&gt;$B$4,"",$A$4+333)</f>
        <v>46356</v>
      </c>
      <c r="N33336" t="str">
        <f>IF(M33336="","",'Master Barang'!A30)</f>
        <v>PRL-029</v>
      </c>
      <c r="O33336" t="str">
        <f>IF(N33336="","",'Master Barang'!B30)</f>
        <v>ctik plastik 6x10 100 pcs</v>
      </c>
      <c r="P33336">
        <f>IF(OR(M33336="",N33336=""),"",SUMIFS('Barang Keluar'!$E:$E,'Barang Keluar'!$A:$A,M33336,'Barang Keluar'!$C:$C,N33336))</f>
        <v>0</v>
      </c>
    </row>
    <row r="33337" spans="13:16">
      <c r="M33337" s="49">
        <f>IF($A$4+333&gt;$B$4,"",$A$4+333)</f>
        <v>46356</v>
      </c>
      <c r="N33337" t="str">
        <f>IF(M33337="","",'Master Barang'!A31)</f>
        <v>PRL-030</v>
      </c>
      <c r="O33337" t="str">
        <f>IF(N33337="","",'Master Barang'!B31)</f>
        <v>klip plastik 25x16 100 pcs</v>
      </c>
      <c r="P33337">
        <f>IF(OR(M33337="",N33337=""),"",SUMIFS('Barang Keluar'!$E:$E,'Barang Keluar'!$A:$A,M33337,'Barang Keluar'!$C:$C,N33337))</f>
        <v>0</v>
      </c>
    </row>
    <row r="33338" spans="13:16">
      <c r="M33338" s="49">
        <f>IF($A$4+333&gt;$B$4,"",$A$4+333)</f>
        <v>46356</v>
      </c>
      <c r="N33338" t="str">
        <f>IF(M33338="","",'Master Barang'!A32)</f>
        <v>PRL-031</v>
      </c>
      <c r="O33338" t="str">
        <f>IF(N33338="","",'Master Barang'!B32)</f>
        <v>tempat saus 20 ml</v>
      </c>
      <c r="P33338">
        <f>IF(OR(M33338="",N33338=""),"",SUMIFS('Barang Keluar'!$E:$E,'Barang Keluar'!$A:$A,M33338,'Barang Keluar'!$C:$C,N33338))</f>
        <v>0</v>
      </c>
    </row>
    <row r="33339" spans="13:16">
      <c r="M33339" s="49">
        <f>IF($A$4+333&gt;$B$4,"",$A$4+333)</f>
        <v>46356</v>
      </c>
      <c r="N33339" t="str">
        <f>IF(M33339="","",'Master Barang'!A33)</f>
        <v>PRL-032</v>
      </c>
      <c r="O33339" t="str">
        <f>IF(N33339="","",'Master Barang'!B33)</f>
        <v>plastik packaging ag box uk sedang</v>
      </c>
      <c r="P33339">
        <f>IF(OR(M33339="",N33339=""),"",SUMIFS('Barang Keluar'!$E:$E,'Barang Keluar'!$A:$A,M33339,'Barang Keluar'!$C:$C,N33339))</f>
        <v>0</v>
      </c>
    </row>
    <row r="33340" spans="13:16">
      <c r="M33340" s="49">
        <f>IF($A$4+333&gt;$B$4,"",$A$4+333)</f>
        <v>46356</v>
      </c>
      <c r="N33340" t="str">
        <f>IF(M33340="","",'Master Barang'!A34)</f>
        <v>PRL-033</v>
      </c>
      <c r="O33340">
        <f>IF(N33340="","",'Master Barang'!B34)</f>
        <v>0</v>
      </c>
      <c r="P33340">
        <f>IF(OR(M33340="",N33340=""),"",SUMIFS('Barang Keluar'!$E:$E,'Barang Keluar'!$A:$A,M33340,'Barang Keluar'!$C:$C,N33340))</f>
        <v>0</v>
      </c>
    </row>
    <row r="33341" spans="13:16">
      <c r="M33341" s="49">
        <f>IF($A$4+333&gt;$B$4,"",$A$4+333)</f>
        <v>46356</v>
      </c>
      <c r="N33341">
        <f>IF(M33341="","",'Master Barang'!A35)</f>
        <v>0</v>
      </c>
      <c r="O33341">
        <f>IF(N33341="","",'Master Barang'!B35)</f>
        <v>0</v>
      </c>
      <c r="P33341">
        <f>IF(OR(M33341="",N33341=""),"",SUMIFS('Barang Keluar'!$E:$E,'Barang Keluar'!$A:$A,M33341,'Barang Keluar'!$C:$C,N33341))</f>
        <v>0</v>
      </c>
    </row>
    <row r="33342" spans="13:16">
      <c r="M33342" s="49">
        <f>IF($A$4+333&gt;$B$4,"",$A$4+333)</f>
        <v>46356</v>
      </c>
      <c r="N33342">
        <f>IF(M33342="","",'Master Barang'!A36)</f>
        <v>0</v>
      </c>
      <c r="O33342">
        <f>IF(N33342="","",'Master Barang'!B36)</f>
        <v>0</v>
      </c>
      <c r="P33342">
        <f>IF(OR(M33342="",N33342=""),"",SUMIFS('Barang Keluar'!$E:$E,'Barang Keluar'!$A:$A,M33342,'Barang Keluar'!$C:$C,N33342))</f>
        <v>0</v>
      </c>
    </row>
    <row r="33343" spans="13:16">
      <c r="M33343" s="49">
        <f>IF($A$4+333&gt;$B$4,"",$A$4+333)</f>
        <v>46356</v>
      </c>
      <c r="N33343">
        <f>IF(M33343="","",'Master Barang'!A37)</f>
        <v>0</v>
      </c>
      <c r="O33343">
        <f>IF(N33343="","",'Master Barang'!B37)</f>
        <v>0</v>
      </c>
      <c r="P33343">
        <f>IF(OR(M33343="",N33343=""),"",SUMIFS('Barang Keluar'!$E:$E,'Barang Keluar'!$A:$A,M33343,'Barang Keluar'!$C:$C,N33343))</f>
        <v>0</v>
      </c>
    </row>
    <row r="33344" spans="13:16">
      <c r="M33344" s="49">
        <f>IF($A$4+333&gt;$B$4,"",$A$4+333)</f>
        <v>46356</v>
      </c>
      <c r="N33344">
        <f>IF(M33344="","",'Master Barang'!A38)</f>
        <v>0</v>
      </c>
      <c r="O33344">
        <f>IF(N33344="","",'Master Barang'!B38)</f>
        <v>0</v>
      </c>
      <c r="P33344">
        <f>IF(OR(M33344="",N33344=""),"",SUMIFS('Barang Keluar'!$E:$E,'Barang Keluar'!$A:$A,M33344,'Barang Keluar'!$C:$C,N33344))</f>
        <v>0</v>
      </c>
    </row>
    <row r="33345" spans="13:16">
      <c r="M33345" s="49">
        <f>IF($A$4+333&gt;$B$4,"",$A$4+333)</f>
        <v>46356</v>
      </c>
      <c r="N33345">
        <f>IF(M33345="","",'Master Barang'!A39)</f>
        <v>0</v>
      </c>
      <c r="O33345">
        <f>IF(N33345="","",'Master Barang'!B39)</f>
        <v>0</v>
      </c>
      <c r="P33345">
        <f>IF(OR(M33345="",N33345=""),"",SUMIFS('Barang Keluar'!$E:$E,'Barang Keluar'!$A:$A,M33345,'Barang Keluar'!$C:$C,N33345))</f>
        <v>0</v>
      </c>
    </row>
    <row r="33346" spans="13:16">
      <c r="M33346" s="49">
        <f>IF($A$4+333&gt;$B$4,"",$A$4+333)</f>
        <v>46356</v>
      </c>
      <c r="N33346">
        <f>IF(M33346="","",'Master Barang'!A40)</f>
        <v>0</v>
      </c>
      <c r="O33346">
        <f>IF(N33346="","",'Master Barang'!B40)</f>
        <v>0</v>
      </c>
      <c r="P33346">
        <f>IF(OR(M33346="",N33346=""),"",SUMIFS('Barang Keluar'!$E:$E,'Barang Keluar'!$A:$A,M33346,'Barang Keluar'!$C:$C,N33346))</f>
        <v>0</v>
      </c>
    </row>
    <row r="33347" spans="13:16">
      <c r="M33347" s="49">
        <f>IF($A$4+333&gt;$B$4,"",$A$4+333)</f>
        <v>46356</v>
      </c>
      <c r="N33347">
        <f>IF(M33347="","",'Master Barang'!A41)</f>
        <v>0</v>
      </c>
      <c r="O33347">
        <f>IF(N33347="","",'Master Barang'!B41)</f>
        <v>0</v>
      </c>
      <c r="P33347">
        <f>IF(OR(M33347="",N33347=""),"",SUMIFS('Barang Keluar'!$E:$E,'Barang Keluar'!$A:$A,M33347,'Barang Keluar'!$C:$C,N33347))</f>
        <v>0</v>
      </c>
    </row>
    <row r="33348" spans="13:16">
      <c r="M33348" s="49">
        <f>IF($A$4+333&gt;$B$4,"",$A$4+333)</f>
        <v>46356</v>
      </c>
      <c r="N33348">
        <f>IF(M33348="","",'Master Barang'!A42)</f>
        <v>0</v>
      </c>
      <c r="O33348">
        <f>IF(N33348="","",'Master Barang'!B42)</f>
        <v>0</v>
      </c>
      <c r="P33348">
        <f>IF(OR(M33348="",N33348=""),"",SUMIFS('Barang Keluar'!$E:$E,'Barang Keluar'!$A:$A,M33348,'Barang Keluar'!$C:$C,N33348))</f>
        <v>0</v>
      </c>
    </row>
    <row r="33349" spans="13:16">
      <c r="M33349" s="49">
        <f>IF($A$4+333&gt;$B$4,"",$A$4+333)</f>
        <v>46356</v>
      </c>
      <c r="N33349">
        <f>IF(M33349="","",'Master Barang'!A43)</f>
        <v>0</v>
      </c>
      <c r="O33349">
        <f>IF(N33349="","",'Master Barang'!B43)</f>
        <v>0</v>
      </c>
      <c r="P33349">
        <f>IF(OR(M33349="",N33349=""),"",SUMIFS('Barang Keluar'!$E:$E,'Barang Keluar'!$A:$A,M33349,'Barang Keluar'!$C:$C,N33349))</f>
        <v>0</v>
      </c>
    </row>
    <row r="33350" spans="13:16">
      <c r="M33350" s="49">
        <f>IF($A$4+333&gt;$B$4,"",$A$4+333)</f>
        <v>46356</v>
      </c>
      <c r="N33350">
        <f>IF(M33350="","",'Master Barang'!A44)</f>
        <v>0</v>
      </c>
      <c r="O33350">
        <f>IF(N33350="","",'Master Barang'!B44)</f>
        <v>0</v>
      </c>
      <c r="P33350">
        <f>IF(OR(M33350="",N33350=""),"",SUMIFS('Barang Keluar'!$E:$E,'Barang Keluar'!$A:$A,M33350,'Barang Keluar'!$C:$C,N33350))</f>
        <v>0</v>
      </c>
    </row>
    <row r="33351" spans="13:16">
      <c r="M33351" s="49">
        <f>IF($A$4+333&gt;$B$4,"",$A$4+333)</f>
        <v>46356</v>
      </c>
      <c r="N33351">
        <f>IF(M33351="","",'Master Barang'!A45)</f>
        <v>0</v>
      </c>
      <c r="O33351">
        <f>IF(N33351="","",'Master Barang'!B45)</f>
        <v>0</v>
      </c>
      <c r="P33351">
        <f>IF(OR(M33351="",N33351=""),"",SUMIFS('Barang Keluar'!$E:$E,'Barang Keluar'!$A:$A,M33351,'Barang Keluar'!$C:$C,N33351))</f>
        <v>0</v>
      </c>
    </row>
    <row r="33352" spans="13:16">
      <c r="M33352" s="49">
        <f>IF($A$4+333&gt;$B$4,"",$A$4+333)</f>
        <v>46356</v>
      </c>
      <c r="N33352">
        <f>IF(M33352="","",'Master Barang'!A46)</f>
        <v>0</v>
      </c>
      <c r="O33352">
        <f>IF(N33352="","",'Master Barang'!B46)</f>
        <v>0</v>
      </c>
      <c r="P33352">
        <f>IF(OR(M33352="",N33352=""),"",SUMIFS('Barang Keluar'!$E:$E,'Barang Keluar'!$A:$A,M33352,'Barang Keluar'!$C:$C,N33352))</f>
        <v>0</v>
      </c>
    </row>
    <row r="33353" spans="13:16">
      <c r="M33353" s="49">
        <f>IF($A$4+333&gt;$B$4,"",$A$4+333)</f>
        <v>46356</v>
      </c>
      <c r="N33353">
        <f>IF(M33353="","",'Master Barang'!A47)</f>
        <v>0</v>
      </c>
      <c r="O33353">
        <f>IF(N33353="","",'Master Barang'!B47)</f>
        <v>0</v>
      </c>
      <c r="P33353">
        <f>IF(OR(M33353="",N33353=""),"",SUMIFS('Barang Keluar'!$E:$E,'Barang Keluar'!$A:$A,M33353,'Barang Keluar'!$C:$C,N33353))</f>
        <v>0</v>
      </c>
    </row>
    <row r="33354" spans="13:16">
      <c r="M33354" s="49">
        <f>IF($A$4+333&gt;$B$4,"",$A$4+333)</f>
        <v>46356</v>
      </c>
      <c r="N33354">
        <f>IF(M33354="","",'Master Barang'!A48)</f>
        <v>0</v>
      </c>
      <c r="O33354">
        <f>IF(N33354="","",'Master Barang'!B48)</f>
        <v>0</v>
      </c>
      <c r="P33354">
        <f>IF(OR(M33354="",N33354=""),"",SUMIFS('Barang Keluar'!$E:$E,'Barang Keluar'!$A:$A,M33354,'Barang Keluar'!$C:$C,N33354))</f>
        <v>0</v>
      </c>
    </row>
    <row r="33355" spans="13:16">
      <c r="M33355" s="49">
        <f>IF($A$4+333&gt;$B$4,"",$A$4+333)</f>
        <v>46356</v>
      </c>
      <c r="N33355">
        <f>IF(M33355="","",'Master Barang'!A49)</f>
        <v>0</v>
      </c>
      <c r="O33355">
        <f>IF(N33355="","",'Master Barang'!B49)</f>
        <v>0</v>
      </c>
      <c r="P33355">
        <f>IF(OR(M33355="",N33355=""),"",SUMIFS('Barang Keluar'!$E:$E,'Barang Keluar'!$A:$A,M33355,'Barang Keluar'!$C:$C,N33355))</f>
        <v>0</v>
      </c>
    </row>
    <row r="33356" spans="13:16">
      <c r="M33356" s="49">
        <f>IF($A$4+333&gt;$B$4,"",$A$4+333)</f>
        <v>46356</v>
      </c>
      <c r="N33356">
        <f>IF(M33356="","",'Master Barang'!A50)</f>
        <v>0</v>
      </c>
      <c r="O33356">
        <f>IF(N33356="","",'Master Barang'!B50)</f>
        <v>0</v>
      </c>
      <c r="P33356">
        <f>IF(OR(M33356="",N33356=""),"",SUMIFS('Barang Keluar'!$E:$E,'Barang Keluar'!$A:$A,M33356,'Barang Keluar'!$C:$C,N33356))</f>
        <v>0</v>
      </c>
    </row>
    <row r="33357" spans="13:16">
      <c r="M33357" s="49">
        <f>IF($A$4+333&gt;$B$4,"",$A$4+333)</f>
        <v>46356</v>
      </c>
      <c r="N33357">
        <f>IF(M33357="","",'Master Barang'!A51)</f>
        <v>0</v>
      </c>
      <c r="O33357">
        <f>IF(N33357="","",'Master Barang'!B51)</f>
        <v>0</v>
      </c>
      <c r="P33357">
        <f>IF(OR(M33357="",N33357=""),"",SUMIFS('Barang Keluar'!$E:$E,'Barang Keluar'!$A:$A,M33357,'Barang Keluar'!$C:$C,N33357))</f>
        <v>0</v>
      </c>
    </row>
    <row r="33358" spans="13:16">
      <c r="M33358" s="49">
        <f>IF($A$4+333&gt;$B$4,"",$A$4+333)</f>
        <v>46356</v>
      </c>
      <c r="N33358">
        <f>IF(M33358="","",'Master Barang'!A52)</f>
        <v>0</v>
      </c>
      <c r="O33358">
        <f>IF(N33358="","",'Master Barang'!B52)</f>
        <v>0</v>
      </c>
      <c r="P33358">
        <f>IF(OR(M33358="",N33358=""),"",SUMIFS('Barang Keluar'!$E:$E,'Barang Keluar'!$A:$A,M33358,'Barang Keluar'!$C:$C,N33358))</f>
        <v>0</v>
      </c>
    </row>
    <row r="33359" spans="13:16">
      <c r="M33359" s="49">
        <f>IF($A$4+333&gt;$B$4,"",$A$4+333)</f>
        <v>46356</v>
      </c>
      <c r="N33359">
        <f>IF(M33359="","",'Master Barang'!A53)</f>
        <v>0</v>
      </c>
      <c r="O33359">
        <f>IF(N33359="","",'Master Barang'!B53)</f>
        <v>0</v>
      </c>
      <c r="P33359">
        <f>IF(OR(M33359="",N33359=""),"",SUMIFS('Barang Keluar'!$E:$E,'Barang Keluar'!$A:$A,M33359,'Barang Keluar'!$C:$C,N33359))</f>
        <v>0</v>
      </c>
    </row>
    <row r="33360" spans="13:16">
      <c r="M33360" s="49">
        <f>IF($A$4+333&gt;$B$4,"",$A$4+333)</f>
        <v>46356</v>
      </c>
      <c r="N33360">
        <f>IF(M33360="","",'Master Barang'!A54)</f>
        <v>0</v>
      </c>
      <c r="O33360">
        <f>IF(N33360="","",'Master Barang'!B54)</f>
        <v>0</v>
      </c>
      <c r="P33360">
        <f>IF(OR(M33360="",N33360=""),"",SUMIFS('Barang Keluar'!$E:$E,'Barang Keluar'!$A:$A,M33360,'Barang Keluar'!$C:$C,N33360))</f>
        <v>0</v>
      </c>
    </row>
    <row r="33361" spans="13:16">
      <c r="M33361" s="49">
        <f>IF($A$4+333&gt;$B$4,"",$A$4+333)</f>
        <v>46356</v>
      </c>
      <c r="N33361">
        <f>IF(M33361="","",'Master Barang'!A55)</f>
        <v>0</v>
      </c>
      <c r="O33361">
        <f>IF(N33361="","",'Master Barang'!B55)</f>
        <v>0</v>
      </c>
      <c r="P33361">
        <f>IF(OR(M33361="",N33361=""),"",SUMIFS('Barang Keluar'!$E:$E,'Barang Keluar'!$A:$A,M33361,'Barang Keluar'!$C:$C,N33361))</f>
        <v>0</v>
      </c>
    </row>
    <row r="33362" spans="13:16">
      <c r="M33362" s="49">
        <f>IF($A$4+333&gt;$B$4,"",$A$4+333)</f>
        <v>46356</v>
      </c>
      <c r="N33362">
        <f>IF(M33362="","",'Master Barang'!A56)</f>
        <v>0</v>
      </c>
      <c r="O33362">
        <f>IF(N33362="","",'Master Barang'!B56)</f>
        <v>0</v>
      </c>
      <c r="P33362">
        <f>IF(OR(M33362="",N33362=""),"",SUMIFS('Barang Keluar'!$E:$E,'Barang Keluar'!$A:$A,M33362,'Barang Keluar'!$C:$C,N33362))</f>
        <v>0</v>
      </c>
    </row>
    <row r="33363" spans="13:16">
      <c r="M33363" s="49">
        <f>IF($A$4+333&gt;$B$4,"",$A$4+333)</f>
        <v>46356</v>
      </c>
      <c r="N33363">
        <f>IF(M33363="","",'Master Barang'!A57)</f>
        <v>0</v>
      </c>
      <c r="O33363">
        <f>IF(N33363="","",'Master Barang'!B57)</f>
        <v>0</v>
      </c>
      <c r="P33363">
        <f>IF(OR(M33363="",N33363=""),"",SUMIFS('Barang Keluar'!$E:$E,'Barang Keluar'!$A:$A,M33363,'Barang Keluar'!$C:$C,N33363))</f>
        <v>0</v>
      </c>
    </row>
    <row r="33364" spans="13:16">
      <c r="M33364" s="49">
        <f>IF($A$4+333&gt;$B$4,"",$A$4+333)</f>
        <v>46356</v>
      </c>
      <c r="N33364">
        <f>IF(M33364="","",'Master Barang'!A58)</f>
        <v>0</v>
      </c>
      <c r="O33364">
        <f>IF(N33364="","",'Master Barang'!B58)</f>
        <v>0</v>
      </c>
      <c r="P33364">
        <f>IF(OR(M33364="",N33364=""),"",SUMIFS('Barang Keluar'!$E:$E,'Barang Keluar'!$A:$A,M33364,'Barang Keluar'!$C:$C,N33364))</f>
        <v>0</v>
      </c>
    </row>
    <row r="33365" spans="13:16">
      <c r="M33365" s="49">
        <f>IF($A$4+333&gt;$B$4,"",$A$4+333)</f>
        <v>46356</v>
      </c>
      <c r="N33365">
        <f>IF(M33365="","",'Master Barang'!A59)</f>
        <v>0</v>
      </c>
      <c r="O33365">
        <f>IF(N33365="","",'Master Barang'!B59)</f>
        <v>0</v>
      </c>
      <c r="P33365">
        <f>IF(OR(M33365="",N33365=""),"",SUMIFS('Barang Keluar'!$E:$E,'Barang Keluar'!$A:$A,M33365,'Barang Keluar'!$C:$C,N33365))</f>
        <v>0</v>
      </c>
    </row>
    <row r="33366" spans="13:16">
      <c r="M33366" s="49">
        <f>IF($A$4+333&gt;$B$4,"",$A$4+333)</f>
        <v>46356</v>
      </c>
      <c r="N33366">
        <f>IF(M33366="","",'Master Barang'!A60)</f>
        <v>0</v>
      </c>
      <c r="O33366">
        <f>IF(N33366="","",'Master Barang'!B60)</f>
        <v>0</v>
      </c>
      <c r="P33366">
        <f>IF(OR(M33366="",N33366=""),"",SUMIFS('Barang Keluar'!$E:$E,'Barang Keluar'!$A:$A,M33366,'Barang Keluar'!$C:$C,N33366))</f>
        <v>0</v>
      </c>
    </row>
    <row r="33367" spans="13:16">
      <c r="M33367" s="49">
        <f>IF($A$4+333&gt;$B$4,"",$A$4+333)</f>
        <v>46356</v>
      </c>
      <c r="N33367">
        <f>IF(M33367="","",'Master Barang'!A61)</f>
        <v>0</v>
      </c>
      <c r="O33367">
        <f>IF(N33367="","",'Master Barang'!B61)</f>
        <v>0</v>
      </c>
      <c r="P33367">
        <f>IF(OR(M33367="",N33367=""),"",SUMIFS('Barang Keluar'!$E:$E,'Barang Keluar'!$A:$A,M33367,'Barang Keluar'!$C:$C,N33367))</f>
        <v>0</v>
      </c>
    </row>
    <row r="33368" spans="13:16">
      <c r="M33368" s="49">
        <f>IF($A$4+333&gt;$B$4,"",$A$4+333)</f>
        <v>46356</v>
      </c>
      <c r="N33368">
        <f>IF(M33368="","",'Master Barang'!A62)</f>
        <v>0</v>
      </c>
      <c r="O33368">
        <f>IF(N33368="","",'Master Barang'!B62)</f>
        <v>0</v>
      </c>
      <c r="P33368">
        <f>IF(OR(M33368="",N33368=""),"",SUMIFS('Barang Keluar'!$E:$E,'Barang Keluar'!$A:$A,M33368,'Barang Keluar'!$C:$C,N33368))</f>
        <v>0</v>
      </c>
    </row>
    <row r="33369" spans="13:16">
      <c r="M33369" s="49">
        <f>IF($A$4+333&gt;$B$4,"",$A$4+333)</f>
        <v>46356</v>
      </c>
      <c r="N33369">
        <f>IF(M33369="","",'Master Barang'!A63)</f>
        <v>0</v>
      </c>
      <c r="O33369">
        <f>IF(N33369="","",'Master Barang'!B63)</f>
        <v>0</v>
      </c>
      <c r="P33369">
        <f>IF(OR(M33369="",N33369=""),"",SUMIFS('Barang Keluar'!$E:$E,'Barang Keluar'!$A:$A,M33369,'Barang Keluar'!$C:$C,N33369))</f>
        <v>0</v>
      </c>
    </row>
    <row r="33370" spans="13:16">
      <c r="M33370" s="49">
        <f>IF($A$4+333&gt;$B$4,"",$A$4+333)</f>
        <v>46356</v>
      </c>
      <c r="N33370">
        <f>IF(M33370="","",'Master Barang'!A64)</f>
        <v>0</v>
      </c>
      <c r="O33370">
        <f>IF(N33370="","",'Master Barang'!B64)</f>
        <v>0</v>
      </c>
      <c r="P33370">
        <f>IF(OR(M33370="",N33370=""),"",SUMIFS('Barang Keluar'!$E:$E,'Barang Keluar'!$A:$A,M33370,'Barang Keluar'!$C:$C,N33370))</f>
        <v>0</v>
      </c>
    </row>
    <row r="33371" spans="13:16">
      <c r="M33371" s="49">
        <f>IF($A$4+333&gt;$B$4,"",$A$4+333)</f>
        <v>46356</v>
      </c>
      <c r="N33371">
        <f>IF(M33371="","",'Master Barang'!A65)</f>
        <v>0</v>
      </c>
      <c r="O33371">
        <f>IF(N33371="","",'Master Barang'!B65)</f>
        <v>0</v>
      </c>
      <c r="P33371">
        <f>IF(OR(M33371="",N33371=""),"",SUMIFS('Barang Keluar'!$E:$E,'Barang Keluar'!$A:$A,M33371,'Barang Keluar'!$C:$C,N33371))</f>
        <v>0</v>
      </c>
    </row>
    <row r="33372" spans="13:16">
      <c r="M33372" s="49">
        <f>IF($A$4+333&gt;$B$4,"",$A$4+333)</f>
        <v>46356</v>
      </c>
      <c r="N33372">
        <f>IF(M33372="","",'Master Barang'!A66)</f>
        <v>0</v>
      </c>
      <c r="O33372">
        <f>IF(N33372="","",'Master Barang'!B66)</f>
        <v>0</v>
      </c>
      <c r="P33372">
        <f>IF(OR(M33372="",N33372=""),"",SUMIFS('Barang Keluar'!$E:$E,'Barang Keluar'!$A:$A,M33372,'Barang Keluar'!$C:$C,N33372))</f>
        <v>0</v>
      </c>
    </row>
    <row r="33373" spans="13:16">
      <c r="M33373" s="49">
        <f>IF($A$4+333&gt;$B$4,"",$A$4+333)</f>
        <v>46356</v>
      </c>
      <c r="N33373">
        <f>IF(M33373="","",'Master Barang'!A67)</f>
        <v>0</v>
      </c>
      <c r="O33373">
        <f>IF(N33373="","",'Master Barang'!B67)</f>
        <v>0</v>
      </c>
      <c r="P33373">
        <f>IF(OR(M33373="",N33373=""),"",SUMIFS('Barang Keluar'!$E:$E,'Barang Keluar'!$A:$A,M33373,'Barang Keluar'!$C:$C,N33373))</f>
        <v>0</v>
      </c>
    </row>
    <row r="33374" spans="13:16">
      <c r="M33374" s="49">
        <f>IF($A$4+333&gt;$B$4,"",$A$4+333)</f>
        <v>46356</v>
      </c>
      <c r="N33374">
        <f>IF(M33374="","",'Master Barang'!A68)</f>
        <v>0</v>
      </c>
      <c r="O33374">
        <f>IF(N33374="","",'Master Barang'!B68)</f>
        <v>0</v>
      </c>
      <c r="P33374">
        <f>IF(OR(M33374="",N33374=""),"",SUMIFS('Barang Keluar'!$E:$E,'Barang Keluar'!$A:$A,M33374,'Barang Keluar'!$C:$C,N33374))</f>
        <v>0</v>
      </c>
    </row>
    <row r="33375" spans="13:16">
      <c r="M33375" s="49">
        <f>IF($A$4+333&gt;$B$4,"",$A$4+333)</f>
        <v>46356</v>
      </c>
      <c r="N33375">
        <f>IF(M33375="","",'Master Barang'!A69)</f>
        <v>0</v>
      </c>
      <c r="O33375">
        <f>IF(N33375="","",'Master Barang'!B69)</f>
        <v>0</v>
      </c>
      <c r="P33375">
        <f>IF(OR(M33375="",N33375=""),"",SUMIFS('Barang Keluar'!$E:$E,'Barang Keluar'!$A:$A,M33375,'Barang Keluar'!$C:$C,N33375))</f>
        <v>0</v>
      </c>
    </row>
    <row r="33376" spans="13:16">
      <c r="M33376" s="49">
        <f>IF($A$4+333&gt;$B$4,"",$A$4+333)</f>
        <v>46356</v>
      </c>
      <c r="N33376">
        <f>IF(M33376="","",'Master Barang'!A70)</f>
        <v>0</v>
      </c>
      <c r="O33376">
        <f>IF(N33376="","",'Master Barang'!B70)</f>
        <v>0</v>
      </c>
      <c r="P33376">
        <f>IF(OR(M33376="",N33376=""),"",SUMIFS('Barang Keluar'!$E:$E,'Barang Keluar'!$A:$A,M33376,'Barang Keluar'!$C:$C,N33376))</f>
        <v>0</v>
      </c>
    </row>
    <row r="33377" spans="13:16">
      <c r="M33377" s="49">
        <f>IF($A$4+333&gt;$B$4,"",$A$4+333)</f>
        <v>46356</v>
      </c>
      <c r="N33377">
        <f>IF(M33377="","",'Master Barang'!A71)</f>
        <v>0</v>
      </c>
      <c r="O33377">
        <f>IF(N33377="","",'Master Barang'!B71)</f>
        <v>0</v>
      </c>
      <c r="P33377">
        <f>IF(OR(M33377="",N33377=""),"",SUMIFS('Barang Keluar'!$E:$E,'Barang Keluar'!$A:$A,M33377,'Barang Keluar'!$C:$C,N33377))</f>
        <v>0</v>
      </c>
    </row>
    <row r="33378" spans="13:16">
      <c r="M33378" s="49">
        <f>IF($A$4+333&gt;$B$4,"",$A$4+333)</f>
        <v>46356</v>
      </c>
      <c r="N33378">
        <f>IF(M33378="","",'Master Barang'!A72)</f>
        <v>0</v>
      </c>
      <c r="O33378">
        <f>IF(N33378="","",'Master Barang'!B72)</f>
        <v>0</v>
      </c>
      <c r="P33378">
        <f>IF(OR(M33378="",N33378=""),"",SUMIFS('Barang Keluar'!$E:$E,'Barang Keluar'!$A:$A,M33378,'Barang Keluar'!$C:$C,N33378))</f>
        <v>0</v>
      </c>
    </row>
    <row r="33379" spans="13:16">
      <c r="M33379" s="49">
        <f>IF($A$4+333&gt;$B$4,"",$A$4+333)</f>
        <v>46356</v>
      </c>
      <c r="N33379">
        <f>IF(M33379="","",'Master Barang'!A73)</f>
        <v>0</v>
      </c>
      <c r="O33379">
        <f>IF(N33379="","",'Master Barang'!B73)</f>
        <v>0</v>
      </c>
      <c r="P33379">
        <f>IF(OR(M33379="",N33379=""),"",SUMIFS('Barang Keluar'!$E:$E,'Barang Keluar'!$A:$A,M33379,'Barang Keluar'!$C:$C,N33379))</f>
        <v>0</v>
      </c>
    </row>
    <row r="33380" spans="13:16">
      <c r="M33380" s="49">
        <f>IF($A$4+333&gt;$B$4,"",$A$4+333)</f>
        <v>46356</v>
      </c>
      <c r="N33380">
        <f>IF(M33380="","",'Master Barang'!A74)</f>
        <v>0</v>
      </c>
      <c r="O33380">
        <f>IF(N33380="","",'Master Barang'!B74)</f>
        <v>0</v>
      </c>
      <c r="P33380">
        <f>IF(OR(M33380="",N33380=""),"",SUMIFS('Barang Keluar'!$E:$E,'Barang Keluar'!$A:$A,M33380,'Barang Keluar'!$C:$C,N33380))</f>
        <v>0</v>
      </c>
    </row>
    <row r="33381" spans="13:16">
      <c r="M33381" s="49">
        <f>IF($A$4+333&gt;$B$4,"",$A$4+333)</f>
        <v>46356</v>
      </c>
      <c r="N33381">
        <f>IF(M33381="","",'Master Barang'!A75)</f>
        <v>0</v>
      </c>
      <c r="O33381">
        <f>IF(N33381="","",'Master Barang'!B75)</f>
        <v>0</v>
      </c>
      <c r="P33381">
        <f>IF(OR(M33381="",N33381=""),"",SUMIFS('Barang Keluar'!$E:$E,'Barang Keluar'!$A:$A,M33381,'Barang Keluar'!$C:$C,N33381))</f>
        <v>0</v>
      </c>
    </row>
    <row r="33382" spans="13:16">
      <c r="M33382" s="49">
        <f>IF($A$4+333&gt;$B$4,"",$A$4+333)</f>
        <v>46356</v>
      </c>
      <c r="N33382">
        <f>IF(M33382="","",'Master Barang'!A76)</f>
        <v>0</v>
      </c>
      <c r="O33382">
        <f>IF(N33382="","",'Master Barang'!B76)</f>
        <v>0</v>
      </c>
      <c r="P33382">
        <f>IF(OR(M33382="",N33382=""),"",SUMIFS('Barang Keluar'!$E:$E,'Barang Keluar'!$A:$A,M33382,'Barang Keluar'!$C:$C,N33382))</f>
        <v>0</v>
      </c>
    </row>
    <row r="33383" spans="13:16">
      <c r="M33383" s="49">
        <f>IF($A$4+333&gt;$B$4,"",$A$4+333)</f>
        <v>46356</v>
      </c>
      <c r="N33383">
        <f>IF(M33383="","",'Master Barang'!A77)</f>
        <v>0</v>
      </c>
      <c r="O33383">
        <f>IF(N33383="","",'Master Barang'!B77)</f>
        <v>0</v>
      </c>
      <c r="P33383">
        <f>IF(OR(M33383="",N33383=""),"",SUMIFS('Barang Keluar'!$E:$E,'Barang Keluar'!$A:$A,M33383,'Barang Keluar'!$C:$C,N33383))</f>
        <v>0</v>
      </c>
    </row>
    <row r="33384" spans="13:16">
      <c r="M33384" s="49">
        <f>IF($A$4+333&gt;$B$4,"",$A$4+333)</f>
        <v>46356</v>
      </c>
      <c r="N33384">
        <f>IF(M33384="","",'Master Barang'!A78)</f>
        <v>0</v>
      </c>
      <c r="O33384">
        <f>IF(N33384="","",'Master Barang'!B78)</f>
        <v>0</v>
      </c>
      <c r="P33384">
        <f>IF(OR(M33384="",N33384=""),"",SUMIFS('Barang Keluar'!$E:$E,'Barang Keluar'!$A:$A,M33384,'Barang Keluar'!$C:$C,N33384))</f>
        <v>0</v>
      </c>
    </row>
    <row r="33385" spans="13:16">
      <c r="M33385" s="49">
        <f>IF($A$4+333&gt;$B$4,"",$A$4+333)</f>
        <v>46356</v>
      </c>
      <c r="N33385">
        <f>IF(M33385="","",'Master Barang'!A79)</f>
        <v>0</v>
      </c>
      <c r="O33385">
        <f>IF(N33385="","",'Master Barang'!B79)</f>
        <v>0</v>
      </c>
      <c r="P33385">
        <f>IF(OR(M33385="",N33385=""),"",SUMIFS('Barang Keluar'!$E:$E,'Barang Keluar'!$A:$A,M33385,'Barang Keluar'!$C:$C,N33385))</f>
        <v>0</v>
      </c>
    </row>
    <row r="33386" spans="13:16">
      <c r="M33386" s="49">
        <f>IF($A$4+333&gt;$B$4,"",$A$4+333)</f>
        <v>46356</v>
      </c>
      <c r="N33386">
        <f>IF(M33386="","",'Master Barang'!A80)</f>
        <v>0</v>
      </c>
      <c r="O33386">
        <f>IF(N33386="","",'Master Barang'!B80)</f>
        <v>0</v>
      </c>
      <c r="P33386">
        <f>IF(OR(M33386="",N33386=""),"",SUMIFS('Barang Keluar'!$E:$E,'Barang Keluar'!$A:$A,M33386,'Barang Keluar'!$C:$C,N33386))</f>
        <v>0</v>
      </c>
    </row>
    <row r="33387" spans="13:16">
      <c r="M33387" s="49">
        <f>IF($A$4+333&gt;$B$4,"",$A$4+333)</f>
        <v>46356</v>
      </c>
      <c r="N33387">
        <f>IF(M33387="","",'Master Barang'!A81)</f>
        <v>0</v>
      </c>
      <c r="O33387">
        <f>IF(N33387="","",'Master Barang'!B81)</f>
        <v>0</v>
      </c>
      <c r="P33387">
        <f>IF(OR(M33387="",N33387=""),"",SUMIFS('Barang Keluar'!$E:$E,'Barang Keluar'!$A:$A,M33387,'Barang Keluar'!$C:$C,N33387))</f>
        <v>0</v>
      </c>
    </row>
    <row r="33388" spans="13:16">
      <c r="M33388" s="49">
        <f>IF($A$4+333&gt;$B$4,"",$A$4+333)</f>
        <v>46356</v>
      </c>
      <c r="N33388">
        <f>IF(M33388="","",'Master Barang'!A82)</f>
        <v>0</v>
      </c>
      <c r="O33388">
        <f>IF(N33388="","",'Master Barang'!B82)</f>
        <v>0</v>
      </c>
      <c r="P33388">
        <f>IF(OR(M33388="",N33388=""),"",SUMIFS('Barang Keluar'!$E:$E,'Barang Keluar'!$A:$A,M33388,'Barang Keluar'!$C:$C,N33388))</f>
        <v>0</v>
      </c>
    </row>
    <row r="33389" spans="13:16">
      <c r="M33389" s="49">
        <f>IF($A$4+333&gt;$B$4,"",$A$4+333)</f>
        <v>46356</v>
      </c>
      <c r="N33389">
        <f>IF(M33389="","",'Master Barang'!A83)</f>
        <v>0</v>
      </c>
      <c r="O33389">
        <f>IF(N33389="","",'Master Barang'!B83)</f>
        <v>0</v>
      </c>
      <c r="P33389">
        <f>IF(OR(M33389="",N33389=""),"",SUMIFS('Barang Keluar'!$E:$E,'Barang Keluar'!$A:$A,M33389,'Barang Keluar'!$C:$C,N33389))</f>
        <v>0</v>
      </c>
    </row>
    <row r="33390" spans="13:16">
      <c r="M33390" s="49">
        <f>IF($A$4+333&gt;$B$4,"",$A$4+333)</f>
        <v>46356</v>
      </c>
      <c r="N33390">
        <f>IF(M33390="","",'Master Barang'!A84)</f>
        <v>0</v>
      </c>
      <c r="O33390">
        <f>IF(N33390="","",'Master Barang'!B84)</f>
        <v>0</v>
      </c>
      <c r="P33390">
        <f>IF(OR(M33390="",N33390=""),"",SUMIFS('Barang Keluar'!$E:$E,'Barang Keluar'!$A:$A,M33390,'Barang Keluar'!$C:$C,N33390))</f>
        <v>0</v>
      </c>
    </row>
    <row r="33391" spans="13:16">
      <c r="M33391" s="49">
        <f>IF($A$4+333&gt;$B$4,"",$A$4+333)</f>
        <v>46356</v>
      </c>
      <c r="N33391">
        <f>IF(M33391="","",'Master Barang'!A85)</f>
        <v>0</v>
      </c>
      <c r="O33391">
        <f>IF(N33391="","",'Master Barang'!B85)</f>
        <v>0</v>
      </c>
      <c r="P33391">
        <f>IF(OR(M33391="",N33391=""),"",SUMIFS('Barang Keluar'!$E:$E,'Barang Keluar'!$A:$A,M33391,'Barang Keluar'!$C:$C,N33391))</f>
        <v>0</v>
      </c>
    </row>
    <row r="33392" spans="13:16">
      <c r="M33392" s="49">
        <f>IF($A$4+333&gt;$B$4,"",$A$4+333)</f>
        <v>46356</v>
      </c>
      <c r="N33392">
        <f>IF(M33392="","",'Master Barang'!A86)</f>
        <v>0</v>
      </c>
      <c r="O33392">
        <f>IF(N33392="","",'Master Barang'!B86)</f>
        <v>0</v>
      </c>
      <c r="P33392">
        <f>IF(OR(M33392="",N33392=""),"",SUMIFS('Barang Keluar'!$E:$E,'Barang Keluar'!$A:$A,M33392,'Barang Keluar'!$C:$C,N33392))</f>
        <v>0</v>
      </c>
    </row>
    <row r="33393" spans="13:16">
      <c r="M33393" s="49">
        <f>IF($A$4+333&gt;$B$4,"",$A$4+333)</f>
        <v>46356</v>
      </c>
      <c r="N33393">
        <f>IF(M33393="","",'Master Barang'!A87)</f>
        <v>0</v>
      </c>
      <c r="O33393">
        <f>IF(N33393="","",'Master Barang'!B87)</f>
        <v>0</v>
      </c>
      <c r="P33393">
        <f>IF(OR(M33393="",N33393=""),"",SUMIFS('Barang Keluar'!$E:$E,'Barang Keluar'!$A:$A,M33393,'Barang Keluar'!$C:$C,N33393))</f>
        <v>0</v>
      </c>
    </row>
    <row r="33394" spans="13:16">
      <c r="M33394" s="49">
        <f>IF($A$4+333&gt;$B$4,"",$A$4+333)</f>
        <v>46356</v>
      </c>
      <c r="N33394">
        <f>IF(M33394="","",'Master Barang'!A88)</f>
        <v>0</v>
      </c>
      <c r="O33394">
        <f>IF(N33394="","",'Master Barang'!B88)</f>
        <v>0</v>
      </c>
      <c r="P33394">
        <f>IF(OR(M33394="",N33394=""),"",SUMIFS('Barang Keluar'!$E:$E,'Barang Keluar'!$A:$A,M33394,'Barang Keluar'!$C:$C,N33394))</f>
        <v>0</v>
      </c>
    </row>
    <row r="33395" spans="13:16">
      <c r="M33395" s="49">
        <f>IF($A$4+333&gt;$B$4,"",$A$4+333)</f>
        <v>46356</v>
      </c>
      <c r="N33395">
        <f>IF(M33395="","",'Master Barang'!A89)</f>
        <v>0</v>
      </c>
      <c r="O33395">
        <f>IF(N33395="","",'Master Barang'!B89)</f>
        <v>0</v>
      </c>
      <c r="P33395">
        <f>IF(OR(M33395="",N33395=""),"",SUMIFS('Barang Keluar'!$E:$E,'Barang Keluar'!$A:$A,M33395,'Barang Keluar'!$C:$C,N33395))</f>
        <v>0</v>
      </c>
    </row>
    <row r="33396" spans="13:16">
      <c r="M33396" s="49">
        <f>IF($A$4+333&gt;$B$4,"",$A$4+333)</f>
        <v>46356</v>
      </c>
      <c r="N33396">
        <f>IF(M33396="","",'Master Barang'!A90)</f>
        <v>0</v>
      </c>
      <c r="O33396">
        <f>IF(N33396="","",'Master Barang'!B90)</f>
        <v>0</v>
      </c>
      <c r="P33396">
        <f>IF(OR(M33396="",N33396=""),"",SUMIFS('Barang Keluar'!$E:$E,'Barang Keluar'!$A:$A,M33396,'Barang Keluar'!$C:$C,N33396))</f>
        <v>0</v>
      </c>
    </row>
    <row r="33397" spans="13:16">
      <c r="M33397" s="49">
        <f>IF($A$4+333&gt;$B$4,"",$A$4+333)</f>
        <v>46356</v>
      </c>
      <c r="N33397">
        <f>IF(M33397="","",'Master Barang'!A91)</f>
        <v>0</v>
      </c>
      <c r="O33397">
        <f>IF(N33397="","",'Master Barang'!B91)</f>
        <v>0</v>
      </c>
      <c r="P33397">
        <f>IF(OR(M33397="",N33397=""),"",SUMIFS('Barang Keluar'!$E:$E,'Barang Keluar'!$A:$A,M33397,'Barang Keluar'!$C:$C,N33397))</f>
        <v>0</v>
      </c>
    </row>
    <row r="33398" spans="13:16">
      <c r="M33398" s="49">
        <f>IF($A$4+333&gt;$B$4,"",$A$4+333)</f>
        <v>46356</v>
      </c>
      <c r="N33398">
        <f>IF(M33398="","",'Master Barang'!A92)</f>
        <v>0</v>
      </c>
      <c r="O33398">
        <f>IF(N33398="","",'Master Barang'!B92)</f>
        <v>0</v>
      </c>
      <c r="P33398">
        <f>IF(OR(M33398="",N33398=""),"",SUMIFS('Barang Keluar'!$E:$E,'Barang Keluar'!$A:$A,M33398,'Barang Keluar'!$C:$C,N33398))</f>
        <v>0</v>
      </c>
    </row>
    <row r="33399" spans="13:16">
      <c r="M33399" s="49">
        <f>IF($A$4+333&gt;$B$4,"",$A$4+333)</f>
        <v>46356</v>
      </c>
      <c r="N33399">
        <f>IF(M33399="","",'Master Barang'!A93)</f>
        <v>0</v>
      </c>
      <c r="O33399">
        <f>IF(N33399="","",'Master Barang'!B93)</f>
        <v>0</v>
      </c>
      <c r="P33399">
        <f>IF(OR(M33399="",N33399=""),"",SUMIFS('Barang Keluar'!$E:$E,'Barang Keluar'!$A:$A,M33399,'Barang Keluar'!$C:$C,N33399))</f>
        <v>0</v>
      </c>
    </row>
    <row r="33400" spans="13:16">
      <c r="M33400" s="49">
        <f>IF($A$4+333&gt;$B$4,"",$A$4+333)</f>
        <v>46356</v>
      </c>
      <c r="N33400">
        <f>IF(M33400="","",'Master Barang'!A94)</f>
        <v>0</v>
      </c>
      <c r="O33400">
        <f>IF(N33400="","",'Master Barang'!B94)</f>
        <v>0</v>
      </c>
      <c r="P33400">
        <f>IF(OR(M33400="",N33400=""),"",SUMIFS('Barang Keluar'!$E:$E,'Barang Keluar'!$A:$A,M33400,'Barang Keluar'!$C:$C,N33400))</f>
        <v>0</v>
      </c>
    </row>
    <row r="33401" spans="13:16">
      <c r="M33401" s="49">
        <f>IF($A$4+333&gt;$B$4,"",$A$4+333)</f>
        <v>46356</v>
      </c>
      <c r="N33401">
        <f>IF(M33401="","",'Master Barang'!A95)</f>
        <v>0</v>
      </c>
      <c r="O33401">
        <f>IF(N33401="","",'Master Barang'!B95)</f>
        <v>0</v>
      </c>
      <c r="P33401">
        <f>IF(OR(M33401="",N33401=""),"",SUMIFS('Barang Keluar'!$E:$E,'Barang Keluar'!$A:$A,M33401,'Barang Keluar'!$C:$C,N33401))</f>
        <v>0</v>
      </c>
    </row>
    <row r="33402" spans="13:16">
      <c r="M33402" s="49">
        <f>IF($A$4+333&gt;$B$4,"",$A$4+333)</f>
        <v>46356</v>
      </c>
      <c r="N33402">
        <f>IF(M33402="","",'Master Barang'!A96)</f>
        <v>0</v>
      </c>
      <c r="O33402">
        <f>IF(N33402="","",'Master Barang'!B96)</f>
        <v>0</v>
      </c>
      <c r="P33402">
        <f>IF(OR(M33402="",N33402=""),"",SUMIFS('Barang Keluar'!$E:$E,'Barang Keluar'!$A:$A,M33402,'Barang Keluar'!$C:$C,N33402))</f>
        <v>0</v>
      </c>
    </row>
    <row r="33403" spans="13:16">
      <c r="M33403" s="49">
        <f>IF($A$4+333&gt;$B$4,"",$A$4+333)</f>
        <v>46356</v>
      </c>
      <c r="N33403">
        <f>IF(M33403="","",'Master Barang'!A97)</f>
        <v>0</v>
      </c>
      <c r="O33403">
        <f>IF(N33403="","",'Master Barang'!B97)</f>
        <v>0</v>
      </c>
      <c r="P33403">
        <f>IF(OR(M33403="",N33403=""),"",SUMIFS('Barang Keluar'!$E:$E,'Barang Keluar'!$A:$A,M33403,'Barang Keluar'!$C:$C,N33403))</f>
        <v>0</v>
      </c>
    </row>
    <row r="33404" spans="13:16">
      <c r="M33404" s="49">
        <f>IF($A$4+333&gt;$B$4,"",$A$4+333)</f>
        <v>46356</v>
      </c>
      <c r="N33404">
        <f>IF(M33404="","",'Master Barang'!A98)</f>
        <v>0</v>
      </c>
      <c r="O33404">
        <f>IF(N33404="","",'Master Barang'!B98)</f>
        <v>0</v>
      </c>
      <c r="P33404">
        <f>IF(OR(M33404="",N33404=""),"",SUMIFS('Barang Keluar'!$E:$E,'Barang Keluar'!$A:$A,M33404,'Barang Keluar'!$C:$C,N33404))</f>
        <v>0</v>
      </c>
    </row>
    <row r="33405" spans="13:16">
      <c r="M33405" s="49">
        <f>IF($A$4+333&gt;$B$4,"",$A$4+333)</f>
        <v>46356</v>
      </c>
      <c r="N33405">
        <f>IF(M33405="","",'Master Barang'!A99)</f>
        <v>0</v>
      </c>
      <c r="O33405">
        <f>IF(N33405="","",'Master Barang'!B99)</f>
        <v>0</v>
      </c>
      <c r="P33405">
        <f>IF(OR(M33405="",N33405=""),"",SUMIFS('Barang Keluar'!$E:$E,'Barang Keluar'!$A:$A,M33405,'Barang Keluar'!$C:$C,N33405))</f>
        <v>0</v>
      </c>
    </row>
    <row r="33406" spans="13:16">
      <c r="M33406" s="49">
        <f>IF($A$4+333&gt;$B$4,"",$A$4+333)</f>
        <v>46356</v>
      </c>
      <c r="N33406">
        <f>IF(M33406="","",'Master Barang'!A100)</f>
        <v>0</v>
      </c>
      <c r="O33406">
        <f>IF(N33406="","",'Master Barang'!B100)</f>
        <v>0</v>
      </c>
      <c r="P33406">
        <f>IF(OR(M33406="",N33406=""),"",SUMIFS('Barang Keluar'!$E:$E,'Barang Keluar'!$A:$A,M33406,'Barang Keluar'!$C:$C,N33406))</f>
        <v>0</v>
      </c>
    </row>
    <row r="33407" spans="13:16">
      <c r="M33407" s="49">
        <f>IF($A$4+333&gt;$B$4,"",$A$4+333)</f>
        <v>46356</v>
      </c>
      <c r="N33407">
        <f>IF(M33407="","",'Master Barang'!A101)</f>
        <v>0</v>
      </c>
      <c r="O33407">
        <f>IF(N33407="","",'Master Barang'!B101)</f>
        <v>0</v>
      </c>
      <c r="P33407">
        <f>IF(OR(M33407="",N33407=""),"",SUMIFS('Barang Keluar'!$E:$E,'Barang Keluar'!$A:$A,M33407,'Barang Keluar'!$C:$C,N33407))</f>
        <v>0</v>
      </c>
    </row>
    <row r="33408" spans="13:16">
      <c r="M33408" s="49">
        <f>IF($A$4+334&gt;$B$4,"",$A$4+334)</f>
        <v>46357</v>
      </c>
      <c r="N33408" t="str">
        <f>IF(M33408="","",'Master Barang'!A2)</f>
        <v>PRL-001</v>
      </c>
      <c r="O33408" t="str">
        <f>IF(N33408="","",'Master Barang'!B2)</f>
        <v>natura desinfectant food grade 5l</v>
      </c>
      <c r="P33408">
        <f>IF(OR(M33408="",N33408=""),"",SUMIFS('Barang Keluar'!$E:$E,'Barang Keluar'!$A:$A,M33408,'Barang Keluar'!$C:$C,N33408))</f>
        <v>0</v>
      </c>
    </row>
    <row r="33409" spans="13:16">
      <c r="M33409" s="49">
        <f>IF($A$4+334&gt;$B$4,"",$A$4+334)</f>
        <v>46357</v>
      </c>
      <c r="N33409" t="str">
        <f>IF(M33409="","",'Master Barang'!A3)</f>
        <v>PRL-002</v>
      </c>
      <c r="O33409" t="str">
        <f>IF(N33409="","",'Master Barang'!B3)</f>
        <v>sunlight cairan pencuci piring 5l</v>
      </c>
      <c r="P33409">
        <f>IF(OR(M33409="",N33409=""),"",SUMIFS('Barang Keluar'!$E:$E,'Barang Keluar'!$A:$A,M33409,'Barang Keluar'!$C:$C,N33409))</f>
        <v>0</v>
      </c>
    </row>
    <row r="33410" spans="13:16">
      <c r="M33410" s="49">
        <f>IF($A$4+334&gt;$B$4,"",$A$4+334)</f>
        <v>46357</v>
      </c>
      <c r="N33410" t="str">
        <f>IF(M33410="","",'Master Barang'!A4)</f>
        <v>PRL-003</v>
      </c>
      <c r="O33410" t="str">
        <f>IF(N33410="","",'Master Barang'!B4)</f>
        <v>oixs cleaner 1l</v>
      </c>
      <c r="P33410">
        <f>IF(OR(M33410="",N33410=""),"",SUMIFS('Barang Keluar'!$E:$E,'Barang Keluar'!$A:$A,M33410,'Barang Keluar'!$C:$C,N33410))</f>
        <v>0</v>
      </c>
    </row>
    <row r="33411" spans="13:16">
      <c r="M33411" s="49">
        <f>IF($A$4+334&gt;$B$4,"",$A$4+334)</f>
        <v>46357</v>
      </c>
      <c r="N33411" t="str">
        <f>IF(M33411="","",'Master Barang'!A5)</f>
        <v>PRL-004</v>
      </c>
      <c r="O33411" t="str">
        <f>IF(N33411="","",'Master Barang'!B5)</f>
        <v>be clean tissue serbaguna</v>
      </c>
      <c r="P33411">
        <f>IF(OR(M33411="",N33411=""),"",SUMIFS('Barang Keluar'!$E:$E,'Barang Keluar'!$A:$A,M33411,'Barang Keluar'!$C:$C,N33411))</f>
        <v>0</v>
      </c>
    </row>
    <row r="33412" spans="13:16">
      <c r="M33412" s="49">
        <f>IF($A$4+334&gt;$B$4,"",$A$4+334)</f>
        <v>46357</v>
      </c>
      <c r="N33412" t="str">
        <f>IF(M33412="","",'Master Barang'!A6)</f>
        <v>PRL-005</v>
      </c>
      <c r="O33412" t="str">
        <f>IF(N33412="","",'Master Barang'!B6)</f>
        <v>spons cuci hijau</v>
      </c>
      <c r="P33412">
        <f>IF(OR(M33412="",N33412=""),"",SUMIFS('Barang Keluar'!$E:$E,'Barang Keluar'!$A:$A,M33412,'Barang Keluar'!$C:$C,N33412))</f>
        <v>0</v>
      </c>
    </row>
    <row r="33413" spans="13:16">
      <c r="M33413" s="49">
        <f>IF($A$4+334&gt;$B$4,"",$A$4+334)</f>
        <v>46357</v>
      </c>
      <c r="N33413" t="str">
        <f>IF(M33413="","",'Master Barang'!A7)</f>
        <v>PRL-006</v>
      </c>
      <c r="O33413" t="str">
        <f>IF(N33413="","",'Master Barang'!B7)</f>
        <v>sabut cuci stainless</v>
      </c>
      <c r="P33413">
        <f>IF(OR(M33413="",N33413=""),"",SUMIFS('Barang Keluar'!$E:$E,'Barang Keluar'!$A:$A,M33413,'Barang Keluar'!$C:$C,N33413))</f>
        <v>0</v>
      </c>
    </row>
    <row r="33414" spans="13:16">
      <c r="M33414" s="49">
        <f>IF($A$4+334&gt;$B$4,"",$A$4+334)</f>
        <v>46357</v>
      </c>
      <c r="N33414" t="str">
        <f>IF(M33414="","",'Master Barang'!A8)</f>
        <v>PRL-007</v>
      </c>
      <c r="O33414" t="str">
        <f>IF(N33414="","",'Master Barang'!B8)</f>
        <v>plastik kresek besar merah 50pc</v>
      </c>
      <c r="P33414">
        <f>IF(OR(M33414="",N33414=""),"",SUMIFS('Barang Keluar'!$E:$E,'Barang Keluar'!$A:$A,M33414,'Barang Keluar'!$C:$C,N33414))</f>
        <v>0</v>
      </c>
    </row>
    <row r="33415" spans="13:16">
      <c r="M33415" s="49">
        <f>IF($A$4+334&gt;$B$4,"",$A$4+334)</f>
        <v>46357</v>
      </c>
      <c r="N33415" t="str">
        <f>IF(M33415="","",'Master Barang'!A9)</f>
        <v>PRL-008</v>
      </c>
      <c r="O33415" t="str">
        <f>IF(N33415="","",'Master Barang'!B9)</f>
        <v>lap besar</v>
      </c>
      <c r="P33415">
        <f>IF(OR(M33415="",N33415=""),"",SUMIFS('Barang Keluar'!$E:$E,'Barang Keluar'!$A:$A,M33415,'Barang Keluar'!$C:$C,N33415))</f>
        <v>0</v>
      </c>
    </row>
    <row r="33416" spans="13:16">
      <c r="M33416" s="49">
        <f>IF($A$4+334&gt;$B$4,"",$A$4+334)</f>
        <v>46357</v>
      </c>
      <c r="N33416" t="str">
        <f>IF(M33416="","",'Master Barang'!A10)</f>
        <v>PRL-009</v>
      </c>
      <c r="O33416" t="str">
        <f>IF(N33416="","",'Master Barang'!B10)</f>
        <v>lap microfiber</v>
      </c>
      <c r="P33416">
        <f>IF(OR(M33416="",N33416=""),"",SUMIFS('Barang Keluar'!$E:$E,'Barang Keluar'!$A:$A,M33416,'Barang Keluar'!$C:$C,N33416))</f>
        <v>0</v>
      </c>
    </row>
    <row r="33417" spans="13:16">
      <c r="M33417" s="49">
        <f>IF($A$4+334&gt;$B$4,"",$A$4+334)</f>
        <v>46357</v>
      </c>
      <c r="N33417" t="str">
        <f>IF(M33417="","",'Master Barang'!A11)</f>
        <v>PRL-010</v>
      </c>
      <c r="O33417" t="str">
        <f>IF(N33417="","",'Master Barang'!B11)</f>
        <v>lap kecil</v>
      </c>
      <c r="P33417">
        <f>IF(OR(M33417="",N33417=""),"",SUMIFS('Barang Keluar'!$E:$E,'Barang Keluar'!$A:$A,M33417,'Barang Keluar'!$C:$C,N33417))</f>
        <v>0</v>
      </c>
    </row>
    <row r="33418" spans="13:16">
      <c r="M33418" s="49">
        <f>IF($A$4+334&gt;$B$4,"",$A$4+334)</f>
        <v>46357</v>
      </c>
      <c r="N33418" t="str">
        <f>IF(M33418="","",'Master Barang'!A12)</f>
        <v>PRL-011</v>
      </c>
      <c r="O33418" t="str">
        <f>IF(N33418="","",'Master Barang'!B12)</f>
        <v>kanebo kecil</v>
      </c>
      <c r="P33418">
        <f>IF(OR(M33418="",N33418=""),"",SUMIFS('Barang Keluar'!$E:$E,'Barang Keluar'!$A:$A,M33418,'Barang Keluar'!$C:$C,N33418))</f>
        <v>0</v>
      </c>
    </row>
    <row r="33419" spans="13:16">
      <c r="M33419" s="49">
        <f>IF($A$4+334&gt;$B$4,"",$A$4+334)</f>
        <v>46357</v>
      </c>
      <c r="N33419" t="str">
        <f>IF(M33419="","",'Master Barang'!A13)</f>
        <v>PRL-012</v>
      </c>
      <c r="O33419" t="str">
        <f>IF(N33419="","",'Master Barang'!B13)</f>
        <v>plastik 1/4kg joyoboyo 100 lembar</v>
      </c>
      <c r="P33419">
        <f>IF(OR(M33419="",N33419=""),"",SUMIFS('Barang Keluar'!$E:$E,'Barang Keluar'!$A:$A,M33419,'Barang Keluar'!$C:$C,N33419))</f>
        <v>0</v>
      </c>
    </row>
    <row r="33420" spans="13:16">
      <c r="M33420" s="49">
        <f>IF($A$4+334&gt;$B$4,"",$A$4+334)</f>
        <v>46357</v>
      </c>
      <c r="N33420" t="str">
        <f>IF(M33420="","",'Master Barang'!A14)</f>
        <v>PRL-013</v>
      </c>
      <c r="O33420" t="str">
        <f>IF(N33420="","",'Master Barang'!B14)</f>
        <v>sarung tangan plastik kaka 100 pcs</v>
      </c>
      <c r="P33420">
        <f>IF(OR(M33420="",N33420=""),"",SUMIFS('Barang Keluar'!$E:$E,'Barang Keluar'!$A:$A,M33420,'Barang Keluar'!$C:$C,N33420))</f>
        <v>0</v>
      </c>
    </row>
    <row r="33421" spans="13:16">
      <c r="M33421" s="49">
        <f>IF($A$4+334&gt;$B$4,"",$A$4+334)</f>
        <v>46357</v>
      </c>
      <c r="N33421" t="str">
        <f>IF(M33421="","",'Master Barang'!A15)</f>
        <v>PRL-014</v>
      </c>
      <c r="O33421" t="str">
        <f>IF(N33421="","",'Master Barang'!B15)</f>
        <v>optima trashbag 80x100</v>
      </c>
      <c r="P33421">
        <f>IF(OR(M33421="",N33421=""),"",SUMIFS('Barang Keluar'!$E:$E,'Barang Keluar'!$A:$A,M33421,'Barang Keluar'!$C:$C,N33421))</f>
        <v>0</v>
      </c>
    </row>
    <row r="33422" spans="13:16">
      <c r="M33422" s="49">
        <f>IF($A$4+334&gt;$B$4,"",$A$4+334)</f>
        <v>46357</v>
      </c>
      <c r="N33422" t="str">
        <f>IF(M33422="","",'Master Barang'!A16)</f>
        <v>PRL-015</v>
      </c>
      <c r="O33422" t="str">
        <f>IF(N33422="","",'Master Barang'!B16)</f>
        <v>optima trashbag 60x100</v>
      </c>
      <c r="P33422">
        <f>IF(OR(M33422="",N33422=""),"",SUMIFS('Barang Keluar'!$E:$E,'Barang Keluar'!$A:$A,M33422,'Barang Keluar'!$C:$C,N33422))</f>
        <v>0</v>
      </c>
    </row>
    <row r="33423" spans="13:16">
      <c r="M33423" s="49">
        <f>IF($A$4+334&gt;$B$4,"",$A$4+334)</f>
        <v>46357</v>
      </c>
      <c r="N33423" t="str">
        <f>IF(M33423="","",'Master Barang'!A17)</f>
        <v>PRL-016</v>
      </c>
      <c r="O33423" t="str">
        <f>IF(N33423="","",'Master Barang'!B17)</f>
        <v>rajawali trashbag 30x40</v>
      </c>
      <c r="P33423">
        <f>IF(OR(M33423="",N33423=""),"",SUMIFS('Barang Keluar'!$E:$E,'Barang Keluar'!$A:$A,M33423,'Barang Keluar'!$C:$C,N33423))</f>
        <v>0</v>
      </c>
    </row>
    <row r="33424" spans="13:16">
      <c r="M33424" s="49">
        <f>IF($A$4+334&gt;$B$4,"",$A$4+334)</f>
        <v>46357</v>
      </c>
      <c r="N33424" t="str">
        <f>IF(M33424="","",'Master Barang'!A18)</f>
        <v>PRL-017</v>
      </c>
      <c r="O33424" t="str">
        <f>IF(N33424="","",'Master Barang'!B18)</f>
        <v>onemed masker biru 3 play 50 pcs</v>
      </c>
      <c r="P33424">
        <f>IF(OR(M33424="",N33424=""),"",SUMIFS('Barang Keluar'!$E:$E,'Barang Keluar'!$A:$A,M33424,'Barang Keluar'!$C:$C,N33424))</f>
        <v>0</v>
      </c>
    </row>
    <row r="33425" spans="13:16">
      <c r="M33425" s="49">
        <f>IF($A$4+334&gt;$B$4,"",$A$4+334)</f>
        <v>46357</v>
      </c>
      <c r="N33425" t="str">
        <f>IF(M33425="","",'Master Barang'!A19)</f>
        <v>PRL-018</v>
      </c>
      <c r="O33425" t="str">
        <f>IF(N33425="","",'Master Barang'!B19)</f>
        <v>onemed masker biru 3 play hijab 50 pcs</v>
      </c>
      <c r="P33425">
        <f>IF(OR(M33425="",N33425=""),"",SUMIFS('Barang Keluar'!$E:$E,'Barang Keluar'!$A:$A,M33425,'Barang Keluar'!$C:$C,N33425))</f>
        <v>0</v>
      </c>
    </row>
    <row r="33426" spans="13:16">
      <c r="M33426" s="49">
        <f>IF($A$4+334&gt;$B$4,"",$A$4+334)</f>
        <v>46357</v>
      </c>
      <c r="N33426" t="str">
        <f>IF(M33426="","",'Master Barang'!A20)</f>
        <v>PRL-019</v>
      </c>
      <c r="O33426" t="str">
        <f>IF(N33426="","",'Master Barang'!B20)</f>
        <v>neo health masker biru 3 play 50 pcs</v>
      </c>
      <c r="P33426">
        <f>IF(OR(M33426="",N33426=""),"",SUMIFS('Barang Keluar'!$E:$E,'Barang Keluar'!$A:$A,M33426,'Barang Keluar'!$C:$C,N33426))</f>
        <v>0</v>
      </c>
    </row>
    <row r="33427" spans="13:16">
      <c r="M33427" s="49">
        <f>IF($A$4+334&gt;$B$4,"",$A$4+334)</f>
        <v>46357</v>
      </c>
      <c r="N33427" t="str">
        <f>IF(M33427="","",'Master Barang'!A21)</f>
        <v>PRL-020</v>
      </c>
      <c r="O33427" t="str">
        <f>IF(N33427="","",'Master Barang'!B21)</f>
        <v>baymed masker hijau 3 play hijau 50 pcs</v>
      </c>
      <c r="P33427">
        <f>IF(OR(M33427="",N33427=""),"",SUMIFS('Barang Keluar'!$E:$E,'Barang Keluar'!$A:$A,M33427,'Barang Keluar'!$C:$C,N33427))</f>
        <v>0</v>
      </c>
    </row>
    <row r="33428" spans="13:16">
      <c r="M33428" s="49">
        <f>IF($A$4+334&gt;$B$4,"",$A$4+334)</f>
        <v>46357</v>
      </c>
      <c r="N33428" t="str">
        <f>IF(M33428="","",'Master Barang'!A22)</f>
        <v>PRL-021</v>
      </c>
      <c r="O33428" t="str">
        <f>IF(N33428="","",'Master Barang'!B22)</f>
        <v>altamed nurse cap penutup kepala 100 pcs</v>
      </c>
      <c r="P33428">
        <f>IF(OR(M33428="",N33428=""),"",SUMIFS('Barang Keluar'!$E:$E,'Barang Keluar'!$A:$A,M33428,'Barang Keluar'!$C:$C,N33428))</f>
        <v>0</v>
      </c>
    </row>
    <row r="33429" spans="13:16">
      <c r="M33429" s="49">
        <f>IF($A$4+334&gt;$B$4,"",$A$4+334)</f>
        <v>46357</v>
      </c>
      <c r="N33429" t="str">
        <f>IF(M33429="","",'Master Barang'!A23)</f>
        <v>PRL-022</v>
      </c>
      <c r="O33429" t="str">
        <f>IF(N33429="","",'Master Barang'!B23)</f>
        <v>sabun cuci tangan</v>
      </c>
      <c r="P33429">
        <f>IF(OR(M33429="",N33429=""),"",SUMIFS('Barang Keluar'!$E:$E,'Barang Keluar'!$A:$A,M33429,'Barang Keluar'!$C:$C,N33429))</f>
        <v>0</v>
      </c>
    </row>
    <row r="33430" spans="13:16">
      <c r="M33430" s="49">
        <f>IF($A$4+334&gt;$B$4,"",$A$4+334)</f>
        <v>46357</v>
      </c>
      <c r="N33430" t="str">
        <f>IF(M33430="","",'Master Barang'!A24)</f>
        <v>PRL-023</v>
      </c>
      <c r="O33430" t="str">
        <f>IF(N33430="","",'Master Barang'!B24)</f>
        <v>gayung kecil</v>
      </c>
      <c r="P33430">
        <f>IF(OR(M33430="",N33430=""),"",SUMIFS('Barang Keluar'!$E:$E,'Barang Keluar'!$A:$A,M33430,'Barang Keluar'!$C:$C,N33430))</f>
        <v>0</v>
      </c>
    </row>
    <row r="33431" spans="13:16">
      <c r="M33431" s="49">
        <f>IF($A$4+334&gt;$B$4,"",$A$4+334)</f>
        <v>46357</v>
      </c>
      <c r="N33431" t="str">
        <f>IF(M33431="","",'Master Barang'!A25)</f>
        <v>PRL-024</v>
      </c>
      <c r="O33431" t="str">
        <f>IF(N33431="","",'Master Barang'!B25)</f>
        <v>cikrak kecil</v>
      </c>
      <c r="P33431">
        <f>IF(OR(M33431="",N33431=""),"",SUMIFS('Barang Keluar'!$E:$E,'Barang Keluar'!$A:$A,M33431,'Barang Keluar'!$C:$C,N33431))</f>
        <v>0</v>
      </c>
    </row>
    <row r="33432" spans="13:16">
      <c r="M33432" s="49">
        <f>IF($A$4+334&gt;$B$4,"",$A$4+334)</f>
        <v>46357</v>
      </c>
      <c r="N33432" t="str">
        <f>IF(M33432="","",'Master Barang'!A26)</f>
        <v>PRL-025</v>
      </c>
      <c r="O33432" t="str">
        <f>IF(N33432="","",'Master Barang'!B26)</f>
        <v>petromax plastik kecil 12x24 100 lembar</v>
      </c>
      <c r="P33432">
        <f>IF(OR(M33432="",N33432=""),"",SUMIFS('Barang Keluar'!$E:$E,'Barang Keluar'!$A:$A,M33432,'Barang Keluar'!$C:$C,N33432))</f>
        <v>0</v>
      </c>
    </row>
    <row r="33433" spans="13:16">
      <c r="M33433" s="49">
        <f>IF($A$4+334&gt;$B$4,"",$A$4+334)</f>
        <v>46357</v>
      </c>
      <c r="N33433" t="str">
        <f>IF(M33433="","",'Master Barang'!A27)</f>
        <v>PRL-026</v>
      </c>
      <c r="O33433" t="str">
        <f>IF(N33433="","",'Master Barang'!B27)</f>
        <v>lancar kresek kecil bening </v>
      </c>
      <c r="P33433">
        <f>IF(OR(M33433="",N33433=""),"",SUMIFS('Barang Keluar'!$E:$E,'Barang Keluar'!$A:$A,M33433,'Barang Keluar'!$C:$C,N33433))</f>
        <v>0</v>
      </c>
    </row>
    <row r="33434" spans="13:16">
      <c r="M33434" s="49">
        <f>IF($A$4+334&gt;$B$4,"",$A$4+334)</f>
        <v>46357</v>
      </c>
      <c r="N33434" t="str">
        <f>IF(M33434="","",'Master Barang'!A28)</f>
        <v>PRL-027</v>
      </c>
      <c r="O33434" t="str">
        <f>IF(N33434="","",'Master Barang'!B28)</f>
        <v>kresek klin warna warni kecil</v>
      </c>
      <c r="P33434">
        <f>IF(OR(M33434="",N33434=""),"",SUMIFS('Barang Keluar'!$E:$E,'Barang Keluar'!$A:$A,M33434,'Barang Keluar'!$C:$C,N33434))</f>
        <v>0</v>
      </c>
    </row>
    <row r="33435" spans="13:16">
      <c r="M33435" s="49">
        <f>IF($A$4+334&gt;$B$4,"",$A$4+334)</f>
        <v>46357</v>
      </c>
      <c r="N33435" t="str">
        <f>IF(M33435="","",'Master Barang'!A29)</f>
        <v>PRL-028</v>
      </c>
      <c r="O33435" t="str">
        <f>IF(N33435="","",'Master Barang'!B29)</f>
        <v>ctik plastik 7x10 100 pcs</v>
      </c>
      <c r="P33435">
        <f>IF(OR(M33435="",N33435=""),"",SUMIFS('Barang Keluar'!$E:$E,'Barang Keluar'!$A:$A,M33435,'Barang Keluar'!$C:$C,N33435))</f>
        <v>0</v>
      </c>
    </row>
    <row r="33436" spans="13:16">
      <c r="M33436" s="49">
        <f>IF($A$4+334&gt;$B$4,"",$A$4+334)</f>
        <v>46357</v>
      </c>
      <c r="N33436" t="str">
        <f>IF(M33436="","",'Master Barang'!A30)</f>
        <v>PRL-029</v>
      </c>
      <c r="O33436" t="str">
        <f>IF(N33436="","",'Master Barang'!B30)</f>
        <v>ctik plastik 6x10 100 pcs</v>
      </c>
      <c r="P33436">
        <f>IF(OR(M33436="",N33436=""),"",SUMIFS('Barang Keluar'!$E:$E,'Barang Keluar'!$A:$A,M33436,'Barang Keluar'!$C:$C,N33436))</f>
        <v>0</v>
      </c>
    </row>
    <row r="33437" spans="13:16">
      <c r="M33437" s="49">
        <f>IF($A$4+334&gt;$B$4,"",$A$4+334)</f>
        <v>46357</v>
      </c>
      <c r="N33437" t="str">
        <f>IF(M33437="","",'Master Barang'!A31)</f>
        <v>PRL-030</v>
      </c>
      <c r="O33437" t="str">
        <f>IF(N33437="","",'Master Barang'!B31)</f>
        <v>klip plastik 25x16 100 pcs</v>
      </c>
      <c r="P33437">
        <f>IF(OR(M33437="",N33437=""),"",SUMIFS('Barang Keluar'!$E:$E,'Barang Keluar'!$A:$A,M33437,'Barang Keluar'!$C:$C,N33437))</f>
        <v>0</v>
      </c>
    </row>
    <row r="33438" spans="13:16">
      <c r="M33438" s="49">
        <f>IF($A$4+334&gt;$B$4,"",$A$4+334)</f>
        <v>46357</v>
      </c>
      <c r="N33438" t="str">
        <f>IF(M33438="","",'Master Barang'!A32)</f>
        <v>PRL-031</v>
      </c>
      <c r="O33438" t="str">
        <f>IF(N33438="","",'Master Barang'!B32)</f>
        <v>tempat saus 20 ml</v>
      </c>
      <c r="P33438">
        <f>IF(OR(M33438="",N33438=""),"",SUMIFS('Barang Keluar'!$E:$E,'Barang Keluar'!$A:$A,M33438,'Barang Keluar'!$C:$C,N33438))</f>
        <v>0</v>
      </c>
    </row>
    <row r="33439" spans="13:16">
      <c r="M33439" s="49">
        <f>IF($A$4+334&gt;$B$4,"",$A$4+334)</f>
        <v>46357</v>
      </c>
      <c r="N33439" t="str">
        <f>IF(M33439="","",'Master Barang'!A33)</f>
        <v>PRL-032</v>
      </c>
      <c r="O33439" t="str">
        <f>IF(N33439="","",'Master Barang'!B33)</f>
        <v>plastik packaging ag box uk sedang</v>
      </c>
      <c r="P33439">
        <f>IF(OR(M33439="",N33439=""),"",SUMIFS('Barang Keluar'!$E:$E,'Barang Keluar'!$A:$A,M33439,'Barang Keluar'!$C:$C,N33439))</f>
        <v>0</v>
      </c>
    </row>
    <row r="33440" spans="13:16">
      <c r="M33440" s="49">
        <f>IF($A$4+334&gt;$B$4,"",$A$4+334)</f>
        <v>46357</v>
      </c>
      <c r="N33440" t="str">
        <f>IF(M33440="","",'Master Barang'!A34)</f>
        <v>PRL-033</v>
      </c>
      <c r="O33440">
        <f>IF(N33440="","",'Master Barang'!B34)</f>
        <v>0</v>
      </c>
      <c r="P33440">
        <f>IF(OR(M33440="",N33440=""),"",SUMIFS('Barang Keluar'!$E:$E,'Barang Keluar'!$A:$A,M33440,'Barang Keluar'!$C:$C,N33440))</f>
        <v>0</v>
      </c>
    </row>
    <row r="33441" spans="13:16">
      <c r="M33441" s="49">
        <f>IF($A$4+334&gt;$B$4,"",$A$4+334)</f>
        <v>46357</v>
      </c>
      <c r="N33441">
        <f>IF(M33441="","",'Master Barang'!A35)</f>
        <v>0</v>
      </c>
      <c r="O33441">
        <f>IF(N33441="","",'Master Barang'!B35)</f>
        <v>0</v>
      </c>
      <c r="P33441">
        <f>IF(OR(M33441="",N33441=""),"",SUMIFS('Barang Keluar'!$E:$E,'Barang Keluar'!$A:$A,M33441,'Barang Keluar'!$C:$C,N33441))</f>
        <v>0</v>
      </c>
    </row>
    <row r="33442" spans="13:16">
      <c r="M33442" s="49">
        <f>IF($A$4+334&gt;$B$4,"",$A$4+334)</f>
        <v>46357</v>
      </c>
      <c r="N33442">
        <f>IF(M33442="","",'Master Barang'!A36)</f>
        <v>0</v>
      </c>
      <c r="O33442">
        <f>IF(N33442="","",'Master Barang'!B36)</f>
        <v>0</v>
      </c>
      <c r="P33442">
        <f>IF(OR(M33442="",N33442=""),"",SUMIFS('Barang Keluar'!$E:$E,'Barang Keluar'!$A:$A,M33442,'Barang Keluar'!$C:$C,N33442))</f>
        <v>0</v>
      </c>
    </row>
    <row r="33443" spans="13:16">
      <c r="M33443" s="49">
        <f>IF($A$4+334&gt;$B$4,"",$A$4+334)</f>
        <v>46357</v>
      </c>
      <c r="N33443">
        <f>IF(M33443="","",'Master Barang'!A37)</f>
        <v>0</v>
      </c>
      <c r="O33443">
        <f>IF(N33443="","",'Master Barang'!B37)</f>
        <v>0</v>
      </c>
      <c r="P33443">
        <f>IF(OR(M33443="",N33443=""),"",SUMIFS('Barang Keluar'!$E:$E,'Barang Keluar'!$A:$A,M33443,'Barang Keluar'!$C:$C,N33443))</f>
        <v>0</v>
      </c>
    </row>
    <row r="33444" spans="13:16">
      <c r="M33444" s="49">
        <f>IF($A$4+334&gt;$B$4,"",$A$4+334)</f>
        <v>46357</v>
      </c>
      <c r="N33444">
        <f>IF(M33444="","",'Master Barang'!A38)</f>
        <v>0</v>
      </c>
      <c r="O33444">
        <f>IF(N33444="","",'Master Barang'!B38)</f>
        <v>0</v>
      </c>
      <c r="P33444">
        <f>IF(OR(M33444="",N33444=""),"",SUMIFS('Barang Keluar'!$E:$E,'Barang Keluar'!$A:$A,M33444,'Barang Keluar'!$C:$C,N33444))</f>
        <v>0</v>
      </c>
    </row>
    <row r="33445" spans="13:16">
      <c r="M33445" s="49">
        <f>IF($A$4+334&gt;$B$4,"",$A$4+334)</f>
        <v>46357</v>
      </c>
      <c r="N33445">
        <f>IF(M33445="","",'Master Barang'!A39)</f>
        <v>0</v>
      </c>
      <c r="O33445">
        <f>IF(N33445="","",'Master Barang'!B39)</f>
        <v>0</v>
      </c>
      <c r="P33445">
        <f>IF(OR(M33445="",N33445=""),"",SUMIFS('Barang Keluar'!$E:$E,'Barang Keluar'!$A:$A,M33445,'Barang Keluar'!$C:$C,N33445))</f>
        <v>0</v>
      </c>
    </row>
    <row r="33446" spans="13:16">
      <c r="M33446" s="49">
        <f>IF($A$4+334&gt;$B$4,"",$A$4+334)</f>
        <v>46357</v>
      </c>
      <c r="N33446">
        <f>IF(M33446="","",'Master Barang'!A40)</f>
        <v>0</v>
      </c>
      <c r="O33446">
        <f>IF(N33446="","",'Master Barang'!B40)</f>
        <v>0</v>
      </c>
      <c r="P33446">
        <f>IF(OR(M33446="",N33446=""),"",SUMIFS('Barang Keluar'!$E:$E,'Barang Keluar'!$A:$A,M33446,'Barang Keluar'!$C:$C,N33446))</f>
        <v>0</v>
      </c>
    </row>
    <row r="33447" spans="13:16">
      <c r="M33447" s="49">
        <f>IF($A$4+334&gt;$B$4,"",$A$4+334)</f>
        <v>46357</v>
      </c>
      <c r="N33447">
        <f>IF(M33447="","",'Master Barang'!A41)</f>
        <v>0</v>
      </c>
      <c r="O33447">
        <f>IF(N33447="","",'Master Barang'!B41)</f>
        <v>0</v>
      </c>
      <c r="P33447">
        <f>IF(OR(M33447="",N33447=""),"",SUMIFS('Barang Keluar'!$E:$E,'Barang Keluar'!$A:$A,M33447,'Barang Keluar'!$C:$C,N33447))</f>
        <v>0</v>
      </c>
    </row>
    <row r="33448" spans="13:16">
      <c r="M33448" s="49">
        <f>IF($A$4+334&gt;$B$4,"",$A$4+334)</f>
        <v>46357</v>
      </c>
      <c r="N33448">
        <f>IF(M33448="","",'Master Barang'!A42)</f>
        <v>0</v>
      </c>
      <c r="O33448">
        <f>IF(N33448="","",'Master Barang'!B42)</f>
        <v>0</v>
      </c>
      <c r="P33448">
        <f>IF(OR(M33448="",N33448=""),"",SUMIFS('Barang Keluar'!$E:$E,'Barang Keluar'!$A:$A,M33448,'Barang Keluar'!$C:$C,N33448))</f>
        <v>0</v>
      </c>
    </row>
    <row r="33449" spans="13:16">
      <c r="M33449" s="49">
        <f>IF($A$4+334&gt;$B$4,"",$A$4+334)</f>
        <v>46357</v>
      </c>
      <c r="N33449">
        <f>IF(M33449="","",'Master Barang'!A43)</f>
        <v>0</v>
      </c>
      <c r="O33449">
        <f>IF(N33449="","",'Master Barang'!B43)</f>
        <v>0</v>
      </c>
      <c r="P33449">
        <f>IF(OR(M33449="",N33449=""),"",SUMIFS('Barang Keluar'!$E:$E,'Barang Keluar'!$A:$A,M33449,'Barang Keluar'!$C:$C,N33449))</f>
        <v>0</v>
      </c>
    </row>
    <row r="33450" spans="13:16">
      <c r="M33450" s="49">
        <f>IF($A$4+334&gt;$B$4,"",$A$4+334)</f>
        <v>46357</v>
      </c>
      <c r="N33450">
        <f>IF(M33450="","",'Master Barang'!A44)</f>
        <v>0</v>
      </c>
      <c r="O33450">
        <f>IF(N33450="","",'Master Barang'!B44)</f>
        <v>0</v>
      </c>
      <c r="P33450">
        <f>IF(OR(M33450="",N33450=""),"",SUMIFS('Barang Keluar'!$E:$E,'Barang Keluar'!$A:$A,M33450,'Barang Keluar'!$C:$C,N33450))</f>
        <v>0</v>
      </c>
    </row>
    <row r="33451" spans="13:16">
      <c r="M33451" s="49">
        <f>IF($A$4+334&gt;$B$4,"",$A$4+334)</f>
        <v>46357</v>
      </c>
      <c r="N33451">
        <f>IF(M33451="","",'Master Barang'!A45)</f>
        <v>0</v>
      </c>
      <c r="O33451">
        <f>IF(N33451="","",'Master Barang'!B45)</f>
        <v>0</v>
      </c>
      <c r="P33451">
        <f>IF(OR(M33451="",N33451=""),"",SUMIFS('Barang Keluar'!$E:$E,'Barang Keluar'!$A:$A,M33451,'Barang Keluar'!$C:$C,N33451))</f>
        <v>0</v>
      </c>
    </row>
    <row r="33452" spans="13:16">
      <c r="M33452" s="49">
        <f>IF($A$4+334&gt;$B$4,"",$A$4+334)</f>
        <v>46357</v>
      </c>
      <c r="N33452">
        <f>IF(M33452="","",'Master Barang'!A46)</f>
        <v>0</v>
      </c>
      <c r="O33452">
        <f>IF(N33452="","",'Master Barang'!B46)</f>
        <v>0</v>
      </c>
      <c r="P33452">
        <f>IF(OR(M33452="",N33452=""),"",SUMIFS('Barang Keluar'!$E:$E,'Barang Keluar'!$A:$A,M33452,'Barang Keluar'!$C:$C,N33452))</f>
        <v>0</v>
      </c>
    </row>
    <row r="33453" spans="13:16">
      <c r="M33453" s="49">
        <f>IF($A$4+334&gt;$B$4,"",$A$4+334)</f>
        <v>46357</v>
      </c>
      <c r="N33453">
        <f>IF(M33453="","",'Master Barang'!A47)</f>
        <v>0</v>
      </c>
      <c r="O33453">
        <f>IF(N33453="","",'Master Barang'!B47)</f>
        <v>0</v>
      </c>
      <c r="P33453">
        <f>IF(OR(M33453="",N33453=""),"",SUMIFS('Barang Keluar'!$E:$E,'Barang Keluar'!$A:$A,M33453,'Barang Keluar'!$C:$C,N33453))</f>
        <v>0</v>
      </c>
    </row>
    <row r="33454" spans="13:16">
      <c r="M33454" s="49">
        <f>IF($A$4+334&gt;$B$4,"",$A$4+334)</f>
        <v>46357</v>
      </c>
      <c r="N33454">
        <f>IF(M33454="","",'Master Barang'!A48)</f>
        <v>0</v>
      </c>
      <c r="O33454">
        <f>IF(N33454="","",'Master Barang'!B48)</f>
        <v>0</v>
      </c>
      <c r="P33454">
        <f>IF(OR(M33454="",N33454=""),"",SUMIFS('Barang Keluar'!$E:$E,'Barang Keluar'!$A:$A,M33454,'Barang Keluar'!$C:$C,N33454))</f>
        <v>0</v>
      </c>
    </row>
    <row r="33455" spans="13:16">
      <c r="M33455" s="49">
        <f>IF($A$4+334&gt;$B$4,"",$A$4+334)</f>
        <v>46357</v>
      </c>
      <c r="N33455">
        <f>IF(M33455="","",'Master Barang'!A49)</f>
        <v>0</v>
      </c>
      <c r="O33455">
        <f>IF(N33455="","",'Master Barang'!B49)</f>
        <v>0</v>
      </c>
      <c r="P33455">
        <f>IF(OR(M33455="",N33455=""),"",SUMIFS('Barang Keluar'!$E:$E,'Barang Keluar'!$A:$A,M33455,'Barang Keluar'!$C:$C,N33455))</f>
        <v>0</v>
      </c>
    </row>
    <row r="33456" spans="13:16">
      <c r="M33456" s="49">
        <f>IF($A$4+334&gt;$B$4,"",$A$4+334)</f>
        <v>46357</v>
      </c>
      <c r="N33456">
        <f>IF(M33456="","",'Master Barang'!A50)</f>
        <v>0</v>
      </c>
      <c r="O33456">
        <f>IF(N33456="","",'Master Barang'!B50)</f>
        <v>0</v>
      </c>
      <c r="P33456">
        <f>IF(OR(M33456="",N33456=""),"",SUMIFS('Barang Keluar'!$E:$E,'Barang Keluar'!$A:$A,M33456,'Barang Keluar'!$C:$C,N33456))</f>
        <v>0</v>
      </c>
    </row>
    <row r="33457" spans="13:16">
      <c r="M33457" s="49">
        <f>IF($A$4+334&gt;$B$4,"",$A$4+334)</f>
        <v>46357</v>
      </c>
      <c r="N33457">
        <f>IF(M33457="","",'Master Barang'!A51)</f>
        <v>0</v>
      </c>
      <c r="O33457">
        <f>IF(N33457="","",'Master Barang'!B51)</f>
        <v>0</v>
      </c>
      <c r="P33457">
        <f>IF(OR(M33457="",N33457=""),"",SUMIFS('Barang Keluar'!$E:$E,'Barang Keluar'!$A:$A,M33457,'Barang Keluar'!$C:$C,N33457))</f>
        <v>0</v>
      </c>
    </row>
    <row r="33458" spans="13:16">
      <c r="M33458" s="49">
        <f>IF($A$4+334&gt;$B$4,"",$A$4+334)</f>
        <v>46357</v>
      </c>
      <c r="N33458">
        <f>IF(M33458="","",'Master Barang'!A52)</f>
        <v>0</v>
      </c>
      <c r="O33458">
        <f>IF(N33458="","",'Master Barang'!B52)</f>
        <v>0</v>
      </c>
      <c r="P33458">
        <f>IF(OR(M33458="",N33458=""),"",SUMIFS('Barang Keluar'!$E:$E,'Barang Keluar'!$A:$A,M33458,'Barang Keluar'!$C:$C,N33458))</f>
        <v>0</v>
      </c>
    </row>
    <row r="33459" spans="13:16">
      <c r="M33459" s="49">
        <f>IF($A$4+334&gt;$B$4,"",$A$4+334)</f>
        <v>46357</v>
      </c>
      <c r="N33459">
        <f>IF(M33459="","",'Master Barang'!A53)</f>
        <v>0</v>
      </c>
      <c r="O33459">
        <f>IF(N33459="","",'Master Barang'!B53)</f>
        <v>0</v>
      </c>
      <c r="P33459">
        <f>IF(OR(M33459="",N33459=""),"",SUMIFS('Barang Keluar'!$E:$E,'Barang Keluar'!$A:$A,M33459,'Barang Keluar'!$C:$C,N33459))</f>
        <v>0</v>
      </c>
    </row>
    <row r="33460" spans="13:16">
      <c r="M33460" s="49">
        <f>IF($A$4+334&gt;$B$4,"",$A$4+334)</f>
        <v>46357</v>
      </c>
      <c r="N33460">
        <f>IF(M33460="","",'Master Barang'!A54)</f>
        <v>0</v>
      </c>
      <c r="O33460">
        <f>IF(N33460="","",'Master Barang'!B54)</f>
        <v>0</v>
      </c>
      <c r="P33460">
        <f>IF(OR(M33460="",N33460=""),"",SUMIFS('Barang Keluar'!$E:$E,'Barang Keluar'!$A:$A,M33460,'Barang Keluar'!$C:$C,N33460))</f>
        <v>0</v>
      </c>
    </row>
    <row r="33461" spans="13:16">
      <c r="M33461" s="49">
        <f>IF($A$4+334&gt;$B$4,"",$A$4+334)</f>
        <v>46357</v>
      </c>
      <c r="N33461">
        <f>IF(M33461="","",'Master Barang'!A55)</f>
        <v>0</v>
      </c>
      <c r="O33461">
        <f>IF(N33461="","",'Master Barang'!B55)</f>
        <v>0</v>
      </c>
      <c r="P33461">
        <f>IF(OR(M33461="",N33461=""),"",SUMIFS('Barang Keluar'!$E:$E,'Barang Keluar'!$A:$A,M33461,'Barang Keluar'!$C:$C,N33461))</f>
        <v>0</v>
      </c>
    </row>
    <row r="33462" spans="13:16">
      <c r="M33462" s="49">
        <f>IF($A$4+334&gt;$B$4,"",$A$4+334)</f>
        <v>46357</v>
      </c>
      <c r="N33462">
        <f>IF(M33462="","",'Master Barang'!A56)</f>
        <v>0</v>
      </c>
      <c r="O33462">
        <f>IF(N33462="","",'Master Barang'!B56)</f>
        <v>0</v>
      </c>
      <c r="P33462">
        <f>IF(OR(M33462="",N33462=""),"",SUMIFS('Barang Keluar'!$E:$E,'Barang Keluar'!$A:$A,M33462,'Barang Keluar'!$C:$C,N33462))</f>
        <v>0</v>
      </c>
    </row>
    <row r="33463" spans="13:16">
      <c r="M33463" s="49">
        <f>IF($A$4+334&gt;$B$4,"",$A$4+334)</f>
        <v>46357</v>
      </c>
      <c r="N33463">
        <f>IF(M33463="","",'Master Barang'!A57)</f>
        <v>0</v>
      </c>
      <c r="O33463">
        <f>IF(N33463="","",'Master Barang'!B57)</f>
        <v>0</v>
      </c>
      <c r="P33463">
        <f>IF(OR(M33463="",N33463=""),"",SUMIFS('Barang Keluar'!$E:$E,'Barang Keluar'!$A:$A,M33463,'Barang Keluar'!$C:$C,N33463))</f>
        <v>0</v>
      </c>
    </row>
    <row r="33464" spans="13:16">
      <c r="M33464" s="49">
        <f>IF($A$4+334&gt;$B$4,"",$A$4+334)</f>
        <v>46357</v>
      </c>
      <c r="N33464">
        <f>IF(M33464="","",'Master Barang'!A58)</f>
        <v>0</v>
      </c>
      <c r="O33464">
        <f>IF(N33464="","",'Master Barang'!B58)</f>
        <v>0</v>
      </c>
      <c r="P33464">
        <f>IF(OR(M33464="",N33464=""),"",SUMIFS('Barang Keluar'!$E:$E,'Barang Keluar'!$A:$A,M33464,'Barang Keluar'!$C:$C,N33464))</f>
        <v>0</v>
      </c>
    </row>
    <row r="33465" spans="13:16">
      <c r="M33465" s="49">
        <f>IF($A$4+334&gt;$B$4,"",$A$4+334)</f>
        <v>46357</v>
      </c>
      <c r="N33465">
        <f>IF(M33465="","",'Master Barang'!A59)</f>
        <v>0</v>
      </c>
      <c r="O33465">
        <f>IF(N33465="","",'Master Barang'!B59)</f>
        <v>0</v>
      </c>
      <c r="P33465">
        <f>IF(OR(M33465="",N33465=""),"",SUMIFS('Barang Keluar'!$E:$E,'Barang Keluar'!$A:$A,M33465,'Barang Keluar'!$C:$C,N33465))</f>
        <v>0</v>
      </c>
    </row>
    <row r="33466" spans="13:16">
      <c r="M33466" s="49">
        <f>IF($A$4+334&gt;$B$4,"",$A$4+334)</f>
        <v>46357</v>
      </c>
      <c r="N33466">
        <f>IF(M33466="","",'Master Barang'!A60)</f>
        <v>0</v>
      </c>
      <c r="O33466">
        <f>IF(N33466="","",'Master Barang'!B60)</f>
        <v>0</v>
      </c>
      <c r="P33466">
        <f>IF(OR(M33466="",N33466=""),"",SUMIFS('Barang Keluar'!$E:$E,'Barang Keluar'!$A:$A,M33466,'Barang Keluar'!$C:$C,N33466))</f>
        <v>0</v>
      </c>
    </row>
    <row r="33467" spans="13:16">
      <c r="M33467" s="49">
        <f>IF($A$4+334&gt;$B$4,"",$A$4+334)</f>
        <v>46357</v>
      </c>
      <c r="N33467">
        <f>IF(M33467="","",'Master Barang'!A61)</f>
        <v>0</v>
      </c>
      <c r="O33467">
        <f>IF(N33467="","",'Master Barang'!B61)</f>
        <v>0</v>
      </c>
      <c r="P33467">
        <f>IF(OR(M33467="",N33467=""),"",SUMIFS('Barang Keluar'!$E:$E,'Barang Keluar'!$A:$A,M33467,'Barang Keluar'!$C:$C,N33467))</f>
        <v>0</v>
      </c>
    </row>
    <row r="33468" spans="13:16">
      <c r="M33468" s="49">
        <f>IF($A$4+334&gt;$B$4,"",$A$4+334)</f>
        <v>46357</v>
      </c>
      <c r="N33468">
        <f>IF(M33468="","",'Master Barang'!A62)</f>
        <v>0</v>
      </c>
      <c r="O33468">
        <f>IF(N33468="","",'Master Barang'!B62)</f>
        <v>0</v>
      </c>
      <c r="P33468">
        <f>IF(OR(M33468="",N33468=""),"",SUMIFS('Barang Keluar'!$E:$E,'Barang Keluar'!$A:$A,M33468,'Barang Keluar'!$C:$C,N33468))</f>
        <v>0</v>
      </c>
    </row>
    <row r="33469" spans="13:16">
      <c r="M33469" s="49">
        <f>IF($A$4+334&gt;$B$4,"",$A$4+334)</f>
        <v>46357</v>
      </c>
      <c r="N33469">
        <f>IF(M33469="","",'Master Barang'!A63)</f>
        <v>0</v>
      </c>
      <c r="O33469">
        <f>IF(N33469="","",'Master Barang'!B63)</f>
        <v>0</v>
      </c>
      <c r="P33469">
        <f>IF(OR(M33469="",N33469=""),"",SUMIFS('Barang Keluar'!$E:$E,'Barang Keluar'!$A:$A,M33469,'Barang Keluar'!$C:$C,N33469))</f>
        <v>0</v>
      </c>
    </row>
    <row r="33470" spans="13:16">
      <c r="M33470" s="49">
        <f>IF($A$4+334&gt;$B$4,"",$A$4+334)</f>
        <v>46357</v>
      </c>
      <c r="N33470">
        <f>IF(M33470="","",'Master Barang'!A64)</f>
        <v>0</v>
      </c>
      <c r="O33470">
        <f>IF(N33470="","",'Master Barang'!B64)</f>
        <v>0</v>
      </c>
      <c r="P33470">
        <f>IF(OR(M33470="",N33470=""),"",SUMIFS('Barang Keluar'!$E:$E,'Barang Keluar'!$A:$A,M33470,'Barang Keluar'!$C:$C,N33470))</f>
        <v>0</v>
      </c>
    </row>
    <row r="33471" spans="13:16">
      <c r="M33471" s="49">
        <f>IF($A$4+334&gt;$B$4,"",$A$4+334)</f>
        <v>46357</v>
      </c>
      <c r="N33471">
        <f>IF(M33471="","",'Master Barang'!A65)</f>
        <v>0</v>
      </c>
      <c r="O33471">
        <f>IF(N33471="","",'Master Barang'!B65)</f>
        <v>0</v>
      </c>
      <c r="P33471">
        <f>IF(OR(M33471="",N33471=""),"",SUMIFS('Barang Keluar'!$E:$E,'Barang Keluar'!$A:$A,M33471,'Barang Keluar'!$C:$C,N33471))</f>
        <v>0</v>
      </c>
    </row>
    <row r="33472" spans="13:16">
      <c r="M33472" s="49">
        <f>IF($A$4+334&gt;$B$4,"",$A$4+334)</f>
        <v>46357</v>
      </c>
      <c r="N33472">
        <f>IF(M33472="","",'Master Barang'!A66)</f>
        <v>0</v>
      </c>
      <c r="O33472">
        <f>IF(N33472="","",'Master Barang'!B66)</f>
        <v>0</v>
      </c>
      <c r="P33472">
        <f>IF(OR(M33472="",N33472=""),"",SUMIFS('Barang Keluar'!$E:$E,'Barang Keluar'!$A:$A,M33472,'Barang Keluar'!$C:$C,N33472))</f>
        <v>0</v>
      </c>
    </row>
    <row r="33473" spans="13:16">
      <c r="M33473" s="49">
        <f>IF($A$4+334&gt;$B$4,"",$A$4+334)</f>
        <v>46357</v>
      </c>
      <c r="N33473">
        <f>IF(M33473="","",'Master Barang'!A67)</f>
        <v>0</v>
      </c>
      <c r="O33473">
        <f>IF(N33473="","",'Master Barang'!B67)</f>
        <v>0</v>
      </c>
      <c r="P33473">
        <f>IF(OR(M33473="",N33473=""),"",SUMIFS('Barang Keluar'!$E:$E,'Barang Keluar'!$A:$A,M33473,'Barang Keluar'!$C:$C,N33473))</f>
        <v>0</v>
      </c>
    </row>
    <row r="33474" spans="13:16">
      <c r="M33474" s="49">
        <f>IF($A$4+334&gt;$B$4,"",$A$4+334)</f>
        <v>46357</v>
      </c>
      <c r="N33474">
        <f>IF(M33474="","",'Master Barang'!A68)</f>
        <v>0</v>
      </c>
      <c r="O33474">
        <f>IF(N33474="","",'Master Barang'!B68)</f>
        <v>0</v>
      </c>
      <c r="P33474">
        <f>IF(OR(M33474="",N33474=""),"",SUMIFS('Barang Keluar'!$E:$E,'Barang Keluar'!$A:$A,M33474,'Barang Keluar'!$C:$C,N33474))</f>
        <v>0</v>
      </c>
    </row>
    <row r="33475" spans="13:16">
      <c r="M33475" s="49">
        <f>IF($A$4+334&gt;$B$4,"",$A$4+334)</f>
        <v>46357</v>
      </c>
      <c r="N33475">
        <f>IF(M33475="","",'Master Barang'!A69)</f>
        <v>0</v>
      </c>
      <c r="O33475">
        <f>IF(N33475="","",'Master Barang'!B69)</f>
        <v>0</v>
      </c>
      <c r="P33475">
        <f>IF(OR(M33475="",N33475=""),"",SUMIFS('Barang Keluar'!$E:$E,'Barang Keluar'!$A:$A,M33475,'Barang Keluar'!$C:$C,N33475))</f>
        <v>0</v>
      </c>
    </row>
    <row r="33476" spans="13:16">
      <c r="M33476" s="49">
        <f>IF($A$4+334&gt;$B$4,"",$A$4+334)</f>
        <v>46357</v>
      </c>
      <c r="N33476">
        <f>IF(M33476="","",'Master Barang'!A70)</f>
        <v>0</v>
      </c>
      <c r="O33476">
        <f>IF(N33476="","",'Master Barang'!B70)</f>
        <v>0</v>
      </c>
      <c r="P33476">
        <f>IF(OR(M33476="",N33476=""),"",SUMIFS('Barang Keluar'!$E:$E,'Barang Keluar'!$A:$A,M33476,'Barang Keluar'!$C:$C,N33476))</f>
        <v>0</v>
      </c>
    </row>
    <row r="33477" spans="13:16">
      <c r="M33477" s="49">
        <f>IF($A$4+334&gt;$B$4,"",$A$4+334)</f>
        <v>46357</v>
      </c>
      <c r="N33477">
        <f>IF(M33477="","",'Master Barang'!A71)</f>
        <v>0</v>
      </c>
      <c r="O33477">
        <f>IF(N33477="","",'Master Barang'!B71)</f>
        <v>0</v>
      </c>
      <c r="P33477">
        <f>IF(OR(M33477="",N33477=""),"",SUMIFS('Barang Keluar'!$E:$E,'Barang Keluar'!$A:$A,M33477,'Barang Keluar'!$C:$C,N33477))</f>
        <v>0</v>
      </c>
    </row>
    <row r="33478" spans="13:16">
      <c r="M33478" s="49">
        <f>IF($A$4+334&gt;$B$4,"",$A$4+334)</f>
        <v>46357</v>
      </c>
      <c r="N33478">
        <f>IF(M33478="","",'Master Barang'!A72)</f>
        <v>0</v>
      </c>
      <c r="O33478">
        <f>IF(N33478="","",'Master Barang'!B72)</f>
        <v>0</v>
      </c>
      <c r="P33478">
        <f>IF(OR(M33478="",N33478=""),"",SUMIFS('Barang Keluar'!$E:$E,'Barang Keluar'!$A:$A,M33478,'Barang Keluar'!$C:$C,N33478))</f>
        <v>0</v>
      </c>
    </row>
    <row r="33479" spans="13:16">
      <c r="M33479" s="49">
        <f>IF($A$4+334&gt;$B$4,"",$A$4+334)</f>
        <v>46357</v>
      </c>
      <c r="N33479">
        <f>IF(M33479="","",'Master Barang'!A73)</f>
        <v>0</v>
      </c>
      <c r="O33479">
        <f>IF(N33479="","",'Master Barang'!B73)</f>
        <v>0</v>
      </c>
      <c r="P33479">
        <f>IF(OR(M33479="",N33479=""),"",SUMIFS('Barang Keluar'!$E:$E,'Barang Keluar'!$A:$A,M33479,'Barang Keluar'!$C:$C,N33479))</f>
        <v>0</v>
      </c>
    </row>
    <row r="33480" spans="13:16">
      <c r="M33480" s="49">
        <f>IF($A$4+334&gt;$B$4,"",$A$4+334)</f>
        <v>46357</v>
      </c>
      <c r="N33480">
        <f>IF(M33480="","",'Master Barang'!A74)</f>
        <v>0</v>
      </c>
      <c r="O33480">
        <f>IF(N33480="","",'Master Barang'!B74)</f>
        <v>0</v>
      </c>
      <c r="P33480">
        <f>IF(OR(M33480="",N33480=""),"",SUMIFS('Barang Keluar'!$E:$E,'Barang Keluar'!$A:$A,M33480,'Barang Keluar'!$C:$C,N33480))</f>
        <v>0</v>
      </c>
    </row>
    <row r="33481" spans="13:16">
      <c r="M33481" s="49">
        <f>IF($A$4+334&gt;$B$4,"",$A$4+334)</f>
        <v>46357</v>
      </c>
      <c r="N33481">
        <f>IF(M33481="","",'Master Barang'!A75)</f>
        <v>0</v>
      </c>
      <c r="O33481">
        <f>IF(N33481="","",'Master Barang'!B75)</f>
        <v>0</v>
      </c>
      <c r="P33481">
        <f>IF(OR(M33481="",N33481=""),"",SUMIFS('Barang Keluar'!$E:$E,'Barang Keluar'!$A:$A,M33481,'Barang Keluar'!$C:$C,N33481))</f>
        <v>0</v>
      </c>
    </row>
    <row r="33482" spans="13:16">
      <c r="M33482" s="49">
        <f>IF($A$4+334&gt;$B$4,"",$A$4+334)</f>
        <v>46357</v>
      </c>
      <c r="N33482">
        <f>IF(M33482="","",'Master Barang'!A76)</f>
        <v>0</v>
      </c>
      <c r="O33482">
        <f>IF(N33482="","",'Master Barang'!B76)</f>
        <v>0</v>
      </c>
      <c r="P33482">
        <f>IF(OR(M33482="",N33482=""),"",SUMIFS('Barang Keluar'!$E:$E,'Barang Keluar'!$A:$A,M33482,'Barang Keluar'!$C:$C,N33482))</f>
        <v>0</v>
      </c>
    </row>
    <row r="33483" spans="13:16">
      <c r="M33483" s="49">
        <f>IF($A$4+334&gt;$B$4,"",$A$4+334)</f>
        <v>46357</v>
      </c>
      <c r="N33483">
        <f>IF(M33483="","",'Master Barang'!A77)</f>
        <v>0</v>
      </c>
      <c r="O33483">
        <f>IF(N33483="","",'Master Barang'!B77)</f>
        <v>0</v>
      </c>
      <c r="P33483">
        <f>IF(OR(M33483="",N33483=""),"",SUMIFS('Barang Keluar'!$E:$E,'Barang Keluar'!$A:$A,M33483,'Barang Keluar'!$C:$C,N33483))</f>
        <v>0</v>
      </c>
    </row>
    <row r="33484" spans="13:16">
      <c r="M33484" s="49">
        <f>IF($A$4+334&gt;$B$4,"",$A$4+334)</f>
        <v>46357</v>
      </c>
      <c r="N33484">
        <f>IF(M33484="","",'Master Barang'!A78)</f>
        <v>0</v>
      </c>
      <c r="O33484">
        <f>IF(N33484="","",'Master Barang'!B78)</f>
        <v>0</v>
      </c>
      <c r="P33484">
        <f>IF(OR(M33484="",N33484=""),"",SUMIFS('Barang Keluar'!$E:$E,'Barang Keluar'!$A:$A,M33484,'Barang Keluar'!$C:$C,N33484))</f>
        <v>0</v>
      </c>
    </row>
    <row r="33485" spans="13:16">
      <c r="M33485" s="49">
        <f>IF($A$4+334&gt;$B$4,"",$A$4+334)</f>
        <v>46357</v>
      </c>
      <c r="N33485">
        <f>IF(M33485="","",'Master Barang'!A79)</f>
        <v>0</v>
      </c>
      <c r="O33485">
        <f>IF(N33485="","",'Master Barang'!B79)</f>
        <v>0</v>
      </c>
      <c r="P33485">
        <f>IF(OR(M33485="",N33485=""),"",SUMIFS('Barang Keluar'!$E:$E,'Barang Keluar'!$A:$A,M33485,'Barang Keluar'!$C:$C,N33485))</f>
        <v>0</v>
      </c>
    </row>
    <row r="33486" spans="13:16">
      <c r="M33486" s="49">
        <f>IF($A$4+334&gt;$B$4,"",$A$4+334)</f>
        <v>46357</v>
      </c>
      <c r="N33486">
        <f>IF(M33486="","",'Master Barang'!A80)</f>
        <v>0</v>
      </c>
      <c r="O33486">
        <f>IF(N33486="","",'Master Barang'!B80)</f>
        <v>0</v>
      </c>
      <c r="P33486">
        <f>IF(OR(M33486="",N33486=""),"",SUMIFS('Barang Keluar'!$E:$E,'Barang Keluar'!$A:$A,M33486,'Barang Keluar'!$C:$C,N33486))</f>
        <v>0</v>
      </c>
    </row>
    <row r="33487" spans="13:16">
      <c r="M33487" s="49">
        <f>IF($A$4+334&gt;$B$4,"",$A$4+334)</f>
        <v>46357</v>
      </c>
      <c r="N33487">
        <f>IF(M33487="","",'Master Barang'!A81)</f>
        <v>0</v>
      </c>
      <c r="O33487">
        <f>IF(N33487="","",'Master Barang'!B81)</f>
        <v>0</v>
      </c>
      <c r="P33487">
        <f>IF(OR(M33487="",N33487=""),"",SUMIFS('Barang Keluar'!$E:$E,'Barang Keluar'!$A:$A,M33487,'Barang Keluar'!$C:$C,N33487))</f>
        <v>0</v>
      </c>
    </row>
    <row r="33488" spans="13:16">
      <c r="M33488" s="49">
        <f>IF($A$4+334&gt;$B$4,"",$A$4+334)</f>
        <v>46357</v>
      </c>
      <c r="N33488">
        <f>IF(M33488="","",'Master Barang'!A82)</f>
        <v>0</v>
      </c>
      <c r="O33488">
        <f>IF(N33488="","",'Master Barang'!B82)</f>
        <v>0</v>
      </c>
      <c r="P33488">
        <f>IF(OR(M33488="",N33488=""),"",SUMIFS('Barang Keluar'!$E:$E,'Barang Keluar'!$A:$A,M33488,'Barang Keluar'!$C:$C,N33488))</f>
        <v>0</v>
      </c>
    </row>
    <row r="33489" spans="13:16">
      <c r="M33489" s="49">
        <f>IF($A$4+334&gt;$B$4,"",$A$4+334)</f>
        <v>46357</v>
      </c>
      <c r="N33489">
        <f>IF(M33489="","",'Master Barang'!A83)</f>
        <v>0</v>
      </c>
      <c r="O33489">
        <f>IF(N33489="","",'Master Barang'!B83)</f>
        <v>0</v>
      </c>
      <c r="P33489">
        <f>IF(OR(M33489="",N33489=""),"",SUMIFS('Barang Keluar'!$E:$E,'Barang Keluar'!$A:$A,M33489,'Barang Keluar'!$C:$C,N33489))</f>
        <v>0</v>
      </c>
    </row>
    <row r="33490" spans="13:16">
      <c r="M33490" s="49">
        <f>IF($A$4+334&gt;$B$4,"",$A$4+334)</f>
        <v>46357</v>
      </c>
      <c r="N33490">
        <f>IF(M33490="","",'Master Barang'!A84)</f>
        <v>0</v>
      </c>
      <c r="O33490">
        <f>IF(N33490="","",'Master Barang'!B84)</f>
        <v>0</v>
      </c>
      <c r="P33490">
        <f>IF(OR(M33490="",N33490=""),"",SUMIFS('Barang Keluar'!$E:$E,'Barang Keluar'!$A:$A,M33490,'Barang Keluar'!$C:$C,N33490))</f>
        <v>0</v>
      </c>
    </row>
    <row r="33491" spans="13:16">
      <c r="M33491" s="49">
        <f>IF($A$4+334&gt;$B$4,"",$A$4+334)</f>
        <v>46357</v>
      </c>
      <c r="N33491">
        <f>IF(M33491="","",'Master Barang'!A85)</f>
        <v>0</v>
      </c>
      <c r="O33491">
        <f>IF(N33491="","",'Master Barang'!B85)</f>
        <v>0</v>
      </c>
      <c r="P33491">
        <f>IF(OR(M33491="",N33491=""),"",SUMIFS('Barang Keluar'!$E:$E,'Barang Keluar'!$A:$A,M33491,'Barang Keluar'!$C:$C,N33491))</f>
        <v>0</v>
      </c>
    </row>
    <row r="33492" spans="13:16">
      <c r="M33492" s="49">
        <f>IF($A$4+334&gt;$B$4,"",$A$4+334)</f>
        <v>46357</v>
      </c>
      <c r="N33492">
        <f>IF(M33492="","",'Master Barang'!A86)</f>
        <v>0</v>
      </c>
      <c r="O33492">
        <f>IF(N33492="","",'Master Barang'!B86)</f>
        <v>0</v>
      </c>
      <c r="P33492">
        <f>IF(OR(M33492="",N33492=""),"",SUMIFS('Barang Keluar'!$E:$E,'Barang Keluar'!$A:$A,M33492,'Barang Keluar'!$C:$C,N33492))</f>
        <v>0</v>
      </c>
    </row>
    <row r="33493" spans="13:16">
      <c r="M33493" s="49">
        <f>IF($A$4+334&gt;$B$4,"",$A$4+334)</f>
        <v>46357</v>
      </c>
      <c r="N33493">
        <f>IF(M33493="","",'Master Barang'!A87)</f>
        <v>0</v>
      </c>
      <c r="O33493">
        <f>IF(N33493="","",'Master Barang'!B87)</f>
        <v>0</v>
      </c>
      <c r="P33493">
        <f>IF(OR(M33493="",N33493=""),"",SUMIFS('Barang Keluar'!$E:$E,'Barang Keluar'!$A:$A,M33493,'Barang Keluar'!$C:$C,N33493))</f>
        <v>0</v>
      </c>
    </row>
    <row r="33494" spans="13:16">
      <c r="M33494" s="49">
        <f>IF($A$4+334&gt;$B$4,"",$A$4+334)</f>
        <v>46357</v>
      </c>
      <c r="N33494">
        <f>IF(M33494="","",'Master Barang'!A88)</f>
        <v>0</v>
      </c>
      <c r="O33494">
        <f>IF(N33494="","",'Master Barang'!B88)</f>
        <v>0</v>
      </c>
      <c r="P33494">
        <f>IF(OR(M33494="",N33494=""),"",SUMIFS('Barang Keluar'!$E:$E,'Barang Keluar'!$A:$A,M33494,'Barang Keluar'!$C:$C,N33494))</f>
        <v>0</v>
      </c>
    </row>
    <row r="33495" spans="13:16">
      <c r="M33495" s="49">
        <f>IF($A$4+334&gt;$B$4,"",$A$4+334)</f>
        <v>46357</v>
      </c>
      <c r="N33495">
        <f>IF(M33495="","",'Master Barang'!A89)</f>
        <v>0</v>
      </c>
      <c r="O33495">
        <f>IF(N33495="","",'Master Barang'!B89)</f>
        <v>0</v>
      </c>
      <c r="P33495">
        <f>IF(OR(M33495="",N33495=""),"",SUMIFS('Barang Keluar'!$E:$E,'Barang Keluar'!$A:$A,M33495,'Barang Keluar'!$C:$C,N33495))</f>
        <v>0</v>
      </c>
    </row>
    <row r="33496" spans="13:16">
      <c r="M33496" s="49">
        <f>IF($A$4+334&gt;$B$4,"",$A$4+334)</f>
        <v>46357</v>
      </c>
      <c r="N33496">
        <f>IF(M33496="","",'Master Barang'!A90)</f>
        <v>0</v>
      </c>
      <c r="O33496">
        <f>IF(N33496="","",'Master Barang'!B90)</f>
        <v>0</v>
      </c>
      <c r="P33496">
        <f>IF(OR(M33496="",N33496=""),"",SUMIFS('Barang Keluar'!$E:$E,'Barang Keluar'!$A:$A,M33496,'Barang Keluar'!$C:$C,N33496))</f>
        <v>0</v>
      </c>
    </row>
    <row r="33497" spans="13:16">
      <c r="M33497" s="49">
        <f>IF($A$4+334&gt;$B$4,"",$A$4+334)</f>
        <v>46357</v>
      </c>
      <c r="N33497">
        <f>IF(M33497="","",'Master Barang'!A91)</f>
        <v>0</v>
      </c>
      <c r="O33497">
        <f>IF(N33497="","",'Master Barang'!B91)</f>
        <v>0</v>
      </c>
      <c r="P33497">
        <f>IF(OR(M33497="",N33497=""),"",SUMIFS('Barang Keluar'!$E:$E,'Barang Keluar'!$A:$A,M33497,'Barang Keluar'!$C:$C,N33497))</f>
        <v>0</v>
      </c>
    </row>
    <row r="33498" spans="13:16">
      <c r="M33498" s="49">
        <f>IF($A$4+334&gt;$B$4,"",$A$4+334)</f>
        <v>46357</v>
      </c>
      <c r="N33498">
        <f>IF(M33498="","",'Master Barang'!A92)</f>
        <v>0</v>
      </c>
      <c r="O33498">
        <f>IF(N33498="","",'Master Barang'!B92)</f>
        <v>0</v>
      </c>
      <c r="P33498">
        <f>IF(OR(M33498="",N33498=""),"",SUMIFS('Barang Keluar'!$E:$E,'Barang Keluar'!$A:$A,M33498,'Barang Keluar'!$C:$C,N33498))</f>
        <v>0</v>
      </c>
    </row>
    <row r="33499" spans="13:16">
      <c r="M33499" s="49">
        <f>IF($A$4+334&gt;$B$4,"",$A$4+334)</f>
        <v>46357</v>
      </c>
      <c r="N33499">
        <f>IF(M33499="","",'Master Barang'!A93)</f>
        <v>0</v>
      </c>
      <c r="O33499">
        <f>IF(N33499="","",'Master Barang'!B93)</f>
        <v>0</v>
      </c>
      <c r="P33499">
        <f>IF(OR(M33499="",N33499=""),"",SUMIFS('Barang Keluar'!$E:$E,'Barang Keluar'!$A:$A,M33499,'Barang Keluar'!$C:$C,N33499))</f>
        <v>0</v>
      </c>
    </row>
    <row r="33500" spans="13:16">
      <c r="M33500" s="49">
        <f>IF($A$4+334&gt;$B$4,"",$A$4+334)</f>
        <v>46357</v>
      </c>
      <c r="N33500">
        <f>IF(M33500="","",'Master Barang'!A94)</f>
        <v>0</v>
      </c>
      <c r="O33500">
        <f>IF(N33500="","",'Master Barang'!B94)</f>
        <v>0</v>
      </c>
      <c r="P33500">
        <f>IF(OR(M33500="",N33500=""),"",SUMIFS('Barang Keluar'!$E:$E,'Barang Keluar'!$A:$A,M33500,'Barang Keluar'!$C:$C,N33500))</f>
        <v>0</v>
      </c>
    </row>
    <row r="33501" spans="13:16">
      <c r="M33501" s="49">
        <f>IF($A$4+334&gt;$B$4,"",$A$4+334)</f>
        <v>46357</v>
      </c>
      <c r="N33501">
        <f>IF(M33501="","",'Master Barang'!A95)</f>
        <v>0</v>
      </c>
      <c r="O33501">
        <f>IF(N33501="","",'Master Barang'!B95)</f>
        <v>0</v>
      </c>
      <c r="P33501">
        <f>IF(OR(M33501="",N33501=""),"",SUMIFS('Barang Keluar'!$E:$E,'Barang Keluar'!$A:$A,M33501,'Barang Keluar'!$C:$C,N33501))</f>
        <v>0</v>
      </c>
    </row>
    <row r="33502" spans="13:16">
      <c r="M33502" s="49">
        <f>IF($A$4+334&gt;$B$4,"",$A$4+334)</f>
        <v>46357</v>
      </c>
      <c r="N33502">
        <f>IF(M33502="","",'Master Barang'!A96)</f>
        <v>0</v>
      </c>
      <c r="O33502">
        <f>IF(N33502="","",'Master Barang'!B96)</f>
        <v>0</v>
      </c>
      <c r="P33502">
        <f>IF(OR(M33502="",N33502=""),"",SUMIFS('Barang Keluar'!$E:$E,'Barang Keluar'!$A:$A,M33502,'Barang Keluar'!$C:$C,N33502))</f>
        <v>0</v>
      </c>
    </row>
    <row r="33503" spans="13:16">
      <c r="M33503" s="49">
        <f>IF($A$4+334&gt;$B$4,"",$A$4+334)</f>
        <v>46357</v>
      </c>
      <c r="N33503">
        <f>IF(M33503="","",'Master Barang'!A97)</f>
        <v>0</v>
      </c>
      <c r="O33503">
        <f>IF(N33503="","",'Master Barang'!B97)</f>
        <v>0</v>
      </c>
      <c r="P33503">
        <f>IF(OR(M33503="",N33503=""),"",SUMIFS('Barang Keluar'!$E:$E,'Barang Keluar'!$A:$A,M33503,'Barang Keluar'!$C:$C,N33503))</f>
        <v>0</v>
      </c>
    </row>
    <row r="33504" spans="13:16">
      <c r="M33504" s="49">
        <f>IF($A$4+334&gt;$B$4,"",$A$4+334)</f>
        <v>46357</v>
      </c>
      <c r="N33504">
        <f>IF(M33504="","",'Master Barang'!A98)</f>
        <v>0</v>
      </c>
      <c r="O33504">
        <f>IF(N33504="","",'Master Barang'!B98)</f>
        <v>0</v>
      </c>
      <c r="P33504">
        <f>IF(OR(M33504="",N33504=""),"",SUMIFS('Barang Keluar'!$E:$E,'Barang Keluar'!$A:$A,M33504,'Barang Keluar'!$C:$C,N33504))</f>
        <v>0</v>
      </c>
    </row>
    <row r="33505" spans="13:16">
      <c r="M33505" s="49">
        <f>IF($A$4+334&gt;$B$4,"",$A$4+334)</f>
        <v>46357</v>
      </c>
      <c r="N33505">
        <f>IF(M33505="","",'Master Barang'!A99)</f>
        <v>0</v>
      </c>
      <c r="O33505">
        <f>IF(N33505="","",'Master Barang'!B99)</f>
        <v>0</v>
      </c>
      <c r="P33505">
        <f>IF(OR(M33505="",N33505=""),"",SUMIFS('Barang Keluar'!$E:$E,'Barang Keluar'!$A:$A,M33505,'Barang Keluar'!$C:$C,N33505))</f>
        <v>0</v>
      </c>
    </row>
    <row r="33506" spans="13:16">
      <c r="M33506" s="49">
        <f>IF($A$4+334&gt;$B$4,"",$A$4+334)</f>
        <v>46357</v>
      </c>
      <c r="N33506">
        <f>IF(M33506="","",'Master Barang'!A100)</f>
        <v>0</v>
      </c>
      <c r="O33506">
        <f>IF(N33506="","",'Master Barang'!B100)</f>
        <v>0</v>
      </c>
      <c r="P33506">
        <f>IF(OR(M33506="",N33506=""),"",SUMIFS('Barang Keluar'!$E:$E,'Barang Keluar'!$A:$A,M33506,'Barang Keluar'!$C:$C,N33506))</f>
        <v>0</v>
      </c>
    </row>
    <row r="33507" spans="13:16">
      <c r="M33507" s="49">
        <f>IF($A$4+334&gt;$B$4,"",$A$4+334)</f>
        <v>46357</v>
      </c>
      <c r="N33507">
        <f>IF(M33507="","",'Master Barang'!A101)</f>
        <v>0</v>
      </c>
      <c r="O33507">
        <f>IF(N33507="","",'Master Barang'!B101)</f>
        <v>0</v>
      </c>
      <c r="P33507">
        <f>IF(OR(M33507="",N33507=""),"",SUMIFS('Barang Keluar'!$E:$E,'Barang Keluar'!$A:$A,M33507,'Barang Keluar'!$C:$C,N33507))</f>
        <v>0</v>
      </c>
    </row>
    <row r="33508" spans="13:16">
      <c r="M33508" s="49">
        <f>IF($A$4+335&gt;$B$4,"",$A$4+335)</f>
        <v>46358</v>
      </c>
      <c r="N33508" t="str">
        <f>IF(M33508="","",'Master Barang'!A2)</f>
        <v>PRL-001</v>
      </c>
      <c r="O33508" t="str">
        <f>IF(N33508="","",'Master Barang'!B2)</f>
        <v>natura desinfectant food grade 5l</v>
      </c>
      <c r="P33508">
        <f>IF(OR(M33508="",N33508=""),"",SUMIFS('Barang Keluar'!$E:$E,'Barang Keluar'!$A:$A,M33508,'Barang Keluar'!$C:$C,N33508))</f>
        <v>0</v>
      </c>
    </row>
    <row r="33509" spans="13:16">
      <c r="M33509" s="49">
        <f>IF($A$4+335&gt;$B$4,"",$A$4+335)</f>
        <v>46358</v>
      </c>
      <c r="N33509" t="str">
        <f>IF(M33509="","",'Master Barang'!A3)</f>
        <v>PRL-002</v>
      </c>
      <c r="O33509" t="str">
        <f>IF(N33509="","",'Master Barang'!B3)</f>
        <v>sunlight cairan pencuci piring 5l</v>
      </c>
      <c r="P33509">
        <f>IF(OR(M33509="",N33509=""),"",SUMIFS('Barang Keluar'!$E:$E,'Barang Keluar'!$A:$A,M33509,'Barang Keluar'!$C:$C,N33509))</f>
        <v>0</v>
      </c>
    </row>
    <row r="33510" spans="13:16">
      <c r="M33510" s="49">
        <f>IF($A$4+335&gt;$B$4,"",$A$4+335)</f>
        <v>46358</v>
      </c>
      <c r="N33510" t="str">
        <f>IF(M33510="","",'Master Barang'!A4)</f>
        <v>PRL-003</v>
      </c>
      <c r="O33510" t="str">
        <f>IF(N33510="","",'Master Barang'!B4)</f>
        <v>oixs cleaner 1l</v>
      </c>
      <c r="P33510">
        <f>IF(OR(M33510="",N33510=""),"",SUMIFS('Barang Keluar'!$E:$E,'Barang Keluar'!$A:$A,M33510,'Barang Keluar'!$C:$C,N33510))</f>
        <v>0</v>
      </c>
    </row>
    <row r="33511" spans="13:16">
      <c r="M33511" s="49">
        <f>IF($A$4+335&gt;$B$4,"",$A$4+335)</f>
        <v>46358</v>
      </c>
      <c r="N33511" t="str">
        <f>IF(M33511="","",'Master Barang'!A5)</f>
        <v>PRL-004</v>
      </c>
      <c r="O33511" t="str">
        <f>IF(N33511="","",'Master Barang'!B5)</f>
        <v>be clean tissue serbaguna</v>
      </c>
      <c r="P33511">
        <f>IF(OR(M33511="",N33511=""),"",SUMIFS('Barang Keluar'!$E:$E,'Barang Keluar'!$A:$A,M33511,'Barang Keluar'!$C:$C,N33511))</f>
        <v>0</v>
      </c>
    </row>
    <row r="33512" spans="13:16">
      <c r="M33512" s="49">
        <f>IF($A$4+335&gt;$B$4,"",$A$4+335)</f>
        <v>46358</v>
      </c>
      <c r="N33512" t="str">
        <f>IF(M33512="","",'Master Barang'!A6)</f>
        <v>PRL-005</v>
      </c>
      <c r="O33512" t="str">
        <f>IF(N33512="","",'Master Barang'!B6)</f>
        <v>spons cuci hijau</v>
      </c>
      <c r="P33512">
        <f>IF(OR(M33512="",N33512=""),"",SUMIFS('Barang Keluar'!$E:$E,'Barang Keluar'!$A:$A,M33512,'Barang Keluar'!$C:$C,N33512))</f>
        <v>0</v>
      </c>
    </row>
    <row r="33513" spans="13:16">
      <c r="M33513" s="49">
        <f>IF($A$4+335&gt;$B$4,"",$A$4+335)</f>
        <v>46358</v>
      </c>
      <c r="N33513" t="str">
        <f>IF(M33513="","",'Master Barang'!A7)</f>
        <v>PRL-006</v>
      </c>
      <c r="O33513" t="str">
        <f>IF(N33513="","",'Master Barang'!B7)</f>
        <v>sabut cuci stainless</v>
      </c>
      <c r="P33513">
        <f>IF(OR(M33513="",N33513=""),"",SUMIFS('Barang Keluar'!$E:$E,'Barang Keluar'!$A:$A,M33513,'Barang Keluar'!$C:$C,N33513))</f>
        <v>0</v>
      </c>
    </row>
    <row r="33514" spans="13:16">
      <c r="M33514" s="49">
        <f>IF($A$4+335&gt;$B$4,"",$A$4+335)</f>
        <v>46358</v>
      </c>
      <c r="N33514" t="str">
        <f>IF(M33514="","",'Master Barang'!A8)</f>
        <v>PRL-007</v>
      </c>
      <c r="O33514" t="str">
        <f>IF(N33514="","",'Master Barang'!B8)</f>
        <v>plastik kresek besar merah 50pc</v>
      </c>
      <c r="P33514">
        <f>IF(OR(M33514="",N33514=""),"",SUMIFS('Barang Keluar'!$E:$E,'Barang Keluar'!$A:$A,M33514,'Barang Keluar'!$C:$C,N33514))</f>
        <v>0</v>
      </c>
    </row>
    <row r="33515" spans="13:16">
      <c r="M33515" s="49">
        <f>IF($A$4+335&gt;$B$4,"",$A$4+335)</f>
        <v>46358</v>
      </c>
      <c r="N33515" t="str">
        <f>IF(M33515="","",'Master Barang'!A9)</f>
        <v>PRL-008</v>
      </c>
      <c r="O33515" t="str">
        <f>IF(N33515="","",'Master Barang'!B9)</f>
        <v>lap besar</v>
      </c>
      <c r="P33515">
        <f>IF(OR(M33515="",N33515=""),"",SUMIFS('Barang Keluar'!$E:$E,'Barang Keluar'!$A:$A,M33515,'Barang Keluar'!$C:$C,N33515))</f>
        <v>0</v>
      </c>
    </row>
    <row r="33516" spans="13:16">
      <c r="M33516" s="49">
        <f>IF($A$4+335&gt;$B$4,"",$A$4+335)</f>
        <v>46358</v>
      </c>
      <c r="N33516" t="str">
        <f>IF(M33516="","",'Master Barang'!A10)</f>
        <v>PRL-009</v>
      </c>
      <c r="O33516" t="str">
        <f>IF(N33516="","",'Master Barang'!B10)</f>
        <v>lap microfiber</v>
      </c>
      <c r="P33516">
        <f>IF(OR(M33516="",N33516=""),"",SUMIFS('Barang Keluar'!$E:$E,'Barang Keluar'!$A:$A,M33516,'Barang Keluar'!$C:$C,N33516))</f>
        <v>0</v>
      </c>
    </row>
    <row r="33517" spans="13:16">
      <c r="M33517" s="49">
        <f>IF($A$4+335&gt;$B$4,"",$A$4+335)</f>
        <v>46358</v>
      </c>
      <c r="N33517" t="str">
        <f>IF(M33517="","",'Master Barang'!A11)</f>
        <v>PRL-010</v>
      </c>
      <c r="O33517" t="str">
        <f>IF(N33517="","",'Master Barang'!B11)</f>
        <v>lap kecil</v>
      </c>
      <c r="P33517">
        <f>IF(OR(M33517="",N33517=""),"",SUMIFS('Barang Keluar'!$E:$E,'Barang Keluar'!$A:$A,M33517,'Barang Keluar'!$C:$C,N33517))</f>
        <v>0</v>
      </c>
    </row>
    <row r="33518" spans="13:16">
      <c r="M33518" s="49">
        <f>IF($A$4+335&gt;$B$4,"",$A$4+335)</f>
        <v>46358</v>
      </c>
      <c r="N33518" t="str">
        <f>IF(M33518="","",'Master Barang'!A12)</f>
        <v>PRL-011</v>
      </c>
      <c r="O33518" t="str">
        <f>IF(N33518="","",'Master Barang'!B12)</f>
        <v>kanebo kecil</v>
      </c>
      <c r="P33518">
        <f>IF(OR(M33518="",N33518=""),"",SUMIFS('Barang Keluar'!$E:$E,'Barang Keluar'!$A:$A,M33518,'Barang Keluar'!$C:$C,N33518))</f>
        <v>0</v>
      </c>
    </row>
    <row r="33519" spans="13:16">
      <c r="M33519" s="49">
        <f>IF($A$4+335&gt;$B$4,"",$A$4+335)</f>
        <v>46358</v>
      </c>
      <c r="N33519" t="str">
        <f>IF(M33519="","",'Master Barang'!A13)</f>
        <v>PRL-012</v>
      </c>
      <c r="O33519" t="str">
        <f>IF(N33519="","",'Master Barang'!B13)</f>
        <v>plastik 1/4kg joyoboyo 100 lembar</v>
      </c>
      <c r="P33519">
        <f>IF(OR(M33519="",N33519=""),"",SUMIFS('Barang Keluar'!$E:$E,'Barang Keluar'!$A:$A,M33519,'Barang Keluar'!$C:$C,N33519))</f>
        <v>0</v>
      </c>
    </row>
    <row r="33520" spans="13:16">
      <c r="M33520" s="49">
        <f>IF($A$4+335&gt;$B$4,"",$A$4+335)</f>
        <v>46358</v>
      </c>
      <c r="N33520" t="str">
        <f>IF(M33520="","",'Master Barang'!A14)</f>
        <v>PRL-013</v>
      </c>
      <c r="O33520" t="str">
        <f>IF(N33520="","",'Master Barang'!B14)</f>
        <v>sarung tangan plastik kaka 100 pcs</v>
      </c>
      <c r="P33520">
        <f>IF(OR(M33520="",N33520=""),"",SUMIFS('Barang Keluar'!$E:$E,'Barang Keluar'!$A:$A,M33520,'Barang Keluar'!$C:$C,N33520))</f>
        <v>0</v>
      </c>
    </row>
    <row r="33521" spans="13:16">
      <c r="M33521" s="49">
        <f>IF($A$4+335&gt;$B$4,"",$A$4+335)</f>
        <v>46358</v>
      </c>
      <c r="N33521" t="str">
        <f>IF(M33521="","",'Master Barang'!A15)</f>
        <v>PRL-014</v>
      </c>
      <c r="O33521" t="str">
        <f>IF(N33521="","",'Master Barang'!B15)</f>
        <v>optima trashbag 80x100</v>
      </c>
      <c r="P33521">
        <f>IF(OR(M33521="",N33521=""),"",SUMIFS('Barang Keluar'!$E:$E,'Barang Keluar'!$A:$A,M33521,'Barang Keluar'!$C:$C,N33521))</f>
        <v>0</v>
      </c>
    </row>
    <row r="33522" spans="13:16">
      <c r="M33522" s="49">
        <f>IF($A$4+335&gt;$B$4,"",$A$4+335)</f>
        <v>46358</v>
      </c>
      <c r="N33522" t="str">
        <f>IF(M33522="","",'Master Barang'!A16)</f>
        <v>PRL-015</v>
      </c>
      <c r="O33522" t="str">
        <f>IF(N33522="","",'Master Barang'!B16)</f>
        <v>optima trashbag 60x100</v>
      </c>
      <c r="P33522">
        <f>IF(OR(M33522="",N33522=""),"",SUMIFS('Barang Keluar'!$E:$E,'Barang Keluar'!$A:$A,M33522,'Barang Keluar'!$C:$C,N33522))</f>
        <v>0</v>
      </c>
    </row>
    <row r="33523" spans="13:16">
      <c r="M33523" s="49">
        <f>IF($A$4+335&gt;$B$4,"",$A$4+335)</f>
        <v>46358</v>
      </c>
      <c r="N33523" t="str">
        <f>IF(M33523="","",'Master Barang'!A17)</f>
        <v>PRL-016</v>
      </c>
      <c r="O33523" t="str">
        <f>IF(N33523="","",'Master Barang'!B17)</f>
        <v>rajawali trashbag 30x40</v>
      </c>
      <c r="P33523">
        <f>IF(OR(M33523="",N33523=""),"",SUMIFS('Barang Keluar'!$E:$E,'Barang Keluar'!$A:$A,M33523,'Barang Keluar'!$C:$C,N33523))</f>
        <v>0</v>
      </c>
    </row>
    <row r="33524" spans="13:16">
      <c r="M33524" s="49">
        <f>IF($A$4+335&gt;$B$4,"",$A$4+335)</f>
        <v>46358</v>
      </c>
      <c r="N33524" t="str">
        <f>IF(M33524="","",'Master Barang'!A18)</f>
        <v>PRL-017</v>
      </c>
      <c r="O33524" t="str">
        <f>IF(N33524="","",'Master Barang'!B18)</f>
        <v>onemed masker biru 3 play 50 pcs</v>
      </c>
      <c r="P33524">
        <f>IF(OR(M33524="",N33524=""),"",SUMIFS('Barang Keluar'!$E:$E,'Barang Keluar'!$A:$A,M33524,'Barang Keluar'!$C:$C,N33524))</f>
        <v>0</v>
      </c>
    </row>
    <row r="33525" spans="13:16">
      <c r="M33525" s="49">
        <f>IF($A$4+335&gt;$B$4,"",$A$4+335)</f>
        <v>46358</v>
      </c>
      <c r="N33525" t="str">
        <f>IF(M33525="","",'Master Barang'!A19)</f>
        <v>PRL-018</v>
      </c>
      <c r="O33525" t="str">
        <f>IF(N33525="","",'Master Barang'!B19)</f>
        <v>onemed masker biru 3 play hijab 50 pcs</v>
      </c>
      <c r="P33525">
        <f>IF(OR(M33525="",N33525=""),"",SUMIFS('Barang Keluar'!$E:$E,'Barang Keluar'!$A:$A,M33525,'Barang Keluar'!$C:$C,N33525))</f>
        <v>0</v>
      </c>
    </row>
    <row r="33526" spans="13:16">
      <c r="M33526" s="49">
        <f>IF($A$4+335&gt;$B$4,"",$A$4+335)</f>
        <v>46358</v>
      </c>
      <c r="N33526" t="str">
        <f>IF(M33526="","",'Master Barang'!A20)</f>
        <v>PRL-019</v>
      </c>
      <c r="O33526" t="str">
        <f>IF(N33526="","",'Master Barang'!B20)</f>
        <v>neo health masker biru 3 play 50 pcs</v>
      </c>
      <c r="P33526">
        <f>IF(OR(M33526="",N33526=""),"",SUMIFS('Barang Keluar'!$E:$E,'Barang Keluar'!$A:$A,M33526,'Barang Keluar'!$C:$C,N33526))</f>
        <v>0</v>
      </c>
    </row>
    <row r="33527" spans="13:16">
      <c r="M33527" s="49">
        <f>IF($A$4+335&gt;$B$4,"",$A$4+335)</f>
        <v>46358</v>
      </c>
      <c r="N33527" t="str">
        <f>IF(M33527="","",'Master Barang'!A21)</f>
        <v>PRL-020</v>
      </c>
      <c r="O33527" t="str">
        <f>IF(N33527="","",'Master Barang'!B21)</f>
        <v>baymed masker hijau 3 play hijau 50 pcs</v>
      </c>
      <c r="P33527">
        <f>IF(OR(M33527="",N33527=""),"",SUMIFS('Barang Keluar'!$E:$E,'Barang Keluar'!$A:$A,M33527,'Barang Keluar'!$C:$C,N33527))</f>
        <v>0</v>
      </c>
    </row>
    <row r="33528" spans="13:16">
      <c r="M33528" s="49">
        <f>IF($A$4+335&gt;$B$4,"",$A$4+335)</f>
        <v>46358</v>
      </c>
      <c r="N33528" t="str">
        <f>IF(M33528="","",'Master Barang'!A22)</f>
        <v>PRL-021</v>
      </c>
      <c r="O33528" t="str">
        <f>IF(N33528="","",'Master Barang'!B22)</f>
        <v>altamed nurse cap penutup kepala 100 pcs</v>
      </c>
      <c r="P33528">
        <f>IF(OR(M33528="",N33528=""),"",SUMIFS('Barang Keluar'!$E:$E,'Barang Keluar'!$A:$A,M33528,'Barang Keluar'!$C:$C,N33528))</f>
        <v>0</v>
      </c>
    </row>
    <row r="33529" spans="13:16">
      <c r="M33529" s="49">
        <f>IF($A$4+335&gt;$B$4,"",$A$4+335)</f>
        <v>46358</v>
      </c>
      <c r="N33529" t="str">
        <f>IF(M33529="","",'Master Barang'!A23)</f>
        <v>PRL-022</v>
      </c>
      <c r="O33529" t="str">
        <f>IF(N33529="","",'Master Barang'!B23)</f>
        <v>sabun cuci tangan</v>
      </c>
      <c r="P33529">
        <f>IF(OR(M33529="",N33529=""),"",SUMIFS('Barang Keluar'!$E:$E,'Barang Keluar'!$A:$A,M33529,'Barang Keluar'!$C:$C,N33529))</f>
        <v>0</v>
      </c>
    </row>
    <row r="33530" spans="13:16">
      <c r="M33530" s="49">
        <f>IF($A$4+335&gt;$B$4,"",$A$4+335)</f>
        <v>46358</v>
      </c>
      <c r="N33530" t="str">
        <f>IF(M33530="","",'Master Barang'!A24)</f>
        <v>PRL-023</v>
      </c>
      <c r="O33530" t="str">
        <f>IF(N33530="","",'Master Barang'!B24)</f>
        <v>gayung kecil</v>
      </c>
      <c r="P33530">
        <f>IF(OR(M33530="",N33530=""),"",SUMIFS('Barang Keluar'!$E:$E,'Barang Keluar'!$A:$A,M33530,'Barang Keluar'!$C:$C,N33530))</f>
        <v>0</v>
      </c>
    </row>
    <row r="33531" spans="13:16">
      <c r="M33531" s="49">
        <f>IF($A$4+335&gt;$B$4,"",$A$4+335)</f>
        <v>46358</v>
      </c>
      <c r="N33531" t="str">
        <f>IF(M33531="","",'Master Barang'!A25)</f>
        <v>PRL-024</v>
      </c>
      <c r="O33531" t="str">
        <f>IF(N33531="","",'Master Barang'!B25)</f>
        <v>cikrak kecil</v>
      </c>
      <c r="P33531">
        <f>IF(OR(M33531="",N33531=""),"",SUMIFS('Barang Keluar'!$E:$E,'Barang Keluar'!$A:$A,M33531,'Barang Keluar'!$C:$C,N33531))</f>
        <v>0</v>
      </c>
    </row>
    <row r="33532" spans="13:16">
      <c r="M33532" s="49">
        <f>IF($A$4+335&gt;$B$4,"",$A$4+335)</f>
        <v>46358</v>
      </c>
      <c r="N33532" t="str">
        <f>IF(M33532="","",'Master Barang'!A26)</f>
        <v>PRL-025</v>
      </c>
      <c r="O33532" t="str">
        <f>IF(N33532="","",'Master Barang'!B26)</f>
        <v>petromax plastik kecil 12x24 100 lembar</v>
      </c>
      <c r="P33532">
        <f>IF(OR(M33532="",N33532=""),"",SUMIFS('Barang Keluar'!$E:$E,'Barang Keluar'!$A:$A,M33532,'Barang Keluar'!$C:$C,N33532))</f>
        <v>0</v>
      </c>
    </row>
    <row r="33533" spans="13:16">
      <c r="M33533" s="49">
        <f>IF($A$4+335&gt;$B$4,"",$A$4+335)</f>
        <v>46358</v>
      </c>
      <c r="N33533" t="str">
        <f>IF(M33533="","",'Master Barang'!A27)</f>
        <v>PRL-026</v>
      </c>
      <c r="O33533" t="str">
        <f>IF(N33533="","",'Master Barang'!B27)</f>
        <v>lancar kresek kecil bening </v>
      </c>
      <c r="P33533">
        <f>IF(OR(M33533="",N33533=""),"",SUMIFS('Barang Keluar'!$E:$E,'Barang Keluar'!$A:$A,M33533,'Barang Keluar'!$C:$C,N33533))</f>
        <v>0</v>
      </c>
    </row>
    <row r="33534" spans="13:16">
      <c r="M33534" s="49">
        <f>IF($A$4+335&gt;$B$4,"",$A$4+335)</f>
        <v>46358</v>
      </c>
      <c r="N33534" t="str">
        <f>IF(M33534="","",'Master Barang'!A28)</f>
        <v>PRL-027</v>
      </c>
      <c r="O33534" t="str">
        <f>IF(N33534="","",'Master Barang'!B28)</f>
        <v>kresek klin warna warni kecil</v>
      </c>
      <c r="P33534">
        <f>IF(OR(M33534="",N33534=""),"",SUMIFS('Barang Keluar'!$E:$E,'Barang Keluar'!$A:$A,M33534,'Barang Keluar'!$C:$C,N33534))</f>
        <v>0</v>
      </c>
    </row>
    <row r="33535" spans="13:16">
      <c r="M33535" s="49">
        <f>IF($A$4+335&gt;$B$4,"",$A$4+335)</f>
        <v>46358</v>
      </c>
      <c r="N33535" t="str">
        <f>IF(M33535="","",'Master Barang'!A29)</f>
        <v>PRL-028</v>
      </c>
      <c r="O33535" t="str">
        <f>IF(N33535="","",'Master Barang'!B29)</f>
        <v>ctik plastik 7x10 100 pcs</v>
      </c>
      <c r="P33535">
        <f>IF(OR(M33535="",N33535=""),"",SUMIFS('Barang Keluar'!$E:$E,'Barang Keluar'!$A:$A,M33535,'Barang Keluar'!$C:$C,N33535))</f>
        <v>0</v>
      </c>
    </row>
    <row r="33536" spans="13:16">
      <c r="M33536" s="49">
        <f>IF($A$4+335&gt;$B$4,"",$A$4+335)</f>
        <v>46358</v>
      </c>
      <c r="N33536" t="str">
        <f>IF(M33536="","",'Master Barang'!A30)</f>
        <v>PRL-029</v>
      </c>
      <c r="O33536" t="str">
        <f>IF(N33536="","",'Master Barang'!B30)</f>
        <v>ctik plastik 6x10 100 pcs</v>
      </c>
      <c r="P33536">
        <f>IF(OR(M33536="",N33536=""),"",SUMIFS('Barang Keluar'!$E:$E,'Barang Keluar'!$A:$A,M33536,'Barang Keluar'!$C:$C,N33536))</f>
        <v>0</v>
      </c>
    </row>
    <row r="33537" spans="13:16">
      <c r="M33537" s="49">
        <f>IF($A$4+335&gt;$B$4,"",$A$4+335)</f>
        <v>46358</v>
      </c>
      <c r="N33537" t="str">
        <f>IF(M33537="","",'Master Barang'!A31)</f>
        <v>PRL-030</v>
      </c>
      <c r="O33537" t="str">
        <f>IF(N33537="","",'Master Barang'!B31)</f>
        <v>klip plastik 25x16 100 pcs</v>
      </c>
      <c r="P33537">
        <f>IF(OR(M33537="",N33537=""),"",SUMIFS('Barang Keluar'!$E:$E,'Barang Keluar'!$A:$A,M33537,'Barang Keluar'!$C:$C,N33537))</f>
        <v>0</v>
      </c>
    </row>
    <row r="33538" spans="13:16">
      <c r="M33538" s="49">
        <f>IF($A$4+335&gt;$B$4,"",$A$4+335)</f>
        <v>46358</v>
      </c>
      <c r="N33538" t="str">
        <f>IF(M33538="","",'Master Barang'!A32)</f>
        <v>PRL-031</v>
      </c>
      <c r="O33538" t="str">
        <f>IF(N33538="","",'Master Barang'!B32)</f>
        <v>tempat saus 20 ml</v>
      </c>
      <c r="P33538">
        <f>IF(OR(M33538="",N33538=""),"",SUMIFS('Barang Keluar'!$E:$E,'Barang Keluar'!$A:$A,M33538,'Barang Keluar'!$C:$C,N33538))</f>
        <v>0</v>
      </c>
    </row>
    <row r="33539" spans="13:16">
      <c r="M33539" s="49">
        <f>IF($A$4+335&gt;$B$4,"",$A$4+335)</f>
        <v>46358</v>
      </c>
      <c r="N33539" t="str">
        <f>IF(M33539="","",'Master Barang'!A33)</f>
        <v>PRL-032</v>
      </c>
      <c r="O33539" t="str">
        <f>IF(N33539="","",'Master Barang'!B33)</f>
        <v>plastik packaging ag box uk sedang</v>
      </c>
      <c r="P33539">
        <f>IF(OR(M33539="",N33539=""),"",SUMIFS('Barang Keluar'!$E:$E,'Barang Keluar'!$A:$A,M33539,'Barang Keluar'!$C:$C,N33539))</f>
        <v>0</v>
      </c>
    </row>
    <row r="33540" spans="13:16">
      <c r="M33540" s="49">
        <f>IF($A$4+335&gt;$B$4,"",$A$4+335)</f>
        <v>46358</v>
      </c>
      <c r="N33540" t="str">
        <f>IF(M33540="","",'Master Barang'!A34)</f>
        <v>PRL-033</v>
      </c>
      <c r="O33540">
        <f>IF(N33540="","",'Master Barang'!B34)</f>
        <v>0</v>
      </c>
      <c r="P33540">
        <f>IF(OR(M33540="",N33540=""),"",SUMIFS('Barang Keluar'!$E:$E,'Barang Keluar'!$A:$A,M33540,'Barang Keluar'!$C:$C,N33540))</f>
        <v>0</v>
      </c>
    </row>
    <row r="33541" spans="13:16">
      <c r="M33541" s="49">
        <f>IF($A$4+335&gt;$B$4,"",$A$4+335)</f>
        <v>46358</v>
      </c>
      <c r="N33541">
        <f>IF(M33541="","",'Master Barang'!A35)</f>
        <v>0</v>
      </c>
      <c r="O33541">
        <f>IF(N33541="","",'Master Barang'!B35)</f>
        <v>0</v>
      </c>
      <c r="P33541">
        <f>IF(OR(M33541="",N33541=""),"",SUMIFS('Barang Keluar'!$E:$E,'Barang Keluar'!$A:$A,M33541,'Barang Keluar'!$C:$C,N33541))</f>
        <v>0</v>
      </c>
    </row>
    <row r="33542" spans="13:16">
      <c r="M33542" s="49">
        <f>IF($A$4+335&gt;$B$4,"",$A$4+335)</f>
        <v>46358</v>
      </c>
      <c r="N33542">
        <f>IF(M33542="","",'Master Barang'!A36)</f>
        <v>0</v>
      </c>
      <c r="O33542">
        <f>IF(N33542="","",'Master Barang'!B36)</f>
        <v>0</v>
      </c>
      <c r="P33542">
        <f>IF(OR(M33542="",N33542=""),"",SUMIFS('Barang Keluar'!$E:$E,'Barang Keluar'!$A:$A,M33542,'Barang Keluar'!$C:$C,N33542))</f>
        <v>0</v>
      </c>
    </row>
    <row r="33543" spans="13:16">
      <c r="M33543" s="49">
        <f>IF($A$4+335&gt;$B$4,"",$A$4+335)</f>
        <v>46358</v>
      </c>
      <c r="N33543">
        <f>IF(M33543="","",'Master Barang'!A37)</f>
        <v>0</v>
      </c>
      <c r="O33543">
        <f>IF(N33543="","",'Master Barang'!B37)</f>
        <v>0</v>
      </c>
      <c r="P33543">
        <f>IF(OR(M33543="",N33543=""),"",SUMIFS('Barang Keluar'!$E:$E,'Barang Keluar'!$A:$A,M33543,'Barang Keluar'!$C:$C,N33543))</f>
        <v>0</v>
      </c>
    </row>
    <row r="33544" spans="13:16">
      <c r="M33544" s="49">
        <f>IF($A$4+335&gt;$B$4,"",$A$4+335)</f>
        <v>46358</v>
      </c>
      <c r="N33544">
        <f>IF(M33544="","",'Master Barang'!A38)</f>
        <v>0</v>
      </c>
      <c r="O33544">
        <f>IF(N33544="","",'Master Barang'!B38)</f>
        <v>0</v>
      </c>
      <c r="P33544">
        <f>IF(OR(M33544="",N33544=""),"",SUMIFS('Barang Keluar'!$E:$E,'Barang Keluar'!$A:$A,M33544,'Barang Keluar'!$C:$C,N33544))</f>
        <v>0</v>
      </c>
    </row>
    <row r="33545" spans="13:16">
      <c r="M33545" s="49">
        <f>IF($A$4+335&gt;$B$4,"",$A$4+335)</f>
        <v>46358</v>
      </c>
      <c r="N33545">
        <f>IF(M33545="","",'Master Barang'!A39)</f>
        <v>0</v>
      </c>
      <c r="O33545">
        <f>IF(N33545="","",'Master Barang'!B39)</f>
        <v>0</v>
      </c>
      <c r="P33545">
        <f>IF(OR(M33545="",N33545=""),"",SUMIFS('Barang Keluar'!$E:$E,'Barang Keluar'!$A:$A,M33545,'Barang Keluar'!$C:$C,N33545))</f>
        <v>0</v>
      </c>
    </row>
    <row r="33546" spans="13:16">
      <c r="M33546" s="49">
        <f>IF($A$4+335&gt;$B$4,"",$A$4+335)</f>
        <v>46358</v>
      </c>
      <c r="N33546">
        <f>IF(M33546="","",'Master Barang'!A40)</f>
        <v>0</v>
      </c>
      <c r="O33546">
        <f>IF(N33546="","",'Master Barang'!B40)</f>
        <v>0</v>
      </c>
      <c r="P33546">
        <f>IF(OR(M33546="",N33546=""),"",SUMIFS('Barang Keluar'!$E:$E,'Barang Keluar'!$A:$A,M33546,'Barang Keluar'!$C:$C,N33546))</f>
        <v>0</v>
      </c>
    </row>
    <row r="33547" spans="13:16">
      <c r="M33547" s="49">
        <f>IF($A$4+335&gt;$B$4,"",$A$4+335)</f>
        <v>46358</v>
      </c>
      <c r="N33547">
        <f>IF(M33547="","",'Master Barang'!A41)</f>
        <v>0</v>
      </c>
      <c r="O33547">
        <f>IF(N33547="","",'Master Barang'!B41)</f>
        <v>0</v>
      </c>
      <c r="P33547">
        <f>IF(OR(M33547="",N33547=""),"",SUMIFS('Barang Keluar'!$E:$E,'Barang Keluar'!$A:$A,M33547,'Barang Keluar'!$C:$C,N33547))</f>
        <v>0</v>
      </c>
    </row>
    <row r="33548" spans="13:16">
      <c r="M33548" s="49">
        <f>IF($A$4+335&gt;$B$4,"",$A$4+335)</f>
        <v>46358</v>
      </c>
      <c r="N33548">
        <f>IF(M33548="","",'Master Barang'!A42)</f>
        <v>0</v>
      </c>
      <c r="O33548">
        <f>IF(N33548="","",'Master Barang'!B42)</f>
        <v>0</v>
      </c>
      <c r="P33548">
        <f>IF(OR(M33548="",N33548=""),"",SUMIFS('Barang Keluar'!$E:$E,'Barang Keluar'!$A:$A,M33548,'Barang Keluar'!$C:$C,N33548))</f>
        <v>0</v>
      </c>
    </row>
    <row r="33549" spans="13:16">
      <c r="M33549" s="49">
        <f>IF($A$4+335&gt;$B$4,"",$A$4+335)</f>
        <v>46358</v>
      </c>
      <c r="N33549">
        <f>IF(M33549="","",'Master Barang'!A43)</f>
        <v>0</v>
      </c>
      <c r="O33549">
        <f>IF(N33549="","",'Master Barang'!B43)</f>
        <v>0</v>
      </c>
      <c r="P33549">
        <f>IF(OR(M33549="",N33549=""),"",SUMIFS('Barang Keluar'!$E:$E,'Barang Keluar'!$A:$A,M33549,'Barang Keluar'!$C:$C,N33549))</f>
        <v>0</v>
      </c>
    </row>
    <row r="33550" spans="13:16">
      <c r="M33550" s="49">
        <f>IF($A$4+335&gt;$B$4,"",$A$4+335)</f>
        <v>46358</v>
      </c>
      <c r="N33550">
        <f>IF(M33550="","",'Master Barang'!A44)</f>
        <v>0</v>
      </c>
      <c r="O33550">
        <f>IF(N33550="","",'Master Barang'!B44)</f>
        <v>0</v>
      </c>
      <c r="P33550">
        <f>IF(OR(M33550="",N33550=""),"",SUMIFS('Barang Keluar'!$E:$E,'Barang Keluar'!$A:$A,M33550,'Barang Keluar'!$C:$C,N33550))</f>
        <v>0</v>
      </c>
    </row>
    <row r="33551" spans="13:16">
      <c r="M33551" s="49">
        <f>IF($A$4+335&gt;$B$4,"",$A$4+335)</f>
        <v>46358</v>
      </c>
      <c r="N33551">
        <f>IF(M33551="","",'Master Barang'!A45)</f>
        <v>0</v>
      </c>
      <c r="O33551">
        <f>IF(N33551="","",'Master Barang'!B45)</f>
        <v>0</v>
      </c>
      <c r="P33551">
        <f>IF(OR(M33551="",N33551=""),"",SUMIFS('Barang Keluar'!$E:$E,'Barang Keluar'!$A:$A,M33551,'Barang Keluar'!$C:$C,N33551))</f>
        <v>0</v>
      </c>
    </row>
    <row r="33552" spans="13:16">
      <c r="M33552" s="49">
        <f>IF($A$4+335&gt;$B$4,"",$A$4+335)</f>
        <v>46358</v>
      </c>
      <c r="N33552">
        <f>IF(M33552="","",'Master Barang'!A46)</f>
        <v>0</v>
      </c>
      <c r="O33552">
        <f>IF(N33552="","",'Master Barang'!B46)</f>
        <v>0</v>
      </c>
      <c r="P33552">
        <f>IF(OR(M33552="",N33552=""),"",SUMIFS('Barang Keluar'!$E:$E,'Barang Keluar'!$A:$A,M33552,'Barang Keluar'!$C:$C,N33552))</f>
        <v>0</v>
      </c>
    </row>
    <row r="33553" spans="13:16">
      <c r="M33553" s="49">
        <f>IF($A$4+335&gt;$B$4,"",$A$4+335)</f>
        <v>46358</v>
      </c>
      <c r="N33553">
        <f>IF(M33553="","",'Master Barang'!A47)</f>
        <v>0</v>
      </c>
      <c r="O33553">
        <f>IF(N33553="","",'Master Barang'!B47)</f>
        <v>0</v>
      </c>
      <c r="P33553">
        <f>IF(OR(M33553="",N33553=""),"",SUMIFS('Barang Keluar'!$E:$E,'Barang Keluar'!$A:$A,M33553,'Barang Keluar'!$C:$C,N33553))</f>
        <v>0</v>
      </c>
    </row>
    <row r="33554" spans="13:16">
      <c r="M33554" s="49">
        <f>IF($A$4+335&gt;$B$4,"",$A$4+335)</f>
        <v>46358</v>
      </c>
      <c r="N33554">
        <f>IF(M33554="","",'Master Barang'!A48)</f>
        <v>0</v>
      </c>
      <c r="O33554">
        <f>IF(N33554="","",'Master Barang'!B48)</f>
        <v>0</v>
      </c>
      <c r="P33554">
        <f>IF(OR(M33554="",N33554=""),"",SUMIFS('Barang Keluar'!$E:$E,'Barang Keluar'!$A:$A,M33554,'Barang Keluar'!$C:$C,N33554))</f>
        <v>0</v>
      </c>
    </row>
    <row r="33555" spans="13:16">
      <c r="M33555" s="49">
        <f>IF($A$4+335&gt;$B$4,"",$A$4+335)</f>
        <v>46358</v>
      </c>
      <c r="N33555">
        <f>IF(M33555="","",'Master Barang'!A49)</f>
        <v>0</v>
      </c>
      <c r="O33555">
        <f>IF(N33555="","",'Master Barang'!B49)</f>
        <v>0</v>
      </c>
      <c r="P33555">
        <f>IF(OR(M33555="",N33555=""),"",SUMIFS('Barang Keluar'!$E:$E,'Barang Keluar'!$A:$A,M33555,'Barang Keluar'!$C:$C,N33555))</f>
        <v>0</v>
      </c>
    </row>
    <row r="33556" spans="13:16">
      <c r="M33556" s="49">
        <f>IF($A$4+335&gt;$B$4,"",$A$4+335)</f>
        <v>46358</v>
      </c>
      <c r="N33556">
        <f>IF(M33556="","",'Master Barang'!A50)</f>
        <v>0</v>
      </c>
      <c r="O33556">
        <f>IF(N33556="","",'Master Barang'!B50)</f>
        <v>0</v>
      </c>
      <c r="P33556">
        <f>IF(OR(M33556="",N33556=""),"",SUMIFS('Barang Keluar'!$E:$E,'Barang Keluar'!$A:$A,M33556,'Barang Keluar'!$C:$C,N33556))</f>
        <v>0</v>
      </c>
    </row>
    <row r="33557" spans="13:16">
      <c r="M33557" s="49">
        <f>IF($A$4+335&gt;$B$4,"",$A$4+335)</f>
        <v>46358</v>
      </c>
      <c r="N33557">
        <f>IF(M33557="","",'Master Barang'!A51)</f>
        <v>0</v>
      </c>
      <c r="O33557">
        <f>IF(N33557="","",'Master Barang'!B51)</f>
        <v>0</v>
      </c>
      <c r="P33557">
        <f>IF(OR(M33557="",N33557=""),"",SUMIFS('Barang Keluar'!$E:$E,'Barang Keluar'!$A:$A,M33557,'Barang Keluar'!$C:$C,N33557))</f>
        <v>0</v>
      </c>
    </row>
    <row r="33558" spans="13:16">
      <c r="M33558" s="49">
        <f>IF($A$4+335&gt;$B$4,"",$A$4+335)</f>
        <v>46358</v>
      </c>
      <c r="N33558">
        <f>IF(M33558="","",'Master Barang'!A52)</f>
        <v>0</v>
      </c>
      <c r="O33558">
        <f>IF(N33558="","",'Master Barang'!B52)</f>
        <v>0</v>
      </c>
      <c r="P33558">
        <f>IF(OR(M33558="",N33558=""),"",SUMIFS('Barang Keluar'!$E:$E,'Barang Keluar'!$A:$A,M33558,'Barang Keluar'!$C:$C,N33558))</f>
        <v>0</v>
      </c>
    </row>
    <row r="33559" spans="13:16">
      <c r="M33559" s="49">
        <f>IF($A$4+335&gt;$B$4,"",$A$4+335)</f>
        <v>46358</v>
      </c>
      <c r="N33559">
        <f>IF(M33559="","",'Master Barang'!A53)</f>
        <v>0</v>
      </c>
      <c r="O33559">
        <f>IF(N33559="","",'Master Barang'!B53)</f>
        <v>0</v>
      </c>
      <c r="P33559">
        <f>IF(OR(M33559="",N33559=""),"",SUMIFS('Barang Keluar'!$E:$E,'Barang Keluar'!$A:$A,M33559,'Barang Keluar'!$C:$C,N33559))</f>
        <v>0</v>
      </c>
    </row>
    <row r="33560" spans="13:16">
      <c r="M33560" s="49">
        <f>IF($A$4+335&gt;$B$4,"",$A$4+335)</f>
        <v>46358</v>
      </c>
      <c r="N33560">
        <f>IF(M33560="","",'Master Barang'!A54)</f>
        <v>0</v>
      </c>
      <c r="O33560">
        <f>IF(N33560="","",'Master Barang'!B54)</f>
        <v>0</v>
      </c>
      <c r="P33560">
        <f>IF(OR(M33560="",N33560=""),"",SUMIFS('Barang Keluar'!$E:$E,'Barang Keluar'!$A:$A,M33560,'Barang Keluar'!$C:$C,N33560))</f>
        <v>0</v>
      </c>
    </row>
    <row r="33561" spans="13:16">
      <c r="M33561" s="49">
        <f>IF($A$4+335&gt;$B$4,"",$A$4+335)</f>
        <v>46358</v>
      </c>
      <c r="N33561">
        <f>IF(M33561="","",'Master Barang'!A55)</f>
        <v>0</v>
      </c>
      <c r="O33561">
        <f>IF(N33561="","",'Master Barang'!B55)</f>
        <v>0</v>
      </c>
      <c r="P33561">
        <f>IF(OR(M33561="",N33561=""),"",SUMIFS('Barang Keluar'!$E:$E,'Barang Keluar'!$A:$A,M33561,'Barang Keluar'!$C:$C,N33561))</f>
        <v>0</v>
      </c>
    </row>
    <row r="33562" spans="13:16">
      <c r="M33562" s="49">
        <f>IF($A$4+335&gt;$B$4,"",$A$4+335)</f>
        <v>46358</v>
      </c>
      <c r="N33562">
        <f>IF(M33562="","",'Master Barang'!A56)</f>
        <v>0</v>
      </c>
      <c r="O33562">
        <f>IF(N33562="","",'Master Barang'!B56)</f>
        <v>0</v>
      </c>
      <c r="P33562">
        <f>IF(OR(M33562="",N33562=""),"",SUMIFS('Barang Keluar'!$E:$E,'Barang Keluar'!$A:$A,M33562,'Barang Keluar'!$C:$C,N33562))</f>
        <v>0</v>
      </c>
    </row>
    <row r="33563" spans="13:16">
      <c r="M33563" s="49">
        <f>IF($A$4+335&gt;$B$4,"",$A$4+335)</f>
        <v>46358</v>
      </c>
      <c r="N33563">
        <f>IF(M33563="","",'Master Barang'!A57)</f>
        <v>0</v>
      </c>
      <c r="O33563">
        <f>IF(N33563="","",'Master Barang'!B57)</f>
        <v>0</v>
      </c>
      <c r="P33563">
        <f>IF(OR(M33563="",N33563=""),"",SUMIFS('Barang Keluar'!$E:$E,'Barang Keluar'!$A:$A,M33563,'Barang Keluar'!$C:$C,N33563))</f>
        <v>0</v>
      </c>
    </row>
    <row r="33564" spans="13:16">
      <c r="M33564" s="49">
        <f>IF($A$4+335&gt;$B$4,"",$A$4+335)</f>
        <v>46358</v>
      </c>
      <c r="N33564">
        <f>IF(M33564="","",'Master Barang'!A58)</f>
        <v>0</v>
      </c>
      <c r="O33564">
        <f>IF(N33564="","",'Master Barang'!B58)</f>
        <v>0</v>
      </c>
      <c r="P33564">
        <f>IF(OR(M33564="",N33564=""),"",SUMIFS('Barang Keluar'!$E:$E,'Barang Keluar'!$A:$A,M33564,'Barang Keluar'!$C:$C,N33564))</f>
        <v>0</v>
      </c>
    </row>
    <row r="33565" spans="13:16">
      <c r="M33565" s="49">
        <f>IF($A$4+335&gt;$B$4,"",$A$4+335)</f>
        <v>46358</v>
      </c>
      <c r="N33565">
        <f>IF(M33565="","",'Master Barang'!A59)</f>
        <v>0</v>
      </c>
      <c r="O33565">
        <f>IF(N33565="","",'Master Barang'!B59)</f>
        <v>0</v>
      </c>
      <c r="P33565">
        <f>IF(OR(M33565="",N33565=""),"",SUMIFS('Barang Keluar'!$E:$E,'Barang Keluar'!$A:$A,M33565,'Barang Keluar'!$C:$C,N33565))</f>
        <v>0</v>
      </c>
    </row>
    <row r="33566" spans="13:16">
      <c r="M33566" s="49">
        <f>IF($A$4+335&gt;$B$4,"",$A$4+335)</f>
        <v>46358</v>
      </c>
      <c r="N33566">
        <f>IF(M33566="","",'Master Barang'!A60)</f>
        <v>0</v>
      </c>
      <c r="O33566">
        <f>IF(N33566="","",'Master Barang'!B60)</f>
        <v>0</v>
      </c>
      <c r="P33566">
        <f>IF(OR(M33566="",N33566=""),"",SUMIFS('Barang Keluar'!$E:$E,'Barang Keluar'!$A:$A,M33566,'Barang Keluar'!$C:$C,N33566))</f>
        <v>0</v>
      </c>
    </row>
    <row r="33567" spans="13:16">
      <c r="M33567" s="49">
        <f>IF($A$4+335&gt;$B$4,"",$A$4+335)</f>
        <v>46358</v>
      </c>
      <c r="N33567">
        <f>IF(M33567="","",'Master Barang'!A61)</f>
        <v>0</v>
      </c>
      <c r="O33567">
        <f>IF(N33567="","",'Master Barang'!B61)</f>
        <v>0</v>
      </c>
      <c r="P33567">
        <f>IF(OR(M33567="",N33567=""),"",SUMIFS('Barang Keluar'!$E:$E,'Barang Keluar'!$A:$A,M33567,'Barang Keluar'!$C:$C,N33567))</f>
        <v>0</v>
      </c>
    </row>
    <row r="33568" spans="13:16">
      <c r="M33568" s="49">
        <f>IF($A$4+335&gt;$B$4,"",$A$4+335)</f>
        <v>46358</v>
      </c>
      <c r="N33568">
        <f>IF(M33568="","",'Master Barang'!A62)</f>
        <v>0</v>
      </c>
      <c r="O33568">
        <f>IF(N33568="","",'Master Barang'!B62)</f>
        <v>0</v>
      </c>
      <c r="P33568">
        <f>IF(OR(M33568="",N33568=""),"",SUMIFS('Barang Keluar'!$E:$E,'Barang Keluar'!$A:$A,M33568,'Barang Keluar'!$C:$C,N33568))</f>
        <v>0</v>
      </c>
    </row>
    <row r="33569" spans="13:16">
      <c r="M33569" s="49">
        <f>IF($A$4+335&gt;$B$4,"",$A$4+335)</f>
        <v>46358</v>
      </c>
      <c r="N33569">
        <f>IF(M33569="","",'Master Barang'!A63)</f>
        <v>0</v>
      </c>
      <c r="O33569">
        <f>IF(N33569="","",'Master Barang'!B63)</f>
        <v>0</v>
      </c>
      <c r="P33569">
        <f>IF(OR(M33569="",N33569=""),"",SUMIFS('Barang Keluar'!$E:$E,'Barang Keluar'!$A:$A,M33569,'Barang Keluar'!$C:$C,N33569))</f>
        <v>0</v>
      </c>
    </row>
    <row r="33570" spans="13:16">
      <c r="M33570" s="49">
        <f>IF($A$4+335&gt;$B$4,"",$A$4+335)</f>
        <v>46358</v>
      </c>
      <c r="N33570">
        <f>IF(M33570="","",'Master Barang'!A64)</f>
        <v>0</v>
      </c>
      <c r="O33570">
        <f>IF(N33570="","",'Master Barang'!B64)</f>
        <v>0</v>
      </c>
      <c r="P33570">
        <f>IF(OR(M33570="",N33570=""),"",SUMIFS('Barang Keluar'!$E:$E,'Barang Keluar'!$A:$A,M33570,'Barang Keluar'!$C:$C,N33570))</f>
        <v>0</v>
      </c>
    </row>
    <row r="33571" spans="13:16">
      <c r="M33571" s="49">
        <f>IF($A$4+335&gt;$B$4,"",$A$4+335)</f>
        <v>46358</v>
      </c>
      <c r="N33571">
        <f>IF(M33571="","",'Master Barang'!A65)</f>
        <v>0</v>
      </c>
      <c r="O33571">
        <f>IF(N33571="","",'Master Barang'!B65)</f>
        <v>0</v>
      </c>
      <c r="P33571">
        <f>IF(OR(M33571="",N33571=""),"",SUMIFS('Barang Keluar'!$E:$E,'Barang Keluar'!$A:$A,M33571,'Barang Keluar'!$C:$C,N33571))</f>
        <v>0</v>
      </c>
    </row>
    <row r="33572" spans="13:16">
      <c r="M33572" s="49">
        <f>IF($A$4+335&gt;$B$4,"",$A$4+335)</f>
        <v>46358</v>
      </c>
      <c r="N33572">
        <f>IF(M33572="","",'Master Barang'!A66)</f>
        <v>0</v>
      </c>
      <c r="O33572">
        <f>IF(N33572="","",'Master Barang'!B66)</f>
        <v>0</v>
      </c>
      <c r="P33572">
        <f>IF(OR(M33572="",N33572=""),"",SUMIFS('Barang Keluar'!$E:$E,'Barang Keluar'!$A:$A,M33572,'Barang Keluar'!$C:$C,N33572))</f>
        <v>0</v>
      </c>
    </row>
    <row r="33573" spans="13:16">
      <c r="M33573" s="49">
        <f>IF($A$4+335&gt;$B$4,"",$A$4+335)</f>
        <v>46358</v>
      </c>
      <c r="N33573">
        <f>IF(M33573="","",'Master Barang'!A67)</f>
        <v>0</v>
      </c>
      <c r="O33573">
        <f>IF(N33573="","",'Master Barang'!B67)</f>
        <v>0</v>
      </c>
      <c r="P33573">
        <f>IF(OR(M33573="",N33573=""),"",SUMIFS('Barang Keluar'!$E:$E,'Barang Keluar'!$A:$A,M33573,'Barang Keluar'!$C:$C,N33573))</f>
        <v>0</v>
      </c>
    </row>
    <row r="33574" spans="13:16">
      <c r="M33574" s="49">
        <f>IF($A$4+335&gt;$B$4,"",$A$4+335)</f>
        <v>46358</v>
      </c>
      <c r="N33574">
        <f>IF(M33574="","",'Master Barang'!A68)</f>
        <v>0</v>
      </c>
      <c r="O33574">
        <f>IF(N33574="","",'Master Barang'!B68)</f>
        <v>0</v>
      </c>
      <c r="P33574">
        <f>IF(OR(M33574="",N33574=""),"",SUMIFS('Barang Keluar'!$E:$E,'Barang Keluar'!$A:$A,M33574,'Barang Keluar'!$C:$C,N33574))</f>
        <v>0</v>
      </c>
    </row>
    <row r="33575" spans="13:16">
      <c r="M33575" s="49">
        <f>IF($A$4+335&gt;$B$4,"",$A$4+335)</f>
        <v>46358</v>
      </c>
      <c r="N33575">
        <f>IF(M33575="","",'Master Barang'!A69)</f>
        <v>0</v>
      </c>
      <c r="O33575">
        <f>IF(N33575="","",'Master Barang'!B69)</f>
        <v>0</v>
      </c>
      <c r="P33575">
        <f>IF(OR(M33575="",N33575=""),"",SUMIFS('Barang Keluar'!$E:$E,'Barang Keluar'!$A:$A,M33575,'Barang Keluar'!$C:$C,N33575))</f>
        <v>0</v>
      </c>
    </row>
    <row r="33576" spans="13:16">
      <c r="M33576" s="49">
        <f>IF($A$4+335&gt;$B$4,"",$A$4+335)</f>
        <v>46358</v>
      </c>
      <c r="N33576">
        <f>IF(M33576="","",'Master Barang'!A70)</f>
        <v>0</v>
      </c>
      <c r="O33576">
        <f>IF(N33576="","",'Master Barang'!B70)</f>
        <v>0</v>
      </c>
      <c r="P33576">
        <f>IF(OR(M33576="",N33576=""),"",SUMIFS('Barang Keluar'!$E:$E,'Barang Keluar'!$A:$A,M33576,'Barang Keluar'!$C:$C,N33576))</f>
        <v>0</v>
      </c>
    </row>
    <row r="33577" spans="13:16">
      <c r="M33577" s="49">
        <f>IF($A$4+335&gt;$B$4,"",$A$4+335)</f>
        <v>46358</v>
      </c>
      <c r="N33577">
        <f>IF(M33577="","",'Master Barang'!A71)</f>
        <v>0</v>
      </c>
      <c r="O33577">
        <f>IF(N33577="","",'Master Barang'!B71)</f>
        <v>0</v>
      </c>
      <c r="P33577">
        <f>IF(OR(M33577="",N33577=""),"",SUMIFS('Barang Keluar'!$E:$E,'Barang Keluar'!$A:$A,M33577,'Barang Keluar'!$C:$C,N33577))</f>
        <v>0</v>
      </c>
    </row>
    <row r="33578" spans="13:16">
      <c r="M33578" s="49">
        <f>IF($A$4+335&gt;$B$4,"",$A$4+335)</f>
        <v>46358</v>
      </c>
      <c r="N33578">
        <f>IF(M33578="","",'Master Barang'!A72)</f>
        <v>0</v>
      </c>
      <c r="O33578">
        <f>IF(N33578="","",'Master Barang'!B72)</f>
        <v>0</v>
      </c>
      <c r="P33578">
        <f>IF(OR(M33578="",N33578=""),"",SUMIFS('Barang Keluar'!$E:$E,'Barang Keluar'!$A:$A,M33578,'Barang Keluar'!$C:$C,N33578))</f>
        <v>0</v>
      </c>
    </row>
    <row r="33579" spans="13:16">
      <c r="M33579" s="49">
        <f>IF($A$4+335&gt;$B$4,"",$A$4+335)</f>
        <v>46358</v>
      </c>
      <c r="N33579">
        <f>IF(M33579="","",'Master Barang'!A73)</f>
        <v>0</v>
      </c>
      <c r="O33579">
        <f>IF(N33579="","",'Master Barang'!B73)</f>
        <v>0</v>
      </c>
      <c r="P33579">
        <f>IF(OR(M33579="",N33579=""),"",SUMIFS('Barang Keluar'!$E:$E,'Barang Keluar'!$A:$A,M33579,'Barang Keluar'!$C:$C,N33579))</f>
        <v>0</v>
      </c>
    </row>
    <row r="33580" spans="13:16">
      <c r="M33580" s="49">
        <f>IF($A$4+335&gt;$B$4,"",$A$4+335)</f>
        <v>46358</v>
      </c>
      <c r="N33580">
        <f>IF(M33580="","",'Master Barang'!A74)</f>
        <v>0</v>
      </c>
      <c r="O33580">
        <f>IF(N33580="","",'Master Barang'!B74)</f>
        <v>0</v>
      </c>
      <c r="P33580">
        <f>IF(OR(M33580="",N33580=""),"",SUMIFS('Barang Keluar'!$E:$E,'Barang Keluar'!$A:$A,M33580,'Barang Keluar'!$C:$C,N33580))</f>
        <v>0</v>
      </c>
    </row>
    <row r="33581" spans="13:16">
      <c r="M33581" s="49">
        <f>IF($A$4+335&gt;$B$4,"",$A$4+335)</f>
        <v>46358</v>
      </c>
      <c r="N33581">
        <f>IF(M33581="","",'Master Barang'!A75)</f>
        <v>0</v>
      </c>
      <c r="O33581">
        <f>IF(N33581="","",'Master Barang'!B75)</f>
        <v>0</v>
      </c>
      <c r="P33581">
        <f>IF(OR(M33581="",N33581=""),"",SUMIFS('Barang Keluar'!$E:$E,'Barang Keluar'!$A:$A,M33581,'Barang Keluar'!$C:$C,N33581))</f>
        <v>0</v>
      </c>
    </row>
    <row r="33582" spans="13:16">
      <c r="M33582" s="49">
        <f>IF($A$4+335&gt;$B$4,"",$A$4+335)</f>
        <v>46358</v>
      </c>
      <c r="N33582">
        <f>IF(M33582="","",'Master Barang'!A76)</f>
        <v>0</v>
      </c>
      <c r="O33582">
        <f>IF(N33582="","",'Master Barang'!B76)</f>
        <v>0</v>
      </c>
      <c r="P33582">
        <f>IF(OR(M33582="",N33582=""),"",SUMIFS('Barang Keluar'!$E:$E,'Barang Keluar'!$A:$A,M33582,'Barang Keluar'!$C:$C,N33582))</f>
        <v>0</v>
      </c>
    </row>
    <row r="33583" spans="13:16">
      <c r="M33583" s="49">
        <f>IF($A$4+335&gt;$B$4,"",$A$4+335)</f>
        <v>46358</v>
      </c>
      <c r="N33583">
        <f>IF(M33583="","",'Master Barang'!A77)</f>
        <v>0</v>
      </c>
      <c r="O33583">
        <f>IF(N33583="","",'Master Barang'!B77)</f>
        <v>0</v>
      </c>
      <c r="P33583">
        <f>IF(OR(M33583="",N33583=""),"",SUMIFS('Barang Keluar'!$E:$E,'Barang Keluar'!$A:$A,M33583,'Barang Keluar'!$C:$C,N33583))</f>
        <v>0</v>
      </c>
    </row>
    <row r="33584" spans="13:16">
      <c r="M33584" s="49">
        <f>IF($A$4+335&gt;$B$4,"",$A$4+335)</f>
        <v>46358</v>
      </c>
      <c r="N33584">
        <f>IF(M33584="","",'Master Barang'!A78)</f>
        <v>0</v>
      </c>
      <c r="O33584">
        <f>IF(N33584="","",'Master Barang'!B78)</f>
        <v>0</v>
      </c>
      <c r="P33584">
        <f>IF(OR(M33584="",N33584=""),"",SUMIFS('Barang Keluar'!$E:$E,'Barang Keluar'!$A:$A,M33584,'Barang Keluar'!$C:$C,N33584))</f>
        <v>0</v>
      </c>
    </row>
    <row r="33585" spans="13:16">
      <c r="M33585" s="49">
        <f>IF($A$4+335&gt;$B$4,"",$A$4+335)</f>
        <v>46358</v>
      </c>
      <c r="N33585">
        <f>IF(M33585="","",'Master Barang'!A79)</f>
        <v>0</v>
      </c>
      <c r="O33585">
        <f>IF(N33585="","",'Master Barang'!B79)</f>
        <v>0</v>
      </c>
      <c r="P33585">
        <f>IF(OR(M33585="",N33585=""),"",SUMIFS('Barang Keluar'!$E:$E,'Barang Keluar'!$A:$A,M33585,'Barang Keluar'!$C:$C,N33585))</f>
        <v>0</v>
      </c>
    </row>
    <row r="33586" spans="13:16">
      <c r="M33586" s="49">
        <f>IF($A$4+335&gt;$B$4,"",$A$4+335)</f>
        <v>46358</v>
      </c>
      <c r="N33586">
        <f>IF(M33586="","",'Master Barang'!A80)</f>
        <v>0</v>
      </c>
      <c r="O33586">
        <f>IF(N33586="","",'Master Barang'!B80)</f>
        <v>0</v>
      </c>
      <c r="P33586">
        <f>IF(OR(M33586="",N33586=""),"",SUMIFS('Barang Keluar'!$E:$E,'Barang Keluar'!$A:$A,M33586,'Barang Keluar'!$C:$C,N33586))</f>
        <v>0</v>
      </c>
    </row>
    <row r="33587" spans="13:16">
      <c r="M33587" s="49">
        <f>IF($A$4+335&gt;$B$4,"",$A$4+335)</f>
        <v>46358</v>
      </c>
      <c r="N33587">
        <f>IF(M33587="","",'Master Barang'!A81)</f>
        <v>0</v>
      </c>
      <c r="O33587">
        <f>IF(N33587="","",'Master Barang'!B81)</f>
        <v>0</v>
      </c>
      <c r="P33587">
        <f>IF(OR(M33587="",N33587=""),"",SUMIFS('Barang Keluar'!$E:$E,'Barang Keluar'!$A:$A,M33587,'Barang Keluar'!$C:$C,N33587))</f>
        <v>0</v>
      </c>
    </row>
    <row r="33588" spans="13:16">
      <c r="M33588" s="49">
        <f>IF($A$4+335&gt;$B$4,"",$A$4+335)</f>
        <v>46358</v>
      </c>
      <c r="N33588">
        <f>IF(M33588="","",'Master Barang'!A82)</f>
        <v>0</v>
      </c>
      <c r="O33588">
        <f>IF(N33588="","",'Master Barang'!B82)</f>
        <v>0</v>
      </c>
      <c r="P33588">
        <f>IF(OR(M33588="",N33588=""),"",SUMIFS('Barang Keluar'!$E:$E,'Barang Keluar'!$A:$A,M33588,'Barang Keluar'!$C:$C,N33588))</f>
        <v>0</v>
      </c>
    </row>
    <row r="33589" spans="13:16">
      <c r="M33589" s="49">
        <f>IF($A$4+335&gt;$B$4,"",$A$4+335)</f>
        <v>46358</v>
      </c>
      <c r="N33589">
        <f>IF(M33589="","",'Master Barang'!A83)</f>
        <v>0</v>
      </c>
      <c r="O33589">
        <f>IF(N33589="","",'Master Barang'!B83)</f>
        <v>0</v>
      </c>
      <c r="P33589">
        <f>IF(OR(M33589="",N33589=""),"",SUMIFS('Barang Keluar'!$E:$E,'Barang Keluar'!$A:$A,M33589,'Barang Keluar'!$C:$C,N33589))</f>
        <v>0</v>
      </c>
    </row>
    <row r="33590" spans="13:16">
      <c r="M33590" s="49">
        <f>IF($A$4+335&gt;$B$4,"",$A$4+335)</f>
        <v>46358</v>
      </c>
      <c r="N33590">
        <f>IF(M33590="","",'Master Barang'!A84)</f>
        <v>0</v>
      </c>
      <c r="O33590">
        <f>IF(N33590="","",'Master Barang'!B84)</f>
        <v>0</v>
      </c>
      <c r="P33590">
        <f>IF(OR(M33590="",N33590=""),"",SUMIFS('Barang Keluar'!$E:$E,'Barang Keluar'!$A:$A,M33590,'Barang Keluar'!$C:$C,N33590))</f>
        <v>0</v>
      </c>
    </row>
    <row r="33591" spans="13:16">
      <c r="M33591" s="49">
        <f>IF($A$4+335&gt;$B$4,"",$A$4+335)</f>
        <v>46358</v>
      </c>
      <c r="N33591">
        <f>IF(M33591="","",'Master Barang'!A85)</f>
        <v>0</v>
      </c>
      <c r="O33591">
        <f>IF(N33591="","",'Master Barang'!B85)</f>
        <v>0</v>
      </c>
      <c r="P33591">
        <f>IF(OR(M33591="",N33591=""),"",SUMIFS('Barang Keluar'!$E:$E,'Barang Keluar'!$A:$A,M33591,'Barang Keluar'!$C:$C,N33591))</f>
        <v>0</v>
      </c>
    </row>
    <row r="33592" spans="13:16">
      <c r="M33592" s="49">
        <f>IF($A$4+335&gt;$B$4,"",$A$4+335)</f>
        <v>46358</v>
      </c>
      <c r="N33592">
        <f>IF(M33592="","",'Master Barang'!A86)</f>
        <v>0</v>
      </c>
      <c r="O33592">
        <f>IF(N33592="","",'Master Barang'!B86)</f>
        <v>0</v>
      </c>
      <c r="P33592">
        <f>IF(OR(M33592="",N33592=""),"",SUMIFS('Barang Keluar'!$E:$E,'Barang Keluar'!$A:$A,M33592,'Barang Keluar'!$C:$C,N33592))</f>
        <v>0</v>
      </c>
    </row>
    <row r="33593" spans="13:16">
      <c r="M33593" s="49">
        <f>IF($A$4+335&gt;$B$4,"",$A$4+335)</f>
        <v>46358</v>
      </c>
      <c r="N33593">
        <f>IF(M33593="","",'Master Barang'!A87)</f>
        <v>0</v>
      </c>
      <c r="O33593">
        <f>IF(N33593="","",'Master Barang'!B87)</f>
        <v>0</v>
      </c>
      <c r="P33593">
        <f>IF(OR(M33593="",N33593=""),"",SUMIFS('Barang Keluar'!$E:$E,'Barang Keluar'!$A:$A,M33593,'Barang Keluar'!$C:$C,N33593))</f>
        <v>0</v>
      </c>
    </row>
    <row r="33594" spans="13:16">
      <c r="M33594" s="49">
        <f>IF($A$4+335&gt;$B$4,"",$A$4+335)</f>
        <v>46358</v>
      </c>
      <c r="N33594">
        <f>IF(M33594="","",'Master Barang'!A88)</f>
        <v>0</v>
      </c>
      <c r="O33594">
        <f>IF(N33594="","",'Master Barang'!B88)</f>
        <v>0</v>
      </c>
      <c r="P33594">
        <f>IF(OR(M33594="",N33594=""),"",SUMIFS('Barang Keluar'!$E:$E,'Barang Keluar'!$A:$A,M33594,'Barang Keluar'!$C:$C,N33594))</f>
        <v>0</v>
      </c>
    </row>
    <row r="33595" spans="13:16">
      <c r="M33595" s="49">
        <f>IF($A$4+335&gt;$B$4,"",$A$4+335)</f>
        <v>46358</v>
      </c>
      <c r="N33595">
        <f>IF(M33595="","",'Master Barang'!A89)</f>
        <v>0</v>
      </c>
      <c r="O33595">
        <f>IF(N33595="","",'Master Barang'!B89)</f>
        <v>0</v>
      </c>
      <c r="P33595">
        <f>IF(OR(M33595="",N33595=""),"",SUMIFS('Barang Keluar'!$E:$E,'Barang Keluar'!$A:$A,M33595,'Barang Keluar'!$C:$C,N33595))</f>
        <v>0</v>
      </c>
    </row>
    <row r="33596" spans="13:16">
      <c r="M33596" s="49">
        <f>IF($A$4+335&gt;$B$4,"",$A$4+335)</f>
        <v>46358</v>
      </c>
      <c r="N33596">
        <f>IF(M33596="","",'Master Barang'!A90)</f>
        <v>0</v>
      </c>
      <c r="O33596">
        <f>IF(N33596="","",'Master Barang'!B90)</f>
        <v>0</v>
      </c>
      <c r="P33596">
        <f>IF(OR(M33596="",N33596=""),"",SUMIFS('Barang Keluar'!$E:$E,'Barang Keluar'!$A:$A,M33596,'Barang Keluar'!$C:$C,N33596))</f>
        <v>0</v>
      </c>
    </row>
    <row r="33597" spans="13:16">
      <c r="M33597" s="49">
        <f>IF($A$4+335&gt;$B$4,"",$A$4+335)</f>
        <v>46358</v>
      </c>
      <c r="N33597">
        <f>IF(M33597="","",'Master Barang'!A91)</f>
        <v>0</v>
      </c>
      <c r="O33597">
        <f>IF(N33597="","",'Master Barang'!B91)</f>
        <v>0</v>
      </c>
      <c r="P33597">
        <f>IF(OR(M33597="",N33597=""),"",SUMIFS('Barang Keluar'!$E:$E,'Barang Keluar'!$A:$A,M33597,'Barang Keluar'!$C:$C,N33597))</f>
        <v>0</v>
      </c>
    </row>
    <row r="33598" spans="13:16">
      <c r="M33598" s="49">
        <f>IF($A$4+335&gt;$B$4,"",$A$4+335)</f>
        <v>46358</v>
      </c>
      <c r="N33598">
        <f>IF(M33598="","",'Master Barang'!A92)</f>
        <v>0</v>
      </c>
      <c r="O33598">
        <f>IF(N33598="","",'Master Barang'!B92)</f>
        <v>0</v>
      </c>
      <c r="P33598">
        <f>IF(OR(M33598="",N33598=""),"",SUMIFS('Barang Keluar'!$E:$E,'Barang Keluar'!$A:$A,M33598,'Barang Keluar'!$C:$C,N33598))</f>
        <v>0</v>
      </c>
    </row>
    <row r="33599" spans="13:16">
      <c r="M33599" s="49">
        <f>IF($A$4+335&gt;$B$4,"",$A$4+335)</f>
        <v>46358</v>
      </c>
      <c r="N33599">
        <f>IF(M33599="","",'Master Barang'!A93)</f>
        <v>0</v>
      </c>
      <c r="O33599">
        <f>IF(N33599="","",'Master Barang'!B93)</f>
        <v>0</v>
      </c>
      <c r="P33599">
        <f>IF(OR(M33599="",N33599=""),"",SUMIFS('Barang Keluar'!$E:$E,'Barang Keluar'!$A:$A,M33599,'Barang Keluar'!$C:$C,N33599))</f>
        <v>0</v>
      </c>
    </row>
    <row r="33600" spans="13:16">
      <c r="M33600" s="49">
        <f>IF($A$4+335&gt;$B$4,"",$A$4+335)</f>
        <v>46358</v>
      </c>
      <c r="N33600">
        <f>IF(M33600="","",'Master Barang'!A94)</f>
        <v>0</v>
      </c>
      <c r="O33600">
        <f>IF(N33600="","",'Master Barang'!B94)</f>
        <v>0</v>
      </c>
      <c r="P33600">
        <f>IF(OR(M33600="",N33600=""),"",SUMIFS('Barang Keluar'!$E:$E,'Barang Keluar'!$A:$A,M33600,'Barang Keluar'!$C:$C,N33600))</f>
        <v>0</v>
      </c>
    </row>
    <row r="33601" spans="13:16">
      <c r="M33601" s="49">
        <f>IF($A$4+335&gt;$B$4,"",$A$4+335)</f>
        <v>46358</v>
      </c>
      <c r="N33601">
        <f>IF(M33601="","",'Master Barang'!A95)</f>
        <v>0</v>
      </c>
      <c r="O33601">
        <f>IF(N33601="","",'Master Barang'!B95)</f>
        <v>0</v>
      </c>
      <c r="P33601">
        <f>IF(OR(M33601="",N33601=""),"",SUMIFS('Barang Keluar'!$E:$E,'Barang Keluar'!$A:$A,M33601,'Barang Keluar'!$C:$C,N33601))</f>
        <v>0</v>
      </c>
    </row>
    <row r="33602" spans="13:16">
      <c r="M33602" s="49">
        <f>IF($A$4+335&gt;$B$4,"",$A$4+335)</f>
        <v>46358</v>
      </c>
      <c r="N33602">
        <f>IF(M33602="","",'Master Barang'!A96)</f>
        <v>0</v>
      </c>
      <c r="O33602">
        <f>IF(N33602="","",'Master Barang'!B96)</f>
        <v>0</v>
      </c>
      <c r="P33602">
        <f>IF(OR(M33602="",N33602=""),"",SUMIFS('Barang Keluar'!$E:$E,'Barang Keluar'!$A:$A,M33602,'Barang Keluar'!$C:$C,N33602))</f>
        <v>0</v>
      </c>
    </row>
    <row r="33603" spans="13:16">
      <c r="M33603" s="49">
        <f>IF($A$4+335&gt;$B$4,"",$A$4+335)</f>
        <v>46358</v>
      </c>
      <c r="N33603">
        <f>IF(M33603="","",'Master Barang'!A97)</f>
        <v>0</v>
      </c>
      <c r="O33603">
        <f>IF(N33603="","",'Master Barang'!B97)</f>
        <v>0</v>
      </c>
      <c r="P33603">
        <f>IF(OR(M33603="",N33603=""),"",SUMIFS('Barang Keluar'!$E:$E,'Barang Keluar'!$A:$A,M33603,'Barang Keluar'!$C:$C,N33603))</f>
        <v>0</v>
      </c>
    </row>
    <row r="33604" spans="13:16">
      <c r="M33604" s="49">
        <f>IF($A$4+335&gt;$B$4,"",$A$4+335)</f>
        <v>46358</v>
      </c>
      <c r="N33604">
        <f>IF(M33604="","",'Master Barang'!A98)</f>
        <v>0</v>
      </c>
      <c r="O33604">
        <f>IF(N33604="","",'Master Barang'!B98)</f>
        <v>0</v>
      </c>
      <c r="P33604">
        <f>IF(OR(M33604="",N33604=""),"",SUMIFS('Barang Keluar'!$E:$E,'Barang Keluar'!$A:$A,M33604,'Barang Keluar'!$C:$C,N33604))</f>
        <v>0</v>
      </c>
    </row>
    <row r="33605" spans="13:16">
      <c r="M33605" s="49">
        <f>IF($A$4+335&gt;$B$4,"",$A$4+335)</f>
        <v>46358</v>
      </c>
      <c r="N33605">
        <f>IF(M33605="","",'Master Barang'!A99)</f>
        <v>0</v>
      </c>
      <c r="O33605">
        <f>IF(N33605="","",'Master Barang'!B99)</f>
        <v>0</v>
      </c>
      <c r="P33605">
        <f>IF(OR(M33605="",N33605=""),"",SUMIFS('Barang Keluar'!$E:$E,'Barang Keluar'!$A:$A,M33605,'Barang Keluar'!$C:$C,N33605))</f>
        <v>0</v>
      </c>
    </row>
    <row r="33606" spans="13:16">
      <c r="M33606" s="49">
        <f>IF($A$4+335&gt;$B$4,"",$A$4+335)</f>
        <v>46358</v>
      </c>
      <c r="N33606">
        <f>IF(M33606="","",'Master Barang'!A100)</f>
        <v>0</v>
      </c>
      <c r="O33606">
        <f>IF(N33606="","",'Master Barang'!B100)</f>
        <v>0</v>
      </c>
      <c r="P33606">
        <f>IF(OR(M33606="",N33606=""),"",SUMIFS('Barang Keluar'!$E:$E,'Barang Keluar'!$A:$A,M33606,'Barang Keluar'!$C:$C,N33606))</f>
        <v>0</v>
      </c>
    </row>
    <row r="33607" spans="13:16">
      <c r="M33607" s="49">
        <f>IF($A$4+335&gt;$B$4,"",$A$4+335)</f>
        <v>46358</v>
      </c>
      <c r="N33607">
        <f>IF(M33607="","",'Master Barang'!A101)</f>
        <v>0</v>
      </c>
      <c r="O33607">
        <f>IF(N33607="","",'Master Barang'!B101)</f>
        <v>0</v>
      </c>
      <c r="P33607">
        <f>IF(OR(M33607="",N33607=""),"",SUMIFS('Barang Keluar'!$E:$E,'Barang Keluar'!$A:$A,M33607,'Barang Keluar'!$C:$C,N33607))</f>
        <v>0</v>
      </c>
    </row>
    <row r="33608" spans="13:16">
      <c r="M33608" s="49">
        <f>IF($A$4+336&gt;$B$4,"",$A$4+336)</f>
        <v>46359</v>
      </c>
      <c r="N33608" t="str">
        <f>IF(M33608="","",'Master Barang'!A2)</f>
        <v>PRL-001</v>
      </c>
      <c r="O33608" t="str">
        <f>IF(N33608="","",'Master Barang'!B2)</f>
        <v>natura desinfectant food grade 5l</v>
      </c>
      <c r="P33608">
        <f>IF(OR(M33608="",N33608=""),"",SUMIFS('Barang Keluar'!$E:$E,'Barang Keluar'!$A:$A,M33608,'Barang Keluar'!$C:$C,N33608))</f>
        <v>0</v>
      </c>
    </row>
    <row r="33609" spans="13:16">
      <c r="M33609" s="49">
        <f>IF($A$4+336&gt;$B$4,"",$A$4+336)</f>
        <v>46359</v>
      </c>
      <c r="N33609" t="str">
        <f>IF(M33609="","",'Master Barang'!A3)</f>
        <v>PRL-002</v>
      </c>
      <c r="O33609" t="str">
        <f>IF(N33609="","",'Master Barang'!B3)</f>
        <v>sunlight cairan pencuci piring 5l</v>
      </c>
      <c r="P33609">
        <f>IF(OR(M33609="",N33609=""),"",SUMIFS('Barang Keluar'!$E:$E,'Barang Keluar'!$A:$A,M33609,'Barang Keluar'!$C:$C,N33609))</f>
        <v>0</v>
      </c>
    </row>
    <row r="33610" spans="13:16">
      <c r="M33610" s="49">
        <f>IF($A$4+336&gt;$B$4,"",$A$4+336)</f>
        <v>46359</v>
      </c>
      <c r="N33610" t="str">
        <f>IF(M33610="","",'Master Barang'!A4)</f>
        <v>PRL-003</v>
      </c>
      <c r="O33610" t="str">
        <f>IF(N33610="","",'Master Barang'!B4)</f>
        <v>oixs cleaner 1l</v>
      </c>
      <c r="P33610">
        <f>IF(OR(M33610="",N33610=""),"",SUMIFS('Barang Keluar'!$E:$E,'Barang Keluar'!$A:$A,M33610,'Barang Keluar'!$C:$C,N33610))</f>
        <v>0</v>
      </c>
    </row>
    <row r="33611" spans="13:16">
      <c r="M33611" s="49">
        <f>IF($A$4+336&gt;$B$4,"",$A$4+336)</f>
        <v>46359</v>
      </c>
      <c r="N33611" t="str">
        <f>IF(M33611="","",'Master Barang'!A5)</f>
        <v>PRL-004</v>
      </c>
      <c r="O33611" t="str">
        <f>IF(N33611="","",'Master Barang'!B5)</f>
        <v>be clean tissue serbaguna</v>
      </c>
      <c r="P33611">
        <f>IF(OR(M33611="",N33611=""),"",SUMIFS('Barang Keluar'!$E:$E,'Barang Keluar'!$A:$A,M33611,'Barang Keluar'!$C:$C,N33611))</f>
        <v>0</v>
      </c>
    </row>
    <row r="33612" spans="13:16">
      <c r="M33612" s="49">
        <f>IF($A$4+336&gt;$B$4,"",$A$4+336)</f>
        <v>46359</v>
      </c>
      <c r="N33612" t="str">
        <f>IF(M33612="","",'Master Barang'!A6)</f>
        <v>PRL-005</v>
      </c>
      <c r="O33612" t="str">
        <f>IF(N33612="","",'Master Barang'!B6)</f>
        <v>spons cuci hijau</v>
      </c>
      <c r="P33612">
        <f>IF(OR(M33612="",N33612=""),"",SUMIFS('Barang Keluar'!$E:$E,'Barang Keluar'!$A:$A,M33612,'Barang Keluar'!$C:$C,N33612))</f>
        <v>0</v>
      </c>
    </row>
    <row r="33613" spans="13:16">
      <c r="M33613" s="49">
        <f>IF($A$4+336&gt;$B$4,"",$A$4+336)</f>
        <v>46359</v>
      </c>
      <c r="N33613" t="str">
        <f>IF(M33613="","",'Master Barang'!A7)</f>
        <v>PRL-006</v>
      </c>
      <c r="O33613" t="str">
        <f>IF(N33613="","",'Master Barang'!B7)</f>
        <v>sabut cuci stainless</v>
      </c>
      <c r="P33613">
        <f>IF(OR(M33613="",N33613=""),"",SUMIFS('Barang Keluar'!$E:$E,'Barang Keluar'!$A:$A,M33613,'Barang Keluar'!$C:$C,N33613))</f>
        <v>0</v>
      </c>
    </row>
    <row r="33614" spans="13:16">
      <c r="M33614" s="49">
        <f>IF($A$4+336&gt;$B$4,"",$A$4+336)</f>
        <v>46359</v>
      </c>
      <c r="N33614" t="str">
        <f>IF(M33614="","",'Master Barang'!A8)</f>
        <v>PRL-007</v>
      </c>
      <c r="O33614" t="str">
        <f>IF(N33614="","",'Master Barang'!B8)</f>
        <v>plastik kresek besar merah 50pc</v>
      </c>
      <c r="P33614">
        <f>IF(OR(M33614="",N33614=""),"",SUMIFS('Barang Keluar'!$E:$E,'Barang Keluar'!$A:$A,M33614,'Barang Keluar'!$C:$C,N33614))</f>
        <v>0</v>
      </c>
    </row>
    <row r="33615" spans="13:16">
      <c r="M33615" s="49">
        <f>IF($A$4+336&gt;$B$4,"",$A$4+336)</f>
        <v>46359</v>
      </c>
      <c r="N33615" t="str">
        <f>IF(M33615="","",'Master Barang'!A9)</f>
        <v>PRL-008</v>
      </c>
      <c r="O33615" t="str">
        <f>IF(N33615="","",'Master Barang'!B9)</f>
        <v>lap besar</v>
      </c>
      <c r="P33615">
        <f>IF(OR(M33615="",N33615=""),"",SUMIFS('Barang Keluar'!$E:$E,'Barang Keluar'!$A:$A,M33615,'Barang Keluar'!$C:$C,N33615))</f>
        <v>0</v>
      </c>
    </row>
    <row r="33616" spans="13:16">
      <c r="M33616" s="49">
        <f>IF($A$4+336&gt;$B$4,"",$A$4+336)</f>
        <v>46359</v>
      </c>
      <c r="N33616" t="str">
        <f>IF(M33616="","",'Master Barang'!A10)</f>
        <v>PRL-009</v>
      </c>
      <c r="O33616" t="str">
        <f>IF(N33616="","",'Master Barang'!B10)</f>
        <v>lap microfiber</v>
      </c>
      <c r="P33616">
        <f>IF(OR(M33616="",N33616=""),"",SUMIFS('Barang Keluar'!$E:$E,'Barang Keluar'!$A:$A,M33616,'Barang Keluar'!$C:$C,N33616))</f>
        <v>0</v>
      </c>
    </row>
    <row r="33617" spans="13:16">
      <c r="M33617" s="49">
        <f>IF($A$4+336&gt;$B$4,"",$A$4+336)</f>
        <v>46359</v>
      </c>
      <c r="N33617" t="str">
        <f>IF(M33617="","",'Master Barang'!A11)</f>
        <v>PRL-010</v>
      </c>
      <c r="O33617" t="str">
        <f>IF(N33617="","",'Master Barang'!B11)</f>
        <v>lap kecil</v>
      </c>
      <c r="P33617">
        <f>IF(OR(M33617="",N33617=""),"",SUMIFS('Barang Keluar'!$E:$E,'Barang Keluar'!$A:$A,M33617,'Barang Keluar'!$C:$C,N33617))</f>
        <v>0</v>
      </c>
    </row>
    <row r="33618" spans="13:16">
      <c r="M33618" s="49">
        <f>IF($A$4+336&gt;$B$4,"",$A$4+336)</f>
        <v>46359</v>
      </c>
      <c r="N33618" t="str">
        <f>IF(M33618="","",'Master Barang'!A12)</f>
        <v>PRL-011</v>
      </c>
      <c r="O33618" t="str">
        <f>IF(N33618="","",'Master Barang'!B12)</f>
        <v>kanebo kecil</v>
      </c>
      <c r="P33618">
        <f>IF(OR(M33618="",N33618=""),"",SUMIFS('Barang Keluar'!$E:$E,'Barang Keluar'!$A:$A,M33618,'Barang Keluar'!$C:$C,N33618))</f>
        <v>0</v>
      </c>
    </row>
    <row r="33619" spans="13:16">
      <c r="M33619" s="49">
        <f>IF($A$4+336&gt;$B$4,"",$A$4+336)</f>
        <v>46359</v>
      </c>
      <c r="N33619" t="str">
        <f>IF(M33619="","",'Master Barang'!A13)</f>
        <v>PRL-012</v>
      </c>
      <c r="O33619" t="str">
        <f>IF(N33619="","",'Master Barang'!B13)</f>
        <v>plastik 1/4kg joyoboyo 100 lembar</v>
      </c>
      <c r="P33619">
        <f>IF(OR(M33619="",N33619=""),"",SUMIFS('Barang Keluar'!$E:$E,'Barang Keluar'!$A:$A,M33619,'Barang Keluar'!$C:$C,N33619))</f>
        <v>0</v>
      </c>
    </row>
    <row r="33620" spans="13:16">
      <c r="M33620" s="49">
        <f>IF($A$4+336&gt;$B$4,"",$A$4+336)</f>
        <v>46359</v>
      </c>
      <c r="N33620" t="str">
        <f>IF(M33620="","",'Master Barang'!A14)</f>
        <v>PRL-013</v>
      </c>
      <c r="O33620" t="str">
        <f>IF(N33620="","",'Master Barang'!B14)</f>
        <v>sarung tangan plastik kaka 100 pcs</v>
      </c>
      <c r="P33620">
        <f>IF(OR(M33620="",N33620=""),"",SUMIFS('Barang Keluar'!$E:$E,'Barang Keluar'!$A:$A,M33620,'Barang Keluar'!$C:$C,N33620))</f>
        <v>0</v>
      </c>
    </row>
    <row r="33621" spans="13:16">
      <c r="M33621" s="49">
        <f>IF($A$4+336&gt;$B$4,"",$A$4+336)</f>
        <v>46359</v>
      </c>
      <c r="N33621" t="str">
        <f>IF(M33621="","",'Master Barang'!A15)</f>
        <v>PRL-014</v>
      </c>
      <c r="O33621" t="str">
        <f>IF(N33621="","",'Master Barang'!B15)</f>
        <v>optima trashbag 80x100</v>
      </c>
      <c r="P33621">
        <f>IF(OR(M33621="",N33621=""),"",SUMIFS('Barang Keluar'!$E:$E,'Barang Keluar'!$A:$A,M33621,'Barang Keluar'!$C:$C,N33621))</f>
        <v>0</v>
      </c>
    </row>
    <row r="33622" spans="13:16">
      <c r="M33622" s="49">
        <f>IF($A$4+336&gt;$B$4,"",$A$4+336)</f>
        <v>46359</v>
      </c>
      <c r="N33622" t="str">
        <f>IF(M33622="","",'Master Barang'!A16)</f>
        <v>PRL-015</v>
      </c>
      <c r="O33622" t="str">
        <f>IF(N33622="","",'Master Barang'!B16)</f>
        <v>optima trashbag 60x100</v>
      </c>
      <c r="P33622">
        <f>IF(OR(M33622="",N33622=""),"",SUMIFS('Barang Keluar'!$E:$E,'Barang Keluar'!$A:$A,M33622,'Barang Keluar'!$C:$C,N33622))</f>
        <v>0</v>
      </c>
    </row>
    <row r="33623" spans="13:16">
      <c r="M33623" s="49">
        <f>IF($A$4+336&gt;$B$4,"",$A$4+336)</f>
        <v>46359</v>
      </c>
      <c r="N33623" t="str">
        <f>IF(M33623="","",'Master Barang'!A17)</f>
        <v>PRL-016</v>
      </c>
      <c r="O33623" t="str">
        <f>IF(N33623="","",'Master Barang'!B17)</f>
        <v>rajawali trashbag 30x40</v>
      </c>
      <c r="P33623">
        <f>IF(OR(M33623="",N33623=""),"",SUMIFS('Barang Keluar'!$E:$E,'Barang Keluar'!$A:$A,M33623,'Barang Keluar'!$C:$C,N33623))</f>
        <v>0</v>
      </c>
    </row>
    <row r="33624" spans="13:16">
      <c r="M33624" s="49">
        <f>IF($A$4+336&gt;$B$4,"",$A$4+336)</f>
        <v>46359</v>
      </c>
      <c r="N33624" t="str">
        <f>IF(M33624="","",'Master Barang'!A18)</f>
        <v>PRL-017</v>
      </c>
      <c r="O33624" t="str">
        <f>IF(N33624="","",'Master Barang'!B18)</f>
        <v>onemed masker biru 3 play 50 pcs</v>
      </c>
      <c r="P33624">
        <f>IF(OR(M33624="",N33624=""),"",SUMIFS('Barang Keluar'!$E:$E,'Barang Keluar'!$A:$A,M33624,'Barang Keluar'!$C:$C,N33624))</f>
        <v>0</v>
      </c>
    </row>
    <row r="33625" spans="13:16">
      <c r="M33625" s="49">
        <f>IF($A$4+336&gt;$B$4,"",$A$4+336)</f>
        <v>46359</v>
      </c>
      <c r="N33625" t="str">
        <f>IF(M33625="","",'Master Barang'!A19)</f>
        <v>PRL-018</v>
      </c>
      <c r="O33625" t="str">
        <f>IF(N33625="","",'Master Barang'!B19)</f>
        <v>onemed masker biru 3 play hijab 50 pcs</v>
      </c>
      <c r="P33625">
        <f>IF(OR(M33625="",N33625=""),"",SUMIFS('Barang Keluar'!$E:$E,'Barang Keluar'!$A:$A,M33625,'Barang Keluar'!$C:$C,N33625))</f>
        <v>0</v>
      </c>
    </row>
    <row r="33626" spans="13:16">
      <c r="M33626" s="49">
        <f>IF($A$4+336&gt;$B$4,"",$A$4+336)</f>
        <v>46359</v>
      </c>
      <c r="N33626" t="str">
        <f>IF(M33626="","",'Master Barang'!A20)</f>
        <v>PRL-019</v>
      </c>
      <c r="O33626" t="str">
        <f>IF(N33626="","",'Master Barang'!B20)</f>
        <v>neo health masker biru 3 play 50 pcs</v>
      </c>
      <c r="P33626">
        <f>IF(OR(M33626="",N33626=""),"",SUMIFS('Barang Keluar'!$E:$E,'Barang Keluar'!$A:$A,M33626,'Barang Keluar'!$C:$C,N33626))</f>
        <v>0</v>
      </c>
    </row>
    <row r="33627" spans="13:16">
      <c r="M33627" s="49">
        <f>IF($A$4+336&gt;$B$4,"",$A$4+336)</f>
        <v>46359</v>
      </c>
      <c r="N33627" t="str">
        <f>IF(M33627="","",'Master Barang'!A21)</f>
        <v>PRL-020</v>
      </c>
      <c r="O33627" t="str">
        <f>IF(N33627="","",'Master Barang'!B21)</f>
        <v>baymed masker hijau 3 play hijau 50 pcs</v>
      </c>
      <c r="P33627">
        <f>IF(OR(M33627="",N33627=""),"",SUMIFS('Barang Keluar'!$E:$E,'Barang Keluar'!$A:$A,M33627,'Barang Keluar'!$C:$C,N33627))</f>
        <v>0</v>
      </c>
    </row>
    <row r="33628" spans="13:16">
      <c r="M33628" s="49">
        <f>IF($A$4+336&gt;$B$4,"",$A$4+336)</f>
        <v>46359</v>
      </c>
      <c r="N33628" t="str">
        <f>IF(M33628="","",'Master Barang'!A22)</f>
        <v>PRL-021</v>
      </c>
      <c r="O33628" t="str">
        <f>IF(N33628="","",'Master Barang'!B22)</f>
        <v>altamed nurse cap penutup kepala 100 pcs</v>
      </c>
      <c r="P33628">
        <f>IF(OR(M33628="",N33628=""),"",SUMIFS('Barang Keluar'!$E:$E,'Barang Keluar'!$A:$A,M33628,'Barang Keluar'!$C:$C,N33628))</f>
        <v>0</v>
      </c>
    </row>
    <row r="33629" spans="13:16">
      <c r="M33629" s="49">
        <f>IF($A$4+336&gt;$B$4,"",$A$4+336)</f>
        <v>46359</v>
      </c>
      <c r="N33629" t="str">
        <f>IF(M33629="","",'Master Barang'!A23)</f>
        <v>PRL-022</v>
      </c>
      <c r="O33629" t="str">
        <f>IF(N33629="","",'Master Barang'!B23)</f>
        <v>sabun cuci tangan</v>
      </c>
      <c r="P33629">
        <f>IF(OR(M33629="",N33629=""),"",SUMIFS('Barang Keluar'!$E:$E,'Barang Keluar'!$A:$A,M33629,'Barang Keluar'!$C:$C,N33629))</f>
        <v>0</v>
      </c>
    </row>
    <row r="33630" spans="13:16">
      <c r="M33630" s="49">
        <f>IF($A$4+336&gt;$B$4,"",$A$4+336)</f>
        <v>46359</v>
      </c>
      <c r="N33630" t="str">
        <f>IF(M33630="","",'Master Barang'!A24)</f>
        <v>PRL-023</v>
      </c>
      <c r="O33630" t="str">
        <f>IF(N33630="","",'Master Barang'!B24)</f>
        <v>gayung kecil</v>
      </c>
      <c r="P33630">
        <f>IF(OR(M33630="",N33630=""),"",SUMIFS('Barang Keluar'!$E:$E,'Barang Keluar'!$A:$A,M33630,'Barang Keluar'!$C:$C,N33630))</f>
        <v>0</v>
      </c>
    </row>
    <row r="33631" spans="13:16">
      <c r="M33631" s="49">
        <f>IF($A$4+336&gt;$B$4,"",$A$4+336)</f>
        <v>46359</v>
      </c>
      <c r="N33631" t="str">
        <f>IF(M33631="","",'Master Barang'!A25)</f>
        <v>PRL-024</v>
      </c>
      <c r="O33631" t="str">
        <f>IF(N33631="","",'Master Barang'!B25)</f>
        <v>cikrak kecil</v>
      </c>
      <c r="P33631">
        <f>IF(OR(M33631="",N33631=""),"",SUMIFS('Barang Keluar'!$E:$E,'Barang Keluar'!$A:$A,M33631,'Barang Keluar'!$C:$C,N33631))</f>
        <v>0</v>
      </c>
    </row>
    <row r="33632" spans="13:16">
      <c r="M33632" s="49">
        <f>IF($A$4+336&gt;$B$4,"",$A$4+336)</f>
        <v>46359</v>
      </c>
      <c r="N33632" t="str">
        <f>IF(M33632="","",'Master Barang'!A26)</f>
        <v>PRL-025</v>
      </c>
      <c r="O33632" t="str">
        <f>IF(N33632="","",'Master Barang'!B26)</f>
        <v>petromax plastik kecil 12x24 100 lembar</v>
      </c>
      <c r="P33632">
        <f>IF(OR(M33632="",N33632=""),"",SUMIFS('Barang Keluar'!$E:$E,'Barang Keluar'!$A:$A,M33632,'Barang Keluar'!$C:$C,N33632))</f>
        <v>0</v>
      </c>
    </row>
    <row r="33633" spans="13:16">
      <c r="M33633" s="49">
        <f>IF($A$4+336&gt;$B$4,"",$A$4+336)</f>
        <v>46359</v>
      </c>
      <c r="N33633" t="str">
        <f>IF(M33633="","",'Master Barang'!A27)</f>
        <v>PRL-026</v>
      </c>
      <c r="O33633" t="str">
        <f>IF(N33633="","",'Master Barang'!B27)</f>
        <v>lancar kresek kecil bening </v>
      </c>
      <c r="P33633">
        <f>IF(OR(M33633="",N33633=""),"",SUMIFS('Barang Keluar'!$E:$E,'Barang Keluar'!$A:$A,M33633,'Barang Keluar'!$C:$C,N33633))</f>
        <v>0</v>
      </c>
    </row>
    <row r="33634" spans="13:16">
      <c r="M33634" s="49">
        <f>IF($A$4+336&gt;$B$4,"",$A$4+336)</f>
        <v>46359</v>
      </c>
      <c r="N33634" t="str">
        <f>IF(M33634="","",'Master Barang'!A28)</f>
        <v>PRL-027</v>
      </c>
      <c r="O33634" t="str">
        <f>IF(N33634="","",'Master Barang'!B28)</f>
        <v>kresek klin warna warni kecil</v>
      </c>
      <c r="P33634">
        <f>IF(OR(M33634="",N33634=""),"",SUMIFS('Barang Keluar'!$E:$E,'Barang Keluar'!$A:$A,M33634,'Barang Keluar'!$C:$C,N33634))</f>
        <v>0</v>
      </c>
    </row>
    <row r="33635" spans="13:16">
      <c r="M33635" s="49">
        <f>IF($A$4+336&gt;$B$4,"",$A$4+336)</f>
        <v>46359</v>
      </c>
      <c r="N33635" t="str">
        <f>IF(M33635="","",'Master Barang'!A29)</f>
        <v>PRL-028</v>
      </c>
      <c r="O33635" t="str">
        <f>IF(N33635="","",'Master Barang'!B29)</f>
        <v>ctik plastik 7x10 100 pcs</v>
      </c>
      <c r="P33635">
        <f>IF(OR(M33635="",N33635=""),"",SUMIFS('Barang Keluar'!$E:$E,'Barang Keluar'!$A:$A,M33635,'Barang Keluar'!$C:$C,N33635))</f>
        <v>0</v>
      </c>
    </row>
    <row r="33636" spans="13:16">
      <c r="M33636" s="49">
        <f>IF($A$4+336&gt;$B$4,"",$A$4+336)</f>
        <v>46359</v>
      </c>
      <c r="N33636" t="str">
        <f>IF(M33636="","",'Master Barang'!A30)</f>
        <v>PRL-029</v>
      </c>
      <c r="O33636" t="str">
        <f>IF(N33636="","",'Master Barang'!B30)</f>
        <v>ctik plastik 6x10 100 pcs</v>
      </c>
      <c r="P33636">
        <f>IF(OR(M33636="",N33636=""),"",SUMIFS('Barang Keluar'!$E:$E,'Barang Keluar'!$A:$A,M33636,'Barang Keluar'!$C:$C,N33636))</f>
        <v>0</v>
      </c>
    </row>
    <row r="33637" spans="13:16">
      <c r="M33637" s="49">
        <f>IF($A$4+336&gt;$B$4,"",$A$4+336)</f>
        <v>46359</v>
      </c>
      <c r="N33637" t="str">
        <f>IF(M33637="","",'Master Barang'!A31)</f>
        <v>PRL-030</v>
      </c>
      <c r="O33637" t="str">
        <f>IF(N33637="","",'Master Barang'!B31)</f>
        <v>klip plastik 25x16 100 pcs</v>
      </c>
      <c r="P33637">
        <f>IF(OR(M33637="",N33637=""),"",SUMIFS('Barang Keluar'!$E:$E,'Barang Keluar'!$A:$A,M33637,'Barang Keluar'!$C:$C,N33637))</f>
        <v>0</v>
      </c>
    </row>
    <row r="33638" spans="13:16">
      <c r="M33638" s="49">
        <f>IF($A$4+336&gt;$B$4,"",$A$4+336)</f>
        <v>46359</v>
      </c>
      <c r="N33638" t="str">
        <f>IF(M33638="","",'Master Barang'!A32)</f>
        <v>PRL-031</v>
      </c>
      <c r="O33638" t="str">
        <f>IF(N33638="","",'Master Barang'!B32)</f>
        <v>tempat saus 20 ml</v>
      </c>
      <c r="P33638">
        <f>IF(OR(M33638="",N33638=""),"",SUMIFS('Barang Keluar'!$E:$E,'Barang Keluar'!$A:$A,M33638,'Barang Keluar'!$C:$C,N33638))</f>
        <v>0</v>
      </c>
    </row>
    <row r="33639" spans="13:16">
      <c r="M33639" s="49">
        <f>IF($A$4+336&gt;$B$4,"",$A$4+336)</f>
        <v>46359</v>
      </c>
      <c r="N33639" t="str">
        <f>IF(M33639="","",'Master Barang'!A33)</f>
        <v>PRL-032</v>
      </c>
      <c r="O33639" t="str">
        <f>IF(N33639="","",'Master Barang'!B33)</f>
        <v>plastik packaging ag box uk sedang</v>
      </c>
      <c r="P33639">
        <f>IF(OR(M33639="",N33639=""),"",SUMIFS('Barang Keluar'!$E:$E,'Barang Keluar'!$A:$A,M33639,'Barang Keluar'!$C:$C,N33639))</f>
        <v>0</v>
      </c>
    </row>
    <row r="33640" spans="13:16">
      <c r="M33640" s="49">
        <f>IF($A$4+336&gt;$B$4,"",$A$4+336)</f>
        <v>46359</v>
      </c>
      <c r="N33640" t="str">
        <f>IF(M33640="","",'Master Barang'!A34)</f>
        <v>PRL-033</v>
      </c>
      <c r="O33640">
        <f>IF(N33640="","",'Master Barang'!B34)</f>
        <v>0</v>
      </c>
      <c r="P33640">
        <f>IF(OR(M33640="",N33640=""),"",SUMIFS('Barang Keluar'!$E:$E,'Barang Keluar'!$A:$A,M33640,'Barang Keluar'!$C:$C,N33640))</f>
        <v>0</v>
      </c>
    </row>
    <row r="33641" spans="13:16">
      <c r="M33641" s="49">
        <f>IF($A$4+336&gt;$B$4,"",$A$4+336)</f>
        <v>46359</v>
      </c>
      <c r="N33641">
        <f>IF(M33641="","",'Master Barang'!A35)</f>
        <v>0</v>
      </c>
      <c r="O33641">
        <f>IF(N33641="","",'Master Barang'!B35)</f>
        <v>0</v>
      </c>
      <c r="P33641">
        <f>IF(OR(M33641="",N33641=""),"",SUMIFS('Barang Keluar'!$E:$E,'Barang Keluar'!$A:$A,M33641,'Barang Keluar'!$C:$C,N33641))</f>
        <v>0</v>
      </c>
    </row>
    <row r="33642" spans="13:16">
      <c r="M33642" s="49">
        <f>IF($A$4+336&gt;$B$4,"",$A$4+336)</f>
        <v>46359</v>
      </c>
      <c r="N33642">
        <f>IF(M33642="","",'Master Barang'!A36)</f>
        <v>0</v>
      </c>
      <c r="O33642">
        <f>IF(N33642="","",'Master Barang'!B36)</f>
        <v>0</v>
      </c>
      <c r="P33642">
        <f>IF(OR(M33642="",N33642=""),"",SUMIFS('Barang Keluar'!$E:$E,'Barang Keluar'!$A:$A,M33642,'Barang Keluar'!$C:$C,N33642))</f>
        <v>0</v>
      </c>
    </row>
    <row r="33643" spans="13:16">
      <c r="M33643" s="49">
        <f>IF($A$4+336&gt;$B$4,"",$A$4+336)</f>
        <v>46359</v>
      </c>
      <c r="N33643">
        <f>IF(M33643="","",'Master Barang'!A37)</f>
        <v>0</v>
      </c>
      <c r="O33643">
        <f>IF(N33643="","",'Master Barang'!B37)</f>
        <v>0</v>
      </c>
      <c r="P33643">
        <f>IF(OR(M33643="",N33643=""),"",SUMIFS('Barang Keluar'!$E:$E,'Barang Keluar'!$A:$A,M33643,'Barang Keluar'!$C:$C,N33643))</f>
        <v>0</v>
      </c>
    </row>
    <row r="33644" spans="13:16">
      <c r="M33644" s="49">
        <f>IF($A$4+336&gt;$B$4,"",$A$4+336)</f>
        <v>46359</v>
      </c>
      <c r="N33644">
        <f>IF(M33644="","",'Master Barang'!A38)</f>
        <v>0</v>
      </c>
      <c r="O33644">
        <f>IF(N33644="","",'Master Barang'!B38)</f>
        <v>0</v>
      </c>
      <c r="P33644">
        <f>IF(OR(M33644="",N33644=""),"",SUMIFS('Barang Keluar'!$E:$E,'Barang Keluar'!$A:$A,M33644,'Barang Keluar'!$C:$C,N33644))</f>
        <v>0</v>
      </c>
    </row>
    <row r="33645" spans="13:16">
      <c r="M33645" s="49">
        <f>IF($A$4+336&gt;$B$4,"",$A$4+336)</f>
        <v>46359</v>
      </c>
      <c r="N33645">
        <f>IF(M33645="","",'Master Barang'!A39)</f>
        <v>0</v>
      </c>
      <c r="O33645">
        <f>IF(N33645="","",'Master Barang'!B39)</f>
        <v>0</v>
      </c>
      <c r="P33645">
        <f>IF(OR(M33645="",N33645=""),"",SUMIFS('Barang Keluar'!$E:$E,'Barang Keluar'!$A:$A,M33645,'Barang Keluar'!$C:$C,N33645))</f>
        <v>0</v>
      </c>
    </row>
    <row r="33646" spans="13:16">
      <c r="M33646" s="49">
        <f>IF($A$4+336&gt;$B$4,"",$A$4+336)</f>
        <v>46359</v>
      </c>
      <c r="N33646">
        <f>IF(M33646="","",'Master Barang'!A40)</f>
        <v>0</v>
      </c>
      <c r="O33646">
        <f>IF(N33646="","",'Master Barang'!B40)</f>
        <v>0</v>
      </c>
      <c r="P33646">
        <f>IF(OR(M33646="",N33646=""),"",SUMIFS('Barang Keluar'!$E:$E,'Barang Keluar'!$A:$A,M33646,'Barang Keluar'!$C:$C,N33646))</f>
        <v>0</v>
      </c>
    </row>
    <row r="33647" spans="13:16">
      <c r="M33647" s="49">
        <f>IF($A$4+336&gt;$B$4,"",$A$4+336)</f>
        <v>46359</v>
      </c>
      <c r="N33647">
        <f>IF(M33647="","",'Master Barang'!A41)</f>
        <v>0</v>
      </c>
      <c r="O33647">
        <f>IF(N33647="","",'Master Barang'!B41)</f>
        <v>0</v>
      </c>
      <c r="P33647">
        <f>IF(OR(M33647="",N33647=""),"",SUMIFS('Barang Keluar'!$E:$E,'Barang Keluar'!$A:$A,M33647,'Barang Keluar'!$C:$C,N33647))</f>
        <v>0</v>
      </c>
    </row>
    <row r="33648" spans="13:16">
      <c r="M33648" s="49">
        <f>IF($A$4+336&gt;$B$4,"",$A$4+336)</f>
        <v>46359</v>
      </c>
      <c r="N33648">
        <f>IF(M33648="","",'Master Barang'!A42)</f>
        <v>0</v>
      </c>
      <c r="O33648">
        <f>IF(N33648="","",'Master Barang'!B42)</f>
        <v>0</v>
      </c>
      <c r="P33648">
        <f>IF(OR(M33648="",N33648=""),"",SUMIFS('Barang Keluar'!$E:$E,'Barang Keluar'!$A:$A,M33648,'Barang Keluar'!$C:$C,N33648))</f>
        <v>0</v>
      </c>
    </row>
    <row r="33649" spans="13:16">
      <c r="M33649" s="49">
        <f>IF($A$4+336&gt;$B$4,"",$A$4+336)</f>
        <v>46359</v>
      </c>
      <c r="N33649">
        <f>IF(M33649="","",'Master Barang'!A43)</f>
        <v>0</v>
      </c>
      <c r="O33649">
        <f>IF(N33649="","",'Master Barang'!B43)</f>
        <v>0</v>
      </c>
      <c r="P33649">
        <f>IF(OR(M33649="",N33649=""),"",SUMIFS('Barang Keluar'!$E:$E,'Barang Keluar'!$A:$A,M33649,'Barang Keluar'!$C:$C,N33649))</f>
        <v>0</v>
      </c>
    </row>
    <row r="33650" spans="13:16">
      <c r="M33650" s="49">
        <f>IF($A$4+336&gt;$B$4,"",$A$4+336)</f>
        <v>46359</v>
      </c>
      <c r="N33650">
        <f>IF(M33650="","",'Master Barang'!A44)</f>
        <v>0</v>
      </c>
      <c r="O33650">
        <f>IF(N33650="","",'Master Barang'!B44)</f>
        <v>0</v>
      </c>
      <c r="P33650">
        <f>IF(OR(M33650="",N33650=""),"",SUMIFS('Barang Keluar'!$E:$E,'Barang Keluar'!$A:$A,M33650,'Barang Keluar'!$C:$C,N33650))</f>
        <v>0</v>
      </c>
    </row>
    <row r="33651" spans="13:16">
      <c r="M33651" s="49">
        <f>IF($A$4+336&gt;$B$4,"",$A$4+336)</f>
        <v>46359</v>
      </c>
      <c r="N33651">
        <f>IF(M33651="","",'Master Barang'!A45)</f>
        <v>0</v>
      </c>
      <c r="O33651">
        <f>IF(N33651="","",'Master Barang'!B45)</f>
        <v>0</v>
      </c>
      <c r="P33651">
        <f>IF(OR(M33651="",N33651=""),"",SUMIFS('Barang Keluar'!$E:$E,'Barang Keluar'!$A:$A,M33651,'Barang Keluar'!$C:$C,N33651))</f>
        <v>0</v>
      </c>
    </row>
    <row r="33652" spans="13:16">
      <c r="M33652" s="49">
        <f>IF($A$4+336&gt;$B$4,"",$A$4+336)</f>
        <v>46359</v>
      </c>
      <c r="N33652">
        <f>IF(M33652="","",'Master Barang'!A46)</f>
        <v>0</v>
      </c>
      <c r="O33652">
        <f>IF(N33652="","",'Master Barang'!B46)</f>
        <v>0</v>
      </c>
      <c r="P33652">
        <f>IF(OR(M33652="",N33652=""),"",SUMIFS('Barang Keluar'!$E:$E,'Barang Keluar'!$A:$A,M33652,'Barang Keluar'!$C:$C,N33652))</f>
        <v>0</v>
      </c>
    </row>
    <row r="33653" spans="13:16">
      <c r="M33653" s="49">
        <f>IF($A$4+336&gt;$B$4,"",$A$4+336)</f>
        <v>46359</v>
      </c>
      <c r="N33653">
        <f>IF(M33653="","",'Master Barang'!A47)</f>
        <v>0</v>
      </c>
      <c r="O33653">
        <f>IF(N33653="","",'Master Barang'!B47)</f>
        <v>0</v>
      </c>
      <c r="P33653">
        <f>IF(OR(M33653="",N33653=""),"",SUMIFS('Barang Keluar'!$E:$E,'Barang Keluar'!$A:$A,M33653,'Barang Keluar'!$C:$C,N33653))</f>
        <v>0</v>
      </c>
    </row>
    <row r="33654" spans="13:16">
      <c r="M33654" s="49">
        <f>IF($A$4+336&gt;$B$4,"",$A$4+336)</f>
        <v>46359</v>
      </c>
      <c r="N33654">
        <f>IF(M33654="","",'Master Barang'!A48)</f>
        <v>0</v>
      </c>
      <c r="O33654">
        <f>IF(N33654="","",'Master Barang'!B48)</f>
        <v>0</v>
      </c>
      <c r="P33654">
        <f>IF(OR(M33654="",N33654=""),"",SUMIFS('Barang Keluar'!$E:$E,'Barang Keluar'!$A:$A,M33654,'Barang Keluar'!$C:$C,N33654))</f>
        <v>0</v>
      </c>
    </row>
    <row r="33655" spans="13:16">
      <c r="M33655" s="49">
        <f>IF($A$4+336&gt;$B$4,"",$A$4+336)</f>
        <v>46359</v>
      </c>
      <c r="N33655">
        <f>IF(M33655="","",'Master Barang'!A49)</f>
        <v>0</v>
      </c>
      <c r="O33655">
        <f>IF(N33655="","",'Master Barang'!B49)</f>
        <v>0</v>
      </c>
      <c r="P33655">
        <f>IF(OR(M33655="",N33655=""),"",SUMIFS('Barang Keluar'!$E:$E,'Barang Keluar'!$A:$A,M33655,'Barang Keluar'!$C:$C,N33655))</f>
        <v>0</v>
      </c>
    </row>
    <row r="33656" spans="13:16">
      <c r="M33656" s="49">
        <f>IF($A$4+336&gt;$B$4,"",$A$4+336)</f>
        <v>46359</v>
      </c>
      <c r="N33656">
        <f>IF(M33656="","",'Master Barang'!A50)</f>
        <v>0</v>
      </c>
      <c r="O33656">
        <f>IF(N33656="","",'Master Barang'!B50)</f>
        <v>0</v>
      </c>
      <c r="P33656">
        <f>IF(OR(M33656="",N33656=""),"",SUMIFS('Barang Keluar'!$E:$E,'Barang Keluar'!$A:$A,M33656,'Barang Keluar'!$C:$C,N33656))</f>
        <v>0</v>
      </c>
    </row>
    <row r="33657" spans="13:16">
      <c r="M33657" s="49">
        <f>IF($A$4+336&gt;$B$4,"",$A$4+336)</f>
        <v>46359</v>
      </c>
      <c r="N33657">
        <f>IF(M33657="","",'Master Barang'!A51)</f>
        <v>0</v>
      </c>
      <c r="O33657">
        <f>IF(N33657="","",'Master Barang'!B51)</f>
        <v>0</v>
      </c>
      <c r="P33657">
        <f>IF(OR(M33657="",N33657=""),"",SUMIFS('Barang Keluar'!$E:$E,'Barang Keluar'!$A:$A,M33657,'Barang Keluar'!$C:$C,N33657))</f>
        <v>0</v>
      </c>
    </row>
    <row r="33658" spans="13:16">
      <c r="M33658" s="49">
        <f>IF($A$4+336&gt;$B$4,"",$A$4+336)</f>
        <v>46359</v>
      </c>
      <c r="N33658">
        <f>IF(M33658="","",'Master Barang'!A52)</f>
        <v>0</v>
      </c>
      <c r="O33658">
        <f>IF(N33658="","",'Master Barang'!B52)</f>
        <v>0</v>
      </c>
      <c r="P33658">
        <f>IF(OR(M33658="",N33658=""),"",SUMIFS('Barang Keluar'!$E:$E,'Barang Keluar'!$A:$A,M33658,'Barang Keluar'!$C:$C,N33658))</f>
        <v>0</v>
      </c>
    </row>
    <row r="33659" spans="13:16">
      <c r="M33659" s="49">
        <f>IF($A$4+336&gt;$B$4,"",$A$4+336)</f>
        <v>46359</v>
      </c>
      <c r="N33659">
        <f>IF(M33659="","",'Master Barang'!A53)</f>
        <v>0</v>
      </c>
      <c r="O33659">
        <f>IF(N33659="","",'Master Barang'!B53)</f>
        <v>0</v>
      </c>
      <c r="P33659">
        <f>IF(OR(M33659="",N33659=""),"",SUMIFS('Barang Keluar'!$E:$E,'Barang Keluar'!$A:$A,M33659,'Barang Keluar'!$C:$C,N33659))</f>
        <v>0</v>
      </c>
    </row>
    <row r="33660" spans="13:16">
      <c r="M33660" s="49">
        <f>IF($A$4+336&gt;$B$4,"",$A$4+336)</f>
        <v>46359</v>
      </c>
      <c r="N33660">
        <f>IF(M33660="","",'Master Barang'!A54)</f>
        <v>0</v>
      </c>
      <c r="O33660">
        <f>IF(N33660="","",'Master Barang'!B54)</f>
        <v>0</v>
      </c>
      <c r="P33660">
        <f>IF(OR(M33660="",N33660=""),"",SUMIFS('Barang Keluar'!$E:$E,'Barang Keluar'!$A:$A,M33660,'Barang Keluar'!$C:$C,N33660))</f>
        <v>0</v>
      </c>
    </row>
    <row r="33661" spans="13:16">
      <c r="M33661" s="49">
        <f>IF($A$4+336&gt;$B$4,"",$A$4+336)</f>
        <v>46359</v>
      </c>
      <c r="N33661">
        <f>IF(M33661="","",'Master Barang'!A55)</f>
        <v>0</v>
      </c>
      <c r="O33661">
        <f>IF(N33661="","",'Master Barang'!B55)</f>
        <v>0</v>
      </c>
      <c r="P33661">
        <f>IF(OR(M33661="",N33661=""),"",SUMIFS('Barang Keluar'!$E:$E,'Barang Keluar'!$A:$A,M33661,'Barang Keluar'!$C:$C,N33661))</f>
        <v>0</v>
      </c>
    </row>
    <row r="33662" spans="13:16">
      <c r="M33662" s="49">
        <f>IF($A$4+336&gt;$B$4,"",$A$4+336)</f>
        <v>46359</v>
      </c>
      <c r="N33662">
        <f>IF(M33662="","",'Master Barang'!A56)</f>
        <v>0</v>
      </c>
      <c r="O33662">
        <f>IF(N33662="","",'Master Barang'!B56)</f>
        <v>0</v>
      </c>
      <c r="P33662">
        <f>IF(OR(M33662="",N33662=""),"",SUMIFS('Barang Keluar'!$E:$E,'Barang Keluar'!$A:$A,M33662,'Barang Keluar'!$C:$C,N33662))</f>
        <v>0</v>
      </c>
    </row>
    <row r="33663" spans="13:16">
      <c r="M33663" s="49">
        <f>IF($A$4+336&gt;$B$4,"",$A$4+336)</f>
        <v>46359</v>
      </c>
      <c r="N33663">
        <f>IF(M33663="","",'Master Barang'!A57)</f>
        <v>0</v>
      </c>
      <c r="O33663">
        <f>IF(N33663="","",'Master Barang'!B57)</f>
        <v>0</v>
      </c>
      <c r="P33663">
        <f>IF(OR(M33663="",N33663=""),"",SUMIFS('Barang Keluar'!$E:$E,'Barang Keluar'!$A:$A,M33663,'Barang Keluar'!$C:$C,N33663))</f>
        <v>0</v>
      </c>
    </row>
    <row r="33664" spans="13:16">
      <c r="M33664" s="49">
        <f>IF($A$4+336&gt;$B$4,"",$A$4+336)</f>
        <v>46359</v>
      </c>
      <c r="N33664">
        <f>IF(M33664="","",'Master Barang'!A58)</f>
        <v>0</v>
      </c>
      <c r="O33664">
        <f>IF(N33664="","",'Master Barang'!B58)</f>
        <v>0</v>
      </c>
      <c r="P33664">
        <f>IF(OR(M33664="",N33664=""),"",SUMIFS('Barang Keluar'!$E:$E,'Barang Keluar'!$A:$A,M33664,'Barang Keluar'!$C:$C,N33664))</f>
        <v>0</v>
      </c>
    </row>
    <row r="33665" spans="13:16">
      <c r="M33665" s="49">
        <f>IF($A$4+336&gt;$B$4,"",$A$4+336)</f>
        <v>46359</v>
      </c>
      <c r="N33665">
        <f>IF(M33665="","",'Master Barang'!A59)</f>
        <v>0</v>
      </c>
      <c r="O33665">
        <f>IF(N33665="","",'Master Barang'!B59)</f>
        <v>0</v>
      </c>
      <c r="P33665">
        <f>IF(OR(M33665="",N33665=""),"",SUMIFS('Barang Keluar'!$E:$E,'Barang Keluar'!$A:$A,M33665,'Barang Keluar'!$C:$C,N33665))</f>
        <v>0</v>
      </c>
    </row>
    <row r="33666" spans="13:16">
      <c r="M33666" s="49">
        <f>IF($A$4+336&gt;$B$4,"",$A$4+336)</f>
        <v>46359</v>
      </c>
      <c r="N33666">
        <f>IF(M33666="","",'Master Barang'!A60)</f>
        <v>0</v>
      </c>
      <c r="O33666">
        <f>IF(N33666="","",'Master Barang'!B60)</f>
        <v>0</v>
      </c>
      <c r="P33666">
        <f>IF(OR(M33666="",N33666=""),"",SUMIFS('Barang Keluar'!$E:$E,'Barang Keluar'!$A:$A,M33666,'Barang Keluar'!$C:$C,N33666))</f>
        <v>0</v>
      </c>
    </row>
    <row r="33667" spans="13:16">
      <c r="M33667" s="49">
        <f>IF($A$4+336&gt;$B$4,"",$A$4+336)</f>
        <v>46359</v>
      </c>
      <c r="N33667">
        <f>IF(M33667="","",'Master Barang'!A61)</f>
        <v>0</v>
      </c>
      <c r="O33667">
        <f>IF(N33667="","",'Master Barang'!B61)</f>
        <v>0</v>
      </c>
      <c r="P33667">
        <f>IF(OR(M33667="",N33667=""),"",SUMIFS('Barang Keluar'!$E:$E,'Barang Keluar'!$A:$A,M33667,'Barang Keluar'!$C:$C,N33667))</f>
        <v>0</v>
      </c>
    </row>
    <row r="33668" spans="13:16">
      <c r="M33668" s="49">
        <f>IF($A$4+336&gt;$B$4,"",$A$4+336)</f>
        <v>46359</v>
      </c>
      <c r="N33668">
        <f>IF(M33668="","",'Master Barang'!A62)</f>
        <v>0</v>
      </c>
      <c r="O33668">
        <f>IF(N33668="","",'Master Barang'!B62)</f>
        <v>0</v>
      </c>
      <c r="P33668">
        <f>IF(OR(M33668="",N33668=""),"",SUMIFS('Barang Keluar'!$E:$E,'Barang Keluar'!$A:$A,M33668,'Barang Keluar'!$C:$C,N33668))</f>
        <v>0</v>
      </c>
    </row>
    <row r="33669" spans="13:16">
      <c r="M33669" s="49">
        <f>IF($A$4+336&gt;$B$4,"",$A$4+336)</f>
        <v>46359</v>
      </c>
      <c r="N33669">
        <f>IF(M33669="","",'Master Barang'!A63)</f>
        <v>0</v>
      </c>
      <c r="O33669">
        <f>IF(N33669="","",'Master Barang'!B63)</f>
        <v>0</v>
      </c>
      <c r="P33669">
        <f>IF(OR(M33669="",N33669=""),"",SUMIFS('Barang Keluar'!$E:$E,'Barang Keluar'!$A:$A,M33669,'Barang Keluar'!$C:$C,N33669))</f>
        <v>0</v>
      </c>
    </row>
    <row r="33670" spans="13:16">
      <c r="M33670" s="49">
        <f>IF($A$4+336&gt;$B$4,"",$A$4+336)</f>
        <v>46359</v>
      </c>
      <c r="N33670">
        <f>IF(M33670="","",'Master Barang'!A64)</f>
        <v>0</v>
      </c>
      <c r="O33670">
        <f>IF(N33670="","",'Master Barang'!B64)</f>
        <v>0</v>
      </c>
      <c r="P33670">
        <f>IF(OR(M33670="",N33670=""),"",SUMIFS('Barang Keluar'!$E:$E,'Barang Keluar'!$A:$A,M33670,'Barang Keluar'!$C:$C,N33670))</f>
        <v>0</v>
      </c>
    </row>
    <row r="33671" spans="13:16">
      <c r="M33671" s="49">
        <f>IF($A$4+336&gt;$B$4,"",$A$4+336)</f>
        <v>46359</v>
      </c>
      <c r="N33671">
        <f>IF(M33671="","",'Master Barang'!A65)</f>
        <v>0</v>
      </c>
      <c r="O33671">
        <f>IF(N33671="","",'Master Barang'!B65)</f>
        <v>0</v>
      </c>
      <c r="P33671">
        <f>IF(OR(M33671="",N33671=""),"",SUMIFS('Barang Keluar'!$E:$E,'Barang Keluar'!$A:$A,M33671,'Barang Keluar'!$C:$C,N33671))</f>
        <v>0</v>
      </c>
    </row>
    <row r="33672" spans="13:16">
      <c r="M33672" s="49">
        <f>IF($A$4+336&gt;$B$4,"",$A$4+336)</f>
        <v>46359</v>
      </c>
      <c r="N33672">
        <f>IF(M33672="","",'Master Barang'!A66)</f>
        <v>0</v>
      </c>
      <c r="O33672">
        <f>IF(N33672="","",'Master Barang'!B66)</f>
        <v>0</v>
      </c>
      <c r="P33672">
        <f>IF(OR(M33672="",N33672=""),"",SUMIFS('Barang Keluar'!$E:$E,'Barang Keluar'!$A:$A,M33672,'Barang Keluar'!$C:$C,N33672))</f>
        <v>0</v>
      </c>
    </row>
    <row r="33673" spans="13:16">
      <c r="M33673" s="49">
        <f>IF($A$4+336&gt;$B$4,"",$A$4+336)</f>
        <v>46359</v>
      </c>
      <c r="N33673">
        <f>IF(M33673="","",'Master Barang'!A67)</f>
        <v>0</v>
      </c>
      <c r="O33673">
        <f>IF(N33673="","",'Master Barang'!B67)</f>
        <v>0</v>
      </c>
      <c r="P33673">
        <f>IF(OR(M33673="",N33673=""),"",SUMIFS('Barang Keluar'!$E:$E,'Barang Keluar'!$A:$A,M33673,'Barang Keluar'!$C:$C,N33673))</f>
        <v>0</v>
      </c>
    </row>
    <row r="33674" spans="13:16">
      <c r="M33674" s="49">
        <f>IF($A$4+336&gt;$B$4,"",$A$4+336)</f>
        <v>46359</v>
      </c>
      <c r="N33674">
        <f>IF(M33674="","",'Master Barang'!A68)</f>
        <v>0</v>
      </c>
      <c r="O33674">
        <f>IF(N33674="","",'Master Barang'!B68)</f>
        <v>0</v>
      </c>
      <c r="P33674">
        <f>IF(OR(M33674="",N33674=""),"",SUMIFS('Barang Keluar'!$E:$E,'Barang Keluar'!$A:$A,M33674,'Barang Keluar'!$C:$C,N33674))</f>
        <v>0</v>
      </c>
    </row>
    <row r="33675" spans="13:16">
      <c r="M33675" s="49">
        <f>IF($A$4+336&gt;$B$4,"",$A$4+336)</f>
        <v>46359</v>
      </c>
      <c r="N33675">
        <f>IF(M33675="","",'Master Barang'!A69)</f>
        <v>0</v>
      </c>
      <c r="O33675">
        <f>IF(N33675="","",'Master Barang'!B69)</f>
        <v>0</v>
      </c>
      <c r="P33675">
        <f>IF(OR(M33675="",N33675=""),"",SUMIFS('Barang Keluar'!$E:$E,'Barang Keluar'!$A:$A,M33675,'Barang Keluar'!$C:$C,N33675))</f>
        <v>0</v>
      </c>
    </row>
    <row r="33676" spans="13:16">
      <c r="M33676" s="49">
        <f>IF($A$4+336&gt;$B$4,"",$A$4+336)</f>
        <v>46359</v>
      </c>
      <c r="N33676">
        <f>IF(M33676="","",'Master Barang'!A70)</f>
        <v>0</v>
      </c>
      <c r="O33676">
        <f>IF(N33676="","",'Master Barang'!B70)</f>
        <v>0</v>
      </c>
      <c r="P33676">
        <f>IF(OR(M33676="",N33676=""),"",SUMIFS('Barang Keluar'!$E:$E,'Barang Keluar'!$A:$A,M33676,'Barang Keluar'!$C:$C,N33676))</f>
        <v>0</v>
      </c>
    </row>
    <row r="33677" spans="13:16">
      <c r="M33677" s="49">
        <f>IF($A$4+336&gt;$B$4,"",$A$4+336)</f>
        <v>46359</v>
      </c>
      <c r="N33677">
        <f>IF(M33677="","",'Master Barang'!A71)</f>
        <v>0</v>
      </c>
      <c r="O33677">
        <f>IF(N33677="","",'Master Barang'!B71)</f>
        <v>0</v>
      </c>
      <c r="P33677">
        <f>IF(OR(M33677="",N33677=""),"",SUMIFS('Barang Keluar'!$E:$E,'Barang Keluar'!$A:$A,M33677,'Barang Keluar'!$C:$C,N33677))</f>
        <v>0</v>
      </c>
    </row>
    <row r="33678" spans="13:16">
      <c r="M33678" s="49">
        <f>IF($A$4+336&gt;$B$4,"",$A$4+336)</f>
        <v>46359</v>
      </c>
      <c r="N33678">
        <f>IF(M33678="","",'Master Barang'!A72)</f>
        <v>0</v>
      </c>
      <c r="O33678">
        <f>IF(N33678="","",'Master Barang'!B72)</f>
        <v>0</v>
      </c>
      <c r="P33678">
        <f>IF(OR(M33678="",N33678=""),"",SUMIFS('Barang Keluar'!$E:$E,'Barang Keluar'!$A:$A,M33678,'Barang Keluar'!$C:$C,N33678))</f>
        <v>0</v>
      </c>
    </row>
    <row r="33679" spans="13:16">
      <c r="M33679" s="49">
        <f>IF($A$4+336&gt;$B$4,"",$A$4+336)</f>
        <v>46359</v>
      </c>
      <c r="N33679">
        <f>IF(M33679="","",'Master Barang'!A73)</f>
        <v>0</v>
      </c>
      <c r="O33679">
        <f>IF(N33679="","",'Master Barang'!B73)</f>
        <v>0</v>
      </c>
      <c r="P33679">
        <f>IF(OR(M33679="",N33679=""),"",SUMIFS('Barang Keluar'!$E:$E,'Barang Keluar'!$A:$A,M33679,'Barang Keluar'!$C:$C,N33679))</f>
        <v>0</v>
      </c>
    </row>
    <row r="33680" spans="13:16">
      <c r="M33680" s="49">
        <f>IF($A$4+336&gt;$B$4,"",$A$4+336)</f>
        <v>46359</v>
      </c>
      <c r="N33680">
        <f>IF(M33680="","",'Master Barang'!A74)</f>
        <v>0</v>
      </c>
      <c r="O33680">
        <f>IF(N33680="","",'Master Barang'!B74)</f>
        <v>0</v>
      </c>
      <c r="P33680">
        <f>IF(OR(M33680="",N33680=""),"",SUMIFS('Barang Keluar'!$E:$E,'Barang Keluar'!$A:$A,M33680,'Barang Keluar'!$C:$C,N33680))</f>
        <v>0</v>
      </c>
    </row>
    <row r="33681" spans="13:16">
      <c r="M33681" s="49">
        <f>IF($A$4+336&gt;$B$4,"",$A$4+336)</f>
        <v>46359</v>
      </c>
      <c r="N33681">
        <f>IF(M33681="","",'Master Barang'!A75)</f>
        <v>0</v>
      </c>
      <c r="O33681">
        <f>IF(N33681="","",'Master Barang'!B75)</f>
        <v>0</v>
      </c>
      <c r="P33681">
        <f>IF(OR(M33681="",N33681=""),"",SUMIFS('Barang Keluar'!$E:$E,'Barang Keluar'!$A:$A,M33681,'Barang Keluar'!$C:$C,N33681))</f>
        <v>0</v>
      </c>
    </row>
    <row r="33682" spans="13:16">
      <c r="M33682" s="49">
        <f>IF($A$4+336&gt;$B$4,"",$A$4+336)</f>
        <v>46359</v>
      </c>
      <c r="N33682">
        <f>IF(M33682="","",'Master Barang'!A76)</f>
        <v>0</v>
      </c>
      <c r="O33682">
        <f>IF(N33682="","",'Master Barang'!B76)</f>
        <v>0</v>
      </c>
      <c r="P33682">
        <f>IF(OR(M33682="",N33682=""),"",SUMIFS('Barang Keluar'!$E:$E,'Barang Keluar'!$A:$A,M33682,'Barang Keluar'!$C:$C,N33682))</f>
        <v>0</v>
      </c>
    </row>
    <row r="33683" spans="13:16">
      <c r="M33683" s="49">
        <f>IF($A$4+336&gt;$B$4,"",$A$4+336)</f>
        <v>46359</v>
      </c>
      <c r="N33683">
        <f>IF(M33683="","",'Master Barang'!A77)</f>
        <v>0</v>
      </c>
      <c r="O33683">
        <f>IF(N33683="","",'Master Barang'!B77)</f>
        <v>0</v>
      </c>
      <c r="P33683">
        <f>IF(OR(M33683="",N33683=""),"",SUMIFS('Barang Keluar'!$E:$E,'Barang Keluar'!$A:$A,M33683,'Barang Keluar'!$C:$C,N33683))</f>
        <v>0</v>
      </c>
    </row>
    <row r="33684" spans="13:16">
      <c r="M33684" s="49">
        <f>IF($A$4+336&gt;$B$4,"",$A$4+336)</f>
        <v>46359</v>
      </c>
      <c r="N33684">
        <f>IF(M33684="","",'Master Barang'!A78)</f>
        <v>0</v>
      </c>
      <c r="O33684">
        <f>IF(N33684="","",'Master Barang'!B78)</f>
        <v>0</v>
      </c>
      <c r="P33684">
        <f>IF(OR(M33684="",N33684=""),"",SUMIFS('Barang Keluar'!$E:$E,'Barang Keluar'!$A:$A,M33684,'Barang Keluar'!$C:$C,N33684))</f>
        <v>0</v>
      </c>
    </row>
    <row r="33685" spans="13:16">
      <c r="M33685" s="49">
        <f>IF($A$4+336&gt;$B$4,"",$A$4+336)</f>
        <v>46359</v>
      </c>
      <c r="N33685">
        <f>IF(M33685="","",'Master Barang'!A79)</f>
        <v>0</v>
      </c>
      <c r="O33685">
        <f>IF(N33685="","",'Master Barang'!B79)</f>
        <v>0</v>
      </c>
      <c r="P33685">
        <f>IF(OR(M33685="",N33685=""),"",SUMIFS('Barang Keluar'!$E:$E,'Barang Keluar'!$A:$A,M33685,'Barang Keluar'!$C:$C,N33685))</f>
        <v>0</v>
      </c>
    </row>
    <row r="33686" spans="13:16">
      <c r="M33686" s="49">
        <f>IF($A$4+336&gt;$B$4,"",$A$4+336)</f>
        <v>46359</v>
      </c>
      <c r="N33686">
        <f>IF(M33686="","",'Master Barang'!A80)</f>
        <v>0</v>
      </c>
      <c r="O33686">
        <f>IF(N33686="","",'Master Barang'!B80)</f>
        <v>0</v>
      </c>
      <c r="P33686">
        <f>IF(OR(M33686="",N33686=""),"",SUMIFS('Barang Keluar'!$E:$E,'Barang Keluar'!$A:$A,M33686,'Barang Keluar'!$C:$C,N33686))</f>
        <v>0</v>
      </c>
    </row>
    <row r="33687" spans="13:16">
      <c r="M33687" s="49">
        <f>IF($A$4+336&gt;$B$4,"",$A$4+336)</f>
        <v>46359</v>
      </c>
      <c r="N33687">
        <f>IF(M33687="","",'Master Barang'!A81)</f>
        <v>0</v>
      </c>
      <c r="O33687">
        <f>IF(N33687="","",'Master Barang'!B81)</f>
        <v>0</v>
      </c>
      <c r="P33687">
        <f>IF(OR(M33687="",N33687=""),"",SUMIFS('Barang Keluar'!$E:$E,'Barang Keluar'!$A:$A,M33687,'Barang Keluar'!$C:$C,N33687))</f>
        <v>0</v>
      </c>
    </row>
    <row r="33688" spans="13:16">
      <c r="M33688" s="49">
        <f>IF($A$4+336&gt;$B$4,"",$A$4+336)</f>
        <v>46359</v>
      </c>
      <c r="N33688">
        <f>IF(M33688="","",'Master Barang'!A82)</f>
        <v>0</v>
      </c>
      <c r="O33688">
        <f>IF(N33688="","",'Master Barang'!B82)</f>
        <v>0</v>
      </c>
      <c r="P33688">
        <f>IF(OR(M33688="",N33688=""),"",SUMIFS('Barang Keluar'!$E:$E,'Barang Keluar'!$A:$A,M33688,'Barang Keluar'!$C:$C,N33688))</f>
        <v>0</v>
      </c>
    </row>
    <row r="33689" spans="13:16">
      <c r="M33689" s="49">
        <f>IF($A$4+336&gt;$B$4,"",$A$4+336)</f>
        <v>46359</v>
      </c>
      <c r="N33689">
        <f>IF(M33689="","",'Master Barang'!A83)</f>
        <v>0</v>
      </c>
      <c r="O33689">
        <f>IF(N33689="","",'Master Barang'!B83)</f>
        <v>0</v>
      </c>
      <c r="P33689">
        <f>IF(OR(M33689="",N33689=""),"",SUMIFS('Barang Keluar'!$E:$E,'Barang Keluar'!$A:$A,M33689,'Barang Keluar'!$C:$C,N33689))</f>
        <v>0</v>
      </c>
    </row>
    <row r="33690" spans="13:16">
      <c r="M33690" s="49">
        <f>IF($A$4+336&gt;$B$4,"",$A$4+336)</f>
        <v>46359</v>
      </c>
      <c r="N33690">
        <f>IF(M33690="","",'Master Barang'!A84)</f>
        <v>0</v>
      </c>
      <c r="O33690">
        <f>IF(N33690="","",'Master Barang'!B84)</f>
        <v>0</v>
      </c>
      <c r="P33690">
        <f>IF(OR(M33690="",N33690=""),"",SUMIFS('Barang Keluar'!$E:$E,'Barang Keluar'!$A:$A,M33690,'Barang Keluar'!$C:$C,N33690))</f>
        <v>0</v>
      </c>
    </row>
    <row r="33691" spans="13:16">
      <c r="M33691" s="49">
        <f>IF($A$4+336&gt;$B$4,"",$A$4+336)</f>
        <v>46359</v>
      </c>
      <c r="N33691">
        <f>IF(M33691="","",'Master Barang'!A85)</f>
        <v>0</v>
      </c>
      <c r="O33691">
        <f>IF(N33691="","",'Master Barang'!B85)</f>
        <v>0</v>
      </c>
      <c r="P33691">
        <f>IF(OR(M33691="",N33691=""),"",SUMIFS('Barang Keluar'!$E:$E,'Barang Keluar'!$A:$A,M33691,'Barang Keluar'!$C:$C,N33691))</f>
        <v>0</v>
      </c>
    </row>
    <row r="33692" spans="13:16">
      <c r="M33692" s="49">
        <f>IF($A$4+336&gt;$B$4,"",$A$4+336)</f>
        <v>46359</v>
      </c>
      <c r="N33692">
        <f>IF(M33692="","",'Master Barang'!A86)</f>
        <v>0</v>
      </c>
      <c r="O33692">
        <f>IF(N33692="","",'Master Barang'!B86)</f>
        <v>0</v>
      </c>
      <c r="P33692">
        <f>IF(OR(M33692="",N33692=""),"",SUMIFS('Barang Keluar'!$E:$E,'Barang Keluar'!$A:$A,M33692,'Barang Keluar'!$C:$C,N33692))</f>
        <v>0</v>
      </c>
    </row>
    <row r="33693" spans="13:16">
      <c r="M33693" s="49">
        <f>IF($A$4+336&gt;$B$4,"",$A$4+336)</f>
        <v>46359</v>
      </c>
      <c r="N33693">
        <f>IF(M33693="","",'Master Barang'!A87)</f>
        <v>0</v>
      </c>
      <c r="O33693">
        <f>IF(N33693="","",'Master Barang'!B87)</f>
        <v>0</v>
      </c>
      <c r="P33693">
        <f>IF(OR(M33693="",N33693=""),"",SUMIFS('Barang Keluar'!$E:$E,'Barang Keluar'!$A:$A,M33693,'Barang Keluar'!$C:$C,N33693))</f>
        <v>0</v>
      </c>
    </row>
    <row r="33694" spans="13:16">
      <c r="M33694" s="49">
        <f>IF($A$4+336&gt;$B$4,"",$A$4+336)</f>
        <v>46359</v>
      </c>
      <c r="N33694">
        <f>IF(M33694="","",'Master Barang'!A88)</f>
        <v>0</v>
      </c>
      <c r="O33694">
        <f>IF(N33694="","",'Master Barang'!B88)</f>
        <v>0</v>
      </c>
      <c r="P33694">
        <f>IF(OR(M33694="",N33694=""),"",SUMIFS('Barang Keluar'!$E:$E,'Barang Keluar'!$A:$A,M33694,'Barang Keluar'!$C:$C,N33694))</f>
        <v>0</v>
      </c>
    </row>
    <row r="33695" spans="13:16">
      <c r="M33695" s="49">
        <f>IF($A$4+336&gt;$B$4,"",$A$4+336)</f>
        <v>46359</v>
      </c>
      <c r="N33695">
        <f>IF(M33695="","",'Master Barang'!A89)</f>
        <v>0</v>
      </c>
      <c r="O33695">
        <f>IF(N33695="","",'Master Barang'!B89)</f>
        <v>0</v>
      </c>
      <c r="P33695">
        <f>IF(OR(M33695="",N33695=""),"",SUMIFS('Barang Keluar'!$E:$E,'Barang Keluar'!$A:$A,M33695,'Barang Keluar'!$C:$C,N33695))</f>
        <v>0</v>
      </c>
    </row>
    <row r="33696" spans="13:16">
      <c r="M33696" s="49">
        <f>IF($A$4+336&gt;$B$4,"",$A$4+336)</f>
        <v>46359</v>
      </c>
      <c r="N33696">
        <f>IF(M33696="","",'Master Barang'!A90)</f>
        <v>0</v>
      </c>
      <c r="O33696">
        <f>IF(N33696="","",'Master Barang'!B90)</f>
        <v>0</v>
      </c>
      <c r="P33696">
        <f>IF(OR(M33696="",N33696=""),"",SUMIFS('Barang Keluar'!$E:$E,'Barang Keluar'!$A:$A,M33696,'Barang Keluar'!$C:$C,N33696))</f>
        <v>0</v>
      </c>
    </row>
    <row r="33697" spans="13:16">
      <c r="M33697" s="49">
        <f>IF($A$4+336&gt;$B$4,"",$A$4+336)</f>
        <v>46359</v>
      </c>
      <c r="N33697">
        <f>IF(M33697="","",'Master Barang'!A91)</f>
        <v>0</v>
      </c>
      <c r="O33697">
        <f>IF(N33697="","",'Master Barang'!B91)</f>
        <v>0</v>
      </c>
      <c r="P33697">
        <f>IF(OR(M33697="",N33697=""),"",SUMIFS('Barang Keluar'!$E:$E,'Barang Keluar'!$A:$A,M33697,'Barang Keluar'!$C:$C,N33697))</f>
        <v>0</v>
      </c>
    </row>
    <row r="33698" spans="13:16">
      <c r="M33698" s="49">
        <f>IF($A$4+336&gt;$B$4,"",$A$4+336)</f>
        <v>46359</v>
      </c>
      <c r="N33698">
        <f>IF(M33698="","",'Master Barang'!A92)</f>
        <v>0</v>
      </c>
      <c r="O33698">
        <f>IF(N33698="","",'Master Barang'!B92)</f>
        <v>0</v>
      </c>
      <c r="P33698">
        <f>IF(OR(M33698="",N33698=""),"",SUMIFS('Barang Keluar'!$E:$E,'Barang Keluar'!$A:$A,M33698,'Barang Keluar'!$C:$C,N33698))</f>
        <v>0</v>
      </c>
    </row>
    <row r="33699" spans="13:16">
      <c r="M33699" s="49">
        <f>IF($A$4+336&gt;$B$4,"",$A$4+336)</f>
        <v>46359</v>
      </c>
      <c r="N33699">
        <f>IF(M33699="","",'Master Barang'!A93)</f>
        <v>0</v>
      </c>
      <c r="O33699">
        <f>IF(N33699="","",'Master Barang'!B93)</f>
        <v>0</v>
      </c>
      <c r="P33699">
        <f>IF(OR(M33699="",N33699=""),"",SUMIFS('Barang Keluar'!$E:$E,'Barang Keluar'!$A:$A,M33699,'Barang Keluar'!$C:$C,N33699))</f>
        <v>0</v>
      </c>
    </row>
    <row r="33700" spans="13:16">
      <c r="M33700" s="49">
        <f>IF($A$4+336&gt;$B$4,"",$A$4+336)</f>
        <v>46359</v>
      </c>
      <c r="N33700">
        <f>IF(M33700="","",'Master Barang'!A94)</f>
        <v>0</v>
      </c>
      <c r="O33700">
        <f>IF(N33700="","",'Master Barang'!B94)</f>
        <v>0</v>
      </c>
      <c r="P33700">
        <f>IF(OR(M33700="",N33700=""),"",SUMIFS('Barang Keluar'!$E:$E,'Barang Keluar'!$A:$A,M33700,'Barang Keluar'!$C:$C,N33700))</f>
        <v>0</v>
      </c>
    </row>
    <row r="33701" spans="13:16">
      <c r="M33701" s="49">
        <f>IF($A$4+336&gt;$B$4,"",$A$4+336)</f>
        <v>46359</v>
      </c>
      <c r="N33701">
        <f>IF(M33701="","",'Master Barang'!A95)</f>
        <v>0</v>
      </c>
      <c r="O33701">
        <f>IF(N33701="","",'Master Barang'!B95)</f>
        <v>0</v>
      </c>
      <c r="P33701">
        <f>IF(OR(M33701="",N33701=""),"",SUMIFS('Barang Keluar'!$E:$E,'Barang Keluar'!$A:$A,M33701,'Barang Keluar'!$C:$C,N33701))</f>
        <v>0</v>
      </c>
    </row>
    <row r="33702" spans="13:16">
      <c r="M33702" s="49">
        <f>IF($A$4+336&gt;$B$4,"",$A$4+336)</f>
        <v>46359</v>
      </c>
      <c r="N33702">
        <f>IF(M33702="","",'Master Barang'!A96)</f>
        <v>0</v>
      </c>
      <c r="O33702">
        <f>IF(N33702="","",'Master Barang'!B96)</f>
        <v>0</v>
      </c>
      <c r="P33702">
        <f>IF(OR(M33702="",N33702=""),"",SUMIFS('Barang Keluar'!$E:$E,'Barang Keluar'!$A:$A,M33702,'Barang Keluar'!$C:$C,N33702))</f>
        <v>0</v>
      </c>
    </row>
    <row r="33703" spans="13:16">
      <c r="M33703" s="49">
        <f>IF($A$4+336&gt;$B$4,"",$A$4+336)</f>
        <v>46359</v>
      </c>
      <c r="N33703">
        <f>IF(M33703="","",'Master Barang'!A97)</f>
        <v>0</v>
      </c>
      <c r="O33703">
        <f>IF(N33703="","",'Master Barang'!B97)</f>
        <v>0</v>
      </c>
      <c r="P33703">
        <f>IF(OR(M33703="",N33703=""),"",SUMIFS('Barang Keluar'!$E:$E,'Barang Keluar'!$A:$A,M33703,'Barang Keluar'!$C:$C,N33703))</f>
        <v>0</v>
      </c>
    </row>
    <row r="33704" spans="13:16">
      <c r="M33704" s="49">
        <f>IF($A$4+336&gt;$B$4,"",$A$4+336)</f>
        <v>46359</v>
      </c>
      <c r="N33704">
        <f>IF(M33704="","",'Master Barang'!A98)</f>
        <v>0</v>
      </c>
      <c r="O33704">
        <f>IF(N33704="","",'Master Barang'!B98)</f>
        <v>0</v>
      </c>
      <c r="P33704">
        <f>IF(OR(M33704="",N33704=""),"",SUMIFS('Barang Keluar'!$E:$E,'Barang Keluar'!$A:$A,M33704,'Barang Keluar'!$C:$C,N33704))</f>
        <v>0</v>
      </c>
    </row>
    <row r="33705" spans="13:16">
      <c r="M33705" s="49">
        <f>IF($A$4+336&gt;$B$4,"",$A$4+336)</f>
        <v>46359</v>
      </c>
      <c r="N33705">
        <f>IF(M33705="","",'Master Barang'!A99)</f>
        <v>0</v>
      </c>
      <c r="O33705">
        <f>IF(N33705="","",'Master Barang'!B99)</f>
        <v>0</v>
      </c>
      <c r="P33705">
        <f>IF(OR(M33705="",N33705=""),"",SUMIFS('Barang Keluar'!$E:$E,'Barang Keluar'!$A:$A,M33705,'Barang Keluar'!$C:$C,N33705))</f>
        <v>0</v>
      </c>
    </row>
    <row r="33706" spans="13:16">
      <c r="M33706" s="49">
        <f>IF($A$4+336&gt;$B$4,"",$A$4+336)</f>
        <v>46359</v>
      </c>
      <c r="N33706">
        <f>IF(M33706="","",'Master Barang'!A100)</f>
        <v>0</v>
      </c>
      <c r="O33706">
        <f>IF(N33706="","",'Master Barang'!B100)</f>
        <v>0</v>
      </c>
      <c r="P33706">
        <f>IF(OR(M33706="",N33706=""),"",SUMIFS('Barang Keluar'!$E:$E,'Barang Keluar'!$A:$A,M33706,'Barang Keluar'!$C:$C,N33706))</f>
        <v>0</v>
      </c>
    </row>
    <row r="33707" spans="13:16">
      <c r="M33707" s="49">
        <f>IF($A$4+336&gt;$B$4,"",$A$4+336)</f>
        <v>46359</v>
      </c>
      <c r="N33707">
        <f>IF(M33707="","",'Master Barang'!A101)</f>
        <v>0</v>
      </c>
      <c r="O33707">
        <f>IF(N33707="","",'Master Barang'!B101)</f>
        <v>0</v>
      </c>
      <c r="P33707">
        <f>IF(OR(M33707="",N33707=""),"",SUMIFS('Barang Keluar'!$E:$E,'Barang Keluar'!$A:$A,M33707,'Barang Keluar'!$C:$C,N33707))</f>
        <v>0</v>
      </c>
    </row>
    <row r="33708" spans="13:16">
      <c r="M33708" s="49">
        <f>IF($A$4+337&gt;$B$4,"",$A$4+337)</f>
        <v>46360</v>
      </c>
      <c r="N33708" t="str">
        <f>IF(M33708="","",'Master Barang'!A2)</f>
        <v>PRL-001</v>
      </c>
      <c r="O33708" t="str">
        <f>IF(N33708="","",'Master Barang'!B2)</f>
        <v>natura desinfectant food grade 5l</v>
      </c>
      <c r="P33708">
        <f>IF(OR(M33708="",N33708=""),"",SUMIFS('Barang Keluar'!$E:$E,'Barang Keluar'!$A:$A,M33708,'Barang Keluar'!$C:$C,N33708))</f>
        <v>0</v>
      </c>
    </row>
    <row r="33709" spans="13:16">
      <c r="M33709" s="49">
        <f>IF($A$4+337&gt;$B$4,"",$A$4+337)</f>
        <v>46360</v>
      </c>
      <c r="N33709" t="str">
        <f>IF(M33709="","",'Master Barang'!A3)</f>
        <v>PRL-002</v>
      </c>
      <c r="O33709" t="str">
        <f>IF(N33709="","",'Master Barang'!B3)</f>
        <v>sunlight cairan pencuci piring 5l</v>
      </c>
      <c r="P33709">
        <f>IF(OR(M33709="",N33709=""),"",SUMIFS('Barang Keluar'!$E:$E,'Barang Keluar'!$A:$A,M33709,'Barang Keluar'!$C:$C,N33709))</f>
        <v>0</v>
      </c>
    </row>
    <row r="33710" spans="13:16">
      <c r="M33710" s="49">
        <f>IF($A$4+337&gt;$B$4,"",$A$4+337)</f>
        <v>46360</v>
      </c>
      <c r="N33710" t="str">
        <f>IF(M33710="","",'Master Barang'!A4)</f>
        <v>PRL-003</v>
      </c>
      <c r="O33710" t="str">
        <f>IF(N33710="","",'Master Barang'!B4)</f>
        <v>oixs cleaner 1l</v>
      </c>
      <c r="P33710">
        <f>IF(OR(M33710="",N33710=""),"",SUMIFS('Barang Keluar'!$E:$E,'Barang Keluar'!$A:$A,M33710,'Barang Keluar'!$C:$C,N33710))</f>
        <v>0</v>
      </c>
    </row>
    <row r="33711" spans="13:16">
      <c r="M33711" s="49">
        <f>IF($A$4+337&gt;$B$4,"",$A$4+337)</f>
        <v>46360</v>
      </c>
      <c r="N33711" t="str">
        <f>IF(M33711="","",'Master Barang'!A5)</f>
        <v>PRL-004</v>
      </c>
      <c r="O33711" t="str">
        <f>IF(N33711="","",'Master Barang'!B5)</f>
        <v>be clean tissue serbaguna</v>
      </c>
      <c r="P33711">
        <f>IF(OR(M33711="",N33711=""),"",SUMIFS('Barang Keluar'!$E:$E,'Barang Keluar'!$A:$A,M33711,'Barang Keluar'!$C:$C,N33711))</f>
        <v>0</v>
      </c>
    </row>
    <row r="33712" spans="13:16">
      <c r="M33712" s="49">
        <f>IF($A$4+337&gt;$B$4,"",$A$4+337)</f>
        <v>46360</v>
      </c>
      <c r="N33712" t="str">
        <f>IF(M33712="","",'Master Barang'!A6)</f>
        <v>PRL-005</v>
      </c>
      <c r="O33712" t="str">
        <f>IF(N33712="","",'Master Barang'!B6)</f>
        <v>spons cuci hijau</v>
      </c>
      <c r="P33712">
        <f>IF(OR(M33712="",N33712=""),"",SUMIFS('Barang Keluar'!$E:$E,'Barang Keluar'!$A:$A,M33712,'Barang Keluar'!$C:$C,N33712))</f>
        <v>0</v>
      </c>
    </row>
    <row r="33713" spans="13:16">
      <c r="M33713" s="49">
        <f>IF($A$4+337&gt;$B$4,"",$A$4+337)</f>
        <v>46360</v>
      </c>
      <c r="N33713" t="str">
        <f>IF(M33713="","",'Master Barang'!A7)</f>
        <v>PRL-006</v>
      </c>
      <c r="O33713" t="str">
        <f>IF(N33713="","",'Master Barang'!B7)</f>
        <v>sabut cuci stainless</v>
      </c>
      <c r="P33713">
        <f>IF(OR(M33713="",N33713=""),"",SUMIFS('Barang Keluar'!$E:$E,'Barang Keluar'!$A:$A,M33713,'Barang Keluar'!$C:$C,N33713))</f>
        <v>0</v>
      </c>
    </row>
    <row r="33714" spans="13:16">
      <c r="M33714" s="49">
        <f>IF($A$4+337&gt;$B$4,"",$A$4+337)</f>
        <v>46360</v>
      </c>
      <c r="N33714" t="str">
        <f>IF(M33714="","",'Master Barang'!A8)</f>
        <v>PRL-007</v>
      </c>
      <c r="O33714" t="str">
        <f>IF(N33714="","",'Master Barang'!B8)</f>
        <v>plastik kresek besar merah 50pc</v>
      </c>
      <c r="P33714">
        <f>IF(OR(M33714="",N33714=""),"",SUMIFS('Barang Keluar'!$E:$E,'Barang Keluar'!$A:$A,M33714,'Barang Keluar'!$C:$C,N33714))</f>
        <v>0</v>
      </c>
    </row>
    <row r="33715" spans="13:16">
      <c r="M33715" s="49">
        <f>IF($A$4+337&gt;$B$4,"",$A$4+337)</f>
        <v>46360</v>
      </c>
      <c r="N33715" t="str">
        <f>IF(M33715="","",'Master Barang'!A9)</f>
        <v>PRL-008</v>
      </c>
      <c r="O33715" t="str">
        <f>IF(N33715="","",'Master Barang'!B9)</f>
        <v>lap besar</v>
      </c>
      <c r="P33715">
        <f>IF(OR(M33715="",N33715=""),"",SUMIFS('Barang Keluar'!$E:$E,'Barang Keluar'!$A:$A,M33715,'Barang Keluar'!$C:$C,N33715))</f>
        <v>0</v>
      </c>
    </row>
    <row r="33716" spans="13:16">
      <c r="M33716" s="49">
        <f>IF($A$4+337&gt;$B$4,"",$A$4+337)</f>
        <v>46360</v>
      </c>
      <c r="N33716" t="str">
        <f>IF(M33716="","",'Master Barang'!A10)</f>
        <v>PRL-009</v>
      </c>
      <c r="O33716" t="str">
        <f>IF(N33716="","",'Master Barang'!B10)</f>
        <v>lap microfiber</v>
      </c>
      <c r="P33716">
        <f>IF(OR(M33716="",N33716=""),"",SUMIFS('Barang Keluar'!$E:$E,'Barang Keluar'!$A:$A,M33716,'Barang Keluar'!$C:$C,N33716))</f>
        <v>0</v>
      </c>
    </row>
    <row r="33717" spans="13:16">
      <c r="M33717" s="49">
        <f>IF($A$4+337&gt;$B$4,"",$A$4+337)</f>
        <v>46360</v>
      </c>
      <c r="N33717" t="str">
        <f>IF(M33717="","",'Master Barang'!A11)</f>
        <v>PRL-010</v>
      </c>
      <c r="O33717" t="str">
        <f>IF(N33717="","",'Master Barang'!B11)</f>
        <v>lap kecil</v>
      </c>
      <c r="P33717">
        <f>IF(OR(M33717="",N33717=""),"",SUMIFS('Barang Keluar'!$E:$E,'Barang Keluar'!$A:$A,M33717,'Barang Keluar'!$C:$C,N33717))</f>
        <v>0</v>
      </c>
    </row>
    <row r="33718" spans="13:16">
      <c r="M33718" s="49">
        <f>IF($A$4+337&gt;$B$4,"",$A$4+337)</f>
        <v>46360</v>
      </c>
      <c r="N33718" t="str">
        <f>IF(M33718="","",'Master Barang'!A12)</f>
        <v>PRL-011</v>
      </c>
      <c r="O33718" t="str">
        <f>IF(N33718="","",'Master Barang'!B12)</f>
        <v>kanebo kecil</v>
      </c>
      <c r="P33718">
        <f>IF(OR(M33718="",N33718=""),"",SUMIFS('Barang Keluar'!$E:$E,'Barang Keluar'!$A:$A,M33718,'Barang Keluar'!$C:$C,N33718))</f>
        <v>0</v>
      </c>
    </row>
    <row r="33719" spans="13:16">
      <c r="M33719" s="49">
        <f>IF($A$4+337&gt;$B$4,"",$A$4+337)</f>
        <v>46360</v>
      </c>
      <c r="N33719" t="str">
        <f>IF(M33719="","",'Master Barang'!A13)</f>
        <v>PRL-012</v>
      </c>
      <c r="O33719" t="str">
        <f>IF(N33719="","",'Master Barang'!B13)</f>
        <v>plastik 1/4kg joyoboyo 100 lembar</v>
      </c>
      <c r="P33719">
        <f>IF(OR(M33719="",N33719=""),"",SUMIFS('Barang Keluar'!$E:$E,'Barang Keluar'!$A:$A,M33719,'Barang Keluar'!$C:$C,N33719))</f>
        <v>0</v>
      </c>
    </row>
    <row r="33720" spans="13:16">
      <c r="M33720" s="49">
        <f>IF($A$4+337&gt;$B$4,"",$A$4+337)</f>
        <v>46360</v>
      </c>
      <c r="N33720" t="str">
        <f>IF(M33720="","",'Master Barang'!A14)</f>
        <v>PRL-013</v>
      </c>
      <c r="O33720" t="str">
        <f>IF(N33720="","",'Master Barang'!B14)</f>
        <v>sarung tangan plastik kaka 100 pcs</v>
      </c>
      <c r="P33720">
        <f>IF(OR(M33720="",N33720=""),"",SUMIFS('Barang Keluar'!$E:$E,'Barang Keluar'!$A:$A,M33720,'Barang Keluar'!$C:$C,N33720))</f>
        <v>0</v>
      </c>
    </row>
    <row r="33721" spans="13:16">
      <c r="M33721" s="49">
        <f>IF($A$4+337&gt;$B$4,"",$A$4+337)</f>
        <v>46360</v>
      </c>
      <c r="N33721" t="str">
        <f>IF(M33721="","",'Master Barang'!A15)</f>
        <v>PRL-014</v>
      </c>
      <c r="O33721" t="str">
        <f>IF(N33721="","",'Master Barang'!B15)</f>
        <v>optima trashbag 80x100</v>
      </c>
      <c r="P33721">
        <f>IF(OR(M33721="",N33721=""),"",SUMIFS('Barang Keluar'!$E:$E,'Barang Keluar'!$A:$A,M33721,'Barang Keluar'!$C:$C,N33721))</f>
        <v>0</v>
      </c>
    </row>
    <row r="33722" spans="13:16">
      <c r="M33722" s="49">
        <f>IF($A$4+337&gt;$B$4,"",$A$4+337)</f>
        <v>46360</v>
      </c>
      <c r="N33722" t="str">
        <f>IF(M33722="","",'Master Barang'!A16)</f>
        <v>PRL-015</v>
      </c>
      <c r="O33722" t="str">
        <f>IF(N33722="","",'Master Barang'!B16)</f>
        <v>optima trashbag 60x100</v>
      </c>
      <c r="P33722">
        <f>IF(OR(M33722="",N33722=""),"",SUMIFS('Barang Keluar'!$E:$E,'Barang Keluar'!$A:$A,M33722,'Barang Keluar'!$C:$C,N33722))</f>
        <v>0</v>
      </c>
    </row>
    <row r="33723" spans="13:16">
      <c r="M33723" s="49">
        <f>IF($A$4+337&gt;$B$4,"",$A$4+337)</f>
        <v>46360</v>
      </c>
      <c r="N33723" t="str">
        <f>IF(M33723="","",'Master Barang'!A17)</f>
        <v>PRL-016</v>
      </c>
      <c r="O33723" t="str">
        <f>IF(N33723="","",'Master Barang'!B17)</f>
        <v>rajawali trashbag 30x40</v>
      </c>
      <c r="P33723">
        <f>IF(OR(M33723="",N33723=""),"",SUMIFS('Barang Keluar'!$E:$E,'Barang Keluar'!$A:$A,M33723,'Barang Keluar'!$C:$C,N33723))</f>
        <v>0</v>
      </c>
    </row>
    <row r="33724" spans="13:16">
      <c r="M33724" s="49">
        <f>IF($A$4+337&gt;$B$4,"",$A$4+337)</f>
        <v>46360</v>
      </c>
      <c r="N33724" t="str">
        <f>IF(M33724="","",'Master Barang'!A18)</f>
        <v>PRL-017</v>
      </c>
      <c r="O33724" t="str">
        <f>IF(N33724="","",'Master Barang'!B18)</f>
        <v>onemed masker biru 3 play 50 pcs</v>
      </c>
      <c r="P33724">
        <f>IF(OR(M33724="",N33724=""),"",SUMIFS('Barang Keluar'!$E:$E,'Barang Keluar'!$A:$A,M33724,'Barang Keluar'!$C:$C,N33724))</f>
        <v>0</v>
      </c>
    </row>
    <row r="33725" spans="13:16">
      <c r="M33725" s="49">
        <f>IF($A$4+337&gt;$B$4,"",$A$4+337)</f>
        <v>46360</v>
      </c>
      <c r="N33725" t="str">
        <f>IF(M33725="","",'Master Barang'!A19)</f>
        <v>PRL-018</v>
      </c>
      <c r="O33725" t="str">
        <f>IF(N33725="","",'Master Barang'!B19)</f>
        <v>onemed masker biru 3 play hijab 50 pcs</v>
      </c>
      <c r="P33725">
        <f>IF(OR(M33725="",N33725=""),"",SUMIFS('Barang Keluar'!$E:$E,'Barang Keluar'!$A:$A,M33725,'Barang Keluar'!$C:$C,N33725))</f>
        <v>0</v>
      </c>
    </row>
    <row r="33726" spans="13:16">
      <c r="M33726" s="49">
        <f>IF($A$4+337&gt;$B$4,"",$A$4+337)</f>
        <v>46360</v>
      </c>
      <c r="N33726" t="str">
        <f>IF(M33726="","",'Master Barang'!A20)</f>
        <v>PRL-019</v>
      </c>
      <c r="O33726" t="str">
        <f>IF(N33726="","",'Master Barang'!B20)</f>
        <v>neo health masker biru 3 play 50 pcs</v>
      </c>
      <c r="P33726">
        <f>IF(OR(M33726="",N33726=""),"",SUMIFS('Barang Keluar'!$E:$E,'Barang Keluar'!$A:$A,M33726,'Barang Keluar'!$C:$C,N33726))</f>
        <v>0</v>
      </c>
    </row>
    <row r="33727" spans="13:16">
      <c r="M33727" s="49">
        <f>IF($A$4+337&gt;$B$4,"",$A$4+337)</f>
        <v>46360</v>
      </c>
      <c r="N33727" t="str">
        <f>IF(M33727="","",'Master Barang'!A21)</f>
        <v>PRL-020</v>
      </c>
      <c r="O33727" t="str">
        <f>IF(N33727="","",'Master Barang'!B21)</f>
        <v>baymed masker hijau 3 play hijau 50 pcs</v>
      </c>
      <c r="P33727">
        <f>IF(OR(M33727="",N33727=""),"",SUMIFS('Barang Keluar'!$E:$E,'Barang Keluar'!$A:$A,M33727,'Barang Keluar'!$C:$C,N33727))</f>
        <v>0</v>
      </c>
    </row>
    <row r="33728" spans="13:16">
      <c r="M33728" s="49">
        <f>IF($A$4+337&gt;$B$4,"",$A$4+337)</f>
        <v>46360</v>
      </c>
      <c r="N33728" t="str">
        <f>IF(M33728="","",'Master Barang'!A22)</f>
        <v>PRL-021</v>
      </c>
      <c r="O33728" t="str">
        <f>IF(N33728="","",'Master Barang'!B22)</f>
        <v>altamed nurse cap penutup kepala 100 pcs</v>
      </c>
      <c r="P33728">
        <f>IF(OR(M33728="",N33728=""),"",SUMIFS('Barang Keluar'!$E:$E,'Barang Keluar'!$A:$A,M33728,'Barang Keluar'!$C:$C,N33728))</f>
        <v>0</v>
      </c>
    </row>
    <row r="33729" spans="13:16">
      <c r="M33729" s="49">
        <f>IF($A$4+337&gt;$B$4,"",$A$4+337)</f>
        <v>46360</v>
      </c>
      <c r="N33729" t="str">
        <f>IF(M33729="","",'Master Barang'!A23)</f>
        <v>PRL-022</v>
      </c>
      <c r="O33729" t="str">
        <f>IF(N33729="","",'Master Barang'!B23)</f>
        <v>sabun cuci tangan</v>
      </c>
      <c r="P33729">
        <f>IF(OR(M33729="",N33729=""),"",SUMIFS('Barang Keluar'!$E:$E,'Barang Keluar'!$A:$A,M33729,'Barang Keluar'!$C:$C,N33729))</f>
        <v>0</v>
      </c>
    </row>
    <row r="33730" spans="13:16">
      <c r="M33730" s="49">
        <f>IF($A$4+337&gt;$B$4,"",$A$4+337)</f>
        <v>46360</v>
      </c>
      <c r="N33730" t="str">
        <f>IF(M33730="","",'Master Barang'!A24)</f>
        <v>PRL-023</v>
      </c>
      <c r="O33730" t="str">
        <f>IF(N33730="","",'Master Barang'!B24)</f>
        <v>gayung kecil</v>
      </c>
      <c r="P33730">
        <f>IF(OR(M33730="",N33730=""),"",SUMIFS('Barang Keluar'!$E:$E,'Barang Keluar'!$A:$A,M33730,'Barang Keluar'!$C:$C,N33730))</f>
        <v>0</v>
      </c>
    </row>
    <row r="33731" spans="13:16">
      <c r="M33731" s="49">
        <f>IF($A$4+337&gt;$B$4,"",$A$4+337)</f>
        <v>46360</v>
      </c>
      <c r="N33731" t="str">
        <f>IF(M33731="","",'Master Barang'!A25)</f>
        <v>PRL-024</v>
      </c>
      <c r="O33731" t="str">
        <f>IF(N33731="","",'Master Barang'!B25)</f>
        <v>cikrak kecil</v>
      </c>
      <c r="P33731">
        <f>IF(OR(M33731="",N33731=""),"",SUMIFS('Barang Keluar'!$E:$E,'Barang Keluar'!$A:$A,M33731,'Barang Keluar'!$C:$C,N33731))</f>
        <v>0</v>
      </c>
    </row>
    <row r="33732" spans="13:16">
      <c r="M33732" s="49">
        <f>IF($A$4+337&gt;$B$4,"",$A$4+337)</f>
        <v>46360</v>
      </c>
      <c r="N33732" t="str">
        <f>IF(M33732="","",'Master Barang'!A26)</f>
        <v>PRL-025</v>
      </c>
      <c r="O33732" t="str">
        <f>IF(N33732="","",'Master Barang'!B26)</f>
        <v>petromax plastik kecil 12x24 100 lembar</v>
      </c>
      <c r="P33732">
        <f>IF(OR(M33732="",N33732=""),"",SUMIFS('Barang Keluar'!$E:$E,'Barang Keluar'!$A:$A,M33732,'Barang Keluar'!$C:$C,N33732))</f>
        <v>0</v>
      </c>
    </row>
    <row r="33733" spans="13:16">
      <c r="M33733" s="49">
        <f>IF($A$4+337&gt;$B$4,"",$A$4+337)</f>
        <v>46360</v>
      </c>
      <c r="N33733" t="str">
        <f>IF(M33733="","",'Master Barang'!A27)</f>
        <v>PRL-026</v>
      </c>
      <c r="O33733" t="str">
        <f>IF(N33733="","",'Master Barang'!B27)</f>
        <v>lancar kresek kecil bening </v>
      </c>
      <c r="P33733">
        <f>IF(OR(M33733="",N33733=""),"",SUMIFS('Barang Keluar'!$E:$E,'Barang Keluar'!$A:$A,M33733,'Barang Keluar'!$C:$C,N33733))</f>
        <v>0</v>
      </c>
    </row>
    <row r="33734" spans="13:16">
      <c r="M33734" s="49">
        <f>IF($A$4+337&gt;$B$4,"",$A$4+337)</f>
        <v>46360</v>
      </c>
      <c r="N33734" t="str">
        <f>IF(M33734="","",'Master Barang'!A28)</f>
        <v>PRL-027</v>
      </c>
      <c r="O33734" t="str">
        <f>IF(N33734="","",'Master Barang'!B28)</f>
        <v>kresek klin warna warni kecil</v>
      </c>
      <c r="P33734">
        <f>IF(OR(M33734="",N33734=""),"",SUMIFS('Barang Keluar'!$E:$E,'Barang Keluar'!$A:$A,M33734,'Barang Keluar'!$C:$C,N33734))</f>
        <v>0</v>
      </c>
    </row>
    <row r="33735" spans="13:16">
      <c r="M33735" s="49">
        <f>IF($A$4+337&gt;$B$4,"",$A$4+337)</f>
        <v>46360</v>
      </c>
      <c r="N33735" t="str">
        <f>IF(M33735="","",'Master Barang'!A29)</f>
        <v>PRL-028</v>
      </c>
      <c r="O33735" t="str">
        <f>IF(N33735="","",'Master Barang'!B29)</f>
        <v>ctik plastik 7x10 100 pcs</v>
      </c>
      <c r="P33735">
        <f>IF(OR(M33735="",N33735=""),"",SUMIFS('Barang Keluar'!$E:$E,'Barang Keluar'!$A:$A,M33735,'Barang Keluar'!$C:$C,N33735))</f>
        <v>0</v>
      </c>
    </row>
    <row r="33736" spans="13:16">
      <c r="M33736" s="49">
        <f>IF($A$4+337&gt;$B$4,"",$A$4+337)</f>
        <v>46360</v>
      </c>
      <c r="N33736" t="str">
        <f>IF(M33736="","",'Master Barang'!A30)</f>
        <v>PRL-029</v>
      </c>
      <c r="O33736" t="str">
        <f>IF(N33736="","",'Master Barang'!B30)</f>
        <v>ctik plastik 6x10 100 pcs</v>
      </c>
      <c r="P33736">
        <f>IF(OR(M33736="",N33736=""),"",SUMIFS('Barang Keluar'!$E:$E,'Barang Keluar'!$A:$A,M33736,'Barang Keluar'!$C:$C,N33736))</f>
        <v>0</v>
      </c>
    </row>
    <row r="33737" spans="13:16">
      <c r="M33737" s="49">
        <f>IF($A$4+337&gt;$B$4,"",$A$4+337)</f>
        <v>46360</v>
      </c>
      <c r="N33737" t="str">
        <f>IF(M33737="","",'Master Barang'!A31)</f>
        <v>PRL-030</v>
      </c>
      <c r="O33737" t="str">
        <f>IF(N33737="","",'Master Barang'!B31)</f>
        <v>klip plastik 25x16 100 pcs</v>
      </c>
      <c r="P33737">
        <f>IF(OR(M33737="",N33737=""),"",SUMIFS('Barang Keluar'!$E:$E,'Barang Keluar'!$A:$A,M33737,'Barang Keluar'!$C:$C,N33737))</f>
        <v>0</v>
      </c>
    </row>
    <row r="33738" spans="13:16">
      <c r="M33738" s="49">
        <f>IF($A$4+337&gt;$B$4,"",$A$4+337)</f>
        <v>46360</v>
      </c>
      <c r="N33738" t="str">
        <f>IF(M33738="","",'Master Barang'!A32)</f>
        <v>PRL-031</v>
      </c>
      <c r="O33738" t="str">
        <f>IF(N33738="","",'Master Barang'!B32)</f>
        <v>tempat saus 20 ml</v>
      </c>
      <c r="P33738">
        <f>IF(OR(M33738="",N33738=""),"",SUMIFS('Barang Keluar'!$E:$E,'Barang Keluar'!$A:$A,M33738,'Barang Keluar'!$C:$C,N33738))</f>
        <v>0</v>
      </c>
    </row>
    <row r="33739" spans="13:16">
      <c r="M33739" s="49">
        <f>IF($A$4+337&gt;$B$4,"",$A$4+337)</f>
        <v>46360</v>
      </c>
      <c r="N33739" t="str">
        <f>IF(M33739="","",'Master Barang'!A33)</f>
        <v>PRL-032</v>
      </c>
      <c r="O33739" t="str">
        <f>IF(N33739="","",'Master Barang'!B33)</f>
        <v>plastik packaging ag box uk sedang</v>
      </c>
      <c r="P33739">
        <f>IF(OR(M33739="",N33739=""),"",SUMIFS('Barang Keluar'!$E:$E,'Barang Keluar'!$A:$A,M33739,'Barang Keluar'!$C:$C,N33739))</f>
        <v>0</v>
      </c>
    </row>
    <row r="33740" spans="13:16">
      <c r="M33740" s="49">
        <f>IF($A$4+337&gt;$B$4,"",$A$4+337)</f>
        <v>46360</v>
      </c>
      <c r="N33740" t="str">
        <f>IF(M33740="","",'Master Barang'!A34)</f>
        <v>PRL-033</v>
      </c>
      <c r="O33740">
        <f>IF(N33740="","",'Master Barang'!B34)</f>
        <v>0</v>
      </c>
      <c r="P33740">
        <f>IF(OR(M33740="",N33740=""),"",SUMIFS('Barang Keluar'!$E:$E,'Barang Keluar'!$A:$A,M33740,'Barang Keluar'!$C:$C,N33740))</f>
        <v>0</v>
      </c>
    </row>
    <row r="33741" spans="13:16">
      <c r="M33741" s="49">
        <f>IF($A$4+337&gt;$B$4,"",$A$4+337)</f>
        <v>46360</v>
      </c>
      <c r="N33741">
        <f>IF(M33741="","",'Master Barang'!A35)</f>
        <v>0</v>
      </c>
      <c r="O33741">
        <f>IF(N33741="","",'Master Barang'!B35)</f>
        <v>0</v>
      </c>
      <c r="P33741">
        <f>IF(OR(M33741="",N33741=""),"",SUMIFS('Barang Keluar'!$E:$E,'Barang Keluar'!$A:$A,M33741,'Barang Keluar'!$C:$C,N33741))</f>
        <v>0</v>
      </c>
    </row>
    <row r="33742" spans="13:16">
      <c r="M33742" s="49">
        <f>IF($A$4+337&gt;$B$4,"",$A$4+337)</f>
        <v>46360</v>
      </c>
      <c r="N33742">
        <f>IF(M33742="","",'Master Barang'!A36)</f>
        <v>0</v>
      </c>
      <c r="O33742">
        <f>IF(N33742="","",'Master Barang'!B36)</f>
        <v>0</v>
      </c>
      <c r="P33742">
        <f>IF(OR(M33742="",N33742=""),"",SUMIFS('Barang Keluar'!$E:$E,'Barang Keluar'!$A:$A,M33742,'Barang Keluar'!$C:$C,N33742))</f>
        <v>0</v>
      </c>
    </row>
    <row r="33743" spans="13:16">
      <c r="M33743" s="49">
        <f>IF($A$4+337&gt;$B$4,"",$A$4+337)</f>
        <v>46360</v>
      </c>
      <c r="N33743">
        <f>IF(M33743="","",'Master Barang'!A37)</f>
        <v>0</v>
      </c>
      <c r="O33743">
        <f>IF(N33743="","",'Master Barang'!B37)</f>
        <v>0</v>
      </c>
      <c r="P33743">
        <f>IF(OR(M33743="",N33743=""),"",SUMIFS('Barang Keluar'!$E:$E,'Barang Keluar'!$A:$A,M33743,'Barang Keluar'!$C:$C,N33743))</f>
        <v>0</v>
      </c>
    </row>
    <row r="33744" spans="13:16">
      <c r="M33744" s="49">
        <f>IF($A$4+337&gt;$B$4,"",$A$4+337)</f>
        <v>46360</v>
      </c>
      <c r="N33744">
        <f>IF(M33744="","",'Master Barang'!A38)</f>
        <v>0</v>
      </c>
      <c r="O33744">
        <f>IF(N33744="","",'Master Barang'!B38)</f>
        <v>0</v>
      </c>
      <c r="P33744">
        <f>IF(OR(M33744="",N33744=""),"",SUMIFS('Barang Keluar'!$E:$E,'Barang Keluar'!$A:$A,M33744,'Barang Keluar'!$C:$C,N33744))</f>
        <v>0</v>
      </c>
    </row>
    <row r="33745" spans="13:16">
      <c r="M33745" s="49">
        <f>IF($A$4+337&gt;$B$4,"",$A$4+337)</f>
        <v>46360</v>
      </c>
      <c r="N33745">
        <f>IF(M33745="","",'Master Barang'!A39)</f>
        <v>0</v>
      </c>
      <c r="O33745">
        <f>IF(N33745="","",'Master Barang'!B39)</f>
        <v>0</v>
      </c>
      <c r="P33745">
        <f>IF(OR(M33745="",N33745=""),"",SUMIFS('Barang Keluar'!$E:$E,'Barang Keluar'!$A:$A,M33745,'Barang Keluar'!$C:$C,N33745))</f>
        <v>0</v>
      </c>
    </row>
    <row r="33746" spans="13:16">
      <c r="M33746" s="49">
        <f>IF($A$4+337&gt;$B$4,"",$A$4+337)</f>
        <v>46360</v>
      </c>
      <c r="N33746">
        <f>IF(M33746="","",'Master Barang'!A40)</f>
        <v>0</v>
      </c>
      <c r="O33746">
        <f>IF(N33746="","",'Master Barang'!B40)</f>
        <v>0</v>
      </c>
      <c r="P33746">
        <f>IF(OR(M33746="",N33746=""),"",SUMIFS('Barang Keluar'!$E:$E,'Barang Keluar'!$A:$A,M33746,'Barang Keluar'!$C:$C,N33746))</f>
        <v>0</v>
      </c>
    </row>
    <row r="33747" spans="13:16">
      <c r="M33747" s="49">
        <f>IF($A$4+337&gt;$B$4,"",$A$4+337)</f>
        <v>46360</v>
      </c>
      <c r="N33747">
        <f>IF(M33747="","",'Master Barang'!A41)</f>
        <v>0</v>
      </c>
      <c r="O33747">
        <f>IF(N33747="","",'Master Barang'!B41)</f>
        <v>0</v>
      </c>
      <c r="P33747">
        <f>IF(OR(M33747="",N33747=""),"",SUMIFS('Barang Keluar'!$E:$E,'Barang Keluar'!$A:$A,M33747,'Barang Keluar'!$C:$C,N33747))</f>
        <v>0</v>
      </c>
    </row>
    <row r="33748" spans="13:16">
      <c r="M33748" s="49">
        <f>IF($A$4+337&gt;$B$4,"",$A$4+337)</f>
        <v>46360</v>
      </c>
      <c r="N33748">
        <f>IF(M33748="","",'Master Barang'!A42)</f>
        <v>0</v>
      </c>
      <c r="O33748">
        <f>IF(N33748="","",'Master Barang'!B42)</f>
        <v>0</v>
      </c>
      <c r="P33748">
        <f>IF(OR(M33748="",N33748=""),"",SUMIFS('Barang Keluar'!$E:$E,'Barang Keluar'!$A:$A,M33748,'Barang Keluar'!$C:$C,N33748))</f>
        <v>0</v>
      </c>
    </row>
    <row r="33749" spans="13:16">
      <c r="M33749" s="49">
        <f>IF($A$4+337&gt;$B$4,"",$A$4+337)</f>
        <v>46360</v>
      </c>
      <c r="N33749">
        <f>IF(M33749="","",'Master Barang'!A43)</f>
        <v>0</v>
      </c>
      <c r="O33749">
        <f>IF(N33749="","",'Master Barang'!B43)</f>
        <v>0</v>
      </c>
      <c r="P33749">
        <f>IF(OR(M33749="",N33749=""),"",SUMIFS('Barang Keluar'!$E:$E,'Barang Keluar'!$A:$A,M33749,'Barang Keluar'!$C:$C,N33749))</f>
        <v>0</v>
      </c>
    </row>
    <row r="33750" spans="13:16">
      <c r="M33750" s="49">
        <f>IF($A$4+337&gt;$B$4,"",$A$4+337)</f>
        <v>46360</v>
      </c>
      <c r="N33750">
        <f>IF(M33750="","",'Master Barang'!A44)</f>
        <v>0</v>
      </c>
      <c r="O33750">
        <f>IF(N33750="","",'Master Barang'!B44)</f>
        <v>0</v>
      </c>
      <c r="P33750">
        <f>IF(OR(M33750="",N33750=""),"",SUMIFS('Barang Keluar'!$E:$E,'Barang Keluar'!$A:$A,M33750,'Barang Keluar'!$C:$C,N33750))</f>
        <v>0</v>
      </c>
    </row>
    <row r="33751" spans="13:16">
      <c r="M33751" s="49">
        <f>IF($A$4+337&gt;$B$4,"",$A$4+337)</f>
        <v>46360</v>
      </c>
      <c r="N33751">
        <f>IF(M33751="","",'Master Barang'!A45)</f>
        <v>0</v>
      </c>
      <c r="O33751">
        <f>IF(N33751="","",'Master Barang'!B45)</f>
        <v>0</v>
      </c>
      <c r="P33751">
        <f>IF(OR(M33751="",N33751=""),"",SUMIFS('Barang Keluar'!$E:$E,'Barang Keluar'!$A:$A,M33751,'Barang Keluar'!$C:$C,N33751))</f>
        <v>0</v>
      </c>
    </row>
    <row r="33752" spans="13:16">
      <c r="M33752" s="49">
        <f>IF($A$4+337&gt;$B$4,"",$A$4+337)</f>
        <v>46360</v>
      </c>
      <c r="N33752">
        <f>IF(M33752="","",'Master Barang'!A46)</f>
        <v>0</v>
      </c>
      <c r="O33752">
        <f>IF(N33752="","",'Master Barang'!B46)</f>
        <v>0</v>
      </c>
      <c r="P33752">
        <f>IF(OR(M33752="",N33752=""),"",SUMIFS('Barang Keluar'!$E:$E,'Barang Keluar'!$A:$A,M33752,'Barang Keluar'!$C:$C,N33752))</f>
        <v>0</v>
      </c>
    </row>
    <row r="33753" spans="13:16">
      <c r="M33753" s="49">
        <f>IF($A$4+337&gt;$B$4,"",$A$4+337)</f>
        <v>46360</v>
      </c>
      <c r="N33753">
        <f>IF(M33753="","",'Master Barang'!A47)</f>
        <v>0</v>
      </c>
      <c r="O33753">
        <f>IF(N33753="","",'Master Barang'!B47)</f>
        <v>0</v>
      </c>
      <c r="P33753">
        <f>IF(OR(M33753="",N33753=""),"",SUMIFS('Barang Keluar'!$E:$E,'Barang Keluar'!$A:$A,M33753,'Barang Keluar'!$C:$C,N33753))</f>
        <v>0</v>
      </c>
    </row>
    <row r="33754" spans="13:16">
      <c r="M33754" s="49">
        <f>IF($A$4+337&gt;$B$4,"",$A$4+337)</f>
        <v>46360</v>
      </c>
      <c r="N33754">
        <f>IF(M33754="","",'Master Barang'!A48)</f>
        <v>0</v>
      </c>
      <c r="O33754">
        <f>IF(N33754="","",'Master Barang'!B48)</f>
        <v>0</v>
      </c>
      <c r="P33754">
        <f>IF(OR(M33754="",N33754=""),"",SUMIFS('Barang Keluar'!$E:$E,'Barang Keluar'!$A:$A,M33754,'Barang Keluar'!$C:$C,N33754))</f>
        <v>0</v>
      </c>
    </row>
    <row r="33755" spans="13:16">
      <c r="M33755" s="49">
        <f>IF($A$4+337&gt;$B$4,"",$A$4+337)</f>
        <v>46360</v>
      </c>
      <c r="N33755">
        <f>IF(M33755="","",'Master Barang'!A49)</f>
        <v>0</v>
      </c>
      <c r="O33755">
        <f>IF(N33755="","",'Master Barang'!B49)</f>
        <v>0</v>
      </c>
      <c r="P33755">
        <f>IF(OR(M33755="",N33755=""),"",SUMIFS('Barang Keluar'!$E:$E,'Barang Keluar'!$A:$A,M33755,'Barang Keluar'!$C:$C,N33755))</f>
        <v>0</v>
      </c>
    </row>
    <row r="33756" spans="13:16">
      <c r="M33756" s="49">
        <f>IF($A$4+337&gt;$B$4,"",$A$4+337)</f>
        <v>46360</v>
      </c>
      <c r="N33756">
        <f>IF(M33756="","",'Master Barang'!A50)</f>
        <v>0</v>
      </c>
      <c r="O33756">
        <f>IF(N33756="","",'Master Barang'!B50)</f>
        <v>0</v>
      </c>
      <c r="P33756">
        <f>IF(OR(M33756="",N33756=""),"",SUMIFS('Barang Keluar'!$E:$E,'Barang Keluar'!$A:$A,M33756,'Barang Keluar'!$C:$C,N33756))</f>
        <v>0</v>
      </c>
    </row>
    <row r="33757" spans="13:16">
      <c r="M33757" s="49">
        <f>IF($A$4+337&gt;$B$4,"",$A$4+337)</f>
        <v>46360</v>
      </c>
      <c r="N33757">
        <f>IF(M33757="","",'Master Barang'!A51)</f>
        <v>0</v>
      </c>
      <c r="O33757">
        <f>IF(N33757="","",'Master Barang'!B51)</f>
        <v>0</v>
      </c>
      <c r="P33757">
        <f>IF(OR(M33757="",N33757=""),"",SUMIFS('Barang Keluar'!$E:$E,'Barang Keluar'!$A:$A,M33757,'Barang Keluar'!$C:$C,N33757))</f>
        <v>0</v>
      </c>
    </row>
    <row r="33758" spans="13:16">
      <c r="M33758" s="49">
        <f>IF($A$4+337&gt;$B$4,"",$A$4+337)</f>
        <v>46360</v>
      </c>
      <c r="N33758">
        <f>IF(M33758="","",'Master Barang'!A52)</f>
        <v>0</v>
      </c>
      <c r="O33758">
        <f>IF(N33758="","",'Master Barang'!B52)</f>
        <v>0</v>
      </c>
      <c r="P33758">
        <f>IF(OR(M33758="",N33758=""),"",SUMIFS('Barang Keluar'!$E:$E,'Barang Keluar'!$A:$A,M33758,'Barang Keluar'!$C:$C,N33758))</f>
        <v>0</v>
      </c>
    </row>
    <row r="33759" spans="13:16">
      <c r="M33759" s="49">
        <f>IF($A$4+337&gt;$B$4,"",$A$4+337)</f>
        <v>46360</v>
      </c>
      <c r="N33759">
        <f>IF(M33759="","",'Master Barang'!A53)</f>
        <v>0</v>
      </c>
      <c r="O33759">
        <f>IF(N33759="","",'Master Barang'!B53)</f>
        <v>0</v>
      </c>
      <c r="P33759">
        <f>IF(OR(M33759="",N33759=""),"",SUMIFS('Barang Keluar'!$E:$E,'Barang Keluar'!$A:$A,M33759,'Barang Keluar'!$C:$C,N33759))</f>
        <v>0</v>
      </c>
    </row>
    <row r="33760" spans="13:16">
      <c r="M33760" s="49">
        <f>IF($A$4+337&gt;$B$4,"",$A$4+337)</f>
        <v>46360</v>
      </c>
      <c r="N33760">
        <f>IF(M33760="","",'Master Barang'!A54)</f>
        <v>0</v>
      </c>
      <c r="O33760">
        <f>IF(N33760="","",'Master Barang'!B54)</f>
        <v>0</v>
      </c>
      <c r="P33760">
        <f>IF(OR(M33760="",N33760=""),"",SUMIFS('Barang Keluar'!$E:$E,'Barang Keluar'!$A:$A,M33760,'Barang Keluar'!$C:$C,N33760))</f>
        <v>0</v>
      </c>
    </row>
    <row r="33761" spans="13:16">
      <c r="M33761" s="49">
        <f>IF($A$4+337&gt;$B$4,"",$A$4+337)</f>
        <v>46360</v>
      </c>
      <c r="N33761">
        <f>IF(M33761="","",'Master Barang'!A55)</f>
        <v>0</v>
      </c>
      <c r="O33761">
        <f>IF(N33761="","",'Master Barang'!B55)</f>
        <v>0</v>
      </c>
      <c r="P33761">
        <f>IF(OR(M33761="",N33761=""),"",SUMIFS('Barang Keluar'!$E:$E,'Barang Keluar'!$A:$A,M33761,'Barang Keluar'!$C:$C,N33761))</f>
        <v>0</v>
      </c>
    </row>
    <row r="33762" spans="13:16">
      <c r="M33762" s="49">
        <f>IF($A$4+337&gt;$B$4,"",$A$4+337)</f>
        <v>46360</v>
      </c>
      <c r="N33762">
        <f>IF(M33762="","",'Master Barang'!A56)</f>
        <v>0</v>
      </c>
      <c r="O33762">
        <f>IF(N33762="","",'Master Barang'!B56)</f>
        <v>0</v>
      </c>
      <c r="P33762">
        <f>IF(OR(M33762="",N33762=""),"",SUMIFS('Barang Keluar'!$E:$E,'Barang Keluar'!$A:$A,M33762,'Barang Keluar'!$C:$C,N33762))</f>
        <v>0</v>
      </c>
    </row>
    <row r="33763" spans="13:16">
      <c r="M33763" s="49">
        <f>IF($A$4+337&gt;$B$4,"",$A$4+337)</f>
        <v>46360</v>
      </c>
      <c r="N33763">
        <f>IF(M33763="","",'Master Barang'!A57)</f>
        <v>0</v>
      </c>
      <c r="O33763">
        <f>IF(N33763="","",'Master Barang'!B57)</f>
        <v>0</v>
      </c>
      <c r="P33763">
        <f>IF(OR(M33763="",N33763=""),"",SUMIFS('Barang Keluar'!$E:$E,'Barang Keluar'!$A:$A,M33763,'Barang Keluar'!$C:$C,N33763))</f>
        <v>0</v>
      </c>
    </row>
    <row r="33764" spans="13:16">
      <c r="M33764" s="49">
        <f>IF($A$4+337&gt;$B$4,"",$A$4+337)</f>
        <v>46360</v>
      </c>
      <c r="N33764">
        <f>IF(M33764="","",'Master Barang'!A58)</f>
        <v>0</v>
      </c>
      <c r="O33764">
        <f>IF(N33764="","",'Master Barang'!B58)</f>
        <v>0</v>
      </c>
      <c r="P33764">
        <f>IF(OR(M33764="",N33764=""),"",SUMIFS('Barang Keluar'!$E:$E,'Barang Keluar'!$A:$A,M33764,'Barang Keluar'!$C:$C,N33764))</f>
        <v>0</v>
      </c>
    </row>
    <row r="33765" spans="13:16">
      <c r="M33765" s="49">
        <f>IF($A$4+337&gt;$B$4,"",$A$4+337)</f>
        <v>46360</v>
      </c>
      <c r="N33765">
        <f>IF(M33765="","",'Master Barang'!A59)</f>
        <v>0</v>
      </c>
      <c r="O33765">
        <f>IF(N33765="","",'Master Barang'!B59)</f>
        <v>0</v>
      </c>
      <c r="P33765">
        <f>IF(OR(M33765="",N33765=""),"",SUMIFS('Barang Keluar'!$E:$E,'Barang Keluar'!$A:$A,M33765,'Barang Keluar'!$C:$C,N33765))</f>
        <v>0</v>
      </c>
    </row>
    <row r="33766" spans="13:16">
      <c r="M33766" s="49">
        <f>IF($A$4+337&gt;$B$4,"",$A$4+337)</f>
        <v>46360</v>
      </c>
      <c r="N33766">
        <f>IF(M33766="","",'Master Barang'!A60)</f>
        <v>0</v>
      </c>
      <c r="O33766">
        <f>IF(N33766="","",'Master Barang'!B60)</f>
        <v>0</v>
      </c>
      <c r="P33766">
        <f>IF(OR(M33766="",N33766=""),"",SUMIFS('Barang Keluar'!$E:$E,'Barang Keluar'!$A:$A,M33766,'Barang Keluar'!$C:$C,N33766))</f>
        <v>0</v>
      </c>
    </row>
    <row r="33767" spans="13:16">
      <c r="M33767" s="49">
        <f>IF($A$4+337&gt;$B$4,"",$A$4+337)</f>
        <v>46360</v>
      </c>
      <c r="N33767">
        <f>IF(M33767="","",'Master Barang'!A61)</f>
        <v>0</v>
      </c>
      <c r="O33767">
        <f>IF(N33767="","",'Master Barang'!B61)</f>
        <v>0</v>
      </c>
      <c r="P33767">
        <f>IF(OR(M33767="",N33767=""),"",SUMIFS('Barang Keluar'!$E:$E,'Barang Keluar'!$A:$A,M33767,'Barang Keluar'!$C:$C,N33767))</f>
        <v>0</v>
      </c>
    </row>
    <row r="33768" spans="13:16">
      <c r="M33768" s="49">
        <f>IF($A$4+337&gt;$B$4,"",$A$4+337)</f>
        <v>46360</v>
      </c>
      <c r="N33768">
        <f>IF(M33768="","",'Master Barang'!A62)</f>
        <v>0</v>
      </c>
      <c r="O33768">
        <f>IF(N33768="","",'Master Barang'!B62)</f>
        <v>0</v>
      </c>
      <c r="P33768">
        <f>IF(OR(M33768="",N33768=""),"",SUMIFS('Barang Keluar'!$E:$E,'Barang Keluar'!$A:$A,M33768,'Barang Keluar'!$C:$C,N33768))</f>
        <v>0</v>
      </c>
    </row>
    <row r="33769" spans="13:16">
      <c r="M33769" s="49">
        <f>IF($A$4+337&gt;$B$4,"",$A$4+337)</f>
        <v>46360</v>
      </c>
      <c r="N33769">
        <f>IF(M33769="","",'Master Barang'!A63)</f>
        <v>0</v>
      </c>
      <c r="O33769">
        <f>IF(N33769="","",'Master Barang'!B63)</f>
        <v>0</v>
      </c>
      <c r="P33769">
        <f>IF(OR(M33769="",N33769=""),"",SUMIFS('Barang Keluar'!$E:$E,'Barang Keluar'!$A:$A,M33769,'Barang Keluar'!$C:$C,N33769))</f>
        <v>0</v>
      </c>
    </row>
    <row r="33770" spans="13:16">
      <c r="M33770" s="49">
        <f>IF($A$4+337&gt;$B$4,"",$A$4+337)</f>
        <v>46360</v>
      </c>
      <c r="N33770">
        <f>IF(M33770="","",'Master Barang'!A64)</f>
        <v>0</v>
      </c>
      <c r="O33770">
        <f>IF(N33770="","",'Master Barang'!B64)</f>
        <v>0</v>
      </c>
      <c r="P33770">
        <f>IF(OR(M33770="",N33770=""),"",SUMIFS('Barang Keluar'!$E:$E,'Barang Keluar'!$A:$A,M33770,'Barang Keluar'!$C:$C,N33770))</f>
        <v>0</v>
      </c>
    </row>
    <row r="33771" spans="13:16">
      <c r="M33771" s="49">
        <f>IF($A$4+337&gt;$B$4,"",$A$4+337)</f>
        <v>46360</v>
      </c>
      <c r="N33771">
        <f>IF(M33771="","",'Master Barang'!A65)</f>
        <v>0</v>
      </c>
      <c r="O33771">
        <f>IF(N33771="","",'Master Barang'!B65)</f>
        <v>0</v>
      </c>
      <c r="P33771">
        <f>IF(OR(M33771="",N33771=""),"",SUMIFS('Barang Keluar'!$E:$E,'Barang Keluar'!$A:$A,M33771,'Barang Keluar'!$C:$C,N33771))</f>
        <v>0</v>
      </c>
    </row>
    <row r="33772" spans="13:16">
      <c r="M33772" s="49">
        <f>IF($A$4+337&gt;$B$4,"",$A$4+337)</f>
        <v>46360</v>
      </c>
      <c r="N33772">
        <f>IF(M33772="","",'Master Barang'!A66)</f>
        <v>0</v>
      </c>
      <c r="O33772">
        <f>IF(N33772="","",'Master Barang'!B66)</f>
        <v>0</v>
      </c>
      <c r="P33772">
        <f>IF(OR(M33772="",N33772=""),"",SUMIFS('Barang Keluar'!$E:$E,'Barang Keluar'!$A:$A,M33772,'Barang Keluar'!$C:$C,N33772))</f>
        <v>0</v>
      </c>
    </row>
    <row r="33773" spans="13:16">
      <c r="M33773" s="49">
        <f>IF($A$4+337&gt;$B$4,"",$A$4+337)</f>
        <v>46360</v>
      </c>
      <c r="N33773">
        <f>IF(M33773="","",'Master Barang'!A67)</f>
        <v>0</v>
      </c>
      <c r="O33773">
        <f>IF(N33773="","",'Master Barang'!B67)</f>
        <v>0</v>
      </c>
      <c r="P33773">
        <f>IF(OR(M33773="",N33773=""),"",SUMIFS('Barang Keluar'!$E:$E,'Barang Keluar'!$A:$A,M33773,'Barang Keluar'!$C:$C,N33773))</f>
        <v>0</v>
      </c>
    </row>
    <row r="33774" spans="13:16">
      <c r="M33774" s="49">
        <f>IF($A$4+337&gt;$B$4,"",$A$4+337)</f>
        <v>46360</v>
      </c>
      <c r="N33774">
        <f>IF(M33774="","",'Master Barang'!A68)</f>
        <v>0</v>
      </c>
      <c r="O33774">
        <f>IF(N33774="","",'Master Barang'!B68)</f>
        <v>0</v>
      </c>
      <c r="P33774">
        <f>IF(OR(M33774="",N33774=""),"",SUMIFS('Barang Keluar'!$E:$E,'Barang Keluar'!$A:$A,M33774,'Barang Keluar'!$C:$C,N33774))</f>
        <v>0</v>
      </c>
    </row>
    <row r="33775" spans="13:16">
      <c r="M33775" s="49">
        <f>IF($A$4+337&gt;$B$4,"",$A$4+337)</f>
        <v>46360</v>
      </c>
      <c r="N33775">
        <f>IF(M33775="","",'Master Barang'!A69)</f>
        <v>0</v>
      </c>
      <c r="O33775">
        <f>IF(N33775="","",'Master Barang'!B69)</f>
        <v>0</v>
      </c>
      <c r="P33775">
        <f>IF(OR(M33775="",N33775=""),"",SUMIFS('Barang Keluar'!$E:$E,'Barang Keluar'!$A:$A,M33775,'Barang Keluar'!$C:$C,N33775))</f>
        <v>0</v>
      </c>
    </row>
    <row r="33776" spans="13:16">
      <c r="M33776" s="49">
        <f>IF($A$4+337&gt;$B$4,"",$A$4+337)</f>
        <v>46360</v>
      </c>
      <c r="N33776">
        <f>IF(M33776="","",'Master Barang'!A70)</f>
        <v>0</v>
      </c>
      <c r="O33776">
        <f>IF(N33776="","",'Master Barang'!B70)</f>
        <v>0</v>
      </c>
      <c r="P33776">
        <f>IF(OR(M33776="",N33776=""),"",SUMIFS('Barang Keluar'!$E:$E,'Barang Keluar'!$A:$A,M33776,'Barang Keluar'!$C:$C,N33776))</f>
        <v>0</v>
      </c>
    </row>
    <row r="33777" spans="13:16">
      <c r="M33777" s="49">
        <f>IF($A$4+337&gt;$B$4,"",$A$4+337)</f>
        <v>46360</v>
      </c>
      <c r="N33777">
        <f>IF(M33777="","",'Master Barang'!A71)</f>
        <v>0</v>
      </c>
      <c r="O33777">
        <f>IF(N33777="","",'Master Barang'!B71)</f>
        <v>0</v>
      </c>
      <c r="P33777">
        <f>IF(OR(M33777="",N33777=""),"",SUMIFS('Barang Keluar'!$E:$E,'Barang Keluar'!$A:$A,M33777,'Barang Keluar'!$C:$C,N33777))</f>
        <v>0</v>
      </c>
    </row>
    <row r="33778" spans="13:16">
      <c r="M33778" s="49">
        <f>IF($A$4+337&gt;$B$4,"",$A$4+337)</f>
        <v>46360</v>
      </c>
      <c r="N33778">
        <f>IF(M33778="","",'Master Barang'!A72)</f>
        <v>0</v>
      </c>
      <c r="O33778">
        <f>IF(N33778="","",'Master Barang'!B72)</f>
        <v>0</v>
      </c>
      <c r="P33778">
        <f>IF(OR(M33778="",N33778=""),"",SUMIFS('Barang Keluar'!$E:$E,'Barang Keluar'!$A:$A,M33778,'Barang Keluar'!$C:$C,N33778))</f>
        <v>0</v>
      </c>
    </row>
    <row r="33779" spans="13:16">
      <c r="M33779" s="49">
        <f>IF($A$4+337&gt;$B$4,"",$A$4+337)</f>
        <v>46360</v>
      </c>
      <c r="N33779">
        <f>IF(M33779="","",'Master Barang'!A73)</f>
        <v>0</v>
      </c>
      <c r="O33779">
        <f>IF(N33779="","",'Master Barang'!B73)</f>
        <v>0</v>
      </c>
      <c r="P33779">
        <f>IF(OR(M33779="",N33779=""),"",SUMIFS('Barang Keluar'!$E:$E,'Barang Keluar'!$A:$A,M33779,'Barang Keluar'!$C:$C,N33779))</f>
        <v>0</v>
      </c>
    </row>
    <row r="33780" spans="13:16">
      <c r="M33780" s="49">
        <f>IF($A$4+337&gt;$B$4,"",$A$4+337)</f>
        <v>46360</v>
      </c>
      <c r="N33780">
        <f>IF(M33780="","",'Master Barang'!A74)</f>
        <v>0</v>
      </c>
      <c r="O33780">
        <f>IF(N33780="","",'Master Barang'!B74)</f>
        <v>0</v>
      </c>
      <c r="P33780">
        <f>IF(OR(M33780="",N33780=""),"",SUMIFS('Barang Keluar'!$E:$E,'Barang Keluar'!$A:$A,M33780,'Barang Keluar'!$C:$C,N33780))</f>
        <v>0</v>
      </c>
    </row>
    <row r="33781" spans="13:16">
      <c r="M33781" s="49">
        <f>IF($A$4+337&gt;$B$4,"",$A$4+337)</f>
        <v>46360</v>
      </c>
      <c r="N33781">
        <f>IF(M33781="","",'Master Barang'!A75)</f>
        <v>0</v>
      </c>
      <c r="O33781">
        <f>IF(N33781="","",'Master Barang'!B75)</f>
        <v>0</v>
      </c>
      <c r="P33781">
        <f>IF(OR(M33781="",N33781=""),"",SUMIFS('Barang Keluar'!$E:$E,'Barang Keluar'!$A:$A,M33781,'Barang Keluar'!$C:$C,N33781))</f>
        <v>0</v>
      </c>
    </row>
    <row r="33782" spans="13:16">
      <c r="M33782" s="49">
        <f>IF($A$4+337&gt;$B$4,"",$A$4+337)</f>
        <v>46360</v>
      </c>
      <c r="N33782">
        <f>IF(M33782="","",'Master Barang'!A76)</f>
        <v>0</v>
      </c>
      <c r="O33782">
        <f>IF(N33782="","",'Master Barang'!B76)</f>
        <v>0</v>
      </c>
      <c r="P33782">
        <f>IF(OR(M33782="",N33782=""),"",SUMIFS('Barang Keluar'!$E:$E,'Barang Keluar'!$A:$A,M33782,'Barang Keluar'!$C:$C,N33782))</f>
        <v>0</v>
      </c>
    </row>
    <row r="33783" spans="13:16">
      <c r="M33783" s="49">
        <f>IF($A$4+337&gt;$B$4,"",$A$4+337)</f>
        <v>46360</v>
      </c>
      <c r="N33783">
        <f>IF(M33783="","",'Master Barang'!A77)</f>
        <v>0</v>
      </c>
      <c r="O33783">
        <f>IF(N33783="","",'Master Barang'!B77)</f>
        <v>0</v>
      </c>
      <c r="P33783">
        <f>IF(OR(M33783="",N33783=""),"",SUMIFS('Barang Keluar'!$E:$E,'Barang Keluar'!$A:$A,M33783,'Barang Keluar'!$C:$C,N33783))</f>
        <v>0</v>
      </c>
    </row>
    <row r="33784" spans="13:16">
      <c r="M33784" s="49">
        <f>IF($A$4+337&gt;$B$4,"",$A$4+337)</f>
        <v>46360</v>
      </c>
      <c r="N33784">
        <f>IF(M33784="","",'Master Barang'!A78)</f>
        <v>0</v>
      </c>
      <c r="O33784">
        <f>IF(N33784="","",'Master Barang'!B78)</f>
        <v>0</v>
      </c>
      <c r="P33784">
        <f>IF(OR(M33784="",N33784=""),"",SUMIFS('Barang Keluar'!$E:$E,'Barang Keluar'!$A:$A,M33784,'Barang Keluar'!$C:$C,N33784))</f>
        <v>0</v>
      </c>
    </row>
    <row r="33785" spans="13:16">
      <c r="M33785" s="49">
        <f>IF($A$4+337&gt;$B$4,"",$A$4+337)</f>
        <v>46360</v>
      </c>
      <c r="N33785">
        <f>IF(M33785="","",'Master Barang'!A79)</f>
        <v>0</v>
      </c>
      <c r="O33785">
        <f>IF(N33785="","",'Master Barang'!B79)</f>
        <v>0</v>
      </c>
      <c r="P33785">
        <f>IF(OR(M33785="",N33785=""),"",SUMIFS('Barang Keluar'!$E:$E,'Barang Keluar'!$A:$A,M33785,'Barang Keluar'!$C:$C,N33785))</f>
        <v>0</v>
      </c>
    </row>
    <row r="33786" spans="13:16">
      <c r="M33786" s="49">
        <f>IF($A$4+337&gt;$B$4,"",$A$4+337)</f>
        <v>46360</v>
      </c>
      <c r="N33786">
        <f>IF(M33786="","",'Master Barang'!A80)</f>
        <v>0</v>
      </c>
      <c r="O33786">
        <f>IF(N33786="","",'Master Barang'!B80)</f>
        <v>0</v>
      </c>
      <c r="P33786">
        <f>IF(OR(M33786="",N33786=""),"",SUMIFS('Barang Keluar'!$E:$E,'Barang Keluar'!$A:$A,M33786,'Barang Keluar'!$C:$C,N33786))</f>
        <v>0</v>
      </c>
    </row>
    <row r="33787" spans="13:16">
      <c r="M33787" s="49">
        <f>IF($A$4+337&gt;$B$4,"",$A$4+337)</f>
        <v>46360</v>
      </c>
      <c r="N33787">
        <f>IF(M33787="","",'Master Barang'!A81)</f>
        <v>0</v>
      </c>
      <c r="O33787">
        <f>IF(N33787="","",'Master Barang'!B81)</f>
        <v>0</v>
      </c>
      <c r="P33787">
        <f>IF(OR(M33787="",N33787=""),"",SUMIFS('Barang Keluar'!$E:$E,'Barang Keluar'!$A:$A,M33787,'Barang Keluar'!$C:$C,N33787))</f>
        <v>0</v>
      </c>
    </row>
    <row r="33788" spans="13:16">
      <c r="M33788" s="49">
        <f>IF($A$4+337&gt;$B$4,"",$A$4+337)</f>
        <v>46360</v>
      </c>
      <c r="N33788">
        <f>IF(M33788="","",'Master Barang'!A82)</f>
        <v>0</v>
      </c>
      <c r="O33788">
        <f>IF(N33788="","",'Master Barang'!B82)</f>
        <v>0</v>
      </c>
      <c r="P33788">
        <f>IF(OR(M33788="",N33788=""),"",SUMIFS('Barang Keluar'!$E:$E,'Barang Keluar'!$A:$A,M33788,'Barang Keluar'!$C:$C,N33788))</f>
        <v>0</v>
      </c>
    </row>
    <row r="33789" spans="13:16">
      <c r="M33789" s="49">
        <f>IF($A$4+337&gt;$B$4,"",$A$4+337)</f>
        <v>46360</v>
      </c>
      <c r="N33789">
        <f>IF(M33789="","",'Master Barang'!A83)</f>
        <v>0</v>
      </c>
      <c r="O33789">
        <f>IF(N33789="","",'Master Barang'!B83)</f>
        <v>0</v>
      </c>
      <c r="P33789">
        <f>IF(OR(M33789="",N33789=""),"",SUMIFS('Barang Keluar'!$E:$E,'Barang Keluar'!$A:$A,M33789,'Barang Keluar'!$C:$C,N33789))</f>
        <v>0</v>
      </c>
    </row>
    <row r="33790" spans="13:16">
      <c r="M33790" s="49">
        <f>IF($A$4+337&gt;$B$4,"",$A$4+337)</f>
        <v>46360</v>
      </c>
      <c r="N33790">
        <f>IF(M33790="","",'Master Barang'!A84)</f>
        <v>0</v>
      </c>
      <c r="O33790">
        <f>IF(N33790="","",'Master Barang'!B84)</f>
        <v>0</v>
      </c>
      <c r="P33790">
        <f>IF(OR(M33790="",N33790=""),"",SUMIFS('Barang Keluar'!$E:$E,'Barang Keluar'!$A:$A,M33790,'Barang Keluar'!$C:$C,N33790))</f>
        <v>0</v>
      </c>
    </row>
    <row r="33791" spans="13:16">
      <c r="M33791" s="49">
        <f>IF($A$4+337&gt;$B$4,"",$A$4+337)</f>
        <v>46360</v>
      </c>
      <c r="N33791">
        <f>IF(M33791="","",'Master Barang'!A85)</f>
        <v>0</v>
      </c>
      <c r="O33791">
        <f>IF(N33791="","",'Master Barang'!B85)</f>
        <v>0</v>
      </c>
      <c r="P33791">
        <f>IF(OR(M33791="",N33791=""),"",SUMIFS('Barang Keluar'!$E:$E,'Barang Keluar'!$A:$A,M33791,'Barang Keluar'!$C:$C,N33791))</f>
        <v>0</v>
      </c>
    </row>
    <row r="33792" spans="13:16">
      <c r="M33792" s="49">
        <f>IF($A$4+337&gt;$B$4,"",$A$4+337)</f>
        <v>46360</v>
      </c>
      <c r="N33792">
        <f>IF(M33792="","",'Master Barang'!A86)</f>
        <v>0</v>
      </c>
      <c r="O33792">
        <f>IF(N33792="","",'Master Barang'!B86)</f>
        <v>0</v>
      </c>
      <c r="P33792">
        <f>IF(OR(M33792="",N33792=""),"",SUMIFS('Barang Keluar'!$E:$E,'Barang Keluar'!$A:$A,M33792,'Barang Keluar'!$C:$C,N33792))</f>
        <v>0</v>
      </c>
    </row>
    <row r="33793" spans="13:16">
      <c r="M33793" s="49">
        <f>IF($A$4+337&gt;$B$4,"",$A$4+337)</f>
        <v>46360</v>
      </c>
      <c r="N33793">
        <f>IF(M33793="","",'Master Barang'!A87)</f>
        <v>0</v>
      </c>
      <c r="O33793">
        <f>IF(N33793="","",'Master Barang'!B87)</f>
        <v>0</v>
      </c>
      <c r="P33793">
        <f>IF(OR(M33793="",N33793=""),"",SUMIFS('Barang Keluar'!$E:$E,'Barang Keluar'!$A:$A,M33793,'Barang Keluar'!$C:$C,N33793))</f>
        <v>0</v>
      </c>
    </row>
    <row r="33794" spans="13:16">
      <c r="M33794" s="49">
        <f>IF($A$4+337&gt;$B$4,"",$A$4+337)</f>
        <v>46360</v>
      </c>
      <c r="N33794">
        <f>IF(M33794="","",'Master Barang'!A88)</f>
        <v>0</v>
      </c>
      <c r="O33794">
        <f>IF(N33794="","",'Master Barang'!B88)</f>
        <v>0</v>
      </c>
      <c r="P33794">
        <f>IF(OR(M33794="",N33794=""),"",SUMIFS('Barang Keluar'!$E:$E,'Barang Keluar'!$A:$A,M33794,'Barang Keluar'!$C:$C,N33794))</f>
        <v>0</v>
      </c>
    </row>
    <row r="33795" spans="13:16">
      <c r="M33795" s="49">
        <f>IF($A$4+337&gt;$B$4,"",$A$4+337)</f>
        <v>46360</v>
      </c>
      <c r="N33795">
        <f>IF(M33795="","",'Master Barang'!A89)</f>
        <v>0</v>
      </c>
      <c r="O33795">
        <f>IF(N33795="","",'Master Barang'!B89)</f>
        <v>0</v>
      </c>
      <c r="P33795">
        <f>IF(OR(M33795="",N33795=""),"",SUMIFS('Barang Keluar'!$E:$E,'Barang Keluar'!$A:$A,M33795,'Barang Keluar'!$C:$C,N33795))</f>
        <v>0</v>
      </c>
    </row>
    <row r="33796" spans="13:16">
      <c r="M33796" s="49">
        <f>IF($A$4+337&gt;$B$4,"",$A$4+337)</f>
        <v>46360</v>
      </c>
      <c r="N33796">
        <f>IF(M33796="","",'Master Barang'!A90)</f>
        <v>0</v>
      </c>
      <c r="O33796">
        <f>IF(N33796="","",'Master Barang'!B90)</f>
        <v>0</v>
      </c>
      <c r="P33796">
        <f>IF(OR(M33796="",N33796=""),"",SUMIFS('Barang Keluar'!$E:$E,'Barang Keluar'!$A:$A,M33796,'Barang Keluar'!$C:$C,N33796))</f>
        <v>0</v>
      </c>
    </row>
    <row r="33797" spans="13:16">
      <c r="M33797" s="49">
        <f>IF($A$4+337&gt;$B$4,"",$A$4+337)</f>
        <v>46360</v>
      </c>
      <c r="N33797">
        <f>IF(M33797="","",'Master Barang'!A91)</f>
        <v>0</v>
      </c>
      <c r="O33797">
        <f>IF(N33797="","",'Master Barang'!B91)</f>
        <v>0</v>
      </c>
      <c r="P33797">
        <f>IF(OR(M33797="",N33797=""),"",SUMIFS('Barang Keluar'!$E:$E,'Barang Keluar'!$A:$A,M33797,'Barang Keluar'!$C:$C,N33797))</f>
        <v>0</v>
      </c>
    </row>
    <row r="33798" spans="13:16">
      <c r="M33798" s="49">
        <f>IF($A$4+337&gt;$B$4,"",$A$4+337)</f>
        <v>46360</v>
      </c>
      <c r="N33798">
        <f>IF(M33798="","",'Master Barang'!A92)</f>
        <v>0</v>
      </c>
      <c r="O33798">
        <f>IF(N33798="","",'Master Barang'!B92)</f>
        <v>0</v>
      </c>
      <c r="P33798">
        <f>IF(OR(M33798="",N33798=""),"",SUMIFS('Barang Keluar'!$E:$E,'Barang Keluar'!$A:$A,M33798,'Barang Keluar'!$C:$C,N33798))</f>
        <v>0</v>
      </c>
    </row>
    <row r="33799" spans="13:16">
      <c r="M33799" s="49">
        <f>IF($A$4+337&gt;$B$4,"",$A$4+337)</f>
        <v>46360</v>
      </c>
      <c r="N33799">
        <f>IF(M33799="","",'Master Barang'!A93)</f>
        <v>0</v>
      </c>
      <c r="O33799">
        <f>IF(N33799="","",'Master Barang'!B93)</f>
        <v>0</v>
      </c>
      <c r="P33799">
        <f>IF(OR(M33799="",N33799=""),"",SUMIFS('Barang Keluar'!$E:$E,'Barang Keluar'!$A:$A,M33799,'Barang Keluar'!$C:$C,N33799))</f>
        <v>0</v>
      </c>
    </row>
    <row r="33800" spans="13:16">
      <c r="M33800" s="49">
        <f>IF($A$4+337&gt;$B$4,"",$A$4+337)</f>
        <v>46360</v>
      </c>
      <c r="N33800">
        <f>IF(M33800="","",'Master Barang'!A94)</f>
        <v>0</v>
      </c>
      <c r="O33800">
        <f>IF(N33800="","",'Master Barang'!B94)</f>
        <v>0</v>
      </c>
      <c r="P33800">
        <f>IF(OR(M33800="",N33800=""),"",SUMIFS('Barang Keluar'!$E:$E,'Barang Keluar'!$A:$A,M33800,'Barang Keluar'!$C:$C,N33800))</f>
        <v>0</v>
      </c>
    </row>
    <row r="33801" spans="13:16">
      <c r="M33801" s="49">
        <f>IF($A$4+337&gt;$B$4,"",$A$4+337)</f>
        <v>46360</v>
      </c>
      <c r="N33801">
        <f>IF(M33801="","",'Master Barang'!A95)</f>
        <v>0</v>
      </c>
      <c r="O33801">
        <f>IF(N33801="","",'Master Barang'!B95)</f>
        <v>0</v>
      </c>
      <c r="P33801">
        <f>IF(OR(M33801="",N33801=""),"",SUMIFS('Barang Keluar'!$E:$E,'Barang Keluar'!$A:$A,M33801,'Barang Keluar'!$C:$C,N33801))</f>
        <v>0</v>
      </c>
    </row>
    <row r="33802" spans="13:16">
      <c r="M33802" s="49">
        <f>IF($A$4+337&gt;$B$4,"",$A$4+337)</f>
        <v>46360</v>
      </c>
      <c r="N33802">
        <f>IF(M33802="","",'Master Barang'!A96)</f>
        <v>0</v>
      </c>
      <c r="O33802">
        <f>IF(N33802="","",'Master Barang'!B96)</f>
        <v>0</v>
      </c>
      <c r="P33802">
        <f>IF(OR(M33802="",N33802=""),"",SUMIFS('Barang Keluar'!$E:$E,'Barang Keluar'!$A:$A,M33802,'Barang Keluar'!$C:$C,N33802))</f>
        <v>0</v>
      </c>
    </row>
    <row r="33803" spans="13:16">
      <c r="M33803" s="49">
        <f>IF($A$4+337&gt;$B$4,"",$A$4+337)</f>
        <v>46360</v>
      </c>
      <c r="N33803">
        <f>IF(M33803="","",'Master Barang'!A97)</f>
        <v>0</v>
      </c>
      <c r="O33803">
        <f>IF(N33803="","",'Master Barang'!B97)</f>
        <v>0</v>
      </c>
      <c r="P33803">
        <f>IF(OR(M33803="",N33803=""),"",SUMIFS('Barang Keluar'!$E:$E,'Barang Keluar'!$A:$A,M33803,'Barang Keluar'!$C:$C,N33803))</f>
        <v>0</v>
      </c>
    </row>
    <row r="33804" spans="13:16">
      <c r="M33804" s="49">
        <f>IF($A$4+337&gt;$B$4,"",$A$4+337)</f>
        <v>46360</v>
      </c>
      <c r="N33804">
        <f>IF(M33804="","",'Master Barang'!A98)</f>
        <v>0</v>
      </c>
      <c r="O33804">
        <f>IF(N33804="","",'Master Barang'!B98)</f>
        <v>0</v>
      </c>
      <c r="P33804">
        <f>IF(OR(M33804="",N33804=""),"",SUMIFS('Barang Keluar'!$E:$E,'Barang Keluar'!$A:$A,M33804,'Barang Keluar'!$C:$C,N33804))</f>
        <v>0</v>
      </c>
    </row>
    <row r="33805" spans="13:16">
      <c r="M33805" s="49">
        <f>IF($A$4+337&gt;$B$4,"",$A$4+337)</f>
        <v>46360</v>
      </c>
      <c r="N33805">
        <f>IF(M33805="","",'Master Barang'!A99)</f>
        <v>0</v>
      </c>
      <c r="O33805">
        <f>IF(N33805="","",'Master Barang'!B99)</f>
        <v>0</v>
      </c>
      <c r="P33805">
        <f>IF(OR(M33805="",N33805=""),"",SUMIFS('Barang Keluar'!$E:$E,'Barang Keluar'!$A:$A,M33805,'Barang Keluar'!$C:$C,N33805))</f>
        <v>0</v>
      </c>
    </row>
    <row r="33806" spans="13:16">
      <c r="M33806" s="49">
        <f>IF($A$4+337&gt;$B$4,"",$A$4+337)</f>
        <v>46360</v>
      </c>
      <c r="N33806">
        <f>IF(M33806="","",'Master Barang'!A100)</f>
        <v>0</v>
      </c>
      <c r="O33806">
        <f>IF(N33806="","",'Master Barang'!B100)</f>
        <v>0</v>
      </c>
      <c r="P33806">
        <f>IF(OR(M33806="",N33806=""),"",SUMIFS('Barang Keluar'!$E:$E,'Barang Keluar'!$A:$A,M33806,'Barang Keluar'!$C:$C,N33806))</f>
        <v>0</v>
      </c>
    </row>
    <row r="33807" spans="13:16">
      <c r="M33807" s="49">
        <f>IF($A$4+337&gt;$B$4,"",$A$4+337)</f>
        <v>46360</v>
      </c>
      <c r="N33807">
        <f>IF(M33807="","",'Master Barang'!A101)</f>
        <v>0</v>
      </c>
      <c r="O33807">
        <f>IF(N33807="","",'Master Barang'!B101)</f>
        <v>0</v>
      </c>
      <c r="P33807">
        <f>IF(OR(M33807="",N33807=""),"",SUMIFS('Barang Keluar'!$E:$E,'Barang Keluar'!$A:$A,M33807,'Barang Keluar'!$C:$C,N33807))</f>
        <v>0</v>
      </c>
    </row>
    <row r="33808" spans="13:16">
      <c r="M33808" s="49">
        <f>IF($A$4+338&gt;$B$4,"",$A$4+338)</f>
        <v>46361</v>
      </c>
      <c r="N33808" t="str">
        <f>IF(M33808="","",'Master Barang'!A2)</f>
        <v>PRL-001</v>
      </c>
      <c r="O33808" t="str">
        <f>IF(N33808="","",'Master Barang'!B2)</f>
        <v>natura desinfectant food grade 5l</v>
      </c>
      <c r="P33808">
        <f>IF(OR(M33808="",N33808=""),"",SUMIFS('Barang Keluar'!$E:$E,'Barang Keluar'!$A:$A,M33808,'Barang Keluar'!$C:$C,N33808))</f>
        <v>0</v>
      </c>
    </row>
    <row r="33809" spans="13:16">
      <c r="M33809" s="49">
        <f>IF($A$4+338&gt;$B$4,"",$A$4+338)</f>
        <v>46361</v>
      </c>
      <c r="N33809" t="str">
        <f>IF(M33809="","",'Master Barang'!A3)</f>
        <v>PRL-002</v>
      </c>
      <c r="O33809" t="str">
        <f>IF(N33809="","",'Master Barang'!B3)</f>
        <v>sunlight cairan pencuci piring 5l</v>
      </c>
      <c r="P33809">
        <f>IF(OR(M33809="",N33809=""),"",SUMIFS('Barang Keluar'!$E:$E,'Barang Keluar'!$A:$A,M33809,'Barang Keluar'!$C:$C,N33809))</f>
        <v>0</v>
      </c>
    </row>
    <row r="33810" spans="13:16">
      <c r="M33810" s="49">
        <f>IF($A$4+338&gt;$B$4,"",$A$4+338)</f>
        <v>46361</v>
      </c>
      <c r="N33810" t="str">
        <f>IF(M33810="","",'Master Barang'!A4)</f>
        <v>PRL-003</v>
      </c>
      <c r="O33810" t="str">
        <f>IF(N33810="","",'Master Barang'!B4)</f>
        <v>oixs cleaner 1l</v>
      </c>
      <c r="P33810">
        <f>IF(OR(M33810="",N33810=""),"",SUMIFS('Barang Keluar'!$E:$E,'Barang Keluar'!$A:$A,M33810,'Barang Keluar'!$C:$C,N33810))</f>
        <v>0</v>
      </c>
    </row>
    <row r="33811" spans="13:16">
      <c r="M33811" s="49">
        <f>IF($A$4+338&gt;$B$4,"",$A$4+338)</f>
        <v>46361</v>
      </c>
      <c r="N33811" t="str">
        <f>IF(M33811="","",'Master Barang'!A5)</f>
        <v>PRL-004</v>
      </c>
      <c r="O33811" t="str">
        <f>IF(N33811="","",'Master Barang'!B5)</f>
        <v>be clean tissue serbaguna</v>
      </c>
      <c r="P33811">
        <f>IF(OR(M33811="",N33811=""),"",SUMIFS('Barang Keluar'!$E:$E,'Barang Keluar'!$A:$A,M33811,'Barang Keluar'!$C:$C,N33811))</f>
        <v>0</v>
      </c>
    </row>
    <row r="33812" spans="13:16">
      <c r="M33812" s="49">
        <f>IF($A$4+338&gt;$B$4,"",$A$4+338)</f>
        <v>46361</v>
      </c>
      <c r="N33812" t="str">
        <f>IF(M33812="","",'Master Barang'!A6)</f>
        <v>PRL-005</v>
      </c>
      <c r="O33812" t="str">
        <f>IF(N33812="","",'Master Barang'!B6)</f>
        <v>spons cuci hijau</v>
      </c>
      <c r="P33812">
        <f>IF(OR(M33812="",N33812=""),"",SUMIFS('Barang Keluar'!$E:$E,'Barang Keluar'!$A:$A,M33812,'Barang Keluar'!$C:$C,N33812))</f>
        <v>0</v>
      </c>
    </row>
    <row r="33813" spans="13:16">
      <c r="M33813" s="49">
        <f>IF($A$4+338&gt;$B$4,"",$A$4+338)</f>
        <v>46361</v>
      </c>
      <c r="N33813" t="str">
        <f>IF(M33813="","",'Master Barang'!A7)</f>
        <v>PRL-006</v>
      </c>
      <c r="O33813" t="str">
        <f>IF(N33813="","",'Master Barang'!B7)</f>
        <v>sabut cuci stainless</v>
      </c>
      <c r="P33813">
        <f>IF(OR(M33813="",N33813=""),"",SUMIFS('Barang Keluar'!$E:$E,'Barang Keluar'!$A:$A,M33813,'Barang Keluar'!$C:$C,N33813))</f>
        <v>0</v>
      </c>
    </row>
    <row r="33814" spans="13:16">
      <c r="M33814" s="49">
        <f>IF($A$4+338&gt;$B$4,"",$A$4+338)</f>
        <v>46361</v>
      </c>
      <c r="N33814" t="str">
        <f>IF(M33814="","",'Master Barang'!A8)</f>
        <v>PRL-007</v>
      </c>
      <c r="O33814" t="str">
        <f>IF(N33814="","",'Master Barang'!B8)</f>
        <v>plastik kresek besar merah 50pc</v>
      </c>
      <c r="P33814">
        <f>IF(OR(M33814="",N33814=""),"",SUMIFS('Barang Keluar'!$E:$E,'Barang Keluar'!$A:$A,M33814,'Barang Keluar'!$C:$C,N33814))</f>
        <v>0</v>
      </c>
    </row>
    <row r="33815" spans="13:16">
      <c r="M33815" s="49">
        <f>IF($A$4+338&gt;$B$4,"",$A$4+338)</f>
        <v>46361</v>
      </c>
      <c r="N33815" t="str">
        <f>IF(M33815="","",'Master Barang'!A9)</f>
        <v>PRL-008</v>
      </c>
      <c r="O33815" t="str">
        <f>IF(N33815="","",'Master Barang'!B9)</f>
        <v>lap besar</v>
      </c>
      <c r="P33815">
        <f>IF(OR(M33815="",N33815=""),"",SUMIFS('Barang Keluar'!$E:$E,'Barang Keluar'!$A:$A,M33815,'Barang Keluar'!$C:$C,N33815))</f>
        <v>0</v>
      </c>
    </row>
    <row r="33816" spans="13:16">
      <c r="M33816" s="49">
        <f>IF($A$4+338&gt;$B$4,"",$A$4+338)</f>
        <v>46361</v>
      </c>
      <c r="N33816" t="str">
        <f>IF(M33816="","",'Master Barang'!A10)</f>
        <v>PRL-009</v>
      </c>
      <c r="O33816" t="str">
        <f>IF(N33816="","",'Master Barang'!B10)</f>
        <v>lap microfiber</v>
      </c>
      <c r="P33816">
        <f>IF(OR(M33816="",N33816=""),"",SUMIFS('Barang Keluar'!$E:$E,'Barang Keluar'!$A:$A,M33816,'Barang Keluar'!$C:$C,N33816))</f>
        <v>0</v>
      </c>
    </row>
    <row r="33817" spans="13:16">
      <c r="M33817" s="49">
        <f>IF($A$4+338&gt;$B$4,"",$A$4+338)</f>
        <v>46361</v>
      </c>
      <c r="N33817" t="str">
        <f>IF(M33817="","",'Master Barang'!A11)</f>
        <v>PRL-010</v>
      </c>
      <c r="O33817" t="str">
        <f>IF(N33817="","",'Master Barang'!B11)</f>
        <v>lap kecil</v>
      </c>
      <c r="P33817">
        <f>IF(OR(M33817="",N33817=""),"",SUMIFS('Barang Keluar'!$E:$E,'Barang Keluar'!$A:$A,M33817,'Barang Keluar'!$C:$C,N33817))</f>
        <v>0</v>
      </c>
    </row>
    <row r="33818" spans="13:16">
      <c r="M33818" s="49">
        <f>IF($A$4+338&gt;$B$4,"",$A$4+338)</f>
        <v>46361</v>
      </c>
      <c r="N33818" t="str">
        <f>IF(M33818="","",'Master Barang'!A12)</f>
        <v>PRL-011</v>
      </c>
      <c r="O33818" t="str">
        <f>IF(N33818="","",'Master Barang'!B12)</f>
        <v>kanebo kecil</v>
      </c>
      <c r="P33818">
        <f>IF(OR(M33818="",N33818=""),"",SUMIFS('Barang Keluar'!$E:$E,'Barang Keluar'!$A:$A,M33818,'Barang Keluar'!$C:$C,N33818))</f>
        <v>0</v>
      </c>
    </row>
    <row r="33819" spans="13:16">
      <c r="M33819" s="49">
        <f>IF($A$4+338&gt;$B$4,"",$A$4+338)</f>
        <v>46361</v>
      </c>
      <c r="N33819" t="str">
        <f>IF(M33819="","",'Master Barang'!A13)</f>
        <v>PRL-012</v>
      </c>
      <c r="O33819" t="str">
        <f>IF(N33819="","",'Master Barang'!B13)</f>
        <v>plastik 1/4kg joyoboyo 100 lembar</v>
      </c>
      <c r="P33819">
        <f>IF(OR(M33819="",N33819=""),"",SUMIFS('Barang Keluar'!$E:$E,'Barang Keluar'!$A:$A,M33819,'Barang Keluar'!$C:$C,N33819))</f>
        <v>0</v>
      </c>
    </row>
    <row r="33820" spans="13:16">
      <c r="M33820" s="49">
        <f>IF($A$4+338&gt;$B$4,"",$A$4+338)</f>
        <v>46361</v>
      </c>
      <c r="N33820" t="str">
        <f>IF(M33820="","",'Master Barang'!A14)</f>
        <v>PRL-013</v>
      </c>
      <c r="O33820" t="str">
        <f>IF(N33820="","",'Master Barang'!B14)</f>
        <v>sarung tangan plastik kaka 100 pcs</v>
      </c>
      <c r="P33820">
        <f>IF(OR(M33820="",N33820=""),"",SUMIFS('Barang Keluar'!$E:$E,'Barang Keluar'!$A:$A,M33820,'Barang Keluar'!$C:$C,N33820))</f>
        <v>0</v>
      </c>
    </row>
    <row r="33821" spans="13:16">
      <c r="M33821" s="49">
        <f>IF($A$4+338&gt;$B$4,"",$A$4+338)</f>
        <v>46361</v>
      </c>
      <c r="N33821" t="str">
        <f>IF(M33821="","",'Master Barang'!A15)</f>
        <v>PRL-014</v>
      </c>
      <c r="O33821" t="str">
        <f>IF(N33821="","",'Master Barang'!B15)</f>
        <v>optima trashbag 80x100</v>
      </c>
      <c r="P33821">
        <f>IF(OR(M33821="",N33821=""),"",SUMIFS('Barang Keluar'!$E:$E,'Barang Keluar'!$A:$A,M33821,'Barang Keluar'!$C:$C,N33821))</f>
        <v>0</v>
      </c>
    </row>
    <row r="33822" spans="13:16">
      <c r="M33822" s="49">
        <f>IF($A$4+338&gt;$B$4,"",$A$4+338)</f>
        <v>46361</v>
      </c>
      <c r="N33822" t="str">
        <f>IF(M33822="","",'Master Barang'!A16)</f>
        <v>PRL-015</v>
      </c>
      <c r="O33822" t="str">
        <f>IF(N33822="","",'Master Barang'!B16)</f>
        <v>optima trashbag 60x100</v>
      </c>
      <c r="P33822">
        <f>IF(OR(M33822="",N33822=""),"",SUMIFS('Barang Keluar'!$E:$E,'Barang Keluar'!$A:$A,M33822,'Barang Keluar'!$C:$C,N33822))</f>
        <v>0</v>
      </c>
    </row>
    <row r="33823" spans="13:16">
      <c r="M33823" s="49">
        <f>IF($A$4+338&gt;$B$4,"",$A$4+338)</f>
        <v>46361</v>
      </c>
      <c r="N33823" t="str">
        <f>IF(M33823="","",'Master Barang'!A17)</f>
        <v>PRL-016</v>
      </c>
      <c r="O33823" t="str">
        <f>IF(N33823="","",'Master Barang'!B17)</f>
        <v>rajawali trashbag 30x40</v>
      </c>
      <c r="P33823">
        <f>IF(OR(M33823="",N33823=""),"",SUMIFS('Barang Keluar'!$E:$E,'Barang Keluar'!$A:$A,M33823,'Barang Keluar'!$C:$C,N33823))</f>
        <v>0</v>
      </c>
    </row>
    <row r="33824" spans="13:16">
      <c r="M33824" s="49">
        <f>IF($A$4+338&gt;$B$4,"",$A$4+338)</f>
        <v>46361</v>
      </c>
      <c r="N33824" t="str">
        <f>IF(M33824="","",'Master Barang'!A18)</f>
        <v>PRL-017</v>
      </c>
      <c r="O33824" t="str">
        <f>IF(N33824="","",'Master Barang'!B18)</f>
        <v>onemed masker biru 3 play 50 pcs</v>
      </c>
      <c r="P33824">
        <f>IF(OR(M33824="",N33824=""),"",SUMIFS('Barang Keluar'!$E:$E,'Barang Keluar'!$A:$A,M33824,'Barang Keluar'!$C:$C,N33824))</f>
        <v>0</v>
      </c>
    </row>
    <row r="33825" spans="13:16">
      <c r="M33825" s="49">
        <f>IF($A$4+338&gt;$B$4,"",$A$4+338)</f>
        <v>46361</v>
      </c>
      <c r="N33825" t="str">
        <f>IF(M33825="","",'Master Barang'!A19)</f>
        <v>PRL-018</v>
      </c>
      <c r="O33825" t="str">
        <f>IF(N33825="","",'Master Barang'!B19)</f>
        <v>onemed masker biru 3 play hijab 50 pcs</v>
      </c>
      <c r="P33825">
        <f>IF(OR(M33825="",N33825=""),"",SUMIFS('Barang Keluar'!$E:$E,'Barang Keluar'!$A:$A,M33825,'Barang Keluar'!$C:$C,N33825))</f>
        <v>0</v>
      </c>
    </row>
    <row r="33826" spans="13:16">
      <c r="M33826" s="49">
        <f>IF($A$4+338&gt;$B$4,"",$A$4+338)</f>
        <v>46361</v>
      </c>
      <c r="N33826" t="str">
        <f>IF(M33826="","",'Master Barang'!A20)</f>
        <v>PRL-019</v>
      </c>
      <c r="O33826" t="str">
        <f>IF(N33826="","",'Master Barang'!B20)</f>
        <v>neo health masker biru 3 play 50 pcs</v>
      </c>
      <c r="P33826">
        <f>IF(OR(M33826="",N33826=""),"",SUMIFS('Barang Keluar'!$E:$E,'Barang Keluar'!$A:$A,M33826,'Barang Keluar'!$C:$C,N33826))</f>
        <v>0</v>
      </c>
    </row>
    <row r="33827" spans="13:16">
      <c r="M33827" s="49">
        <f>IF($A$4+338&gt;$B$4,"",$A$4+338)</f>
        <v>46361</v>
      </c>
      <c r="N33827" t="str">
        <f>IF(M33827="","",'Master Barang'!A21)</f>
        <v>PRL-020</v>
      </c>
      <c r="O33827" t="str">
        <f>IF(N33827="","",'Master Barang'!B21)</f>
        <v>baymed masker hijau 3 play hijau 50 pcs</v>
      </c>
      <c r="P33827">
        <f>IF(OR(M33827="",N33827=""),"",SUMIFS('Barang Keluar'!$E:$E,'Barang Keluar'!$A:$A,M33827,'Barang Keluar'!$C:$C,N33827))</f>
        <v>0</v>
      </c>
    </row>
    <row r="33828" spans="13:16">
      <c r="M33828" s="49">
        <f>IF($A$4+338&gt;$B$4,"",$A$4+338)</f>
        <v>46361</v>
      </c>
      <c r="N33828" t="str">
        <f>IF(M33828="","",'Master Barang'!A22)</f>
        <v>PRL-021</v>
      </c>
      <c r="O33828" t="str">
        <f>IF(N33828="","",'Master Barang'!B22)</f>
        <v>altamed nurse cap penutup kepala 100 pcs</v>
      </c>
      <c r="P33828">
        <f>IF(OR(M33828="",N33828=""),"",SUMIFS('Barang Keluar'!$E:$E,'Barang Keluar'!$A:$A,M33828,'Barang Keluar'!$C:$C,N33828))</f>
        <v>0</v>
      </c>
    </row>
    <row r="33829" spans="13:16">
      <c r="M33829" s="49">
        <f>IF($A$4+338&gt;$B$4,"",$A$4+338)</f>
        <v>46361</v>
      </c>
      <c r="N33829" t="str">
        <f>IF(M33829="","",'Master Barang'!A23)</f>
        <v>PRL-022</v>
      </c>
      <c r="O33829" t="str">
        <f>IF(N33829="","",'Master Barang'!B23)</f>
        <v>sabun cuci tangan</v>
      </c>
      <c r="P33829">
        <f>IF(OR(M33829="",N33829=""),"",SUMIFS('Barang Keluar'!$E:$E,'Barang Keluar'!$A:$A,M33829,'Barang Keluar'!$C:$C,N33829))</f>
        <v>0</v>
      </c>
    </row>
    <row r="33830" spans="13:16">
      <c r="M33830" s="49">
        <f>IF($A$4+338&gt;$B$4,"",$A$4+338)</f>
        <v>46361</v>
      </c>
      <c r="N33830" t="str">
        <f>IF(M33830="","",'Master Barang'!A24)</f>
        <v>PRL-023</v>
      </c>
      <c r="O33830" t="str">
        <f>IF(N33830="","",'Master Barang'!B24)</f>
        <v>gayung kecil</v>
      </c>
      <c r="P33830">
        <f>IF(OR(M33830="",N33830=""),"",SUMIFS('Barang Keluar'!$E:$E,'Barang Keluar'!$A:$A,M33830,'Barang Keluar'!$C:$C,N33830))</f>
        <v>0</v>
      </c>
    </row>
    <row r="33831" spans="13:16">
      <c r="M33831" s="49">
        <f>IF($A$4+338&gt;$B$4,"",$A$4+338)</f>
        <v>46361</v>
      </c>
      <c r="N33831" t="str">
        <f>IF(M33831="","",'Master Barang'!A25)</f>
        <v>PRL-024</v>
      </c>
      <c r="O33831" t="str">
        <f>IF(N33831="","",'Master Barang'!B25)</f>
        <v>cikrak kecil</v>
      </c>
      <c r="P33831">
        <f>IF(OR(M33831="",N33831=""),"",SUMIFS('Barang Keluar'!$E:$E,'Barang Keluar'!$A:$A,M33831,'Barang Keluar'!$C:$C,N33831))</f>
        <v>0</v>
      </c>
    </row>
    <row r="33832" spans="13:16">
      <c r="M33832" s="49">
        <f>IF($A$4+338&gt;$B$4,"",$A$4+338)</f>
        <v>46361</v>
      </c>
      <c r="N33832" t="str">
        <f>IF(M33832="","",'Master Barang'!A26)</f>
        <v>PRL-025</v>
      </c>
      <c r="O33832" t="str">
        <f>IF(N33832="","",'Master Barang'!B26)</f>
        <v>petromax plastik kecil 12x24 100 lembar</v>
      </c>
      <c r="P33832">
        <f>IF(OR(M33832="",N33832=""),"",SUMIFS('Barang Keluar'!$E:$E,'Barang Keluar'!$A:$A,M33832,'Barang Keluar'!$C:$C,N33832))</f>
        <v>0</v>
      </c>
    </row>
    <row r="33833" spans="13:16">
      <c r="M33833" s="49">
        <f>IF($A$4+338&gt;$B$4,"",$A$4+338)</f>
        <v>46361</v>
      </c>
      <c r="N33833" t="str">
        <f>IF(M33833="","",'Master Barang'!A27)</f>
        <v>PRL-026</v>
      </c>
      <c r="O33833" t="str">
        <f>IF(N33833="","",'Master Barang'!B27)</f>
        <v>lancar kresek kecil bening </v>
      </c>
      <c r="P33833">
        <f>IF(OR(M33833="",N33833=""),"",SUMIFS('Barang Keluar'!$E:$E,'Barang Keluar'!$A:$A,M33833,'Barang Keluar'!$C:$C,N33833))</f>
        <v>0</v>
      </c>
    </row>
    <row r="33834" spans="13:16">
      <c r="M33834" s="49">
        <f>IF($A$4+338&gt;$B$4,"",$A$4+338)</f>
        <v>46361</v>
      </c>
      <c r="N33834" t="str">
        <f>IF(M33834="","",'Master Barang'!A28)</f>
        <v>PRL-027</v>
      </c>
      <c r="O33834" t="str">
        <f>IF(N33834="","",'Master Barang'!B28)</f>
        <v>kresek klin warna warni kecil</v>
      </c>
      <c r="P33834">
        <f>IF(OR(M33834="",N33834=""),"",SUMIFS('Barang Keluar'!$E:$E,'Barang Keluar'!$A:$A,M33834,'Barang Keluar'!$C:$C,N33834))</f>
        <v>0</v>
      </c>
    </row>
    <row r="33835" spans="13:16">
      <c r="M33835" s="49">
        <f>IF($A$4+338&gt;$B$4,"",$A$4+338)</f>
        <v>46361</v>
      </c>
      <c r="N33835" t="str">
        <f>IF(M33835="","",'Master Barang'!A29)</f>
        <v>PRL-028</v>
      </c>
      <c r="O33835" t="str">
        <f>IF(N33835="","",'Master Barang'!B29)</f>
        <v>ctik plastik 7x10 100 pcs</v>
      </c>
      <c r="P33835">
        <f>IF(OR(M33835="",N33835=""),"",SUMIFS('Barang Keluar'!$E:$E,'Barang Keluar'!$A:$A,M33835,'Barang Keluar'!$C:$C,N33835))</f>
        <v>0</v>
      </c>
    </row>
    <row r="33836" spans="13:16">
      <c r="M33836" s="49">
        <f>IF($A$4+338&gt;$B$4,"",$A$4+338)</f>
        <v>46361</v>
      </c>
      <c r="N33836" t="str">
        <f>IF(M33836="","",'Master Barang'!A30)</f>
        <v>PRL-029</v>
      </c>
      <c r="O33836" t="str">
        <f>IF(N33836="","",'Master Barang'!B30)</f>
        <v>ctik plastik 6x10 100 pcs</v>
      </c>
      <c r="P33836">
        <f>IF(OR(M33836="",N33836=""),"",SUMIFS('Barang Keluar'!$E:$E,'Barang Keluar'!$A:$A,M33836,'Barang Keluar'!$C:$C,N33836))</f>
        <v>0</v>
      </c>
    </row>
    <row r="33837" spans="13:16">
      <c r="M33837" s="49">
        <f>IF($A$4+338&gt;$B$4,"",$A$4+338)</f>
        <v>46361</v>
      </c>
      <c r="N33837" t="str">
        <f>IF(M33837="","",'Master Barang'!A31)</f>
        <v>PRL-030</v>
      </c>
      <c r="O33837" t="str">
        <f>IF(N33837="","",'Master Barang'!B31)</f>
        <v>klip plastik 25x16 100 pcs</v>
      </c>
      <c r="P33837">
        <f>IF(OR(M33837="",N33837=""),"",SUMIFS('Barang Keluar'!$E:$E,'Barang Keluar'!$A:$A,M33837,'Barang Keluar'!$C:$C,N33837))</f>
        <v>0</v>
      </c>
    </row>
    <row r="33838" spans="13:16">
      <c r="M33838" s="49">
        <f>IF($A$4+338&gt;$B$4,"",$A$4+338)</f>
        <v>46361</v>
      </c>
      <c r="N33838" t="str">
        <f>IF(M33838="","",'Master Barang'!A32)</f>
        <v>PRL-031</v>
      </c>
      <c r="O33838" t="str">
        <f>IF(N33838="","",'Master Barang'!B32)</f>
        <v>tempat saus 20 ml</v>
      </c>
      <c r="P33838">
        <f>IF(OR(M33838="",N33838=""),"",SUMIFS('Barang Keluar'!$E:$E,'Barang Keluar'!$A:$A,M33838,'Barang Keluar'!$C:$C,N33838))</f>
        <v>0</v>
      </c>
    </row>
    <row r="33839" spans="13:16">
      <c r="M33839" s="49">
        <f>IF($A$4+338&gt;$B$4,"",$A$4+338)</f>
        <v>46361</v>
      </c>
      <c r="N33839" t="str">
        <f>IF(M33839="","",'Master Barang'!A33)</f>
        <v>PRL-032</v>
      </c>
      <c r="O33839" t="str">
        <f>IF(N33839="","",'Master Barang'!B33)</f>
        <v>plastik packaging ag box uk sedang</v>
      </c>
      <c r="P33839">
        <f>IF(OR(M33839="",N33839=""),"",SUMIFS('Barang Keluar'!$E:$E,'Barang Keluar'!$A:$A,M33839,'Barang Keluar'!$C:$C,N33839))</f>
        <v>0</v>
      </c>
    </row>
    <row r="33840" spans="13:16">
      <c r="M33840" s="49">
        <f>IF($A$4+338&gt;$B$4,"",$A$4+338)</f>
        <v>46361</v>
      </c>
      <c r="N33840" t="str">
        <f>IF(M33840="","",'Master Barang'!A34)</f>
        <v>PRL-033</v>
      </c>
      <c r="O33840">
        <f>IF(N33840="","",'Master Barang'!B34)</f>
        <v>0</v>
      </c>
      <c r="P33840">
        <f>IF(OR(M33840="",N33840=""),"",SUMIFS('Barang Keluar'!$E:$E,'Barang Keluar'!$A:$A,M33840,'Barang Keluar'!$C:$C,N33840))</f>
        <v>0</v>
      </c>
    </row>
    <row r="33841" spans="13:16">
      <c r="M33841" s="49">
        <f>IF($A$4+338&gt;$B$4,"",$A$4+338)</f>
        <v>46361</v>
      </c>
      <c r="N33841">
        <f>IF(M33841="","",'Master Barang'!A35)</f>
        <v>0</v>
      </c>
      <c r="O33841">
        <f>IF(N33841="","",'Master Barang'!B35)</f>
        <v>0</v>
      </c>
      <c r="P33841">
        <f>IF(OR(M33841="",N33841=""),"",SUMIFS('Barang Keluar'!$E:$E,'Barang Keluar'!$A:$A,M33841,'Barang Keluar'!$C:$C,N33841))</f>
        <v>0</v>
      </c>
    </row>
    <row r="33842" spans="13:16">
      <c r="M33842" s="49">
        <f>IF($A$4+338&gt;$B$4,"",$A$4+338)</f>
        <v>46361</v>
      </c>
      <c r="N33842">
        <f>IF(M33842="","",'Master Barang'!A36)</f>
        <v>0</v>
      </c>
      <c r="O33842">
        <f>IF(N33842="","",'Master Barang'!B36)</f>
        <v>0</v>
      </c>
      <c r="P33842">
        <f>IF(OR(M33842="",N33842=""),"",SUMIFS('Barang Keluar'!$E:$E,'Barang Keluar'!$A:$A,M33842,'Barang Keluar'!$C:$C,N33842))</f>
        <v>0</v>
      </c>
    </row>
    <row r="33843" spans="13:16">
      <c r="M33843" s="49">
        <f>IF($A$4+338&gt;$B$4,"",$A$4+338)</f>
        <v>46361</v>
      </c>
      <c r="N33843">
        <f>IF(M33843="","",'Master Barang'!A37)</f>
        <v>0</v>
      </c>
      <c r="O33843">
        <f>IF(N33843="","",'Master Barang'!B37)</f>
        <v>0</v>
      </c>
      <c r="P33843">
        <f>IF(OR(M33843="",N33843=""),"",SUMIFS('Barang Keluar'!$E:$E,'Barang Keluar'!$A:$A,M33843,'Barang Keluar'!$C:$C,N33843))</f>
        <v>0</v>
      </c>
    </row>
    <row r="33844" spans="13:16">
      <c r="M33844" s="49">
        <f>IF($A$4+338&gt;$B$4,"",$A$4+338)</f>
        <v>46361</v>
      </c>
      <c r="N33844">
        <f>IF(M33844="","",'Master Barang'!A38)</f>
        <v>0</v>
      </c>
      <c r="O33844">
        <f>IF(N33844="","",'Master Barang'!B38)</f>
        <v>0</v>
      </c>
      <c r="P33844">
        <f>IF(OR(M33844="",N33844=""),"",SUMIFS('Barang Keluar'!$E:$E,'Barang Keluar'!$A:$A,M33844,'Barang Keluar'!$C:$C,N33844))</f>
        <v>0</v>
      </c>
    </row>
    <row r="33845" spans="13:16">
      <c r="M33845" s="49">
        <f>IF($A$4+338&gt;$B$4,"",$A$4+338)</f>
        <v>46361</v>
      </c>
      <c r="N33845">
        <f>IF(M33845="","",'Master Barang'!A39)</f>
        <v>0</v>
      </c>
      <c r="O33845">
        <f>IF(N33845="","",'Master Barang'!B39)</f>
        <v>0</v>
      </c>
      <c r="P33845">
        <f>IF(OR(M33845="",N33845=""),"",SUMIFS('Barang Keluar'!$E:$E,'Barang Keluar'!$A:$A,M33845,'Barang Keluar'!$C:$C,N33845))</f>
        <v>0</v>
      </c>
    </row>
    <row r="33846" spans="13:16">
      <c r="M33846" s="49">
        <f>IF($A$4+338&gt;$B$4,"",$A$4+338)</f>
        <v>46361</v>
      </c>
      <c r="N33846">
        <f>IF(M33846="","",'Master Barang'!A40)</f>
        <v>0</v>
      </c>
      <c r="O33846">
        <f>IF(N33846="","",'Master Barang'!B40)</f>
        <v>0</v>
      </c>
      <c r="P33846">
        <f>IF(OR(M33846="",N33846=""),"",SUMIFS('Barang Keluar'!$E:$E,'Barang Keluar'!$A:$A,M33846,'Barang Keluar'!$C:$C,N33846))</f>
        <v>0</v>
      </c>
    </row>
    <row r="33847" spans="13:16">
      <c r="M33847" s="49">
        <f>IF($A$4+338&gt;$B$4,"",$A$4+338)</f>
        <v>46361</v>
      </c>
      <c r="N33847">
        <f>IF(M33847="","",'Master Barang'!A41)</f>
        <v>0</v>
      </c>
      <c r="O33847">
        <f>IF(N33847="","",'Master Barang'!B41)</f>
        <v>0</v>
      </c>
      <c r="P33847">
        <f>IF(OR(M33847="",N33847=""),"",SUMIFS('Barang Keluar'!$E:$E,'Barang Keluar'!$A:$A,M33847,'Barang Keluar'!$C:$C,N33847))</f>
        <v>0</v>
      </c>
    </row>
    <row r="33848" spans="13:16">
      <c r="M33848" s="49">
        <f>IF($A$4+338&gt;$B$4,"",$A$4+338)</f>
        <v>46361</v>
      </c>
      <c r="N33848">
        <f>IF(M33848="","",'Master Barang'!A42)</f>
        <v>0</v>
      </c>
      <c r="O33848">
        <f>IF(N33848="","",'Master Barang'!B42)</f>
        <v>0</v>
      </c>
      <c r="P33848">
        <f>IF(OR(M33848="",N33848=""),"",SUMIFS('Barang Keluar'!$E:$E,'Barang Keluar'!$A:$A,M33848,'Barang Keluar'!$C:$C,N33848))</f>
        <v>0</v>
      </c>
    </row>
    <row r="33849" spans="13:16">
      <c r="M33849" s="49">
        <f>IF($A$4+338&gt;$B$4,"",$A$4+338)</f>
        <v>46361</v>
      </c>
      <c r="N33849">
        <f>IF(M33849="","",'Master Barang'!A43)</f>
        <v>0</v>
      </c>
      <c r="O33849">
        <f>IF(N33849="","",'Master Barang'!B43)</f>
        <v>0</v>
      </c>
      <c r="P33849">
        <f>IF(OR(M33849="",N33849=""),"",SUMIFS('Barang Keluar'!$E:$E,'Barang Keluar'!$A:$A,M33849,'Barang Keluar'!$C:$C,N33849))</f>
        <v>0</v>
      </c>
    </row>
    <row r="33850" spans="13:16">
      <c r="M33850" s="49">
        <f>IF($A$4+338&gt;$B$4,"",$A$4+338)</f>
        <v>46361</v>
      </c>
      <c r="N33850">
        <f>IF(M33850="","",'Master Barang'!A44)</f>
        <v>0</v>
      </c>
      <c r="O33850">
        <f>IF(N33850="","",'Master Barang'!B44)</f>
        <v>0</v>
      </c>
      <c r="P33850">
        <f>IF(OR(M33850="",N33850=""),"",SUMIFS('Barang Keluar'!$E:$E,'Barang Keluar'!$A:$A,M33850,'Barang Keluar'!$C:$C,N33850))</f>
        <v>0</v>
      </c>
    </row>
    <row r="33851" spans="13:16">
      <c r="M33851" s="49">
        <f>IF($A$4+338&gt;$B$4,"",$A$4+338)</f>
        <v>46361</v>
      </c>
      <c r="N33851">
        <f>IF(M33851="","",'Master Barang'!A45)</f>
        <v>0</v>
      </c>
      <c r="O33851">
        <f>IF(N33851="","",'Master Barang'!B45)</f>
        <v>0</v>
      </c>
      <c r="P33851">
        <f>IF(OR(M33851="",N33851=""),"",SUMIFS('Barang Keluar'!$E:$E,'Barang Keluar'!$A:$A,M33851,'Barang Keluar'!$C:$C,N33851))</f>
        <v>0</v>
      </c>
    </row>
    <row r="33852" spans="13:16">
      <c r="M33852" s="49">
        <f>IF($A$4+338&gt;$B$4,"",$A$4+338)</f>
        <v>46361</v>
      </c>
      <c r="N33852">
        <f>IF(M33852="","",'Master Barang'!A46)</f>
        <v>0</v>
      </c>
      <c r="O33852">
        <f>IF(N33852="","",'Master Barang'!B46)</f>
        <v>0</v>
      </c>
      <c r="P33852">
        <f>IF(OR(M33852="",N33852=""),"",SUMIFS('Barang Keluar'!$E:$E,'Barang Keluar'!$A:$A,M33852,'Barang Keluar'!$C:$C,N33852))</f>
        <v>0</v>
      </c>
    </row>
    <row r="33853" spans="13:16">
      <c r="M33853" s="49">
        <f>IF($A$4+338&gt;$B$4,"",$A$4+338)</f>
        <v>46361</v>
      </c>
      <c r="N33853">
        <f>IF(M33853="","",'Master Barang'!A47)</f>
        <v>0</v>
      </c>
      <c r="O33853">
        <f>IF(N33853="","",'Master Barang'!B47)</f>
        <v>0</v>
      </c>
      <c r="P33853">
        <f>IF(OR(M33853="",N33853=""),"",SUMIFS('Barang Keluar'!$E:$E,'Barang Keluar'!$A:$A,M33853,'Barang Keluar'!$C:$C,N33853))</f>
        <v>0</v>
      </c>
    </row>
    <row r="33854" spans="13:16">
      <c r="M33854" s="49">
        <f>IF($A$4+338&gt;$B$4,"",$A$4+338)</f>
        <v>46361</v>
      </c>
      <c r="N33854">
        <f>IF(M33854="","",'Master Barang'!A48)</f>
        <v>0</v>
      </c>
      <c r="O33854">
        <f>IF(N33854="","",'Master Barang'!B48)</f>
        <v>0</v>
      </c>
      <c r="P33854">
        <f>IF(OR(M33854="",N33854=""),"",SUMIFS('Barang Keluar'!$E:$E,'Barang Keluar'!$A:$A,M33854,'Barang Keluar'!$C:$C,N33854))</f>
        <v>0</v>
      </c>
    </row>
    <row r="33855" spans="13:16">
      <c r="M33855" s="49">
        <f>IF($A$4+338&gt;$B$4,"",$A$4+338)</f>
        <v>46361</v>
      </c>
      <c r="N33855">
        <f>IF(M33855="","",'Master Barang'!A49)</f>
        <v>0</v>
      </c>
      <c r="O33855">
        <f>IF(N33855="","",'Master Barang'!B49)</f>
        <v>0</v>
      </c>
      <c r="P33855">
        <f>IF(OR(M33855="",N33855=""),"",SUMIFS('Barang Keluar'!$E:$E,'Barang Keluar'!$A:$A,M33855,'Barang Keluar'!$C:$C,N33855))</f>
        <v>0</v>
      </c>
    </row>
    <row r="33856" spans="13:16">
      <c r="M33856" s="49">
        <f>IF($A$4+338&gt;$B$4,"",$A$4+338)</f>
        <v>46361</v>
      </c>
      <c r="N33856">
        <f>IF(M33856="","",'Master Barang'!A50)</f>
        <v>0</v>
      </c>
      <c r="O33856">
        <f>IF(N33856="","",'Master Barang'!B50)</f>
        <v>0</v>
      </c>
      <c r="P33856">
        <f>IF(OR(M33856="",N33856=""),"",SUMIFS('Barang Keluar'!$E:$E,'Barang Keluar'!$A:$A,M33856,'Barang Keluar'!$C:$C,N33856))</f>
        <v>0</v>
      </c>
    </row>
    <row r="33857" spans="13:16">
      <c r="M33857" s="49">
        <f>IF($A$4+338&gt;$B$4,"",$A$4+338)</f>
        <v>46361</v>
      </c>
      <c r="N33857">
        <f>IF(M33857="","",'Master Barang'!A51)</f>
        <v>0</v>
      </c>
      <c r="O33857">
        <f>IF(N33857="","",'Master Barang'!B51)</f>
        <v>0</v>
      </c>
      <c r="P33857">
        <f>IF(OR(M33857="",N33857=""),"",SUMIFS('Barang Keluar'!$E:$E,'Barang Keluar'!$A:$A,M33857,'Barang Keluar'!$C:$C,N33857))</f>
        <v>0</v>
      </c>
    </row>
    <row r="33858" spans="13:16">
      <c r="M33858" s="49">
        <f>IF($A$4+338&gt;$B$4,"",$A$4+338)</f>
        <v>46361</v>
      </c>
      <c r="N33858">
        <f>IF(M33858="","",'Master Barang'!A52)</f>
        <v>0</v>
      </c>
      <c r="O33858">
        <f>IF(N33858="","",'Master Barang'!B52)</f>
        <v>0</v>
      </c>
      <c r="P33858">
        <f>IF(OR(M33858="",N33858=""),"",SUMIFS('Barang Keluar'!$E:$E,'Barang Keluar'!$A:$A,M33858,'Barang Keluar'!$C:$C,N33858))</f>
        <v>0</v>
      </c>
    </row>
    <row r="33859" spans="13:16">
      <c r="M33859" s="49">
        <f>IF($A$4+338&gt;$B$4,"",$A$4+338)</f>
        <v>46361</v>
      </c>
      <c r="N33859">
        <f>IF(M33859="","",'Master Barang'!A53)</f>
        <v>0</v>
      </c>
      <c r="O33859">
        <f>IF(N33859="","",'Master Barang'!B53)</f>
        <v>0</v>
      </c>
      <c r="P33859">
        <f>IF(OR(M33859="",N33859=""),"",SUMIFS('Barang Keluar'!$E:$E,'Barang Keluar'!$A:$A,M33859,'Barang Keluar'!$C:$C,N33859))</f>
        <v>0</v>
      </c>
    </row>
    <row r="33860" spans="13:16">
      <c r="M33860" s="49">
        <f>IF($A$4+338&gt;$B$4,"",$A$4+338)</f>
        <v>46361</v>
      </c>
      <c r="N33860">
        <f>IF(M33860="","",'Master Barang'!A54)</f>
        <v>0</v>
      </c>
      <c r="O33860">
        <f>IF(N33860="","",'Master Barang'!B54)</f>
        <v>0</v>
      </c>
      <c r="P33860">
        <f>IF(OR(M33860="",N33860=""),"",SUMIFS('Barang Keluar'!$E:$E,'Barang Keluar'!$A:$A,M33860,'Barang Keluar'!$C:$C,N33860))</f>
        <v>0</v>
      </c>
    </row>
    <row r="33861" spans="13:16">
      <c r="M33861" s="49">
        <f>IF($A$4+338&gt;$B$4,"",$A$4+338)</f>
        <v>46361</v>
      </c>
      <c r="N33861">
        <f>IF(M33861="","",'Master Barang'!A55)</f>
        <v>0</v>
      </c>
      <c r="O33861">
        <f>IF(N33861="","",'Master Barang'!B55)</f>
        <v>0</v>
      </c>
      <c r="P33861">
        <f>IF(OR(M33861="",N33861=""),"",SUMIFS('Barang Keluar'!$E:$E,'Barang Keluar'!$A:$A,M33861,'Barang Keluar'!$C:$C,N33861))</f>
        <v>0</v>
      </c>
    </row>
    <row r="33862" spans="13:16">
      <c r="M33862" s="49">
        <f>IF($A$4+338&gt;$B$4,"",$A$4+338)</f>
        <v>46361</v>
      </c>
      <c r="N33862">
        <f>IF(M33862="","",'Master Barang'!A56)</f>
        <v>0</v>
      </c>
      <c r="O33862">
        <f>IF(N33862="","",'Master Barang'!B56)</f>
        <v>0</v>
      </c>
      <c r="P33862">
        <f>IF(OR(M33862="",N33862=""),"",SUMIFS('Barang Keluar'!$E:$E,'Barang Keluar'!$A:$A,M33862,'Barang Keluar'!$C:$C,N33862))</f>
        <v>0</v>
      </c>
    </row>
    <row r="33863" spans="13:16">
      <c r="M33863" s="49">
        <f>IF($A$4+338&gt;$B$4,"",$A$4+338)</f>
        <v>46361</v>
      </c>
      <c r="N33863">
        <f>IF(M33863="","",'Master Barang'!A57)</f>
        <v>0</v>
      </c>
      <c r="O33863">
        <f>IF(N33863="","",'Master Barang'!B57)</f>
        <v>0</v>
      </c>
      <c r="P33863">
        <f>IF(OR(M33863="",N33863=""),"",SUMIFS('Barang Keluar'!$E:$E,'Barang Keluar'!$A:$A,M33863,'Barang Keluar'!$C:$C,N33863))</f>
        <v>0</v>
      </c>
    </row>
    <row r="33864" spans="13:16">
      <c r="M33864" s="49">
        <f>IF($A$4+338&gt;$B$4,"",$A$4+338)</f>
        <v>46361</v>
      </c>
      <c r="N33864">
        <f>IF(M33864="","",'Master Barang'!A58)</f>
        <v>0</v>
      </c>
      <c r="O33864">
        <f>IF(N33864="","",'Master Barang'!B58)</f>
        <v>0</v>
      </c>
      <c r="P33864">
        <f>IF(OR(M33864="",N33864=""),"",SUMIFS('Barang Keluar'!$E:$E,'Barang Keluar'!$A:$A,M33864,'Barang Keluar'!$C:$C,N33864))</f>
        <v>0</v>
      </c>
    </row>
    <row r="33865" spans="13:16">
      <c r="M33865" s="49">
        <f>IF($A$4+338&gt;$B$4,"",$A$4+338)</f>
        <v>46361</v>
      </c>
      <c r="N33865">
        <f>IF(M33865="","",'Master Barang'!A59)</f>
        <v>0</v>
      </c>
      <c r="O33865">
        <f>IF(N33865="","",'Master Barang'!B59)</f>
        <v>0</v>
      </c>
      <c r="P33865">
        <f>IF(OR(M33865="",N33865=""),"",SUMIFS('Barang Keluar'!$E:$E,'Barang Keluar'!$A:$A,M33865,'Barang Keluar'!$C:$C,N33865))</f>
        <v>0</v>
      </c>
    </row>
    <row r="33866" spans="13:16">
      <c r="M33866" s="49">
        <f>IF($A$4+338&gt;$B$4,"",$A$4+338)</f>
        <v>46361</v>
      </c>
      <c r="N33866">
        <f>IF(M33866="","",'Master Barang'!A60)</f>
        <v>0</v>
      </c>
      <c r="O33866">
        <f>IF(N33866="","",'Master Barang'!B60)</f>
        <v>0</v>
      </c>
      <c r="P33866">
        <f>IF(OR(M33866="",N33866=""),"",SUMIFS('Barang Keluar'!$E:$E,'Barang Keluar'!$A:$A,M33866,'Barang Keluar'!$C:$C,N33866))</f>
        <v>0</v>
      </c>
    </row>
    <row r="33867" spans="13:16">
      <c r="M33867" s="49">
        <f>IF($A$4+338&gt;$B$4,"",$A$4+338)</f>
        <v>46361</v>
      </c>
      <c r="N33867">
        <f>IF(M33867="","",'Master Barang'!A61)</f>
        <v>0</v>
      </c>
      <c r="O33867">
        <f>IF(N33867="","",'Master Barang'!B61)</f>
        <v>0</v>
      </c>
      <c r="P33867">
        <f>IF(OR(M33867="",N33867=""),"",SUMIFS('Barang Keluar'!$E:$E,'Barang Keluar'!$A:$A,M33867,'Barang Keluar'!$C:$C,N33867))</f>
        <v>0</v>
      </c>
    </row>
    <row r="33868" spans="13:16">
      <c r="M33868" s="49">
        <f>IF($A$4+338&gt;$B$4,"",$A$4+338)</f>
        <v>46361</v>
      </c>
      <c r="N33868">
        <f>IF(M33868="","",'Master Barang'!A62)</f>
        <v>0</v>
      </c>
      <c r="O33868">
        <f>IF(N33868="","",'Master Barang'!B62)</f>
        <v>0</v>
      </c>
      <c r="P33868">
        <f>IF(OR(M33868="",N33868=""),"",SUMIFS('Barang Keluar'!$E:$E,'Barang Keluar'!$A:$A,M33868,'Barang Keluar'!$C:$C,N33868))</f>
        <v>0</v>
      </c>
    </row>
    <row r="33869" spans="13:16">
      <c r="M33869" s="49">
        <f>IF($A$4+338&gt;$B$4,"",$A$4+338)</f>
        <v>46361</v>
      </c>
      <c r="N33869">
        <f>IF(M33869="","",'Master Barang'!A63)</f>
        <v>0</v>
      </c>
      <c r="O33869">
        <f>IF(N33869="","",'Master Barang'!B63)</f>
        <v>0</v>
      </c>
      <c r="P33869">
        <f>IF(OR(M33869="",N33869=""),"",SUMIFS('Barang Keluar'!$E:$E,'Barang Keluar'!$A:$A,M33869,'Barang Keluar'!$C:$C,N33869))</f>
        <v>0</v>
      </c>
    </row>
    <row r="33870" spans="13:16">
      <c r="M33870" s="49">
        <f>IF($A$4+338&gt;$B$4,"",$A$4+338)</f>
        <v>46361</v>
      </c>
      <c r="N33870">
        <f>IF(M33870="","",'Master Barang'!A64)</f>
        <v>0</v>
      </c>
      <c r="O33870">
        <f>IF(N33870="","",'Master Barang'!B64)</f>
        <v>0</v>
      </c>
      <c r="P33870">
        <f>IF(OR(M33870="",N33870=""),"",SUMIFS('Barang Keluar'!$E:$E,'Barang Keluar'!$A:$A,M33870,'Barang Keluar'!$C:$C,N33870))</f>
        <v>0</v>
      </c>
    </row>
    <row r="33871" spans="13:16">
      <c r="M33871" s="49">
        <f>IF($A$4+338&gt;$B$4,"",$A$4+338)</f>
        <v>46361</v>
      </c>
      <c r="N33871">
        <f>IF(M33871="","",'Master Barang'!A65)</f>
        <v>0</v>
      </c>
      <c r="O33871">
        <f>IF(N33871="","",'Master Barang'!B65)</f>
        <v>0</v>
      </c>
      <c r="P33871">
        <f>IF(OR(M33871="",N33871=""),"",SUMIFS('Barang Keluar'!$E:$E,'Barang Keluar'!$A:$A,M33871,'Barang Keluar'!$C:$C,N33871))</f>
        <v>0</v>
      </c>
    </row>
    <row r="33872" spans="13:16">
      <c r="M33872" s="49">
        <f>IF($A$4+338&gt;$B$4,"",$A$4+338)</f>
        <v>46361</v>
      </c>
      <c r="N33872">
        <f>IF(M33872="","",'Master Barang'!A66)</f>
        <v>0</v>
      </c>
      <c r="O33872">
        <f>IF(N33872="","",'Master Barang'!B66)</f>
        <v>0</v>
      </c>
      <c r="P33872">
        <f>IF(OR(M33872="",N33872=""),"",SUMIFS('Barang Keluar'!$E:$E,'Barang Keluar'!$A:$A,M33872,'Barang Keluar'!$C:$C,N33872))</f>
        <v>0</v>
      </c>
    </row>
    <row r="33873" spans="13:16">
      <c r="M33873" s="49">
        <f>IF($A$4+338&gt;$B$4,"",$A$4+338)</f>
        <v>46361</v>
      </c>
      <c r="N33873">
        <f>IF(M33873="","",'Master Barang'!A67)</f>
        <v>0</v>
      </c>
      <c r="O33873">
        <f>IF(N33873="","",'Master Barang'!B67)</f>
        <v>0</v>
      </c>
      <c r="P33873">
        <f>IF(OR(M33873="",N33873=""),"",SUMIFS('Barang Keluar'!$E:$E,'Barang Keluar'!$A:$A,M33873,'Barang Keluar'!$C:$C,N33873))</f>
        <v>0</v>
      </c>
    </row>
    <row r="33874" spans="13:16">
      <c r="M33874" s="49">
        <f>IF($A$4+338&gt;$B$4,"",$A$4+338)</f>
        <v>46361</v>
      </c>
      <c r="N33874">
        <f>IF(M33874="","",'Master Barang'!A68)</f>
        <v>0</v>
      </c>
      <c r="O33874">
        <f>IF(N33874="","",'Master Barang'!B68)</f>
        <v>0</v>
      </c>
      <c r="P33874">
        <f>IF(OR(M33874="",N33874=""),"",SUMIFS('Barang Keluar'!$E:$E,'Barang Keluar'!$A:$A,M33874,'Barang Keluar'!$C:$C,N33874))</f>
        <v>0</v>
      </c>
    </row>
    <row r="33875" spans="13:16">
      <c r="M33875" s="49">
        <f>IF($A$4+338&gt;$B$4,"",$A$4+338)</f>
        <v>46361</v>
      </c>
      <c r="N33875">
        <f>IF(M33875="","",'Master Barang'!A69)</f>
        <v>0</v>
      </c>
      <c r="O33875">
        <f>IF(N33875="","",'Master Barang'!B69)</f>
        <v>0</v>
      </c>
      <c r="P33875">
        <f>IF(OR(M33875="",N33875=""),"",SUMIFS('Barang Keluar'!$E:$E,'Barang Keluar'!$A:$A,M33875,'Barang Keluar'!$C:$C,N33875))</f>
        <v>0</v>
      </c>
    </row>
    <row r="33876" spans="13:16">
      <c r="M33876" s="49">
        <f>IF($A$4+338&gt;$B$4,"",$A$4+338)</f>
        <v>46361</v>
      </c>
      <c r="N33876">
        <f>IF(M33876="","",'Master Barang'!A70)</f>
        <v>0</v>
      </c>
      <c r="O33876">
        <f>IF(N33876="","",'Master Barang'!B70)</f>
        <v>0</v>
      </c>
      <c r="P33876">
        <f>IF(OR(M33876="",N33876=""),"",SUMIFS('Barang Keluar'!$E:$E,'Barang Keluar'!$A:$A,M33876,'Barang Keluar'!$C:$C,N33876))</f>
        <v>0</v>
      </c>
    </row>
    <row r="33877" spans="13:16">
      <c r="M33877" s="49">
        <f>IF($A$4+338&gt;$B$4,"",$A$4+338)</f>
        <v>46361</v>
      </c>
      <c r="N33877">
        <f>IF(M33877="","",'Master Barang'!A71)</f>
        <v>0</v>
      </c>
      <c r="O33877">
        <f>IF(N33877="","",'Master Barang'!B71)</f>
        <v>0</v>
      </c>
      <c r="P33877">
        <f>IF(OR(M33877="",N33877=""),"",SUMIFS('Barang Keluar'!$E:$E,'Barang Keluar'!$A:$A,M33877,'Barang Keluar'!$C:$C,N33877))</f>
        <v>0</v>
      </c>
    </row>
    <row r="33878" spans="13:16">
      <c r="M33878" s="49">
        <f>IF($A$4+338&gt;$B$4,"",$A$4+338)</f>
        <v>46361</v>
      </c>
      <c r="N33878">
        <f>IF(M33878="","",'Master Barang'!A72)</f>
        <v>0</v>
      </c>
      <c r="O33878">
        <f>IF(N33878="","",'Master Barang'!B72)</f>
        <v>0</v>
      </c>
      <c r="P33878">
        <f>IF(OR(M33878="",N33878=""),"",SUMIFS('Barang Keluar'!$E:$E,'Barang Keluar'!$A:$A,M33878,'Barang Keluar'!$C:$C,N33878))</f>
        <v>0</v>
      </c>
    </row>
    <row r="33879" spans="13:16">
      <c r="M33879" s="49">
        <f>IF($A$4+338&gt;$B$4,"",$A$4+338)</f>
        <v>46361</v>
      </c>
      <c r="N33879">
        <f>IF(M33879="","",'Master Barang'!A73)</f>
        <v>0</v>
      </c>
      <c r="O33879">
        <f>IF(N33879="","",'Master Barang'!B73)</f>
        <v>0</v>
      </c>
      <c r="P33879">
        <f>IF(OR(M33879="",N33879=""),"",SUMIFS('Barang Keluar'!$E:$E,'Barang Keluar'!$A:$A,M33879,'Barang Keluar'!$C:$C,N33879))</f>
        <v>0</v>
      </c>
    </row>
    <row r="33880" spans="13:16">
      <c r="M33880" s="49">
        <f>IF($A$4+338&gt;$B$4,"",$A$4+338)</f>
        <v>46361</v>
      </c>
      <c r="N33880">
        <f>IF(M33880="","",'Master Barang'!A74)</f>
        <v>0</v>
      </c>
      <c r="O33880">
        <f>IF(N33880="","",'Master Barang'!B74)</f>
        <v>0</v>
      </c>
      <c r="P33880">
        <f>IF(OR(M33880="",N33880=""),"",SUMIFS('Barang Keluar'!$E:$E,'Barang Keluar'!$A:$A,M33880,'Barang Keluar'!$C:$C,N33880))</f>
        <v>0</v>
      </c>
    </row>
    <row r="33881" spans="13:16">
      <c r="M33881" s="49">
        <f>IF($A$4+338&gt;$B$4,"",$A$4+338)</f>
        <v>46361</v>
      </c>
      <c r="N33881">
        <f>IF(M33881="","",'Master Barang'!A75)</f>
        <v>0</v>
      </c>
      <c r="O33881">
        <f>IF(N33881="","",'Master Barang'!B75)</f>
        <v>0</v>
      </c>
      <c r="P33881">
        <f>IF(OR(M33881="",N33881=""),"",SUMIFS('Barang Keluar'!$E:$E,'Barang Keluar'!$A:$A,M33881,'Barang Keluar'!$C:$C,N33881))</f>
        <v>0</v>
      </c>
    </row>
    <row r="33882" spans="13:16">
      <c r="M33882" s="49">
        <f>IF($A$4+338&gt;$B$4,"",$A$4+338)</f>
        <v>46361</v>
      </c>
      <c r="N33882">
        <f>IF(M33882="","",'Master Barang'!A76)</f>
        <v>0</v>
      </c>
      <c r="O33882">
        <f>IF(N33882="","",'Master Barang'!B76)</f>
        <v>0</v>
      </c>
      <c r="P33882">
        <f>IF(OR(M33882="",N33882=""),"",SUMIFS('Barang Keluar'!$E:$E,'Barang Keluar'!$A:$A,M33882,'Barang Keluar'!$C:$C,N33882))</f>
        <v>0</v>
      </c>
    </row>
    <row r="33883" spans="13:16">
      <c r="M33883" s="49">
        <f>IF($A$4+338&gt;$B$4,"",$A$4+338)</f>
        <v>46361</v>
      </c>
      <c r="N33883">
        <f>IF(M33883="","",'Master Barang'!A77)</f>
        <v>0</v>
      </c>
      <c r="O33883">
        <f>IF(N33883="","",'Master Barang'!B77)</f>
        <v>0</v>
      </c>
      <c r="P33883">
        <f>IF(OR(M33883="",N33883=""),"",SUMIFS('Barang Keluar'!$E:$E,'Barang Keluar'!$A:$A,M33883,'Barang Keluar'!$C:$C,N33883))</f>
        <v>0</v>
      </c>
    </row>
    <row r="33884" spans="13:16">
      <c r="M33884" s="49">
        <f>IF($A$4+338&gt;$B$4,"",$A$4+338)</f>
        <v>46361</v>
      </c>
      <c r="N33884">
        <f>IF(M33884="","",'Master Barang'!A78)</f>
        <v>0</v>
      </c>
      <c r="O33884">
        <f>IF(N33884="","",'Master Barang'!B78)</f>
        <v>0</v>
      </c>
      <c r="P33884">
        <f>IF(OR(M33884="",N33884=""),"",SUMIFS('Barang Keluar'!$E:$E,'Barang Keluar'!$A:$A,M33884,'Barang Keluar'!$C:$C,N33884))</f>
        <v>0</v>
      </c>
    </row>
    <row r="33885" spans="13:16">
      <c r="M33885" s="49">
        <f>IF($A$4+338&gt;$B$4,"",$A$4+338)</f>
        <v>46361</v>
      </c>
      <c r="N33885">
        <f>IF(M33885="","",'Master Barang'!A79)</f>
        <v>0</v>
      </c>
      <c r="O33885">
        <f>IF(N33885="","",'Master Barang'!B79)</f>
        <v>0</v>
      </c>
      <c r="P33885">
        <f>IF(OR(M33885="",N33885=""),"",SUMIFS('Barang Keluar'!$E:$E,'Barang Keluar'!$A:$A,M33885,'Barang Keluar'!$C:$C,N33885))</f>
        <v>0</v>
      </c>
    </row>
    <row r="33886" spans="13:16">
      <c r="M33886" s="49">
        <f>IF($A$4+338&gt;$B$4,"",$A$4+338)</f>
        <v>46361</v>
      </c>
      <c r="N33886">
        <f>IF(M33886="","",'Master Barang'!A80)</f>
        <v>0</v>
      </c>
      <c r="O33886">
        <f>IF(N33886="","",'Master Barang'!B80)</f>
        <v>0</v>
      </c>
      <c r="P33886">
        <f>IF(OR(M33886="",N33886=""),"",SUMIFS('Barang Keluar'!$E:$E,'Barang Keluar'!$A:$A,M33886,'Barang Keluar'!$C:$C,N33886))</f>
        <v>0</v>
      </c>
    </row>
    <row r="33887" spans="13:16">
      <c r="M33887" s="49">
        <f>IF($A$4+338&gt;$B$4,"",$A$4+338)</f>
        <v>46361</v>
      </c>
      <c r="N33887">
        <f>IF(M33887="","",'Master Barang'!A81)</f>
        <v>0</v>
      </c>
      <c r="O33887">
        <f>IF(N33887="","",'Master Barang'!B81)</f>
        <v>0</v>
      </c>
      <c r="P33887">
        <f>IF(OR(M33887="",N33887=""),"",SUMIFS('Barang Keluar'!$E:$E,'Barang Keluar'!$A:$A,M33887,'Barang Keluar'!$C:$C,N33887))</f>
        <v>0</v>
      </c>
    </row>
    <row r="33888" spans="13:16">
      <c r="M33888" s="49">
        <f>IF($A$4+338&gt;$B$4,"",$A$4+338)</f>
        <v>46361</v>
      </c>
      <c r="N33888">
        <f>IF(M33888="","",'Master Barang'!A82)</f>
        <v>0</v>
      </c>
      <c r="O33888">
        <f>IF(N33888="","",'Master Barang'!B82)</f>
        <v>0</v>
      </c>
      <c r="P33888">
        <f>IF(OR(M33888="",N33888=""),"",SUMIFS('Barang Keluar'!$E:$E,'Barang Keluar'!$A:$A,M33888,'Barang Keluar'!$C:$C,N33888))</f>
        <v>0</v>
      </c>
    </row>
    <row r="33889" spans="13:16">
      <c r="M33889" s="49">
        <f>IF($A$4+338&gt;$B$4,"",$A$4+338)</f>
        <v>46361</v>
      </c>
      <c r="N33889">
        <f>IF(M33889="","",'Master Barang'!A83)</f>
        <v>0</v>
      </c>
      <c r="O33889">
        <f>IF(N33889="","",'Master Barang'!B83)</f>
        <v>0</v>
      </c>
      <c r="P33889">
        <f>IF(OR(M33889="",N33889=""),"",SUMIFS('Barang Keluar'!$E:$E,'Barang Keluar'!$A:$A,M33889,'Barang Keluar'!$C:$C,N33889))</f>
        <v>0</v>
      </c>
    </row>
    <row r="33890" spans="13:16">
      <c r="M33890" s="49">
        <f>IF($A$4+338&gt;$B$4,"",$A$4+338)</f>
        <v>46361</v>
      </c>
      <c r="N33890">
        <f>IF(M33890="","",'Master Barang'!A84)</f>
        <v>0</v>
      </c>
      <c r="O33890">
        <f>IF(N33890="","",'Master Barang'!B84)</f>
        <v>0</v>
      </c>
      <c r="P33890">
        <f>IF(OR(M33890="",N33890=""),"",SUMIFS('Barang Keluar'!$E:$E,'Barang Keluar'!$A:$A,M33890,'Barang Keluar'!$C:$C,N33890))</f>
        <v>0</v>
      </c>
    </row>
    <row r="33891" spans="13:16">
      <c r="M33891" s="49">
        <f>IF($A$4+338&gt;$B$4,"",$A$4+338)</f>
        <v>46361</v>
      </c>
      <c r="N33891">
        <f>IF(M33891="","",'Master Barang'!A85)</f>
        <v>0</v>
      </c>
      <c r="O33891">
        <f>IF(N33891="","",'Master Barang'!B85)</f>
        <v>0</v>
      </c>
      <c r="P33891">
        <f>IF(OR(M33891="",N33891=""),"",SUMIFS('Barang Keluar'!$E:$E,'Barang Keluar'!$A:$A,M33891,'Barang Keluar'!$C:$C,N33891))</f>
        <v>0</v>
      </c>
    </row>
    <row r="33892" spans="13:16">
      <c r="M33892" s="49">
        <f>IF($A$4+338&gt;$B$4,"",$A$4+338)</f>
        <v>46361</v>
      </c>
      <c r="N33892">
        <f>IF(M33892="","",'Master Barang'!A86)</f>
        <v>0</v>
      </c>
      <c r="O33892">
        <f>IF(N33892="","",'Master Barang'!B86)</f>
        <v>0</v>
      </c>
      <c r="P33892">
        <f>IF(OR(M33892="",N33892=""),"",SUMIFS('Barang Keluar'!$E:$E,'Barang Keluar'!$A:$A,M33892,'Barang Keluar'!$C:$C,N33892))</f>
        <v>0</v>
      </c>
    </row>
    <row r="33893" spans="13:16">
      <c r="M33893" s="49">
        <f>IF($A$4+338&gt;$B$4,"",$A$4+338)</f>
        <v>46361</v>
      </c>
      <c r="N33893">
        <f>IF(M33893="","",'Master Barang'!A87)</f>
        <v>0</v>
      </c>
      <c r="O33893">
        <f>IF(N33893="","",'Master Barang'!B87)</f>
        <v>0</v>
      </c>
      <c r="P33893">
        <f>IF(OR(M33893="",N33893=""),"",SUMIFS('Barang Keluar'!$E:$E,'Barang Keluar'!$A:$A,M33893,'Barang Keluar'!$C:$C,N33893))</f>
        <v>0</v>
      </c>
    </row>
    <row r="33894" spans="13:16">
      <c r="M33894" s="49">
        <f>IF($A$4+338&gt;$B$4,"",$A$4+338)</f>
        <v>46361</v>
      </c>
      <c r="N33894">
        <f>IF(M33894="","",'Master Barang'!A88)</f>
        <v>0</v>
      </c>
      <c r="O33894">
        <f>IF(N33894="","",'Master Barang'!B88)</f>
        <v>0</v>
      </c>
      <c r="P33894">
        <f>IF(OR(M33894="",N33894=""),"",SUMIFS('Barang Keluar'!$E:$E,'Barang Keluar'!$A:$A,M33894,'Barang Keluar'!$C:$C,N33894))</f>
        <v>0</v>
      </c>
    </row>
    <row r="33895" spans="13:16">
      <c r="M33895" s="49">
        <f>IF($A$4+338&gt;$B$4,"",$A$4+338)</f>
        <v>46361</v>
      </c>
      <c r="N33895">
        <f>IF(M33895="","",'Master Barang'!A89)</f>
        <v>0</v>
      </c>
      <c r="O33895">
        <f>IF(N33895="","",'Master Barang'!B89)</f>
        <v>0</v>
      </c>
      <c r="P33895">
        <f>IF(OR(M33895="",N33895=""),"",SUMIFS('Barang Keluar'!$E:$E,'Barang Keluar'!$A:$A,M33895,'Barang Keluar'!$C:$C,N33895))</f>
        <v>0</v>
      </c>
    </row>
    <row r="33896" spans="13:16">
      <c r="M33896" s="49">
        <f>IF($A$4+338&gt;$B$4,"",$A$4+338)</f>
        <v>46361</v>
      </c>
      <c r="N33896">
        <f>IF(M33896="","",'Master Barang'!A90)</f>
        <v>0</v>
      </c>
      <c r="O33896">
        <f>IF(N33896="","",'Master Barang'!B90)</f>
        <v>0</v>
      </c>
      <c r="P33896">
        <f>IF(OR(M33896="",N33896=""),"",SUMIFS('Barang Keluar'!$E:$E,'Barang Keluar'!$A:$A,M33896,'Barang Keluar'!$C:$C,N33896))</f>
        <v>0</v>
      </c>
    </row>
    <row r="33897" spans="13:16">
      <c r="M33897" s="49">
        <f>IF($A$4+338&gt;$B$4,"",$A$4+338)</f>
        <v>46361</v>
      </c>
      <c r="N33897">
        <f>IF(M33897="","",'Master Barang'!A91)</f>
        <v>0</v>
      </c>
      <c r="O33897">
        <f>IF(N33897="","",'Master Barang'!B91)</f>
        <v>0</v>
      </c>
      <c r="P33897">
        <f>IF(OR(M33897="",N33897=""),"",SUMIFS('Barang Keluar'!$E:$E,'Barang Keluar'!$A:$A,M33897,'Barang Keluar'!$C:$C,N33897))</f>
        <v>0</v>
      </c>
    </row>
    <row r="33898" spans="13:16">
      <c r="M33898" s="49">
        <f>IF($A$4+338&gt;$B$4,"",$A$4+338)</f>
        <v>46361</v>
      </c>
      <c r="N33898">
        <f>IF(M33898="","",'Master Barang'!A92)</f>
        <v>0</v>
      </c>
      <c r="O33898">
        <f>IF(N33898="","",'Master Barang'!B92)</f>
        <v>0</v>
      </c>
      <c r="P33898">
        <f>IF(OR(M33898="",N33898=""),"",SUMIFS('Barang Keluar'!$E:$E,'Barang Keluar'!$A:$A,M33898,'Barang Keluar'!$C:$C,N33898))</f>
        <v>0</v>
      </c>
    </row>
    <row r="33899" spans="13:16">
      <c r="M33899" s="49">
        <f>IF($A$4+338&gt;$B$4,"",$A$4+338)</f>
        <v>46361</v>
      </c>
      <c r="N33899">
        <f>IF(M33899="","",'Master Barang'!A93)</f>
        <v>0</v>
      </c>
      <c r="O33899">
        <f>IF(N33899="","",'Master Barang'!B93)</f>
        <v>0</v>
      </c>
      <c r="P33899">
        <f>IF(OR(M33899="",N33899=""),"",SUMIFS('Barang Keluar'!$E:$E,'Barang Keluar'!$A:$A,M33899,'Barang Keluar'!$C:$C,N33899))</f>
        <v>0</v>
      </c>
    </row>
    <row r="33900" spans="13:16">
      <c r="M33900" s="49">
        <f>IF($A$4+338&gt;$B$4,"",$A$4+338)</f>
        <v>46361</v>
      </c>
      <c r="N33900">
        <f>IF(M33900="","",'Master Barang'!A94)</f>
        <v>0</v>
      </c>
      <c r="O33900">
        <f>IF(N33900="","",'Master Barang'!B94)</f>
        <v>0</v>
      </c>
      <c r="P33900">
        <f>IF(OR(M33900="",N33900=""),"",SUMIFS('Barang Keluar'!$E:$E,'Barang Keluar'!$A:$A,M33900,'Barang Keluar'!$C:$C,N33900))</f>
        <v>0</v>
      </c>
    </row>
    <row r="33901" spans="13:16">
      <c r="M33901" s="49">
        <f>IF($A$4+338&gt;$B$4,"",$A$4+338)</f>
        <v>46361</v>
      </c>
      <c r="N33901">
        <f>IF(M33901="","",'Master Barang'!A95)</f>
        <v>0</v>
      </c>
      <c r="O33901">
        <f>IF(N33901="","",'Master Barang'!B95)</f>
        <v>0</v>
      </c>
      <c r="P33901">
        <f>IF(OR(M33901="",N33901=""),"",SUMIFS('Barang Keluar'!$E:$E,'Barang Keluar'!$A:$A,M33901,'Barang Keluar'!$C:$C,N33901))</f>
        <v>0</v>
      </c>
    </row>
    <row r="33902" spans="13:16">
      <c r="M33902" s="49">
        <f>IF($A$4+338&gt;$B$4,"",$A$4+338)</f>
        <v>46361</v>
      </c>
      <c r="N33902">
        <f>IF(M33902="","",'Master Barang'!A96)</f>
        <v>0</v>
      </c>
      <c r="O33902">
        <f>IF(N33902="","",'Master Barang'!B96)</f>
        <v>0</v>
      </c>
      <c r="P33902">
        <f>IF(OR(M33902="",N33902=""),"",SUMIFS('Barang Keluar'!$E:$E,'Barang Keluar'!$A:$A,M33902,'Barang Keluar'!$C:$C,N33902))</f>
        <v>0</v>
      </c>
    </row>
    <row r="33903" spans="13:16">
      <c r="M33903" s="49">
        <f>IF($A$4+338&gt;$B$4,"",$A$4+338)</f>
        <v>46361</v>
      </c>
      <c r="N33903">
        <f>IF(M33903="","",'Master Barang'!A97)</f>
        <v>0</v>
      </c>
      <c r="O33903">
        <f>IF(N33903="","",'Master Barang'!B97)</f>
        <v>0</v>
      </c>
      <c r="P33903">
        <f>IF(OR(M33903="",N33903=""),"",SUMIFS('Barang Keluar'!$E:$E,'Barang Keluar'!$A:$A,M33903,'Barang Keluar'!$C:$C,N33903))</f>
        <v>0</v>
      </c>
    </row>
    <row r="33904" spans="13:16">
      <c r="M33904" s="49">
        <f>IF($A$4+338&gt;$B$4,"",$A$4+338)</f>
        <v>46361</v>
      </c>
      <c r="N33904">
        <f>IF(M33904="","",'Master Barang'!A98)</f>
        <v>0</v>
      </c>
      <c r="O33904">
        <f>IF(N33904="","",'Master Barang'!B98)</f>
        <v>0</v>
      </c>
      <c r="P33904">
        <f>IF(OR(M33904="",N33904=""),"",SUMIFS('Barang Keluar'!$E:$E,'Barang Keluar'!$A:$A,M33904,'Barang Keluar'!$C:$C,N33904))</f>
        <v>0</v>
      </c>
    </row>
    <row r="33905" spans="13:16">
      <c r="M33905" s="49">
        <f>IF($A$4+338&gt;$B$4,"",$A$4+338)</f>
        <v>46361</v>
      </c>
      <c r="N33905">
        <f>IF(M33905="","",'Master Barang'!A99)</f>
        <v>0</v>
      </c>
      <c r="O33905">
        <f>IF(N33905="","",'Master Barang'!B99)</f>
        <v>0</v>
      </c>
      <c r="P33905">
        <f>IF(OR(M33905="",N33905=""),"",SUMIFS('Barang Keluar'!$E:$E,'Barang Keluar'!$A:$A,M33905,'Barang Keluar'!$C:$C,N33905))</f>
        <v>0</v>
      </c>
    </row>
    <row r="33906" spans="13:16">
      <c r="M33906" s="49">
        <f>IF($A$4+338&gt;$B$4,"",$A$4+338)</f>
        <v>46361</v>
      </c>
      <c r="N33906">
        <f>IF(M33906="","",'Master Barang'!A100)</f>
        <v>0</v>
      </c>
      <c r="O33906">
        <f>IF(N33906="","",'Master Barang'!B100)</f>
        <v>0</v>
      </c>
      <c r="P33906">
        <f>IF(OR(M33906="",N33906=""),"",SUMIFS('Barang Keluar'!$E:$E,'Barang Keluar'!$A:$A,M33906,'Barang Keluar'!$C:$C,N33906))</f>
        <v>0</v>
      </c>
    </row>
    <row r="33907" spans="13:16">
      <c r="M33907" s="49">
        <f>IF($A$4+338&gt;$B$4,"",$A$4+338)</f>
        <v>46361</v>
      </c>
      <c r="N33907">
        <f>IF(M33907="","",'Master Barang'!A101)</f>
        <v>0</v>
      </c>
      <c r="O33907">
        <f>IF(N33907="","",'Master Barang'!B101)</f>
        <v>0</v>
      </c>
      <c r="P33907">
        <f>IF(OR(M33907="",N33907=""),"",SUMIFS('Barang Keluar'!$E:$E,'Barang Keluar'!$A:$A,M33907,'Barang Keluar'!$C:$C,N33907))</f>
        <v>0</v>
      </c>
    </row>
    <row r="33908" spans="13:16">
      <c r="M33908" s="49">
        <f>IF($A$4+339&gt;$B$4,"",$A$4+339)</f>
        <v>46362</v>
      </c>
      <c r="N33908" t="str">
        <f>IF(M33908="","",'Master Barang'!A2)</f>
        <v>PRL-001</v>
      </c>
      <c r="O33908" t="str">
        <f>IF(N33908="","",'Master Barang'!B2)</f>
        <v>natura desinfectant food grade 5l</v>
      </c>
      <c r="P33908">
        <f>IF(OR(M33908="",N33908=""),"",SUMIFS('Barang Keluar'!$E:$E,'Barang Keluar'!$A:$A,M33908,'Barang Keluar'!$C:$C,N33908))</f>
        <v>0</v>
      </c>
    </row>
    <row r="33909" spans="13:16">
      <c r="M33909" s="49">
        <f>IF($A$4+339&gt;$B$4,"",$A$4+339)</f>
        <v>46362</v>
      </c>
      <c r="N33909" t="str">
        <f>IF(M33909="","",'Master Barang'!A3)</f>
        <v>PRL-002</v>
      </c>
      <c r="O33909" t="str">
        <f>IF(N33909="","",'Master Barang'!B3)</f>
        <v>sunlight cairan pencuci piring 5l</v>
      </c>
      <c r="P33909">
        <f>IF(OR(M33909="",N33909=""),"",SUMIFS('Barang Keluar'!$E:$E,'Barang Keluar'!$A:$A,M33909,'Barang Keluar'!$C:$C,N33909))</f>
        <v>0</v>
      </c>
    </row>
    <row r="33910" spans="13:16">
      <c r="M33910" s="49">
        <f>IF($A$4+339&gt;$B$4,"",$A$4+339)</f>
        <v>46362</v>
      </c>
      <c r="N33910" t="str">
        <f>IF(M33910="","",'Master Barang'!A4)</f>
        <v>PRL-003</v>
      </c>
      <c r="O33910" t="str">
        <f>IF(N33910="","",'Master Barang'!B4)</f>
        <v>oixs cleaner 1l</v>
      </c>
      <c r="P33910">
        <f>IF(OR(M33910="",N33910=""),"",SUMIFS('Barang Keluar'!$E:$E,'Barang Keluar'!$A:$A,M33910,'Barang Keluar'!$C:$C,N33910))</f>
        <v>0</v>
      </c>
    </row>
    <row r="33911" spans="13:16">
      <c r="M33911" s="49">
        <f>IF($A$4+339&gt;$B$4,"",$A$4+339)</f>
        <v>46362</v>
      </c>
      <c r="N33911" t="str">
        <f>IF(M33911="","",'Master Barang'!A5)</f>
        <v>PRL-004</v>
      </c>
      <c r="O33911" t="str">
        <f>IF(N33911="","",'Master Barang'!B5)</f>
        <v>be clean tissue serbaguna</v>
      </c>
      <c r="P33911">
        <f>IF(OR(M33911="",N33911=""),"",SUMIFS('Barang Keluar'!$E:$E,'Barang Keluar'!$A:$A,M33911,'Barang Keluar'!$C:$C,N33911))</f>
        <v>0</v>
      </c>
    </row>
    <row r="33912" spans="13:16">
      <c r="M33912" s="49">
        <f>IF($A$4+339&gt;$B$4,"",$A$4+339)</f>
        <v>46362</v>
      </c>
      <c r="N33912" t="str">
        <f>IF(M33912="","",'Master Barang'!A6)</f>
        <v>PRL-005</v>
      </c>
      <c r="O33912" t="str">
        <f>IF(N33912="","",'Master Barang'!B6)</f>
        <v>spons cuci hijau</v>
      </c>
      <c r="P33912">
        <f>IF(OR(M33912="",N33912=""),"",SUMIFS('Barang Keluar'!$E:$E,'Barang Keluar'!$A:$A,M33912,'Barang Keluar'!$C:$C,N33912))</f>
        <v>0</v>
      </c>
    </row>
    <row r="33913" spans="13:16">
      <c r="M33913" s="49">
        <f>IF($A$4+339&gt;$B$4,"",$A$4+339)</f>
        <v>46362</v>
      </c>
      <c r="N33913" t="str">
        <f>IF(M33913="","",'Master Barang'!A7)</f>
        <v>PRL-006</v>
      </c>
      <c r="O33913" t="str">
        <f>IF(N33913="","",'Master Barang'!B7)</f>
        <v>sabut cuci stainless</v>
      </c>
      <c r="P33913">
        <f>IF(OR(M33913="",N33913=""),"",SUMIFS('Barang Keluar'!$E:$E,'Barang Keluar'!$A:$A,M33913,'Barang Keluar'!$C:$C,N33913))</f>
        <v>0</v>
      </c>
    </row>
    <row r="33914" spans="13:16">
      <c r="M33914" s="49">
        <f>IF($A$4+339&gt;$B$4,"",$A$4+339)</f>
        <v>46362</v>
      </c>
      <c r="N33914" t="str">
        <f>IF(M33914="","",'Master Barang'!A8)</f>
        <v>PRL-007</v>
      </c>
      <c r="O33914" t="str">
        <f>IF(N33914="","",'Master Barang'!B8)</f>
        <v>plastik kresek besar merah 50pc</v>
      </c>
      <c r="P33914">
        <f>IF(OR(M33914="",N33914=""),"",SUMIFS('Barang Keluar'!$E:$E,'Barang Keluar'!$A:$A,M33914,'Barang Keluar'!$C:$C,N33914))</f>
        <v>0</v>
      </c>
    </row>
    <row r="33915" spans="13:16">
      <c r="M33915" s="49">
        <f>IF($A$4+339&gt;$B$4,"",$A$4+339)</f>
        <v>46362</v>
      </c>
      <c r="N33915" t="str">
        <f>IF(M33915="","",'Master Barang'!A9)</f>
        <v>PRL-008</v>
      </c>
      <c r="O33915" t="str">
        <f>IF(N33915="","",'Master Barang'!B9)</f>
        <v>lap besar</v>
      </c>
      <c r="P33915">
        <f>IF(OR(M33915="",N33915=""),"",SUMIFS('Barang Keluar'!$E:$E,'Barang Keluar'!$A:$A,M33915,'Barang Keluar'!$C:$C,N33915))</f>
        <v>0</v>
      </c>
    </row>
    <row r="33916" spans="13:16">
      <c r="M33916" s="49">
        <f>IF($A$4+339&gt;$B$4,"",$A$4+339)</f>
        <v>46362</v>
      </c>
      <c r="N33916" t="str">
        <f>IF(M33916="","",'Master Barang'!A10)</f>
        <v>PRL-009</v>
      </c>
      <c r="O33916" t="str">
        <f>IF(N33916="","",'Master Barang'!B10)</f>
        <v>lap microfiber</v>
      </c>
      <c r="P33916">
        <f>IF(OR(M33916="",N33916=""),"",SUMIFS('Barang Keluar'!$E:$E,'Barang Keluar'!$A:$A,M33916,'Barang Keluar'!$C:$C,N33916))</f>
        <v>0</v>
      </c>
    </row>
    <row r="33917" spans="13:16">
      <c r="M33917" s="49">
        <f>IF($A$4+339&gt;$B$4,"",$A$4+339)</f>
        <v>46362</v>
      </c>
      <c r="N33917" t="str">
        <f>IF(M33917="","",'Master Barang'!A11)</f>
        <v>PRL-010</v>
      </c>
      <c r="O33917" t="str">
        <f>IF(N33917="","",'Master Barang'!B11)</f>
        <v>lap kecil</v>
      </c>
      <c r="P33917">
        <f>IF(OR(M33917="",N33917=""),"",SUMIFS('Barang Keluar'!$E:$E,'Barang Keluar'!$A:$A,M33917,'Barang Keluar'!$C:$C,N33917))</f>
        <v>0</v>
      </c>
    </row>
    <row r="33918" spans="13:16">
      <c r="M33918" s="49">
        <f>IF($A$4+339&gt;$B$4,"",$A$4+339)</f>
        <v>46362</v>
      </c>
      <c r="N33918" t="str">
        <f>IF(M33918="","",'Master Barang'!A12)</f>
        <v>PRL-011</v>
      </c>
      <c r="O33918" t="str">
        <f>IF(N33918="","",'Master Barang'!B12)</f>
        <v>kanebo kecil</v>
      </c>
      <c r="P33918">
        <f>IF(OR(M33918="",N33918=""),"",SUMIFS('Barang Keluar'!$E:$E,'Barang Keluar'!$A:$A,M33918,'Barang Keluar'!$C:$C,N33918))</f>
        <v>0</v>
      </c>
    </row>
    <row r="33919" spans="13:16">
      <c r="M33919" s="49">
        <f>IF($A$4+339&gt;$B$4,"",$A$4+339)</f>
        <v>46362</v>
      </c>
      <c r="N33919" t="str">
        <f>IF(M33919="","",'Master Barang'!A13)</f>
        <v>PRL-012</v>
      </c>
      <c r="O33919" t="str">
        <f>IF(N33919="","",'Master Barang'!B13)</f>
        <v>plastik 1/4kg joyoboyo 100 lembar</v>
      </c>
      <c r="P33919">
        <f>IF(OR(M33919="",N33919=""),"",SUMIFS('Barang Keluar'!$E:$E,'Barang Keluar'!$A:$A,M33919,'Barang Keluar'!$C:$C,N33919))</f>
        <v>0</v>
      </c>
    </row>
    <row r="33920" spans="13:16">
      <c r="M33920" s="49">
        <f>IF($A$4+339&gt;$B$4,"",$A$4+339)</f>
        <v>46362</v>
      </c>
      <c r="N33920" t="str">
        <f>IF(M33920="","",'Master Barang'!A14)</f>
        <v>PRL-013</v>
      </c>
      <c r="O33920" t="str">
        <f>IF(N33920="","",'Master Barang'!B14)</f>
        <v>sarung tangan plastik kaka 100 pcs</v>
      </c>
      <c r="P33920">
        <f>IF(OR(M33920="",N33920=""),"",SUMIFS('Barang Keluar'!$E:$E,'Barang Keluar'!$A:$A,M33920,'Barang Keluar'!$C:$C,N33920))</f>
        <v>0</v>
      </c>
    </row>
    <row r="33921" spans="13:16">
      <c r="M33921" s="49">
        <f>IF($A$4+339&gt;$B$4,"",$A$4+339)</f>
        <v>46362</v>
      </c>
      <c r="N33921" t="str">
        <f>IF(M33921="","",'Master Barang'!A15)</f>
        <v>PRL-014</v>
      </c>
      <c r="O33921" t="str">
        <f>IF(N33921="","",'Master Barang'!B15)</f>
        <v>optima trashbag 80x100</v>
      </c>
      <c r="P33921">
        <f>IF(OR(M33921="",N33921=""),"",SUMIFS('Barang Keluar'!$E:$E,'Barang Keluar'!$A:$A,M33921,'Barang Keluar'!$C:$C,N33921))</f>
        <v>0</v>
      </c>
    </row>
    <row r="33922" spans="13:16">
      <c r="M33922" s="49">
        <f>IF($A$4+339&gt;$B$4,"",$A$4+339)</f>
        <v>46362</v>
      </c>
      <c r="N33922" t="str">
        <f>IF(M33922="","",'Master Barang'!A16)</f>
        <v>PRL-015</v>
      </c>
      <c r="O33922" t="str">
        <f>IF(N33922="","",'Master Barang'!B16)</f>
        <v>optima trashbag 60x100</v>
      </c>
      <c r="P33922">
        <f>IF(OR(M33922="",N33922=""),"",SUMIFS('Barang Keluar'!$E:$E,'Barang Keluar'!$A:$A,M33922,'Barang Keluar'!$C:$C,N33922))</f>
        <v>0</v>
      </c>
    </row>
    <row r="33923" spans="13:16">
      <c r="M33923" s="49">
        <f>IF($A$4+339&gt;$B$4,"",$A$4+339)</f>
        <v>46362</v>
      </c>
      <c r="N33923" t="str">
        <f>IF(M33923="","",'Master Barang'!A17)</f>
        <v>PRL-016</v>
      </c>
      <c r="O33923" t="str">
        <f>IF(N33923="","",'Master Barang'!B17)</f>
        <v>rajawali trashbag 30x40</v>
      </c>
      <c r="P33923">
        <f>IF(OR(M33923="",N33923=""),"",SUMIFS('Barang Keluar'!$E:$E,'Barang Keluar'!$A:$A,M33923,'Barang Keluar'!$C:$C,N33923))</f>
        <v>0</v>
      </c>
    </row>
    <row r="33924" spans="13:16">
      <c r="M33924" s="49">
        <f>IF($A$4+339&gt;$B$4,"",$A$4+339)</f>
        <v>46362</v>
      </c>
      <c r="N33924" t="str">
        <f>IF(M33924="","",'Master Barang'!A18)</f>
        <v>PRL-017</v>
      </c>
      <c r="O33924" t="str">
        <f>IF(N33924="","",'Master Barang'!B18)</f>
        <v>onemed masker biru 3 play 50 pcs</v>
      </c>
      <c r="P33924">
        <f>IF(OR(M33924="",N33924=""),"",SUMIFS('Barang Keluar'!$E:$E,'Barang Keluar'!$A:$A,M33924,'Barang Keluar'!$C:$C,N33924))</f>
        <v>0</v>
      </c>
    </row>
    <row r="33925" spans="13:16">
      <c r="M33925" s="49">
        <f>IF($A$4+339&gt;$B$4,"",$A$4+339)</f>
        <v>46362</v>
      </c>
      <c r="N33925" t="str">
        <f>IF(M33925="","",'Master Barang'!A19)</f>
        <v>PRL-018</v>
      </c>
      <c r="O33925" t="str">
        <f>IF(N33925="","",'Master Barang'!B19)</f>
        <v>onemed masker biru 3 play hijab 50 pcs</v>
      </c>
      <c r="P33925">
        <f>IF(OR(M33925="",N33925=""),"",SUMIFS('Barang Keluar'!$E:$E,'Barang Keluar'!$A:$A,M33925,'Barang Keluar'!$C:$C,N33925))</f>
        <v>0</v>
      </c>
    </row>
    <row r="33926" spans="13:16">
      <c r="M33926" s="49">
        <f>IF($A$4+339&gt;$B$4,"",$A$4+339)</f>
        <v>46362</v>
      </c>
      <c r="N33926" t="str">
        <f>IF(M33926="","",'Master Barang'!A20)</f>
        <v>PRL-019</v>
      </c>
      <c r="O33926" t="str">
        <f>IF(N33926="","",'Master Barang'!B20)</f>
        <v>neo health masker biru 3 play 50 pcs</v>
      </c>
      <c r="P33926">
        <f>IF(OR(M33926="",N33926=""),"",SUMIFS('Barang Keluar'!$E:$E,'Barang Keluar'!$A:$A,M33926,'Barang Keluar'!$C:$C,N33926))</f>
        <v>0</v>
      </c>
    </row>
    <row r="33927" spans="13:16">
      <c r="M33927" s="49">
        <f>IF($A$4+339&gt;$B$4,"",$A$4+339)</f>
        <v>46362</v>
      </c>
      <c r="N33927" t="str">
        <f>IF(M33927="","",'Master Barang'!A21)</f>
        <v>PRL-020</v>
      </c>
      <c r="O33927" t="str">
        <f>IF(N33927="","",'Master Barang'!B21)</f>
        <v>baymed masker hijau 3 play hijau 50 pcs</v>
      </c>
      <c r="P33927">
        <f>IF(OR(M33927="",N33927=""),"",SUMIFS('Barang Keluar'!$E:$E,'Barang Keluar'!$A:$A,M33927,'Barang Keluar'!$C:$C,N33927))</f>
        <v>0</v>
      </c>
    </row>
    <row r="33928" spans="13:16">
      <c r="M33928" s="49">
        <f>IF($A$4+339&gt;$B$4,"",$A$4+339)</f>
        <v>46362</v>
      </c>
      <c r="N33928" t="str">
        <f>IF(M33928="","",'Master Barang'!A22)</f>
        <v>PRL-021</v>
      </c>
      <c r="O33928" t="str">
        <f>IF(N33928="","",'Master Barang'!B22)</f>
        <v>altamed nurse cap penutup kepala 100 pcs</v>
      </c>
      <c r="P33928">
        <f>IF(OR(M33928="",N33928=""),"",SUMIFS('Barang Keluar'!$E:$E,'Barang Keluar'!$A:$A,M33928,'Barang Keluar'!$C:$C,N33928))</f>
        <v>0</v>
      </c>
    </row>
    <row r="33929" spans="13:16">
      <c r="M33929" s="49">
        <f>IF($A$4+339&gt;$B$4,"",$A$4+339)</f>
        <v>46362</v>
      </c>
      <c r="N33929" t="str">
        <f>IF(M33929="","",'Master Barang'!A23)</f>
        <v>PRL-022</v>
      </c>
      <c r="O33929" t="str">
        <f>IF(N33929="","",'Master Barang'!B23)</f>
        <v>sabun cuci tangan</v>
      </c>
      <c r="P33929">
        <f>IF(OR(M33929="",N33929=""),"",SUMIFS('Barang Keluar'!$E:$E,'Barang Keluar'!$A:$A,M33929,'Barang Keluar'!$C:$C,N33929))</f>
        <v>0</v>
      </c>
    </row>
    <row r="33930" spans="13:16">
      <c r="M33930" s="49">
        <f>IF($A$4+339&gt;$B$4,"",$A$4+339)</f>
        <v>46362</v>
      </c>
      <c r="N33930" t="str">
        <f>IF(M33930="","",'Master Barang'!A24)</f>
        <v>PRL-023</v>
      </c>
      <c r="O33930" t="str">
        <f>IF(N33930="","",'Master Barang'!B24)</f>
        <v>gayung kecil</v>
      </c>
      <c r="P33930">
        <f>IF(OR(M33930="",N33930=""),"",SUMIFS('Barang Keluar'!$E:$E,'Barang Keluar'!$A:$A,M33930,'Barang Keluar'!$C:$C,N33930))</f>
        <v>0</v>
      </c>
    </row>
    <row r="33931" spans="13:16">
      <c r="M33931" s="49">
        <f>IF($A$4+339&gt;$B$4,"",$A$4+339)</f>
        <v>46362</v>
      </c>
      <c r="N33931" t="str">
        <f>IF(M33931="","",'Master Barang'!A25)</f>
        <v>PRL-024</v>
      </c>
      <c r="O33931" t="str">
        <f>IF(N33931="","",'Master Barang'!B25)</f>
        <v>cikrak kecil</v>
      </c>
      <c r="P33931">
        <f>IF(OR(M33931="",N33931=""),"",SUMIFS('Barang Keluar'!$E:$E,'Barang Keluar'!$A:$A,M33931,'Barang Keluar'!$C:$C,N33931))</f>
        <v>0</v>
      </c>
    </row>
    <row r="33932" spans="13:16">
      <c r="M33932" s="49">
        <f>IF($A$4+339&gt;$B$4,"",$A$4+339)</f>
        <v>46362</v>
      </c>
      <c r="N33932" t="str">
        <f>IF(M33932="","",'Master Barang'!A26)</f>
        <v>PRL-025</v>
      </c>
      <c r="O33932" t="str">
        <f>IF(N33932="","",'Master Barang'!B26)</f>
        <v>petromax plastik kecil 12x24 100 lembar</v>
      </c>
      <c r="P33932">
        <f>IF(OR(M33932="",N33932=""),"",SUMIFS('Barang Keluar'!$E:$E,'Barang Keluar'!$A:$A,M33932,'Barang Keluar'!$C:$C,N33932))</f>
        <v>0</v>
      </c>
    </row>
    <row r="33933" spans="13:16">
      <c r="M33933" s="49">
        <f>IF($A$4+339&gt;$B$4,"",$A$4+339)</f>
        <v>46362</v>
      </c>
      <c r="N33933" t="str">
        <f>IF(M33933="","",'Master Barang'!A27)</f>
        <v>PRL-026</v>
      </c>
      <c r="O33933" t="str">
        <f>IF(N33933="","",'Master Barang'!B27)</f>
        <v>lancar kresek kecil bening </v>
      </c>
      <c r="P33933">
        <f>IF(OR(M33933="",N33933=""),"",SUMIFS('Barang Keluar'!$E:$E,'Barang Keluar'!$A:$A,M33933,'Barang Keluar'!$C:$C,N33933))</f>
        <v>0</v>
      </c>
    </row>
    <row r="33934" spans="13:16">
      <c r="M33934" s="49">
        <f>IF($A$4+339&gt;$B$4,"",$A$4+339)</f>
        <v>46362</v>
      </c>
      <c r="N33934" t="str">
        <f>IF(M33934="","",'Master Barang'!A28)</f>
        <v>PRL-027</v>
      </c>
      <c r="O33934" t="str">
        <f>IF(N33934="","",'Master Barang'!B28)</f>
        <v>kresek klin warna warni kecil</v>
      </c>
      <c r="P33934">
        <f>IF(OR(M33934="",N33934=""),"",SUMIFS('Barang Keluar'!$E:$E,'Barang Keluar'!$A:$A,M33934,'Barang Keluar'!$C:$C,N33934))</f>
        <v>0</v>
      </c>
    </row>
    <row r="33935" spans="13:16">
      <c r="M33935" s="49">
        <f>IF($A$4+339&gt;$B$4,"",$A$4+339)</f>
        <v>46362</v>
      </c>
      <c r="N33935" t="str">
        <f>IF(M33935="","",'Master Barang'!A29)</f>
        <v>PRL-028</v>
      </c>
      <c r="O33935" t="str">
        <f>IF(N33935="","",'Master Barang'!B29)</f>
        <v>ctik plastik 7x10 100 pcs</v>
      </c>
      <c r="P33935">
        <f>IF(OR(M33935="",N33935=""),"",SUMIFS('Barang Keluar'!$E:$E,'Barang Keluar'!$A:$A,M33935,'Barang Keluar'!$C:$C,N33935))</f>
        <v>0</v>
      </c>
    </row>
    <row r="33936" spans="13:16">
      <c r="M33936" s="49">
        <f>IF($A$4+339&gt;$B$4,"",$A$4+339)</f>
        <v>46362</v>
      </c>
      <c r="N33936" t="str">
        <f>IF(M33936="","",'Master Barang'!A30)</f>
        <v>PRL-029</v>
      </c>
      <c r="O33936" t="str">
        <f>IF(N33936="","",'Master Barang'!B30)</f>
        <v>ctik plastik 6x10 100 pcs</v>
      </c>
      <c r="P33936">
        <f>IF(OR(M33936="",N33936=""),"",SUMIFS('Barang Keluar'!$E:$E,'Barang Keluar'!$A:$A,M33936,'Barang Keluar'!$C:$C,N33936))</f>
        <v>0</v>
      </c>
    </row>
    <row r="33937" spans="13:16">
      <c r="M33937" s="49">
        <f>IF($A$4+339&gt;$B$4,"",$A$4+339)</f>
        <v>46362</v>
      </c>
      <c r="N33937" t="str">
        <f>IF(M33937="","",'Master Barang'!A31)</f>
        <v>PRL-030</v>
      </c>
      <c r="O33937" t="str">
        <f>IF(N33937="","",'Master Barang'!B31)</f>
        <v>klip plastik 25x16 100 pcs</v>
      </c>
      <c r="P33937">
        <f>IF(OR(M33937="",N33937=""),"",SUMIFS('Barang Keluar'!$E:$E,'Barang Keluar'!$A:$A,M33937,'Barang Keluar'!$C:$C,N33937))</f>
        <v>0</v>
      </c>
    </row>
    <row r="33938" spans="13:16">
      <c r="M33938" s="49">
        <f>IF($A$4+339&gt;$B$4,"",$A$4+339)</f>
        <v>46362</v>
      </c>
      <c r="N33938" t="str">
        <f>IF(M33938="","",'Master Barang'!A32)</f>
        <v>PRL-031</v>
      </c>
      <c r="O33938" t="str">
        <f>IF(N33938="","",'Master Barang'!B32)</f>
        <v>tempat saus 20 ml</v>
      </c>
      <c r="P33938">
        <f>IF(OR(M33938="",N33938=""),"",SUMIFS('Barang Keluar'!$E:$E,'Barang Keluar'!$A:$A,M33938,'Barang Keluar'!$C:$C,N33938))</f>
        <v>0</v>
      </c>
    </row>
    <row r="33939" spans="13:16">
      <c r="M33939" s="49">
        <f>IF($A$4+339&gt;$B$4,"",$A$4+339)</f>
        <v>46362</v>
      </c>
      <c r="N33939" t="str">
        <f>IF(M33939="","",'Master Barang'!A33)</f>
        <v>PRL-032</v>
      </c>
      <c r="O33939" t="str">
        <f>IF(N33939="","",'Master Barang'!B33)</f>
        <v>plastik packaging ag box uk sedang</v>
      </c>
      <c r="P33939">
        <f>IF(OR(M33939="",N33939=""),"",SUMIFS('Barang Keluar'!$E:$E,'Barang Keluar'!$A:$A,M33939,'Barang Keluar'!$C:$C,N33939))</f>
        <v>0</v>
      </c>
    </row>
    <row r="33940" spans="13:16">
      <c r="M33940" s="49">
        <f>IF($A$4+339&gt;$B$4,"",$A$4+339)</f>
        <v>46362</v>
      </c>
      <c r="N33940" t="str">
        <f>IF(M33940="","",'Master Barang'!A34)</f>
        <v>PRL-033</v>
      </c>
      <c r="O33940">
        <f>IF(N33940="","",'Master Barang'!B34)</f>
        <v>0</v>
      </c>
      <c r="P33940">
        <f>IF(OR(M33940="",N33940=""),"",SUMIFS('Barang Keluar'!$E:$E,'Barang Keluar'!$A:$A,M33940,'Barang Keluar'!$C:$C,N33940))</f>
        <v>0</v>
      </c>
    </row>
    <row r="33941" spans="13:16">
      <c r="M33941" s="49">
        <f>IF($A$4+339&gt;$B$4,"",$A$4+339)</f>
        <v>46362</v>
      </c>
      <c r="N33941">
        <f>IF(M33941="","",'Master Barang'!A35)</f>
        <v>0</v>
      </c>
      <c r="O33941">
        <f>IF(N33941="","",'Master Barang'!B35)</f>
        <v>0</v>
      </c>
      <c r="P33941">
        <f>IF(OR(M33941="",N33941=""),"",SUMIFS('Barang Keluar'!$E:$E,'Barang Keluar'!$A:$A,M33941,'Barang Keluar'!$C:$C,N33941))</f>
        <v>0</v>
      </c>
    </row>
    <row r="33942" spans="13:16">
      <c r="M33942" s="49">
        <f>IF($A$4+339&gt;$B$4,"",$A$4+339)</f>
        <v>46362</v>
      </c>
      <c r="N33942">
        <f>IF(M33942="","",'Master Barang'!A36)</f>
        <v>0</v>
      </c>
      <c r="O33942">
        <f>IF(N33942="","",'Master Barang'!B36)</f>
        <v>0</v>
      </c>
      <c r="P33942">
        <f>IF(OR(M33942="",N33942=""),"",SUMIFS('Barang Keluar'!$E:$E,'Barang Keluar'!$A:$A,M33942,'Barang Keluar'!$C:$C,N33942))</f>
        <v>0</v>
      </c>
    </row>
    <row r="33943" spans="13:16">
      <c r="M33943" s="49">
        <f>IF($A$4+339&gt;$B$4,"",$A$4+339)</f>
        <v>46362</v>
      </c>
      <c r="N33943">
        <f>IF(M33943="","",'Master Barang'!A37)</f>
        <v>0</v>
      </c>
      <c r="O33943">
        <f>IF(N33943="","",'Master Barang'!B37)</f>
        <v>0</v>
      </c>
      <c r="P33943">
        <f>IF(OR(M33943="",N33943=""),"",SUMIFS('Barang Keluar'!$E:$E,'Barang Keluar'!$A:$A,M33943,'Barang Keluar'!$C:$C,N33943))</f>
        <v>0</v>
      </c>
    </row>
    <row r="33944" spans="13:16">
      <c r="M33944" s="49">
        <f>IF($A$4+339&gt;$B$4,"",$A$4+339)</f>
        <v>46362</v>
      </c>
      <c r="N33944">
        <f>IF(M33944="","",'Master Barang'!A38)</f>
        <v>0</v>
      </c>
      <c r="O33944">
        <f>IF(N33944="","",'Master Barang'!B38)</f>
        <v>0</v>
      </c>
      <c r="P33944">
        <f>IF(OR(M33944="",N33944=""),"",SUMIFS('Barang Keluar'!$E:$E,'Barang Keluar'!$A:$A,M33944,'Barang Keluar'!$C:$C,N33944))</f>
        <v>0</v>
      </c>
    </row>
    <row r="33945" spans="13:16">
      <c r="M33945" s="49">
        <f>IF($A$4+339&gt;$B$4,"",$A$4+339)</f>
        <v>46362</v>
      </c>
      <c r="N33945">
        <f>IF(M33945="","",'Master Barang'!A39)</f>
        <v>0</v>
      </c>
      <c r="O33945">
        <f>IF(N33945="","",'Master Barang'!B39)</f>
        <v>0</v>
      </c>
      <c r="P33945">
        <f>IF(OR(M33945="",N33945=""),"",SUMIFS('Barang Keluar'!$E:$E,'Barang Keluar'!$A:$A,M33945,'Barang Keluar'!$C:$C,N33945))</f>
        <v>0</v>
      </c>
    </row>
    <row r="33946" spans="13:16">
      <c r="M33946" s="49">
        <f>IF($A$4+339&gt;$B$4,"",$A$4+339)</f>
        <v>46362</v>
      </c>
      <c r="N33946">
        <f>IF(M33946="","",'Master Barang'!A40)</f>
        <v>0</v>
      </c>
      <c r="O33946">
        <f>IF(N33946="","",'Master Barang'!B40)</f>
        <v>0</v>
      </c>
      <c r="P33946">
        <f>IF(OR(M33946="",N33946=""),"",SUMIFS('Barang Keluar'!$E:$E,'Barang Keluar'!$A:$A,M33946,'Barang Keluar'!$C:$C,N33946))</f>
        <v>0</v>
      </c>
    </row>
    <row r="33947" spans="13:16">
      <c r="M33947" s="49">
        <f>IF($A$4+339&gt;$B$4,"",$A$4+339)</f>
        <v>46362</v>
      </c>
      <c r="N33947">
        <f>IF(M33947="","",'Master Barang'!A41)</f>
        <v>0</v>
      </c>
      <c r="O33947">
        <f>IF(N33947="","",'Master Barang'!B41)</f>
        <v>0</v>
      </c>
      <c r="P33947">
        <f>IF(OR(M33947="",N33947=""),"",SUMIFS('Barang Keluar'!$E:$E,'Barang Keluar'!$A:$A,M33947,'Barang Keluar'!$C:$C,N33947))</f>
        <v>0</v>
      </c>
    </row>
    <row r="33948" spans="13:16">
      <c r="M33948" s="49">
        <f>IF($A$4+339&gt;$B$4,"",$A$4+339)</f>
        <v>46362</v>
      </c>
      <c r="N33948">
        <f>IF(M33948="","",'Master Barang'!A42)</f>
        <v>0</v>
      </c>
      <c r="O33948">
        <f>IF(N33948="","",'Master Barang'!B42)</f>
        <v>0</v>
      </c>
      <c r="P33948">
        <f>IF(OR(M33948="",N33948=""),"",SUMIFS('Barang Keluar'!$E:$E,'Barang Keluar'!$A:$A,M33948,'Barang Keluar'!$C:$C,N33948))</f>
        <v>0</v>
      </c>
    </row>
    <row r="33949" spans="13:16">
      <c r="M33949" s="49">
        <f>IF($A$4+339&gt;$B$4,"",$A$4+339)</f>
        <v>46362</v>
      </c>
      <c r="N33949">
        <f>IF(M33949="","",'Master Barang'!A43)</f>
        <v>0</v>
      </c>
      <c r="O33949">
        <f>IF(N33949="","",'Master Barang'!B43)</f>
        <v>0</v>
      </c>
      <c r="P33949">
        <f>IF(OR(M33949="",N33949=""),"",SUMIFS('Barang Keluar'!$E:$E,'Barang Keluar'!$A:$A,M33949,'Barang Keluar'!$C:$C,N33949))</f>
        <v>0</v>
      </c>
    </row>
    <row r="33950" spans="13:16">
      <c r="M33950" s="49">
        <f>IF($A$4+339&gt;$B$4,"",$A$4+339)</f>
        <v>46362</v>
      </c>
      <c r="N33950">
        <f>IF(M33950="","",'Master Barang'!A44)</f>
        <v>0</v>
      </c>
      <c r="O33950">
        <f>IF(N33950="","",'Master Barang'!B44)</f>
        <v>0</v>
      </c>
      <c r="P33950">
        <f>IF(OR(M33950="",N33950=""),"",SUMIFS('Barang Keluar'!$E:$E,'Barang Keluar'!$A:$A,M33950,'Barang Keluar'!$C:$C,N33950))</f>
        <v>0</v>
      </c>
    </row>
    <row r="33951" spans="13:16">
      <c r="M33951" s="49">
        <f>IF($A$4+339&gt;$B$4,"",$A$4+339)</f>
        <v>46362</v>
      </c>
      <c r="N33951">
        <f>IF(M33951="","",'Master Barang'!A45)</f>
        <v>0</v>
      </c>
      <c r="O33951">
        <f>IF(N33951="","",'Master Barang'!B45)</f>
        <v>0</v>
      </c>
      <c r="P33951">
        <f>IF(OR(M33951="",N33951=""),"",SUMIFS('Barang Keluar'!$E:$E,'Barang Keluar'!$A:$A,M33951,'Barang Keluar'!$C:$C,N33951))</f>
        <v>0</v>
      </c>
    </row>
    <row r="33952" spans="13:16">
      <c r="M33952" s="49">
        <f>IF($A$4+339&gt;$B$4,"",$A$4+339)</f>
        <v>46362</v>
      </c>
      <c r="N33952">
        <f>IF(M33952="","",'Master Barang'!A46)</f>
        <v>0</v>
      </c>
      <c r="O33952">
        <f>IF(N33952="","",'Master Barang'!B46)</f>
        <v>0</v>
      </c>
      <c r="P33952">
        <f>IF(OR(M33952="",N33952=""),"",SUMIFS('Barang Keluar'!$E:$E,'Barang Keluar'!$A:$A,M33952,'Barang Keluar'!$C:$C,N33952))</f>
        <v>0</v>
      </c>
    </row>
    <row r="33953" spans="13:16">
      <c r="M33953" s="49">
        <f>IF($A$4+339&gt;$B$4,"",$A$4+339)</f>
        <v>46362</v>
      </c>
      <c r="N33953">
        <f>IF(M33953="","",'Master Barang'!A47)</f>
        <v>0</v>
      </c>
      <c r="O33953">
        <f>IF(N33953="","",'Master Barang'!B47)</f>
        <v>0</v>
      </c>
      <c r="P33953">
        <f>IF(OR(M33953="",N33953=""),"",SUMIFS('Barang Keluar'!$E:$E,'Barang Keluar'!$A:$A,M33953,'Barang Keluar'!$C:$C,N33953))</f>
        <v>0</v>
      </c>
    </row>
    <row r="33954" spans="13:16">
      <c r="M33954" s="49">
        <f>IF($A$4+339&gt;$B$4,"",$A$4+339)</f>
        <v>46362</v>
      </c>
      <c r="N33954">
        <f>IF(M33954="","",'Master Barang'!A48)</f>
        <v>0</v>
      </c>
      <c r="O33954">
        <f>IF(N33954="","",'Master Barang'!B48)</f>
        <v>0</v>
      </c>
      <c r="P33954">
        <f>IF(OR(M33954="",N33954=""),"",SUMIFS('Barang Keluar'!$E:$E,'Barang Keluar'!$A:$A,M33954,'Barang Keluar'!$C:$C,N33954))</f>
        <v>0</v>
      </c>
    </row>
    <row r="33955" spans="13:16">
      <c r="M33955" s="49">
        <f>IF($A$4+339&gt;$B$4,"",$A$4+339)</f>
        <v>46362</v>
      </c>
      <c r="N33955">
        <f>IF(M33955="","",'Master Barang'!A49)</f>
        <v>0</v>
      </c>
      <c r="O33955">
        <f>IF(N33955="","",'Master Barang'!B49)</f>
        <v>0</v>
      </c>
      <c r="P33955">
        <f>IF(OR(M33955="",N33955=""),"",SUMIFS('Barang Keluar'!$E:$E,'Barang Keluar'!$A:$A,M33955,'Barang Keluar'!$C:$C,N33955))</f>
        <v>0</v>
      </c>
    </row>
    <row r="33956" spans="13:16">
      <c r="M33956" s="49">
        <f>IF($A$4+339&gt;$B$4,"",$A$4+339)</f>
        <v>46362</v>
      </c>
      <c r="N33956">
        <f>IF(M33956="","",'Master Barang'!A50)</f>
        <v>0</v>
      </c>
      <c r="O33956">
        <f>IF(N33956="","",'Master Barang'!B50)</f>
        <v>0</v>
      </c>
      <c r="P33956">
        <f>IF(OR(M33956="",N33956=""),"",SUMIFS('Barang Keluar'!$E:$E,'Barang Keluar'!$A:$A,M33956,'Barang Keluar'!$C:$C,N33956))</f>
        <v>0</v>
      </c>
    </row>
    <row r="33957" spans="13:16">
      <c r="M33957" s="49">
        <f>IF($A$4+339&gt;$B$4,"",$A$4+339)</f>
        <v>46362</v>
      </c>
      <c r="N33957">
        <f>IF(M33957="","",'Master Barang'!A51)</f>
        <v>0</v>
      </c>
      <c r="O33957">
        <f>IF(N33957="","",'Master Barang'!B51)</f>
        <v>0</v>
      </c>
      <c r="P33957">
        <f>IF(OR(M33957="",N33957=""),"",SUMIFS('Barang Keluar'!$E:$E,'Barang Keluar'!$A:$A,M33957,'Barang Keluar'!$C:$C,N33957))</f>
        <v>0</v>
      </c>
    </row>
    <row r="33958" spans="13:16">
      <c r="M33958" s="49">
        <f>IF($A$4+339&gt;$B$4,"",$A$4+339)</f>
        <v>46362</v>
      </c>
      <c r="N33958">
        <f>IF(M33958="","",'Master Barang'!A52)</f>
        <v>0</v>
      </c>
      <c r="O33958">
        <f>IF(N33958="","",'Master Barang'!B52)</f>
        <v>0</v>
      </c>
      <c r="P33958">
        <f>IF(OR(M33958="",N33958=""),"",SUMIFS('Barang Keluar'!$E:$E,'Barang Keluar'!$A:$A,M33958,'Barang Keluar'!$C:$C,N33958))</f>
        <v>0</v>
      </c>
    </row>
    <row r="33959" spans="13:16">
      <c r="M33959" s="49">
        <f>IF($A$4+339&gt;$B$4,"",$A$4+339)</f>
        <v>46362</v>
      </c>
      <c r="N33959">
        <f>IF(M33959="","",'Master Barang'!A53)</f>
        <v>0</v>
      </c>
      <c r="O33959">
        <f>IF(N33959="","",'Master Barang'!B53)</f>
        <v>0</v>
      </c>
      <c r="P33959">
        <f>IF(OR(M33959="",N33959=""),"",SUMIFS('Barang Keluar'!$E:$E,'Barang Keluar'!$A:$A,M33959,'Barang Keluar'!$C:$C,N33959))</f>
        <v>0</v>
      </c>
    </row>
    <row r="33960" spans="13:16">
      <c r="M33960" s="49">
        <f>IF($A$4+339&gt;$B$4,"",$A$4+339)</f>
        <v>46362</v>
      </c>
      <c r="N33960">
        <f>IF(M33960="","",'Master Barang'!A54)</f>
        <v>0</v>
      </c>
      <c r="O33960">
        <f>IF(N33960="","",'Master Barang'!B54)</f>
        <v>0</v>
      </c>
      <c r="P33960">
        <f>IF(OR(M33960="",N33960=""),"",SUMIFS('Barang Keluar'!$E:$E,'Barang Keluar'!$A:$A,M33960,'Barang Keluar'!$C:$C,N33960))</f>
        <v>0</v>
      </c>
    </row>
    <row r="33961" spans="13:16">
      <c r="M33961" s="49">
        <f>IF($A$4+339&gt;$B$4,"",$A$4+339)</f>
        <v>46362</v>
      </c>
      <c r="N33961">
        <f>IF(M33961="","",'Master Barang'!A55)</f>
        <v>0</v>
      </c>
      <c r="O33961">
        <f>IF(N33961="","",'Master Barang'!B55)</f>
        <v>0</v>
      </c>
      <c r="P33961">
        <f>IF(OR(M33961="",N33961=""),"",SUMIFS('Barang Keluar'!$E:$E,'Barang Keluar'!$A:$A,M33961,'Barang Keluar'!$C:$C,N33961))</f>
        <v>0</v>
      </c>
    </row>
    <row r="33962" spans="13:16">
      <c r="M33962" s="49">
        <f>IF($A$4+339&gt;$B$4,"",$A$4+339)</f>
        <v>46362</v>
      </c>
      <c r="N33962">
        <f>IF(M33962="","",'Master Barang'!A56)</f>
        <v>0</v>
      </c>
      <c r="O33962">
        <f>IF(N33962="","",'Master Barang'!B56)</f>
        <v>0</v>
      </c>
      <c r="P33962">
        <f>IF(OR(M33962="",N33962=""),"",SUMIFS('Barang Keluar'!$E:$E,'Barang Keluar'!$A:$A,M33962,'Barang Keluar'!$C:$C,N33962))</f>
        <v>0</v>
      </c>
    </row>
    <row r="33963" spans="13:16">
      <c r="M33963" s="49">
        <f>IF($A$4+339&gt;$B$4,"",$A$4+339)</f>
        <v>46362</v>
      </c>
      <c r="N33963">
        <f>IF(M33963="","",'Master Barang'!A57)</f>
        <v>0</v>
      </c>
      <c r="O33963">
        <f>IF(N33963="","",'Master Barang'!B57)</f>
        <v>0</v>
      </c>
      <c r="P33963">
        <f>IF(OR(M33963="",N33963=""),"",SUMIFS('Barang Keluar'!$E:$E,'Barang Keluar'!$A:$A,M33963,'Barang Keluar'!$C:$C,N33963))</f>
        <v>0</v>
      </c>
    </row>
    <row r="33964" spans="13:16">
      <c r="M33964" s="49">
        <f>IF($A$4+339&gt;$B$4,"",$A$4+339)</f>
        <v>46362</v>
      </c>
      <c r="N33964">
        <f>IF(M33964="","",'Master Barang'!A58)</f>
        <v>0</v>
      </c>
      <c r="O33964">
        <f>IF(N33964="","",'Master Barang'!B58)</f>
        <v>0</v>
      </c>
      <c r="P33964">
        <f>IF(OR(M33964="",N33964=""),"",SUMIFS('Barang Keluar'!$E:$E,'Barang Keluar'!$A:$A,M33964,'Barang Keluar'!$C:$C,N33964))</f>
        <v>0</v>
      </c>
    </row>
    <row r="33965" spans="13:16">
      <c r="M33965" s="49">
        <f>IF($A$4+339&gt;$B$4,"",$A$4+339)</f>
        <v>46362</v>
      </c>
      <c r="N33965">
        <f>IF(M33965="","",'Master Barang'!A59)</f>
        <v>0</v>
      </c>
      <c r="O33965">
        <f>IF(N33965="","",'Master Barang'!B59)</f>
        <v>0</v>
      </c>
      <c r="P33965">
        <f>IF(OR(M33965="",N33965=""),"",SUMIFS('Barang Keluar'!$E:$E,'Barang Keluar'!$A:$A,M33965,'Barang Keluar'!$C:$C,N33965))</f>
        <v>0</v>
      </c>
    </row>
    <row r="33966" spans="13:16">
      <c r="M33966" s="49">
        <f>IF($A$4+339&gt;$B$4,"",$A$4+339)</f>
        <v>46362</v>
      </c>
      <c r="N33966">
        <f>IF(M33966="","",'Master Barang'!A60)</f>
        <v>0</v>
      </c>
      <c r="O33966">
        <f>IF(N33966="","",'Master Barang'!B60)</f>
        <v>0</v>
      </c>
      <c r="P33966">
        <f>IF(OR(M33966="",N33966=""),"",SUMIFS('Barang Keluar'!$E:$E,'Barang Keluar'!$A:$A,M33966,'Barang Keluar'!$C:$C,N33966))</f>
        <v>0</v>
      </c>
    </row>
    <row r="33967" spans="13:16">
      <c r="M33967" s="49">
        <f>IF($A$4+339&gt;$B$4,"",$A$4+339)</f>
        <v>46362</v>
      </c>
      <c r="N33967">
        <f>IF(M33967="","",'Master Barang'!A61)</f>
        <v>0</v>
      </c>
      <c r="O33967">
        <f>IF(N33967="","",'Master Barang'!B61)</f>
        <v>0</v>
      </c>
      <c r="P33967">
        <f>IF(OR(M33967="",N33967=""),"",SUMIFS('Barang Keluar'!$E:$E,'Barang Keluar'!$A:$A,M33967,'Barang Keluar'!$C:$C,N33967))</f>
        <v>0</v>
      </c>
    </row>
    <row r="33968" spans="13:16">
      <c r="M33968" s="49">
        <f>IF($A$4+339&gt;$B$4,"",$A$4+339)</f>
        <v>46362</v>
      </c>
      <c r="N33968">
        <f>IF(M33968="","",'Master Barang'!A62)</f>
        <v>0</v>
      </c>
      <c r="O33968">
        <f>IF(N33968="","",'Master Barang'!B62)</f>
        <v>0</v>
      </c>
      <c r="P33968">
        <f>IF(OR(M33968="",N33968=""),"",SUMIFS('Barang Keluar'!$E:$E,'Barang Keluar'!$A:$A,M33968,'Barang Keluar'!$C:$C,N33968))</f>
        <v>0</v>
      </c>
    </row>
    <row r="33969" spans="13:16">
      <c r="M33969" s="49">
        <f>IF($A$4+339&gt;$B$4,"",$A$4+339)</f>
        <v>46362</v>
      </c>
      <c r="N33969">
        <f>IF(M33969="","",'Master Barang'!A63)</f>
        <v>0</v>
      </c>
      <c r="O33969">
        <f>IF(N33969="","",'Master Barang'!B63)</f>
        <v>0</v>
      </c>
      <c r="P33969">
        <f>IF(OR(M33969="",N33969=""),"",SUMIFS('Barang Keluar'!$E:$E,'Barang Keluar'!$A:$A,M33969,'Barang Keluar'!$C:$C,N33969))</f>
        <v>0</v>
      </c>
    </row>
    <row r="33970" spans="13:16">
      <c r="M33970" s="49">
        <f>IF($A$4+339&gt;$B$4,"",$A$4+339)</f>
        <v>46362</v>
      </c>
      <c r="N33970">
        <f>IF(M33970="","",'Master Barang'!A64)</f>
        <v>0</v>
      </c>
      <c r="O33970">
        <f>IF(N33970="","",'Master Barang'!B64)</f>
        <v>0</v>
      </c>
      <c r="P33970">
        <f>IF(OR(M33970="",N33970=""),"",SUMIFS('Barang Keluar'!$E:$E,'Barang Keluar'!$A:$A,M33970,'Barang Keluar'!$C:$C,N33970))</f>
        <v>0</v>
      </c>
    </row>
    <row r="33971" spans="13:16">
      <c r="M33971" s="49">
        <f>IF($A$4+339&gt;$B$4,"",$A$4+339)</f>
        <v>46362</v>
      </c>
      <c r="N33971">
        <f>IF(M33971="","",'Master Barang'!A65)</f>
        <v>0</v>
      </c>
      <c r="O33971">
        <f>IF(N33971="","",'Master Barang'!B65)</f>
        <v>0</v>
      </c>
      <c r="P33971">
        <f>IF(OR(M33971="",N33971=""),"",SUMIFS('Barang Keluar'!$E:$E,'Barang Keluar'!$A:$A,M33971,'Barang Keluar'!$C:$C,N33971))</f>
        <v>0</v>
      </c>
    </row>
    <row r="33972" spans="13:16">
      <c r="M33972" s="49">
        <f>IF($A$4+339&gt;$B$4,"",$A$4+339)</f>
        <v>46362</v>
      </c>
      <c r="N33972">
        <f>IF(M33972="","",'Master Barang'!A66)</f>
        <v>0</v>
      </c>
      <c r="O33972">
        <f>IF(N33972="","",'Master Barang'!B66)</f>
        <v>0</v>
      </c>
      <c r="P33972">
        <f>IF(OR(M33972="",N33972=""),"",SUMIFS('Barang Keluar'!$E:$E,'Barang Keluar'!$A:$A,M33972,'Barang Keluar'!$C:$C,N33972))</f>
        <v>0</v>
      </c>
    </row>
    <row r="33973" spans="13:16">
      <c r="M33973" s="49">
        <f>IF($A$4+339&gt;$B$4,"",$A$4+339)</f>
        <v>46362</v>
      </c>
      <c r="N33973">
        <f>IF(M33973="","",'Master Barang'!A67)</f>
        <v>0</v>
      </c>
      <c r="O33973">
        <f>IF(N33973="","",'Master Barang'!B67)</f>
        <v>0</v>
      </c>
      <c r="P33973">
        <f>IF(OR(M33973="",N33973=""),"",SUMIFS('Barang Keluar'!$E:$E,'Barang Keluar'!$A:$A,M33973,'Barang Keluar'!$C:$C,N33973))</f>
        <v>0</v>
      </c>
    </row>
    <row r="33974" spans="13:16">
      <c r="M33974" s="49">
        <f>IF($A$4+339&gt;$B$4,"",$A$4+339)</f>
        <v>46362</v>
      </c>
      <c r="N33974">
        <f>IF(M33974="","",'Master Barang'!A68)</f>
        <v>0</v>
      </c>
      <c r="O33974">
        <f>IF(N33974="","",'Master Barang'!B68)</f>
        <v>0</v>
      </c>
      <c r="P33974">
        <f>IF(OR(M33974="",N33974=""),"",SUMIFS('Barang Keluar'!$E:$E,'Barang Keluar'!$A:$A,M33974,'Barang Keluar'!$C:$C,N33974))</f>
        <v>0</v>
      </c>
    </row>
    <row r="33975" spans="13:16">
      <c r="M33975" s="49">
        <f>IF($A$4+339&gt;$B$4,"",$A$4+339)</f>
        <v>46362</v>
      </c>
      <c r="N33975">
        <f>IF(M33975="","",'Master Barang'!A69)</f>
        <v>0</v>
      </c>
      <c r="O33975">
        <f>IF(N33975="","",'Master Barang'!B69)</f>
        <v>0</v>
      </c>
      <c r="P33975">
        <f>IF(OR(M33975="",N33975=""),"",SUMIFS('Barang Keluar'!$E:$E,'Barang Keluar'!$A:$A,M33975,'Barang Keluar'!$C:$C,N33975))</f>
        <v>0</v>
      </c>
    </row>
    <row r="33976" spans="13:16">
      <c r="M33976" s="49">
        <f>IF($A$4+339&gt;$B$4,"",$A$4+339)</f>
        <v>46362</v>
      </c>
      <c r="N33976">
        <f>IF(M33976="","",'Master Barang'!A70)</f>
        <v>0</v>
      </c>
      <c r="O33976">
        <f>IF(N33976="","",'Master Barang'!B70)</f>
        <v>0</v>
      </c>
      <c r="P33976">
        <f>IF(OR(M33976="",N33976=""),"",SUMIFS('Barang Keluar'!$E:$E,'Barang Keluar'!$A:$A,M33976,'Barang Keluar'!$C:$C,N33976))</f>
        <v>0</v>
      </c>
    </row>
    <row r="33977" spans="13:16">
      <c r="M33977" s="49">
        <f>IF($A$4+339&gt;$B$4,"",$A$4+339)</f>
        <v>46362</v>
      </c>
      <c r="N33977">
        <f>IF(M33977="","",'Master Barang'!A71)</f>
        <v>0</v>
      </c>
      <c r="O33977">
        <f>IF(N33977="","",'Master Barang'!B71)</f>
        <v>0</v>
      </c>
      <c r="P33977">
        <f>IF(OR(M33977="",N33977=""),"",SUMIFS('Barang Keluar'!$E:$E,'Barang Keluar'!$A:$A,M33977,'Barang Keluar'!$C:$C,N33977))</f>
        <v>0</v>
      </c>
    </row>
    <row r="33978" spans="13:16">
      <c r="M33978" s="49">
        <f>IF($A$4+339&gt;$B$4,"",$A$4+339)</f>
        <v>46362</v>
      </c>
      <c r="N33978">
        <f>IF(M33978="","",'Master Barang'!A72)</f>
        <v>0</v>
      </c>
      <c r="O33978">
        <f>IF(N33978="","",'Master Barang'!B72)</f>
        <v>0</v>
      </c>
      <c r="P33978">
        <f>IF(OR(M33978="",N33978=""),"",SUMIFS('Barang Keluar'!$E:$E,'Barang Keluar'!$A:$A,M33978,'Barang Keluar'!$C:$C,N33978))</f>
        <v>0</v>
      </c>
    </row>
    <row r="33979" spans="13:16">
      <c r="M33979" s="49">
        <f>IF($A$4+339&gt;$B$4,"",$A$4+339)</f>
        <v>46362</v>
      </c>
      <c r="N33979">
        <f>IF(M33979="","",'Master Barang'!A73)</f>
        <v>0</v>
      </c>
      <c r="O33979">
        <f>IF(N33979="","",'Master Barang'!B73)</f>
        <v>0</v>
      </c>
      <c r="P33979">
        <f>IF(OR(M33979="",N33979=""),"",SUMIFS('Barang Keluar'!$E:$E,'Barang Keluar'!$A:$A,M33979,'Barang Keluar'!$C:$C,N33979))</f>
        <v>0</v>
      </c>
    </row>
    <row r="33980" spans="13:16">
      <c r="M33980" s="49">
        <f>IF($A$4+339&gt;$B$4,"",$A$4+339)</f>
        <v>46362</v>
      </c>
      <c r="N33980">
        <f>IF(M33980="","",'Master Barang'!A74)</f>
        <v>0</v>
      </c>
      <c r="O33980">
        <f>IF(N33980="","",'Master Barang'!B74)</f>
        <v>0</v>
      </c>
      <c r="P33980">
        <f>IF(OR(M33980="",N33980=""),"",SUMIFS('Barang Keluar'!$E:$E,'Barang Keluar'!$A:$A,M33980,'Barang Keluar'!$C:$C,N33980))</f>
        <v>0</v>
      </c>
    </row>
    <row r="33981" spans="13:16">
      <c r="M33981" s="49">
        <f>IF($A$4+339&gt;$B$4,"",$A$4+339)</f>
        <v>46362</v>
      </c>
      <c r="N33981">
        <f>IF(M33981="","",'Master Barang'!A75)</f>
        <v>0</v>
      </c>
      <c r="O33981">
        <f>IF(N33981="","",'Master Barang'!B75)</f>
        <v>0</v>
      </c>
      <c r="P33981">
        <f>IF(OR(M33981="",N33981=""),"",SUMIFS('Barang Keluar'!$E:$E,'Barang Keluar'!$A:$A,M33981,'Barang Keluar'!$C:$C,N33981))</f>
        <v>0</v>
      </c>
    </row>
    <row r="33982" spans="13:16">
      <c r="M33982" s="49">
        <f>IF($A$4+339&gt;$B$4,"",$A$4+339)</f>
        <v>46362</v>
      </c>
      <c r="N33982">
        <f>IF(M33982="","",'Master Barang'!A76)</f>
        <v>0</v>
      </c>
      <c r="O33982">
        <f>IF(N33982="","",'Master Barang'!B76)</f>
        <v>0</v>
      </c>
      <c r="P33982">
        <f>IF(OR(M33982="",N33982=""),"",SUMIFS('Barang Keluar'!$E:$E,'Barang Keluar'!$A:$A,M33982,'Barang Keluar'!$C:$C,N33982))</f>
        <v>0</v>
      </c>
    </row>
    <row r="33983" spans="13:16">
      <c r="M33983" s="49">
        <f>IF($A$4+339&gt;$B$4,"",$A$4+339)</f>
        <v>46362</v>
      </c>
      <c r="N33983">
        <f>IF(M33983="","",'Master Barang'!A77)</f>
        <v>0</v>
      </c>
      <c r="O33983">
        <f>IF(N33983="","",'Master Barang'!B77)</f>
        <v>0</v>
      </c>
      <c r="P33983">
        <f>IF(OR(M33983="",N33983=""),"",SUMIFS('Barang Keluar'!$E:$E,'Barang Keluar'!$A:$A,M33983,'Barang Keluar'!$C:$C,N33983))</f>
        <v>0</v>
      </c>
    </row>
    <row r="33984" spans="13:16">
      <c r="M33984" s="49">
        <f>IF($A$4+339&gt;$B$4,"",$A$4+339)</f>
        <v>46362</v>
      </c>
      <c r="N33984">
        <f>IF(M33984="","",'Master Barang'!A78)</f>
        <v>0</v>
      </c>
      <c r="O33984">
        <f>IF(N33984="","",'Master Barang'!B78)</f>
        <v>0</v>
      </c>
      <c r="P33984">
        <f>IF(OR(M33984="",N33984=""),"",SUMIFS('Barang Keluar'!$E:$E,'Barang Keluar'!$A:$A,M33984,'Barang Keluar'!$C:$C,N33984))</f>
        <v>0</v>
      </c>
    </row>
    <row r="33985" spans="13:16">
      <c r="M33985" s="49">
        <f>IF($A$4+339&gt;$B$4,"",$A$4+339)</f>
        <v>46362</v>
      </c>
      <c r="N33985">
        <f>IF(M33985="","",'Master Barang'!A79)</f>
        <v>0</v>
      </c>
      <c r="O33985">
        <f>IF(N33985="","",'Master Barang'!B79)</f>
        <v>0</v>
      </c>
      <c r="P33985">
        <f>IF(OR(M33985="",N33985=""),"",SUMIFS('Barang Keluar'!$E:$E,'Barang Keluar'!$A:$A,M33985,'Barang Keluar'!$C:$C,N33985))</f>
        <v>0</v>
      </c>
    </row>
    <row r="33986" spans="13:16">
      <c r="M33986" s="49">
        <f>IF($A$4+339&gt;$B$4,"",$A$4+339)</f>
        <v>46362</v>
      </c>
      <c r="N33986">
        <f>IF(M33986="","",'Master Barang'!A80)</f>
        <v>0</v>
      </c>
      <c r="O33986">
        <f>IF(N33986="","",'Master Barang'!B80)</f>
        <v>0</v>
      </c>
      <c r="P33986">
        <f>IF(OR(M33986="",N33986=""),"",SUMIFS('Barang Keluar'!$E:$E,'Barang Keluar'!$A:$A,M33986,'Barang Keluar'!$C:$C,N33986))</f>
        <v>0</v>
      </c>
    </row>
    <row r="33987" spans="13:16">
      <c r="M33987" s="49">
        <f>IF($A$4+339&gt;$B$4,"",$A$4+339)</f>
        <v>46362</v>
      </c>
      <c r="N33987">
        <f>IF(M33987="","",'Master Barang'!A81)</f>
        <v>0</v>
      </c>
      <c r="O33987">
        <f>IF(N33987="","",'Master Barang'!B81)</f>
        <v>0</v>
      </c>
      <c r="P33987">
        <f>IF(OR(M33987="",N33987=""),"",SUMIFS('Barang Keluar'!$E:$E,'Barang Keluar'!$A:$A,M33987,'Barang Keluar'!$C:$C,N33987))</f>
        <v>0</v>
      </c>
    </row>
    <row r="33988" spans="13:16">
      <c r="M33988" s="49">
        <f>IF($A$4+339&gt;$B$4,"",$A$4+339)</f>
        <v>46362</v>
      </c>
      <c r="N33988">
        <f>IF(M33988="","",'Master Barang'!A82)</f>
        <v>0</v>
      </c>
      <c r="O33988">
        <f>IF(N33988="","",'Master Barang'!B82)</f>
        <v>0</v>
      </c>
      <c r="P33988">
        <f>IF(OR(M33988="",N33988=""),"",SUMIFS('Barang Keluar'!$E:$E,'Barang Keluar'!$A:$A,M33988,'Barang Keluar'!$C:$C,N33988))</f>
        <v>0</v>
      </c>
    </row>
    <row r="33989" spans="13:16">
      <c r="M33989" s="49">
        <f>IF($A$4+339&gt;$B$4,"",$A$4+339)</f>
        <v>46362</v>
      </c>
      <c r="N33989">
        <f>IF(M33989="","",'Master Barang'!A83)</f>
        <v>0</v>
      </c>
      <c r="O33989">
        <f>IF(N33989="","",'Master Barang'!B83)</f>
        <v>0</v>
      </c>
      <c r="P33989">
        <f>IF(OR(M33989="",N33989=""),"",SUMIFS('Barang Keluar'!$E:$E,'Barang Keluar'!$A:$A,M33989,'Barang Keluar'!$C:$C,N33989))</f>
        <v>0</v>
      </c>
    </row>
    <row r="33990" spans="13:16">
      <c r="M33990" s="49">
        <f>IF($A$4+339&gt;$B$4,"",$A$4+339)</f>
        <v>46362</v>
      </c>
      <c r="N33990">
        <f>IF(M33990="","",'Master Barang'!A84)</f>
        <v>0</v>
      </c>
      <c r="O33990">
        <f>IF(N33990="","",'Master Barang'!B84)</f>
        <v>0</v>
      </c>
      <c r="P33990">
        <f>IF(OR(M33990="",N33990=""),"",SUMIFS('Barang Keluar'!$E:$E,'Barang Keluar'!$A:$A,M33990,'Barang Keluar'!$C:$C,N33990))</f>
        <v>0</v>
      </c>
    </row>
    <row r="33991" spans="13:16">
      <c r="M33991" s="49">
        <f>IF($A$4+339&gt;$B$4,"",$A$4+339)</f>
        <v>46362</v>
      </c>
      <c r="N33991">
        <f>IF(M33991="","",'Master Barang'!A85)</f>
        <v>0</v>
      </c>
      <c r="O33991">
        <f>IF(N33991="","",'Master Barang'!B85)</f>
        <v>0</v>
      </c>
      <c r="P33991">
        <f>IF(OR(M33991="",N33991=""),"",SUMIFS('Barang Keluar'!$E:$E,'Barang Keluar'!$A:$A,M33991,'Barang Keluar'!$C:$C,N33991))</f>
        <v>0</v>
      </c>
    </row>
    <row r="33992" spans="13:16">
      <c r="M33992" s="49">
        <f>IF($A$4+339&gt;$B$4,"",$A$4+339)</f>
        <v>46362</v>
      </c>
      <c r="N33992">
        <f>IF(M33992="","",'Master Barang'!A86)</f>
        <v>0</v>
      </c>
      <c r="O33992">
        <f>IF(N33992="","",'Master Barang'!B86)</f>
        <v>0</v>
      </c>
      <c r="P33992">
        <f>IF(OR(M33992="",N33992=""),"",SUMIFS('Barang Keluar'!$E:$E,'Barang Keluar'!$A:$A,M33992,'Barang Keluar'!$C:$C,N33992))</f>
        <v>0</v>
      </c>
    </row>
    <row r="33993" spans="13:16">
      <c r="M33993" s="49">
        <f>IF($A$4+339&gt;$B$4,"",$A$4+339)</f>
        <v>46362</v>
      </c>
      <c r="N33993">
        <f>IF(M33993="","",'Master Barang'!A87)</f>
        <v>0</v>
      </c>
      <c r="O33993">
        <f>IF(N33993="","",'Master Barang'!B87)</f>
        <v>0</v>
      </c>
      <c r="P33993">
        <f>IF(OR(M33993="",N33993=""),"",SUMIFS('Barang Keluar'!$E:$E,'Barang Keluar'!$A:$A,M33993,'Barang Keluar'!$C:$C,N33993))</f>
        <v>0</v>
      </c>
    </row>
    <row r="33994" spans="13:16">
      <c r="M33994" s="49">
        <f>IF($A$4+339&gt;$B$4,"",$A$4+339)</f>
        <v>46362</v>
      </c>
      <c r="N33994">
        <f>IF(M33994="","",'Master Barang'!A88)</f>
        <v>0</v>
      </c>
      <c r="O33994">
        <f>IF(N33994="","",'Master Barang'!B88)</f>
        <v>0</v>
      </c>
      <c r="P33994">
        <f>IF(OR(M33994="",N33994=""),"",SUMIFS('Barang Keluar'!$E:$E,'Barang Keluar'!$A:$A,M33994,'Barang Keluar'!$C:$C,N33994))</f>
        <v>0</v>
      </c>
    </row>
    <row r="33995" spans="13:16">
      <c r="M33995" s="49">
        <f>IF($A$4+339&gt;$B$4,"",$A$4+339)</f>
        <v>46362</v>
      </c>
      <c r="N33995">
        <f>IF(M33995="","",'Master Barang'!A89)</f>
        <v>0</v>
      </c>
      <c r="O33995">
        <f>IF(N33995="","",'Master Barang'!B89)</f>
        <v>0</v>
      </c>
      <c r="P33995">
        <f>IF(OR(M33995="",N33995=""),"",SUMIFS('Barang Keluar'!$E:$E,'Barang Keluar'!$A:$A,M33995,'Barang Keluar'!$C:$C,N33995))</f>
        <v>0</v>
      </c>
    </row>
    <row r="33996" spans="13:16">
      <c r="M33996" s="49">
        <f>IF($A$4+339&gt;$B$4,"",$A$4+339)</f>
        <v>46362</v>
      </c>
      <c r="N33996">
        <f>IF(M33996="","",'Master Barang'!A90)</f>
        <v>0</v>
      </c>
      <c r="O33996">
        <f>IF(N33996="","",'Master Barang'!B90)</f>
        <v>0</v>
      </c>
      <c r="P33996">
        <f>IF(OR(M33996="",N33996=""),"",SUMIFS('Barang Keluar'!$E:$E,'Barang Keluar'!$A:$A,M33996,'Barang Keluar'!$C:$C,N33996))</f>
        <v>0</v>
      </c>
    </row>
    <row r="33997" spans="13:16">
      <c r="M33997" s="49">
        <f>IF($A$4+339&gt;$B$4,"",$A$4+339)</f>
        <v>46362</v>
      </c>
      <c r="N33997">
        <f>IF(M33997="","",'Master Barang'!A91)</f>
        <v>0</v>
      </c>
      <c r="O33997">
        <f>IF(N33997="","",'Master Barang'!B91)</f>
        <v>0</v>
      </c>
      <c r="P33997">
        <f>IF(OR(M33997="",N33997=""),"",SUMIFS('Barang Keluar'!$E:$E,'Barang Keluar'!$A:$A,M33997,'Barang Keluar'!$C:$C,N33997))</f>
        <v>0</v>
      </c>
    </row>
    <row r="33998" spans="13:16">
      <c r="M33998" s="49">
        <f>IF($A$4+339&gt;$B$4,"",$A$4+339)</f>
        <v>46362</v>
      </c>
      <c r="N33998">
        <f>IF(M33998="","",'Master Barang'!A92)</f>
        <v>0</v>
      </c>
      <c r="O33998">
        <f>IF(N33998="","",'Master Barang'!B92)</f>
        <v>0</v>
      </c>
      <c r="P33998">
        <f>IF(OR(M33998="",N33998=""),"",SUMIFS('Barang Keluar'!$E:$E,'Barang Keluar'!$A:$A,M33998,'Barang Keluar'!$C:$C,N33998))</f>
        <v>0</v>
      </c>
    </row>
    <row r="33999" spans="13:16">
      <c r="M33999" s="49">
        <f>IF($A$4+339&gt;$B$4,"",$A$4+339)</f>
        <v>46362</v>
      </c>
      <c r="N33999">
        <f>IF(M33999="","",'Master Barang'!A93)</f>
        <v>0</v>
      </c>
      <c r="O33999">
        <f>IF(N33999="","",'Master Barang'!B93)</f>
        <v>0</v>
      </c>
      <c r="P33999">
        <f>IF(OR(M33999="",N33999=""),"",SUMIFS('Barang Keluar'!$E:$E,'Barang Keluar'!$A:$A,M33999,'Barang Keluar'!$C:$C,N33999))</f>
        <v>0</v>
      </c>
    </row>
    <row r="34000" spans="13:16">
      <c r="M34000" s="49">
        <f>IF($A$4+339&gt;$B$4,"",$A$4+339)</f>
        <v>46362</v>
      </c>
      <c r="N34000">
        <f>IF(M34000="","",'Master Barang'!A94)</f>
        <v>0</v>
      </c>
      <c r="O34000">
        <f>IF(N34000="","",'Master Barang'!B94)</f>
        <v>0</v>
      </c>
      <c r="P34000">
        <f>IF(OR(M34000="",N34000=""),"",SUMIFS('Barang Keluar'!$E:$E,'Barang Keluar'!$A:$A,M34000,'Barang Keluar'!$C:$C,N34000))</f>
        <v>0</v>
      </c>
    </row>
    <row r="34001" spans="13:16">
      <c r="M34001" s="49">
        <f>IF($A$4+339&gt;$B$4,"",$A$4+339)</f>
        <v>46362</v>
      </c>
      <c r="N34001">
        <f>IF(M34001="","",'Master Barang'!A95)</f>
        <v>0</v>
      </c>
      <c r="O34001">
        <f>IF(N34001="","",'Master Barang'!B95)</f>
        <v>0</v>
      </c>
      <c r="P34001">
        <f>IF(OR(M34001="",N34001=""),"",SUMIFS('Barang Keluar'!$E:$E,'Barang Keluar'!$A:$A,M34001,'Barang Keluar'!$C:$C,N34001))</f>
        <v>0</v>
      </c>
    </row>
    <row r="34002" spans="13:16">
      <c r="M34002" s="49">
        <f>IF($A$4+339&gt;$B$4,"",$A$4+339)</f>
        <v>46362</v>
      </c>
      <c r="N34002">
        <f>IF(M34002="","",'Master Barang'!A96)</f>
        <v>0</v>
      </c>
      <c r="O34002">
        <f>IF(N34002="","",'Master Barang'!B96)</f>
        <v>0</v>
      </c>
      <c r="P34002">
        <f>IF(OR(M34002="",N34002=""),"",SUMIFS('Barang Keluar'!$E:$E,'Barang Keluar'!$A:$A,M34002,'Barang Keluar'!$C:$C,N34002))</f>
        <v>0</v>
      </c>
    </row>
    <row r="34003" spans="13:16">
      <c r="M34003" s="49">
        <f>IF($A$4+339&gt;$B$4,"",$A$4+339)</f>
        <v>46362</v>
      </c>
      <c r="N34003">
        <f>IF(M34003="","",'Master Barang'!A97)</f>
        <v>0</v>
      </c>
      <c r="O34003">
        <f>IF(N34003="","",'Master Barang'!B97)</f>
        <v>0</v>
      </c>
      <c r="P34003">
        <f>IF(OR(M34003="",N34003=""),"",SUMIFS('Barang Keluar'!$E:$E,'Barang Keluar'!$A:$A,M34003,'Barang Keluar'!$C:$C,N34003))</f>
        <v>0</v>
      </c>
    </row>
    <row r="34004" spans="13:16">
      <c r="M34004" s="49">
        <f>IF($A$4+339&gt;$B$4,"",$A$4+339)</f>
        <v>46362</v>
      </c>
      <c r="N34004">
        <f>IF(M34004="","",'Master Barang'!A98)</f>
        <v>0</v>
      </c>
      <c r="O34004">
        <f>IF(N34004="","",'Master Barang'!B98)</f>
        <v>0</v>
      </c>
      <c r="P34004">
        <f>IF(OR(M34004="",N34004=""),"",SUMIFS('Barang Keluar'!$E:$E,'Barang Keluar'!$A:$A,M34004,'Barang Keluar'!$C:$C,N34004))</f>
        <v>0</v>
      </c>
    </row>
    <row r="34005" spans="13:16">
      <c r="M34005" s="49">
        <f>IF($A$4+339&gt;$B$4,"",$A$4+339)</f>
        <v>46362</v>
      </c>
      <c r="N34005">
        <f>IF(M34005="","",'Master Barang'!A99)</f>
        <v>0</v>
      </c>
      <c r="O34005">
        <f>IF(N34005="","",'Master Barang'!B99)</f>
        <v>0</v>
      </c>
      <c r="P34005">
        <f>IF(OR(M34005="",N34005=""),"",SUMIFS('Barang Keluar'!$E:$E,'Barang Keluar'!$A:$A,M34005,'Barang Keluar'!$C:$C,N34005))</f>
        <v>0</v>
      </c>
    </row>
    <row r="34006" spans="13:16">
      <c r="M34006" s="49">
        <f>IF($A$4+339&gt;$B$4,"",$A$4+339)</f>
        <v>46362</v>
      </c>
      <c r="N34006">
        <f>IF(M34006="","",'Master Barang'!A100)</f>
        <v>0</v>
      </c>
      <c r="O34006">
        <f>IF(N34006="","",'Master Barang'!B100)</f>
        <v>0</v>
      </c>
      <c r="P34006">
        <f>IF(OR(M34006="",N34006=""),"",SUMIFS('Barang Keluar'!$E:$E,'Barang Keluar'!$A:$A,M34006,'Barang Keluar'!$C:$C,N34006))</f>
        <v>0</v>
      </c>
    </row>
    <row r="34007" spans="13:16">
      <c r="M34007" s="49">
        <f>IF($A$4+339&gt;$B$4,"",$A$4+339)</f>
        <v>46362</v>
      </c>
      <c r="N34007">
        <f>IF(M34007="","",'Master Barang'!A101)</f>
        <v>0</v>
      </c>
      <c r="O34007">
        <f>IF(N34007="","",'Master Barang'!B101)</f>
        <v>0</v>
      </c>
      <c r="P34007">
        <f>IF(OR(M34007="",N34007=""),"",SUMIFS('Barang Keluar'!$E:$E,'Barang Keluar'!$A:$A,M34007,'Barang Keluar'!$C:$C,N34007))</f>
        <v>0</v>
      </c>
    </row>
    <row r="34008" spans="13:16">
      <c r="M34008" s="49">
        <f>IF($A$4+340&gt;$B$4,"",$A$4+340)</f>
        <v>46363</v>
      </c>
      <c r="N34008" t="str">
        <f>IF(M34008="","",'Master Barang'!A2)</f>
        <v>PRL-001</v>
      </c>
      <c r="O34008" t="str">
        <f>IF(N34008="","",'Master Barang'!B2)</f>
        <v>natura desinfectant food grade 5l</v>
      </c>
      <c r="P34008">
        <f>IF(OR(M34008="",N34008=""),"",SUMIFS('Barang Keluar'!$E:$E,'Barang Keluar'!$A:$A,M34008,'Barang Keluar'!$C:$C,N34008))</f>
        <v>0</v>
      </c>
    </row>
    <row r="34009" spans="13:16">
      <c r="M34009" s="49">
        <f>IF($A$4+340&gt;$B$4,"",$A$4+340)</f>
        <v>46363</v>
      </c>
      <c r="N34009" t="str">
        <f>IF(M34009="","",'Master Barang'!A3)</f>
        <v>PRL-002</v>
      </c>
      <c r="O34009" t="str">
        <f>IF(N34009="","",'Master Barang'!B3)</f>
        <v>sunlight cairan pencuci piring 5l</v>
      </c>
      <c r="P34009">
        <f>IF(OR(M34009="",N34009=""),"",SUMIFS('Barang Keluar'!$E:$E,'Barang Keluar'!$A:$A,M34009,'Barang Keluar'!$C:$C,N34009))</f>
        <v>0</v>
      </c>
    </row>
    <row r="34010" spans="13:16">
      <c r="M34010" s="49">
        <f>IF($A$4+340&gt;$B$4,"",$A$4+340)</f>
        <v>46363</v>
      </c>
      <c r="N34010" t="str">
        <f>IF(M34010="","",'Master Barang'!A4)</f>
        <v>PRL-003</v>
      </c>
      <c r="O34010" t="str">
        <f>IF(N34010="","",'Master Barang'!B4)</f>
        <v>oixs cleaner 1l</v>
      </c>
      <c r="P34010">
        <f>IF(OR(M34010="",N34010=""),"",SUMIFS('Barang Keluar'!$E:$E,'Barang Keluar'!$A:$A,M34010,'Barang Keluar'!$C:$C,N34010))</f>
        <v>0</v>
      </c>
    </row>
    <row r="34011" spans="13:16">
      <c r="M34011" s="49">
        <f>IF($A$4+340&gt;$B$4,"",$A$4+340)</f>
        <v>46363</v>
      </c>
      <c r="N34011" t="str">
        <f>IF(M34011="","",'Master Barang'!A5)</f>
        <v>PRL-004</v>
      </c>
      <c r="O34011" t="str">
        <f>IF(N34011="","",'Master Barang'!B5)</f>
        <v>be clean tissue serbaguna</v>
      </c>
      <c r="P34011">
        <f>IF(OR(M34011="",N34011=""),"",SUMIFS('Barang Keluar'!$E:$E,'Barang Keluar'!$A:$A,M34011,'Barang Keluar'!$C:$C,N34011))</f>
        <v>0</v>
      </c>
    </row>
    <row r="34012" spans="13:16">
      <c r="M34012" s="49">
        <f>IF($A$4+340&gt;$B$4,"",$A$4+340)</f>
        <v>46363</v>
      </c>
      <c r="N34012" t="str">
        <f>IF(M34012="","",'Master Barang'!A6)</f>
        <v>PRL-005</v>
      </c>
      <c r="O34012" t="str">
        <f>IF(N34012="","",'Master Barang'!B6)</f>
        <v>spons cuci hijau</v>
      </c>
      <c r="P34012">
        <f>IF(OR(M34012="",N34012=""),"",SUMIFS('Barang Keluar'!$E:$E,'Barang Keluar'!$A:$A,M34012,'Barang Keluar'!$C:$C,N34012))</f>
        <v>0</v>
      </c>
    </row>
    <row r="34013" spans="13:16">
      <c r="M34013" s="49">
        <f>IF($A$4+340&gt;$B$4,"",$A$4+340)</f>
        <v>46363</v>
      </c>
      <c r="N34013" t="str">
        <f>IF(M34013="","",'Master Barang'!A7)</f>
        <v>PRL-006</v>
      </c>
      <c r="O34013" t="str">
        <f>IF(N34013="","",'Master Barang'!B7)</f>
        <v>sabut cuci stainless</v>
      </c>
      <c r="P34013">
        <f>IF(OR(M34013="",N34013=""),"",SUMIFS('Barang Keluar'!$E:$E,'Barang Keluar'!$A:$A,M34013,'Barang Keluar'!$C:$C,N34013))</f>
        <v>0</v>
      </c>
    </row>
    <row r="34014" spans="13:16">
      <c r="M34014" s="49">
        <f>IF($A$4+340&gt;$B$4,"",$A$4+340)</f>
        <v>46363</v>
      </c>
      <c r="N34014" t="str">
        <f>IF(M34014="","",'Master Barang'!A8)</f>
        <v>PRL-007</v>
      </c>
      <c r="O34014" t="str">
        <f>IF(N34014="","",'Master Barang'!B8)</f>
        <v>plastik kresek besar merah 50pc</v>
      </c>
      <c r="P34014">
        <f>IF(OR(M34014="",N34014=""),"",SUMIFS('Barang Keluar'!$E:$E,'Barang Keluar'!$A:$A,M34014,'Barang Keluar'!$C:$C,N34014))</f>
        <v>0</v>
      </c>
    </row>
    <row r="34015" spans="13:16">
      <c r="M34015" s="49">
        <f>IF($A$4+340&gt;$B$4,"",$A$4+340)</f>
        <v>46363</v>
      </c>
      <c r="N34015" t="str">
        <f>IF(M34015="","",'Master Barang'!A9)</f>
        <v>PRL-008</v>
      </c>
      <c r="O34015" t="str">
        <f>IF(N34015="","",'Master Barang'!B9)</f>
        <v>lap besar</v>
      </c>
      <c r="P34015">
        <f>IF(OR(M34015="",N34015=""),"",SUMIFS('Barang Keluar'!$E:$E,'Barang Keluar'!$A:$A,M34015,'Barang Keluar'!$C:$C,N34015))</f>
        <v>0</v>
      </c>
    </row>
    <row r="34016" spans="13:16">
      <c r="M34016" s="49">
        <f>IF($A$4+340&gt;$B$4,"",$A$4+340)</f>
        <v>46363</v>
      </c>
      <c r="N34016" t="str">
        <f>IF(M34016="","",'Master Barang'!A10)</f>
        <v>PRL-009</v>
      </c>
      <c r="O34016" t="str">
        <f>IF(N34016="","",'Master Barang'!B10)</f>
        <v>lap microfiber</v>
      </c>
      <c r="P34016">
        <f>IF(OR(M34016="",N34016=""),"",SUMIFS('Barang Keluar'!$E:$E,'Barang Keluar'!$A:$A,M34016,'Barang Keluar'!$C:$C,N34016))</f>
        <v>0</v>
      </c>
    </row>
    <row r="34017" spans="13:16">
      <c r="M34017" s="49">
        <f>IF($A$4+340&gt;$B$4,"",$A$4+340)</f>
        <v>46363</v>
      </c>
      <c r="N34017" t="str">
        <f>IF(M34017="","",'Master Barang'!A11)</f>
        <v>PRL-010</v>
      </c>
      <c r="O34017" t="str">
        <f>IF(N34017="","",'Master Barang'!B11)</f>
        <v>lap kecil</v>
      </c>
      <c r="P34017">
        <f>IF(OR(M34017="",N34017=""),"",SUMIFS('Barang Keluar'!$E:$E,'Barang Keluar'!$A:$A,M34017,'Barang Keluar'!$C:$C,N34017))</f>
        <v>0</v>
      </c>
    </row>
    <row r="34018" spans="13:16">
      <c r="M34018" s="49">
        <f>IF($A$4+340&gt;$B$4,"",$A$4+340)</f>
        <v>46363</v>
      </c>
      <c r="N34018" t="str">
        <f>IF(M34018="","",'Master Barang'!A12)</f>
        <v>PRL-011</v>
      </c>
      <c r="O34018" t="str">
        <f>IF(N34018="","",'Master Barang'!B12)</f>
        <v>kanebo kecil</v>
      </c>
      <c r="P34018">
        <f>IF(OR(M34018="",N34018=""),"",SUMIFS('Barang Keluar'!$E:$E,'Barang Keluar'!$A:$A,M34018,'Barang Keluar'!$C:$C,N34018))</f>
        <v>0</v>
      </c>
    </row>
    <row r="34019" spans="13:16">
      <c r="M34019" s="49">
        <f>IF($A$4+340&gt;$B$4,"",$A$4+340)</f>
        <v>46363</v>
      </c>
      <c r="N34019" t="str">
        <f>IF(M34019="","",'Master Barang'!A13)</f>
        <v>PRL-012</v>
      </c>
      <c r="O34019" t="str">
        <f>IF(N34019="","",'Master Barang'!B13)</f>
        <v>plastik 1/4kg joyoboyo 100 lembar</v>
      </c>
      <c r="P34019">
        <f>IF(OR(M34019="",N34019=""),"",SUMIFS('Barang Keluar'!$E:$E,'Barang Keluar'!$A:$A,M34019,'Barang Keluar'!$C:$C,N34019))</f>
        <v>0</v>
      </c>
    </row>
    <row r="34020" spans="13:16">
      <c r="M34020" s="49">
        <f>IF($A$4+340&gt;$B$4,"",$A$4+340)</f>
        <v>46363</v>
      </c>
      <c r="N34020" t="str">
        <f>IF(M34020="","",'Master Barang'!A14)</f>
        <v>PRL-013</v>
      </c>
      <c r="O34020" t="str">
        <f>IF(N34020="","",'Master Barang'!B14)</f>
        <v>sarung tangan plastik kaka 100 pcs</v>
      </c>
      <c r="P34020">
        <f>IF(OR(M34020="",N34020=""),"",SUMIFS('Barang Keluar'!$E:$E,'Barang Keluar'!$A:$A,M34020,'Barang Keluar'!$C:$C,N34020))</f>
        <v>0</v>
      </c>
    </row>
    <row r="34021" spans="13:16">
      <c r="M34021" s="49">
        <f>IF($A$4+340&gt;$B$4,"",$A$4+340)</f>
        <v>46363</v>
      </c>
      <c r="N34021" t="str">
        <f>IF(M34021="","",'Master Barang'!A15)</f>
        <v>PRL-014</v>
      </c>
      <c r="O34021" t="str">
        <f>IF(N34021="","",'Master Barang'!B15)</f>
        <v>optima trashbag 80x100</v>
      </c>
      <c r="P34021">
        <f>IF(OR(M34021="",N34021=""),"",SUMIFS('Barang Keluar'!$E:$E,'Barang Keluar'!$A:$A,M34021,'Barang Keluar'!$C:$C,N34021))</f>
        <v>0</v>
      </c>
    </row>
    <row r="34022" spans="13:16">
      <c r="M34022" s="49">
        <f>IF($A$4+340&gt;$B$4,"",$A$4+340)</f>
        <v>46363</v>
      </c>
      <c r="N34022" t="str">
        <f>IF(M34022="","",'Master Barang'!A16)</f>
        <v>PRL-015</v>
      </c>
      <c r="O34022" t="str">
        <f>IF(N34022="","",'Master Barang'!B16)</f>
        <v>optima trashbag 60x100</v>
      </c>
      <c r="P34022">
        <f>IF(OR(M34022="",N34022=""),"",SUMIFS('Barang Keluar'!$E:$E,'Barang Keluar'!$A:$A,M34022,'Barang Keluar'!$C:$C,N34022))</f>
        <v>0</v>
      </c>
    </row>
    <row r="34023" spans="13:16">
      <c r="M34023" s="49">
        <f>IF($A$4+340&gt;$B$4,"",$A$4+340)</f>
        <v>46363</v>
      </c>
      <c r="N34023" t="str">
        <f>IF(M34023="","",'Master Barang'!A17)</f>
        <v>PRL-016</v>
      </c>
      <c r="O34023" t="str">
        <f>IF(N34023="","",'Master Barang'!B17)</f>
        <v>rajawali trashbag 30x40</v>
      </c>
      <c r="P34023">
        <f>IF(OR(M34023="",N34023=""),"",SUMIFS('Barang Keluar'!$E:$E,'Barang Keluar'!$A:$A,M34023,'Barang Keluar'!$C:$C,N34023))</f>
        <v>0</v>
      </c>
    </row>
    <row r="34024" spans="13:16">
      <c r="M34024" s="49">
        <f>IF($A$4+340&gt;$B$4,"",$A$4+340)</f>
        <v>46363</v>
      </c>
      <c r="N34024" t="str">
        <f>IF(M34024="","",'Master Barang'!A18)</f>
        <v>PRL-017</v>
      </c>
      <c r="O34024" t="str">
        <f>IF(N34024="","",'Master Barang'!B18)</f>
        <v>onemed masker biru 3 play 50 pcs</v>
      </c>
      <c r="P34024">
        <f>IF(OR(M34024="",N34024=""),"",SUMIFS('Barang Keluar'!$E:$E,'Barang Keluar'!$A:$A,M34024,'Barang Keluar'!$C:$C,N34024))</f>
        <v>0</v>
      </c>
    </row>
    <row r="34025" spans="13:16">
      <c r="M34025" s="49">
        <f>IF($A$4+340&gt;$B$4,"",$A$4+340)</f>
        <v>46363</v>
      </c>
      <c r="N34025" t="str">
        <f>IF(M34025="","",'Master Barang'!A19)</f>
        <v>PRL-018</v>
      </c>
      <c r="O34025" t="str">
        <f>IF(N34025="","",'Master Barang'!B19)</f>
        <v>onemed masker biru 3 play hijab 50 pcs</v>
      </c>
      <c r="P34025">
        <f>IF(OR(M34025="",N34025=""),"",SUMIFS('Barang Keluar'!$E:$E,'Barang Keluar'!$A:$A,M34025,'Barang Keluar'!$C:$C,N34025))</f>
        <v>0</v>
      </c>
    </row>
    <row r="34026" spans="13:16">
      <c r="M34026" s="49">
        <f>IF($A$4+340&gt;$B$4,"",$A$4+340)</f>
        <v>46363</v>
      </c>
      <c r="N34026" t="str">
        <f>IF(M34026="","",'Master Barang'!A20)</f>
        <v>PRL-019</v>
      </c>
      <c r="O34026" t="str">
        <f>IF(N34026="","",'Master Barang'!B20)</f>
        <v>neo health masker biru 3 play 50 pcs</v>
      </c>
      <c r="P34026">
        <f>IF(OR(M34026="",N34026=""),"",SUMIFS('Barang Keluar'!$E:$E,'Barang Keluar'!$A:$A,M34026,'Barang Keluar'!$C:$C,N34026))</f>
        <v>0</v>
      </c>
    </row>
    <row r="34027" spans="13:16">
      <c r="M34027" s="49">
        <f>IF($A$4+340&gt;$B$4,"",$A$4+340)</f>
        <v>46363</v>
      </c>
      <c r="N34027" t="str">
        <f>IF(M34027="","",'Master Barang'!A21)</f>
        <v>PRL-020</v>
      </c>
      <c r="O34027" t="str">
        <f>IF(N34027="","",'Master Barang'!B21)</f>
        <v>baymed masker hijau 3 play hijau 50 pcs</v>
      </c>
      <c r="P34027">
        <f>IF(OR(M34027="",N34027=""),"",SUMIFS('Barang Keluar'!$E:$E,'Barang Keluar'!$A:$A,M34027,'Barang Keluar'!$C:$C,N34027))</f>
        <v>0</v>
      </c>
    </row>
    <row r="34028" spans="13:16">
      <c r="M34028" s="49">
        <f>IF($A$4+340&gt;$B$4,"",$A$4+340)</f>
        <v>46363</v>
      </c>
      <c r="N34028" t="str">
        <f>IF(M34028="","",'Master Barang'!A22)</f>
        <v>PRL-021</v>
      </c>
      <c r="O34028" t="str">
        <f>IF(N34028="","",'Master Barang'!B22)</f>
        <v>altamed nurse cap penutup kepala 100 pcs</v>
      </c>
      <c r="P34028">
        <f>IF(OR(M34028="",N34028=""),"",SUMIFS('Barang Keluar'!$E:$E,'Barang Keluar'!$A:$A,M34028,'Barang Keluar'!$C:$C,N34028))</f>
        <v>0</v>
      </c>
    </row>
    <row r="34029" spans="13:16">
      <c r="M34029" s="49">
        <f>IF($A$4+340&gt;$B$4,"",$A$4+340)</f>
        <v>46363</v>
      </c>
      <c r="N34029" t="str">
        <f>IF(M34029="","",'Master Barang'!A23)</f>
        <v>PRL-022</v>
      </c>
      <c r="O34029" t="str">
        <f>IF(N34029="","",'Master Barang'!B23)</f>
        <v>sabun cuci tangan</v>
      </c>
      <c r="P34029">
        <f>IF(OR(M34029="",N34029=""),"",SUMIFS('Barang Keluar'!$E:$E,'Barang Keluar'!$A:$A,M34029,'Barang Keluar'!$C:$C,N34029))</f>
        <v>0</v>
      </c>
    </row>
    <row r="34030" spans="13:16">
      <c r="M34030" s="49">
        <f>IF($A$4+340&gt;$B$4,"",$A$4+340)</f>
        <v>46363</v>
      </c>
      <c r="N34030" t="str">
        <f>IF(M34030="","",'Master Barang'!A24)</f>
        <v>PRL-023</v>
      </c>
      <c r="O34030" t="str">
        <f>IF(N34030="","",'Master Barang'!B24)</f>
        <v>gayung kecil</v>
      </c>
      <c r="P34030">
        <f>IF(OR(M34030="",N34030=""),"",SUMIFS('Barang Keluar'!$E:$E,'Barang Keluar'!$A:$A,M34030,'Barang Keluar'!$C:$C,N34030))</f>
        <v>0</v>
      </c>
    </row>
    <row r="34031" spans="13:16">
      <c r="M34031" s="49">
        <f>IF($A$4+340&gt;$B$4,"",$A$4+340)</f>
        <v>46363</v>
      </c>
      <c r="N34031" t="str">
        <f>IF(M34031="","",'Master Barang'!A25)</f>
        <v>PRL-024</v>
      </c>
      <c r="O34031" t="str">
        <f>IF(N34031="","",'Master Barang'!B25)</f>
        <v>cikrak kecil</v>
      </c>
      <c r="P34031">
        <f>IF(OR(M34031="",N34031=""),"",SUMIFS('Barang Keluar'!$E:$E,'Barang Keluar'!$A:$A,M34031,'Barang Keluar'!$C:$C,N34031))</f>
        <v>0</v>
      </c>
    </row>
    <row r="34032" spans="13:16">
      <c r="M34032" s="49">
        <f>IF($A$4+340&gt;$B$4,"",$A$4+340)</f>
        <v>46363</v>
      </c>
      <c r="N34032" t="str">
        <f>IF(M34032="","",'Master Barang'!A26)</f>
        <v>PRL-025</v>
      </c>
      <c r="O34032" t="str">
        <f>IF(N34032="","",'Master Barang'!B26)</f>
        <v>petromax plastik kecil 12x24 100 lembar</v>
      </c>
      <c r="P34032">
        <f>IF(OR(M34032="",N34032=""),"",SUMIFS('Barang Keluar'!$E:$E,'Barang Keluar'!$A:$A,M34032,'Barang Keluar'!$C:$C,N34032))</f>
        <v>0</v>
      </c>
    </row>
    <row r="34033" spans="13:16">
      <c r="M34033" s="49">
        <f>IF($A$4+340&gt;$B$4,"",$A$4+340)</f>
        <v>46363</v>
      </c>
      <c r="N34033" t="str">
        <f>IF(M34033="","",'Master Barang'!A27)</f>
        <v>PRL-026</v>
      </c>
      <c r="O34033" t="str">
        <f>IF(N34033="","",'Master Barang'!B27)</f>
        <v>lancar kresek kecil bening </v>
      </c>
      <c r="P34033">
        <f>IF(OR(M34033="",N34033=""),"",SUMIFS('Barang Keluar'!$E:$E,'Barang Keluar'!$A:$A,M34033,'Barang Keluar'!$C:$C,N34033))</f>
        <v>0</v>
      </c>
    </row>
    <row r="34034" spans="13:16">
      <c r="M34034" s="49">
        <f>IF($A$4+340&gt;$B$4,"",$A$4+340)</f>
        <v>46363</v>
      </c>
      <c r="N34034" t="str">
        <f>IF(M34034="","",'Master Barang'!A28)</f>
        <v>PRL-027</v>
      </c>
      <c r="O34034" t="str">
        <f>IF(N34034="","",'Master Barang'!B28)</f>
        <v>kresek klin warna warni kecil</v>
      </c>
      <c r="P34034">
        <f>IF(OR(M34034="",N34034=""),"",SUMIFS('Barang Keluar'!$E:$E,'Barang Keluar'!$A:$A,M34034,'Barang Keluar'!$C:$C,N34034))</f>
        <v>0</v>
      </c>
    </row>
    <row r="34035" spans="13:16">
      <c r="M34035" s="49">
        <f>IF($A$4+340&gt;$B$4,"",$A$4+340)</f>
        <v>46363</v>
      </c>
      <c r="N34035" t="str">
        <f>IF(M34035="","",'Master Barang'!A29)</f>
        <v>PRL-028</v>
      </c>
      <c r="O34035" t="str">
        <f>IF(N34035="","",'Master Barang'!B29)</f>
        <v>ctik plastik 7x10 100 pcs</v>
      </c>
      <c r="P34035">
        <f>IF(OR(M34035="",N34035=""),"",SUMIFS('Barang Keluar'!$E:$E,'Barang Keluar'!$A:$A,M34035,'Barang Keluar'!$C:$C,N34035))</f>
        <v>0</v>
      </c>
    </row>
    <row r="34036" spans="13:16">
      <c r="M34036" s="49">
        <f>IF($A$4+340&gt;$B$4,"",$A$4+340)</f>
        <v>46363</v>
      </c>
      <c r="N34036" t="str">
        <f>IF(M34036="","",'Master Barang'!A30)</f>
        <v>PRL-029</v>
      </c>
      <c r="O34036" t="str">
        <f>IF(N34036="","",'Master Barang'!B30)</f>
        <v>ctik plastik 6x10 100 pcs</v>
      </c>
      <c r="P34036">
        <f>IF(OR(M34036="",N34036=""),"",SUMIFS('Barang Keluar'!$E:$E,'Barang Keluar'!$A:$A,M34036,'Barang Keluar'!$C:$C,N34036))</f>
        <v>0</v>
      </c>
    </row>
    <row r="34037" spans="13:16">
      <c r="M34037" s="49">
        <f>IF($A$4+340&gt;$B$4,"",$A$4+340)</f>
        <v>46363</v>
      </c>
      <c r="N34037" t="str">
        <f>IF(M34037="","",'Master Barang'!A31)</f>
        <v>PRL-030</v>
      </c>
      <c r="O34037" t="str">
        <f>IF(N34037="","",'Master Barang'!B31)</f>
        <v>klip plastik 25x16 100 pcs</v>
      </c>
      <c r="P34037">
        <f>IF(OR(M34037="",N34037=""),"",SUMIFS('Barang Keluar'!$E:$E,'Barang Keluar'!$A:$A,M34037,'Barang Keluar'!$C:$C,N34037))</f>
        <v>0</v>
      </c>
    </row>
    <row r="34038" spans="13:16">
      <c r="M34038" s="49">
        <f>IF($A$4+340&gt;$B$4,"",$A$4+340)</f>
        <v>46363</v>
      </c>
      <c r="N34038" t="str">
        <f>IF(M34038="","",'Master Barang'!A32)</f>
        <v>PRL-031</v>
      </c>
      <c r="O34038" t="str">
        <f>IF(N34038="","",'Master Barang'!B32)</f>
        <v>tempat saus 20 ml</v>
      </c>
      <c r="P34038">
        <f>IF(OR(M34038="",N34038=""),"",SUMIFS('Barang Keluar'!$E:$E,'Barang Keluar'!$A:$A,M34038,'Barang Keluar'!$C:$C,N34038))</f>
        <v>0</v>
      </c>
    </row>
    <row r="34039" spans="13:16">
      <c r="M34039" s="49">
        <f>IF($A$4+340&gt;$B$4,"",$A$4+340)</f>
        <v>46363</v>
      </c>
      <c r="N34039" t="str">
        <f>IF(M34039="","",'Master Barang'!A33)</f>
        <v>PRL-032</v>
      </c>
      <c r="O34039" t="str">
        <f>IF(N34039="","",'Master Barang'!B33)</f>
        <v>plastik packaging ag box uk sedang</v>
      </c>
      <c r="P34039">
        <f>IF(OR(M34039="",N34039=""),"",SUMIFS('Barang Keluar'!$E:$E,'Barang Keluar'!$A:$A,M34039,'Barang Keluar'!$C:$C,N34039))</f>
        <v>0</v>
      </c>
    </row>
    <row r="34040" spans="13:16">
      <c r="M34040" s="49">
        <f>IF($A$4+340&gt;$B$4,"",$A$4+340)</f>
        <v>46363</v>
      </c>
      <c r="N34040" t="str">
        <f>IF(M34040="","",'Master Barang'!A34)</f>
        <v>PRL-033</v>
      </c>
      <c r="O34040">
        <f>IF(N34040="","",'Master Barang'!B34)</f>
        <v>0</v>
      </c>
      <c r="P34040">
        <f>IF(OR(M34040="",N34040=""),"",SUMIFS('Barang Keluar'!$E:$E,'Barang Keluar'!$A:$A,M34040,'Barang Keluar'!$C:$C,N34040))</f>
        <v>0</v>
      </c>
    </row>
    <row r="34041" spans="13:16">
      <c r="M34041" s="49">
        <f>IF($A$4+340&gt;$B$4,"",$A$4+340)</f>
        <v>46363</v>
      </c>
      <c r="N34041">
        <f>IF(M34041="","",'Master Barang'!A35)</f>
        <v>0</v>
      </c>
      <c r="O34041">
        <f>IF(N34041="","",'Master Barang'!B35)</f>
        <v>0</v>
      </c>
      <c r="P34041">
        <f>IF(OR(M34041="",N34041=""),"",SUMIFS('Barang Keluar'!$E:$E,'Barang Keluar'!$A:$A,M34041,'Barang Keluar'!$C:$C,N34041))</f>
        <v>0</v>
      </c>
    </row>
    <row r="34042" spans="13:16">
      <c r="M34042" s="49">
        <f>IF($A$4+340&gt;$B$4,"",$A$4+340)</f>
        <v>46363</v>
      </c>
      <c r="N34042">
        <f>IF(M34042="","",'Master Barang'!A36)</f>
        <v>0</v>
      </c>
      <c r="O34042">
        <f>IF(N34042="","",'Master Barang'!B36)</f>
        <v>0</v>
      </c>
      <c r="P34042">
        <f>IF(OR(M34042="",N34042=""),"",SUMIFS('Barang Keluar'!$E:$E,'Barang Keluar'!$A:$A,M34042,'Barang Keluar'!$C:$C,N34042))</f>
        <v>0</v>
      </c>
    </row>
    <row r="34043" spans="13:16">
      <c r="M34043" s="49">
        <f>IF($A$4+340&gt;$B$4,"",$A$4+340)</f>
        <v>46363</v>
      </c>
      <c r="N34043">
        <f>IF(M34043="","",'Master Barang'!A37)</f>
        <v>0</v>
      </c>
      <c r="O34043">
        <f>IF(N34043="","",'Master Barang'!B37)</f>
        <v>0</v>
      </c>
      <c r="P34043">
        <f>IF(OR(M34043="",N34043=""),"",SUMIFS('Barang Keluar'!$E:$E,'Barang Keluar'!$A:$A,M34043,'Barang Keluar'!$C:$C,N34043))</f>
        <v>0</v>
      </c>
    </row>
    <row r="34044" spans="13:16">
      <c r="M34044" s="49">
        <f>IF($A$4+340&gt;$B$4,"",$A$4+340)</f>
        <v>46363</v>
      </c>
      <c r="N34044">
        <f>IF(M34044="","",'Master Barang'!A38)</f>
        <v>0</v>
      </c>
      <c r="O34044">
        <f>IF(N34044="","",'Master Barang'!B38)</f>
        <v>0</v>
      </c>
      <c r="P34044">
        <f>IF(OR(M34044="",N34044=""),"",SUMIFS('Barang Keluar'!$E:$E,'Barang Keluar'!$A:$A,M34044,'Barang Keluar'!$C:$C,N34044))</f>
        <v>0</v>
      </c>
    </row>
    <row r="34045" spans="13:16">
      <c r="M34045" s="49">
        <f>IF($A$4+340&gt;$B$4,"",$A$4+340)</f>
        <v>46363</v>
      </c>
      <c r="N34045">
        <f>IF(M34045="","",'Master Barang'!A39)</f>
        <v>0</v>
      </c>
      <c r="O34045">
        <f>IF(N34045="","",'Master Barang'!B39)</f>
        <v>0</v>
      </c>
      <c r="P34045">
        <f>IF(OR(M34045="",N34045=""),"",SUMIFS('Barang Keluar'!$E:$E,'Barang Keluar'!$A:$A,M34045,'Barang Keluar'!$C:$C,N34045))</f>
        <v>0</v>
      </c>
    </row>
    <row r="34046" spans="13:16">
      <c r="M34046" s="49">
        <f>IF($A$4+340&gt;$B$4,"",$A$4+340)</f>
        <v>46363</v>
      </c>
      <c r="N34046">
        <f>IF(M34046="","",'Master Barang'!A40)</f>
        <v>0</v>
      </c>
      <c r="O34046">
        <f>IF(N34046="","",'Master Barang'!B40)</f>
        <v>0</v>
      </c>
      <c r="P34046">
        <f>IF(OR(M34046="",N34046=""),"",SUMIFS('Barang Keluar'!$E:$E,'Barang Keluar'!$A:$A,M34046,'Barang Keluar'!$C:$C,N34046))</f>
        <v>0</v>
      </c>
    </row>
    <row r="34047" spans="13:16">
      <c r="M34047" s="49">
        <f>IF($A$4+340&gt;$B$4,"",$A$4+340)</f>
        <v>46363</v>
      </c>
      <c r="N34047">
        <f>IF(M34047="","",'Master Barang'!A41)</f>
        <v>0</v>
      </c>
      <c r="O34047">
        <f>IF(N34047="","",'Master Barang'!B41)</f>
        <v>0</v>
      </c>
      <c r="P34047">
        <f>IF(OR(M34047="",N34047=""),"",SUMIFS('Barang Keluar'!$E:$E,'Barang Keluar'!$A:$A,M34047,'Barang Keluar'!$C:$C,N34047))</f>
        <v>0</v>
      </c>
    </row>
    <row r="34048" spans="13:16">
      <c r="M34048" s="49">
        <f>IF($A$4+340&gt;$B$4,"",$A$4+340)</f>
        <v>46363</v>
      </c>
      <c r="N34048">
        <f>IF(M34048="","",'Master Barang'!A42)</f>
        <v>0</v>
      </c>
      <c r="O34048">
        <f>IF(N34048="","",'Master Barang'!B42)</f>
        <v>0</v>
      </c>
      <c r="P34048">
        <f>IF(OR(M34048="",N34048=""),"",SUMIFS('Barang Keluar'!$E:$E,'Barang Keluar'!$A:$A,M34048,'Barang Keluar'!$C:$C,N34048))</f>
        <v>0</v>
      </c>
    </row>
    <row r="34049" spans="13:16">
      <c r="M34049" s="49">
        <f>IF($A$4+340&gt;$B$4,"",$A$4+340)</f>
        <v>46363</v>
      </c>
      <c r="N34049">
        <f>IF(M34049="","",'Master Barang'!A43)</f>
        <v>0</v>
      </c>
      <c r="O34049">
        <f>IF(N34049="","",'Master Barang'!B43)</f>
        <v>0</v>
      </c>
      <c r="P34049">
        <f>IF(OR(M34049="",N34049=""),"",SUMIFS('Barang Keluar'!$E:$E,'Barang Keluar'!$A:$A,M34049,'Barang Keluar'!$C:$C,N34049))</f>
        <v>0</v>
      </c>
    </row>
    <row r="34050" spans="13:16">
      <c r="M34050" s="49">
        <f>IF($A$4+340&gt;$B$4,"",$A$4+340)</f>
        <v>46363</v>
      </c>
      <c r="N34050">
        <f>IF(M34050="","",'Master Barang'!A44)</f>
        <v>0</v>
      </c>
      <c r="O34050">
        <f>IF(N34050="","",'Master Barang'!B44)</f>
        <v>0</v>
      </c>
      <c r="P34050">
        <f>IF(OR(M34050="",N34050=""),"",SUMIFS('Barang Keluar'!$E:$E,'Barang Keluar'!$A:$A,M34050,'Barang Keluar'!$C:$C,N34050))</f>
        <v>0</v>
      </c>
    </row>
    <row r="34051" spans="13:16">
      <c r="M34051" s="49">
        <f>IF($A$4+340&gt;$B$4,"",$A$4+340)</f>
        <v>46363</v>
      </c>
      <c r="N34051">
        <f>IF(M34051="","",'Master Barang'!A45)</f>
        <v>0</v>
      </c>
      <c r="O34051">
        <f>IF(N34051="","",'Master Barang'!B45)</f>
        <v>0</v>
      </c>
      <c r="P34051">
        <f>IF(OR(M34051="",N34051=""),"",SUMIFS('Barang Keluar'!$E:$E,'Barang Keluar'!$A:$A,M34051,'Barang Keluar'!$C:$C,N34051))</f>
        <v>0</v>
      </c>
    </row>
    <row r="34052" spans="13:16">
      <c r="M34052" s="49">
        <f>IF($A$4+340&gt;$B$4,"",$A$4+340)</f>
        <v>46363</v>
      </c>
      <c r="N34052">
        <f>IF(M34052="","",'Master Barang'!A46)</f>
        <v>0</v>
      </c>
      <c r="O34052">
        <f>IF(N34052="","",'Master Barang'!B46)</f>
        <v>0</v>
      </c>
      <c r="P34052">
        <f>IF(OR(M34052="",N34052=""),"",SUMIFS('Barang Keluar'!$E:$E,'Barang Keluar'!$A:$A,M34052,'Barang Keluar'!$C:$C,N34052))</f>
        <v>0</v>
      </c>
    </row>
    <row r="34053" spans="13:16">
      <c r="M34053" s="49">
        <f>IF($A$4+340&gt;$B$4,"",$A$4+340)</f>
        <v>46363</v>
      </c>
      <c r="N34053">
        <f>IF(M34053="","",'Master Barang'!A47)</f>
        <v>0</v>
      </c>
      <c r="O34053">
        <f>IF(N34053="","",'Master Barang'!B47)</f>
        <v>0</v>
      </c>
      <c r="P34053">
        <f>IF(OR(M34053="",N34053=""),"",SUMIFS('Barang Keluar'!$E:$E,'Barang Keluar'!$A:$A,M34053,'Barang Keluar'!$C:$C,N34053))</f>
        <v>0</v>
      </c>
    </row>
    <row r="34054" spans="13:16">
      <c r="M34054" s="49">
        <f>IF($A$4+340&gt;$B$4,"",$A$4+340)</f>
        <v>46363</v>
      </c>
      <c r="N34054">
        <f>IF(M34054="","",'Master Barang'!A48)</f>
        <v>0</v>
      </c>
      <c r="O34054">
        <f>IF(N34054="","",'Master Barang'!B48)</f>
        <v>0</v>
      </c>
      <c r="P34054">
        <f>IF(OR(M34054="",N34054=""),"",SUMIFS('Barang Keluar'!$E:$E,'Barang Keluar'!$A:$A,M34054,'Barang Keluar'!$C:$C,N34054))</f>
        <v>0</v>
      </c>
    </row>
    <row r="34055" spans="13:16">
      <c r="M34055" s="49">
        <f>IF($A$4+340&gt;$B$4,"",$A$4+340)</f>
        <v>46363</v>
      </c>
      <c r="N34055">
        <f>IF(M34055="","",'Master Barang'!A49)</f>
        <v>0</v>
      </c>
      <c r="O34055">
        <f>IF(N34055="","",'Master Barang'!B49)</f>
        <v>0</v>
      </c>
      <c r="P34055">
        <f>IF(OR(M34055="",N34055=""),"",SUMIFS('Barang Keluar'!$E:$E,'Barang Keluar'!$A:$A,M34055,'Barang Keluar'!$C:$C,N34055))</f>
        <v>0</v>
      </c>
    </row>
    <row r="34056" spans="13:16">
      <c r="M34056" s="49">
        <f>IF($A$4+340&gt;$B$4,"",$A$4+340)</f>
        <v>46363</v>
      </c>
      <c r="N34056">
        <f>IF(M34056="","",'Master Barang'!A50)</f>
        <v>0</v>
      </c>
      <c r="O34056">
        <f>IF(N34056="","",'Master Barang'!B50)</f>
        <v>0</v>
      </c>
      <c r="P34056">
        <f>IF(OR(M34056="",N34056=""),"",SUMIFS('Barang Keluar'!$E:$E,'Barang Keluar'!$A:$A,M34056,'Barang Keluar'!$C:$C,N34056))</f>
        <v>0</v>
      </c>
    </row>
    <row r="34057" spans="13:16">
      <c r="M34057" s="49">
        <f>IF($A$4+340&gt;$B$4,"",$A$4+340)</f>
        <v>46363</v>
      </c>
      <c r="N34057">
        <f>IF(M34057="","",'Master Barang'!A51)</f>
        <v>0</v>
      </c>
      <c r="O34057">
        <f>IF(N34057="","",'Master Barang'!B51)</f>
        <v>0</v>
      </c>
      <c r="P34057">
        <f>IF(OR(M34057="",N34057=""),"",SUMIFS('Barang Keluar'!$E:$E,'Barang Keluar'!$A:$A,M34057,'Barang Keluar'!$C:$C,N34057))</f>
        <v>0</v>
      </c>
    </row>
    <row r="34058" spans="13:16">
      <c r="M34058" s="49">
        <f>IF($A$4+340&gt;$B$4,"",$A$4+340)</f>
        <v>46363</v>
      </c>
      <c r="N34058">
        <f>IF(M34058="","",'Master Barang'!A52)</f>
        <v>0</v>
      </c>
      <c r="O34058">
        <f>IF(N34058="","",'Master Barang'!B52)</f>
        <v>0</v>
      </c>
      <c r="P34058">
        <f>IF(OR(M34058="",N34058=""),"",SUMIFS('Barang Keluar'!$E:$E,'Barang Keluar'!$A:$A,M34058,'Barang Keluar'!$C:$C,N34058))</f>
        <v>0</v>
      </c>
    </row>
    <row r="34059" spans="13:16">
      <c r="M34059" s="49">
        <f>IF($A$4+340&gt;$B$4,"",$A$4+340)</f>
        <v>46363</v>
      </c>
      <c r="N34059">
        <f>IF(M34059="","",'Master Barang'!A53)</f>
        <v>0</v>
      </c>
      <c r="O34059">
        <f>IF(N34059="","",'Master Barang'!B53)</f>
        <v>0</v>
      </c>
      <c r="P34059">
        <f>IF(OR(M34059="",N34059=""),"",SUMIFS('Barang Keluar'!$E:$E,'Barang Keluar'!$A:$A,M34059,'Barang Keluar'!$C:$C,N34059))</f>
        <v>0</v>
      </c>
    </row>
    <row r="34060" spans="13:16">
      <c r="M34060" s="49">
        <f>IF($A$4+340&gt;$B$4,"",$A$4+340)</f>
        <v>46363</v>
      </c>
      <c r="N34060">
        <f>IF(M34060="","",'Master Barang'!A54)</f>
        <v>0</v>
      </c>
      <c r="O34060">
        <f>IF(N34060="","",'Master Barang'!B54)</f>
        <v>0</v>
      </c>
      <c r="P34060">
        <f>IF(OR(M34060="",N34060=""),"",SUMIFS('Barang Keluar'!$E:$E,'Barang Keluar'!$A:$A,M34060,'Barang Keluar'!$C:$C,N34060))</f>
        <v>0</v>
      </c>
    </row>
    <row r="34061" spans="13:16">
      <c r="M34061" s="49">
        <f>IF($A$4+340&gt;$B$4,"",$A$4+340)</f>
        <v>46363</v>
      </c>
      <c r="N34061">
        <f>IF(M34061="","",'Master Barang'!A55)</f>
        <v>0</v>
      </c>
      <c r="O34061">
        <f>IF(N34061="","",'Master Barang'!B55)</f>
        <v>0</v>
      </c>
      <c r="P34061">
        <f>IF(OR(M34061="",N34061=""),"",SUMIFS('Barang Keluar'!$E:$E,'Barang Keluar'!$A:$A,M34061,'Barang Keluar'!$C:$C,N34061))</f>
        <v>0</v>
      </c>
    </row>
    <row r="34062" spans="13:16">
      <c r="M34062" s="49">
        <f>IF($A$4+340&gt;$B$4,"",$A$4+340)</f>
        <v>46363</v>
      </c>
      <c r="N34062">
        <f>IF(M34062="","",'Master Barang'!A56)</f>
        <v>0</v>
      </c>
      <c r="O34062">
        <f>IF(N34062="","",'Master Barang'!B56)</f>
        <v>0</v>
      </c>
      <c r="P34062">
        <f>IF(OR(M34062="",N34062=""),"",SUMIFS('Barang Keluar'!$E:$E,'Barang Keluar'!$A:$A,M34062,'Barang Keluar'!$C:$C,N34062))</f>
        <v>0</v>
      </c>
    </row>
    <row r="34063" spans="13:16">
      <c r="M34063" s="49">
        <f>IF($A$4+340&gt;$B$4,"",$A$4+340)</f>
        <v>46363</v>
      </c>
      <c r="N34063">
        <f>IF(M34063="","",'Master Barang'!A57)</f>
        <v>0</v>
      </c>
      <c r="O34063">
        <f>IF(N34063="","",'Master Barang'!B57)</f>
        <v>0</v>
      </c>
      <c r="P34063">
        <f>IF(OR(M34063="",N34063=""),"",SUMIFS('Barang Keluar'!$E:$E,'Barang Keluar'!$A:$A,M34063,'Barang Keluar'!$C:$C,N34063))</f>
        <v>0</v>
      </c>
    </row>
    <row r="34064" spans="13:16">
      <c r="M34064" s="49">
        <f>IF($A$4+340&gt;$B$4,"",$A$4+340)</f>
        <v>46363</v>
      </c>
      <c r="N34064">
        <f>IF(M34064="","",'Master Barang'!A58)</f>
        <v>0</v>
      </c>
      <c r="O34064">
        <f>IF(N34064="","",'Master Barang'!B58)</f>
        <v>0</v>
      </c>
      <c r="P34064">
        <f>IF(OR(M34064="",N34064=""),"",SUMIFS('Barang Keluar'!$E:$E,'Barang Keluar'!$A:$A,M34064,'Barang Keluar'!$C:$C,N34064))</f>
        <v>0</v>
      </c>
    </row>
    <row r="34065" spans="13:16">
      <c r="M34065" s="49">
        <f>IF($A$4+340&gt;$B$4,"",$A$4+340)</f>
        <v>46363</v>
      </c>
      <c r="N34065">
        <f>IF(M34065="","",'Master Barang'!A59)</f>
        <v>0</v>
      </c>
      <c r="O34065">
        <f>IF(N34065="","",'Master Barang'!B59)</f>
        <v>0</v>
      </c>
      <c r="P34065">
        <f>IF(OR(M34065="",N34065=""),"",SUMIFS('Barang Keluar'!$E:$E,'Barang Keluar'!$A:$A,M34065,'Barang Keluar'!$C:$C,N34065))</f>
        <v>0</v>
      </c>
    </row>
    <row r="34066" spans="13:16">
      <c r="M34066" s="49">
        <f>IF($A$4+340&gt;$B$4,"",$A$4+340)</f>
        <v>46363</v>
      </c>
      <c r="N34066">
        <f>IF(M34066="","",'Master Barang'!A60)</f>
        <v>0</v>
      </c>
      <c r="O34066">
        <f>IF(N34066="","",'Master Barang'!B60)</f>
        <v>0</v>
      </c>
      <c r="P34066">
        <f>IF(OR(M34066="",N34066=""),"",SUMIFS('Barang Keluar'!$E:$E,'Barang Keluar'!$A:$A,M34066,'Barang Keluar'!$C:$C,N34066))</f>
        <v>0</v>
      </c>
    </row>
    <row r="34067" spans="13:16">
      <c r="M34067" s="49">
        <f>IF($A$4+340&gt;$B$4,"",$A$4+340)</f>
        <v>46363</v>
      </c>
      <c r="N34067">
        <f>IF(M34067="","",'Master Barang'!A61)</f>
        <v>0</v>
      </c>
      <c r="O34067">
        <f>IF(N34067="","",'Master Barang'!B61)</f>
        <v>0</v>
      </c>
      <c r="P34067">
        <f>IF(OR(M34067="",N34067=""),"",SUMIFS('Barang Keluar'!$E:$E,'Barang Keluar'!$A:$A,M34067,'Barang Keluar'!$C:$C,N34067))</f>
        <v>0</v>
      </c>
    </row>
    <row r="34068" spans="13:16">
      <c r="M34068" s="49">
        <f>IF($A$4+340&gt;$B$4,"",$A$4+340)</f>
        <v>46363</v>
      </c>
      <c r="N34068">
        <f>IF(M34068="","",'Master Barang'!A62)</f>
        <v>0</v>
      </c>
      <c r="O34068">
        <f>IF(N34068="","",'Master Barang'!B62)</f>
        <v>0</v>
      </c>
      <c r="P34068">
        <f>IF(OR(M34068="",N34068=""),"",SUMIFS('Barang Keluar'!$E:$E,'Barang Keluar'!$A:$A,M34068,'Barang Keluar'!$C:$C,N34068))</f>
        <v>0</v>
      </c>
    </row>
    <row r="34069" spans="13:16">
      <c r="M34069" s="49">
        <f>IF($A$4+340&gt;$B$4,"",$A$4+340)</f>
        <v>46363</v>
      </c>
      <c r="N34069">
        <f>IF(M34069="","",'Master Barang'!A63)</f>
        <v>0</v>
      </c>
      <c r="O34069">
        <f>IF(N34069="","",'Master Barang'!B63)</f>
        <v>0</v>
      </c>
      <c r="P34069">
        <f>IF(OR(M34069="",N34069=""),"",SUMIFS('Barang Keluar'!$E:$E,'Barang Keluar'!$A:$A,M34069,'Barang Keluar'!$C:$C,N34069))</f>
        <v>0</v>
      </c>
    </row>
    <row r="34070" spans="13:16">
      <c r="M34070" s="49">
        <f>IF($A$4+340&gt;$B$4,"",$A$4+340)</f>
        <v>46363</v>
      </c>
      <c r="N34070">
        <f>IF(M34070="","",'Master Barang'!A64)</f>
        <v>0</v>
      </c>
      <c r="O34070">
        <f>IF(N34070="","",'Master Barang'!B64)</f>
        <v>0</v>
      </c>
      <c r="P34070">
        <f>IF(OR(M34070="",N34070=""),"",SUMIFS('Barang Keluar'!$E:$E,'Barang Keluar'!$A:$A,M34070,'Barang Keluar'!$C:$C,N34070))</f>
        <v>0</v>
      </c>
    </row>
    <row r="34071" spans="13:16">
      <c r="M34071" s="49">
        <f>IF($A$4+340&gt;$B$4,"",$A$4+340)</f>
        <v>46363</v>
      </c>
      <c r="N34071">
        <f>IF(M34071="","",'Master Barang'!A65)</f>
        <v>0</v>
      </c>
      <c r="O34071">
        <f>IF(N34071="","",'Master Barang'!B65)</f>
        <v>0</v>
      </c>
      <c r="P34071">
        <f>IF(OR(M34071="",N34071=""),"",SUMIFS('Barang Keluar'!$E:$E,'Barang Keluar'!$A:$A,M34071,'Barang Keluar'!$C:$C,N34071))</f>
        <v>0</v>
      </c>
    </row>
    <row r="34072" spans="13:16">
      <c r="M34072" s="49">
        <f>IF($A$4+340&gt;$B$4,"",$A$4+340)</f>
        <v>46363</v>
      </c>
      <c r="N34072">
        <f>IF(M34072="","",'Master Barang'!A66)</f>
        <v>0</v>
      </c>
      <c r="O34072">
        <f>IF(N34072="","",'Master Barang'!B66)</f>
        <v>0</v>
      </c>
      <c r="P34072">
        <f>IF(OR(M34072="",N34072=""),"",SUMIFS('Barang Keluar'!$E:$E,'Barang Keluar'!$A:$A,M34072,'Barang Keluar'!$C:$C,N34072))</f>
        <v>0</v>
      </c>
    </row>
    <row r="34073" spans="13:16">
      <c r="M34073" s="49">
        <f>IF($A$4+340&gt;$B$4,"",$A$4+340)</f>
        <v>46363</v>
      </c>
      <c r="N34073">
        <f>IF(M34073="","",'Master Barang'!A67)</f>
        <v>0</v>
      </c>
      <c r="O34073">
        <f>IF(N34073="","",'Master Barang'!B67)</f>
        <v>0</v>
      </c>
      <c r="P34073">
        <f>IF(OR(M34073="",N34073=""),"",SUMIFS('Barang Keluar'!$E:$E,'Barang Keluar'!$A:$A,M34073,'Barang Keluar'!$C:$C,N34073))</f>
        <v>0</v>
      </c>
    </row>
    <row r="34074" spans="13:16">
      <c r="M34074" s="49">
        <f>IF($A$4+340&gt;$B$4,"",$A$4+340)</f>
        <v>46363</v>
      </c>
      <c r="N34074">
        <f>IF(M34074="","",'Master Barang'!A68)</f>
        <v>0</v>
      </c>
      <c r="O34074">
        <f>IF(N34074="","",'Master Barang'!B68)</f>
        <v>0</v>
      </c>
      <c r="P34074">
        <f>IF(OR(M34074="",N34074=""),"",SUMIFS('Barang Keluar'!$E:$E,'Barang Keluar'!$A:$A,M34074,'Barang Keluar'!$C:$C,N34074))</f>
        <v>0</v>
      </c>
    </row>
    <row r="34075" spans="13:16">
      <c r="M34075" s="49">
        <f>IF($A$4+340&gt;$B$4,"",$A$4+340)</f>
        <v>46363</v>
      </c>
      <c r="N34075">
        <f>IF(M34075="","",'Master Barang'!A69)</f>
        <v>0</v>
      </c>
      <c r="O34075">
        <f>IF(N34075="","",'Master Barang'!B69)</f>
        <v>0</v>
      </c>
      <c r="P34075">
        <f>IF(OR(M34075="",N34075=""),"",SUMIFS('Barang Keluar'!$E:$E,'Barang Keluar'!$A:$A,M34075,'Barang Keluar'!$C:$C,N34075))</f>
        <v>0</v>
      </c>
    </row>
    <row r="34076" spans="13:16">
      <c r="M34076" s="49">
        <f>IF($A$4+340&gt;$B$4,"",$A$4+340)</f>
        <v>46363</v>
      </c>
      <c r="N34076">
        <f>IF(M34076="","",'Master Barang'!A70)</f>
        <v>0</v>
      </c>
      <c r="O34076">
        <f>IF(N34076="","",'Master Barang'!B70)</f>
        <v>0</v>
      </c>
      <c r="P34076">
        <f>IF(OR(M34076="",N34076=""),"",SUMIFS('Barang Keluar'!$E:$E,'Barang Keluar'!$A:$A,M34076,'Barang Keluar'!$C:$C,N34076))</f>
        <v>0</v>
      </c>
    </row>
    <row r="34077" spans="13:16">
      <c r="M34077" s="49">
        <f>IF($A$4+340&gt;$B$4,"",$A$4+340)</f>
        <v>46363</v>
      </c>
      <c r="N34077">
        <f>IF(M34077="","",'Master Barang'!A71)</f>
        <v>0</v>
      </c>
      <c r="O34077">
        <f>IF(N34077="","",'Master Barang'!B71)</f>
        <v>0</v>
      </c>
      <c r="P34077">
        <f>IF(OR(M34077="",N34077=""),"",SUMIFS('Barang Keluar'!$E:$E,'Barang Keluar'!$A:$A,M34077,'Barang Keluar'!$C:$C,N34077))</f>
        <v>0</v>
      </c>
    </row>
    <row r="34078" spans="13:16">
      <c r="M34078" s="49">
        <f>IF($A$4+340&gt;$B$4,"",$A$4+340)</f>
        <v>46363</v>
      </c>
      <c r="N34078">
        <f>IF(M34078="","",'Master Barang'!A72)</f>
        <v>0</v>
      </c>
      <c r="O34078">
        <f>IF(N34078="","",'Master Barang'!B72)</f>
        <v>0</v>
      </c>
      <c r="P34078">
        <f>IF(OR(M34078="",N34078=""),"",SUMIFS('Barang Keluar'!$E:$E,'Barang Keluar'!$A:$A,M34078,'Barang Keluar'!$C:$C,N34078))</f>
        <v>0</v>
      </c>
    </row>
    <row r="34079" spans="13:16">
      <c r="M34079" s="49">
        <f>IF($A$4+340&gt;$B$4,"",$A$4+340)</f>
        <v>46363</v>
      </c>
      <c r="N34079">
        <f>IF(M34079="","",'Master Barang'!A73)</f>
        <v>0</v>
      </c>
      <c r="O34079">
        <f>IF(N34079="","",'Master Barang'!B73)</f>
        <v>0</v>
      </c>
      <c r="P34079">
        <f>IF(OR(M34079="",N34079=""),"",SUMIFS('Barang Keluar'!$E:$E,'Barang Keluar'!$A:$A,M34079,'Barang Keluar'!$C:$C,N34079))</f>
        <v>0</v>
      </c>
    </row>
    <row r="34080" spans="13:16">
      <c r="M34080" s="49">
        <f>IF($A$4+340&gt;$B$4,"",$A$4+340)</f>
        <v>46363</v>
      </c>
      <c r="N34080">
        <f>IF(M34080="","",'Master Barang'!A74)</f>
        <v>0</v>
      </c>
      <c r="O34080">
        <f>IF(N34080="","",'Master Barang'!B74)</f>
        <v>0</v>
      </c>
      <c r="P34080">
        <f>IF(OR(M34080="",N34080=""),"",SUMIFS('Barang Keluar'!$E:$E,'Barang Keluar'!$A:$A,M34080,'Barang Keluar'!$C:$C,N34080))</f>
        <v>0</v>
      </c>
    </row>
    <row r="34081" spans="13:16">
      <c r="M34081" s="49">
        <f>IF($A$4+340&gt;$B$4,"",$A$4+340)</f>
        <v>46363</v>
      </c>
      <c r="N34081">
        <f>IF(M34081="","",'Master Barang'!A75)</f>
        <v>0</v>
      </c>
      <c r="O34081">
        <f>IF(N34081="","",'Master Barang'!B75)</f>
        <v>0</v>
      </c>
      <c r="P34081">
        <f>IF(OR(M34081="",N34081=""),"",SUMIFS('Barang Keluar'!$E:$E,'Barang Keluar'!$A:$A,M34081,'Barang Keluar'!$C:$C,N34081))</f>
        <v>0</v>
      </c>
    </row>
    <row r="34082" spans="13:16">
      <c r="M34082" s="49">
        <f>IF($A$4+340&gt;$B$4,"",$A$4+340)</f>
        <v>46363</v>
      </c>
      <c r="N34082">
        <f>IF(M34082="","",'Master Barang'!A76)</f>
        <v>0</v>
      </c>
      <c r="O34082">
        <f>IF(N34082="","",'Master Barang'!B76)</f>
        <v>0</v>
      </c>
      <c r="P34082">
        <f>IF(OR(M34082="",N34082=""),"",SUMIFS('Barang Keluar'!$E:$E,'Barang Keluar'!$A:$A,M34082,'Barang Keluar'!$C:$C,N34082))</f>
        <v>0</v>
      </c>
    </row>
    <row r="34083" spans="13:16">
      <c r="M34083" s="49">
        <f>IF($A$4+340&gt;$B$4,"",$A$4+340)</f>
        <v>46363</v>
      </c>
      <c r="N34083">
        <f>IF(M34083="","",'Master Barang'!A77)</f>
        <v>0</v>
      </c>
      <c r="O34083">
        <f>IF(N34083="","",'Master Barang'!B77)</f>
        <v>0</v>
      </c>
      <c r="P34083">
        <f>IF(OR(M34083="",N34083=""),"",SUMIFS('Barang Keluar'!$E:$E,'Barang Keluar'!$A:$A,M34083,'Barang Keluar'!$C:$C,N34083))</f>
        <v>0</v>
      </c>
    </row>
    <row r="34084" spans="13:16">
      <c r="M34084" s="49">
        <f>IF($A$4+340&gt;$B$4,"",$A$4+340)</f>
        <v>46363</v>
      </c>
      <c r="N34084">
        <f>IF(M34084="","",'Master Barang'!A78)</f>
        <v>0</v>
      </c>
      <c r="O34084">
        <f>IF(N34084="","",'Master Barang'!B78)</f>
        <v>0</v>
      </c>
      <c r="P34084">
        <f>IF(OR(M34084="",N34084=""),"",SUMIFS('Barang Keluar'!$E:$E,'Barang Keluar'!$A:$A,M34084,'Barang Keluar'!$C:$C,N34084))</f>
        <v>0</v>
      </c>
    </row>
    <row r="34085" spans="13:16">
      <c r="M34085" s="49">
        <f>IF($A$4+340&gt;$B$4,"",$A$4+340)</f>
        <v>46363</v>
      </c>
      <c r="N34085">
        <f>IF(M34085="","",'Master Barang'!A79)</f>
        <v>0</v>
      </c>
      <c r="O34085">
        <f>IF(N34085="","",'Master Barang'!B79)</f>
        <v>0</v>
      </c>
      <c r="P34085">
        <f>IF(OR(M34085="",N34085=""),"",SUMIFS('Barang Keluar'!$E:$E,'Barang Keluar'!$A:$A,M34085,'Barang Keluar'!$C:$C,N34085))</f>
        <v>0</v>
      </c>
    </row>
    <row r="34086" spans="13:16">
      <c r="M34086" s="49">
        <f>IF($A$4+340&gt;$B$4,"",$A$4+340)</f>
        <v>46363</v>
      </c>
      <c r="N34086">
        <f>IF(M34086="","",'Master Barang'!A80)</f>
        <v>0</v>
      </c>
      <c r="O34086">
        <f>IF(N34086="","",'Master Barang'!B80)</f>
        <v>0</v>
      </c>
      <c r="P34086">
        <f>IF(OR(M34086="",N34086=""),"",SUMIFS('Barang Keluar'!$E:$E,'Barang Keluar'!$A:$A,M34086,'Barang Keluar'!$C:$C,N34086))</f>
        <v>0</v>
      </c>
    </row>
    <row r="34087" spans="13:16">
      <c r="M34087" s="49">
        <f>IF($A$4+340&gt;$B$4,"",$A$4+340)</f>
        <v>46363</v>
      </c>
      <c r="N34087">
        <f>IF(M34087="","",'Master Barang'!A81)</f>
        <v>0</v>
      </c>
      <c r="O34087">
        <f>IF(N34087="","",'Master Barang'!B81)</f>
        <v>0</v>
      </c>
      <c r="P34087">
        <f>IF(OR(M34087="",N34087=""),"",SUMIFS('Barang Keluar'!$E:$E,'Barang Keluar'!$A:$A,M34087,'Barang Keluar'!$C:$C,N34087))</f>
        <v>0</v>
      </c>
    </row>
    <row r="34088" spans="13:16">
      <c r="M34088" s="49">
        <f>IF($A$4+340&gt;$B$4,"",$A$4+340)</f>
        <v>46363</v>
      </c>
      <c r="N34088">
        <f>IF(M34088="","",'Master Barang'!A82)</f>
        <v>0</v>
      </c>
      <c r="O34088">
        <f>IF(N34088="","",'Master Barang'!B82)</f>
        <v>0</v>
      </c>
      <c r="P34088">
        <f>IF(OR(M34088="",N34088=""),"",SUMIFS('Barang Keluar'!$E:$E,'Barang Keluar'!$A:$A,M34088,'Barang Keluar'!$C:$C,N34088))</f>
        <v>0</v>
      </c>
    </row>
    <row r="34089" spans="13:16">
      <c r="M34089" s="49">
        <f>IF($A$4+340&gt;$B$4,"",$A$4+340)</f>
        <v>46363</v>
      </c>
      <c r="N34089">
        <f>IF(M34089="","",'Master Barang'!A83)</f>
        <v>0</v>
      </c>
      <c r="O34089">
        <f>IF(N34089="","",'Master Barang'!B83)</f>
        <v>0</v>
      </c>
      <c r="P34089">
        <f>IF(OR(M34089="",N34089=""),"",SUMIFS('Barang Keluar'!$E:$E,'Barang Keluar'!$A:$A,M34089,'Barang Keluar'!$C:$C,N34089))</f>
        <v>0</v>
      </c>
    </row>
    <row r="34090" spans="13:16">
      <c r="M34090" s="49">
        <f>IF($A$4+340&gt;$B$4,"",$A$4+340)</f>
        <v>46363</v>
      </c>
      <c r="N34090">
        <f>IF(M34090="","",'Master Barang'!A84)</f>
        <v>0</v>
      </c>
      <c r="O34090">
        <f>IF(N34090="","",'Master Barang'!B84)</f>
        <v>0</v>
      </c>
      <c r="P34090">
        <f>IF(OR(M34090="",N34090=""),"",SUMIFS('Barang Keluar'!$E:$E,'Barang Keluar'!$A:$A,M34090,'Barang Keluar'!$C:$C,N34090))</f>
        <v>0</v>
      </c>
    </row>
    <row r="34091" spans="13:16">
      <c r="M34091" s="49">
        <f>IF($A$4+340&gt;$B$4,"",$A$4+340)</f>
        <v>46363</v>
      </c>
      <c r="N34091">
        <f>IF(M34091="","",'Master Barang'!A85)</f>
        <v>0</v>
      </c>
      <c r="O34091">
        <f>IF(N34091="","",'Master Barang'!B85)</f>
        <v>0</v>
      </c>
      <c r="P34091">
        <f>IF(OR(M34091="",N34091=""),"",SUMIFS('Barang Keluar'!$E:$E,'Barang Keluar'!$A:$A,M34091,'Barang Keluar'!$C:$C,N34091))</f>
        <v>0</v>
      </c>
    </row>
    <row r="34092" spans="13:16">
      <c r="M34092" s="49">
        <f>IF($A$4+340&gt;$B$4,"",$A$4+340)</f>
        <v>46363</v>
      </c>
      <c r="N34092">
        <f>IF(M34092="","",'Master Barang'!A86)</f>
        <v>0</v>
      </c>
      <c r="O34092">
        <f>IF(N34092="","",'Master Barang'!B86)</f>
        <v>0</v>
      </c>
      <c r="P34092">
        <f>IF(OR(M34092="",N34092=""),"",SUMIFS('Barang Keluar'!$E:$E,'Barang Keluar'!$A:$A,M34092,'Barang Keluar'!$C:$C,N34092))</f>
        <v>0</v>
      </c>
    </row>
    <row r="34093" spans="13:16">
      <c r="M34093" s="49">
        <f>IF($A$4+340&gt;$B$4,"",$A$4+340)</f>
        <v>46363</v>
      </c>
      <c r="N34093">
        <f>IF(M34093="","",'Master Barang'!A87)</f>
        <v>0</v>
      </c>
      <c r="O34093">
        <f>IF(N34093="","",'Master Barang'!B87)</f>
        <v>0</v>
      </c>
      <c r="P34093">
        <f>IF(OR(M34093="",N34093=""),"",SUMIFS('Barang Keluar'!$E:$E,'Barang Keluar'!$A:$A,M34093,'Barang Keluar'!$C:$C,N34093))</f>
        <v>0</v>
      </c>
    </row>
    <row r="34094" spans="13:16">
      <c r="M34094" s="49">
        <f>IF($A$4+340&gt;$B$4,"",$A$4+340)</f>
        <v>46363</v>
      </c>
      <c r="N34094">
        <f>IF(M34094="","",'Master Barang'!A88)</f>
        <v>0</v>
      </c>
      <c r="O34094">
        <f>IF(N34094="","",'Master Barang'!B88)</f>
        <v>0</v>
      </c>
      <c r="P34094">
        <f>IF(OR(M34094="",N34094=""),"",SUMIFS('Barang Keluar'!$E:$E,'Barang Keluar'!$A:$A,M34094,'Barang Keluar'!$C:$C,N34094))</f>
        <v>0</v>
      </c>
    </row>
    <row r="34095" spans="13:16">
      <c r="M34095" s="49">
        <f>IF($A$4+340&gt;$B$4,"",$A$4+340)</f>
        <v>46363</v>
      </c>
      <c r="N34095">
        <f>IF(M34095="","",'Master Barang'!A89)</f>
        <v>0</v>
      </c>
      <c r="O34095">
        <f>IF(N34095="","",'Master Barang'!B89)</f>
        <v>0</v>
      </c>
      <c r="P34095">
        <f>IF(OR(M34095="",N34095=""),"",SUMIFS('Barang Keluar'!$E:$E,'Barang Keluar'!$A:$A,M34095,'Barang Keluar'!$C:$C,N34095))</f>
        <v>0</v>
      </c>
    </row>
    <row r="34096" spans="13:16">
      <c r="M34096" s="49">
        <f>IF($A$4+340&gt;$B$4,"",$A$4+340)</f>
        <v>46363</v>
      </c>
      <c r="N34096">
        <f>IF(M34096="","",'Master Barang'!A90)</f>
        <v>0</v>
      </c>
      <c r="O34096">
        <f>IF(N34096="","",'Master Barang'!B90)</f>
        <v>0</v>
      </c>
      <c r="P34096">
        <f>IF(OR(M34096="",N34096=""),"",SUMIFS('Barang Keluar'!$E:$E,'Barang Keluar'!$A:$A,M34096,'Barang Keluar'!$C:$C,N34096))</f>
        <v>0</v>
      </c>
    </row>
    <row r="34097" spans="13:16">
      <c r="M34097" s="49">
        <f>IF($A$4+340&gt;$B$4,"",$A$4+340)</f>
        <v>46363</v>
      </c>
      <c r="N34097">
        <f>IF(M34097="","",'Master Barang'!A91)</f>
        <v>0</v>
      </c>
      <c r="O34097">
        <f>IF(N34097="","",'Master Barang'!B91)</f>
        <v>0</v>
      </c>
      <c r="P34097">
        <f>IF(OR(M34097="",N34097=""),"",SUMIFS('Barang Keluar'!$E:$E,'Barang Keluar'!$A:$A,M34097,'Barang Keluar'!$C:$C,N34097))</f>
        <v>0</v>
      </c>
    </row>
    <row r="34098" spans="13:16">
      <c r="M34098" s="49">
        <f>IF($A$4+340&gt;$B$4,"",$A$4+340)</f>
        <v>46363</v>
      </c>
      <c r="N34098">
        <f>IF(M34098="","",'Master Barang'!A92)</f>
        <v>0</v>
      </c>
      <c r="O34098">
        <f>IF(N34098="","",'Master Barang'!B92)</f>
        <v>0</v>
      </c>
      <c r="P34098">
        <f>IF(OR(M34098="",N34098=""),"",SUMIFS('Barang Keluar'!$E:$E,'Barang Keluar'!$A:$A,M34098,'Barang Keluar'!$C:$C,N34098))</f>
        <v>0</v>
      </c>
    </row>
    <row r="34099" spans="13:16">
      <c r="M34099" s="49">
        <f>IF($A$4+340&gt;$B$4,"",$A$4+340)</f>
        <v>46363</v>
      </c>
      <c r="N34099">
        <f>IF(M34099="","",'Master Barang'!A93)</f>
        <v>0</v>
      </c>
      <c r="O34099">
        <f>IF(N34099="","",'Master Barang'!B93)</f>
        <v>0</v>
      </c>
      <c r="P34099">
        <f>IF(OR(M34099="",N34099=""),"",SUMIFS('Barang Keluar'!$E:$E,'Barang Keluar'!$A:$A,M34099,'Barang Keluar'!$C:$C,N34099))</f>
        <v>0</v>
      </c>
    </row>
    <row r="34100" spans="13:16">
      <c r="M34100" s="49">
        <f>IF($A$4+340&gt;$B$4,"",$A$4+340)</f>
        <v>46363</v>
      </c>
      <c r="N34100">
        <f>IF(M34100="","",'Master Barang'!A94)</f>
        <v>0</v>
      </c>
      <c r="O34100">
        <f>IF(N34100="","",'Master Barang'!B94)</f>
        <v>0</v>
      </c>
      <c r="P34100">
        <f>IF(OR(M34100="",N34100=""),"",SUMIFS('Barang Keluar'!$E:$E,'Barang Keluar'!$A:$A,M34100,'Barang Keluar'!$C:$C,N34100))</f>
        <v>0</v>
      </c>
    </row>
    <row r="34101" spans="13:16">
      <c r="M34101" s="49">
        <f>IF($A$4+340&gt;$B$4,"",$A$4+340)</f>
        <v>46363</v>
      </c>
      <c r="N34101">
        <f>IF(M34101="","",'Master Barang'!A95)</f>
        <v>0</v>
      </c>
      <c r="O34101">
        <f>IF(N34101="","",'Master Barang'!B95)</f>
        <v>0</v>
      </c>
      <c r="P34101">
        <f>IF(OR(M34101="",N34101=""),"",SUMIFS('Barang Keluar'!$E:$E,'Barang Keluar'!$A:$A,M34101,'Barang Keluar'!$C:$C,N34101))</f>
        <v>0</v>
      </c>
    </row>
    <row r="34102" spans="13:16">
      <c r="M34102" s="49">
        <f>IF($A$4+340&gt;$B$4,"",$A$4+340)</f>
        <v>46363</v>
      </c>
      <c r="N34102">
        <f>IF(M34102="","",'Master Barang'!A96)</f>
        <v>0</v>
      </c>
      <c r="O34102">
        <f>IF(N34102="","",'Master Barang'!B96)</f>
        <v>0</v>
      </c>
      <c r="P34102">
        <f>IF(OR(M34102="",N34102=""),"",SUMIFS('Barang Keluar'!$E:$E,'Barang Keluar'!$A:$A,M34102,'Barang Keluar'!$C:$C,N34102))</f>
        <v>0</v>
      </c>
    </row>
    <row r="34103" spans="13:16">
      <c r="M34103" s="49">
        <f>IF($A$4+340&gt;$B$4,"",$A$4+340)</f>
        <v>46363</v>
      </c>
      <c r="N34103">
        <f>IF(M34103="","",'Master Barang'!A97)</f>
        <v>0</v>
      </c>
      <c r="O34103">
        <f>IF(N34103="","",'Master Barang'!B97)</f>
        <v>0</v>
      </c>
      <c r="P34103">
        <f>IF(OR(M34103="",N34103=""),"",SUMIFS('Barang Keluar'!$E:$E,'Barang Keluar'!$A:$A,M34103,'Barang Keluar'!$C:$C,N34103))</f>
        <v>0</v>
      </c>
    </row>
    <row r="34104" spans="13:16">
      <c r="M34104" s="49">
        <f>IF($A$4+340&gt;$B$4,"",$A$4+340)</f>
        <v>46363</v>
      </c>
      <c r="N34104">
        <f>IF(M34104="","",'Master Barang'!A98)</f>
        <v>0</v>
      </c>
      <c r="O34104">
        <f>IF(N34104="","",'Master Barang'!B98)</f>
        <v>0</v>
      </c>
      <c r="P34104">
        <f>IF(OR(M34104="",N34104=""),"",SUMIFS('Barang Keluar'!$E:$E,'Barang Keluar'!$A:$A,M34104,'Barang Keluar'!$C:$C,N34104))</f>
        <v>0</v>
      </c>
    </row>
    <row r="34105" spans="13:16">
      <c r="M34105" s="49">
        <f>IF($A$4+340&gt;$B$4,"",$A$4+340)</f>
        <v>46363</v>
      </c>
      <c r="N34105">
        <f>IF(M34105="","",'Master Barang'!A99)</f>
        <v>0</v>
      </c>
      <c r="O34105">
        <f>IF(N34105="","",'Master Barang'!B99)</f>
        <v>0</v>
      </c>
      <c r="P34105">
        <f>IF(OR(M34105="",N34105=""),"",SUMIFS('Barang Keluar'!$E:$E,'Barang Keluar'!$A:$A,M34105,'Barang Keluar'!$C:$C,N34105))</f>
        <v>0</v>
      </c>
    </row>
    <row r="34106" spans="13:16">
      <c r="M34106" s="49">
        <f>IF($A$4+340&gt;$B$4,"",$A$4+340)</f>
        <v>46363</v>
      </c>
      <c r="N34106">
        <f>IF(M34106="","",'Master Barang'!A100)</f>
        <v>0</v>
      </c>
      <c r="O34106">
        <f>IF(N34106="","",'Master Barang'!B100)</f>
        <v>0</v>
      </c>
      <c r="P34106">
        <f>IF(OR(M34106="",N34106=""),"",SUMIFS('Barang Keluar'!$E:$E,'Barang Keluar'!$A:$A,M34106,'Barang Keluar'!$C:$C,N34106))</f>
        <v>0</v>
      </c>
    </row>
    <row r="34107" spans="13:16">
      <c r="M34107" s="49">
        <f>IF($A$4+340&gt;$B$4,"",$A$4+340)</f>
        <v>46363</v>
      </c>
      <c r="N34107">
        <f>IF(M34107="","",'Master Barang'!A101)</f>
        <v>0</v>
      </c>
      <c r="O34107">
        <f>IF(N34107="","",'Master Barang'!B101)</f>
        <v>0</v>
      </c>
      <c r="P34107">
        <f>IF(OR(M34107="",N34107=""),"",SUMIFS('Barang Keluar'!$E:$E,'Barang Keluar'!$A:$A,M34107,'Barang Keluar'!$C:$C,N34107))</f>
        <v>0</v>
      </c>
    </row>
    <row r="34108" spans="13:16">
      <c r="M34108" s="49">
        <f>IF($A$4+341&gt;$B$4,"",$A$4+341)</f>
        <v>46364</v>
      </c>
      <c r="N34108" t="str">
        <f>IF(M34108="","",'Master Barang'!A2)</f>
        <v>PRL-001</v>
      </c>
      <c r="O34108" t="str">
        <f>IF(N34108="","",'Master Barang'!B2)</f>
        <v>natura desinfectant food grade 5l</v>
      </c>
      <c r="P34108">
        <f>IF(OR(M34108="",N34108=""),"",SUMIFS('Barang Keluar'!$E:$E,'Barang Keluar'!$A:$A,M34108,'Barang Keluar'!$C:$C,N34108))</f>
        <v>0</v>
      </c>
    </row>
    <row r="34109" spans="13:16">
      <c r="M34109" s="49">
        <f>IF($A$4+341&gt;$B$4,"",$A$4+341)</f>
        <v>46364</v>
      </c>
      <c r="N34109" t="str">
        <f>IF(M34109="","",'Master Barang'!A3)</f>
        <v>PRL-002</v>
      </c>
      <c r="O34109" t="str">
        <f>IF(N34109="","",'Master Barang'!B3)</f>
        <v>sunlight cairan pencuci piring 5l</v>
      </c>
      <c r="P34109">
        <f>IF(OR(M34109="",N34109=""),"",SUMIFS('Barang Keluar'!$E:$E,'Barang Keluar'!$A:$A,M34109,'Barang Keluar'!$C:$C,N34109))</f>
        <v>0</v>
      </c>
    </row>
    <row r="34110" spans="13:16">
      <c r="M34110" s="49">
        <f>IF($A$4+341&gt;$B$4,"",$A$4+341)</f>
        <v>46364</v>
      </c>
      <c r="N34110" t="str">
        <f>IF(M34110="","",'Master Barang'!A4)</f>
        <v>PRL-003</v>
      </c>
      <c r="O34110" t="str">
        <f>IF(N34110="","",'Master Barang'!B4)</f>
        <v>oixs cleaner 1l</v>
      </c>
      <c r="P34110">
        <f>IF(OR(M34110="",N34110=""),"",SUMIFS('Barang Keluar'!$E:$E,'Barang Keluar'!$A:$A,M34110,'Barang Keluar'!$C:$C,N34110))</f>
        <v>0</v>
      </c>
    </row>
    <row r="34111" spans="13:16">
      <c r="M34111" s="49">
        <f>IF($A$4+341&gt;$B$4,"",$A$4+341)</f>
        <v>46364</v>
      </c>
      <c r="N34111" t="str">
        <f>IF(M34111="","",'Master Barang'!A5)</f>
        <v>PRL-004</v>
      </c>
      <c r="O34111" t="str">
        <f>IF(N34111="","",'Master Barang'!B5)</f>
        <v>be clean tissue serbaguna</v>
      </c>
      <c r="P34111">
        <f>IF(OR(M34111="",N34111=""),"",SUMIFS('Barang Keluar'!$E:$E,'Barang Keluar'!$A:$A,M34111,'Barang Keluar'!$C:$C,N34111))</f>
        <v>0</v>
      </c>
    </row>
    <row r="34112" spans="13:16">
      <c r="M34112" s="49">
        <f>IF($A$4+341&gt;$B$4,"",$A$4+341)</f>
        <v>46364</v>
      </c>
      <c r="N34112" t="str">
        <f>IF(M34112="","",'Master Barang'!A6)</f>
        <v>PRL-005</v>
      </c>
      <c r="O34112" t="str">
        <f>IF(N34112="","",'Master Barang'!B6)</f>
        <v>spons cuci hijau</v>
      </c>
      <c r="P34112">
        <f>IF(OR(M34112="",N34112=""),"",SUMIFS('Barang Keluar'!$E:$E,'Barang Keluar'!$A:$A,M34112,'Barang Keluar'!$C:$C,N34112))</f>
        <v>0</v>
      </c>
    </row>
    <row r="34113" spans="13:16">
      <c r="M34113" s="49">
        <f>IF($A$4+341&gt;$B$4,"",$A$4+341)</f>
        <v>46364</v>
      </c>
      <c r="N34113" t="str">
        <f>IF(M34113="","",'Master Barang'!A7)</f>
        <v>PRL-006</v>
      </c>
      <c r="O34113" t="str">
        <f>IF(N34113="","",'Master Barang'!B7)</f>
        <v>sabut cuci stainless</v>
      </c>
      <c r="P34113">
        <f>IF(OR(M34113="",N34113=""),"",SUMIFS('Barang Keluar'!$E:$E,'Barang Keluar'!$A:$A,M34113,'Barang Keluar'!$C:$C,N34113))</f>
        <v>0</v>
      </c>
    </row>
    <row r="34114" spans="13:16">
      <c r="M34114" s="49">
        <f>IF($A$4+341&gt;$B$4,"",$A$4+341)</f>
        <v>46364</v>
      </c>
      <c r="N34114" t="str">
        <f>IF(M34114="","",'Master Barang'!A8)</f>
        <v>PRL-007</v>
      </c>
      <c r="O34114" t="str">
        <f>IF(N34114="","",'Master Barang'!B8)</f>
        <v>plastik kresek besar merah 50pc</v>
      </c>
      <c r="P34114">
        <f>IF(OR(M34114="",N34114=""),"",SUMIFS('Barang Keluar'!$E:$E,'Barang Keluar'!$A:$A,M34114,'Barang Keluar'!$C:$C,N34114))</f>
        <v>0</v>
      </c>
    </row>
    <row r="34115" spans="13:16">
      <c r="M34115" s="49">
        <f>IF($A$4+341&gt;$B$4,"",$A$4+341)</f>
        <v>46364</v>
      </c>
      <c r="N34115" t="str">
        <f>IF(M34115="","",'Master Barang'!A9)</f>
        <v>PRL-008</v>
      </c>
      <c r="O34115" t="str">
        <f>IF(N34115="","",'Master Barang'!B9)</f>
        <v>lap besar</v>
      </c>
      <c r="P34115">
        <f>IF(OR(M34115="",N34115=""),"",SUMIFS('Barang Keluar'!$E:$E,'Barang Keluar'!$A:$A,M34115,'Barang Keluar'!$C:$C,N34115))</f>
        <v>0</v>
      </c>
    </row>
    <row r="34116" spans="13:16">
      <c r="M34116" s="49">
        <f>IF($A$4+341&gt;$B$4,"",$A$4+341)</f>
        <v>46364</v>
      </c>
      <c r="N34116" t="str">
        <f>IF(M34116="","",'Master Barang'!A10)</f>
        <v>PRL-009</v>
      </c>
      <c r="O34116" t="str">
        <f>IF(N34116="","",'Master Barang'!B10)</f>
        <v>lap microfiber</v>
      </c>
      <c r="P34116">
        <f>IF(OR(M34116="",N34116=""),"",SUMIFS('Barang Keluar'!$E:$E,'Barang Keluar'!$A:$A,M34116,'Barang Keluar'!$C:$C,N34116))</f>
        <v>0</v>
      </c>
    </row>
    <row r="34117" spans="13:16">
      <c r="M34117" s="49">
        <f>IF($A$4+341&gt;$B$4,"",$A$4+341)</f>
        <v>46364</v>
      </c>
      <c r="N34117" t="str">
        <f>IF(M34117="","",'Master Barang'!A11)</f>
        <v>PRL-010</v>
      </c>
      <c r="O34117" t="str">
        <f>IF(N34117="","",'Master Barang'!B11)</f>
        <v>lap kecil</v>
      </c>
      <c r="P34117">
        <f>IF(OR(M34117="",N34117=""),"",SUMIFS('Barang Keluar'!$E:$E,'Barang Keluar'!$A:$A,M34117,'Barang Keluar'!$C:$C,N34117))</f>
        <v>0</v>
      </c>
    </row>
    <row r="34118" spans="13:16">
      <c r="M34118" s="49">
        <f>IF($A$4+341&gt;$B$4,"",$A$4+341)</f>
        <v>46364</v>
      </c>
      <c r="N34118" t="str">
        <f>IF(M34118="","",'Master Barang'!A12)</f>
        <v>PRL-011</v>
      </c>
      <c r="O34118" t="str">
        <f>IF(N34118="","",'Master Barang'!B12)</f>
        <v>kanebo kecil</v>
      </c>
      <c r="P34118">
        <f>IF(OR(M34118="",N34118=""),"",SUMIFS('Barang Keluar'!$E:$E,'Barang Keluar'!$A:$A,M34118,'Barang Keluar'!$C:$C,N34118))</f>
        <v>0</v>
      </c>
    </row>
    <row r="34119" spans="13:16">
      <c r="M34119" s="49">
        <f>IF($A$4+341&gt;$B$4,"",$A$4+341)</f>
        <v>46364</v>
      </c>
      <c r="N34119" t="str">
        <f>IF(M34119="","",'Master Barang'!A13)</f>
        <v>PRL-012</v>
      </c>
      <c r="O34119" t="str">
        <f>IF(N34119="","",'Master Barang'!B13)</f>
        <v>plastik 1/4kg joyoboyo 100 lembar</v>
      </c>
      <c r="P34119">
        <f>IF(OR(M34119="",N34119=""),"",SUMIFS('Barang Keluar'!$E:$E,'Barang Keluar'!$A:$A,M34119,'Barang Keluar'!$C:$C,N34119))</f>
        <v>0</v>
      </c>
    </row>
    <row r="34120" spans="13:16">
      <c r="M34120" s="49">
        <f>IF($A$4+341&gt;$B$4,"",$A$4+341)</f>
        <v>46364</v>
      </c>
      <c r="N34120" t="str">
        <f>IF(M34120="","",'Master Barang'!A14)</f>
        <v>PRL-013</v>
      </c>
      <c r="O34120" t="str">
        <f>IF(N34120="","",'Master Barang'!B14)</f>
        <v>sarung tangan plastik kaka 100 pcs</v>
      </c>
      <c r="P34120">
        <f>IF(OR(M34120="",N34120=""),"",SUMIFS('Barang Keluar'!$E:$E,'Barang Keluar'!$A:$A,M34120,'Barang Keluar'!$C:$C,N34120))</f>
        <v>0</v>
      </c>
    </row>
    <row r="34121" spans="13:16">
      <c r="M34121" s="49">
        <f>IF($A$4+341&gt;$B$4,"",$A$4+341)</f>
        <v>46364</v>
      </c>
      <c r="N34121" t="str">
        <f>IF(M34121="","",'Master Barang'!A15)</f>
        <v>PRL-014</v>
      </c>
      <c r="O34121" t="str">
        <f>IF(N34121="","",'Master Barang'!B15)</f>
        <v>optima trashbag 80x100</v>
      </c>
      <c r="P34121">
        <f>IF(OR(M34121="",N34121=""),"",SUMIFS('Barang Keluar'!$E:$E,'Barang Keluar'!$A:$A,M34121,'Barang Keluar'!$C:$C,N34121))</f>
        <v>0</v>
      </c>
    </row>
    <row r="34122" spans="13:16">
      <c r="M34122" s="49">
        <f>IF($A$4+341&gt;$B$4,"",$A$4+341)</f>
        <v>46364</v>
      </c>
      <c r="N34122" t="str">
        <f>IF(M34122="","",'Master Barang'!A16)</f>
        <v>PRL-015</v>
      </c>
      <c r="O34122" t="str">
        <f>IF(N34122="","",'Master Barang'!B16)</f>
        <v>optima trashbag 60x100</v>
      </c>
      <c r="P34122">
        <f>IF(OR(M34122="",N34122=""),"",SUMIFS('Barang Keluar'!$E:$E,'Barang Keluar'!$A:$A,M34122,'Barang Keluar'!$C:$C,N34122))</f>
        <v>0</v>
      </c>
    </row>
    <row r="34123" spans="13:16">
      <c r="M34123" s="49">
        <f>IF($A$4+341&gt;$B$4,"",$A$4+341)</f>
        <v>46364</v>
      </c>
      <c r="N34123" t="str">
        <f>IF(M34123="","",'Master Barang'!A17)</f>
        <v>PRL-016</v>
      </c>
      <c r="O34123" t="str">
        <f>IF(N34123="","",'Master Barang'!B17)</f>
        <v>rajawali trashbag 30x40</v>
      </c>
      <c r="P34123">
        <f>IF(OR(M34123="",N34123=""),"",SUMIFS('Barang Keluar'!$E:$E,'Barang Keluar'!$A:$A,M34123,'Barang Keluar'!$C:$C,N34123))</f>
        <v>0</v>
      </c>
    </row>
    <row r="34124" spans="13:16">
      <c r="M34124" s="49">
        <f>IF($A$4+341&gt;$B$4,"",$A$4+341)</f>
        <v>46364</v>
      </c>
      <c r="N34124" t="str">
        <f>IF(M34124="","",'Master Barang'!A18)</f>
        <v>PRL-017</v>
      </c>
      <c r="O34124" t="str">
        <f>IF(N34124="","",'Master Barang'!B18)</f>
        <v>onemed masker biru 3 play 50 pcs</v>
      </c>
      <c r="P34124">
        <f>IF(OR(M34124="",N34124=""),"",SUMIFS('Barang Keluar'!$E:$E,'Barang Keluar'!$A:$A,M34124,'Barang Keluar'!$C:$C,N34124))</f>
        <v>0</v>
      </c>
    </row>
    <row r="34125" spans="13:16">
      <c r="M34125" s="49">
        <f>IF($A$4+341&gt;$B$4,"",$A$4+341)</f>
        <v>46364</v>
      </c>
      <c r="N34125" t="str">
        <f>IF(M34125="","",'Master Barang'!A19)</f>
        <v>PRL-018</v>
      </c>
      <c r="O34125" t="str">
        <f>IF(N34125="","",'Master Barang'!B19)</f>
        <v>onemed masker biru 3 play hijab 50 pcs</v>
      </c>
      <c r="P34125">
        <f>IF(OR(M34125="",N34125=""),"",SUMIFS('Barang Keluar'!$E:$E,'Barang Keluar'!$A:$A,M34125,'Barang Keluar'!$C:$C,N34125))</f>
        <v>0</v>
      </c>
    </row>
    <row r="34126" spans="13:16">
      <c r="M34126" s="49">
        <f>IF($A$4+341&gt;$B$4,"",$A$4+341)</f>
        <v>46364</v>
      </c>
      <c r="N34126" t="str">
        <f>IF(M34126="","",'Master Barang'!A20)</f>
        <v>PRL-019</v>
      </c>
      <c r="O34126" t="str">
        <f>IF(N34126="","",'Master Barang'!B20)</f>
        <v>neo health masker biru 3 play 50 pcs</v>
      </c>
      <c r="P34126">
        <f>IF(OR(M34126="",N34126=""),"",SUMIFS('Barang Keluar'!$E:$E,'Barang Keluar'!$A:$A,M34126,'Barang Keluar'!$C:$C,N34126))</f>
        <v>0</v>
      </c>
    </row>
    <row r="34127" spans="13:16">
      <c r="M34127" s="49">
        <f>IF($A$4+341&gt;$B$4,"",$A$4+341)</f>
        <v>46364</v>
      </c>
      <c r="N34127" t="str">
        <f>IF(M34127="","",'Master Barang'!A21)</f>
        <v>PRL-020</v>
      </c>
      <c r="O34127" t="str">
        <f>IF(N34127="","",'Master Barang'!B21)</f>
        <v>baymed masker hijau 3 play hijau 50 pcs</v>
      </c>
      <c r="P34127">
        <f>IF(OR(M34127="",N34127=""),"",SUMIFS('Barang Keluar'!$E:$E,'Barang Keluar'!$A:$A,M34127,'Barang Keluar'!$C:$C,N34127))</f>
        <v>0</v>
      </c>
    </row>
    <row r="34128" spans="13:16">
      <c r="M34128" s="49">
        <f>IF($A$4+341&gt;$B$4,"",$A$4+341)</f>
        <v>46364</v>
      </c>
      <c r="N34128" t="str">
        <f>IF(M34128="","",'Master Barang'!A22)</f>
        <v>PRL-021</v>
      </c>
      <c r="O34128" t="str">
        <f>IF(N34128="","",'Master Barang'!B22)</f>
        <v>altamed nurse cap penutup kepala 100 pcs</v>
      </c>
      <c r="P34128">
        <f>IF(OR(M34128="",N34128=""),"",SUMIFS('Barang Keluar'!$E:$E,'Barang Keluar'!$A:$A,M34128,'Barang Keluar'!$C:$C,N34128))</f>
        <v>0</v>
      </c>
    </row>
    <row r="34129" spans="13:16">
      <c r="M34129" s="49">
        <f>IF($A$4+341&gt;$B$4,"",$A$4+341)</f>
        <v>46364</v>
      </c>
      <c r="N34129" t="str">
        <f>IF(M34129="","",'Master Barang'!A23)</f>
        <v>PRL-022</v>
      </c>
      <c r="O34129" t="str">
        <f>IF(N34129="","",'Master Barang'!B23)</f>
        <v>sabun cuci tangan</v>
      </c>
      <c r="P34129">
        <f>IF(OR(M34129="",N34129=""),"",SUMIFS('Barang Keluar'!$E:$E,'Barang Keluar'!$A:$A,M34129,'Barang Keluar'!$C:$C,N34129))</f>
        <v>0</v>
      </c>
    </row>
    <row r="34130" spans="13:16">
      <c r="M34130" s="49">
        <f>IF($A$4+341&gt;$B$4,"",$A$4+341)</f>
        <v>46364</v>
      </c>
      <c r="N34130" t="str">
        <f>IF(M34130="","",'Master Barang'!A24)</f>
        <v>PRL-023</v>
      </c>
      <c r="O34130" t="str">
        <f>IF(N34130="","",'Master Barang'!B24)</f>
        <v>gayung kecil</v>
      </c>
      <c r="P34130">
        <f>IF(OR(M34130="",N34130=""),"",SUMIFS('Barang Keluar'!$E:$E,'Barang Keluar'!$A:$A,M34130,'Barang Keluar'!$C:$C,N34130))</f>
        <v>0</v>
      </c>
    </row>
    <row r="34131" spans="13:16">
      <c r="M34131" s="49">
        <f>IF($A$4+341&gt;$B$4,"",$A$4+341)</f>
        <v>46364</v>
      </c>
      <c r="N34131" t="str">
        <f>IF(M34131="","",'Master Barang'!A25)</f>
        <v>PRL-024</v>
      </c>
      <c r="O34131" t="str">
        <f>IF(N34131="","",'Master Barang'!B25)</f>
        <v>cikrak kecil</v>
      </c>
      <c r="P34131">
        <f>IF(OR(M34131="",N34131=""),"",SUMIFS('Barang Keluar'!$E:$E,'Barang Keluar'!$A:$A,M34131,'Barang Keluar'!$C:$C,N34131))</f>
        <v>0</v>
      </c>
    </row>
    <row r="34132" spans="13:16">
      <c r="M34132" s="49">
        <f>IF($A$4+341&gt;$B$4,"",$A$4+341)</f>
        <v>46364</v>
      </c>
      <c r="N34132" t="str">
        <f>IF(M34132="","",'Master Barang'!A26)</f>
        <v>PRL-025</v>
      </c>
      <c r="O34132" t="str">
        <f>IF(N34132="","",'Master Barang'!B26)</f>
        <v>petromax plastik kecil 12x24 100 lembar</v>
      </c>
      <c r="P34132">
        <f>IF(OR(M34132="",N34132=""),"",SUMIFS('Barang Keluar'!$E:$E,'Barang Keluar'!$A:$A,M34132,'Barang Keluar'!$C:$C,N34132))</f>
        <v>0</v>
      </c>
    </row>
    <row r="34133" spans="13:16">
      <c r="M34133" s="49">
        <f>IF($A$4+341&gt;$B$4,"",$A$4+341)</f>
        <v>46364</v>
      </c>
      <c r="N34133" t="str">
        <f>IF(M34133="","",'Master Barang'!A27)</f>
        <v>PRL-026</v>
      </c>
      <c r="O34133" t="str">
        <f>IF(N34133="","",'Master Barang'!B27)</f>
        <v>lancar kresek kecil bening </v>
      </c>
      <c r="P34133">
        <f>IF(OR(M34133="",N34133=""),"",SUMIFS('Barang Keluar'!$E:$E,'Barang Keluar'!$A:$A,M34133,'Barang Keluar'!$C:$C,N34133))</f>
        <v>0</v>
      </c>
    </row>
    <row r="34134" spans="13:16">
      <c r="M34134" s="49">
        <f>IF($A$4+341&gt;$B$4,"",$A$4+341)</f>
        <v>46364</v>
      </c>
      <c r="N34134" t="str">
        <f>IF(M34134="","",'Master Barang'!A28)</f>
        <v>PRL-027</v>
      </c>
      <c r="O34134" t="str">
        <f>IF(N34134="","",'Master Barang'!B28)</f>
        <v>kresek klin warna warni kecil</v>
      </c>
      <c r="P34134">
        <f>IF(OR(M34134="",N34134=""),"",SUMIFS('Barang Keluar'!$E:$E,'Barang Keluar'!$A:$A,M34134,'Barang Keluar'!$C:$C,N34134))</f>
        <v>0</v>
      </c>
    </row>
    <row r="34135" spans="13:16">
      <c r="M34135" s="49">
        <f>IF($A$4+341&gt;$B$4,"",$A$4+341)</f>
        <v>46364</v>
      </c>
      <c r="N34135" t="str">
        <f>IF(M34135="","",'Master Barang'!A29)</f>
        <v>PRL-028</v>
      </c>
      <c r="O34135" t="str">
        <f>IF(N34135="","",'Master Barang'!B29)</f>
        <v>ctik plastik 7x10 100 pcs</v>
      </c>
      <c r="P34135">
        <f>IF(OR(M34135="",N34135=""),"",SUMIFS('Barang Keluar'!$E:$E,'Barang Keluar'!$A:$A,M34135,'Barang Keluar'!$C:$C,N34135))</f>
        <v>0</v>
      </c>
    </row>
    <row r="34136" spans="13:16">
      <c r="M34136" s="49">
        <f>IF($A$4+341&gt;$B$4,"",$A$4+341)</f>
        <v>46364</v>
      </c>
      <c r="N34136" t="str">
        <f>IF(M34136="","",'Master Barang'!A30)</f>
        <v>PRL-029</v>
      </c>
      <c r="O34136" t="str">
        <f>IF(N34136="","",'Master Barang'!B30)</f>
        <v>ctik plastik 6x10 100 pcs</v>
      </c>
      <c r="P34136">
        <f>IF(OR(M34136="",N34136=""),"",SUMIFS('Barang Keluar'!$E:$E,'Barang Keluar'!$A:$A,M34136,'Barang Keluar'!$C:$C,N34136))</f>
        <v>0</v>
      </c>
    </row>
    <row r="34137" spans="13:16">
      <c r="M34137" s="49">
        <f>IF($A$4+341&gt;$B$4,"",$A$4+341)</f>
        <v>46364</v>
      </c>
      <c r="N34137" t="str">
        <f>IF(M34137="","",'Master Barang'!A31)</f>
        <v>PRL-030</v>
      </c>
      <c r="O34137" t="str">
        <f>IF(N34137="","",'Master Barang'!B31)</f>
        <v>klip plastik 25x16 100 pcs</v>
      </c>
      <c r="P34137">
        <f>IF(OR(M34137="",N34137=""),"",SUMIFS('Barang Keluar'!$E:$E,'Barang Keluar'!$A:$A,M34137,'Barang Keluar'!$C:$C,N34137))</f>
        <v>0</v>
      </c>
    </row>
    <row r="34138" spans="13:16">
      <c r="M34138" s="49">
        <f>IF($A$4+341&gt;$B$4,"",$A$4+341)</f>
        <v>46364</v>
      </c>
      <c r="N34138" t="str">
        <f>IF(M34138="","",'Master Barang'!A32)</f>
        <v>PRL-031</v>
      </c>
      <c r="O34138" t="str">
        <f>IF(N34138="","",'Master Barang'!B32)</f>
        <v>tempat saus 20 ml</v>
      </c>
      <c r="P34138">
        <f>IF(OR(M34138="",N34138=""),"",SUMIFS('Barang Keluar'!$E:$E,'Barang Keluar'!$A:$A,M34138,'Barang Keluar'!$C:$C,N34138))</f>
        <v>0</v>
      </c>
    </row>
    <row r="34139" spans="13:16">
      <c r="M34139" s="49">
        <f>IF($A$4+341&gt;$B$4,"",$A$4+341)</f>
        <v>46364</v>
      </c>
      <c r="N34139" t="str">
        <f>IF(M34139="","",'Master Barang'!A33)</f>
        <v>PRL-032</v>
      </c>
      <c r="O34139" t="str">
        <f>IF(N34139="","",'Master Barang'!B33)</f>
        <v>plastik packaging ag box uk sedang</v>
      </c>
      <c r="P34139">
        <f>IF(OR(M34139="",N34139=""),"",SUMIFS('Barang Keluar'!$E:$E,'Barang Keluar'!$A:$A,M34139,'Barang Keluar'!$C:$C,N34139))</f>
        <v>0</v>
      </c>
    </row>
    <row r="34140" spans="13:16">
      <c r="M34140" s="49">
        <f>IF($A$4+341&gt;$B$4,"",$A$4+341)</f>
        <v>46364</v>
      </c>
      <c r="N34140" t="str">
        <f>IF(M34140="","",'Master Barang'!A34)</f>
        <v>PRL-033</v>
      </c>
      <c r="O34140">
        <f>IF(N34140="","",'Master Barang'!B34)</f>
        <v>0</v>
      </c>
      <c r="P34140">
        <f>IF(OR(M34140="",N34140=""),"",SUMIFS('Barang Keluar'!$E:$E,'Barang Keluar'!$A:$A,M34140,'Barang Keluar'!$C:$C,N34140))</f>
        <v>0</v>
      </c>
    </row>
    <row r="34141" spans="13:16">
      <c r="M34141" s="49">
        <f>IF($A$4+341&gt;$B$4,"",$A$4+341)</f>
        <v>46364</v>
      </c>
      <c r="N34141">
        <f>IF(M34141="","",'Master Barang'!A35)</f>
        <v>0</v>
      </c>
      <c r="O34141">
        <f>IF(N34141="","",'Master Barang'!B35)</f>
        <v>0</v>
      </c>
      <c r="P34141">
        <f>IF(OR(M34141="",N34141=""),"",SUMIFS('Barang Keluar'!$E:$E,'Barang Keluar'!$A:$A,M34141,'Barang Keluar'!$C:$C,N34141))</f>
        <v>0</v>
      </c>
    </row>
    <row r="34142" spans="13:16">
      <c r="M34142" s="49">
        <f>IF($A$4+341&gt;$B$4,"",$A$4+341)</f>
        <v>46364</v>
      </c>
      <c r="N34142">
        <f>IF(M34142="","",'Master Barang'!A36)</f>
        <v>0</v>
      </c>
      <c r="O34142">
        <f>IF(N34142="","",'Master Barang'!B36)</f>
        <v>0</v>
      </c>
      <c r="P34142">
        <f>IF(OR(M34142="",N34142=""),"",SUMIFS('Barang Keluar'!$E:$E,'Barang Keluar'!$A:$A,M34142,'Barang Keluar'!$C:$C,N34142))</f>
        <v>0</v>
      </c>
    </row>
    <row r="34143" spans="13:16">
      <c r="M34143" s="49">
        <f>IF($A$4+341&gt;$B$4,"",$A$4+341)</f>
        <v>46364</v>
      </c>
      <c r="N34143">
        <f>IF(M34143="","",'Master Barang'!A37)</f>
        <v>0</v>
      </c>
      <c r="O34143">
        <f>IF(N34143="","",'Master Barang'!B37)</f>
        <v>0</v>
      </c>
      <c r="P34143">
        <f>IF(OR(M34143="",N34143=""),"",SUMIFS('Barang Keluar'!$E:$E,'Barang Keluar'!$A:$A,M34143,'Barang Keluar'!$C:$C,N34143))</f>
        <v>0</v>
      </c>
    </row>
    <row r="34144" spans="13:16">
      <c r="M34144" s="49">
        <f>IF($A$4+341&gt;$B$4,"",$A$4+341)</f>
        <v>46364</v>
      </c>
      <c r="N34144">
        <f>IF(M34144="","",'Master Barang'!A38)</f>
        <v>0</v>
      </c>
      <c r="O34144">
        <f>IF(N34144="","",'Master Barang'!B38)</f>
        <v>0</v>
      </c>
      <c r="P34144">
        <f>IF(OR(M34144="",N34144=""),"",SUMIFS('Barang Keluar'!$E:$E,'Barang Keluar'!$A:$A,M34144,'Barang Keluar'!$C:$C,N34144))</f>
        <v>0</v>
      </c>
    </row>
    <row r="34145" spans="13:16">
      <c r="M34145" s="49">
        <f>IF($A$4+341&gt;$B$4,"",$A$4+341)</f>
        <v>46364</v>
      </c>
      <c r="N34145">
        <f>IF(M34145="","",'Master Barang'!A39)</f>
        <v>0</v>
      </c>
      <c r="O34145">
        <f>IF(N34145="","",'Master Barang'!B39)</f>
        <v>0</v>
      </c>
      <c r="P34145">
        <f>IF(OR(M34145="",N34145=""),"",SUMIFS('Barang Keluar'!$E:$E,'Barang Keluar'!$A:$A,M34145,'Barang Keluar'!$C:$C,N34145))</f>
        <v>0</v>
      </c>
    </row>
    <row r="34146" spans="13:16">
      <c r="M34146" s="49">
        <f>IF($A$4+341&gt;$B$4,"",$A$4+341)</f>
        <v>46364</v>
      </c>
      <c r="N34146">
        <f>IF(M34146="","",'Master Barang'!A40)</f>
        <v>0</v>
      </c>
      <c r="O34146">
        <f>IF(N34146="","",'Master Barang'!B40)</f>
        <v>0</v>
      </c>
      <c r="P34146">
        <f>IF(OR(M34146="",N34146=""),"",SUMIFS('Barang Keluar'!$E:$E,'Barang Keluar'!$A:$A,M34146,'Barang Keluar'!$C:$C,N34146))</f>
        <v>0</v>
      </c>
    </row>
    <row r="34147" spans="13:16">
      <c r="M34147" s="49">
        <f>IF($A$4+341&gt;$B$4,"",$A$4+341)</f>
        <v>46364</v>
      </c>
      <c r="N34147">
        <f>IF(M34147="","",'Master Barang'!A41)</f>
        <v>0</v>
      </c>
      <c r="O34147">
        <f>IF(N34147="","",'Master Barang'!B41)</f>
        <v>0</v>
      </c>
      <c r="P34147">
        <f>IF(OR(M34147="",N34147=""),"",SUMIFS('Barang Keluar'!$E:$E,'Barang Keluar'!$A:$A,M34147,'Barang Keluar'!$C:$C,N34147))</f>
        <v>0</v>
      </c>
    </row>
    <row r="34148" spans="13:16">
      <c r="M34148" s="49">
        <f>IF($A$4+341&gt;$B$4,"",$A$4+341)</f>
        <v>46364</v>
      </c>
      <c r="N34148">
        <f>IF(M34148="","",'Master Barang'!A42)</f>
        <v>0</v>
      </c>
      <c r="O34148">
        <f>IF(N34148="","",'Master Barang'!B42)</f>
        <v>0</v>
      </c>
      <c r="P34148">
        <f>IF(OR(M34148="",N34148=""),"",SUMIFS('Barang Keluar'!$E:$E,'Barang Keluar'!$A:$A,M34148,'Barang Keluar'!$C:$C,N34148))</f>
        <v>0</v>
      </c>
    </row>
    <row r="34149" spans="13:16">
      <c r="M34149" s="49">
        <f>IF($A$4+341&gt;$B$4,"",$A$4+341)</f>
        <v>46364</v>
      </c>
      <c r="N34149">
        <f>IF(M34149="","",'Master Barang'!A43)</f>
        <v>0</v>
      </c>
      <c r="O34149">
        <f>IF(N34149="","",'Master Barang'!B43)</f>
        <v>0</v>
      </c>
      <c r="P34149">
        <f>IF(OR(M34149="",N34149=""),"",SUMIFS('Barang Keluar'!$E:$E,'Barang Keluar'!$A:$A,M34149,'Barang Keluar'!$C:$C,N34149))</f>
        <v>0</v>
      </c>
    </row>
    <row r="34150" spans="13:16">
      <c r="M34150" s="49">
        <f>IF($A$4+341&gt;$B$4,"",$A$4+341)</f>
        <v>46364</v>
      </c>
      <c r="N34150">
        <f>IF(M34150="","",'Master Barang'!A44)</f>
        <v>0</v>
      </c>
      <c r="O34150">
        <f>IF(N34150="","",'Master Barang'!B44)</f>
        <v>0</v>
      </c>
      <c r="P34150">
        <f>IF(OR(M34150="",N34150=""),"",SUMIFS('Barang Keluar'!$E:$E,'Barang Keluar'!$A:$A,M34150,'Barang Keluar'!$C:$C,N34150))</f>
        <v>0</v>
      </c>
    </row>
    <row r="34151" spans="13:16">
      <c r="M34151" s="49">
        <f>IF($A$4+341&gt;$B$4,"",$A$4+341)</f>
        <v>46364</v>
      </c>
      <c r="N34151">
        <f>IF(M34151="","",'Master Barang'!A45)</f>
        <v>0</v>
      </c>
      <c r="O34151">
        <f>IF(N34151="","",'Master Barang'!B45)</f>
        <v>0</v>
      </c>
      <c r="P34151">
        <f>IF(OR(M34151="",N34151=""),"",SUMIFS('Barang Keluar'!$E:$E,'Barang Keluar'!$A:$A,M34151,'Barang Keluar'!$C:$C,N34151))</f>
        <v>0</v>
      </c>
    </row>
    <row r="34152" spans="13:16">
      <c r="M34152" s="49">
        <f>IF($A$4+341&gt;$B$4,"",$A$4+341)</f>
        <v>46364</v>
      </c>
      <c r="N34152">
        <f>IF(M34152="","",'Master Barang'!A46)</f>
        <v>0</v>
      </c>
      <c r="O34152">
        <f>IF(N34152="","",'Master Barang'!B46)</f>
        <v>0</v>
      </c>
      <c r="P34152">
        <f>IF(OR(M34152="",N34152=""),"",SUMIFS('Barang Keluar'!$E:$E,'Barang Keluar'!$A:$A,M34152,'Barang Keluar'!$C:$C,N34152))</f>
        <v>0</v>
      </c>
    </row>
    <row r="34153" spans="13:16">
      <c r="M34153" s="49">
        <f>IF($A$4+341&gt;$B$4,"",$A$4+341)</f>
        <v>46364</v>
      </c>
      <c r="N34153">
        <f>IF(M34153="","",'Master Barang'!A47)</f>
        <v>0</v>
      </c>
      <c r="O34153">
        <f>IF(N34153="","",'Master Barang'!B47)</f>
        <v>0</v>
      </c>
      <c r="P34153">
        <f>IF(OR(M34153="",N34153=""),"",SUMIFS('Barang Keluar'!$E:$E,'Barang Keluar'!$A:$A,M34153,'Barang Keluar'!$C:$C,N34153))</f>
        <v>0</v>
      </c>
    </row>
    <row r="34154" spans="13:16">
      <c r="M34154" s="49">
        <f>IF($A$4+341&gt;$B$4,"",$A$4+341)</f>
        <v>46364</v>
      </c>
      <c r="N34154">
        <f>IF(M34154="","",'Master Barang'!A48)</f>
        <v>0</v>
      </c>
      <c r="O34154">
        <f>IF(N34154="","",'Master Barang'!B48)</f>
        <v>0</v>
      </c>
      <c r="P34154">
        <f>IF(OR(M34154="",N34154=""),"",SUMIFS('Barang Keluar'!$E:$E,'Barang Keluar'!$A:$A,M34154,'Barang Keluar'!$C:$C,N34154))</f>
        <v>0</v>
      </c>
    </row>
    <row r="34155" spans="13:16">
      <c r="M34155" s="49">
        <f>IF($A$4+341&gt;$B$4,"",$A$4+341)</f>
        <v>46364</v>
      </c>
      <c r="N34155">
        <f>IF(M34155="","",'Master Barang'!A49)</f>
        <v>0</v>
      </c>
      <c r="O34155">
        <f>IF(N34155="","",'Master Barang'!B49)</f>
        <v>0</v>
      </c>
      <c r="P34155">
        <f>IF(OR(M34155="",N34155=""),"",SUMIFS('Barang Keluar'!$E:$E,'Barang Keluar'!$A:$A,M34155,'Barang Keluar'!$C:$C,N34155))</f>
        <v>0</v>
      </c>
    </row>
    <row r="34156" spans="13:16">
      <c r="M34156" s="49">
        <f>IF($A$4+341&gt;$B$4,"",$A$4+341)</f>
        <v>46364</v>
      </c>
      <c r="N34156">
        <f>IF(M34156="","",'Master Barang'!A50)</f>
        <v>0</v>
      </c>
      <c r="O34156">
        <f>IF(N34156="","",'Master Barang'!B50)</f>
        <v>0</v>
      </c>
      <c r="P34156">
        <f>IF(OR(M34156="",N34156=""),"",SUMIFS('Barang Keluar'!$E:$E,'Barang Keluar'!$A:$A,M34156,'Barang Keluar'!$C:$C,N34156))</f>
        <v>0</v>
      </c>
    </row>
    <row r="34157" spans="13:16">
      <c r="M34157" s="49">
        <f>IF($A$4+341&gt;$B$4,"",$A$4+341)</f>
        <v>46364</v>
      </c>
      <c r="N34157">
        <f>IF(M34157="","",'Master Barang'!A51)</f>
        <v>0</v>
      </c>
      <c r="O34157">
        <f>IF(N34157="","",'Master Barang'!B51)</f>
        <v>0</v>
      </c>
      <c r="P34157">
        <f>IF(OR(M34157="",N34157=""),"",SUMIFS('Barang Keluar'!$E:$E,'Barang Keluar'!$A:$A,M34157,'Barang Keluar'!$C:$C,N34157))</f>
        <v>0</v>
      </c>
    </row>
    <row r="34158" spans="13:16">
      <c r="M34158" s="49">
        <f>IF($A$4+341&gt;$B$4,"",$A$4+341)</f>
        <v>46364</v>
      </c>
      <c r="N34158">
        <f>IF(M34158="","",'Master Barang'!A52)</f>
        <v>0</v>
      </c>
      <c r="O34158">
        <f>IF(N34158="","",'Master Barang'!B52)</f>
        <v>0</v>
      </c>
      <c r="P34158">
        <f>IF(OR(M34158="",N34158=""),"",SUMIFS('Barang Keluar'!$E:$E,'Barang Keluar'!$A:$A,M34158,'Barang Keluar'!$C:$C,N34158))</f>
        <v>0</v>
      </c>
    </row>
    <row r="34159" spans="13:16">
      <c r="M34159" s="49">
        <f>IF($A$4+341&gt;$B$4,"",$A$4+341)</f>
        <v>46364</v>
      </c>
      <c r="N34159">
        <f>IF(M34159="","",'Master Barang'!A53)</f>
        <v>0</v>
      </c>
      <c r="O34159">
        <f>IF(N34159="","",'Master Barang'!B53)</f>
        <v>0</v>
      </c>
      <c r="P34159">
        <f>IF(OR(M34159="",N34159=""),"",SUMIFS('Barang Keluar'!$E:$E,'Barang Keluar'!$A:$A,M34159,'Barang Keluar'!$C:$C,N34159))</f>
        <v>0</v>
      </c>
    </row>
    <row r="34160" spans="13:16">
      <c r="M34160" s="49">
        <f>IF($A$4+341&gt;$B$4,"",$A$4+341)</f>
        <v>46364</v>
      </c>
      <c r="N34160">
        <f>IF(M34160="","",'Master Barang'!A54)</f>
        <v>0</v>
      </c>
      <c r="O34160">
        <f>IF(N34160="","",'Master Barang'!B54)</f>
        <v>0</v>
      </c>
      <c r="P34160">
        <f>IF(OR(M34160="",N34160=""),"",SUMIFS('Barang Keluar'!$E:$E,'Barang Keluar'!$A:$A,M34160,'Barang Keluar'!$C:$C,N34160))</f>
        <v>0</v>
      </c>
    </row>
    <row r="34161" spans="13:16">
      <c r="M34161" s="49">
        <f>IF($A$4+341&gt;$B$4,"",$A$4+341)</f>
        <v>46364</v>
      </c>
      <c r="N34161">
        <f>IF(M34161="","",'Master Barang'!A55)</f>
        <v>0</v>
      </c>
      <c r="O34161">
        <f>IF(N34161="","",'Master Barang'!B55)</f>
        <v>0</v>
      </c>
      <c r="P34161">
        <f>IF(OR(M34161="",N34161=""),"",SUMIFS('Barang Keluar'!$E:$E,'Barang Keluar'!$A:$A,M34161,'Barang Keluar'!$C:$C,N34161))</f>
        <v>0</v>
      </c>
    </row>
    <row r="34162" spans="13:16">
      <c r="M34162" s="49">
        <f>IF($A$4+341&gt;$B$4,"",$A$4+341)</f>
        <v>46364</v>
      </c>
      <c r="N34162">
        <f>IF(M34162="","",'Master Barang'!A56)</f>
        <v>0</v>
      </c>
      <c r="O34162">
        <f>IF(N34162="","",'Master Barang'!B56)</f>
        <v>0</v>
      </c>
      <c r="P34162">
        <f>IF(OR(M34162="",N34162=""),"",SUMIFS('Barang Keluar'!$E:$E,'Barang Keluar'!$A:$A,M34162,'Barang Keluar'!$C:$C,N34162))</f>
        <v>0</v>
      </c>
    </row>
    <row r="34163" spans="13:16">
      <c r="M34163" s="49">
        <f>IF($A$4+341&gt;$B$4,"",$A$4+341)</f>
        <v>46364</v>
      </c>
      <c r="N34163">
        <f>IF(M34163="","",'Master Barang'!A57)</f>
        <v>0</v>
      </c>
      <c r="O34163">
        <f>IF(N34163="","",'Master Barang'!B57)</f>
        <v>0</v>
      </c>
      <c r="P34163">
        <f>IF(OR(M34163="",N34163=""),"",SUMIFS('Barang Keluar'!$E:$E,'Barang Keluar'!$A:$A,M34163,'Barang Keluar'!$C:$C,N34163))</f>
        <v>0</v>
      </c>
    </row>
    <row r="34164" spans="13:16">
      <c r="M34164" s="49">
        <f>IF($A$4+341&gt;$B$4,"",$A$4+341)</f>
        <v>46364</v>
      </c>
      <c r="N34164">
        <f>IF(M34164="","",'Master Barang'!A58)</f>
        <v>0</v>
      </c>
      <c r="O34164">
        <f>IF(N34164="","",'Master Barang'!B58)</f>
        <v>0</v>
      </c>
      <c r="P34164">
        <f>IF(OR(M34164="",N34164=""),"",SUMIFS('Barang Keluar'!$E:$E,'Barang Keluar'!$A:$A,M34164,'Barang Keluar'!$C:$C,N34164))</f>
        <v>0</v>
      </c>
    </row>
    <row r="34165" spans="13:16">
      <c r="M34165" s="49">
        <f>IF($A$4+341&gt;$B$4,"",$A$4+341)</f>
        <v>46364</v>
      </c>
      <c r="N34165">
        <f>IF(M34165="","",'Master Barang'!A59)</f>
        <v>0</v>
      </c>
      <c r="O34165">
        <f>IF(N34165="","",'Master Barang'!B59)</f>
        <v>0</v>
      </c>
      <c r="P34165">
        <f>IF(OR(M34165="",N34165=""),"",SUMIFS('Barang Keluar'!$E:$E,'Barang Keluar'!$A:$A,M34165,'Barang Keluar'!$C:$C,N34165))</f>
        <v>0</v>
      </c>
    </row>
    <row r="34166" spans="13:16">
      <c r="M34166" s="49">
        <f>IF($A$4+341&gt;$B$4,"",$A$4+341)</f>
        <v>46364</v>
      </c>
      <c r="N34166">
        <f>IF(M34166="","",'Master Barang'!A60)</f>
        <v>0</v>
      </c>
      <c r="O34166">
        <f>IF(N34166="","",'Master Barang'!B60)</f>
        <v>0</v>
      </c>
      <c r="P34166">
        <f>IF(OR(M34166="",N34166=""),"",SUMIFS('Barang Keluar'!$E:$E,'Barang Keluar'!$A:$A,M34166,'Barang Keluar'!$C:$C,N34166))</f>
        <v>0</v>
      </c>
    </row>
    <row r="34167" spans="13:16">
      <c r="M34167" s="49">
        <f>IF($A$4+341&gt;$B$4,"",$A$4+341)</f>
        <v>46364</v>
      </c>
      <c r="N34167">
        <f>IF(M34167="","",'Master Barang'!A61)</f>
        <v>0</v>
      </c>
      <c r="O34167">
        <f>IF(N34167="","",'Master Barang'!B61)</f>
        <v>0</v>
      </c>
      <c r="P34167">
        <f>IF(OR(M34167="",N34167=""),"",SUMIFS('Barang Keluar'!$E:$E,'Barang Keluar'!$A:$A,M34167,'Barang Keluar'!$C:$C,N34167))</f>
        <v>0</v>
      </c>
    </row>
    <row r="34168" spans="13:16">
      <c r="M34168" s="49">
        <f>IF($A$4+341&gt;$B$4,"",$A$4+341)</f>
        <v>46364</v>
      </c>
      <c r="N34168">
        <f>IF(M34168="","",'Master Barang'!A62)</f>
        <v>0</v>
      </c>
      <c r="O34168">
        <f>IF(N34168="","",'Master Barang'!B62)</f>
        <v>0</v>
      </c>
      <c r="P34168">
        <f>IF(OR(M34168="",N34168=""),"",SUMIFS('Barang Keluar'!$E:$E,'Barang Keluar'!$A:$A,M34168,'Barang Keluar'!$C:$C,N34168))</f>
        <v>0</v>
      </c>
    </row>
    <row r="34169" spans="13:16">
      <c r="M34169" s="49">
        <f>IF($A$4+341&gt;$B$4,"",$A$4+341)</f>
        <v>46364</v>
      </c>
      <c r="N34169">
        <f>IF(M34169="","",'Master Barang'!A63)</f>
        <v>0</v>
      </c>
      <c r="O34169">
        <f>IF(N34169="","",'Master Barang'!B63)</f>
        <v>0</v>
      </c>
      <c r="P34169">
        <f>IF(OR(M34169="",N34169=""),"",SUMIFS('Barang Keluar'!$E:$E,'Barang Keluar'!$A:$A,M34169,'Barang Keluar'!$C:$C,N34169))</f>
        <v>0</v>
      </c>
    </row>
    <row r="34170" spans="13:16">
      <c r="M34170" s="49">
        <f>IF($A$4+341&gt;$B$4,"",$A$4+341)</f>
        <v>46364</v>
      </c>
      <c r="N34170">
        <f>IF(M34170="","",'Master Barang'!A64)</f>
        <v>0</v>
      </c>
      <c r="O34170">
        <f>IF(N34170="","",'Master Barang'!B64)</f>
        <v>0</v>
      </c>
      <c r="P34170">
        <f>IF(OR(M34170="",N34170=""),"",SUMIFS('Barang Keluar'!$E:$E,'Barang Keluar'!$A:$A,M34170,'Barang Keluar'!$C:$C,N34170))</f>
        <v>0</v>
      </c>
    </row>
    <row r="34171" spans="13:16">
      <c r="M34171" s="49">
        <f>IF($A$4+341&gt;$B$4,"",$A$4+341)</f>
        <v>46364</v>
      </c>
      <c r="N34171">
        <f>IF(M34171="","",'Master Barang'!A65)</f>
        <v>0</v>
      </c>
      <c r="O34171">
        <f>IF(N34171="","",'Master Barang'!B65)</f>
        <v>0</v>
      </c>
      <c r="P34171">
        <f>IF(OR(M34171="",N34171=""),"",SUMIFS('Barang Keluar'!$E:$E,'Barang Keluar'!$A:$A,M34171,'Barang Keluar'!$C:$C,N34171))</f>
        <v>0</v>
      </c>
    </row>
    <row r="34172" spans="13:16">
      <c r="M34172" s="49">
        <f>IF($A$4+341&gt;$B$4,"",$A$4+341)</f>
        <v>46364</v>
      </c>
      <c r="N34172">
        <f>IF(M34172="","",'Master Barang'!A66)</f>
        <v>0</v>
      </c>
      <c r="O34172">
        <f>IF(N34172="","",'Master Barang'!B66)</f>
        <v>0</v>
      </c>
      <c r="P34172">
        <f>IF(OR(M34172="",N34172=""),"",SUMIFS('Barang Keluar'!$E:$E,'Barang Keluar'!$A:$A,M34172,'Barang Keluar'!$C:$C,N34172))</f>
        <v>0</v>
      </c>
    </row>
    <row r="34173" spans="13:16">
      <c r="M34173" s="49">
        <f>IF($A$4+341&gt;$B$4,"",$A$4+341)</f>
        <v>46364</v>
      </c>
      <c r="N34173">
        <f>IF(M34173="","",'Master Barang'!A67)</f>
        <v>0</v>
      </c>
      <c r="O34173">
        <f>IF(N34173="","",'Master Barang'!B67)</f>
        <v>0</v>
      </c>
      <c r="P34173">
        <f>IF(OR(M34173="",N34173=""),"",SUMIFS('Barang Keluar'!$E:$E,'Barang Keluar'!$A:$A,M34173,'Barang Keluar'!$C:$C,N34173))</f>
        <v>0</v>
      </c>
    </row>
    <row r="34174" spans="13:16">
      <c r="M34174" s="49">
        <f>IF($A$4+341&gt;$B$4,"",$A$4+341)</f>
        <v>46364</v>
      </c>
      <c r="N34174">
        <f>IF(M34174="","",'Master Barang'!A68)</f>
        <v>0</v>
      </c>
      <c r="O34174">
        <f>IF(N34174="","",'Master Barang'!B68)</f>
        <v>0</v>
      </c>
      <c r="P34174">
        <f>IF(OR(M34174="",N34174=""),"",SUMIFS('Barang Keluar'!$E:$E,'Barang Keluar'!$A:$A,M34174,'Barang Keluar'!$C:$C,N34174))</f>
        <v>0</v>
      </c>
    </row>
    <row r="34175" spans="13:16">
      <c r="M34175" s="49">
        <f>IF($A$4+341&gt;$B$4,"",$A$4+341)</f>
        <v>46364</v>
      </c>
      <c r="N34175">
        <f>IF(M34175="","",'Master Barang'!A69)</f>
        <v>0</v>
      </c>
      <c r="O34175">
        <f>IF(N34175="","",'Master Barang'!B69)</f>
        <v>0</v>
      </c>
      <c r="P34175">
        <f>IF(OR(M34175="",N34175=""),"",SUMIFS('Barang Keluar'!$E:$E,'Barang Keluar'!$A:$A,M34175,'Barang Keluar'!$C:$C,N34175))</f>
        <v>0</v>
      </c>
    </row>
    <row r="34176" spans="13:16">
      <c r="M34176" s="49">
        <f>IF($A$4+341&gt;$B$4,"",$A$4+341)</f>
        <v>46364</v>
      </c>
      <c r="N34176">
        <f>IF(M34176="","",'Master Barang'!A70)</f>
        <v>0</v>
      </c>
      <c r="O34176">
        <f>IF(N34176="","",'Master Barang'!B70)</f>
        <v>0</v>
      </c>
      <c r="P34176">
        <f>IF(OR(M34176="",N34176=""),"",SUMIFS('Barang Keluar'!$E:$E,'Barang Keluar'!$A:$A,M34176,'Barang Keluar'!$C:$C,N34176))</f>
        <v>0</v>
      </c>
    </row>
    <row r="34177" spans="13:16">
      <c r="M34177" s="49">
        <f>IF($A$4+341&gt;$B$4,"",$A$4+341)</f>
        <v>46364</v>
      </c>
      <c r="N34177">
        <f>IF(M34177="","",'Master Barang'!A71)</f>
        <v>0</v>
      </c>
      <c r="O34177">
        <f>IF(N34177="","",'Master Barang'!B71)</f>
        <v>0</v>
      </c>
      <c r="P34177">
        <f>IF(OR(M34177="",N34177=""),"",SUMIFS('Barang Keluar'!$E:$E,'Barang Keluar'!$A:$A,M34177,'Barang Keluar'!$C:$C,N34177))</f>
        <v>0</v>
      </c>
    </row>
    <row r="34178" spans="13:16">
      <c r="M34178" s="49">
        <f>IF($A$4+341&gt;$B$4,"",$A$4+341)</f>
        <v>46364</v>
      </c>
      <c r="N34178">
        <f>IF(M34178="","",'Master Barang'!A72)</f>
        <v>0</v>
      </c>
      <c r="O34178">
        <f>IF(N34178="","",'Master Barang'!B72)</f>
        <v>0</v>
      </c>
      <c r="P34178">
        <f>IF(OR(M34178="",N34178=""),"",SUMIFS('Barang Keluar'!$E:$E,'Barang Keluar'!$A:$A,M34178,'Barang Keluar'!$C:$C,N34178))</f>
        <v>0</v>
      </c>
    </row>
    <row r="34179" spans="13:16">
      <c r="M34179" s="49">
        <f>IF($A$4+341&gt;$B$4,"",$A$4+341)</f>
        <v>46364</v>
      </c>
      <c r="N34179">
        <f>IF(M34179="","",'Master Barang'!A73)</f>
        <v>0</v>
      </c>
      <c r="O34179">
        <f>IF(N34179="","",'Master Barang'!B73)</f>
        <v>0</v>
      </c>
      <c r="P34179">
        <f>IF(OR(M34179="",N34179=""),"",SUMIFS('Barang Keluar'!$E:$E,'Barang Keluar'!$A:$A,M34179,'Barang Keluar'!$C:$C,N34179))</f>
        <v>0</v>
      </c>
    </row>
    <row r="34180" spans="13:16">
      <c r="M34180" s="49">
        <f>IF($A$4+341&gt;$B$4,"",$A$4+341)</f>
        <v>46364</v>
      </c>
      <c r="N34180">
        <f>IF(M34180="","",'Master Barang'!A74)</f>
        <v>0</v>
      </c>
      <c r="O34180">
        <f>IF(N34180="","",'Master Barang'!B74)</f>
        <v>0</v>
      </c>
      <c r="P34180">
        <f>IF(OR(M34180="",N34180=""),"",SUMIFS('Barang Keluar'!$E:$E,'Barang Keluar'!$A:$A,M34180,'Barang Keluar'!$C:$C,N34180))</f>
        <v>0</v>
      </c>
    </row>
    <row r="34181" spans="13:16">
      <c r="M34181" s="49">
        <f>IF($A$4+341&gt;$B$4,"",$A$4+341)</f>
        <v>46364</v>
      </c>
      <c r="N34181">
        <f>IF(M34181="","",'Master Barang'!A75)</f>
        <v>0</v>
      </c>
      <c r="O34181">
        <f>IF(N34181="","",'Master Barang'!B75)</f>
        <v>0</v>
      </c>
      <c r="P34181">
        <f>IF(OR(M34181="",N34181=""),"",SUMIFS('Barang Keluar'!$E:$E,'Barang Keluar'!$A:$A,M34181,'Barang Keluar'!$C:$C,N34181))</f>
        <v>0</v>
      </c>
    </row>
    <row r="34182" spans="13:16">
      <c r="M34182" s="49">
        <f>IF($A$4+341&gt;$B$4,"",$A$4+341)</f>
        <v>46364</v>
      </c>
      <c r="N34182">
        <f>IF(M34182="","",'Master Barang'!A76)</f>
        <v>0</v>
      </c>
      <c r="O34182">
        <f>IF(N34182="","",'Master Barang'!B76)</f>
        <v>0</v>
      </c>
      <c r="P34182">
        <f>IF(OR(M34182="",N34182=""),"",SUMIFS('Barang Keluar'!$E:$E,'Barang Keluar'!$A:$A,M34182,'Barang Keluar'!$C:$C,N34182))</f>
        <v>0</v>
      </c>
    </row>
    <row r="34183" spans="13:16">
      <c r="M34183" s="49">
        <f>IF($A$4+341&gt;$B$4,"",$A$4+341)</f>
        <v>46364</v>
      </c>
      <c r="N34183">
        <f>IF(M34183="","",'Master Barang'!A77)</f>
        <v>0</v>
      </c>
      <c r="O34183">
        <f>IF(N34183="","",'Master Barang'!B77)</f>
        <v>0</v>
      </c>
      <c r="P34183">
        <f>IF(OR(M34183="",N34183=""),"",SUMIFS('Barang Keluar'!$E:$E,'Barang Keluar'!$A:$A,M34183,'Barang Keluar'!$C:$C,N34183))</f>
        <v>0</v>
      </c>
    </row>
    <row r="34184" spans="13:16">
      <c r="M34184" s="49">
        <f>IF($A$4+341&gt;$B$4,"",$A$4+341)</f>
        <v>46364</v>
      </c>
      <c r="N34184">
        <f>IF(M34184="","",'Master Barang'!A78)</f>
        <v>0</v>
      </c>
      <c r="O34184">
        <f>IF(N34184="","",'Master Barang'!B78)</f>
        <v>0</v>
      </c>
      <c r="P34184">
        <f>IF(OR(M34184="",N34184=""),"",SUMIFS('Barang Keluar'!$E:$E,'Barang Keluar'!$A:$A,M34184,'Barang Keluar'!$C:$C,N34184))</f>
        <v>0</v>
      </c>
    </row>
    <row r="34185" spans="13:16">
      <c r="M34185" s="49">
        <f>IF($A$4+341&gt;$B$4,"",$A$4+341)</f>
        <v>46364</v>
      </c>
      <c r="N34185">
        <f>IF(M34185="","",'Master Barang'!A79)</f>
        <v>0</v>
      </c>
      <c r="O34185">
        <f>IF(N34185="","",'Master Barang'!B79)</f>
        <v>0</v>
      </c>
      <c r="P34185">
        <f>IF(OR(M34185="",N34185=""),"",SUMIFS('Barang Keluar'!$E:$E,'Barang Keluar'!$A:$A,M34185,'Barang Keluar'!$C:$C,N34185))</f>
        <v>0</v>
      </c>
    </row>
    <row r="34186" spans="13:16">
      <c r="M34186" s="49">
        <f>IF($A$4+341&gt;$B$4,"",$A$4+341)</f>
        <v>46364</v>
      </c>
      <c r="N34186">
        <f>IF(M34186="","",'Master Barang'!A80)</f>
        <v>0</v>
      </c>
      <c r="O34186">
        <f>IF(N34186="","",'Master Barang'!B80)</f>
        <v>0</v>
      </c>
      <c r="P34186">
        <f>IF(OR(M34186="",N34186=""),"",SUMIFS('Barang Keluar'!$E:$E,'Barang Keluar'!$A:$A,M34186,'Barang Keluar'!$C:$C,N34186))</f>
        <v>0</v>
      </c>
    </row>
    <row r="34187" spans="13:16">
      <c r="M34187" s="49">
        <f>IF($A$4+341&gt;$B$4,"",$A$4+341)</f>
        <v>46364</v>
      </c>
      <c r="N34187">
        <f>IF(M34187="","",'Master Barang'!A81)</f>
        <v>0</v>
      </c>
      <c r="O34187">
        <f>IF(N34187="","",'Master Barang'!B81)</f>
        <v>0</v>
      </c>
      <c r="P34187">
        <f>IF(OR(M34187="",N34187=""),"",SUMIFS('Barang Keluar'!$E:$E,'Barang Keluar'!$A:$A,M34187,'Barang Keluar'!$C:$C,N34187))</f>
        <v>0</v>
      </c>
    </row>
    <row r="34188" spans="13:16">
      <c r="M34188" s="49">
        <f>IF($A$4+341&gt;$B$4,"",$A$4+341)</f>
        <v>46364</v>
      </c>
      <c r="N34188">
        <f>IF(M34188="","",'Master Barang'!A82)</f>
        <v>0</v>
      </c>
      <c r="O34188">
        <f>IF(N34188="","",'Master Barang'!B82)</f>
        <v>0</v>
      </c>
      <c r="P34188">
        <f>IF(OR(M34188="",N34188=""),"",SUMIFS('Barang Keluar'!$E:$E,'Barang Keluar'!$A:$A,M34188,'Barang Keluar'!$C:$C,N34188))</f>
        <v>0</v>
      </c>
    </row>
    <row r="34189" spans="13:16">
      <c r="M34189" s="49">
        <f>IF($A$4+341&gt;$B$4,"",$A$4+341)</f>
        <v>46364</v>
      </c>
      <c r="N34189">
        <f>IF(M34189="","",'Master Barang'!A83)</f>
        <v>0</v>
      </c>
      <c r="O34189">
        <f>IF(N34189="","",'Master Barang'!B83)</f>
        <v>0</v>
      </c>
      <c r="P34189">
        <f>IF(OR(M34189="",N34189=""),"",SUMIFS('Barang Keluar'!$E:$E,'Barang Keluar'!$A:$A,M34189,'Barang Keluar'!$C:$C,N34189))</f>
        <v>0</v>
      </c>
    </row>
    <row r="34190" spans="13:16">
      <c r="M34190" s="49">
        <f>IF($A$4+341&gt;$B$4,"",$A$4+341)</f>
        <v>46364</v>
      </c>
      <c r="N34190">
        <f>IF(M34190="","",'Master Barang'!A84)</f>
        <v>0</v>
      </c>
      <c r="O34190">
        <f>IF(N34190="","",'Master Barang'!B84)</f>
        <v>0</v>
      </c>
      <c r="P34190">
        <f>IF(OR(M34190="",N34190=""),"",SUMIFS('Barang Keluar'!$E:$E,'Barang Keluar'!$A:$A,M34190,'Barang Keluar'!$C:$C,N34190))</f>
        <v>0</v>
      </c>
    </row>
    <row r="34191" spans="13:16">
      <c r="M34191" s="49">
        <f>IF($A$4+341&gt;$B$4,"",$A$4+341)</f>
        <v>46364</v>
      </c>
      <c r="N34191">
        <f>IF(M34191="","",'Master Barang'!A85)</f>
        <v>0</v>
      </c>
      <c r="O34191">
        <f>IF(N34191="","",'Master Barang'!B85)</f>
        <v>0</v>
      </c>
      <c r="P34191">
        <f>IF(OR(M34191="",N34191=""),"",SUMIFS('Barang Keluar'!$E:$E,'Barang Keluar'!$A:$A,M34191,'Barang Keluar'!$C:$C,N34191))</f>
        <v>0</v>
      </c>
    </row>
    <row r="34192" spans="13:16">
      <c r="M34192" s="49">
        <f>IF($A$4+341&gt;$B$4,"",$A$4+341)</f>
        <v>46364</v>
      </c>
      <c r="N34192">
        <f>IF(M34192="","",'Master Barang'!A86)</f>
        <v>0</v>
      </c>
      <c r="O34192">
        <f>IF(N34192="","",'Master Barang'!B86)</f>
        <v>0</v>
      </c>
      <c r="P34192">
        <f>IF(OR(M34192="",N34192=""),"",SUMIFS('Barang Keluar'!$E:$E,'Barang Keluar'!$A:$A,M34192,'Barang Keluar'!$C:$C,N34192))</f>
        <v>0</v>
      </c>
    </row>
    <row r="34193" spans="13:16">
      <c r="M34193" s="49">
        <f>IF($A$4+341&gt;$B$4,"",$A$4+341)</f>
        <v>46364</v>
      </c>
      <c r="N34193">
        <f>IF(M34193="","",'Master Barang'!A87)</f>
        <v>0</v>
      </c>
      <c r="O34193">
        <f>IF(N34193="","",'Master Barang'!B87)</f>
        <v>0</v>
      </c>
      <c r="P34193">
        <f>IF(OR(M34193="",N34193=""),"",SUMIFS('Barang Keluar'!$E:$E,'Barang Keluar'!$A:$A,M34193,'Barang Keluar'!$C:$C,N34193))</f>
        <v>0</v>
      </c>
    </row>
    <row r="34194" spans="13:16">
      <c r="M34194" s="49">
        <f>IF($A$4+341&gt;$B$4,"",$A$4+341)</f>
        <v>46364</v>
      </c>
      <c r="N34194">
        <f>IF(M34194="","",'Master Barang'!A88)</f>
        <v>0</v>
      </c>
      <c r="O34194">
        <f>IF(N34194="","",'Master Barang'!B88)</f>
        <v>0</v>
      </c>
      <c r="P34194">
        <f>IF(OR(M34194="",N34194=""),"",SUMIFS('Barang Keluar'!$E:$E,'Barang Keluar'!$A:$A,M34194,'Barang Keluar'!$C:$C,N34194))</f>
        <v>0</v>
      </c>
    </row>
    <row r="34195" spans="13:16">
      <c r="M34195" s="49">
        <f>IF($A$4+341&gt;$B$4,"",$A$4+341)</f>
        <v>46364</v>
      </c>
      <c r="N34195">
        <f>IF(M34195="","",'Master Barang'!A89)</f>
        <v>0</v>
      </c>
      <c r="O34195">
        <f>IF(N34195="","",'Master Barang'!B89)</f>
        <v>0</v>
      </c>
      <c r="P34195">
        <f>IF(OR(M34195="",N34195=""),"",SUMIFS('Barang Keluar'!$E:$E,'Barang Keluar'!$A:$A,M34195,'Barang Keluar'!$C:$C,N34195))</f>
        <v>0</v>
      </c>
    </row>
    <row r="34196" spans="13:16">
      <c r="M34196" s="49">
        <f>IF($A$4+341&gt;$B$4,"",$A$4+341)</f>
        <v>46364</v>
      </c>
      <c r="N34196">
        <f>IF(M34196="","",'Master Barang'!A90)</f>
        <v>0</v>
      </c>
      <c r="O34196">
        <f>IF(N34196="","",'Master Barang'!B90)</f>
        <v>0</v>
      </c>
      <c r="P34196">
        <f>IF(OR(M34196="",N34196=""),"",SUMIFS('Barang Keluar'!$E:$E,'Barang Keluar'!$A:$A,M34196,'Barang Keluar'!$C:$C,N34196))</f>
        <v>0</v>
      </c>
    </row>
    <row r="34197" spans="13:16">
      <c r="M34197" s="49">
        <f>IF($A$4+341&gt;$B$4,"",$A$4+341)</f>
        <v>46364</v>
      </c>
      <c r="N34197">
        <f>IF(M34197="","",'Master Barang'!A91)</f>
        <v>0</v>
      </c>
      <c r="O34197">
        <f>IF(N34197="","",'Master Barang'!B91)</f>
        <v>0</v>
      </c>
      <c r="P34197">
        <f>IF(OR(M34197="",N34197=""),"",SUMIFS('Barang Keluar'!$E:$E,'Barang Keluar'!$A:$A,M34197,'Barang Keluar'!$C:$C,N34197))</f>
        <v>0</v>
      </c>
    </row>
    <row r="34198" spans="13:16">
      <c r="M34198" s="49">
        <f>IF($A$4+341&gt;$B$4,"",$A$4+341)</f>
        <v>46364</v>
      </c>
      <c r="N34198">
        <f>IF(M34198="","",'Master Barang'!A92)</f>
        <v>0</v>
      </c>
      <c r="O34198">
        <f>IF(N34198="","",'Master Barang'!B92)</f>
        <v>0</v>
      </c>
      <c r="P34198">
        <f>IF(OR(M34198="",N34198=""),"",SUMIFS('Barang Keluar'!$E:$E,'Barang Keluar'!$A:$A,M34198,'Barang Keluar'!$C:$C,N34198))</f>
        <v>0</v>
      </c>
    </row>
    <row r="34199" spans="13:16">
      <c r="M34199" s="49">
        <f>IF($A$4+341&gt;$B$4,"",$A$4+341)</f>
        <v>46364</v>
      </c>
      <c r="N34199">
        <f>IF(M34199="","",'Master Barang'!A93)</f>
        <v>0</v>
      </c>
      <c r="O34199">
        <f>IF(N34199="","",'Master Barang'!B93)</f>
        <v>0</v>
      </c>
      <c r="P34199">
        <f>IF(OR(M34199="",N34199=""),"",SUMIFS('Barang Keluar'!$E:$E,'Barang Keluar'!$A:$A,M34199,'Barang Keluar'!$C:$C,N34199))</f>
        <v>0</v>
      </c>
    </row>
    <row r="34200" spans="13:16">
      <c r="M34200" s="49">
        <f>IF($A$4+341&gt;$B$4,"",$A$4+341)</f>
        <v>46364</v>
      </c>
      <c r="N34200">
        <f>IF(M34200="","",'Master Barang'!A94)</f>
        <v>0</v>
      </c>
      <c r="O34200">
        <f>IF(N34200="","",'Master Barang'!B94)</f>
        <v>0</v>
      </c>
      <c r="P34200">
        <f>IF(OR(M34200="",N34200=""),"",SUMIFS('Barang Keluar'!$E:$E,'Barang Keluar'!$A:$A,M34200,'Barang Keluar'!$C:$C,N34200))</f>
        <v>0</v>
      </c>
    </row>
    <row r="34201" spans="13:16">
      <c r="M34201" s="49">
        <f>IF($A$4+341&gt;$B$4,"",$A$4+341)</f>
        <v>46364</v>
      </c>
      <c r="N34201">
        <f>IF(M34201="","",'Master Barang'!A95)</f>
        <v>0</v>
      </c>
      <c r="O34201">
        <f>IF(N34201="","",'Master Barang'!B95)</f>
        <v>0</v>
      </c>
      <c r="P34201">
        <f>IF(OR(M34201="",N34201=""),"",SUMIFS('Barang Keluar'!$E:$E,'Barang Keluar'!$A:$A,M34201,'Barang Keluar'!$C:$C,N34201))</f>
        <v>0</v>
      </c>
    </row>
    <row r="34202" spans="13:16">
      <c r="M34202" s="49">
        <f>IF($A$4+341&gt;$B$4,"",$A$4+341)</f>
        <v>46364</v>
      </c>
      <c r="N34202">
        <f>IF(M34202="","",'Master Barang'!A96)</f>
        <v>0</v>
      </c>
      <c r="O34202">
        <f>IF(N34202="","",'Master Barang'!B96)</f>
        <v>0</v>
      </c>
      <c r="P34202">
        <f>IF(OR(M34202="",N34202=""),"",SUMIFS('Barang Keluar'!$E:$E,'Barang Keluar'!$A:$A,M34202,'Barang Keluar'!$C:$C,N34202))</f>
        <v>0</v>
      </c>
    </row>
    <row r="34203" spans="13:16">
      <c r="M34203" s="49">
        <f>IF($A$4+341&gt;$B$4,"",$A$4+341)</f>
        <v>46364</v>
      </c>
      <c r="N34203">
        <f>IF(M34203="","",'Master Barang'!A97)</f>
        <v>0</v>
      </c>
      <c r="O34203">
        <f>IF(N34203="","",'Master Barang'!B97)</f>
        <v>0</v>
      </c>
      <c r="P34203">
        <f>IF(OR(M34203="",N34203=""),"",SUMIFS('Barang Keluar'!$E:$E,'Barang Keluar'!$A:$A,M34203,'Barang Keluar'!$C:$C,N34203))</f>
        <v>0</v>
      </c>
    </row>
    <row r="34204" spans="13:16">
      <c r="M34204" s="49">
        <f>IF($A$4+341&gt;$B$4,"",$A$4+341)</f>
        <v>46364</v>
      </c>
      <c r="N34204">
        <f>IF(M34204="","",'Master Barang'!A98)</f>
        <v>0</v>
      </c>
      <c r="O34204">
        <f>IF(N34204="","",'Master Barang'!B98)</f>
        <v>0</v>
      </c>
      <c r="P34204">
        <f>IF(OR(M34204="",N34204=""),"",SUMIFS('Barang Keluar'!$E:$E,'Barang Keluar'!$A:$A,M34204,'Barang Keluar'!$C:$C,N34204))</f>
        <v>0</v>
      </c>
    </row>
    <row r="34205" spans="13:16">
      <c r="M34205" s="49">
        <f>IF($A$4+341&gt;$B$4,"",$A$4+341)</f>
        <v>46364</v>
      </c>
      <c r="N34205">
        <f>IF(M34205="","",'Master Barang'!A99)</f>
        <v>0</v>
      </c>
      <c r="O34205">
        <f>IF(N34205="","",'Master Barang'!B99)</f>
        <v>0</v>
      </c>
      <c r="P34205">
        <f>IF(OR(M34205="",N34205=""),"",SUMIFS('Barang Keluar'!$E:$E,'Barang Keluar'!$A:$A,M34205,'Barang Keluar'!$C:$C,N34205))</f>
        <v>0</v>
      </c>
    </row>
    <row r="34206" spans="13:16">
      <c r="M34206" s="49">
        <f>IF($A$4+341&gt;$B$4,"",$A$4+341)</f>
        <v>46364</v>
      </c>
      <c r="N34206">
        <f>IF(M34206="","",'Master Barang'!A100)</f>
        <v>0</v>
      </c>
      <c r="O34206">
        <f>IF(N34206="","",'Master Barang'!B100)</f>
        <v>0</v>
      </c>
      <c r="P34206">
        <f>IF(OR(M34206="",N34206=""),"",SUMIFS('Barang Keluar'!$E:$E,'Barang Keluar'!$A:$A,M34206,'Barang Keluar'!$C:$C,N34206))</f>
        <v>0</v>
      </c>
    </row>
    <row r="34207" spans="13:16">
      <c r="M34207" s="49">
        <f>IF($A$4+341&gt;$B$4,"",$A$4+341)</f>
        <v>46364</v>
      </c>
      <c r="N34207">
        <f>IF(M34207="","",'Master Barang'!A101)</f>
        <v>0</v>
      </c>
      <c r="O34207">
        <f>IF(N34207="","",'Master Barang'!B101)</f>
        <v>0</v>
      </c>
      <c r="P34207">
        <f>IF(OR(M34207="",N34207=""),"",SUMIFS('Barang Keluar'!$E:$E,'Barang Keluar'!$A:$A,M34207,'Barang Keluar'!$C:$C,N34207))</f>
        <v>0</v>
      </c>
    </row>
    <row r="34208" spans="13:16">
      <c r="M34208" s="49">
        <f>IF($A$4+342&gt;$B$4,"",$A$4+342)</f>
        <v>46365</v>
      </c>
      <c r="N34208" t="str">
        <f>IF(M34208="","",'Master Barang'!A2)</f>
        <v>PRL-001</v>
      </c>
      <c r="O34208" t="str">
        <f>IF(N34208="","",'Master Barang'!B2)</f>
        <v>natura desinfectant food grade 5l</v>
      </c>
      <c r="P34208">
        <f>IF(OR(M34208="",N34208=""),"",SUMIFS('Barang Keluar'!$E:$E,'Barang Keluar'!$A:$A,M34208,'Barang Keluar'!$C:$C,N34208))</f>
        <v>0</v>
      </c>
    </row>
    <row r="34209" spans="13:16">
      <c r="M34209" s="49">
        <f>IF($A$4+342&gt;$B$4,"",$A$4+342)</f>
        <v>46365</v>
      </c>
      <c r="N34209" t="str">
        <f>IF(M34209="","",'Master Barang'!A3)</f>
        <v>PRL-002</v>
      </c>
      <c r="O34209" t="str">
        <f>IF(N34209="","",'Master Barang'!B3)</f>
        <v>sunlight cairan pencuci piring 5l</v>
      </c>
      <c r="P34209">
        <f>IF(OR(M34209="",N34209=""),"",SUMIFS('Barang Keluar'!$E:$E,'Barang Keluar'!$A:$A,M34209,'Barang Keluar'!$C:$C,N34209))</f>
        <v>0</v>
      </c>
    </row>
    <row r="34210" spans="13:16">
      <c r="M34210" s="49">
        <f>IF($A$4+342&gt;$B$4,"",$A$4+342)</f>
        <v>46365</v>
      </c>
      <c r="N34210" t="str">
        <f>IF(M34210="","",'Master Barang'!A4)</f>
        <v>PRL-003</v>
      </c>
      <c r="O34210" t="str">
        <f>IF(N34210="","",'Master Barang'!B4)</f>
        <v>oixs cleaner 1l</v>
      </c>
      <c r="P34210">
        <f>IF(OR(M34210="",N34210=""),"",SUMIFS('Barang Keluar'!$E:$E,'Barang Keluar'!$A:$A,M34210,'Barang Keluar'!$C:$C,N34210))</f>
        <v>0</v>
      </c>
    </row>
    <row r="34211" spans="13:16">
      <c r="M34211" s="49">
        <f>IF($A$4+342&gt;$B$4,"",$A$4+342)</f>
        <v>46365</v>
      </c>
      <c r="N34211" t="str">
        <f>IF(M34211="","",'Master Barang'!A5)</f>
        <v>PRL-004</v>
      </c>
      <c r="O34211" t="str">
        <f>IF(N34211="","",'Master Barang'!B5)</f>
        <v>be clean tissue serbaguna</v>
      </c>
      <c r="P34211">
        <f>IF(OR(M34211="",N34211=""),"",SUMIFS('Barang Keluar'!$E:$E,'Barang Keluar'!$A:$A,M34211,'Barang Keluar'!$C:$C,N34211))</f>
        <v>0</v>
      </c>
    </row>
    <row r="34212" spans="13:16">
      <c r="M34212" s="49">
        <f>IF($A$4+342&gt;$B$4,"",$A$4+342)</f>
        <v>46365</v>
      </c>
      <c r="N34212" t="str">
        <f>IF(M34212="","",'Master Barang'!A6)</f>
        <v>PRL-005</v>
      </c>
      <c r="O34212" t="str">
        <f>IF(N34212="","",'Master Barang'!B6)</f>
        <v>spons cuci hijau</v>
      </c>
      <c r="P34212">
        <f>IF(OR(M34212="",N34212=""),"",SUMIFS('Barang Keluar'!$E:$E,'Barang Keluar'!$A:$A,M34212,'Barang Keluar'!$C:$C,N34212))</f>
        <v>0</v>
      </c>
    </row>
    <row r="34213" spans="13:16">
      <c r="M34213" s="49">
        <f>IF($A$4+342&gt;$B$4,"",$A$4+342)</f>
        <v>46365</v>
      </c>
      <c r="N34213" t="str">
        <f>IF(M34213="","",'Master Barang'!A7)</f>
        <v>PRL-006</v>
      </c>
      <c r="O34213" t="str">
        <f>IF(N34213="","",'Master Barang'!B7)</f>
        <v>sabut cuci stainless</v>
      </c>
      <c r="P34213">
        <f>IF(OR(M34213="",N34213=""),"",SUMIFS('Barang Keluar'!$E:$E,'Barang Keluar'!$A:$A,M34213,'Barang Keluar'!$C:$C,N34213))</f>
        <v>0</v>
      </c>
    </row>
    <row r="34214" spans="13:16">
      <c r="M34214" s="49">
        <f>IF($A$4+342&gt;$B$4,"",$A$4+342)</f>
        <v>46365</v>
      </c>
      <c r="N34214" t="str">
        <f>IF(M34214="","",'Master Barang'!A8)</f>
        <v>PRL-007</v>
      </c>
      <c r="O34214" t="str">
        <f>IF(N34214="","",'Master Barang'!B8)</f>
        <v>plastik kresek besar merah 50pc</v>
      </c>
      <c r="P34214">
        <f>IF(OR(M34214="",N34214=""),"",SUMIFS('Barang Keluar'!$E:$E,'Barang Keluar'!$A:$A,M34214,'Barang Keluar'!$C:$C,N34214))</f>
        <v>0</v>
      </c>
    </row>
    <row r="34215" spans="13:16">
      <c r="M34215" s="49">
        <f>IF($A$4+342&gt;$B$4,"",$A$4+342)</f>
        <v>46365</v>
      </c>
      <c r="N34215" t="str">
        <f>IF(M34215="","",'Master Barang'!A9)</f>
        <v>PRL-008</v>
      </c>
      <c r="O34215" t="str">
        <f>IF(N34215="","",'Master Barang'!B9)</f>
        <v>lap besar</v>
      </c>
      <c r="P34215">
        <f>IF(OR(M34215="",N34215=""),"",SUMIFS('Barang Keluar'!$E:$E,'Barang Keluar'!$A:$A,M34215,'Barang Keluar'!$C:$C,N34215))</f>
        <v>0</v>
      </c>
    </row>
    <row r="34216" spans="13:16">
      <c r="M34216" s="49">
        <f>IF($A$4+342&gt;$B$4,"",$A$4+342)</f>
        <v>46365</v>
      </c>
      <c r="N34216" t="str">
        <f>IF(M34216="","",'Master Barang'!A10)</f>
        <v>PRL-009</v>
      </c>
      <c r="O34216" t="str">
        <f>IF(N34216="","",'Master Barang'!B10)</f>
        <v>lap microfiber</v>
      </c>
      <c r="P34216">
        <f>IF(OR(M34216="",N34216=""),"",SUMIFS('Barang Keluar'!$E:$E,'Barang Keluar'!$A:$A,M34216,'Barang Keluar'!$C:$C,N34216))</f>
        <v>0</v>
      </c>
    </row>
    <row r="34217" spans="13:16">
      <c r="M34217" s="49">
        <f>IF($A$4+342&gt;$B$4,"",$A$4+342)</f>
        <v>46365</v>
      </c>
      <c r="N34217" t="str">
        <f>IF(M34217="","",'Master Barang'!A11)</f>
        <v>PRL-010</v>
      </c>
      <c r="O34217" t="str">
        <f>IF(N34217="","",'Master Barang'!B11)</f>
        <v>lap kecil</v>
      </c>
      <c r="P34217">
        <f>IF(OR(M34217="",N34217=""),"",SUMIFS('Barang Keluar'!$E:$E,'Barang Keluar'!$A:$A,M34217,'Barang Keluar'!$C:$C,N34217))</f>
        <v>0</v>
      </c>
    </row>
    <row r="34218" spans="13:16">
      <c r="M34218" s="49">
        <f>IF($A$4+342&gt;$B$4,"",$A$4+342)</f>
        <v>46365</v>
      </c>
      <c r="N34218" t="str">
        <f>IF(M34218="","",'Master Barang'!A12)</f>
        <v>PRL-011</v>
      </c>
      <c r="O34218" t="str">
        <f>IF(N34218="","",'Master Barang'!B12)</f>
        <v>kanebo kecil</v>
      </c>
      <c r="P34218">
        <f>IF(OR(M34218="",N34218=""),"",SUMIFS('Barang Keluar'!$E:$E,'Barang Keluar'!$A:$A,M34218,'Barang Keluar'!$C:$C,N34218))</f>
        <v>0</v>
      </c>
    </row>
    <row r="34219" spans="13:16">
      <c r="M34219" s="49">
        <f>IF($A$4+342&gt;$B$4,"",$A$4+342)</f>
        <v>46365</v>
      </c>
      <c r="N34219" t="str">
        <f>IF(M34219="","",'Master Barang'!A13)</f>
        <v>PRL-012</v>
      </c>
      <c r="O34219" t="str">
        <f>IF(N34219="","",'Master Barang'!B13)</f>
        <v>plastik 1/4kg joyoboyo 100 lembar</v>
      </c>
      <c r="P34219">
        <f>IF(OR(M34219="",N34219=""),"",SUMIFS('Barang Keluar'!$E:$E,'Barang Keluar'!$A:$A,M34219,'Barang Keluar'!$C:$C,N34219))</f>
        <v>0</v>
      </c>
    </row>
    <row r="34220" spans="13:16">
      <c r="M34220" s="49">
        <f>IF($A$4+342&gt;$B$4,"",$A$4+342)</f>
        <v>46365</v>
      </c>
      <c r="N34220" t="str">
        <f>IF(M34220="","",'Master Barang'!A14)</f>
        <v>PRL-013</v>
      </c>
      <c r="O34220" t="str">
        <f>IF(N34220="","",'Master Barang'!B14)</f>
        <v>sarung tangan plastik kaka 100 pcs</v>
      </c>
      <c r="P34220">
        <f>IF(OR(M34220="",N34220=""),"",SUMIFS('Barang Keluar'!$E:$E,'Barang Keluar'!$A:$A,M34220,'Barang Keluar'!$C:$C,N34220))</f>
        <v>0</v>
      </c>
    </row>
    <row r="34221" spans="13:16">
      <c r="M34221" s="49">
        <f>IF($A$4+342&gt;$B$4,"",$A$4+342)</f>
        <v>46365</v>
      </c>
      <c r="N34221" t="str">
        <f>IF(M34221="","",'Master Barang'!A15)</f>
        <v>PRL-014</v>
      </c>
      <c r="O34221" t="str">
        <f>IF(N34221="","",'Master Barang'!B15)</f>
        <v>optima trashbag 80x100</v>
      </c>
      <c r="P34221">
        <f>IF(OR(M34221="",N34221=""),"",SUMIFS('Barang Keluar'!$E:$E,'Barang Keluar'!$A:$A,M34221,'Barang Keluar'!$C:$C,N34221))</f>
        <v>0</v>
      </c>
    </row>
    <row r="34222" spans="13:16">
      <c r="M34222" s="49">
        <f>IF($A$4+342&gt;$B$4,"",$A$4+342)</f>
        <v>46365</v>
      </c>
      <c r="N34222" t="str">
        <f>IF(M34222="","",'Master Barang'!A16)</f>
        <v>PRL-015</v>
      </c>
      <c r="O34222" t="str">
        <f>IF(N34222="","",'Master Barang'!B16)</f>
        <v>optima trashbag 60x100</v>
      </c>
      <c r="P34222">
        <f>IF(OR(M34222="",N34222=""),"",SUMIFS('Barang Keluar'!$E:$E,'Barang Keluar'!$A:$A,M34222,'Barang Keluar'!$C:$C,N34222))</f>
        <v>0</v>
      </c>
    </row>
    <row r="34223" spans="13:16">
      <c r="M34223" s="49">
        <f>IF($A$4+342&gt;$B$4,"",$A$4+342)</f>
        <v>46365</v>
      </c>
      <c r="N34223" t="str">
        <f>IF(M34223="","",'Master Barang'!A17)</f>
        <v>PRL-016</v>
      </c>
      <c r="O34223" t="str">
        <f>IF(N34223="","",'Master Barang'!B17)</f>
        <v>rajawali trashbag 30x40</v>
      </c>
      <c r="P34223">
        <f>IF(OR(M34223="",N34223=""),"",SUMIFS('Barang Keluar'!$E:$E,'Barang Keluar'!$A:$A,M34223,'Barang Keluar'!$C:$C,N34223))</f>
        <v>0</v>
      </c>
    </row>
    <row r="34224" spans="13:16">
      <c r="M34224" s="49">
        <f>IF($A$4+342&gt;$B$4,"",$A$4+342)</f>
        <v>46365</v>
      </c>
      <c r="N34224" t="str">
        <f>IF(M34224="","",'Master Barang'!A18)</f>
        <v>PRL-017</v>
      </c>
      <c r="O34224" t="str">
        <f>IF(N34224="","",'Master Barang'!B18)</f>
        <v>onemed masker biru 3 play 50 pcs</v>
      </c>
      <c r="P34224">
        <f>IF(OR(M34224="",N34224=""),"",SUMIFS('Barang Keluar'!$E:$E,'Barang Keluar'!$A:$A,M34224,'Barang Keluar'!$C:$C,N34224))</f>
        <v>0</v>
      </c>
    </row>
    <row r="34225" spans="13:16">
      <c r="M34225" s="49">
        <f>IF($A$4+342&gt;$B$4,"",$A$4+342)</f>
        <v>46365</v>
      </c>
      <c r="N34225" t="str">
        <f>IF(M34225="","",'Master Barang'!A19)</f>
        <v>PRL-018</v>
      </c>
      <c r="O34225" t="str">
        <f>IF(N34225="","",'Master Barang'!B19)</f>
        <v>onemed masker biru 3 play hijab 50 pcs</v>
      </c>
      <c r="P34225">
        <f>IF(OR(M34225="",N34225=""),"",SUMIFS('Barang Keluar'!$E:$E,'Barang Keluar'!$A:$A,M34225,'Barang Keluar'!$C:$C,N34225))</f>
        <v>0</v>
      </c>
    </row>
    <row r="34226" spans="13:16">
      <c r="M34226" s="49">
        <f>IF($A$4+342&gt;$B$4,"",$A$4+342)</f>
        <v>46365</v>
      </c>
      <c r="N34226" t="str">
        <f>IF(M34226="","",'Master Barang'!A20)</f>
        <v>PRL-019</v>
      </c>
      <c r="O34226" t="str">
        <f>IF(N34226="","",'Master Barang'!B20)</f>
        <v>neo health masker biru 3 play 50 pcs</v>
      </c>
      <c r="P34226">
        <f>IF(OR(M34226="",N34226=""),"",SUMIFS('Barang Keluar'!$E:$E,'Barang Keluar'!$A:$A,M34226,'Barang Keluar'!$C:$C,N34226))</f>
        <v>0</v>
      </c>
    </row>
    <row r="34227" spans="13:16">
      <c r="M34227" s="49">
        <f>IF($A$4+342&gt;$B$4,"",$A$4+342)</f>
        <v>46365</v>
      </c>
      <c r="N34227" t="str">
        <f>IF(M34227="","",'Master Barang'!A21)</f>
        <v>PRL-020</v>
      </c>
      <c r="O34227" t="str">
        <f>IF(N34227="","",'Master Barang'!B21)</f>
        <v>baymed masker hijau 3 play hijau 50 pcs</v>
      </c>
      <c r="P34227">
        <f>IF(OR(M34227="",N34227=""),"",SUMIFS('Barang Keluar'!$E:$E,'Barang Keluar'!$A:$A,M34227,'Barang Keluar'!$C:$C,N34227))</f>
        <v>0</v>
      </c>
    </row>
    <row r="34228" spans="13:16">
      <c r="M34228" s="49">
        <f>IF($A$4+342&gt;$B$4,"",$A$4+342)</f>
        <v>46365</v>
      </c>
      <c r="N34228" t="str">
        <f>IF(M34228="","",'Master Barang'!A22)</f>
        <v>PRL-021</v>
      </c>
      <c r="O34228" t="str">
        <f>IF(N34228="","",'Master Barang'!B22)</f>
        <v>altamed nurse cap penutup kepala 100 pcs</v>
      </c>
      <c r="P34228">
        <f>IF(OR(M34228="",N34228=""),"",SUMIFS('Barang Keluar'!$E:$E,'Barang Keluar'!$A:$A,M34228,'Barang Keluar'!$C:$C,N34228))</f>
        <v>0</v>
      </c>
    </row>
    <row r="34229" spans="13:16">
      <c r="M34229" s="49">
        <f>IF($A$4+342&gt;$B$4,"",$A$4+342)</f>
        <v>46365</v>
      </c>
      <c r="N34229" t="str">
        <f>IF(M34229="","",'Master Barang'!A23)</f>
        <v>PRL-022</v>
      </c>
      <c r="O34229" t="str">
        <f>IF(N34229="","",'Master Barang'!B23)</f>
        <v>sabun cuci tangan</v>
      </c>
      <c r="P34229">
        <f>IF(OR(M34229="",N34229=""),"",SUMIFS('Barang Keluar'!$E:$E,'Barang Keluar'!$A:$A,M34229,'Barang Keluar'!$C:$C,N34229))</f>
        <v>0</v>
      </c>
    </row>
    <row r="34230" spans="13:16">
      <c r="M34230" s="49">
        <f>IF($A$4+342&gt;$B$4,"",$A$4+342)</f>
        <v>46365</v>
      </c>
      <c r="N34230" t="str">
        <f>IF(M34230="","",'Master Barang'!A24)</f>
        <v>PRL-023</v>
      </c>
      <c r="O34230" t="str">
        <f>IF(N34230="","",'Master Barang'!B24)</f>
        <v>gayung kecil</v>
      </c>
      <c r="P34230">
        <f>IF(OR(M34230="",N34230=""),"",SUMIFS('Barang Keluar'!$E:$E,'Barang Keluar'!$A:$A,M34230,'Barang Keluar'!$C:$C,N34230))</f>
        <v>0</v>
      </c>
    </row>
    <row r="34231" spans="13:16">
      <c r="M34231" s="49">
        <f>IF($A$4+342&gt;$B$4,"",$A$4+342)</f>
        <v>46365</v>
      </c>
      <c r="N34231" t="str">
        <f>IF(M34231="","",'Master Barang'!A25)</f>
        <v>PRL-024</v>
      </c>
      <c r="O34231" t="str">
        <f>IF(N34231="","",'Master Barang'!B25)</f>
        <v>cikrak kecil</v>
      </c>
      <c r="P34231">
        <f>IF(OR(M34231="",N34231=""),"",SUMIFS('Barang Keluar'!$E:$E,'Barang Keluar'!$A:$A,M34231,'Barang Keluar'!$C:$C,N34231))</f>
        <v>0</v>
      </c>
    </row>
    <row r="34232" spans="13:16">
      <c r="M34232" s="49">
        <f>IF($A$4+342&gt;$B$4,"",$A$4+342)</f>
        <v>46365</v>
      </c>
      <c r="N34232" t="str">
        <f>IF(M34232="","",'Master Barang'!A26)</f>
        <v>PRL-025</v>
      </c>
      <c r="O34232" t="str">
        <f>IF(N34232="","",'Master Barang'!B26)</f>
        <v>petromax plastik kecil 12x24 100 lembar</v>
      </c>
      <c r="P34232">
        <f>IF(OR(M34232="",N34232=""),"",SUMIFS('Barang Keluar'!$E:$E,'Barang Keluar'!$A:$A,M34232,'Barang Keluar'!$C:$C,N34232))</f>
        <v>0</v>
      </c>
    </row>
    <row r="34233" spans="13:16">
      <c r="M34233" s="49">
        <f>IF($A$4+342&gt;$B$4,"",$A$4+342)</f>
        <v>46365</v>
      </c>
      <c r="N34233" t="str">
        <f>IF(M34233="","",'Master Barang'!A27)</f>
        <v>PRL-026</v>
      </c>
      <c r="O34233" t="str">
        <f>IF(N34233="","",'Master Barang'!B27)</f>
        <v>lancar kresek kecil bening </v>
      </c>
      <c r="P34233">
        <f>IF(OR(M34233="",N34233=""),"",SUMIFS('Barang Keluar'!$E:$E,'Barang Keluar'!$A:$A,M34233,'Barang Keluar'!$C:$C,N34233))</f>
        <v>0</v>
      </c>
    </row>
    <row r="34234" spans="13:16">
      <c r="M34234" s="49">
        <f>IF($A$4+342&gt;$B$4,"",$A$4+342)</f>
        <v>46365</v>
      </c>
      <c r="N34234" t="str">
        <f>IF(M34234="","",'Master Barang'!A28)</f>
        <v>PRL-027</v>
      </c>
      <c r="O34234" t="str">
        <f>IF(N34234="","",'Master Barang'!B28)</f>
        <v>kresek klin warna warni kecil</v>
      </c>
      <c r="P34234">
        <f>IF(OR(M34234="",N34234=""),"",SUMIFS('Barang Keluar'!$E:$E,'Barang Keluar'!$A:$A,M34234,'Barang Keluar'!$C:$C,N34234))</f>
        <v>0</v>
      </c>
    </row>
    <row r="34235" spans="13:16">
      <c r="M34235" s="49">
        <f>IF($A$4+342&gt;$B$4,"",$A$4+342)</f>
        <v>46365</v>
      </c>
      <c r="N34235" t="str">
        <f>IF(M34235="","",'Master Barang'!A29)</f>
        <v>PRL-028</v>
      </c>
      <c r="O34235" t="str">
        <f>IF(N34235="","",'Master Barang'!B29)</f>
        <v>ctik plastik 7x10 100 pcs</v>
      </c>
      <c r="P34235">
        <f>IF(OR(M34235="",N34235=""),"",SUMIFS('Barang Keluar'!$E:$E,'Barang Keluar'!$A:$A,M34235,'Barang Keluar'!$C:$C,N34235))</f>
        <v>0</v>
      </c>
    </row>
    <row r="34236" spans="13:16">
      <c r="M34236" s="49">
        <f>IF($A$4+342&gt;$B$4,"",$A$4+342)</f>
        <v>46365</v>
      </c>
      <c r="N34236" t="str">
        <f>IF(M34236="","",'Master Barang'!A30)</f>
        <v>PRL-029</v>
      </c>
      <c r="O34236" t="str">
        <f>IF(N34236="","",'Master Barang'!B30)</f>
        <v>ctik plastik 6x10 100 pcs</v>
      </c>
      <c r="P34236">
        <f>IF(OR(M34236="",N34236=""),"",SUMIFS('Barang Keluar'!$E:$E,'Barang Keluar'!$A:$A,M34236,'Barang Keluar'!$C:$C,N34236))</f>
        <v>0</v>
      </c>
    </row>
    <row r="34237" spans="13:16">
      <c r="M34237" s="49">
        <f>IF($A$4+342&gt;$B$4,"",$A$4+342)</f>
        <v>46365</v>
      </c>
      <c r="N34237" t="str">
        <f>IF(M34237="","",'Master Barang'!A31)</f>
        <v>PRL-030</v>
      </c>
      <c r="O34237" t="str">
        <f>IF(N34237="","",'Master Barang'!B31)</f>
        <v>klip plastik 25x16 100 pcs</v>
      </c>
      <c r="P34237">
        <f>IF(OR(M34237="",N34237=""),"",SUMIFS('Barang Keluar'!$E:$E,'Barang Keluar'!$A:$A,M34237,'Barang Keluar'!$C:$C,N34237))</f>
        <v>0</v>
      </c>
    </row>
    <row r="34238" spans="13:16">
      <c r="M34238" s="49">
        <f>IF($A$4+342&gt;$B$4,"",$A$4+342)</f>
        <v>46365</v>
      </c>
      <c r="N34238" t="str">
        <f>IF(M34238="","",'Master Barang'!A32)</f>
        <v>PRL-031</v>
      </c>
      <c r="O34238" t="str">
        <f>IF(N34238="","",'Master Barang'!B32)</f>
        <v>tempat saus 20 ml</v>
      </c>
      <c r="P34238">
        <f>IF(OR(M34238="",N34238=""),"",SUMIFS('Barang Keluar'!$E:$E,'Barang Keluar'!$A:$A,M34238,'Barang Keluar'!$C:$C,N34238))</f>
        <v>0</v>
      </c>
    </row>
    <row r="34239" spans="13:16">
      <c r="M34239" s="49">
        <f>IF($A$4+342&gt;$B$4,"",$A$4+342)</f>
        <v>46365</v>
      </c>
      <c r="N34239" t="str">
        <f>IF(M34239="","",'Master Barang'!A33)</f>
        <v>PRL-032</v>
      </c>
      <c r="O34239" t="str">
        <f>IF(N34239="","",'Master Barang'!B33)</f>
        <v>plastik packaging ag box uk sedang</v>
      </c>
      <c r="P34239">
        <f>IF(OR(M34239="",N34239=""),"",SUMIFS('Barang Keluar'!$E:$E,'Barang Keluar'!$A:$A,M34239,'Barang Keluar'!$C:$C,N34239))</f>
        <v>0</v>
      </c>
    </row>
    <row r="34240" spans="13:16">
      <c r="M34240" s="49">
        <f>IF($A$4+342&gt;$B$4,"",$A$4+342)</f>
        <v>46365</v>
      </c>
      <c r="N34240" t="str">
        <f>IF(M34240="","",'Master Barang'!A34)</f>
        <v>PRL-033</v>
      </c>
      <c r="O34240">
        <f>IF(N34240="","",'Master Barang'!B34)</f>
        <v>0</v>
      </c>
      <c r="P34240">
        <f>IF(OR(M34240="",N34240=""),"",SUMIFS('Barang Keluar'!$E:$E,'Barang Keluar'!$A:$A,M34240,'Barang Keluar'!$C:$C,N34240))</f>
        <v>0</v>
      </c>
    </row>
    <row r="34241" spans="13:16">
      <c r="M34241" s="49">
        <f>IF($A$4+342&gt;$B$4,"",$A$4+342)</f>
        <v>46365</v>
      </c>
      <c r="N34241">
        <f>IF(M34241="","",'Master Barang'!A35)</f>
        <v>0</v>
      </c>
      <c r="O34241">
        <f>IF(N34241="","",'Master Barang'!B35)</f>
        <v>0</v>
      </c>
      <c r="P34241">
        <f>IF(OR(M34241="",N34241=""),"",SUMIFS('Barang Keluar'!$E:$E,'Barang Keluar'!$A:$A,M34241,'Barang Keluar'!$C:$C,N34241))</f>
        <v>0</v>
      </c>
    </row>
    <row r="34242" spans="13:16">
      <c r="M34242" s="49">
        <f>IF($A$4+342&gt;$B$4,"",$A$4+342)</f>
        <v>46365</v>
      </c>
      <c r="N34242">
        <f>IF(M34242="","",'Master Barang'!A36)</f>
        <v>0</v>
      </c>
      <c r="O34242">
        <f>IF(N34242="","",'Master Barang'!B36)</f>
        <v>0</v>
      </c>
      <c r="P34242">
        <f>IF(OR(M34242="",N34242=""),"",SUMIFS('Barang Keluar'!$E:$E,'Barang Keluar'!$A:$A,M34242,'Barang Keluar'!$C:$C,N34242))</f>
        <v>0</v>
      </c>
    </row>
    <row r="34243" spans="13:16">
      <c r="M34243" s="49">
        <f>IF($A$4+342&gt;$B$4,"",$A$4+342)</f>
        <v>46365</v>
      </c>
      <c r="N34243">
        <f>IF(M34243="","",'Master Barang'!A37)</f>
        <v>0</v>
      </c>
      <c r="O34243">
        <f>IF(N34243="","",'Master Barang'!B37)</f>
        <v>0</v>
      </c>
      <c r="P34243">
        <f>IF(OR(M34243="",N34243=""),"",SUMIFS('Barang Keluar'!$E:$E,'Barang Keluar'!$A:$A,M34243,'Barang Keluar'!$C:$C,N34243))</f>
        <v>0</v>
      </c>
    </row>
    <row r="34244" spans="13:16">
      <c r="M34244" s="49">
        <f>IF($A$4+342&gt;$B$4,"",$A$4+342)</f>
        <v>46365</v>
      </c>
      <c r="N34244">
        <f>IF(M34244="","",'Master Barang'!A38)</f>
        <v>0</v>
      </c>
      <c r="O34244">
        <f>IF(N34244="","",'Master Barang'!B38)</f>
        <v>0</v>
      </c>
      <c r="P34244">
        <f>IF(OR(M34244="",N34244=""),"",SUMIFS('Barang Keluar'!$E:$E,'Barang Keluar'!$A:$A,M34244,'Barang Keluar'!$C:$C,N34244))</f>
        <v>0</v>
      </c>
    </row>
    <row r="34245" spans="13:16">
      <c r="M34245" s="49">
        <f>IF($A$4+342&gt;$B$4,"",$A$4+342)</f>
        <v>46365</v>
      </c>
      <c r="N34245">
        <f>IF(M34245="","",'Master Barang'!A39)</f>
        <v>0</v>
      </c>
      <c r="O34245">
        <f>IF(N34245="","",'Master Barang'!B39)</f>
        <v>0</v>
      </c>
      <c r="P34245">
        <f>IF(OR(M34245="",N34245=""),"",SUMIFS('Barang Keluar'!$E:$E,'Barang Keluar'!$A:$A,M34245,'Barang Keluar'!$C:$C,N34245))</f>
        <v>0</v>
      </c>
    </row>
    <row r="34246" spans="13:16">
      <c r="M34246" s="49">
        <f>IF($A$4+342&gt;$B$4,"",$A$4+342)</f>
        <v>46365</v>
      </c>
      <c r="N34246">
        <f>IF(M34246="","",'Master Barang'!A40)</f>
        <v>0</v>
      </c>
      <c r="O34246">
        <f>IF(N34246="","",'Master Barang'!B40)</f>
        <v>0</v>
      </c>
      <c r="P34246">
        <f>IF(OR(M34246="",N34246=""),"",SUMIFS('Barang Keluar'!$E:$E,'Barang Keluar'!$A:$A,M34246,'Barang Keluar'!$C:$C,N34246))</f>
        <v>0</v>
      </c>
    </row>
    <row r="34247" spans="13:16">
      <c r="M34247" s="49">
        <f>IF($A$4+342&gt;$B$4,"",$A$4+342)</f>
        <v>46365</v>
      </c>
      <c r="N34247">
        <f>IF(M34247="","",'Master Barang'!A41)</f>
        <v>0</v>
      </c>
      <c r="O34247">
        <f>IF(N34247="","",'Master Barang'!B41)</f>
        <v>0</v>
      </c>
      <c r="P34247">
        <f>IF(OR(M34247="",N34247=""),"",SUMIFS('Barang Keluar'!$E:$E,'Barang Keluar'!$A:$A,M34247,'Barang Keluar'!$C:$C,N34247))</f>
        <v>0</v>
      </c>
    </row>
    <row r="34248" spans="13:16">
      <c r="M34248" s="49">
        <f>IF($A$4+342&gt;$B$4,"",$A$4+342)</f>
        <v>46365</v>
      </c>
      <c r="N34248">
        <f>IF(M34248="","",'Master Barang'!A42)</f>
        <v>0</v>
      </c>
      <c r="O34248">
        <f>IF(N34248="","",'Master Barang'!B42)</f>
        <v>0</v>
      </c>
      <c r="P34248">
        <f>IF(OR(M34248="",N34248=""),"",SUMIFS('Barang Keluar'!$E:$E,'Barang Keluar'!$A:$A,M34248,'Barang Keluar'!$C:$C,N34248))</f>
        <v>0</v>
      </c>
    </row>
    <row r="34249" spans="13:16">
      <c r="M34249" s="49">
        <f>IF($A$4+342&gt;$B$4,"",$A$4+342)</f>
        <v>46365</v>
      </c>
      <c r="N34249">
        <f>IF(M34249="","",'Master Barang'!A43)</f>
        <v>0</v>
      </c>
      <c r="O34249">
        <f>IF(N34249="","",'Master Barang'!B43)</f>
        <v>0</v>
      </c>
      <c r="P34249">
        <f>IF(OR(M34249="",N34249=""),"",SUMIFS('Barang Keluar'!$E:$E,'Barang Keluar'!$A:$A,M34249,'Barang Keluar'!$C:$C,N34249))</f>
        <v>0</v>
      </c>
    </row>
    <row r="34250" spans="13:16">
      <c r="M34250" s="49">
        <f>IF($A$4+342&gt;$B$4,"",$A$4+342)</f>
        <v>46365</v>
      </c>
      <c r="N34250">
        <f>IF(M34250="","",'Master Barang'!A44)</f>
        <v>0</v>
      </c>
      <c r="O34250">
        <f>IF(N34250="","",'Master Barang'!B44)</f>
        <v>0</v>
      </c>
      <c r="P34250">
        <f>IF(OR(M34250="",N34250=""),"",SUMIFS('Barang Keluar'!$E:$E,'Barang Keluar'!$A:$A,M34250,'Barang Keluar'!$C:$C,N34250))</f>
        <v>0</v>
      </c>
    </row>
    <row r="34251" spans="13:16">
      <c r="M34251" s="49">
        <f>IF($A$4+342&gt;$B$4,"",$A$4+342)</f>
        <v>46365</v>
      </c>
      <c r="N34251">
        <f>IF(M34251="","",'Master Barang'!A45)</f>
        <v>0</v>
      </c>
      <c r="O34251">
        <f>IF(N34251="","",'Master Barang'!B45)</f>
        <v>0</v>
      </c>
      <c r="P34251">
        <f>IF(OR(M34251="",N34251=""),"",SUMIFS('Barang Keluar'!$E:$E,'Barang Keluar'!$A:$A,M34251,'Barang Keluar'!$C:$C,N34251))</f>
        <v>0</v>
      </c>
    </row>
    <row r="34252" spans="13:16">
      <c r="M34252" s="49">
        <f>IF($A$4+342&gt;$B$4,"",$A$4+342)</f>
        <v>46365</v>
      </c>
      <c r="N34252">
        <f>IF(M34252="","",'Master Barang'!A46)</f>
        <v>0</v>
      </c>
      <c r="O34252">
        <f>IF(N34252="","",'Master Barang'!B46)</f>
        <v>0</v>
      </c>
      <c r="P34252">
        <f>IF(OR(M34252="",N34252=""),"",SUMIFS('Barang Keluar'!$E:$E,'Barang Keluar'!$A:$A,M34252,'Barang Keluar'!$C:$C,N34252))</f>
        <v>0</v>
      </c>
    </row>
    <row r="34253" spans="13:16">
      <c r="M34253" s="49">
        <f>IF($A$4+342&gt;$B$4,"",$A$4+342)</f>
        <v>46365</v>
      </c>
      <c r="N34253">
        <f>IF(M34253="","",'Master Barang'!A47)</f>
        <v>0</v>
      </c>
      <c r="O34253">
        <f>IF(N34253="","",'Master Barang'!B47)</f>
        <v>0</v>
      </c>
      <c r="P34253">
        <f>IF(OR(M34253="",N34253=""),"",SUMIFS('Barang Keluar'!$E:$E,'Barang Keluar'!$A:$A,M34253,'Barang Keluar'!$C:$C,N34253))</f>
        <v>0</v>
      </c>
    </row>
    <row r="34254" spans="13:16">
      <c r="M34254" s="49">
        <f>IF($A$4+342&gt;$B$4,"",$A$4+342)</f>
        <v>46365</v>
      </c>
      <c r="N34254">
        <f>IF(M34254="","",'Master Barang'!A48)</f>
        <v>0</v>
      </c>
      <c r="O34254">
        <f>IF(N34254="","",'Master Barang'!B48)</f>
        <v>0</v>
      </c>
      <c r="P34254">
        <f>IF(OR(M34254="",N34254=""),"",SUMIFS('Barang Keluar'!$E:$E,'Barang Keluar'!$A:$A,M34254,'Barang Keluar'!$C:$C,N34254))</f>
        <v>0</v>
      </c>
    </row>
    <row r="34255" spans="13:16">
      <c r="M34255" s="49">
        <f>IF($A$4+342&gt;$B$4,"",$A$4+342)</f>
        <v>46365</v>
      </c>
      <c r="N34255">
        <f>IF(M34255="","",'Master Barang'!A49)</f>
        <v>0</v>
      </c>
      <c r="O34255">
        <f>IF(N34255="","",'Master Barang'!B49)</f>
        <v>0</v>
      </c>
      <c r="P34255">
        <f>IF(OR(M34255="",N34255=""),"",SUMIFS('Barang Keluar'!$E:$E,'Barang Keluar'!$A:$A,M34255,'Barang Keluar'!$C:$C,N34255))</f>
        <v>0</v>
      </c>
    </row>
    <row r="34256" spans="13:16">
      <c r="M34256" s="49">
        <f>IF($A$4+342&gt;$B$4,"",$A$4+342)</f>
        <v>46365</v>
      </c>
      <c r="N34256">
        <f>IF(M34256="","",'Master Barang'!A50)</f>
        <v>0</v>
      </c>
      <c r="O34256">
        <f>IF(N34256="","",'Master Barang'!B50)</f>
        <v>0</v>
      </c>
      <c r="P34256">
        <f>IF(OR(M34256="",N34256=""),"",SUMIFS('Barang Keluar'!$E:$E,'Barang Keluar'!$A:$A,M34256,'Barang Keluar'!$C:$C,N34256))</f>
        <v>0</v>
      </c>
    </row>
    <row r="34257" spans="13:16">
      <c r="M34257" s="49">
        <f>IF($A$4+342&gt;$B$4,"",$A$4+342)</f>
        <v>46365</v>
      </c>
      <c r="N34257">
        <f>IF(M34257="","",'Master Barang'!A51)</f>
        <v>0</v>
      </c>
      <c r="O34257">
        <f>IF(N34257="","",'Master Barang'!B51)</f>
        <v>0</v>
      </c>
      <c r="P34257">
        <f>IF(OR(M34257="",N34257=""),"",SUMIFS('Barang Keluar'!$E:$E,'Barang Keluar'!$A:$A,M34257,'Barang Keluar'!$C:$C,N34257))</f>
        <v>0</v>
      </c>
    </row>
    <row r="34258" spans="13:16">
      <c r="M34258" s="49">
        <f>IF($A$4+342&gt;$B$4,"",$A$4+342)</f>
        <v>46365</v>
      </c>
      <c r="N34258">
        <f>IF(M34258="","",'Master Barang'!A52)</f>
        <v>0</v>
      </c>
      <c r="O34258">
        <f>IF(N34258="","",'Master Barang'!B52)</f>
        <v>0</v>
      </c>
      <c r="P34258">
        <f>IF(OR(M34258="",N34258=""),"",SUMIFS('Barang Keluar'!$E:$E,'Barang Keluar'!$A:$A,M34258,'Barang Keluar'!$C:$C,N34258))</f>
        <v>0</v>
      </c>
    </row>
    <row r="34259" spans="13:16">
      <c r="M34259" s="49">
        <f>IF($A$4+342&gt;$B$4,"",$A$4+342)</f>
        <v>46365</v>
      </c>
      <c r="N34259">
        <f>IF(M34259="","",'Master Barang'!A53)</f>
        <v>0</v>
      </c>
      <c r="O34259">
        <f>IF(N34259="","",'Master Barang'!B53)</f>
        <v>0</v>
      </c>
      <c r="P34259">
        <f>IF(OR(M34259="",N34259=""),"",SUMIFS('Barang Keluar'!$E:$E,'Barang Keluar'!$A:$A,M34259,'Barang Keluar'!$C:$C,N34259))</f>
        <v>0</v>
      </c>
    </row>
    <row r="34260" spans="13:16">
      <c r="M34260" s="49">
        <f>IF($A$4+342&gt;$B$4,"",$A$4+342)</f>
        <v>46365</v>
      </c>
      <c r="N34260">
        <f>IF(M34260="","",'Master Barang'!A54)</f>
        <v>0</v>
      </c>
      <c r="O34260">
        <f>IF(N34260="","",'Master Barang'!B54)</f>
        <v>0</v>
      </c>
      <c r="P34260">
        <f>IF(OR(M34260="",N34260=""),"",SUMIFS('Barang Keluar'!$E:$E,'Barang Keluar'!$A:$A,M34260,'Barang Keluar'!$C:$C,N34260))</f>
        <v>0</v>
      </c>
    </row>
    <row r="34261" spans="13:16">
      <c r="M34261" s="49">
        <f>IF($A$4+342&gt;$B$4,"",$A$4+342)</f>
        <v>46365</v>
      </c>
      <c r="N34261">
        <f>IF(M34261="","",'Master Barang'!A55)</f>
        <v>0</v>
      </c>
      <c r="O34261">
        <f>IF(N34261="","",'Master Barang'!B55)</f>
        <v>0</v>
      </c>
      <c r="P34261">
        <f>IF(OR(M34261="",N34261=""),"",SUMIFS('Barang Keluar'!$E:$E,'Barang Keluar'!$A:$A,M34261,'Barang Keluar'!$C:$C,N34261))</f>
        <v>0</v>
      </c>
    </row>
    <row r="34262" spans="13:16">
      <c r="M34262" s="49">
        <f>IF($A$4+342&gt;$B$4,"",$A$4+342)</f>
        <v>46365</v>
      </c>
      <c r="N34262">
        <f>IF(M34262="","",'Master Barang'!A56)</f>
        <v>0</v>
      </c>
      <c r="O34262">
        <f>IF(N34262="","",'Master Barang'!B56)</f>
        <v>0</v>
      </c>
      <c r="P34262">
        <f>IF(OR(M34262="",N34262=""),"",SUMIFS('Barang Keluar'!$E:$E,'Barang Keluar'!$A:$A,M34262,'Barang Keluar'!$C:$C,N34262))</f>
        <v>0</v>
      </c>
    </row>
    <row r="34263" spans="13:16">
      <c r="M34263" s="49">
        <f>IF($A$4+342&gt;$B$4,"",$A$4+342)</f>
        <v>46365</v>
      </c>
      <c r="N34263">
        <f>IF(M34263="","",'Master Barang'!A57)</f>
        <v>0</v>
      </c>
      <c r="O34263">
        <f>IF(N34263="","",'Master Barang'!B57)</f>
        <v>0</v>
      </c>
      <c r="P34263">
        <f>IF(OR(M34263="",N34263=""),"",SUMIFS('Barang Keluar'!$E:$E,'Barang Keluar'!$A:$A,M34263,'Barang Keluar'!$C:$C,N34263))</f>
        <v>0</v>
      </c>
    </row>
    <row r="34264" spans="13:16">
      <c r="M34264" s="49">
        <f>IF($A$4+342&gt;$B$4,"",$A$4+342)</f>
        <v>46365</v>
      </c>
      <c r="N34264">
        <f>IF(M34264="","",'Master Barang'!A58)</f>
        <v>0</v>
      </c>
      <c r="O34264">
        <f>IF(N34264="","",'Master Barang'!B58)</f>
        <v>0</v>
      </c>
      <c r="P34264">
        <f>IF(OR(M34264="",N34264=""),"",SUMIFS('Barang Keluar'!$E:$E,'Barang Keluar'!$A:$A,M34264,'Barang Keluar'!$C:$C,N34264))</f>
        <v>0</v>
      </c>
    </row>
    <row r="34265" spans="13:16">
      <c r="M34265" s="49">
        <f>IF($A$4+342&gt;$B$4,"",$A$4+342)</f>
        <v>46365</v>
      </c>
      <c r="N34265">
        <f>IF(M34265="","",'Master Barang'!A59)</f>
        <v>0</v>
      </c>
      <c r="O34265">
        <f>IF(N34265="","",'Master Barang'!B59)</f>
        <v>0</v>
      </c>
      <c r="P34265">
        <f>IF(OR(M34265="",N34265=""),"",SUMIFS('Barang Keluar'!$E:$E,'Barang Keluar'!$A:$A,M34265,'Barang Keluar'!$C:$C,N34265))</f>
        <v>0</v>
      </c>
    </row>
    <row r="34266" spans="13:16">
      <c r="M34266" s="49">
        <f>IF($A$4+342&gt;$B$4,"",$A$4+342)</f>
        <v>46365</v>
      </c>
      <c r="N34266">
        <f>IF(M34266="","",'Master Barang'!A60)</f>
        <v>0</v>
      </c>
      <c r="O34266">
        <f>IF(N34266="","",'Master Barang'!B60)</f>
        <v>0</v>
      </c>
      <c r="P34266">
        <f>IF(OR(M34266="",N34266=""),"",SUMIFS('Barang Keluar'!$E:$E,'Barang Keluar'!$A:$A,M34266,'Barang Keluar'!$C:$C,N34266))</f>
        <v>0</v>
      </c>
    </row>
    <row r="34267" spans="13:16">
      <c r="M34267" s="49">
        <f>IF($A$4+342&gt;$B$4,"",$A$4+342)</f>
        <v>46365</v>
      </c>
      <c r="N34267">
        <f>IF(M34267="","",'Master Barang'!A61)</f>
        <v>0</v>
      </c>
      <c r="O34267">
        <f>IF(N34267="","",'Master Barang'!B61)</f>
        <v>0</v>
      </c>
      <c r="P34267">
        <f>IF(OR(M34267="",N34267=""),"",SUMIFS('Barang Keluar'!$E:$E,'Barang Keluar'!$A:$A,M34267,'Barang Keluar'!$C:$C,N34267))</f>
        <v>0</v>
      </c>
    </row>
    <row r="34268" spans="13:16">
      <c r="M34268" s="49">
        <f>IF($A$4+342&gt;$B$4,"",$A$4+342)</f>
        <v>46365</v>
      </c>
      <c r="N34268">
        <f>IF(M34268="","",'Master Barang'!A62)</f>
        <v>0</v>
      </c>
      <c r="O34268">
        <f>IF(N34268="","",'Master Barang'!B62)</f>
        <v>0</v>
      </c>
      <c r="P34268">
        <f>IF(OR(M34268="",N34268=""),"",SUMIFS('Barang Keluar'!$E:$E,'Barang Keluar'!$A:$A,M34268,'Barang Keluar'!$C:$C,N34268))</f>
        <v>0</v>
      </c>
    </row>
    <row r="34269" spans="13:16">
      <c r="M34269" s="49">
        <f>IF($A$4+342&gt;$B$4,"",$A$4+342)</f>
        <v>46365</v>
      </c>
      <c r="N34269">
        <f>IF(M34269="","",'Master Barang'!A63)</f>
        <v>0</v>
      </c>
      <c r="O34269">
        <f>IF(N34269="","",'Master Barang'!B63)</f>
        <v>0</v>
      </c>
      <c r="P34269">
        <f>IF(OR(M34269="",N34269=""),"",SUMIFS('Barang Keluar'!$E:$E,'Barang Keluar'!$A:$A,M34269,'Barang Keluar'!$C:$C,N34269))</f>
        <v>0</v>
      </c>
    </row>
    <row r="34270" spans="13:16">
      <c r="M34270" s="49">
        <f>IF($A$4+342&gt;$B$4,"",$A$4+342)</f>
        <v>46365</v>
      </c>
      <c r="N34270">
        <f>IF(M34270="","",'Master Barang'!A64)</f>
        <v>0</v>
      </c>
      <c r="O34270">
        <f>IF(N34270="","",'Master Barang'!B64)</f>
        <v>0</v>
      </c>
      <c r="P34270">
        <f>IF(OR(M34270="",N34270=""),"",SUMIFS('Barang Keluar'!$E:$E,'Barang Keluar'!$A:$A,M34270,'Barang Keluar'!$C:$C,N34270))</f>
        <v>0</v>
      </c>
    </row>
    <row r="34271" spans="13:16">
      <c r="M34271" s="49">
        <f>IF($A$4+342&gt;$B$4,"",$A$4+342)</f>
        <v>46365</v>
      </c>
      <c r="N34271">
        <f>IF(M34271="","",'Master Barang'!A65)</f>
        <v>0</v>
      </c>
      <c r="O34271">
        <f>IF(N34271="","",'Master Barang'!B65)</f>
        <v>0</v>
      </c>
      <c r="P34271">
        <f>IF(OR(M34271="",N34271=""),"",SUMIFS('Barang Keluar'!$E:$E,'Barang Keluar'!$A:$A,M34271,'Barang Keluar'!$C:$C,N34271))</f>
        <v>0</v>
      </c>
    </row>
    <row r="34272" spans="13:16">
      <c r="M34272" s="49">
        <f>IF($A$4+342&gt;$B$4,"",$A$4+342)</f>
        <v>46365</v>
      </c>
      <c r="N34272">
        <f>IF(M34272="","",'Master Barang'!A66)</f>
        <v>0</v>
      </c>
      <c r="O34272">
        <f>IF(N34272="","",'Master Barang'!B66)</f>
        <v>0</v>
      </c>
      <c r="P34272">
        <f>IF(OR(M34272="",N34272=""),"",SUMIFS('Barang Keluar'!$E:$E,'Barang Keluar'!$A:$A,M34272,'Barang Keluar'!$C:$C,N34272))</f>
        <v>0</v>
      </c>
    </row>
    <row r="34273" spans="13:16">
      <c r="M34273" s="49">
        <f>IF($A$4+342&gt;$B$4,"",$A$4+342)</f>
        <v>46365</v>
      </c>
      <c r="N34273">
        <f>IF(M34273="","",'Master Barang'!A67)</f>
        <v>0</v>
      </c>
      <c r="O34273">
        <f>IF(N34273="","",'Master Barang'!B67)</f>
        <v>0</v>
      </c>
      <c r="P34273">
        <f>IF(OR(M34273="",N34273=""),"",SUMIFS('Barang Keluar'!$E:$E,'Barang Keluar'!$A:$A,M34273,'Barang Keluar'!$C:$C,N34273))</f>
        <v>0</v>
      </c>
    </row>
    <row r="34274" spans="13:16">
      <c r="M34274" s="49">
        <f>IF($A$4+342&gt;$B$4,"",$A$4+342)</f>
        <v>46365</v>
      </c>
      <c r="N34274">
        <f>IF(M34274="","",'Master Barang'!A68)</f>
        <v>0</v>
      </c>
      <c r="O34274">
        <f>IF(N34274="","",'Master Barang'!B68)</f>
        <v>0</v>
      </c>
      <c r="P34274">
        <f>IF(OR(M34274="",N34274=""),"",SUMIFS('Barang Keluar'!$E:$E,'Barang Keluar'!$A:$A,M34274,'Barang Keluar'!$C:$C,N34274))</f>
        <v>0</v>
      </c>
    </row>
    <row r="34275" spans="13:16">
      <c r="M34275" s="49">
        <f>IF($A$4+342&gt;$B$4,"",$A$4+342)</f>
        <v>46365</v>
      </c>
      <c r="N34275">
        <f>IF(M34275="","",'Master Barang'!A69)</f>
        <v>0</v>
      </c>
      <c r="O34275">
        <f>IF(N34275="","",'Master Barang'!B69)</f>
        <v>0</v>
      </c>
      <c r="P34275">
        <f>IF(OR(M34275="",N34275=""),"",SUMIFS('Barang Keluar'!$E:$E,'Barang Keluar'!$A:$A,M34275,'Barang Keluar'!$C:$C,N34275))</f>
        <v>0</v>
      </c>
    </row>
    <row r="34276" spans="13:16">
      <c r="M34276" s="49">
        <f>IF($A$4+342&gt;$B$4,"",$A$4+342)</f>
        <v>46365</v>
      </c>
      <c r="N34276">
        <f>IF(M34276="","",'Master Barang'!A70)</f>
        <v>0</v>
      </c>
      <c r="O34276">
        <f>IF(N34276="","",'Master Barang'!B70)</f>
        <v>0</v>
      </c>
      <c r="P34276">
        <f>IF(OR(M34276="",N34276=""),"",SUMIFS('Barang Keluar'!$E:$E,'Barang Keluar'!$A:$A,M34276,'Barang Keluar'!$C:$C,N34276))</f>
        <v>0</v>
      </c>
    </row>
    <row r="34277" spans="13:16">
      <c r="M34277" s="49">
        <f>IF($A$4+342&gt;$B$4,"",$A$4+342)</f>
        <v>46365</v>
      </c>
      <c r="N34277">
        <f>IF(M34277="","",'Master Barang'!A71)</f>
        <v>0</v>
      </c>
      <c r="O34277">
        <f>IF(N34277="","",'Master Barang'!B71)</f>
        <v>0</v>
      </c>
      <c r="P34277">
        <f>IF(OR(M34277="",N34277=""),"",SUMIFS('Barang Keluar'!$E:$E,'Barang Keluar'!$A:$A,M34277,'Barang Keluar'!$C:$C,N34277))</f>
        <v>0</v>
      </c>
    </row>
    <row r="34278" spans="13:16">
      <c r="M34278" s="49">
        <f>IF($A$4+342&gt;$B$4,"",$A$4+342)</f>
        <v>46365</v>
      </c>
      <c r="N34278">
        <f>IF(M34278="","",'Master Barang'!A72)</f>
        <v>0</v>
      </c>
      <c r="O34278">
        <f>IF(N34278="","",'Master Barang'!B72)</f>
        <v>0</v>
      </c>
      <c r="P34278">
        <f>IF(OR(M34278="",N34278=""),"",SUMIFS('Barang Keluar'!$E:$E,'Barang Keluar'!$A:$A,M34278,'Barang Keluar'!$C:$C,N34278))</f>
        <v>0</v>
      </c>
    </row>
    <row r="34279" spans="13:16">
      <c r="M34279" s="49">
        <f>IF($A$4+342&gt;$B$4,"",$A$4+342)</f>
        <v>46365</v>
      </c>
      <c r="N34279">
        <f>IF(M34279="","",'Master Barang'!A73)</f>
        <v>0</v>
      </c>
      <c r="O34279">
        <f>IF(N34279="","",'Master Barang'!B73)</f>
        <v>0</v>
      </c>
      <c r="P34279">
        <f>IF(OR(M34279="",N34279=""),"",SUMIFS('Barang Keluar'!$E:$E,'Barang Keluar'!$A:$A,M34279,'Barang Keluar'!$C:$C,N34279))</f>
        <v>0</v>
      </c>
    </row>
    <row r="34280" spans="13:16">
      <c r="M34280" s="49">
        <f>IF($A$4+342&gt;$B$4,"",$A$4+342)</f>
        <v>46365</v>
      </c>
      <c r="N34280">
        <f>IF(M34280="","",'Master Barang'!A74)</f>
        <v>0</v>
      </c>
      <c r="O34280">
        <f>IF(N34280="","",'Master Barang'!B74)</f>
        <v>0</v>
      </c>
      <c r="P34280">
        <f>IF(OR(M34280="",N34280=""),"",SUMIFS('Barang Keluar'!$E:$E,'Barang Keluar'!$A:$A,M34280,'Barang Keluar'!$C:$C,N34280))</f>
        <v>0</v>
      </c>
    </row>
    <row r="34281" spans="13:16">
      <c r="M34281" s="49">
        <f>IF($A$4+342&gt;$B$4,"",$A$4+342)</f>
        <v>46365</v>
      </c>
      <c r="N34281">
        <f>IF(M34281="","",'Master Barang'!A75)</f>
        <v>0</v>
      </c>
      <c r="O34281">
        <f>IF(N34281="","",'Master Barang'!B75)</f>
        <v>0</v>
      </c>
      <c r="P34281">
        <f>IF(OR(M34281="",N34281=""),"",SUMIFS('Barang Keluar'!$E:$E,'Barang Keluar'!$A:$A,M34281,'Barang Keluar'!$C:$C,N34281))</f>
        <v>0</v>
      </c>
    </row>
    <row r="34282" spans="13:16">
      <c r="M34282" s="49">
        <f>IF($A$4+342&gt;$B$4,"",$A$4+342)</f>
        <v>46365</v>
      </c>
      <c r="N34282">
        <f>IF(M34282="","",'Master Barang'!A76)</f>
        <v>0</v>
      </c>
      <c r="O34282">
        <f>IF(N34282="","",'Master Barang'!B76)</f>
        <v>0</v>
      </c>
      <c r="P34282">
        <f>IF(OR(M34282="",N34282=""),"",SUMIFS('Barang Keluar'!$E:$E,'Barang Keluar'!$A:$A,M34282,'Barang Keluar'!$C:$C,N34282))</f>
        <v>0</v>
      </c>
    </row>
    <row r="34283" spans="13:16">
      <c r="M34283" s="49">
        <f>IF($A$4+342&gt;$B$4,"",$A$4+342)</f>
        <v>46365</v>
      </c>
      <c r="N34283">
        <f>IF(M34283="","",'Master Barang'!A77)</f>
        <v>0</v>
      </c>
      <c r="O34283">
        <f>IF(N34283="","",'Master Barang'!B77)</f>
        <v>0</v>
      </c>
      <c r="P34283">
        <f>IF(OR(M34283="",N34283=""),"",SUMIFS('Barang Keluar'!$E:$E,'Barang Keluar'!$A:$A,M34283,'Barang Keluar'!$C:$C,N34283))</f>
        <v>0</v>
      </c>
    </row>
    <row r="34284" spans="13:16">
      <c r="M34284" s="49">
        <f>IF($A$4+342&gt;$B$4,"",$A$4+342)</f>
        <v>46365</v>
      </c>
      <c r="N34284">
        <f>IF(M34284="","",'Master Barang'!A78)</f>
        <v>0</v>
      </c>
      <c r="O34284">
        <f>IF(N34284="","",'Master Barang'!B78)</f>
        <v>0</v>
      </c>
      <c r="P34284">
        <f>IF(OR(M34284="",N34284=""),"",SUMIFS('Barang Keluar'!$E:$E,'Barang Keluar'!$A:$A,M34284,'Barang Keluar'!$C:$C,N34284))</f>
        <v>0</v>
      </c>
    </row>
    <row r="34285" spans="13:16">
      <c r="M34285" s="49">
        <f>IF($A$4+342&gt;$B$4,"",$A$4+342)</f>
        <v>46365</v>
      </c>
      <c r="N34285">
        <f>IF(M34285="","",'Master Barang'!A79)</f>
        <v>0</v>
      </c>
      <c r="O34285">
        <f>IF(N34285="","",'Master Barang'!B79)</f>
        <v>0</v>
      </c>
      <c r="P34285">
        <f>IF(OR(M34285="",N34285=""),"",SUMIFS('Barang Keluar'!$E:$E,'Barang Keluar'!$A:$A,M34285,'Barang Keluar'!$C:$C,N34285))</f>
        <v>0</v>
      </c>
    </row>
    <row r="34286" spans="13:16">
      <c r="M34286" s="49">
        <f>IF($A$4+342&gt;$B$4,"",$A$4+342)</f>
        <v>46365</v>
      </c>
      <c r="N34286">
        <f>IF(M34286="","",'Master Barang'!A80)</f>
        <v>0</v>
      </c>
      <c r="O34286">
        <f>IF(N34286="","",'Master Barang'!B80)</f>
        <v>0</v>
      </c>
      <c r="P34286">
        <f>IF(OR(M34286="",N34286=""),"",SUMIFS('Barang Keluar'!$E:$E,'Barang Keluar'!$A:$A,M34286,'Barang Keluar'!$C:$C,N34286))</f>
        <v>0</v>
      </c>
    </row>
    <row r="34287" spans="13:16">
      <c r="M34287" s="49">
        <f>IF($A$4+342&gt;$B$4,"",$A$4+342)</f>
        <v>46365</v>
      </c>
      <c r="N34287">
        <f>IF(M34287="","",'Master Barang'!A81)</f>
        <v>0</v>
      </c>
      <c r="O34287">
        <f>IF(N34287="","",'Master Barang'!B81)</f>
        <v>0</v>
      </c>
      <c r="P34287">
        <f>IF(OR(M34287="",N34287=""),"",SUMIFS('Barang Keluar'!$E:$E,'Barang Keluar'!$A:$A,M34287,'Barang Keluar'!$C:$C,N34287))</f>
        <v>0</v>
      </c>
    </row>
    <row r="34288" spans="13:16">
      <c r="M34288" s="49">
        <f>IF($A$4+342&gt;$B$4,"",$A$4+342)</f>
        <v>46365</v>
      </c>
      <c r="N34288">
        <f>IF(M34288="","",'Master Barang'!A82)</f>
        <v>0</v>
      </c>
      <c r="O34288">
        <f>IF(N34288="","",'Master Barang'!B82)</f>
        <v>0</v>
      </c>
      <c r="P34288">
        <f>IF(OR(M34288="",N34288=""),"",SUMIFS('Barang Keluar'!$E:$E,'Barang Keluar'!$A:$A,M34288,'Barang Keluar'!$C:$C,N34288))</f>
        <v>0</v>
      </c>
    </row>
    <row r="34289" spans="13:16">
      <c r="M34289" s="49">
        <f>IF($A$4+342&gt;$B$4,"",$A$4+342)</f>
        <v>46365</v>
      </c>
      <c r="N34289">
        <f>IF(M34289="","",'Master Barang'!A83)</f>
        <v>0</v>
      </c>
      <c r="O34289">
        <f>IF(N34289="","",'Master Barang'!B83)</f>
        <v>0</v>
      </c>
      <c r="P34289">
        <f>IF(OR(M34289="",N34289=""),"",SUMIFS('Barang Keluar'!$E:$E,'Barang Keluar'!$A:$A,M34289,'Barang Keluar'!$C:$C,N34289))</f>
        <v>0</v>
      </c>
    </row>
    <row r="34290" spans="13:16">
      <c r="M34290" s="49">
        <f>IF($A$4+342&gt;$B$4,"",$A$4+342)</f>
        <v>46365</v>
      </c>
      <c r="N34290">
        <f>IF(M34290="","",'Master Barang'!A84)</f>
        <v>0</v>
      </c>
      <c r="O34290">
        <f>IF(N34290="","",'Master Barang'!B84)</f>
        <v>0</v>
      </c>
      <c r="P34290">
        <f>IF(OR(M34290="",N34290=""),"",SUMIFS('Barang Keluar'!$E:$E,'Barang Keluar'!$A:$A,M34290,'Barang Keluar'!$C:$C,N34290))</f>
        <v>0</v>
      </c>
    </row>
    <row r="34291" spans="13:16">
      <c r="M34291" s="49">
        <f>IF($A$4+342&gt;$B$4,"",$A$4+342)</f>
        <v>46365</v>
      </c>
      <c r="N34291">
        <f>IF(M34291="","",'Master Barang'!A85)</f>
        <v>0</v>
      </c>
      <c r="O34291">
        <f>IF(N34291="","",'Master Barang'!B85)</f>
        <v>0</v>
      </c>
      <c r="P34291">
        <f>IF(OR(M34291="",N34291=""),"",SUMIFS('Barang Keluar'!$E:$E,'Barang Keluar'!$A:$A,M34291,'Barang Keluar'!$C:$C,N34291))</f>
        <v>0</v>
      </c>
    </row>
    <row r="34292" spans="13:16">
      <c r="M34292" s="49">
        <f>IF($A$4+342&gt;$B$4,"",$A$4+342)</f>
        <v>46365</v>
      </c>
      <c r="N34292">
        <f>IF(M34292="","",'Master Barang'!A86)</f>
        <v>0</v>
      </c>
      <c r="O34292">
        <f>IF(N34292="","",'Master Barang'!B86)</f>
        <v>0</v>
      </c>
      <c r="P34292">
        <f>IF(OR(M34292="",N34292=""),"",SUMIFS('Barang Keluar'!$E:$E,'Barang Keluar'!$A:$A,M34292,'Barang Keluar'!$C:$C,N34292))</f>
        <v>0</v>
      </c>
    </row>
    <row r="34293" spans="13:16">
      <c r="M34293" s="49">
        <f>IF($A$4+342&gt;$B$4,"",$A$4+342)</f>
        <v>46365</v>
      </c>
      <c r="N34293">
        <f>IF(M34293="","",'Master Barang'!A87)</f>
        <v>0</v>
      </c>
      <c r="O34293">
        <f>IF(N34293="","",'Master Barang'!B87)</f>
        <v>0</v>
      </c>
      <c r="P34293">
        <f>IF(OR(M34293="",N34293=""),"",SUMIFS('Barang Keluar'!$E:$E,'Barang Keluar'!$A:$A,M34293,'Barang Keluar'!$C:$C,N34293))</f>
        <v>0</v>
      </c>
    </row>
    <row r="34294" spans="13:16">
      <c r="M34294" s="49">
        <f>IF($A$4+342&gt;$B$4,"",$A$4+342)</f>
        <v>46365</v>
      </c>
      <c r="N34294">
        <f>IF(M34294="","",'Master Barang'!A88)</f>
        <v>0</v>
      </c>
      <c r="O34294">
        <f>IF(N34294="","",'Master Barang'!B88)</f>
        <v>0</v>
      </c>
      <c r="P34294">
        <f>IF(OR(M34294="",N34294=""),"",SUMIFS('Barang Keluar'!$E:$E,'Barang Keluar'!$A:$A,M34294,'Barang Keluar'!$C:$C,N34294))</f>
        <v>0</v>
      </c>
    </row>
    <row r="34295" spans="13:16">
      <c r="M34295" s="49">
        <f>IF($A$4+342&gt;$B$4,"",$A$4+342)</f>
        <v>46365</v>
      </c>
      <c r="N34295">
        <f>IF(M34295="","",'Master Barang'!A89)</f>
        <v>0</v>
      </c>
      <c r="O34295">
        <f>IF(N34295="","",'Master Barang'!B89)</f>
        <v>0</v>
      </c>
      <c r="P34295">
        <f>IF(OR(M34295="",N34295=""),"",SUMIFS('Barang Keluar'!$E:$E,'Barang Keluar'!$A:$A,M34295,'Barang Keluar'!$C:$C,N34295))</f>
        <v>0</v>
      </c>
    </row>
    <row r="34296" spans="13:16">
      <c r="M34296" s="49">
        <f>IF($A$4+342&gt;$B$4,"",$A$4+342)</f>
        <v>46365</v>
      </c>
      <c r="N34296">
        <f>IF(M34296="","",'Master Barang'!A90)</f>
        <v>0</v>
      </c>
      <c r="O34296">
        <f>IF(N34296="","",'Master Barang'!B90)</f>
        <v>0</v>
      </c>
      <c r="P34296">
        <f>IF(OR(M34296="",N34296=""),"",SUMIFS('Barang Keluar'!$E:$E,'Barang Keluar'!$A:$A,M34296,'Barang Keluar'!$C:$C,N34296))</f>
        <v>0</v>
      </c>
    </row>
    <row r="34297" spans="13:16">
      <c r="M34297" s="49">
        <f>IF($A$4+342&gt;$B$4,"",$A$4+342)</f>
        <v>46365</v>
      </c>
      <c r="N34297">
        <f>IF(M34297="","",'Master Barang'!A91)</f>
        <v>0</v>
      </c>
      <c r="O34297">
        <f>IF(N34297="","",'Master Barang'!B91)</f>
        <v>0</v>
      </c>
      <c r="P34297">
        <f>IF(OR(M34297="",N34297=""),"",SUMIFS('Barang Keluar'!$E:$E,'Barang Keluar'!$A:$A,M34297,'Barang Keluar'!$C:$C,N34297))</f>
        <v>0</v>
      </c>
    </row>
    <row r="34298" spans="13:16">
      <c r="M34298" s="49">
        <f>IF($A$4+342&gt;$B$4,"",$A$4+342)</f>
        <v>46365</v>
      </c>
      <c r="N34298">
        <f>IF(M34298="","",'Master Barang'!A92)</f>
        <v>0</v>
      </c>
      <c r="O34298">
        <f>IF(N34298="","",'Master Barang'!B92)</f>
        <v>0</v>
      </c>
      <c r="P34298">
        <f>IF(OR(M34298="",N34298=""),"",SUMIFS('Barang Keluar'!$E:$E,'Barang Keluar'!$A:$A,M34298,'Barang Keluar'!$C:$C,N34298))</f>
        <v>0</v>
      </c>
    </row>
    <row r="34299" spans="13:16">
      <c r="M34299" s="49">
        <f>IF($A$4+342&gt;$B$4,"",$A$4+342)</f>
        <v>46365</v>
      </c>
      <c r="N34299">
        <f>IF(M34299="","",'Master Barang'!A93)</f>
        <v>0</v>
      </c>
      <c r="O34299">
        <f>IF(N34299="","",'Master Barang'!B93)</f>
        <v>0</v>
      </c>
      <c r="P34299">
        <f>IF(OR(M34299="",N34299=""),"",SUMIFS('Barang Keluar'!$E:$E,'Barang Keluar'!$A:$A,M34299,'Barang Keluar'!$C:$C,N34299))</f>
        <v>0</v>
      </c>
    </row>
    <row r="34300" spans="13:16">
      <c r="M34300" s="49">
        <f>IF($A$4+342&gt;$B$4,"",$A$4+342)</f>
        <v>46365</v>
      </c>
      <c r="N34300">
        <f>IF(M34300="","",'Master Barang'!A94)</f>
        <v>0</v>
      </c>
      <c r="O34300">
        <f>IF(N34300="","",'Master Barang'!B94)</f>
        <v>0</v>
      </c>
      <c r="P34300">
        <f>IF(OR(M34300="",N34300=""),"",SUMIFS('Barang Keluar'!$E:$E,'Barang Keluar'!$A:$A,M34300,'Barang Keluar'!$C:$C,N34300))</f>
        <v>0</v>
      </c>
    </row>
    <row r="34301" spans="13:16">
      <c r="M34301" s="49">
        <f>IF($A$4+342&gt;$B$4,"",$A$4+342)</f>
        <v>46365</v>
      </c>
      <c r="N34301">
        <f>IF(M34301="","",'Master Barang'!A95)</f>
        <v>0</v>
      </c>
      <c r="O34301">
        <f>IF(N34301="","",'Master Barang'!B95)</f>
        <v>0</v>
      </c>
      <c r="P34301">
        <f>IF(OR(M34301="",N34301=""),"",SUMIFS('Barang Keluar'!$E:$E,'Barang Keluar'!$A:$A,M34301,'Barang Keluar'!$C:$C,N34301))</f>
        <v>0</v>
      </c>
    </row>
    <row r="34302" spans="13:16">
      <c r="M34302" s="49">
        <f>IF($A$4+342&gt;$B$4,"",$A$4+342)</f>
        <v>46365</v>
      </c>
      <c r="N34302">
        <f>IF(M34302="","",'Master Barang'!A96)</f>
        <v>0</v>
      </c>
      <c r="O34302">
        <f>IF(N34302="","",'Master Barang'!B96)</f>
        <v>0</v>
      </c>
      <c r="P34302">
        <f>IF(OR(M34302="",N34302=""),"",SUMIFS('Barang Keluar'!$E:$E,'Barang Keluar'!$A:$A,M34302,'Barang Keluar'!$C:$C,N34302))</f>
        <v>0</v>
      </c>
    </row>
    <row r="34303" spans="13:16">
      <c r="M34303" s="49">
        <f>IF($A$4+342&gt;$B$4,"",$A$4+342)</f>
        <v>46365</v>
      </c>
      <c r="N34303">
        <f>IF(M34303="","",'Master Barang'!A97)</f>
        <v>0</v>
      </c>
      <c r="O34303">
        <f>IF(N34303="","",'Master Barang'!B97)</f>
        <v>0</v>
      </c>
      <c r="P34303">
        <f>IF(OR(M34303="",N34303=""),"",SUMIFS('Barang Keluar'!$E:$E,'Barang Keluar'!$A:$A,M34303,'Barang Keluar'!$C:$C,N34303))</f>
        <v>0</v>
      </c>
    </row>
    <row r="34304" spans="13:16">
      <c r="M34304" s="49">
        <f>IF($A$4+342&gt;$B$4,"",$A$4+342)</f>
        <v>46365</v>
      </c>
      <c r="N34304">
        <f>IF(M34304="","",'Master Barang'!A98)</f>
        <v>0</v>
      </c>
      <c r="O34304">
        <f>IF(N34304="","",'Master Barang'!B98)</f>
        <v>0</v>
      </c>
      <c r="P34304">
        <f>IF(OR(M34304="",N34304=""),"",SUMIFS('Barang Keluar'!$E:$E,'Barang Keluar'!$A:$A,M34304,'Barang Keluar'!$C:$C,N34304))</f>
        <v>0</v>
      </c>
    </row>
    <row r="34305" spans="13:16">
      <c r="M34305" s="49">
        <f>IF($A$4+342&gt;$B$4,"",$A$4+342)</f>
        <v>46365</v>
      </c>
      <c r="N34305">
        <f>IF(M34305="","",'Master Barang'!A99)</f>
        <v>0</v>
      </c>
      <c r="O34305">
        <f>IF(N34305="","",'Master Barang'!B99)</f>
        <v>0</v>
      </c>
      <c r="P34305">
        <f>IF(OR(M34305="",N34305=""),"",SUMIFS('Barang Keluar'!$E:$E,'Barang Keluar'!$A:$A,M34305,'Barang Keluar'!$C:$C,N34305))</f>
        <v>0</v>
      </c>
    </row>
    <row r="34306" spans="13:16">
      <c r="M34306" s="49">
        <f>IF($A$4+342&gt;$B$4,"",$A$4+342)</f>
        <v>46365</v>
      </c>
      <c r="N34306">
        <f>IF(M34306="","",'Master Barang'!A100)</f>
        <v>0</v>
      </c>
      <c r="O34306">
        <f>IF(N34306="","",'Master Barang'!B100)</f>
        <v>0</v>
      </c>
      <c r="P34306">
        <f>IF(OR(M34306="",N34306=""),"",SUMIFS('Barang Keluar'!$E:$E,'Barang Keluar'!$A:$A,M34306,'Barang Keluar'!$C:$C,N34306))</f>
        <v>0</v>
      </c>
    </row>
    <row r="34307" spans="13:16">
      <c r="M34307" s="49">
        <f>IF($A$4+342&gt;$B$4,"",$A$4+342)</f>
        <v>46365</v>
      </c>
      <c r="N34307">
        <f>IF(M34307="","",'Master Barang'!A101)</f>
        <v>0</v>
      </c>
      <c r="O34307">
        <f>IF(N34307="","",'Master Barang'!B101)</f>
        <v>0</v>
      </c>
      <c r="P34307">
        <f>IF(OR(M34307="",N34307=""),"",SUMIFS('Barang Keluar'!$E:$E,'Barang Keluar'!$A:$A,M34307,'Barang Keluar'!$C:$C,N34307))</f>
        <v>0</v>
      </c>
    </row>
    <row r="34308" spans="13:16">
      <c r="M34308" s="49">
        <f>IF($A$4+343&gt;$B$4,"",$A$4+343)</f>
        <v>46366</v>
      </c>
      <c r="N34308" t="str">
        <f>IF(M34308="","",'Master Barang'!A2)</f>
        <v>PRL-001</v>
      </c>
      <c r="O34308" t="str">
        <f>IF(N34308="","",'Master Barang'!B2)</f>
        <v>natura desinfectant food grade 5l</v>
      </c>
      <c r="P34308">
        <f>IF(OR(M34308="",N34308=""),"",SUMIFS('Barang Keluar'!$E:$E,'Barang Keluar'!$A:$A,M34308,'Barang Keluar'!$C:$C,N34308))</f>
        <v>0</v>
      </c>
    </row>
    <row r="34309" spans="13:16">
      <c r="M34309" s="49">
        <f>IF($A$4+343&gt;$B$4,"",$A$4+343)</f>
        <v>46366</v>
      </c>
      <c r="N34309" t="str">
        <f>IF(M34309="","",'Master Barang'!A3)</f>
        <v>PRL-002</v>
      </c>
      <c r="O34309" t="str">
        <f>IF(N34309="","",'Master Barang'!B3)</f>
        <v>sunlight cairan pencuci piring 5l</v>
      </c>
      <c r="P34309">
        <f>IF(OR(M34309="",N34309=""),"",SUMIFS('Barang Keluar'!$E:$E,'Barang Keluar'!$A:$A,M34309,'Barang Keluar'!$C:$C,N34309))</f>
        <v>0</v>
      </c>
    </row>
    <row r="34310" spans="13:16">
      <c r="M34310" s="49">
        <f>IF($A$4+343&gt;$B$4,"",$A$4+343)</f>
        <v>46366</v>
      </c>
      <c r="N34310" t="str">
        <f>IF(M34310="","",'Master Barang'!A4)</f>
        <v>PRL-003</v>
      </c>
      <c r="O34310" t="str">
        <f>IF(N34310="","",'Master Barang'!B4)</f>
        <v>oixs cleaner 1l</v>
      </c>
      <c r="P34310">
        <f>IF(OR(M34310="",N34310=""),"",SUMIFS('Barang Keluar'!$E:$E,'Barang Keluar'!$A:$A,M34310,'Barang Keluar'!$C:$C,N34310))</f>
        <v>0</v>
      </c>
    </row>
    <row r="34311" spans="13:16">
      <c r="M34311" s="49">
        <f>IF($A$4+343&gt;$B$4,"",$A$4+343)</f>
        <v>46366</v>
      </c>
      <c r="N34311" t="str">
        <f>IF(M34311="","",'Master Barang'!A5)</f>
        <v>PRL-004</v>
      </c>
      <c r="O34311" t="str">
        <f>IF(N34311="","",'Master Barang'!B5)</f>
        <v>be clean tissue serbaguna</v>
      </c>
      <c r="P34311">
        <f>IF(OR(M34311="",N34311=""),"",SUMIFS('Barang Keluar'!$E:$E,'Barang Keluar'!$A:$A,M34311,'Barang Keluar'!$C:$C,N34311))</f>
        <v>0</v>
      </c>
    </row>
    <row r="34312" spans="13:16">
      <c r="M34312" s="49">
        <f>IF($A$4+343&gt;$B$4,"",$A$4+343)</f>
        <v>46366</v>
      </c>
      <c r="N34312" t="str">
        <f>IF(M34312="","",'Master Barang'!A6)</f>
        <v>PRL-005</v>
      </c>
      <c r="O34312" t="str">
        <f>IF(N34312="","",'Master Barang'!B6)</f>
        <v>spons cuci hijau</v>
      </c>
      <c r="P34312">
        <f>IF(OR(M34312="",N34312=""),"",SUMIFS('Barang Keluar'!$E:$E,'Barang Keluar'!$A:$A,M34312,'Barang Keluar'!$C:$C,N34312))</f>
        <v>0</v>
      </c>
    </row>
    <row r="34313" spans="13:16">
      <c r="M34313" s="49">
        <f>IF($A$4+343&gt;$B$4,"",$A$4+343)</f>
        <v>46366</v>
      </c>
      <c r="N34313" t="str">
        <f>IF(M34313="","",'Master Barang'!A7)</f>
        <v>PRL-006</v>
      </c>
      <c r="O34313" t="str">
        <f>IF(N34313="","",'Master Barang'!B7)</f>
        <v>sabut cuci stainless</v>
      </c>
      <c r="P34313">
        <f>IF(OR(M34313="",N34313=""),"",SUMIFS('Barang Keluar'!$E:$E,'Barang Keluar'!$A:$A,M34313,'Barang Keluar'!$C:$C,N34313))</f>
        <v>0</v>
      </c>
    </row>
    <row r="34314" spans="13:16">
      <c r="M34314" s="49">
        <f>IF($A$4+343&gt;$B$4,"",$A$4+343)</f>
        <v>46366</v>
      </c>
      <c r="N34314" t="str">
        <f>IF(M34314="","",'Master Barang'!A8)</f>
        <v>PRL-007</v>
      </c>
      <c r="O34314" t="str">
        <f>IF(N34314="","",'Master Barang'!B8)</f>
        <v>plastik kresek besar merah 50pc</v>
      </c>
      <c r="P34314">
        <f>IF(OR(M34314="",N34314=""),"",SUMIFS('Barang Keluar'!$E:$E,'Barang Keluar'!$A:$A,M34314,'Barang Keluar'!$C:$C,N34314))</f>
        <v>0</v>
      </c>
    </row>
    <row r="34315" spans="13:16">
      <c r="M34315" s="49">
        <f>IF($A$4+343&gt;$B$4,"",$A$4+343)</f>
        <v>46366</v>
      </c>
      <c r="N34315" t="str">
        <f>IF(M34315="","",'Master Barang'!A9)</f>
        <v>PRL-008</v>
      </c>
      <c r="O34315" t="str">
        <f>IF(N34315="","",'Master Barang'!B9)</f>
        <v>lap besar</v>
      </c>
      <c r="P34315">
        <f>IF(OR(M34315="",N34315=""),"",SUMIFS('Barang Keluar'!$E:$E,'Barang Keluar'!$A:$A,M34315,'Barang Keluar'!$C:$C,N34315))</f>
        <v>0</v>
      </c>
    </row>
    <row r="34316" spans="13:16">
      <c r="M34316" s="49">
        <f>IF($A$4+343&gt;$B$4,"",$A$4+343)</f>
        <v>46366</v>
      </c>
      <c r="N34316" t="str">
        <f>IF(M34316="","",'Master Barang'!A10)</f>
        <v>PRL-009</v>
      </c>
      <c r="O34316" t="str">
        <f>IF(N34316="","",'Master Barang'!B10)</f>
        <v>lap microfiber</v>
      </c>
      <c r="P34316">
        <f>IF(OR(M34316="",N34316=""),"",SUMIFS('Barang Keluar'!$E:$E,'Barang Keluar'!$A:$A,M34316,'Barang Keluar'!$C:$C,N34316))</f>
        <v>0</v>
      </c>
    </row>
    <row r="34317" spans="13:16">
      <c r="M34317" s="49">
        <f>IF($A$4+343&gt;$B$4,"",$A$4+343)</f>
        <v>46366</v>
      </c>
      <c r="N34317" t="str">
        <f>IF(M34317="","",'Master Barang'!A11)</f>
        <v>PRL-010</v>
      </c>
      <c r="O34317" t="str">
        <f>IF(N34317="","",'Master Barang'!B11)</f>
        <v>lap kecil</v>
      </c>
      <c r="P34317">
        <f>IF(OR(M34317="",N34317=""),"",SUMIFS('Barang Keluar'!$E:$E,'Barang Keluar'!$A:$A,M34317,'Barang Keluar'!$C:$C,N34317))</f>
        <v>0</v>
      </c>
    </row>
    <row r="34318" spans="13:16">
      <c r="M34318" s="49">
        <f>IF($A$4+343&gt;$B$4,"",$A$4+343)</f>
        <v>46366</v>
      </c>
      <c r="N34318" t="str">
        <f>IF(M34318="","",'Master Barang'!A12)</f>
        <v>PRL-011</v>
      </c>
      <c r="O34318" t="str">
        <f>IF(N34318="","",'Master Barang'!B12)</f>
        <v>kanebo kecil</v>
      </c>
      <c r="P34318">
        <f>IF(OR(M34318="",N34318=""),"",SUMIFS('Barang Keluar'!$E:$E,'Barang Keluar'!$A:$A,M34318,'Barang Keluar'!$C:$C,N34318))</f>
        <v>0</v>
      </c>
    </row>
    <row r="34319" spans="13:16">
      <c r="M34319" s="49">
        <f>IF($A$4+343&gt;$B$4,"",$A$4+343)</f>
        <v>46366</v>
      </c>
      <c r="N34319" t="str">
        <f>IF(M34319="","",'Master Barang'!A13)</f>
        <v>PRL-012</v>
      </c>
      <c r="O34319" t="str">
        <f>IF(N34319="","",'Master Barang'!B13)</f>
        <v>plastik 1/4kg joyoboyo 100 lembar</v>
      </c>
      <c r="P34319">
        <f>IF(OR(M34319="",N34319=""),"",SUMIFS('Barang Keluar'!$E:$E,'Barang Keluar'!$A:$A,M34319,'Barang Keluar'!$C:$C,N34319))</f>
        <v>0</v>
      </c>
    </row>
    <row r="34320" spans="13:16">
      <c r="M34320" s="49">
        <f>IF($A$4+343&gt;$B$4,"",$A$4+343)</f>
        <v>46366</v>
      </c>
      <c r="N34320" t="str">
        <f>IF(M34320="","",'Master Barang'!A14)</f>
        <v>PRL-013</v>
      </c>
      <c r="O34320" t="str">
        <f>IF(N34320="","",'Master Barang'!B14)</f>
        <v>sarung tangan plastik kaka 100 pcs</v>
      </c>
      <c r="P34320">
        <f>IF(OR(M34320="",N34320=""),"",SUMIFS('Barang Keluar'!$E:$E,'Barang Keluar'!$A:$A,M34320,'Barang Keluar'!$C:$C,N34320))</f>
        <v>0</v>
      </c>
    </row>
    <row r="34321" spans="13:16">
      <c r="M34321" s="49">
        <f>IF($A$4+343&gt;$B$4,"",$A$4+343)</f>
        <v>46366</v>
      </c>
      <c r="N34321" t="str">
        <f>IF(M34321="","",'Master Barang'!A15)</f>
        <v>PRL-014</v>
      </c>
      <c r="O34321" t="str">
        <f>IF(N34321="","",'Master Barang'!B15)</f>
        <v>optima trashbag 80x100</v>
      </c>
      <c r="P34321">
        <f>IF(OR(M34321="",N34321=""),"",SUMIFS('Barang Keluar'!$E:$E,'Barang Keluar'!$A:$A,M34321,'Barang Keluar'!$C:$C,N34321))</f>
        <v>0</v>
      </c>
    </row>
    <row r="34322" spans="13:16">
      <c r="M34322" s="49">
        <f>IF($A$4+343&gt;$B$4,"",$A$4+343)</f>
        <v>46366</v>
      </c>
      <c r="N34322" t="str">
        <f>IF(M34322="","",'Master Barang'!A16)</f>
        <v>PRL-015</v>
      </c>
      <c r="O34322" t="str">
        <f>IF(N34322="","",'Master Barang'!B16)</f>
        <v>optima trashbag 60x100</v>
      </c>
      <c r="P34322">
        <f>IF(OR(M34322="",N34322=""),"",SUMIFS('Barang Keluar'!$E:$E,'Barang Keluar'!$A:$A,M34322,'Barang Keluar'!$C:$C,N34322))</f>
        <v>0</v>
      </c>
    </row>
    <row r="34323" spans="13:16">
      <c r="M34323" s="49">
        <f>IF($A$4+343&gt;$B$4,"",$A$4+343)</f>
        <v>46366</v>
      </c>
      <c r="N34323" t="str">
        <f>IF(M34323="","",'Master Barang'!A17)</f>
        <v>PRL-016</v>
      </c>
      <c r="O34323" t="str">
        <f>IF(N34323="","",'Master Barang'!B17)</f>
        <v>rajawali trashbag 30x40</v>
      </c>
      <c r="P34323">
        <f>IF(OR(M34323="",N34323=""),"",SUMIFS('Barang Keluar'!$E:$E,'Barang Keluar'!$A:$A,M34323,'Barang Keluar'!$C:$C,N34323))</f>
        <v>0</v>
      </c>
    </row>
    <row r="34324" spans="13:16">
      <c r="M34324" s="49">
        <f>IF($A$4+343&gt;$B$4,"",$A$4+343)</f>
        <v>46366</v>
      </c>
      <c r="N34324" t="str">
        <f>IF(M34324="","",'Master Barang'!A18)</f>
        <v>PRL-017</v>
      </c>
      <c r="O34324" t="str">
        <f>IF(N34324="","",'Master Barang'!B18)</f>
        <v>onemed masker biru 3 play 50 pcs</v>
      </c>
      <c r="P34324">
        <f>IF(OR(M34324="",N34324=""),"",SUMIFS('Barang Keluar'!$E:$E,'Barang Keluar'!$A:$A,M34324,'Barang Keluar'!$C:$C,N34324))</f>
        <v>0</v>
      </c>
    </row>
    <row r="34325" spans="13:16">
      <c r="M34325" s="49">
        <f>IF($A$4+343&gt;$B$4,"",$A$4+343)</f>
        <v>46366</v>
      </c>
      <c r="N34325" t="str">
        <f>IF(M34325="","",'Master Barang'!A19)</f>
        <v>PRL-018</v>
      </c>
      <c r="O34325" t="str">
        <f>IF(N34325="","",'Master Barang'!B19)</f>
        <v>onemed masker biru 3 play hijab 50 pcs</v>
      </c>
      <c r="P34325">
        <f>IF(OR(M34325="",N34325=""),"",SUMIFS('Barang Keluar'!$E:$E,'Barang Keluar'!$A:$A,M34325,'Barang Keluar'!$C:$C,N34325))</f>
        <v>0</v>
      </c>
    </row>
    <row r="34326" spans="13:16">
      <c r="M34326" s="49">
        <f>IF($A$4+343&gt;$B$4,"",$A$4+343)</f>
        <v>46366</v>
      </c>
      <c r="N34326" t="str">
        <f>IF(M34326="","",'Master Barang'!A20)</f>
        <v>PRL-019</v>
      </c>
      <c r="O34326" t="str">
        <f>IF(N34326="","",'Master Barang'!B20)</f>
        <v>neo health masker biru 3 play 50 pcs</v>
      </c>
      <c r="P34326">
        <f>IF(OR(M34326="",N34326=""),"",SUMIFS('Barang Keluar'!$E:$E,'Barang Keluar'!$A:$A,M34326,'Barang Keluar'!$C:$C,N34326))</f>
        <v>0</v>
      </c>
    </row>
    <row r="34327" spans="13:16">
      <c r="M34327" s="49">
        <f>IF($A$4+343&gt;$B$4,"",$A$4+343)</f>
        <v>46366</v>
      </c>
      <c r="N34327" t="str">
        <f>IF(M34327="","",'Master Barang'!A21)</f>
        <v>PRL-020</v>
      </c>
      <c r="O34327" t="str">
        <f>IF(N34327="","",'Master Barang'!B21)</f>
        <v>baymed masker hijau 3 play hijau 50 pcs</v>
      </c>
      <c r="P34327">
        <f>IF(OR(M34327="",N34327=""),"",SUMIFS('Barang Keluar'!$E:$E,'Barang Keluar'!$A:$A,M34327,'Barang Keluar'!$C:$C,N34327))</f>
        <v>0</v>
      </c>
    </row>
    <row r="34328" spans="13:16">
      <c r="M34328" s="49">
        <f>IF($A$4+343&gt;$B$4,"",$A$4+343)</f>
        <v>46366</v>
      </c>
      <c r="N34328" t="str">
        <f>IF(M34328="","",'Master Barang'!A22)</f>
        <v>PRL-021</v>
      </c>
      <c r="O34328" t="str">
        <f>IF(N34328="","",'Master Barang'!B22)</f>
        <v>altamed nurse cap penutup kepala 100 pcs</v>
      </c>
      <c r="P34328">
        <f>IF(OR(M34328="",N34328=""),"",SUMIFS('Barang Keluar'!$E:$E,'Barang Keluar'!$A:$A,M34328,'Barang Keluar'!$C:$C,N34328))</f>
        <v>0</v>
      </c>
    </row>
    <row r="34329" spans="13:16">
      <c r="M34329" s="49">
        <f>IF($A$4+343&gt;$B$4,"",$A$4+343)</f>
        <v>46366</v>
      </c>
      <c r="N34329" t="str">
        <f>IF(M34329="","",'Master Barang'!A23)</f>
        <v>PRL-022</v>
      </c>
      <c r="O34329" t="str">
        <f>IF(N34329="","",'Master Barang'!B23)</f>
        <v>sabun cuci tangan</v>
      </c>
      <c r="P34329">
        <f>IF(OR(M34329="",N34329=""),"",SUMIFS('Barang Keluar'!$E:$E,'Barang Keluar'!$A:$A,M34329,'Barang Keluar'!$C:$C,N34329))</f>
        <v>0</v>
      </c>
    </row>
    <row r="34330" spans="13:16">
      <c r="M34330" s="49">
        <f>IF($A$4+343&gt;$B$4,"",$A$4+343)</f>
        <v>46366</v>
      </c>
      <c r="N34330" t="str">
        <f>IF(M34330="","",'Master Barang'!A24)</f>
        <v>PRL-023</v>
      </c>
      <c r="O34330" t="str">
        <f>IF(N34330="","",'Master Barang'!B24)</f>
        <v>gayung kecil</v>
      </c>
      <c r="P34330">
        <f>IF(OR(M34330="",N34330=""),"",SUMIFS('Barang Keluar'!$E:$E,'Barang Keluar'!$A:$A,M34330,'Barang Keluar'!$C:$C,N34330))</f>
        <v>0</v>
      </c>
    </row>
    <row r="34331" spans="13:16">
      <c r="M34331" s="49">
        <f>IF($A$4+343&gt;$B$4,"",$A$4+343)</f>
        <v>46366</v>
      </c>
      <c r="N34331" t="str">
        <f>IF(M34331="","",'Master Barang'!A25)</f>
        <v>PRL-024</v>
      </c>
      <c r="O34331" t="str">
        <f>IF(N34331="","",'Master Barang'!B25)</f>
        <v>cikrak kecil</v>
      </c>
      <c r="P34331">
        <f>IF(OR(M34331="",N34331=""),"",SUMIFS('Barang Keluar'!$E:$E,'Barang Keluar'!$A:$A,M34331,'Barang Keluar'!$C:$C,N34331))</f>
        <v>0</v>
      </c>
    </row>
    <row r="34332" spans="13:16">
      <c r="M34332" s="49">
        <f>IF($A$4+343&gt;$B$4,"",$A$4+343)</f>
        <v>46366</v>
      </c>
      <c r="N34332" t="str">
        <f>IF(M34332="","",'Master Barang'!A26)</f>
        <v>PRL-025</v>
      </c>
      <c r="O34332" t="str">
        <f>IF(N34332="","",'Master Barang'!B26)</f>
        <v>petromax plastik kecil 12x24 100 lembar</v>
      </c>
      <c r="P34332">
        <f>IF(OR(M34332="",N34332=""),"",SUMIFS('Barang Keluar'!$E:$E,'Barang Keluar'!$A:$A,M34332,'Barang Keluar'!$C:$C,N34332))</f>
        <v>0</v>
      </c>
    </row>
    <row r="34333" spans="13:16">
      <c r="M34333" s="49">
        <f>IF($A$4+343&gt;$B$4,"",$A$4+343)</f>
        <v>46366</v>
      </c>
      <c r="N34333" t="str">
        <f>IF(M34333="","",'Master Barang'!A27)</f>
        <v>PRL-026</v>
      </c>
      <c r="O34333" t="str">
        <f>IF(N34333="","",'Master Barang'!B27)</f>
        <v>lancar kresek kecil bening </v>
      </c>
      <c r="P34333">
        <f>IF(OR(M34333="",N34333=""),"",SUMIFS('Barang Keluar'!$E:$E,'Barang Keluar'!$A:$A,M34333,'Barang Keluar'!$C:$C,N34333))</f>
        <v>0</v>
      </c>
    </row>
    <row r="34334" spans="13:16">
      <c r="M34334" s="49">
        <f>IF($A$4+343&gt;$B$4,"",$A$4+343)</f>
        <v>46366</v>
      </c>
      <c r="N34334" t="str">
        <f>IF(M34334="","",'Master Barang'!A28)</f>
        <v>PRL-027</v>
      </c>
      <c r="O34334" t="str">
        <f>IF(N34334="","",'Master Barang'!B28)</f>
        <v>kresek klin warna warni kecil</v>
      </c>
      <c r="P34334">
        <f>IF(OR(M34334="",N34334=""),"",SUMIFS('Barang Keluar'!$E:$E,'Barang Keluar'!$A:$A,M34334,'Barang Keluar'!$C:$C,N34334))</f>
        <v>0</v>
      </c>
    </row>
    <row r="34335" spans="13:16">
      <c r="M34335" s="49">
        <f>IF($A$4+343&gt;$B$4,"",$A$4+343)</f>
        <v>46366</v>
      </c>
      <c r="N34335" t="str">
        <f>IF(M34335="","",'Master Barang'!A29)</f>
        <v>PRL-028</v>
      </c>
      <c r="O34335" t="str">
        <f>IF(N34335="","",'Master Barang'!B29)</f>
        <v>ctik plastik 7x10 100 pcs</v>
      </c>
      <c r="P34335">
        <f>IF(OR(M34335="",N34335=""),"",SUMIFS('Barang Keluar'!$E:$E,'Barang Keluar'!$A:$A,M34335,'Barang Keluar'!$C:$C,N34335))</f>
        <v>0</v>
      </c>
    </row>
    <row r="34336" spans="13:16">
      <c r="M34336" s="49">
        <f>IF($A$4+343&gt;$B$4,"",$A$4+343)</f>
        <v>46366</v>
      </c>
      <c r="N34336" t="str">
        <f>IF(M34336="","",'Master Barang'!A30)</f>
        <v>PRL-029</v>
      </c>
      <c r="O34336" t="str">
        <f>IF(N34336="","",'Master Barang'!B30)</f>
        <v>ctik plastik 6x10 100 pcs</v>
      </c>
      <c r="P34336">
        <f>IF(OR(M34336="",N34336=""),"",SUMIFS('Barang Keluar'!$E:$E,'Barang Keluar'!$A:$A,M34336,'Barang Keluar'!$C:$C,N34336))</f>
        <v>0</v>
      </c>
    </row>
    <row r="34337" spans="13:16">
      <c r="M34337" s="49">
        <f>IF($A$4+343&gt;$B$4,"",$A$4+343)</f>
        <v>46366</v>
      </c>
      <c r="N34337" t="str">
        <f>IF(M34337="","",'Master Barang'!A31)</f>
        <v>PRL-030</v>
      </c>
      <c r="O34337" t="str">
        <f>IF(N34337="","",'Master Barang'!B31)</f>
        <v>klip plastik 25x16 100 pcs</v>
      </c>
      <c r="P34337">
        <f>IF(OR(M34337="",N34337=""),"",SUMIFS('Barang Keluar'!$E:$E,'Barang Keluar'!$A:$A,M34337,'Barang Keluar'!$C:$C,N34337))</f>
        <v>0</v>
      </c>
    </row>
    <row r="34338" spans="13:16">
      <c r="M34338" s="49">
        <f>IF($A$4+343&gt;$B$4,"",$A$4+343)</f>
        <v>46366</v>
      </c>
      <c r="N34338" t="str">
        <f>IF(M34338="","",'Master Barang'!A32)</f>
        <v>PRL-031</v>
      </c>
      <c r="O34338" t="str">
        <f>IF(N34338="","",'Master Barang'!B32)</f>
        <v>tempat saus 20 ml</v>
      </c>
      <c r="P34338">
        <f>IF(OR(M34338="",N34338=""),"",SUMIFS('Barang Keluar'!$E:$E,'Barang Keluar'!$A:$A,M34338,'Barang Keluar'!$C:$C,N34338))</f>
        <v>0</v>
      </c>
    </row>
    <row r="34339" spans="13:16">
      <c r="M34339" s="49">
        <f>IF($A$4+343&gt;$B$4,"",$A$4+343)</f>
        <v>46366</v>
      </c>
      <c r="N34339" t="str">
        <f>IF(M34339="","",'Master Barang'!A33)</f>
        <v>PRL-032</v>
      </c>
      <c r="O34339" t="str">
        <f>IF(N34339="","",'Master Barang'!B33)</f>
        <v>plastik packaging ag box uk sedang</v>
      </c>
      <c r="P34339">
        <f>IF(OR(M34339="",N34339=""),"",SUMIFS('Barang Keluar'!$E:$E,'Barang Keluar'!$A:$A,M34339,'Barang Keluar'!$C:$C,N34339))</f>
        <v>0</v>
      </c>
    </row>
    <row r="34340" spans="13:16">
      <c r="M34340" s="49">
        <f>IF($A$4+343&gt;$B$4,"",$A$4+343)</f>
        <v>46366</v>
      </c>
      <c r="N34340" t="str">
        <f>IF(M34340="","",'Master Barang'!A34)</f>
        <v>PRL-033</v>
      </c>
      <c r="O34340">
        <f>IF(N34340="","",'Master Barang'!B34)</f>
        <v>0</v>
      </c>
      <c r="P34340">
        <f>IF(OR(M34340="",N34340=""),"",SUMIFS('Barang Keluar'!$E:$E,'Barang Keluar'!$A:$A,M34340,'Barang Keluar'!$C:$C,N34340))</f>
        <v>0</v>
      </c>
    </row>
    <row r="34341" spans="13:16">
      <c r="M34341" s="49">
        <f>IF($A$4+343&gt;$B$4,"",$A$4+343)</f>
        <v>46366</v>
      </c>
      <c r="N34341">
        <f>IF(M34341="","",'Master Barang'!A35)</f>
        <v>0</v>
      </c>
      <c r="O34341">
        <f>IF(N34341="","",'Master Barang'!B35)</f>
        <v>0</v>
      </c>
      <c r="P34341">
        <f>IF(OR(M34341="",N34341=""),"",SUMIFS('Barang Keluar'!$E:$E,'Barang Keluar'!$A:$A,M34341,'Barang Keluar'!$C:$C,N34341))</f>
        <v>0</v>
      </c>
    </row>
    <row r="34342" spans="13:16">
      <c r="M34342" s="49">
        <f>IF($A$4+343&gt;$B$4,"",$A$4+343)</f>
        <v>46366</v>
      </c>
      <c r="N34342">
        <f>IF(M34342="","",'Master Barang'!A36)</f>
        <v>0</v>
      </c>
      <c r="O34342">
        <f>IF(N34342="","",'Master Barang'!B36)</f>
        <v>0</v>
      </c>
      <c r="P34342">
        <f>IF(OR(M34342="",N34342=""),"",SUMIFS('Barang Keluar'!$E:$E,'Barang Keluar'!$A:$A,M34342,'Barang Keluar'!$C:$C,N34342))</f>
        <v>0</v>
      </c>
    </row>
    <row r="34343" spans="13:16">
      <c r="M34343" s="49">
        <f>IF($A$4+343&gt;$B$4,"",$A$4+343)</f>
        <v>46366</v>
      </c>
      <c r="N34343">
        <f>IF(M34343="","",'Master Barang'!A37)</f>
        <v>0</v>
      </c>
      <c r="O34343">
        <f>IF(N34343="","",'Master Barang'!B37)</f>
        <v>0</v>
      </c>
      <c r="P34343">
        <f>IF(OR(M34343="",N34343=""),"",SUMIFS('Barang Keluar'!$E:$E,'Barang Keluar'!$A:$A,M34343,'Barang Keluar'!$C:$C,N34343))</f>
        <v>0</v>
      </c>
    </row>
    <row r="34344" spans="13:16">
      <c r="M34344" s="49">
        <f>IF($A$4+343&gt;$B$4,"",$A$4+343)</f>
        <v>46366</v>
      </c>
      <c r="N34344">
        <f>IF(M34344="","",'Master Barang'!A38)</f>
        <v>0</v>
      </c>
      <c r="O34344">
        <f>IF(N34344="","",'Master Barang'!B38)</f>
        <v>0</v>
      </c>
      <c r="P34344">
        <f>IF(OR(M34344="",N34344=""),"",SUMIFS('Barang Keluar'!$E:$E,'Barang Keluar'!$A:$A,M34344,'Barang Keluar'!$C:$C,N34344))</f>
        <v>0</v>
      </c>
    </row>
    <row r="34345" spans="13:16">
      <c r="M34345" s="49">
        <f>IF($A$4+343&gt;$B$4,"",$A$4+343)</f>
        <v>46366</v>
      </c>
      <c r="N34345">
        <f>IF(M34345="","",'Master Barang'!A39)</f>
        <v>0</v>
      </c>
      <c r="O34345">
        <f>IF(N34345="","",'Master Barang'!B39)</f>
        <v>0</v>
      </c>
      <c r="P34345">
        <f>IF(OR(M34345="",N34345=""),"",SUMIFS('Barang Keluar'!$E:$E,'Barang Keluar'!$A:$A,M34345,'Barang Keluar'!$C:$C,N34345))</f>
        <v>0</v>
      </c>
    </row>
    <row r="34346" spans="13:16">
      <c r="M34346" s="49">
        <f>IF($A$4+343&gt;$B$4,"",$A$4+343)</f>
        <v>46366</v>
      </c>
      <c r="N34346">
        <f>IF(M34346="","",'Master Barang'!A40)</f>
        <v>0</v>
      </c>
      <c r="O34346">
        <f>IF(N34346="","",'Master Barang'!B40)</f>
        <v>0</v>
      </c>
      <c r="P34346">
        <f>IF(OR(M34346="",N34346=""),"",SUMIFS('Barang Keluar'!$E:$E,'Barang Keluar'!$A:$A,M34346,'Barang Keluar'!$C:$C,N34346))</f>
        <v>0</v>
      </c>
    </row>
    <row r="34347" spans="13:16">
      <c r="M34347" s="49">
        <f>IF($A$4+343&gt;$B$4,"",$A$4+343)</f>
        <v>46366</v>
      </c>
      <c r="N34347">
        <f>IF(M34347="","",'Master Barang'!A41)</f>
        <v>0</v>
      </c>
      <c r="O34347">
        <f>IF(N34347="","",'Master Barang'!B41)</f>
        <v>0</v>
      </c>
      <c r="P34347">
        <f>IF(OR(M34347="",N34347=""),"",SUMIFS('Barang Keluar'!$E:$E,'Barang Keluar'!$A:$A,M34347,'Barang Keluar'!$C:$C,N34347))</f>
        <v>0</v>
      </c>
    </row>
    <row r="34348" spans="13:16">
      <c r="M34348" s="49">
        <f>IF($A$4+343&gt;$B$4,"",$A$4+343)</f>
        <v>46366</v>
      </c>
      <c r="N34348">
        <f>IF(M34348="","",'Master Barang'!A42)</f>
        <v>0</v>
      </c>
      <c r="O34348">
        <f>IF(N34348="","",'Master Barang'!B42)</f>
        <v>0</v>
      </c>
      <c r="P34348">
        <f>IF(OR(M34348="",N34348=""),"",SUMIFS('Barang Keluar'!$E:$E,'Barang Keluar'!$A:$A,M34348,'Barang Keluar'!$C:$C,N34348))</f>
        <v>0</v>
      </c>
    </row>
    <row r="34349" spans="13:16">
      <c r="M34349" s="49">
        <f>IF($A$4+343&gt;$B$4,"",$A$4+343)</f>
        <v>46366</v>
      </c>
      <c r="N34349">
        <f>IF(M34349="","",'Master Barang'!A43)</f>
        <v>0</v>
      </c>
      <c r="O34349">
        <f>IF(N34349="","",'Master Barang'!B43)</f>
        <v>0</v>
      </c>
      <c r="P34349">
        <f>IF(OR(M34349="",N34349=""),"",SUMIFS('Barang Keluar'!$E:$E,'Barang Keluar'!$A:$A,M34349,'Barang Keluar'!$C:$C,N34349))</f>
        <v>0</v>
      </c>
    </row>
    <row r="34350" spans="13:16">
      <c r="M34350" s="49">
        <f>IF($A$4+343&gt;$B$4,"",$A$4+343)</f>
        <v>46366</v>
      </c>
      <c r="N34350">
        <f>IF(M34350="","",'Master Barang'!A44)</f>
        <v>0</v>
      </c>
      <c r="O34350">
        <f>IF(N34350="","",'Master Barang'!B44)</f>
        <v>0</v>
      </c>
      <c r="P34350">
        <f>IF(OR(M34350="",N34350=""),"",SUMIFS('Barang Keluar'!$E:$E,'Barang Keluar'!$A:$A,M34350,'Barang Keluar'!$C:$C,N34350))</f>
        <v>0</v>
      </c>
    </row>
    <row r="34351" spans="13:16">
      <c r="M34351" s="49">
        <f>IF($A$4+343&gt;$B$4,"",$A$4+343)</f>
        <v>46366</v>
      </c>
      <c r="N34351">
        <f>IF(M34351="","",'Master Barang'!A45)</f>
        <v>0</v>
      </c>
      <c r="O34351">
        <f>IF(N34351="","",'Master Barang'!B45)</f>
        <v>0</v>
      </c>
      <c r="P34351">
        <f>IF(OR(M34351="",N34351=""),"",SUMIFS('Barang Keluar'!$E:$E,'Barang Keluar'!$A:$A,M34351,'Barang Keluar'!$C:$C,N34351))</f>
        <v>0</v>
      </c>
    </row>
    <row r="34352" spans="13:16">
      <c r="M34352" s="49">
        <f>IF($A$4+343&gt;$B$4,"",$A$4+343)</f>
        <v>46366</v>
      </c>
      <c r="N34352">
        <f>IF(M34352="","",'Master Barang'!A46)</f>
        <v>0</v>
      </c>
      <c r="O34352">
        <f>IF(N34352="","",'Master Barang'!B46)</f>
        <v>0</v>
      </c>
      <c r="P34352">
        <f>IF(OR(M34352="",N34352=""),"",SUMIFS('Barang Keluar'!$E:$E,'Barang Keluar'!$A:$A,M34352,'Barang Keluar'!$C:$C,N34352))</f>
        <v>0</v>
      </c>
    </row>
    <row r="34353" spans="13:16">
      <c r="M34353" s="49">
        <f>IF($A$4+343&gt;$B$4,"",$A$4+343)</f>
        <v>46366</v>
      </c>
      <c r="N34353">
        <f>IF(M34353="","",'Master Barang'!A47)</f>
        <v>0</v>
      </c>
      <c r="O34353">
        <f>IF(N34353="","",'Master Barang'!B47)</f>
        <v>0</v>
      </c>
      <c r="P34353">
        <f>IF(OR(M34353="",N34353=""),"",SUMIFS('Barang Keluar'!$E:$E,'Barang Keluar'!$A:$A,M34353,'Barang Keluar'!$C:$C,N34353))</f>
        <v>0</v>
      </c>
    </row>
    <row r="34354" spans="13:16">
      <c r="M34354" s="49">
        <f>IF($A$4+343&gt;$B$4,"",$A$4+343)</f>
        <v>46366</v>
      </c>
      <c r="N34354">
        <f>IF(M34354="","",'Master Barang'!A48)</f>
        <v>0</v>
      </c>
      <c r="O34354">
        <f>IF(N34354="","",'Master Barang'!B48)</f>
        <v>0</v>
      </c>
      <c r="P34354">
        <f>IF(OR(M34354="",N34354=""),"",SUMIFS('Barang Keluar'!$E:$E,'Barang Keluar'!$A:$A,M34354,'Barang Keluar'!$C:$C,N34354))</f>
        <v>0</v>
      </c>
    </row>
    <row r="34355" spans="13:16">
      <c r="M34355" s="49">
        <f>IF($A$4+343&gt;$B$4,"",$A$4+343)</f>
        <v>46366</v>
      </c>
      <c r="N34355">
        <f>IF(M34355="","",'Master Barang'!A49)</f>
        <v>0</v>
      </c>
      <c r="O34355">
        <f>IF(N34355="","",'Master Barang'!B49)</f>
        <v>0</v>
      </c>
      <c r="P34355">
        <f>IF(OR(M34355="",N34355=""),"",SUMIFS('Barang Keluar'!$E:$E,'Barang Keluar'!$A:$A,M34355,'Barang Keluar'!$C:$C,N34355))</f>
        <v>0</v>
      </c>
    </row>
    <row r="34356" spans="13:16">
      <c r="M34356" s="49">
        <f>IF($A$4+343&gt;$B$4,"",$A$4+343)</f>
        <v>46366</v>
      </c>
      <c r="N34356">
        <f>IF(M34356="","",'Master Barang'!A50)</f>
        <v>0</v>
      </c>
      <c r="O34356">
        <f>IF(N34356="","",'Master Barang'!B50)</f>
        <v>0</v>
      </c>
      <c r="P34356">
        <f>IF(OR(M34356="",N34356=""),"",SUMIFS('Barang Keluar'!$E:$E,'Barang Keluar'!$A:$A,M34356,'Barang Keluar'!$C:$C,N34356))</f>
        <v>0</v>
      </c>
    </row>
    <row r="34357" spans="13:16">
      <c r="M34357" s="49">
        <f>IF($A$4+343&gt;$B$4,"",$A$4+343)</f>
        <v>46366</v>
      </c>
      <c r="N34357">
        <f>IF(M34357="","",'Master Barang'!A51)</f>
        <v>0</v>
      </c>
      <c r="O34357">
        <f>IF(N34357="","",'Master Barang'!B51)</f>
        <v>0</v>
      </c>
      <c r="P34357">
        <f>IF(OR(M34357="",N34357=""),"",SUMIFS('Barang Keluar'!$E:$E,'Barang Keluar'!$A:$A,M34357,'Barang Keluar'!$C:$C,N34357))</f>
        <v>0</v>
      </c>
    </row>
    <row r="34358" spans="13:16">
      <c r="M34358" s="49">
        <f>IF($A$4+343&gt;$B$4,"",$A$4+343)</f>
        <v>46366</v>
      </c>
      <c r="N34358">
        <f>IF(M34358="","",'Master Barang'!A52)</f>
        <v>0</v>
      </c>
      <c r="O34358">
        <f>IF(N34358="","",'Master Barang'!B52)</f>
        <v>0</v>
      </c>
      <c r="P34358">
        <f>IF(OR(M34358="",N34358=""),"",SUMIFS('Barang Keluar'!$E:$E,'Barang Keluar'!$A:$A,M34358,'Barang Keluar'!$C:$C,N34358))</f>
        <v>0</v>
      </c>
    </row>
    <row r="34359" spans="13:16">
      <c r="M34359" s="49">
        <f>IF($A$4+343&gt;$B$4,"",$A$4+343)</f>
        <v>46366</v>
      </c>
      <c r="N34359">
        <f>IF(M34359="","",'Master Barang'!A53)</f>
        <v>0</v>
      </c>
      <c r="O34359">
        <f>IF(N34359="","",'Master Barang'!B53)</f>
        <v>0</v>
      </c>
      <c r="P34359">
        <f>IF(OR(M34359="",N34359=""),"",SUMIFS('Barang Keluar'!$E:$E,'Barang Keluar'!$A:$A,M34359,'Barang Keluar'!$C:$C,N34359))</f>
        <v>0</v>
      </c>
    </row>
    <row r="34360" spans="13:16">
      <c r="M34360" s="49">
        <f>IF($A$4+343&gt;$B$4,"",$A$4+343)</f>
        <v>46366</v>
      </c>
      <c r="N34360">
        <f>IF(M34360="","",'Master Barang'!A54)</f>
        <v>0</v>
      </c>
      <c r="O34360">
        <f>IF(N34360="","",'Master Barang'!B54)</f>
        <v>0</v>
      </c>
      <c r="P34360">
        <f>IF(OR(M34360="",N34360=""),"",SUMIFS('Barang Keluar'!$E:$E,'Barang Keluar'!$A:$A,M34360,'Barang Keluar'!$C:$C,N34360))</f>
        <v>0</v>
      </c>
    </row>
    <row r="34361" spans="13:16">
      <c r="M34361" s="49">
        <f>IF($A$4+343&gt;$B$4,"",$A$4+343)</f>
        <v>46366</v>
      </c>
      <c r="N34361">
        <f>IF(M34361="","",'Master Barang'!A55)</f>
        <v>0</v>
      </c>
      <c r="O34361">
        <f>IF(N34361="","",'Master Barang'!B55)</f>
        <v>0</v>
      </c>
      <c r="P34361">
        <f>IF(OR(M34361="",N34361=""),"",SUMIFS('Barang Keluar'!$E:$E,'Barang Keluar'!$A:$A,M34361,'Barang Keluar'!$C:$C,N34361))</f>
        <v>0</v>
      </c>
    </row>
    <row r="34362" spans="13:16">
      <c r="M34362" s="49">
        <f>IF($A$4+343&gt;$B$4,"",$A$4+343)</f>
        <v>46366</v>
      </c>
      <c r="N34362">
        <f>IF(M34362="","",'Master Barang'!A56)</f>
        <v>0</v>
      </c>
      <c r="O34362">
        <f>IF(N34362="","",'Master Barang'!B56)</f>
        <v>0</v>
      </c>
      <c r="P34362">
        <f>IF(OR(M34362="",N34362=""),"",SUMIFS('Barang Keluar'!$E:$E,'Barang Keluar'!$A:$A,M34362,'Barang Keluar'!$C:$C,N34362))</f>
        <v>0</v>
      </c>
    </row>
    <row r="34363" spans="13:16">
      <c r="M34363" s="49">
        <f>IF($A$4+343&gt;$B$4,"",$A$4+343)</f>
        <v>46366</v>
      </c>
      <c r="N34363">
        <f>IF(M34363="","",'Master Barang'!A57)</f>
        <v>0</v>
      </c>
      <c r="O34363">
        <f>IF(N34363="","",'Master Barang'!B57)</f>
        <v>0</v>
      </c>
      <c r="P34363">
        <f>IF(OR(M34363="",N34363=""),"",SUMIFS('Barang Keluar'!$E:$E,'Barang Keluar'!$A:$A,M34363,'Barang Keluar'!$C:$C,N34363))</f>
        <v>0</v>
      </c>
    </row>
    <row r="34364" spans="13:16">
      <c r="M34364" s="49">
        <f>IF($A$4+343&gt;$B$4,"",$A$4+343)</f>
        <v>46366</v>
      </c>
      <c r="N34364">
        <f>IF(M34364="","",'Master Barang'!A58)</f>
        <v>0</v>
      </c>
      <c r="O34364">
        <f>IF(N34364="","",'Master Barang'!B58)</f>
        <v>0</v>
      </c>
      <c r="P34364">
        <f>IF(OR(M34364="",N34364=""),"",SUMIFS('Barang Keluar'!$E:$E,'Barang Keluar'!$A:$A,M34364,'Barang Keluar'!$C:$C,N34364))</f>
        <v>0</v>
      </c>
    </row>
    <row r="34365" spans="13:16">
      <c r="M34365" s="49">
        <f>IF($A$4+343&gt;$B$4,"",$A$4+343)</f>
        <v>46366</v>
      </c>
      <c r="N34365">
        <f>IF(M34365="","",'Master Barang'!A59)</f>
        <v>0</v>
      </c>
      <c r="O34365">
        <f>IF(N34365="","",'Master Barang'!B59)</f>
        <v>0</v>
      </c>
      <c r="P34365">
        <f>IF(OR(M34365="",N34365=""),"",SUMIFS('Barang Keluar'!$E:$E,'Barang Keluar'!$A:$A,M34365,'Barang Keluar'!$C:$C,N34365))</f>
        <v>0</v>
      </c>
    </row>
    <row r="34366" spans="13:16">
      <c r="M34366" s="49">
        <f>IF($A$4+343&gt;$B$4,"",$A$4+343)</f>
        <v>46366</v>
      </c>
      <c r="N34366">
        <f>IF(M34366="","",'Master Barang'!A60)</f>
        <v>0</v>
      </c>
      <c r="O34366">
        <f>IF(N34366="","",'Master Barang'!B60)</f>
        <v>0</v>
      </c>
      <c r="P34366">
        <f>IF(OR(M34366="",N34366=""),"",SUMIFS('Barang Keluar'!$E:$E,'Barang Keluar'!$A:$A,M34366,'Barang Keluar'!$C:$C,N34366))</f>
        <v>0</v>
      </c>
    </row>
    <row r="34367" spans="13:16">
      <c r="M34367" s="49">
        <f>IF($A$4+343&gt;$B$4,"",$A$4+343)</f>
        <v>46366</v>
      </c>
      <c r="N34367">
        <f>IF(M34367="","",'Master Barang'!A61)</f>
        <v>0</v>
      </c>
      <c r="O34367">
        <f>IF(N34367="","",'Master Barang'!B61)</f>
        <v>0</v>
      </c>
      <c r="P34367">
        <f>IF(OR(M34367="",N34367=""),"",SUMIFS('Barang Keluar'!$E:$E,'Barang Keluar'!$A:$A,M34367,'Barang Keluar'!$C:$C,N34367))</f>
        <v>0</v>
      </c>
    </row>
    <row r="34368" spans="13:16">
      <c r="M34368" s="49">
        <f>IF($A$4+343&gt;$B$4,"",$A$4+343)</f>
        <v>46366</v>
      </c>
      <c r="N34368">
        <f>IF(M34368="","",'Master Barang'!A62)</f>
        <v>0</v>
      </c>
      <c r="O34368">
        <f>IF(N34368="","",'Master Barang'!B62)</f>
        <v>0</v>
      </c>
      <c r="P34368">
        <f>IF(OR(M34368="",N34368=""),"",SUMIFS('Barang Keluar'!$E:$E,'Barang Keluar'!$A:$A,M34368,'Barang Keluar'!$C:$C,N34368))</f>
        <v>0</v>
      </c>
    </row>
    <row r="34369" spans="13:16">
      <c r="M34369" s="49">
        <f>IF($A$4+343&gt;$B$4,"",$A$4+343)</f>
        <v>46366</v>
      </c>
      <c r="N34369">
        <f>IF(M34369="","",'Master Barang'!A63)</f>
        <v>0</v>
      </c>
      <c r="O34369">
        <f>IF(N34369="","",'Master Barang'!B63)</f>
        <v>0</v>
      </c>
      <c r="P34369">
        <f>IF(OR(M34369="",N34369=""),"",SUMIFS('Barang Keluar'!$E:$E,'Barang Keluar'!$A:$A,M34369,'Barang Keluar'!$C:$C,N34369))</f>
        <v>0</v>
      </c>
    </row>
    <row r="34370" spans="13:16">
      <c r="M34370" s="49">
        <f>IF($A$4+343&gt;$B$4,"",$A$4+343)</f>
        <v>46366</v>
      </c>
      <c r="N34370">
        <f>IF(M34370="","",'Master Barang'!A64)</f>
        <v>0</v>
      </c>
      <c r="O34370">
        <f>IF(N34370="","",'Master Barang'!B64)</f>
        <v>0</v>
      </c>
      <c r="P34370">
        <f>IF(OR(M34370="",N34370=""),"",SUMIFS('Barang Keluar'!$E:$E,'Barang Keluar'!$A:$A,M34370,'Barang Keluar'!$C:$C,N34370))</f>
        <v>0</v>
      </c>
    </row>
    <row r="34371" spans="13:16">
      <c r="M34371" s="49">
        <f>IF($A$4+343&gt;$B$4,"",$A$4+343)</f>
        <v>46366</v>
      </c>
      <c r="N34371">
        <f>IF(M34371="","",'Master Barang'!A65)</f>
        <v>0</v>
      </c>
      <c r="O34371">
        <f>IF(N34371="","",'Master Barang'!B65)</f>
        <v>0</v>
      </c>
      <c r="P34371">
        <f>IF(OR(M34371="",N34371=""),"",SUMIFS('Barang Keluar'!$E:$E,'Barang Keluar'!$A:$A,M34371,'Barang Keluar'!$C:$C,N34371))</f>
        <v>0</v>
      </c>
    </row>
    <row r="34372" spans="13:16">
      <c r="M34372" s="49">
        <f>IF($A$4+343&gt;$B$4,"",$A$4+343)</f>
        <v>46366</v>
      </c>
      <c r="N34372">
        <f>IF(M34372="","",'Master Barang'!A66)</f>
        <v>0</v>
      </c>
      <c r="O34372">
        <f>IF(N34372="","",'Master Barang'!B66)</f>
        <v>0</v>
      </c>
      <c r="P34372">
        <f>IF(OR(M34372="",N34372=""),"",SUMIFS('Barang Keluar'!$E:$E,'Barang Keluar'!$A:$A,M34372,'Barang Keluar'!$C:$C,N34372))</f>
        <v>0</v>
      </c>
    </row>
    <row r="34373" spans="13:16">
      <c r="M34373" s="49">
        <f>IF($A$4+343&gt;$B$4,"",$A$4+343)</f>
        <v>46366</v>
      </c>
      <c r="N34373">
        <f>IF(M34373="","",'Master Barang'!A67)</f>
        <v>0</v>
      </c>
      <c r="O34373">
        <f>IF(N34373="","",'Master Barang'!B67)</f>
        <v>0</v>
      </c>
      <c r="P34373">
        <f>IF(OR(M34373="",N34373=""),"",SUMIFS('Barang Keluar'!$E:$E,'Barang Keluar'!$A:$A,M34373,'Barang Keluar'!$C:$C,N34373))</f>
        <v>0</v>
      </c>
    </row>
    <row r="34374" spans="13:16">
      <c r="M34374" s="49">
        <f>IF($A$4+343&gt;$B$4,"",$A$4+343)</f>
        <v>46366</v>
      </c>
      <c r="N34374">
        <f>IF(M34374="","",'Master Barang'!A68)</f>
        <v>0</v>
      </c>
      <c r="O34374">
        <f>IF(N34374="","",'Master Barang'!B68)</f>
        <v>0</v>
      </c>
      <c r="P34374">
        <f>IF(OR(M34374="",N34374=""),"",SUMIFS('Barang Keluar'!$E:$E,'Barang Keluar'!$A:$A,M34374,'Barang Keluar'!$C:$C,N34374))</f>
        <v>0</v>
      </c>
    </row>
    <row r="34375" spans="13:16">
      <c r="M34375" s="49">
        <f>IF($A$4+343&gt;$B$4,"",$A$4+343)</f>
        <v>46366</v>
      </c>
      <c r="N34375">
        <f>IF(M34375="","",'Master Barang'!A69)</f>
        <v>0</v>
      </c>
      <c r="O34375">
        <f>IF(N34375="","",'Master Barang'!B69)</f>
        <v>0</v>
      </c>
      <c r="P34375">
        <f>IF(OR(M34375="",N34375=""),"",SUMIFS('Barang Keluar'!$E:$E,'Barang Keluar'!$A:$A,M34375,'Barang Keluar'!$C:$C,N34375))</f>
        <v>0</v>
      </c>
    </row>
    <row r="34376" spans="13:16">
      <c r="M34376" s="49">
        <f>IF($A$4+343&gt;$B$4,"",$A$4+343)</f>
        <v>46366</v>
      </c>
      <c r="N34376">
        <f>IF(M34376="","",'Master Barang'!A70)</f>
        <v>0</v>
      </c>
      <c r="O34376">
        <f>IF(N34376="","",'Master Barang'!B70)</f>
        <v>0</v>
      </c>
      <c r="P34376">
        <f>IF(OR(M34376="",N34376=""),"",SUMIFS('Barang Keluar'!$E:$E,'Barang Keluar'!$A:$A,M34376,'Barang Keluar'!$C:$C,N34376))</f>
        <v>0</v>
      </c>
    </row>
    <row r="34377" spans="13:16">
      <c r="M34377" s="49">
        <f>IF($A$4+343&gt;$B$4,"",$A$4+343)</f>
        <v>46366</v>
      </c>
      <c r="N34377">
        <f>IF(M34377="","",'Master Barang'!A71)</f>
        <v>0</v>
      </c>
      <c r="O34377">
        <f>IF(N34377="","",'Master Barang'!B71)</f>
        <v>0</v>
      </c>
      <c r="P34377">
        <f>IF(OR(M34377="",N34377=""),"",SUMIFS('Barang Keluar'!$E:$E,'Barang Keluar'!$A:$A,M34377,'Barang Keluar'!$C:$C,N34377))</f>
        <v>0</v>
      </c>
    </row>
    <row r="34378" spans="13:16">
      <c r="M34378" s="49">
        <f>IF($A$4+343&gt;$B$4,"",$A$4+343)</f>
        <v>46366</v>
      </c>
      <c r="N34378">
        <f>IF(M34378="","",'Master Barang'!A72)</f>
        <v>0</v>
      </c>
      <c r="O34378">
        <f>IF(N34378="","",'Master Barang'!B72)</f>
        <v>0</v>
      </c>
      <c r="P34378">
        <f>IF(OR(M34378="",N34378=""),"",SUMIFS('Barang Keluar'!$E:$E,'Barang Keluar'!$A:$A,M34378,'Barang Keluar'!$C:$C,N34378))</f>
        <v>0</v>
      </c>
    </row>
    <row r="34379" spans="13:16">
      <c r="M34379" s="49">
        <f>IF($A$4+343&gt;$B$4,"",$A$4+343)</f>
        <v>46366</v>
      </c>
      <c r="N34379">
        <f>IF(M34379="","",'Master Barang'!A73)</f>
        <v>0</v>
      </c>
      <c r="O34379">
        <f>IF(N34379="","",'Master Barang'!B73)</f>
        <v>0</v>
      </c>
      <c r="P34379">
        <f>IF(OR(M34379="",N34379=""),"",SUMIFS('Barang Keluar'!$E:$E,'Barang Keluar'!$A:$A,M34379,'Barang Keluar'!$C:$C,N34379))</f>
        <v>0</v>
      </c>
    </row>
    <row r="34380" spans="13:16">
      <c r="M34380" s="49">
        <f>IF($A$4+343&gt;$B$4,"",$A$4+343)</f>
        <v>46366</v>
      </c>
      <c r="N34380">
        <f>IF(M34380="","",'Master Barang'!A74)</f>
        <v>0</v>
      </c>
      <c r="O34380">
        <f>IF(N34380="","",'Master Barang'!B74)</f>
        <v>0</v>
      </c>
      <c r="P34380">
        <f>IF(OR(M34380="",N34380=""),"",SUMIFS('Barang Keluar'!$E:$E,'Barang Keluar'!$A:$A,M34380,'Barang Keluar'!$C:$C,N34380))</f>
        <v>0</v>
      </c>
    </row>
    <row r="34381" spans="13:16">
      <c r="M34381" s="49">
        <f>IF($A$4+343&gt;$B$4,"",$A$4+343)</f>
        <v>46366</v>
      </c>
      <c r="N34381">
        <f>IF(M34381="","",'Master Barang'!A75)</f>
        <v>0</v>
      </c>
      <c r="O34381">
        <f>IF(N34381="","",'Master Barang'!B75)</f>
        <v>0</v>
      </c>
      <c r="P34381">
        <f>IF(OR(M34381="",N34381=""),"",SUMIFS('Barang Keluar'!$E:$E,'Barang Keluar'!$A:$A,M34381,'Barang Keluar'!$C:$C,N34381))</f>
        <v>0</v>
      </c>
    </row>
    <row r="34382" spans="13:16">
      <c r="M34382" s="49">
        <f>IF($A$4+343&gt;$B$4,"",$A$4+343)</f>
        <v>46366</v>
      </c>
      <c r="N34382">
        <f>IF(M34382="","",'Master Barang'!A76)</f>
        <v>0</v>
      </c>
      <c r="O34382">
        <f>IF(N34382="","",'Master Barang'!B76)</f>
        <v>0</v>
      </c>
      <c r="P34382">
        <f>IF(OR(M34382="",N34382=""),"",SUMIFS('Barang Keluar'!$E:$E,'Barang Keluar'!$A:$A,M34382,'Barang Keluar'!$C:$C,N34382))</f>
        <v>0</v>
      </c>
    </row>
    <row r="34383" spans="13:16">
      <c r="M34383" s="49">
        <f>IF($A$4+343&gt;$B$4,"",$A$4+343)</f>
        <v>46366</v>
      </c>
      <c r="N34383">
        <f>IF(M34383="","",'Master Barang'!A77)</f>
        <v>0</v>
      </c>
      <c r="O34383">
        <f>IF(N34383="","",'Master Barang'!B77)</f>
        <v>0</v>
      </c>
      <c r="P34383">
        <f>IF(OR(M34383="",N34383=""),"",SUMIFS('Barang Keluar'!$E:$E,'Barang Keluar'!$A:$A,M34383,'Barang Keluar'!$C:$C,N34383))</f>
        <v>0</v>
      </c>
    </row>
    <row r="34384" spans="13:16">
      <c r="M34384" s="49">
        <f>IF($A$4+343&gt;$B$4,"",$A$4+343)</f>
        <v>46366</v>
      </c>
      <c r="N34384">
        <f>IF(M34384="","",'Master Barang'!A78)</f>
        <v>0</v>
      </c>
      <c r="O34384">
        <f>IF(N34384="","",'Master Barang'!B78)</f>
        <v>0</v>
      </c>
      <c r="P34384">
        <f>IF(OR(M34384="",N34384=""),"",SUMIFS('Barang Keluar'!$E:$E,'Barang Keluar'!$A:$A,M34384,'Barang Keluar'!$C:$C,N34384))</f>
        <v>0</v>
      </c>
    </row>
    <row r="34385" spans="13:16">
      <c r="M34385" s="49">
        <f>IF($A$4+343&gt;$B$4,"",$A$4+343)</f>
        <v>46366</v>
      </c>
      <c r="N34385">
        <f>IF(M34385="","",'Master Barang'!A79)</f>
        <v>0</v>
      </c>
      <c r="O34385">
        <f>IF(N34385="","",'Master Barang'!B79)</f>
        <v>0</v>
      </c>
      <c r="P34385">
        <f>IF(OR(M34385="",N34385=""),"",SUMIFS('Barang Keluar'!$E:$E,'Barang Keluar'!$A:$A,M34385,'Barang Keluar'!$C:$C,N34385))</f>
        <v>0</v>
      </c>
    </row>
    <row r="34386" spans="13:16">
      <c r="M34386" s="49">
        <f>IF($A$4+343&gt;$B$4,"",$A$4+343)</f>
        <v>46366</v>
      </c>
      <c r="N34386">
        <f>IF(M34386="","",'Master Barang'!A80)</f>
        <v>0</v>
      </c>
      <c r="O34386">
        <f>IF(N34386="","",'Master Barang'!B80)</f>
        <v>0</v>
      </c>
      <c r="P34386">
        <f>IF(OR(M34386="",N34386=""),"",SUMIFS('Barang Keluar'!$E:$E,'Barang Keluar'!$A:$A,M34386,'Barang Keluar'!$C:$C,N34386))</f>
        <v>0</v>
      </c>
    </row>
    <row r="34387" spans="13:16">
      <c r="M34387" s="49">
        <f>IF($A$4+343&gt;$B$4,"",$A$4+343)</f>
        <v>46366</v>
      </c>
      <c r="N34387">
        <f>IF(M34387="","",'Master Barang'!A81)</f>
        <v>0</v>
      </c>
      <c r="O34387">
        <f>IF(N34387="","",'Master Barang'!B81)</f>
        <v>0</v>
      </c>
      <c r="P34387">
        <f>IF(OR(M34387="",N34387=""),"",SUMIFS('Barang Keluar'!$E:$E,'Barang Keluar'!$A:$A,M34387,'Barang Keluar'!$C:$C,N34387))</f>
        <v>0</v>
      </c>
    </row>
    <row r="34388" spans="13:16">
      <c r="M34388" s="49">
        <f>IF($A$4+343&gt;$B$4,"",$A$4+343)</f>
        <v>46366</v>
      </c>
      <c r="N34388">
        <f>IF(M34388="","",'Master Barang'!A82)</f>
        <v>0</v>
      </c>
      <c r="O34388">
        <f>IF(N34388="","",'Master Barang'!B82)</f>
        <v>0</v>
      </c>
      <c r="P34388">
        <f>IF(OR(M34388="",N34388=""),"",SUMIFS('Barang Keluar'!$E:$E,'Barang Keluar'!$A:$A,M34388,'Barang Keluar'!$C:$C,N34388))</f>
        <v>0</v>
      </c>
    </row>
    <row r="34389" spans="13:16">
      <c r="M34389" s="49">
        <f>IF($A$4+343&gt;$B$4,"",$A$4+343)</f>
        <v>46366</v>
      </c>
      <c r="N34389">
        <f>IF(M34389="","",'Master Barang'!A83)</f>
        <v>0</v>
      </c>
      <c r="O34389">
        <f>IF(N34389="","",'Master Barang'!B83)</f>
        <v>0</v>
      </c>
      <c r="P34389">
        <f>IF(OR(M34389="",N34389=""),"",SUMIFS('Barang Keluar'!$E:$E,'Barang Keluar'!$A:$A,M34389,'Barang Keluar'!$C:$C,N34389))</f>
        <v>0</v>
      </c>
    </row>
    <row r="34390" spans="13:16">
      <c r="M34390" s="49">
        <f>IF($A$4+343&gt;$B$4,"",$A$4+343)</f>
        <v>46366</v>
      </c>
      <c r="N34390">
        <f>IF(M34390="","",'Master Barang'!A84)</f>
        <v>0</v>
      </c>
      <c r="O34390">
        <f>IF(N34390="","",'Master Barang'!B84)</f>
        <v>0</v>
      </c>
      <c r="P34390">
        <f>IF(OR(M34390="",N34390=""),"",SUMIFS('Barang Keluar'!$E:$E,'Barang Keluar'!$A:$A,M34390,'Barang Keluar'!$C:$C,N34390))</f>
        <v>0</v>
      </c>
    </row>
    <row r="34391" spans="13:16">
      <c r="M34391" s="49">
        <f>IF($A$4+343&gt;$B$4,"",$A$4+343)</f>
        <v>46366</v>
      </c>
      <c r="N34391">
        <f>IF(M34391="","",'Master Barang'!A85)</f>
        <v>0</v>
      </c>
      <c r="O34391">
        <f>IF(N34391="","",'Master Barang'!B85)</f>
        <v>0</v>
      </c>
      <c r="P34391">
        <f>IF(OR(M34391="",N34391=""),"",SUMIFS('Barang Keluar'!$E:$E,'Barang Keluar'!$A:$A,M34391,'Barang Keluar'!$C:$C,N34391))</f>
        <v>0</v>
      </c>
    </row>
    <row r="34392" spans="13:16">
      <c r="M34392" s="49">
        <f>IF($A$4+343&gt;$B$4,"",$A$4+343)</f>
        <v>46366</v>
      </c>
      <c r="N34392">
        <f>IF(M34392="","",'Master Barang'!A86)</f>
        <v>0</v>
      </c>
      <c r="O34392">
        <f>IF(N34392="","",'Master Barang'!B86)</f>
        <v>0</v>
      </c>
      <c r="P34392">
        <f>IF(OR(M34392="",N34392=""),"",SUMIFS('Barang Keluar'!$E:$E,'Barang Keluar'!$A:$A,M34392,'Barang Keluar'!$C:$C,N34392))</f>
        <v>0</v>
      </c>
    </row>
    <row r="34393" spans="13:16">
      <c r="M34393" s="49">
        <f>IF($A$4+343&gt;$B$4,"",$A$4+343)</f>
        <v>46366</v>
      </c>
      <c r="N34393">
        <f>IF(M34393="","",'Master Barang'!A87)</f>
        <v>0</v>
      </c>
      <c r="O34393">
        <f>IF(N34393="","",'Master Barang'!B87)</f>
        <v>0</v>
      </c>
      <c r="P34393">
        <f>IF(OR(M34393="",N34393=""),"",SUMIFS('Barang Keluar'!$E:$E,'Barang Keluar'!$A:$A,M34393,'Barang Keluar'!$C:$C,N34393))</f>
        <v>0</v>
      </c>
    </row>
    <row r="34394" spans="13:16">
      <c r="M34394" s="49">
        <f>IF($A$4+343&gt;$B$4,"",$A$4+343)</f>
        <v>46366</v>
      </c>
      <c r="N34394">
        <f>IF(M34394="","",'Master Barang'!A88)</f>
        <v>0</v>
      </c>
      <c r="O34394">
        <f>IF(N34394="","",'Master Barang'!B88)</f>
        <v>0</v>
      </c>
      <c r="P34394">
        <f>IF(OR(M34394="",N34394=""),"",SUMIFS('Barang Keluar'!$E:$E,'Barang Keluar'!$A:$A,M34394,'Barang Keluar'!$C:$C,N34394))</f>
        <v>0</v>
      </c>
    </row>
    <row r="34395" spans="13:16">
      <c r="M34395" s="49">
        <f>IF($A$4+343&gt;$B$4,"",$A$4+343)</f>
        <v>46366</v>
      </c>
      <c r="N34395">
        <f>IF(M34395="","",'Master Barang'!A89)</f>
        <v>0</v>
      </c>
      <c r="O34395">
        <f>IF(N34395="","",'Master Barang'!B89)</f>
        <v>0</v>
      </c>
      <c r="P34395">
        <f>IF(OR(M34395="",N34395=""),"",SUMIFS('Barang Keluar'!$E:$E,'Barang Keluar'!$A:$A,M34395,'Barang Keluar'!$C:$C,N34395))</f>
        <v>0</v>
      </c>
    </row>
    <row r="34396" spans="13:16">
      <c r="M34396" s="49">
        <f>IF($A$4+343&gt;$B$4,"",$A$4+343)</f>
        <v>46366</v>
      </c>
      <c r="N34396">
        <f>IF(M34396="","",'Master Barang'!A90)</f>
        <v>0</v>
      </c>
      <c r="O34396">
        <f>IF(N34396="","",'Master Barang'!B90)</f>
        <v>0</v>
      </c>
      <c r="P34396">
        <f>IF(OR(M34396="",N34396=""),"",SUMIFS('Barang Keluar'!$E:$E,'Barang Keluar'!$A:$A,M34396,'Barang Keluar'!$C:$C,N34396))</f>
        <v>0</v>
      </c>
    </row>
    <row r="34397" spans="13:16">
      <c r="M34397" s="49">
        <f>IF($A$4+343&gt;$B$4,"",$A$4+343)</f>
        <v>46366</v>
      </c>
      <c r="N34397">
        <f>IF(M34397="","",'Master Barang'!A91)</f>
        <v>0</v>
      </c>
      <c r="O34397">
        <f>IF(N34397="","",'Master Barang'!B91)</f>
        <v>0</v>
      </c>
      <c r="P34397">
        <f>IF(OR(M34397="",N34397=""),"",SUMIFS('Barang Keluar'!$E:$E,'Barang Keluar'!$A:$A,M34397,'Barang Keluar'!$C:$C,N34397))</f>
        <v>0</v>
      </c>
    </row>
    <row r="34398" spans="13:16">
      <c r="M34398" s="49">
        <f>IF($A$4+343&gt;$B$4,"",$A$4+343)</f>
        <v>46366</v>
      </c>
      <c r="N34398">
        <f>IF(M34398="","",'Master Barang'!A92)</f>
        <v>0</v>
      </c>
      <c r="O34398">
        <f>IF(N34398="","",'Master Barang'!B92)</f>
        <v>0</v>
      </c>
      <c r="P34398">
        <f>IF(OR(M34398="",N34398=""),"",SUMIFS('Barang Keluar'!$E:$E,'Barang Keluar'!$A:$A,M34398,'Barang Keluar'!$C:$C,N34398))</f>
        <v>0</v>
      </c>
    </row>
    <row r="34399" spans="13:16">
      <c r="M34399" s="49">
        <f>IF($A$4+343&gt;$B$4,"",$A$4+343)</f>
        <v>46366</v>
      </c>
      <c r="N34399">
        <f>IF(M34399="","",'Master Barang'!A93)</f>
        <v>0</v>
      </c>
      <c r="O34399">
        <f>IF(N34399="","",'Master Barang'!B93)</f>
        <v>0</v>
      </c>
      <c r="P34399">
        <f>IF(OR(M34399="",N34399=""),"",SUMIFS('Barang Keluar'!$E:$E,'Barang Keluar'!$A:$A,M34399,'Barang Keluar'!$C:$C,N34399))</f>
        <v>0</v>
      </c>
    </row>
    <row r="34400" spans="13:16">
      <c r="M34400" s="49">
        <f>IF($A$4+343&gt;$B$4,"",$A$4+343)</f>
        <v>46366</v>
      </c>
      <c r="N34400">
        <f>IF(M34400="","",'Master Barang'!A94)</f>
        <v>0</v>
      </c>
      <c r="O34400">
        <f>IF(N34400="","",'Master Barang'!B94)</f>
        <v>0</v>
      </c>
      <c r="P34400">
        <f>IF(OR(M34400="",N34400=""),"",SUMIFS('Barang Keluar'!$E:$E,'Barang Keluar'!$A:$A,M34400,'Barang Keluar'!$C:$C,N34400))</f>
        <v>0</v>
      </c>
    </row>
    <row r="34401" spans="13:16">
      <c r="M34401" s="49">
        <f>IF($A$4+343&gt;$B$4,"",$A$4+343)</f>
        <v>46366</v>
      </c>
      <c r="N34401">
        <f>IF(M34401="","",'Master Barang'!A95)</f>
        <v>0</v>
      </c>
      <c r="O34401">
        <f>IF(N34401="","",'Master Barang'!B95)</f>
        <v>0</v>
      </c>
      <c r="P34401">
        <f>IF(OR(M34401="",N34401=""),"",SUMIFS('Barang Keluar'!$E:$E,'Barang Keluar'!$A:$A,M34401,'Barang Keluar'!$C:$C,N34401))</f>
        <v>0</v>
      </c>
    </row>
    <row r="34402" spans="13:16">
      <c r="M34402" s="49">
        <f>IF($A$4+343&gt;$B$4,"",$A$4+343)</f>
        <v>46366</v>
      </c>
      <c r="N34402">
        <f>IF(M34402="","",'Master Barang'!A96)</f>
        <v>0</v>
      </c>
      <c r="O34402">
        <f>IF(N34402="","",'Master Barang'!B96)</f>
        <v>0</v>
      </c>
      <c r="P34402">
        <f>IF(OR(M34402="",N34402=""),"",SUMIFS('Barang Keluar'!$E:$E,'Barang Keluar'!$A:$A,M34402,'Barang Keluar'!$C:$C,N34402))</f>
        <v>0</v>
      </c>
    </row>
    <row r="34403" spans="13:16">
      <c r="M34403" s="49">
        <f>IF($A$4+343&gt;$B$4,"",$A$4+343)</f>
        <v>46366</v>
      </c>
      <c r="N34403">
        <f>IF(M34403="","",'Master Barang'!A97)</f>
        <v>0</v>
      </c>
      <c r="O34403">
        <f>IF(N34403="","",'Master Barang'!B97)</f>
        <v>0</v>
      </c>
      <c r="P34403">
        <f>IF(OR(M34403="",N34403=""),"",SUMIFS('Barang Keluar'!$E:$E,'Barang Keluar'!$A:$A,M34403,'Barang Keluar'!$C:$C,N34403))</f>
        <v>0</v>
      </c>
    </row>
    <row r="34404" spans="13:16">
      <c r="M34404" s="49">
        <f>IF($A$4+343&gt;$B$4,"",$A$4+343)</f>
        <v>46366</v>
      </c>
      <c r="N34404">
        <f>IF(M34404="","",'Master Barang'!A98)</f>
        <v>0</v>
      </c>
      <c r="O34404">
        <f>IF(N34404="","",'Master Barang'!B98)</f>
        <v>0</v>
      </c>
      <c r="P34404">
        <f>IF(OR(M34404="",N34404=""),"",SUMIFS('Barang Keluar'!$E:$E,'Barang Keluar'!$A:$A,M34404,'Barang Keluar'!$C:$C,N34404))</f>
        <v>0</v>
      </c>
    </row>
    <row r="34405" spans="13:16">
      <c r="M34405" s="49">
        <f>IF($A$4+343&gt;$B$4,"",$A$4+343)</f>
        <v>46366</v>
      </c>
      <c r="N34405">
        <f>IF(M34405="","",'Master Barang'!A99)</f>
        <v>0</v>
      </c>
      <c r="O34405">
        <f>IF(N34405="","",'Master Barang'!B99)</f>
        <v>0</v>
      </c>
      <c r="P34405">
        <f>IF(OR(M34405="",N34405=""),"",SUMIFS('Barang Keluar'!$E:$E,'Barang Keluar'!$A:$A,M34405,'Barang Keluar'!$C:$C,N34405))</f>
        <v>0</v>
      </c>
    </row>
    <row r="34406" spans="13:16">
      <c r="M34406" s="49">
        <f>IF($A$4+343&gt;$B$4,"",$A$4+343)</f>
        <v>46366</v>
      </c>
      <c r="N34406">
        <f>IF(M34406="","",'Master Barang'!A100)</f>
        <v>0</v>
      </c>
      <c r="O34406">
        <f>IF(N34406="","",'Master Barang'!B100)</f>
        <v>0</v>
      </c>
      <c r="P34406">
        <f>IF(OR(M34406="",N34406=""),"",SUMIFS('Barang Keluar'!$E:$E,'Barang Keluar'!$A:$A,M34406,'Barang Keluar'!$C:$C,N34406))</f>
        <v>0</v>
      </c>
    </row>
    <row r="34407" spans="13:16">
      <c r="M34407" s="49">
        <f>IF($A$4+343&gt;$B$4,"",$A$4+343)</f>
        <v>46366</v>
      </c>
      <c r="N34407">
        <f>IF(M34407="","",'Master Barang'!A101)</f>
        <v>0</v>
      </c>
      <c r="O34407">
        <f>IF(N34407="","",'Master Barang'!B101)</f>
        <v>0</v>
      </c>
      <c r="P34407">
        <f>IF(OR(M34407="",N34407=""),"",SUMIFS('Barang Keluar'!$E:$E,'Barang Keluar'!$A:$A,M34407,'Barang Keluar'!$C:$C,N34407))</f>
        <v>0</v>
      </c>
    </row>
    <row r="34408" spans="13:16">
      <c r="M34408" s="49">
        <f>IF($A$4+344&gt;$B$4,"",$A$4+344)</f>
        <v>46367</v>
      </c>
      <c r="N34408" t="str">
        <f>IF(M34408="","",'Master Barang'!A2)</f>
        <v>PRL-001</v>
      </c>
      <c r="O34408" t="str">
        <f>IF(N34408="","",'Master Barang'!B2)</f>
        <v>natura desinfectant food grade 5l</v>
      </c>
      <c r="P34408">
        <f>IF(OR(M34408="",N34408=""),"",SUMIFS('Barang Keluar'!$E:$E,'Barang Keluar'!$A:$A,M34408,'Barang Keluar'!$C:$C,N34408))</f>
        <v>0</v>
      </c>
    </row>
    <row r="34409" spans="13:16">
      <c r="M34409" s="49">
        <f>IF($A$4+344&gt;$B$4,"",$A$4+344)</f>
        <v>46367</v>
      </c>
      <c r="N34409" t="str">
        <f>IF(M34409="","",'Master Barang'!A3)</f>
        <v>PRL-002</v>
      </c>
      <c r="O34409" t="str">
        <f>IF(N34409="","",'Master Barang'!B3)</f>
        <v>sunlight cairan pencuci piring 5l</v>
      </c>
      <c r="P34409">
        <f>IF(OR(M34409="",N34409=""),"",SUMIFS('Barang Keluar'!$E:$E,'Barang Keluar'!$A:$A,M34409,'Barang Keluar'!$C:$C,N34409))</f>
        <v>0</v>
      </c>
    </row>
    <row r="34410" spans="13:16">
      <c r="M34410" s="49">
        <f>IF($A$4+344&gt;$B$4,"",$A$4+344)</f>
        <v>46367</v>
      </c>
      <c r="N34410" t="str">
        <f>IF(M34410="","",'Master Barang'!A4)</f>
        <v>PRL-003</v>
      </c>
      <c r="O34410" t="str">
        <f>IF(N34410="","",'Master Barang'!B4)</f>
        <v>oixs cleaner 1l</v>
      </c>
      <c r="P34410">
        <f>IF(OR(M34410="",N34410=""),"",SUMIFS('Barang Keluar'!$E:$E,'Barang Keluar'!$A:$A,M34410,'Barang Keluar'!$C:$C,N34410))</f>
        <v>0</v>
      </c>
    </row>
    <row r="34411" spans="13:16">
      <c r="M34411" s="49">
        <f>IF($A$4+344&gt;$B$4,"",$A$4+344)</f>
        <v>46367</v>
      </c>
      <c r="N34411" t="str">
        <f>IF(M34411="","",'Master Barang'!A5)</f>
        <v>PRL-004</v>
      </c>
      <c r="O34411" t="str">
        <f>IF(N34411="","",'Master Barang'!B5)</f>
        <v>be clean tissue serbaguna</v>
      </c>
      <c r="P34411">
        <f>IF(OR(M34411="",N34411=""),"",SUMIFS('Barang Keluar'!$E:$E,'Barang Keluar'!$A:$A,M34411,'Barang Keluar'!$C:$C,N34411))</f>
        <v>0</v>
      </c>
    </row>
    <row r="34412" spans="13:16">
      <c r="M34412" s="49">
        <f>IF($A$4+344&gt;$B$4,"",$A$4+344)</f>
        <v>46367</v>
      </c>
      <c r="N34412" t="str">
        <f>IF(M34412="","",'Master Barang'!A6)</f>
        <v>PRL-005</v>
      </c>
      <c r="O34412" t="str">
        <f>IF(N34412="","",'Master Barang'!B6)</f>
        <v>spons cuci hijau</v>
      </c>
      <c r="P34412">
        <f>IF(OR(M34412="",N34412=""),"",SUMIFS('Barang Keluar'!$E:$E,'Barang Keluar'!$A:$A,M34412,'Barang Keluar'!$C:$C,N34412))</f>
        <v>0</v>
      </c>
    </row>
    <row r="34413" spans="13:16">
      <c r="M34413" s="49">
        <f>IF($A$4+344&gt;$B$4,"",$A$4+344)</f>
        <v>46367</v>
      </c>
      <c r="N34413" t="str">
        <f>IF(M34413="","",'Master Barang'!A7)</f>
        <v>PRL-006</v>
      </c>
      <c r="O34413" t="str">
        <f>IF(N34413="","",'Master Barang'!B7)</f>
        <v>sabut cuci stainless</v>
      </c>
      <c r="P34413">
        <f>IF(OR(M34413="",N34413=""),"",SUMIFS('Barang Keluar'!$E:$E,'Barang Keluar'!$A:$A,M34413,'Barang Keluar'!$C:$C,N34413))</f>
        <v>0</v>
      </c>
    </row>
    <row r="34414" spans="13:16">
      <c r="M34414" s="49">
        <f>IF($A$4+344&gt;$B$4,"",$A$4+344)</f>
        <v>46367</v>
      </c>
      <c r="N34414" t="str">
        <f>IF(M34414="","",'Master Barang'!A8)</f>
        <v>PRL-007</v>
      </c>
      <c r="O34414" t="str">
        <f>IF(N34414="","",'Master Barang'!B8)</f>
        <v>plastik kresek besar merah 50pc</v>
      </c>
      <c r="P34414">
        <f>IF(OR(M34414="",N34414=""),"",SUMIFS('Barang Keluar'!$E:$E,'Barang Keluar'!$A:$A,M34414,'Barang Keluar'!$C:$C,N34414))</f>
        <v>0</v>
      </c>
    </row>
    <row r="34415" spans="13:16">
      <c r="M34415" s="49">
        <f>IF($A$4+344&gt;$B$4,"",$A$4+344)</f>
        <v>46367</v>
      </c>
      <c r="N34415" t="str">
        <f>IF(M34415="","",'Master Barang'!A9)</f>
        <v>PRL-008</v>
      </c>
      <c r="O34415" t="str">
        <f>IF(N34415="","",'Master Barang'!B9)</f>
        <v>lap besar</v>
      </c>
      <c r="P34415">
        <f>IF(OR(M34415="",N34415=""),"",SUMIFS('Barang Keluar'!$E:$E,'Barang Keluar'!$A:$A,M34415,'Barang Keluar'!$C:$C,N34415))</f>
        <v>0</v>
      </c>
    </row>
    <row r="34416" spans="13:16">
      <c r="M34416" s="49">
        <f>IF($A$4+344&gt;$B$4,"",$A$4+344)</f>
        <v>46367</v>
      </c>
      <c r="N34416" t="str">
        <f>IF(M34416="","",'Master Barang'!A10)</f>
        <v>PRL-009</v>
      </c>
      <c r="O34416" t="str">
        <f>IF(N34416="","",'Master Barang'!B10)</f>
        <v>lap microfiber</v>
      </c>
      <c r="P34416">
        <f>IF(OR(M34416="",N34416=""),"",SUMIFS('Barang Keluar'!$E:$E,'Barang Keluar'!$A:$A,M34416,'Barang Keluar'!$C:$C,N34416))</f>
        <v>0</v>
      </c>
    </row>
    <row r="34417" spans="13:16">
      <c r="M34417" s="49">
        <f>IF($A$4+344&gt;$B$4,"",$A$4+344)</f>
        <v>46367</v>
      </c>
      <c r="N34417" t="str">
        <f>IF(M34417="","",'Master Barang'!A11)</f>
        <v>PRL-010</v>
      </c>
      <c r="O34417" t="str">
        <f>IF(N34417="","",'Master Barang'!B11)</f>
        <v>lap kecil</v>
      </c>
      <c r="P34417">
        <f>IF(OR(M34417="",N34417=""),"",SUMIFS('Barang Keluar'!$E:$E,'Barang Keluar'!$A:$A,M34417,'Barang Keluar'!$C:$C,N34417))</f>
        <v>0</v>
      </c>
    </row>
    <row r="34418" spans="13:16">
      <c r="M34418" s="49">
        <f>IF($A$4+344&gt;$B$4,"",$A$4+344)</f>
        <v>46367</v>
      </c>
      <c r="N34418" t="str">
        <f>IF(M34418="","",'Master Barang'!A12)</f>
        <v>PRL-011</v>
      </c>
      <c r="O34418" t="str">
        <f>IF(N34418="","",'Master Barang'!B12)</f>
        <v>kanebo kecil</v>
      </c>
      <c r="P34418">
        <f>IF(OR(M34418="",N34418=""),"",SUMIFS('Barang Keluar'!$E:$E,'Barang Keluar'!$A:$A,M34418,'Barang Keluar'!$C:$C,N34418))</f>
        <v>0</v>
      </c>
    </row>
    <row r="34419" spans="13:16">
      <c r="M34419" s="49">
        <f>IF($A$4+344&gt;$B$4,"",$A$4+344)</f>
        <v>46367</v>
      </c>
      <c r="N34419" t="str">
        <f>IF(M34419="","",'Master Barang'!A13)</f>
        <v>PRL-012</v>
      </c>
      <c r="O34419" t="str">
        <f>IF(N34419="","",'Master Barang'!B13)</f>
        <v>plastik 1/4kg joyoboyo 100 lembar</v>
      </c>
      <c r="P34419">
        <f>IF(OR(M34419="",N34419=""),"",SUMIFS('Barang Keluar'!$E:$E,'Barang Keluar'!$A:$A,M34419,'Barang Keluar'!$C:$C,N34419))</f>
        <v>0</v>
      </c>
    </row>
    <row r="34420" spans="13:16">
      <c r="M34420" s="49">
        <f>IF($A$4+344&gt;$B$4,"",$A$4+344)</f>
        <v>46367</v>
      </c>
      <c r="N34420" t="str">
        <f>IF(M34420="","",'Master Barang'!A14)</f>
        <v>PRL-013</v>
      </c>
      <c r="O34420" t="str">
        <f>IF(N34420="","",'Master Barang'!B14)</f>
        <v>sarung tangan plastik kaka 100 pcs</v>
      </c>
      <c r="P34420">
        <f>IF(OR(M34420="",N34420=""),"",SUMIFS('Barang Keluar'!$E:$E,'Barang Keluar'!$A:$A,M34420,'Barang Keluar'!$C:$C,N34420))</f>
        <v>0</v>
      </c>
    </row>
    <row r="34421" spans="13:16">
      <c r="M34421" s="49">
        <f>IF($A$4+344&gt;$B$4,"",$A$4+344)</f>
        <v>46367</v>
      </c>
      <c r="N34421" t="str">
        <f>IF(M34421="","",'Master Barang'!A15)</f>
        <v>PRL-014</v>
      </c>
      <c r="O34421" t="str">
        <f>IF(N34421="","",'Master Barang'!B15)</f>
        <v>optima trashbag 80x100</v>
      </c>
      <c r="P34421">
        <f>IF(OR(M34421="",N34421=""),"",SUMIFS('Barang Keluar'!$E:$E,'Barang Keluar'!$A:$A,M34421,'Barang Keluar'!$C:$C,N34421))</f>
        <v>0</v>
      </c>
    </row>
    <row r="34422" spans="13:16">
      <c r="M34422" s="49">
        <f>IF($A$4+344&gt;$B$4,"",$A$4+344)</f>
        <v>46367</v>
      </c>
      <c r="N34422" t="str">
        <f>IF(M34422="","",'Master Barang'!A16)</f>
        <v>PRL-015</v>
      </c>
      <c r="O34422" t="str">
        <f>IF(N34422="","",'Master Barang'!B16)</f>
        <v>optima trashbag 60x100</v>
      </c>
      <c r="P34422">
        <f>IF(OR(M34422="",N34422=""),"",SUMIFS('Barang Keluar'!$E:$E,'Barang Keluar'!$A:$A,M34422,'Barang Keluar'!$C:$C,N34422))</f>
        <v>0</v>
      </c>
    </row>
    <row r="34423" spans="13:16">
      <c r="M34423" s="49">
        <f>IF($A$4+344&gt;$B$4,"",$A$4+344)</f>
        <v>46367</v>
      </c>
      <c r="N34423" t="str">
        <f>IF(M34423="","",'Master Barang'!A17)</f>
        <v>PRL-016</v>
      </c>
      <c r="O34423" t="str">
        <f>IF(N34423="","",'Master Barang'!B17)</f>
        <v>rajawali trashbag 30x40</v>
      </c>
      <c r="P34423">
        <f>IF(OR(M34423="",N34423=""),"",SUMIFS('Barang Keluar'!$E:$E,'Barang Keluar'!$A:$A,M34423,'Barang Keluar'!$C:$C,N34423))</f>
        <v>0</v>
      </c>
    </row>
    <row r="34424" spans="13:16">
      <c r="M34424" s="49">
        <f>IF($A$4+344&gt;$B$4,"",$A$4+344)</f>
        <v>46367</v>
      </c>
      <c r="N34424" t="str">
        <f>IF(M34424="","",'Master Barang'!A18)</f>
        <v>PRL-017</v>
      </c>
      <c r="O34424" t="str">
        <f>IF(N34424="","",'Master Barang'!B18)</f>
        <v>onemed masker biru 3 play 50 pcs</v>
      </c>
      <c r="P34424">
        <f>IF(OR(M34424="",N34424=""),"",SUMIFS('Barang Keluar'!$E:$E,'Barang Keluar'!$A:$A,M34424,'Barang Keluar'!$C:$C,N34424))</f>
        <v>0</v>
      </c>
    </row>
    <row r="34425" spans="13:16">
      <c r="M34425" s="49">
        <f>IF($A$4+344&gt;$B$4,"",$A$4+344)</f>
        <v>46367</v>
      </c>
      <c r="N34425" t="str">
        <f>IF(M34425="","",'Master Barang'!A19)</f>
        <v>PRL-018</v>
      </c>
      <c r="O34425" t="str">
        <f>IF(N34425="","",'Master Barang'!B19)</f>
        <v>onemed masker biru 3 play hijab 50 pcs</v>
      </c>
      <c r="P34425">
        <f>IF(OR(M34425="",N34425=""),"",SUMIFS('Barang Keluar'!$E:$E,'Barang Keluar'!$A:$A,M34425,'Barang Keluar'!$C:$C,N34425))</f>
        <v>0</v>
      </c>
    </row>
    <row r="34426" spans="13:16">
      <c r="M34426" s="49">
        <f>IF($A$4+344&gt;$B$4,"",$A$4+344)</f>
        <v>46367</v>
      </c>
      <c r="N34426" t="str">
        <f>IF(M34426="","",'Master Barang'!A20)</f>
        <v>PRL-019</v>
      </c>
      <c r="O34426" t="str">
        <f>IF(N34426="","",'Master Barang'!B20)</f>
        <v>neo health masker biru 3 play 50 pcs</v>
      </c>
      <c r="P34426">
        <f>IF(OR(M34426="",N34426=""),"",SUMIFS('Barang Keluar'!$E:$E,'Barang Keluar'!$A:$A,M34426,'Barang Keluar'!$C:$C,N34426))</f>
        <v>0</v>
      </c>
    </row>
    <row r="34427" spans="13:16">
      <c r="M34427" s="49">
        <f>IF($A$4+344&gt;$B$4,"",$A$4+344)</f>
        <v>46367</v>
      </c>
      <c r="N34427" t="str">
        <f>IF(M34427="","",'Master Barang'!A21)</f>
        <v>PRL-020</v>
      </c>
      <c r="O34427" t="str">
        <f>IF(N34427="","",'Master Barang'!B21)</f>
        <v>baymed masker hijau 3 play hijau 50 pcs</v>
      </c>
      <c r="P34427">
        <f>IF(OR(M34427="",N34427=""),"",SUMIFS('Barang Keluar'!$E:$E,'Barang Keluar'!$A:$A,M34427,'Barang Keluar'!$C:$C,N34427))</f>
        <v>0</v>
      </c>
    </row>
    <row r="34428" spans="13:16">
      <c r="M34428" s="49">
        <f>IF($A$4+344&gt;$B$4,"",$A$4+344)</f>
        <v>46367</v>
      </c>
      <c r="N34428" t="str">
        <f>IF(M34428="","",'Master Barang'!A22)</f>
        <v>PRL-021</v>
      </c>
      <c r="O34428" t="str">
        <f>IF(N34428="","",'Master Barang'!B22)</f>
        <v>altamed nurse cap penutup kepala 100 pcs</v>
      </c>
      <c r="P34428">
        <f>IF(OR(M34428="",N34428=""),"",SUMIFS('Barang Keluar'!$E:$E,'Barang Keluar'!$A:$A,M34428,'Barang Keluar'!$C:$C,N34428))</f>
        <v>0</v>
      </c>
    </row>
    <row r="34429" spans="13:16">
      <c r="M34429" s="49">
        <f>IF($A$4+344&gt;$B$4,"",$A$4+344)</f>
        <v>46367</v>
      </c>
      <c r="N34429" t="str">
        <f>IF(M34429="","",'Master Barang'!A23)</f>
        <v>PRL-022</v>
      </c>
      <c r="O34429" t="str">
        <f>IF(N34429="","",'Master Barang'!B23)</f>
        <v>sabun cuci tangan</v>
      </c>
      <c r="P34429">
        <f>IF(OR(M34429="",N34429=""),"",SUMIFS('Barang Keluar'!$E:$E,'Barang Keluar'!$A:$A,M34429,'Barang Keluar'!$C:$C,N34429))</f>
        <v>0</v>
      </c>
    </row>
    <row r="34430" spans="13:16">
      <c r="M34430" s="49">
        <f>IF($A$4+344&gt;$B$4,"",$A$4+344)</f>
        <v>46367</v>
      </c>
      <c r="N34430" t="str">
        <f>IF(M34430="","",'Master Barang'!A24)</f>
        <v>PRL-023</v>
      </c>
      <c r="O34430" t="str">
        <f>IF(N34430="","",'Master Barang'!B24)</f>
        <v>gayung kecil</v>
      </c>
      <c r="P34430">
        <f>IF(OR(M34430="",N34430=""),"",SUMIFS('Barang Keluar'!$E:$E,'Barang Keluar'!$A:$A,M34430,'Barang Keluar'!$C:$C,N34430))</f>
        <v>0</v>
      </c>
    </row>
    <row r="34431" spans="13:16">
      <c r="M34431" s="49">
        <f>IF($A$4+344&gt;$B$4,"",$A$4+344)</f>
        <v>46367</v>
      </c>
      <c r="N34431" t="str">
        <f>IF(M34431="","",'Master Barang'!A25)</f>
        <v>PRL-024</v>
      </c>
      <c r="O34431" t="str">
        <f>IF(N34431="","",'Master Barang'!B25)</f>
        <v>cikrak kecil</v>
      </c>
      <c r="P34431">
        <f>IF(OR(M34431="",N34431=""),"",SUMIFS('Barang Keluar'!$E:$E,'Barang Keluar'!$A:$A,M34431,'Barang Keluar'!$C:$C,N34431))</f>
        <v>0</v>
      </c>
    </row>
    <row r="34432" spans="13:16">
      <c r="M34432" s="49">
        <f>IF($A$4+344&gt;$B$4,"",$A$4+344)</f>
        <v>46367</v>
      </c>
      <c r="N34432" t="str">
        <f>IF(M34432="","",'Master Barang'!A26)</f>
        <v>PRL-025</v>
      </c>
      <c r="O34432" t="str">
        <f>IF(N34432="","",'Master Barang'!B26)</f>
        <v>petromax plastik kecil 12x24 100 lembar</v>
      </c>
      <c r="P34432">
        <f>IF(OR(M34432="",N34432=""),"",SUMIFS('Barang Keluar'!$E:$E,'Barang Keluar'!$A:$A,M34432,'Barang Keluar'!$C:$C,N34432))</f>
        <v>0</v>
      </c>
    </row>
    <row r="34433" spans="13:16">
      <c r="M34433" s="49">
        <f>IF($A$4+344&gt;$B$4,"",$A$4+344)</f>
        <v>46367</v>
      </c>
      <c r="N34433" t="str">
        <f>IF(M34433="","",'Master Barang'!A27)</f>
        <v>PRL-026</v>
      </c>
      <c r="O34433" t="str">
        <f>IF(N34433="","",'Master Barang'!B27)</f>
        <v>lancar kresek kecil bening </v>
      </c>
      <c r="P34433">
        <f>IF(OR(M34433="",N34433=""),"",SUMIFS('Barang Keluar'!$E:$E,'Barang Keluar'!$A:$A,M34433,'Barang Keluar'!$C:$C,N34433))</f>
        <v>0</v>
      </c>
    </row>
    <row r="34434" spans="13:16">
      <c r="M34434" s="49">
        <f>IF($A$4+344&gt;$B$4,"",$A$4+344)</f>
        <v>46367</v>
      </c>
      <c r="N34434" t="str">
        <f>IF(M34434="","",'Master Barang'!A28)</f>
        <v>PRL-027</v>
      </c>
      <c r="O34434" t="str">
        <f>IF(N34434="","",'Master Barang'!B28)</f>
        <v>kresek klin warna warni kecil</v>
      </c>
      <c r="P34434">
        <f>IF(OR(M34434="",N34434=""),"",SUMIFS('Barang Keluar'!$E:$E,'Barang Keluar'!$A:$A,M34434,'Barang Keluar'!$C:$C,N34434))</f>
        <v>0</v>
      </c>
    </row>
    <row r="34435" spans="13:16">
      <c r="M34435" s="49">
        <f>IF($A$4+344&gt;$B$4,"",$A$4+344)</f>
        <v>46367</v>
      </c>
      <c r="N34435" t="str">
        <f>IF(M34435="","",'Master Barang'!A29)</f>
        <v>PRL-028</v>
      </c>
      <c r="O34435" t="str">
        <f>IF(N34435="","",'Master Barang'!B29)</f>
        <v>ctik plastik 7x10 100 pcs</v>
      </c>
      <c r="P34435">
        <f>IF(OR(M34435="",N34435=""),"",SUMIFS('Barang Keluar'!$E:$E,'Barang Keluar'!$A:$A,M34435,'Barang Keluar'!$C:$C,N34435))</f>
        <v>0</v>
      </c>
    </row>
    <row r="34436" spans="13:16">
      <c r="M34436" s="49">
        <f>IF($A$4+344&gt;$B$4,"",$A$4+344)</f>
        <v>46367</v>
      </c>
      <c r="N34436" t="str">
        <f>IF(M34436="","",'Master Barang'!A30)</f>
        <v>PRL-029</v>
      </c>
      <c r="O34436" t="str">
        <f>IF(N34436="","",'Master Barang'!B30)</f>
        <v>ctik plastik 6x10 100 pcs</v>
      </c>
      <c r="P34436">
        <f>IF(OR(M34436="",N34436=""),"",SUMIFS('Barang Keluar'!$E:$E,'Barang Keluar'!$A:$A,M34436,'Barang Keluar'!$C:$C,N34436))</f>
        <v>0</v>
      </c>
    </row>
    <row r="34437" spans="13:16">
      <c r="M34437" s="49">
        <f>IF($A$4+344&gt;$B$4,"",$A$4+344)</f>
        <v>46367</v>
      </c>
      <c r="N34437" t="str">
        <f>IF(M34437="","",'Master Barang'!A31)</f>
        <v>PRL-030</v>
      </c>
      <c r="O34437" t="str">
        <f>IF(N34437="","",'Master Barang'!B31)</f>
        <v>klip plastik 25x16 100 pcs</v>
      </c>
      <c r="P34437">
        <f>IF(OR(M34437="",N34437=""),"",SUMIFS('Barang Keluar'!$E:$E,'Barang Keluar'!$A:$A,M34437,'Barang Keluar'!$C:$C,N34437))</f>
        <v>0</v>
      </c>
    </row>
    <row r="34438" spans="13:16">
      <c r="M34438" s="49">
        <f>IF($A$4+344&gt;$B$4,"",$A$4+344)</f>
        <v>46367</v>
      </c>
      <c r="N34438" t="str">
        <f>IF(M34438="","",'Master Barang'!A32)</f>
        <v>PRL-031</v>
      </c>
      <c r="O34438" t="str">
        <f>IF(N34438="","",'Master Barang'!B32)</f>
        <v>tempat saus 20 ml</v>
      </c>
      <c r="P34438">
        <f>IF(OR(M34438="",N34438=""),"",SUMIFS('Barang Keluar'!$E:$E,'Barang Keluar'!$A:$A,M34438,'Barang Keluar'!$C:$C,N34438))</f>
        <v>0</v>
      </c>
    </row>
    <row r="34439" spans="13:16">
      <c r="M34439" s="49">
        <f>IF($A$4+344&gt;$B$4,"",$A$4+344)</f>
        <v>46367</v>
      </c>
      <c r="N34439" t="str">
        <f>IF(M34439="","",'Master Barang'!A33)</f>
        <v>PRL-032</v>
      </c>
      <c r="O34439" t="str">
        <f>IF(N34439="","",'Master Barang'!B33)</f>
        <v>plastik packaging ag box uk sedang</v>
      </c>
      <c r="P34439">
        <f>IF(OR(M34439="",N34439=""),"",SUMIFS('Barang Keluar'!$E:$E,'Barang Keluar'!$A:$A,M34439,'Barang Keluar'!$C:$C,N34439))</f>
        <v>0</v>
      </c>
    </row>
    <row r="34440" spans="13:16">
      <c r="M34440" s="49">
        <f>IF($A$4+344&gt;$B$4,"",$A$4+344)</f>
        <v>46367</v>
      </c>
      <c r="N34440" t="str">
        <f>IF(M34440="","",'Master Barang'!A34)</f>
        <v>PRL-033</v>
      </c>
      <c r="O34440">
        <f>IF(N34440="","",'Master Barang'!B34)</f>
        <v>0</v>
      </c>
      <c r="P34440">
        <f>IF(OR(M34440="",N34440=""),"",SUMIFS('Barang Keluar'!$E:$E,'Barang Keluar'!$A:$A,M34440,'Barang Keluar'!$C:$C,N34440))</f>
        <v>0</v>
      </c>
    </row>
    <row r="34441" spans="13:16">
      <c r="M34441" s="49">
        <f>IF($A$4+344&gt;$B$4,"",$A$4+344)</f>
        <v>46367</v>
      </c>
      <c r="N34441">
        <f>IF(M34441="","",'Master Barang'!A35)</f>
        <v>0</v>
      </c>
      <c r="O34441">
        <f>IF(N34441="","",'Master Barang'!B35)</f>
        <v>0</v>
      </c>
      <c r="P34441">
        <f>IF(OR(M34441="",N34441=""),"",SUMIFS('Barang Keluar'!$E:$E,'Barang Keluar'!$A:$A,M34441,'Barang Keluar'!$C:$C,N34441))</f>
        <v>0</v>
      </c>
    </row>
    <row r="34442" spans="13:16">
      <c r="M34442" s="49">
        <f>IF($A$4+344&gt;$B$4,"",$A$4+344)</f>
        <v>46367</v>
      </c>
      <c r="N34442">
        <f>IF(M34442="","",'Master Barang'!A36)</f>
        <v>0</v>
      </c>
      <c r="O34442">
        <f>IF(N34442="","",'Master Barang'!B36)</f>
        <v>0</v>
      </c>
      <c r="P34442">
        <f>IF(OR(M34442="",N34442=""),"",SUMIFS('Barang Keluar'!$E:$E,'Barang Keluar'!$A:$A,M34442,'Barang Keluar'!$C:$C,N34442))</f>
        <v>0</v>
      </c>
    </row>
    <row r="34443" spans="13:16">
      <c r="M34443" s="49">
        <f>IF($A$4+344&gt;$B$4,"",$A$4+344)</f>
        <v>46367</v>
      </c>
      <c r="N34443">
        <f>IF(M34443="","",'Master Barang'!A37)</f>
        <v>0</v>
      </c>
      <c r="O34443">
        <f>IF(N34443="","",'Master Barang'!B37)</f>
        <v>0</v>
      </c>
      <c r="P34443">
        <f>IF(OR(M34443="",N34443=""),"",SUMIFS('Barang Keluar'!$E:$E,'Barang Keluar'!$A:$A,M34443,'Barang Keluar'!$C:$C,N34443))</f>
        <v>0</v>
      </c>
    </row>
    <row r="34444" spans="13:16">
      <c r="M34444" s="49">
        <f>IF($A$4+344&gt;$B$4,"",$A$4+344)</f>
        <v>46367</v>
      </c>
      <c r="N34444">
        <f>IF(M34444="","",'Master Barang'!A38)</f>
        <v>0</v>
      </c>
      <c r="O34444">
        <f>IF(N34444="","",'Master Barang'!B38)</f>
        <v>0</v>
      </c>
      <c r="P34444">
        <f>IF(OR(M34444="",N34444=""),"",SUMIFS('Barang Keluar'!$E:$E,'Barang Keluar'!$A:$A,M34444,'Barang Keluar'!$C:$C,N34444))</f>
        <v>0</v>
      </c>
    </row>
    <row r="34445" spans="13:16">
      <c r="M34445" s="49">
        <f>IF($A$4+344&gt;$B$4,"",$A$4+344)</f>
        <v>46367</v>
      </c>
      <c r="N34445">
        <f>IF(M34445="","",'Master Barang'!A39)</f>
        <v>0</v>
      </c>
      <c r="O34445">
        <f>IF(N34445="","",'Master Barang'!B39)</f>
        <v>0</v>
      </c>
      <c r="P34445">
        <f>IF(OR(M34445="",N34445=""),"",SUMIFS('Barang Keluar'!$E:$E,'Barang Keluar'!$A:$A,M34445,'Barang Keluar'!$C:$C,N34445))</f>
        <v>0</v>
      </c>
    </row>
    <row r="34446" spans="13:16">
      <c r="M34446" s="49">
        <f>IF($A$4+344&gt;$B$4,"",$A$4+344)</f>
        <v>46367</v>
      </c>
      <c r="N34446">
        <f>IF(M34446="","",'Master Barang'!A40)</f>
        <v>0</v>
      </c>
      <c r="O34446">
        <f>IF(N34446="","",'Master Barang'!B40)</f>
        <v>0</v>
      </c>
      <c r="P34446">
        <f>IF(OR(M34446="",N34446=""),"",SUMIFS('Barang Keluar'!$E:$E,'Barang Keluar'!$A:$A,M34446,'Barang Keluar'!$C:$C,N34446))</f>
        <v>0</v>
      </c>
    </row>
    <row r="34447" spans="13:16">
      <c r="M34447" s="49">
        <f>IF($A$4+344&gt;$B$4,"",$A$4+344)</f>
        <v>46367</v>
      </c>
      <c r="N34447">
        <f>IF(M34447="","",'Master Barang'!A41)</f>
        <v>0</v>
      </c>
      <c r="O34447">
        <f>IF(N34447="","",'Master Barang'!B41)</f>
        <v>0</v>
      </c>
      <c r="P34447">
        <f>IF(OR(M34447="",N34447=""),"",SUMIFS('Barang Keluar'!$E:$E,'Barang Keluar'!$A:$A,M34447,'Barang Keluar'!$C:$C,N34447))</f>
        <v>0</v>
      </c>
    </row>
    <row r="34448" spans="13:16">
      <c r="M34448" s="49">
        <f>IF($A$4+344&gt;$B$4,"",$A$4+344)</f>
        <v>46367</v>
      </c>
      <c r="N34448">
        <f>IF(M34448="","",'Master Barang'!A42)</f>
        <v>0</v>
      </c>
      <c r="O34448">
        <f>IF(N34448="","",'Master Barang'!B42)</f>
        <v>0</v>
      </c>
      <c r="P34448">
        <f>IF(OR(M34448="",N34448=""),"",SUMIFS('Barang Keluar'!$E:$E,'Barang Keluar'!$A:$A,M34448,'Barang Keluar'!$C:$C,N34448))</f>
        <v>0</v>
      </c>
    </row>
    <row r="34449" spans="13:16">
      <c r="M34449" s="49">
        <f>IF($A$4+344&gt;$B$4,"",$A$4+344)</f>
        <v>46367</v>
      </c>
      <c r="N34449">
        <f>IF(M34449="","",'Master Barang'!A43)</f>
        <v>0</v>
      </c>
      <c r="O34449">
        <f>IF(N34449="","",'Master Barang'!B43)</f>
        <v>0</v>
      </c>
      <c r="P34449">
        <f>IF(OR(M34449="",N34449=""),"",SUMIFS('Barang Keluar'!$E:$E,'Barang Keluar'!$A:$A,M34449,'Barang Keluar'!$C:$C,N34449))</f>
        <v>0</v>
      </c>
    </row>
    <row r="34450" spans="13:16">
      <c r="M34450" s="49">
        <f>IF($A$4+344&gt;$B$4,"",$A$4+344)</f>
        <v>46367</v>
      </c>
      <c r="N34450">
        <f>IF(M34450="","",'Master Barang'!A44)</f>
        <v>0</v>
      </c>
      <c r="O34450">
        <f>IF(N34450="","",'Master Barang'!B44)</f>
        <v>0</v>
      </c>
      <c r="P34450">
        <f>IF(OR(M34450="",N34450=""),"",SUMIFS('Barang Keluar'!$E:$E,'Barang Keluar'!$A:$A,M34450,'Barang Keluar'!$C:$C,N34450))</f>
        <v>0</v>
      </c>
    </row>
    <row r="34451" spans="13:16">
      <c r="M34451" s="49">
        <f>IF($A$4+344&gt;$B$4,"",$A$4+344)</f>
        <v>46367</v>
      </c>
      <c r="N34451">
        <f>IF(M34451="","",'Master Barang'!A45)</f>
        <v>0</v>
      </c>
      <c r="O34451">
        <f>IF(N34451="","",'Master Barang'!B45)</f>
        <v>0</v>
      </c>
      <c r="P34451">
        <f>IF(OR(M34451="",N34451=""),"",SUMIFS('Barang Keluar'!$E:$E,'Barang Keluar'!$A:$A,M34451,'Barang Keluar'!$C:$C,N34451))</f>
        <v>0</v>
      </c>
    </row>
    <row r="34452" spans="13:16">
      <c r="M34452" s="49">
        <f>IF($A$4+344&gt;$B$4,"",$A$4+344)</f>
        <v>46367</v>
      </c>
      <c r="N34452">
        <f>IF(M34452="","",'Master Barang'!A46)</f>
        <v>0</v>
      </c>
      <c r="O34452">
        <f>IF(N34452="","",'Master Barang'!B46)</f>
        <v>0</v>
      </c>
      <c r="P34452">
        <f>IF(OR(M34452="",N34452=""),"",SUMIFS('Barang Keluar'!$E:$E,'Barang Keluar'!$A:$A,M34452,'Barang Keluar'!$C:$C,N34452))</f>
        <v>0</v>
      </c>
    </row>
    <row r="34453" spans="13:16">
      <c r="M34453" s="49">
        <f>IF($A$4+344&gt;$B$4,"",$A$4+344)</f>
        <v>46367</v>
      </c>
      <c r="N34453">
        <f>IF(M34453="","",'Master Barang'!A47)</f>
        <v>0</v>
      </c>
      <c r="O34453">
        <f>IF(N34453="","",'Master Barang'!B47)</f>
        <v>0</v>
      </c>
      <c r="P34453">
        <f>IF(OR(M34453="",N34453=""),"",SUMIFS('Barang Keluar'!$E:$E,'Barang Keluar'!$A:$A,M34453,'Barang Keluar'!$C:$C,N34453))</f>
        <v>0</v>
      </c>
    </row>
    <row r="34454" spans="13:16">
      <c r="M34454" s="49">
        <f>IF($A$4+344&gt;$B$4,"",$A$4+344)</f>
        <v>46367</v>
      </c>
      <c r="N34454">
        <f>IF(M34454="","",'Master Barang'!A48)</f>
        <v>0</v>
      </c>
      <c r="O34454">
        <f>IF(N34454="","",'Master Barang'!B48)</f>
        <v>0</v>
      </c>
      <c r="P34454">
        <f>IF(OR(M34454="",N34454=""),"",SUMIFS('Barang Keluar'!$E:$E,'Barang Keluar'!$A:$A,M34454,'Barang Keluar'!$C:$C,N34454))</f>
        <v>0</v>
      </c>
    </row>
    <row r="34455" spans="13:16">
      <c r="M34455" s="49">
        <f>IF($A$4+344&gt;$B$4,"",$A$4+344)</f>
        <v>46367</v>
      </c>
      <c r="N34455">
        <f>IF(M34455="","",'Master Barang'!A49)</f>
        <v>0</v>
      </c>
      <c r="O34455">
        <f>IF(N34455="","",'Master Barang'!B49)</f>
        <v>0</v>
      </c>
      <c r="P34455">
        <f>IF(OR(M34455="",N34455=""),"",SUMIFS('Barang Keluar'!$E:$E,'Barang Keluar'!$A:$A,M34455,'Barang Keluar'!$C:$C,N34455))</f>
        <v>0</v>
      </c>
    </row>
    <row r="34456" spans="13:16">
      <c r="M34456" s="49">
        <f>IF($A$4+344&gt;$B$4,"",$A$4+344)</f>
        <v>46367</v>
      </c>
      <c r="N34456">
        <f>IF(M34456="","",'Master Barang'!A50)</f>
        <v>0</v>
      </c>
      <c r="O34456">
        <f>IF(N34456="","",'Master Barang'!B50)</f>
        <v>0</v>
      </c>
      <c r="P34456">
        <f>IF(OR(M34456="",N34456=""),"",SUMIFS('Barang Keluar'!$E:$E,'Barang Keluar'!$A:$A,M34456,'Barang Keluar'!$C:$C,N34456))</f>
        <v>0</v>
      </c>
    </row>
    <row r="34457" spans="13:16">
      <c r="M34457" s="49">
        <f>IF($A$4+344&gt;$B$4,"",$A$4+344)</f>
        <v>46367</v>
      </c>
      <c r="N34457">
        <f>IF(M34457="","",'Master Barang'!A51)</f>
        <v>0</v>
      </c>
      <c r="O34457">
        <f>IF(N34457="","",'Master Barang'!B51)</f>
        <v>0</v>
      </c>
      <c r="P34457">
        <f>IF(OR(M34457="",N34457=""),"",SUMIFS('Barang Keluar'!$E:$E,'Barang Keluar'!$A:$A,M34457,'Barang Keluar'!$C:$C,N34457))</f>
        <v>0</v>
      </c>
    </row>
    <row r="34458" spans="13:16">
      <c r="M34458" s="49">
        <f>IF($A$4+344&gt;$B$4,"",$A$4+344)</f>
        <v>46367</v>
      </c>
      <c r="N34458">
        <f>IF(M34458="","",'Master Barang'!A52)</f>
        <v>0</v>
      </c>
      <c r="O34458">
        <f>IF(N34458="","",'Master Barang'!B52)</f>
        <v>0</v>
      </c>
      <c r="P34458">
        <f>IF(OR(M34458="",N34458=""),"",SUMIFS('Barang Keluar'!$E:$E,'Barang Keluar'!$A:$A,M34458,'Barang Keluar'!$C:$C,N34458))</f>
        <v>0</v>
      </c>
    </row>
    <row r="34459" spans="13:16">
      <c r="M34459" s="49">
        <f>IF($A$4+344&gt;$B$4,"",$A$4+344)</f>
        <v>46367</v>
      </c>
      <c r="N34459">
        <f>IF(M34459="","",'Master Barang'!A53)</f>
        <v>0</v>
      </c>
      <c r="O34459">
        <f>IF(N34459="","",'Master Barang'!B53)</f>
        <v>0</v>
      </c>
      <c r="P34459">
        <f>IF(OR(M34459="",N34459=""),"",SUMIFS('Barang Keluar'!$E:$E,'Barang Keluar'!$A:$A,M34459,'Barang Keluar'!$C:$C,N34459))</f>
        <v>0</v>
      </c>
    </row>
    <row r="34460" spans="13:16">
      <c r="M34460" s="49">
        <f>IF($A$4+344&gt;$B$4,"",$A$4+344)</f>
        <v>46367</v>
      </c>
      <c r="N34460">
        <f>IF(M34460="","",'Master Barang'!A54)</f>
        <v>0</v>
      </c>
      <c r="O34460">
        <f>IF(N34460="","",'Master Barang'!B54)</f>
        <v>0</v>
      </c>
      <c r="P34460">
        <f>IF(OR(M34460="",N34460=""),"",SUMIFS('Barang Keluar'!$E:$E,'Barang Keluar'!$A:$A,M34460,'Barang Keluar'!$C:$C,N34460))</f>
        <v>0</v>
      </c>
    </row>
    <row r="34461" spans="13:16">
      <c r="M34461" s="49">
        <f>IF($A$4+344&gt;$B$4,"",$A$4+344)</f>
        <v>46367</v>
      </c>
      <c r="N34461">
        <f>IF(M34461="","",'Master Barang'!A55)</f>
        <v>0</v>
      </c>
      <c r="O34461">
        <f>IF(N34461="","",'Master Barang'!B55)</f>
        <v>0</v>
      </c>
      <c r="P34461">
        <f>IF(OR(M34461="",N34461=""),"",SUMIFS('Barang Keluar'!$E:$E,'Barang Keluar'!$A:$A,M34461,'Barang Keluar'!$C:$C,N34461))</f>
        <v>0</v>
      </c>
    </row>
    <row r="34462" spans="13:16">
      <c r="M34462" s="49">
        <f>IF($A$4+344&gt;$B$4,"",$A$4+344)</f>
        <v>46367</v>
      </c>
      <c r="N34462">
        <f>IF(M34462="","",'Master Barang'!A56)</f>
        <v>0</v>
      </c>
      <c r="O34462">
        <f>IF(N34462="","",'Master Barang'!B56)</f>
        <v>0</v>
      </c>
      <c r="P34462">
        <f>IF(OR(M34462="",N34462=""),"",SUMIFS('Barang Keluar'!$E:$E,'Barang Keluar'!$A:$A,M34462,'Barang Keluar'!$C:$C,N34462))</f>
        <v>0</v>
      </c>
    </row>
    <row r="34463" spans="13:16">
      <c r="M34463" s="49">
        <f>IF($A$4+344&gt;$B$4,"",$A$4+344)</f>
        <v>46367</v>
      </c>
      <c r="N34463">
        <f>IF(M34463="","",'Master Barang'!A57)</f>
        <v>0</v>
      </c>
      <c r="O34463">
        <f>IF(N34463="","",'Master Barang'!B57)</f>
        <v>0</v>
      </c>
      <c r="P34463">
        <f>IF(OR(M34463="",N34463=""),"",SUMIFS('Barang Keluar'!$E:$E,'Barang Keluar'!$A:$A,M34463,'Barang Keluar'!$C:$C,N34463))</f>
        <v>0</v>
      </c>
    </row>
    <row r="34464" spans="13:16">
      <c r="M34464" s="49">
        <f>IF($A$4+344&gt;$B$4,"",$A$4+344)</f>
        <v>46367</v>
      </c>
      <c r="N34464">
        <f>IF(M34464="","",'Master Barang'!A58)</f>
        <v>0</v>
      </c>
      <c r="O34464">
        <f>IF(N34464="","",'Master Barang'!B58)</f>
        <v>0</v>
      </c>
      <c r="P34464">
        <f>IF(OR(M34464="",N34464=""),"",SUMIFS('Barang Keluar'!$E:$E,'Barang Keluar'!$A:$A,M34464,'Barang Keluar'!$C:$C,N34464))</f>
        <v>0</v>
      </c>
    </row>
    <row r="34465" spans="13:16">
      <c r="M34465" s="49">
        <f>IF($A$4+344&gt;$B$4,"",$A$4+344)</f>
        <v>46367</v>
      </c>
      <c r="N34465">
        <f>IF(M34465="","",'Master Barang'!A59)</f>
        <v>0</v>
      </c>
      <c r="O34465">
        <f>IF(N34465="","",'Master Barang'!B59)</f>
        <v>0</v>
      </c>
      <c r="P34465">
        <f>IF(OR(M34465="",N34465=""),"",SUMIFS('Barang Keluar'!$E:$E,'Barang Keluar'!$A:$A,M34465,'Barang Keluar'!$C:$C,N34465))</f>
        <v>0</v>
      </c>
    </row>
    <row r="34466" spans="13:16">
      <c r="M34466" s="49">
        <f>IF($A$4+344&gt;$B$4,"",$A$4+344)</f>
        <v>46367</v>
      </c>
      <c r="N34466">
        <f>IF(M34466="","",'Master Barang'!A60)</f>
        <v>0</v>
      </c>
      <c r="O34466">
        <f>IF(N34466="","",'Master Barang'!B60)</f>
        <v>0</v>
      </c>
      <c r="P34466">
        <f>IF(OR(M34466="",N34466=""),"",SUMIFS('Barang Keluar'!$E:$E,'Barang Keluar'!$A:$A,M34466,'Barang Keluar'!$C:$C,N34466))</f>
        <v>0</v>
      </c>
    </row>
    <row r="34467" spans="13:16">
      <c r="M34467" s="49">
        <f>IF($A$4+344&gt;$B$4,"",$A$4+344)</f>
        <v>46367</v>
      </c>
      <c r="N34467">
        <f>IF(M34467="","",'Master Barang'!A61)</f>
        <v>0</v>
      </c>
      <c r="O34467">
        <f>IF(N34467="","",'Master Barang'!B61)</f>
        <v>0</v>
      </c>
      <c r="P34467">
        <f>IF(OR(M34467="",N34467=""),"",SUMIFS('Barang Keluar'!$E:$E,'Barang Keluar'!$A:$A,M34467,'Barang Keluar'!$C:$C,N34467))</f>
        <v>0</v>
      </c>
    </row>
    <row r="34468" spans="13:16">
      <c r="M34468" s="49">
        <f>IF($A$4+344&gt;$B$4,"",$A$4+344)</f>
        <v>46367</v>
      </c>
      <c r="N34468">
        <f>IF(M34468="","",'Master Barang'!A62)</f>
        <v>0</v>
      </c>
      <c r="O34468">
        <f>IF(N34468="","",'Master Barang'!B62)</f>
        <v>0</v>
      </c>
      <c r="P34468">
        <f>IF(OR(M34468="",N34468=""),"",SUMIFS('Barang Keluar'!$E:$E,'Barang Keluar'!$A:$A,M34468,'Barang Keluar'!$C:$C,N34468))</f>
        <v>0</v>
      </c>
    </row>
    <row r="34469" spans="13:16">
      <c r="M34469" s="49">
        <f>IF($A$4+344&gt;$B$4,"",$A$4+344)</f>
        <v>46367</v>
      </c>
      <c r="N34469">
        <f>IF(M34469="","",'Master Barang'!A63)</f>
        <v>0</v>
      </c>
      <c r="O34469">
        <f>IF(N34469="","",'Master Barang'!B63)</f>
        <v>0</v>
      </c>
      <c r="P34469">
        <f>IF(OR(M34469="",N34469=""),"",SUMIFS('Barang Keluar'!$E:$E,'Barang Keluar'!$A:$A,M34469,'Barang Keluar'!$C:$C,N34469))</f>
        <v>0</v>
      </c>
    </row>
    <row r="34470" spans="13:16">
      <c r="M34470" s="49">
        <f>IF($A$4+344&gt;$B$4,"",$A$4+344)</f>
        <v>46367</v>
      </c>
      <c r="N34470">
        <f>IF(M34470="","",'Master Barang'!A64)</f>
        <v>0</v>
      </c>
      <c r="O34470">
        <f>IF(N34470="","",'Master Barang'!B64)</f>
        <v>0</v>
      </c>
      <c r="P34470">
        <f>IF(OR(M34470="",N34470=""),"",SUMIFS('Barang Keluar'!$E:$E,'Barang Keluar'!$A:$A,M34470,'Barang Keluar'!$C:$C,N34470))</f>
        <v>0</v>
      </c>
    </row>
    <row r="34471" spans="13:16">
      <c r="M34471" s="49">
        <f>IF($A$4+344&gt;$B$4,"",$A$4+344)</f>
        <v>46367</v>
      </c>
      <c r="N34471">
        <f>IF(M34471="","",'Master Barang'!A65)</f>
        <v>0</v>
      </c>
      <c r="O34471">
        <f>IF(N34471="","",'Master Barang'!B65)</f>
        <v>0</v>
      </c>
      <c r="P34471">
        <f>IF(OR(M34471="",N34471=""),"",SUMIFS('Barang Keluar'!$E:$E,'Barang Keluar'!$A:$A,M34471,'Barang Keluar'!$C:$C,N34471))</f>
        <v>0</v>
      </c>
    </row>
    <row r="34472" spans="13:16">
      <c r="M34472" s="49">
        <f>IF($A$4+344&gt;$B$4,"",$A$4+344)</f>
        <v>46367</v>
      </c>
      <c r="N34472">
        <f>IF(M34472="","",'Master Barang'!A66)</f>
        <v>0</v>
      </c>
      <c r="O34472">
        <f>IF(N34472="","",'Master Barang'!B66)</f>
        <v>0</v>
      </c>
      <c r="P34472">
        <f>IF(OR(M34472="",N34472=""),"",SUMIFS('Barang Keluar'!$E:$E,'Barang Keluar'!$A:$A,M34472,'Barang Keluar'!$C:$C,N34472))</f>
        <v>0</v>
      </c>
    </row>
    <row r="34473" spans="13:16">
      <c r="M34473" s="49">
        <f>IF($A$4+344&gt;$B$4,"",$A$4+344)</f>
        <v>46367</v>
      </c>
      <c r="N34473">
        <f>IF(M34473="","",'Master Barang'!A67)</f>
        <v>0</v>
      </c>
      <c r="O34473">
        <f>IF(N34473="","",'Master Barang'!B67)</f>
        <v>0</v>
      </c>
      <c r="P34473">
        <f>IF(OR(M34473="",N34473=""),"",SUMIFS('Barang Keluar'!$E:$E,'Barang Keluar'!$A:$A,M34473,'Barang Keluar'!$C:$C,N34473))</f>
        <v>0</v>
      </c>
    </row>
    <row r="34474" spans="13:16">
      <c r="M34474" s="49">
        <f>IF($A$4+344&gt;$B$4,"",$A$4+344)</f>
        <v>46367</v>
      </c>
      <c r="N34474">
        <f>IF(M34474="","",'Master Barang'!A68)</f>
        <v>0</v>
      </c>
      <c r="O34474">
        <f>IF(N34474="","",'Master Barang'!B68)</f>
        <v>0</v>
      </c>
      <c r="P34474">
        <f>IF(OR(M34474="",N34474=""),"",SUMIFS('Barang Keluar'!$E:$E,'Barang Keluar'!$A:$A,M34474,'Barang Keluar'!$C:$C,N34474))</f>
        <v>0</v>
      </c>
    </row>
    <row r="34475" spans="13:16">
      <c r="M34475" s="49">
        <f>IF($A$4+344&gt;$B$4,"",$A$4+344)</f>
        <v>46367</v>
      </c>
      <c r="N34475">
        <f>IF(M34475="","",'Master Barang'!A69)</f>
        <v>0</v>
      </c>
      <c r="O34475">
        <f>IF(N34475="","",'Master Barang'!B69)</f>
        <v>0</v>
      </c>
      <c r="P34475">
        <f>IF(OR(M34475="",N34475=""),"",SUMIFS('Barang Keluar'!$E:$E,'Barang Keluar'!$A:$A,M34475,'Barang Keluar'!$C:$C,N34475))</f>
        <v>0</v>
      </c>
    </row>
    <row r="34476" spans="13:16">
      <c r="M34476" s="49">
        <f>IF($A$4+344&gt;$B$4,"",$A$4+344)</f>
        <v>46367</v>
      </c>
      <c r="N34476">
        <f>IF(M34476="","",'Master Barang'!A70)</f>
        <v>0</v>
      </c>
      <c r="O34476">
        <f>IF(N34476="","",'Master Barang'!B70)</f>
        <v>0</v>
      </c>
      <c r="P34476">
        <f>IF(OR(M34476="",N34476=""),"",SUMIFS('Barang Keluar'!$E:$E,'Barang Keluar'!$A:$A,M34476,'Barang Keluar'!$C:$C,N34476))</f>
        <v>0</v>
      </c>
    </row>
    <row r="34477" spans="13:16">
      <c r="M34477" s="49">
        <f>IF($A$4+344&gt;$B$4,"",$A$4+344)</f>
        <v>46367</v>
      </c>
      <c r="N34477">
        <f>IF(M34477="","",'Master Barang'!A71)</f>
        <v>0</v>
      </c>
      <c r="O34477">
        <f>IF(N34477="","",'Master Barang'!B71)</f>
        <v>0</v>
      </c>
      <c r="P34477">
        <f>IF(OR(M34477="",N34477=""),"",SUMIFS('Barang Keluar'!$E:$E,'Barang Keluar'!$A:$A,M34477,'Barang Keluar'!$C:$C,N34477))</f>
        <v>0</v>
      </c>
    </row>
    <row r="34478" spans="13:16">
      <c r="M34478" s="49">
        <f>IF($A$4+344&gt;$B$4,"",$A$4+344)</f>
        <v>46367</v>
      </c>
      <c r="N34478">
        <f>IF(M34478="","",'Master Barang'!A72)</f>
        <v>0</v>
      </c>
      <c r="O34478">
        <f>IF(N34478="","",'Master Barang'!B72)</f>
        <v>0</v>
      </c>
      <c r="P34478">
        <f>IF(OR(M34478="",N34478=""),"",SUMIFS('Barang Keluar'!$E:$E,'Barang Keluar'!$A:$A,M34478,'Barang Keluar'!$C:$C,N34478))</f>
        <v>0</v>
      </c>
    </row>
    <row r="34479" spans="13:16">
      <c r="M34479" s="49">
        <f>IF($A$4+344&gt;$B$4,"",$A$4+344)</f>
        <v>46367</v>
      </c>
      <c r="N34479">
        <f>IF(M34479="","",'Master Barang'!A73)</f>
        <v>0</v>
      </c>
      <c r="O34479">
        <f>IF(N34479="","",'Master Barang'!B73)</f>
        <v>0</v>
      </c>
      <c r="P34479">
        <f>IF(OR(M34479="",N34479=""),"",SUMIFS('Barang Keluar'!$E:$E,'Barang Keluar'!$A:$A,M34479,'Barang Keluar'!$C:$C,N34479))</f>
        <v>0</v>
      </c>
    </row>
    <row r="34480" spans="13:16">
      <c r="M34480" s="49">
        <f>IF($A$4+344&gt;$B$4,"",$A$4+344)</f>
        <v>46367</v>
      </c>
      <c r="N34480">
        <f>IF(M34480="","",'Master Barang'!A74)</f>
        <v>0</v>
      </c>
      <c r="O34480">
        <f>IF(N34480="","",'Master Barang'!B74)</f>
        <v>0</v>
      </c>
      <c r="P34480">
        <f>IF(OR(M34480="",N34480=""),"",SUMIFS('Barang Keluar'!$E:$E,'Barang Keluar'!$A:$A,M34480,'Barang Keluar'!$C:$C,N34480))</f>
        <v>0</v>
      </c>
    </row>
    <row r="34481" spans="13:16">
      <c r="M34481" s="49">
        <f>IF($A$4+344&gt;$B$4,"",$A$4+344)</f>
        <v>46367</v>
      </c>
      <c r="N34481">
        <f>IF(M34481="","",'Master Barang'!A75)</f>
        <v>0</v>
      </c>
      <c r="O34481">
        <f>IF(N34481="","",'Master Barang'!B75)</f>
        <v>0</v>
      </c>
      <c r="P34481">
        <f>IF(OR(M34481="",N34481=""),"",SUMIFS('Barang Keluar'!$E:$E,'Barang Keluar'!$A:$A,M34481,'Barang Keluar'!$C:$C,N34481))</f>
        <v>0</v>
      </c>
    </row>
    <row r="34482" spans="13:16">
      <c r="M34482" s="49">
        <f>IF($A$4+344&gt;$B$4,"",$A$4+344)</f>
        <v>46367</v>
      </c>
      <c r="N34482">
        <f>IF(M34482="","",'Master Barang'!A76)</f>
        <v>0</v>
      </c>
      <c r="O34482">
        <f>IF(N34482="","",'Master Barang'!B76)</f>
        <v>0</v>
      </c>
      <c r="P34482">
        <f>IF(OR(M34482="",N34482=""),"",SUMIFS('Barang Keluar'!$E:$E,'Barang Keluar'!$A:$A,M34482,'Barang Keluar'!$C:$C,N34482))</f>
        <v>0</v>
      </c>
    </row>
    <row r="34483" spans="13:16">
      <c r="M34483" s="49">
        <f>IF($A$4+344&gt;$B$4,"",$A$4+344)</f>
        <v>46367</v>
      </c>
      <c r="N34483">
        <f>IF(M34483="","",'Master Barang'!A77)</f>
        <v>0</v>
      </c>
      <c r="O34483">
        <f>IF(N34483="","",'Master Barang'!B77)</f>
        <v>0</v>
      </c>
      <c r="P34483">
        <f>IF(OR(M34483="",N34483=""),"",SUMIFS('Barang Keluar'!$E:$E,'Barang Keluar'!$A:$A,M34483,'Barang Keluar'!$C:$C,N34483))</f>
        <v>0</v>
      </c>
    </row>
    <row r="34484" spans="13:16">
      <c r="M34484" s="49">
        <f>IF($A$4+344&gt;$B$4,"",$A$4+344)</f>
        <v>46367</v>
      </c>
      <c r="N34484">
        <f>IF(M34484="","",'Master Barang'!A78)</f>
        <v>0</v>
      </c>
      <c r="O34484">
        <f>IF(N34484="","",'Master Barang'!B78)</f>
        <v>0</v>
      </c>
      <c r="P34484">
        <f>IF(OR(M34484="",N34484=""),"",SUMIFS('Barang Keluar'!$E:$E,'Barang Keluar'!$A:$A,M34484,'Barang Keluar'!$C:$C,N34484))</f>
        <v>0</v>
      </c>
    </row>
    <row r="34485" spans="13:16">
      <c r="M34485" s="49">
        <f>IF($A$4+344&gt;$B$4,"",$A$4+344)</f>
        <v>46367</v>
      </c>
      <c r="N34485">
        <f>IF(M34485="","",'Master Barang'!A79)</f>
        <v>0</v>
      </c>
      <c r="O34485">
        <f>IF(N34485="","",'Master Barang'!B79)</f>
        <v>0</v>
      </c>
      <c r="P34485">
        <f>IF(OR(M34485="",N34485=""),"",SUMIFS('Barang Keluar'!$E:$E,'Barang Keluar'!$A:$A,M34485,'Barang Keluar'!$C:$C,N34485))</f>
        <v>0</v>
      </c>
    </row>
    <row r="34486" spans="13:16">
      <c r="M34486" s="49">
        <f>IF($A$4+344&gt;$B$4,"",$A$4+344)</f>
        <v>46367</v>
      </c>
      <c r="N34486">
        <f>IF(M34486="","",'Master Barang'!A80)</f>
        <v>0</v>
      </c>
      <c r="O34486">
        <f>IF(N34486="","",'Master Barang'!B80)</f>
        <v>0</v>
      </c>
      <c r="P34486">
        <f>IF(OR(M34486="",N34486=""),"",SUMIFS('Barang Keluar'!$E:$E,'Barang Keluar'!$A:$A,M34486,'Barang Keluar'!$C:$C,N34486))</f>
        <v>0</v>
      </c>
    </row>
    <row r="34487" spans="13:16">
      <c r="M34487" s="49">
        <f>IF($A$4+344&gt;$B$4,"",$A$4+344)</f>
        <v>46367</v>
      </c>
      <c r="N34487">
        <f>IF(M34487="","",'Master Barang'!A81)</f>
        <v>0</v>
      </c>
      <c r="O34487">
        <f>IF(N34487="","",'Master Barang'!B81)</f>
        <v>0</v>
      </c>
      <c r="P34487">
        <f>IF(OR(M34487="",N34487=""),"",SUMIFS('Barang Keluar'!$E:$E,'Barang Keluar'!$A:$A,M34487,'Barang Keluar'!$C:$C,N34487))</f>
        <v>0</v>
      </c>
    </row>
    <row r="34488" spans="13:16">
      <c r="M34488" s="49">
        <f>IF($A$4+344&gt;$B$4,"",$A$4+344)</f>
        <v>46367</v>
      </c>
      <c r="N34488">
        <f>IF(M34488="","",'Master Barang'!A82)</f>
        <v>0</v>
      </c>
      <c r="O34488">
        <f>IF(N34488="","",'Master Barang'!B82)</f>
        <v>0</v>
      </c>
      <c r="P34488">
        <f>IF(OR(M34488="",N34488=""),"",SUMIFS('Barang Keluar'!$E:$E,'Barang Keluar'!$A:$A,M34488,'Barang Keluar'!$C:$C,N34488))</f>
        <v>0</v>
      </c>
    </row>
    <row r="34489" spans="13:16">
      <c r="M34489" s="49">
        <f>IF($A$4+344&gt;$B$4,"",$A$4+344)</f>
        <v>46367</v>
      </c>
      <c r="N34489">
        <f>IF(M34489="","",'Master Barang'!A83)</f>
        <v>0</v>
      </c>
      <c r="O34489">
        <f>IF(N34489="","",'Master Barang'!B83)</f>
        <v>0</v>
      </c>
      <c r="P34489">
        <f>IF(OR(M34489="",N34489=""),"",SUMIFS('Barang Keluar'!$E:$E,'Barang Keluar'!$A:$A,M34489,'Barang Keluar'!$C:$C,N34489))</f>
        <v>0</v>
      </c>
    </row>
    <row r="34490" spans="13:16">
      <c r="M34490" s="49">
        <f>IF($A$4+344&gt;$B$4,"",$A$4+344)</f>
        <v>46367</v>
      </c>
      <c r="N34490">
        <f>IF(M34490="","",'Master Barang'!A84)</f>
        <v>0</v>
      </c>
      <c r="O34490">
        <f>IF(N34490="","",'Master Barang'!B84)</f>
        <v>0</v>
      </c>
      <c r="P34490">
        <f>IF(OR(M34490="",N34490=""),"",SUMIFS('Barang Keluar'!$E:$E,'Barang Keluar'!$A:$A,M34490,'Barang Keluar'!$C:$C,N34490))</f>
        <v>0</v>
      </c>
    </row>
    <row r="34491" spans="13:16">
      <c r="M34491" s="49">
        <f>IF($A$4+344&gt;$B$4,"",$A$4+344)</f>
        <v>46367</v>
      </c>
      <c r="N34491">
        <f>IF(M34491="","",'Master Barang'!A85)</f>
        <v>0</v>
      </c>
      <c r="O34491">
        <f>IF(N34491="","",'Master Barang'!B85)</f>
        <v>0</v>
      </c>
      <c r="P34491">
        <f>IF(OR(M34491="",N34491=""),"",SUMIFS('Barang Keluar'!$E:$E,'Barang Keluar'!$A:$A,M34491,'Barang Keluar'!$C:$C,N34491))</f>
        <v>0</v>
      </c>
    </row>
    <row r="34492" spans="13:16">
      <c r="M34492" s="49">
        <f>IF($A$4+344&gt;$B$4,"",$A$4+344)</f>
        <v>46367</v>
      </c>
      <c r="N34492">
        <f>IF(M34492="","",'Master Barang'!A86)</f>
        <v>0</v>
      </c>
      <c r="O34492">
        <f>IF(N34492="","",'Master Barang'!B86)</f>
        <v>0</v>
      </c>
      <c r="P34492">
        <f>IF(OR(M34492="",N34492=""),"",SUMIFS('Barang Keluar'!$E:$E,'Barang Keluar'!$A:$A,M34492,'Barang Keluar'!$C:$C,N34492))</f>
        <v>0</v>
      </c>
    </row>
    <row r="34493" spans="13:16">
      <c r="M34493" s="49">
        <f>IF($A$4+344&gt;$B$4,"",$A$4+344)</f>
        <v>46367</v>
      </c>
      <c r="N34493">
        <f>IF(M34493="","",'Master Barang'!A87)</f>
        <v>0</v>
      </c>
      <c r="O34493">
        <f>IF(N34493="","",'Master Barang'!B87)</f>
        <v>0</v>
      </c>
      <c r="P34493">
        <f>IF(OR(M34493="",N34493=""),"",SUMIFS('Barang Keluar'!$E:$E,'Barang Keluar'!$A:$A,M34493,'Barang Keluar'!$C:$C,N34493))</f>
        <v>0</v>
      </c>
    </row>
    <row r="34494" spans="13:16">
      <c r="M34494" s="49">
        <f>IF($A$4+344&gt;$B$4,"",$A$4+344)</f>
        <v>46367</v>
      </c>
      <c r="N34494">
        <f>IF(M34494="","",'Master Barang'!A88)</f>
        <v>0</v>
      </c>
      <c r="O34494">
        <f>IF(N34494="","",'Master Barang'!B88)</f>
        <v>0</v>
      </c>
      <c r="P34494">
        <f>IF(OR(M34494="",N34494=""),"",SUMIFS('Barang Keluar'!$E:$E,'Barang Keluar'!$A:$A,M34494,'Barang Keluar'!$C:$C,N34494))</f>
        <v>0</v>
      </c>
    </row>
    <row r="34495" spans="13:16">
      <c r="M34495" s="49">
        <f>IF($A$4+344&gt;$B$4,"",$A$4+344)</f>
        <v>46367</v>
      </c>
      <c r="N34495">
        <f>IF(M34495="","",'Master Barang'!A89)</f>
        <v>0</v>
      </c>
      <c r="O34495">
        <f>IF(N34495="","",'Master Barang'!B89)</f>
        <v>0</v>
      </c>
      <c r="P34495">
        <f>IF(OR(M34495="",N34495=""),"",SUMIFS('Barang Keluar'!$E:$E,'Barang Keluar'!$A:$A,M34495,'Barang Keluar'!$C:$C,N34495))</f>
        <v>0</v>
      </c>
    </row>
    <row r="34496" spans="13:16">
      <c r="M34496" s="49">
        <f>IF($A$4+344&gt;$B$4,"",$A$4+344)</f>
        <v>46367</v>
      </c>
      <c r="N34496">
        <f>IF(M34496="","",'Master Barang'!A90)</f>
        <v>0</v>
      </c>
      <c r="O34496">
        <f>IF(N34496="","",'Master Barang'!B90)</f>
        <v>0</v>
      </c>
      <c r="P34496">
        <f>IF(OR(M34496="",N34496=""),"",SUMIFS('Barang Keluar'!$E:$E,'Barang Keluar'!$A:$A,M34496,'Barang Keluar'!$C:$C,N34496))</f>
        <v>0</v>
      </c>
    </row>
    <row r="34497" spans="13:16">
      <c r="M34497" s="49">
        <f>IF($A$4+344&gt;$B$4,"",$A$4+344)</f>
        <v>46367</v>
      </c>
      <c r="N34497">
        <f>IF(M34497="","",'Master Barang'!A91)</f>
        <v>0</v>
      </c>
      <c r="O34497">
        <f>IF(N34497="","",'Master Barang'!B91)</f>
        <v>0</v>
      </c>
      <c r="P34497">
        <f>IF(OR(M34497="",N34497=""),"",SUMIFS('Barang Keluar'!$E:$E,'Barang Keluar'!$A:$A,M34497,'Barang Keluar'!$C:$C,N34497))</f>
        <v>0</v>
      </c>
    </row>
    <row r="34498" spans="13:16">
      <c r="M34498" s="49">
        <f>IF($A$4+344&gt;$B$4,"",$A$4+344)</f>
        <v>46367</v>
      </c>
      <c r="N34498">
        <f>IF(M34498="","",'Master Barang'!A92)</f>
        <v>0</v>
      </c>
      <c r="O34498">
        <f>IF(N34498="","",'Master Barang'!B92)</f>
        <v>0</v>
      </c>
      <c r="P34498">
        <f>IF(OR(M34498="",N34498=""),"",SUMIFS('Barang Keluar'!$E:$E,'Barang Keluar'!$A:$A,M34498,'Barang Keluar'!$C:$C,N34498))</f>
        <v>0</v>
      </c>
    </row>
    <row r="34499" spans="13:16">
      <c r="M34499" s="49">
        <f>IF($A$4+344&gt;$B$4,"",$A$4+344)</f>
        <v>46367</v>
      </c>
      <c r="N34499">
        <f>IF(M34499="","",'Master Barang'!A93)</f>
        <v>0</v>
      </c>
      <c r="O34499">
        <f>IF(N34499="","",'Master Barang'!B93)</f>
        <v>0</v>
      </c>
      <c r="P34499">
        <f>IF(OR(M34499="",N34499=""),"",SUMIFS('Barang Keluar'!$E:$E,'Barang Keluar'!$A:$A,M34499,'Barang Keluar'!$C:$C,N34499))</f>
        <v>0</v>
      </c>
    </row>
    <row r="34500" spans="13:16">
      <c r="M34500" s="49">
        <f>IF($A$4+344&gt;$B$4,"",$A$4+344)</f>
        <v>46367</v>
      </c>
      <c r="N34500">
        <f>IF(M34500="","",'Master Barang'!A94)</f>
        <v>0</v>
      </c>
      <c r="O34500">
        <f>IF(N34500="","",'Master Barang'!B94)</f>
        <v>0</v>
      </c>
      <c r="P34500">
        <f>IF(OR(M34500="",N34500=""),"",SUMIFS('Barang Keluar'!$E:$E,'Barang Keluar'!$A:$A,M34500,'Barang Keluar'!$C:$C,N34500))</f>
        <v>0</v>
      </c>
    </row>
    <row r="34501" spans="13:16">
      <c r="M34501" s="49">
        <f>IF($A$4+344&gt;$B$4,"",$A$4+344)</f>
        <v>46367</v>
      </c>
      <c r="N34501">
        <f>IF(M34501="","",'Master Barang'!A95)</f>
        <v>0</v>
      </c>
      <c r="O34501">
        <f>IF(N34501="","",'Master Barang'!B95)</f>
        <v>0</v>
      </c>
      <c r="P34501">
        <f>IF(OR(M34501="",N34501=""),"",SUMIFS('Barang Keluar'!$E:$E,'Barang Keluar'!$A:$A,M34501,'Barang Keluar'!$C:$C,N34501))</f>
        <v>0</v>
      </c>
    </row>
    <row r="34502" spans="13:16">
      <c r="M34502" s="49">
        <f>IF($A$4+344&gt;$B$4,"",$A$4+344)</f>
        <v>46367</v>
      </c>
      <c r="N34502">
        <f>IF(M34502="","",'Master Barang'!A96)</f>
        <v>0</v>
      </c>
      <c r="O34502">
        <f>IF(N34502="","",'Master Barang'!B96)</f>
        <v>0</v>
      </c>
      <c r="P34502">
        <f>IF(OR(M34502="",N34502=""),"",SUMIFS('Barang Keluar'!$E:$E,'Barang Keluar'!$A:$A,M34502,'Barang Keluar'!$C:$C,N34502))</f>
        <v>0</v>
      </c>
    </row>
    <row r="34503" spans="13:16">
      <c r="M34503" s="49">
        <f>IF($A$4+344&gt;$B$4,"",$A$4+344)</f>
        <v>46367</v>
      </c>
      <c r="N34503">
        <f>IF(M34503="","",'Master Barang'!A97)</f>
        <v>0</v>
      </c>
      <c r="O34503">
        <f>IF(N34503="","",'Master Barang'!B97)</f>
        <v>0</v>
      </c>
      <c r="P34503">
        <f>IF(OR(M34503="",N34503=""),"",SUMIFS('Barang Keluar'!$E:$E,'Barang Keluar'!$A:$A,M34503,'Barang Keluar'!$C:$C,N34503))</f>
        <v>0</v>
      </c>
    </row>
    <row r="34504" spans="13:16">
      <c r="M34504" s="49">
        <f>IF($A$4+344&gt;$B$4,"",$A$4+344)</f>
        <v>46367</v>
      </c>
      <c r="N34504">
        <f>IF(M34504="","",'Master Barang'!A98)</f>
        <v>0</v>
      </c>
      <c r="O34504">
        <f>IF(N34504="","",'Master Barang'!B98)</f>
        <v>0</v>
      </c>
      <c r="P34504">
        <f>IF(OR(M34504="",N34504=""),"",SUMIFS('Barang Keluar'!$E:$E,'Barang Keluar'!$A:$A,M34504,'Barang Keluar'!$C:$C,N34504))</f>
        <v>0</v>
      </c>
    </row>
    <row r="34505" spans="13:16">
      <c r="M34505" s="49">
        <f>IF($A$4+344&gt;$B$4,"",$A$4+344)</f>
        <v>46367</v>
      </c>
      <c r="N34505">
        <f>IF(M34505="","",'Master Barang'!A99)</f>
        <v>0</v>
      </c>
      <c r="O34505">
        <f>IF(N34505="","",'Master Barang'!B99)</f>
        <v>0</v>
      </c>
      <c r="P34505">
        <f>IF(OR(M34505="",N34505=""),"",SUMIFS('Barang Keluar'!$E:$E,'Barang Keluar'!$A:$A,M34505,'Barang Keluar'!$C:$C,N34505))</f>
        <v>0</v>
      </c>
    </row>
    <row r="34506" spans="13:16">
      <c r="M34506" s="49">
        <f>IF($A$4+344&gt;$B$4,"",$A$4+344)</f>
        <v>46367</v>
      </c>
      <c r="N34506">
        <f>IF(M34506="","",'Master Barang'!A100)</f>
        <v>0</v>
      </c>
      <c r="O34506">
        <f>IF(N34506="","",'Master Barang'!B100)</f>
        <v>0</v>
      </c>
      <c r="P34506">
        <f>IF(OR(M34506="",N34506=""),"",SUMIFS('Barang Keluar'!$E:$E,'Barang Keluar'!$A:$A,M34506,'Barang Keluar'!$C:$C,N34506))</f>
        <v>0</v>
      </c>
    </row>
    <row r="34507" spans="13:16">
      <c r="M34507" s="49">
        <f>IF($A$4+344&gt;$B$4,"",$A$4+344)</f>
        <v>46367</v>
      </c>
      <c r="N34507">
        <f>IF(M34507="","",'Master Barang'!A101)</f>
        <v>0</v>
      </c>
      <c r="O34507">
        <f>IF(N34507="","",'Master Barang'!B101)</f>
        <v>0</v>
      </c>
      <c r="P34507">
        <f>IF(OR(M34507="",N34507=""),"",SUMIFS('Barang Keluar'!$E:$E,'Barang Keluar'!$A:$A,M34507,'Barang Keluar'!$C:$C,N34507))</f>
        <v>0</v>
      </c>
    </row>
    <row r="34508" spans="13:16">
      <c r="M34508" s="49">
        <f>IF($A$4+345&gt;$B$4,"",$A$4+345)</f>
        <v>46368</v>
      </c>
      <c r="N34508" t="str">
        <f>IF(M34508="","",'Master Barang'!A2)</f>
        <v>PRL-001</v>
      </c>
      <c r="O34508" t="str">
        <f>IF(N34508="","",'Master Barang'!B2)</f>
        <v>natura desinfectant food grade 5l</v>
      </c>
      <c r="P34508">
        <f>IF(OR(M34508="",N34508=""),"",SUMIFS('Barang Keluar'!$E:$E,'Barang Keluar'!$A:$A,M34508,'Barang Keluar'!$C:$C,N34508))</f>
        <v>0</v>
      </c>
    </row>
    <row r="34509" spans="13:16">
      <c r="M34509" s="49">
        <f>IF($A$4+345&gt;$B$4,"",$A$4+345)</f>
        <v>46368</v>
      </c>
      <c r="N34509" t="str">
        <f>IF(M34509="","",'Master Barang'!A3)</f>
        <v>PRL-002</v>
      </c>
      <c r="O34509" t="str">
        <f>IF(N34509="","",'Master Barang'!B3)</f>
        <v>sunlight cairan pencuci piring 5l</v>
      </c>
      <c r="P34509">
        <f>IF(OR(M34509="",N34509=""),"",SUMIFS('Barang Keluar'!$E:$E,'Barang Keluar'!$A:$A,M34509,'Barang Keluar'!$C:$C,N34509))</f>
        <v>0</v>
      </c>
    </row>
    <row r="34510" spans="13:16">
      <c r="M34510" s="49">
        <f>IF($A$4+345&gt;$B$4,"",$A$4+345)</f>
        <v>46368</v>
      </c>
      <c r="N34510" t="str">
        <f>IF(M34510="","",'Master Barang'!A4)</f>
        <v>PRL-003</v>
      </c>
      <c r="O34510" t="str">
        <f>IF(N34510="","",'Master Barang'!B4)</f>
        <v>oixs cleaner 1l</v>
      </c>
      <c r="P34510">
        <f>IF(OR(M34510="",N34510=""),"",SUMIFS('Barang Keluar'!$E:$E,'Barang Keluar'!$A:$A,M34510,'Barang Keluar'!$C:$C,N34510))</f>
        <v>0</v>
      </c>
    </row>
    <row r="34511" spans="13:16">
      <c r="M34511" s="49">
        <f>IF($A$4+345&gt;$B$4,"",$A$4+345)</f>
        <v>46368</v>
      </c>
      <c r="N34511" t="str">
        <f>IF(M34511="","",'Master Barang'!A5)</f>
        <v>PRL-004</v>
      </c>
      <c r="O34511" t="str">
        <f>IF(N34511="","",'Master Barang'!B5)</f>
        <v>be clean tissue serbaguna</v>
      </c>
      <c r="P34511">
        <f>IF(OR(M34511="",N34511=""),"",SUMIFS('Barang Keluar'!$E:$E,'Barang Keluar'!$A:$A,M34511,'Barang Keluar'!$C:$C,N34511))</f>
        <v>0</v>
      </c>
    </row>
    <row r="34512" spans="13:16">
      <c r="M34512" s="49">
        <f>IF($A$4+345&gt;$B$4,"",$A$4+345)</f>
        <v>46368</v>
      </c>
      <c r="N34512" t="str">
        <f>IF(M34512="","",'Master Barang'!A6)</f>
        <v>PRL-005</v>
      </c>
      <c r="O34512" t="str">
        <f>IF(N34512="","",'Master Barang'!B6)</f>
        <v>spons cuci hijau</v>
      </c>
      <c r="P34512">
        <f>IF(OR(M34512="",N34512=""),"",SUMIFS('Barang Keluar'!$E:$E,'Barang Keluar'!$A:$A,M34512,'Barang Keluar'!$C:$C,N34512))</f>
        <v>0</v>
      </c>
    </row>
    <row r="34513" spans="13:16">
      <c r="M34513" s="49">
        <f>IF($A$4+345&gt;$B$4,"",$A$4+345)</f>
        <v>46368</v>
      </c>
      <c r="N34513" t="str">
        <f>IF(M34513="","",'Master Barang'!A7)</f>
        <v>PRL-006</v>
      </c>
      <c r="O34513" t="str">
        <f>IF(N34513="","",'Master Barang'!B7)</f>
        <v>sabut cuci stainless</v>
      </c>
      <c r="P34513">
        <f>IF(OR(M34513="",N34513=""),"",SUMIFS('Barang Keluar'!$E:$E,'Barang Keluar'!$A:$A,M34513,'Barang Keluar'!$C:$C,N34513))</f>
        <v>0</v>
      </c>
    </row>
    <row r="34514" spans="13:16">
      <c r="M34514" s="49">
        <f>IF($A$4+345&gt;$B$4,"",$A$4+345)</f>
        <v>46368</v>
      </c>
      <c r="N34514" t="str">
        <f>IF(M34514="","",'Master Barang'!A8)</f>
        <v>PRL-007</v>
      </c>
      <c r="O34514" t="str">
        <f>IF(N34514="","",'Master Barang'!B8)</f>
        <v>plastik kresek besar merah 50pc</v>
      </c>
      <c r="P34514">
        <f>IF(OR(M34514="",N34514=""),"",SUMIFS('Barang Keluar'!$E:$E,'Barang Keluar'!$A:$A,M34514,'Barang Keluar'!$C:$C,N34514))</f>
        <v>0</v>
      </c>
    </row>
    <row r="34515" spans="13:16">
      <c r="M34515" s="49">
        <f>IF($A$4+345&gt;$B$4,"",$A$4+345)</f>
        <v>46368</v>
      </c>
      <c r="N34515" t="str">
        <f>IF(M34515="","",'Master Barang'!A9)</f>
        <v>PRL-008</v>
      </c>
      <c r="O34515" t="str">
        <f>IF(N34515="","",'Master Barang'!B9)</f>
        <v>lap besar</v>
      </c>
      <c r="P34515">
        <f>IF(OR(M34515="",N34515=""),"",SUMIFS('Barang Keluar'!$E:$E,'Barang Keluar'!$A:$A,M34515,'Barang Keluar'!$C:$C,N34515))</f>
        <v>0</v>
      </c>
    </row>
    <row r="34516" spans="13:16">
      <c r="M34516" s="49">
        <f>IF($A$4+345&gt;$B$4,"",$A$4+345)</f>
        <v>46368</v>
      </c>
      <c r="N34516" t="str">
        <f>IF(M34516="","",'Master Barang'!A10)</f>
        <v>PRL-009</v>
      </c>
      <c r="O34516" t="str">
        <f>IF(N34516="","",'Master Barang'!B10)</f>
        <v>lap microfiber</v>
      </c>
      <c r="P34516">
        <f>IF(OR(M34516="",N34516=""),"",SUMIFS('Barang Keluar'!$E:$E,'Barang Keluar'!$A:$A,M34516,'Barang Keluar'!$C:$C,N34516))</f>
        <v>0</v>
      </c>
    </row>
    <row r="34517" spans="13:16">
      <c r="M34517" s="49">
        <f>IF($A$4+345&gt;$B$4,"",$A$4+345)</f>
        <v>46368</v>
      </c>
      <c r="N34517" t="str">
        <f>IF(M34517="","",'Master Barang'!A11)</f>
        <v>PRL-010</v>
      </c>
      <c r="O34517" t="str">
        <f>IF(N34517="","",'Master Barang'!B11)</f>
        <v>lap kecil</v>
      </c>
      <c r="P34517">
        <f>IF(OR(M34517="",N34517=""),"",SUMIFS('Barang Keluar'!$E:$E,'Barang Keluar'!$A:$A,M34517,'Barang Keluar'!$C:$C,N34517))</f>
        <v>0</v>
      </c>
    </row>
    <row r="34518" spans="13:16">
      <c r="M34518" s="49">
        <f>IF($A$4+345&gt;$B$4,"",$A$4+345)</f>
        <v>46368</v>
      </c>
      <c r="N34518" t="str">
        <f>IF(M34518="","",'Master Barang'!A12)</f>
        <v>PRL-011</v>
      </c>
      <c r="O34518" t="str">
        <f>IF(N34518="","",'Master Barang'!B12)</f>
        <v>kanebo kecil</v>
      </c>
      <c r="P34518">
        <f>IF(OR(M34518="",N34518=""),"",SUMIFS('Barang Keluar'!$E:$E,'Barang Keluar'!$A:$A,M34518,'Barang Keluar'!$C:$C,N34518))</f>
        <v>0</v>
      </c>
    </row>
    <row r="34519" spans="13:16">
      <c r="M34519" s="49">
        <f>IF($A$4+345&gt;$B$4,"",$A$4+345)</f>
        <v>46368</v>
      </c>
      <c r="N34519" t="str">
        <f>IF(M34519="","",'Master Barang'!A13)</f>
        <v>PRL-012</v>
      </c>
      <c r="O34519" t="str">
        <f>IF(N34519="","",'Master Barang'!B13)</f>
        <v>plastik 1/4kg joyoboyo 100 lembar</v>
      </c>
      <c r="P34519">
        <f>IF(OR(M34519="",N34519=""),"",SUMIFS('Barang Keluar'!$E:$E,'Barang Keluar'!$A:$A,M34519,'Barang Keluar'!$C:$C,N34519))</f>
        <v>0</v>
      </c>
    </row>
    <row r="34520" spans="13:16">
      <c r="M34520" s="49">
        <f>IF($A$4+345&gt;$B$4,"",$A$4+345)</f>
        <v>46368</v>
      </c>
      <c r="N34520" t="str">
        <f>IF(M34520="","",'Master Barang'!A14)</f>
        <v>PRL-013</v>
      </c>
      <c r="O34520" t="str">
        <f>IF(N34520="","",'Master Barang'!B14)</f>
        <v>sarung tangan plastik kaka 100 pcs</v>
      </c>
      <c r="P34520">
        <f>IF(OR(M34520="",N34520=""),"",SUMIFS('Barang Keluar'!$E:$E,'Barang Keluar'!$A:$A,M34520,'Barang Keluar'!$C:$C,N34520))</f>
        <v>0</v>
      </c>
    </row>
    <row r="34521" spans="13:16">
      <c r="M34521" s="49">
        <f>IF($A$4+345&gt;$B$4,"",$A$4+345)</f>
        <v>46368</v>
      </c>
      <c r="N34521" t="str">
        <f>IF(M34521="","",'Master Barang'!A15)</f>
        <v>PRL-014</v>
      </c>
      <c r="O34521" t="str">
        <f>IF(N34521="","",'Master Barang'!B15)</f>
        <v>optima trashbag 80x100</v>
      </c>
      <c r="P34521">
        <f>IF(OR(M34521="",N34521=""),"",SUMIFS('Barang Keluar'!$E:$E,'Barang Keluar'!$A:$A,M34521,'Barang Keluar'!$C:$C,N34521))</f>
        <v>0</v>
      </c>
    </row>
    <row r="34522" spans="13:16">
      <c r="M34522" s="49">
        <f>IF($A$4+345&gt;$B$4,"",$A$4+345)</f>
        <v>46368</v>
      </c>
      <c r="N34522" t="str">
        <f>IF(M34522="","",'Master Barang'!A16)</f>
        <v>PRL-015</v>
      </c>
      <c r="O34522" t="str">
        <f>IF(N34522="","",'Master Barang'!B16)</f>
        <v>optima trashbag 60x100</v>
      </c>
      <c r="P34522">
        <f>IF(OR(M34522="",N34522=""),"",SUMIFS('Barang Keluar'!$E:$E,'Barang Keluar'!$A:$A,M34522,'Barang Keluar'!$C:$C,N34522))</f>
        <v>0</v>
      </c>
    </row>
    <row r="34523" spans="13:16">
      <c r="M34523" s="49">
        <f>IF($A$4+345&gt;$B$4,"",$A$4+345)</f>
        <v>46368</v>
      </c>
      <c r="N34523" t="str">
        <f>IF(M34523="","",'Master Barang'!A17)</f>
        <v>PRL-016</v>
      </c>
      <c r="O34523" t="str">
        <f>IF(N34523="","",'Master Barang'!B17)</f>
        <v>rajawali trashbag 30x40</v>
      </c>
      <c r="P34523">
        <f>IF(OR(M34523="",N34523=""),"",SUMIFS('Barang Keluar'!$E:$E,'Barang Keluar'!$A:$A,M34523,'Barang Keluar'!$C:$C,N34523))</f>
        <v>0</v>
      </c>
    </row>
    <row r="34524" spans="13:16">
      <c r="M34524" s="49">
        <f>IF($A$4+345&gt;$B$4,"",$A$4+345)</f>
        <v>46368</v>
      </c>
      <c r="N34524" t="str">
        <f>IF(M34524="","",'Master Barang'!A18)</f>
        <v>PRL-017</v>
      </c>
      <c r="O34524" t="str">
        <f>IF(N34524="","",'Master Barang'!B18)</f>
        <v>onemed masker biru 3 play 50 pcs</v>
      </c>
      <c r="P34524">
        <f>IF(OR(M34524="",N34524=""),"",SUMIFS('Barang Keluar'!$E:$E,'Barang Keluar'!$A:$A,M34524,'Barang Keluar'!$C:$C,N34524))</f>
        <v>0</v>
      </c>
    </row>
    <row r="34525" spans="13:16">
      <c r="M34525" s="49">
        <f>IF($A$4+345&gt;$B$4,"",$A$4+345)</f>
        <v>46368</v>
      </c>
      <c r="N34525" t="str">
        <f>IF(M34525="","",'Master Barang'!A19)</f>
        <v>PRL-018</v>
      </c>
      <c r="O34525" t="str">
        <f>IF(N34525="","",'Master Barang'!B19)</f>
        <v>onemed masker biru 3 play hijab 50 pcs</v>
      </c>
      <c r="P34525">
        <f>IF(OR(M34525="",N34525=""),"",SUMIFS('Barang Keluar'!$E:$E,'Barang Keluar'!$A:$A,M34525,'Barang Keluar'!$C:$C,N34525))</f>
        <v>0</v>
      </c>
    </row>
    <row r="34526" spans="13:16">
      <c r="M34526" s="49">
        <f>IF($A$4+345&gt;$B$4,"",$A$4+345)</f>
        <v>46368</v>
      </c>
      <c r="N34526" t="str">
        <f>IF(M34526="","",'Master Barang'!A20)</f>
        <v>PRL-019</v>
      </c>
      <c r="O34526" t="str">
        <f>IF(N34526="","",'Master Barang'!B20)</f>
        <v>neo health masker biru 3 play 50 pcs</v>
      </c>
      <c r="P34526">
        <f>IF(OR(M34526="",N34526=""),"",SUMIFS('Barang Keluar'!$E:$E,'Barang Keluar'!$A:$A,M34526,'Barang Keluar'!$C:$C,N34526))</f>
        <v>0</v>
      </c>
    </row>
    <row r="34527" spans="13:16">
      <c r="M34527" s="49">
        <f>IF($A$4+345&gt;$B$4,"",$A$4+345)</f>
        <v>46368</v>
      </c>
      <c r="N34527" t="str">
        <f>IF(M34527="","",'Master Barang'!A21)</f>
        <v>PRL-020</v>
      </c>
      <c r="O34527" t="str">
        <f>IF(N34527="","",'Master Barang'!B21)</f>
        <v>baymed masker hijau 3 play hijau 50 pcs</v>
      </c>
      <c r="P34527">
        <f>IF(OR(M34527="",N34527=""),"",SUMIFS('Barang Keluar'!$E:$E,'Barang Keluar'!$A:$A,M34527,'Barang Keluar'!$C:$C,N34527))</f>
        <v>0</v>
      </c>
    </row>
    <row r="34528" spans="13:16">
      <c r="M34528" s="49">
        <f>IF($A$4+345&gt;$B$4,"",$A$4+345)</f>
        <v>46368</v>
      </c>
      <c r="N34528" t="str">
        <f>IF(M34528="","",'Master Barang'!A22)</f>
        <v>PRL-021</v>
      </c>
      <c r="O34528" t="str">
        <f>IF(N34528="","",'Master Barang'!B22)</f>
        <v>altamed nurse cap penutup kepala 100 pcs</v>
      </c>
      <c r="P34528">
        <f>IF(OR(M34528="",N34528=""),"",SUMIFS('Barang Keluar'!$E:$E,'Barang Keluar'!$A:$A,M34528,'Barang Keluar'!$C:$C,N34528))</f>
        <v>0</v>
      </c>
    </row>
    <row r="34529" spans="13:16">
      <c r="M34529" s="49">
        <f>IF($A$4+345&gt;$B$4,"",$A$4+345)</f>
        <v>46368</v>
      </c>
      <c r="N34529" t="str">
        <f>IF(M34529="","",'Master Barang'!A23)</f>
        <v>PRL-022</v>
      </c>
      <c r="O34529" t="str">
        <f>IF(N34529="","",'Master Barang'!B23)</f>
        <v>sabun cuci tangan</v>
      </c>
      <c r="P34529">
        <f>IF(OR(M34529="",N34529=""),"",SUMIFS('Barang Keluar'!$E:$E,'Barang Keluar'!$A:$A,M34529,'Barang Keluar'!$C:$C,N34529))</f>
        <v>0</v>
      </c>
    </row>
    <row r="34530" spans="13:16">
      <c r="M34530" s="49">
        <f>IF($A$4+345&gt;$B$4,"",$A$4+345)</f>
        <v>46368</v>
      </c>
      <c r="N34530" t="str">
        <f>IF(M34530="","",'Master Barang'!A24)</f>
        <v>PRL-023</v>
      </c>
      <c r="O34530" t="str">
        <f>IF(N34530="","",'Master Barang'!B24)</f>
        <v>gayung kecil</v>
      </c>
      <c r="P34530">
        <f>IF(OR(M34530="",N34530=""),"",SUMIFS('Barang Keluar'!$E:$E,'Barang Keluar'!$A:$A,M34530,'Barang Keluar'!$C:$C,N34530))</f>
        <v>0</v>
      </c>
    </row>
    <row r="34531" spans="13:16">
      <c r="M34531" s="49">
        <f>IF($A$4+345&gt;$B$4,"",$A$4+345)</f>
        <v>46368</v>
      </c>
      <c r="N34531" t="str">
        <f>IF(M34531="","",'Master Barang'!A25)</f>
        <v>PRL-024</v>
      </c>
      <c r="O34531" t="str">
        <f>IF(N34531="","",'Master Barang'!B25)</f>
        <v>cikrak kecil</v>
      </c>
      <c r="P34531">
        <f>IF(OR(M34531="",N34531=""),"",SUMIFS('Barang Keluar'!$E:$E,'Barang Keluar'!$A:$A,M34531,'Barang Keluar'!$C:$C,N34531))</f>
        <v>0</v>
      </c>
    </row>
    <row r="34532" spans="13:16">
      <c r="M34532" s="49">
        <f>IF($A$4+345&gt;$B$4,"",$A$4+345)</f>
        <v>46368</v>
      </c>
      <c r="N34532" t="str">
        <f>IF(M34532="","",'Master Barang'!A26)</f>
        <v>PRL-025</v>
      </c>
      <c r="O34532" t="str">
        <f>IF(N34532="","",'Master Barang'!B26)</f>
        <v>petromax plastik kecil 12x24 100 lembar</v>
      </c>
      <c r="P34532">
        <f>IF(OR(M34532="",N34532=""),"",SUMIFS('Barang Keluar'!$E:$E,'Barang Keluar'!$A:$A,M34532,'Barang Keluar'!$C:$C,N34532))</f>
        <v>0</v>
      </c>
    </row>
    <row r="34533" spans="13:16">
      <c r="M34533" s="49">
        <f>IF($A$4+345&gt;$B$4,"",$A$4+345)</f>
        <v>46368</v>
      </c>
      <c r="N34533" t="str">
        <f>IF(M34533="","",'Master Barang'!A27)</f>
        <v>PRL-026</v>
      </c>
      <c r="O34533" t="str">
        <f>IF(N34533="","",'Master Barang'!B27)</f>
        <v>lancar kresek kecil bening </v>
      </c>
      <c r="P34533">
        <f>IF(OR(M34533="",N34533=""),"",SUMIFS('Barang Keluar'!$E:$E,'Barang Keluar'!$A:$A,M34533,'Barang Keluar'!$C:$C,N34533))</f>
        <v>0</v>
      </c>
    </row>
    <row r="34534" spans="13:16">
      <c r="M34534" s="49">
        <f>IF($A$4+345&gt;$B$4,"",$A$4+345)</f>
        <v>46368</v>
      </c>
      <c r="N34534" t="str">
        <f>IF(M34534="","",'Master Barang'!A28)</f>
        <v>PRL-027</v>
      </c>
      <c r="O34534" t="str">
        <f>IF(N34534="","",'Master Barang'!B28)</f>
        <v>kresek klin warna warni kecil</v>
      </c>
      <c r="P34534">
        <f>IF(OR(M34534="",N34534=""),"",SUMIFS('Barang Keluar'!$E:$E,'Barang Keluar'!$A:$A,M34534,'Barang Keluar'!$C:$C,N34534))</f>
        <v>0</v>
      </c>
    </row>
    <row r="34535" spans="13:16">
      <c r="M34535" s="49">
        <f>IF($A$4+345&gt;$B$4,"",$A$4+345)</f>
        <v>46368</v>
      </c>
      <c r="N34535" t="str">
        <f>IF(M34535="","",'Master Barang'!A29)</f>
        <v>PRL-028</v>
      </c>
      <c r="O34535" t="str">
        <f>IF(N34535="","",'Master Barang'!B29)</f>
        <v>ctik plastik 7x10 100 pcs</v>
      </c>
      <c r="P34535">
        <f>IF(OR(M34535="",N34535=""),"",SUMIFS('Barang Keluar'!$E:$E,'Barang Keluar'!$A:$A,M34535,'Barang Keluar'!$C:$C,N34535))</f>
        <v>0</v>
      </c>
    </row>
    <row r="34536" spans="13:16">
      <c r="M34536" s="49">
        <f>IF($A$4+345&gt;$B$4,"",$A$4+345)</f>
        <v>46368</v>
      </c>
      <c r="N34536" t="str">
        <f>IF(M34536="","",'Master Barang'!A30)</f>
        <v>PRL-029</v>
      </c>
      <c r="O34536" t="str">
        <f>IF(N34536="","",'Master Barang'!B30)</f>
        <v>ctik plastik 6x10 100 pcs</v>
      </c>
      <c r="P34536">
        <f>IF(OR(M34536="",N34536=""),"",SUMIFS('Barang Keluar'!$E:$E,'Barang Keluar'!$A:$A,M34536,'Barang Keluar'!$C:$C,N34536))</f>
        <v>0</v>
      </c>
    </row>
    <row r="34537" spans="13:16">
      <c r="M34537" s="49">
        <f>IF($A$4+345&gt;$B$4,"",$A$4+345)</f>
        <v>46368</v>
      </c>
      <c r="N34537" t="str">
        <f>IF(M34537="","",'Master Barang'!A31)</f>
        <v>PRL-030</v>
      </c>
      <c r="O34537" t="str">
        <f>IF(N34537="","",'Master Barang'!B31)</f>
        <v>klip plastik 25x16 100 pcs</v>
      </c>
      <c r="P34537">
        <f>IF(OR(M34537="",N34537=""),"",SUMIFS('Barang Keluar'!$E:$E,'Barang Keluar'!$A:$A,M34537,'Barang Keluar'!$C:$C,N34537))</f>
        <v>0</v>
      </c>
    </row>
    <row r="34538" spans="13:16">
      <c r="M34538" s="49">
        <f>IF($A$4+345&gt;$B$4,"",$A$4+345)</f>
        <v>46368</v>
      </c>
      <c r="N34538" t="str">
        <f>IF(M34538="","",'Master Barang'!A32)</f>
        <v>PRL-031</v>
      </c>
      <c r="O34538" t="str">
        <f>IF(N34538="","",'Master Barang'!B32)</f>
        <v>tempat saus 20 ml</v>
      </c>
      <c r="P34538">
        <f>IF(OR(M34538="",N34538=""),"",SUMIFS('Barang Keluar'!$E:$E,'Barang Keluar'!$A:$A,M34538,'Barang Keluar'!$C:$C,N34538))</f>
        <v>0</v>
      </c>
    </row>
    <row r="34539" spans="13:16">
      <c r="M34539" s="49">
        <f>IF($A$4+345&gt;$B$4,"",$A$4+345)</f>
        <v>46368</v>
      </c>
      <c r="N34539" t="str">
        <f>IF(M34539="","",'Master Barang'!A33)</f>
        <v>PRL-032</v>
      </c>
      <c r="O34539" t="str">
        <f>IF(N34539="","",'Master Barang'!B33)</f>
        <v>plastik packaging ag box uk sedang</v>
      </c>
      <c r="P34539">
        <f>IF(OR(M34539="",N34539=""),"",SUMIFS('Barang Keluar'!$E:$E,'Barang Keluar'!$A:$A,M34539,'Barang Keluar'!$C:$C,N34539))</f>
        <v>0</v>
      </c>
    </row>
    <row r="34540" spans="13:16">
      <c r="M34540" s="49">
        <f>IF($A$4+345&gt;$B$4,"",$A$4+345)</f>
        <v>46368</v>
      </c>
      <c r="N34540" t="str">
        <f>IF(M34540="","",'Master Barang'!A34)</f>
        <v>PRL-033</v>
      </c>
      <c r="O34540">
        <f>IF(N34540="","",'Master Barang'!B34)</f>
        <v>0</v>
      </c>
      <c r="P34540">
        <f>IF(OR(M34540="",N34540=""),"",SUMIFS('Barang Keluar'!$E:$E,'Barang Keluar'!$A:$A,M34540,'Barang Keluar'!$C:$C,N34540))</f>
        <v>0</v>
      </c>
    </row>
    <row r="34541" spans="13:16">
      <c r="M34541" s="49">
        <f>IF($A$4+345&gt;$B$4,"",$A$4+345)</f>
        <v>46368</v>
      </c>
      <c r="N34541">
        <f>IF(M34541="","",'Master Barang'!A35)</f>
        <v>0</v>
      </c>
      <c r="O34541">
        <f>IF(N34541="","",'Master Barang'!B35)</f>
        <v>0</v>
      </c>
      <c r="P34541">
        <f>IF(OR(M34541="",N34541=""),"",SUMIFS('Barang Keluar'!$E:$E,'Barang Keluar'!$A:$A,M34541,'Barang Keluar'!$C:$C,N34541))</f>
        <v>0</v>
      </c>
    </row>
    <row r="34542" spans="13:16">
      <c r="M34542" s="49">
        <f>IF($A$4+345&gt;$B$4,"",$A$4+345)</f>
        <v>46368</v>
      </c>
      <c r="N34542">
        <f>IF(M34542="","",'Master Barang'!A36)</f>
        <v>0</v>
      </c>
      <c r="O34542">
        <f>IF(N34542="","",'Master Barang'!B36)</f>
        <v>0</v>
      </c>
      <c r="P34542">
        <f>IF(OR(M34542="",N34542=""),"",SUMIFS('Barang Keluar'!$E:$E,'Barang Keluar'!$A:$A,M34542,'Barang Keluar'!$C:$C,N34542))</f>
        <v>0</v>
      </c>
    </row>
    <row r="34543" spans="13:16">
      <c r="M34543" s="49">
        <f>IF($A$4+345&gt;$B$4,"",$A$4+345)</f>
        <v>46368</v>
      </c>
      <c r="N34543">
        <f>IF(M34543="","",'Master Barang'!A37)</f>
        <v>0</v>
      </c>
      <c r="O34543">
        <f>IF(N34543="","",'Master Barang'!B37)</f>
        <v>0</v>
      </c>
      <c r="P34543">
        <f>IF(OR(M34543="",N34543=""),"",SUMIFS('Barang Keluar'!$E:$E,'Barang Keluar'!$A:$A,M34543,'Barang Keluar'!$C:$C,N34543))</f>
        <v>0</v>
      </c>
    </row>
    <row r="34544" spans="13:16">
      <c r="M34544" s="49">
        <f>IF($A$4+345&gt;$B$4,"",$A$4+345)</f>
        <v>46368</v>
      </c>
      <c r="N34544">
        <f>IF(M34544="","",'Master Barang'!A38)</f>
        <v>0</v>
      </c>
      <c r="O34544">
        <f>IF(N34544="","",'Master Barang'!B38)</f>
        <v>0</v>
      </c>
      <c r="P34544">
        <f>IF(OR(M34544="",N34544=""),"",SUMIFS('Barang Keluar'!$E:$E,'Barang Keluar'!$A:$A,M34544,'Barang Keluar'!$C:$C,N34544))</f>
        <v>0</v>
      </c>
    </row>
    <row r="34545" spans="13:16">
      <c r="M34545" s="49">
        <f>IF($A$4+345&gt;$B$4,"",$A$4+345)</f>
        <v>46368</v>
      </c>
      <c r="N34545">
        <f>IF(M34545="","",'Master Barang'!A39)</f>
        <v>0</v>
      </c>
      <c r="O34545">
        <f>IF(N34545="","",'Master Barang'!B39)</f>
        <v>0</v>
      </c>
      <c r="P34545">
        <f>IF(OR(M34545="",N34545=""),"",SUMIFS('Barang Keluar'!$E:$E,'Barang Keluar'!$A:$A,M34545,'Barang Keluar'!$C:$C,N34545))</f>
        <v>0</v>
      </c>
    </row>
    <row r="34546" spans="13:16">
      <c r="M34546" s="49">
        <f>IF($A$4+345&gt;$B$4,"",$A$4+345)</f>
        <v>46368</v>
      </c>
      <c r="N34546">
        <f>IF(M34546="","",'Master Barang'!A40)</f>
        <v>0</v>
      </c>
      <c r="O34546">
        <f>IF(N34546="","",'Master Barang'!B40)</f>
        <v>0</v>
      </c>
      <c r="P34546">
        <f>IF(OR(M34546="",N34546=""),"",SUMIFS('Barang Keluar'!$E:$E,'Barang Keluar'!$A:$A,M34546,'Barang Keluar'!$C:$C,N34546))</f>
        <v>0</v>
      </c>
    </row>
    <row r="34547" spans="13:16">
      <c r="M34547" s="49">
        <f>IF($A$4+345&gt;$B$4,"",$A$4+345)</f>
        <v>46368</v>
      </c>
      <c r="N34547">
        <f>IF(M34547="","",'Master Barang'!A41)</f>
        <v>0</v>
      </c>
      <c r="O34547">
        <f>IF(N34547="","",'Master Barang'!B41)</f>
        <v>0</v>
      </c>
      <c r="P34547">
        <f>IF(OR(M34547="",N34547=""),"",SUMIFS('Barang Keluar'!$E:$E,'Barang Keluar'!$A:$A,M34547,'Barang Keluar'!$C:$C,N34547))</f>
        <v>0</v>
      </c>
    </row>
    <row r="34548" spans="13:16">
      <c r="M34548" s="49">
        <f>IF($A$4+345&gt;$B$4,"",$A$4+345)</f>
        <v>46368</v>
      </c>
      <c r="N34548">
        <f>IF(M34548="","",'Master Barang'!A42)</f>
        <v>0</v>
      </c>
      <c r="O34548">
        <f>IF(N34548="","",'Master Barang'!B42)</f>
        <v>0</v>
      </c>
      <c r="P34548">
        <f>IF(OR(M34548="",N34548=""),"",SUMIFS('Barang Keluar'!$E:$E,'Barang Keluar'!$A:$A,M34548,'Barang Keluar'!$C:$C,N34548))</f>
        <v>0</v>
      </c>
    </row>
    <row r="34549" spans="13:16">
      <c r="M34549" s="49">
        <f>IF($A$4+345&gt;$B$4,"",$A$4+345)</f>
        <v>46368</v>
      </c>
      <c r="N34549">
        <f>IF(M34549="","",'Master Barang'!A43)</f>
        <v>0</v>
      </c>
      <c r="O34549">
        <f>IF(N34549="","",'Master Barang'!B43)</f>
        <v>0</v>
      </c>
      <c r="P34549">
        <f>IF(OR(M34549="",N34549=""),"",SUMIFS('Barang Keluar'!$E:$E,'Barang Keluar'!$A:$A,M34549,'Barang Keluar'!$C:$C,N34549))</f>
        <v>0</v>
      </c>
    </row>
    <row r="34550" spans="13:16">
      <c r="M34550" s="49">
        <f>IF($A$4+345&gt;$B$4,"",$A$4+345)</f>
        <v>46368</v>
      </c>
      <c r="N34550">
        <f>IF(M34550="","",'Master Barang'!A44)</f>
        <v>0</v>
      </c>
      <c r="O34550">
        <f>IF(N34550="","",'Master Barang'!B44)</f>
        <v>0</v>
      </c>
      <c r="P34550">
        <f>IF(OR(M34550="",N34550=""),"",SUMIFS('Barang Keluar'!$E:$E,'Barang Keluar'!$A:$A,M34550,'Barang Keluar'!$C:$C,N34550))</f>
        <v>0</v>
      </c>
    </row>
    <row r="34551" spans="13:16">
      <c r="M34551" s="49">
        <f>IF($A$4+345&gt;$B$4,"",$A$4+345)</f>
        <v>46368</v>
      </c>
      <c r="N34551">
        <f>IF(M34551="","",'Master Barang'!A45)</f>
        <v>0</v>
      </c>
      <c r="O34551">
        <f>IF(N34551="","",'Master Barang'!B45)</f>
        <v>0</v>
      </c>
      <c r="P34551">
        <f>IF(OR(M34551="",N34551=""),"",SUMIFS('Barang Keluar'!$E:$E,'Barang Keluar'!$A:$A,M34551,'Barang Keluar'!$C:$C,N34551))</f>
        <v>0</v>
      </c>
    </row>
    <row r="34552" spans="13:16">
      <c r="M34552" s="49">
        <f>IF($A$4+345&gt;$B$4,"",$A$4+345)</f>
        <v>46368</v>
      </c>
      <c r="N34552">
        <f>IF(M34552="","",'Master Barang'!A46)</f>
        <v>0</v>
      </c>
      <c r="O34552">
        <f>IF(N34552="","",'Master Barang'!B46)</f>
        <v>0</v>
      </c>
      <c r="P34552">
        <f>IF(OR(M34552="",N34552=""),"",SUMIFS('Barang Keluar'!$E:$E,'Barang Keluar'!$A:$A,M34552,'Barang Keluar'!$C:$C,N34552))</f>
        <v>0</v>
      </c>
    </row>
    <row r="34553" spans="13:16">
      <c r="M34553" s="49">
        <f>IF($A$4+345&gt;$B$4,"",$A$4+345)</f>
        <v>46368</v>
      </c>
      <c r="N34553">
        <f>IF(M34553="","",'Master Barang'!A47)</f>
        <v>0</v>
      </c>
      <c r="O34553">
        <f>IF(N34553="","",'Master Barang'!B47)</f>
        <v>0</v>
      </c>
      <c r="P34553">
        <f>IF(OR(M34553="",N34553=""),"",SUMIFS('Barang Keluar'!$E:$E,'Barang Keluar'!$A:$A,M34553,'Barang Keluar'!$C:$C,N34553))</f>
        <v>0</v>
      </c>
    </row>
    <row r="34554" spans="13:16">
      <c r="M34554" s="49">
        <f>IF($A$4+345&gt;$B$4,"",$A$4+345)</f>
        <v>46368</v>
      </c>
      <c r="N34554">
        <f>IF(M34554="","",'Master Barang'!A48)</f>
        <v>0</v>
      </c>
      <c r="O34554">
        <f>IF(N34554="","",'Master Barang'!B48)</f>
        <v>0</v>
      </c>
      <c r="P34554">
        <f>IF(OR(M34554="",N34554=""),"",SUMIFS('Barang Keluar'!$E:$E,'Barang Keluar'!$A:$A,M34554,'Barang Keluar'!$C:$C,N34554))</f>
        <v>0</v>
      </c>
    </row>
    <row r="34555" spans="13:16">
      <c r="M34555" s="49">
        <f>IF($A$4+345&gt;$B$4,"",$A$4+345)</f>
        <v>46368</v>
      </c>
      <c r="N34555">
        <f>IF(M34555="","",'Master Barang'!A49)</f>
        <v>0</v>
      </c>
      <c r="O34555">
        <f>IF(N34555="","",'Master Barang'!B49)</f>
        <v>0</v>
      </c>
      <c r="P34555">
        <f>IF(OR(M34555="",N34555=""),"",SUMIFS('Barang Keluar'!$E:$E,'Barang Keluar'!$A:$A,M34555,'Barang Keluar'!$C:$C,N34555))</f>
        <v>0</v>
      </c>
    </row>
    <row r="34556" spans="13:16">
      <c r="M34556" s="49">
        <f>IF($A$4+345&gt;$B$4,"",$A$4+345)</f>
        <v>46368</v>
      </c>
      <c r="N34556">
        <f>IF(M34556="","",'Master Barang'!A50)</f>
        <v>0</v>
      </c>
      <c r="O34556">
        <f>IF(N34556="","",'Master Barang'!B50)</f>
        <v>0</v>
      </c>
      <c r="P34556">
        <f>IF(OR(M34556="",N34556=""),"",SUMIFS('Barang Keluar'!$E:$E,'Barang Keluar'!$A:$A,M34556,'Barang Keluar'!$C:$C,N34556))</f>
        <v>0</v>
      </c>
    </row>
    <row r="34557" spans="13:16">
      <c r="M34557" s="49">
        <f>IF($A$4+345&gt;$B$4,"",$A$4+345)</f>
        <v>46368</v>
      </c>
      <c r="N34557">
        <f>IF(M34557="","",'Master Barang'!A51)</f>
        <v>0</v>
      </c>
      <c r="O34557">
        <f>IF(N34557="","",'Master Barang'!B51)</f>
        <v>0</v>
      </c>
      <c r="P34557">
        <f>IF(OR(M34557="",N34557=""),"",SUMIFS('Barang Keluar'!$E:$E,'Barang Keluar'!$A:$A,M34557,'Barang Keluar'!$C:$C,N34557))</f>
        <v>0</v>
      </c>
    </row>
    <row r="34558" spans="13:16">
      <c r="M34558" s="49">
        <f>IF($A$4+345&gt;$B$4,"",$A$4+345)</f>
        <v>46368</v>
      </c>
      <c r="N34558">
        <f>IF(M34558="","",'Master Barang'!A52)</f>
        <v>0</v>
      </c>
      <c r="O34558">
        <f>IF(N34558="","",'Master Barang'!B52)</f>
        <v>0</v>
      </c>
      <c r="P34558">
        <f>IF(OR(M34558="",N34558=""),"",SUMIFS('Barang Keluar'!$E:$E,'Barang Keluar'!$A:$A,M34558,'Barang Keluar'!$C:$C,N34558))</f>
        <v>0</v>
      </c>
    </row>
    <row r="34559" spans="13:16">
      <c r="M34559" s="49">
        <f>IF($A$4+345&gt;$B$4,"",$A$4+345)</f>
        <v>46368</v>
      </c>
      <c r="N34559">
        <f>IF(M34559="","",'Master Barang'!A53)</f>
        <v>0</v>
      </c>
      <c r="O34559">
        <f>IF(N34559="","",'Master Barang'!B53)</f>
        <v>0</v>
      </c>
      <c r="P34559">
        <f>IF(OR(M34559="",N34559=""),"",SUMIFS('Barang Keluar'!$E:$E,'Barang Keluar'!$A:$A,M34559,'Barang Keluar'!$C:$C,N34559))</f>
        <v>0</v>
      </c>
    </row>
    <row r="34560" spans="13:16">
      <c r="M34560" s="49">
        <f>IF($A$4+345&gt;$B$4,"",$A$4+345)</f>
        <v>46368</v>
      </c>
      <c r="N34560">
        <f>IF(M34560="","",'Master Barang'!A54)</f>
        <v>0</v>
      </c>
      <c r="O34560">
        <f>IF(N34560="","",'Master Barang'!B54)</f>
        <v>0</v>
      </c>
      <c r="P34560">
        <f>IF(OR(M34560="",N34560=""),"",SUMIFS('Barang Keluar'!$E:$E,'Barang Keluar'!$A:$A,M34560,'Barang Keluar'!$C:$C,N34560))</f>
        <v>0</v>
      </c>
    </row>
    <row r="34561" spans="13:16">
      <c r="M34561" s="49">
        <f>IF($A$4+345&gt;$B$4,"",$A$4+345)</f>
        <v>46368</v>
      </c>
      <c r="N34561">
        <f>IF(M34561="","",'Master Barang'!A55)</f>
        <v>0</v>
      </c>
      <c r="O34561">
        <f>IF(N34561="","",'Master Barang'!B55)</f>
        <v>0</v>
      </c>
      <c r="P34561">
        <f>IF(OR(M34561="",N34561=""),"",SUMIFS('Barang Keluar'!$E:$E,'Barang Keluar'!$A:$A,M34561,'Barang Keluar'!$C:$C,N34561))</f>
        <v>0</v>
      </c>
    </row>
    <row r="34562" spans="13:16">
      <c r="M34562" s="49">
        <f>IF($A$4+345&gt;$B$4,"",$A$4+345)</f>
        <v>46368</v>
      </c>
      <c r="N34562">
        <f>IF(M34562="","",'Master Barang'!A56)</f>
        <v>0</v>
      </c>
      <c r="O34562">
        <f>IF(N34562="","",'Master Barang'!B56)</f>
        <v>0</v>
      </c>
      <c r="P34562">
        <f>IF(OR(M34562="",N34562=""),"",SUMIFS('Barang Keluar'!$E:$E,'Barang Keluar'!$A:$A,M34562,'Barang Keluar'!$C:$C,N34562))</f>
        <v>0</v>
      </c>
    </row>
    <row r="34563" spans="13:16">
      <c r="M34563" s="49">
        <f>IF($A$4+345&gt;$B$4,"",$A$4+345)</f>
        <v>46368</v>
      </c>
      <c r="N34563">
        <f>IF(M34563="","",'Master Barang'!A57)</f>
        <v>0</v>
      </c>
      <c r="O34563">
        <f>IF(N34563="","",'Master Barang'!B57)</f>
        <v>0</v>
      </c>
      <c r="P34563">
        <f>IF(OR(M34563="",N34563=""),"",SUMIFS('Barang Keluar'!$E:$E,'Barang Keluar'!$A:$A,M34563,'Barang Keluar'!$C:$C,N34563))</f>
        <v>0</v>
      </c>
    </row>
    <row r="34564" spans="13:16">
      <c r="M34564" s="49">
        <f>IF($A$4+345&gt;$B$4,"",$A$4+345)</f>
        <v>46368</v>
      </c>
      <c r="N34564">
        <f>IF(M34564="","",'Master Barang'!A58)</f>
        <v>0</v>
      </c>
      <c r="O34564">
        <f>IF(N34564="","",'Master Barang'!B58)</f>
        <v>0</v>
      </c>
      <c r="P34564">
        <f>IF(OR(M34564="",N34564=""),"",SUMIFS('Barang Keluar'!$E:$E,'Barang Keluar'!$A:$A,M34564,'Barang Keluar'!$C:$C,N34564))</f>
        <v>0</v>
      </c>
    </row>
    <row r="34565" spans="13:16">
      <c r="M34565" s="49">
        <f>IF($A$4+345&gt;$B$4,"",$A$4+345)</f>
        <v>46368</v>
      </c>
      <c r="N34565">
        <f>IF(M34565="","",'Master Barang'!A59)</f>
        <v>0</v>
      </c>
      <c r="O34565">
        <f>IF(N34565="","",'Master Barang'!B59)</f>
        <v>0</v>
      </c>
      <c r="P34565">
        <f>IF(OR(M34565="",N34565=""),"",SUMIFS('Barang Keluar'!$E:$E,'Barang Keluar'!$A:$A,M34565,'Barang Keluar'!$C:$C,N34565))</f>
        <v>0</v>
      </c>
    </row>
    <row r="34566" spans="13:16">
      <c r="M34566" s="49">
        <f>IF($A$4+345&gt;$B$4,"",$A$4+345)</f>
        <v>46368</v>
      </c>
      <c r="N34566">
        <f>IF(M34566="","",'Master Barang'!A60)</f>
        <v>0</v>
      </c>
      <c r="O34566">
        <f>IF(N34566="","",'Master Barang'!B60)</f>
        <v>0</v>
      </c>
      <c r="P34566">
        <f>IF(OR(M34566="",N34566=""),"",SUMIFS('Barang Keluar'!$E:$E,'Barang Keluar'!$A:$A,M34566,'Barang Keluar'!$C:$C,N34566))</f>
        <v>0</v>
      </c>
    </row>
    <row r="34567" spans="13:16">
      <c r="M34567" s="49">
        <f>IF($A$4+345&gt;$B$4,"",$A$4+345)</f>
        <v>46368</v>
      </c>
      <c r="N34567">
        <f>IF(M34567="","",'Master Barang'!A61)</f>
        <v>0</v>
      </c>
      <c r="O34567">
        <f>IF(N34567="","",'Master Barang'!B61)</f>
        <v>0</v>
      </c>
      <c r="P34567">
        <f>IF(OR(M34567="",N34567=""),"",SUMIFS('Barang Keluar'!$E:$E,'Barang Keluar'!$A:$A,M34567,'Barang Keluar'!$C:$C,N34567))</f>
        <v>0</v>
      </c>
    </row>
    <row r="34568" spans="13:16">
      <c r="M34568" s="49">
        <f>IF($A$4+345&gt;$B$4,"",$A$4+345)</f>
        <v>46368</v>
      </c>
      <c r="N34568">
        <f>IF(M34568="","",'Master Barang'!A62)</f>
        <v>0</v>
      </c>
      <c r="O34568">
        <f>IF(N34568="","",'Master Barang'!B62)</f>
        <v>0</v>
      </c>
      <c r="P34568">
        <f>IF(OR(M34568="",N34568=""),"",SUMIFS('Barang Keluar'!$E:$E,'Barang Keluar'!$A:$A,M34568,'Barang Keluar'!$C:$C,N34568))</f>
        <v>0</v>
      </c>
    </row>
    <row r="34569" spans="13:16">
      <c r="M34569" s="49">
        <f>IF($A$4+345&gt;$B$4,"",$A$4+345)</f>
        <v>46368</v>
      </c>
      <c r="N34569">
        <f>IF(M34569="","",'Master Barang'!A63)</f>
        <v>0</v>
      </c>
      <c r="O34569">
        <f>IF(N34569="","",'Master Barang'!B63)</f>
        <v>0</v>
      </c>
      <c r="P34569">
        <f>IF(OR(M34569="",N34569=""),"",SUMIFS('Barang Keluar'!$E:$E,'Barang Keluar'!$A:$A,M34569,'Barang Keluar'!$C:$C,N34569))</f>
        <v>0</v>
      </c>
    </row>
    <row r="34570" spans="13:16">
      <c r="M34570" s="49">
        <f>IF($A$4+345&gt;$B$4,"",$A$4+345)</f>
        <v>46368</v>
      </c>
      <c r="N34570">
        <f>IF(M34570="","",'Master Barang'!A64)</f>
        <v>0</v>
      </c>
      <c r="O34570">
        <f>IF(N34570="","",'Master Barang'!B64)</f>
        <v>0</v>
      </c>
      <c r="P34570">
        <f>IF(OR(M34570="",N34570=""),"",SUMIFS('Barang Keluar'!$E:$E,'Barang Keluar'!$A:$A,M34570,'Barang Keluar'!$C:$C,N34570))</f>
        <v>0</v>
      </c>
    </row>
    <row r="34571" spans="13:16">
      <c r="M34571" s="49">
        <f>IF($A$4+345&gt;$B$4,"",$A$4+345)</f>
        <v>46368</v>
      </c>
      <c r="N34571">
        <f>IF(M34571="","",'Master Barang'!A65)</f>
        <v>0</v>
      </c>
      <c r="O34571">
        <f>IF(N34571="","",'Master Barang'!B65)</f>
        <v>0</v>
      </c>
      <c r="P34571">
        <f>IF(OR(M34571="",N34571=""),"",SUMIFS('Barang Keluar'!$E:$E,'Barang Keluar'!$A:$A,M34571,'Barang Keluar'!$C:$C,N34571))</f>
        <v>0</v>
      </c>
    </row>
    <row r="34572" spans="13:16">
      <c r="M34572" s="49">
        <f>IF($A$4+345&gt;$B$4,"",$A$4+345)</f>
        <v>46368</v>
      </c>
      <c r="N34572">
        <f>IF(M34572="","",'Master Barang'!A66)</f>
        <v>0</v>
      </c>
      <c r="O34572">
        <f>IF(N34572="","",'Master Barang'!B66)</f>
        <v>0</v>
      </c>
      <c r="P34572">
        <f>IF(OR(M34572="",N34572=""),"",SUMIFS('Barang Keluar'!$E:$E,'Barang Keluar'!$A:$A,M34572,'Barang Keluar'!$C:$C,N34572))</f>
        <v>0</v>
      </c>
    </row>
    <row r="34573" spans="13:16">
      <c r="M34573" s="49">
        <f>IF($A$4+345&gt;$B$4,"",$A$4+345)</f>
        <v>46368</v>
      </c>
      <c r="N34573">
        <f>IF(M34573="","",'Master Barang'!A67)</f>
        <v>0</v>
      </c>
      <c r="O34573">
        <f>IF(N34573="","",'Master Barang'!B67)</f>
        <v>0</v>
      </c>
      <c r="P34573">
        <f>IF(OR(M34573="",N34573=""),"",SUMIFS('Barang Keluar'!$E:$E,'Barang Keluar'!$A:$A,M34573,'Barang Keluar'!$C:$C,N34573))</f>
        <v>0</v>
      </c>
    </row>
    <row r="34574" spans="13:16">
      <c r="M34574" s="49">
        <f>IF($A$4+345&gt;$B$4,"",$A$4+345)</f>
        <v>46368</v>
      </c>
      <c r="N34574">
        <f>IF(M34574="","",'Master Barang'!A68)</f>
        <v>0</v>
      </c>
      <c r="O34574">
        <f>IF(N34574="","",'Master Barang'!B68)</f>
        <v>0</v>
      </c>
      <c r="P34574">
        <f>IF(OR(M34574="",N34574=""),"",SUMIFS('Barang Keluar'!$E:$E,'Barang Keluar'!$A:$A,M34574,'Barang Keluar'!$C:$C,N34574))</f>
        <v>0</v>
      </c>
    </row>
    <row r="34575" spans="13:16">
      <c r="M34575" s="49">
        <f>IF($A$4+345&gt;$B$4,"",$A$4+345)</f>
        <v>46368</v>
      </c>
      <c r="N34575">
        <f>IF(M34575="","",'Master Barang'!A69)</f>
        <v>0</v>
      </c>
      <c r="O34575">
        <f>IF(N34575="","",'Master Barang'!B69)</f>
        <v>0</v>
      </c>
      <c r="P34575">
        <f>IF(OR(M34575="",N34575=""),"",SUMIFS('Barang Keluar'!$E:$E,'Barang Keluar'!$A:$A,M34575,'Barang Keluar'!$C:$C,N34575))</f>
        <v>0</v>
      </c>
    </row>
    <row r="34576" spans="13:16">
      <c r="M34576" s="49">
        <f>IF($A$4+345&gt;$B$4,"",$A$4+345)</f>
        <v>46368</v>
      </c>
      <c r="N34576">
        <f>IF(M34576="","",'Master Barang'!A70)</f>
        <v>0</v>
      </c>
      <c r="O34576">
        <f>IF(N34576="","",'Master Barang'!B70)</f>
        <v>0</v>
      </c>
      <c r="P34576">
        <f>IF(OR(M34576="",N34576=""),"",SUMIFS('Barang Keluar'!$E:$E,'Barang Keluar'!$A:$A,M34576,'Barang Keluar'!$C:$C,N34576))</f>
        <v>0</v>
      </c>
    </row>
    <row r="34577" spans="13:16">
      <c r="M34577" s="49">
        <f>IF($A$4+345&gt;$B$4,"",$A$4+345)</f>
        <v>46368</v>
      </c>
      <c r="N34577">
        <f>IF(M34577="","",'Master Barang'!A71)</f>
        <v>0</v>
      </c>
      <c r="O34577">
        <f>IF(N34577="","",'Master Barang'!B71)</f>
        <v>0</v>
      </c>
      <c r="P34577">
        <f>IF(OR(M34577="",N34577=""),"",SUMIFS('Barang Keluar'!$E:$E,'Barang Keluar'!$A:$A,M34577,'Barang Keluar'!$C:$C,N34577))</f>
        <v>0</v>
      </c>
    </row>
    <row r="34578" spans="13:16">
      <c r="M34578" s="49">
        <f>IF($A$4+345&gt;$B$4,"",$A$4+345)</f>
        <v>46368</v>
      </c>
      <c r="N34578">
        <f>IF(M34578="","",'Master Barang'!A72)</f>
        <v>0</v>
      </c>
      <c r="O34578">
        <f>IF(N34578="","",'Master Barang'!B72)</f>
        <v>0</v>
      </c>
      <c r="P34578">
        <f>IF(OR(M34578="",N34578=""),"",SUMIFS('Barang Keluar'!$E:$E,'Barang Keluar'!$A:$A,M34578,'Barang Keluar'!$C:$C,N34578))</f>
        <v>0</v>
      </c>
    </row>
    <row r="34579" spans="13:16">
      <c r="M34579" s="49">
        <f>IF($A$4+345&gt;$B$4,"",$A$4+345)</f>
        <v>46368</v>
      </c>
      <c r="N34579">
        <f>IF(M34579="","",'Master Barang'!A73)</f>
        <v>0</v>
      </c>
      <c r="O34579">
        <f>IF(N34579="","",'Master Barang'!B73)</f>
        <v>0</v>
      </c>
      <c r="P34579">
        <f>IF(OR(M34579="",N34579=""),"",SUMIFS('Barang Keluar'!$E:$E,'Barang Keluar'!$A:$A,M34579,'Barang Keluar'!$C:$C,N34579))</f>
        <v>0</v>
      </c>
    </row>
    <row r="34580" spans="13:16">
      <c r="M34580" s="49">
        <f>IF($A$4+345&gt;$B$4,"",$A$4+345)</f>
        <v>46368</v>
      </c>
      <c r="N34580">
        <f>IF(M34580="","",'Master Barang'!A74)</f>
        <v>0</v>
      </c>
      <c r="O34580">
        <f>IF(N34580="","",'Master Barang'!B74)</f>
        <v>0</v>
      </c>
      <c r="P34580">
        <f>IF(OR(M34580="",N34580=""),"",SUMIFS('Barang Keluar'!$E:$E,'Barang Keluar'!$A:$A,M34580,'Barang Keluar'!$C:$C,N34580))</f>
        <v>0</v>
      </c>
    </row>
    <row r="34581" spans="13:16">
      <c r="M34581" s="49">
        <f>IF($A$4+345&gt;$B$4,"",$A$4+345)</f>
        <v>46368</v>
      </c>
      <c r="N34581">
        <f>IF(M34581="","",'Master Barang'!A75)</f>
        <v>0</v>
      </c>
      <c r="O34581">
        <f>IF(N34581="","",'Master Barang'!B75)</f>
        <v>0</v>
      </c>
      <c r="P34581">
        <f>IF(OR(M34581="",N34581=""),"",SUMIFS('Barang Keluar'!$E:$E,'Barang Keluar'!$A:$A,M34581,'Barang Keluar'!$C:$C,N34581))</f>
        <v>0</v>
      </c>
    </row>
    <row r="34582" spans="13:16">
      <c r="M34582" s="49">
        <f>IF($A$4+345&gt;$B$4,"",$A$4+345)</f>
        <v>46368</v>
      </c>
      <c r="N34582">
        <f>IF(M34582="","",'Master Barang'!A76)</f>
        <v>0</v>
      </c>
      <c r="O34582">
        <f>IF(N34582="","",'Master Barang'!B76)</f>
        <v>0</v>
      </c>
      <c r="P34582">
        <f>IF(OR(M34582="",N34582=""),"",SUMIFS('Barang Keluar'!$E:$E,'Barang Keluar'!$A:$A,M34582,'Barang Keluar'!$C:$C,N34582))</f>
        <v>0</v>
      </c>
    </row>
    <row r="34583" spans="13:16">
      <c r="M34583" s="49">
        <f>IF($A$4+345&gt;$B$4,"",$A$4+345)</f>
        <v>46368</v>
      </c>
      <c r="N34583">
        <f>IF(M34583="","",'Master Barang'!A77)</f>
        <v>0</v>
      </c>
      <c r="O34583">
        <f>IF(N34583="","",'Master Barang'!B77)</f>
        <v>0</v>
      </c>
      <c r="P34583">
        <f>IF(OR(M34583="",N34583=""),"",SUMIFS('Barang Keluar'!$E:$E,'Barang Keluar'!$A:$A,M34583,'Barang Keluar'!$C:$C,N34583))</f>
        <v>0</v>
      </c>
    </row>
    <row r="34584" spans="13:16">
      <c r="M34584" s="49">
        <f>IF($A$4+345&gt;$B$4,"",$A$4+345)</f>
        <v>46368</v>
      </c>
      <c r="N34584">
        <f>IF(M34584="","",'Master Barang'!A78)</f>
        <v>0</v>
      </c>
      <c r="O34584">
        <f>IF(N34584="","",'Master Barang'!B78)</f>
        <v>0</v>
      </c>
      <c r="P34584">
        <f>IF(OR(M34584="",N34584=""),"",SUMIFS('Barang Keluar'!$E:$E,'Barang Keluar'!$A:$A,M34584,'Barang Keluar'!$C:$C,N34584))</f>
        <v>0</v>
      </c>
    </row>
    <row r="34585" spans="13:16">
      <c r="M34585" s="49">
        <f>IF($A$4+345&gt;$B$4,"",$A$4+345)</f>
        <v>46368</v>
      </c>
      <c r="N34585">
        <f>IF(M34585="","",'Master Barang'!A79)</f>
        <v>0</v>
      </c>
      <c r="O34585">
        <f>IF(N34585="","",'Master Barang'!B79)</f>
        <v>0</v>
      </c>
      <c r="P34585">
        <f>IF(OR(M34585="",N34585=""),"",SUMIFS('Barang Keluar'!$E:$E,'Barang Keluar'!$A:$A,M34585,'Barang Keluar'!$C:$C,N34585))</f>
        <v>0</v>
      </c>
    </row>
    <row r="34586" spans="13:16">
      <c r="M34586" s="49">
        <f>IF($A$4+345&gt;$B$4,"",$A$4+345)</f>
        <v>46368</v>
      </c>
      <c r="N34586">
        <f>IF(M34586="","",'Master Barang'!A80)</f>
        <v>0</v>
      </c>
      <c r="O34586">
        <f>IF(N34586="","",'Master Barang'!B80)</f>
        <v>0</v>
      </c>
      <c r="P34586">
        <f>IF(OR(M34586="",N34586=""),"",SUMIFS('Barang Keluar'!$E:$E,'Barang Keluar'!$A:$A,M34586,'Barang Keluar'!$C:$C,N34586))</f>
        <v>0</v>
      </c>
    </row>
    <row r="34587" spans="13:16">
      <c r="M34587" s="49">
        <f>IF($A$4+345&gt;$B$4,"",$A$4+345)</f>
        <v>46368</v>
      </c>
      <c r="N34587">
        <f>IF(M34587="","",'Master Barang'!A81)</f>
        <v>0</v>
      </c>
      <c r="O34587">
        <f>IF(N34587="","",'Master Barang'!B81)</f>
        <v>0</v>
      </c>
      <c r="P34587">
        <f>IF(OR(M34587="",N34587=""),"",SUMIFS('Barang Keluar'!$E:$E,'Barang Keluar'!$A:$A,M34587,'Barang Keluar'!$C:$C,N34587))</f>
        <v>0</v>
      </c>
    </row>
    <row r="34588" spans="13:16">
      <c r="M34588" s="49">
        <f>IF($A$4+345&gt;$B$4,"",$A$4+345)</f>
        <v>46368</v>
      </c>
      <c r="N34588">
        <f>IF(M34588="","",'Master Barang'!A82)</f>
        <v>0</v>
      </c>
      <c r="O34588">
        <f>IF(N34588="","",'Master Barang'!B82)</f>
        <v>0</v>
      </c>
      <c r="P34588">
        <f>IF(OR(M34588="",N34588=""),"",SUMIFS('Barang Keluar'!$E:$E,'Barang Keluar'!$A:$A,M34588,'Barang Keluar'!$C:$C,N34588))</f>
        <v>0</v>
      </c>
    </row>
    <row r="34589" spans="13:16">
      <c r="M34589" s="49">
        <f>IF($A$4+345&gt;$B$4,"",$A$4+345)</f>
        <v>46368</v>
      </c>
      <c r="N34589">
        <f>IF(M34589="","",'Master Barang'!A83)</f>
        <v>0</v>
      </c>
      <c r="O34589">
        <f>IF(N34589="","",'Master Barang'!B83)</f>
        <v>0</v>
      </c>
      <c r="P34589">
        <f>IF(OR(M34589="",N34589=""),"",SUMIFS('Barang Keluar'!$E:$E,'Barang Keluar'!$A:$A,M34589,'Barang Keluar'!$C:$C,N34589))</f>
        <v>0</v>
      </c>
    </row>
    <row r="34590" spans="13:16">
      <c r="M34590" s="49">
        <f>IF($A$4+345&gt;$B$4,"",$A$4+345)</f>
        <v>46368</v>
      </c>
      <c r="N34590">
        <f>IF(M34590="","",'Master Barang'!A84)</f>
        <v>0</v>
      </c>
      <c r="O34590">
        <f>IF(N34590="","",'Master Barang'!B84)</f>
        <v>0</v>
      </c>
      <c r="P34590">
        <f>IF(OR(M34590="",N34590=""),"",SUMIFS('Barang Keluar'!$E:$E,'Barang Keluar'!$A:$A,M34590,'Barang Keluar'!$C:$C,N34590))</f>
        <v>0</v>
      </c>
    </row>
    <row r="34591" spans="13:16">
      <c r="M34591" s="49">
        <f>IF($A$4+345&gt;$B$4,"",$A$4+345)</f>
        <v>46368</v>
      </c>
      <c r="N34591">
        <f>IF(M34591="","",'Master Barang'!A85)</f>
        <v>0</v>
      </c>
      <c r="O34591">
        <f>IF(N34591="","",'Master Barang'!B85)</f>
        <v>0</v>
      </c>
      <c r="P34591">
        <f>IF(OR(M34591="",N34591=""),"",SUMIFS('Barang Keluar'!$E:$E,'Barang Keluar'!$A:$A,M34591,'Barang Keluar'!$C:$C,N34591))</f>
        <v>0</v>
      </c>
    </row>
    <row r="34592" spans="13:16">
      <c r="M34592" s="49">
        <f>IF($A$4+345&gt;$B$4,"",$A$4+345)</f>
        <v>46368</v>
      </c>
      <c r="N34592">
        <f>IF(M34592="","",'Master Barang'!A86)</f>
        <v>0</v>
      </c>
      <c r="O34592">
        <f>IF(N34592="","",'Master Barang'!B86)</f>
        <v>0</v>
      </c>
      <c r="P34592">
        <f>IF(OR(M34592="",N34592=""),"",SUMIFS('Barang Keluar'!$E:$E,'Barang Keluar'!$A:$A,M34592,'Barang Keluar'!$C:$C,N34592))</f>
        <v>0</v>
      </c>
    </row>
    <row r="34593" spans="13:16">
      <c r="M34593" s="49">
        <f>IF($A$4+345&gt;$B$4,"",$A$4+345)</f>
        <v>46368</v>
      </c>
      <c r="N34593">
        <f>IF(M34593="","",'Master Barang'!A87)</f>
        <v>0</v>
      </c>
      <c r="O34593">
        <f>IF(N34593="","",'Master Barang'!B87)</f>
        <v>0</v>
      </c>
      <c r="P34593">
        <f>IF(OR(M34593="",N34593=""),"",SUMIFS('Barang Keluar'!$E:$E,'Barang Keluar'!$A:$A,M34593,'Barang Keluar'!$C:$C,N34593))</f>
        <v>0</v>
      </c>
    </row>
    <row r="34594" spans="13:16">
      <c r="M34594" s="49">
        <f>IF($A$4+345&gt;$B$4,"",$A$4+345)</f>
        <v>46368</v>
      </c>
      <c r="N34594">
        <f>IF(M34594="","",'Master Barang'!A88)</f>
        <v>0</v>
      </c>
      <c r="O34594">
        <f>IF(N34594="","",'Master Barang'!B88)</f>
        <v>0</v>
      </c>
      <c r="P34594">
        <f>IF(OR(M34594="",N34594=""),"",SUMIFS('Barang Keluar'!$E:$E,'Barang Keluar'!$A:$A,M34594,'Barang Keluar'!$C:$C,N34594))</f>
        <v>0</v>
      </c>
    </row>
    <row r="34595" spans="13:16">
      <c r="M34595" s="49">
        <f>IF($A$4+345&gt;$B$4,"",$A$4+345)</f>
        <v>46368</v>
      </c>
      <c r="N34595">
        <f>IF(M34595="","",'Master Barang'!A89)</f>
        <v>0</v>
      </c>
      <c r="O34595">
        <f>IF(N34595="","",'Master Barang'!B89)</f>
        <v>0</v>
      </c>
      <c r="P34595">
        <f>IF(OR(M34595="",N34595=""),"",SUMIFS('Barang Keluar'!$E:$E,'Barang Keluar'!$A:$A,M34595,'Barang Keluar'!$C:$C,N34595))</f>
        <v>0</v>
      </c>
    </row>
    <row r="34596" spans="13:16">
      <c r="M34596" s="49">
        <f>IF($A$4+345&gt;$B$4,"",$A$4+345)</f>
        <v>46368</v>
      </c>
      <c r="N34596">
        <f>IF(M34596="","",'Master Barang'!A90)</f>
        <v>0</v>
      </c>
      <c r="O34596">
        <f>IF(N34596="","",'Master Barang'!B90)</f>
        <v>0</v>
      </c>
      <c r="P34596">
        <f>IF(OR(M34596="",N34596=""),"",SUMIFS('Barang Keluar'!$E:$E,'Barang Keluar'!$A:$A,M34596,'Barang Keluar'!$C:$C,N34596))</f>
        <v>0</v>
      </c>
    </row>
    <row r="34597" spans="13:16">
      <c r="M34597" s="49">
        <f>IF($A$4+345&gt;$B$4,"",$A$4+345)</f>
        <v>46368</v>
      </c>
      <c r="N34597">
        <f>IF(M34597="","",'Master Barang'!A91)</f>
        <v>0</v>
      </c>
      <c r="O34597">
        <f>IF(N34597="","",'Master Barang'!B91)</f>
        <v>0</v>
      </c>
      <c r="P34597">
        <f>IF(OR(M34597="",N34597=""),"",SUMIFS('Barang Keluar'!$E:$E,'Barang Keluar'!$A:$A,M34597,'Barang Keluar'!$C:$C,N34597))</f>
        <v>0</v>
      </c>
    </row>
    <row r="34598" spans="13:16">
      <c r="M34598" s="49">
        <f>IF($A$4+345&gt;$B$4,"",$A$4+345)</f>
        <v>46368</v>
      </c>
      <c r="N34598">
        <f>IF(M34598="","",'Master Barang'!A92)</f>
        <v>0</v>
      </c>
      <c r="O34598">
        <f>IF(N34598="","",'Master Barang'!B92)</f>
        <v>0</v>
      </c>
      <c r="P34598">
        <f>IF(OR(M34598="",N34598=""),"",SUMIFS('Barang Keluar'!$E:$E,'Barang Keluar'!$A:$A,M34598,'Barang Keluar'!$C:$C,N34598))</f>
        <v>0</v>
      </c>
    </row>
    <row r="34599" spans="13:16">
      <c r="M34599" s="49">
        <f>IF($A$4+345&gt;$B$4,"",$A$4+345)</f>
        <v>46368</v>
      </c>
      <c r="N34599">
        <f>IF(M34599="","",'Master Barang'!A93)</f>
        <v>0</v>
      </c>
      <c r="O34599">
        <f>IF(N34599="","",'Master Barang'!B93)</f>
        <v>0</v>
      </c>
      <c r="P34599">
        <f>IF(OR(M34599="",N34599=""),"",SUMIFS('Barang Keluar'!$E:$E,'Barang Keluar'!$A:$A,M34599,'Barang Keluar'!$C:$C,N34599))</f>
        <v>0</v>
      </c>
    </row>
    <row r="34600" spans="13:16">
      <c r="M34600" s="49">
        <f>IF($A$4+345&gt;$B$4,"",$A$4+345)</f>
        <v>46368</v>
      </c>
      <c r="N34600">
        <f>IF(M34600="","",'Master Barang'!A94)</f>
        <v>0</v>
      </c>
      <c r="O34600">
        <f>IF(N34600="","",'Master Barang'!B94)</f>
        <v>0</v>
      </c>
      <c r="P34600">
        <f>IF(OR(M34600="",N34600=""),"",SUMIFS('Barang Keluar'!$E:$E,'Barang Keluar'!$A:$A,M34600,'Barang Keluar'!$C:$C,N34600))</f>
        <v>0</v>
      </c>
    </row>
    <row r="34601" spans="13:16">
      <c r="M34601" s="49">
        <f>IF($A$4+345&gt;$B$4,"",$A$4+345)</f>
        <v>46368</v>
      </c>
      <c r="N34601">
        <f>IF(M34601="","",'Master Barang'!A95)</f>
        <v>0</v>
      </c>
      <c r="O34601">
        <f>IF(N34601="","",'Master Barang'!B95)</f>
        <v>0</v>
      </c>
      <c r="P34601">
        <f>IF(OR(M34601="",N34601=""),"",SUMIFS('Barang Keluar'!$E:$E,'Barang Keluar'!$A:$A,M34601,'Barang Keluar'!$C:$C,N34601))</f>
        <v>0</v>
      </c>
    </row>
    <row r="34602" spans="13:16">
      <c r="M34602" s="49">
        <f>IF($A$4+345&gt;$B$4,"",$A$4+345)</f>
        <v>46368</v>
      </c>
      <c r="N34602">
        <f>IF(M34602="","",'Master Barang'!A96)</f>
        <v>0</v>
      </c>
      <c r="O34602">
        <f>IF(N34602="","",'Master Barang'!B96)</f>
        <v>0</v>
      </c>
      <c r="P34602">
        <f>IF(OR(M34602="",N34602=""),"",SUMIFS('Barang Keluar'!$E:$E,'Barang Keluar'!$A:$A,M34602,'Barang Keluar'!$C:$C,N34602))</f>
        <v>0</v>
      </c>
    </row>
    <row r="34603" spans="13:16">
      <c r="M34603" s="49">
        <f>IF($A$4+345&gt;$B$4,"",$A$4+345)</f>
        <v>46368</v>
      </c>
      <c r="N34603">
        <f>IF(M34603="","",'Master Barang'!A97)</f>
        <v>0</v>
      </c>
      <c r="O34603">
        <f>IF(N34603="","",'Master Barang'!B97)</f>
        <v>0</v>
      </c>
      <c r="P34603">
        <f>IF(OR(M34603="",N34603=""),"",SUMIFS('Barang Keluar'!$E:$E,'Barang Keluar'!$A:$A,M34603,'Barang Keluar'!$C:$C,N34603))</f>
        <v>0</v>
      </c>
    </row>
    <row r="34604" spans="13:16">
      <c r="M34604" s="49">
        <f>IF($A$4+345&gt;$B$4,"",$A$4+345)</f>
        <v>46368</v>
      </c>
      <c r="N34604">
        <f>IF(M34604="","",'Master Barang'!A98)</f>
        <v>0</v>
      </c>
      <c r="O34604">
        <f>IF(N34604="","",'Master Barang'!B98)</f>
        <v>0</v>
      </c>
      <c r="P34604">
        <f>IF(OR(M34604="",N34604=""),"",SUMIFS('Barang Keluar'!$E:$E,'Barang Keluar'!$A:$A,M34604,'Barang Keluar'!$C:$C,N34604))</f>
        <v>0</v>
      </c>
    </row>
    <row r="34605" spans="13:16">
      <c r="M34605" s="49">
        <f>IF($A$4+345&gt;$B$4,"",$A$4+345)</f>
        <v>46368</v>
      </c>
      <c r="N34605">
        <f>IF(M34605="","",'Master Barang'!A99)</f>
        <v>0</v>
      </c>
      <c r="O34605">
        <f>IF(N34605="","",'Master Barang'!B99)</f>
        <v>0</v>
      </c>
      <c r="P34605">
        <f>IF(OR(M34605="",N34605=""),"",SUMIFS('Barang Keluar'!$E:$E,'Barang Keluar'!$A:$A,M34605,'Barang Keluar'!$C:$C,N34605))</f>
        <v>0</v>
      </c>
    </row>
    <row r="34606" spans="13:16">
      <c r="M34606" s="49">
        <f>IF($A$4+345&gt;$B$4,"",$A$4+345)</f>
        <v>46368</v>
      </c>
      <c r="N34606">
        <f>IF(M34606="","",'Master Barang'!A100)</f>
        <v>0</v>
      </c>
      <c r="O34606">
        <f>IF(N34606="","",'Master Barang'!B100)</f>
        <v>0</v>
      </c>
      <c r="P34606">
        <f>IF(OR(M34606="",N34606=""),"",SUMIFS('Barang Keluar'!$E:$E,'Barang Keluar'!$A:$A,M34606,'Barang Keluar'!$C:$C,N34606))</f>
        <v>0</v>
      </c>
    </row>
    <row r="34607" spans="13:16">
      <c r="M34607" s="49">
        <f>IF($A$4+345&gt;$B$4,"",$A$4+345)</f>
        <v>46368</v>
      </c>
      <c r="N34607">
        <f>IF(M34607="","",'Master Barang'!A101)</f>
        <v>0</v>
      </c>
      <c r="O34607">
        <f>IF(N34607="","",'Master Barang'!B101)</f>
        <v>0</v>
      </c>
      <c r="P34607">
        <f>IF(OR(M34607="",N34607=""),"",SUMIFS('Barang Keluar'!$E:$E,'Barang Keluar'!$A:$A,M34607,'Barang Keluar'!$C:$C,N34607))</f>
        <v>0</v>
      </c>
    </row>
    <row r="34608" spans="13:16">
      <c r="M34608" s="49">
        <f>IF($A$4+346&gt;$B$4,"",$A$4+346)</f>
        <v>46369</v>
      </c>
      <c r="N34608" t="str">
        <f>IF(M34608="","",'Master Barang'!A2)</f>
        <v>PRL-001</v>
      </c>
      <c r="O34608" t="str">
        <f>IF(N34608="","",'Master Barang'!B2)</f>
        <v>natura desinfectant food grade 5l</v>
      </c>
      <c r="P34608">
        <f>IF(OR(M34608="",N34608=""),"",SUMIFS('Barang Keluar'!$E:$E,'Barang Keluar'!$A:$A,M34608,'Barang Keluar'!$C:$C,N34608))</f>
        <v>0</v>
      </c>
    </row>
    <row r="34609" spans="13:16">
      <c r="M34609" s="49">
        <f>IF($A$4+346&gt;$B$4,"",$A$4+346)</f>
        <v>46369</v>
      </c>
      <c r="N34609" t="str">
        <f>IF(M34609="","",'Master Barang'!A3)</f>
        <v>PRL-002</v>
      </c>
      <c r="O34609" t="str">
        <f>IF(N34609="","",'Master Barang'!B3)</f>
        <v>sunlight cairan pencuci piring 5l</v>
      </c>
      <c r="P34609">
        <f>IF(OR(M34609="",N34609=""),"",SUMIFS('Barang Keluar'!$E:$E,'Barang Keluar'!$A:$A,M34609,'Barang Keluar'!$C:$C,N34609))</f>
        <v>0</v>
      </c>
    </row>
    <row r="34610" spans="13:16">
      <c r="M34610" s="49">
        <f>IF($A$4+346&gt;$B$4,"",$A$4+346)</f>
        <v>46369</v>
      </c>
      <c r="N34610" t="str">
        <f>IF(M34610="","",'Master Barang'!A4)</f>
        <v>PRL-003</v>
      </c>
      <c r="O34610" t="str">
        <f>IF(N34610="","",'Master Barang'!B4)</f>
        <v>oixs cleaner 1l</v>
      </c>
      <c r="P34610">
        <f>IF(OR(M34610="",N34610=""),"",SUMIFS('Barang Keluar'!$E:$E,'Barang Keluar'!$A:$A,M34610,'Barang Keluar'!$C:$C,N34610))</f>
        <v>0</v>
      </c>
    </row>
    <row r="34611" spans="13:16">
      <c r="M34611" s="49">
        <f>IF($A$4+346&gt;$B$4,"",$A$4+346)</f>
        <v>46369</v>
      </c>
      <c r="N34611" t="str">
        <f>IF(M34611="","",'Master Barang'!A5)</f>
        <v>PRL-004</v>
      </c>
      <c r="O34611" t="str">
        <f>IF(N34611="","",'Master Barang'!B5)</f>
        <v>be clean tissue serbaguna</v>
      </c>
      <c r="P34611">
        <f>IF(OR(M34611="",N34611=""),"",SUMIFS('Barang Keluar'!$E:$E,'Barang Keluar'!$A:$A,M34611,'Barang Keluar'!$C:$C,N34611))</f>
        <v>0</v>
      </c>
    </row>
    <row r="34612" spans="13:16">
      <c r="M34612" s="49">
        <f>IF($A$4+346&gt;$B$4,"",$A$4+346)</f>
        <v>46369</v>
      </c>
      <c r="N34612" t="str">
        <f>IF(M34612="","",'Master Barang'!A6)</f>
        <v>PRL-005</v>
      </c>
      <c r="O34612" t="str">
        <f>IF(N34612="","",'Master Barang'!B6)</f>
        <v>spons cuci hijau</v>
      </c>
      <c r="P34612">
        <f>IF(OR(M34612="",N34612=""),"",SUMIFS('Barang Keluar'!$E:$E,'Barang Keluar'!$A:$A,M34612,'Barang Keluar'!$C:$C,N34612))</f>
        <v>0</v>
      </c>
    </row>
    <row r="34613" spans="13:16">
      <c r="M34613" s="49">
        <f>IF($A$4+346&gt;$B$4,"",$A$4+346)</f>
        <v>46369</v>
      </c>
      <c r="N34613" t="str">
        <f>IF(M34613="","",'Master Barang'!A7)</f>
        <v>PRL-006</v>
      </c>
      <c r="O34613" t="str">
        <f>IF(N34613="","",'Master Barang'!B7)</f>
        <v>sabut cuci stainless</v>
      </c>
      <c r="P34613">
        <f>IF(OR(M34613="",N34613=""),"",SUMIFS('Barang Keluar'!$E:$E,'Barang Keluar'!$A:$A,M34613,'Barang Keluar'!$C:$C,N34613))</f>
        <v>0</v>
      </c>
    </row>
    <row r="34614" spans="13:16">
      <c r="M34614" s="49">
        <f>IF($A$4+346&gt;$B$4,"",$A$4+346)</f>
        <v>46369</v>
      </c>
      <c r="N34614" t="str">
        <f>IF(M34614="","",'Master Barang'!A8)</f>
        <v>PRL-007</v>
      </c>
      <c r="O34614" t="str">
        <f>IF(N34614="","",'Master Barang'!B8)</f>
        <v>plastik kresek besar merah 50pc</v>
      </c>
      <c r="P34614">
        <f>IF(OR(M34614="",N34614=""),"",SUMIFS('Barang Keluar'!$E:$E,'Barang Keluar'!$A:$A,M34614,'Barang Keluar'!$C:$C,N34614))</f>
        <v>0</v>
      </c>
    </row>
    <row r="34615" spans="13:16">
      <c r="M34615" s="49">
        <f>IF($A$4+346&gt;$B$4,"",$A$4+346)</f>
        <v>46369</v>
      </c>
      <c r="N34615" t="str">
        <f>IF(M34615="","",'Master Barang'!A9)</f>
        <v>PRL-008</v>
      </c>
      <c r="O34615" t="str">
        <f>IF(N34615="","",'Master Barang'!B9)</f>
        <v>lap besar</v>
      </c>
      <c r="P34615">
        <f>IF(OR(M34615="",N34615=""),"",SUMIFS('Barang Keluar'!$E:$E,'Barang Keluar'!$A:$A,M34615,'Barang Keluar'!$C:$C,N34615))</f>
        <v>0</v>
      </c>
    </row>
    <row r="34616" spans="13:16">
      <c r="M34616" s="49">
        <f>IF($A$4+346&gt;$B$4,"",$A$4+346)</f>
        <v>46369</v>
      </c>
      <c r="N34616" t="str">
        <f>IF(M34616="","",'Master Barang'!A10)</f>
        <v>PRL-009</v>
      </c>
      <c r="O34616" t="str">
        <f>IF(N34616="","",'Master Barang'!B10)</f>
        <v>lap microfiber</v>
      </c>
      <c r="P34616">
        <f>IF(OR(M34616="",N34616=""),"",SUMIFS('Barang Keluar'!$E:$E,'Barang Keluar'!$A:$A,M34616,'Barang Keluar'!$C:$C,N34616))</f>
        <v>0</v>
      </c>
    </row>
    <row r="34617" spans="13:16">
      <c r="M34617" s="49">
        <f>IF($A$4+346&gt;$B$4,"",$A$4+346)</f>
        <v>46369</v>
      </c>
      <c r="N34617" t="str">
        <f>IF(M34617="","",'Master Barang'!A11)</f>
        <v>PRL-010</v>
      </c>
      <c r="O34617" t="str">
        <f>IF(N34617="","",'Master Barang'!B11)</f>
        <v>lap kecil</v>
      </c>
      <c r="P34617">
        <f>IF(OR(M34617="",N34617=""),"",SUMIFS('Barang Keluar'!$E:$E,'Barang Keluar'!$A:$A,M34617,'Barang Keluar'!$C:$C,N34617))</f>
        <v>0</v>
      </c>
    </row>
    <row r="34618" spans="13:16">
      <c r="M34618" s="49">
        <f>IF($A$4+346&gt;$B$4,"",$A$4+346)</f>
        <v>46369</v>
      </c>
      <c r="N34618" t="str">
        <f>IF(M34618="","",'Master Barang'!A12)</f>
        <v>PRL-011</v>
      </c>
      <c r="O34618" t="str">
        <f>IF(N34618="","",'Master Barang'!B12)</f>
        <v>kanebo kecil</v>
      </c>
      <c r="P34618">
        <f>IF(OR(M34618="",N34618=""),"",SUMIFS('Barang Keluar'!$E:$E,'Barang Keluar'!$A:$A,M34618,'Barang Keluar'!$C:$C,N34618))</f>
        <v>0</v>
      </c>
    </row>
    <row r="34619" spans="13:16">
      <c r="M34619" s="49">
        <f>IF($A$4+346&gt;$B$4,"",$A$4+346)</f>
        <v>46369</v>
      </c>
      <c r="N34619" t="str">
        <f>IF(M34619="","",'Master Barang'!A13)</f>
        <v>PRL-012</v>
      </c>
      <c r="O34619" t="str">
        <f>IF(N34619="","",'Master Barang'!B13)</f>
        <v>plastik 1/4kg joyoboyo 100 lembar</v>
      </c>
      <c r="P34619">
        <f>IF(OR(M34619="",N34619=""),"",SUMIFS('Barang Keluar'!$E:$E,'Barang Keluar'!$A:$A,M34619,'Barang Keluar'!$C:$C,N34619))</f>
        <v>0</v>
      </c>
    </row>
    <row r="34620" spans="13:16">
      <c r="M34620" s="49">
        <f>IF($A$4+346&gt;$B$4,"",$A$4+346)</f>
        <v>46369</v>
      </c>
      <c r="N34620" t="str">
        <f>IF(M34620="","",'Master Barang'!A14)</f>
        <v>PRL-013</v>
      </c>
      <c r="O34620" t="str">
        <f>IF(N34620="","",'Master Barang'!B14)</f>
        <v>sarung tangan plastik kaka 100 pcs</v>
      </c>
      <c r="P34620">
        <f>IF(OR(M34620="",N34620=""),"",SUMIFS('Barang Keluar'!$E:$E,'Barang Keluar'!$A:$A,M34620,'Barang Keluar'!$C:$C,N34620))</f>
        <v>0</v>
      </c>
    </row>
    <row r="34621" spans="13:16">
      <c r="M34621" s="49">
        <f>IF($A$4+346&gt;$B$4,"",$A$4+346)</f>
        <v>46369</v>
      </c>
      <c r="N34621" t="str">
        <f>IF(M34621="","",'Master Barang'!A15)</f>
        <v>PRL-014</v>
      </c>
      <c r="O34621" t="str">
        <f>IF(N34621="","",'Master Barang'!B15)</f>
        <v>optima trashbag 80x100</v>
      </c>
      <c r="P34621">
        <f>IF(OR(M34621="",N34621=""),"",SUMIFS('Barang Keluar'!$E:$E,'Barang Keluar'!$A:$A,M34621,'Barang Keluar'!$C:$C,N34621))</f>
        <v>0</v>
      </c>
    </row>
    <row r="34622" spans="13:16">
      <c r="M34622" s="49">
        <f>IF($A$4+346&gt;$B$4,"",$A$4+346)</f>
        <v>46369</v>
      </c>
      <c r="N34622" t="str">
        <f>IF(M34622="","",'Master Barang'!A16)</f>
        <v>PRL-015</v>
      </c>
      <c r="O34622" t="str">
        <f>IF(N34622="","",'Master Barang'!B16)</f>
        <v>optima trashbag 60x100</v>
      </c>
      <c r="P34622">
        <f>IF(OR(M34622="",N34622=""),"",SUMIFS('Barang Keluar'!$E:$E,'Barang Keluar'!$A:$A,M34622,'Barang Keluar'!$C:$C,N34622))</f>
        <v>0</v>
      </c>
    </row>
    <row r="34623" spans="13:16">
      <c r="M34623" s="49">
        <f>IF($A$4+346&gt;$B$4,"",$A$4+346)</f>
        <v>46369</v>
      </c>
      <c r="N34623" t="str">
        <f>IF(M34623="","",'Master Barang'!A17)</f>
        <v>PRL-016</v>
      </c>
      <c r="O34623" t="str">
        <f>IF(N34623="","",'Master Barang'!B17)</f>
        <v>rajawali trashbag 30x40</v>
      </c>
      <c r="P34623">
        <f>IF(OR(M34623="",N34623=""),"",SUMIFS('Barang Keluar'!$E:$E,'Barang Keluar'!$A:$A,M34623,'Barang Keluar'!$C:$C,N34623))</f>
        <v>0</v>
      </c>
    </row>
    <row r="34624" spans="13:16">
      <c r="M34624" s="49">
        <f>IF($A$4+346&gt;$B$4,"",$A$4+346)</f>
        <v>46369</v>
      </c>
      <c r="N34624" t="str">
        <f>IF(M34624="","",'Master Barang'!A18)</f>
        <v>PRL-017</v>
      </c>
      <c r="O34624" t="str">
        <f>IF(N34624="","",'Master Barang'!B18)</f>
        <v>onemed masker biru 3 play 50 pcs</v>
      </c>
      <c r="P34624">
        <f>IF(OR(M34624="",N34624=""),"",SUMIFS('Barang Keluar'!$E:$E,'Barang Keluar'!$A:$A,M34624,'Barang Keluar'!$C:$C,N34624))</f>
        <v>0</v>
      </c>
    </row>
    <row r="34625" spans="13:16">
      <c r="M34625" s="49">
        <f>IF($A$4+346&gt;$B$4,"",$A$4+346)</f>
        <v>46369</v>
      </c>
      <c r="N34625" t="str">
        <f>IF(M34625="","",'Master Barang'!A19)</f>
        <v>PRL-018</v>
      </c>
      <c r="O34625" t="str">
        <f>IF(N34625="","",'Master Barang'!B19)</f>
        <v>onemed masker biru 3 play hijab 50 pcs</v>
      </c>
      <c r="P34625">
        <f>IF(OR(M34625="",N34625=""),"",SUMIFS('Barang Keluar'!$E:$E,'Barang Keluar'!$A:$A,M34625,'Barang Keluar'!$C:$C,N34625))</f>
        <v>0</v>
      </c>
    </row>
    <row r="34626" spans="13:16">
      <c r="M34626" s="49">
        <f>IF($A$4+346&gt;$B$4,"",$A$4+346)</f>
        <v>46369</v>
      </c>
      <c r="N34626" t="str">
        <f>IF(M34626="","",'Master Barang'!A20)</f>
        <v>PRL-019</v>
      </c>
      <c r="O34626" t="str">
        <f>IF(N34626="","",'Master Barang'!B20)</f>
        <v>neo health masker biru 3 play 50 pcs</v>
      </c>
      <c r="P34626">
        <f>IF(OR(M34626="",N34626=""),"",SUMIFS('Barang Keluar'!$E:$E,'Barang Keluar'!$A:$A,M34626,'Barang Keluar'!$C:$C,N34626))</f>
        <v>0</v>
      </c>
    </row>
    <row r="34627" spans="13:16">
      <c r="M34627" s="49">
        <f>IF($A$4+346&gt;$B$4,"",$A$4+346)</f>
        <v>46369</v>
      </c>
      <c r="N34627" t="str">
        <f>IF(M34627="","",'Master Barang'!A21)</f>
        <v>PRL-020</v>
      </c>
      <c r="O34627" t="str">
        <f>IF(N34627="","",'Master Barang'!B21)</f>
        <v>baymed masker hijau 3 play hijau 50 pcs</v>
      </c>
      <c r="P34627">
        <f>IF(OR(M34627="",N34627=""),"",SUMIFS('Barang Keluar'!$E:$E,'Barang Keluar'!$A:$A,M34627,'Barang Keluar'!$C:$C,N34627))</f>
        <v>0</v>
      </c>
    </row>
    <row r="34628" spans="13:16">
      <c r="M34628" s="49">
        <f>IF($A$4+346&gt;$B$4,"",$A$4+346)</f>
        <v>46369</v>
      </c>
      <c r="N34628" t="str">
        <f>IF(M34628="","",'Master Barang'!A22)</f>
        <v>PRL-021</v>
      </c>
      <c r="O34628" t="str">
        <f>IF(N34628="","",'Master Barang'!B22)</f>
        <v>altamed nurse cap penutup kepala 100 pcs</v>
      </c>
      <c r="P34628">
        <f>IF(OR(M34628="",N34628=""),"",SUMIFS('Barang Keluar'!$E:$E,'Barang Keluar'!$A:$A,M34628,'Barang Keluar'!$C:$C,N34628))</f>
        <v>0</v>
      </c>
    </row>
    <row r="34629" spans="13:16">
      <c r="M34629" s="49">
        <f>IF($A$4+346&gt;$B$4,"",$A$4+346)</f>
        <v>46369</v>
      </c>
      <c r="N34629" t="str">
        <f>IF(M34629="","",'Master Barang'!A23)</f>
        <v>PRL-022</v>
      </c>
      <c r="O34629" t="str">
        <f>IF(N34629="","",'Master Barang'!B23)</f>
        <v>sabun cuci tangan</v>
      </c>
      <c r="P34629">
        <f>IF(OR(M34629="",N34629=""),"",SUMIFS('Barang Keluar'!$E:$E,'Barang Keluar'!$A:$A,M34629,'Barang Keluar'!$C:$C,N34629))</f>
        <v>0</v>
      </c>
    </row>
    <row r="34630" spans="13:16">
      <c r="M34630" s="49">
        <f>IF($A$4+346&gt;$B$4,"",$A$4+346)</f>
        <v>46369</v>
      </c>
      <c r="N34630" t="str">
        <f>IF(M34630="","",'Master Barang'!A24)</f>
        <v>PRL-023</v>
      </c>
      <c r="O34630" t="str">
        <f>IF(N34630="","",'Master Barang'!B24)</f>
        <v>gayung kecil</v>
      </c>
      <c r="P34630">
        <f>IF(OR(M34630="",N34630=""),"",SUMIFS('Barang Keluar'!$E:$E,'Barang Keluar'!$A:$A,M34630,'Barang Keluar'!$C:$C,N34630))</f>
        <v>0</v>
      </c>
    </row>
    <row r="34631" spans="13:16">
      <c r="M34631" s="49">
        <f>IF($A$4+346&gt;$B$4,"",$A$4+346)</f>
        <v>46369</v>
      </c>
      <c r="N34631" t="str">
        <f>IF(M34631="","",'Master Barang'!A25)</f>
        <v>PRL-024</v>
      </c>
      <c r="O34631" t="str">
        <f>IF(N34631="","",'Master Barang'!B25)</f>
        <v>cikrak kecil</v>
      </c>
      <c r="P34631">
        <f>IF(OR(M34631="",N34631=""),"",SUMIFS('Barang Keluar'!$E:$E,'Barang Keluar'!$A:$A,M34631,'Barang Keluar'!$C:$C,N34631))</f>
        <v>0</v>
      </c>
    </row>
    <row r="34632" spans="13:16">
      <c r="M34632" s="49">
        <f>IF($A$4+346&gt;$B$4,"",$A$4+346)</f>
        <v>46369</v>
      </c>
      <c r="N34632" t="str">
        <f>IF(M34632="","",'Master Barang'!A26)</f>
        <v>PRL-025</v>
      </c>
      <c r="O34632" t="str">
        <f>IF(N34632="","",'Master Barang'!B26)</f>
        <v>petromax plastik kecil 12x24 100 lembar</v>
      </c>
      <c r="P34632">
        <f>IF(OR(M34632="",N34632=""),"",SUMIFS('Barang Keluar'!$E:$E,'Barang Keluar'!$A:$A,M34632,'Barang Keluar'!$C:$C,N34632))</f>
        <v>0</v>
      </c>
    </row>
    <row r="34633" spans="13:16">
      <c r="M34633" s="49">
        <f>IF($A$4+346&gt;$B$4,"",$A$4+346)</f>
        <v>46369</v>
      </c>
      <c r="N34633" t="str">
        <f>IF(M34633="","",'Master Barang'!A27)</f>
        <v>PRL-026</v>
      </c>
      <c r="O34633" t="str">
        <f>IF(N34633="","",'Master Barang'!B27)</f>
        <v>lancar kresek kecil bening </v>
      </c>
      <c r="P34633">
        <f>IF(OR(M34633="",N34633=""),"",SUMIFS('Barang Keluar'!$E:$E,'Barang Keluar'!$A:$A,M34633,'Barang Keluar'!$C:$C,N34633))</f>
        <v>0</v>
      </c>
    </row>
    <row r="34634" spans="13:16">
      <c r="M34634" s="49">
        <f>IF($A$4+346&gt;$B$4,"",$A$4+346)</f>
        <v>46369</v>
      </c>
      <c r="N34634" t="str">
        <f>IF(M34634="","",'Master Barang'!A28)</f>
        <v>PRL-027</v>
      </c>
      <c r="O34634" t="str">
        <f>IF(N34634="","",'Master Barang'!B28)</f>
        <v>kresek klin warna warni kecil</v>
      </c>
      <c r="P34634">
        <f>IF(OR(M34634="",N34634=""),"",SUMIFS('Barang Keluar'!$E:$E,'Barang Keluar'!$A:$A,M34634,'Barang Keluar'!$C:$C,N34634))</f>
        <v>0</v>
      </c>
    </row>
    <row r="34635" spans="13:16">
      <c r="M34635" s="49">
        <f>IF($A$4+346&gt;$B$4,"",$A$4+346)</f>
        <v>46369</v>
      </c>
      <c r="N34635" t="str">
        <f>IF(M34635="","",'Master Barang'!A29)</f>
        <v>PRL-028</v>
      </c>
      <c r="O34635" t="str">
        <f>IF(N34635="","",'Master Barang'!B29)</f>
        <v>ctik plastik 7x10 100 pcs</v>
      </c>
      <c r="P34635">
        <f>IF(OR(M34635="",N34635=""),"",SUMIFS('Barang Keluar'!$E:$E,'Barang Keluar'!$A:$A,M34635,'Barang Keluar'!$C:$C,N34635))</f>
        <v>0</v>
      </c>
    </row>
    <row r="34636" spans="13:16">
      <c r="M34636" s="49">
        <f>IF($A$4+346&gt;$B$4,"",$A$4+346)</f>
        <v>46369</v>
      </c>
      <c r="N34636" t="str">
        <f>IF(M34636="","",'Master Barang'!A30)</f>
        <v>PRL-029</v>
      </c>
      <c r="O34636" t="str">
        <f>IF(N34636="","",'Master Barang'!B30)</f>
        <v>ctik plastik 6x10 100 pcs</v>
      </c>
      <c r="P34636">
        <f>IF(OR(M34636="",N34636=""),"",SUMIFS('Barang Keluar'!$E:$E,'Barang Keluar'!$A:$A,M34636,'Barang Keluar'!$C:$C,N34636))</f>
        <v>0</v>
      </c>
    </row>
    <row r="34637" spans="13:16">
      <c r="M34637" s="49">
        <f>IF($A$4+346&gt;$B$4,"",$A$4+346)</f>
        <v>46369</v>
      </c>
      <c r="N34637" t="str">
        <f>IF(M34637="","",'Master Barang'!A31)</f>
        <v>PRL-030</v>
      </c>
      <c r="O34637" t="str">
        <f>IF(N34637="","",'Master Barang'!B31)</f>
        <v>klip plastik 25x16 100 pcs</v>
      </c>
      <c r="P34637">
        <f>IF(OR(M34637="",N34637=""),"",SUMIFS('Barang Keluar'!$E:$E,'Barang Keluar'!$A:$A,M34637,'Barang Keluar'!$C:$C,N34637))</f>
        <v>0</v>
      </c>
    </row>
    <row r="34638" spans="13:16">
      <c r="M34638" s="49">
        <f>IF($A$4+346&gt;$B$4,"",$A$4+346)</f>
        <v>46369</v>
      </c>
      <c r="N34638" t="str">
        <f>IF(M34638="","",'Master Barang'!A32)</f>
        <v>PRL-031</v>
      </c>
      <c r="O34638" t="str">
        <f>IF(N34638="","",'Master Barang'!B32)</f>
        <v>tempat saus 20 ml</v>
      </c>
      <c r="P34638">
        <f>IF(OR(M34638="",N34638=""),"",SUMIFS('Barang Keluar'!$E:$E,'Barang Keluar'!$A:$A,M34638,'Barang Keluar'!$C:$C,N34638))</f>
        <v>0</v>
      </c>
    </row>
    <row r="34639" spans="13:16">
      <c r="M34639" s="49">
        <f>IF($A$4+346&gt;$B$4,"",$A$4+346)</f>
        <v>46369</v>
      </c>
      <c r="N34639" t="str">
        <f>IF(M34639="","",'Master Barang'!A33)</f>
        <v>PRL-032</v>
      </c>
      <c r="O34639" t="str">
        <f>IF(N34639="","",'Master Barang'!B33)</f>
        <v>plastik packaging ag box uk sedang</v>
      </c>
      <c r="P34639">
        <f>IF(OR(M34639="",N34639=""),"",SUMIFS('Barang Keluar'!$E:$E,'Barang Keluar'!$A:$A,M34639,'Barang Keluar'!$C:$C,N34639))</f>
        <v>0</v>
      </c>
    </row>
    <row r="34640" spans="13:16">
      <c r="M34640" s="49">
        <f>IF($A$4+346&gt;$B$4,"",$A$4+346)</f>
        <v>46369</v>
      </c>
      <c r="N34640" t="str">
        <f>IF(M34640="","",'Master Barang'!A34)</f>
        <v>PRL-033</v>
      </c>
      <c r="O34640">
        <f>IF(N34640="","",'Master Barang'!B34)</f>
        <v>0</v>
      </c>
      <c r="P34640">
        <f>IF(OR(M34640="",N34640=""),"",SUMIFS('Barang Keluar'!$E:$E,'Barang Keluar'!$A:$A,M34640,'Barang Keluar'!$C:$C,N34640))</f>
        <v>0</v>
      </c>
    </row>
    <row r="34641" spans="13:16">
      <c r="M34641" s="49">
        <f>IF($A$4+346&gt;$B$4,"",$A$4+346)</f>
        <v>46369</v>
      </c>
      <c r="N34641">
        <f>IF(M34641="","",'Master Barang'!A35)</f>
        <v>0</v>
      </c>
      <c r="O34641">
        <f>IF(N34641="","",'Master Barang'!B35)</f>
        <v>0</v>
      </c>
      <c r="P34641">
        <f>IF(OR(M34641="",N34641=""),"",SUMIFS('Barang Keluar'!$E:$E,'Barang Keluar'!$A:$A,M34641,'Barang Keluar'!$C:$C,N34641))</f>
        <v>0</v>
      </c>
    </row>
    <row r="34642" spans="13:16">
      <c r="M34642" s="49">
        <f>IF($A$4+346&gt;$B$4,"",$A$4+346)</f>
        <v>46369</v>
      </c>
      <c r="N34642">
        <f>IF(M34642="","",'Master Barang'!A36)</f>
        <v>0</v>
      </c>
      <c r="O34642">
        <f>IF(N34642="","",'Master Barang'!B36)</f>
        <v>0</v>
      </c>
      <c r="P34642">
        <f>IF(OR(M34642="",N34642=""),"",SUMIFS('Barang Keluar'!$E:$E,'Barang Keluar'!$A:$A,M34642,'Barang Keluar'!$C:$C,N34642))</f>
        <v>0</v>
      </c>
    </row>
    <row r="34643" spans="13:16">
      <c r="M34643" s="49">
        <f>IF($A$4+346&gt;$B$4,"",$A$4+346)</f>
        <v>46369</v>
      </c>
      <c r="N34643">
        <f>IF(M34643="","",'Master Barang'!A37)</f>
        <v>0</v>
      </c>
      <c r="O34643">
        <f>IF(N34643="","",'Master Barang'!B37)</f>
        <v>0</v>
      </c>
      <c r="P34643">
        <f>IF(OR(M34643="",N34643=""),"",SUMIFS('Barang Keluar'!$E:$E,'Barang Keluar'!$A:$A,M34643,'Barang Keluar'!$C:$C,N34643))</f>
        <v>0</v>
      </c>
    </row>
    <row r="34644" spans="13:16">
      <c r="M34644" s="49">
        <f>IF($A$4+346&gt;$B$4,"",$A$4+346)</f>
        <v>46369</v>
      </c>
      <c r="N34644">
        <f>IF(M34644="","",'Master Barang'!A38)</f>
        <v>0</v>
      </c>
      <c r="O34644">
        <f>IF(N34644="","",'Master Barang'!B38)</f>
        <v>0</v>
      </c>
      <c r="P34644">
        <f>IF(OR(M34644="",N34644=""),"",SUMIFS('Barang Keluar'!$E:$E,'Barang Keluar'!$A:$A,M34644,'Barang Keluar'!$C:$C,N34644))</f>
        <v>0</v>
      </c>
    </row>
    <row r="34645" spans="13:16">
      <c r="M34645" s="49">
        <f>IF($A$4+346&gt;$B$4,"",$A$4+346)</f>
        <v>46369</v>
      </c>
      <c r="N34645">
        <f>IF(M34645="","",'Master Barang'!A39)</f>
        <v>0</v>
      </c>
      <c r="O34645">
        <f>IF(N34645="","",'Master Barang'!B39)</f>
        <v>0</v>
      </c>
      <c r="P34645">
        <f>IF(OR(M34645="",N34645=""),"",SUMIFS('Barang Keluar'!$E:$E,'Barang Keluar'!$A:$A,M34645,'Barang Keluar'!$C:$C,N34645))</f>
        <v>0</v>
      </c>
    </row>
    <row r="34646" spans="13:16">
      <c r="M34646" s="49">
        <f>IF($A$4+346&gt;$B$4,"",$A$4+346)</f>
        <v>46369</v>
      </c>
      <c r="N34646">
        <f>IF(M34646="","",'Master Barang'!A40)</f>
        <v>0</v>
      </c>
      <c r="O34646">
        <f>IF(N34646="","",'Master Barang'!B40)</f>
        <v>0</v>
      </c>
      <c r="P34646">
        <f>IF(OR(M34646="",N34646=""),"",SUMIFS('Barang Keluar'!$E:$E,'Barang Keluar'!$A:$A,M34646,'Barang Keluar'!$C:$C,N34646))</f>
        <v>0</v>
      </c>
    </row>
    <row r="34647" spans="13:16">
      <c r="M34647" s="49">
        <f>IF($A$4+346&gt;$B$4,"",$A$4+346)</f>
        <v>46369</v>
      </c>
      <c r="N34647">
        <f>IF(M34647="","",'Master Barang'!A41)</f>
        <v>0</v>
      </c>
      <c r="O34647">
        <f>IF(N34647="","",'Master Barang'!B41)</f>
        <v>0</v>
      </c>
      <c r="P34647">
        <f>IF(OR(M34647="",N34647=""),"",SUMIFS('Barang Keluar'!$E:$E,'Barang Keluar'!$A:$A,M34647,'Barang Keluar'!$C:$C,N34647))</f>
        <v>0</v>
      </c>
    </row>
    <row r="34648" spans="13:16">
      <c r="M34648" s="49">
        <f>IF($A$4+346&gt;$B$4,"",$A$4+346)</f>
        <v>46369</v>
      </c>
      <c r="N34648">
        <f>IF(M34648="","",'Master Barang'!A42)</f>
        <v>0</v>
      </c>
      <c r="O34648">
        <f>IF(N34648="","",'Master Barang'!B42)</f>
        <v>0</v>
      </c>
      <c r="P34648">
        <f>IF(OR(M34648="",N34648=""),"",SUMIFS('Barang Keluar'!$E:$E,'Barang Keluar'!$A:$A,M34648,'Barang Keluar'!$C:$C,N34648))</f>
        <v>0</v>
      </c>
    </row>
    <row r="34649" spans="13:16">
      <c r="M34649" s="49">
        <f>IF($A$4+346&gt;$B$4,"",$A$4+346)</f>
        <v>46369</v>
      </c>
      <c r="N34649">
        <f>IF(M34649="","",'Master Barang'!A43)</f>
        <v>0</v>
      </c>
      <c r="O34649">
        <f>IF(N34649="","",'Master Barang'!B43)</f>
        <v>0</v>
      </c>
      <c r="P34649">
        <f>IF(OR(M34649="",N34649=""),"",SUMIFS('Barang Keluar'!$E:$E,'Barang Keluar'!$A:$A,M34649,'Barang Keluar'!$C:$C,N34649))</f>
        <v>0</v>
      </c>
    </row>
    <row r="34650" spans="13:16">
      <c r="M34650" s="49">
        <f>IF($A$4+346&gt;$B$4,"",$A$4+346)</f>
        <v>46369</v>
      </c>
      <c r="N34650">
        <f>IF(M34650="","",'Master Barang'!A44)</f>
        <v>0</v>
      </c>
      <c r="O34650">
        <f>IF(N34650="","",'Master Barang'!B44)</f>
        <v>0</v>
      </c>
      <c r="P34650">
        <f>IF(OR(M34650="",N34650=""),"",SUMIFS('Barang Keluar'!$E:$E,'Barang Keluar'!$A:$A,M34650,'Barang Keluar'!$C:$C,N34650))</f>
        <v>0</v>
      </c>
    </row>
    <row r="34651" spans="13:16">
      <c r="M34651" s="49">
        <f>IF($A$4+346&gt;$B$4,"",$A$4+346)</f>
        <v>46369</v>
      </c>
      <c r="N34651">
        <f>IF(M34651="","",'Master Barang'!A45)</f>
        <v>0</v>
      </c>
      <c r="O34651">
        <f>IF(N34651="","",'Master Barang'!B45)</f>
        <v>0</v>
      </c>
      <c r="P34651">
        <f>IF(OR(M34651="",N34651=""),"",SUMIFS('Barang Keluar'!$E:$E,'Barang Keluar'!$A:$A,M34651,'Barang Keluar'!$C:$C,N34651))</f>
        <v>0</v>
      </c>
    </row>
    <row r="34652" spans="13:16">
      <c r="M34652" s="49">
        <f>IF($A$4+346&gt;$B$4,"",$A$4+346)</f>
        <v>46369</v>
      </c>
      <c r="N34652">
        <f>IF(M34652="","",'Master Barang'!A46)</f>
        <v>0</v>
      </c>
      <c r="O34652">
        <f>IF(N34652="","",'Master Barang'!B46)</f>
        <v>0</v>
      </c>
      <c r="P34652">
        <f>IF(OR(M34652="",N34652=""),"",SUMIFS('Barang Keluar'!$E:$E,'Barang Keluar'!$A:$A,M34652,'Barang Keluar'!$C:$C,N34652))</f>
        <v>0</v>
      </c>
    </row>
    <row r="34653" spans="13:16">
      <c r="M34653" s="49">
        <f>IF($A$4+346&gt;$B$4,"",$A$4+346)</f>
        <v>46369</v>
      </c>
      <c r="N34653">
        <f>IF(M34653="","",'Master Barang'!A47)</f>
        <v>0</v>
      </c>
      <c r="O34653">
        <f>IF(N34653="","",'Master Barang'!B47)</f>
        <v>0</v>
      </c>
      <c r="P34653">
        <f>IF(OR(M34653="",N34653=""),"",SUMIFS('Barang Keluar'!$E:$E,'Barang Keluar'!$A:$A,M34653,'Barang Keluar'!$C:$C,N34653))</f>
        <v>0</v>
      </c>
    </row>
    <row r="34654" spans="13:16">
      <c r="M34654" s="49">
        <f>IF($A$4+346&gt;$B$4,"",$A$4+346)</f>
        <v>46369</v>
      </c>
      <c r="N34654">
        <f>IF(M34654="","",'Master Barang'!A48)</f>
        <v>0</v>
      </c>
      <c r="O34654">
        <f>IF(N34654="","",'Master Barang'!B48)</f>
        <v>0</v>
      </c>
      <c r="P34654">
        <f>IF(OR(M34654="",N34654=""),"",SUMIFS('Barang Keluar'!$E:$E,'Barang Keluar'!$A:$A,M34654,'Barang Keluar'!$C:$C,N34654))</f>
        <v>0</v>
      </c>
    </row>
    <row r="34655" spans="13:16">
      <c r="M34655" s="49">
        <f>IF($A$4+346&gt;$B$4,"",$A$4+346)</f>
        <v>46369</v>
      </c>
      <c r="N34655">
        <f>IF(M34655="","",'Master Barang'!A49)</f>
        <v>0</v>
      </c>
      <c r="O34655">
        <f>IF(N34655="","",'Master Barang'!B49)</f>
        <v>0</v>
      </c>
      <c r="P34655">
        <f>IF(OR(M34655="",N34655=""),"",SUMIFS('Barang Keluar'!$E:$E,'Barang Keluar'!$A:$A,M34655,'Barang Keluar'!$C:$C,N34655))</f>
        <v>0</v>
      </c>
    </row>
    <row r="34656" spans="13:16">
      <c r="M34656" s="49">
        <f>IF($A$4+346&gt;$B$4,"",$A$4+346)</f>
        <v>46369</v>
      </c>
      <c r="N34656">
        <f>IF(M34656="","",'Master Barang'!A50)</f>
        <v>0</v>
      </c>
      <c r="O34656">
        <f>IF(N34656="","",'Master Barang'!B50)</f>
        <v>0</v>
      </c>
      <c r="P34656">
        <f>IF(OR(M34656="",N34656=""),"",SUMIFS('Barang Keluar'!$E:$E,'Barang Keluar'!$A:$A,M34656,'Barang Keluar'!$C:$C,N34656))</f>
        <v>0</v>
      </c>
    </row>
    <row r="34657" spans="13:16">
      <c r="M34657" s="49">
        <f>IF($A$4+346&gt;$B$4,"",$A$4+346)</f>
        <v>46369</v>
      </c>
      <c r="N34657">
        <f>IF(M34657="","",'Master Barang'!A51)</f>
        <v>0</v>
      </c>
      <c r="O34657">
        <f>IF(N34657="","",'Master Barang'!B51)</f>
        <v>0</v>
      </c>
      <c r="P34657">
        <f>IF(OR(M34657="",N34657=""),"",SUMIFS('Barang Keluar'!$E:$E,'Barang Keluar'!$A:$A,M34657,'Barang Keluar'!$C:$C,N34657))</f>
        <v>0</v>
      </c>
    </row>
    <row r="34658" spans="13:16">
      <c r="M34658" s="49">
        <f>IF($A$4+346&gt;$B$4,"",$A$4+346)</f>
        <v>46369</v>
      </c>
      <c r="N34658">
        <f>IF(M34658="","",'Master Barang'!A52)</f>
        <v>0</v>
      </c>
      <c r="O34658">
        <f>IF(N34658="","",'Master Barang'!B52)</f>
        <v>0</v>
      </c>
      <c r="P34658">
        <f>IF(OR(M34658="",N34658=""),"",SUMIFS('Barang Keluar'!$E:$E,'Barang Keluar'!$A:$A,M34658,'Barang Keluar'!$C:$C,N34658))</f>
        <v>0</v>
      </c>
    </row>
    <row r="34659" spans="13:16">
      <c r="M34659" s="49">
        <f>IF($A$4+346&gt;$B$4,"",$A$4+346)</f>
        <v>46369</v>
      </c>
      <c r="N34659">
        <f>IF(M34659="","",'Master Barang'!A53)</f>
        <v>0</v>
      </c>
      <c r="O34659">
        <f>IF(N34659="","",'Master Barang'!B53)</f>
        <v>0</v>
      </c>
      <c r="P34659">
        <f>IF(OR(M34659="",N34659=""),"",SUMIFS('Barang Keluar'!$E:$E,'Barang Keluar'!$A:$A,M34659,'Barang Keluar'!$C:$C,N34659))</f>
        <v>0</v>
      </c>
    </row>
    <row r="34660" spans="13:16">
      <c r="M34660" s="49">
        <f>IF($A$4+346&gt;$B$4,"",$A$4+346)</f>
        <v>46369</v>
      </c>
      <c r="N34660">
        <f>IF(M34660="","",'Master Barang'!A54)</f>
        <v>0</v>
      </c>
      <c r="O34660">
        <f>IF(N34660="","",'Master Barang'!B54)</f>
        <v>0</v>
      </c>
      <c r="P34660">
        <f>IF(OR(M34660="",N34660=""),"",SUMIFS('Barang Keluar'!$E:$E,'Barang Keluar'!$A:$A,M34660,'Barang Keluar'!$C:$C,N34660))</f>
        <v>0</v>
      </c>
    </row>
    <row r="34661" spans="13:16">
      <c r="M34661" s="49">
        <f>IF($A$4+346&gt;$B$4,"",$A$4+346)</f>
        <v>46369</v>
      </c>
      <c r="N34661">
        <f>IF(M34661="","",'Master Barang'!A55)</f>
        <v>0</v>
      </c>
      <c r="O34661">
        <f>IF(N34661="","",'Master Barang'!B55)</f>
        <v>0</v>
      </c>
      <c r="P34661">
        <f>IF(OR(M34661="",N34661=""),"",SUMIFS('Barang Keluar'!$E:$E,'Barang Keluar'!$A:$A,M34661,'Barang Keluar'!$C:$C,N34661))</f>
        <v>0</v>
      </c>
    </row>
    <row r="34662" spans="13:16">
      <c r="M34662" s="49">
        <f>IF($A$4+346&gt;$B$4,"",$A$4+346)</f>
        <v>46369</v>
      </c>
      <c r="N34662">
        <f>IF(M34662="","",'Master Barang'!A56)</f>
        <v>0</v>
      </c>
      <c r="O34662">
        <f>IF(N34662="","",'Master Barang'!B56)</f>
        <v>0</v>
      </c>
      <c r="P34662">
        <f>IF(OR(M34662="",N34662=""),"",SUMIFS('Barang Keluar'!$E:$E,'Barang Keluar'!$A:$A,M34662,'Barang Keluar'!$C:$C,N34662))</f>
        <v>0</v>
      </c>
    </row>
    <row r="34663" spans="13:16">
      <c r="M34663" s="49">
        <f>IF($A$4+346&gt;$B$4,"",$A$4+346)</f>
        <v>46369</v>
      </c>
      <c r="N34663">
        <f>IF(M34663="","",'Master Barang'!A57)</f>
        <v>0</v>
      </c>
      <c r="O34663">
        <f>IF(N34663="","",'Master Barang'!B57)</f>
        <v>0</v>
      </c>
      <c r="P34663">
        <f>IF(OR(M34663="",N34663=""),"",SUMIFS('Barang Keluar'!$E:$E,'Barang Keluar'!$A:$A,M34663,'Barang Keluar'!$C:$C,N34663))</f>
        <v>0</v>
      </c>
    </row>
    <row r="34664" spans="13:16">
      <c r="M34664" s="49">
        <f>IF($A$4+346&gt;$B$4,"",$A$4+346)</f>
        <v>46369</v>
      </c>
      <c r="N34664">
        <f>IF(M34664="","",'Master Barang'!A58)</f>
        <v>0</v>
      </c>
      <c r="O34664">
        <f>IF(N34664="","",'Master Barang'!B58)</f>
        <v>0</v>
      </c>
      <c r="P34664">
        <f>IF(OR(M34664="",N34664=""),"",SUMIFS('Barang Keluar'!$E:$E,'Barang Keluar'!$A:$A,M34664,'Barang Keluar'!$C:$C,N34664))</f>
        <v>0</v>
      </c>
    </row>
    <row r="34665" spans="13:16">
      <c r="M34665" s="49">
        <f>IF($A$4+346&gt;$B$4,"",$A$4+346)</f>
        <v>46369</v>
      </c>
      <c r="N34665">
        <f>IF(M34665="","",'Master Barang'!A59)</f>
        <v>0</v>
      </c>
      <c r="O34665">
        <f>IF(N34665="","",'Master Barang'!B59)</f>
        <v>0</v>
      </c>
      <c r="P34665">
        <f>IF(OR(M34665="",N34665=""),"",SUMIFS('Barang Keluar'!$E:$E,'Barang Keluar'!$A:$A,M34665,'Barang Keluar'!$C:$C,N34665))</f>
        <v>0</v>
      </c>
    </row>
    <row r="34666" spans="13:16">
      <c r="M34666" s="49">
        <f>IF($A$4+346&gt;$B$4,"",$A$4+346)</f>
        <v>46369</v>
      </c>
      <c r="N34666">
        <f>IF(M34666="","",'Master Barang'!A60)</f>
        <v>0</v>
      </c>
      <c r="O34666">
        <f>IF(N34666="","",'Master Barang'!B60)</f>
        <v>0</v>
      </c>
      <c r="P34666">
        <f>IF(OR(M34666="",N34666=""),"",SUMIFS('Barang Keluar'!$E:$E,'Barang Keluar'!$A:$A,M34666,'Barang Keluar'!$C:$C,N34666))</f>
        <v>0</v>
      </c>
    </row>
    <row r="34667" spans="13:16">
      <c r="M34667" s="49">
        <f>IF($A$4+346&gt;$B$4,"",$A$4+346)</f>
        <v>46369</v>
      </c>
      <c r="N34667">
        <f>IF(M34667="","",'Master Barang'!A61)</f>
        <v>0</v>
      </c>
      <c r="O34667">
        <f>IF(N34667="","",'Master Barang'!B61)</f>
        <v>0</v>
      </c>
      <c r="P34667">
        <f>IF(OR(M34667="",N34667=""),"",SUMIFS('Barang Keluar'!$E:$E,'Barang Keluar'!$A:$A,M34667,'Barang Keluar'!$C:$C,N34667))</f>
        <v>0</v>
      </c>
    </row>
    <row r="34668" spans="13:16">
      <c r="M34668" s="49">
        <f>IF($A$4+346&gt;$B$4,"",$A$4+346)</f>
        <v>46369</v>
      </c>
      <c r="N34668">
        <f>IF(M34668="","",'Master Barang'!A62)</f>
        <v>0</v>
      </c>
      <c r="O34668">
        <f>IF(N34668="","",'Master Barang'!B62)</f>
        <v>0</v>
      </c>
      <c r="P34668">
        <f>IF(OR(M34668="",N34668=""),"",SUMIFS('Barang Keluar'!$E:$E,'Barang Keluar'!$A:$A,M34668,'Barang Keluar'!$C:$C,N34668))</f>
        <v>0</v>
      </c>
    </row>
    <row r="34669" spans="13:16">
      <c r="M34669" s="49">
        <f>IF($A$4+346&gt;$B$4,"",$A$4+346)</f>
        <v>46369</v>
      </c>
      <c r="N34669">
        <f>IF(M34669="","",'Master Barang'!A63)</f>
        <v>0</v>
      </c>
      <c r="O34669">
        <f>IF(N34669="","",'Master Barang'!B63)</f>
        <v>0</v>
      </c>
      <c r="P34669">
        <f>IF(OR(M34669="",N34669=""),"",SUMIFS('Barang Keluar'!$E:$E,'Barang Keluar'!$A:$A,M34669,'Barang Keluar'!$C:$C,N34669))</f>
        <v>0</v>
      </c>
    </row>
    <row r="34670" spans="13:16">
      <c r="M34670" s="49">
        <f>IF($A$4+346&gt;$B$4,"",$A$4+346)</f>
        <v>46369</v>
      </c>
      <c r="N34670">
        <f>IF(M34670="","",'Master Barang'!A64)</f>
        <v>0</v>
      </c>
      <c r="O34670">
        <f>IF(N34670="","",'Master Barang'!B64)</f>
        <v>0</v>
      </c>
      <c r="P34670">
        <f>IF(OR(M34670="",N34670=""),"",SUMIFS('Barang Keluar'!$E:$E,'Barang Keluar'!$A:$A,M34670,'Barang Keluar'!$C:$C,N34670))</f>
        <v>0</v>
      </c>
    </row>
    <row r="34671" spans="13:16">
      <c r="M34671" s="49">
        <f>IF($A$4+346&gt;$B$4,"",$A$4+346)</f>
        <v>46369</v>
      </c>
      <c r="N34671">
        <f>IF(M34671="","",'Master Barang'!A65)</f>
        <v>0</v>
      </c>
      <c r="O34671">
        <f>IF(N34671="","",'Master Barang'!B65)</f>
        <v>0</v>
      </c>
      <c r="P34671">
        <f>IF(OR(M34671="",N34671=""),"",SUMIFS('Barang Keluar'!$E:$E,'Barang Keluar'!$A:$A,M34671,'Barang Keluar'!$C:$C,N34671))</f>
        <v>0</v>
      </c>
    </row>
    <row r="34672" spans="13:16">
      <c r="M34672" s="49">
        <f>IF($A$4+346&gt;$B$4,"",$A$4+346)</f>
        <v>46369</v>
      </c>
      <c r="N34672">
        <f>IF(M34672="","",'Master Barang'!A66)</f>
        <v>0</v>
      </c>
      <c r="O34672">
        <f>IF(N34672="","",'Master Barang'!B66)</f>
        <v>0</v>
      </c>
      <c r="P34672">
        <f>IF(OR(M34672="",N34672=""),"",SUMIFS('Barang Keluar'!$E:$E,'Barang Keluar'!$A:$A,M34672,'Barang Keluar'!$C:$C,N34672))</f>
        <v>0</v>
      </c>
    </row>
    <row r="34673" spans="13:16">
      <c r="M34673" s="49">
        <f>IF($A$4+346&gt;$B$4,"",$A$4+346)</f>
        <v>46369</v>
      </c>
      <c r="N34673">
        <f>IF(M34673="","",'Master Barang'!A67)</f>
        <v>0</v>
      </c>
      <c r="O34673">
        <f>IF(N34673="","",'Master Barang'!B67)</f>
        <v>0</v>
      </c>
      <c r="P34673">
        <f>IF(OR(M34673="",N34673=""),"",SUMIFS('Barang Keluar'!$E:$E,'Barang Keluar'!$A:$A,M34673,'Barang Keluar'!$C:$C,N34673))</f>
        <v>0</v>
      </c>
    </row>
    <row r="34674" spans="13:16">
      <c r="M34674" s="49">
        <f>IF($A$4+346&gt;$B$4,"",$A$4+346)</f>
        <v>46369</v>
      </c>
      <c r="N34674">
        <f>IF(M34674="","",'Master Barang'!A68)</f>
        <v>0</v>
      </c>
      <c r="O34674">
        <f>IF(N34674="","",'Master Barang'!B68)</f>
        <v>0</v>
      </c>
      <c r="P34674">
        <f>IF(OR(M34674="",N34674=""),"",SUMIFS('Barang Keluar'!$E:$E,'Barang Keluar'!$A:$A,M34674,'Barang Keluar'!$C:$C,N34674))</f>
        <v>0</v>
      </c>
    </row>
    <row r="34675" spans="13:16">
      <c r="M34675" s="49">
        <f>IF($A$4+346&gt;$B$4,"",$A$4+346)</f>
        <v>46369</v>
      </c>
      <c r="N34675">
        <f>IF(M34675="","",'Master Barang'!A69)</f>
        <v>0</v>
      </c>
      <c r="O34675">
        <f>IF(N34675="","",'Master Barang'!B69)</f>
        <v>0</v>
      </c>
      <c r="P34675">
        <f>IF(OR(M34675="",N34675=""),"",SUMIFS('Barang Keluar'!$E:$E,'Barang Keluar'!$A:$A,M34675,'Barang Keluar'!$C:$C,N34675))</f>
        <v>0</v>
      </c>
    </row>
    <row r="34676" spans="13:16">
      <c r="M34676" s="49">
        <f>IF($A$4+346&gt;$B$4,"",$A$4+346)</f>
        <v>46369</v>
      </c>
      <c r="N34676">
        <f>IF(M34676="","",'Master Barang'!A70)</f>
        <v>0</v>
      </c>
      <c r="O34676">
        <f>IF(N34676="","",'Master Barang'!B70)</f>
        <v>0</v>
      </c>
      <c r="P34676">
        <f>IF(OR(M34676="",N34676=""),"",SUMIFS('Barang Keluar'!$E:$E,'Barang Keluar'!$A:$A,M34676,'Barang Keluar'!$C:$C,N34676))</f>
        <v>0</v>
      </c>
    </row>
    <row r="34677" spans="13:16">
      <c r="M34677" s="49">
        <f>IF($A$4+346&gt;$B$4,"",$A$4+346)</f>
        <v>46369</v>
      </c>
      <c r="N34677">
        <f>IF(M34677="","",'Master Barang'!A71)</f>
        <v>0</v>
      </c>
      <c r="O34677">
        <f>IF(N34677="","",'Master Barang'!B71)</f>
        <v>0</v>
      </c>
      <c r="P34677">
        <f>IF(OR(M34677="",N34677=""),"",SUMIFS('Barang Keluar'!$E:$E,'Barang Keluar'!$A:$A,M34677,'Barang Keluar'!$C:$C,N34677))</f>
        <v>0</v>
      </c>
    </row>
    <row r="34678" spans="13:16">
      <c r="M34678" s="49">
        <f>IF($A$4+346&gt;$B$4,"",$A$4+346)</f>
        <v>46369</v>
      </c>
      <c r="N34678">
        <f>IF(M34678="","",'Master Barang'!A72)</f>
        <v>0</v>
      </c>
      <c r="O34678">
        <f>IF(N34678="","",'Master Barang'!B72)</f>
        <v>0</v>
      </c>
      <c r="P34678">
        <f>IF(OR(M34678="",N34678=""),"",SUMIFS('Barang Keluar'!$E:$E,'Barang Keluar'!$A:$A,M34678,'Barang Keluar'!$C:$C,N34678))</f>
        <v>0</v>
      </c>
    </row>
    <row r="34679" spans="13:16">
      <c r="M34679" s="49">
        <f>IF($A$4+346&gt;$B$4,"",$A$4+346)</f>
        <v>46369</v>
      </c>
      <c r="N34679">
        <f>IF(M34679="","",'Master Barang'!A73)</f>
        <v>0</v>
      </c>
      <c r="O34679">
        <f>IF(N34679="","",'Master Barang'!B73)</f>
        <v>0</v>
      </c>
      <c r="P34679">
        <f>IF(OR(M34679="",N34679=""),"",SUMIFS('Barang Keluar'!$E:$E,'Barang Keluar'!$A:$A,M34679,'Barang Keluar'!$C:$C,N34679))</f>
        <v>0</v>
      </c>
    </row>
    <row r="34680" spans="13:16">
      <c r="M34680" s="49">
        <f>IF($A$4+346&gt;$B$4,"",$A$4+346)</f>
        <v>46369</v>
      </c>
      <c r="N34680">
        <f>IF(M34680="","",'Master Barang'!A74)</f>
        <v>0</v>
      </c>
      <c r="O34680">
        <f>IF(N34680="","",'Master Barang'!B74)</f>
        <v>0</v>
      </c>
      <c r="P34680">
        <f>IF(OR(M34680="",N34680=""),"",SUMIFS('Barang Keluar'!$E:$E,'Barang Keluar'!$A:$A,M34680,'Barang Keluar'!$C:$C,N34680))</f>
        <v>0</v>
      </c>
    </row>
    <row r="34681" spans="13:16">
      <c r="M34681" s="49">
        <f>IF($A$4+346&gt;$B$4,"",$A$4+346)</f>
        <v>46369</v>
      </c>
      <c r="N34681">
        <f>IF(M34681="","",'Master Barang'!A75)</f>
        <v>0</v>
      </c>
      <c r="O34681">
        <f>IF(N34681="","",'Master Barang'!B75)</f>
        <v>0</v>
      </c>
      <c r="P34681">
        <f>IF(OR(M34681="",N34681=""),"",SUMIFS('Barang Keluar'!$E:$E,'Barang Keluar'!$A:$A,M34681,'Barang Keluar'!$C:$C,N34681))</f>
        <v>0</v>
      </c>
    </row>
    <row r="34682" spans="13:16">
      <c r="M34682" s="49">
        <f>IF($A$4+346&gt;$B$4,"",$A$4+346)</f>
        <v>46369</v>
      </c>
      <c r="N34682">
        <f>IF(M34682="","",'Master Barang'!A76)</f>
        <v>0</v>
      </c>
      <c r="O34682">
        <f>IF(N34682="","",'Master Barang'!B76)</f>
        <v>0</v>
      </c>
      <c r="P34682">
        <f>IF(OR(M34682="",N34682=""),"",SUMIFS('Barang Keluar'!$E:$E,'Barang Keluar'!$A:$A,M34682,'Barang Keluar'!$C:$C,N34682))</f>
        <v>0</v>
      </c>
    </row>
    <row r="34683" spans="13:16">
      <c r="M34683" s="49">
        <f>IF($A$4+346&gt;$B$4,"",$A$4+346)</f>
        <v>46369</v>
      </c>
      <c r="N34683">
        <f>IF(M34683="","",'Master Barang'!A77)</f>
        <v>0</v>
      </c>
      <c r="O34683">
        <f>IF(N34683="","",'Master Barang'!B77)</f>
        <v>0</v>
      </c>
      <c r="P34683">
        <f>IF(OR(M34683="",N34683=""),"",SUMIFS('Barang Keluar'!$E:$E,'Barang Keluar'!$A:$A,M34683,'Barang Keluar'!$C:$C,N34683))</f>
        <v>0</v>
      </c>
    </row>
    <row r="34684" spans="13:16">
      <c r="M34684" s="49">
        <f>IF($A$4+346&gt;$B$4,"",$A$4+346)</f>
        <v>46369</v>
      </c>
      <c r="N34684">
        <f>IF(M34684="","",'Master Barang'!A78)</f>
        <v>0</v>
      </c>
      <c r="O34684">
        <f>IF(N34684="","",'Master Barang'!B78)</f>
        <v>0</v>
      </c>
      <c r="P34684">
        <f>IF(OR(M34684="",N34684=""),"",SUMIFS('Barang Keluar'!$E:$E,'Barang Keluar'!$A:$A,M34684,'Barang Keluar'!$C:$C,N34684))</f>
        <v>0</v>
      </c>
    </row>
    <row r="34685" spans="13:16">
      <c r="M34685" s="49">
        <f>IF($A$4+346&gt;$B$4,"",$A$4+346)</f>
        <v>46369</v>
      </c>
      <c r="N34685">
        <f>IF(M34685="","",'Master Barang'!A79)</f>
        <v>0</v>
      </c>
      <c r="O34685">
        <f>IF(N34685="","",'Master Barang'!B79)</f>
        <v>0</v>
      </c>
      <c r="P34685">
        <f>IF(OR(M34685="",N34685=""),"",SUMIFS('Barang Keluar'!$E:$E,'Barang Keluar'!$A:$A,M34685,'Barang Keluar'!$C:$C,N34685))</f>
        <v>0</v>
      </c>
    </row>
    <row r="34686" spans="13:16">
      <c r="M34686" s="49">
        <f>IF($A$4+346&gt;$B$4,"",$A$4+346)</f>
        <v>46369</v>
      </c>
      <c r="N34686">
        <f>IF(M34686="","",'Master Barang'!A80)</f>
        <v>0</v>
      </c>
      <c r="O34686">
        <f>IF(N34686="","",'Master Barang'!B80)</f>
        <v>0</v>
      </c>
      <c r="P34686">
        <f>IF(OR(M34686="",N34686=""),"",SUMIFS('Barang Keluar'!$E:$E,'Barang Keluar'!$A:$A,M34686,'Barang Keluar'!$C:$C,N34686))</f>
        <v>0</v>
      </c>
    </row>
    <row r="34687" spans="13:16">
      <c r="M34687" s="49">
        <f>IF($A$4+346&gt;$B$4,"",$A$4+346)</f>
        <v>46369</v>
      </c>
      <c r="N34687">
        <f>IF(M34687="","",'Master Barang'!A81)</f>
        <v>0</v>
      </c>
      <c r="O34687">
        <f>IF(N34687="","",'Master Barang'!B81)</f>
        <v>0</v>
      </c>
      <c r="P34687">
        <f>IF(OR(M34687="",N34687=""),"",SUMIFS('Barang Keluar'!$E:$E,'Barang Keluar'!$A:$A,M34687,'Barang Keluar'!$C:$C,N34687))</f>
        <v>0</v>
      </c>
    </row>
    <row r="34688" spans="13:16">
      <c r="M34688" s="49">
        <f>IF($A$4+346&gt;$B$4,"",$A$4+346)</f>
        <v>46369</v>
      </c>
      <c r="N34688">
        <f>IF(M34688="","",'Master Barang'!A82)</f>
        <v>0</v>
      </c>
      <c r="O34688">
        <f>IF(N34688="","",'Master Barang'!B82)</f>
        <v>0</v>
      </c>
      <c r="P34688">
        <f>IF(OR(M34688="",N34688=""),"",SUMIFS('Barang Keluar'!$E:$E,'Barang Keluar'!$A:$A,M34688,'Barang Keluar'!$C:$C,N34688))</f>
        <v>0</v>
      </c>
    </row>
    <row r="34689" spans="13:16">
      <c r="M34689" s="49">
        <f>IF($A$4+346&gt;$B$4,"",$A$4+346)</f>
        <v>46369</v>
      </c>
      <c r="N34689">
        <f>IF(M34689="","",'Master Barang'!A83)</f>
        <v>0</v>
      </c>
      <c r="O34689">
        <f>IF(N34689="","",'Master Barang'!B83)</f>
        <v>0</v>
      </c>
      <c r="P34689">
        <f>IF(OR(M34689="",N34689=""),"",SUMIFS('Barang Keluar'!$E:$E,'Barang Keluar'!$A:$A,M34689,'Barang Keluar'!$C:$C,N34689))</f>
        <v>0</v>
      </c>
    </row>
    <row r="34690" spans="13:16">
      <c r="M34690" s="49">
        <f>IF($A$4+346&gt;$B$4,"",$A$4+346)</f>
        <v>46369</v>
      </c>
      <c r="N34690">
        <f>IF(M34690="","",'Master Barang'!A84)</f>
        <v>0</v>
      </c>
      <c r="O34690">
        <f>IF(N34690="","",'Master Barang'!B84)</f>
        <v>0</v>
      </c>
      <c r="P34690">
        <f>IF(OR(M34690="",N34690=""),"",SUMIFS('Barang Keluar'!$E:$E,'Barang Keluar'!$A:$A,M34690,'Barang Keluar'!$C:$C,N34690))</f>
        <v>0</v>
      </c>
    </row>
    <row r="34691" spans="13:16">
      <c r="M34691" s="49">
        <f>IF($A$4+346&gt;$B$4,"",$A$4+346)</f>
        <v>46369</v>
      </c>
      <c r="N34691">
        <f>IF(M34691="","",'Master Barang'!A85)</f>
        <v>0</v>
      </c>
      <c r="O34691">
        <f>IF(N34691="","",'Master Barang'!B85)</f>
        <v>0</v>
      </c>
      <c r="P34691">
        <f>IF(OR(M34691="",N34691=""),"",SUMIFS('Barang Keluar'!$E:$E,'Barang Keluar'!$A:$A,M34691,'Barang Keluar'!$C:$C,N34691))</f>
        <v>0</v>
      </c>
    </row>
    <row r="34692" spans="13:16">
      <c r="M34692" s="49">
        <f>IF($A$4+346&gt;$B$4,"",$A$4+346)</f>
        <v>46369</v>
      </c>
      <c r="N34692">
        <f>IF(M34692="","",'Master Barang'!A86)</f>
        <v>0</v>
      </c>
      <c r="O34692">
        <f>IF(N34692="","",'Master Barang'!B86)</f>
        <v>0</v>
      </c>
      <c r="P34692">
        <f>IF(OR(M34692="",N34692=""),"",SUMIFS('Barang Keluar'!$E:$E,'Barang Keluar'!$A:$A,M34692,'Barang Keluar'!$C:$C,N34692))</f>
        <v>0</v>
      </c>
    </row>
    <row r="34693" spans="13:16">
      <c r="M34693" s="49">
        <f>IF($A$4+346&gt;$B$4,"",$A$4+346)</f>
        <v>46369</v>
      </c>
      <c r="N34693">
        <f>IF(M34693="","",'Master Barang'!A87)</f>
        <v>0</v>
      </c>
      <c r="O34693">
        <f>IF(N34693="","",'Master Barang'!B87)</f>
        <v>0</v>
      </c>
      <c r="P34693">
        <f>IF(OR(M34693="",N34693=""),"",SUMIFS('Barang Keluar'!$E:$E,'Barang Keluar'!$A:$A,M34693,'Barang Keluar'!$C:$C,N34693))</f>
        <v>0</v>
      </c>
    </row>
    <row r="34694" spans="13:16">
      <c r="M34694" s="49">
        <f>IF($A$4+346&gt;$B$4,"",$A$4+346)</f>
        <v>46369</v>
      </c>
      <c r="N34694">
        <f>IF(M34694="","",'Master Barang'!A88)</f>
        <v>0</v>
      </c>
      <c r="O34694">
        <f>IF(N34694="","",'Master Barang'!B88)</f>
        <v>0</v>
      </c>
      <c r="P34694">
        <f>IF(OR(M34694="",N34694=""),"",SUMIFS('Barang Keluar'!$E:$E,'Barang Keluar'!$A:$A,M34694,'Barang Keluar'!$C:$C,N34694))</f>
        <v>0</v>
      </c>
    </row>
    <row r="34695" spans="13:16">
      <c r="M34695" s="49">
        <f>IF($A$4+346&gt;$B$4,"",$A$4+346)</f>
        <v>46369</v>
      </c>
      <c r="N34695">
        <f>IF(M34695="","",'Master Barang'!A89)</f>
        <v>0</v>
      </c>
      <c r="O34695">
        <f>IF(N34695="","",'Master Barang'!B89)</f>
        <v>0</v>
      </c>
      <c r="P34695">
        <f>IF(OR(M34695="",N34695=""),"",SUMIFS('Barang Keluar'!$E:$E,'Barang Keluar'!$A:$A,M34695,'Barang Keluar'!$C:$C,N34695))</f>
        <v>0</v>
      </c>
    </row>
    <row r="34696" spans="13:16">
      <c r="M34696" s="49">
        <f>IF($A$4+346&gt;$B$4,"",$A$4+346)</f>
        <v>46369</v>
      </c>
      <c r="N34696">
        <f>IF(M34696="","",'Master Barang'!A90)</f>
        <v>0</v>
      </c>
      <c r="O34696">
        <f>IF(N34696="","",'Master Barang'!B90)</f>
        <v>0</v>
      </c>
      <c r="P34696">
        <f>IF(OR(M34696="",N34696=""),"",SUMIFS('Barang Keluar'!$E:$E,'Barang Keluar'!$A:$A,M34696,'Barang Keluar'!$C:$C,N34696))</f>
        <v>0</v>
      </c>
    </row>
    <row r="34697" spans="13:16">
      <c r="M34697" s="49">
        <f>IF($A$4+346&gt;$B$4,"",$A$4+346)</f>
        <v>46369</v>
      </c>
      <c r="N34697">
        <f>IF(M34697="","",'Master Barang'!A91)</f>
        <v>0</v>
      </c>
      <c r="O34697">
        <f>IF(N34697="","",'Master Barang'!B91)</f>
        <v>0</v>
      </c>
      <c r="P34697">
        <f>IF(OR(M34697="",N34697=""),"",SUMIFS('Barang Keluar'!$E:$E,'Barang Keluar'!$A:$A,M34697,'Barang Keluar'!$C:$C,N34697))</f>
        <v>0</v>
      </c>
    </row>
    <row r="34698" spans="13:16">
      <c r="M34698" s="49">
        <f>IF($A$4+346&gt;$B$4,"",$A$4+346)</f>
        <v>46369</v>
      </c>
      <c r="N34698">
        <f>IF(M34698="","",'Master Barang'!A92)</f>
        <v>0</v>
      </c>
      <c r="O34698">
        <f>IF(N34698="","",'Master Barang'!B92)</f>
        <v>0</v>
      </c>
      <c r="P34698">
        <f>IF(OR(M34698="",N34698=""),"",SUMIFS('Barang Keluar'!$E:$E,'Barang Keluar'!$A:$A,M34698,'Barang Keluar'!$C:$C,N34698))</f>
        <v>0</v>
      </c>
    </row>
    <row r="34699" spans="13:16">
      <c r="M34699" s="49">
        <f>IF($A$4+346&gt;$B$4,"",$A$4+346)</f>
        <v>46369</v>
      </c>
      <c r="N34699">
        <f>IF(M34699="","",'Master Barang'!A93)</f>
        <v>0</v>
      </c>
      <c r="O34699">
        <f>IF(N34699="","",'Master Barang'!B93)</f>
        <v>0</v>
      </c>
      <c r="P34699">
        <f>IF(OR(M34699="",N34699=""),"",SUMIFS('Barang Keluar'!$E:$E,'Barang Keluar'!$A:$A,M34699,'Barang Keluar'!$C:$C,N34699))</f>
        <v>0</v>
      </c>
    </row>
    <row r="34700" spans="13:16">
      <c r="M34700" s="49">
        <f>IF($A$4+346&gt;$B$4,"",$A$4+346)</f>
        <v>46369</v>
      </c>
      <c r="N34700">
        <f>IF(M34700="","",'Master Barang'!A94)</f>
        <v>0</v>
      </c>
      <c r="O34700">
        <f>IF(N34700="","",'Master Barang'!B94)</f>
        <v>0</v>
      </c>
      <c r="P34700">
        <f>IF(OR(M34700="",N34700=""),"",SUMIFS('Barang Keluar'!$E:$E,'Barang Keluar'!$A:$A,M34700,'Barang Keluar'!$C:$C,N34700))</f>
        <v>0</v>
      </c>
    </row>
    <row r="34701" spans="13:16">
      <c r="M34701" s="49">
        <f>IF($A$4+346&gt;$B$4,"",$A$4+346)</f>
        <v>46369</v>
      </c>
      <c r="N34701">
        <f>IF(M34701="","",'Master Barang'!A95)</f>
        <v>0</v>
      </c>
      <c r="O34701">
        <f>IF(N34701="","",'Master Barang'!B95)</f>
        <v>0</v>
      </c>
      <c r="P34701">
        <f>IF(OR(M34701="",N34701=""),"",SUMIFS('Barang Keluar'!$E:$E,'Barang Keluar'!$A:$A,M34701,'Barang Keluar'!$C:$C,N34701))</f>
        <v>0</v>
      </c>
    </row>
    <row r="34702" spans="13:16">
      <c r="M34702" s="49">
        <f>IF($A$4+346&gt;$B$4,"",$A$4+346)</f>
        <v>46369</v>
      </c>
      <c r="N34702">
        <f>IF(M34702="","",'Master Barang'!A96)</f>
        <v>0</v>
      </c>
      <c r="O34702">
        <f>IF(N34702="","",'Master Barang'!B96)</f>
        <v>0</v>
      </c>
      <c r="P34702">
        <f>IF(OR(M34702="",N34702=""),"",SUMIFS('Barang Keluar'!$E:$E,'Barang Keluar'!$A:$A,M34702,'Barang Keluar'!$C:$C,N34702))</f>
        <v>0</v>
      </c>
    </row>
    <row r="34703" spans="13:16">
      <c r="M34703" s="49">
        <f>IF($A$4+346&gt;$B$4,"",$A$4+346)</f>
        <v>46369</v>
      </c>
      <c r="N34703">
        <f>IF(M34703="","",'Master Barang'!A97)</f>
        <v>0</v>
      </c>
      <c r="O34703">
        <f>IF(N34703="","",'Master Barang'!B97)</f>
        <v>0</v>
      </c>
      <c r="P34703">
        <f>IF(OR(M34703="",N34703=""),"",SUMIFS('Barang Keluar'!$E:$E,'Barang Keluar'!$A:$A,M34703,'Barang Keluar'!$C:$C,N34703))</f>
        <v>0</v>
      </c>
    </row>
    <row r="34704" spans="13:16">
      <c r="M34704" s="49">
        <f>IF($A$4+346&gt;$B$4,"",$A$4+346)</f>
        <v>46369</v>
      </c>
      <c r="N34704">
        <f>IF(M34704="","",'Master Barang'!A98)</f>
        <v>0</v>
      </c>
      <c r="O34704">
        <f>IF(N34704="","",'Master Barang'!B98)</f>
        <v>0</v>
      </c>
      <c r="P34704">
        <f>IF(OR(M34704="",N34704=""),"",SUMIFS('Barang Keluar'!$E:$E,'Barang Keluar'!$A:$A,M34704,'Barang Keluar'!$C:$C,N34704))</f>
        <v>0</v>
      </c>
    </row>
    <row r="34705" spans="13:16">
      <c r="M34705" s="49">
        <f>IF($A$4+346&gt;$B$4,"",$A$4+346)</f>
        <v>46369</v>
      </c>
      <c r="N34705">
        <f>IF(M34705="","",'Master Barang'!A99)</f>
        <v>0</v>
      </c>
      <c r="O34705">
        <f>IF(N34705="","",'Master Barang'!B99)</f>
        <v>0</v>
      </c>
      <c r="P34705">
        <f>IF(OR(M34705="",N34705=""),"",SUMIFS('Barang Keluar'!$E:$E,'Barang Keluar'!$A:$A,M34705,'Barang Keluar'!$C:$C,N34705))</f>
        <v>0</v>
      </c>
    </row>
    <row r="34706" spans="13:16">
      <c r="M34706" s="49">
        <f>IF($A$4+346&gt;$B$4,"",$A$4+346)</f>
        <v>46369</v>
      </c>
      <c r="N34706">
        <f>IF(M34706="","",'Master Barang'!A100)</f>
        <v>0</v>
      </c>
      <c r="O34706">
        <f>IF(N34706="","",'Master Barang'!B100)</f>
        <v>0</v>
      </c>
      <c r="P34706">
        <f>IF(OR(M34706="",N34706=""),"",SUMIFS('Barang Keluar'!$E:$E,'Barang Keluar'!$A:$A,M34706,'Barang Keluar'!$C:$C,N34706))</f>
        <v>0</v>
      </c>
    </row>
    <row r="34707" spans="13:16">
      <c r="M34707" s="49">
        <f>IF($A$4+346&gt;$B$4,"",$A$4+346)</f>
        <v>46369</v>
      </c>
      <c r="N34707">
        <f>IF(M34707="","",'Master Barang'!A101)</f>
        <v>0</v>
      </c>
      <c r="O34707">
        <f>IF(N34707="","",'Master Barang'!B101)</f>
        <v>0</v>
      </c>
      <c r="P34707">
        <f>IF(OR(M34707="",N34707=""),"",SUMIFS('Barang Keluar'!$E:$E,'Barang Keluar'!$A:$A,M34707,'Barang Keluar'!$C:$C,N34707))</f>
        <v>0</v>
      </c>
    </row>
    <row r="34708" spans="13:16">
      <c r="M34708" s="49">
        <f>IF($A$4+347&gt;$B$4,"",$A$4+347)</f>
        <v>46370</v>
      </c>
      <c r="N34708" t="str">
        <f>IF(M34708="","",'Master Barang'!A2)</f>
        <v>PRL-001</v>
      </c>
      <c r="O34708" t="str">
        <f>IF(N34708="","",'Master Barang'!B2)</f>
        <v>natura desinfectant food grade 5l</v>
      </c>
      <c r="P34708">
        <f>IF(OR(M34708="",N34708=""),"",SUMIFS('Barang Keluar'!$E:$E,'Barang Keluar'!$A:$A,M34708,'Barang Keluar'!$C:$C,N34708))</f>
        <v>0</v>
      </c>
    </row>
    <row r="34709" spans="13:16">
      <c r="M34709" s="49">
        <f>IF($A$4+347&gt;$B$4,"",$A$4+347)</f>
        <v>46370</v>
      </c>
      <c r="N34709" t="str">
        <f>IF(M34709="","",'Master Barang'!A3)</f>
        <v>PRL-002</v>
      </c>
      <c r="O34709" t="str">
        <f>IF(N34709="","",'Master Barang'!B3)</f>
        <v>sunlight cairan pencuci piring 5l</v>
      </c>
      <c r="P34709">
        <f>IF(OR(M34709="",N34709=""),"",SUMIFS('Barang Keluar'!$E:$E,'Barang Keluar'!$A:$A,M34709,'Barang Keluar'!$C:$C,N34709))</f>
        <v>0</v>
      </c>
    </row>
    <row r="34710" spans="13:16">
      <c r="M34710" s="49">
        <f>IF($A$4+347&gt;$B$4,"",$A$4+347)</f>
        <v>46370</v>
      </c>
      <c r="N34710" t="str">
        <f>IF(M34710="","",'Master Barang'!A4)</f>
        <v>PRL-003</v>
      </c>
      <c r="O34710" t="str">
        <f>IF(N34710="","",'Master Barang'!B4)</f>
        <v>oixs cleaner 1l</v>
      </c>
      <c r="P34710">
        <f>IF(OR(M34710="",N34710=""),"",SUMIFS('Barang Keluar'!$E:$E,'Barang Keluar'!$A:$A,M34710,'Barang Keluar'!$C:$C,N34710))</f>
        <v>0</v>
      </c>
    </row>
    <row r="34711" spans="13:16">
      <c r="M34711" s="49">
        <f>IF($A$4+347&gt;$B$4,"",$A$4+347)</f>
        <v>46370</v>
      </c>
      <c r="N34711" t="str">
        <f>IF(M34711="","",'Master Barang'!A5)</f>
        <v>PRL-004</v>
      </c>
      <c r="O34711" t="str">
        <f>IF(N34711="","",'Master Barang'!B5)</f>
        <v>be clean tissue serbaguna</v>
      </c>
      <c r="P34711">
        <f>IF(OR(M34711="",N34711=""),"",SUMIFS('Barang Keluar'!$E:$E,'Barang Keluar'!$A:$A,M34711,'Barang Keluar'!$C:$C,N34711))</f>
        <v>0</v>
      </c>
    </row>
    <row r="34712" spans="13:16">
      <c r="M34712" s="49">
        <f>IF($A$4+347&gt;$B$4,"",$A$4+347)</f>
        <v>46370</v>
      </c>
      <c r="N34712" t="str">
        <f>IF(M34712="","",'Master Barang'!A6)</f>
        <v>PRL-005</v>
      </c>
      <c r="O34712" t="str">
        <f>IF(N34712="","",'Master Barang'!B6)</f>
        <v>spons cuci hijau</v>
      </c>
      <c r="P34712">
        <f>IF(OR(M34712="",N34712=""),"",SUMIFS('Barang Keluar'!$E:$E,'Barang Keluar'!$A:$A,M34712,'Barang Keluar'!$C:$C,N34712))</f>
        <v>0</v>
      </c>
    </row>
    <row r="34713" spans="13:16">
      <c r="M34713" s="49">
        <f>IF($A$4+347&gt;$B$4,"",$A$4+347)</f>
        <v>46370</v>
      </c>
      <c r="N34713" t="str">
        <f>IF(M34713="","",'Master Barang'!A7)</f>
        <v>PRL-006</v>
      </c>
      <c r="O34713" t="str">
        <f>IF(N34713="","",'Master Barang'!B7)</f>
        <v>sabut cuci stainless</v>
      </c>
      <c r="P34713">
        <f>IF(OR(M34713="",N34713=""),"",SUMIFS('Barang Keluar'!$E:$E,'Barang Keluar'!$A:$A,M34713,'Barang Keluar'!$C:$C,N34713))</f>
        <v>0</v>
      </c>
    </row>
    <row r="34714" spans="13:16">
      <c r="M34714" s="49">
        <f>IF($A$4+347&gt;$B$4,"",$A$4+347)</f>
        <v>46370</v>
      </c>
      <c r="N34714" t="str">
        <f>IF(M34714="","",'Master Barang'!A8)</f>
        <v>PRL-007</v>
      </c>
      <c r="O34714" t="str">
        <f>IF(N34714="","",'Master Barang'!B8)</f>
        <v>plastik kresek besar merah 50pc</v>
      </c>
      <c r="P34714">
        <f>IF(OR(M34714="",N34714=""),"",SUMIFS('Barang Keluar'!$E:$E,'Barang Keluar'!$A:$A,M34714,'Barang Keluar'!$C:$C,N34714))</f>
        <v>0</v>
      </c>
    </row>
    <row r="34715" spans="13:16">
      <c r="M34715" s="49">
        <f>IF($A$4+347&gt;$B$4,"",$A$4+347)</f>
        <v>46370</v>
      </c>
      <c r="N34715" t="str">
        <f>IF(M34715="","",'Master Barang'!A9)</f>
        <v>PRL-008</v>
      </c>
      <c r="O34715" t="str">
        <f>IF(N34715="","",'Master Barang'!B9)</f>
        <v>lap besar</v>
      </c>
      <c r="P34715">
        <f>IF(OR(M34715="",N34715=""),"",SUMIFS('Barang Keluar'!$E:$E,'Barang Keluar'!$A:$A,M34715,'Barang Keluar'!$C:$C,N34715))</f>
        <v>0</v>
      </c>
    </row>
    <row r="34716" spans="13:16">
      <c r="M34716" s="49">
        <f>IF($A$4+347&gt;$B$4,"",$A$4+347)</f>
        <v>46370</v>
      </c>
      <c r="N34716" t="str">
        <f>IF(M34716="","",'Master Barang'!A10)</f>
        <v>PRL-009</v>
      </c>
      <c r="O34716" t="str">
        <f>IF(N34716="","",'Master Barang'!B10)</f>
        <v>lap microfiber</v>
      </c>
      <c r="P34716">
        <f>IF(OR(M34716="",N34716=""),"",SUMIFS('Barang Keluar'!$E:$E,'Barang Keluar'!$A:$A,M34716,'Barang Keluar'!$C:$C,N34716))</f>
        <v>0</v>
      </c>
    </row>
    <row r="34717" spans="13:16">
      <c r="M34717" s="49">
        <f>IF($A$4+347&gt;$B$4,"",$A$4+347)</f>
        <v>46370</v>
      </c>
      <c r="N34717" t="str">
        <f>IF(M34717="","",'Master Barang'!A11)</f>
        <v>PRL-010</v>
      </c>
      <c r="O34717" t="str">
        <f>IF(N34717="","",'Master Barang'!B11)</f>
        <v>lap kecil</v>
      </c>
      <c r="P34717">
        <f>IF(OR(M34717="",N34717=""),"",SUMIFS('Barang Keluar'!$E:$E,'Barang Keluar'!$A:$A,M34717,'Barang Keluar'!$C:$C,N34717))</f>
        <v>0</v>
      </c>
    </row>
    <row r="34718" spans="13:16">
      <c r="M34718" s="49">
        <f>IF($A$4+347&gt;$B$4,"",$A$4+347)</f>
        <v>46370</v>
      </c>
      <c r="N34718" t="str">
        <f>IF(M34718="","",'Master Barang'!A12)</f>
        <v>PRL-011</v>
      </c>
      <c r="O34718" t="str">
        <f>IF(N34718="","",'Master Barang'!B12)</f>
        <v>kanebo kecil</v>
      </c>
      <c r="P34718">
        <f>IF(OR(M34718="",N34718=""),"",SUMIFS('Barang Keluar'!$E:$E,'Barang Keluar'!$A:$A,M34718,'Barang Keluar'!$C:$C,N34718))</f>
        <v>0</v>
      </c>
    </row>
    <row r="34719" spans="13:16">
      <c r="M34719" s="49">
        <f>IF($A$4+347&gt;$B$4,"",$A$4+347)</f>
        <v>46370</v>
      </c>
      <c r="N34719" t="str">
        <f>IF(M34719="","",'Master Barang'!A13)</f>
        <v>PRL-012</v>
      </c>
      <c r="O34719" t="str">
        <f>IF(N34719="","",'Master Barang'!B13)</f>
        <v>plastik 1/4kg joyoboyo 100 lembar</v>
      </c>
      <c r="P34719">
        <f>IF(OR(M34719="",N34719=""),"",SUMIFS('Barang Keluar'!$E:$E,'Barang Keluar'!$A:$A,M34719,'Barang Keluar'!$C:$C,N34719))</f>
        <v>0</v>
      </c>
    </row>
    <row r="34720" spans="13:16">
      <c r="M34720" s="49">
        <f>IF($A$4+347&gt;$B$4,"",$A$4+347)</f>
        <v>46370</v>
      </c>
      <c r="N34720" t="str">
        <f>IF(M34720="","",'Master Barang'!A14)</f>
        <v>PRL-013</v>
      </c>
      <c r="O34720" t="str">
        <f>IF(N34720="","",'Master Barang'!B14)</f>
        <v>sarung tangan plastik kaka 100 pcs</v>
      </c>
      <c r="P34720">
        <f>IF(OR(M34720="",N34720=""),"",SUMIFS('Barang Keluar'!$E:$E,'Barang Keluar'!$A:$A,M34720,'Barang Keluar'!$C:$C,N34720))</f>
        <v>0</v>
      </c>
    </row>
    <row r="34721" spans="13:16">
      <c r="M34721" s="49">
        <f>IF($A$4+347&gt;$B$4,"",$A$4+347)</f>
        <v>46370</v>
      </c>
      <c r="N34721" t="str">
        <f>IF(M34721="","",'Master Barang'!A15)</f>
        <v>PRL-014</v>
      </c>
      <c r="O34721" t="str">
        <f>IF(N34721="","",'Master Barang'!B15)</f>
        <v>optima trashbag 80x100</v>
      </c>
      <c r="P34721">
        <f>IF(OR(M34721="",N34721=""),"",SUMIFS('Barang Keluar'!$E:$E,'Barang Keluar'!$A:$A,M34721,'Barang Keluar'!$C:$C,N34721))</f>
        <v>0</v>
      </c>
    </row>
    <row r="34722" spans="13:16">
      <c r="M34722" s="49">
        <f>IF($A$4+347&gt;$B$4,"",$A$4+347)</f>
        <v>46370</v>
      </c>
      <c r="N34722" t="str">
        <f>IF(M34722="","",'Master Barang'!A16)</f>
        <v>PRL-015</v>
      </c>
      <c r="O34722" t="str">
        <f>IF(N34722="","",'Master Barang'!B16)</f>
        <v>optima trashbag 60x100</v>
      </c>
      <c r="P34722">
        <f>IF(OR(M34722="",N34722=""),"",SUMIFS('Barang Keluar'!$E:$E,'Barang Keluar'!$A:$A,M34722,'Barang Keluar'!$C:$C,N34722))</f>
        <v>0</v>
      </c>
    </row>
    <row r="34723" spans="13:16">
      <c r="M34723" s="49">
        <f>IF($A$4+347&gt;$B$4,"",$A$4+347)</f>
        <v>46370</v>
      </c>
      <c r="N34723" t="str">
        <f>IF(M34723="","",'Master Barang'!A17)</f>
        <v>PRL-016</v>
      </c>
      <c r="O34723" t="str">
        <f>IF(N34723="","",'Master Barang'!B17)</f>
        <v>rajawali trashbag 30x40</v>
      </c>
      <c r="P34723">
        <f>IF(OR(M34723="",N34723=""),"",SUMIFS('Barang Keluar'!$E:$E,'Barang Keluar'!$A:$A,M34723,'Barang Keluar'!$C:$C,N34723))</f>
        <v>0</v>
      </c>
    </row>
    <row r="34724" spans="13:16">
      <c r="M34724" s="49">
        <f>IF($A$4+347&gt;$B$4,"",$A$4+347)</f>
        <v>46370</v>
      </c>
      <c r="N34724" t="str">
        <f>IF(M34724="","",'Master Barang'!A18)</f>
        <v>PRL-017</v>
      </c>
      <c r="O34724" t="str">
        <f>IF(N34724="","",'Master Barang'!B18)</f>
        <v>onemed masker biru 3 play 50 pcs</v>
      </c>
      <c r="P34724">
        <f>IF(OR(M34724="",N34724=""),"",SUMIFS('Barang Keluar'!$E:$E,'Barang Keluar'!$A:$A,M34724,'Barang Keluar'!$C:$C,N34724))</f>
        <v>0</v>
      </c>
    </row>
    <row r="34725" spans="13:16">
      <c r="M34725" s="49">
        <f>IF($A$4+347&gt;$B$4,"",$A$4+347)</f>
        <v>46370</v>
      </c>
      <c r="N34725" t="str">
        <f>IF(M34725="","",'Master Barang'!A19)</f>
        <v>PRL-018</v>
      </c>
      <c r="O34725" t="str">
        <f>IF(N34725="","",'Master Barang'!B19)</f>
        <v>onemed masker biru 3 play hijab 50 pcs</v>
      </c>
      <c r="P34725">
        <f>IF(OR(M34725="",N34725=""),"",SUMIFS('Barang Keluar'!$E:$E,'Barang Keluar'!$A:$A,M34725,'Barang Keluar'!$C:$C,N34725))</f>
        <v>0</v>
      </c>
    </row>
    <row r="34726" spans="13:16">
      <c r="M34726" s="49">
        <f>IF($A$4+347&gt;$B$4,"",$A$4+347)</f>
        <v>46370</v>
      </c>
      <c r="N34726" t="str">
        <f>IF(M34726="","",'Master Barang'!A20)</f>
        <v>PRL-019</v>
      </c>
      <c r="O34726" t="str">
        <f>IF(N34726="","",'Master Barang'!B20)</f>
        <v>neo health masker biru 3 play 50 pcs</v>
      </c>
      <c r="P34726">
        <f>IF(OR(M34726="",N34726=""),"",SUMIFS('Barang Keluar'!$E:$E,'Barang Keluar'!$A:$A,M34726,'Barang Keluar'!$C:$C,N34726))</f>
        <v>0</v>
      </c>
    </row>
    <row r="34727" spans="13:16">
      <c r="M34727" s="49">
        <f>IF($A$4+347&gt;$B$4,"",$A$4+347)</f>
        <v>46370</v>
      </c>
      <c r="N34727" t="str">
        <f>IF(M34727="","",'Master Barang'!A21)</f>
        <v>PRL-020</v>
      </c>
      <c r="O34727" t="str">
        <f>IF(N34727="","",'Master Barang'!B21)</f>
        <v>baymed masker hijau 3 play hijau 50 pcs</v>
      </c>
      <c r="P34727">
        <f>IF(OR(M34727="",N34727=""),"",SUMIFS('Barang Keluar'!$E:$E,'Barang Keluar'!$A:$A,M34727,'Barang Keluar'!$C:$C,N34727))</f>
        <v>0</v>
      </c>
    </row>
    <row r="34728" spans="13:16">
      <c r="M34728" s="49">
        <f>IF($A$4+347&gt;$B$4,"",$A$4+347)</f>
        <v>46370</v>
      </c>
      <c r="N34728" t="str">
        <f>IF(M34728="","",'Master Barang'!A22)</f>
        <v>PRL-021</v>
      </c>
      <c r="O34728" t="str">
        <f>IF(N34728="","",'Master Barang'!B22)</f>
        <v>altamed nurse cap penutup kepala 100 pcs</v>
      </c>
      <c r="P34728">
        <f>IF(OR(M34728="",N34728=""),"",SUMIFS('Barang Keluar'!$E:$E,'Barang Keluar'!$A:$A,M34728,'Barang Keluar'!$C:$C,N34728))</f>
        <v>0</v>
      </c>
    </row>
    <row r="34729" spans="13:16">
      <c r="M34729" s="49">
        <f>IF($A$4+347&gt;$B$4,"",$A$4+347)</f>
        <v>46370</v>
      </c>
      <c r="N34729" t="str">
        <f>IF(M34729="","",'Master Barang'!A23)</f>
        <v>PRL-022</v>
      </c>
      <c r="O34729" t="str">
        <f>IF(N34729="","",'Master Barang'!B23)</f>
        <v>sabun cuci tangan</v>
      </c>
      <c r="P34729">
        <f>IF(OR(M34729="",N34729=""),"",SUMIFS('Barang Keluar'!$E:$E,'Barang Keluar'!$A:$A,M34729,'Barang Keluar'!$C:$C,N34729))</f>
        <v>0</v>
      </c>
    </row>
    <row r="34730" spans="13:16">
      <c r="M34730" s="49">
        <f>IF($A$4+347&gt;$B$4,"",$A$4+347)</f>
        <v>46370</v>
      </c>
      <c r="N34730" t="str">
        <f>IF(M34730="","",'Master Barang'!A24)</f>
        <v>PRL-023</v>
      </c>
      <c r="O34730" t="str">
        <f>IF(N34730="","",'Master Barang'!B24)</f>
        <v>gayung kecil</v>
      </c>
      <c r="P34730">
        <f>IF(OR(M34730="",N34730=""),"",SUMIFS('Barang Keluar'!$E:$E,'Barang Keluar'!$A:$A,M34730,'Barang Keluar'!$C:$C,N34730))</f>
        <v>0</v>
      </c>
    </row>
    <row r="34731" spans="13:16">
      <c r="M34731" s="49">
        <f>IF($A$4+347&gt;$B$4,"",$A$4+347)</f>
        <v>46370</v>
      </c>
      <c r="N34731" t="str">
        <f>IF(M34731="","",'Master Barang'!A25)</f>
        <v>PRL-024</v>
      </c>
      <c r="O34731" t="str">
        <f>IF(N34731="","",'Master Barang'!B25)</f>
        <v>cikrak kecil</v>
      </c>
      <c r="P34731">
        <f>IF(OR(M34731="",N34731=""),"",SUMIFS('Barang Keluar'!$E:$E,'Barang Keluar'!$A:$A,M34731,'Barang Keluar'!$C:$C,N34731))</f>
        <v>0</v>
      </c>
    </row>
    <row r="34732" spans="13:16">
      <c r="M34732" s="49">
        <f>IF($A$4+347&gt;$B$4,"",$A$4+347)</f>
        <v>46370</v>
      </c>
      <c r="N34732" t="str">
        <f>IF(M34732="","",'Master Barang'!A26)</f>
        <v>PRL-025</v>
      </c>
      <c r="O34732" t="str">
        <f>IF(N34732="","",'Master Barang'!B26)</f>
        <v>petromax plastik kecil 12x24 100 lembar</v>
      </c>
      <c r="P34732">
        <f>IF(OR(M34732="",N34732=""),"",SUMIFS('Barang Keluar'!$E:$E,'Barang Keluar'!$A:$A,M34732,'Barang Keluar'!$C:$C,N34732))</f>
        <v>0</v>
      </c>
    </row>
    <row r="34733" spans="13:16">
      <c r="M34733" s="49">
        <f>IF($A$4+347&gt;$B$4,"",$A$4+347)</f>
        <v>46370</v>
      </c>
      <c r="N34733" t="str">
        <f>IF(M34733="","",'Master Barang'!A27)</f>
        <v>PRL-026</v>
      </c>
      <c r="O34733" t="str">
        <f>IF(N34733="","",'Master Barang'!B27)</f>
        <v>lancar kresek kecil bening </v>
      </c>
      <c r="P34733">
        <f>IF(OR(M34733="",N34733=""),"",SUMIFS('Barang Keluar'!$E:$E,'Barang Keluar'!$A:$A,M34733,'Barang Keluar'!$C:$C,N34733))</f>
        <v>0</v>
      </c>
    </row>
    <row r="34734" spans="13:16">
      <c r="M34734" s="49">
        <f>IF($A$4+347&gt;$B$4,"",$A$4+347)</f>
        <v>46370</v>
      </c>
      <c r="N34734" t="str">
        <f>IF(M34734="","",'Master Barang'!A28)</f>
        <v>PRL-027</v>
      </c>
      <c r="O34734" t="str">
        <f>IF(N34734="","",'Master Barang'!B28)</f>
        <v>kresek klin warna warni kecil</v>
      </c>
      <c r="P34734">
        <f>IF(OR(M34734="",N34734=""),"",SUMIFS('Barang Keluar'!$E:$E,'Barang Keluar'!$A:$A,M34734,'Barang Keluar'!$C:$C,N34734))</f>
        <v>0</v>
      </c>
    </row>
    <row r="34735" spans="13:16">
      <c r="M34735" s="49">
        <f>IF($A$4+347&gt;$B$4,"",$A$4+347)</f>
        <v>46370</v>
      </c>
      <c r="N34735" t="str">
        <f>IF(M34735="","",'Master Barang'!A29)</f>
        <v>PRL-028</v>
      </c>
      <c r="O34735" t="str">
        <f>IF(N34735="","",'Master Barang'!B29)</f>
        <v>ctik plastik 7x10 100 pcs</v>
      </c>
      <c r="P34735">
        <f>IF(OR(M34735="",N34735=""),"",SUMIFS('Barang Keluar'!$E:$E,'Barang Keluar'!$A:$A,M34735,'Barang Keluar'!$C:$C,N34735))</f>
        <v>0</v>
      </c>
    </row>
    <row r="34736" spans="13:16">
      <c r="M34736" s="49">
        <f>IF($A$4+347&gt;$B$4,"",$A$4+347)</f>
        <v>46370</v>
      </c>
      <c r="N34736" t="str">
        <f>IF(M34736="","",'Master Barang'!A30)</f>
        <v>PRL-029</v>
      </c>
      <c r="O34736" t="str">
        <f>IF(N34736="","",'Master Barang'!B30)</f>
        <v>ctik plastik 6x10 100 pcs</v>
      </c>
      <c r="P34736">
        <f>IF(OR(M34736="",N34736=""),"",SUMIFS('Barang Keluar'!$E:$E,'Barang Keluar'!$A:$A,M34736,'Barang Keluar'!$C:$C,N34736))</f>
        <v>0</v>
      </c>
    </row>
    <row r="34737" spans="13:16">
      <c r="M34737" s="49">
        <f>IF($A$4+347&gt;$B$4,"",$A$4+347)</f>
        <v>46370</v>
      </c>
      <c r="N34737" t="str">
        <f>IF(M34737="","",'Master Barang'!A31)</f>
        <v>PRL-030</v>
      </c>
      <c r="O34737" t="str">
        <f>IF(N34737="","",'Master Barang'!B31)</f>
        <v>klip plastik 25x16 100 pcs</v>
      </c>
      <c r="P34737">
        <f>IF(OR(M34737="",N34737=""),"",SUMIFS('Barang Keluar'!$E:$E,'Barang Keluar'!$A:$A,M34737,'Barang Keluar'!$C:$C,N34737))</f>
        <v>0</v>
      </c>
    </row>
    <row r="34738" spans="13:16">
      <c r="M34738" s="49">
        <f>IF($A$4+347&gt;$B$4,"",$A$4+347)</f>
        <v>46370</v>
      </c>
      <c r="N34738" t="str">
        <f>IF(M34738="","",'Master Barang'!A32)</f>
        <v>PRL-031</v>
      </c>
      <c r="O34738" t="str">
        <f>IF(N34738="","",'Master Barang'!B32)</f>
        <v>tempat saus 20 ml</v>
      </c>
      <c r="P34738">
        <f>IF(OR(M34738="",N34738=""),"",SUMIFS('Barang Keluar'!$E:$E,'Barang Keluar'!$A:$A,M34738,'Barang Keluar'!$C:$C,N34738))</f>
        <v>0</v>
      </c>
    </row>
    <row r="34739" spans="13:16">
      <c r="M34739" s="49">
        <f>IF($A$4+347&gt;$B$4,"",$A$4+347)</f>
        <v>46370</v>
      </c>
      <c r="N34739" t="str">
        <f>IF(M34739="","",'Master Barang'!A33)</f>
        <v>PRL-032</v>
      </c>
      <c r="O34739" t="str">
        <f>IF(N34739="","",'Master Barang'!B33)</f>
        <v>plastik packaging ag box uk sedang</v>
      </c>
      <c r="P34739">
        <f>IF(OR(M34739="",N34739=""),"",SUMIFS('Barang Keluar'!$E:$E,'Barang Keluar'!$A:$A,M34739,'Barang Keluar'!$C:$C,N34739))</f>
        <v>0</v>
      </c>
    </row>
    <row r="34740" spans="13:16">
      <c r="M34740" s="49">
        <f>IF($A$4+347&gt;$B$4,"",$A$4+347)</f>
        <v>46370</v>
      </c>
      <c r="N34740" t="str">
        <f>IF(M34740="","",'Master Barang'!A34)</f>
        <v>PRL-033</v>
      </c>
      <c r="O34740">
        <f>IF(N34740="","",'Master Barang'!B34)</f>
        <v>0</v>
      </c>
      <c r="P34740">
        <f>IF(OR(M34740="",N34740=""),"",SUMIFS('Barang Keluar'!$E:$E,'Barang Keluar'!$A:$A,M34740,'Barang Keluar'!$C:$C,N34740))</f>
        <v>0</v>
      </c>
    </row>
    <row r="34741" spans="13:16">
      <c r="M34741" s="49">
        <f>IF($A$4+347&gt;$B$4,"",$A$4+347)</f>
        <v>46370</v>
      </c>
      <c r="N34741">
        <f>IF(M34741="","",'Master Barang'!A35)</f>
        <v>0</v>
      </c>
      <c r="O34741">
        <f>IF(N34741="","",'Master Barang'!B35)</f>
        <v>0</v>
      </c>
      <c r="P34741">
        <f>IF(OR(M34741="",N34741=""),"",SUMIFS('Barang Keluar'!$E:$E,'Barang Keluar'!$A:$A,M34741,'Barang Keluar'!$C:$C,N34741))</f>
        <v>0</v>
      </c>
    </row>
    <row r="34742" spans="13:16">
      <c r="M34742" s="49">
        <f>IF($A$4+347&gt;$B$4,"",$A$4+347)</f>
        <v>46370</v>
      </c>
      <c r="N34742">
        <f>IF(M34742="","",'Master Barang'!A36)</f>
        <v>0</v>
      </c>
      <c r="O34742">
        <f>IF(N34742="","",'Master Barang'!B36)</f>
        <v>0</v>
      </c>
      <c r="P34742">
        <f>IF(OR(M34742="",N34742=""),"",SUMIFS('Barang Keluar'!$E:$E,'Barang Keluar'!$A:$A,M34742,'Barang Keluar'!$C:$C,N34742))</f>
        <v>0</v>
      </c>
    </row>
    <row r="34743" spans="13:16">
      <c r="M34743" s="49">
        <f>IF($A$4+347&gt;$B$4,"",$A$4+347)</f>
        <v>46370</v>
      </c>
      <c r="N34743">
        <f>IF(M34743="","",'Master Barang'!A37)</f>
        <v>0</v>
      </c>
      <c r="O34743">
        <f>IF(N34743="","",'Master Barang'!B37)</f>
        <v>0</v>
      </c>
      <c r="P34743">
        <f>IF(OR(M34743="",N34743=""),"",SUMIFS('Barang Keluar'!$E:$E,'Barang Keluar'!$A:$A,M34743,'Barang Keluar'!$C:$C,N34743))</f>
        <v>0</v>
      </c>
    </row>
    <row r="34744" spans="13:16">
      <c r="M34744" s="49">
        <f>IF($A$4+347&gt;$B$4,"",$A$4+347)</f>
        <v>46370</v>
      </c>
      <c r="N34744">
        <f>IF(M34744="","",'Master Barang'!A38)</f>
        <v>0</v>
      </c>
      <c r="O34744">
        <f>IF(N34744="","",'Master Barang'!B38)</f>
        <v>0</v>
      </c>
      <c r="P34744">
        <f>IF(OR(M34744="",N34744=""),"",SUMIFS('Barang Keluar'!$E:$E,'Barang Keluar'!$A:$A,M34744,'Barang Keluar'!$C:$C,N34744))</f>
        <v>0</v>
      </c>
    </row>
    <row r="34745" spans="13:16">
      <c r="M34745" s="49">
        <f>IF($A$4+347&gt;$B$4,"",$A$4+347)</f>
        <v>46370</v>
      </c>
      <c r="N34745">
        <f>IF(M34745="","",'Master Barang'!A39)</f>
        <v>0</v>
      </c>
      <c r="O34745">
        <f>IF(N34745="","",'Master Barang'!B39)</f>
        <v>0</v>
      </c>
      <c r="P34745">
        <f>IF(OR(M34745="",N34745=""),"",SUMIFS('Barang Keluar'!$E:$E,'Barang Keluar'!$A:$A,M34745,'Barang Keluar'!$C:$C,N34745))</f>
        <v>0</v>
      </c>
    </row>
    <row r="34746" spans="13:16">
      <c r="M34746" s="49">
        <f>IF($A$4+347&gt;$B$4,"",$A$4+347)</f>
        <v>46370</v>
      </c>
      <c r="N34746">
        <f>IF(M34746="","",'Master Barang'!A40)</f>
        <v>0</v>
      </c>
      <c r="O34746">
        <f>IF(N34746="","",'Master Barang'!B40)</f>
        <v>0</v>
      </c>
      <c r="P34746">
        <f>IF(OR(M34746="",N34746=""),"",SUMIFS('Barang Keluar'!$E:$E,'Barang Keluar'!$A:$A,M34746,'Barang Keluar'!$C:$C,N34746))</f>
        <v>0</v>
      </c>
    </row>
    <row r="34747" spans="13:16">
      <c r="M34747" s="49">
        <f>IF($A$4+347&gt;$B$4,"",$A$4+347)</f>
        <v>46370</v>
      </c>
      <c r="N34747">
        <f>IF(M34747="","",'Master Barang'!A41)</f>
        <v>0</v>
      </c>
      <c r="O34747">
        <f>IF(N34747="","",'Master Barang'!B41)</f>
        <v>0</v>
      </c>
      <c r="P34747">
        <f>IF(OR(M34747="",N34747=""),"",SUMIFS('Barang Keluar'!$E:$E,'Barang Keluar'!$A:$A,M34747,'Barang Keluar'!$C:$C,N34747))</f>
        <v>0</v>
      </c>
    </row>
    <row r="34748" spans="13:16">
      <c r="M34748" s="49">
        <f>IF($A$4+347&gt;$B$4,"",$A$4+347)</f>
        <v>46370</v>
      </c>
      <c r="N34748">
        <f>IF(M34748="","",'Master Barang'!A42)</f>
        <v>0</v>
      </c>
      <c r="O34748">
        <f>IF(N34748="","",'Master Barang'!B42)</f>
        <v>0</v>
      </c>
      <c r="P34748">
        <f>IF(OR(M34748="",N34748=""),"",SUMIFS('Barang Keluar'!$E:$E,'Barang Keluar'!$A:$A,M34748,'Barang Keluar'!$C:$C,N34748))</f>
        <v>0</v>
      </c>
    </row>
    <row r="34749" spans="13:16">
      <c r="M34749" s="49">
        <f>IF($A$4+347&gt;$B$4,"",$A$4+347)</f>
        <v>46370</v>
      </c>
      <c r="N34749">
        <f>IF(M34749="","",'Master Barang'!A43)</f>
        <v>0</v>
      </c>
      <c r="O34749">
        <f>IF(N34749="","",'Master Barang'!B43)</f>
        <v>0</v>
      </c>
      <c r="P34749">
        <f>IF(OR(M34749="",N34749=""),"",SUMIFS('Barang Keluar'!$E:$E,'Barang Keluar'!$A:$A,M34749,'Barang Keluar'!$C:$C,N34749))</f>
        <v>0</v>
      </c>
    </row>
    <row r="34750" spans="13:16">
      <c r="M34750" s="49">
        <f>IF($A$4+347&gt;$B$4,"",$A$4+347)</f>
        <v>46370</v>
      </c>
      <c r="N34750">
        <f>IF(M34750="","",'Master Barang'!A44)</f>
        <v>0</v>
      </c>
      <c r="O34750">
        <f>IF(N34750="","",'Master Barang'!B44)</f>
        <v>0</v>
      </c>
      <c r="P34750">
        <f>IF(OR(M34750="",N34750=""),"",SUMIFS('Barang Keluar'!$E:$E,'Barang Keluar'!$A:$A,M34750,'Barang Keluar'!$C:$C,N34750))</f>
        <v>0</v>
      </c>
    </row>
    <row r="34751" spans="13:16">
      <c r="M34751" s="49">
        <f>IF($A$4+347&gt;$B$4,"",$A$4+347)</f>
        <v>46370</v>
      </c>
      <c r="N34751">
        <f>IF(M34751="","",'Master Barang'!A45)</f>
        <v>0</v>
      </c>
      <c r="O34751">
        <f>IF(N34751="","",'Master Barang'!B45)</f>
        <v>0</v>
      </c>
      <c r="P34751">
        <f>IF(OR(M34751="",N34751=""),"",SUMIFS('Barang Keluar'!$E:$E,'Barang Keluar'!$A:$A,M34751,'Barang Keluar'!$C:$C,N34751))</f>
        <v>0</v>
      </c>
    </row>
    <row r="34752" spans="13:16">
      <c r="M34752" s="49">
        <f>IF($A$4+347&gt;$B$4,"",$A$4+347)</f>
        <v>46370</v>
      </c>
      <c r="N34752">
        <f>IF(M34752="","",'Master Barang'!A46)</f>
        <v>0</v>
      </c>
      <c r="O34752">
        <f>IF(N34752="","",'Master Barang'!B46)</f>
        <v>0</v>
      </c>
      <c r="P34752">
        <f>IF(OR(M34752="",N34752=""),"",SUMIFS('Barang Keluar'!$E:$E,'Barang Keluar'!$A:$A,M34752,'Barang Keluar'!$C:$C,N34752))</f>
        <v>0</v>
      </c>
    </row>
    <row r="34753" spans="13:16">
      <c r="M34753" s="49">
        <f>IF($A$4+347&gt;$B$4,"",$A$4+347)</f>
        <v>46370</v>
      </c>
      <c r="N34753">
        <f>IF(M34753="","",'Master Barang'!A47)</f>
        <v>0</v>
      </c>
      <c r="O34753">
        <f>IF(N34753="","",'Master Barang'!B47)</f>
        <v>0</v>
      </c>
      <c r="P34753">
        <f>IF(OR(M34753="",N34753=""),"",SUMIFS('Barang Keluar'!$E:$E,'Barang Keluar'!$A:$A,M34753,'Barang Keluar'!$C:$C,N34753))</f>
        <v>0</v>
      </c>
    </row>
    <row r="34754" spans="13:16">
      <c r="M34754" s="49">
        <f>IF($A$4+347&gt;$B$4,"",$A$4+347)</f>
        <v>46370</v>
      </c>
      <c r="N34754">
        <f>IF(M34754="","",'Master Barang'!A48)</f>
        <v>0</v>
      </c>
      <c r="O34754">
        <f>IF(N34754="","",'Master Barang'!B48)</f>
        <v>0</v>
      </c>
      <c r="P34754">
        <f>IF(OR(M34754="",N34754=""),"",SUMIFS('Barang Keluar'!$E:$E,'Barang Keluar'!$A:$A,M34754,'Barang Keluar'!$C:$C,N34754))</f>
        <v>0</v>
      </c>
    </row>
    <row r="34755" spans="13:16">
      <c r="M34755" s="49">
        <f>IF($A$4+347&gt;$B$4,"",$A$4+347)</f>
        <v>46370</v>
      </c>
      <c r="N34755">
        <f>IF(M34755="","",'Master Barang'!A49)</f>
        <v>0</v>
      </c>
      <c r="O34755">
        <f>IF(N34755="","",'Master Barang'!B49)</f>
        <v>0</v>
      </c>
      <c r="P34755">
        <f>IF(OR(M34755="",N34755=""),"",SUMIFS('Barang Keluar'!$E:$E,'Barang Keluar'!$A:$A,M34755,'Barang Keluar'!$C:$C,N34755))</f>
        <v>0</v>
      </c>
    </row>
    <row r="34756" spans="13:16">
      <c r="M34756" s="49">
        <f>IF($A$4+347&gt;$B$4,"",$A$4+347)</f>
        <v>46370</v>
      </c>
      <c r="N34756">
        <f>IF(M34756="","",'Master Barang'!A50)</f>
        <v>0</v>
      </c>
      <c r="O34756">
        <f>IF(N34756="","",'Master Barang'!B50)</f>
        <v>0</v>
      </c>
      <c r="P34756">
        <f>IF(OR(M34756="",N34756=""),"",SUMIFS('Barang Keluar'!$E:$E,'Barang Keluar'!$A:$A,M34756,'Barang Keluar'!$C:$C,N34756))</f>
        <v>0</v>
      </c>
    </row>
    <row r="34757" spans="13:16">
      <c r="M34757" s="49">
        <f>IF($A$4+347&gt;$B$4,"",$A$4+347)</f>
        <v>46370</v>
      </c>
      <c r="N34757">
        <f>IF(M34757="","",'Master Barang'!A51)</f>
        <v>0</v>
      </c>
      <c r="O34757">
        <f>IF(N34757="","",'Master Barang'!B51)</f>
        <v>0</v>
      </c>
      <c r="P34757">
        <f>IF(OR(M34757="",N34757=""),"",SUMIFS('Barang Keluar'!$E:$E,'Barang Keluar'!$A:$A,M34757,'Barang Keluar'!$C:$C,N34757))</f>
        <v>0</v>
      </c>
    </row>
    <row r="34758" spans="13:16">
      <c r="M34758" s="49">
        <f>IF($A$4+347&gt;$B$4,"",$A$4+347)</f>
        <v>46370</v>
      </c>
      <c r="N34758">
        <f>IF(M34758="","",'Master Barang'!A52)</f>
        <v>0</v>
      </c>
      <c r="O34758">
        <f>IF(N34758="","",'Master Barang'!B52)</f>
        <v>0</v>
      </c>
      <c r="P34758">
        <f>IF(OR(M34758="",N34758=""),"",SUMIFS('Barang Keluar'!$E:$E,'Barang Keluar'!$A:$A,M34758,'Barang Keluar'!$C:$C,N34758))</f>
        <v>0</v>
      </c>
    </row>
    <row r="34759" spans="13:16">
      <c r="M34759" s="49">
        <f>IF($A$4+347&gt;$B$4,"",$A$4+347)</f>
        <v>46370</v>
      </c>
      <c r="N34759">
        <f>IF(M34759="","",'Master Barang'!A53)</f>
        <v>0</v>
      </c>
      <c r="O34759">
        <f>IF(N34759="","",'Master Barang'!B53)</f>
        <v>0</v>
      </c>
      <c r="P34759">
        <f>IF(OR(M34759="",N34759=""),"",SUMIFS('Barang Keluar'!$E:$E,'Barang Keluar'!$A:$A,M34759,'Barang Keluar'!$C:$C,N34759))</f>
        <v>0</v>
      </c>
    </row>
    <row r="34760" spans="13:16">
      <c r="M34760" s="49">
        <f>IF($A$4+347&gt;$B$4,"",$A$4+347)</f>
        <v>46370</v>
      </c>
      <c r="N34760">
        <f>IF(M34760="","",'Master Barang'!A54)</f>
        <v>0</v>
      </c>
      <c r="O34760">
        <f>IF(N34760="","",'Master Barang'!B54)</f>
        <v>0</v>
      </c>
      <c r="P34760">
        <f>IF(OR(M34760="",N34760=""),"",SUMIFS('Barang Keluar'!$E:$E,'Barang Keluar'!$A:$A,M34760,'Barang Keluar'!$C:$C,N34760))</f>
        <v>0</v>
      </c>
    </row>
    <row r="34761" spans="13:16">
      <c r="M34761" s="49">
        <f>IF($A$4+347&gt;$B$4,"",$A$4+347)</f>
        <v>46370</v>
      </c>
      <c r="N34761">
        <f>IF(M34761="","",'Master Barang'!A55)</f>
        <v>0</v>
      </c>
      <c r="O34761">
        <f>IF(N34761="","",'Master Barang'!B55)</f>
        <v>0</v>
      </c>
      <c r="P34761">
        <f>IF(OR(M34761="",N34761=""),"",SUMIFS('Barang Keluar'!$E:$E,'Barang Keluar'!$A:$A,M34761,'Barang Keluar'!$C:$C,N34761))</f>
        <v>0</v>
      </c>
    </row>
    <row r="34762" spans="13:16">
      <c r="M34762" s="49">
        <f>IF($A$4+347&gt;$B$4,"",$A$4+347)</f>
        <v>46370</v>
      </c>
      <c r="N34762">
        <f>IF(M34762="","",'Master Barang'!A56)</f>
        <v>0</v>
      </c>
      <c r="O34762">
        <f>IF(N34762="","",'Master Barang'!B56)</f>
        <v>0</v>
      </c>
      <c r="P34762">
        <f>IF(OR(M34762="",N34762=""),"",SUMIFS('Barang Keluar'!$E:$E,'Barang Keluar'!$A:$A,M34762,'Barang Keluar'!$C:$C,N34762))</f>
        <v>0</v>
      </c>
    </row>
    <row r="34763" spans="13:16">
      <c r="M34763" s="49">
        <f>IF($A$4+347&gt;$B$4,"",$A$4+347)</f>
        <v>46370</v>
      </c>
      <c r="N34763">
        <f>IF(M34763="","",'Master Barang'!A57)</f>
        <v>0</v>
      </c>
      <c r="O34763">
        <f>IF(N34763="","",'Master Barang'!B57)</f>
        <v>0</v>
      </c>
      <c r="P34763">
        <f>IF(OR(M34763="",N34763=""),"",SUMIFS('Barang Keluar'!$E:$E,'Barang Keluar'!$A:$A,M34763,'Barang Keluar'!$C:$C,N34763))</f>
        <v>0</v>
      </c>
    </row>
    <row r="34764" spans="13:16">
      <c r="M34764" s="49">
        <f>IF($A$4+347&gt;$B$4,"",$A$4+347)</f>
        <v>46370</v>
      </c>
      <c r="N34764">
        <f>IF(M34764="","",'Master Barang'!A58)</f>
        <v>0</v>
      </c>
      <c r="O34764">
        <f>IF(N34764="","",'Master Barang'!B58)</f>
        <v>0</v>
      </c>
      <c r="P34764">
        <f>IF(OR(M34764="",N34764=""),"",SUMIFS('Barang Keluar'!$E:$E,'Barang Keluar'!$A:$A,M34764,'Barang Keluar'!$C:$C,N34764))</f>
        <v>0</v>
      </c>
    </row>
    <row r="34765" spans="13:16">
      <c r="M34765" s="49">
        <f>IF($A$4+347&gt;$B$4,"",$A$4+347)</f>
        <v>46370</v>
      </c>
      <c r="N34765">
        <f>IF(M34765="","",'Master Barang'!A59)</f>
        <v>0</v>
      </c>
      <c r="O34765">
        <f>IF(N34765="","",'Master Barang'!B59)</f>
        <v>0</v>
      </c>
      <c r="P34765">
        <f>IF(OR(M34765="",N34765=""),"",SUMIFS('Barang Keluar'!$E:$E,'Barang Keluar'!$A:$A,M34765,'Barang Keluar'!$C:$C,N34765))</f>
        <v>0</v>
      </c>
    </row>
    <row r="34766" spans="13:16">
      <c r="M34766" s="49">
        <f>IF($A$4+347&gt;$B$4,"",$A$4+347)</f>
        <v>46370</v>
      </c>
      <c r="N34766">
        <f>IF(M34766="","",'Master Barang'!A60)</f>
        <v>0</v>
      </c>
      <c r="O34766">
        <f>IF(N34766="","",'Master Barang'!B60)</f>
        <v>0</v>
      </c>
      <c r="P34766">
        <f>IF(OR(M34766="",N34766=""),"",SUMIFS('Barang Keluar'!$E:$E,'Barang Keluar'!$A:$A,M34766,'Barang Keluar'!$C:$C,N34766))</f>
        <v>0</v>
      </c>
    </row>
    <row r="34767" spans="13:16">
      <c r="M34767" s="49">
        <f>IF($A$4+347&gt;$B$4,"",$A$4+347)</f>
        <v>46370</v>
      </c>
      <c r="N34767">
        <f>IF(M34767="","",'Master Barang'!A61)</f>
        <v>0</v>
      </c>
      <c r="O34767">
        <f>IF(N34767="","",'Master Barang'!B61)</f>
        <v>0</v>
      </c>
      <c r="P34767">
        <f>IF(OR(M34767="",N34767=""),"",SUMIFS('Barang Keluar'!$E:$E,'Barang Keluar'!$A:$A,M34767,'Barang Keluar'!$C:$C,N34767))</f>
        <v>0</v>
      </c>
    </row>
    <row r="34768" spans="13:16">
      <c r="M34768" s="49">
        <f>IF($A$4+347&gt;$B$4,"",$A$4+347)</f>
        <v>46370</v>
      </c>
      <c r="N34768">
        <f>IF(M34768="","",'Master Barang'!A62)</f>
        <v>0</v>
      </c>
      <c r="O34768">
        <f>IF(N34768="","",'Master Barang'!B62)</f>
        <v>0</v>
      </c>
      <c r="P34768">
        <f>IF(OR(M34768="",N34768=""),"",SUMIFS('Barang Keluar'!$E:$E,'Barang Keluar'!$A:$A,M34768,'Barang Keluar'!$C:$C,N34768))</f>
        <v>0</v>
      </c>
    </row>
    <row r="34769" spans="13:16">
      <c r="M34769" s="49">
        <f>IF($A$4+347&gt;$B$4,"",$A$4+347)</f>
        <v>46370</v>
      </c>
      <c r="N34769">
        <f>IF(M34769="","",'Master Barang'!A63)</f>
        <v>0</v>
      </c>
      <c r="O34769">
        <f>IF(N34769="","",'Master Barang'!B63)</f>
        <v>0</v>
      </c>
      <c r="P34769">
        <f>IF(OR(M34769="",N34769=""),"",SUMIFS('Barang Keluar'!$E:$E,'Barang Keluar'!$A:$A,M34769,'Barang Keluar'!$C:$C,N34769))</f>
        <v>0</v>
      </c>
    </row>
    <row r="34770" spans="13:16">
      <c r="M34770" s="49">
        <f>IF($A$4+347&gt;$B$4,"",$A$4+347)</f>
        <v>46370</v>
      </c>
      <c r="N34770">
        <f>IF(M34770="","",'Master Barang'!A64)</f>
        <v>0</v>
      </c>
      <c r="O34770">
        <f>IF(N34770="","",'Master Barang'!B64)</f>
        <v>0</v>
      </c>
      <c r="P34770">
        <f>IF(OR(M34770="",N34770=""),"",SUMIFS('Barang Keluar'!$E:$E,'Barang Keluar'!$A:$A,M34770,'Barang Keluar'!$C:$C,N34770))</f>
        <v>0</v>
      </c>
    </row>
    <row r="34771" spans="13:16">
      <c r="M34771" s="49">
        <f>IF($A$4+347&gt;$B$4,"",$A$4+347)</f>
        <v>46370</v>
      </c>
      <c r="N34771">
        <f>IF(M34771="","",'Master Barang'!A65)</f>
        <v>0</v>
      </c>
      <c r="O34771">
        <f>IF(N34771="","",'Master Barang'!B65)</f>
        <v>0</v>
      </c>
      <c r="P34771">
        <f>IF(OR(M34771="",N34771=""),"",SUMIFS('Barang Keluar'!$E:$E,'Barang Keluar'!$A:$A,M34771,'Barang Keluar'!$C:$C,N34771))</f>
        <v>0</v>
      </c>
    </row>
    <row r="34772" spans="13:16">
      <c r="M34772" s="49">
        <f>IF($A$4+347&gt;$B$4,"",$A$4+347)</f>
        <v>46370</v>
      </c>
      <c r="N34772">
        <f>IF(M34772="","",'Master Barang'!A66)</f>
        <v>0</v>
      </c>
      <c r="O34772">
        <f>IF(N34772="","",'Master Barang'!B66)</f>
        <v>0</v>
      </c>
      <c r="P34772">
        <f>IF(OR(M34772="",N34772=""),"",SUMIFS('Barang Keluar'!$E:$E,'Barang Keluar'!$A:$A,M34772,'Barang Keluar'!$C:$C,N34772))</f>
        <v>0</v>
      </c>
    </row>
    <row r="34773" spans="13:16">
      <c r="M34773" s="49">
        <f>IF($A$4+347&gt;$B$4,"",$A$4+347)</f>
        <v>46370</v>
      </c>
      <c r="N34773">
        <f>IF(M34773="","",'Master Barang'!A67)</f>
        <v>0</v>
      </c>
      <c r="O34773">
        <f>IF(N34773="","",'Master Barang'!B67)</f>
        <v>0</v>
      </c>
      <c r="P34773">
        <f>IF(OR(M34773="",N34773=""),"",SUMIFS('Barang Keluar'!$E:$E,'Barang Keluar'!$A:$A,M34773,'Barang Keluar'!$C:$C,N34773))</f>
        <v>0</v>
      </c>
    </row>
    <row r="34774" spans="13:16">
      <c r="M34774" s="49">
        <f>IF($A$4+347&gt;$B$4,"",$A$4+347)</f>
        <v>46370</v>
      </c>
      <c r="N34774">
        <f>IF(M34774="","",'Master Barang'!A68)</f>
        <v>0</v>
      </c>
      <c r="O34774">
        <f>IF(N34774="","",'Master Barang'!B68)</f>
        <v>0</v>
      </c>
      <c r="P34774">
        <f>IF(OR(M34774="",N34774=""),"",SUMIFS('Barang Keluar'!$E:$E,'Barang Keluar'!$A:$A,M34774,'Barang Keluar'!$C:$C,N34774))</f>
        <v>0</v>
      </c>
    </row>
    <row r="34775" spans="13:16">
      <c r="M34775" s="49">
        <f>IF($A$4+347&gt;$B$4,"",$A$4+347)</f>
        <v>46370</v>
      </c>
      <c r="N34775">
        <f>IF(M34775="","",'Master Barang'!A69)</f>
        <v>0</v>
      </c>
      <c r="O34775">
        <f>IF(N34775="","",'Master Barang'!B69)</f>
        <v>0</v>
      </c>
      <c r="P34775">
        <f>IF(OR(M34775="",N34775=""),"",SUMIFS('Barang Keluar'!$E:$E,'Barang Keluar'!$A:$A,M34775,'Barang Keluar'!$C:$C,N34775))</f>
        <v>0</v>
      </c>
    </row>
    <row r="34776" spans="13:16">
      <c r="M34776" s="49">
        <f>IF($A$4+347&gt;$B$4,"",$A$4+347)</f>
        <v>46370</v>
      </c>
      <c r="N34776">
        <f>IF(M34776="","",'Master Barang'!A70)</f>
        <v>0</v>
      </c>
      <c r="O34776">
        <f>IF(N34776="","",'Master Barang'!B70)</f>
        <v>0</v>
      </c>
      <c r="P34776">
        <f>IF(OR(M34776="",N34776=""),"",SUMIFS('Barang Keluar'!$E:$E,'Barang Keluar'!$A:$A,M34776,'Barang Keluar'!$C:$C,N34776))</f>
        <v>0</v>
      </c>
    </row>
    <row r="34777" spans="13:16">
      <c r="M34777" s="49">
        <f>IF($A$4+347&gt;$B$4,"",$A$4+347)</f>
        <v>46370</v>
      </c>
      <c r="N34777">
        <f>IF(M34777="","",'Master Barang'!A71)</f>
        <v>0</v>
      </c>
      <c r="O34777">
        <f>IF(N34777="","",'Master Barang'!B71)</f>
        <v>0</v>
      </c>
      <c r="P34777">
        <f>IF(OR(M34777="",N34777=""),"",SUMIFS('Barang Keluar'!$E:$E,'Barang Keluar'!$A:$A,M34777,'Barang Keluar'!$C:$C,N34777))</f>
        <v>0</v>
      </c>
    </row>
    <row r="34778" spans="13:16">
      <c r="M34778" s="49">
        <f>IF($A$4+347&gt;$B$4,"",$A$4+347)</f>
        <v>46370</v>
      </c>
      <c r="N34778">
        <f>IF(M34778="","",'Master Barang'!A72)</f>
        <v>0</v>
      </c>
      <c r="O34778">
        <f>IF(N34778="","",'Master Barang'!B72)</f>
        <v>0</v>
      </c>
      <c r="P34778">
        <f>IF(OR(M34778="",N34778=""),"",SUMIFS('Barang Keluar'!$E:$E,'Barang Keluar'!$A:$A,M34778,'Barang Keluar'!$C:$C,N34778))</f>
        <v>0</v>
      </c>
    </row>
    <row r="34779" spans="13:16">
      <c r="M34779" s="49">
        <f>IF($A$4+347&gt;$B$4,"",$A$4+347)</f>
        <v>46370</v>
      </c>
      <c r="N34779">
        <f>IF(M34779="","",'Master Barang'!A73)</f>
        <v>0</v>
      </c>
      <c r="O34779">
        <f>IF(N34779="","",'Master Barang'!B73)</f>
        <v>0</v>
      </c>
      <c r="P34779">
        <f>IF(OR(M34779="",N34779=""),"",SUMIFS('Barang Keluar'!$E:$E,'Barang Keluar'!$A:$A,M34779,'Barang Keluar'!$C:$C,N34779))</f>
        <v>0</v>
      </c>
    </row>
    <row r="34780" spans="13:16">
      <c r="M34780" s="49">
        <f>IF($A$4+347&gt;$B$4,"",$A$4+347)</f>
        <v>46370</v>
      </c>
      <c r="N34780">
        <f>IF(M34780="","",'Master Barang'!A74)</f>
        <v>0</v>
      </c>
      <c r="O34780">
        <f>IF(N34780="","",'Master Barang'!B74)</f>
        <v>0</v>
      </c>
      <c r="P34780">
        <f>IF(OR(M34780="",N34780=""),"",SUMIFS('Barang Keluar'!$E:$E,'Barang Keluar'!$A:$A,M34780,'Barang Keluar'!$C:$C,N34780))</f>
        <v>0</v>
      </c>
    </row>
    <row r="34781" spans="13:16">
      <c r="M34781" s="49">
        <f>IF($A$4+347&gt;$B$4,"",$A$4+347)</f>
        <v>46370</v>
      </c>
      <c r="N34781">
        <f>IF(M34781="","",'Master Barang'!A75)</f>
        <v>0</v>
      </c>
      <c r="O34781">
        <f>IF(N34781="","",'Master Barang'!B75)</f>
        <v>0</v>
      </c>
      <c r="P34781">
        <f>IF(OR(M34781="",N34781=""),"",SUMIFS('Barang Keluar'!$E:$E,'Barang Keluar'!$A:$A,M34781,'Barang Keluar'!$C:$C,N34781))</f>
        <v>0</v>
      </c>
    </row>
    <row r="34782" spans="13:16">
      <c r="M34782" s="49">
        <f>IF($A$4+347&gt;$B$4,"",$A$4+347)</f>
        <v>46370</v>
      </c>
      <c r="N34782">
        <f>IF(M34782="","",'Master Barang'!A76)</f>
        <v>0</v>
      </c>
      <c r="O34782">
        <f>IF(N34782="","",'Master Barang'!B76)</f>
        <v>0</v>
      </c>
      <c r="P34782">
        <f>IF(OR(M34782="",N34782=""),"",SUMIFS('Barang Keluar'!$E:$E,'Barang Keluar'!$A:$A,M34782,'Barang Keluar'!$C:$C,N34782))</f>
        <v>0</v>
      </c>
    </row>
    <row r="34783" spans="13:16">
      <c r="M34783" s="49">
        <f>IF($A$4+347&gt;$B$4,"",$A$4+347)</f>
        <v>46370</v>
      </c>
      <c r="N34783">
        <f>IF(M34783="","",'Master Barang'!A77)</f>
        <v>0</v>
      </c>
      <c r="O34783">
        <f>IF(N34783="","",'Master Barang'!B77)</f>
        <v>0</v>
      </c>
      <c r="P34783">
        <f>IF(OR(M34783="",N34783=""),"",SUMIFS('Barang Keluar'!$E:$E,'Barang Keluar'!$A:$A,M34783,'Barang Keluar'!$C:$C,N34783))</f>
        <v>0</v>
      </c>
    </row>
    <row r="34784" spans="13:16">
      <c r="M34784" s="49">
        <f>IF($A$4+347&gt;$B$4,"",$A$4+347)</f>
        <v>46370</v>
      </c>
      <c r="N34784">
        <f>IF(M34784="","",'Master Barang'!A78)</f>
        <v>0</v>
      </c>
      <c r="O34784">
        <f>IF(N34784="","",'Master Barang'!B78)</f>
        <v>0</v>
      </c>
      <c r="P34784">
        <f>IF(OR(M34784="",N34784=""),"",SUMIFS('Barang Keluar'!$E:$E,'Barang Keluar'!$A:$A,M34784,'Barang Keluar'!$C:$C,N34784))</f>
        <v>0</v>
      </c>
    </row>
    <row r="34785" spans="13:16">
      <c r="M34785" s="49">
        <f>IF($A$4+347&gt;$B$4,"",$A$4+347)</f>
        <v>46370</v>
      </c>
      <c r="N34785">
        <f>IF(M34785="","",'Master Barang'!A79)</f>
        <v>0</v>
      </c>
      <c r="O34785">
        <f>IF(N34785="","",'Master Barang'!B79)</f>
        <v>0</v>
      </c>
      <c r="P34785">
        <f>IF(OR(M34785="",N34785=""),"",SUMIFS('Barang Keluar'!$E:$E,'Barang Keluar'!$A:$A,M34785,'Barang Keluar'!$C:$C,N34785))</f>
        <v>0</v>
      </c>
    </row>
    <row r="34786" spans="13:16">
      <c r="M34786" s="49">
        <f>IF($A$4+347&gt;$B$4,"",$A$4+347)</f>
        <v>46370</v>
      </c>
      <c r="N34786">
        <f>IF(M34786="","",'Master Barang'!A80)</f>
        <v>0</v>
      </c>
      <c r="O34786">
        <f>IF(N34786="","",'Master Barang'!B80)</f>
        <v>0</v>
      </c>
      <c r="P34786">
        <f>IF(OR(M34786="",N34786=""),"",SUMIFS('Barang Keluar'!$E:$E,'Barang Keluar'!$A:$A,M34786,'Barang Keluar'!$C:$C,N34786))</f>
        <v>0</v>
      </c>
    </row>
    <row r="34787" spans="13:16">
      <c r="M34787" s="49">
        <f>IF($A$4+347&gt;$B$4,"",$A$4+347)</f>
        <v>46370</v>
      </c>
      <c r="N34787">
        <f>IF(M34787="","",'Master Barang'!A81)</f>
        <v>0</v>
      </c>
      <c r="O34787">
        <f>IF(N34787="","",'Master Barang'!B81)</f>
        <v>0</v>
      </c>
      <c r="P34787">
        <f>IF(OR(M34787="",N34787=""),"",SUMIFS('Barang Keluar'!$E:$E,'Barang Keluar'!$A:$A,M34787,'Barang Keluar'!$C:$C,N34787))</f>
        <v>0</v>
      </c>
    </row>
    <row r="34788" spans="13:16">
      <c r="M34788" s="49">
        <f>IF($A$4+347&gt;$B$4,"",$A$4+347)</f>
        <v>46370</v>
      </c>
      <c r="N34788">
        <f>IF(M34788="","",'Master Barang'!A82)</f>
        <v>0</v>
      </c>
      <c r="O34788">
        <f>IF(N34788="","",'Master Barang'!B82)</f>
        <v>0</v>
      </c>
      <c r="P34788">
        <f>IF(OR(M34788="",N34788=""),"",SUMIFS('Barang Keluar'!$E:$E,'Barang Keluar'!$A:$A,M34788,'Barang Keluar'!$C:$C,N34788))</f>
        <v>0</v>
      </c>
    </row>
    <row r="34789" spans="13:16">
      <c r="M34789" s="49">
        <f>IF($A$4+347&gt;$B$4,"",$A$4+347)</f>
        <v>46370</v>
      </c>
      <c r="N34789">
        <f>IF(M34789="","",'Master Barang'!A83)</f>
        <v>0</v>
      </c>
      <c r="O34789">
        <f>IF(N34789="","",'Master Barang'!B83)</f>
        <v>0</v>
      </c>
      <c r="P34789">
        <f>IF(OR(M34789="",N34789=""),"",SUMIFS('Barang Keluar'!$E:$E,'Barang Keluar'!$A:$A,M34789,'Barang Keluar'!$C:$C,N34789))</f>
        <v>0</v>
      </c>
    </row>
    <row r="34790" spans="13:16">
      <c r="M34790" s="49">
        <f>IF($A$4+347&gt;$B$4,"",$A$4+347)</f>
        <v>46370</v>
      </c>
      <c r="N34790">
        <f>IF(M34790="","",'Master Barang'!A84)</f>
        <v>0</v>
      </c>
      <c r="O34790">
        <f>IF(N34790="","",'Master Barang'!B84)</f>
        <v>0</v>
      </c>
      <c r="P34790">
        <f>IF(OR(M34790="",N34790=""),"",SUMIFS('Barang Keluar'!$E:$E,'Barang Keluar'!$A:$A,M34790,'Barang Keluar'!$C:$C,N34790))</f>
        <v>0</v>
      </c>
    </row>
    <row r="34791" spans="13:16">
      <c r="M34791" s="49">
        <f>IF($A$4+347&gt;$B$4,"",$A$4+347)</f>
        <v>46370</v>
      </c>
      <c r="N34791">
        <f>IF(M34791="","",'Master Barang'!A85)</f>
        <v>0</v>
      </c>
      <c r="O34791">
        <f>IF(N34791="","",'Master Barang'!B85)</f>
        <v>0</v>
      </c>
      <c r="P34791">
        <f>IF(OR(M34791="",N34791=""),"",SUMIFS('Barang Keluar'!$E:$E,'Barang Keluar'!$A:$A,M34791,'Barang Keluar'!$C:$C,N34791))</f>
        <v>0</v>
      </c>
    </row>
    <row r="34792" spans="13:16">
      <c r="M34792" s="49">
        <f>IF($A$4+347&gt;$B$4,"",$A$4+347)</f>
        <v>46370</v>
      </c>
      <c r="N34792">
        <f>IF(M34792="","",'Master Barang'!A86)</f>
        <v>0</v>
      </c>
      <c r="O34792">
        <f>IF(N34792="","",'Master Barang'!B86)</f>
        <v>0</v>
      </c>
      <c r="P34792">
        <f>IF(OR(M34792="",N34792=""),"",SUMIFS('Barang Keluar'!$E:$E,'Barang Keluar'!$A:$A,M34792,'Barang Keluar'!$C:$C,N34792))</f>
        <v>0</v>
      </c>
    </row>
    <row r="34793" spans="13:16">
      <c r="M34793" s="49">
        <f>IF($A$4+347&gt;$B$4,"",$A$4+347)</f>
        <v>46370</v>
      </c>
      <c r="N34793">
        <f>IF(M34793="","",'Master Barang'!A87)</f>
        <v>0</v>
      </c>
      <c r="O34793">
        <f>IF(N34793="","",'Master Barang'!B87)</f>
        <v>0</v>
      </c>
      <c r="P34793">
        <f>IF(OR(M34793="",N34793=""),"",SUMIFS('Barang Keluar'!$E:$E,'Barang Keluar'!$A:$A,M34793,'Barang Keluar'!$C:$C,N34793))</f>
        <v>0</v>
      </c>
    </row>
    <row r="34794" spans="13:16">
      <c r="M34794" s="49">
        <f>IF($A$4+347&gt;$B$4,"",$A$4+347)</f>
        <v>46370</v>
      </c>
      <c r="N34794">
        <f>IF(M34794="","",'Master Barang'!A88)</f>
        <v>0</v>
      </c>
      <c r="O34794">
        <f>IF(N34794="","",'Master Barang'!B88)</f>
        <v>0</v>
      </c>
      <c r="P34794">
        <f>IF(OR(M34794="",N34794=""),"",SUMIFS('Barang Keluar'!$E:$E,'Barang Keluar'!$A:$A,M34794,'Barang Keluar'!$C:$C,N34794))</f>
        <v>0</v>
      </c>
    </row>
    <row r="34795" spans="13:16">
      <c r="M34795" s="49">
        <f>IF($A$4+347&gt;$B$4,"",$A$4+347)</f>
        <v>46370</v>
      </c>
      <c r="N34795">
        <f>IF(M34795="","",'Master Barang'!A89)</f>
        <v>0</v>
      </c>
      <c r="O34795">
        <f>IF(N34795="","",'Master Barang'!B89)</f>
        <v>0</v>
      </c>
      <c r="P34795">
        <f>IF(OR(M34795="",N34795=""),"",SUMIFS('Barang Keluar'!$E:$E,'Barang Keluar'!$A:$A,M34795,'Barang Keluar'!$C:$C,N34795))</f>
        <v>0</v>
      </c>
    </row>
    <row r="34796" spans="13:16">
      <c r="M34796" s="49">
        <f>IF($A$4+347&gt;$B$4,"",$A$4+347)</f>
        <v>46370</v>
      </c>
      <c r="N34796">
        <f>IF(M34796="","",'Master Barang'!A90)</f>
        <v>0</v>
      </c>
      <c r="O34796">
        <f>IF(N34796="","",'Master Barang'!B90)</f>
        <v>0</v>
      </c>
      <c r="P34796">
        <f>IF(OR(M34796="",N34796=""),"",SUMIFS('Barang Keluar'!$E:$E,'Barang Keluar'!$A:$A,M34796,'Barang Keluar'!$C:$C,N34796))</f>
        <v>0</v>
      </c>
    </row>
    <row r="34797" spans="13:16">
      <c r="M34797" s="49">
        <f>IF($A$4+347&gt;$B$4,"",$A$4+347)</f>
        <v>46370</v>
      </c>
      <c r="N34797">
        <f>IF(M34797="","",'Master Barang'!A91)</f>
        <v>0</v>
      </c>
      <c r="O34797">
        <f>IF(N34797="","",'Master Barang'!B91)</f>
        <v>0</v>
      </c>
      <c r="P34797">
        <f>IF(OR(M34797="",N34797=""),"",SUMIFS('Barang Keluar'!$E:$E,'Barang Keluar'!$A:$A,M34797,'Barang Keluar'!$C:$C,N34797))</f>
        <v>0</v>
      </c>
    </row>
    <row r="34798" spans="13:16">
      <c r="M34798" s="49">
        <f>IF($A$4+347&gt;$B$4,"",$A$4+347)</f>
        <v>46370</v>
      </c>
      <c r="N34798">
        <f>IF(M34798="","",'Master Barang'!A92)</f>
        <v>0</v>
      </c>
      <c r="O34798">
        <f>IF(N34798="","",'Master Barang'!B92)</f>
        <v>0</v>
      </c>
      <c r="P34798">
        <f>IF(OR(M34798="",N34798=""),"",SUMIFS('Barang Keluar'!$E:$E,'Barang Keluar'!$A:$A,M34798,'Barang Keluar'!$C:$C,N34798))</f>
        <v>0</v>
      </c>
    </row>
    <row r="34799" spans="13:16">
      <c r="M34799" s="49">
        <f>IF($A$4+347&gt;$B$4,"",$A$4+347)</f>
        <v>46370</v>
      </c>
      <c r="N34799">
        <f>IF(M34799="","",'Master Barang'!A93)</f>
        <v>0</v>
      </c>
      <c r="O34799">
        <f>IF(N34799="","",'Master Barang'!B93)</f>
        <v>0</v>
      </c>
      <c r="P34799">
        <f>IF(OR(M34799="",N34799=""),"",SUMIFS('Barang Keluar'!$E:$E,'Barang Keluar'!$A:$A,M34799,'Barang Keluar'!$C:$C,N34799))</f>
        <v>0</v>
      </c>
    </row>
    <row r="34800" spans="13:16">
      <c r="M34800" s="49">
        <f>IF($A$4+347&gt;$B$4,"",$A$4+347)</f>
        <v>46370</v>
      </c>
      <c r="N34800">
        <f>IF(M34800="","",'Master Barang'!A94)</f>
        <v>0</v>
      </c>
      <c r="O34800">
        <f>IF(N34800="","",'Master Barang'!B94)</f>
        <v>0</v>
      </c>
      <c r="P34800">
        <f>IF(OR(M34800="",N34800=""),"",SUMIFS('Barang Keluar'!$E:$E,'Barang Keluar'!$A:$A,M34800,'Barang Keluar'!$C:$C,N34800))</f>
        <v>0</v>
      </c>
    </row>
    <row r="34801" spans="13:16">
      <c r="M34801" s="49">
        <f>IF($A$4+347&gt;$B$4,"",$A$4+347)</f>
        <v>46370</v>
      </c>
      <c r="N34801">
        <f>IF(M34801="","",'Master Barang'!A95)</f>
        <v>0</v>
      </c>
      <c r="O34801">
        <f>IF(N34801="","",'Master Barang'!B95)</f>
        <v>0</v>
      </c>
      <c r="P34801">
        <f>IF(OR(M34801="",N34801=""),"",SUMIFS('Barang Keluar'!$E:$E,'Barang Keluar'!$A:$A,M34801,'Barang Keluar'!$C:$C,N34801))</f>
        <v>0</v>
      </c>
    </row>
    <row r="34802" spans="13:16">
      <c r="M34802" s="49">
        <f>IF($A$4+347&gt;$B$4,"",$A$4+347)</f>
        <v>46370</v>
      </c>
      <c r="N34802">
        <f>IF(M34802="","",'Master Barang'!A96)</f>
        <v>0</v>
      </c>
      <c r="O34802">
        <f>IF(N34802="","",'Master Barang'!B96)</f>
        <v>0</v>
      </c>
      <c r="P34802">
        <f>IF(OR(M34802="",N34802=""),"",SUMIFS('Barang Keluar'!$E:$E,'Barang Keluar'!$A:$A,M34802,'Barang Keluar'!$C:$C,N34802))</f>
        <v>0</v>
      </c>
    </row>
    <row r="34803" spans="13:16">
      <c r="M34803" s="49">
        <f>IF($A$4+347&gt;$B$4,"",$A$4+347)</f>
        <v>46370</v>
      </c>
      <c r="N34803">
        <f>IF(M34803="","",'Master Barang'!A97)</f>
        <v>0</v>
      </c>
      <c r="O34803">
        <f>IF(N34803="","",'Master Barang'!B97)</f>
        <v>0</v>
      </c>
      <c r="P34803">
        <f>IF(OR(M34803="",N34803=""),"",SUMIFS('Barang Keluar'!$E:$E,'Barang Keluar'!$A:$A,M34803,'Barang Keluar'!$C:$C,N34803))</f>
        <v>0</v>
      </c>
    </row>
    <row r="34804" spans="13:16">
      <c r="M34804" s="49">
        <f>IF($A$4+347&gt;$B$4,"",$A$4+347)</f>
        <v>46370</v>
      </c>
      <c r="N34804">
        <f>IF(M34804="","",'Master Barang'!A98)</f>
        <v>0</v>
      </c>
      <c r="O34804">
        <f>IF(N34804="","",'Master Barang'!B98)</f>
        <v>0</v>
      </c>
      <c r="P34804">
        <f>IF(OR(M34804="",N34804=""),"",SUMIFS('Barang Keluar'!$E:$E,'Barang Keluar'!$A:$A,M34804,'Barang Keluar'!$C:$C,N34804))</f>
        <v>0</v>
      </c>
    </row>
    <row r="34805" spans="13:16">
      <c r="M34805" s="49">
        <f>IF($A$4+347&gt;$B$4,"",$A$4+347)</f>
        <v>46370</v>
      </c>
      <c r="N34805">
        <f>IF(M34805="","",'Master Barang'!A99)</f>
        <v>0</v>
      </c>
      <c r="O34805">
        <f>IF(N34805="","",'Master Barang'!B99)</f>
        <v>0</v>
      </c>
      <c r="P34805">
        <f>IF(OR(M34805="",N34805=""),"",SUMIFS('Barang Keluar'!$E:$E,'Barang Keluar'!$A:$A,M34805,'Barang Keluar'!$C:$C,N34805))</f>
        <v>0</v>
      </c>
    </row>
    <row r="34806" spans="13:16">
      <c r="M34806" s="49">
        <f>IF($A$4+347&gt;$B$4,"",$A$4+347)</f>
        <v>46370</v>
      </c>
      <c r="N34806">
        <f>IF(M34806="","",'Master Barang'!A100)</f>
        <v>0</v>
      </c>
      <c r="O34806">
        <f>IF(N34806="","",'Master Barang'!B100)</f>
        <v>0</v>
      </c>
      <c r="P34806">
        <f>IF(OR(M34806="",N34806=""),"",SUMIFS('Barang Keluar'!$E:$E,'Barang Keluar'!$A:$A,M34806,'Barang Keluar'!$C:$C,N34806))</f>
        <v>0</v>
      </c>
    </row>
    <row r="34807" spans="13:16">
      <c r="M34807" s="49">
        <f>IF($A$4+347&gt;$B$4,"",$A$4+347)</f>
        <v>46370</v>
      </c>
      <c r="N34807">
        <f>IF(M34807="","",'Master Barang'!A101)</f>
        <v>0</v>
      </c>
      <c r="O34807">
        <f>IF(N34807="","",'Master Barang'!B101)</f>
        <v>0</v>
      </c>
      <c r="P34807">
        <f>IF(OR(M34807="",N34807=""),"",SUMIFS('Barang Keluar'!$E:$E,'Barang Keluar'!$A:$A,M34807,'Barang Keluar'!$C:$C,N34807))</f>
        <v>0</v>
      </c>
    </row>
    <row r="34808" spans="13:16">
      <c r="M34808" s="49">
        <f>IF($A$4+348&gt;$B$4,"",$A$4+348)</f>
        <v>46371</v>
      </c>
      <c r="N34808" t="str">
        <f>IF(M34808="","",'Master Barang'!A2)</f>
        <v>PRL-001</v>
      </c>
      <c r="O34808" t="str">
        <f>IF(N34808="","",'Master Barang'!B2)</f>
        <v>natura desinfectant food grade 5l</v>
      </c>
      <c r="P34808">
        <f>IF(OR(M34808="",N34808=""),"",SUMIFS('Barang Keluar'!$E:$E,'Barang Keluar'!$A:$A,M34808,'Barang Keluar'!$C:$C,N34808))</f>
        <v>0</v>
      </c>
    </row>
    <row r="34809" spans="13:16">
      <c r="M34809" s="49">
        <f>IF($A$4+348&gt;$B$4,"",$A$4+348)</f>
        <v>46371</v>
      </c>
      <c r="N34809" t="str">
        <f>IF(M34809="","",'Master Barang'!A3)</f>
        <v>PRL-002</v>
      </c>
      <c r="O34809" t="str">
        <f>IF(N34809="","",'Master Barang'!B3)</f>
        <v>sunlight cairan pencuci piring 5l</v>
      </c>
      <c r="P34809">
        <f>IF(OR(M34809="",N34809=""),"",SUMIFS('Barang Keluar'!$E:$E,'Barang Keluar'!$A:$A,M34809,'Barang Keluar'!$C:$C,N34809))</f>
        <v>0</v>
      </c>
    </row>
    <row r="34810" spans="13:16">
      <c r="M34810" s="49">
        <f>IF($A$4+348&gt;$B$4,"",$A$4+348)</f>
        <v>46371</v>
      </c>
      <c r="N34810" t="str">
        <f>IF(M34810="","",'Master Barang'!A4)</f>
        <v>PRL-003</v>
      </c>
      <c r="O34810" t="str">
        <f>IF(N34810="","",'Master Barang'!B4)</f>
        <v>oixs cleaner 1l</v>
      </c>
      <c r="P34810">
        <f>IF(OR(M34810="",N34810=""),"",SUMIFS('Barang Keluar'!$E:$E,'Barang Keluar'!$A:$A,M34810,'Barang Keluar'!$C:$C,N34810))</f>
        <v>0</v>
      </c>
    </row>
    <row r="34811" spans="13:16">
      <c r="M34811" s="49">
        <f>IF($A$4+348&gt;$B$4,"",$A$4+348)</f>
        <v>46371</v>
      </c>
      <c r="N34811" t="str">
        <f>IF(M34811="","",'Master Barang'!A5)</f>
        <v>PRL-004</v>
      </c>
      <c r="O34811" t="str">
        <f>IF(N34811="","",'Master Barang'!B5)</f>
        <v>be clean tissue serbaguna</v>
      </c>
      <c r="P34811">
        <f>IF(OR(M34811="",N34811=""),"",SUMIFS('Barang Keluar'!$E:$E,'Barang Keluar'!$A:$A,M34811,'Barang Keluar'!$C:$C,N34811))</f>
        <v>0</v>
      </c>
    </row>
    <row r="34812" spans="13:16">
      <c r="M34812" s="49">
        <f>IF($A$4+348&gt;$B$4,"",$A$4+348)</f>
        <v>46371</v>
      </c>
      <c r="N34812" t="str">
        <f>IF(M34812="","",'Master Barang'!A6)</f>
        <v>PRL-005</v>
      </c>
      <c r="O34812" t="str">
        <f>IF(N34812="","",'Master Barang'!B6)</f>
        <v>spons cuci hijau</v>
      </c>
      <c r="P34812">
        <f>IF(OR(M34812="",N34812=""),"",SUMIFS('Barang Keluar'!$E:$E,'Barang Keluar'!$A:$A,M34812,'Barang Keluar'!$C:$C,N34812))</f>
        <v>0</v>
      </c>
    </row>
    <row r="34813" spans="13:16">
      <c r="M34813" s="49">
        <f>IF($A$4+348&gt;$B$4,"",$A$4+348)</f>
        <v>46371</v>
      </c>
      <c r="N34813" t="str">
        <f>IF(M34813="","",'Master Barang'!A7)</f>
        <v>PRL-006</v>
      </c>
      <c r="O34813" t="str">
        <f>IF(N34813="","",'Master Barang'!B7)</f>
        <v>sabut cuci stainless</v>
      </c>
      <c r="P34813">
        <f>IF(OR(M34813="",N34813=""),"",SUMIFS('Barang Keluar'!$E:$E,'Barang Keluar'!$A:$A,M34813,'Barang Keluar'!$C:$C,N34813))</f>
        <v>0</v>
      </c>
    </row>
    <row r="34814" spans="13:16">
      <c r="M34814" s="49">
        <f>IF($A$4+348&gt;$B$4,"",$A$4+348)</f>
        <v>46371</v>
      </c>
      <c r="N34814" t="str">
        <f>IF(M34814="","",'Master Barang'!A8)</f>
        <v>PRL-007</v>
      </c>
      <c r="O34814" t="str">
        <f>IF(N34814="","",'Master Barang'!B8)</f>
        <v>plastik kresek besar merah 50pc</v>
      </c>
      <c r="P34814">
        <f>IF(OR(M34814="",N34814=""),"",SUMIFS('Barang Keluar'!$E:$E,'Barang Keluar'!$A:$A,M34814,'Barang Keluar'!$C:$C,N34814))</f>
        <v>0</v>
      </c>
    </row>
    <row r="34815" spans="13:16">
      <c r="M34815" s="49">
        <f>IF($A$4+348&gt;$B$4,"",$A$4+348)</f>
        <v>46371</v>
      </c>
      <c r="N34815" t="str">
        <f>IF(M34815="","",'Master Barang'!A9)</f>
        <v>PRL-008</v>
      </c>
      <c r="O34815" t="str">
        <f>IF(N34815="","",'Master Barang'!B9)</f>
        <v>lap besar</v>
      </c>
      <c r="P34815">
        <f>IF(OR(M34815="",N34815=""),"",SUMIFS('Barang Keluar'!$E:$E,'Barang Keluar'!$A:$A,M34815,'Barang Keluar'!$C:$C,N34815))</f>
        <v>0</v>
      </c>
    </row>
    <row r="34816" spans="13:16">
      <c r="M34816" s="49">
        <f>IF($A$4+348&gt;$B$4,"",$A$4+348)</f>
        <v>46371</v>
      </c>
      <c r="N34816" t="str">
        <f>IF(M34816="","",'Master Barang'!A10)</f>
        <v>PRL-009</v>
      </c>
      <c r="O34816" t="str">
        <f>IF(N34816="","",'Master Barang'!B10)</f>
        <v>lap microfiber</v>
      </c>
      <c r="P34816">
        <f>IF(OR(M34816="",N34816=""),"",SUMIFS('Barang Keluar'!$E:$E,'Barang Keluar'!$A:$A,M34816,'Barang Keluar'!$C:$C,N34816))</f>
        <v>0</v>
      </c>
    </row>
    <row r="34817" spans="13:16">
      <c r="M34817" s="49">
        <f>IF($A$4+348&gt;$B$4,"",$A$4+348)</f>
        <v>46371</v>
      </c>
      <c r="N34817" t="str">
        <f>IF(M34817="","",'Master Barang'!A11)</f>
        <v>PRL-010</v>
      </c>
      <c r="O34817" t="str">
        <f>IF(N34817="","",'Master Barang'!B11)</f>
        <v>lap kecil</v>
      </c>
      <c r="P34817">
        <f>IF(OR(M34817="",N34817=""),"",SUMIFS('Barang Keluar'!$E:$E,'Barang Keluar'!$A:$A,M34817,'Barang Keluar'!$C:$C,N34817))</f>
        <v>0</v>
      </c>
    </row>
    <row r="34818" spans="13:16">
      <c r="M34818" s="49">
        <f>IF($A$4+348&gt;$B$4,"",$A$4+348)</f>
        <v>46371</v>
      </c>
      <c r="N34818" t="str">
        <f>IF(M34818="","",'Master Barang'!A12)</f>
        <v>PRL-011</v>
      </c>
      <c r="O34818" t="str">
        <f>IF(N34818="","",'Master Barang'!B12)</f>
        <v>kanebo kecil</v>
      </c>
      <c r="P34818">
        <f>IF(OR(M34818="",N34818=""),"",SUMIFS('Barang Keluar'!$E:$E,'Barang Keluar'!$A:$A,M34818,'Barang Keluar'!$C:$C,N34818))</f>
        <v>0</v>
      </c>
    </row>
    <row r="34819" spans="13:16">
      <c r="M34819" s="49">
        <f>IF($A$4+348&gt;$B$4,"",$A$4+348)</f>
        <v>46371</v>
      </c>
      <c r="N34819" t="str">
        <f>IF(M34819="","",'Master Barang'!A13)</f>
        <v>PRL-012</v>
      </c>
      <c r="O34819" t="str">
        <f>IF(N34819="","",'Master Barang'!B13)</f>
        <v>plastik 1/4kg joyoboyo 100 lembar</v>
      </c>
      <c r="P34819">
        <f>IF(OR(M34819="",N34819=""),"",SUMIFS('Barang Keluar'!$E:$E,'Barang Keluar'!$A:$A,M34819,'Barang Keluar'!$C:$C,N34819))</f>
        <v>0</v>
      </c>
    </row>
    <row r="34820" spans="13:16">
      <c r="M34820" s="49">
        <f>IF($A$4+348&gt;$B$4,"",$A$4+348)</f>
        <v>46371</v>
      </c>
      <c r="N34820" t="str">
        <f>IF(M34820="","",'Master Barang'!A14)</f>
        <v>PRL-013</v>
      </c>
      <c r="O34820" t="str">
        <f>IF(N34820="","",'Master Barang'!B14)</f>
        <v>sarung tangan plastik kaka 100 pcs</v>
      </c>
      <c r="P34820">
        <f>IF(OR(M34820="",N34820=""),"",SUMIFS('Barang Keluar'!$E:$E,'Barang Keluar'!$A:$A,M34820,'Barang Keluar'!$C:$C,N34820))</f>
        <v>0</v>
      </c>
    </row>
    <row r="34821" spans="13:16">
      <c r="M34821" s="49">
        <f>IF($A$4+348&gt;$B$4,"",$A$4+348)</f>
        <v>46371</v>
      </c>
      <c r="N34821" t="str">
        <f>IF(M34821="","",'Master Barang'!A15)</f>
        <v>PRL-014</v>
      </c>
      <c r="O34821" t="str">
        <f>IF(N34821="","",'Master Barang'!B15)</f>
        <v>optima trashbag 80x100</v>
      </c>
      <c r="P34821">
        <f>IF(OR(M34821="",N34821=""),"",SUMIFS('Barang Keluar'!$E:$E,'Barang Keluar'!$A:$A,M34821,'Barang Keluar'!$C:$C,N34821))</f>
        <v>0</v>
      </c>
    </row>
    <row r="34822" spans="13:16">
      <c r="M34822" s="49">
        <f>IF($A$4+348&gt;$B$4,"",$A$4+348)</f>
        <v>46371</v>
      </c>
      <c r="N34822" t="str">
        <f>IF(M34822="","",'Master Barang'!A16)</f>
        <v>PRL-015</v>
      </c>
      <c r="O34822" t="str">
        <f>IF(N34822="","",'Master Barang'!B16)</f>
        <v>optima trashbag 60x100</v>
      </c>
      <c r="P34822">
        <f>IF(OR(M34822="",N34822=""),"",SUMIFS('Barang Keluar'!$E:$E,'Barang Keluar'!$A:$A,M34822,'Barang Keluar'!$C:$C,N34822))</f>
        <v>0</v>
      </c>
    </row>
    <row r="34823" spans="13:16">
      <c r="M34823" s="49">
        <f>IF($A$4+348&gt;$B$4,"",$A$4+348)</f>
        <v>46371</v>
      </c>
      <c r="N34823" t="str">
        <f>IF(M34823="","",'Master Barang'!A17)</f>
        <v>PRL-016</v>
      </c>
      <c r="O34823" t="str">
        <f>IF(N34823="","",'Master Barang'!B17)</f>
        <v>rajawali trashbag 30x40</v>
      </c>
      <c r="P34823">
        <f>IF(OR(M34823="",N34823=""),"",SUMIFS('Barang Keluar'!$E:$E,'Barang Keluar'!$A:$A,M34823,'Barang Keluar'!$C:$C,N34823))</f>
        <v>0</v>
      </c>
    </row>
    <row r="34824" spans="13:16">
      <c r="M34824" s="49">
        <f>IF($A$4+348&gt;$B$4,"",$A$4+348)</f>
        <v>46371</v>
      </c>
      <c r="N34824" t="str">
        <f>IF(M34824="","",'Master Barang'!A18)</f>
        <v>PRL-017</v>
      </c>
      <c r="O34824" t="str">
        <f>IF(N34824="","",'Master Barang'!B18)</f>
        <v>onemed masker biru 3 play 50 pcs</v>
      </c>
      <c r="P34824">
        <f>IF(OR(M34824="",N34824=""),"",SUMIFS('Barang Keluar'!$E:$E,'Barang Keluar'!$A:$A,M34824,'Barang Keluar'!$C:$C,N34824))</f>
        <v>0</v>
      </c>
    </row>
    <row r="34825" spans="13:16">
      <c r="M34825" s="49">
        <f>IF($A$4+348&gt;$B$4,"",$A$4+348)</f>
        <v>46371</v>
      </c>
      <c r="N34825" t="str">
        <f>IF(M34825="","",'Master Barang'!A19)</f>
        <v>PRL-018</v>
      </c>
      <c r="O34825" t="str">
        <f>IF(N34825="","",'Master Barang'!B19)</f>
        <v>onemed masker biru 3 play hijab 50 pcs</v>
      </c>
      <c r="P34825">
        <f>IF(OR(M34825="",N34825=""),"",SUMIFS('Barang Keluar'!$E:$E,'Barang Keluar'!$A:$A,M34825,'Barang Keluar'!$C:$C,N34825))</f>
        <v>0</v>
      </c>
    </row>
    <row r="34826" spans="13:16">
      <c r="M34826" s="49">
        <f>IF($A$4+348&gt;$B$4,"",$A$4+348)</f>
        <v>46371</v>
      </c>
      <c r="N34826" t="str">
        <f>IF(M34826="","",'Master Barang'!A20)</f>
        <v>PRL-019</v>
      </c>
      <c r="O34826" t="str">
        <f>IF(N34826="","",'Master Barang'!B20)</f>
        <v>neo health masker biru 3 play 50 pcs</v>
      </c>
      <c r="P34826">
        <f>IF(OR(M34826="",N34826=""),"",SUMIFS('Barang Keluar'!$E:$E,'Barang Keluar'!$A:$A,M34826,'Barang Keluar'!$C:$C,N34826))</f>
        <v>0</v>
      </c>
    </row>
    <row r="34827" spans="13:16">
      <c r="M34827" s="49">
        <f>IF($A$4+348&gt;$B$4,"",$A$4+348)</f>
        <v>46371</v>
      </c>
      <c r="N34827" t="str">
        <f>IF(M34827="","",'Master Barang'!A21)</f>
        <v>PRL-020</v>
      </c>
      <c r="O34827" t="str">
        <f>IF(N34827="","",'Master Barang'!B21)</f>
        <v>baymed masker hijau 3 play hijau 50 pcs</v>
      </c>
      <c r="P34827">
        <f>IF(OR(M34827="",N34827=""),"",SUMIFS('Barang Keluar'!$E:$E,'Barang Keluar'!$A:$A,M34827,'Barang Keluar'!$C:$C,N34827))</f>
        <v>0</v>
      </c>
    </row>
    <row r="34828" spans="13:16">
      <c r="M34828" s="49">
        <f>IF($A$4+348&gt;$B$4,"",$A$4+348)</f>
        <v>46371</v>
      </c>
      <c r="N34828" t="str">
        <f>IF(M34828="","",'Master Barang'!A22)</f>
        <v>PRL-021</v>
      </c>
      <c r="O34828" t="str">
        <f>IF(N34828="","",'Master Barang'!B22)</f>
        <v>altamed nurse cap penutup kepala 100 pcs</v>
      </c>
      <c r="P34828">
        <f>IF(OR(M34828="",N34828=""),"",SUMIFS('Barang Keluar'!$E:$E,'Barang Keluar'!$A:$A,M34828,'Barang Keluar'!$C:$C,N34828))</f>
        <v>0</v>
      </c>
    </row>
    <row r="34829" spans="13:16">
      <c r="M34829" s="49">
        <f>IF($A$4+348&gt;$B$4,"",$A$4+348)</f>
        <v>46371</v>
      </c>
      <c r="N34829" t="str">
        <f>IF(M34829="","",'Master Barang'!A23)</f>
        <v>PRL-022</v>
      </c>
      <c r="O34829" t="str">
        <f>IF(N34829="","",'Master Barang'!B23)</f>
        <v>sabun cuci tangan</v>
      </c>
      <c r="P34829">
        <f>IF(OR(M34829="",N34829=""),"",SUMIFS('Barang Keluar'!$E:$E,'Barang Keluar'!$A:$A,M34829,'Barang Keluar'!$C:$C,N34829))</f>
        <v>0</v>
      </c>
    </row>
    <row r="34830" spans="13:16">
      <c r="M34830" s="49">
        <f>IF($A$4+348&gt;$B$4,"",$A$4+348)</f>
        <v>46371</v>
      </c>
      <c r="N34830" t="str">
        <f>IF(M34830="","",'Master Barang'!A24)</f>
        <v>PRL-023</v>
      </c>
      <c r="O34830" t="str">
        <f>IF(N34830="","",'Master Barang'!B24)</f>
        <v>gayung kecil</v>
      </c>
      <c r="P34830">
        <f>IF(OR(M34830="",N34830=""),"",SUMIFS('Barang Keluar'!$E:$E,'Barang Keluar'!$A:$A,M34830,'Barang Keluar'!$C:$C,N34830))</f>
        <v>0</v>
      </c>
    </row>
    <row r="34831" spans="13:16">
      <c r="M34831" s="49">
        <f>IF($A$4+348&gt;$B$4,"",$A$4+348)</f>
        <v>46371</v>
      </c>
      <c r="N34831" t="str">
        <f>IF(M34831="","",'Master Barang'!A25)</f>
        <v>PRL-024</v>
      </c>
      <c r="O34831" t="str">
        <f>IF(N34831="","",'Master Barang'!B25)</f>
        <v>cikrak kecil</v>
      </c>
      <c r="P34831">
        <f>IF(OR(M34831="",N34831=""),"",SUMIFS('Barang Keluar'!$E:$E,'Barang Keluar'!$A:$A,M34831,'Barang Keluar'!$C:$C,N34831))</f>
        <v>0</v>
      </c>
    </row>
    <row r="34832" spans="13:16">
      <c r="M34832" s="49">
        <f>IF($A$4+348&gt;$B$4,"",$A$4+348)</f>
        <v>46371</v>
      </c>
      <c r="N34832" t="str">
        <f>IF(M34832="","",'Master Barang'!A26)</f>
        <v>PRL-025</v>
      </c>
      <c r="O34832" t="str">
        <f>IF(N34832="","",'Master Barang'!B26)</f>
        <v>petromax plastik kecil 12x24 100 lembar</v>
      </c>
      <c r="P34832">
        <f>IF(OR(M34832="",N34832=""),"",SUMIFS('Barang Keluar'!$E:$E,'Barang Keluar'!$A:$A,M34832,'Barang Keluar'!$C:$C,N34832))</f>
        <v>0</v>
      </c>
    </row>
    <row r="34833" spans="13:16">
      <c r="M34833" s="49">
        <f>IF($A$4+348&gt;$B$4,"",$A$4+348)</f>
        <v>46371</v>
      </c>
      <c r="N34833" t="str">
        <f>IF(M34833="","",'Master Barang'!A27)</f>
        <v>PRL-026</v>
      </c>
      <c r="O34833" t="str">
        <f>IF(N34833="","",'Master Barang'!B27)</f>
        <v>lancar kresek kecil bening </v>
      </c>
      <c r="P34833">
        <f>IF(OR(M34833="",N34833=""),"",SUMIFS('Barang Keluar'!$E:$E,'Barang Keluar'!$A:$A,M34833,'Barang Keluar'!$C:$C,N34833))</f>
        <v>0</v>
      </c>
    </row>
    <row r="34834" spans="13:16">
      <c r="M34834" s="49">
        <f>IF($A$4+348&gt;$B$4,"",$A$4+348)</f>
        <v>46371</v>
      </c>
      <c r="N34834" t="str">
        <f>IF(M34834="","",'Master Barang'!A28)</f>
        <v>PRL-027</v>
      </c>
      <c r="O34834" t="str">
        <f>IF(N34834="","",'Master Barang'!B28)</f>
        <v>kresek klin warna warni kecil</v>
      </c>
      <c r="P34834">
        <f>IF(OR(M34834="",N34834=""),"",SUMIFS('Barang Keluar'!$E:$E,'Barang Keluar'!$A:$A,M34834,'Barang Keluar'!$C:$C,N34834))</f>
        <v>0</v>
      </c>
    </row>
    <row r="34835" spans="13:16">
      <c r="M34835" s="49">
        <f>IF($A$4+348&gt;$B$4,"",$A$4+348)</f>
        <v>46371</v>
      </c>
      <c r="N34835" t="str">
        <f>IF(M34835="","",'Master Barang'!A29)</f>
        <v>PRL-028</v>
      </c>
      <c r="O34835" t="str">
        <f>IF(N34835="","",'Master Barang'!B29)</f>
        <v>ctik plastik 7x10 100 pcs</v>
      </c>
      <c r="P34835">
        <f>IF(OR(M34835="",N34835=""),"",SUMIFS('Barang Keluar'!$E:$E,'Barang Keluar'!$A:$A,M34835,'Barang Keluar'!$C:$C,N34835))</f>
        <v>0</v>
      </c>
    </row>
    <row r="34836" spans="13:16">
      <c r="M34836" s="49">
        <f>IF($A$4+348&gt;$B$4,"",$A$4+348)</f>
        <v>46371</v>
      </c>
      <c r="N34836" t="str">
        <f>IF(M34836="","",'Master Barang'!A30)</f>
        <v>PRL-029</v>
      </c>
      <c r="O34836" t="str">
        <f>IF(N34836="","",'Master Barang'!B30)</f>
        <v>ctik plastik 6x10 100 pcs</v>
      </c>
      <c r="P34836">
        <f>IF(OR(M34836="",N34836=""),"",SUMIFS('Barang Keluar'!$E:$E,'Barang Keluar'!$A:$A,M34836,'Barang Keluar'!$C:$C,N34836))</f>
        <v>0</v>
      </c>
    </row>
    <row r="34837" spans="13:16">
      <c r="M34837" s="49">
        <f>IF($A$4+348&gt;$B$4,"",$A$4+348)</f>
        <v>46371</v>
      </c>
      <c r="N34837" t="str">
        <f>IF(M34837="","",'Master Barang'!A31)</f>
        <v>PRL-030</v>
      </c>
      <c r="O34837" t="str">
        <f>IF(N34837="","",'Master Barang'!B31)</f>
        <v>klip plastik 25x16 100 pcs</v>
      </c>
      <c r="P34837">
        <f>IF(OR(M34837="",N34837=""),"",SUMIFS('Barang Keluar'!$E:$E,'Barang Keluar'!$A:$A,M34837,'Barang Keluar'!$C:$C,N34837))</f>
        <v>0</v>
      </c>
    </row>
    <row r="34838" spans="13:16">
      <c r="M34838" s="49">
        <f>IF($A$4+348&gt;$B$4,"",$A$4+348)</f>
        <v>46371</v>
      </c>
      <c r="N34838" t="str">
        <f>IF(M34838="","",'Master Barang'!A32)</f>
        <v>PRL-031</v>
      </c>
      <c r="O34838" t="str">
        <f>IF(N34838="","",'Master Barang'!B32)</f>
        <v>tempat saus 20 ml</v>
      </c>
      <c r="P34838">
        <f>IF(OR(M34838="",N34838=""),"",SUMIFS('Barang Keluar'!$E:$E,'Barang Keluar'!$A:$A,M34838,'Barang Keluar'!$C:$C,N34838))</f>
        <v>0</v>
      </c>
    </row>
    <row r="34839" spans="13:16">
      <c r="M34839" s="49">
        <f>IF($A$4+348&gt;$B$4,"",$A$4+348)</f>
        <v>46371</v>
      </c>
      <c r="N34839" t="str">
        <f>IF(M34839="","",'Master Barang'!A33)</f>
        <v>PRL-032</v>
      </c>
      <c r="O34839" t="str">
        <f>IF(N34839="","",'Master Barang'!B33)</f>
        <v>plastik packaging ag box uk sedang</v>
      </c>
      <c r="P34839">
        <f>IF(OR(M34839="",N34839=""),"",SUMIFS('Barang Keluar'!$E:$E,'Barang Keluar'!$A:$A,M34839,'Barang Keluar'!$C:$C,N34839))</f>
        <v>0</v>
      </c>
    </row>
    <row r="34840" spans="13:16">
      <c r="M34840" s="49">
        <f>IF($A$4+348&gt;$B$4,"",$A$4+348)</f>
        <v>46371</v>
      </c>
      <c r="N34840" t="str">
        <f>IF(M34840="","",'Master Barang'!A34)</f>
        <v>PRL-033</v>
      </c>
      <c r="O34840">
        <f>IF(N34840="","",'Master Barang'!B34)</f>
        <v>0</v>
      </c>
      <c r="P34840">
        <f>IF(OR(M34840="",N34840=""),"",SUMIFS('Barang Keluar'!$E:$E,'Barang Keluar'!$A:$A,M34840,'Barang Keluar'!$C:$C,N34840))</f>
        <v>0</v>
      </c>
    </row>
    <row r="34841" spans="13:16">
      <c r="M34841" s="49">
        <f>IF($A$4+348&gt;$B$4,"",$A$4+348)</f>
        <v>46371</v>
      </c>
      <c r="N34841">
        <f>IF(M34841="","",'Master Barang'!A35)</f>
        <v>0</v>
      </c>
      <c r="O34841">
        <f>IF(N34841="","",'Master Barang'!B35)</f>
        <v>0</v>
      </c>
      <c r="P34841">
        <f>IF(OR(M34841="",N34841=""),"",SUMIFS('Barang Keluar'!$E:$E,'Barang Keluar'!$A:$A,M34841,'Barang Keluar'!$C:$C,N34841))</f>
        <v>0</v>
      </c>
    </row>
    <row r="34842" spans="13:16">
      <c r="M34842" s="49">
        <f>IF($A$4+348&gt;$B$4,"",$A$4+348)</f>
        <v>46371</v>
      </c>
      <c r="N34842">
        <f>IF(M34842="","",'Master Barang'!A36)</f>
        <v>0</v>
      </c>
      <c r="O34842">
        <f>IF(N34842="","",'Master Barang'!B36)</f>
        <v>0</v>
      </c>
      <c r="P34842">
        <f>IF(OR(M34842="",N34842=""),"",SUMIFS('Barang Keluar'!$E:$E,'Barang Keluar'!$A:$A,M34842,'Barang Keluar'!$C:$C,N34842))</f>
        <v>0</v>
      </c>
    </row>
    <row r="34843" spans="13:16">
      <c r="M34843" s="49">
        <f>IF($A$4+348&gt;$B$4,"",$A$4+348)</f>
        <v>46371</v>
      </c>
      <c r="N34843">
        <f>IF(M34843="","",'Master Barang'!A37)</f>
        <v>0</v>
      </c>
      <c r="O34843">
        <f>IF(N34843="","",'Master Barang'!B37)</f>
        <v>0</v>
      </c>
      <c r="P34843">
        <f>IF(OR(M34843="",N34843=""),"",SUMIFS('Barang Keluar'!$E:$E,'Barang Keluar'!$A:$A,M34843,'Barang Keluar'!$C:$C,N34843))</f>
        <v>0</v>
      </c>
    </row>
    <row r="34844" spans="13:16">
      <c r="M34844" s="49">
        <f>IF($A$4+348&gt;$B$4,"",$A$4+348)</f>
        <v>46371</v>
      </c>
      <c r="N34844">
        <f>IF(M34844="","",'Master Barang'!A38)</f>
        <v>0</v>
      </c>
      <c r="O34844">
        <f>IF(N34844="","",'Master Barang'!B38)</f>
        <v>0</v>
      </c>
      <c r="P34844">
        <f>IF(OR(M34844="",N34844=""),"",SUMIFS('Barang Keluar'!$E:$E,'Barang Keluar'!$A:$A,M34844,'Barang Keluar'!$C:$C,N34844))</f>
        <v>0</v>
      </c>
    </row>
    <row r="34845" spans="13:16">
      <c r="M34845" s="49">
        <f>IF($A$4+348&gt;$B$4,"",$A$4+348)</f>
        <v>46371</v>
      </c>
      <c r="N34845">
        <f>IF(M34845="","",'Master Barang'!A39)</f>
        <v>0</v>
      </c>
      <c r="O34845">
        <f>IF(N34845="","",'Master Barang'!B39)</f>
        <v>0</v>
      </c>
      <c r="P34845">
        <f>IF(OR(M34845="",N34845=""),"",SUMIFS('Barang Keluar'!$E:$E,'Barang Keluar'!$A:$A,M34845,'Barang Keluar'!$C:$C,N34845))</f>
        <v>0</v>
      </c>
    </row>
    <row r="34846" spans="13:16">
      <c r="M34846" s="49">
        <f>IF($A$4+348&gt;$B$4,"",$A$4+348)</f>
        <v>46371</v>
      </c>
      <c r="N34846">
        <f>IF(M34846="","",'Master Barang'!A40)</f>
        <v>0</v>
      </c>
      <c r="O34846">
        <f>IF(N34846="","",'Master Barang'!B40)</f>
        <v>0</v>
      </c>
      <c r="P34846">
        <f>IF(OR(M34846="",N34846=""),"",SUMIFS('Barang Keluar'!$E:$E,'Barang Keluar'!$A:$A,M34846,'Barang Keluar'!$C:$C,N34846))</f>
        <v>0</v>
      </c>
    </row>
    <row r="34847" spans="13:16">
      <c r="M34847" s="49">
        <f>IF($A$4+348&gt;$B$4,"",$A$4+348)</f>
        <v>46371</v>
      </c>
      <c r="N34847">
        <f>IF(M34847="","",'Master Barang'!A41)</f>
        <v>0</v>
      </c>
      <c r="O34847">
        <f>IF(N34847="","",'Master Barang'!B41)</f>
        <v>0</v>
      </c>
      <c r="P34847">
        <f>IF(OR(M34847="",N34847=""),"",SUMIFS('Barang Keluar'!$E:$E,'Barang Keluar'!$A:$A,M34847,'Barang Keluar'!$C:$C,N34847))</f>
        <v>0</v>
      </c>
    </row>
    <row r="34848" spans="13:16">
      <c r="M34848" s="49">
        <f>IF($A$4+348&gt;$B$4,"",$A$4+348)</f>
        <v>46371</v>
      </c>
      <c r="N34848">
        <f>IF(M34848="","",'Master Barang'!A42)</f>
        <v>0</v>
      </c>
      <c r="O34848">
        <f>IF(N34848="","",'Master Barang'!B42)</f>
        <v>0</v>
      </c>
      <c r="P34848">
        <f>IF(OR(M34848="",N34848=""),"",SUMIFS('Barang Keluar'!$E:$E,'Barang Keluar'!$A:$A,M34848,'Barang Keluar'!$C:$C,N34848))</f>
        <v>0</v>
      </c>
    </row>
    <row r="34849" spans="13:16">
      <c r="M34849" s="49">
        <f>IF($A$4+348&gt;$B$4,"",$A$4+348)</f>
        <v>46371</v>
      </c>
      <c r="N34849">
        <f>IF(M34849="","",'Master Barang'!A43)</f>
        <v>0</v>
      </c>
      <c r="O34849">
        <f>IF(N34849="","",'Master Barang'!B43)</f>
        <v>0</v>
      </c>
      <c r="P34849">
        <f>IF(OR(M34849="",N34849=""),"",SUMIFS('Barang Keluar'!$E:$E,'Barang Keluar'!$A:$A,M34849,'Barang Keluar'!$C:$C,N34849))</f>
        <v>0</v>
      </c>
    </row>
    <row r="34850" spans="13:16">
      <c r="M34850" s="49">
        <f>IF($A$4+348&gt;$B$4,"",$A$4+348)</f>
        <v>46371</v>
      </c>
      <c r="N34850">
        <f>IF(M34850="","",'Master Barang'!A44)</f>
        <v>0</v>
      </c>
      <c r="O34850">
        <f>IF(N34850="","",'Master Barang'!B44)</f>
        <v>0</v>
      </c>
      <c r="P34850">
        <f>IF(OR(M34850="",N34850=""),"",SUMIFS('Barang Keluar'!$E:$E,'Barang Keluar'!$A:$A,M34850,'Barang Keluar'!$C:$C,N34850))</f>
        <v>0</v>
      </c>
    </row>
    <row r="34851" spans="13:16">
      <c r="M34851" s="49">
        <f>IF($A$4+348&gt;$B$4,"",$A$4+348)</f>
        <v>46371</v>
      </c>
      <c r="N34851">
        <f>IF(M34851="","",'Master Barang'!A45)</f>
        <v>0</v>
      </c>
      <c r="O34851">
        <f>IF(N34851="","",'Master Barang'!B45)</f>
        <v>0</v>
      </c>
      <c r="P34851">
        <f>IF(OR(M34851="",N34851=""),"",SUMIFS('Barang Keluar'!$E:$E,'Barang Keluar'!$A:$A,M34851,'Barang Keluar'!$C:$C,N34851))</f>
        <v>0</v>
      </c>
    </row>
    <row r="34852" spans="13:16">
      <c r="M34852" s="49">
        <f>IF($A$4+348&gt;$B$4,"",$A$4+348)</f>
        <v>46371</v>
      </c>
      <c r="N34852">
        <f>IF(M34852="","",'Master Barang'!A46)</f>
        <v>0</v>
      </c>
      <c r="O34852">
        <f>IF(N34852="","",'Master Barang'!B46)</f>
        <v>0</v>
      </c>
      <c r="P34852">
        <f>IF(OR(M34852="",N34852=""),"",SUMIFS('Barang Keluar'!$E:$E,'Barang Keluar'!$A:$A,M34852,'Barang Keluar'!$C:$C,N34852))</f>
        <v>0</v>
      </c>
    </row>
    <row r="34853" spans="13:16">
      <c r="M34853" s="49">
        <f>IF($A$4+348&gt;$B$4,"",$A$4+348)</f>
        <v>46371</v>
      </c>
      <c r="N34853">
        <f>IF(M34853="","",'Master Barang'!A47)</f>
        <v>0</v>
      </c>
      <c r="O34853">
        <f>IF(N34853="","",'Master Barang'!B47)</f>
        <v>0</v>
      </c>
      <c r="P34853">
        <f>IF(OR(M34853="",N34853=""),"",SUMIFS('Barang Keluar'!$E:$E,'Barang Keluar'!$A:$A,M34853,'Barang Keluar'!$C:$C,N34853))</f>
        <v>0</v>
      </c>
    </row>
    <row r="34854" spans="13:16">
      <c r="M34854" s="49">
        <f>IF($A$4+348&gt;$B$4,"",$A$4+348)</f>
        <v>46371</v>
      </c>
      <c r="N34854">
        <f>IF(M34854="","",'Master Barang'!A48)</f>
        <v>0</v>
      </c>
      <c r="O34854">
        <f>IF(N34854="","",'Master Barang'!B48)</f>
        <v>0</v>
      </c>
      <c r="P34854">
        <f>IF(OR(M34854="",N34854=""),"",SUMIFS('Barang Keluar'!$E:$E,'Barang Keluar'!$A:$A,M34854,'Barang Keluar'!$C:$C,N34854))</f>
        <v>0</v>
      </c>
    </row>
    <row r="34855" spans="13:16">
      <c r="M34855" s="49">
        <f>IF($A$4+348&gt;$B$4,"",$A$4+348)</f>
        <v>46371</v>
      </c>
      <c r="N34855">
        <f>IF(M34855="","",'Master Barang'!A49)</f>
        <v>0</v>
      </c>
      <c r="O34855">
        <f>IF(N34855="","",'Master Barang'!B49)</f>
        <v>0</v>
      </c>
      <c r="P34855">
        <f>IF(OR(M34855="",N34855=""),"",SUMIFS('Barang Keluar'!$E:$E,'Barang Keluar'!$A:$A,M34855,'Barang Keluar'!$C:$C,N34855))</f>
        <v>0</v>
      </c>
    </row>
    <row r="34856" spans="13:16">
      <c r="M34856" s="49">
        <f>IF($A$4+348&gt;$B$4,"",$A$4+348)</f>
        <v>46371</v>
      </c>
      <c r="N34856">
        <f>IF(M34856="","",'Master Barang'!A50)</f>
        <v>0</v>
      </c>
      <c r="O34856">
        <f>IF(N34856="","",'Master Barang'!B50)</f>
        <v>0</v>
      </c>
      <c r="P34856">
        <f>IF(OR(M34856="",N34856=""),"",SUMIFS('Barang Keluar'!$E:$E,'Barang Keluar'!$A:$A,M34856,'Barang Keluar'!$C:$C,N34856))</f>
        <v>0</v>
      </c>
    </row>
    <row r="34857" spans="13:16">
      <c r="M34857" s="49">
        <f>IF($A$4+348&gt;$B$4,"",$A$4+348)</f>
        <v>46371</v>
      </c>
      <c r="N34857">
        <f>IF(M34857="","",'Master Barang'!A51)</f>
        <v>0</v>
      </c>
      <c r="O34857">
        <f>IF(N34857="","",'Master Barang'!B51)</f>
        <v>0</v>
      </c>
      <c r="P34857">
        <f>IF(OR(M34857="",N34857=""),"",SUMIFS('Barang Keluar'!$E:$E,'Barang Keluar'!$A:$A,M34857,'Barang Keluar'!$C:$C,N34857))</f>
        <v>0</v>
      </c>
    </row>
    <row r="34858" spans="13:16">
      <c r="M34858" s="49">
        <f>IF($A$4+348&gt;$B$4,"",$A$4+348)</f>
        <v>46371</v>
      </c>
      <c r="N34858">
        <f>IF(M34858="","",'Master Barang'!A52)</f>
        <v>0</v>
      </c>
      <c r="O34858">
        <f>IF(N34858="","",'Master Barang'!B52)</f>
        <v>0</v>
      </c>
      <c r="P34858">
        <f>IF(OR(M34858="",N34858=""),"",SUMIFS('Barang Keluar'!$E:$E,'Barang Keluar'!$A:$A,M34858,'Barang Keluar'!$C:$C,N34858))</f>
        <v>0</v>
      </c>
    </row>
    <row r="34859" spans="13:16">
      <c r="M34859" s="49">
        <f>IF($A$4+348&gt;$B$4,"",$A$4+348)</f>
        <v>46371</v>
      </c>
      <c r="N34859">
        <f>IF(M34859="","",'Master Barang'!A53)</f>
        <v>0</v>
      </c>
      <c r="O34859">
        <f>IF(N34859="","",'Master Barang'!B53)</f>
        <v>0</v>
      </c>
      <c r="P34859">
        <f>IF(OR(M34859="",N34859=""),"",SUMIFS('Barang Keluar'!$E:$E,'Barang Keluar'!$A:$A,M34859,'Barang Keluar'!$C:$C,N34859))</f>
        <v>0</v>
      </c>
    </row>
    <row r="34860" spans="13:16">
      <c r="M34860" s="49">
        <f>IF($A$4+348&gt;$B$4,"",$A$4+348)</f>
        <v>46371</v>
      </c>
      <c r="N34860">
        <f>IF(M34860="","",'Master Barang'!A54)</f>
        <v>0</v>
      </c>
      <c r="O34860">
        <f>IF(N34860="","",'Master Barang'!B54)</f>
        <v>0</v>
      </c>
      <c r="P34860">
        <f>IF(OR(M34860="",N34860=""),"",SUMIFS('Barang Keluar'!$E:$E,'Barang Keluar'!$A:$A,M34860,'Barang Keluar'!$C:$C,N34860))</f>
        <v>0</v>
      </c>
    </row>
    <row r="34861" spans="13:16">
      <c r="M34861" s="49">
        <f>IF($A$4+348&gt;$B$4,"",$A$4+348)</f>
        <v>46371</v>
      </c>
      <c r="N34861">
        <f>IF(M34861="","",'Master Barang'!A55)</f>
        <v>0</v>
      </c>
      <c r="O34861">
        <f>IF(N34861="","",'Master Barang'!B55)</f>
        <v>0</v>
      </c>
      <c r="P34861">
        <f>IF(OR(M34861="",N34861=""),"",SUMIFS('Barang Keluar'!$E:$E,'Barang Keluar'!$A:$A,M34861,'Barang Keluar'!$C:$C,N34861))</f>
        <v>0</v>
      </c>
    </row>
    <row r="34862" spans="13:16">
      <c r="M34862" s="49">
        <f>IF($A$4+348&gt;$B$4,"",$A$4+348)</f>
        <v>46371</v>
      </c>
      <c r="N34862">
        <f>IF(M34862="","",'Master Barang'!A56)</f>
        <v>0</v>
      </c>
      <c r="O34862">
        <f>IF(N34862="","",'Master Barang'!B56)</f>
        <v>0</v>
      </c>
      <c r="P34862">
        <f>IF(OR(M34862="",N34862=""),"",SUMIFS('Barang Keluar'!$E:$E,'Barang Keluar'!$A:$A,M34862,'Barang Keluar'!$C:$C,N34862))</f>
        <v>0</v>
      </c>
    </row>
    <row r="34863" spans="13:16">
      <c r="M34863" s="49">
        <f>IF($A$4+348&gt;$B$4,"",$A$4+348)</f>
        <v>46371</v>
      </c>
      <c r="N34863">
        <f>IF(M34863="","",'Master Barang'!A57)</f>
        <v>0</v>
      </c>
      <c r="O34863">
        <f>IF(N34863="","",'Master Barang'!B57)</f>
        <v>0</v>
      </c>
      <c r="P34863">
        <f>IF(OR(M34863="",N34863=""),"",SUMIFS('Barang Keluar'!$E:$E,'Barang Keluar'!$A:$A,M34863,'Barang Keluar'!$C:$C,N34863))</f>
        <v>0</v>
      </c>
    </row>
    <row r="34864" spans="13:16">
      <c r="M34864" s="49">
        <f>IF($A$4+348&gt;$B$4,"",$A$4+348)</f>
        <v>46371</v>
      </c>
      <c r="N34864">
        <f>IF(M34864="","",'Master Barang'!A58)</f>
        <v>0</v>
      </c>
      <c r="O34864">
        <f>IF(N34864="","",'Master Barang'!B58)</f>
        <v>0</v>
      </c>
      <c r="P34864">
        <f>IF(OR(M34864="",N34864=""),"",SUMIFS('Barang Keluar'!$E:$E,'Barang Keluar'!$A:$A,M34864,'Barang Keluar'!$C:$C,N34864))</f>
        <v>0</v>
      </c>
    </row>
    <row r="34865" spans="13:16">
      <c r="M34865" s="49">
        <f>IF($A$4+348&gt;$B$4,"",$A$4+348)</f>
        <v>46371</v>
      </c>
      <c r="N34865">
        <f>IF(M34865="","",'Master Barang'!A59)</f>
        <v>0</v>
      </c>
      <c r="O34865">
        <f>IF(N34865="","",'Master Barang'!B59)</f>
        <v>0</v>
      </c>
      <c r="P34865">
        <f>IF(OR(M34865="",N34865=""),"",SUMIFS('Barang Keluar'!$E:$E,'Barang Keluar'!$A:$A,M34865,'Barang Keluar'!$C:$C,N34865))</f>
        <v>0</v>
      </c>
    </row>
    <row r="34866" spans="13:16">
      <c r="M34866" s="49">
        <f>IF($A$4+348&gt;$B$4,"",$A$4+348)</f>
        <v>46371</v>
      </c>
      <c r="N34866">
        <f>IF(M34866="","",'Master Barang'!A60)</f>
        <v>0</v>
      </c>
      <c r="O34866">
        <f>IF(N34866="","",'Master Barang'!B60)</f>
        <v>0</v>
      </c>
      <c r="P34866">
        <f>IF(OR(M34866="",N34866=""),"",SUMIFS('Barang Keluar'!$E:$E,'Barang Keluar'!$A:$A,M34866,'Barang Keluar'!$C:$C,N34866))</f>
        <v>0</v>
      </c>
    </row>
    <row r="34867" spans="13:16">
      <c r="M34867" s="49">
        <f>IF($A$4+348&gt;$B$4,"",$A$4+348)</f>
        <v>46371</v>
      </c>
      <c r="N34867">
        <f>IF(M34867="","",'Master Barang'!A61)</f>
        <v>0</v>
      </c>
      <c r="O34867">
        <f>IF(N34867="","",'Master Barang'!B61)</f>
        <v>0</v>
      </c>
      <c r="P34867">
        <f>IF(OR(M34867="",N34867=""),"",SUMIFS('Barang Keluar'!$E:$E,'Barang Keluar'!$A:$A,M34867,'Barang Keluar'!$C:$C,N34867))</f>
        <v>0</v>
      </c>
    </row>
    <row r="34868" spans="13:16">
      <c r="M34868" s="49">
        <f>IF($A$4+348&gt;$B$4,"",$A$4+348)</f>
        <v>46371</v>
      </c>
      <c r="N34868">
        <f>IF(M34868="","",'Master Barang'!A62)</f>
        <v>0</v>
      </c>
      <c r="O34868">
        <f>IF(N34868="","",'Master Barang'!B62)</f>
        <v>0</v>
      </c>
      <c r="P34868">
        <f>IF(OR(M34868="",N34868=""),"",SUMIFS('Barang Keluar'!$E:$E,'Barang Keluar'!$A:$A,M34868,'Barang Keluar'!$C:$C,N34868))</f>
        <v>0</v>
      </c>
    </row>
    <row r="34869" spans="13:16">
      <c r="M34869" s="49">
        <f>IF($A$4+348&gt;$B$4,"",$A$4+348)</f>
        <v>46371</v>
      </c>
      <c r="N34869">
        <f>IF(M34869="","",'Master Barang'!A63)</f>
        <v>0</v>
      </c>
      <c r="O34869">
        <f>IF(N34869="","",'Master Barang'!B63)</f>
        <v>0</v>
      </c>
      <c r="P34869">
        <f>IF(OR(M34869="",N34869=""),"",SUMIFS('Barang Keluar'!$E:$E,'Barang Keluar'!$A:$A,M34869,'Barang Keluar'!$C:$C,N34869))</f>
        <v>0</v>
      </c>
    </row>
    <row r="34870" spans="13:16">
      <c r="M34870" s="49">
        <f>IF($A$4+348&gt;$B$4,"",$A$4+348)</f>
        <v>46371</v>
      </c>
      <c r="N34870">
        <f>IF(M34870="","",'Master Barang'!A64)</f>
        <v>0</v>
      </c>
      <c r="O34870">
        <f>IF(N34870="","",'Master Barang'!B64)</f>
        <v>0</v>
      </c>
      <c r="P34870">
        <f>IF(OR(M34870="",N34870=""),"",SUMIFS('Barang Keluar'!$E:$E,'Barang Keluar'!$A:$A,M34870,'Barang Keluar'!$C:$C,N34870))</f>
        <v>0</v>
      </c>
    </row>
    <row r="34871" spans="13:16">
      <c r="M34871" s="49">
        <f>IF($A$4+348&gt;$B$4,"",$A$4+348)</f>
        <v>46371</v>
      </c>
      <c r="N34871">
        <f>IF(M34871="","",'Master Barang'!A65)</f>
        <v>0</v>
      </c>
      <c r="O34871">
        <f>IF(N34871="","",'Master Barang'!B65)</f>
        <v>0</v>
      </c>
      <c r="P34871">
        <f>IF(OR(M34871="",N34871=""),"",SUMIFS('Barang Keluar'!$E:$E,'Barang Keluar'!$A:$A,M34871,'Barang Keluar'!$C:$C,N34871))</f>
        <v>0</v>
      </c>
    </row>
    <row r="34872" spans="13:16">
      <c r="M34872" s="49">
        <f>IF($A$4+348&gt;$B$4,"",$A$4+348)</f>
        <v>46371</v>
      </c>
      <c r="N34872">
        <f>IF(M34872="","",'Master Barang'!A66)</f>
        <v>0</v>
      </c>
      <c r="O34872">
        <f>IF(N34872="","",'Master Barang'!B66)</f>
        <v>0</v>
      </c>
      <c r="P34872">
        <f>IF(OR(M34872="",N34872=""),"",SUMIFS('Barang Keluar'!$E:$E,'Barang Keluar'!$A:$A,M34872,'Barang Keluar'!$C:$C,N34872))</f>
        <v>0</v>
      </c>
    </row>
    <row r="34873" spans="13:16">
      <c r="M34873" s="49">
        <f>IF($A$4+348&gt;$B$4,"",$A$4+348)</f>
        <v>46371</v>
      </c>
      <c r="N34873">
        <f>IF(M34873="","",'Master Barang'!A67)</f>
        <v>0</v>
      </c>
      <c r="O34873">
        <f>IF(N34873="","",'Master Barang'!B67)</f>
        <v>0</v>
      </c>
      <c r="P34873">
        <f>IF(OR(M34873="",N34873=""),"",SUMIFS('Barang Keluar'!$E:$E,'Barang Keluar'!$A:$A,M34873,'Barang Keluar'!$C:$C,N34873))</f>
        <v>0</v>
      </c>
    </row>
    <row r="34874" spans="13:16">
      <c r="M34874" s="49">
        <f>IF($A$4+348&gt;$B$4,"",$A$4+348)</f>
        <v>46371</v>
      </c>
      <c r="N34874">
        <f>IF(M34874="","",'Master Barang'!A68)</f>
        <v>0</v>
      </c>
      <c r="O34874">
        <f>IF(N34874="","",'Master Barang'!B68)</f>
        <v>0</v>
      </c>
      <c r="P34874">
        <f>IF(OR(M34874="",N34874=""),"",SUMIFS('Barang Keluar'!$E:$E,'Barang Keluar'!$A:$A,M34874,'Barang Keluar'!$C:$C,N34874))</f>
        <v>0</v>
      </c>
    </row>
    <row r="34875" spans="13:16">
      <c r="M34875" s="49">
        <f>IF($A$4+348&gt;$B$4,"",$A$4+348)</f>
        <v>46371</v>
      </c>
      <c r="N34875">
        <f>IF(M34875="","",'Master Barang'!A69)</f>
        <v>0</v>
      </c>
      <c r="O34875">
        <f>IF(N34875="","",'Master Barang'!B69)</f>
        <v>0</v>
      </c>
      <c r="P34875">
        <f>IF(OR(M34875="",N34875=""),"",SUMIFS('Barang Keluar'!$E:$E,'Barang Keluar'!$A:$A,M34875,'Barang Keluar'!$C:$C,N34875))</f>
        <v>0</v>
      </c>
    </row>
    <row r="34876" spans="13:16">
      <c r="M34876" s="49">
        <f>IF($A$4+348&gt;$B$4,"",$A$4+348)</f>
        <v>46371</v>
      </c>
      <c r="N34876">
        <f>IF(M34876="","",'Master Barang'!A70)</f>
        <v>0</v>
      </c>
      <c r="O34876">
        <f>IF(N34876="","",'Master Barang'!B70)</f>
        <v>0</v>
      </c>
      <c r="P34876">
        <f>IF(OR(M34876="",N34876=""),"",SUMIFS('Barang Keluar'!$E:$E,'Barang Keluar'!$A:$A,M34876,'Barang Keluar'!$C:$C,N34876))</f>
        <v>0</v>
      </c>
    </row>
    <row r="34877" spans="13:16">
      <c r="M34877" s="49">
        <f>IF($A$4+348&gt;$B$4,"",$A$4+348)</f>
        <v>46371</v>
      </c>
      <c r="N34877">
        <f>IF(M34877="","",'Master Barang'!A71)</f>
        <v>0</v>
      </c>
      <c r="O34877">
        <f>IF(N34877="","",'Master Barang'!B71)</f>
        <v>0</v>
      </c>
      <c r="P34877">
        <f>IF(OR(M34877="",N34877=""),"",SUMIFS('Barang Keluar'!$E:$E,'Barang Keluar'!$A:$A,M34877,'Barang Keluar'!$C:$C,N34877))</f>
        <v>0</v>
      </c>
    </row>
    <row r="34878" spans="13:16">
      <c r="M34878" s="49">
        <f>IF($A$4+348&gt;$B$4,"",$A$4+348)</f>
        <v>46371</v>
      </c>
      <c r="N34878">
        <f>IF(M34878="","",'Master Barang'!A72)</f>
        <v>0</v>
      </c>
      <c r="O34878">
        <f>IF(N34878="","",'Master Barang'!B72)</f>
        <v>0</v>
      </c>
      <c r="P34878">
        <f>IF(OR(M34878="",N34878=""),"",SUMIFS('Barang Keluar'!$E:$E,'Barang Keluar'!$A:$A,M34878,'Barang Keluar'!$C:$C,N34878))</f>
        <v>0</v>
      </c>
    </row>
    <row r="34879" spans="13:16">
      <c r="M34879" s="49">
        <f>IF($A$4+348&gt;$B$4,"",$A$4+348)</f>
        <v>46371</v>
      </c>
      <c r="N34879">
        <f>IF(M34879="","",'Master Barang'!A73)</f>
        <v>0</v>
      </c>
      <c r="O34879">
        <f>IF(N34879="","",'Master Barang'!B73)</f>
        <v>0</v>
      </c>
      <c r="P34879">
        <f>IF(OR(M34879="",N34879=""),"",SUMIFS('Barang Keluar'!$E:$E,'Barang Keluar'!$A:$A,M34879,'Barang Keluar'!$C:$C,N34879))</f>
        <v>0</v>
      </c>
    </row>
    <row r="34880" spans="13:16">
      <c r="M34880" s="49">
        <f>IF($A$4+348&gt;$B$4,"",$A$4+348)</f>
        <v>46371</v>
      </c>
      <c r="N34880">
        <f>IF(M34880="","",'Master Barang'!A74)</f>
        <v>0</v>
      </c>
      <c r="O34880">
        <f>IF(N34880="","",'Master Barang'!B74)</f>
        <v>0</v>
      </c>
      <c r="P34880">
        <f>IF(OR(M34880="",N34880=""),"",SUMIFS('Barang Keluar'!$E:$E,'Barang Keluar'!$A:$A,M34880,'Barang Keluar'!$C:$C,N34880))</f>
        <v>0</v>
      </c>
    </row>
    <row r="34881" spans="13:16">
      <c r="M34881" s="49">
        <f>IF($A$4+348&gt;$B$4,"",$A$4+348)</f>
        <v>46371</v>
      </c>
      <c r="N34881">
        <f>IF(M34881="","",'Master Barang'!A75)</f>
        <v>0</v>
      </c>
      <c r="O34881">
        <f>IF(N34881="","",'Master Barang'!B75)</f>
        <v>0</v>
      </c>
      <c r="P34881">
        <f>IF(OR(M34881="",N34881=""),"",SUMIFS('Barang Keluar'!$E:$E,'Barang Keluar'!$A:$A,M34881,'Barang Keluar'!$C:$C,N34881))</f>
        <v>0</v>
      </c>
    </row>
    <row r="34882" spans="13:16">
      <c r="M34882" s="49">
        <f>IF($A$4+348&gt;$B$4,"",$A$4+348)</f>
        <v>46371</v>
      </c>
      <c r="N34882">
        <f>IF(M34882="","",'Master Barang'!A76)</f>
        <v>0</v>
      </c>
      <c r="O34882">
        <f>IF(N34882="","",'Master Barang'!B76)</f>
        <v>0</v>
      </c>
      <c r="P34882">
        <f>IF(OR(M34882="",N34882=""),"",SUMIFS('Barang Keluar'!$E:$E,'Barang Keluar'!$A:$A,M34882,'Barang Keluar'!$C:$C,N34882))</f>
        <v>0</v>
      </c>
    </row>
    <row r="34883" spans="13:16">
      <c r="M34883" s="49">
        <f>IF($A$4+348&gt;$B$4,"",$A$4+348)</f>
        <v>46371</v>
      </c>
      <c r="N34883">
        <f>IF(M34883="","",'Master Barang'!A77)</f>
        <v>0</v>
      </c>
      <c r="O34883">
        <f>IF(N34883="","",'Master Barang'!B77)</f>
        <v>0</v>
      </c>
      <c r="P34883">
        <f>IF(OR(M34883="",N34883=""),"",SUMIFS('Barang Keluar'!$E:$E,'Barang Keluar'!$A:$A,M34883,'Barang Keluar'!$C:$C,N34883))</f>
        <v>0</v>
      </c>
    </row>
    <row r="34884" spans="13:16">
      <c r="M34884" s="49">
        <f>IF($A$4+348&gt;$B$4,"",$A$4+348)</f>
        <v>46371</v>
      </c>
      <c r="N34884">
        <f>IF(M34884="","",'Master Barang'!A78)</f>
        <v>0</v>
      </c>
      <c r="O34884">
        <f>IF(N34884="","",'Master Barang'!B78)</f>
        <v>0</v>
      </c>
      <c r="P34884">
        <f>IF(OR(M34884="",N34884=""),"",SUMIFS('Barang Keluar'!$E:$E,'Barang Keluar'!$A:$A,M34884,'Barang Keluar'!$C:$C,N34884))</f>
        <v>0</v>
      </c>
    </row>
    <row r="34885" spans="13:16">
      <c r="M34885" s="49">
        <f>IF($A$4+348&gt;$B$4,"",$A$4+348)</f>
        <v>46371</v>
      </c>
      <c r="N34885">
        <f>IF(M34885="","",'Master Barang'!A79)</f>
        <v>0</v>
      </c>
      <c r="O34885">
        <f>IF(N34885="","",'Master Barang'!B79)</f>
        <v>0</v>
      </c>
      <c r="P34885">
        <f>IF(OR(M34885="",N34885=""),"",SUMIFS('Barang Keluar'!$E:$E,'Barang Keluar'!$A:$A,M34885,'Barang Keluar'!$C:$C,N34885))</f>
        <v>0</v>
      </c>
    </row>
    <row r="34886" spans="13:16">
      <c r="M34886" s="49">
        <f>IF($A$4+348&gt;$B$4,"",$A$4+348)</f>
        <v>46371</v>
      </c>
      <c r="N34886">
        <f>IF(M34886="","",'Master Barang'!A80)</f>
        <v>0</v>
      </c>
      <c r="O34886">
        <f>IF(N34886="","",'Master Barang'!B80)</f>
        <v>0</v>
      </c>
      <c r="P34886">
        <f>IF(OR(M34886="",N34886=""),"",SUMIFS('Barang Keluar'!$E:$E,'Barang Keluar'!$A:$A,M34886,'Barang Keluar'!$C:$C,N34886))</f>
        <v>0</v>
      </c>
    </row>
    <row r="34887" spans="13:16">
      <c r="M34887" s="49">
        <f>IF($A$4+348&gt;$B$4,"",$A$4+348)</f>
        <v>46371</v>
      </c>
      <c r="N34887">
        <f>IF(M34887="","",'Master Barang'!A81)</f>
        <v>0</v>
      </c>
      <c r="O34887">
        <f>IF(N34887="","",'Master Barang'!B81)</f>
        <v>0</v>
      </c>
      <c r="P34887">
        <f>IF(OR(M34887="",N34887=""),"",SUMIFS('Barang Keluar'!$E:$E,'Barang Keluar'!$A:$A,M34887,'Barang Keluar'!$C:$C,N34887))</f>
        <v>0</v>
      </c>
    </row>
    <row r="34888" spans="13:16">
      <c r="M34888" s="49">
        <f>IF($A$4+348&gt;$B$4,"",$A$4+348)</f>
        <v>46371</v>
      </c>
      <c r="N34888">
        <f>IF(M34888="","",'Master Barang'!A82)</f>
        <v>0</v>
      </c>
      <c r="O34888">
        <f>IF(N34888="","",'Master Barang'!B82)</f>
        <v>0</v>
      </c>
      <c r="P34888">
        <f>IF(OR(M34888="",N34888=""),"",SUMIFS('Barang Keluar'!$E:$E,'Barang Keluar'!$A:$A,M34888,'Barang Keluar'!$C:$C,N34888))</f>
        <v>0</v>
      </c>
    </row>
    <row r="34889" spans="13:16">
      <c r="M34889" s="49">
        <f>IF($A$4+348&gt;$B$4,"",$A$4+348)</f>
        <v>46371</v>
      </c>
      <c r="N34889">
        <f>IF(M34889="","",'Master Barang'!A83)</f>
        <v>0</v>
      </c>
      <c r="O34889">
        <f>IF(N34889="","",'Master Barang'!B83)</f>
        <v>0</v>
      </c>
      <c r="P34889">
        <f>IF(OR(M34889="",N34889=""),"",SUMIFS('Barang Keluar'!$E:$E,'Barang Keluar'!$A:$A,M34889,'Barang Keluar'!$C:$C,N34889))</f>
        <v>0</v>
      </c>
    </row>
    <row r="34890" spans="13:16">
      <c r="M34890" s="49">
        <f>IF($A$4+348&gt;$B$4,"",$A$4+348)</f>
        <v>46371</v>
      </c>
      <c r="N34890">
        <f>IF(M34890="","",'Master Barang'!A84)</f>
        <v>0</v>
      </c>
      <c r="O34890">
        <f>IF(N34890="","",'Master Barang'!B84)</f>
        <v>0</v>
      </c>
      <c r="P34890">
        <f>IF(OR(M34890="",N34890=""),"",SUMIFS('Barang Keluar'!$E:$E,'Barang Keluar'!$A:$A,M34890,'Barang Keluar'!$C:$C,N34890))</f>
        <v>0</v>
      </c>
    </row>
    <row r="34891" spans="13:16">
      <c r="M34891" s="49">
        <f>IF($A$4+348&gt;$B$4,"",$A$4+348)</f>
        <v>46371</v>
      </c>
      <c r="N34891">
        <f>IF(M34891="","",'Master Barang'!A85)</f>
        <v>0</v>
      </c>
      <c r="O34891">
        <f>IF(N34891="","",'Master Barang'!B85)</f>
        <v>0</v>
      </c>
      <c r="P34891">
        <f>IF(OR(M34891="",N34891=""),"",SUMIFS('Barang Keluar'!$E:$E,'Barang Keluar'!$A:$A,M34891,'Barang Keluar'!$C:$C,N34891))</f>
        <v>0</v>
      </c>
    </row>
    <row r="34892" spans="13:16">
      <c r="M34892" s="49">
        <f>IF($A$4+348&gt;$B$4,"",$A$4+348)</f>
        <v>46371</v>
      </c>
      <c r="N34892">
        <f>IF(M34892="","",'Master Barang'!A86)</f>
        <v>0</v>
      </c>
      <c r="O34892">
        <f>IF(N34892="","",'Master Barang'!B86)</f>
        <v>0</v>
      </c>
      <c r="P34892">
        <f>IF(OR(M34892="",N34892=""),"",SUMIFS('Barang Keluar'!$E:$E,'Barang Keluar'!$A:$A,M34892,'Barang Keluar'!$C:$C,N34892))</f>
        <v>0</v>
      </c>
    </row>
    <row r="34893" spans="13:16">
      <c r="M34893" s="49">
        <f>IF($A$4+348&gt;$B$4,"",$A$4+348)</f>
        <v>46371</v>
      </c>
      <c r="N34893">
        <f>IF(M34893="","",'Master Barang'!A87)</f>
        <v>0</v>
      </c>
      <c r="O34893">
        <f>IF(N34893="","",'Master Barang'!B87)</f>
        <v>0</v>
      </c>
      <c r="P34893">
        <f>IF(OR(M34893="",N34893=""),"",SUMIFS('Barang Keluar'!$E:$E,'Barang Keluar'!$A:$A,M34893,'Barang Keluar'!$C:$C,N34893))</f>
        <v>0</v>
      </c>
    </row>
    <row r="34894" spans="13:16">
      <c r="M34894" s="49">
        <f>IF($A$4+348&gt;$B$4,"",$A$4+348)</f>
        <v>46371</v>
      </c>
      <c r="N34894">
        <f>IF(M34894="","",'Master Barang'!A88)</f>
        <v>0</v>
      </c>
      <c r="O34894">
        <f>IF(N34894="","",'Master Barang'!B88)</f>
        <v>0</v>
      </c>
      <c r="P34894">
        <f>IF(OR(M34894="",N34894=""),"",SUMIFS('Barang Keluar'!$E:$E,'Barang Keluar'!$A:$A,M34894,'Barang Keluar'!$C:$C,N34894))</f>
        <v>0</v>
      </c>
    </row>
    <row r="34895" spans="13:16">
      <c r="M34895" s="49">
        <f>IF($A$4+348&gt;$B$4,"",$A$4+348)</f>
        <v>46371</v>
      </c>
      <c r="N34895">
        <f>IF(M34895="","",'Master Barang'!A89)</f>
        <v>0</v>
      </c>
      <c r="O34895">
        <f>IF(N34895="","",'Master Barang'!B89)</f>
        <v>0</v>
      </c>
      <c r="P34895">
        <f>IF(OR(M34895="",N34895=""),"",SUMIFS('Barang Keluar'!$E:$E,'Barang Keluar'!$A:$A,M34895,'Barang Keluar'!$C:$C,N34895))</f>
        <v>0</v>
      </c>
    </row>
    <row r="34896" spans="13:16">
      <c r="M34896" s="49">
        <f>IF($A$4+348&gt;$B$4,"",$A$4+348)</f>
        <v>46371</v>
      </c>
      <c r="N34896">
        <f>IF(M34896="","",'Master Barang'!A90)</f>
        <v>0</v>
      </c>
      <c r="O34896">
        <f>IF(N34896="","",'Master Barang'!B90)</f>
        <v>0</v>
      </c>
      <c r="P34896">
        <f>IF(OR(M34896="",N34896=""),"",SUMIFS('Barang Keluar'!$E:$E,'Barang Keluar'!$A:$A,M34896,'Barang Keluar'!$C:$C,N34896))</f>
        <v>0</v>
      </c>
    </row>
    <row r="34897" spans="13:16">
      <c r="M34897" s="49">
        <f>IF($A$4+348&gt;$B$4,"",$A$4+348)</f>
        <v>46371</v>
      </c>
      <c r="N34897">
        <f>IF(M34897="","",'Master Barang'!A91)</f>
        <v>0</v>
      </c>
      <c r="O34897">
        <f>IF(N34897="","",'Master Barang'!B91)</f>
        <v>0</v>
      </c>
      <c r="P34897">
        <f>IF(OR(M34897="",N34897=""),"",SUMIFS('Barang Keluar'!$E:$E,'Barang Keluar'!$A:$A,M34897,'Barang Keluar'!$C:$C,N34897))</f>
        <v>0</v>
      </c>
    </row>
    <row r="34898" spans="13:16">
      <c r="M34898" s="49">
        <f>IF($A$4+348&gt;$B$4,"",$A$4+348)</f>
        <v>46371</v>
      </c>
      <c r="N34898">
        <f>IF(M34898="","",'Master Barang'!A92)</f>
        <v>0</v>
      </c>
      <c r="O34898">
        <f>IF(N34898="","",'Master Barang'!B92)</f>
        <v>0</v>
      </c>
      <c r="P34898">
        <f>IF(OR(M34898="",N34898=""),"",SUMIFS('Barang Keluar'!$E:$E,'Barang Keluar'!$A:$A,M34898,'Barang Keluar'!$C:$C,N34898))</f>
        <v>0</v>
      </c>
    </row>
    <row r="34899" spans="13:16">
      <c r="M34899" s="49">
        <f>IF($A$4+348&gt;$B$4,"",$A$4+348)</f>
        <v>46371</v>
      </c>
      <c r="N34899">
        <f>IF(M34899="","",'Master Barang'!A93)</f>
        <v>0</v>
      </c>
      <c r="O34899">
        <f>IF(N34899="","",'Master Barang'!B93)</f>
        <v>0</v>
      </c>
      <c r="P34899">
        <f>IF(OR(M34899="",N34899=""),"",SUMIFS('Barang Keluar'!$E:$E,'Barang Keluar'!$A:$A,M34899,'Barang Keluar'!$C:$C,N34899))</f>
        <v>0</v>
      </c>
    </row>
    <row r="34900" spans="13:16">
      <c r="M34900" s="49">
        <f>IF($A$4+348&gt;$B$4,"",$A$4+348)</f>
        <v>46371</v>
      </c>
      <c r="N34900">
        <f>IF(M34900="","",'Master Barang'!A94)</f>
        <v>0</v>
      </c>
      <c r="O34900">
        <f>IF(N34900="","",'Master Barang'!B94)</f>
        <v>0</v>
      </c>
      <c r="P34900">
        <f>IF(OR(M34900="",N34900=""),"",SUMIFS('Barang Keluar'!$E:$E,'Barang Keluar'!$A:$A,M34900,'Barang Keluar'!$C:$C,N34900))</f>
        <v>0</v>
      </c>
    </row>
    <row r="34901" spans="13:16">
      <c r="M34901" s="49">
        <f>IF($A$4+348&gt;$B$4,"",$A$4+348)</f>
        <v>46371</v>
      </c>
      <c r="N34901">
        <f>IF(M34901="","",'Master Barang'!A95)</f>
        <v>0</v>
      </c>
      <c r="O34901">
        <f>IF(N34901="","",'Master Barang'!B95)</f>
        <v>0</v>
      </c>
      <c r="P34901">
        <f>IF(OR(M34901="",N34901=""),"",SUMIFS('Barang Keluar'!$E:$E,'Barang Keluar'!$A:$A,M34901,'Barang Keluar'!$C:$C,N34901))</f>
        <v>0</v>
      </c>
    </row>
    <row r="34902" spans="13:16">
      <c r="M34902" s="49">
        <f>IF($A$4+348&gt;$B$4,"",$A$4+348)</f>
        <v>46371</v>
      </c>
      <c r="N34902">
        <f>IF(M34902="","",'Master Barang'!A96)</f>
        <v>0</v>
      </c>
      <c r="O34902">
        <f>IF(N34902="","",'Master Barang'!B96)</f>
        <v>0</v>
      </c>
      <c r="P34902">
        <f>IF(OR(M34902="",N34902=""),"",SUMIFS('Barang Keluar'!$E:$E,'Barang Keluar'!$A:$A,M34902,'Barang Keluar'!$C:$C,N34902))</f>
        <v>0</v>
      </c>
    </row>
    <row r="34903" spans="13:16">
      <c r="M34903" s="49">
        <f>IF($A$4+348&gt;$B$4,"",$A$4+348)</f>
        <v>46371</v>
      </c>
      <c r="N34903">
        <f>IF(M34903="","",'Master Barang'!A97)</f>
        <v>0</v>
      </c>
      <c r="O34903">
        <f>IF(N34903="","",'Master Barang'!B97)</f>
        <v>0</v>
      </c>
      <c r="P34903">
        <f>IF(OR(M34903="",N34903=""),"",SUMIFS('Barang Keluar'!$E:$E,'Barang Keluar'!$A:$A,M34903,'Barang Keluar'!$C:$C,N34903))</f>
        <v>0</v>
      </c>
    </row>
    <row r="34904" spans="13:16">
      <c r="M34904" s="49">
        <f>IF($A$4+348&gt;$B$4,"",$A$4+348)</f>
        <v>46371</v>
      </c>
      <c r="N34904">
        <f>IF(M34904="","",'Master Barang'!A98)</f>
        <v>0</v>
      </c>
      <c r="O34904">
        <f>IF(N34904="","",'Master Barang'!B98)</f>
        <v>0</v>
      </c>
      <c r="P34904">
        <f>IF(OR(M34904="",N34904=""),"",SUMIFS('Barang Keluar'!$E:$E,'Barang Keluar'!$A:$A,M34904,'Barang Keluar'!$C:$C,N34904))</f>
        <v>0</v>
      </c>
    </row>
    <row r="34905" spans="13:16">
      <c r="M34905" s="49">
        <f>IF($A$4+348&gt;$B$4,"",$A$4+348)</f>
        <v>46371</v>
      </c>
      <c r="N34905">
        <f>IF(M34905="","",'Master Barang'!A99)</f>
        <v>0</v>
      </c>
      <c r="O34905">
        <f>IF(N34905="","",'Master Barang'!B99)</f>
        <v>0</v>
      </c>
      <c r="P34905">
        <f>IF(OR(M34905="",N34905=""),"",SUMIFS('Barang Keluar'!$E:$E,'Barang Keluar'!$A:$A,M34905,'Barang Keluar'!$C:$C,N34905))</f>
        <v>0</v>
      </c>
    </row>
    <row r="34906" spans="13:16">
      <c r="M34906" s="49">
        <f>IF($A$4+348&gt;$B$4,"",$A$4+348)</f>
        <v>46371</v>
      </c>
      <c r="N34906">
        <f>IF(M34906="","",'Master Barang'!A100)</f>
        <v>0</v>
      </c>
      <c r="O34906">
        <f>IF(N34906="","",'Master Barang'!B100)</f>
        <v>0</v>
      </c>
      <c r="P34906">
        <f>IF(OR(M34906="",N34906=""),"",SUMIFS('Barang Keluar'!$E:$E,'Barang Keluar'!$A:$A,M34906,'Barang Keluar'!$C:$C,N34906))</f>
        <v>0</v>
      </c>
    </row>
    <row r="34907" spans="13:16">
      <c r="M34907" s="49">
        <f>IF($A$4+348&gt;$B$4,"",$A$4+348)</f>
        <v>46371</v>
      </c>
      <c r="N34907">
        <f>IF(M34907="","",'Master Barang'!A101)</f>
        <v>0</v>
      </c>
      <c r="O34907">
        <f>IF(N34907="","",'Master Barang'!B101)</f>
        <v>0</v>
      </c>
      <c r="P34907">
        <f>IF(OR(M34907="",N34907=""),"",SUMIFS('Barang Keluar'!$E:$E,'Barang Keluar'!$A:$A,M34907,'Barang Keluar'!$C:$C,N34907))</f>
        <v>0</v>
      </c>
    </row>
    <row r="34908" spans="13:16">
      <c r="M34908" s="49">
        <f>IF($A$4+349&gt;$B$4,"",$A$4+349)</f>
        <v>46372</v>
      </c>
      <c r="N34908" t="str">
        <f>IF(M34908="","",'Master Barang'!A2)</f>
        <v>PRL-001</v>
      </c>
      <c r="O34908" t="str">
        <f>IF(N34908="","",'Master Barang'!B2)</f>
        <v>natura desinfectant food grade 5l</v>
      </c>
      <c r="P34908">
        <f>IF(OR(M34908="",N34908=""),"",SUMIFS('Barang Keluar'!$E:$E,'Barang Keluar'!$A:$A,M34908,'Barang Keluar'!$C:$C,N34908))</f>
        <v>0</v>
      </c>
    </row>
    <row r="34909" spans="13:16">
      <c r="M34909" s="49">
        <f>IF($A$4+349&gt;$B$4,"",$A$4+349)</f>
        <v>46372</v>
      </c>
      <c r="N34909" t="str">
        <f>IF(M34909="","",'Master Barang'!A3)</f>
        <v>PRL-002</v>
      </c>
      <c r="O34909" t="str">
        <f>IF(N34909="","",'Master Barang'!B3)</f>
        <v>sunlight cairan pencuci piring 5l</v>
      </c>
      <c r="P34909">
        <f>IF(OR(M34909="",N34909=""),"",SUMIFS('Barang Keluar'!$E:$E,'Barang Keluar'!$A:$A,M34909,'Barang Keluar'!$C:$C,N34909))</f>
        <v>0</v>
      </c>
    </row>
    <row r="34910" spans="13:16">
      <c r="M34910" s="49">
        <f>IF($A$4+349&gt;$B$4,"",$A$4+349)</f>
        <v>46372</v>
      </c>
      <c r="N34910" t="str">
        <f>IF(M34910="","",'Master Barang'!A4)</f>
        <v>PRL-003</v>
      </c>
      <c r="O34910" t="str">
        <f>IF(N34910="","",'Master Barang'!B4)</f>
        <v>oixs cleaner 1l</v>
      </c>
      <c r="P34910">
        <f>IF(OR(M34910="",N34910=""),"",SUMIFS('Barang Keluar'!$E:$E,'Barang Keluar'!$A:$A,M34910,'Barang Keluar'!$C:$C,N34910))</f>
        <v>0</v>
      </c>
    </row>
    <row r="34911" spans="13:16">
      <c r="M34911" s="49">
        <f>IF($A$4+349&gt;$B$4,"",$A$4+349)</f>
        <v>46372</v>
      </c>
      <c r="N34911" t="str">
        <f>IF(M34911="","",'Master Barang'!A5)</f>
        <v>PRL-004</v>
      </c>
      <c r="O34911" t="str">
        <f>IF(N34911="","",'Master Barang'!B5)</f>
        <v>be clean tissue serbaguna</v>
      </c>
      <c r="P34911">
        <f>IF(OR(M34911="",N34911=""),"",SUMIFS('Barang Keluar'!$E:$E,'Barang Keluar'!$A:$A,M34911,'Barang Keluar'!$C:$C,N34911))</f>
        <v>0</v>
      </c>
    </row>
    <row r="34912" spans="13:16">
      <c r="M34912" s="49">
        <f>IF($A$4+349&gt;$B$4,"",$A$4+349)</f>
        <v>46372</v>
      </c>
      <c r="N34912" t="str">
        <f>IF(M34912="","",'Master Barang'!A6)</f>
        <v>PRL-005</v>
      </c>
      <c r="O34912" t="str">
        <f>IF(N34912="","",'Master Barang'!B6)</f>
        <v>spons cuci hijau</v>
      </c>
      <c r="P34912">
        <f>IF(OR(M34912="",N34912=""),"",SUMIFS('Barang Keluar'!$E:$E,'Barang Keluar'!$A:$A,M34912,'Barang Keluar'!$C:$C,N34912))</f>
        <v>0</v>
      </c>
    </row>
    <row r="34913" spans="13:16">
      <c r="M34913" s="49">
        <f>IF($A$4+349&gt;$B$4,"",$A$4+349)</f>
        <v>46372</v>
      </c>
      <c r="N34913" t="str">
        <f>IF(M34913="","",'Master Barang'!A7)</f>
        <v>PRL-006</v>
      </c>
      <c r="O34913" t="str">
        <f>IF(N34913="","",'Master Barang'!B7)</f>
        <v>sabut cuci stainless</v>
      </c>
      <c r="P34913">
        <f>IF(OR(M34913="",N34913=""),"",SUMIFS('Barang Keluar'!$E:$E,'Barang Keluar'!$A:$A,M34913,'Barang Keluar'!$C:$C,N34913))</f>
        <v>0</v>
      </c>
    </row>
    <row r="34914" spans="13:16">
      <c r="M34914" s="49">
        <f>IF($A$4+349&gt;$B$4,"",$A$4+349)</f>
        <v>46372</v>
      </c>
      <c r="N34914" t="str">
        <f>IF(M34914="","",'Master Barang'!A8)</f>
        <v>PRL-007</v>
      </c>
      <c r="O34914" t="str">
        <f>IF(N34914="","",'Master Barang'!B8)</f>
        <v>plastik kresek besar merah 50pc</v>
      </c>
      <c r="P34914">
        <f>IF(OR(M34914="",N34914=""),"",SUMIFS('Barang Keluar'!$E:$E,'Barang Keluar'!$A:$A,M34914,'Barang Keluar'!$C:$C,N34914))</f>
        <v>0</v>
      </c>
    </row>
    <row r="34915" spans="13:16">
      <c r="M34915" s="49">
        <f>IF($A$4+349&gt;$B$4,"",$A$4+349)</f>
        <v>46372</v>
      </c>
      <c r="N34915" t="str">
        <f>IF(M34915="","",'Master Barang'!A9)</f>
        <v>PRL-008</v>
      </c>
      <c r="O34915" t="str">
        <f>IF(N34915="","",'Master Barang'!B9)</f>
        <v>lap besar</v>
      </c>
      <c r="P34915">
        <f>IF(OR(M34915="",N34915=""),"",SUMIFS('Barang Keluar'!$E:$E,'Barang Keluar'!$A:$A,M34915,'Barang Keluar'!$C:$C,N34915))</f>
        <v>0</v>
      </c>
    </row>
    <row r="34916" spans="13:16">
      <c r="M34916" s="49">
        <f>IF($A$4+349&gt;$B$4,"",$A$4+349)</f>
        <v>46372</v>
      </c>
      <c r="N34916" t="str">
        <f>IF(M34916="","",'Master Barang'!A10)</f>
        <v>PRL-009</v>
      </c>
      <c r="O34916" t="str">
        <f>IF(N34916="","",'Master Barang'!B10)</f>
        <v>lap microfiber</v>
      </c>
      <c r="P34916">
        <f>IF(OR(M34916="",N34916=""),"",SUMIFS('Barang Keluar'!$E:$E,'Barang Keluar'!$A:$A,M34916,'Barang Keluar'!$C:$C,N34916))</f>
        <v>0</v>
      </c>
    </row>
    <row r="34917" spans="13:16">
      <c r="M34917" s="49">
        <f>IF($A$4+349&gt;$B$4,"",$A$4+349)</f>
        <v>46372</v>
      </c>
      <c r="N34917" t="str">
        <f>IF(M34917="","",'Master Barang'!A11)</f>
        <v>PRL-010</v>
      </c>
      <c r="O34917" t="str">
        <f>IF(N34917="","",'Master Barang'!B11)</f>
        <v>lap kecil</v>
      </c>
      <c r="P34917">
        <f>IF(OR(M34917="",N34917=""),"",SUMIFS('Barang Keluar'!$E:$E,'Barang Keluar'!$A:$A,M34917,'Barang Keluar'!$C:$C,N34917))</f>
        <v>0</v>
      </c>
    </row>
    <row r="34918" spans="13:16">
      <c r="M34918" s="49">
        <f>IF($A$4+349&gt;$B$4,"",$A$4+349)</f>
        <v>46372</v>
      </c>
      <c r="N34918" t="str">
        <f>IF(M34918="","",'Master Barang'!A12)</f>
        <v>PRL-011</v>
      </c>
      <c r="O34918" t="str">
        <f>IF(N34918="","",'Master Barang'!B12)</f>
        <v>kanebo kecil</v>
      </c>
      <c r="P34918">
        <f>IF(OR(M34918="",N34918=""),"",SUMIFS('Barang Keluar'!$E:$E,'Barang Keluar'!$A:$A,M34918,'Barang Keluar'!$C:$C,N34918))</f>
        <v>0</v>
      </c>
    </row>
    <row r="34919" spans="13:16">
      <c r="M34919" s="49">
        <f>IF($A$4+349&gt;$B$4,"",$A$4+349)</f>
        <v>46372</v>
      </c>
      <c r="N34919" t="str">
        <f>IF(M34919="","",'Master Barang'!A13)</f>
        <v>PRL-012</v>
      </c>
      <c r="O34919" t="str">
        <f>IF(N34919="","",'Master Barang'!B13)</f>
        <v>plastik 1/4kg joyoboyo 100 lembar</v>
      </c>
      <c r="P34919">
        <f>IF(OR(M34919="",N34919=""),"",SUMIFS('Barang Keluar'!$E:$E,'Barang Keluar'!$A:$A,M34919,'Barang Keluar'!$C:$C,N34919))</f>
        <v>0</v>
      </c>
    </row>
    <row r="34920" spans="13:16">
      <c r="M34920" s="49">
        <f>IF($A$4+349&gt;$B$4,"",$A$4+349)</f>
        <v>46372</v>
      </c>
      <c r="N34920" t="str">
        <f>IF(M34920="","",'Master Barang'!A14)</f>
        <v>PRL-013</v>
      </c>
      <c r="O34920" t="str">
        <f>IF(N34920="","",'Master Barang'!B14)</f>
        <v>sarung tangan plastik kaka 100 pcs</v>
      </c>
      <c r="P34920">
        <f>IF(OR(M34920="",N34920=""),"",SUMIFS('Barang Keluar'!$E:$E,'Barang Keluar'!$A:$A,M34920,'Barang Keluar'!$C:$C,N34920))</f>
        <v>0</v>
      </c>
    </row>
    <row r="34921" spans="13:16">
      <c r="M34921" s="49">
        <f>IF($A$4+349&gt;$B$4,"",$A$4+349)</f>
        <v>46372</v>
      </c>
      <c r="N34921" t="str">
        <f>IF(M34921="","",'Master Barang'!A15)</f>
        <v>PRL-014</v>
      </c>
      <c r="O34921" t="str">
        <f>IF(N34921="","",'Master Barang'!B15)</f>
        <v>optima trashbag 80x100</v>
      </c>
      <c r="P34921">
        <f>IF(OR(M34921="",N34921=""),"",SUMIFS('Barang Keluar'!$E:$E,'Barang Keluar'!$A:$A,M34921,'Barang Keluar'!$C:$C,N34921))</f>
        <v>0</v>
      </c>
    </row>
    <row r="34922" spans="13:16">
      <c r="M34922" s="49">
        <f>IF($A$4+349&gt;$B$4,"",$A$4+349)</f>
        <v>46372</v>
      </c>
      <c r="N34922" t="str">
        <f>IF(M34922="","",'Master Barang'!A16)</f>
        <v>PRL-015</v>
      </c>
      <c r="O34922" t="str">
        <f>IF(N34922="","",'Master Barang'!B16)</f>
        <v>optima trashbag 60x100</v>
      </c>
      <c r="P34922">
        <f>IF(OR(M34922="",N34922=""),"",SUMIFS('Barang Keluar'!$E:$E,'Barang Keluar'!$A:$A,M34922,'Barang Keluar'!$C:$C,N34922))</f>
        <v>0</v>
      </c>
    </row>
    <row r="34923" spans="13:16">
      <c r="M34923" s="49">
        <f>IF($A$4+349&gt;$B$4,"",$A$4+349)</f>
        <v>46372</v>
      </c>
      <c r="N34923" t="str">
        <f>IF(M34923="","",'Master Barang'!A17)</f>
        <v>PRL-016</v>
      </c>
      <c r="O34923" t="str">
        <f>IF(N34923="","",'Master Barang'!B17)</f>
        <v>rajawali trashbag 30x40</v>
      </c>
      <c r="P34923">
        <f>IF(OR(M34923="",N34923=""),"",SUMIFS('Barang Keluar'!$E:$E,'Barang Keluar'!$A:$A,M34923,'Barang Keluar'!$C:$C,N34923))</f>
        <v>0</v>
      </c>
    </row>
    <row r="34924" spans="13:16">
      <c r="M34924" s="49">
        <f>IF($A$4+349&gt;$B$4,"",$A$4+349)</f>
        <v>46372</v>
      </c>
      <c r="N34924" t="str">
        <f>IF(M34924="","",'Master Barang'!A18)</f>
        <v>PRL-017</v>
      </c>
      <c r="O34924" t="str">
        <f>IF(N34924="","",'Master Barang'!B18)</f>
        <v>onemed masker biru 3 play 50 pcs</v>
      </c>
      <c r="P34924">
        <f>IF(OR(M34924="",N34924=""),"",SUMIFS('Barang Keluar'!$E:$E,'Barang Keluar'!$A:$A,M34924,'Barang Keluar'!$C:$C,N34924))</f>
        <v>0</v>
      </c>
    </row>
    <row r="34925" spans="13:16">
      <c r="M34925" s="49">
        <f>IF($A$4+349&gt;$B$4,"",$A$4+349)</f>
        <v>46372</v>
      </c>
      <c r="N34925" t="str">
        <f>IF(M34925="","",'Master Barang'!A19)</f>
        <v>PRL-018</v>
      </c>
      <c r="O34925" t="str">
        <f>IF(N34925="","",'Master Barang'!B19)</f>
        <v>onemed masker biru 3 play hijab 50 pcs</v>
      </c>
      <c r="P34925">
        <f>IF(OR(M34925="",N34925=""),"",SUMIFS('Barang Keluar'!$E:$E,'Barang Keluar'!$A:$A,M34925,'Barang Keluar'!$C:$C,N34925))</f>
        <v>0</v>
      </c>
    </row>
    <row r="34926" spans="13:16">
      <c r="M34926" s="49">
        <f>IF($A$4+349&gt;$B$4,"",$A$4+349)</f>
        <v>46372</v>
      </c>
      <c r="N34926" t="str">
        <f>IF(M34926="","",'Master Barang'!A20)</f>
        <v>PRL-019</v>
      </c>
      <c r="O34926" t="str">
        <f>IF(N34926="","",'Master Barang'!B20)</f>
        <v>neo health masker biru 3 play 50 pcs</v>
      </c>
      <c r="P34926">
        <f>IF(OR(M34926="",N34926=""),"",SUMIFS('Barang Keluar'!$E:$E,'Barang Keluar'!$A:$A,M34926,'Barang Keluar'!$C:$C,N34926))</f>
        <v>0</v>
      </c>
    </row>
    <row r="34927" spans="13:16">
      <c r="M34927" s="49">
        <f>IF($A$4+349&gt;$B$4,"",$A$4+349)</f>
        <v>46372</v>
      </c>
      <c r="N34927" t="str">
        <f>IF(M34927="","",'Master Barang'!A21)</f>
        <v>PRL-020</v>
      </c>
      <c r="O34927" t="str">
        <f>IF(N34927="","",'Master Barang'!B21)</f>
        <v>baymed masker hijau 3 play hijau 50 pcs</v>
      </c>
      <c r="P34927">
        <f>IF(OR(M34927="",N34927=""),"",SUMIFS('Barang Keluar'!$E:$E,'Barang Keluar'!$A:$A,M34927,'Barang Keluar'!$C:$C,N34927))</f>
        <v>0</v>
      </c>
    </row>
    <row r="34928" spans="13:16">
      <c r="M34928" s="49">
        <f>IF($A$4+349&gt;$B$4,"",$A$4+349)</f>
        <v>46372</v>
      </c>
      <c r="N34928" t="str">
        <f>IF(M34928="","",'Master Barang'!A22)</f>
        <v>PRL-021</v>
      </c>
      <c r="O34928" t="str">
        <f>IF(N34928="","",'Master Barang'!B22)</f>
        <v>altamed nurse cap penutup kepala 100 pcs</v>
      </c>
      <c r="P34928">
        <f>IF(OR(M34928="",N34928=""),"",SUMIFS('Barang Keluar'!$E:$E,'Barang Keluar'!$A:$A,M34928,'Barang Keluar'!$C:$C,N34928))</f>
        <v>0</v>
      </c>
    </row>
    <row r="34929" spans="13:16">
      <c r="M34929" s="49">
        <f>IF($A$4+349&gt;$B$4,"",$A$4+349)</f>
        <v>46372</v>
      </c>
      <c r="N34929" t="str">
        <f>IF(M34929="","",'Master Barang'!A23)</f>
        <v>PRL-022</v>
      </c>
      <c r="O34929" t="str">
        <f>IF(N34929="","",'Master Barang'!B23)</f>
        <v>sabun cuci tangan</v>
      </c>
      <c r="P34929">
        <f>IF(OR(M34929="",N34929=""),"",SUMIFS('Barang Keluar'!$E:$E,'Barang Keluar'!$A:$A,M34929,'Barang Keluar'!$C:$C,N34929))</f>
        <v>0</v>
      </c>
    </row>
    <row r="34930" spans="13:16">
      <c r="M34930" s="49">
        <f>IF($A$4+349&gt;$B$4,"",$A$4+349)</f>
        <v>46372</v>
      </c>
      <c r="N34930" t="str">
        <f>IF(M34930="","",'Master Barang'!A24)</f>
        <v>PRL-023</v>
      </c>
      <c r="O34930" t="str">
        <f>IF(N34930="","",'Master Barang'!B24)</f>
        <v>gayung kecil</v>
      </c>
      <c r="P34930">
        <f>IF(OR(M34930="",N34930=""),"",SUMIFS('Barang Keluar'!$E:$E,'Barang Keluar'!$A:$A,M34930,'Barang Keluar'!$C:$C,N34930))</f>
        <v>0</v>
      </c>
    </row>
    <row r="34931" spans="13:16">
      <c r="M34931" s="49">
        <f>IF($A$4+349&gt;$B$4,"",$A$4+349)</f>
        <v>46372</v>
      </c>
      <c r="N34931" t="str">
        <f>IF(M34931="","",'Master Barang'!A25)</f>
        <v>PRL-024</v>
      </c>
      <c r="O34931" t="str">
        <f>IF(N34931="","",'Master Barang'!B25)</f>
        <v>cikrak kecil</v>
      </c>
      <c r="P34931">
        <f>IF(OR(M34931="",N34931=""),"",SUMIFS('Barang Keluar'!$E:$E,'Barang Keluar'!$A:$A,M34931,'Barang Keluar'!$C:$C,N34931))</f>
        <v>0</v>
      </c>
    </row>
    <row r="34932" spans="13:16">
      <c r="M34932" s="49">
        <f>IF($A$4+349&gt;$B$4,"",$A$4+349)</f>
        <v>46372</v>
      </c>
      <c r="N34932" t="str">
        <f>IF(M34932="","",'Master Barang'!A26)</f>
        <v>PRL-025</v>
      </c>
      <c r="O34932" t="str">
        <f>IF(N34932="","",'Master Barang'!B26)</f>
        <v>petromax plastik kecil 12x24 100 lembar</v>
      </c>
      <c r="P34932">
        <f>IF(OR(M34932="",N34932=""),"",SUMIFS('Barang Keluar'!$E:$E,'Barang Keluar'!$A:$A,M34932,'Barang Keluar'!$C:$C,N34932))</f>
        <v>0</v>
      </c>
    </row>
    <row r="34933" spans="13:16">
      <c r="M34933" s="49">
        <f>IF($A$4+349&gt;$B$4,"",$A$4+349)</f>
        <v>46372</v>
      </c>
      <c r="N34933" t="str">
        <f>IF(M34933="","",'Master Barang'!A27)</f>
        <v>PRL-026</v>
      </c>
      <c r="O34933" t="str">
        <f>IF(N34933="","",'Master Barang'!B27)</f>
        <v>lancar kresek kecil bening </v>
      </c>
      <c r="P34933">
        <f>IF(OR(M34933="",N34933=""),"",SUMIFS('Barang Keluar'!$E:$E,'Barang Keluar'!$A:$A,M34933,'Barang Keluar'!$C:$C,N34933))</f>
        <v>0</v>
      </c>
    </row>
    <row r="34934" spans="13:16">
      <c r="M34934" s="49">
        <f>IF($A$4+349&gt;$B$4,"",$A$4+349)</f>
        <v>46372</v>
      </c>
      <c r="N34934" t="str">
        <f>IF(M34934="","",'Master Barang'!A28)</f>
        <v>PRL-027</v>
      </c>
      <c r="O34934" t="str">
        <f>IF(N34934="","",'Master Barang'!B28)</f>
        <v>kresek klin warna warni kecil</v>
      </c>
      <c r="P34934">
        <f>IF(OR(M34934="",N34934=""),"",SUMIFS('Barang Keluar'!$E:$E,'Barang Keluar'!$A:$A,M34934,'Barang Keluar'!$C:$C,N34934))</f>
        <v>0</v>
      </c>
    </row>
    <row r="34935" spans="13:16">
      <c r="M34935" s="49">
        <f>IF($A$4+349&gt;$B$4,"",$A$4+349)</f>
        <v>46372</v>
      </c>
      <c r="N34935" t="str">
        <f>IF(M34935="","",'Master Barang'!A29)</f>
        <v>PRL-028</v>
      </c>
      <c r="O34935" t="str">
        <f>IF(N34935="","",'Master Barang'!B29)</f>
        <v>ctik plastik 7x10 100 pcs</v>
      </c>
      <c r="P34935">
        <f>IF(OR(M34935="",N34935=""),"",SUMIFS('Barang Keluar'!$E:$E,'Barang Keluar'!$A:$A,M34935,'Barang Keluar'!$C:$C,N34935))</f>
        <v>0</v>
      </c>
    </row>
    <row r="34936" spans="13:16">
      <c r="M34936" s="49">
        <f>IF($A$4+349&gt;$B$4,"",$A$4+349)</f>
        <v>46372</v>
      </c>
      <c r="N34936" t="str">
        <f>IF(M34936="","",'Master Barang'!A30)</f>
        <v>PRL-029</v>
      </c>
      <c r="O34936" t="str">
        <f>IF(N34936="","",'Master Barang'!B30)</f>
        <v>ctik plastik 6x10 100 pcs</v>
      </c>
      <c r="P34936">
        <f>IF(OR(M34936="",N34936=""),"",SUMIFS('Barang Keluar'!$E:$E,'Barang Keluar'!$A:$A,M34936,'Barang Keluar'!$C:$C,N34936))</f>
        <v>0</v>
      </c>
    </row>
    <row r="34937" spans="13:16">
      <c r="M34937" s="49">
        <f>IF($A$4+349&gt;$B$4,"",$A$4+349)</f>
        <v>46372</v>
      </c>
      <c r="N34937" t="str">
        <f>IF(M34937="","",'Master Barang'!A31)</f>
        <v>PRL-030</v>
      </c>
      <c r="O34937" t="str">
        <f>IF(N34937="","",'Master Barang'!B31)</f>
        <v>klip plastik 25x16 100 pcs</v>
      </c>
      <c r="P34937">
        <f>IF(OR(M34937="",N34937=""),"",SUMIFS('Barang Keluar'!$E:$E,'Barang Keluar'!$A:$A,M34937,'Barang Keluar'!$C:$C,N34937))</f>
        <v>0</v>
      </c>
    </row>
    <row r="34938" spans="13:16">
      <c r="M34938" s="49">
        <f>IF($A$4+349&gt;$B$4,"",$A$4+349)</f>
        <v>46372</v>
      </c>
      <c r="N34938" t="str">
        <f>IF(M34938="","",'Master Barang'!A32)</f>
        <v>PRL-031</v>
      </c>
      <c r="O34938" t="str">
        <f>IF(N34938="","",'Master Barang'!B32)</f>
        <v>tempat saus 20 ml</v>
      </c>
      <c r="P34938">
        <f>IF(OR(M34938="",N34938=""),"",SUMIFS('Barang Keluar'!$E:$E,'Barang Keluar'!$A:$A,M34938,'Barang Keluar'!$C:$C,N34938))</f>
        <v>0</v>
      </c>
    </row>
    <row r="34939" spans="13:16">
      <c r="M34939" s="49">
        <f>IF($A$4+349&gt;$B$4,"",$A$4+349)</f>
        <v>46372</v>
      </c>
      <c r="N34939" t="str">
        <f>IF(M34939="","",'Master Barang'!A33)</f>
        <v>PRL-032</v>
      </c>
      <c r="O34939" t="str">
        <f>IF(N34939="","",'Master Barang'!B33)</f>
        <v>plastik packaging ag box uk sedang</v>
      </c>
      <c r="P34939">
        <f>IF(OR(M34939="",N34939=""),"",SUMIFS('Barang Keluar'!$E:$E,'Barang Keluar'!$A:$A,M34939,'Barang Keluar'!$C:$C,N34939))</f>
        <v>0</v>
      </c>
    </row>
    <row r="34940" spans="13:16">
      <c r="M34940" s="49">
        <f>IF($A$4+349&gt;$B$4,"",$A$4+349)</f>
        <v>46372</v>
      </c>
      <c r="N34940" t="str">
        <f>IF(M34940="","",'Master Barang'!A34)</f>
        <v>PRL-033</v>
      </c>
      <c r="O34940">
        <f>IF(N34940="","",'Master Barang'!B34)</f>
        <v>0</v>
      </c>
      <c r="P34940">
        <f>IF(OR(M34940="",N34940=""),"",SUMIFS('Barang Keluar'!$E:$E,'Barang Keluar'!$A:$A,M34940,'Barang Keluar'!$C:$C,N34940))</f>
        <v>0</v>
      </c>
    </row>
    <row r="34941" spans="13:16">
      <c r="M34941" s="49">
        <f>IF($A$4+349&gt;$B$4,"",$A$4+349)</f>
        <v>46372</v>
      </c>
      <c r="N34941">
        <f>IF(M34941="","",'Master Barang'!A35)</f>
        <v>0</v>
      </c>
      <c r="O34941">
        <f>IF(N34941="","",'Master Barang'!B35)</f>
        <v>0</v>
      </c>
      <c r="P34941">
        <f>IF(OR(M34941="",N34941=""),"",SUMIFS('Barang Keluar'!$E:$E,'Barang Keluar'!$A:$A,M34941,'Barang Keluar'!$C:$C,N34941))</f>
        <v>0</v>
      </c>
    </row>
    <row r="34942" spans="13:16">
      <c r="M34942" s="49">
        <f>IF($A$4+349&gt;$B$4,"",$A$4+349)</f>
        <v>46372</v>
      </c>
      <c r="N34942">
        <f>IF(M34942="","",'Master Barang'!A36)</f>
        <v>0</v>
      </c>
      <c r="O34942">
        <f>IF(N34942="","",'Master Barang'!B36)</f>
        <v>0</v>
      </c>
      <c r="P34942">
        <f>IF(OR(M34942="",N34942=""),"",SUMIFS('Barang Keluar'!$E:$E,'Barang Keluar'!$A:$A,M34942,'Barang Keluar'!$C:$C,N34942))</f>
        <v>0</v>
      </c>
    </row>
    <row r="34943" spans="13:16">
      <c r="M34943" s="49">
        <f>IF($A$4+349&gt;$B$4,"",$A$4+349)</f>
        <v>46372</v>
      </c>
      <c r="N34943">
        <f>IF(M34943="","",'Master Barang'!A37)</f>
        <v>0</v>
      </c>
      <c r="O34943">
        <f>IF(N34943="","",'Master Barang'!B37)</f>
        <v>0</v>
      </c>
      <c r="P34943">
        <f>IF(OR(M34943="",N34943=""),"",SUMIFS('Barang Keluar'!$E:$E,'Barang Keluar'!$A:$A,M34943,'Barang Keluar'!$C:$C,N34943))</f>
        <v>0</v>
      </c>
    </row>
    <row r="34944" spans="13:16">
      <c r="M34944" s="49">
        <f>IF($A$4+349&gt;$B$4,"",$A$4+349)</f>
        <v>46372</v>
      </c>
      <c r="N34944">
        <f>IF(M34944="","",'Master Barang'!A38)</f>
        <v>0</v>
      </c>
      <c r="O34944">
        <f>IF(N34944="","",'Master Barang'!B38)</f>
        <v>0</v>
      </c>
      <c r="P34944">
        <f>IF(OR(M34944="",N34944=""),"",SUMIFS('Barang Keluar'!$E:$E,'Barang Keluar'!$A:$A,M34944,'Barang Keluar'!$C:$C,N34944))</f>
        <v>0</v>
      </c>
    </row>
    <row r="34945" spans="13:16">
      <c r="M34945" s="49">
        <f>IF($A$4+349&gt;$B$4,"",$A$4+349)</f>
        <v>46372</v>
      </c>
      <c r="N34945">
        <f>IF(M34945="","",'Master Barang'!A39)</f>
        <v>0</v>
      </c>
      <c r="O34945">
        <f>IF(N34945="","",'Master Barang'!B39)</f>
        <v>0</v>
      </c>
      <c r="P34945">
        <f>IF(OR(M34945="",N34945=""),"",SUMIFS('Barang Keluar'!$E:$E,'Barang Keluar'!$A:$A,M34945,'Barang Keluar'!$C:$C,N34945))</f>
        <v>0</v>
      </c>
    </row>
    <row r="34946" spans="13:16">
      <c r="M34946" s="49">
        <f>IF($A$4+349&gt;$B$4,"",$A$4+349)</f>
        <v>46372</v>
      </c>
      <c r="N34946">
        <f>IF(M34946="","",'Master Barang'!A40)</f>
        <v>0</v>
      </c>
      <c r="O34946">
        <f>IF(N34946="","",'Master Barang'!B40)</f>
        <v>0</v>
      </c>
      <c r="P34946">
        <f>IF(OR(M34946="",N34946=""),"",SUMIFS('Barang Keluar'!$E:$E,'Barang Keluar'!$A:$A,M34946,'Barang Keluar'!$C:$C,N34946))</f>
        <v>0</v>
      </c>
    </row>
    <row r="34947" spans="13:16">
      <c r="M34947" s="49">
        <f>IF($A$4+349&gt;$B$4,"",$A$4+349)</f>
        <v>46372</v>
      </c>
      <c r="N34947">
        <f>IF(M34947="","",'Master Barang'!A41)</f>
        <v>0</v>
      </c>
      <c r="O34947">
        <f>IF(N34947="","",'Master Barang'!B41)</f>
        <v>0</v>
      </c>
      <c r="P34947">
        <f>IF(OR(M34947="",N34947=""),"",SUMIFS('Barang Keluar'!$E:$E,'Barang Keluar'!$A:$A,M34947,'Barang Keluar'!$C:$C,N34947))</f>
        <v>0</v>
      </c>
    </row>
    <row r="34948" spans="13:16">
      <c r="M34948" s="49">
        <f>IF($A$4+349&gt;$B$4,"",$A$4+349)</f>
        <v>46372</v>
      </c>
      <c r="N34948">
        <f>IF(M34948="","",'Master Barang'!A42)</f>
        <v>0</v>
      </c>
      <c r="O34948">
        <f>IF(N34948="","",'Master Barang'!B42)</f>
        <v>0</v>
      </c>
      <c r="P34948">
        <f>IF(OR(M34948="",N34948=""),"",SUMIFS('Barang Keluar'!$E:$E,'Barang Keluar'!$A:$A,M34948,'Barang Keluar'!$C:$C,N34948))</f>
        <v>0</v>
      </c>
    </row>
    <row r="34949" spans="13:16">
      <c r="M34949" s="49">
        <f>IF($A$4+349&gt;$B$4,"",$A$4+349)</f>
        <v>46372</v>
      </c>
      <c r="N34949">
        <f>IF(M34949="","",'Master Barang'!A43)</f>
        <v>0</v>
      </c>
      <c r="O34949">
        <f>IF(N34949="","",'Master Barang'!B43)</f>
        <v>0</v>
      </c>
      <c r="P34949">
        <f>IF(OR(M34949="",N34949=""),"",SUMIFS('Barang Keluar'!$E:$E,'Barang Keluar'!$A:$A,M34949,'Barang Keluar'!$C:$C,N34949))</f>
        <v>0</v>
      </c>
    </row>
    <row r="34950" spans="13:16">
      <c r="M34950" s="49">
        <f>IF($A$4+349&gt;$B$4,"",$A$4+349)</f>
        <v>46372</v>
      </c>
      <c r="N34950">
        <f>IF(M34950="","",'Master Barang'!A44)</f>
        <v>0</v>
      </c>
      <c r="O34950">
        <f>IF(N34950="","",'Master Barang'!B44)</f>
        <v>0</v>
      </c>
      <c r="P34950">
        <f>IF(OR(M34950="",N34950=""),"",SUMIFS('Barang Keluar'!$E:$E,'Barang Keluar'!$A:$A,M34950,'Barang Keluar'!$C:$C,N34950))</f>
        <v>0</v>
      </c>
    </row>
    <row r="34951" spans="13:16">
      <c r="M34951" s="49">
        <f>IF($A$4+349&gt;$B$4,"",$A$4+349)</f>
        <v>46372</v>
      </c>
      <c r="N34951">
        <f>IF(M34951="","",'Master Barang'!A45)</f>
        <v>0</v>
      </c>
      <c r="O34951">
        <f>IF(N34951="","",'Master Barang'!B45)</f>
        <v>0</v>
      </c>
      <c r="P34951">
        <f>IF(OR(M34951="",N34951=""),"",SUMIFS('Barang Keluar'!$E:$E,'Barang Keluar'!$A:$A,M34951,'Barang Keluar'!$C:$C,N34951))</f>
        <v>0</v>
      </c>
    </row>
    <row r="34952" spans="13:16">
      <c r="M34952" s="49">
        <f>IF($A$4+349&gt;$B$4,"",$A$4+349)</f>
        <v>46372</v>
      </c>
      <c r="N34952">
        <f>IF(M34952="","",'Master Barang'!A46)</f>
        <v>0</v>
      </c>
      <c r="O34952">
        <f>IF(N34952="","",'Master Barang'!B46)</f>
        <v>0</v>
      </c>
      <c r="P34952">
        <f>IF(OR(M34952="",N34952=""),"",SUMIFS('Barang Keluar'!$E:$E,'Barang Keluar'!$A:$A,M34952,'Barang Keluar'!$C:$C,N34952))</f>
        <v>0</v>
      </c>
    </row>
    <row r="34953" spans="13:16">
      <c r="M34953" s="49">
        <f>IF($A$4+349&gt;$B$4,"",$A$4+349)</f>
        <v>46372</v>
      </c>
      <c r="N34953">
        <f>IF(M34953="","",'Master Barang'!A47)</f>
        <v>0</v>
      </c>
      <c r="O34953">
        <f>IF(N34953="","",'Master Barang'!B47)</f>
        <v>0</v>
      </c>
      <c r="P34953">
        <f>IF(OR(M34953="",N34953=""),"",SUMIFS('Barang Keluar'!$E:$E,'Barang Keluar'!$A:$A,M34953,'Barang Keluar'!$C:$C,N34953))</f>
        <v>0</v>
      </c>
    </row>
    <row r="34954" spans="13:16">
      <c r="M34954" s="49">
        <f>IF($A$4+349&gt;$B$4,"",$A$4+349)</f>
        <v>46372</v>
      </c>
      <c r="N34954">
        <f>IF(M34954="","",'Master Barang'!A48)</f>
        <v>0</v>
      </c>
      <c r="O34954">
        <f>IF(N34954="","",'Master Barang'!B48)</f>
        <v>0</v>
      </c>
      <c r="P34954">
        <f>IF(OR(M34954="",N34954=""),"",SUMIFS('Barang Keluar'!$E:$E,'Barang Keluar'!$A:$A,M34954,'Barang Keluar'!$C:$C,N34954))</f>
        <v>0</v>
      </c>
    </row>
    <row r="34955" spans="13:16">
      <c r="M34955" s="49">
        <f>IF($A$4+349&gt;$B$4,"",$A$4+349)</f>
        <v>46372</v>
      </c>
      <c r="N34955">
        <f>IF(M34955="","",'Master Barang'!A49)</f>
        <v>0</v>
      </c>
      <c r="O34955">
        <f>IF(N34955="","",'Master Barang'!B49)</f>
        <v>0</v>
      </c>
      <c r="P34955">
        <f>IF(OR(M34955="",N34955=""),"",SUMIFS('Barang Keluar'!$E:$E,'Barang Keluar'!$A:$A,M34955,'Barang Keluar'!$C:$C,N34955))</f>
        <v>0</v>
      </c>
    </row>
    <row r="34956" spans="13:16">
      <c r="M34956" s="49">
        <f>IF($A$4+349&gt;$B$4,"",$A$4+349)</f>
        <v>46372</v>
      </c>
      <c r="N34956">
        <f>IF(M34956="","",'Master Barang'!A50)</f>
        <v>0</v>
      </c>
      <c r="O34956">
        <f>IF(N34956="","",'Master Barang'!B50)</f>
        <v>0</v>
      </c>
      <c r="P34956">
        <f>IF(OR(M34956="",N34956=""),"",SUMIFS('Barang Keluar'!$E:$E,'Barang Keluar'!$A:$A,M34956,'Barang Keluar'!$C:$C,N34956))</f>
        <v>0</v>
      </c>
    </row>
    <row r="34957" spans="13:16">
      <c r="M34957" s="49">
        <f>IF($A$4+349&gt;$B$4,"",$A$4+349)</f>
        <v>46372</v>
      </c>
      <c r="N34957">
        <f>IF(M34957="","",'Master Barang'!A51)</f>
        <v>0</v>
      </c>
      <c r="O34957">
        <f>IF(N34957="","",'Master Barang'!B51)</f>
        <v>0</v>
      </c>
      <c r="P34957">
        <f>IF(OR(M34957="",N34957=""),"",SUMIFS('Barang Keluar'!$E:$E,'Barang Keluar'!$A:$A,M34957,'Barang Keluar'!$C:$C,N34957))</f>
        <v>0</v>
      </c>
    </row>
    <row r="34958" spans="13:16">
      <c r="M34958" s="49">
        <f>IF($A$4+349&gt;$B$4,"",$A$4+349)</f>
        <v>46372</v>
      </c>
      <c r="N34958">
        <f>IF(M34958="","",'Master Barang'!A52)</f>
        <v>0</v>
      </c>
      <c r="O34958">
        <f>IF(N34958="","",'Master Barang'!B52)</f>
        <v>0</v>
      </c>
      <c r="P34958">
        <f>IF(OR(M34958="",N34958=""),"",SUMIFS('Barang Keluar'!$E:$E,'Barang Keluar'!$A:$A,M34958,'Barang Keluar'!$C:$C,N34958))</f>
        <v>0</v>
      </c>
    </row>
    <row r="34959" spans="13:16">
      <c r="M34959" s="49">
        <f>IF($A$4+349&gt;$B$4,"",$A$4+349)</f>
        <v>46372</v>
      </c>
      <c r="N34959">
        <f>IF(M34959="","",'Master Barang'!A53)</f>
        <v>0</v>
      </c>
      <c r="O34959">
        <f>IF(N34959="","",'Master Barang'!B53)</f>
        <v>0</v>
      </c>
      <c r="P34959">
        <f>IF(OR(M34959="",N34959=""),"",SUMIFS('Barang Keluar'!$E:$E,'Barang Keluar'!$A:$A,M34959,'Barang Keluar'!$C:$C,N34959))</f>
        <v>0</v>
      </c>
    </row>
    <row r="34960" spans="13:16">
      <c r="M34960" s="49">
        <f>IF($A$4+349&gt;$B$4,"",$A$4+349)</f>
        <v>46372</v>
      </c>
      <c r="N34960">
        <f>IF(M34960="","",'Master Barang'!A54)</f>
        <v>0</v>
      </c>
      <c r="O34960">
        <f>IF(N34960="","",'Master Barang'!B54)</f>
        <v>0</v>
      </c>
      <c r="P34960">
        <f>IF(OR(M34960="",N34960=""),"",SUMIFS('Barang Keluar'!$E:$E,'Barang Keluar'!$A:$A,M34960,'Barang Keluar'!$C:$C,N34960))</f>
        <v>0</v>
      </c>
    </row>
    <row r="34961" spans="13:16">
      <c r="M34961" s="49">
        <f>IF($A$4+349&gt;$B$4,"",$A$4+349)</f>
        <v>46372</v>
      </c>
      <c r="N34961">
        <f>IF(M34961="","",'Master Barang'!A55)</f>
        <v>0</v>
      </c>
      <c r="O34961">
        <f>IF(N34961="","",'Master Barang'!B55)</f>
        <v>0</v>
      </c>
      <c r="P34961">
        <f>IF(OR(M34961="",N34961=""),"",SUMIFS('Barang Keluar'!$E:$E,'Barang Keluar'!$A:$A,M34961,'Barang Keluar'!$C:$C,N34961))</f>
        <v>0</v>
      </c>
    </row>
    <row r="34962" spans="13:16">
      <c r="M34962" s="49">
        <f>IF($A$4+349&gt;$B$4,"",$A$4+349)</f>
        <v>46372</v>
      </c>
      <c r="N34962">
        <f>IF(M34962="","",'Master Barang'!A56)</f>
        <v>0</v>
      </c>
      <c r="O34962">
        <f>IF(N34962="","",'Master Barang'!B56)</f>
        <v>0</v>
      </c>
      <c r="P34962">
        <f>IF(OR(M34962="",N34962=""),"",SUMIFS('Barang Keluar'!$E:$E,'Barang Keluar'!$A:$A,M34962,'Barang Keluar'!$C:$C,N34962))</f>
        <v>0</v>
      </c>
    </row>
    <row r="34963" spans="13:16">
      <c r="M34963" s="49">
        <f>IF($A$4+349&gt;$B$4,"",$A$4+349)</f>
        <v>46372</v>
      </c>
      <c r="N34963">
        <f>IF(M34963="","",'Master Barang'!A57)</f>
        <v>0</v>
      </c>
      <c r="O34963">
        <f>IF(N34963="","",'Master Barang'!B57)</f>
        <v>0</v>
      </c>
      <c r="P34963">
        <f>IF(OR(M34963="",N34963=""),"",SUMIFS('Barang Keluar'!$E:$E,'Barang Keluar'!$A:$A,M34963,'Barang Keluar'!$C:$C,N34963))</f>
        <v>0</v>
      </c>
    </row>
    <row r="34964" spans="13:16">
      <c r="M34964" s="49">
        <f>IF($A$4+349&gt;$B$4,"",$A$4+349)</f>
        <v>46372</v>
      </c>
      <c r="N34964">
        <f>IF(M34964="","",'Master Barang'!A58)</f>
        <v>0</v>
      </c>
      <c r="O34964">
        <f>IF(N34964="","",'Master Barang'!B58)</f>
        <v>0</v>
      </c>
      <c r="P34964">
        <f>IF(OR(M34964="",N34964=""),"",SUMIFS('Barang Keluar'!$E:$E,'Barang Keluar'!$A:$A,M34964,'Barang Keluar'!$C:$C,N34964))</f>
        <v>0</v>
      </c>
    </row>
    <row r="34965" spans="13:16">
      <c r="M34965" s="49">
        <f>IF($A$4+349&gt;$B$4,"",$A$4+349)</f>
        <v>46372</v>
      </c>
      <c r="N34965">
        <f>IF(M34965="","",'Master Barang'!A59)</f>
        <v>0</v>
      </c>
      <c r="O34965">
        <f>IF(N34965="","",'Master Barang'!B59)</f>
        <v>0</v>
      </c>
      <c r="P34965">
        <f>IF(OR(M34965="",N34965=""),"",SUMIFS('Barang Keluar'!$E:$E,'Barang Keluar'!$A:$A,M34965,'Barang Keluar'!$C:$C,N34965))</f>
        <v>0</v>
      </c>
    </row>
    <row r="34966" spans="13:16">
      <c r="M34966" s="49">
        <f>IF($A$4+349&gt;$B$4,"",$A$4+349)</f>
        <v>46372</v>
      </c>
      <c r="N34966">
        <f>IF(M34966="","",'Master Barang'!A60)</f>
        <v>0</v>
      </c>
      <c r="O34966">
        <f>IF(N34966="","",'Master Barang'!B60)</f>
        <v>0</v>
      </c>
      <c r="P34966">
        <f>IF(OR(M34966="",N34966=""),"",SUMIFS('Barang Keluar'!$E:$E,'Barang Keluar'!$A:$A,M34966,'Barang Keluar'!$C:$C,N34966))</f>
        <v>0</v>
      </c>
    </row>
    <row r="34967" spans="13:16">
      <c r="M34967" s="49">
        <f>IF($A$4+349&gt;$B$4,"",$A$4+349)</f>
        <v>46372</v>
      </c>
      <c r="N34967">
        <f>IF(M34967="","",'Master Barang'!A61)</f>
        <v>0</v>
      </c>
      <c r="O34967">
        <f>IF(N34967="","",'Master Barang'!B61)</f>
        <v>0</v>
      </c>
      <c r="P34967">
        <f>IF(OR(M34967="",N34967=""),"",SUMIFS('Barang Keluar'!$E:$E,'Barang Keluar'!$A:$A,M34967,'Barang Keluar'!$C:$C,N34967))</f>
        <v>0</v>
      </c>
    </row>
    <row r="34968" spans="13:16">
      <c r="M34968" s="49">
        <f>IF($A$4+349&gt;$B$4,"",$A$4+349)</f>
        <v>46372</v>
      </c>
      <c r="N34968">
        <f>IF(M34968="","",'Master Barang'!A62)</f>
        <v>0</v>
      </c>
      <c r="O34968">
        <f>IF(N34968="","",'Master Barang'!B62)</f>
        <v>0</v>
      </c>
      <c r="P34968">
        <f>IF(OR(M34968="",N34968=""),"",SUMIFS('Barang Keluar'!$E:$E,'Barang Keluar'!$A:$A,M34968,'Barang Keluar'!$C:$C,N34968))</f>
        <v>0</v>
      </c>
    </row>
    <row r="34969" spans="13:16">
      <c r="M34969" s="49">
        <f>IF($A$4+349&gt;$B$4,"",$A$4+349)</f>
        <v>46372</v>
      </c>
      <c r="N34969">
        <f>IF(M34969="","",'Master Barang'!A63)</f>
        <v>0</v>
      </c>
      <c r="O34969">
        <f>IF(N34969="","",'Master Barang'!B63)</f>
        <v>0</v>
      </c>
      <c r="P34969">
        <f>IF(OR(M34969="",N34969=""),"",SUMIFS('Barang Keluar'!$E:$E,'Barang Keluar'!$A:$A,M34969,'Barang Keluar'!$C:$C,N34969))</f>
        <v>0</v>
      </c>
    </row>
    <row r="34970" spans="13:16">
      <c r="M34970" s="49">
        <f>IF($A$4+349&gt;$B$4,"",$A$4+349)</f>
        <v>46372</v>
      </c>
      <c r="N34970">
        <f>IF(M34970="","",'Master Barang'!A64)</f>
        <v>0</v>
      </c>
      <c r="O34970">
        <f>IF(N34970="","",'Master Barang'!B64)</f>
        <v>0</v>
      </c>
      <c r="P34970">
        <f>IF(OR(M34970="",N34970=""),"",SUMIFS('Barang Keluar'!$E:$E,'Barang Keluar'!$A:$A,M34970,'Barang Keluar'!$C:$C,N34970))</f>
        <v>0</v>
      </c>
    </row>
    <row r="34971" spans="13:16">
      <c r="M34971" s="49">
        <f>IF($A$4+349&gt;$B$4,"",$A$4+349)</f>
        <v>46372</v>
      </c>
      <c r="N34971">
        <f>IF(M34971="","",'Master Barang'!A65)</f>
        <v>0</v>
      </c>
      <c r="O34971">
        <f>IF(N34971="","",'Master Barang'!B65)</f>
        <v>0</v>
      </c>
      <c r="P34971">
        <f>IF(OR(M34971="",N34971=""),"",SUMIFS('Barang Keluar'!$E:$E,'Barang Keluar'!$A:$A,M34971,'Barang Keluar'!$C:$C,N34971))</f>
        <v>0</v>
      </c>
    </row>
    <row r="34972" spans="13:16">
      <c r="M34972" s="49">
        <f>IF($A$4+349&gt;$B$4,"",$A$4+349)</f>
        <v>46372</v>
      </c>
      <c r="N34972">
        <f>IF(M34972="","",'Master Barang'!A66)</f>
        <v>0</v>
      </c>
      <c r="O34972">
        <f>IF(N34972="","",'Master Barang'!B66)</f>
        <v>0</v>
      </c>
      <c r="P34972">
        <f>IF(OR(M34972="",N34972=""),"",SUMIFS('Barang Keluar'!$E:$E,'Barang Keluar'!$A:$A,M34972,'Barang Keluar'!$C:$C,N34972))</f>
        <v>0</v>
      </c>
    </row>
    <row r="34973" spans="13:16">
      <c r="M34973" s="49">
        <f>IF($A$4+349&gt;$B$4,"",$A$4+349)</f>
        <v>46372</v>
      </c>
      <c r="N34973">
        <f>IF(M34973="","",'Master Barang'!A67)</f>
        <v>0</v>
      </c>
      <c r="O34973">
        <f>IF(N34973="","",'Master Barang'!B67)</f>
        <v>0</v>
      </c>
      <c r="P34973">
        <f>IF(OR(M34973="",N34973=""),"",SUMIFS('Barang Keluar'!$E:$E,'Barang Keluar'!$A:$A,M34973,'Barang Keluar'!$C:$C,N34973))</f>
        <v>0</v>
      </c>
    </row>
    <row r="34974" spans="13:16">
      <c r="M34974" s="49">
        <f>IF($A$4+349&gt;$B$4,"",$A$4+349)</f>
        <v>46372</v>
      </c>
      <c r="N34974">
        <f>IF(M34974="","",'Master Barang'!A68)</f>
        <v>0</v>
      </c>
      <c r="O34974">
        <f>IF(N34974="","",'Master Barang'!B68)</f>
        <v>0</v>
      </c>
      <c r="P34974">
        <f>IF(OR(M34974="",N34974=""),"",SUMIFS('Barang Keluar'!$E:$E,'Barang Keluar'!$A:$A,M34974,'Barang Keluar'!$C:$C,N34974))</f>
        <v>0</v>
      </c>
    </row>
    <row r="34975" spans="13:16">
      <c r="M34975" s="49">
        <f>IF($A$4+349&gt;$B$4,"",$A$4+349)</f>
        <v>46372</v>
      </c>
      <c r="N34975">
        <f>IF(M34975="","",'Master Barang'!A69)</f>
        <v>0</v>
      </c>
      <c r="O34975">
        <f>IF(N34975="","",'Master Barang'!B69)</f>
        <v>0</v>
      </c>
      <c r="P34975">
        <f>IF(OR(M34975="",N34975=""),"",SUMIFS('Barang Keluar'!$E:$E,'Barang Keluar'!$A:$A,M34975,'Barang Keluar'!$C:$C,N34975))</f>
        <v>0</v>
      </c>
    </row>
    <row r="34976" spans="13:16">
      <c r="M34976" s="49">
        <f>IF($A$4+349&gt;$B$4,"",$A$4+349)</f>
        <v>46372</v>
      </c>
      <c r="N34976">
        <f>IF(M34976="","",'Master Barang'!A70)</f>
        <v>0</v>
      </c>
      <c r="O34976">
        <f>IF(N34976="","",'Master Barang'!B70)</f>
        <v>0</v>
      </c>
      <c r="P34976">
        <f>IF(OR(M34976="",N34976=""),"",SUMIFS('Barang Keluar'!$E:$E,'Barang Keluar'!$A:$A,M34976,'Barang Keluar'!$C:$C,N34976))</f>
        <v>0</v>
      </c>
    </row>
    <row r="34977" spans="13:16">
      <c r="M34977" s="49">
        <f>IF($A$4+349&gt;$B$4,"",$A$4+349)</f>
        <v>46372</v>
      </c>
      <c r="N34977">
        <f>IF(M34977="","",'Master Barang'!A71)</f>
        <v>0</v>
      </c>
      <c r="O34977">
        <f>IF(N34977="","",'Master Barang'!B71)</f>
        <v>0</v>
      </c>
      <c r="P34977">
        <f>IF(OR(M34977="",N34977=""),"",SUMIFS('Barang Keluar'!$E:$E,'Barang Keluar'!$A:$A,M34977,'Barang Keluar'!$C:$C,N34977))</f>
        <v>0</v>
      </c>
    </row>
    <row r="34978" spans="13:16">
      <c r="M34978" s="49">
        <f>IF($A$4+349&gt;$B$4,"",$A$4+349)</f>
        <v>46372</v>
      </c>
      <c r="N34978">
        <f>IF(M34978="","",'Master Barang'!A72)</f>
        <v>0</v>
      </c>
      <c r="O34978">
        <f>IF(N34978="","",'Master Barang'!B72)</f>
        <v>0</v>
      </c>
      <c r="P34978">
        <f>IF(OR(M34978="",N34978=""),"",SUMIFS('Barang Keluar'!$E:$E,'Barang Keluar'!$A:$A,M34978,'Barang Keluar'!$C:$C,N34978))</f>
        <v>0</v>
      </c>
    </row>
    <row r="34979" spans="13:16">
      <c r="M34979" s="49">
        <f>IF($A$4+349&gt;$B$4,"",$A$4+349)</f>
        <v>46372</v>
      </c>
      <c r="N34979">
        <f>IF(M34979="","",'Master Barang'!A73)</f>
        <v>0</v>
      </c>
      <c r="O34979">
        <f>IF(N34979="","",'Master Barang'!B73)</f>
        <v>0</v>
      </c>
      <c r="P34979">
        <f>IF(OR(M34979="",N34979=""),"",SUMIFS('Barang Keluar'!$E:$E,'Barang Keluar'!$A:$A,M34979,'Barang Keluar'!$C:$C,N34979))</f>
        <v>0</v>
      </c>
    </row>
    <row r="34980" spans="13:16">
      <c r="M34980" s="49">
        <f>IF($A$4+349&gt;$B$4,"",$A$4+349)</f>
        <v>46372</v>
      </c>
      <c r="N34980">
        <f>IF(M34980="","",'Master Barang'!A74)</f>
        <v>0</v>
      </c>
      <c r="O34980">
        <f>IF(N34980="","",'Master Barang'!B74)</f>
        <v>0</v>
      </c>
      <c r="P34980">
        <f>IF(OR(M34980="",N34980=""),"",SUMIFS('Barang Keluar'!$E:$E,'Barang Keluar'!$A:$A,M34980,'Barang Keluar'!$C:$C,N34980))</f>
        <v>0</v>
      </c>
    </row>
    <row r="34981" spans="13:16">
      <c r="M34981" s="49">
        <f>IF($A$4+349&gt;$B$4,"",$A$4+349)</f>
        <v>46372</v>
      </c>
      <c r="N34981">
        <f>IF(M34981="","",'Master Barang'!A75)</f>
        <v>0</v>
      </c>
      <c r="O34981">
        <f>IF(N34981="","",'Master Barang'!B75)</f>
        <v>0</v>
      </c>
      <c r="P34981">
        <f>IF(OR(M34981="",N34981=""),"",SUMIFS('Barang Keluar'!$E:$E,'Barang Keluar'!$A:$A,M34981,'Barang Keluar'!$C:$C,N34981))</f>
        <v>0</v>
      </c>
    </row>
    <row r="34982" spans="13:16">
      <c r="M34982" s="49">
        <f>IF($A$4+349&gt;$B$4,"",$A$4+349)</f>
        <v>46372</v>
      </c>
      <c r="N34982">
        <f>IF(M34982="","",'Master Barang'!A76)</f>
        <v>0</v>
      </c>
      <c r="O34982">
        <f>IF(N34982="","",'Master Barang'!B76)</f>
        <v>0</v>
      </c>
      <c r="P34982">
        <f>IF(OR(M34982="",N34982=""),"",SUMIFS('Barang Keluar'!$E:$E,'Barang Keluar'!$A:$A,M34982,'Barang Keluar'!$C:$C,N34982))</f>
        <v>0</v>
      </c>
    </row>
    <row r="34983" spans="13:16">
      <c r="M34983" s="49">
        <f>IF($A$4+349&gt;$B$4,"",$A$4+349)</f>
        <v>46372</v>
      </c>
      <c r="N34983">
        <f>IF(M34983="","",'Master Barang'!A77)</f>
        <v>0</v>
      </c>
      <c r="O34983">
        <f>IF(N34983="","",'Master Barang'!B77)</f>
        <v>0</v>
      </c>
      <c r="P34983">
        <f>IF(OR(M34983="",N34983=""),"",SUMIFS('Barang Keluar'!$E:$E,'Barang Keluar'!$A:$A,M34983,'Barang Keluar'!$C:$C,N34983))</f>
        <v>0</v>
      </c>
    </row>
    <row r="34984" spans="13:16">
      <c r="M34984" s="49">
        <f>IF($A$4+349&gt;$B$4,"",$A$4+349)</f>
        <v>46372</v>
      </c>
      <c r="N34984">
        <f>IF(M34984="","",'Master Barang'!A78)</f>
        <v>0</v>
      </c>
      <c r="O34984">
        <f>IF(N34984="","",'Master Barang'!B78)</f>
        <v>0</v>
      </c>
      <c r="P34984">
        <f>IF(OR(M34984="",N34984=""),"",SUMIFS('Barang Keluar'!$E:$E,'Barang Keluar'!$A:$A,M34984,'Barang Keluar'!$C:$C,N34984))</f>
        <v>0</v>
      </c>
    </row>
    <row r="34985" spans="13:16">
      <c r="M34985" s="49">
        <f>IF($A$4+349&gt;$B$4,"",$A$4+349)</f>
        <v>46372</v>
      </c>
      <c r="N34985">
        <f>IF(M34985="","",'Master Barang'!A79)</f>
        <v>0</v>
      </c>
      <c r="O34985">
        <f>IF(N34985="","",'Master Barang'!B79)</f>
        <v>0</v>
      </c>
      <c r="P34985">
        <f>IF(OR(M34985="",N34985=""),"",SUMIFS('Barang Keluar'!$E:$E,'Barang Keluar'!$A:$A,M34985,'Barang Keluar'!$C:$C,N34985))</f>
        <v>0</v>
      </c>
    </row>
    <row r="34986" spans="13:16">
      <c r="M34986" s="49">
        <f>IF($A$4+349&gt;$B$4,"",$A$4+349)</f>
        <v>46372</v>
      </c>
      <c r="N34986">
        <f>IF(M34986="","",'Master Barang'!A80)</f>
        <v>0</v>
      </c>
      <c r="O34986">
        <f>IF(N34986="","",'Master Barang'!B80)</f>
        <v>0</v>
      </c>
      <c r="P34986">
        <f>IF(OR(M34986="",N34986=""),"",SUMIFS('Barang Keluar'!$E:$E,'Barang Keluar'!$A:$A,M34986,'Barang Keluar'!$C:$C,N34986))</f>
        <v>0</v>
      </c>
    </row>
    <row r="34987" spans="13:16">
      <c r="M34987" s="49">
        <f>IF($A$4+349&gt;$B$4,"",$A$4+349)</f>
        <v>46372</v>
      </c>
      <c r="N34987">
        <f>IF(M34987="","",'Master Barang'!A81)</f>
        <v>0</v>
      </c>
      <c r="O34987">
        <f>IF(N34987="","",'Master Barang'!B81)</f>
        <v>0</v>
      </c>
      <c r="P34987">
        <f>IF(OR(M34987="",N34987=""),"",SUMIFS('Barang Keluar'!$E:$E,'Barang Keluar'!$A:$A,M34987,'Barang Keluar'!$C:$C,N34987))</f>
        <v>0</v>
      </c>
    </row>
    <row r="34988" spans="13:16">
      <c r="M34988" s="49">
        <f>IF($A$4+349&gt;$B$4,"",$A$4+349)</f>
        <v>46372</v>
      </c>
      <c r="N34988">
        <f>IF(M34988="","",'Master Barang'!A82)</f>
        <v>0</v>
      </c>
      <c r="O34988">
        <f>IF(N34988="","",'Master Barang'!B82)</f>
        <v>0</v>
      </c>
      <c r="P34988">
        <f>IF(OR(M34988="",N34988=""),"",SUMIFS('Barang Keluar'!$E:$E,'Barang Keluar'!$A:$A,M34988,'Barang Keluar'!$C:$C,N34988))</f>
        <v>0</v>
      </c>
    </row>
    <row r="34989" spans="13:16">
      <c r="M34989" s="49">
        <f>IF($A$4+349&gt;$B$4,"",$A$4+349)</f>
        <v>46372</v>
      </c>
      <c r="N34989">
        <f>IF(M34989="","",'Master Barang'!A83)</f>
        <v>0</v>
      </c>
      <c r="O34989">
        <f>IF(N34989="","",'Master Barang'!B83)</f>
        <v>0</v>
      </c>
      <c r="P34989">
        <f>IF(OR(M34989="",N34989=""),"",SUMIFS('Barang Keluar'!$E:$E,'Barang Keluar'!$A:$A,M34989,'Barang Keluar'!$C:$C,N34989))</f>
        <v>0</v>
      </c>
    </row>
    <row r="34990" spans="13:16">
      <c r="M34990" s="49">
        <f>IF($A$4+349&gt;$B$4,"",$A$4+349)</f>
        <v>46372</v>
      </c>
      <c r="N34990">
        <f>IF(M34990="","",'Master Barang'!A84)</f>
        <v>0</v>
      </c>
      <c r="O34990">
        <f>IF(N34990="","",'Master Barang'!B84)</f>
        <v>0</v>
      </c>
      <c r="P34990">
        <f>IF(OR(M34990="",N34990=""),"",SUMIFS('Barang Keluar'!$E:$E,'Barang Keluar'!$A:$A,M34990,'Barang Keluar'!$C:$C,N34990))</f>
        <v>0</v>
      </c>
    </row>
    <row r="34991" spans="13:16">
      <c r="M34991" s="49">
        <f>IF($A$4+349&gt;$B$4,"",$A$4+349)</f>
        <v>46372</v>
      </c>
      <c r="N34991">
        <f>IF(M34991="","",'Master Barang'!A85)</f>
        <v>0</v>
      </c>
      <c r="O34991">
        <f>IF(N34991="","",'Master Barang'!B85)</f>
        <v>0</v>
      </c>
      <c r="P34991">
        <f>IF(OR(M34991="",N34991=""),"",SUMIFS('Barang Keluar'!$E:$E,'Barang Keluar'!$A:$A,M34991,'Barang Keluar'!$C:$C,N34991))</f>
        <v>0</v>
      </c>
    </row>
    <row r="34992" spans="13:16">
      <c r="M34992" s="49">
        <f>IF($A$4+349&gt;$B$4,"",$A$4+349)</f>
        <v>46372</v>
      </c>
      <c r="N34992">
        <f>IF(M34992="","",'Master Barang'!A86)</f>
        <v>0</v>
      </c>
      <c r="O34992">
        <f>IF(N34992="","",'Master Barang'!B86)</f>
        <v>0</v>
      </c>
      <c r="P34992">
        <f>IF(OR(M34992="",N34992=""),"",SUMIFS('Barang Keluar'!$E:$E,'Barang Keluar'!$A:$A,M34992,'Barang Keluar'!$C:$C,N34992))</f>
        <v>0</v>
      </c>
    </row>
    <row r="34993" spans="13:16">
      <c r="M34993" s="49">
        <f>IF($A$4+349&gt;$B$4,"",$A$4+349)</f>
        <v>46372</v>
      </c>
      <c r="N34993">
        <f>IF(M34993="","",'Master Barang'!A87)</f>
        <v>0</v>
      </c>
      <c r="O34993">
        <f>IF(N34993="","",'Master Barang'!B87)</f>
        <v>0</v>
      </c>
      <c r="P34993">
        <f>IF(OR(M34993="",N34993=""),"",SUMIFS('Barang Keluar'!$E:$E,'Barang Keluar'!$A:$A,M34993,'Barang Keluar'!$C:$C,N34993))</f>
        <v>0</v>
      </c>
    </row>
    <row r="34994" spans="13:16">
      <c r="M34994" s="49">
        <f>IF($A$4+349&gt;$B$4,"",$A$4+349)</f>
        <v>46372</v>
      </c>
      <c r="N34994">
        <f>IF(M34994="","",'Master Barang'!A88)</f>
        <v>0</v>
      </c>
      <c r="O34994">
        <f>IF(N34994="","",'Master Barang'!B88)</f>
        <v>0</v>
      </c>
      <c r="P34994">
        <f>IF(OR(M34994="",N34994=""),"",SUMIFS('Barang Keluar'!$E:$E,'Barang Keluar'!$A:$A,M34994,'Barang Keluar'!$C:$C,N34994))</f>
        <v>0</v>
      </c>
    </row>
    <row r="34995" spans="13:16">
      <c r="M34995" s="49">
        <f>IF($A$4+349&gt;$B$4,"",$A$4+349)</f>
        <v>46372</v>
      </c>
      <c r="N34995">
        <f>IF(M34995="","",'Master Barang'!A89)</f>
        <v>0</v>
      </c>
      <c r="O34995">
        <f>IF(N34995="","",'Master Barang'!B89)</f>
        <v>0</v>
      </c>
      <c r="P34995">
        <f>IF(OR(M34995="",N34995=""),"",SUMIFS('Barang Keluar'!$E:$E,'Barang Keluar'!$A:$A,M34995,'Barang Keluar'!$C:$C,N34995))</f>
        <v>0</v>
      </c>
    </row>
    <row r="34996" spans="13:16">
      <c r="M34996" s="49">
        <f>IF($A$4+349&gt;$B$4,"",$A$4+349)</f>
        <v>46372</v>
      </c>
      <c r="N34996">
        <f>IF(M34996="","",'Master Barang'!A90)</f>
        <v>0</v>
      </c>
      <c r="O34996">
        <f>IF(N34996="","",'Master Barang'!B90)</f>
        <v>0</v>
      </c>
      <c r="P34996">
        <f>IF(OR(M34996="",N34996=""),"",SUMIFS('Barang Keluar'!$E:$E,'Barang Keluar'!$A:$A,M34996,'Barang Keluar'!$C:$C,N34996))</f>
        <v>0</v>
      </c>
    </row>
    <row r="34997" spans="13:16">
      <c r="M34997" s="49">
        <f>IF($A$4+349&gt;$B$4,"",$A$4+349)</f>
        <v>46372</v>
      </c>
      <c r="N34997">
        <f>IF(M34997="","",'Master Barang'!A91)</f>
        <v>0</v>
      </c>
      <c r="O34997">
        <f>IF(N34997="","",'Master Barang'!B91)</f>
        <v>0</v>
      </c>
      <c r="P34997">
        <f>IF(OR(M34997="",N34997=""),"",SUMIFS('Barang Keluar'!$E:$E,'Barang Keluar'!$A:$A,M34997,'Barang Keluar'!$C:$C,N34997))</f>
        <v>0</v>
      </c>
    </row>
    <row r="34998" spans="13:16">
      <c r="M34998" s="49">
        <f>IF($A$4+349&gt;$B$4,"",$A$4+349)</f>
        <v>46372</v>
      </c>
      <c r="N34998">
        <f>IF(M34998="","",'Master Barang'!A92)</f>
        <v>0</v>
      </c>
      <c r="O34998">
        <f>IF(N34998="","",'Master Barang'!B92)</f>
        <v>0</v>
      </c>
      <c r="P34998">
        <f>IF(OR(M34998="",N34998=""),"",SUMIFS('Barang Keluar'!$E:$E,'Barang Keluar'!$A:$A,M34998,'Barang Keluar'!$C:$C,N34998))</f>
        <v>0</v>
      </c>
    </row>
    <row r="34999" spans="13:16">
      <c r="M34999" s="49">
        <f>IF($A$4+349&gt;$B$4,"",$A$4+349)</f>
        <v>46372</v>
      </c>
      <c r="N34999">
        <f>IF(M34999="","",'Master Barang'!A93)</f>
        <v>0</v>
      </c>
      <c r="O34999">
        <f>IF(N34999="","",'Master Barang'!B93)</f>
        <v>0</v>
      </c>
      <c r="P34999">
        <f>IF(OR(M34999="",N34999=""),"",SUMIFS('Barang Keluar'!$E:$E,'Barang Keluar'!$A:$A,M34999,'Barang Keluar'!$C:$C,N34999))</f>
        <v>0</v>
      </c>
    </row>
    <row r="35000" spans="13:16">
      <c r="M35000" s="49">
        <f>IF($A$4+349&gt;$B$4,"",$A$4+349)</f>
        <v>46372</v>
      </c>
      <c r="N35000">
        <f>IF(M35000="","",'Master Barang'!A94)</f>
        <v>0</v>
      </c>
      <c r="O35000">
        <f>IF(N35000="","",'Master Barang'!B94)</f>
        <v>0</v>
      </c>
      <c r="P35000">
        <f>IF(OR(M35000="",N35000=""),"",SUMIFS('Barang Keluar'!$E:$E,'Barang Keluar'!$A:$A,M35000,'Barang Keluar'!$C:$C,N35000))</f>
        <v>0</v>
      </c>
    </row>
    <row r="35001" spans="13:16">
      <c r="M35001" s="49">
        <f>IF($A$4+349&gt;$B$4,"",$A$4+349)</f>
        <v>46372</v>
      </c>
      <c r="N35001">
        <f>IF(M35001="","",'Master Barang'!A95)</f>
        <v>0</v>
      </c>
      <c r="O35001">
        <f>IF(N35001="","",'Master Barang'!B95)</f>
        <v>0</v>
      </c>
      <c r="P35001">
        <f>IF(OR(M35001="",N35001=""),"",SUMIFS('Barang Keluar'!$E:$E,'Barang Keluar'!$A:$A,M35001,'Barang Keluar'!$C:$C,N35001))</f>
        <v>0</v>
      </c>
    </row>
    <row r="35002" spans="13:16">
      <c r="M35002" s="49">
        <f>IF($A$4+349&gt;$B$4,"",$A$4+349)</f>
        <v>46372</v>
      </c>
      <c r="N35002">
        <f>IF(M35002="","",'Master Barang'!A96)</f>
        <v>0</v>
      </c>
      <c r="O35002">
        <f>IF(N35002="","",'Master Barang'!B96)</f>
        <v>0</v>
      </c>
      <c r="P35002">
        <f>IF(OR(M35002="",N35002=""),"",SUMIFS('Barang Keluar'!$E:$E,'Barang Keluar'!$A:$A,M35002,'Barang Keluar'!$C:$C,N35002))</f>
        <v>0</v>
      </c>
    </row>
    <row r="35003" spans="13:16">
      <c r="M35003" s="49">
        <f>IF($A$4+349&gt;$B$4,"",$A$4+349)</f>
        <v>46372</v>
      </c>
      <c r="N35003">
        <f>IF(M35003="","",'Master Barang'!A97)</f>
        <v>0</v>
      </c>
      <c r="O35003">
        <f>IF(N35003="","",'Master Barang'!B97)</f>
        <v>0</v>
      </c>
      <c r="P35003">
        <f>IF(OR(M35003="",N35003=""),"",SUMIFS('Barang Keluar'!$E:$E,'Barang Keluar'!$A:$A,M35003,'Barang Keluar'!$C:$C,N35003))</f>
        <v>0</v>
      </c>
    </row>
    <row r="35004" spans="13:16">
      <c r="M35004" s="49">
        <f>IF($A$4+349&gt;$B$4,"",$A$4+349)</f>
        <v>46372</v>
      </c>
      <c r="N35004">
        <f>IF(M35004="","",'Master Barang'!A98)</f>
        <v>0</v>
      </c>
      <c r="O35004">
        <f>IF(N35004="","",'Master Barang'!B98)</f>
        <v>0</v>
      </c>
      <c r="P35004">
        <f>IF(OR(M35004="",N35004=""),"",SUMIFS('Barang Keluar'!$E:$E,'Barang Keluar'!$A:$A,M35004,'Barang Keluar'!$C:$C,N35004))</f>
        <v>0</v>
      </c>
    </row>
    <row r="35005" spans="13:16">
      <c r="M35005" s="49">
        <f>IF($A$4+349&gt;$B$4,"",$A$4+349)</f>
        <v>46372</v>
      </c>
      <c r="N35005">
        <f>IF(M35005="","",'Master Barang'!A99)</f>
        <v>0</v>
      </c>
      <c r="O35005">
        <f>IF(N35005="","",'Master Barang'!B99)</f>
        <v>0</v>
      </c>
      <c r="P35005">
        <f>IF(OR(M35005="",N35005=""),"",SUMIFS('Barang Keluar'!$E:$E,'Barang Keluar'!$A:$A,M35005,'Barang Keluar'!$C:$C,N35005))</f>
        <v>0</v>
      </c>
    </row>
    <row r="35006" spans="13:16">
      <c r="M35006" s="49">
        <f>IF($A$4+349&gt;$B$4,"",$A$4+349)</f>
        <v>46372</v>
      </c>
      <c r="N35006">
        <f>IF(M35006="","",'Master Barang'!A100)</f>
        <v>0</v>
      </c>
      <c r="O35006">
        <f>IF(N35006="","",'Master Barang'!B100)</f>
        <v>0</v>
      </c>
      <c r="P35006">
        <f>IF(OR(M35006="",N35006=""),"",SUMIFS('Barang Keluar'!$E:$E,'Barang Keluar'!$A:$A,M35006,'Barang Keluar'!$C:$C,N35006))</f>
        <v>0</v>
      </c>
    </row>
    <row r="35007" spans="13:16">
      <c r="M35007" s="49">
        <f>IF($A$4+349&gt;$B$4,"",$A$4+349)</f>
        <v>46372</v>
      </c>
      <c r="N35007">
        <f>IF(M35007="","",'Master Barang'!A101)</f>
        <v>0</v>
      </c>
      <c r="O35007">
        <f>IF(N35007="","",'Master Barang'!B101)</f>
        <v>0</v>
      </c>
      <c r="P35007">
        <f>IF(OR(M35007="",N35007=""),"",SUMIFS('Barang Keluar'!$E:$E,'Barang Keluar'!$A:$A,M35007,'Barang Keluar'!$C:$C,N35007))</f>
        <v>0</v>
      </c>
    </row>
    <row r="35008" spans="13:16">
      <c r="M35008" s="49">
        <f>IF($A$4+350&gt;$B$4,"",$A$4+350)</f>
        <v>46373</v>
      </c>
      <c r="N35008" t="str">
        <f>IF(M35008="","",'Master Barang'!A2)</f>
        <v>PRL-001</v>
      </c>
      <c r="O35008" t="str">
        <f>IF(N35008="","",'Master Barang'!B2)</f>
        <v>natura desinfectant food grade 5l</v>
      </c>
      <c r="P35008">
        <f>IF(OR(M35008="",N35008=""),"",SUMIFS('Barang Keluar'!$E:$E,'Barang Keluar'!$A:$A,M35008,'Barang Keluar'!$C:$C,N35008))</f>
        <v>0</v>
      </c>
    </row>
    <row r="35009" spans="13:16">
      <c r="M35009" s="49">
        <f>IF($A$4+350&gt;$B$4,"",$A$4+350)</f>
        <v>46373</v>
      </c>
      <c r="N35009" t="str">
        <f>IF(M35009="","",'Master Barang'!A3)</f>
        <v>PRL-002</v>
      </c>
      <c r="O35009" t="str">
        <f>IF(N35009="","",'Master Barang'!B3)</f>
        <v>sunlight cairan pencuci piring 5l</v>
      </c>
      <c r="P35009">
        <f>IF(OR(M35009="",N35009=""),"",SUMIFS('Barang Keluar'!$E:$E,'Barang Keluar'!$A:$A,M35009,'Barang Keluar'!$C:$C,N35009))</f>
        <v>0</v>
      </c>
    </row>
    <row r="35010" spans="13:16">
      <c r="M35010" s="49">
        <f>IF($A$4+350&gt;$B$4,"",$A$4+350)</f>
        <v>46373</v>
      </c>
      <c r="N35010" t="str">
        <f>IF(M35010="","",'Master Barang'!A4)</f>
        <v>PRL-003</v>
      </c>
      <c r="O35010" t="str">
        <f>IF(N35010="","",'Master Barang'!B4)</f>
        <v>oixs cleaner 1l</v>
      </c>
      <c r="P35010">
        <f>IF(OR(M35010="",N35010=""),"",SUMIFS('Barang Keluar'!$E:$E,'Barang Keluar'!$A:$A,M35010,'Barang Keluar'!$C:$C,N35010))</f>
        <v>0</v>
      </c>
    </row>
    <row r="35011" spans="13:16">
      <c r="M35011" s="49">
        <f>IF($A$4+350&gt;$B$4,"",$A$4+350)</f>
        <v>46373</v>
      </c>
      <c r="N35011" t="str">
        <f>IF(M35011="","",'Master Barang'!A5)</f>
        <v>PRL-004</v>
      </c>
      <c r="O35011" t="str">
        <f>IF(N35011="","",'Master Barang'!B5)</f>
        <v>be clean tissue serbaguna</v>
      </c>
      <c r="P35011">
        <f>IF(OR(M35011="",N35011=""),"",SUMIFS('Barang Keluar'!$E:$E,'Barang Keluar'!$A:$A,M35011,'Barang Keluar'!$C:$C,N35011))</f>
        <v>0</v>
      </c>
    </row>
    <row r="35012" spans="13:16">
      <c r="M35012" s="49">
        <f>IF($A$4+350&gt;$B$4,"",$A$4+350)</f>
        <v>46373</v>
      </c>
      <c r="N35012" t="str">
        <f>IF(M35012="","",'Master Barang'!A6)</f>
        <v>PRL-005</v>
      </c>
      <c r="O35012" t="str">
        <f>IF(N35012="","",'Master Barang'!B6)</f>
        <v>spons cuci hijau</v>
      </c>
      <c r="P35012">
        <f>IF(OR(M35012="",N35012=""),"",SUMIFS('Barang Keluar'!$E:$E,'Barang Keluar'!$A:$A,M35012,'Barang Keluar'!$C:$C,N35012))</f>
        <v>0</v>
      </c>
    </row>
    <row r="35013" spans="13:16">
      <c r="M35013" s="49">
        <f>IF($A$4+350&gt;$B$4,"",$A$4+350)</f>
        <v>46373</v>
      </c>
      <c r="N35013" t="str">
        <f>IF(M35013="","",'Master Barang'!A7)</f>
        <v>PRL-006</v>
      </c>
      <c r="O35013" t="str">
        <f>IF(N35013="","",'Master Barang'!B7)</f>
        <v>sabut cuci stainless</v>
      </c>
      <c r="P35013">
        <f>IF(OR(M35013="",N35013=""),"",SUMIFS('Barang Keluar'!$E:$E,'Barang Keluar'!$A:$A,M35013,'Barang Keluar'!$C:$C,N35013))</f>
        <v>0</v>
      </c>
    </row>
    <row r="35014" spans="13:16">
      <c r="M35014" s="49">
        <f>IF($A$4+350&gt;$B$4,"",$A$4+350)</f>
        <v>46373</v>
      </c>
      <c r="N35014" t="str">
        <f>IF(M35014="","",'Master Barang'!A8)</f>
        <v>PRL-007</v>
      </c>
      <c r="O35014" t="str">
        <f>IF(N35014="","",'Master Barang'!B8)</f>
        <v>plastik kresek besar merah 50pc</v>
      </c>
      <c r="P35014">
        <f>IF(OR(M35014="",N35014=""),"",SUMIFS('Barang Keluar'!$E:$E,'Barang Keluar'!$A:$A,M35014,'Barang Keluar'!$C:$C,N35014))</f>
        <v>0</v>
      </c>
    </row>
    <row r="35015" spans="13:16">
      <c r="M35015" s="49">
        <f>IF($A$4+350&gt;$B$4,"",$A$4+350)</f>
        <v>46373</v>
      </c>
      <c r="N35015" t="str">
        <f>IF(M35015="","",'Master Barang'!A9)</f>
        <v>PRL-008</v>
      </c>
      <c r="O35015" t="str">
        <f>IF(N35015="","",'Master Barang'!B9)</f>
        <v>lap besar</v>
      </c>
      <c r="P35015">
        <f>IF(OR(M35015="",N35015=""),"",SUMIFS('Barang Keluar'!$E:$E,'Barang Keluar'!$A:$A,M35015,'Barang Keluar'!$C:$C,N35015))</f>
        <v>0</v>
      </c>
    </row>
    <row r="35016" spans="13:16">
      <c r="M35016" s="49">
        <f>IF($A$4+350&gt;$B$4,"",$A$4+350)</f>
        <v>46373</v>
      </c>
      <c r="N35016" t="str">
        <f>IF(M35016="","",'Master Barang'!A10)</f>
        <v>PRL-009</v>
      </c>
      <c r="O35016" t="str">
        <f>IF(N35016="","",'Master Barang'!B10)</f>
        <v>lap microfiber</v>
      </c>
      <c r="P35016">
        <f>IF(OR(M35016="",N35016=""),"",SUMIFS('Barang Keluar'!$E:$E,'Barang Keluar'!$A:$A,M35016,'Barang Keluar'!$C:$C,N35016))</f>
        <v>0</v>
      </c>
    </row>
    <row r="35017" spans="13:16">
      <c r="M35017" s="49">
        <f>IF($A$4+350&gt;$B$4,"",$A$4+350)</f>
        <v>46373</v>
      </c>
      <c r="N35017" t="str">
        <f>IF(M35017="","",'Master Barang'!A11)</f>
        <v>PRL-010</v>
      </c>
      <c r="O35017" t="str">
        <f>IF(N35017="","",'Master Barang'!B11)</f>
        <v>lap kecil</v>
      </c>
      <c r="P35017">
        <f>IF(OR(M35017="",N35017=""),"",SUMIFS('Barang Keluar'!$E:$E,'Barang Keluar'!$A:$A,M35017,'Barang Keluar'!$C:$C,N35017))</f>
        <v>0</v>
      </c>
    </row>
    <row r="35018" spans="13:16">
      <c r="M35018" s="49">
        <f>IF($A$4+350&gt;$B$4,"",$A$4+350)</f>
        <v>46373</v>
      </c>
      <c r="N35018" t="str">
        <f>IF(M35018="","",'Master Barang'!A12)</f>
        <v>PRL-011</v>
      </c>
      <c r="O35018" t="str">
        <f>IF(N35018="","",'Master Barang'!B12)</f>
        <v>kanebo kecil</v>
      </c>
      <c r="P35018">
        <f>IF(OR(M35018="",N35018=""),"",SUMIFS('Barang Keluar'!$E:$E,'Barang Keluar'!$A:$A,M35018,'Barang Keluar'!$C:$C,N35018))</f>
        <v>0</v>
      </c>
    </row>
    <row r="35019" spans="13:16">
      <c r="M35019" s="49">
        <f>IF($A$4+350&gt;$B$4,"",$A$4+350)</f>
        <v>46373</v>
      </c>
      <c r="N35019" t="str">
        <f>IF(M35019="","",'Master Barang'!A13)</f>
        <v>PRL-012</v>
      </c>
      <c r="O35019" t="str">
        <f>IF(N35019="","",'Master Barang'!B13)</f>
        <v>plastik 1/4kg joyoboyo 100 lembar</v>
      </c>
      <c r="P35019">
        <f>IF(OR(M35019="",N35019=""),"",SUMIFS('Barang Keluar'!$E:$E,'Barang Keluar'!$A:$A,M35019,'Barang Keluar'!$C:$C,N35019))</f>
        <v>0</v>
      </c>
    </row>
    <row r="35020" spans="13:16">
      <c r="M35020" s="49">
        <f>IF($A$4+350&gt;$B$4,"",$A$4+350)</f>
        <v>46373</v>
      </c>
      <c r="N35020" t="str">
        <f>IF(M35020="","",'Master Barang'!A14)</f>
        <v>PRL-013</v>
      </c>
      <c r="O35020" t="str">
        <f>IF(N35020="","",'Master Barang'!B14)</f>
        <v>sarung tangan plastik kaka 100 pcs</v>
      </c>
      <c r="P35020">
        <f>IF(OR(M35020="",N35020=""),"",SUMIFS('Barang Keluar'!$E:$E,'Barang Keluar'!$A:$A,M35020,'Barang Keluar'!$C:$C,N35020))</f>
        <v>0</v>
      </c>
    </row>
    <row r="35021" spans="13:16">
      <c r="M35021" s="49">
        <f>IF($A$4+350&gt;$B$4,"",$A$4+350)</f>
        <v>46373</v>
      </c>
      <c r="N35021" t="str">
        <f>IF(M35021="","",'Master Barang'!A15)</f>
        <v>PRL-014</v>
      </c>
      <c r="O35021" t="str">
        <f>IF(N35021="","",'Master Barang'!B15)</f>
        <v>optima trashbag 80x100</v>
      </c>
      <c r="P35021">
        <f>IF(OR(M35021="",N35021=""),"",SUMIFS('Barang Keluar'!$E:$E,'Barang Keluar'!$A:$A,M35021,'Barang Keluar'!$C:$C,N35021))</f>
        <v>0</v>
      </c>
    </row>
    <row r="35022" spans="13:16">
      <c r="M35022" s="49">
        <f>IF($A$4+350&gt;$B$4,"",$A$4+350)</f>
        <v>46373</v>
      </c>
      <c r="N35022" t="str">
        <f>IF(M35022="","",'Master Barang'!A16)</f>
        <v>PRL-015</v>
      </c>
      <c r="O35022" t="str">
        <f>IF(N35022="","",'Master Barang'!B16)</f>
        <v>optima trashbag 60x100</v>
      </c>
      <c r="P35022">
        <f>IF(OR(M35022="",N35022=""),"",SUMIFS('Barang Keluar'!$E:$E,'Barang Keluar'!$A:$A,M35022,'Barang Keluar'!$C:$C,N35022))</f>
        <v>0</v>
      </c>
    </row>
    <row r="35023" spans="13:16">
      <c r="M35023" s="49">
        <f>IF($A$4+350&gt;$B$4,"",$A$4+350)</f>
        <v>46373</v>
      </c>
      <c r="N35023" t="str">
        <f>IF(M35023="","",'Master Barang'!A17)</f>
        <v>PRL-016</v>
      </c>
      <c r="O35023" t="str">
        <f>IF(N35023="","",'Master Barang'!B17)</f>
        <v>rajawali trashbag 30x40</v>
      </c>
      <c r="P35023">
        <f>IF(OR(M35023="",N35023=""),"",SUMIFS('Barang Keluar'!$E:$E,'Barang Keluar'!$A:$A,M35023,'Barang Keluar'!$C:$C,N35023))</f>
        <v>0</v>
      </c>
    </row>
    <row r="35024" spans="13:16">
      <c r="M35024" s="49">
        <f>IF($A$4+350&gt;$B$4,"",$A$4+350)</f>
        <v>46373</v>
      </c>
      <c r="N35024" t="str">
        <f>IF(M35024="","",'Master Barang'!A18)</f>
        <v>PRL-017</v>
      </c>
      <c r="O35024" t="str">
        <f>IF(N35024="","",'Master Barang'!B18)</f>
        <v>onemed masker biru 3 play 50 pcs</v>
      </c>
      <c r="P35024">
        <f>IF(OR(M35024="",N35024=""),"",SUMIFS('Barang Keluar'!$E:$E,'Barang Keluar'!$A:$A,M35024,'Barang Keluar'!$C:$C,N35024))</f>
        <v>0</v>
      </c>
    </row>
    <row r="35025" spans="13:16">
      <c r="M35025" s="49">
        <f>IF($A$4+350&gt;$B$4,"",$A$4+350)</f>
        <v>46373</v>
      </c>
      <c r="N35025" t="str">
        <f>IF(M35025="","",'Master Barang'!A19)</f>
        <v>PRL-018</v>
      </c>
      <c r="O35025" t="str">
        <f>IF(N35025="","",'Master Barang'!B19)</f>
        <v>onemed masker biru 3 play hijab 50 pcs</v>
      </c>
      <c r="P35025">
        <f>IF(OR(M35025="",N35025=""),"",SUMIFS('Barang Keluar'!$E:$E,'Barang Keluar'!$A:$A,M35025,'Barang Keluar'!$C:$C,N35025))</f>
        <v>0</v>
      </c>
    </row>
    <row r="35026" spans="13:16">
      <c r="M35026" s="49">
        <f>IF($A$4+350&gt;$B$4,"",$A$4+350)</f>
        <v>46373</v>
      </c>
      <c r="N35026" t="str">
        <f>IF(M35026="","",'Master Barang'!A20)</f>
        <v>PRL-019</v>
      </c>
      <c r="O35026" t="str">
        <f>IF(N35026="","",'Master Barang'!B20)</f>
        <v>neo health masker biru 3 play 50 pcs</v>
      </c>
      <c r="P35026">
        <f>IF(OR(M35026="",N35026=""),"",SUMIFS('Barang Keluar'!$E:$E,'Barang Keluar'!$A:$A,M35026,'Barang Keluar'!$C:$C,N35026))</f>
        <v>0</v>
      </c>
    </row>
    <row r="35027" spans="13:16">
      <c r="M35027" s="49">
        <f>IF($A$4+350&gt;$B$4,"",$A$4+350)</f>
        <v>46373</v>
      </c>
      <c r="N35027" t="str">
        <f>IF(M35027="","",'Master Barang'!A21)</f>
        <v>PRL-020</v>
      </c>
      <c r="O35027" t="str">
        <f>IF(N35027="","",'Master Barang'!B21)</f>
        <v>baymed masker hijau 3 play hijau 50 pcs</v>
      </c>
      <c r="P35027">
        <f>IF(OR(M35027="",N35027=""),"",SUMIFS('Barang Keluar'!$E:$E,'Barang Keluar'!$A:$A,M35027,'Barang Keluar'!$C:$C,N35027))</f>
        <v>0</v>
      </c>
    </row>
    <row r="35028" spans="13:16">
      <c r="M35028" s="49">
        <f>IF($A$4+350&gt;$B$4,"",$A$4+350)</f>
        <v>46373</v>
      </c>
      <c r="N35028" t="str">
        <f>IF(M35028="","",'Master Barang'!A22)</f>
        <v>PRL-021</v>
      </c>
      <c r="O35028" t="str">
        <f>IF(N35028="","",'Master Barang'!B22)</f>
        <v>altamed nurse cap penutup kepala 100 pcs</v>
      </c>
      <c r="P35028">
        <f>IF(OR(M35028="",N35028=""),"",SUMIFS('Barang Keluar'!$E:$E,'Barang Keluar'!$A:$A,M35028,'Barang Keluar'!$C:$C,N35028))</f>
        <v>0</v>
      </c>
    </row>
    <row r="35029" spans="13:16">
      <c r="M35029" s="49">
        <f>IF($A$4+350&gt;$B$4,"",$A$4+350)</f>
        <v>46373</v>
      </c>
      <c r="N35029" t="str">
        <f>IF(M35029="","",'Master Barang'!A23)</f>
        <v>PRL-022</v>
      </c>
      <c r="O35029" t="str">
        <f>IF(N35029="","",'Master Barang'!B23)</f>
        <v>sabun cuci tangan</v>
      </c>
      <c r="P35029">
        <f>IF(OR(M35029="",N35029=""),"",SUMIFS('Barang Keluar'!$E:$E,'Barang Keluar'!$A:$A,M35029,'Barang Keluar'!$C:$C,N35029))</f>
        <v>0</v>
      </c>
    </row>
    <row r="35030" spans="13:16">
      <c r="M35030" s="49">
        <f>IF($A$4+350&gt;$B$4,"",$A$4+350)</f>
        <v>46373</v>
      </c>
      <c r="N35030" t="str">
        <f>IF(M35030="","",'Master Barang'!A24)</f>
        <v>PRL-023</v>
      </c>
      <c r="O35030" t="str">
        <f>IF(N35030="","",'Master Barang'!B24)</f>
        <v>gayung kecil</v>
      </c>
      <c r="P35030">
        <f>IF(OR(M35030="",N35030=""),"",SUMIFS('Barang Keluar'!$E:$E,'Barang Keluar'!$A:$A,M35030,'Barang Keluar'!$C:$C,N35030))</f>
        <v>0</v>
      </c>
    </row>
    <row r="35031" spans="13:16">
      <c r="M35031" s="49">
        <f>IF($A$4+350&gt;$B$4,"",$A$4+350)</f>
        <v>46373</v>
      </c>
      <c r="N35031" t="str">
        <f>IF(M35031="","",'Master Barang'!A25)</f>
        <v>PRL-024</v>
      </c>
      <c r="O35031" t="str">
        <f>IF(N35031="","",'Master Barang'!B25)</f>
        <v>cikrak kecil</v>
      </c>
      <c r="P35031">
        <f>IF(OR(M35031="",N35031=""),"",SUMIFS('Barang Keluar'!$E:$E,'Barang Keluar'!$A:$A,M35031,'Barang Keluar'!$C:$C,N35031))</f>
        <v>0</v>
      </c>
    </row>
    <row r="35032" spans="13:16">
      <c r="M35032" s="49">
        <f>IF($A$4+350&gt;$B$4,"",$A$4+350)</f>
        <v>46373</v>
      </c>
      <c r="N35032" t="str">
        <f>IF(M35032="","",'Master Barang'!A26)</f>
        <v>PRL-025</v>
      </c>
      <c r="O35032" t="str">
        <f>IF(N35032="","",'Master Barang'!B26)</f>
        <v>petromax plastik kecil 12x24 100 lembar</v>
      </c>
      <c r="P35032">
        <f>IF(OR(M35032="",N35032=""),"",SUMIFS('Barang Keluar'!$E:$E,'Barang Keluar'!$A:$A,M35032,'Barang Keluar'!$C:$C,N35032))</f>
        <v>0</v>
      </c>
    </row>
    <row r="35033" spans="13:16">
      <c r="M35033" s="49">
        <f>IF($A$4+350&gt;$B$4,"",$A$4+350)</f>
        <v>46373</v>
      </c>
      <c r="N35033" t="str">
        <f>IF(M35033="","",'Master Barang'!A27)</f>
        <v>PRL-026</v>
      </c>
      <c r="O35033" t="str">
        <f>IF(N35033="","",'Master Barang'!B27)</f>
        <v>lancar kresek kecil bening </v>
      </c>
      <c r="P35033">
        <f>IF(OR(M35033="",N35033=""),"",SUMIFS('Barang Keluar'!$E:$E,'Barang Keluar'!$A:$A,M35033,'Barang Keluar'!$C:$C,N35033))</f>
        <v>0</v>
      </c>
    </row>
    <row r="35034" spans="13:16">
      <c r="M35034" s="49">
        <f>IF($A$4+350&gt;$B$4,"",$A$4+350)</f>
        <v>46373</v>
      </c>
      <c r="N35034" t="str">
        <f>IF(M35034="","",'Master Barang'!A28)</f>
        <v>PRL-027</v>
      </c>
      <c r="O35034" t="str">
        <f>IF(N35034="","",'Master Barang'!B28)</f>
        <v>kresek klin warna warni kecil</v>
      </c>
      <c r="P35034">
        <f>IF(OR(M35034="",N35034=""),"",SUMIFS('Barang Keluar'!$E:$E,'Barang Keluar'!$A:$A,M35034,'Barang Keluar'!$C:$C,N35034))</f>
        <v>0</v>
      </c>
    </row>
    <row r="35035" spans="13:16">
      <c r="M35035" s="49">
        <f>IF($A$4+350&gt;$B$4,"",$A$4+350)</f>
        <v>46373</v>
      </c>
      <c r="N35035" t="str">
        <f>IF(M35035="","",'Master Barang'!A29)</f>
        <v>PRL-028</v>
      </c>
      <c r="O35035" t="str">
        <f>IF(N35035="","",'Master Barang'!B29)</f>
        <v>ctik plastik 7x10 100 pcs</v>
      </c>
      <c r="P35035">
        <f>IF(OR(M35035="",N35035=""),"",SUMIFS('Barang Keluar'!$E:$E,'Barang Keluar'!$A:$A,M35035,'Barang Keluar'!$C:$C,N35035))</f>
        <v>0</v>
      </c>
    </row>
    <row r="35036" spans="13:16">
      <c r="M35036" s="49">
        <f>IF($A$4+350&gt;$B$4,"",$A$4+350)</f>
        <v>46373</v>
      </c>
      <c r="N35036" t="str">
        <f>IF(M35036="","",'Master Barang'!A30)</f>
        <v>PRL-029</v>
      </c>
      <c r="O35036" t="str">
        <f>IF(N35036="","",'Master Barang'!B30)</f>
        <v>ctik plastik 6x10 100 pcs</v>
      </c>
      <c r="P35036">
        <f>IF(OR(M35036="",N35036=""),"",SUMIFS('Barang Keluar'!$E:$E,'Barang Keluar'!$A:$A,M35036,'Barang Keluar'!$C:$C,N35036))</f>
        <v>0</v>
      </c>
    </row>
    <row r="35037" spans="13:16">
      <c r="M35037" s="49">
        <f>IF($A$4+350&gt;$B$4,"",$A$4+350)</f>
        <v>46373</v>
      </c>
      <c r="N35037" t="str">
        <f>IF(M35037="","",'Master Barang'!A31)</f>
        <v>PRL-030</v>
      </c>
      <c r="O35037" t="str">
        <f>IF(N35037="","",'Master Barang'!B31)</f>
        <v>klip plastik 25x16 100 pcs</v>
      </c>
      <c r="P35037">
        <f>IF(OR(M35037="",N35037=""),"",SUMIFS('Barang Keluar'!$E:$E,'Barang Keluar'!$A:$A,M35037,'Barang Keluar'!$C:$C,N35037))</f>
        <v>0</v>
      </c>
    </row>
    <row r="35038" spans="13:16">
      <c r="M35038" s="49">
        <f>IF($A$4+350&gt;$B$4,"",$A$4+350)</f>
        <v>46373</v>
      </c>
      <c r="N35038" t="str">
        <f>IF(M35038="","",'Master Barang'!A32)</f>
        <v>PRL-031</v>
      </c>
      <c r="O35038" t="str">
        <f>IF(N35038="","",'Master Barang'!B32)</f>
        <v>tempat saus 20 ml</v>
      </c>
      <c r="P35038">
        <f>IF(OR(M35038="",N35038=""),"",SUMIFS('Barang Keluar'!$E:$E,'Barang Keluar'!$A:$A,M35038,'Barang Keluar'!$C:$C,N35038))</f>
        <v>0</v>
      </c>
    </row>
    <row r="35039" spans="13:16">
      <c r="M35039" s="49">
        <f>IF($A$4+350&gt;$B$4,"",$A$4+350)</f>
        <v>46373</v>
      </c>
      <c r="N35039" t="str">
        <f>IF(M35039="","",'Master Barang'!A33)</f>
        <v>PRL-032</v>
      </c>
      <c r="O35039" t="str">
        <f>IF(N35039="","",'Master Barang'!B33)</f>
        <v>plastik packaging ag box uk sedang</v>
      </c>
      <c r="P35039">
        <f>IF(OR(M35039="",N35039=""),"",SUMIFS('Barang Keluar'!$E:$E,'Barang Keluar'!$A:$A,M35039,'Barang Keluar'!$C:$C,N35039))</f>
        <v>0</v>
      </c>
    </row>
    <row r="35040" spans="13:16">
      <c r="M35040" s="49">
        <f>IF($A$4+350&gt;$B$4,"",$A$4+350)</f>
        <v>46373</v>
      </c>
      <c r="N35040" t="str">
        <f>IF(M35040="","",'Master Barang'!A34)</f>
        <v>PRL-033</v>
      </c>
      <c r="O35040">
        <f>IF(N35040="","",'Master Barang'!B34)</f>
        <v>0</v>
      </c>
      <c r="P35040">
        <f>IF(OR(M35040="",N35040=""),"",SUMIFS('Barang Keluar'!$E:$E,'Barang Keluar'!$A:$A,M35040,'Barang Keluar'!$C:$C,N35040))</f>
        <v>0</v>
      </c>
    </row>
    <row r="35041" spans="13:16">
      <c r="M35041" s="49">
        <f>IF($A$4+350&gt;$B$4,"",$A$4+350)</f>
        <v>46373</v>
      </c>
      <c r="N35041">
        <f>IF(M35041="","",'Master Barang'!A35)</f>
        <v>0</v>
      </c>
      <c r="O35041">
        <f>IF(N35041="","",'Master Barang'!B35)</f>
        <v>0</v>
      </c>
      <c r="P35041">
        <f>IF(OR(M35041="",N35041=""),"",SUMIFS('Barang Keluar'!$E:$E,'Barang Keluar'!$A:$A,M35041,'Barang Keluar'!$C:$C,N35041))</f>
        <v>0</v>
      </c>
    </row>
    <row r="35042" spans="13:16">
      <c r="M35042" s="49">
        <f>IF($A$4+350&gt;$B$4,"",$A$4+350)</f>
        <v>46373</v>
      </c>
      <c r="N35042">
        <f>IF(M35042="","",'Master Barang'!A36)</f>
        <v>0</v>
      </c>
      <c r="O35042">
        <f>IF(N35042="","",'Master Barang'!B36)</f>
        <v>0</v>
      </c>
      <c r="P35042">
        <f>IF(OR(M35042="",N35042=""),"",SUMIFS('Barang Keluar'!$E:$E,'Barang Keluar'!$A:$A,M35042,'Barang Keluar'!$C:$C,N35042))</f>
        <v>0</v>
      </c>
    </row>
    <row r="35043" spans="13:16">
      <c r="M35043" s="49">
        <f>IF($A$4+350&gt;$B$4,"",$A$4+350)</f>
        <v>46373</v>
      </c>
      <c r="N35043">
        <f>IF(M35043="","",'Master Barang'!A37)</f>
        <v>0</v>
      </c>
      <c r="O35043">
        <f>IF(N35043="","",'Master Barang'!B37)</f>
        <v>0</v>
      </c>
      <c r="P35043">
        <f>IF(OR(M35043="",N35043=""),"",SUMIFS('Barang Keluar'!$E:$E,'Barang Keluar'!$A:$A,M35043,'Barang Keluar'!$C:$C,N35043))</f>
        <v>0</v>
      </c>
    </row>
    <row r="35044" spans="13:16">
      <c r="M35044" s="49">
        <f>IF($A$4+350&gt;$B$4,"",$A$4+350)</f>
        <v>46373</v>
      </c>
      <c r="N35044">
        <f>IF(M35044="","",'Master Barang'!A38)</f>
        <v>0</v>
      </c>
      <c r="O35044">
        <f>IF(N35044="","",'Master Barang'!B38)</f>
        <v>0</v>
      </c>
      <c r="P35044">
        <f>IF(OR(M35044="",N35044=""),"",SUMIFS('Barang Keluar'!$E:$E,'Barang Keluar'!$A:$A,M35044,'Barang Keluar'!$C:$C,N35044))</f>
        <v>0</v>
      </c>
    </row>
    <row r="35045" spans="13:16">
      <c r="M35045" s="49">
        <f>IF($A$4+350&gt;$B$4,"",$A$4+350)</f>
        <v>46373</v>
      </c>
      <c r="N35045">
        <f>IF(M35045="","",'Master Barang'!A39)</f>
        <v>0</v>
      </c>
      <c r="O35045">
        <f>IF(N35045="","",'Master Barang'!B39)</f>
        <v>0</v>
      </c>
      <c r="P35045">
        <f>IF(OR(M35045="",N35045=""),"",SUMIFS('Barang Keluar'!$E:$E,'Barang Keluar'!$A:$A,M35045,'Barang Keluar'!$C:$C,N35045))</f>
        <v>0</v>
      </c>
    </row>
    <row r="35046" spans="13:16">
      <c r="M35046" s="49">
        <f>IF($A$4+350&gt;$B$4,"",$A$4+350)</f>
        <v>46373</v>
      </c>
      <c r="N35046">
        <f>IF(M35046="","",'Master Barang'!A40)</f>
        <v>0</v>
      </c>
      <c r="O35046">
        <f>IF(N35046="","",'Master Barang'!B40)</f>
        <v>0</v>
      </c>
      <c r="P35046">
        <f>IF(OR(M35046="",N35046=""),"",SUMIFS('Barang Keluar'!$E:$E,'Barang Keluar'!$A:$A,M35046,'Barang Keluar'!$C:$C,N35046))</f>
        <v>0</v>
      </c>
    </row>
    <row r="35047" spans="13:16">
      <c r="M35047" s="49">
        <f>IF($A$4+350&gt;$B$4,"",$A$4+350)</f>
        <v>46373</v>
      </c>
      <c r="N35047">
        <f>IF(M35047="","",'Master Barang'!A41)</f>
        <v>0</v>
      </c>
      <c r="O35047">
        <f>IF(N35047="","",'Master Barang'!B41)</f>
        <v>0</v>
      </c>
      <c r="P35047">
        <f>IF(OR(M35047="",N35047=""),"",SUMIFS('Barang Keluar'!$E:$E,'Barang Keluar'!$A:$A,M35047,'Barang Keluar'!$C:$C,N35047))</f>
        <v>0</v>
      </c>
    </row>
    <row r="35048" spans="13:16">
      <c r="M35048" s="49">
        <f>IF($A$4+350&gt;$B$4,"",$A$4+350)</f>
        <v>46373</v>
      </c>
      <c r="N35048">
        <f>IF(M35048="","",'Master Barang'!A42)</f>
        <v>0</v>
      </c>
      <c r="O35048">
        <f>IF(N35048="","",'Master Barang'!B42)</f>
        <v>0</v>
      </c>
      <c r="P35048">
        <f>IF(OR(M35048="",N35048=""),"",SUMIFS('Barang Keluar'!$E:$E,'Barang Keluar'!$A:$A,M35048,'Barang Keluar'!$C:$C,N35048))</f>
        <v>0</v>
      </c>
    </row>
    <row r="35049" spans="13:16">
      <c r="M35049" s="49">
        <f>IF($A$4+350&gt;$B$4,"",$A$4+350)</f>
        <v>46373</v>
      </c>
      <c r="N35049">
        <f>IF(M35049="","",'Master Barang'!A43)</f>
        <v>0</v>
      </c>
      <c r="O35049">
        <f>IF(N35049="","",'Master Barang'!B43)</f>
        <v>0</v>
      </c>
      <c r="P35049">
        <f>IF(OR(M35049="",N35049=""),"",SUMIFS('Barang Keluar'!$E:$E,'Barang Keluar'!$A:$A,M35049,'Barang Keluar'!$C:$C,N35049))</f>
        <v>0</v>
      </c>
    </row>
    <row r="35050" spans="13:16">
      <c r="M35050" s="49">
        <f>IF($A$4+350&gt;$B$4,"",$A$4+350)</f>
        <v>46373</v>
      </c>
      <c r="N35050">
        <f>IF(M35050="","",'Master Barang'!A44)</f>
        <v>0</v>
      </c>
      <c r="O35050">
        <f>IF(N35050="","",'Master Barang'!B44)</f>
        <v>0</v>
      </c>
      <c r="P35050">
        <f>IF(OR(M35050="",N35050=""),"",SUMIFS('Barang Keluar'!$E:$E,'Barang Keluar'!$A:$A,M35050,'Barang Keluar'!$C:$C,N35050))</f>
        <v>0</v>
      </c>
    </row>
    <row r="35051" spans="13:16">
      <c r="M35051" s="49">
        <f>IF($A$4+350&gt;$B$4,"",$A$4+350)</f>
        <v>46373</v>
      </c>
      <c r="N35051">
        <f>IF(M35051="","",'Master Barang'!A45)</f>
        <v>0</v>
      </c>
      <c r="O35051">
        <f>IF(N35051="","",'Master Barang'!B45)</f>
        <v>0</v>
      </c>
      <c r="P35051">
        <f>IF(OR(M35051="",N35051=""),"",SUMIFS('Barang Keluar'!$E:$E,'Barang Keluar'!$A:$A,M35051,'Barang Keluar'!$C:$C,N35051))</f>
        <v>0</v>
      </c>
    </row>
    <row r="35052" spans="13:16">
      <c r="M35052" s="49">
        <f>IF($A$4+350&gt;$B$4,"",$A$4+350)</f>
        <v>46373</v>
      </c>
      <c r="N35052">
        <f>IF(M35052="","",'Master Barang'!A46)</f>
        <v>0</v>
      </c>
      <c r="O35052">
        <f>IF(N35052="","",'Master Barang'!B46)</f>
        <v>0</v>
      </c>
      <c r="P35052">
        <f>IF(OR(M35052="",N35052=""),"",SUMIFS('Barang Keluar'!$E:$E,'Barang Keluar'!$A:$A,M35052,'Barang Keluar'!$C:$C,N35052))</f>
        <v>0</v>
      </c>
    </row>
    <row r="35053" spans="13:16">
      <c r="M35053" s="49">
        <f>IF($A$4+350&gt;$B$4,"",$A$4+350)</f>
        <v>46373</v>
      </c>
      <c r="N35053">
        <f>IF(M35053="","",'Master Barang'!A47)</f>
        <v>0</v>
      </c>
      <c r="O35053">
        <f>IF(N35053="","",'Master Barang'!B47)</f>
        <v>0</v>
      </c>
      <c r="P35053">
        <f>IF(OR(M35053="",N35053=""),"",SUMIFS('Barang Keluar'!$E:$E,'Barang Keluar'!$A:$A,M35053,'Barang Keluar'!$C:$C,N35053))</f>
        <v>0</v>
      </c>
    </row>
    <row r="35054" spans="13:16">
      <c r="M35054" s="49">
        <f>IF($A$4+350&gt;$B$4,"",$A$4+350)</f>
        <v>46373</v>
      </c>
      <c r="N35054">
        <f>IF(M35054="","",'Master Barang'!A48)</f>
        <v>0</v>
      </c>
      <c r="O35054">
        <f>IF(N35054="","",'Master Barang'!B48)</f>
        <v>0</v>
      </c>
      <c r="P35054">
        <f>IF(OR(M35054="",N35054=""),"",SUMIFS('Barang Keluar'!$E:$E,'Barang Keluar'!$A:$A,M35054,'Barang Keluar'!$C:$C,N35054))</f>
        <v>0</v>
      </c>
    </row>
    <row r="35055" spans="13:16">
      <c r="M35055" s="49">
        <f>IF($A$4+350&gt;$B$4,"",$A$4+350)</f>
        <v>46373</v>
      </c>
      <c r="N35055">
        <f>IF(M35055="","",'Master Barang'!A49)</f>
        <v>0</v>
      </c>
      <c r="O35055">
        <f>IF(N35055="","",'Master Barang'!B49)</f>
        <v>0</v>
      </c>
      <c r="P35055">
        <f>IF(OR(M35055="",N35055=""),"",SUMIFS('Barang Keluar'!$E:$E,'Barang Keluar'!$A:$A,M35055,'Barang Keluar'!$C:$C,N35055))</f>
        <v>0</v>
      </c>
    </row>
    <row r="35056" spans="13:16">
      <c r="M35056" s="49">
        <f>IF($A$4+350&gt;$B$4,"",$A$4+350)</f>
        <v>46373</v>
      </c>
      <c r="N35056">
        <f>IF(M35056="","",'Master Barang'!A50)</f>
        <v>0</v>
      </c>
      <c r="O35056">
        <f>IF(N35056="","",'Master Barang'!B50)</f>
        <v>0</v>
      </c>
      <c r="P35056">
        <f>IF(OR(M35056="",N35056=""),"",SUMIFS('Barang Keluar'!$E:$E,'Barang Keluar'!$A:$A,M35056,'Barang Keluar'!$C:$C,N35056))</f>
        <v>0</v>
      </c>
    </row>
    <row r="35057" spans="13:16">
      <c r="M35057" s="49">
        <f>IF($A$4+350&gt;$B$4,"",$A$4+350)</f>
        <v>46373</v>
      </c>
      <c r="N35057">
        <f>IF(M35057="","",'Master Barang'!A51)</f>
        <v>0</v>
      </c>
      <c r="O35057">
        <f>IF(N35057="","",'Master Barang'!B51)</f>
        <v>0</v>
      </c>
      <c r="P35057">
        <f>IF(OR(M35057="",N35057=""),"",SUMIFS('Barang Keluar'!$E:$E,'Barang Keluar'!$A:$A,M35057,'Barang Keluar'!$C:$C,N35057))</f>
        <v>0</v>
      </c>
    </row>
    <row r="35058" spans="13:16">
      <c r="M35058" s="49">
        <f>IF($A$4+350&gt;$B$4,"",$A$4+350)</f>
        <v>46373</v>
      </c>
      <c r="N35058">
        <f>IF(M35058="","",'Master Barang'!A52)</f>
        <v>0</v>
      </c>
      <c r="O35058">
        <f>IF(N35058="","",'Master Barang'!B52)</f>
        <v>0</v>
      </c>
      <c r="P35058">
        <f>IF(OR(M35058="",N35058=""),"",SUMIFS('Barang Keluar'!$E:$E,'Barang Keluar'!$A:$A,M35058,'Barang Keluar'!$C:$C,N35058))</f>
        <v>0</v>
      </c>
    </row>
    <row r="35059" spans="13:16">
      <c r="M35059" s="49">
        <f>IF($A$4+350&gt;$B$4,"",$A$4+350)</f>
        <v>46373</v>
      </c>
      <c r="N35059">
        <f>IF(M35059="","",'Master Barang'!A53)</f>
        <v>0</v>
      </c>
      <c r="O35059">
        <f>IF(N35059="","",'Master Barang'!B53)</f>
        <v>0</v>
      </c>
      <c r="P35059">
        <f>IF(OR(M35059="",N35059=""),"",SUMIFS('Barang Keluar'!$E:$E,'Barang Keluar'!$A:$A,M35059,'Barang Keluar'!$C:$C,N35059))</f>
        <v>0</v>
      </c>
    </row>
    <row r="35060" spans="13:16">
      <c r="M35060" s="49">
        <f>IF($A$4+350&gt;$B$4,"",$A$4+350)</f>
        <v>46373</v>
      </c>
      <c r="N35060">
        <f>IF(M35060="","",'Master Barang'!A54)</f>
        <v>0</v>
      </c>
      <c r="O35060">
        <f>IF(N35060="","",'Master Barang'!B54)</f>
        <v>0</v>
      </c>
      <c r="P35060">
        <f>IF(OR(M35060="",N35060=""),"",SUMIFS('Barang Keluar'!$E:$E,'Barang Keluar'!$A:$A,M35060,'Barang Keluar'!$C:$C,N35060))</f>
        <v>0</v>
      </c>
    </row>
    <row r="35061" spans="13:16">
      <c r="M35061" s="49">
        <f>IF($A$4+350&gt;$B$4,"",$A$4+350)</f>
        <v>46373</v>
      </c>
      <c r="N35061">
        <f>IF(M35061="","",'Master Barang'!A55)</f>
        <v>0</v>
      </c>
      <c r="O35061">
        <f>IF(N35061="","",'Master Barang'!B55)</f>
        <v>0</v>
      </c>
      <c r="P35061">
        <f>IF(OR(M35061="",N35061=""),"",SUMIFS('Barang Keluar'!$E:$E,'Barang Keluar'!$A:$A,M35061,'Barang Keluar'!$C:$C,N35061))</f>
        <v>0</v>
      </c>
    </row>
    <row r="35062" spans="13:16">
      <c r="M35062" s="49">
        <f>IF($A$4+350&gt;$B$4,"",$A$4+350)</f>
        <v>46373</v>
      </c>
      <c r="N35062">
        <f>IF(M35062="","",'Master Barang'!A56)</f>
        <v>0</v>
      </c>
      <c r="O35062">
        <f>IF(N35062="","",'Master Barang'!B56)</f>
        <v>0</v>
      </c>
      <c r="P35062">
        <f>IF(OR(M35062="",N35062=""),"",SUMIFS('Barang Keluar'!$E:$E,'Barang Keluar'!$A:$A,M35062,'Barang Keluar'!$C:$C,N35062))</f>
        <v>0</v>
      </c>
    </row>
    <row r="35063" spans="13:16">
      <c r="M35063" s="49">
        <f>IF($A$4+350&gt;$B$4,"",$A$4+350)</f>
        <v>46373</v>
      </c>
      <c r="N35063">
        <f>IF(M35063="","",'Master Barang'!A57)</f>
        <v>0</v>
      </c>
      <c r="O35063">
        <f>IF(N35063="","",'Master Barang'!B57)</f>
        <v>0</v>
      </c>
      <c r="P35063">
        <f>IF(OR(M35063="",N35063=""),"",SUMIFS('Barang Keluar'!$E:$E,'Barang Keluar'!$A:$A,M35063,'Barang Keluar'!$C:$C,N35063))</f>
        <v>0</v>
      </c>
    </row>
    <row r="35064" spans="13:16">
      <c r="M35064" s="49">
        <f>IF($A$4+350&gt;$B$4,"",$A$4+350)</f>
        <v>46373</v>
      </c>
      <c r="N35064">
        <f>IF(M35064="","",'Master Barang'!A58)</f>
        <v>0</v>
      </c>
      <c r="O35064">
        <f>IF(N35064="","",'Master Barang'!B58)</f>
        <v>0</v>
      </c>
      <c r="P35064">
        <f>IF(OR(M35064="",N35064=""),"",SUMIFS('Barang Keluar'!$E:$E,'Barang Keluar'!$A:$A,M35064,'Barang Keluar'!$C:$C,N35064))</f>
        <v>0</v>
      </c>
    </row>
    <row r="35065" spans="13:16">
      <c r="M35065" s="49">
        <f>IF($A$4+350&gt;$B$4,"",$A$4+350)</f>
        <v>46373</v>
      </c>
      <c r="N35065">
        <f>IF(M35065="","",'Master Barang'!A59)</f>
        <v>0</v>
      </c>
      <c r="O35065">
        <f>IF(N35065="","",'Master Barang'!B59)</f>
        <v>0</v>
      </c>
      <c r="P35065">
        <f>IF(OR(M35065="",N35065=""),"",SUMIFS('Barang Keluar'!$E:$E,'Barang Keluar'!$A:$A,M35065,'Barang Keluar'!$C:$C,N35065))</f>
        <v>0</v>
      </c>
    </row>
    <row r="35066" spans="13:16">
      <c r="M35066" s="49">
        <f>IF($A$4+350&gt;$B$4,"",$A$4+350)</f>
        <v>46373</v>
      </c>
      <c r="N35066">
        <f>IF(M35066="","",'Master Barang'!A60)</f>
        <v>0</v>
      </c>
      <c r="O35066">
        <f>IF(N35066="","",'Master Barang'!B60)</f>
        <v>0</v>
      </c>
      <c r="P35066">
        <f>IF(OR(M35066="",N35066=""),"",SUMIFS('Barang Keluar'!$E:$E,'Barang Keluar'!$A:$A,M35066,'Barang Keluar'!$C:$C,N35066))</f>
        <v>0</v>
      </c>
    </row>
    <row r="35067" spans="13:16">
      <c r="M35067" s="49">
        <f>IF($A$4+350&gt;$B$4,"",$A$4+350)</f>
        <v>46373</v>
      </c>
      <c r="N35067">
        <f>IF(M35067="","",'Master Barang'!A61)</f>
        <v>0</v>
      </c>
      <c r="O35067">
        <f>IF(N35067="","",'Master Barang'!B61)</f>
        <v>0</v>
      </c>
      <c r="P35067">
        <f>IF(OR(M35067="",N35067=""),"",SUMIFS('Barang Keluar'!$E:$E,'Barang Keluar'!$A:$A,M35067,'Barang Keluar'!$C:$C,N35067))</f>
        <v>0</v>
      </c>
    </row>
    <row r="35068" spans="13:16">
      <c r="M35068" s="49">
        <f>IF($A$4+350&gt;$B$4,"",$A$4+350)</f>
        <v>46373</v>
      </c>
      <c r="N35068">
        <f>IF(M35068="","",'Master Barang'!A62)</f>
        <v>0</v>
      </c>
      <c r="O35068">
        <f>IF(N35068="","",'Master Barang'!B62)</f>
        <v>0</v>
      </c>
      <c r="P35068">
        <f>IF(OR(M35068="",N35068=""),"",SUMIFS('Barang Keluar'!$E:$E,'Barang Keluar'!$A:$A,M35068,'Barang Keluar'!$C:$C,N35068))</f>
        <v>0</v>
      </c>
    </row>
    <row r="35069" spans="13:16">
      <c r="M35069" s="49">
        <f>IF($A$4+350&gt;$B$4,"",$A$4+350)</f>
        <v>46373</v>
      </c>
      <c r="N35069">
        <f>IF(M35069="","",'Master Barang'!A63)</f>
        <v>0</v>
      </c>
      <c r="O35069">
        <f>IF(N35069="","",'Master Barang'!B63)</f>
        <v>0</v>
      </c>
      <c r="P35069">
        <f>IF(OR(M35069="",N35069=""),"",SUMIFS('Barang Keluar'!$E:$E,'Barang Keluar'!$A:$A,M35069,'Barang Keluar'!$C:$C,N35069))</f>
        <v>0</v>
      </c>
    </row>
    <row r="35070" spans="13:16">
      <c r="M35070" s="49">
        <f>IF($A$4+350&gt;$B$4,"",$A$4+350)</f>
        <v>46373</v>
      </c>
      <c r="N35070">
        <f>IF(M35070="","",'Master Barang'!A64)</f>
        <v>0</v>
      </c>
      <c r="O35070">
        <f>IF(N35070="","",'Master Barang'!B64)</f>
        <v>0</v>
      </c>
      <c r="P35070">
        <f>IF(OR(M35070="",N35070=""),"",SUMIFS('Barang Keluar'!$E:$E,'Barang Keluar'!$A:$A,M35070,'Barang Keluar'!$C:$C,N35070))</f>
        <v>0</v>
      </c>
    </row>
    <row r="35071" spans="13:16">
      <c r="M35071" s="49">
        <f>IF($A$4+350&gt;$B$4,"",$A$4+350)</f>
        <v>46373</v>
      </c>
      <c r="N35071">
        <f>IF(M35071="","",'Master Barang'!A65)</f>
        <v>0</v>
      </c>
      <c r="O35071">
        <f>IF(N35071="","",'Master Barang'!B65)</f>
        <v>0</v>
      </c>
      <c r="P35071">
        <f>IF(OR(M35071="",N35071=""),"",SUMIFS('Barang Keluar'!$E:$E,'Barang Keluar'!$A:$A,M35071,'Barang Keluar'!$C:$C,N35071))</f>
        <v>0</v>
      </c>
    </row>
    <row r="35072" spans="13:16">
      <c r="M35072" s="49">
        <f>IF($A$4+350&gt;$B$4,"",$A$4+350)</f>
        <v>46373</v>
      </c>
      <c r="N35072">
        <f>IF(M35072="","",'Master Barang'!A66)</f>
        <v>0</v>
      </c>
      <c r="O35072">
        <f>IF(N35072="","",'Master Barang'!B66)</f>
        <v>0</v>
      </c>
      <c r="P35072">
        <f>IF(OR(M35072="",N35072=""),"",SUMIFS('Barang Keluar'!$E:$E,'Barang Keluar'!$A:$A,M35072,'Barang Keluar'!$C:$C,N35072))</f>
        <v>0</v>
      </c>
    </row>
    <row r="35073" spans="13:16">
      <c r="M35073" s="49">
        <f>IF($A$4+350&gt;$B$4,"",$A$4+350)</f>
        <v>46373</v>
      </c>
      <c r="N35073">
        <f>IF(M35073="","",'Master Barang'!A67)</f>
        <v>0</v>
      </c>
      <c r="O35073">
        <f>IF(N35073="","",'Master Barang'!B67)</f>
        <v>0</v>
      </c>
      <c r="P35073">
        <f>IF(OR(M35073="",N35073=""),"",SUMIFS('Barang Keluar'!$E:$E,'Barang Keluar'!$A:$A,M35073,'Barang Keluar'!$C:$C,N35073))</f>
        <v>0</v>
      </c>
    </row>
    <row r="35074" spans="13:16">
      <c r="M35074" s="49">
        <f>IF($A$4+350&gt;$B$4,"",$A$4+350)</f>
        <v>46373</v>
      </c>
      <c r="N35074">
        <f>IF(M35074="","",'Master Barang'!A68)</f>
        <v>0</v>
      </c>
      <c r="O35074">
        <f>IF(N35074="","",'Master Barang'!B68)</f>
        <v>0</v>
      </c>
      <c r="P35074">
        <f>IF(OR(M35074="",N35074=""),"",SUMIFS('Barang Keluar'!$E:$E,'Barang Keluar'!$A:$A,M35074,'Barang Keluar'!$C:$C,N35074))</f>
        <v>0</v>
      </c>
    </row>
    <row r="35075" spans="13:16">
      <c r="M35075" s="49">
        <f>IF($A$4+350&gt;$B$4,"",$A$4+350)</f>
        <v>46373</v>
      </c>
      <c r="N35075">
        <f>IF(M35075="","",'Master Barang'!A69)</f>
        <v>0</v>
      </c>
      <c r="O35075">
        <f>IF(N35075="","",'Master Barang'!B69)</f>
        <v>0</v>
      </c>
      <c r="P35075">
        <f>IF(OR(M35075="",N35075=""),"",SUMIFS('Barang Keluar'!$E:$E,'Barang Keluar'!$A:$A,M35075,'Barang Keluar'!$C:$C,N35075))</f>
        <v>0</v>
      </c>
    </row>
    <row r="35076" spans="13:16">
      <c r="M35076" s="49">
        <f>IF($A$4+350&gt;$B$4,"",$A$4+350)</f>
        <v>46373</v>
      </c>
      <c r="N35076">
        <f>IF(M35076="","",'Master Barang'!A70)</f>
        <v>0</v>
      </c>
      <c r="O35076">
        <f>IF(N35076="","",'Master Barang'!B70)</f>
        <v>0</v>
      </c>
      <c r="P35076">
        <f>IF(OR(M35076="",N35076=""),"",SUMIFS('Barang Keluar'!$E:$E,'Barang Keluar'!$A:$A,M35076,'Barang Keluar'!$C:$C,N35076))</f>
        <v>0</v>
      </c>
    </row>
    <row r="35077" spans="13:16">
      <c r="M35077" s="49">
        <f>IF($A$4+350&gt;$B$4,"",$A$4+350)</f>
        <v>46373</v>
      </c>
      <c r="N35077">
        <f>IF(M35077="","",'Master Barang'!A71)</f>
        <v>0</v>
      </c>
      <c r="O35077">
        <f>IF(N35077="","",'Master Barang'!B71)</f>
        <v>0</v>
      </c>
      <c r="P35077">
        <f>IF(OR(M35077="",N35077=""),"",SUMIFS('Barang Keluar'!$E:$E,'Barang Keluar'!$A:$A,M35077,'Barang Keluar'!$C:$C,N35077))</f>
        <v>0</v>
      </c>
    </row>
    <row r="35078" spans="13:16">
      <c r="M35078" s="49">
        <f>IF($A$4+350&gt;$B$4,"",$A$4+350)</f>
        <v>46373</v>
      </c>
      <c r="N35078">
        <f>IF(M35078="","",'Master Barang'!A72)</f>
        <v>0</v>
      </c>
      <c r="O35078">
        <f>IF(N35078="","",'Master Barang'!B72)</f>
        <v>0</v>
      </c>
      <c r="P35078">
        <f>IF(OR(M35078="",N35078=""),"",SUMIFS('Barang Keluar'!$E:$E,'Barang Keluar'!$A:$A,M35078,'Barang Keluar'!$C:$C,N35078))</f>
        <v>0</v>
      </c>
    </row>
    <row r="35079" spans="13:16">
      <c r="M35079" s="49">
        <f>IF($A$4+350&gt;$B$4,"",$A$4+350)</f>
        <v>46373</v>
      </c>
      <c r="N35079">
        <f>IF(M35079="","",'Master Barang'!A73)</f>
        <v>0</v>
      </c>
      <c r="O35079">
        <f>IF(N35079="","",'Master Barang'!B73)</f>
        <v>0</v>
      </c>
      <c r="P35079">
        <f>IF(OR(M35079="",N35079=""),"",SUMIFS('Barang Keluar'!$E:$E,'Barang Keluar'!$A:$A,M35079,'Barang Keluar'!$C:$C,N35079))</f>
        <v>0</v>
      </c>
    </row>
    <row r="35080" spans="13:16">
      <c r="M35080" s="49">
        <f>IF($A$4+350&gt;$B$4,"",$A$4+350)</f>
        <v>46373</v>
      </c>
      <c r="N35080">
        <f>IF(M35080="","",'Master Barang'!A74)</f>
        <v>0</v>
      </c>
      <c r="O35080">
        <f>IF(N35080="","",'Master Barang'!B74)</f>
        <v>0</v>
      </c>
      <c r="P35080">
        <f>IF(OR(M35080="",N35080=""),"",SUMIFS('Barang Keluar'!$E:$E,'Barang Keluar'!$A:$A,M35080,'Barang Keluar'!$C:$C,N35080))</f>
        <v>0</v>
      </c>
    </row>
    <row r="35081" spans="13:16">
      <c r="M35081" s="49">
        <f>IF($A$4+350&gt;$B$4,"",$A$4+350)</f>
        <v>46373</v>
      </c>
      <c r="N35081">
        <f>IF(M35081="","",'Master Barang'!A75)</f>
        <v>0</v>
      </c>
      <c r="O35081">
        <f>IF(N35081="","",'Master Barang'!B75)</f>
        <v>0</v>
      </c>
      <c r="P35081">
        <f>IF(OR(M35081="",N35081=""),"",SUMIFS('Barang Keluar'!$E:$E,'Barang Keluar'!$A:$A,M35081,'Barang Keluar'!$C:$C,N35081))</f>
        <v>0</v>
      </c>
    </row>
    <row r="35082" spans="13:16">
      <c r="M35082" s="49">
        <f>IF($A$4+350&gt;$B$4,"",$A$4+350)</f>
        <v>46373</v>
      </c>
      <c r="N35082">
        <f>IF(M35082="","",'Master Barang'!A76)</f>
        <v>0</v>
      </c>
      <c r="O35082">
        <f>IF(N35082="","",'Master Barang'!B76)</f>
        <v>0</v>
      </c>
      <c r="P35082">
        <f>IF(OR(M35082="",N35082=""),"",SUMIFS('Barang Keluar'!$E:$E,'Barang Keluar'!$A:$A,M35082,'Barang Keluar'!$C:$C,N35082))</f>
        <v>0</v>
      </c>
    </row>
    <row r="35083" spans="13:16">
      <c r="M35083" s="49">
        <f>IF($A$4+350&gt;$B$4,"",$A$4+350)</f>
        <v>46373</v>
      </c>
      <c r="N35083">
        <f>IF(M35083="","",'Master Barang'!A77)</f>
        <v>0</v>
      </c>
      <c r="O35083">
        <f>IF(N35083="","",'Master Barang'!B77)</f>
        <v>0</v>
      </c>
      <c r="P35083">
        <f>IF(OR(M35083="",N35083=""),"",SUMIFS('Barang Keluar'!$E:$E,'Barang Keluar'!$A:$A,M35083,'Barang Keluar'!$C:$C,N35083))</f>
        <v>0</v>
      </c>
    </row>
    <row r="35084" spans="13:16">
      <c r="M35084" s="49">
        <f>IF($A$4+350&gt;$B$4,"",$A$4+350)</f>
        <v>46373</v>
      </c>
      <c r="N35084">
        <f>IF(M35084="","",'Master Barang'!A78)</f>
        <v>0</v>
      </c>
      <c r="O35084">
        <f>IF(N35084="","",'Master Barang'!B78)</f>
        <v>0</v>
      </c>
      <c r="P35084">
        <f>IF(OR(M35084="",N35084=""),"",SUMIFS('Barang Keluar'!$E:$E,'Barang Keluar'!$A:$A,M35084,'Barang Keluar'!$C:$C,N35084))</f>
        <v>0</v>
      </c>
    </row>
    <row r="35085" spans="13:16">
      <c r="M35085" s="49">
        <f>IF($A$4+350&gt;$B$4,"",$A$4+350)</f>
        <v>46373</v>
      </c>
      <c r="N35085">
        <f>IF(M35085="","",'Master Barang'!A79)</f>
        <v>0</v>
      </c>
      <c r="O35085">
        <f>IF(N35085="","",'Master Barang'!B79)</f>
        <v>0</v>
      </c>
      <c r="P35085">
        <f>IF(OR(M35085="",N35085=""),"",SUMIFS('Barang Keluar'!$E:$E,'Barang Keluar'!$A:$A,M35085,'Barang Keluar'!$C:$C,N35085))</f>
        <v>0</v>
      </c>
    </row>
    <row r="35086" spans="13:16">
      <c r="M35086" s="49">
        <f>IF($A$4+350&gt;$B$4,"",$A$4+350)</f>
        <v>46373</v>
      </c>
      <c r="N35086">
        <f>IF(M35086="","",'Master Barang'!A80)</f>
        <v>0</v>
      </c>
      <c r="O35086">
        <f>IF(N35086="","",'Master Barang'!B80)</f>
        <v>0</v>
      </c>
      <c r="P35086">
        <f>IF(OR(M35086="",N35086=""),"",SUMIFS('Barang Keluar'!$E:$E,'Barang Keluar'!$A:$A,M35086,'Barang Keluar'!$C:$C,N35086))</f>
        <v>0</v>
      </c>
    </row>
    <row r="35087" spans="13:16">
      <c r="M35087" s="49">
        <f>IF($A$4+350&gt;$B$4,"",$A$4+350)</f>
        <v>46373</v>
      </c>
      <c r="N35087">
        <f>IF(M35087="","",'Master Barang'!A81)</f>
        <v>0</v>
      </c>
      <c r="O35087">
        <f>IF(N35087="","",'Master Barang'!B81)</f>
        <v>0</v>
      </c>
      <c r="P35087">
        <f>IF(OR(M35087="",N35087=""),"",SUMIFS('Barang Keluar'!$E:$E,'Barang Keluar'!$A:$A,M35087,'Barang Keluar'!$C:$C,N35087))</f>
        <v>0</v>
      </c>
    </row>
    <row r="35088" spans="13:16">
      <c r="M35088" s="49">
        <f>IF($A$4+350&gt;$B$4,"",$A$4+350)</f>
        <v>46373</v>
      </c>
      <c r="N35088">
        <f>IF(M35088="","",'Master Barang'!A82)</f>
        <v>0</v>
      </c>
      <c r="O35088">
        <f>IF(N35088="","",'Master Barang'!B82)</f>
        <v>0</v>
      </c>
      <c r="P35088">
        <f>IF(OR(M35088="",N35088=""),"",SUMIFS('Barang Keluar'!$E:$E,'Barang Keluar'!$A:$A,M35088,'Barang Keluar'!$C:$C,N35088))</f>
        <v>0</v>
      </c>
    </row>
    <row r="35089" spans="13:16">
      <c r="M35089" s="49">
        <f>IF($A$4+350&gt;$B$4,"",$A$4+350)</f>
        <v>46373</v>
      </c>
      <c r="N35089">
        <f>IF(M35089="","",'Master Barang'!A83)</f>
        <v>0</v>
      </c>
      <c r="O35089">
        <f>IF(N35089="","",'Master Barang'!B83)</f>
        <v>0</v>
      </c>
      <c r="P35089">
        <f>IF(OR(M35089="",N35089=""),"",SUMIFS('Barang Keluar'!$E:$E,'Barang Keluar'!$A:$A,M35089,'Barang Keluar'!$C:$C,N35089))</f>
        <v>0</v>
      </c>
    </row>
    <row r="35090" spans="13:16">
      <c r="M35090" s="49">
        <f>IF($A$4+350&gt;$B$4,"",$A$4+350)</f>
        <v>46373</v>
      </c>
      <c r="N35090">
        <f>IF(M35090="","",'Master Barang'!A84)</f>
        <v>0</v>
      </c>
      <c r="O35090">
        <f>IF(N35090="","",'Master Barang'!B84)</f>
        <v>0</v>
      </c>
      <c r="P35090">
        <f>IF(OR(M35090="",N35090=""),"",SUMIFS('Barang Keluar'!$E:$E,'Barang Keluar'!$A:$A,M35090,'Barang Keluar'!$C:$C,N35090))</f>
        <v>0</v>
      </c>
    </row>
    <row r="35091" spans="13:16">
      <c r="M35091" s="49">
        <f>IF($A$4+350&gt;$B$4,"",$A$4+350)</f>
        <v>46373</v>
      </c>
      <c r="N35091">
        <f>IF(M35091="","",'Master Barang'!A85)</f>
        <v>0</v>
      </c>
      <c r="O35091">
        <f>IF(N35091="","",'Master Barang'!B85)</f>
        <v>0</v>
      </c>
      <c r="P35091">
        <f>IF(OR(M35091="",N35091=""),"",SUMIFS('Barang Keluar'!$E:$E,'Barang Keluar'!$A:$A,M35091,'Barang Keluar'!$C:$C,N35091))</f>
        <v>0</v>
      </c>
    </row>
    <row r="35092" spans="13:16">
      <c r="M35092" s="49">
        <f>IF($A$4+350&gt;$B$4,"",$A$4+350)</f>
        <v>46373</v>
      </c>
      <c r="N35092">
        <f>IF(M35092="","",'Master Barang'!A86)</f>
        <v>0</v>
      </c>
      <c r="O35092">
        <f>IF(N35092="","",'Master Barang'!B86)</f>
        <v>0</v>
      </c>
      <c r="P35092">
        <f>IF(OR(M35092="",N35092=""),"",SUMIFS('Barang Keluar'!$E:$E,'Barang Keluar'!$A:$A,M35092,'Barang Keluar'!$C:$C,N35092))</f>
        <v>0</v>
      </c>
    </row>
    <row r="35093" spans="13:16">
      <c r="M35093" s="49">
        <f>IF($A$4+350&gt;$B$4,"",$A$4+350)</f>
        <v>46373</v>
      </c>
      <c r="N35093">
        <f>IF(M35093="","",'Master Barang'!A87)</f>
        <v>0</v>
      </c>
      <c r="O35093">
        <f>IF(N35093="","",'Master Barang'!B87)</f>
        <v>0</v>
      </c>
      <c r="P35093">
        <f>IF(OR(M35093="",N35093=""),"",SUMIFS('Barang Keluar'!$E:$E,'Barang Keluar'!$A:$A,M35093,'Barang Keluar'!$C:$C,N35093))</f>
        <v>0</v>
      </c>
    </row>
    <row r="35094" spans="13:16">
      <c r="M35094" s="49">
        <f>IF($A$4+350&gt;$B$4,"",$A$4+350)</f>
        <v>46373</v>
      </c>
      <c r="N35094">
        <f>IF(M35094="","",'Master Barang'!A88)</f>
        <v>0</v>
      </c>
      <c r="O35094">
        <f>IF(N35094="","",'Master Barang'!B88)</f>
        <v>0</v>
      </c>
      <c r="P35094">
        <f>IF(OR(M35094="",N35094=""),"",SUMIFS('Barang Keluar'!$E:$E,'Barang Keluar'!$A:$A,M35094,'Barang Keluar'!$C:$C,N35094))</f>
        <v>0</v>
      </c>
    </row>
    <row r="35095" spans="13:16">
      <c r="M35095" s="49">
        <f>IF($A$4+350&gt;$B$4,"",$A$4+350)</f>
        <v>46373</v>
      </c>
      <c r="N35095">
        <f>IF(M35095="","",'Master Barang'!A89)</f>
        <v>0</v>
      </c>
      <c r="O35095">
        <f>IF(N35095="","",'Master Barang'!B89)</f>
        <v>0</v>
      </c>
      <c r="P35095">
        <f>IF(OR(M35095="",N35095=""),"",SUMIFS('Barang Keluar'!$E:$E,'Barang Keluar'!$A:$A,M35095,'Barang Keluar'!$C:$C,N35095))</f>
        <v>0</v>
      </c>
    </row>
    <row r="35096" spans="13:16">
      <c r="M35096" s="49">
        <f>IF($A$4+350&gt;$B$4,"",$A$4+350)</f>
        <v>46373</v>
      </c>
      <c r="N35096">
        <f>IF(M35096="","",'Master Barang'!A90)</f>
        <v>0</v>
      </c>
      <c r="O35096">
        <f>IF(N35096="","",'Master Barang'!B90)</f>
        <v>0</v>
      </c>
      <c r="P35096">
        <f>IF(OR(M35096="",N35096=""),"",SUMIFS('Barang Keluar'!$E:$E,'Barang Keluar'!$A:$A,M35096,'Barang Keluar'!$C:$C,N35096))</f>
        <v>0</v>
      </c>
    </row>
    <row r="35097" spans="13:16">
      <c r="M35097" s="49">
        <f>IF($A$4+350&gt;$B$4,"",$A$4+350)</f>
        <v>46373</v>
      </c>
      <c r="N35097">
        <f>IF(M35097="","",'Master Barang'!A91)</f>
        <v>0</v>
      </c>
      <c r="O35097">
        <f>IF(N35097="","",'Master Barang'!B91)</f>
        <v>0</v>
      </c>
      <c r="P35097">
        <f>IF(OR(M35097="",N35097=""),"",SUMIFS('Barang Keluar'!$E:$E,'Barang Keluar'!$A:$A,M35097,'Barang Keluar'!$C:$C,N35097))</f>
        <v>0</v>
      </c>
    </row>
    <row r="35098" spans="13:16">
      <c r="M35098" s="49">
        <f>IF($A$4+350&gt;$B$4,"",$A$4+350)</f>
        <v>46373</v>
      </c>
      <c r="N35098">
        <f>IF(M35098="","",'Master Barang'!A92)</f>
        <v>0</v>
      </c>
      <c r="O35098">
        <f>IF(N35098="","",'Master Barang'!B92)</f>
        <v>0</v>
      </c>
      <c r="P35098">
        <f>IF(OR(M35098="",N35098=""),"",SUMIFS('Barang Keluar'!$E:$E,'Barang Keluar'!$A:$A,M35098,'Barang Keluar'!$C:$C,N35098))</f>
        <v>0</v>
      </c>
    </row>
    <row r="35099" spans="13:16">
      <c r="M35099" s="49">
        <f>IF($A$4+350&gt;$B$4,"",$A$4+350)</f>
        <v>46373</v>
      </c>
      <c r="N35099">
        <f>IF(M35099="","",'Master Barang'!A93)</f>
        <v>0</v>
      </c>
      <c r="O35099">
        <f>IF(N35099="","",'Master Barang'!B93)</f>
        <v>0</v>
      </c>
      <c r="P35099">
        <f>IF(OR(M35099="",N35099=""),"",SUMIFS('Barang Keluar'!$E:$E,'Barang Keluar'!$A:$A,M35099,'Barang Keluar'!$C:$C,N35099))</f>
        <v>0</v>
      </c>
    </row>
    <row r="35100" spans="13:16">
      <c r="M35100" s="49">
        <f>IF($A$4+350&gt;$B$4,"",$A$4+350)</f>
        <v>46373</v>
      </c>
      <c r="N35100">
        <f>IF(M35100="","",'Master Barang'!A94)</f>
        <v>0</v>
      </c>
      <c r="O35100">
        <f>IF(N35100="","",'Master Barang'!B94)</f>
        <v>0</v>
      </c>
      <c r="P35100">
        <f>IF(OR(M35100="",N35100=""),"",SUMIFS('Barang Keluar'!$E:$E,'Barang Keluar'!$A:$A,M35100,'Barang Keluar'!$C:$C,N35100))</f>
        <v>0</v>
      </c>
    </row>
    <row r="35101" spans="13:16">
      <c r="M35101" s="49">
        <f>IF($A$4+350&gt;$B$4,"",$A$4+350)</f>
        <v>46373</v>
      </c>
      <c r="N35101">
        <f>IF(M35101="","",'Master Barang'!A95)</f>
        <v>0</v>
      </c>
      <c r="O35101">
        <f>IF(N35101="","",'Master Barang'!B95)</f>
        <v>0</v>
      </c>
      <c r="P35101">
        <f>IF(OR(M35101="",N35101=""),"",SUMIFS('Barang Keluar'!$E:$E,'Barang Keluar'!$A:$A,M35101,'Barang Keluar'!$C:$C,N35101))</f>
        <v>0</v>
      </c>
    </row>
    <row r="35102" spans="13:16">
      <c r="M35102" s="49">
        <f>IF($A$4+350&gt;$B$4,"",$A$4+350)</f>
        <v>46373</v>
      </c>
      <c r="N35102">
        <f>IF(M35102="","",'Master Barang'!A96)</f>
        <v>0</v>
      </c>
      <c r="O35102">
        <f>IF(N35102="","",'Master Barang'!B96)</f>
        <v>0</v>
      </c>
      <c r="P35102">
        <f>IF(OR(M35102="",N35102=""),"",SUMIFS('Barang Keluar'!$E:$E,'Barang Keluar'!$A:$A,M35102,'Barang Keluar'!$C:$C,N35102))</f>
        <v>0</v>
      </c>
    </row>
    <row r="35103" spans="13:16">
      <c r="M35103" s="49">
        <f>IF($A$4+350&gt;$B$4,"",$A$4+350)</f>
        <v>46373</v>
      </c>
      <c r="N35103">
        <f>IF(M35103="","",'Master Barang'!A97)</f>
        <v>0</v>
      </c>
      <c r="O35103">
        <f>IF(N35103="","",'Master Barang'!B97)</f>
        <v>0</v>
      </c>
      <c r="P35103">
        <f>IF(OR(M35103="",N35103=""),"",SUMIFS('Barang Keluar'!$E:$E,'Barang Keluar'!$A:$A,M35103,'Barang Keluar'!$C:$C,N35103))</f>
        <v>0</v>
      </c>
    </row>
    <row r="35104" spans="13:16">
      <c r="M35104" s="49">
        <f>IF($A$4+350&gt;$B$4,"",$A$4+350)</f>
        <v>46373</v>
      </c>
      <c r="N35104">
        <f>IF(M35104="","",'Master Barang'!A98)</f>
        <v>0</v>
      </c>
      <c r="O35104">
        <f>IF(N35104="","",'Master Barang'!B98)</f>
        <v>0</v>
      </c>
      <c r="P35104">
        <f>IF(OR(M35104="",N35104=""),"",SUMIFS('Barang Keluar'!$E:$E,'Barang Keluar'!$A:$A,M35104,'Barang Keluar'!$C:$C,N35104))</f>
        <v>0</v>
      </c>
    </row>
    <row r="35105" spans="13:16">
      <c r="M35105" s="49">
        <f>IF($A$4+350&gt;$B$4,"",$A$4+350)</f>
        <v>46373</v>
      </c>
      <c r="N35105">
        <f>IF(M35105="","",'Master Barang'!A99)</f>
        <v>0</v>
      </c>
      <c r="O35105">
        <f>IF(N35105="","",'Master Barang'!B99)</f>
        <v>0</v>
      </c>
      <c r="P35105">
        <f>IF(OR(M35105="",N35105=""),"",SUMIFS('Barang Keluar'!$E:$E,'Barang Keluar'!$A:$A,M35105,'Barang Keluar'!$C:$C,N35105))</f>
        <v>0</v>
      </c>
    </row>
    <row r="35106" spans="13:16">
      <c r="M35106" s="49">
        <f>IF($A$4+350&gt;$B$4,"",$A$4+350)</f>
        <v>46373</v>
      </c>
      <c r="N35106">
        <f>IF(M35106="","",'Master Barang'!A100)</f>
        <v>0</v>
      </c>
      <c r="O35106">
        <f>IF(N35106="","",'Master Barang'!B100)</f>
        <v>0</v>
      </c>
      <c r="P35106">
        <f>IF(OR(M35106="",N35106=""),"",SUMIFS('Barang Keluar'!$E:$E,'Barang Keluar'!$A:$A,M35106,'Barang Keluar'!$C:$C,N35106))</f>
        <v>0</v>
      </c>
    </row>
    <row r="35107" spans="13:16">
      <c r="M35107" s="49">
        <f>IF($A$4+350&gt;$B$4,"",$A$4+350)</f>
        <v>46373</v>
      </c>
      <c r="N35107">
        <f>IF(M35107="","",'Master Barang'!A101)</f>
        <v>0</v>
      </c>
      <c r="O35107">
        <f>IF(N35107="","",'Master Barang'!B101)</f>
        <v>0</v>
      </c>
      <c r="P35107">
        <f>IF(OR(M35107="",N35107=""),"",SUMIFS('Barang Keluar'!$E:$E,'Barang Keluar'!$A:$A,M35107,'Barang Keluar'!$C:$C,N35107))</f>
        <v>0</v>
      </c>
    </row>
    <row r="35108" spans="13:16">
      <c r="M35108" s="49">
        <f>IF($A$4+351&gt;$B$4,"",$A$4+351)</f>
        <v>46374</v>
      </c>
      <c r="N35108" t="str">
        <f>IF(M35108="","",'Master Barang'!A2)</f>
        <v>PRL-001</v>
      </c>
      <c r="O35108" t="str">
        <f>IF(N35108="","",'Master Barang'!B2)</f>
        <v>natura desinfectant food grade 5l</v>
      </c>
      <c r="P35108">
        <f>IF(OR(M35108="",N35108=""),"",SUMIFS('Barang Keluar'!$E:$E,'Barang Keluar'!$A:$A,M35108,'Barang Keluar'!$C:$C,N35108))</f>
        <v>0</v>
      </c>
    </row>
    <row r="35109" spans="13:16">
      <c r="M35109" s="49">
        <f>IF($A$4+351&gt;$B$4,"",$A$4+351)</f>
        <v>46374</v>
      </c>
      <c r="N35109" t="str">
        <f>IF(M35109="","",'Master Barang'!A3)</f>
        <v>PRL-002</v>
      </c>
      <c r="O35109" t="str">
        <f>IF(N35109="","",'Master Barang'!B3)</f>
        <v>sunlight cairan pencuci piring 5l</v>
      </c>
      <c r="P35109">
        <f>IF(OR(M35109="",N35109=""),"",SUMIFS('Barang Keluar'!$E:$E,'Barang Keluar'!$A:$A,M35109,'Barang Keluar'!$C:$C,N35109))</f>
        <v>0</v>
      </c>
    </row>
    <row r="35110" spans="13:16">
      <c r="M35110" s="49">
        <f>IF($A$4+351&gt;$B$4,"",$A$4+351)</f>
        <v>46374</v>
      </c>
      <c r="N35110" t="str">
        <f>IF(M35110="","",'Master Barang'!A4)</f>
        <v>PRL-003</v>
      </c>
      <c r="O35110" t="str">
        <f>IF(N35110="","",'Master Barang'!B4)</f>
        <v>oixs cleaner 1l</v>
      </c>
      <c r="P35110">
        <f>IF(OR(M35110="",N35110=""),"",SUMIFS('Barang Keluar'!$E:$E,'Barang Keluar'!$A:$A,M35110,'Barang Keluar'!$C:$C,N35110))</f>
        <v>0</v>
      </c>
    </row>
    <row r="35111" spans="13:16">
      <c r="M35111" s="49">
        <f>IF($A$4+351&gt;$B$4,"",$A$4+351)</f>
        <v>46374</v>
      </c>
      <c r="N35111" t="str">
        <f>IF(M35111="","",'Master Barang'!A5)</f>
        <v>PRL-004</v>
      </c>
      <c r="O35111" t="str">
        <f>IF(N35111="","",'Master Barang'!B5)</f>
        <v>be clean tissue serbaguna</v>
      </c>
      <c r="P35111">
        <f>IF(OR(M35111="",N35111=""),"",SUMIFS('Barang Keluar'!$E:$E,'Barang Keluar'!$A:$A,M35111,'Barang Keluar'!$C:$C,N35111))</f>
        <v>0</v>
      </c>
    </row>
    <row r="35112" spans="13:16">
      <c r="M35112" s="49">
        <f>IF($A$4+351&gt;$B$4,"",$A$4+351)</f>
        <v>46374</v>
      </c>
      <c r="N35112" t="str">
        <f>IF(M35112="","",'Master Barang'!A6)</f>
        <v>PRL-005</v>
      </c>
      <c r="O35112" t="str">
        <f>IF(N35112="","",'Master Barang'!B6)</f>
        <v>spons cuci hijau</v>
      </c>
      <c r="P35112">
        <f>IF(OR(M35112="",N35112=""),"",SUMIFS('Barang Keluar'!$E:$E,'Barang Keluar'!$A:$A,M35112,'Barang Keluar'!$C:$C,N35112))</f>
        <v>0</v>
      </c>
    </row>
    <row r="35113" spans="13:16">
      <c r="M35113" s="49">
        <f>IF($A$4+351&gt;$B$4,"",$A$4+351)</f>
        <v>46374</v>
      </c>
      <c r="N35113" t="str">
        <f>IF(M35113="","",'Master Barang'!A7)</f>
        <v>PRL-006</v>
      </c>
      <c r="O35113" t="str">
        <f>IF(N35113="","",'Master Barang'!B7)</f>
        <v>sabut cuci stainless</v>
      </c>
      <c r="P35113">
        <f>IF(OR(M35113="",N35113=""),"",SUMIFS('Barang Keluar'!$E:$E,'Barang Keluar'!$A:$A,M35113,'Barang Keluar'!$C:$C,N35113))</f>
        <v>0</v>
      </c>
    </row>
    <row r="35114" spans="13:16">
      <c r="M35114" s="49">
        <f>IF($A$4+351&gt;$B$4,"",$A$4+351)</f>
        <v>46374</v>
      </c>
      <c r="N35114" t="str">
        <f>IF(M35114="","",'Master Barang'!A8)</f>
        <v>PRL-007</v>
      </c>
      <c r="O35114" t="str">
        <f>IF(N35114="","",'Master Barang'!B8)</f>
        <v>plastik kresek besar merah 50pc</v>
      </c>
      <c r="P35114">
        <f>IF(OR(M35114="",N35114=""),"",SUMIFS('Barang Keluar'!$E:$E,'Barang Keluar'!$A:$A,M35114,'Barang Keluar'!$C:$C,N35114))</f>
        <v>0</v>
      </c>
    </row>
    <row r="35115" spans="13:16">
      <c r="M35115" s="49">
        <f>IF($A$4+351&gt;$B$4,"",$A$4+351)</f>
        <v>46374</v>
      </c>
      <c r="N35115" t="str">
        <f>IF(M35115="","",'Master Barang'!A9)</f>
        <v>PRL-008</v>
      </c>
      <c r="O35115" t="str">
        <f>IF(N35115="","",'Master Barang'!B9)</f>
        <v>lap besar</v>
      </c>
      <c r="P35115">
        <f>IF(OR(M35115="",N35115=""),"",SUMIFS('Barang Keluar'!$E:$E,'Barang Keluar'!$A:$A,M35115,'Barang Keluar'!$C:$C,N35115))</f>
        <v>0</v>
      </c>
    </row>
    <row r="35116" spans="13:16">
      <c r="M35116" s="49">
        <f>IF($A$4+351&gt;$B$4,"",$A$4+351)</f>
        <v>46374</v>
      </c>
      <c r="N35116" t="str">
        <f>IF(M35116="","",'Master Barang'!A10)</f>
        <v>PRL-009</v>
      </c>
      <c r="O35116" t="str">
        <f>IF(N35116="","",'Master Barang'!B10)</f>
        <v>lap microfiber</v>
      </c>
      <c r="P35116">
        <f>IF(OR(M35116="",N35116=""),"",SUMIFS('Barang Keluar'!$E:$E,'Barang Keluar'!$A:$A,M35116,'Barang Keluar'!$C:$C,N35116))</f>
        <v>0</v>
      </c>
    </row>
    <row r="35117" spans="13:16">
      <c r="M35117" s="49">
        <f>IF($A$4+351&gt;$B$4,"",$A$4+351)</f>
        <v>46374</v>
      </c>
      <c r="N35117" t="str">
        <f>IF(M35117="","",'Master Barang'!A11)</f>
        <v>PRL-010</v>
      </c>
      <c r="O35117" t="str">
        <f>IF(N35117="","",'Master Barang'!B11)</f>
        <v>lap kecil</v>
      </c>
      <c r="P35117">
        <f>IF(OR(M35117="",N35117=""),"",SUMIFS('Barang Keluar'!$E:$E,'Barang Keluar'!$A:$A,M35117,'Barang Keluar'!$C:$C,N35117))</f>
        <v>0</v>
      </c>
    </row>
    <row r="35118" spans="13:16">
      <c r="M35118" s="49">
        <f>IF($A$4+351&gt;$B$4,"",$A$4+351)</f>
        <v>46374</v>
      </c>
      <c r="N35118" t="str">
        <f>IF(M35118="","",'Master Barang'!A12)</f>
        <v>PRL-011</v>
      </c>
      <c r="O35118" t="str">
        <f>IF(N35118="","",'Master Barang'!B12)</f>
        <v>kanebo kecil</v>
      </c>
      <c r="P35118">
        <f>IF(OR(M35118="",N35118=""),"",SUMIFS('Barang Keluar'!$E:$E,'Barang Keluar'!$A:$A,M35118,'Barang Keluar'!$C:$C,N35118))</f>
        <v>0</v>
      </c>
    </row>
    <row r="35119" spans="13:16">
      <c r="M35119" s="49">
        <f>IF($A$4+351&gt;$B$4,"",$A$4+351)</f>
        <v>46374</v>
      </c>
      <c r="N35119" t="str">
        <f>IF(M35119="","",'Master Barang'!A13)</f>
        <v>PRL-012</v>
      </c>
      <c r="O35119" t="str">
        <f>IF(N35119="","",'Master Barang'!B13)</f>
        <v>plastik 1/4kg joyoboyo 100 lembar</v>
      </c>
      <c r="P35119">
        <f>IF(OR(M35119="",N35119=""),"",SUMIFS('Barang Keluar'!$E:$E,'Barang Keluar'!$A:$A,M35119,'Barang Keluar'!$C:$C,N35119))</f>
        <v>0</v>
      </c>
    </row>
    <row r="35120" spans="13:16">
      <c r="M35120" s="49">
        <f>IF($A$4+351&gt;$B$4,"",$A$4+351)</f>
        <v>46374</v>
      </c>
      <c r="N35120" t="str">
        <f>IF(M35120="","",'Master Barang'!A14)</f>
        <v>PRL-013</v>
      </c>
      <c r="O35120" t="str">
        <f>IF(N35120="","",'Master Barang'!B14)</f>
        <v>sarung tangan plastik kaka 100 pcs</v>
      </c>
      <c r="P35120">
        <f>IF(OR(M35120="",N35120=""),"",SUMIFS('Barang Keluar'!$E:$E,'Barang Keluar'!$A:$A,M35120,'Barang Keluar'!$C:$C,N35120))</f>
        <v>0</v>
      </c>
    </row>
    <row r="35121" spans="13:16">
      <c r="M35121" s="49">
        <f>IF($A$4+351&gt;$B$4,"",$A$4+351)</f>
        <v>46374</v>
      </c>
      <c r="N35121" t="str">
        <f>IF(M35121="","",'Master Barang'!A15)</f>
        <v>PRL-014</v>
      </c>
      <c r="O35121" t="str">
        <f>IF(N35121="","",'Master Barang'!B15)</f>
        <v>optima trashbag 80x100</v>
      </c>
      <c r="P35121">
        <f>IF(OR(M35121="",N35121=""),"",SUMIFS('Barang Keluar'!$E:$E,'Barang Keluar'!$A:$A,M35121,'Barang Keluar'!$C:$C,N35121))</f>
        <v>0</v>
      </c>
    </row>
    <row r="35122" spans="13:16">
      <c r="M35122" s="49">
        <f>IF($A$4+351&gt;$B$4,"",$A$4+351)</f>
        <v>46374</v>
      </c>
      <c r="N35122" t="str">
        <f>IF(M35122="","",'Master Barang'!A16)</f>
        <v>PRL-015</v>
      </c>
      <c r="O35122" t="str">
        <f>IF(N35122="","",'Master Barang'!B16)</f>
        <v>optima trashbag 60x100</v>
      </c>
      <c r="P35122">
        <f>IF(OR(M35122="",N35122=""),"",SUMIFS('Barang Keluar'!$E:$E,'Barang Keluar'!$A:$A,M35122,'Barang Keluar'!$C:$C,N35122))</f>
        <v>0</v>
      </c>
    </row>
    <row r="35123" spans="13:16">
      <c r="M35123" s="49">
        <f>IF($A$4+351&gt;$B$4,"",$A$4+351)</f>
        <v>46374</v>
      </c>
      <c r="N35123" t="str">
        <f>IF(M35123="","",'Master Barang'!A17)</f>
        <v>PRL-016</v>
      </c>
      <c r="O35123" t="str">
        <f>IF(N35123="","",'Master Barang'!B17)</f>
        <v>rajawali trashbag 30x40</v>
      </c>
      <c r="P35123">
        <f>IF(OR(M35123="",N35123=""),"",SUMIFS('Barang Keluar'!$E:$E,'Barang Keluar'!$A:$A,M35123,'Barang Keluar'!$C:$C,N35123))</f>
        <v>0</v>
      </c>
    </row>
    <row r="35124" spans="13:16">
      <c r="M35124" s="49">
        <f>IF($A$4+351&gt;$B$4,"",$A$4+351)</f>
        <v>46374</v>
      </c>
      <c r="N35124" t="str">
        <f>IF(M35124="","",'Master Barang'!A18)</f>
        <v>PRL-017</v>
      </c>
      <c r="O35124" t="str">
        <f>IF(N35124="","",'Master Barang'!B18)</f>
        <v>onemed masker biru 3 play 50 pcs</v>
      </c>
      <c r="P35124">
        <f>IF(OR(M35124="",N35124=""),"",SUMIFS('Barang Keluar'!$E:$E,'Barang Keluar'!$A:$A,M35124,'Barang Keluar'!$C:$C,N35124))</f>
        <v>0</v>
      </c>
    </row>
    <row r="35125" spans="13:16">
      <c r="M35125" s="49">
        <f>IF($A$4+351&gt;$B$4,"",$A$4+351)</f>
        <v>46374</v>
      </c>
      <c r="N35125" t="str">
        <f>IF(M35125="","",'Master Barang'!A19)</f>
        <v>PRL-018</v>
      </c>
      <c r="O35125" t="str">
        <f>IF(N35125="","",'Master Barang'!B19)</f>
        <v>onemed masker biru 3 play hijab 50 pcs</v>
      </c>
      <c r="P35125">
        <f>IF(OR(M35125="",N35125=""),"",SUMIFS('Barang Keluar'!$E:$E,'Barang Keluar'!$A:$A,M35125,'Barang Keluar'!$C:$C,N35125))</f>
        <v>0</v>
      </c>
    </row>
    <row r="35126" spans="13:16">
      <c r="M35126" s="49">
        <f>IF($A$4+351&gt;$B$4,"",$A$4+351)</f>
        <v>46374</v>
      </c>
      <c r="N35126" t="str">
        <f>IF(M35126="","",'Master Barang'!A20)</f>
        <v>PRL-019</v>
      </c>
      <c r="O35126" t="str">
        <f>IF(N35126="","",'Master Barang'!B20)</f>
        <v>neo health masker biru 3 play 50 pcs</v>
      </c>
      <c r="P35126">
        <f>IF(OR(M35126="",N35126=""),"",SUMIFS('Barang Keluar'!$E:$E,'Barang Keluar'!$A:$A,M35126,'Barang Keluar'!$C:$C,N35126))</f>
        <v>0</v>
      </c>
    </row>
    <row r="35127" spans="13:16">
      <c r="M35127" s="49">
        <f>IF($A$4+351&gt;$B$4,"",$A$4+351)</f>
        <v>46374</v>
      </c>
      <c r="N35127" t="str">
        <f>IF(M35127="","",'Master Barang'!A21)</f>
        <v>PRL-020</v>
      </c>
      <c r="O35127" t="str">
        <f>IF(N35127="","",'Master Barang'!B21)</f>
        <v>baymed masker hijau 3 play hijau 50 pcs</v>
      </c>
      <c r="P35127">
        <f>IF(OR(M35127="",N35127=""),"",SUMIFS('Barang Keluar'!$E:$E,'Barang Keluar'!$A:$A,M35127,'Barang Keluar'!$C:$C,N35127))</f>
        <v>0</v>
      </c>
    </row>
    <row r="35128" spans="13:16">
      <c r="M35128" s="49">
        <f>IF($A$4+351&gt;$B$4,"",$A$4+351)</f>
        <v>46374</v>
      </c>
      <c r="N35128" t="str">
        <f>IF(M35128="","",'Master Barang'!A22)</f>
        <v>PRL-021</v>
      </c>
      <c r="O35128" t="str">
        <f>IF(N35128="","",'Master Barang'!B22)</f>
        <v>altamed nurse cap penutup kepala 100 pcs</v>
      </c>
      <c r="P35128">
        <f>IF(OR(M35128="",N35128=""),"",SUMIFS('Barang Keluar'!$E:$E,'Barang Keluar'!$A:$A,M35128,'Barang Keluar'!$C:$C,N35128))</f>
        <v>0</v>
      </c>
    </row>
    <row r="35129" spans="13:16">
      <c r="M35129" s="49">
        <f>IF($A$4+351&gt;$B$4,"",$A$4+351)</f>
        <v>46374</v>
      </c>
      <c r="N35129" t="str">
        <f>IF(M35129="","",'Master Barang'!A23)</f>
        <v>PRL-022</v>
      </c>
      <c r="O35129" t="str">
        <f>IF(N35129="","",'Master Barang'!B23)</f>
        <v>sabun cuci tangan</v>
      </c>
      <c r="P35129">
        <f>IF(OR(M35129="",N35129=""),"",SUMIFS('Barang Keluar'!$E:$E,'Barang Keluar'!$A:$A,M35129,'Barang Keluar'!$C:$C,N35129))</f>
        <v>0</v>
      </c>
    </row>
    <row r="35130" spans="13:16">
      <c r="M35130" s="49">
        <f>IF($A$4+351&gt;$B$4,"",$A$4+351)</f>
        <v>46374</v>
      </c>
      <c r="N35130" t="str">
        <f>IF(M35130="","",'Master Barang'!A24)</f>
        <v>PRL-023</v>
      </c>
      <c r="O35130" t="str">
        <f>IF(N35130="","",'Master Barang'!B24)</f>
        <v>gayung kecil</v>
      </c>
      <c r="P35130">
        <f>IF(OR(M35130="",N35130=""),"",SUMIFS('Barang Keluar'!$E:$E,'Barang Keluar'!$A:$A,M35130,'Barang Keluar'!$C:$C,N35130))</f>
        <v>0</v>
      </c>
    </row>
    <row r="35131" spans="13:16">
      <c r="M35131" s="49">
        <f>IF($A$4+351&gt;$B$4,"",$A$4+351)</f>
        <v>46374</v>
      </c>
      <c r="N35131" t="str">
        <f>IF(M35131="","",'Master Barang'!A25)</f>
        <v>PRL-024</v>
      </c>
      <c r="O35131" t="str">
        <f>IF(N35131="","",'Master Barang'!B25)</f>
        <v>cikrak kecil</v>
      </c>
      <c r="P35131">
        <f>IF(OR(M35131="",N35131=""),"",SUMIFS('Barang Keluar'!$E:$E,'Barang Keluar'!$A:$A,M35131,'Barang Keluar'!$C:$C,N35131))</f>
        <v>0</v>
      </c>
    </row>
    <row r="35132" spans="13:16">
      <c r="M35132" s="49">
        <f>IF($A$4+351&gt;$B$4,"",$A$4+351)</f>
        <v>46374</v>
      </c>
      <c r="N35132" t="str">
        <f>IF(M35132="","",'Master Barang'!A26)</f>
        <v>PRL-025</v>
      </c>
      <c r="O35132" t="str">
        <f>IF(N35132="","",'Master Barang'!B26)</f>
        <v>petromax plastik kecil 12x24 100 lembar</v>
      </c>
      <c r="P35132">
        <f>IF(OR(M35132="",N35132=""),"",SUMIFS('Barang Keluar'!$E:$E,'Barang Keluar'!$A:$A,M35132,'Barang Keluar'!$C:$C,N35132))</f>
        <v>0</v>
      </c>
    </row>
    <row r="35133" spans="13:16">
      <c r="M35133" s="49">
        <f>IF($A$4+351&gt;$B$4,"",$A$4+351)</f>
        <v>46374</v>
      </c>
      <c r="N35133" t="str">
        <f>IF(M35133="","",'Master Barang'!A27)</f>
        <v>PRL-026</v>
      </c>
      <c r="O35133" t="str">
        <f>IF(N35133="","",'Master Barang'!B27)</f>
        <v>lancar kresek kecil bening </v>
      </c>
      <c r="P35133">
        <f>IF(OR(M35133="",N35133=""),"",SUMIFS('Barang Keluar'!$E:$E,'Barang Keluar'!$A:$A,M35133,'Barang Keluar'!$C:$C,N35133))</f>
        <v>0</v>
      </c>
    </row>
    <row r="35134" spans="13:16">
      <c r="M35134" s="49">
        <f>IF($A$4+351&gt;$B$4,"",$A$4+351)</f>
        <v>46374</v>
      </c>
      <c r="N35134" t="str">
        <f>IF(M35134="","",'Master Barang'!A28)</f>
        <v>PRL-027</v>
      </c>
      <c r="O35134" t="str">
        <f>IF(N35134="","",'Master Barang'!B28)</f>
        <v>kresek klin warna warni kecil</v>
      </c>
      <c r="P35134">
        <f>IF(OR(M35134="",N35134=""),"",SUMIFS('Barang Keluar'!$E:$E,'Barang Keluar'!$A:$A,M35134,'Barang Keluar'!$C:$C,N35134))</f>
        <v>0</v>
      </c>
    </row>
    <row r="35135" spans="13:16">
      <c r="M35135" s="49">
        <f>IF($A$4+351&gt;$B$4,"",$A$4+351)</f>
        <v>46374</v>
      </c>
      <c r="N35135" t="str">
        <f>IF(M35135="","",'Master Barang'!A29)</f>
        <v>PRL-028</v>
      </c>
      <c r="O35135" t="str">
        <f>IF(N35135="","",'Master Barang'!B29)</f>
        <v>ctik plastik 7x10 100 pcs</v>
      </c>
      <c r="P35135">
        <f>IF(OR(M35135="",N35135=""),"",SUMIFS('Barang Keluar'!$E:$E,'Barang Keluar'!$A:$A,M35135,'Barang Keluar'!$C:$C,N35135))</f>
        <v>0</v>
      </c>
    </row>
    <row r="35136" spans="13:16">
      <c r="M35136" s="49">
        <f>IF($A$4+351&gt;$B$4,"",$A$4+351)</f>
        <v>46374</v>
      </c>
      <c r="N35136" t="str">
        <f>IF(M35136="","",'Master Barang'!A30)</f>
        <v>PRL-029</v>
      </c>
      <c r="O35136" t="str">
        <f>IF(N35136="","",'Master Barang'!B30)</f>
        <v>ctik plastik 6x10 100 pcs</v>
      </c>
      <c r="P35136">
        <f>IF(OR(M35136="",N35136=""),"",SUMIFS('Barang Keluar'!$E:$E,'Barang Keluar'!$A:$A,M35136,'Barang Keluar'!$C:$C,N35136))</f>
        <v>0</v>
      </c>
    </row>
    <row r="35137" spans="13:16">
      <c r="M35137" s="49">
        <f>IF($A$4+351&gt;$B$4,"",$A$4+351)</f>
        <v>46374</v>
      </c>
      <c r="N35137" t="str">
        <f>IF(M35137="","",'Master Barang'!A31)</f>
        <v>PRL-030</v>
      </c>
      <c r="O35137" t="str">
        <f>IF(N35137="","",'Master Barang'!B31)</f>
        <v>klip plastik 25x16 100 pcs</v>
      </c>
      <c r="P35137">
        <f>IF(OR(M35137="",N35137=""),"",SUMIFS('Barang Keluar'!$E:$E,'Barang Keluar'!$A:$A,M35137,'Barang Keluar'!$C:$C,N35137))</f>
        <v>0</v>
      </c>
    </row>
    <row r="35138" spans="13:16">
      <c r="M35138" s="49">
        <f>IF($A$4+351&gt;$B$4,"",$A$4+351)</f>
        <v>46374</v>
      </c>
      <c r="N35138" t="str">
        <f>IF(M35138="","",'Master Barang'!A32)</f>
        <v>PRL-031</v>
      </c>
      <c r="O35138" t="str">
        <f>IF(N35138="","",'Master Barang'!B32)</f>
        <v>tempat saus 20 ml</v>
      </c>
      <c r="P35138">
        <f>IF(OR(M35138="",N35138=""),"",SUMIFS('Barang Keluar'!$E:$E,'Barang Keluar'!$A:$A,M35138,'Barang Keluar'!$C:$C,N35138))</f>
        <v>0</v>
      </c>
    </row>
    <row r="35139" spans="13:16">
      <c r="M35139" s="49">
        <f>IF($A$4+351&gt;$B$4,"",$A$4+351)</f>
        <v>46374</v>
      </c>
      <c r="N35139" t="str">
        <f>IF(M35139="","",'Master Barang'!A33)</f>
        <v>PRL-032</v>
      </c>
      <c r="O35139" t="str">
        <f>IF(N35139="","",'Master Barang'!B33)</f>
        <v>plastik packaging ag box uk sedang</v>
      </c>
      <c r="P35139">
        <f>IF(OR(M35139="",N35139=""),"",SUMIFS('Barang Keluar'!$E:$E,'Barang Keluar'!$A:$A,M35139,'Barang Keluar'!$C:$C,N35139))</f>
        <v>0</v>
      </c>
    </row>
    <row r="35140" spans="13:16">
      <c r="M35140" s="49">
        <f>IF($A$4+351&gt;$B$4,"",$A$4+351)</f>
        <v>46374</v>
      </c>
      <c r="N35140" t="str">
        <f>IF(M35140="","",'Master Barang'!A34)</f>
        <v>PRL-033</v>
      </c>
      <c r="O35140">
        <f>IF(N35140="","",'Master Barang'!B34)</f>
        <v>0</v>
      </c>
      <c r="P35140">
        <f>IF(OR(M35140="",N35140=""),"",SUMIFS('Barang Keluar'!$E:$E,'Barang Keluar'!$A:$A,M35140,'Barang Keluar'!$C:$C,N35140))</f>
        <v>0</v>
      </c>
    </row>
    <row r="35141" spans="13:16">
      <c r="M35141" s="49">
        <f>IF($A$4+351&gt;$B$4,"",$A$4+351)</f>
        <v>46374</v>
      </c>
      <c r="N35141">
        <f>IF(M35141="","",'Master Barang'!A35)</f>
        <v>0</v>
      </c>
      <c r="O35141">
        <f>IF(N35141="","",'Master Barang'!B35)</f>
        <v>0</v>
      </c>
      <c r="P35141">
        <f>IF(OR(M35141="",N35141=""),"",SUMIFS('Barang Keluar'!$E:$E,'Barang Keluar'!$A:$A,M35141,'Barang Keluar'!$C:$C,N35141))</f>
        <v>0</v>
      </c>
    </row>
    <row r="35142" spans="13:16">
      <c r="M35142" s="49">
        <f>IF($A$4+351&gt;$B$4,"",$A$4+351)</f>
        <v>46374</v>
      </c>
      <c r="N35142">
        <f>IF(M35142="","",'Master Barang'!A36)</f>
        <v>0</v>
      </c>
      <c r="O35142">
        <f>IF(N35142="","",'Master Barang'!B36)</f>
        <v>0</v>
      </c>
      <c r="P35142">
        <f>IF(OR(M35142="",N35142=""),"",SUMIFS('Barang Keluar'!$E:$E,'Barang Keluar'!$A:$A,M35142,'Barang Keluar'!$C:$C,N35142))</f>
        <v>0</v>
      </c>
    </row>
    <row r="35143" spans="13:16">
      <c r="M35143" s="49">
        <f>IF($A$4+351&gt;$B$4,"",$A$4+351)</f>
        <v>46374</v>
      </c>
      <c r="N35143">
        <f>IF(M35143="","",'Master Barang'!A37)</f>
        <v>0</v>
      </c>
      <c r="O35143">
        <f>IF(N35143="","",'Master Barang'!B37)</f>
        <v>0</v>
      </c>
      <c r="P35143">
        <f>IF(OR(M35143="",N35143=""),"",SUMIFS('Barang Keluar'!$E:$E,'Barang Keluar'!$A:$A,M35143,'Barang Keluar'!$C:$C,N35143))</f>
        <v>0</v>
      </c>
    </row>
    <row r="35144" spans="13:16">
      <c r="M35144" s="49">
        <f>IF($A$4+351&gt;$B$4,"",$A$4+351)</f>
        <v>46374</v>
      </c>
      <c r="N35144">
        <f>IF(M35144="","",'Master Barang'!A38)</f>
        <v>0</v>
      </c>
      <c r="O35144">
        <f>IF(N35144="","",'Master Barang'!B38)</f>
        <v>0</v>
      </c>
      <c r="P35144">
        <f>IF(OR(M35144="",N35144=""),"",SUMIFS('Barang Keluar'!$E:$E,'Barang Keluar'!$A:$A,M35144,'Barang Keluar'!$C:$C,N35144))</f>
        <v>0</v>
      </c>
    </row>
    <row r="35145" spans="13:16">
      <c r="M35145" s="49">
        <f>IF($A$4+351&gt;$B$4,"",$A$4+351)</f>
        <v>46374</v>
      </c>
      <c r="N35145">
        <f>IF(M35145="","",'Master Barang'!A39)</f>
        <v>0</v>
      </c>
      <c r="O35145">
        <f>IF(N35145="","",'Master Barang'!B39)</f>
        <v>0</v>
      </c>
      <c r="P35145">
        <f>IF(OR(M35145="",N35145=""),"",SUMIFS('Barang Keluar'!$E:$E,'Barang Keluar'!$A:$A,M35145,'Barang Keluar'!$C:$C,N35145))</f>
        <v>0</v>
      </c>
    </row>
    <row r="35146" spans="13:16">
      <c r="M35146" s="49">
        <f>IF($A$4+351&gt;$B$4,"",$A$4+351)</f>
        <v>46374</v>
      </c>
      <c r="N35146">
        <f>IF(M35146="","",'Master Barang'!A40)</f>
        <v>0</v>
      </c>
      <c r="O35146">
        <f>IF(N35146="","",'Master Barang'!B40)</f>
        <v>0</v>
      </c>
      <c r="P35146">
        <f>IF(OR(M35146="",N35146=""),"",SUMIFS('Barang Keluar'!$E:$E,'Barang Keluar'!$A:$A,M35146,'Barang Keluar'!$C:$C,N35146))</f>
        <v>0</v>
      </c>
    </row>
    <row r="35147" spans="13:16">
      <c r="M35147" s="49">
        <f>IF($A$4+351&gt;$B$4,"",$A$4+351)</f>
        <v>46374</v>
      </c>
      <c r="N35147">
        <f>IF(M35147="","",'Master Barang'!A41)</f>
        <v>0</v>
      </c>
      <c r="O35147">
        <f>IF(N35147="","",'Master Barang'!B41)</f>
        <v>0</v>
      </c>
      <c r="P35147">
        <f>IF(OR(M35147="",N35147=""),"",SUMIFS('Barang Keluar'!$E:$E,'Barang Keluar'!$A:$A,M35147,'Barang Keluar'!$C:$C,N35147))</f>
        <v>0</v>
      </c>
    </row>
    <row r="35148" spans="13:16">
      <c r="M35148" s="49">
        <f>IF($A$4+351&gt;$B$4,"",$A$4+351)</f>
        <v>46374</v>
      </c>
      <c r="N35148">
        <f>IF(M35148="","",'Master Barang'!A42)</f>
        <v>0</v>
      </c>
      <c r="O35148">
        <f>IF(N35148="","",'Master Barang'!B42)</f>
        <v>0</v>
      </c>
      <c r="P35148">
        <f>IF(OR(M35148="",N35148=""),"",SUMIFS('Barang Keluar'!$E:$E,'Barang Keluar'!$A:$A,M35148,'Barang Keluar'!$C:$C,N35148))</f>
        <v>0</v>
      </c>
    </row>
    <row r="35149" spans="13:16">
      <c r="M35149" s="49">
        <f>IF($A$4+351&gt;$B$4,"",$A$4+351)</f>
        <v>46374</v>
      </c>
      <c r="N35149">
        <f>IF(M35149="","",'Master Barang'!A43)</f>
        <v>0</v>
      </c>
      <c r="O35149">
        <f>IF(N35149="","",'Master Barang'!B43)</f>
        <v>0</v>
      </c>
      <c r="P35149">
        <f>IF(OR(M35149="",N35149=""),"",SUMIFS('Barang Keluar'!$E:$E,'Barang Keluar'!$A:$A,M35149,'Barang Keluar'!$C:$C,N35149))</f>
        <v>0</v>
      </c>
    </row>
    <row r="35150" spans="13:16">
      <c r="M35150" s="49">
        <f>IF($A$4+351&gt;$B$4,"",$A$4+351)</f>
        <v>46374</v>
      </c>
      <c r="N35150">
        <f>IF(M35150="","",'Master Barang'!A44)</f>
        <v>0</v>
      </c>
      <c r="O35150">
        <f>IF(N35150="","",'Master Barang'!B44)</f>
        <v>0</v>
      </c>
      <c r="P35150">
        <f>IF(OR(M35150="",N35150=""),"",SUMIFS('Barang Keluar'!$E:$E,'Barang Keluar'!$A:$A,M35150,'Barang Keluar'!$C:$C,N35150))</f>
        <v>0</v>
      </c>
    </row>
    <row r="35151" spans="13:16">
      <c r="M35151" s="49">
        <f>IF($A$4+351&gt;$B$4,"",$A$4+351)</f>
        <v>46374</v>
      </c>
      <c r="N35151">
        <f>IF(M35151="","",'Master Barang'!A45)</f>
        <v>0</v>
      </c>
      <c r="O35151">
        <f>IF(N35151="","",'Master Barang'!B45)</f>
        <v>0</v>
      </c>
      <c r="P35151">
        <f>IF(OR(M35151="",N35151=""),"",SUMIFS('Barang Keluar'!$E:$E,'Barang Keluar'!$A:$A,M35151,'Barang Keluar'!$C:$C,N35151))</f>
        <v>0</v>
      </c>
    </row>
    <row r="35152" spans="13:16">
      <c r="M35152" s="49">
        <f>IF($A$4+351&gt;$B$4,"",$A$4+351)</f>
        <v>46374</v>
      </c>
      <c r="N35152">
        <f>IF(M35152="","",'Master Barang'!A46)</f>
        <v>0</v>
      </c>
      <c r="O35152">
        <f>IF(N35152="","",'Master Barang'!B46)</f>
        <v>0</v>
      </c>
      <c r="P35152">
        <f>IF(OR(M35152="",N35152=""),"",SUMIFS('Barang Keluar'!$E:$E,'Barang Keluar'!$A:$A,M35152,'Barang Keluar'!$C:$C,N35152))</f>
        <v>0</v>
      </c>
    </row>
    <row r="35153" spans="13:16">
      <c r="M35153" s="49">
        <f>IF($A$4+351&gt;$B$4,"",$A$4+351)</f>
        <v>46374</v>
      </c>
      <c r="N35153">
        <f>IF(M35153="","",'Master Barang'!A47)</f>
        <v>0</v>
      </c>
      <c r="O35153">
        <f>IF(N35153="","",'Master Barang'!B47)</f>
        <v>0</v>
      </c>
      <c r="P35153">
        <f>IF(OR(M35153="",N35153=""),"",SUMIFS('Barang Keluar'!$E:$E,'Barang Keluar'!$A:$A,M35153,'Barang Keluar'!$C:$C,N35153))</f>
        <v>0</v>
      </c>
    </row>
    <row r="35154" spans="13:16">
      <c r="M35154" s="49">
        <f>IF($A$4+351&gt;$B$4,"",$A$4+351)</f>
        <v>46374</v>
      </c>
      <c r="N35154">
        <f>IF(M35154="","",'Master Barang'!A48)</f>
        <v>0</v>
      </c>
      <c r="O35154">
        <f>IF(N35154="","",'Master Barang'!B48)</f>
        <v>0</v>
      </c>
      <c r="P35154">
        <f>IF(OR(M35154="",N35154=""),"",SUMIFS('Barang Keluar'!$E:$E,'Barang Keluar'!$A:$A,M35154,'Barang Keluar'!$C:$C,N35154))</f>
        <v>0</v>
      </c>
    </row>
    <row r="35155" spans="13:16">
      <c r="M35155" s="49">
        <f>IF($A$4+351&gt;$B$4,"",$A$4+351)</f>
        <v>46374</v>
      </c>
      <c r="N35155">
        <f>IF(M35155="","",'Master Barang'!A49)</f>
        <v>0</v>
      </c>
      <c r="O35155">
        <f>IF(N35155="","",'Master Barang'!B49)</f>
        <v>0</v>
      </c>
      <c r="P35155">
        <f>IF(OR(M35155="",N35155=""),"",SUMIFS('Barang Keluar'!$E:$E,'Barang Keluar'!$A:$A,M35155,'Barang Keluar'!$C:$C,N35155))</f>
        <v>0</v>
      </c>
    </row>
    <row r="35156" spans="13:16">
      <c r="M35156" s="49">
        <f>IF($A$4+351&gt;$B$4,"",$A$4+351)</f>
        <v>46374</v>
      </c>
      <c r="N35156">
        <f>IF(M35156="","",'Master Barang'!A50)</f>
        <v>0</v>
      </c>
      <c r="O35156">
        <f>IF(N35156="","",'Master Barang'!B50)</f>
        <v>0</v>
      </c>
      <c r="P35156">
        <f>IF(OR(M35156="",N35156=""),"",SUMIFS('Barang Keluar'!$E:$E,'Barang Keluar'!$A:$A,M35156,'Barang Keluar'!$C:$C,N35156))</f>
        <v>0</v>
      </c>
    </row>
    <row r="35157" spans="13:16">
      <c r="M35157" s="49">
        <f>IF($A$4+351&gt;$B$4,"",$A$4+351)</f>
        <v>46374</v>
      </c>
      <c r="N35157">
        <f>IF(M35157="","",'Master Barang'!A51)</f>
        <v>0</v>
      </c>
      <c r="O35157">
        <f>IF(N35157="","",'Master Barang'!B51)</f>
        <v>0</v>
      </c>
      <c r="P35157">
        <f>IF(OR(M35157="",N35157=""),"",SUMIFS('Barang Keluar'!$E:$E,'Barang Keluar'!$A:$A,M35157,'Barang Keluar'!$C:$C,N35157))</f>
        <v>0</v>
      </c>
    </row>
    <row r="35158" spans="13:16">
      <c r="M35158" s="49">
        <f>IF($A$4+351&gt;$B$4,"",$A$4+351)</f>
        <v>46374</v>
      </c>
      <c r="N35158">
        <f>IF(M35158="","",'Master Barang'!A52)</f>
        <v>0</v>
      </c>
      <c r="O35158">
        <f>IF(N35158="","",'Master Barang'!B52)</f>
        <v>0</v>
      </c>
      <c r="P35158">
        <f>IF(OR(M35158="",N35158=""),"",SUMIFS('Barang Keluar'!$E:$E,'Barang Keluar'!$A:$A,M35158,'Barang Keluar'!$C:$C,N35158))</f>
        <v>0</v>
      </c>
    </row>
    <row r="35159" spans="13:16">
      <c r="M35159" s="49">
        <f>IF($A$4+351&gt;$B$4,"",$A$4+351)</f>
        <v>46374</v>
      </c>
      <c r="N35159">
        <f>IF(M35159="","",'Master Barang'!A53)</f>
        <v>0</v>
      </c>
      <c r="O35159">
        <f>IF(N35159="","",'Master Barang'!B53)</f>
        <v>0</v>
      </c>
      <c r="P35159">
        <f>IF(OR(M35159="",N35159=""),"",SUMIFS('Barang Keluar'!$E:$E,'Barang Keluar'!$A:$A,M35159,'Barang Keluar'!$C:$C,N35159))</f>
        <v>0</v>
      </c>
    </row>
    <row r="35160" spans="13:16">
      <c r="M35160" s="49">
        <f>IF($A$4+351&gt;$B$4,"",$A$4+351)</f>
        <v>46374</v>
      </c>
      <c r="N35160">
        <f>IF(M35160="","",'Master Barang'!A54)</f>
        <v>0</v>
      </c>
      <c r="O35160">
        <f>IF(N35160="","",'Master Barang'!B54)</f>
        <v>0</v>
      </c>
      <c r="P35160">
        <f>IF(OR(M35160="",N35160=""),"",SUMIFS('Barang Keluar'!$E:$E,'Barang Keluar'!$A:$A,M35160,'Barang Keluar'!$C:$C,N35160))</f>
        <v>0</v>
      </c>
    </row>
    <row r="35161" spans="13:16">
      <c r="M35161" s="49">
        <f>IF($A$4+351&gt;$B$4,"",$A$4+351)</f>
        <v>46374</v>
      </c>
      <c r="N35161">
        <f>IF(M35161="","",'Master Barang'!A55)</f>
        <v>0</v>
      </c>
      <c r="O35161">
        <f>IF(N35161="","",'Master Barang'!B55)</f>
        <v>0</v>
      </c>
      <c r="P35161">
        <f>IF(OR(M35161="",N35161=""),"",SUMIFS('Barang Keluar'!$E:$E,'Barang Keluar'!$A:$A,M35161,'Barang Keluar'!$C:$C,N35161))</f>
        <v>0</v>
      </c>
    </row>
    <row r="35162" spans="13:16">
      <c r="M35162" s="49">
        <f>IF($A$4+351&gt;$B$4,"",$A$4+351)</f>
        <v>46374</v>
      </c>
      <c r="N35162">
        <f>IF(M35162="","",'Master Barang'!A56)</f>
        <v>0</v>
      </c>
      <c r="O35162">
        <f>IF(N35162="","",'Master Barang'!B56)</f>
        <v>0</v>
      </c>
      <c r="P35162">
        <f>IF(OR(M35162="",N35162=""),"",SUMIFS('Barang Keluar'!$E:$E,'Barang Keluar'!$A:$A,M35162,'Barang Keluar'!$C:$C,N35162))</f>
        <v>0</v>
      </c>
    </row>
    <row r="35163" spans="13:16">
      <c r="M35163" s="49">
        <f>IF($A$4+351&gt;$B$4,"",$A$4+351)</f>
        <v>46374</v>
      </c>
      <c r="N35163">
        <f>IF(M35163="","",'Master Barang'!A57)</f>
        <v>0</v>
      </c>
      <c r="O35163">
        <f>IF(N35163="","",'Master Barang'!B57)</f>
        <v>0</v>
      </c>
      <c r="P35163">
        <f>IF(OR(M35163="",N35163=""),"",SUMIFS('Barang Keluar'!$E:$E,'Barang Keluar'!$A:$A,M35163,'Barang Keluar'!$C:$C,N35163))</f>
        <v>0</v>
      </c>
    </row>
    <row r="35164" spans="13:16">
      <c r="M35164" s="49">
        <f>IF($A$4+351&gt;$B$4,"",$A$4+351)</f>
        <v>46374</v>
      </c>
      <c r="N35164">
        <f>IF(M35164="","",'Master Barang'!A58)</f>
        <v>0</v>
      </c>
      <c r="O35164">
        <f>IF(N35164="","",'Master Barang'!B58)</f>
        <v>0</v>
      </c>
      <c r="P35164">
        <f>IF(OR(M35164="",N35164=""),"",SUMIFS('Barang Keluar'!$E:$E,'Barang Keluar'!$A:$A,M35164,'Barang Keluar'!$C:$C,N35164))</f>
        <v>0</v>
      </c>
    </row>
    <row r="35165" spans="13:16">
      <c r="M35165" s="49">
        <f>IF($A$4+351&gt;$B$4,"",$A$4+351)</f>
        <v>46374</v>
      </c>
      <c r="N35165">
        <f>IF(M35165="","",'Master Barang'!A59)</f>
        <v>0</v>
      </c>
      <c r="O35165">
        <f>IF(N35165="","",'Master Barang'!B59)</f>
        <v>0</v>
      </c>
      <c r="P35165">
        <f>IF(OR(M35165="",N35165=""),"",SUMIFS('Barang Keluar'!$E:$E,'Barang Keluar'!$A:$A,M35165,'Barang Keluar'!$C:$C,N35165))</f>
        <v>0</v>
      </c>
    </row>
    <row r="35166" spans="13:16">
      <c r="M35166" s="49">
        <f>IF($A$4+351&gt;$B$4,"",$A$4+351)</f>
        <v>46374</v>
      </c>
      <c r="N35166">
        <f>IF(M35166="","",'Master Barang'!A60)</f>
        <v>0</v>
      </c>
      <c r="O35166">
        <f>IF(N35166="","",'Master Barang'!B60)</f>
        <v>0</v>
      </c>
      <c r="P35166">
        <f>IF(OR(M35166="",N35166=""),"",SUMIFS('Barang Keluar'!$E:$E,'Barang Keluar'!$A:$A,M35166,'Barang Keluar'!$C:$C,N35166))</f>
        <v>0</v>
      </c>
    </row>
    <row r="35167" spans="13:16">
      <c r="M35167" s="49">
        <f>IF($A$4+351&gt;$B$4,"",$A$4+351)</f>
        <v>46374</v>
      </c>
      <c r="N35167">
        <f>IF(M35167="","",'Master Barang'!A61)</f>
        <v>0</v>
      </c>
      <c r="O35167">
        <f>IF(N35167="","",'Master Barang'!B61)</f>
        <v>0</v>
      </c>
      <c r="P35167">
        <f>IF(OR(M35167="",N35167=""),"",SUMIFS('Barang Keluar'!$E:$E,'Barang Keluar'!$A:$A,M35167,'Barang Keluar'!$C:$C,N35167))</f>
        <v>0</v>
      </c>
    </row>
    <row r="35168" spans="13:16">
      <c r="M35168" s="49">
        <f>IF($A$4+351&gt;$B$4,"",$A$4+351)</f>
        <v>46374</v>
      </c>
      <c r="N35168">
        <f>IF(M35168="","",'Master Barang'!A62)</f>
        <v>0</v>
      </c>
      <c r="O35168">
        <f>IF(N35168="","",'Master Barang'!B62)</f>
        <v>0</v>
      </c>
      <c r="P35168">
        <f>IF(OR(M35168="",N35168=""),"",SUMIFS('Barang Keluar'!$E:$E,'Barang Keluar'!$A:$A,M35168,'Barang Keluar'!$C:$C,N35168))</f>
        <v>0</v>
      </c>
    </row>
    <row r="35169" spans="13:16">
      <c r="M35169" s="49">
        <f>IF($A$4+351&gt;$B$4,"",$A$4+351)</f>
        <v>46374</v>
      </c>
      <c r="N35169">
        <f>IF(M35169="","",'Master Barang'!A63)</f>
        <v>0</v>
      </c>
      <c r="O35169">
        <f>IF(N35169="","",'Master Barang'!B63)</f>
        <v>0</v>
      </c>
      <c r="P35169">
        <f>IF(OR(M35169="",N35169=""),"",SUMIFS('Barang Keluar'!$E:$E,'Barang Keluar'!$A:$A,M35169,'Barang Keluar'!$C:$C,N35169))</f>
        <v>0</v>
      </c>
    </row>
    <row r="35170" spans="13:16">
      <c r="M35170" s="49">
        <f>IF($A$4+351&gt;$B$4,"",$A$4+351)</f>
        <v>46374</v>
      </c>
      <c r="N35170">
        <f>IF(M35170="","",'Master Barang'!A64)</f>
        <v>0</v>
      </c>
      <c r="O35170">
        <f>IF(N35170="","",'Master Barang'!B64)</f>
        <v>0</v>
      </c>
      <c r="P35170">
        <f>IF(OR(M35170="",N35170=""),"",SUMIFS('Barang Keluar'!$E:$E,'Barang Keluar'!$A:$A,M35170,'Barang Keluar'!$C:$C,N35170))</f>
        <v>0</v>
      </c>
    </row>
    <row r="35171" spans="13:16">
      <c r="M35171" s="49">
        <f>IF($A$4+351&gt;$B$4,"",$A$4+351)</f>
        <v>46374</v>
      </c>
      <c r="N35171">
        <f>IF(M35171="","",'Master Barang'!A65)</f>
        <v>0</v>
      </c>
      <c r="O35171">
        <f>IF(N35171="","",'Master Barang'!B65)</f>
        <v>0</v>
      </c>
      <c r="P35171">
        <f>IF(OR(M35171="",N35171=""),"",SUMIFS('Barang Keluar'!$E:$E,'Barang Keluar'!$A:$A,M35171,'Barang Keluar'!$C:$C,N35171))</f>
        <v>0</v>
      </c>
    </row>
    <row r="35172" spans="13:16">
      <c r="M35172" s="49">
        <f>IF($A$4+351&gt;$B$4,"",$A$4+351)</f>
        <v>46374</v>
      </c>
      <c r="N35172">
        <f>IF(M35172="","",'Master Barang'!A66)</f>
        <v>0</v>
      </c>
      <c r="O35172">
        <f>IF(N35172="","",'Master Barang'!B66)</f>
        <v>0</v>
      </c>
      <c r="P35172">
        <f>IF(OR(M35172="",N35172=""),"",SUMIFS('Barang Keluar'!$E:$E,'Barang Keluar'!$A:$A,M35172,'Barang Keluar'!$C:$C,N35172))</f>
        <v>0</v>
      </c>
    </row>
    <row r="35173" spans="13:16">
      <c r="M35173" s="49">
        <f>IF($A$4+351&gt;$B$4,"",$A$4+351)</f>
        <v>46374</v>
      </c>
      <c r="N35173">
        <f>IF(M35173="","",'Master Barang'!A67)</f>
        <v>0</v>
      </c>
      <c r="O35173">
        <f>IF(N35173="","",'Master Barang'!B67)</f>
        <v>0</v>
      </c>
      <c r="P35173">
        <f>IF(OR(M35173="",N35173=""),"",SUMIFS('Barang Keluar'!$E:$E,'Barang Keluar'!$A:$A,M35173,'Barang Keluar'!$C:$C,N35173))</f>
        <v>0</v>
      </c>
    </row>
    <row r="35174" spans="13:16">
      <c r="M35174" s="49">
        <f>IF($A$4+351&gt;$B$4,"",$A$4+351)</f>
        <v>46374</v>
      </c>
      <c r="N35174">
        <f>IF(M35174="","",'Master Barang'!A68)</f>
        <v>0</v>
      </c>
      <c r="O35174">
        <f>IF(N35174="","",'Master Barang'!B68)</f>
        <v>0</v>
      </c>
      <c r="P35174">
        <f>IF(OR(M35174="",N35174=""),"",SUMIFS('Barang Keluar'!$E:$E,'Barang Keluar'!$A:$A,M35174,'Barang Keluar'!$C:$C,N35174))</f>
        <v>0</v>
      </c>
    </row>
    <row r="35175" spans="13:16">
      <c r="M35175" s="49">
        <f>IF($A$4+351&gt;$B$4,"",$A$4+351)</f>
        <v>46374</v>
      </c>
      <c r="N35175">
        <f>IF(M35175="","",'Master Barang'!A69)</f>
        <v>0</v>
      </c>
      <c r="O35175">
        <f>IF(N35175="","",'Master Barang'!B69)</f>
        <v>0</v>
      </c>
      <c r="P35175">
        <f>IF(OR(M35175="",N35175=""),"",SUMIFS('Barang Keluar'!$E:$E,'Barang Keluar'!$A:$A,M35175,'Barang Keluar'!$C:$C,N35175))</f>
        <v>0</v>
      </c>
    </row>
    <row r="35176" spans="13:16">
      <c r="M35176" s="49">
        <f>IF($A$4+351&gt;$B$4,"",$A$4+351)</f>
        <v>46374</v>
      </c>
      <c r="N35176">
        <f>IF(M35176="","",'Master Barang'!A70)</f>
        <v>0</v>
      </c>
      <c r="O35176">
        <f>IF(N35176="","",'Master Barang'!B70)</f>
        <v>0</v>
      </c>
      <c r="P35176">
        <f>IF(OR(M35176="",N35176=""),"",SUMIFS('Barang Keluar'!$E:$E,'Barang Keluar'!$A:$A,M35176,'Barang Keluar'!$C:$C,N35176))</f>
        <v>0</v>
      </c>
    </row>
    <row r="35177" spans="13:16">
      <c r="M35177" s="49">
        <f>IF($A$4+351&gt;$B$4,"",$A$4+351)</f>
        <v>46374</v>
      </c>
      <c r="N35177">
        <f>IF(M35177="","",'Master Barang'!A71)</f>
        <v>0</v>
      </c>
      <c r="O35177">
        <f>IF(N35177="","",'Master Barang'!B71)</f>
        <v>0</v>
      </c>
      <c r="P35177">
        <f>IF(OR(M35177="",N35177=""),"",SUMIFS('Barang Keluar'!$E:$E,'Barang Keluar'!$A:$A,M35177,'Barang Keluar'!$C:$C,N35177))</f>
        <v>0</v>
      </c>
    </row>
    <row r="35178" spans="13:16">
      <c r="M35178" s="49">
        <f>IF($A$4+351&gt;$B$4,"",$A$4+351)</f>
        <v>46374</v>
      </c>
      <c r="N35178">
        <f>IF(M35178="","",'Master Barang'!A72)</f>
        <v>0</v>
      </c>
      <c r="O35178">
        <f>IF(N35178="","",'Master Barang'!B72)</f>
        <v>0</v>
      </c>
      <c r="P35178">
        <f>IF(OR(M35178="",N35178=""),"",SUMIFS('Barang Keluar'!$E:$E,'Barang Keluar'!$A:$A,M35178,'Barang Keluar'!$C:$C,N35178))</f>
        <v>0</v>
      </c>
    </row>
    <row r="35179" spans="13:16">
      <c r="M35179" s="49">
        <f>IF($A$4+351&gt;$B$4,"",$A$4+351)</f>
        <v>46374</v>
      </c>
      <c r="N35179">
        <f>IF(M35179="","",'Master Barang'!A73)</f>
        <v>0</v>
      </c>
      <c r="O35179">
        <f>IF(N35179="","",'Master Barang'!B73)</f>
        <v>0</v>
      </c>
      <c r="P35179">
        <f>IF(OR(M35179="",N35179=""),"",SUMIFS('Barang Keluar'!$E:$E,'Barang Keluar'!$A:$A,M35179,'Barang Keluar'!$C:$C,N35179))</f>
        <v>0</v>
      </c>
    </row>
    <row r="35180" spans="13:16">
      <c r="M35180" s="49">
        <f>IF($A$4+351&gt;$B$4,"",$A$4+351)</f>
        <v>46374</v>
      </c>
      <c r="N35180">
        <f>IF(M35180="","",'Master Barang'!A74)</f>
        <v>0</v>
      </c>
      <c r="O35180">
        <f>IF(N35180="","",'Master Barang'!B74)</f>
        <v>0</v>
      </c>
      <c r="P35180">
        <f>IF(OR(M35180="",N35180=""),"",SUMIFS('Barang Keluar'!$E:$E,'Barang Keluar'!$A:$A,M35180,'Barang Keluar'!$C:$C,N35180))</f>
        <v>0</v>
      </c>
    </row>
    <row r="35181" spans="13:16">
      <c r="M35181" s="49">
        <f>IF($A$4+351&gt;$B$4,"",$A$4+351)</f>
        <v>46374</v>
      </c>
      <c r="N35181">
        <f>IF(M35181="","",'Master Barang'!A75)</f>
        <v>0</v>
      </c>
      <c r="O35181">
        <f>IF(N35181="","",'Master Barang'!B75)</f>
        <v>0</v>
      </c>
      <c r="P35181">
        <f>IF(OR(M35181="",N35181=""),"",SUMIFS('Barang Keluar'!$E:$E,'Barang Keluar'!$A:$A,M35181,'Barang Keluar'!$C:$C,N35181))</f>
        <v>0</v>
      </c>
    </row>
    <row r="35182" spans="13:16">
      <c r="M35182" s="49">
        <f>IF($A$4+351&gt;$B$4,"",$A$4+351)</f>
        <v>46374</v>
      </c>
      <c r="N35182">
        <f>IF(M35182="","",'Master Barang'!A76)</f>
        <v>0</v>
      </c>
      <c r="O35182">
        <f>IF(N35182="","",'Master Barang'!B76)</f>
        <v>0</v>
      </c>
      <c r="P35182">
        <f>IF(OR(M35182="",N35182=""),"",SUMIFS('Barang Keluar'!$E:$E,'Barang Keluar'!$A:$A,M35182,'Barang Keluar'!$C:$C,N35182))</f>
        <v>0</v>
      </c>
    </row>
    <row r="35183" spans="13:16">
      <c r="M35183" s="49">
        <f>IF($A$4+351&gt;$B$4,"",$A$4+351)</f>
        <v>46374</v>
      </c>
      <c r="N35183">
        <f>IF(M35183="","",'Master Barang'!A77)</f>
        <v>0</v>
      </c>
      <c r="O35183">
        <f>IF(N35183="","",'Master Barang'!B77)</f>
        <v>0</v>
      </c>
      <c r="P35183">
        <f>IF(OR(M35183="",N35183=""),"",SUMIFS('Barang Keluar'!$E:$E,'Barang Keluar'!$A:$A,M35183,'Barang Keluar'!$C:$C,N35183))</f>
        <v>0</v>
      </c>
    </row>
    <row r="35184" spans="13:16">
      <c r="M35184" s="49">
        <f>IF($A$4+351&gt;$B$4,"",$A$4+351)</f>
        <v>46374</v>
      </c>
      <c r="N35184">
        <f>IF(M35184="","",'Master Barang'!A78)</f>
        <v>0</v>
      </c>
      <c r="O35184">
        <f>IF(N35184="","",'Master Barang'!B78)</f>
        <v>0</v>
      </c>
      <c r="P35184">
        <f>IF(OR(M35184="",N35184=""),"",SUMIFS('Barang Keluar'!$E:$E,'Barang Keluar'!$A:$A,M35184,'Barang Keluar'!$C:$C,N35184))</f>
        <v>0</v>
      </c>
    </row>
    <row r="35185" spans="13:16">
      <c r="M35185" s="49">
        <f>IF($A$4+351&gt;$B$4,"",$A$4+351)</f>
        <v>46374</v>
      </c>
      <c r="N35185">
        <f>IF(M35185="","",'Master Barang'!A79)</f>
        <v>0</v>
      </c>
      <c r="O35185">
        <f>IF(N35185="","",'Master Barang'!B79)</f>
        <v>0</v>
      </c>
      <c r="P35185">
        <f>IF(OR(M35185="",N35185=""),"",SUMIFS('Barang Keluar'!$E:$E,'Barang Keluar'!$A:$A,M35185,'Barang Keluar'!$C:$C,N35185))</f>
        <v>0</v>
      </c>
    </row>
    <row r="35186" spans="13:16">
      <c r="M35186" s="49">
        <f>IF($A$4+351&gt;$B$4,"",$A$4+351)</f>
        <v>46374</v>
      </c>
      <c r="N35186">
        <f>IF(M35186="","",'Master Barang'!A80)</f>
        <v>0</v>
      </c>
      <c r="O35186">
        <f>IF(N35186="","",'Master Barang'!B80)</f>
        <v>0</v>
      </c>
      <c r="P35186">
        <f>IF(OR(M35186="",N35186=""),"",SUMIFS('Barang Keluar'!$E:$E,'Barang Keluar'!$A:$A,M35186,'Barang Keluar'!$C:$C,N35186))</f>
        <v>0</v>
      </c>
    </row>
    <row r="35187" spans="13:16">
      <c r="M35187" s="49">
        <f>IF($A$4+351&gt;$B$4,"",$A$4+351)</f>
        <v>46374</v>
      </c>
      <c r="N35187">
        <f>IF(M35187="","",'Master Barang'!A81)</f>
        <v>0</v>
      </c>
      <c r="O35187">
        <f>IF(N35187="","",'Master Barang'!B81)</f>
        <v>0</v>
      </c>
      <c r="P35187">
        <f>IF(OR(M35187="",N35187=""),"",SUMIFS('Barang Keluar'!$E:$E,'Barang Keluar'!$A:$A,M35187,'Barang Keluar'!$C:$C,N35187))</f>
        <v>0</v>
      </c>
    </row>
    <row r="35188" spans="13:16">
      <c r="M35188" s="49">
        <f>IF($A$4+351&gt;$B$4,"",$A$4+351)</f>
        <v>46374</v>
      </c>
      <c r="N35188">
        <f>IF(M35188="","",'Master Barang'!A82)</f>
        <v>0</v>
      </c>
      <c r="O35188">
        <f>IF(N35188="","",'Master Barang'!B82)</f>
        <v>0</v>
      </c>
      <c r="P35188">
        <f>IF(OR(M35188="",N35188=""),"",SUMIFS('Barang Keluar'!$E:$E,'Barang Keluar'!$A:$A,M35188,'Barang Keluar'!$C:$C,N35188))</f>
        <v>0</v>
      </c>
    </row>
    <row r="35189" spans="13:16">
      <c r="M35189" s="49">
        <f>IF($A$4+351&gt;$B$4,"",$A$4+351)</f>
        <v>46374</v>
      </c>
      <c r="N35189">
        <f>IF(M35189="","",'Master Barang'!A83)</f>
        <v>0</v>
      </c>
      <c r="O35189">
        <f>IF(N35189="","",'Master Barang'!B83)</f>
        <v>0</v>
      </c>
      <c r="P35189">
        <f>IF(OR(M35189="",N35189=""),"",SUMIFS('Barang Keluar'!$E:$E,'Barang Keluar'!$A:$A,M35189,'Barang Keluar'!$C:$C,N35189))</f>
        <v>0</v>
      </c>
    </row>
    <row r="35190" spans="13:16">
      <c r="M35190" s="49">
        <f>IF($A$4+351&gt;$B$4,"",$A$4+351)</f>
        <v>46374</v>
      </c>
      <c r="N35190">
        <f>IF(M35190="","",'Master Barang'!A84)</f>
        <v>0</v>
      </c>
      <c r="O35190">
        <f>IF(N35190="","",'Master Barang'!B84)</f>
        <v>0</v>
      </c>
      <c r="P35190">
        <f>IF(OR(M35190="",N35190=""),"",SUMIFS('Barang Keluar'!$E:$E,'Barang Keluar'!$A:$A,M35190,'Barang Keluar'!$C:$C,N35190))</f>
        <v>0</v>
      </c>
    </row>
    <row r="35191" spans="13:16">
      <c r="M35191" s="49">
        <f>IF($A$4+351&gt;$B$4,"",$A$4+351)</f>
        <v>46374</v>
      </c>
      <c r="N35191">
        <f>IF(M35191="","",'Master Barang'!A85)</f>
        <v>0</v>
      </c>
      <c r="O35191">
        <f>IF(N35191="","",'Master Barang'!B85)</f>
        <v>0</v>
      </c>
      <c r="P35191">
        <f>IF(OR(M35191="",N35191=""),"",SUMIFS('Barang Keluar'!$E:$E,'Barang Keluar'!$A:$A,M35191,'Barang Keluar'!$C:$C,N35191))</f>
        <v>0</v>
      </c>
    </row>
    <row r="35192" spans="13:16">
      <c r="M35192" s="49">
        <f>IF($A$4+351&gt;$B$4,"",$A$4+351)</f>
        <v>46374</v>
      </c>
      <c r="N35192">
        <f>IF(M35192="","",'Master Barang'!A86)</f>
        <v>0</v>
      </c>
      <c r="O35192">
        <f>IF(N35192="","",'Master Barang'!B86)</f>
        <v>0</v>
      </c>
      <c r="P35192">
        <f>IF(OR(M35192="",N35192=""),"",SUMIFS('Barang Keluar'!$E:$E,'Barang Keluar'!$A:$A,M35192,'Barang Keluar'!$C:$C,N35192))</f>
        <v>0</v>
      </c>
    </row>
    <row r="35193" spans="13:16">
      <c r="M35193" s="49">
        <f>IF($A$4+351&gt;$B$4,"",$A$4+351)</f>
        <v>46374</v>
      </c>
      <c r="N35193">
        <f>IF(M35193="","",'Master Barang'!A87)</f>
        <v>0</v>
      </c>
      <c r="O35193">
        <f>IF(N35193="","",'Master Barang'!B87)</f>
        <v>0</v>
      </c>
      <c r="P35193">
        <f>IF(OR(M35193="",N35193=""),"",SUMIFS('Barang Keluar'!$E:$E,'Barang Keluar'!$A:$A,M35193,'Barang Keluar'!$C:$C,N35193))</f>
        <v>0</v>
      </c>
    </row>
    <row r="35194" spans="13:16">
      <c r="M35194" s="49">
        <f>IF($A$4+351&gt;$B$4,"",$A$4+351)</f>
        <v>46374</v>
      </c>
      <c r="N35194">
        <f>IF(M35194="","",'Master Barang'!A88)</f>
        <v>0</v>
      </c>
      <c r="O35194">
        <f>IF(N35194="","",'Master Barang'!B88)</f>
        <v>0</v>
      </c>
      <c r="P35194">
        <f>IF(OR(M35194="",N35194=""),"",SUMIFS('Barang Keluar'!$E:$E,'Barang Keluar'!$A:$A,M35194,'Barang Keluar'!$C:$C,N35194))</f>
        <v>0</v>
      </c>
    </row>
    <row r="35195" spans="13:16">
      <c r="M35195" s="49">
        <f>IF($A$4+351&gt;$B$4,"",$A$4+351)</f>
        <v>46374</v>
      </c>
      <c r="N35195">
        <f>IF(M35195="","",'Master Barang'!A89)</f>
        <v>0</v>
      </c>
      <c r="O35195">
        <f>IF(N35195="","",'Master Barang'!B89)</f>
        <v>0</v>
      </c>
      <c r="P35195">
        <f>IF(OR(M35195="",N35195=""),"",SUMIFS('Barang Keluar'!$E:$E,'Barang Keluar'!$A:$A,M35195,'Barang Keluar'!$C:$C,N35195))</f>
        <v>0</v>
      </c>
    </row>
    <row r="35196" spans="13:16">
      <c r="M35196" s="49">
        <f>IF($A$4+351&gt;$B$4,"",$A$4+351)</f>
        <v>46374</v>
      </c>
      <c r="N35196">
        <f>IF(M35196="","",'Master Barang'!A90)</f>
        <v>0</v>
      </c>
      <c r="O35196">
        <f>IF(N35196="","",'Master Barang'!B90)</f>
        <v>0</v>
      </c>
      <c r="P35196">
        <f>IF(OR(M35196="",N35196=""),"",SUMIFS('Barang Keluar'!$E:$E,'Barang Keluar'!$A:$A,M35196,'Barang Keluar'!$C:$C,N35196))</f>
        <v>0</v>
      </c>
    </row>
    <row r="35197" spans="13:16">
      <c r="M35197" s="49">
        <f>IF($A$4+351&gt;$B$4,"",$A$4+351)</f>
        <v>46374</v>
      </c>
      <c r="N35197">
        <f>IF(M35197="","",'Master Barang'!A91)</f>
        <v>0</v>
      </c>
      <c r="O35197">
        <f>IF(N35197="","",'Master Barang'!B91)</f>
        <v>0</v>
      </c>
      <c r="P35197">
        <f>IF(OR(M35197="",N35197=""),"",SUMIFS('Barang Keluar'!$E:$E,'Barang Keluar'!$A:$A,M35197,'Barang Keluar'!$C:$C,N35197))</f>
        <v>0</v>
      </c>
    </row>
    <row r="35198" spans="13:16">
      <c r="M35198" s="49">
        <f>IF($A$4+351&gt;$B$4,"",$A$4+351)</f>
        <v>46374</v>
      </c>
      <c r="N35198">
        <f>IF(M35198="","",'Master Barang'!A92)</f>
        <v>0</v>
      </c>
      <c r="O35198">
        <f>IF(N35198="","",'Master Barang'!B92)</f>
        <v>0</v>
      </c>
      <c r="P35198">
        <f>IF(OR(M35198="",N35198=""),"",SUMIFS('Barang Keluar'!$E:$E,'Barang Keluar'!$A:$A,M35198,'Barang Keluar'!$C:$C,N35198))</f>
        <v>0</v>
      </c>
    </row>
    <row r="35199" spans="13:16">
      <c r="M35199" s="49">
        <f>IF($A$4+351&gt;$B$4,"",$A$4+351)</f>
        <v>46374</v>
      </c>
      <c r="N35199">
        <f>IF(M35199="","",'Master Barang'!A93)</f>
        <v>0</v>
      </c>
      <c r="O35199">
        <f>IF(N35199="","",'Master Barang'!B93)</f>
        <v>0</v>
      </c>
      <c r="P35199">
        <f>IF(OR(M35199="",N35199=""),"",SUMIFS('Barang Keluar'!$E:$E,'Barang Keluar'!$A:$A,M35199,'Barang Keluar'!$C:$C,N35199))</f>
        <v>0</v>
      </c>
    </row>
    <row r="35200" spans="13:16">
      <c r="M35200" s="49">
        <f>IF($A$4+351&gt;$B$4,"",$A$4+351)</f>
        <v>46374</v>
      </c>
      <c r="N35200">
        <f>IF(M35200="","",'Master Barang'!A94)</f>
        <v>0</v>
      </c>
      <c r="O35200">
        <f>IF(N35200="","",'Master Barang'!B94)</f>
        <v>0</v>
      </c>
      <c r="P35200">
        <f>IF(OR(M35200="",N35200=""),"",SUMIFS('Barang Keluar'!$E:$E,'Barang Keluar'!$A:$A,M35200,'Barang Keluar'!$C:$C,N35200))</f>
        <v>0</v>
      </c>
    </row>
    <row r="35201" spans="13:16">
      <c r="M35201" s="49">
        <f>IF($A$4+351&gt;$B$4,"",$A$4+351)</f>
        <v>46374</v>
      </c>
      <c r="N35201">
        <f>IF(M35201="","",'Master Barang'!A95)</f>
        <v>0</v>
      </c>
      <c r="O35201">
        <f>IF(N35201="","",'Master Barang'!B95)</f>
        <v>0</v>
      </c>
      <c r="P35201">
        <f>IF(OR(M35201="",N35201=""),"",SUMIFS('Barang Keluar'!$E:$E,'Barang Keluar'!$A:$A,M35201,'Barang Keluar'!$C:$C,N35201))</f>
        <v>0</v>
      </c>
    </row>
    <row r="35202" spans="13:16">
      <c r="M35202" s="49">
        <f>IF($A$4+351&gt;$B$4,"",$A$4+351)</f>
        <v>46374</v>
      </c>
      <c r="N35202">
        <f>IF(M35202="","",'Master Barang'!A96)</f>
        <v>0</v>
      </c>
      <c r="O35202">
        <f>IF(N35202="","",'Master Barang'!B96)</f>
        <v>0</v>
      </c>
      <c r="P35202">
        <f>IF(OR(M35202="",N35202=""),"",SUMIFS('Barang Keluar'!$E:$E,'Barang Keluar'!$A:$A,M35202,'Barang Keluar'!$C:$C,N35202))</f>
        <v>0</v>
      </c>
    </row>
    <row r="35203" spans="13:16">
      <c r="M35203" s="49">
        <f>IF($A$4+351&gt;$B$4,"",$A$4+351)</f>
        <v>46374</v>
      </c>
      <c r="N35203">
        <f>IF(M35203="","",'Master Barang'!A97)</f>
        <v>0</v>
      </c>
      <c r="O35203">
        <f>IF(N35203="","",'Master Barang'!B97)</f>
        <v>0</v>
      </c>
      <c r="P35203">
        <f>IF(OR(M35203="",N35203=""),"",SUMIFS('Barang Keluar'!$E:$E,'Barang Keluar'!$A:$A,M35203,'Barang Keluar'!$C:$C,N35203))</f>
        <v>0</v>
      </c>
    </row>
    <row r="35204" spans="13:16">
      <c r="M35204" s="49">
        <f>IF($A$4+351&gt;$B$4,"",$A$4+351)</f>
        <v>46374</v>
      </c>
      <c r="N35204">
        <f>IF(M35204="","",'Master Barang'!A98)</f>
        <v>0</v>
      </c>
      <c r="O35204">
        <f>IF(N35204="","",'Master Barang'!B98)</f>
        <v>0</v>
      </c>
      <c r="P35204">
        <f>IF(OR(M35204="",N35204=""),"",SUMIFS('Barang Keluar'!$E:$E,'Barang Keluar'!$A:$A,M35204,'Barang Keluar'!$C:$C,N35204))</f>
        <v>0</v>
      </c>
    </row>
    <row r="35205" spans="13:16">
      <c r="M35205" s="49">
        <f>IF($A$4+351&gt;$B$4,"",$A$4+351)</f>
        <v>46374</v>
      </c>
      <c r="N35205">
        <f>IF(M35205="","",'Master Barang'!A99)</f>
        <v>0</v>
      </c>
      <c r="O35205">
        <f>IF(N35205="","",'Master Barang'!B99)</f>
        <v>0</v>
      </c>
      <c r="P35205">
        <f>IF(OR(M35205="",N35205=""),"",SUMIFS('Barang Keluar'!$E:$E,'Barang Keluar'!$A:$A,M35205,'Barang Keluar'!$C:$C,N35205))</f>
        <v>0</v>
      </c>
    </row>
    <row r="35206" spans="13:16">
      <c r="M35206" s="49">
        <f>IF($A$4+351&gt;$B$4,"",$A$4+351)</f>
        <v>46374</v>
      </c>
      <c r="N35206">
        <f>IF(M35206="","",'Master Barang'!A100)</f>
        <v>0</v>
      </c>
      <c r="O35206">
        <f>IF(N35206="","",'Master Barang'!B100)</f>
        <v>0</v>
      </c>
      <c r="P35206">
        <f>IF(OR(M35206="",N35206=""),"",SUMIFS('Barang Keluar'!$E:$E,'Barang Keluar'!$A:$A,M35206,'Barang Keluar'!$C:$C,N35206))</f>
        <v>0</v>
      </c>
    </row>
    <row r="35207" spans="13:16">
      <c r="M35207" s="49">
        <f>IF($A$4+351&gt;$B$4,"",$A$4+351)</f>
        <v>46374</v>
      </c>
      <c r="N35207">
        <f>IF(M35207="","",'Master Barang'!A101)</f>
        <v>0</v>
      </c>
      <c r="O35207">
        <f>IF(N35207="","",'Master Barang'!B101)</f>
        <v>0</v>
      </c>
      <c r="P35207">
        <f>IF(OR(M35207="",N35207=""),"",SUMIFS('Barang Keluar'!$E:$E,'Barang Keluar'!$A:$A,M35207,'Barang Keluar'!$C:$C,N35207))</f>
        <v>0</v>
      </c>
    </row>
    <row r="35208" spans="13:16">
      <c r="M35208" s="49">
        <f>IF($A$4+352&gt;$B$4,"",$A$4+352)</f>
        <v>46375</v>
      </c>
      <c r="N35208" t="str">
        <f>IF(M35208="","",'Master Barang'!A2)</f>
        <v>PRL-001</v>
      </c>
      <c r="O35208" t="str">
        <f>IF(N35208="","",'Master Barang'!B2)</f>
        <v>natura desinfectant food grade 5l</v>
      </c>
      <c r="P35208">
        <f>IF(OR(M35208="",N35208=""),"",SUMIFS('Barang Keluar'!$E:$E,'Barang Keluar'!$A:$A,M35208,'Barang Keluar'!$C:$C,N35208))</f>
        <v>0</v>
      </c>
    </row>
    <row r="35209" spans="13:16">
      <c r="M35209" s="49">
        <f>IF($A$4+352&gt;$B$4,"",$A$4+352)</f>
        <v>46375</v>
      </c>
      <c r="N35209" t="str">
        <f>IF(M35209="","",'Master Barang'!A3)</f>
        <v>PRL-002</v>
      </c>
      <c r="O35209" t="str">
        <f>IF(N35209="","",'Master Barang'!B3)</f>
        <v>sunlight cairan pencuci piring 5l</v>
      </c>
      <c r="P35209">
        <f>IF(OR(M35209="",N35209=""),"",SUMIFS('Barang Keluar'!$E:$E,'Barang Keluar'!$A:$A,M35209,'Barang Keluar'!$C:$C,N35209))</f>
        <v>0</v>
      </c>
    </row>
    <row r="35210" spans="13:16">
      <c r="M35210" s="49">
        <f>IF($A$4+352&gt;$B$4,"",$A$4+352)</f>
        <v>46375</v>
      </c>
      <c r="N35210" t="str">
        <f>IF(M35210="","",'Master Barang'!A4)</f>
        <v>PRL-003</v>
      </c>
      <c r="O35210" t="str">
        <f>IF(N35210="","",'Master Barang'!B4)</f>
        <v>oixs cleaner 1l</v>
      </c>
      <c r="P35210">
        <f>IF(OR(M35210="",N35210=""),"",SUMIFS('Barang Keluar'!$E:$E,'Barang Keluar'!$A:$A,M35210,'Barang Keluar'!$C:$C,N35210))</f>
        <v>0</v>
      </c>
    </row>
    <row r="35211" spans="13:16">
      <c r="M35211" s="49">
        <f>IF($A$4+352&gt;$B$4,"",$A$4+352)</f>
        <v>46375</v>
      </c>
      <c r="N35211" t="str">
        <f>IF(M35211="","",'Master Barang'!A5)</f>
        <v>PRL-004</v>
      </c>
      <c r="O35211" t="str">
        <f>IF(N35211="","",'Master Barang'!B5)</f>
        <v>be clean tissue serbaguna</v>
      </c>
      <c r="P35211">
        <f>IF(OR(M35211="",N35211=""),"",SUMIFS('Barang Keluar'!$E:$E,'Barang Keluar'!$A:$A,M35211,'Barang Keluar'!$C:$C,N35211))</f>
        <v>0</v>
      </c>
    </row>
    <row r="35212" spans="13:16">
      <c r="M35212" s="49">
        <f>IF($A$4+352&gt;$B$4,"",$A$4+352)</f>
        <v>46375</v>
      </c>
      <c r="N35212" t="str">
        <f>IF(M35212="","",'Master Barang'!A6)</f>
        <v>PRL-005</v>
      </c>
      <c r="O35212" t="str">
        <f>IF(N35212="","",'Master Barang'!B6)</f>
        <v>spons cuci hijau</v>
      </c>
      <c r="P35212">
        <f>IF(OR(M35212="",N35212=""),"",SUMIFS('Barang Keluar'!$E:$E,'Barang Keluar'!$A:$A,M35212,'Barang Keluar'!$C:$C,N35212))</f>
        <v>0</v>
      </c>
    </row>
    <row r="35213" spans="13:16">
      <c r="M35213" s="49">
        <f>IF($A$4+352&gt;$B$4,"",$A$4+352)</f>
        <v>46375</v>
      </c>
      <c r="N35213" t="str">
        <f>IF(M35213="","",'Master Barang'!A7)</f>
        <v>PRL-006</v>
      </c>
      <c r="O35213" t="str">
        <f>IF(N35213="","",'Master Barang'!B7)</f>
        <v>sabut cuci stainless</v>
      </c>
      <c r="P35213">
        <f>IF(OR(M35213="",N35213=""),"",SUMIFS('Barang Keluar'!$E:$E,'Barang Keluar'!$A:$A,M35213,'Barang Keluar'!$C:$C,N35213))</f>
        <v>0</v>
      </c>
    </row>
    <row r="35214" spans="13:16">
      <c r="M35214" s="49">
        <f>IF($A$4+352&gt;$B$4,"",$A$4+352)</f>
        <v>46375</v>
      </c>
      <c r="N35214" t="str">
        <f>IF(M35214="","",'Master Barang'!A8)</f>
        <v>PRL-007</v>
      </c>
      <c r="O35214" t="str">
        <f>IF(N35214="","",'Master Barang'!B8)</f>
        <v>plastik kresek besar merah 50pc</v>
      </c>
      <c r="P35214">
        <f>IF(OR(M35214="",N35214=""),"",SUMIFS('Barang Keluar'!$E:$E,'Barang Keluar'!$A:$A,M35214,'Barang Keluar'!$C:$C,N35214))</f>
        <v>0</v>
      </c>
    </row>
    <row r="35215" spans="13:16">
      <c r="M35215" s="49">
        <f>IF($A$4+352&gt;$B$4,"",$A$4+352)</f>
        <v>46375</v>
      </c>
      <c r="N35215" t="str">
        <f>IF(M35215="","",'Master Barang'!A9)</f>
        <v>PRL-008</v>
      </c>
      <c r="O35215" t="str">
        <f>IF(N35215="","",'Master Barang'!B9)</f>
        <v>lap besar</v>
      </c>
      <c r="P35215">
        <f>IF(OR(M35215="",N35215=""),"",SUMIFS('Barang Keluar'!$E:$E,'Barang Keluar'!$A:$A,M35215,'Barang Keluar'!$C:$C,N35215))</f>
        <v>0</v>
      </c>
    </row>
    <row r="35216" spans="13:16">
      <c r="M35216" s="49">
        <f>IF($A$4+352&gt;$B$4,"",$A$4+352)</f>
        <v>46375</v>
      </c>
      <c r="N35216" t="str">
        <f>IF(M35216="","",'Master Barang'!A10)</f>
        <v>PRL-009</v>
      </c>
      <c r="O35216" t="str">
        <f>IF(N35216="","",'Master Barang'!B10)</f>
        <v>lap microfiber</v>
      </c>
      <c r="P35216">
        <f>IF(OR(M35216="",N35216=""),"",SUMIFS('Barang Keluar'!$E:$E,'Barang Keluar'!$A:$A,M35216,'Barang Keluar'!$C:$C,N35216))</f>
        <v>0</v>
      </c>
    </row>
    <row r="35217" spans="13:16">
      <c r="M35217" s="49">
        <f>IF($A$4+352&gt;$B$4,"",$A$4+352)</f>
        <v>46375</v>
      </c>
      <c r="N35217" t="str">
        <f>IF(M35217="","",'Master Barang'!A11)</f>
        <v>PRL-010</v>
      </c>
      <c r="O35217" t="str">
        <f>IF(N35217="","",'Master Barang'!B11)</f>
        <v>lap kecil</v>
      </c>
      <c r="P35217">
        <f>IF(OR(M35217="",N35217=""),"",SUMIFS('Barang Keluar'!$E:$E,'Barang Keluar'!$A:$A,M35217,'Barang Keluar'!$C:$C,N35217))</f>
        <v>0</v>
      </c>
    </row>
    <row r="35218" spans="13:16">
      <c r="M35218" s="49">
        <f>IF($A$4+352&gt;$B$4,"",$A$4+352)</f>
        <v>46375</v>
      </c>
      <c r="N35218" t="str">
        <f>IF(M35218="","",'Master Barang'!A12)</f>
        <v>PRL-011</v>
      </c>
      <c r="O35218" t="str">
        <f>IF(N35218="","",'Master Barang'!B12)</f>
        <v>kanebo kecil</v>
      </c>
      <c r="P35218">
        <f>IF(OR(M35218="",N35218=""),"",SUMIFS('Barang Keluar'!$E:$E,'Barang Keluar'!$A:$A,M35218,'Barang Keluar'!$C:$C,N35218))</f>
        <v>0</v>
      </c>
    </row>
    <row r="35219" spans="13:16">
      <c r="M35219" s="49">
        <f>IF($A$4+352&gt;$B$4,"",$A$4+352)</f>
        <v>46375</v>
      </c>
      <c r="N35219" t="str">
        <f>IF(M35219="","",'Master Barang'!A13)</f>
        <v>PRL-012</v>
      </c>
      <c r="O35219" t="str">
        <f>IF(N35219="","",'Master Barang'!B13)</f>
        <v>plastik 1/4kg joyoboyo 100 lembar</v>
      </c>
      <c r="P35219">
        <f>IF(OR(M35219="",N35219=""),"",SUMIFS('Barang Keluar'!$E:$E,'Barang Keluar'!$A:$A,M35219,'Barang Keluar'!$C:$C,N35219))</f>
        <v>0</v>
      </c>
    </row>
    <row r="35220" spans="13:16">
      <c r="M35220" s="49">
        <f>IF($A$4+352&gt;$B$4,"",$A$4+352)</f>
        <v>46375</v>
      </c>
      <c r="N35220" t="str">
        <f>IF(M35220="","",'Master Barang'!A14)</f>
        <v>PRL-013</v>
      </c>
      <c r="O35220" t="str">
        <f>IF(N35220="","",'Master Barang'!B14)</f>
        <v>sarung tangan plastik kaka 100 pcs</v>
      </c>
      <c r="P35220">
        <f>IF(OR(M35220="",N35220=""),"",SUMIFS('Barang Keluar'!$E:$E,'Barang Keluar'!$A:$A,M35220,'Barang Keluar'!$C:$C,N35220))</f>
        <v>0</v>
      </c>
    </row>
    <row r="35221" spans="13:16">
      <c r="M35221" s="49">
        <f>IF($A$4+352&gt;$B$4,"",$A$4+352)</f>
        <v>46375</v>
      </c>
      <c r="N35221" t="str">
        <f>IF(M35221="","",'Master Barang'!A15)</f>
        <v>PRL-014</v>
      </c>
      <c r="O35221" t="str">
        <f>IF(N35221="","",'Master Barang'!B15)</f>
        <v>optima trashbag 80x100</v>
      </c>
      <c r="P35221">
        <f>IF(OR(M35221="",N35221=""),"",SUMIFS('Barang Keluar'!$E:$E,'Barang Keluar'!$A:$A,M35221,'Barang Keluar'!$C:$C,N35221))</f>
        <v>0</v>
      </c>
    </row>
    <row r="35222" spans="13:16">
      <c r="M35222" s="49">
        <f>IF($A$4+352&gt;$B$4,"",$A$4+352)</f>
        <v>46375</v>
      </c>
      <c r="N35222" t="str">
        <f>IF(M35222="","",'Master Barang'!A16)</f>
        <v>PRL-015</v>
      </c>
      <c r="O35222" t="str">
        <f>IF(N35222="","",'Master Barang'!B16)</f>
        <v>optima trashbag 60x100</v>
      </c>
      <c r="P35222">
        <f>IF(OR(M35222="",N35222=""),"",SUMIFS('Barang Keluar'!$E:$E,'Barang Keluar'!$A:$A,M35222,'Barang Keluar'!$C:$C,N35222))</f>
        <v>0</v>
      </c>
    </row>
    <row r="35223" spans="13:16">
      <c r="M35223" s="49">
        <f>IF($A$4+352&gt;$B$4,"",$A$4+352)</f>
        <v>46375</v>
      </c>
      <c r="N35223" t="str">
        <f>IF(M35223="","",'Master Barang'!A17)</f>
        <v>PRL-016</v>
      </c>
      <c r="O35223" t="str">
        <f>IF(N35223="","",'Master Barang'!B17)</f>
        <v>rajawali trashbag 30x40</v>
      </c>
      <c r="P35223">
        <f>IF(OR(M35223="",N35223=""),"",SUMIFS('Barang Keluar'!$E:$E,'Barang Keluar'!$A:$A,M35223,'Barang Keluar'!$C:$C,N35223))</f>
        <v>0</v>
      </c>
    </row>
    <row r="35224" spans="13:16">
      <c r="M35224" s="49">
        <f>IF($A$4+352&gt;$B$4,"",$A$4+352)</f>
        <v>46375</v>
      </c>
      <c r="N35224" t="str">
        <f>IF(M35224="","",'Master Barang'!A18)</f>
        <v>PRL-017</v>
      </c>
      <c r="O35224" t="str">
        <f>IF(N35224="","",'Master Barang'!B18)</f>
        <v>onemed masker biru 3 play 50 pcs</v>
      </c>
      <c r="P35224">
        <f>IF(OR(M35224="",N35224=""),"",SUMIFS('Barang Keluar'!$E:$E,'Barang Keluar'!$A:$A,M35224,'Barang Keluar'!$C:$C,N35224))</f>
        <v>0</v>
      </c>
    </row>
    <row r="35225" spans="13:16">
      <c r="M35225" s="49">
        <f>IF($A$4+352&gt;$B$4,"",$A$4+352)</f>
        <v>46375</v>
      </c>
      <c r="N35225" t="str">
        <f>IF(M35225="","",'Master Barang'!A19)</f>
        <v>PRL-018</v>
      </c>
      <c r="O35225" t="str">
        <f>IF(N35225="","",'Master Barang'!B19)</f>
        <v>onemed masker biru 3 play hijab 50 pcs</v>
      </c>
      <c r="P35225">
        <f>IF(OR(M35225="",N35225=""),"",SUMIFS('Barang Keluar'!$E:$E,'Barang Keluar'!$A:$A,M35225,'Barang Keluar'!$C:$C,N35225))</f>
        <v>0</v>
      </c>
    </row>
    <row r="35226" spans="13:16">
      <c r="M35226" s="49">
        <f>IF($A$4+352&gt;$B$4,"",$A$4+352)</f>
        <v>46375</v>
      </c>
      <c r="N35226" t="str">
        <f>IF(M35226="","",'Master Barang'!A20)</f>
        <v>PRL-019</v>
      </c>
      <c r="O35226" t="str">
        <f>IF(N35226="","",'Master Barang'!B20)</f>
        <v>neo health masker biru 3 play 50 pcs</v>
      </c>
      <c r="P35226">
        <f>IF(OR(M35226="",N35226=""),"",SUMIFS('Barang Keluar'!$E:$E,'Barang Keluar'!$A:$A,M35226,'Barang Keluar'!$C:$C,N35226))</f>
        <v>0</v>
      </c>
    </row>
    <row r="35227" spans="13:16">
      <c r="M35227" s="49">
        <f>IF($A$4+352&gt;$B$4,"",$A$4+352)</f>
        <v>46375</v>
      </c>
      <c r="N35227" t="str">
        <f>IF(M35227="","",'Master Barang'!A21)</f>
        <v>PRL-020</v>
      </c>
      <c r="O35227" t="str">
        <f>IF(N35227="","",'Master Barang'!B21)</f>
        <v>baymed masker hijau 3 play hijau 50 pcs</v>
      </c>
      <c r="P35227">
        <f>IF(OR(M35227="",N35227=""),"",SUMIFS('Barang Keluar'!$E:$E,'Barang Keluar'!$A:$A,M35227,'Barang Keluar'!$C:$C,N35227))</f>
        <v>0</v>
      </c>
    </row>
    <row r="35228" spans="13:16">
      <c r="M35228" s="49">
        <f>IF($A$4+352&gt;$B$4,"",$A$4+352)</f>
        <v>46375</v>
      </c>
      <c r="N35228" t="str">
        <f>IF(M35228="","",'Master Barang'!A22)</f>
        <v>PRL-021</v>
      </c>
      <c r="O35228" t="str">
        <f>IF(N35228="","",'Master Barang'!B22)</f>
        <v>altamed nurse cap penutup kepala 100 pcs</v>
      </c>
      <c r="P35228">
        <f>IF(OR(M35228="",N35228=""),"",SUMIFS('Barang Keluar'!$E:$E,'Barang Keluar'!$A:$A,M35228,'Barang Keluar'!$C:$C,N35228))</f>
        <v>0</v>
      </c>
    </row>
    <row r="35229" spans="13:16">
      <c r="M35229" s="49">
        <f>IF($A$4+352&gt;$B$4,"",$A$4+352)</f>
        <v>46375</v>
      </c>
      <c r="N35229" t="str">
        <f>IF(M35229="","",'Master Barang'!A23)</f>
        <v>PRL-022</v>
      </c>
      <c r="O35229" t="str">
        <f>IF(N35229="","",'Master Barang'!B23)</f>
        <v>sabun cuci tangan</v>
      </c>
      <c r="P35229">
        <f>IF(OR(M35229="",N35229=""),"",SUMIFS('Barang Keluar'!$E:$E,'Barang Keluar'!$A:$A,M35229,'Barang Keluar'!$C:$C,N35229))</f>
        <v>0</v>
      </c>
    </row>
    <row r="35230" spans="13:16">
      <c r="M35230" s="49">
        <f>IF($A$4+352&gt;$B$4,"",$A$4+352)</f>
        <v>46375</v>
      </c>
      <c r="N35230" t="str">
        <f>IF(M35230="","",'Master Barang'!A24)</f>
        <v>PRL-023</v>
      </c>
      <c r="O35230" t="str">
        <f>IF(N35230="","",'Master Barang'!B24)</f>
        <v>gayung kecil</v>
      </c>
      <c r="P35230">
        <f>IF(OR(M35230="",N35230=""),"",SUMIFS('Barang Keluar'!$E:$E,'Barang Keluar'!$A:$A,M35230,'Barang Keluar'!$C:$C,N35230))</f>
        <v>0</v>
      </c>
    </row>
    <row r="35231" spans="13:16">
      <c r="M35231" s="49">
        <f>IF($A$4+352&gt;$B$4,"",$A$4+352)</f>
        <v>46375</v>
      </c>
      <c r="N35231" t="str">
        <f>IF(M35231="","",'Master Barang'!A25)</f>
        <v>PRL-024</v>
      </c>
      <c r="O35231" t="str">
        <f>IF(N35231="","",'Master Barang'!B25)</f>
        <v>cikrak kecil</v>
      </c>
      <c r="P35231">
        <f>IF(OR(M35231="",N35231=""),"",SUMIFS('Barang Keluar'!$E:$E,'Barang Keluar'!$A:$A,M35231,'Barang Keluar'!$C:$C,N35231))</f>
        <v>0</v>
      </c>
    </row>
    <row r="35232" spans="13:16">
      <c r="M35232" s="49">
        <f>IF($A$4+352&gt;$B$4,"",$A$4+352)</f>
        <v>46375</v>
      </c>
      <c r="N35232" t="str">
        <f>IF(M35232="","",'Master Barang'!A26)</f>
        <v>PRL-025</v>
      </c>
      <c r="O35232" t="str">
        <f>IF(N35232="","",'Master Barang'!B26)</f>
        <v>petromax plastik kecil 12x24 100 lembar</v>
      </c>
      <c r="P35232">
        <f>IF(OR(M35232="",N35232=""),"",SUMIFS('Barang Keluar'!$E:$E,'Barang Keluar'!$A:$A,M35232,'Barang Keluar'!$C:$C,N35232))</f>
        <v>0</v>
      </c>
    </row>
    <row r="35233" spans="13:16">
      <c r="M35233" s="49">
        <f>IF($A$4+352&gt;$B$4,"",$A$4+352)</f>
        <v>46375</v>
      </c>
      <c r="N35233" t="str">
        <f>IF(M35233="","",'Master Barang'!A27)</f>
        <v>PRL-026</v>
      </c>
      <c r="O35233" t="str">
        <f>IF(N35233="","",'Master Barang'!B27)</f>
        <v>lancar kresek kecil bening </v>
      </c>
      <c r="P35233">
        <f>IF(OR(M35233="",N35233=""),"",SUMIFS('Barang Keluar'!$E:$E,'Barang Keluar'!$A:$A,M35233,'Barang Keluar'!$C:$C,N35233))</f>
        <v>0</v>
      </c>
    </row>
    <row r="35234" spans="13:16">
      <c r="M35234" s="49">
        <f>IF($A$4+352&gt;$B$4,"",$A$4+352)</f>
        <v>46375</v>
      </c>
      <c r="N35234" t="str">
        <f>IF(M35234="","",'Master Barang'!A28)</f>
        <v>PRL-027</v>
      </c>
      <c r="O35234" t="str">
        <f>IF(N35234="","",'Master Barang'!B28)</f>
        <v>kresek klin warna warni kecil</v>
      </c>
      <c r="P35234">
        <f>IF(OR(M35234="",N35234=""),"",SUMIFS('Barang Keluar'!$E:$E,'Barang Keluar'!$A:$A,M35234,'Barang Keluar'!$C:$C,N35234))</f>
        <v>0</v>
      </c>
    </row>
    <row r="35235" spans="13:16">
      <c r="M35235" s="49">
        <f>IF($A$4+352&gt;$B$4,"",$A$4+352)</f>
        <v>46375</v>
      </c>
      <c r="N35235" t="str">
        <f>IF(M35235="","",'Master Barang'!A29)</f>
        <v>PRL-028</v>
      </c>
      <c r="O35235" t="str">
        <f>IF(N35235="","",'Master Barang'!B29)</f>
        <v>ctik plastik 7x10 100 pcs</v>
      </c>
      <c r="P35235">
        <f>IF(OR(M35235="",N35235=""),"",SUMIFS('Barang Keluar'!$E:$E,'Barang Keluar'!$A:$A,M35235,'Barang Keluar'!$C:$C,N35235))</f>
        <v>0</v>
      </c>
    </row>
    <row r="35236" spans="13:16">
      <c r="M35236" s="49">
        <f>IF($A$4+352&gt;$B$4,"",$A$4+352)</f>
        <v>46375</v>
      </c>
      <c r="N35236" t="str">
        <f>IF(M35236="","",'Master Barang'!A30)</f>
        <v>PRL-029</v>
      </c>
      <c r="O35236" t="str">
        <f>IF(N35236="","",'Master Barang'!B30)</f>
        <v>ctik plastik 6x10 100 pcs</v>
      </c>
      <c r="P35236">
        <f>IF(OR(M35236="",N35236=""),"",SUMIFS('Barang Keluar'!$E:$E,'Barang Keluar'!$A:$A,M35236,'Barang Keluar'!$C:$C,N35236))</f>
        <v>0</v>
      </c>
    </row>
    <row r="35237" spans="13:16">
      <c r="M35237" s="49">
        <f>IF($A$4+352&gt;$B$4,"",$A$4+352)</f>
        <v>46375</v>
      </c>
      <c r="N35237" t="str">
        <f>IF(M35237="","",'Master Barang'!A31)</f>
        <v>PRL-030</v>
      </c>
      <c r="O35237" t="str">
        <f>IF(N35237="","",'Master Barang'!B31)</f>
        <v>klip plastik 25x16 100 pcs</v>
      </c>
      <c r="P35237">
        <f>IF(OR(M35237="",N35237=""),"",SUMIFS('Barang Keluar'!$E:$E,'Barang Keluar'!$A:$A,M35237,'Barang Keluar'!$C:$C,N35237))</f>
        <v>0</v>
      </c>
    </row>
    <row r="35238" spans="13:16">
      <c r="M35238" s="49">
        <f>IF($A$4+352&gt;$B$4,"",$A$4+352)</f>
        <v>46375</v>
      </c>
      <c r="N35238" t="str">
        <f>IF(M35238="","",'Master Barang'!A32)</f>
        <v>PRL-031</v>
      </c>
      <c r="O35238" t="str">
        <f>IF(N35238="","",'Master Barang'!B32)</f>
        <v>tempat saus 20 ml</v>
      </c>
      <c r="P35238">
        <f>IF(OR(M35238="",N35238=""),"",SUMIFS('Barang Keluar'!$E:$E,'Barang Keluar'!$A:$A,M35238,'Barang Keluar'!$C:$C,N35238))</f>
        <v>0</v>
      </c>
    </row>
    <row r="35239" spans="13:16">
      <c r="M35239" s="49">
        <f>IF($A$4+352&gt;$B$4,"",$A$4+352)</f>
        <v>46375</v>
      </c>
      <c r="N35239" t="str">
        <f>IF(M35239="","",'Master Barang'!A33)</f>
        <v>PRL-032</v>
      </c>
      <c r="O35239" t="str">
        <f>IF(N35239="","",'Master Barang'!B33)</f>
        <v>plastik packaging ag box uk sedang</v>
      </c>
      <c r="P35239">
        <f>IF(OR(M35239="",N35239=""),"",SUMIFS('Barang Keluar'!$E:$E,'Barang Keluar'!$A:$A,M35239,'Barang Keluar'!$C:$C,N35239))</f>
        <v>0</v>
      </c>
    </row>
    <row r="35240" spans="13:16">
      <c r="M35240" s="49">
        <f>IF($A$4+352&gt;$B$4,"",$A$4+352)</f>
        <v>46375</v>
      </c>
      <c r="N35240" t="str">
        <f>IF(M35240="","",'Master Barang'!A34)</f>
        <v>PRL-033</v>
      </c>
      <c r="O35240">
        <f>IF(N35240="","",'Master Barang'!B34)</f>
        <v>0</v>
      </c>
      <c r="P35240">
        <f>IF(OR(M35240="",N35240=""),"",SUMIFS('Barang Keluar'!$E:$E,'Barang Keluar'!$A:$A,M35240,'Barang Keluar'!$C:$C,N35240))</f>
        <v>0</v>
      </c>
    </row>
    <row r="35241" spans="13:16">
      <c r="M35241" s="49">
        <f>IF($A$4+352&gt;$B$4,"",$A$4+352)</f>
        <v>46375</v>
      </c>
      <c r="N35241">
        <f>IF(M35241="","",'Master Barang'!A35)</f>
        <v>0</v>
      </c>
      <c r="O35241">
        <f>IF(N35241="","",'Master Barang'!B35)</f>
        <v>0</v>
      </c>
      <c r="P35241">
        <f>IF(OR(M35241="",N35241=""),"",SUMIFS('Barang Keluar'!$E:$E,'Barang Keluar'!$A:$A,M35241,'Barang Keluar'!$C:$C,N35241))</f>
        <v>0</v>
      </c>
    </row>
    <row r="35242" spans="13:16">
      <c r="M35242" s="49">
        <f>IF($A$4+352&gt;$B$4,"",$A$4+352)</f>
        <v>46375</v>
      </c>
      <c r="N35242">
        <f>IF(M35242="","",'Master Barang'!A36)</f>
        <v>0</v>
      </c>
      <c r="O35242">
        <f>IF(N35242="","",'Master Barang'!B36)</f>
        <v>0</v>
      </c>
      <c r="P35242">
        <f>IF(OR(M35242="",N35242=""),"",SUMIFS('Barang Keluar'!$E:$E,'Barang Keluar'!$A:$A,M35242,'Barang Keluar'!$C:$C,N35242))</f>
        <v>0</v>
      </c>
    </row>
    <row r="35243" spans="13:16">
      <c r="M35243" s="49">
        <f>IF($A$4+352&gt;$B$4,"",$A$4+352)</f>
        <v>46375</v>
      </c>
      <c r="N35243">
        <f>IF(M35243="","",'Master Barang'!A37)</f>
        <v>0</v>
      </c>
      <c r="O35243">
        <f>IF(N35243="","",'Master Barang'!B37)</f>
        <v>0</v>
      </c>
      <c r="P35243">
        <f>IF(OR(M35243="",N35243=""),"",SUMIFS('Barang Keluar'!$E:$E,'Barang Keluar'!$A:$A,M35243,'Barang Keluar'!$C:$C,N35243))</f>
        <v>0</v>
      </c>
    </row>
    <row r="35244" spans="13:16">
      <c r="M35244" s="49">
        <f>IF($A$4+352&gt;$B$4,"",$A$4+352)</f>
        <v>46375</v>
      </c>
      <c r="N35244">
        <f>IF(M35244="","",'Master Barang'!A38)</f>
        <v>0</v>
      </c>
      <c r="O35244">
        <f>IF(N35244="","",'Master Barang'!B38)</f>
        <v>0</v>
      </c>
      <c r="P35244">
        <f>IF(OR(M35244="",N35244=""),"",SUMIFS('Barang Keluar'!$E:$E,'Barang Keluar'!$A:$A,M35244,'Barang Keluar'!$C:$C,N35244))</f>
        <v>0</v>
      </c>
    </row>
    <row r="35245" spans="13:16">
      <c r="M35245" s="49">
        <f>IF($A$4+352&gt;$B$4,"",$A$4+352)</f>
        <v>46375</v>
      </c>
      <c r="N35245">
        <f>IF(M35245="","",'Master Barang'!A39)</f>
        <v>0</v>
      </c>
      <c r="O35245">
        <f>IF(N35245="","",'Master Barang'!B39)</f>
        <v>0</v>
      </c>
      <c r="P35245">
        <f>IF(OR(M35245="",N35245=""),"",SUMIFS('Barang Keluar'!$E:$E,'Barang Keluar'!$A:$A,M35245,'Barang Keluar'!$C:$C,N35245))</f>
        <v>0</v>
      </c>
    </row>
    <row r="35246" spans="13:16">
      <c r="M35246" s="49">
        <f>IF($A$4+352&gt;$B$4,"",$A$4+352)</f>
        <v>46375</v>
      </c>
      <c r="N35246">
        <f>IF(M35246="","",'Master Barang'!A40)</f>
        <v>0</v>
      </c>
      <c r="O35246">
        <f>IF(N35246="","",'Master Barang'!B40)</f>
        <v>0</v>
      </c>
      <c r="P35246">
        <f>IF(OR(M35246="",N35246=""),"",SUMIFS('Barang Keluar'!$E:$E,'Barang Keluar'!$A:$A,M35246,'Barang Keluar'!$C:$C,N35246))</f>
        <v>0</v>
      </c>
    </row>
    <row r="35247" spans="13:16">
      <c r="M35247" s="49">
        <f>IF($A$4+352&gt;$B$4,"",$A$4+352)</f>
        <v>46375</v>
      </c>
      <c r="N35247">
        <f>IF(M35247="","",'Master Barang'!A41)</f>
        <v>0</v>
      </c>
      <c r="O35247">
        <f>IF(N35247="","",'Master Barang'!B41)</f>
        <v>0</v>
      </c>
      <c r="P35247">
        <f>IF(OR(M35247="",N35247=""),"",SUMIFS('Barang Keluar'!$E:$E,'Barang Keluar'!$A:$A,M35247,'Barang Keluar'!$C:$C,N35247))</f>
        <v>0</v>
      </c>
    </row>
    <row r="35248" spans="13:16">
      <c r="M35248" s="49">
        <f>IF($A$4+352&gt;$B$4,"",$A$4+352)</f>
        <v>46375</v>
      </c>
      <c r="N35248">
        <f>IF(M35248="","",'Master Barang'!A42)</f>
        <v>0</v>
      </c>
      <c r="O35248">
        <f>IF(N35248="","",'Master Barang'!B42)</f>
        <v>0</v>
      </c>
      <c r="P35248">
        <f>IF(OR(M35248="",N35248=""),"",SUMIFS('Barang Keluar'!$E:$E,'Barang Keluar'!$A:$A,M35248,'Barang Keluar'!$C:$C,N35248))</f>
        <v>0</v>
      </c>
    </row>
    <row r="35249" spans="13:16">
      <c r="M35249" s="49">
        <f>IF($A$4+352&gt;$B$4,"",$A$4+352)</f>
        <v>46375</v>
      </c>
      <c r="N35249">
        <f>IF(M35249="","",'Master Barang'!A43)</f>
        <v>0</v>
      </c>
      <c r="O35249">
        <f>IF(N35249="","",'Master Barang'!B43)</f>
        <v>0</v>
      </c>
      <c r="P35249">
        <f>IF(OR(M35249="",N35249=""),"",SUMIFS('Barang Keluar'!$E:$E,'Barang Keluar'!$A:$A,M35249,'Barang Keluar'!$C:$C,N35249))</f>
        <v>0</v>
      </c>
    </row>
    <row r="35250" spans="13:16">
      <c r="M35250" s="49">
        <f>IF($A$4+352&gt;$B$4,"",$A$4+352)</f>
        <v>46375</v>
      </c>
      <c r="N35250">
        <f>IF(M35250="","",'Master Barang'!A44)</f>
        <v>0</v>
      </c>
      <c r="O35250">
        <f>IF(N35250="","",'Master Barang'!B44)</f>
        <v>0</v>
      </c>
      <c r="P35250">
        <f>IF(OR(M35250="",N35250=""),"",SUMIFS('Barang Keluar'!$E:$E,'Barang Keluar'!$A:$A,M35250,'Barang Keluar'!$C:$C,N35250))</f>
        <v>0</v>
      </c>
    </row>
    <row r="35251" spans="13:16">
      <c r="M35251" s="49">
        <f>IF($A$4+352&gt;$B$4,"",$A$4+352)</f>
        <v>46375</v>
      </c>
      <c r="N35251">
        <f>IF(M35251="","",'Master Barang'!A45)</f>
        <v>0</v>
      </c>
      <c r="O35251">
        <f>IF(N35251="","",'Master Barang'!B45)</f>
        <v>0</v>
      </c>
      <c r="P35251">
        <f>IF(OR(M35251="",N35251=""),"",SUMIFS('Barang Keluar'!$E:$E,'Barang Keluar'!$A:$A,M35251,'Barang Keluar'!$C:$C,N35251))</f>
        <v>0</v>
      </c>
    </row>
    <row r="35252" spans="13:16">
      <c r="M35252" s="49">
        <f>IF($A$4+352&gt;$B$4,"",$A$4+352)</f>
        <v>46375</v>
      </c>
      <c r="N35252">
        <f>IF(M35252="","",'Master Barang'!A46)</f>
        <v>0</v>
      </c>
      <c r="O35252">
        <f>IF(N35252="","",'Master Barang'!B46)</f>
        <v>0</v>
      </c>
      <c r="P35252">
        <f>IF(OR(M35252="",N35252=""),"",SUMIFS('Barang Keluar'!$E:$E,'Barang Keluar'!$A:$A,M35252,'Barang Keluar'!$C:$C,N35252))</f>
        <v>0</v>
      </c>
    </row>
    <row r="35253" spans="13:16">
      <c r="M35253" s="49">
        <f>IF($A$4+352&gt;$B$4,"",$A$4+352)</f>
        <v>46375</v>
      </c>
      <c r="N35253">
        <f>IF(M35253="","",'Master Barang'!A47)</f>
        <v>0</v>
      </c>
      <c r="O35253">
        <f>IF(N35253="","",'Master Barang'!B47)</f>
        <v>0</v>
      </c>
      <c r="P35253">
        <f>IF(OR(M35253="",N35253=""),"",SUMIFS('Barang Keluar'!$E:$E,'Barang Keluar'!$A:$A,M35253,'Barang Keluar'!$C:$C,N35253))</f>
        <v>0</v>
      </c>
    </row>
    <row r="35254" spans="13:16">
      <c r="M35254" s="49">
        <f>IF($A$4+352&gt;$B$4,"",$A$4+352)</f>
        <v>46375</v>
      </c>
      <c r="N35254">
        <f>IF(M35254="","",'Master Barang'!A48)</f>
        <v>0</v>
      </c>
      <c r="O35254">
        <f>IF(N35254="","",'Master Barang'!B48)</f>
        <v>0</v>
      </c>
      <c r="P35254">
        <f>IF(OR(M35254="",N35254=""),"",SUMIFS('Barang Keluar'!$E:$E,'Barang Keluar'!$A:$A,M35254,'Barang Keluar'!$C:$C,N35254))</f>
        <v>0</v>
      </c>
    </row>
    <row r="35255" spans="13:16">
      <c r="M35255" s="49">
        <f>IF($A$4+352&gt;$B$4,"",$A$4+352)</f>
        <v>46375</v>
      </c>
      <c r="N35255">
        <f>IF(M35255="","",'Master Barang'!A49)</f>
        <v>0</v>
      </c>
      <c r="O35255">
        <f>IF(N35255="","",'Master Barang'!B49)</f>
        <v>0</v>
      </c>
      <c r="P35255">
        <f>IF(OR(M35255="",N35255=""),"",SUMIFS('Barang Keluar'!$E:$E,'Barang Keluar'!$A:$A,M35255,'Barang Keluar'!$C:$C,N35255))</f>
        <v>0</v>
      </c>
    </row>
    <row r="35256" spans="13:16">
      <c r="M35256" s="49">
        <f>IF($A$4+352&gt;$B$4,"",$A$4+352)</f>
        <v>46375</v>
      </c>
      <c r="N35256">
        <f>IF(M35256="","",'Master Barang'!A50)</f>
        <v>0</v>
      </c>
      <c r="O35256">
        <f>IF(N35256="","",'Master Barang'!B50)</f>
        <v>0</v>
      </c>
      <c r="P35256">
        <f>IF(OR(M35256="",N35256=""),"",SUMIFS('Barang Keluar'!$E:$E,'Barang Keluar'!$A:$A,M35256,'Barang Keluar'!$C:$C,N35256))</f>
        <v>0</v>
      </c>
    </row>
    <row r="35257" spans="13:16">
      <c r="M35257" s="49">
        <f>IF($A$4+352&gt;$B$4,"",$A$4+352)</f>
        <v>46375</v>
      </c>
      <c r="N35257">
        <f>IF(M35257="","",'Master Barang'!A51)</f>
        <v>0</v>
      </c>
      <c r="O35257">
        <f>IF(N35257="","",'Master Barang'!B51)</f>
        <v>0</v>
      </c>
      <c r="P35257">
        <f>IF(OR(M35257="",N35257=""),"",SUMIFS('Barang Keluar'!$E:$E,'Barang Keluar'!$A:$A,M35257,'Barang Keluar'!$C:$C,N35257))</f>
        <v>0</v>
      </c>
    </row>
    <row r="35258" spans="13:16">
      <c r="M35258" s="49">
        <f>IF($A$4+352&gt;$B$4,"",$A$4+352)</f>
        <v>46375</v>
      </c>
      <c r="N35258">
        <f>IF(M35258="","",'Master Barang'!A52)</f>
        <v>0</v>
      </c>
      <c r="O35258">
        <f>IF(N35258="","",'Master Barang'!B52)</f>
        <v>0</v>
      </c>
      <c r="P35258">
        <f>IF(OR(M35258="",N35258=""),"",SUMIFS('Barang Keluar'!$E:$E,'Barang Keluar'!$A:$A,M35258,'Barang Keluar'!$C:$C,N35258))</f>
        <v>0</v>
      </c>
    </row>
    <row r="35259" spans="13:16">
      <c r="M35259" s="49">
        <f>IF($A$4+352&gt;$B$4,"",$A$4+352)</f>
        <v>46375</v>
      </c>
      <c r="N35259">
        <f>IF(M35259="","",'Master Barang'!A53)</f>
        <v>0</v>
      </c>
      <c r="O35259">
        <f>IF(N35259="","",'Master Barang'!B53)</f>
        <v>0</v>
      </c>
      <c r="P35259">
        <f>IF(OR(M35259="",N35259=""),"",SUMIFS('Barang Keluar'!$E:$E,'Barang Keluar'!$A:$A,M35259,'Barang Keluar'!$C:$C,N35259))</f>
        <v>0</v>
      </c>
    </row>
    <row r="35260" spans="13:16">
      <c r="M35260" s="49">
        <f>IF($A$4+352&gt;$B$4,"",$A$4+352)</f>
        <v>46375</v>
      </c>
      <c r="N35260">
        <f>IF(M35260="","",'Master Barang'!A54)</f>
        <v>0</v>
      </c>
      <c r="O35260">
        <f>IF(N35260="","",'Master Barang'!B54)</f>
        <v>0</v>
      </c>
      <c r="P35260">
        <f>IF(OR(M35260="",N35260=""),"",SUMIFS('Barang Keluar'!$E:$E,'Barang Keluar'!$A:$A,M35260,'Barang Keluar'!$C:$C,N35260))</f>
        <v>0</v>
      </c>
    </row>
    <row r="35261" spans="13:16">
      <c r="M35261" s="49">
        <f>IF($A$4+352&gt;$B$4,"",$A$4+352)</f>
        <v>46375</v>
      </c>
      <c r="N35261">
        <f>IF(M35261="","",'Master Barang'!A55)</f>
        <v>0</v>
      </c>
      <c r="O35261">
        <f>IF(N35261="","",'Master Barang'!B55)</f>
        <v>0</v>
      </c>
      <c r="P35261">
        <f>IF(OR(M35261="",N35261=""),"",SUMIFS('Barang Keluar'!$E:$E,'Barang Keluar'!$A:$A,M35261,'Barang Keluar'!$C:$C,N35261))</f>
        <v>0</v>
      </c>
    </row>
    <row r="35262" spans="13:16">
      <c r="M35262" s="49">
        <f>IF($A$4+352&gt;$B$4,"",$A$4+352)</f>
        <v>46375</v>
      </c>
      <c r="N35262">
        <f>IF(M35262="","",'Master Barang'!A56)</f>
        <v>0</v>
      </c>
      <c r="O35262">
        <f>IF(N35262="","",'Master Barang'!B56)</f>
        <v>0</v>
      </c>
      <c r="P35262">
        <f>IF(OR(M35262="",N35262=""),"",SUMIFS('Barang Keluar'!$E:$E,'Barang Keluar'!$A:$A,M35262,'Barang Keluar'!$C:$C,N35262))</f>
        <v>0</v>
      </c>
    </row>
    <row r="35263" spans="13:16">
      <c r="M35263" s="49">
        <f>IF($A$4+352&gt;$B$4,"",$A$4+352)</f>
        <v>46375</v>
      </c>
      <c r="N35263">
        <f>IF(M35263="","",'Master Barang'!A57)</f>
        <v>0</v>
      </c>
      <c r="O35263">
        <f>IF(N35263="","",'Master Barang'!B57)</f>
        <v>0</v>
      </c>
      <c r="P35263">
        <f>IF(OR(M35263="",N35263=""),"",SUMIFS('Barang Keluar'!$E:$E,'Barang Keluar'!$A:$A,M35263,'Barang Keluar'!$C:$C,N35263))</f>
        <v>0</v>
      </c>
    </row>
    <row r="35264" spans="13:16">
      <c r="M35264" s="49">
        <f>IF($A$4+352&gt;$B$4,"",$A$4+352)</f>
        <v>46375</v>
      </c>
      <c r="N35264">
        <f>IF(M35264="","",'Master Barang'!A58)</f>
        <v>0</v>
      </c>
      <c r="O35264">
        <f>IF(N35264="","",'Master Barang'!B58)</f>
        <v>0</v>
      </c>
      <c r="P35264">
        <f>IF(OR(M35264="",N35264=""),"",SUMIFS('Barang Keluar'!$E:$E,'Barang Keluar'!$A:$A,M35264,'Barang Keluar'!$C:$C,N35264))</f>
        <v>0</v>
      </c>
    </row>
    <row r="35265" spans="13:16">
      <c r="M35265" s="49">
        <f>IF($A$4+352&gt;$B$4,"",$A$4+352)</f>
        <v>46375</v>
      </c>
      <c r="N35265">
        <f>IF(M35265="","",'Master Barang'!A59)</f>
        <v>0</v>
      </c>
      <c r="O35265">
        <f>IF(N35265="","",'Master Barang'!B59)</f>
        <v>0</v>
      </c>
      <c r="P35265">
        <f>IF(OR(M35265="",N35265=""),"",SUMIFS('Barang Keluar'!$E:$E,'Barang Keluar'!$A:$A,M35265,'Barang Keluar'!$C:$C,N35265))</f>
        <v>0</v>
      </c>
    </row>
    <row r="35266" spans="13:16">
      <c r="M35266" s="49">
        <f>IF($A$4+352&gt;$B$4,"",$A$4+352)</f>
        <v>46375</v>
      </c>
      <c r="N35266">
        <f>IF(M35266="","",'Master Barang'!A60)</f>
        <v>0</v>
      </c>
      <c r="O35266">
        <f>IF(N35266="","",'Master Barang'!B60)</f>
        <v>0</v>
      </c>
      <c r="P35266">
        <f>IF(OR(M35266="",N35266=""),"",SUMIFS('Barang Keluar'!$E:$E,'Barang Keluar'!$A:$A,M35266,'Barang Keluar'!$C:$C,N35266))</f>
        <v>0</v>
      </c>
    </row>
    <row r="35267" spans="13:16">
      <c r="M35267" s="49">
        <f>IF($A$4+352&gt;$B$4,"",$A$4+352)</f>
        <v>46375</v>
      </c>
      <c r="N35267">
        <f>IF(M35267="","",'Master Barang'!A61)</f>
        <v>0</v>
      </c>
      <c r="O35267">
        <f>IF(N35267="","",'Master Barang'!B61)</f>
        <v>0</v>
      </c>
      <c r="P35267">
        <f>IF(OR(M35267="",N35267=""),"",SUMIFS('Barang Keluar'!$E:$E,'Barang Keluar'!$A:$A,M35267,'Barang Keluar'!$C:$C,N35267))</f>
        <v>0</v>
      </c>
    </row>
    <row r="35268" spans="13:16">
      <c r="M35268" s="49">
        <f>IF($A$4+352&gt;$B$4,"",$A$4+352)</f>
        <v>46375</v>
      </c>
      <c r="N35268">
        <f>IF(M35268="","",'Master Barang'!A62)</f>
        <v>0</v>
      </c>
      <c r="O35268">
        <f>IF(N35268="","",'Master Barang'!B62)</f>
        <v>0</v>
      </c>
      <c r="P35268">
        <f>IF(OR(M35268="",N35268=""),"",SUMIFS('Barang Keluar'!$E:$E,'Barang Keluar'!$A:$A,M35268,'Barang Keluar'!$C:$C,N35268))</f>
        <v>0</v>
      </c>
    </row>
    <row r="35269" spans="13:16">
      <c r="M35269" s="49">
        <f>IF($A$4+352&gt;$B$4,"",$A$4+352)</f>
        <v>46375</v>
      </c>
      <c r="N35269">
        <f>IF(M35269="","",'Master Barang'!A63)</f>
        <v>0</v>
      </c>
      <c r="O35269">
        <f>IF(N35269="","",'Master Barang'!B63)</f>
        <v>0</v>
      </c>
      <c r="P35269">
        <f>IF(OR(M35269="",N35269=""),"",SUMIFS('Barang Keluar'!$E:$E,'Barang Keluar'!$A:$A,M35269,'Barang Keluar'!$C:$C,N35269))</f>
        <v>0</v>
      </c>
    </row>
    <row r="35270" spans="13:16">
      <c r="M35270" s="49">
        <f>IF($A$4+352&gt;$B$4,"",$A$4+352)</f>
        <v>46375</v>
      </c>
      <c r="N35270">
        <f>IF(M35270="","",'Master Barang'!A64)</f>
        <v>0</v>
      </c>
      <c r="O35270">
        <f>IF(N35270="","",'Master Barang'!B64)</f>
        <v>0</v>
      </c>
      <c r="P35270">
        <f>IF(OR(M35270="",N35270=""),"",SUMIFS('Barang Keluar'!$E:$E,'Barang Keluar'!$A:$A,M35270,'Barang Keluar'!$C:$C,N35270))</f>
        <v>0</v>
      </c>
    </row>
    <row r="35271" spans="13:16">
      <c r="M35271" s="49">
        <f>IF($A$4+352&gt;$B$4,"",$A$4+352)</f>
        <v>46375</v>
      </c>
      <c r="N35271">
        <f>IF(M35271="","",'Master Barang'!A65)</f>
        <v>0</v>
      </c>
      <c r="O35271">
        <f>IF(N35271="","",'Master Barang'!B65)</f>
        <v>0</v>
      </c>
      <c r="P35271">
        <f>IF(OR(M35271="",N35271=""),"",SUMIFS('Barang Keluar'!$E:$E,'Barang Keluar'!$A:$A,M35271,'Barang Keluar'!$C:$C,N35271))</f>
        <v>0</v>
      </c>
    </row>
    <row r="35272" spans="13:16">
      <c r="M35272" s="49">
        <f>IF($A$4+352&gt;$B$4,"",$A$4+352)</f>
        <v>46375</v>
      </c>
      <c r="N35272">
        <f>IF(M35272="","",'Master Barang'!A66)</f>
        <v>0</v>
      </c>
      <c r="O35272">
        <f>IF(N35272="","",'Master Barang'!B66)</f>
        <v>0</v>
      </c>
      <c r="P35272">
        <f>IF(OR(M35272="",N35272=""),"",SUMIFS('Barang Keluar'!$E:$E,'Barang Keluar'!$A:$A,M35272,'Barang Keluar'!$C:$C,N35272))</f>
        <v>0</v>
      </c>
    </row>
    <row r="35273" spans="13:16">
      <c r="M35273" s="49">
        <f>IF($A$4+352&gt;$B$4,"",$A$4+352)</f>
        <v>46375</v>
      </c>
      <c r="N35273">
        <f>IF(M35273="","",'Master Barang'!A67)</f>
        <v>0</v>
      </c>
      <c r="O35273">
        <f>IF(N35273="","",'Master Barang'!B67)</f>
        <v>0</v>
      </c>
      <c r="P35273">
        <f>IF(OR(M35273="",N35273=""),"",SUMIFS('Barang Keluar'!$E:$E,'Barang Keluar'!$A:$A,M35273,'Barang Keluar'!$C:$C,N35273))</f>
        <v>0</v>
      </c>
    </row>
    <row r="35274" spans="13:16">
      <c r="M35274" s="49">
        <f>IF($A$4+352&gt;$B$4,"",$A$4+352)</f>
        <v>46375</v>
      </c>
      <c r="N35274">
        <f>IF(M35274="","",'Master Barang'!A68)</f>
        <v>0</v>
      </c>
      <c r="O35274">
        <f>IF(N35274="","",'Master Barang'!B68)</f>
        <v>0</v>
      </c>
      <c r="P35274">
        <f>IF(OR(M35274="",N35274=""),"",SUMIFS('Barang Keluar'!$E:$E,'Barang Keluar'!$A:$A,M35274,'Barang Keluar'!$C:$C,N35274))</f>
        <v>0</v>
      </c>
    </row>
    <row r="35275" spans="13:16">
      <c r="M35275" s="49">
        <f>IF($A$4+352&gt;$B$4,"",$A$4+352)</f>
        <v>46375</v>
      </c>
      <c r="N35275">
        <f>IF(M35275="","",'Master Barang'!A69)</f>
        <v>0</v>
      </c>
      <c r="O35275">
        <f>IF(N35275="","",'Master Barang'!B69)</f>
        <v>0</v>
      </c>
      <c r="P35275">
        <f>IF(OR(M35275="",N35275=""),"",SUMIFS('Barang Keluar'!$E:$E,'Barang Keluar'!$A:$A,M35275,'Barang Keluar'!$C:$C,N35275))</f>
        <v>0</v>
      </c>
    </row>
    <row r="35276" spans="13:16">
      <c r="M35276" s="49">
        <f>IF($A$4+352&gt;$B$4,"",$A$4+352)</f>
        <v>46375</v>
      </c>
      <c r="N35276">
        <f>IF(M35276="","",'Master Barang'!A70)</f>
        <v>0</v>
      </c>
      <c r="O35276">
        <f>IF(N35276="","",'Master Barang'!B70)</f>
        <v>0</v>
      </c>
      <c r="P35276">
        <f>IF(OR(M35276="",N35276=""),"",SUMIFS('Barang Keluar'!$E:$E,'Barang Keluar'!$A:$A,M35276,'Barang Keluar'!$C:$C,N35276))</f>
        <v>0</v>
      </c>
    </row>
    <row r="35277" spans="13:16">
      <c r="M35277" s="49">
        <f>IF($A$4+352&gt;$B$4,"",$A$4+352)</f>
        <v>46375</v>
      </c>
      <c r="N35277">
        <f>IF(M35277="","",'Master Barang'!A71)</f>
        <v>0</v>
      </c>
      <c r="O35277">
        <f>IF(N35277="","",'Master Barang'!B71)</f>
        <v>0</v>
      </c>
      <c r="P35277">
        <f>IF(OR(M35277="",N35277=""),"",SUMIFS('Barang Keluar'!$E:$E,'Barang Keluar'!$A:$A,M35277,'Barang Keluar'!$C:$C,N35277))</f>
        <v>0</v>
      </c>
    </row>
    <row r="35278" spans="13:16">
      <c r="M35278" s="49">
        <f>IF($A$4+352&gt;$B$4,"",$A$4+352)</f>
        <v>46375</v>
      </c>
      <c r="N35278">
        <f>IF(M35278="","",'Master Barang'!A72)</f>
        <v>0</v>
      </c>
      <c r="O35278">
        <f>IF(N35278="","",'Master Barang'!B72)</f>
        <v>0</v>
      </c>
      <c r="P35278">
        <f>IF(OR(M35278="",N35278=""),"",SUMIFS('Barang Keluar'!$E:$E,'Barang Keluar'!$A:$A,M35278,'Barang Keluar'!$C:$C,N35278))</f>
        <v>0</v>
      </c>
    </row>
    <row r="35279" spans="13:16">
      <c r="M35279" s="49">
        <f>IF($A$4+352&gt;$B$4,"",$A$4+352)</f>
        <v>46375</v>
      </c>
      <c r="N35279">
        <f>IF(M35279="","",'Master Barang'!A73)</f>
        <v>0</v>
      </c>
      <c r="O35279">
        <f>IF(N35279="","",'Master Barang'!B73)</f>
        <v>0</v>
      </c>
      <c r="P35279">
        <f>IF(OR(M35279="",N35279=""),"",SUMIFS('Barang Keluar'!$E:$E,'Barang Keluar'!$A:$A,M35279,'Barang Keluar'!$C:$C,N35279))</f>
        <v>0</v>
      </c>
    </row>
    <row r="35280" spans="13:16">
      <c r="M35280" s="49">
        <f>IF($A$4+352&gt;$B$4,"",$A$4+352)</f>
        <v>46375</v>
      </c>
      <c r="N35280">
        <f>IF(M35280="","",'Master Barang'!A74)</f>
        <v>0</v>
      </c>
      <c r="O35280">
        <f>IF(N35280="","",'Master Barang'!B74)</f>
        <v>0</v>
      </c>
      <c r="P35280">
        <f>IF(OR(M35280="",N35280=""),"",SUMIFS('Barang Keluar'!$E:$E,'Barang Keluar'!$A:$A,M35280,'Barang Keluar'!$C:$C,N35280))</f>
        <v>0</v>
      </c>
    </row>
    <row r="35281" spans="13:16">
      <c r="M35281" s="49">
        <f>IF($A$4+352&gt;$B$4,"",$A$4+352)</f>
        <v>46375</v>
      </c>
      <c r="N35281">
        <f>IF(M35281="","",'Master Barang'!A75)</f>
        <v>0</v>
      </c>
      <c r="O35281">
        <f>IF(N35281="","",'Master Barang'!B75)</f>
        <v>0</v>
      </c>
      <c r="P35281">
        <f>IF(OR(M35281="",N35281=""),"",SUMIFS('Barang Keluar'!$E:$E,'Barang Keluar'!$A:$A,M35281,'Barang Keluar'!$C:$C,N35281))</f>
        <v>0</v>
      </c>
    </row>
    <row r="35282" spans="13:16">
      <c r="M35282" s="49">
        <f>IF($A$4+352&gt;$B$4,"",$A$4+352)</f>
        <v>46375</v>
      </c>
      <c r="N35282">
        <f>IF(M35282="","",'Master Barang'!A76)</f>
        <v>0</v>
      </c>
      <c r="O35282">
        <f>IF(N35282="","",'Master Barang'!B76)</f>
        <v>0</v>
      </c>
      <c r="P35282">
        <f>IF(OR(M35282="",N35282=""),"",SUMIFS('Barang Keluar'!$E:$E,'Barang Keluar'!$A:$A,M35282,'Barang Keluar'!$C:$C,N35282))</f>
        <v>0</v>
      </c>
    </row>
    <row r="35283" spans="13:16">
      <c r="M35283" s="49">
        <f>IF($A$4+352&gt;$B$4,"",$A$4+352)</f>
        <v>46375</v>
      </c>
      <c r="N35283">
        <f>IF(M35283="","",'Master Barang'!A77)</f>
        <v>0</v>
      </c>
      <c r="O35283">
        <f>IF(N35283="","",'Master Barang'!B77)</f>
        <v>0</v>
      </c>
      <c r="P35283">
        <f>IF(OR(M35283="",N35283=""),"",SUMIFS('Barang Keluar'!$E:$E,'Barang Keluar'!$A:$A,M35283,'Barang Keluar'!$C:$C,N35283))</f>
        <v>0</v>
      </c>
    </row>
    <row r="35284" spans="13:16">
      <c r="M35284" s="49">
        <f>IF($A$4+352&gt;$B$4,"",$A$4+352)</f>
        <v>46375</v>
      </c>
      <c r="N35284">
        <f>IF(M35284="","",'Master Barang'!A78)</f>
        <v>0</v>
      </c>
      <c r="O35284">
        <f>IF(N35284="","",'Master Barang'!B78)</f>
        <v>0</v>
      </c>
      <c r="P35284">
        <f>IF(OR(M35284="",N35284=""),"",SUMIFS('Barang Keluar'!$E:$E,'Barang Keluar'!$A:$A,M35284,'Barang Keluar'!$C:$C,N35284))</f>
        <v>0</v>
      </c>
    </row>
    <row r="35285" spans="13:16">
      <c r="M35285" s="49">
        <f>IF($A$4+352&gt;$B$4,"",$A$4+352)</f>
        <v>46375</v>
      </c>
      <c r="N35285">
        <f>IF(M35285="","",'Master Barang'!A79)</f>
        <v>0</v>
      </c>
      <c r="O35285">
        <f>IF(N35285="","",'Master Barang'!B79)</f>
        <v>0</v>
      </c>
      <c r="P35285">
        <f>IF(OR(M35285="",N35285=""),"",SUMIFS('Barang Keluar'!$E:$E,'Barang Keluar'!$A:$A,M35285,'Barang Keluar'!$C:$C,N35285))</f>
        <v>0</v>
      </c>
    </row>
    <row r="35286" spans="13:16">
      <c r="M35286" s="49">
        <f>IF($A$4+352&gt;$B$4,"",$A$4+352)</f>
        <v>46375</v>
      </c>
      <c r="N35286">
        <f>IF(M35286="","",'Master Barang'!A80)</f>
        <v>0</v>
      </c>
      <c r="O35286">
        <f>IF(N35286="","",'Master Barang'!B80)</f>
        <v>0</v>
      </c>
      <c r="P35286">
        <f>IF(OR(M35286="",N35286=""),"",SUMIFS('Barang Keluar'!$E:$E,'Barang Keluar'!$A:$A,M35286,'Barang Keluar'!$C:$C,N35286))</f>
        <v>0</v>
      </c>
    </row>
    <row r="35287" spans="13:16">
      <c r="M35287" s="49">
        <f>IF($A$4+352&gt;$B$4,"",$A$4+352)</f>
        <v>46375</v>
      </c>
      <c r="N35287">
        <f>IF(M35287="","",'Master Barang'!A81)</f>
        <v>0</v>
      </c>
      <c r="O35287">
        <f>IF(N35287="","",'Master Barang'!B81)</f>
        <v>0</v>
      </c>
      <c r="P35287">
        <f>IF(OR(M35287="",N35287=""),"",SUMIFS('Barang Keluar'!$E:$E,'Barang Keluar'!$A:$A,M35287,'Barang Keluar'!$C:$C,N35287))</f>
        <v>0</v>
      </c>
    </row>
    <row r="35288" spans="13:16">
      <c r="M35288" s="49">
        <f>IF($A$4+352&gt;$B$4,"",$A$4+352)</f>
        <v>46375</v>
      </c>
      <c r="N35288">
        <f>IF(M35288="","",'Master Barang'!A82)</f>
        <v>0</v>
      </c>
      <c r="O35288">
        <f>IF(N35288="","",'Master Barang'!B82)</f>
        <v>0</v>
      </c>
      <c r="P35288">
        <f>IF(OR(M35288="",N35288=""),"",SUMIFS('Barang Keluar'!$E:$E,'Barang Keluar'!$A:$A,M35288,'Barang Keluar'!$C:$C,N35288))</f>
        <v>0</v>
      </c>
    </row>
    <row r="35289" spans="13:16">
      <c r="M35289" s="49">
        <f>IF($A$4+352&gt;$B$4,"",$A$4+352)</f>
        <v>46375</v>
      </c>
      <c r="N35289">
        <f>IF(M35289="","",'Master Barang'!A83)</f>
        <v>0</v>
      </c>
      <c r="O35289">
        <f>IF(N35289="","",'Master Barang'!B83)</f>
        <v>0</v>
      </c>
      <c r="P35289">
        <f>IF(OR(M35289="",N35289=""),"",SUMIFS('Barang Keluar'!$E:$E,'Barang Keluar'!$A:$A,M35289,'Barang Keluar'!$C:$C,N35289))</f>
        <v>0</v>
      </c>
    </row>
    <row r="35290" spans="13:16">
      <c r="M35290" s="49">
        <f>IF($A$4+352&gt;$B$4,"",$A$4+352)</f>
        <v>46375</v>
      </c>
      <c r="N35290">
        <f>IF(M35290="","",'Master Barang'!A84)</f>
        <v>0</v>
      </c>
      <c r="O35290">
        <f>IF(N35290="","",'Master Barang'!B84)</f>
        <v>0</v>
      </c>
      <c r="P35290">
        <f>IF(OR(M35290="",N35290=""),"",SUMIFS('Barang Keluar'!$E:$E,'Barang Keluar'!$A:$A,M35290,'Barang Keluar'!$C:$C,N35290))</f>
        <v>0</v>
      </c>
    </row>
    <row r="35291" spans="13:16">
      <c r="M35291" s="49">
        <f>IF($A$4+352&gt;$B$4,"",$A$4+352)</f>
        <v>46375</v>
      </c>
      <c r="N35291">
        <f>IF(M35291="","",'Master Barang'!A85)</f>
        <v>0</v>
      </c>
      <c r="O35291">
        <f>IF(N35291="","",'Master Barang'!B85)</f>
        <v>0</v>
      </c>
      <c r="P35291">
        <f>IF(OR(M35291="",N35291=""),"",SUMIFS('Barang Keluar'!$E:$E,'Barang Keluar'!$A:$A,M35291,'Barang Keluar'!$C:$C,N35291))</f>
        <v>0</v>
      </c>
    </row>
    <row r="35292" spans="13:16">
      <c r="M35292" s="49">
        <f>IF($A$4+352&gt;$B$4,"",$A$4+352)</f>
        <v>46375</v>
      </c>
      <c r="N35292">
        <f>IF(M35292="","",'Master Barang'!A86)</f>
        <v>0</v>
      </c>
      <c r="O35292">
        <f>IF(N35292="","",'Master Barang'!B86)</f>
        <v>0</v>
      </c>
      <c r="P35292">
        <f>IF(OR(M35292="",N35292=""),"",SUMIFS('Barang Keluar'!$E:$E,'Barang Keluar'!$A:$A,M35292,'Barang Keluar'!$C:$C,N35292))</f>
        <v>0</v>
      </c>
    </row>
    <row r="35293" spans="13:16">
      <c r="M35293" s="49">
        <f>IF($A$4+352&gt;$B$4,"",$A$4+352)</f>
        <v>46375</v>
      </c>
      <c r="N35293">
        <f>IF(M35293="","",'Master Barang'!A87)</f>
        <v>0</v>
      </c>
      <c r="O35293">
        <f>IF(N35293="","",'Master Barang'!B87)</f>
        <v>0</v>
      </c>
      <c r="P35293">
        <f>IF(OR(M35293="",N35293=""),"",SUMIFS('Barang Keluar'!$E:$E,'Barang Keluar'!$A:$A,M35293,'Barang Keluar'!$C:$C,N35293))</f>
        <v>0</v>
      </c>
    </row>
    <row r="35294" spans="13:16">
      <c r="M35294" s="49">
        <f>IF($A$4+352&gt;$B$4,"",$A$4+352)</f>
        <v>46375</v>
      </c>
      <c r="N35294">
        <f>IF(M35294="","",'Master Barang'!A88)</f>
        <v>0</v>
      </c>
      <c r="O35294">
        <f>IF(N35294="","",'Master Barang'!B88)</f>
        <v>0</v>
      </c>
      <c r="P35294">
        <f>IF(OR(M35294="",N35294=""),"",SUMIFS('Barang Keluar'!$E:$E,'Barang Keluar'!$A:$A,M35294,'Barang Keluar'!$C:$C,N35294))</f>
        <v>0</v>
      </c>
    </row>
    <row r="35295" spans="13:16">
      <c r="M35295" s="49">
        <f>IF($A$4+352&gt;$B$4,"",$A$4+352)</f>
        <v>46375</v>
      </c>
      <c r="N35295">
        <f>IF(M35295="","",'Master Barang'!A89)</f>
        <v>0</v>
      </c>
      <c r="O35295">
        <f>IF(N35295="","",'Master Barang'!B89)</f>
        <v>0</v>
      </c>
      <c r="P35295">
        <f>IF(OR(M35295="",N35295=""),"",SUMIFS('Barang Keluar'!$E:$E,'Barang Keluar'!$A:$A,M35295,'Barang Keluar'!$C:$C,N35295))</f>
        <v>0</v>
      </c>
    </row>
    <row r="35296" spans="13:16">
      <c r="M35296" s="49">
        <f>IF($A$4+352&gt;$B$4,"",$A$4+352)</f>
        <v>46375</v>
      </c>
      <c r="N35296">
        <f>IF(M35296="","",'Master Barang'!A90)</f>
        <v>0</v>
      </c>
      <c r="O35296">
        <f>IF(N35296="","",'Master Barang'!B90)</f>
        <v>0</v>
      </c>
      <c r="P35296">
        <f>IF(OR(M35296="",N35296=""),"",SUMIFS('Barang Keluar'!$E:$E,'Barang Keluar'!$A:$A,M35296,'Barang Keluar'!$C:$C,N35296))</f>
        <v>0</v>
      </c>
    </row>
    <row r="35297" spans="13:16">
      <c r="M35297" s="49">
        <f>IF($A$4+352&gt;$B$4,"",$A$4+352)</f>
        <v>46375</v>
      </c>
      <c r="N35297">
        <f>IF(M35297="","",'Master Barang'!A91)</f>
        <v>0</v>
      </c>
      <c r="O35297">
        <f>IF(N35297="","",'Master Barang'!B91)</f>
        <v>0</v>
      </c>
      <c r="P35297">
        <f>IF(OR(M35297="",N35297=""),"",SUMIFS('Barang Keluar'!$E:$E,'Barang Keluar'!$A:$A,M35297,'Barang Keluar'!$C:$C,N35297))</f>
        <v>0</v>
      </c>
    </row>
    <row r="35298" spans="13:16">
      <c r="M35298" s="49">
        <f>IF($A$4+352&gt;$B$4,"",$A$4+352)</f>
        <v>46375</v>
      </c>
      <c r="N35298">
        <f>IF(M35298="","",'Master Barang'!A92)</f>
        <v>0</v>
      </c>
      <c r="O35298">
        <f>IF(N35298="","",'Master Barang'!B92)</f>
        <v>0</v>
      </c>
      <c r="P35298">
        <f>IF(OR(M35298="",N35298=""),"",SUMIFS('Barang Keluar'!$E:$E,'Barang Keluar'!$A:$A,M35298,'Barang Keluar'!$C:$C,N35298))</f>
        <v>0</v>
      </c>
    </row>
    <row r="35299" spans="13:16">
      <c r="M35299" s="49">
        <f>IF($A$4+352&gt;$B$4,"",$A$4+352)</f>
        <v>46375</v>
      </c>
      <c r="N35299">
        <f>IF(M35299="","",'Master Barang'!A93)</f>
        <v>0</v>
      </c>
      <c r="O35299">
        <f>IF(N35299="","",'Master Barang'!B93)</f>
        <v>0</v>
      </c>
      <c r="P35299">
        <f>IF(OR(M35299="",N35299=""),"",SUMIFS('Barang Keluar'!$E:$E,'Barang Keluar'!$A:$A,M35299,'Barang Keluar'!$C:$C,N35299))</f>
        <v>0</v>
      </c>
    </row>
    <row r="35300" spans="13:16">
      <c r="M35300" s="49">
        <f>IF($A$4+352&gt;$B$4,"",$A$4+352)</f>
        <v>46375</v>
      </c>
      <c r="N35300">
        <f>IF(M35300="","",'Master Barang'!A94)</f>
        <v>0</v>
      </c>
      <c r="O35300">
        <f>IF(N35300="","",'Master Barang'!B94)</f>
        <v>0</v>
      </c>
      <c r="P35300">
        <f>IF(OR(M35300="",N35300=""),"",SUMIFS('Barang Keluar'!$E:$E,'Barang Keluar'!$A:$A,M35300,'Barang Keluar'!$C:$C,N35300))</f>
        <v>0</v>
      </c>
    </row>
    <row r="35301" spans="13:16">
      <c r="M35301" s="49">
        <f>IF($A$4+352&gt;$B$4,"",$A$4+352)</f>
        <v>46375</v>
      </c>
      <c r="N35301">
        <f>IF(M35301="","",'Master Barang'!A95)</f>
        <v>0</v>
      </c>
      <c r="O35301">
        <f>IF(N35301="","",'Master Barang'!B95)</f>
        <v>0</v>
      </c>
      <c r="P35301">
        <f>IF(OR(M35301="",N35301=""),"",SUMIFS('Barang Keluar'!$E:$E,'Barang Keluar'!$A:$A,M35301,'Barang Keluar'!$C:$C,N35301))</f>
        <v>0</v>
      </c>
    </row>
    <row r="35302" spans="13:16">
      <c r="M35302" s="49">
        <f>IF($A$4+352&gt;$B$4,"",$A$4+352)</f>
        <v>46375</v>
      </c>
      <c r="N35302">
        <f>IF(M35302="","",'Master Barang'!A96)</f>
        <v>0</v>
      </c>
      <c r="O35302">
        <f>IF(N35302="","",'Master Barang'!B96)</f>
        <v>0</v>
      </c>
      <c r="P35302">
        <f>IF(OR(M35302="",N35302=""),"",SUMIFS('Barang Keluar'!$E:$E,'Barang Keluar'!$A:$A,M35302,'Barang Keluar'!$C:$C,N35302))</f>
        <v>0</v>
      </c>
    </row>
    <row r="35303" spans="13:16">
      <c r="M35303" s="49">
        <f>IF($A$4+352&gt;$B$4,"",$A$4+352)</f>
        <v>46375</v>
      </c>
      <c r="N35303">
        <f>IF(M35303="","",'Master Barang'!A97)</f>
        <v>0</v>
      </c>
      <c r="O35303">
        <f>IF(N35303="","",'Master Barang'!B97)</f>
        <v>0</v>
      </c>
      <c r="P35303">
        <f>IF(OR(M35303="",N35303=""),"",SUMIFS('Barang Keluar'!$E:$E,'Barang Keluar'!$A:$A,M35303,'Barang Keluar'!$C:$C,N35303))</f>
        <v>0</v>
      </c>
    </row>
    <row r="35304" spans="13:16">
      <c r="M35304" s="49">
        <f>IF($A$4+352&gt;$B$4,"",$A$4+352)</f>
        <v>46375</v>
      </c>
      <c r="N35304">
        <f>IF(M35304="","",'Master Barang'!A98)</f>
        <v>0</v>
      </c>
      <c r="O35304">
        <f>IF(N35304="","",'Master Barang'!B98)</f>
        <v>0</v>
      </c>
      <c r="P35304">
        <f>IF(OR(M35304="",N35304=""),"",SUMIFS('Barang Keluar'!$E:$E,'Barang Keluar'!$A:$A,M35304,'Barang Keluar'!$C:$C,N35304))</f>
        <v>0</v>
      </c>
    </row>
    <row r="35305" spans="13:16">
      <c r="M35305" s="49">
        <f>IF($A$4+352&gt;$B$4,"",$A$4+352)</f>
        <v>46375</v>
      </c>
      <c r="N35305">
        <f>IF(M35305="","",'Master Barang'!A99)</f>
        <v>0</v>
      </c>
      <c r="O35305">
        <f>IF(N35305="","",'Master Barang'!B99)</f>
        <v>0</v>
      </c>
      <c r="P35305">
        <f>IF(OR(M35305="",N35305=""),"",SUMIFS('Barang Keluar'!$E:$E,'Barang Keluar'!$A:$A,M35305,'Barang Keluar'!$C:$C,N35305))</f>
        <v>0</v>
      </c>
    </row>
    <row r="35306" spans="13:16">
      <c r="M35306" s="49">
        <f>IF($A$4+352&gt;$B$4,"",$A$4+352)</f>
        <v>46375</v>
      </c>
      <c r="N35306">
        <f>IF(M35306="","",'Master Barang'!A100)</f>
        <v>0</v>
      </c>
      <c r="O35306">
        <f>IF(N35306="","",'Master Barang'!B100)</f>
        <v>0</v>
      </c>
      <c r="P35306">
        <f>IF(OR(M35306="",N35306=""),"",SUMIFS('Barang Keluar'!$E:$E,'Barang Keluar'!$A:$A,M35306,'Barang Keluar'!$C:$C,N35306))</f>
        <v>0</v>
      </c>
    </row>
    <row r="35307" spans="13:16">
      <c r="M35307" s="49">
        <f>IF($A$4+352&gt;$B$4,"",$A$4+352)</f>
        <v>46375</v>
      </c>
      <c r="N35307">
        <f>IF(M35307="","",'Master Barang'!A101)</f>
        <v>0</v>
      </c>
      <c r="O35307">
        <f>IF(N35307="","",'Master Barang'!B101)</f>
        <v>0</v>
      </c>
      <c r="P35307">
        <f>IF(OR(M35307="",N35307=""),"",SUMIFS('Barang Keluar'!$E:$E,'Barang Keluar'!$A:$A,M35307,'Barang Keluar'!$C:$C,N35307))</f>
        <v>0</v>
      </c>
    </row>
    <row r="35308" spans="13:16">
      <c r="M35308" s="49">
        <f>IF($A$4+353&gt;$B$4,"",$A$4+353)</f>
        <v>46376</v>
      </c>
      <c r="N35308" t="str">
        <f>IF(M35308="","",'Master Barang'!A2)</f>
        <v>PRL-001</v>
      </c>
      <c r="O35308" t="str">
        <f>IF(N35308="","",'Master Barang'!B2)</f>
        <v>natura desinfectant food grade 5l</v>
      </c>
      <c r="P35308">
        <f>IF(OR(M35308="",N35308=""),"",SUMIFS('Barang Keluar'!$E:$E,'Barang Keluar'!$A:$A,M35308,'Barang Keluar'!$C:$C,N35308))</f>
        <v>0</v>
      </c>
    </row>
    <row r="35309" spans="13:16">
      <c r="M35309" s="49">
        <f>IF($A$4+353&gt;$B$4,"",$A$4+353)</f>
        <v>46376</v>
      </c>
      <c r="N35309" t="str">
        <f>IF(M35309="","",'Master Barang'!A3)</f>
        <v>PRL-002</v>
      </c>
      <c r="O35309" t="str">
        <f>IF(N35309="","",'Master Barang'!B3)</f>
        <v>sunlight cairan pencuci piring 5l</v>
      </c>
      <c r="P35309">
        <f>IF(OR(M35309="",N35309=""),"",SUMIFS('Barang Keluar'!$E:$E,'Barang Keluar'!$A:$A,M35309,'Barang Keluar'!$C:$C,N35309))</f>
        <v>0</v>
      </c>
    </row>
    <row r="35310" spans="13:16">
      <c r="M35310" s="49">
        <f>IF($A$4+353&gt;$B$4,"",$A$4+353)</f>
        <v>46376</v>
      </c>
      <c r="N35310" t="str">
        <f>IF(M35310="","",'Master Barang'!A4)</f>
        <v>PRL-003</v>
      </c>
      <c r="O35310" t="str">
        <f>IF(N35310="","",'Master Barang'!B4)</f>
        <v>oixs cleaner 1l</v>
      </c>
      <c r="P35310">
        <f>IF(OR(M35310="",N35310=""),"",SUMIFS('Barang Keluar'!$E:$E,'Barang Keluar'!$A:$A,M35310,'Barang Keluar'!$C:$C,N35310))</f>
        <v>0</v>
      </c>
    </row>
    <row r="35311" spans="13:16">
      <c r="M35311" s="49">
        <f>IF($A$4+353&gt;$B$4,"",$A$4+353)</f>
        <v>46376</v>
      </c>
      <c r="N35311" t="str">
        <f>IF(M35311="","",'Master Barang'!A5)</f>
        <v>PRL-004</v>
      </c>
      <c r="O35311" t="str">
        <f>IF(N35311="","",'Master Barang'!B5)</f>
        <v>be clean tissue serbaguna</v>
      </c>
      <c r="P35311">
        <f>IF(OR(M35311="",N35311=""),"",SUMIFS('Barang Keluar'!$E:$E,'Barang Keluar'!$A:$A,M35311,'Barang Keluar'!$C:$C,N35311))</f>
        <v>0</v>
      </c>
    </row>
    <row r="35312" spans="13:16">
      <c r="M35312" s="49">
        <f>IF($A$4+353&gt;$B$4,"",$A$4+353)</f>
        <v>46376</v>
      </c>
      <c r="N35312" t="str">
        <f>IF(M35312="","",'Master Barang'!A6)</f>
        <v>PRL-005</v>
      </c>
      <c r="O35312" t="str">
        <f>IF(N35312="","",'Master Barang'!B6)</f>
        <v>spons cuci hijau</v>
      </c>
      <c r="P35312">
        <f>IF(OR(M35312="",N35312=""),"",SUMIFS('Barang Keluar'!$E:$E,'Barang Keluar'!$A:$A,M35312,'Barang Keluar'!$C:$C,N35312))</f>
        <v>0</v>
      </c>
    </row>
    <row r="35313" spans="13:16">
      <c r="M35313" s="49">
        <f>IF($A$4+353&gt;$B$4,"",$A$4+353)</f>
        <v>46376</v>
      </c>
      <c r="N35313" t="str">
        <f>IF(M35313="","",'Master Barang'!A7)</f>
        <v>PRL-006</v>
      </c>
      <c r="O35313" t="str">
        <f>IF(N35313="","",'Master Barang'!B7)</f>
        <v>sabut cuci stainless</v>
      </c>
      <c r="P35313">
        <f>IF(OR(M35313="",N35313=""),"",SUMIFS('Barang Keluar'!$E:$E,'Barang Keluar'!$A:$A,M35313,'Barang Keluar'!$C:$C,N35313))</f>
        <v>0</v>
      </c>
    </row>
    <row r="35314" spans="13:16">
      <c r="M35314" s="49">
        <f>IF($A$4+353&gt;$B$4,"",$A$4+353)</f>
        <v>46376</v>
      </c>
      <c r="N35314" t="str">
        <f>IF(M35314="","",'Master Barang'!A8)</f>
        <v>PRL-007</v>
      </c>
      <c r="O35314" t="str">
        <f>IF(N35314="","",'Master Barang'!B8)</f>
        <v>plastik kresek besar merah 50pc</v>
      </c>
      <c r="P35314">
        <f>IF(OR(M35314="",N35314=""),"",SUMIFS('Barang Keluar'!$E:$E,'Barang Keluar'!$A:$A,M35314,'Barang Keluar'!$C:$C,N35314))</f>
        <v>0</v>
      </c>
    </row>
    <row r="35315" spans="13:16">
      <c r="M35315" s="49">
        <f>IF($A$4+353&gt;$B$4,"",$A$4+353)</f>
        <v>46376</v>
      </c>
      <c r="N35315" t="str">
        <f>IF(M35315="","",'Master Barang'!A9)</f>
        <v>PRL-008</v>
      </c>
      <c r="O35315" t="str">
        <f>IF(N35315="","",'Master Barang'!B9)</f>
        <v>lap besar</v>
      </c>
      <c r="P35315">
        <f>IF(OR(M35315="",N35315=""),"",SUMIFS('Barang Keluar'!$E:$E,'Barang Keluar'!$A:$A,M35315,'Barang Keluar'!$C:$C,N35315))</f>
        <v>0</v>
      </c>
    </row>
    <row r="35316" spans="13:16">
      <c r="M35316" s="49">
        <f>IF($A$4+353&gt;$B$4,"",$A$4+353)</f>
        <v>46376</v>
      </c>
      <c r="N35316" t="str">
        <f>IF(M35316="","",'Master Barang'!A10)</f>
        <v>PRL-009</v>
      </c>
      <c r="O35316" t="str">
        <f>IF(N35316="","",'Master Barang'!B10)</f>
        <v>lap microfiber</v>
      </c>
      <c r="P35316">
        <f>IF(OR(M35316="",N35316=""),"",SUMIFS('Barang Keluar'!$E:$E,'Barang Keluar'!$A:$A,M35316,'Barang Keluar'!$C:$C,N35316))</f>
        <v>0</v>
      </c>
    </row>
    <row r="35317" spans="13:16">
      <c r="M35317" s="49">
        <f>IF($A$4+353&gt;$B$4,"",$A$4+353)</f>
        <v>46376</v>
      </c>
      <c r="N35317" t="str">
        <f>IF(M35317="","",'Master Barang'!A11)</f>
        <v>PRL-010</v>
      </c>
      <c r="O35317" t="str">
        <f>IF(N35317="","",'Master Barang'!B11)</f>
        <v>lap kecil</v>
      </c>
      <c r="P35317">
        <f>IF(OR(M35317="",N35317=""),"",SUMIFS('Barang Keluar'!$E:$E,'Barang Keluar'!$A:$A,M35317,'Barang Keluar'!$C:$C,N35317))</f>
        <v>0</v>
      </c>
    </row>
    <row r="35318" spans="13:16">
      <c r="M35318" s="49">
        <f>IF($A$4+353&gt;$B$4,"",$A$4+353)</f>
        <v>46376</v>
      </c>
      <c r="N35318" t="str">
        <f>IF(M35318="","",'Master Barang'!A12)</f>
        <v>PRL-011</v>
      </c>
      <c r="O35318" t="str">
        <f>IF(N35318="","",'Master Barang'!B12)</f>
        <v>kanebo kecil</v>
      </c>
      <c r="P35318">
        <f>IF(OR(M35318="",N35318=""),"",SUMIFS('Barang Keluar'!$E:$E,'Barang Keluar'!$A:$A,M35318,'Barang Keluar'!$C:$C,N35318))</f>
        <v>0</v>
      </c>
    </row>
    <row r="35319" spans="13:16">
      <c r="M35319" s="49">
        <f>IF($A$4+353&gt;$B$4,"",$A$4+353)</f>
        <v>46376</v>
      </c>
      <c r="N35319" t="str">
        <f>IF(M35319="","",'Master Barang'!A13)</f>
        <v>PRL-012</v>
      </c>
      <c r="O35319" t="str">
        <f>IF(N35319="","",'Master Barang'!B13)</f>
        <v>plastik 1/4kg joyoboyo 100 lembar</v>
      </c>
      <c r="P35319">
        <f>IF(OR(M35319="",N35319=""),"",SUMIFS('Barang Keluar'!$E:$E,'Barang Keluar'!$A:$A,M35319,'Barang Keluar'!$C:$C,N35319))</f>
        <v>0</v>
      </c>
    </row>
    <row r="35320" spans="13:16">
      <c r="M35320" s="49">
        <f>IF($A$4+353&gt;$B$4,"",$A$4+353)</f>
        <v>46376</v>
      </c>
      <c r="N35320" t="str">
        <f>IF(M35320="","",'Master Barang'!A14)</f>
        <v>PRL-013</v>
      </c>
      <c r="O35320" t="str">
        <f>IF(N35320="","",'Master Barang'!B14)</f>
        <v>sarung tangan plastik kaka 100 pcs</v>
      </c>
      <c r="P35320">
        <f>IF(OR(M35320="",N35320=""),"",SUMIFS('Barang Keluar'!$E:$E,'Barang Keluar'!$A:$A,M35320,'Barang Keluar'!$C:$C,N35320))</f>
        <v>0</v>
      </c>
    </row>
    <row r="35321" spans="13:16">
      <c r="M35321" s="49">
        <f>IF($A$4+353&gt;$B$4,"",$A$4+353)</f>
        <v>46376</v>
      </c>
      <c r="N35321" t="str">
        <f>IF(M35321="","",'Master Barang'!A15)</f>
        <v>PRL-014</v>
      </c>
      <c r="O35321" t="str">
        <f>IF(N35321="","",'Master Barang'!B15)</f>
        <v>optima trashbag 80x100</v>
      </c>
      <c r="P35321">
        <f>IF(OR(M35321="",N35321=""),"",SUMIFS('Barang Keluar'!$E:$E,'Barang Keluar'!$A:$A,M35321,'Barang Keluar'!$C:$C,N35321))</f>
        <v>0</v>
      </c>
    </row>
    <row r="35322" spans="13:16">
      <c r="M35322" s="49">
        <f>IF($A$4+353&gt;$B$4,"",$A$4+353)</f>
        <v>46376</v>
      </c>
      <c r="N35322" t="str">
        <f>IF(M35322="","",'Master Barang'!A16)</f>
        <v>PRL-015</v>
      </c>
      <c r="O35322" t="str">
        <f>IF(N35322="","",'Master Barang'!B16)</f>
        <v>optima trashbag 60x100</v>
      </c>
      <c r="P35322">
        <f>IF(OR(M35322="",N35322=""),"",SUMIFS('Barang Keluar'!$E:$E,'Barang Keluar'!$A:$A,M35322,'Barang Keluar'!$C:$C,N35322))</f>
        <v>0</v>
      </c>
    </row>
    <row r="35323" spans="13:16">
      <c r="M35323" s="49">
        <f>IF($A$4+353&gt;$B$4,"",$A$4+353)</f>
        <v>46376</v>
      </c>
      <c r="N35323" t="str">
        <f>IF(M35323="","",'Master Barang'!A17)</f>
        <v>PRL-016</v>
      </c>
      <c r="O35323" t="str">
        <f>IF(N35323="","",'Master Barang'!B17)</f>
        <v>rajawali trashbag 30x40</v>
      </c>
      <c r="P35323">
        <f>IF(OR(M35323="",N35323=""),"",SUMIFS('Barang Keluar'!$E:$E,'Barang Keluar'!$A:$A,M35323,'Barang Keluar'!$C:$C,N35323))</f>
        <v>0</v>
      </c>
    </row>
    <row r="35324" spans="13:16">
      <c r="M35324" s="49">
        <f>IF($A$4+353&gt;$B$4,"",$A$4+353)</f>
        <v>46376</v>
      </c>
      <c r="N35324" t="str">
        <f>IF(M35324="","",'Master Barang'!A18)</f>
        <v>PRL-017</v>
      </c>
      <c r="O35324" t="str">
        <f>IF(N35324="","",'Master Barang'!B18)</f>
        <v>onemed masker biru 3 play 50 pcs</v>
      </c>
      <c r="P35324">
        <f>IF(OR(M35324="",N35324=""),"",SUMIFS('Barang Keluar'!$E:$E,'Barang Keluar'!$A:$A,M35324,'Barang Keluar'!$C:$C,N35324))</f>
        <v>0</v>
      </c>
    </row>
    <row r="35325" spans="13:16">
      <c r="M35325" s="49">
        <f>IF($A$4+353&gt;$B$4,"",$A$4+353)</f>
        <v>46376</v>
      </c>
      <c r="N35325" t="str">
        <f>IF(M35325="","",'Master Barang'!A19)</f>
        <v>PRL-018</v>
      </c>
      <c r="O35325" t="str">
        <f>IF(N35325="","",'Master Barang'!B19)</f>
        <v>onemed masker biru 3 play hijab 50 pcs</v>
      </c>
      <c r="P35325">
        <f>IF(OR(M35325="",N35325=""),"",SUMIFS('Barang Keluar'!$E:$E,'Barang Keluar'!$A:$A,M35325,'Barang Keluar'!$C:$C,N35325))</f>
        <v>0</v>
      </c>
    </row>
    <row r="35326" spans="13:16">
      <c r="M35326" s="49">
        <f>IF($A$4+353&gt;$B$4,"",$A$4+353)</f>
        <v>46376</v>
      </c>
      <c r="N35326" t="str">
        <f>IF(M35326="","",'Master Barang'!A20)</f>
        <v>PRL-019</v>
      </c>
      <c r="O35326" t="str">
        <f>IF(N35326="","",'Master Barang'!B20)</f>
        <v>neo health masker biru 3 play 50 pcs</v>
      </c>
      <c r="P35326">
        <f>IF(OR(M35326="",N35326=""),"",SUMIFS('Barang Keluar'!$E:$E,'Barang Keluar'!$A:$A,M35326,'Barang Keluar'!$C:$C,N35326))</f>
        <v>0</v>
      </c>
    </row>
    <row r="35327" spans="13:16">
      <c r="M35327" s="49">
        <f>IF($A$4+353&gt;$B$4,"",$A$4+353)</f>
        <v>46376</v>
      </c>
      <c r="N35327" t="str">
        <f>IF(M35327="","",'Master Barang'!A21)</f>
        <v>PRL-020</v>
      </c>
      <c r="O35327" t="str">
        <f>IF(N35327="","",'Master Barang'!B21)</f>
        <v>baymed masker hijau 3 play hijau 50 pcs</v>
      </c>
      <c r="P35327">
        <f>IF(OR(M35327="",N35327=""),"",SUMIFS('Barang Keluar'!$E:$E,'Barang Keluar'!$A:$A,M35327,'Barang Keluar'!$C:$C,N35327))</f>
        <v>0</v>
      </c>
    </row>
    <row r="35328" spans="13:16">
      <c r="M35328" s="49">
        <f>IF($A$4+353&gt;$B$4,"",$A$4+353)</f>
        <v>46376</v>
      </c>
      <c r="N35328" t="str">
        <f>IF(M35328="","",'Master Barang'!A22)</f>
        <v>PRL-021</v>
      </c>
      <c r="O35328" t="str">
        <f>IF(N35328="","",'Master Barang'!B22)</f>
        <v>altamed nurse cap penutup kepala 100 pcs</v>
      </c>
      <c r="P35328">
        <f>IF(OR(M35328="",N35328=""),"",SUMIFS('Barang Keluar'!$E:$E,'Barang Keluar'!$A:$A,M35328,'Barang Keluar'!$C:$C,N35328))</f>
        <v>0</v>
      </c>
    </row>
    <row r="35329" spans="13:16">
      <c r="M35329" s="49">
        <f>IF($A$4+353&gt;$B$4,"",$A$4+353)</f>
        <v>46376</v>
      </c>
      <c r="N35329" t="str">
        <f>IF(M35329="","",'Master Barang'!A23)</f>
        <v>PRL-022</v>
      </c>
      <c r="O35329" t="str">
        <f>IF(N35329="","",'Master Barang'!B23)</f>
        <v>sabun cuci tangan</v>
      </c>
      <c r="P35329">
        <f>IF(OR(M35329="",N35329=""),"",SUMIFS('Barang Keluar'!$E:$E,'Barang Keluar'!$A:$A,M35329,'Barang Keluar'!$C:$C,N35329))</f>
        <v>0</v>
      </c>
    </row>
    <row r="35330" spans="13:16">
      <c r="M35330" s="49">
        <f>IF($A$4+353&gt;$B$4,"",$A$4+353)</f>
        <v>46376</v>
      </c>
      <c r="N35330" t="str">
        <f>IF(M35330="","",'Master Barang'!A24)</f>
        <v>PRL-023</v>
      </c>
      <c r="O35330" t="str">
        <f>IF(N35330="","",'Master Barang'!B24)</f>
        <v>gayung kecil</v>
      </c>
      <c r="P35330">
        <f>IF(OR(M35330="",N35330=""),"",SUMIFS('Barang Keluar'!$E:$E,'Barang Keluar'!$A:$A,M35330,'Barang Keluar'!$C:$C,N35330))</f>
        <v>0</v>
      </c>
    </row>
    <row r="35331" spans="13:16">
      <c r="M35331" s="49">
        <f>IF($A$4+353&gt;$B$4,"",$A$4+353)</f>
        <v>46376</v>
      </c>
      <c r="N35331" t="str">
        <f>IF(M35331="","",'Master Barang'!A25)</f>
        <v>PRL-024</v>
      </c>
      <c r="O35331" t="str">
        <f>IF(N35331="","",'Master Barang'!B25)</f>
        <v>cikrak kecil</v>
      </c>
      <c r="P35331">
        <f>IF(OR(M35331="",N35331=""),"",SUMIFS('Barang Keluar'!$E:$E,'Barang Keluar'!$A:$A,M35331,'Barang Keluar'!$C:$C,N35331))</f>
        <v>0</v>
      </c>
    </row>
    <row r="35332" spans="13:16">
      <c r="M35332" s="49">
        <f>IF($A$4+353&gt;$B$4,"",$A$4+353)</f>
        <v>46376</v>
      </c>
      <c r="N35332" t="str">
        <f>IF(M35332="","",'Master Barang'!A26)</f>
        <v>PRL-025</v>
      </c>
      <c r="O35332" t="str">
        <f>IF(N35332="","",'Master Barang'!B26)</f>
        <v>petromax plastik kecil 12x24 100 lembar</v>
      </c>
      <c r="P35332">
        <f>IF(OR(M35332="",N35332=""),"",SUMIFS('Barang Keluar'!$E:$E,'Barang Keluar'!$A:$A,M35332,'Barang Keluar'!$C:$C,N35332))</f>
        <v>0</v>
      </c>
    </row>
    <row r="35333" spans="13:16">
      <c r="M35333" s="49">
        <f>IF($A$4+353&gt;$B$4,"",$A$4+353)</f>
        <v>46376</v>
      </c>
      <c r="N35333" t="str">
        <f>IF(M35333="","",'Master Barang'!A27)</f>
        <v>PRL-026</v>
      </c>
      <c r="O35333" t="str">
        <f>IF(N35333="","",'Master Barang'!B27)</f>
        <v>lancar kresek kecil bening </v>
      </c>
      <c r="P35333">
        <f>IF(OR(M35333="",N35333=""),"",SUMIFS('Barang Keluar'!$E:$E,'Barang Keluar'!$A:$A,M35333,'Barang Keluar'!$C:$C,N35333))</f>
        <v>0</v>
      </c>
    </row>
    <row r="35334" spans="13:16">
      <c r="M35334" s="49">
        <f>IF($A$4+353&gt;$B$4,"",$A$4+353)</f>
        <v>46376</v>
      </c>
      <c r="N35334" t="str">
        <f>IF(M35334="","",'Master Barang'!A28)</f>
        <v>PRL-027</v>
      </c>
      <c r="O35334" t="str">
        <f>IF(N35334="","",'Master Barang'!B28)</f>
        <v>kresek klin warna warni kecil</v>
      </c>
      <c r="P35334">
        <f>IF(OR(M35334="",N35334=""),"",SUMIFS('Barang Keluar'!$E:$E,'Barang Keluar'!$A:$A,M35334,'Barang Keluar'!$C:$C,N35334))</f>
        <v>0</v>
      </c>
    </row>
    <row r="35335" spans="13:16">
      <c r="M35335" s="49">
        <f>IF($A$4+353&gt;$B$4,"",$A$4+353)</f>
        <v>46376</v>
      </c>
      <c r="N35335" t="str">
        <f>IF(M35335="","",'Master Barang'!A29)</f>
        <v>PRL-028</v>
      </c>
      <c r="O35335" t="str">
        <f>IF(N35335="","",'Master Barang'!B29)</f>
        <v>ctik plastik 7x10 100 pcs</v>
      </c>
      <c r="P35335">
        <f>IF(OR(M35335="",N35335=""),"",SUMIFS('Barang Keluar'!$E:$E,'Barang Keluar'!$A:$A,M35335,'Barang Keluar'!$C:$C,N35335))</f>
        <v>0</v>
      </c>
    </row>
    <row r="35336" spans="13:16">
      <c r="M35336" s="49">
        <f>IF($A$4+353&gt;$B$4,"",$A$4+353)</f>
        <v>46376</v>
      </c>
      <c r="N35336" t="str">
        <f>IF(M35336="","",'Master Barang'!A30)</f>
        <v>PRL-029</v>
      </c>
      <c r="O35336" t="str">
        <f>IF(N35336="","",'Master Barang'!B30)</f>
        <v>ctik plastik 6x10 100 pcs</v>
      </c>
      <c r="P35336">
        <f>IF(OR(M35336="",N35336=""),"",SUMIFS('Barang Keluar'!$E:$E,'Barang Keluar'!$A:$A,M35336,'Barang Keluar'!$C:$C,N35336))</f>
        <v>0</v>
      </c>
    </row>
    <row r="35337" spans="13:16">
      <c r="M35337" s="49">
        <f>IF($A$4+353&gt;$B$4,"",$A$4+353)</f>
        <v>46376</v>
      </c>
      <c r="N35337" t="str">
        <f>IF(M35337="","",'Master Barang'!A31)</f>
        <v>PRL-030</v>
      </c>
      <c r="O35337" t="str">
        <f>IF(N35337="","",'Master Barang'!B31)</f>
        <v>klip plastik 25x16 100 pcs</v>
      </c>
      <c r="P35337">
        <f>IF(OR(M35337="",N35337=""),"",SUMIFS('Barang Keluar'!$E:$E,'Barang Keluar'!$A:$A,M35337,'Barang Keluar'!$C:$C,N35337))</f>
        <v>0</v>
      </c>
    </row>
    <row r="35338" spans="13:16">
      <c r="M35338" s="49">
        <f>IF($A$4+353&gt;$B$4,"",$A$4+353)</f>
        <v>46376</v>
      </c>
      <c r="N35338" t="str">
        <f>IF(M35338="","",'Master Barang'!A32)</f>
        <v>PRL-031</v>
      </c>
      <c r="O35338" t="str">
        <f>IF(N35338="","",'Master Barang'!B32)</f>
        <v>tempat saus 20 ml</v>
      </c>
      <c r="P35338">
        <f>IF(OR(M35338="",N35338=""),"",SUMIFS('Barang Keluar'!$E:$E,'Barang Keluar'!$A:$A,M35338,'Barang Keluar'!$C:$C,N35338))</f>
        <v>0</v>
      </c>
    </row>
    <row r="35339" spans="13:16">
      <c r="M35339" s="49">
        <f>IF($A$4+353&gt;$B$4,"",$A$4+353)</f>
        <v>46376</v>
      </c>
      <c r="N35339" t="str">
        <f>IF(M35339="","",'Master Barang'!A33)</f>
        <v>PRL-032</v>
      </c>
      <c r="O35339" t="str">
        <f>IF(N35339="","",'Master Barang'!B33)</f>
        <v>plastik packaging ag box uk sedang</v>
      </c>
      <c r="P35339">
        <f>IF(OR(M35339="",N35339=""),"",SUMIFS('Barang Keluar'!$E:$E,'Barang Keluar'!$A:$A,M35339,'Barang Keluar'!$C:$C,N35339))</f>
        <v>0</v>
      </c>
    </row>
    <row r="35340" spans="13:16">
      <c r="M35340" s="49">
        <f>IF($A$4+353&gt;$B$4,"",$A$4+353)</f>
        <v>46376</v>
      </c>
      <c r="N35340" t="str">
        <f>IF(M35340="","",'Master Barang'!A34)</f>
        <v>PRL-033</v>
      </c>
      <c r="O35340">
        <f>IF(N35340="","",'Master Barang'!B34)</f>
        <v>0</v>
      </c>
      <c r="P35340">
        <f>IF(OR(M35340="",N35340=""),"",SUMIFS('Barang Keluar'!$E:$E,'Barang Keluar'!$A:$A,M35340,'Barang Keluar'!$C:$C,N35340))</f>
        <v>0</v>
      </c>
    </row>
    <row r="35341" spans="13:16">
      <c r="M35341" s="49">
        <f>IF($A$4+353&gt;$B$4,"",$A$4+353)</f>
        <v>46376</v>
      </c>
      <c r="N35341">
        <f>IF(M35341="","",'Master Barang'!A35)</f>
        <v>0</v>
      </c>
      <c r="O35341">
        <f>IF(N35341="","",'Master Barang'!B35)</f>
        <v>0</v>
      </c>
      <c r="P35341">
        <f>IF(OR(M35341="",N35341=""),"",SUMIFS('Barang Keluar'!$E:$E,'Barang Keluar'!$A:$A,M35341,'Barang Keluar'!$C:$C,N35341))</f>
        <v>0</v>
      </c>
    </row>
    <row r="35342" spans="13:16">
      <c r="M35342" s="49">
        <f>IF($A$4+353&gt;$B$4,"",$A$4+353)</f>
        <v>46376</v>
      </c>
      <c r="N35342">
        <f>IF(M35342="","",'Master Barang'!A36)</f>
        <v>0</v>
      </c>
      <c r="O35342">
        <f>IF(N35342="","",'Master Barang'!B36)</f>
        <v>0</v>
      </c>
      <c r="P35342">
        <f>IF(OR(M35342="",N35342=""),"",SUMIFS('Barang Keluar'!$E:$E,'Barang Keluar'!$A:$A,M35342,'Barang Keluar'!$C:$C,N35342))</f>
        <v>0</v>
      </c>
    </row>
    <row r="35343" spans="13:16">
      <c r="M35343" s="49">
        <f>IF($A$4+353&gt;$B$4,"",$A$4+353)</f>
        <v>46376</v>
      </c>
      <c r="N35343">
        <f>IF(M35343="","",'Master Barang'!A37)</f>
        <v>0</v>
      </c>
      <c r="O35343">
        <f>IF(N35343="","",'Master Barang'!B37)</f>
        <v>0</v>
      </c>
      <c r="P35343">
        <f>IF(OR(M35343="",N35343=""),"",SUMIFS('Barang Keluar'!$E:$E,'Barang Keluar'!$A:$A,M35343,'Barang Keluar'!$C:$C,N35343))</f>
        <v>0</v>
      </c>
    </row>
    <row r="35344" spans="13:16">
      <c r="M35344" s="49">
        <f>IF($A$4+353&gt;$B$4,"",$A$4+353)</f>
        <v>46376</v>
      </c>
      <c r="N35344">
        <f>IF(M35344="","",'Master Barang'!A38)</f>
        <v>0</v>
      </c>
      <c r="O35344">
        <f>IF(N35344="","",'Master Barang'!B38)</f>
        <v>0</v>
      </c>
      <c r="P35344">
        <f>IF(OR(M35344="",N35344=""),"",SUMIFS('Barang Keluar'!$E:$E,'Barang Keluar'!$A:$A,M35344,'Barang Keluar'!$C:$C,N35344))</f>
        <v>0</v>
      </c>
    </row>
    <row r="35345" spans="13:16">
      <c r="M35345" s="49">
        <f>IF($A$4+353&gt;$B$4,"",$A$4+353)</f>
        <v>46376</v>
      </c>
      <c r="N35345">
        <f>IF(M35345="","",'Master Barang'!A39)</f>
        <v>0</v>
      </c>
      <c r="O35345">
        <f>IF(N35345="","",'Master Barang'!B39)</f>
        <v>0</v>
      </c>
      <c r="P35345">
        <f>IF(OR(M35345="",N35345=""),"",SUMIFS('Barang Keluar'!$E:$E,'Barang Keluar'!$A:$A,M35345,'Barang Keluar'!$C:$C,N35345))</f>
        <v>0</v>
      </c>
    </row>
    <row r="35346" spans="13:16">
      <c r="M35346" s="49">
        <f>IF($A$4+353&gt;$B$4,"",$A$4+353)</f>
        <v>46376</v>
      </c>
      <c r="N35346">
        <f>IF(M35346="","",'Master Barang'!A40)</f>
        <v>0</v>
      </c>
      <c r="O35346">
        <f>IF(N35346="","",'Master Barang'!B40)</f>
        <v>0</v>
      </c>
      <c r="P35346">
        <f>IF(OR(M35346="",N35346=""),"",SUMIFS('Barang Keluar'!$E:$E,'Barang Keluar'!$A:$A,M35346,'Barang Keluar'!$C:$C,N35346))</f>
        <v>0</v>
      </c>
    </row>
    <row r="35347" spans="13:16">
      <c r="M35347" s="49">
        <f>IF($A$4+353&gt;$B$4,"",$A$4+353)</f>
        <v>46376</v>
      </c>
      <c r="N35347">
        <f>IF(M35347="","",'Master Barang'!A41)</f>
        <v>0</v>
      </c>
      <c r="O35347">
        <f>IF(N35347="","",'Master Barang'!B41)</f>
        <v>0</v>
      </c>
      <c r="P35347">
        <f>IF(OR(M35347="",N35347=""),"",SUMIFS('Barang Keluar'!$E:$E,'Barang Keluar'!$A:$A,M35347,'Barang Keluar'!$C:$C,N35347))</f>
        <v>0</v>
      </c>
    </row>
    <row r="35348" spans="13:16">
      <c r="M35348" s="49">
        <f>IF($A$4+353&gt;$B$4,"",$A$4+353)</f>
        <v>46376</v>
      </c>
      <c r="N35348">
        <f>IF(M35348="","",'Master Barang'!A42)</f>
        <v>0</v>
      </c>
      <c r="O35348">
        <f>IF(N35348="","",'Master Barang'!B42)</f>
        <v>0</v>
      </c>
      <c r="P35348">
        <f>IF(OR(M35348="",N35348=""),"",SUMIFS('Barang Keluar'!$E:$E,'Barang Keluar'!$A:$A,M35348,'Barang Keluar'!$C:$C,N35348))</f>
        <v>0</v>
      </c>
    </row>
    <row r="35349" spans="13:16">
      <c r="M35349" s="49">
        <f>IF($A$4+353&gt;$B$4,"",$A$4+353)</f>
        <v>46376</v>
      </c>
      <c r="N35349">
        <f>IF(M35349="","",'Master Barang'!A43)</f>
        <v>0</v>
      </c>
      <c r="O35349">
        <f>IF(N35349="","",'Master Barang'!B43)</f>
        <v>0</v>
      </c>
      <c r="P35349">
        <f>IF(OR(M35349="",N35349=""),"",SUMIFS('Barang Keluar'!$E:$E,'Barang Keluar'!$A:$A,M35349,'Barang Keluar'!$C:$C,N35349))</f>
        <v>0</v>
      </c>
    </row>
    <row r="35350" spans="13:16">
      <c r="M35350" s="49">
        <f>IF($A$4+353&gt;$B$4,"",$A$4+353)</f>
        <v>46376</v>
      </c>
      <c r="N35350">
        <f>IF(M35350="","",'Master Barang'!A44)</f>
        <v>0</v>
      </c>
      <c r="O35350">
        <f>IF(N35350="","",'Master Barang'!B44)</f>
        <v>0</v>
      </c>
      <c r="P35350">
        <f>IF(OR(M35350="",N35350=""),"",SUMIFS('Barang Keluar'!$E:$E,'Barang Keluar'!$A:$A,M35350,'Barang Keluar'!$C:$C,N35350))</f>
        <v>0</v>
      </c>
    </row>
    <row r="35351" spans="13:16">
      <c r="M35351" s="49">
        <f>IF($A$4+353&gt;$B$4,"",$A$4+353)</f>
        <v>46376</v>
      </c>
      <c r="N35351">
        <f>IF(M35351="","",'Master Barang'!A45)</f>
        <v>0</v>
      </c>
      <c r="O35351">
        <f>IF(N35351="","",'Master Barang'!B45)</f>
        <v>0</v>
      </c>
      <c r="P35351">
        <f>IF(OR(M35351="",N35351=""),"",SUMIFS('Barang Keluar'!$E:$E,'Barang Keluar'!$A:$A,M35351,'Barang Keluar'!$C:$C,N35351))</f>
        <v>0</v>
      </c>
    </row>
    <row r="35352" spans="13:16">
      <c r="M35352" s="49">
        <f>IF($A$4+353&gt;$B$4,"",$A$4+353)</f>
        <v>46376</v>
      </c>
      <c r="N35352">
        <f>IF(M35352="","",'Master Barang'!A46)</f>
        <v>0</v>
      </c>
      <c r="O35352">
        <f>IF(N35352="","",'Master Barang'!B46)</f>
        <v>0</v>
      </c>
      <c r="P35352">
        <f>IF(OR(M35352="",N35352=""),"",SUMIFS('Barang Keluar'!$E:$E,'Barang Keluar'!$A:$A,M35352,'Barang Keluar'!$C:$C,N35352))</f>
        <v>0</v>
      </c>
    </row>
    <row r="35353" spans="13:16">
      <c r="M35353" s="49">
        <f>IF($A$4+353&gt;$B$4,"",$A$4+353)</f>
        <v>46376</v>
      </c>
      <c r="N35353">
        <f>IF(M35353="","",'Master Barang'!A47)</f>
        <v>0</v>
      </c>
      <c r="O35353">
        <f>IF(N35353="","",'Master Barang'!B47)</f>
        <v>0</v>
      </c>
      <c r="P35353">
        <f>IF(OR(M35353="",N35353=""),"",SUMIFS('Barang Keluar'!$E:$E,'Barang Keluar'!$A:$A,M35353,'Barang Keluar'!$C:$C,N35353))</f>
        <v>0</v>
      </c>
    </row>
    <row r="35354" spans="13:16">
      <c r="M35354" s="49">
        <f>IF($A$4+353&gt;$B$4,"",$A$4+353)</f>
        <v>46376</v>
      </c>
      <c r="N35354">
        <f>IF(M35354="","",'Master Barang'!A48)</f>
        <v>0</v>
      </c>
      <c r="O35354">
        <f>IF(N35354="","",'Master Barang'!B48)</f>
        <v>0</v>
      </c>
      <c r="P35354">
        <f>IF(OR(M35354="",N35354=""),"",SUMIFS('Barang Keluar'!$E:$E,'Barang Keluar'!$A:$A,M35354,'Barang Keluar'!$C:$C,N35354))</f>
        <v>0</v>
      </c>
    </row>
    <row r="35355" spans="13:16">
      <c r="M35355" s="49">
        <f>IF($A$4+353&gt;$B$4,"",$A$4+353)</f>
        <v>46376</v>
      </c>
      <c r="N35355">
        <f>IF(M35355="","",'Master Barang'!A49)</f>
        <v>0</v>
      </c>
      <c r="O35355">
        <f>IF(N35355="","",'Master Barang'!B49)</f>
        <v>0</v>
      </c>
      <c r="P35355">
        <f>IF(OR(M35355="",N35355=""),"",SUMIFS('Barang Keluar'!$E:$E,'Barang Keluar'!$A:$A,M35355,'Barang Keluar'!$C:$C,N35355))</f>
        <v>0</v>
      </c>
    </row>
    <row r="35356" spans="13:16">
      <c r="M35356" s="49">
        <f>IF($A$4+353&gt;$B$4,"",$A$4+353)</f>
        <v>46376</v>
      </c>
      <c r="N35356">
        <f>IF(M35356="","",'Master Barang'!A50)</f>
        <v>0</v>
      </c>
      <c r="O35356">
        <f>IF(N35356="","",'Master Barang'!B50)</f>
        <v>0</v>
      </c>
      <c r="P35356">
        <f>IF(OR(M35356="",N35356=""),"",SUMIFS('Barang Keluar'!$E:$E,'Barang Keluar'!$A:$A,M35356,'Barang Keluar'!$C:$C,N35356))</f>
        <v>0</v>
      </c>
    </row>
    <row r="35357" spans="13:16">
      <c r="M35357" s="49">
        <f>IF($A$4+353&gt;$B$4,"",$A$4+353)</f>
        <v>46376</v>
      </c>
      <c r="N35357">
        <f>IF(M35357="","",'Master Barang'!A51)</f>
        <v>0</v>
      </c>
      <c r="O35357">
        <f>IF(N35357="","",'Master Barang'!B51)</f>
        <v>0</v>
      </c>
      <c r="P35357">
        <f>IF(OR(M35357="",N35357=""),"",SUMIFS('Barang Keluar'!$E:$E,'Barang Keluar'!$A:$A,M35357,'Barang Keluar'!$C:$C,N35357))</f>
        <v>0</v>
      </c>
    </row>
    <row r="35358" spans="13:16">
      <c r="M35358" s="49">
        <f>IF($A$4+353&gt;$B$4,"",$A$4+353)</f>
        <v>46376</v>
      </c>
      <c r="N35358">
        <f>IF(M35358="","",'Master Barang'!A52)</f>
        <v>0</v>
      </c>
      <c r="O35358">
        <f>IF(N35358="","",'Master Barang'!B52)</f>
        <v>0</v>
      </c>
      <c r="P35358">
        <f>IF(OR(M35358="",N35358=""),"",SUMIFS('Barang Keluar'!$E:$E,'Barang Keluar'!$A:$A,M35358,'Barang Keluar'!$C:$C,N35358))</f>
        <v>0</v>
      </c>
    </row>
    <row r="35359" spans="13:16">
      <c r="M35359" s="49">
        <f>IF($A$4+353&gt;$B$4,"",$A$4+353)</f>
        <v>46376</v>
      </c>
      <c r="N35359">
        <f>IF(M35359="","",'Master Barang'!A53)</f>
        <v>0</v>
      </c>
      <c r="O35359">
        <f>IF(N35359="","",'Master Barang'!B53)</f>
        <v>0</v>
      </c>
      <c r="P35359">
        <f>IF(OR(M35359="",N35359=""),"",SUMIFS('Barang Keluar'!$E:$E,'Barang Keluar'!$A:$A,M35359,'Barang Keluar'!$C:$C,N35359))</f>
        <v>0</v>
      </c>
    </row>
    <row r="35360" spans="13:16">
      <c r="M35360" s="49">
        <f>IF($A$4+353&gt;$B$4,"",$A$4+353)</f>
        <v>46376</v>
      </c>
      <c r="N35360">
        <f>IF(M35360="","",'Master Barang'!A54)</f>
        <v>0</v>
      </c>
      <c r="O35360">
        <f>IF(N35360="","",'Master Barang'!B54)</f>
        <v>0</v>
      </c>
      <c r="P35360">
        <f>IF(OR(M35360="",N35360=""),"",SUMIFS('Barang Keluar'!$E:$E,'Barang Keluar'!$A:$A,M35360,'Barang Keluar'!$C:$C,N35360))</f>
        <v>0</v>
      </c>
    </row>
    <row r="35361" spans="13:16">
      <c r="M35361" s="49">
        <f>IF($A$4+353&gt;$B$4,"",$A$4+353)</f>
        <v>46376</v>
      </c>
      <c r="N35361">
        <f>IF(M35361="","",'Master Barang'!A55)</f>
        <v>0</v>
      </c>
      <c r="O35361">
        <f>IF(N35361="","",'Master Barang'!B55)</f>
        <v>0</v>
      </c>
      <c r="P35361">
        <f>IF(OR(M35361="",N35361=""),"",SUMIFS('Barang Keluar'!$E:$E,'Barang Keluar'!$A:$A,M35361,'Barang Keluar'!$C:$C,N35361))</f>
        <v>0</v>
      </c>
    </row>
    <row r="35362" spans="13:16">
      <c r="M35362" s="49">
        <f>IF($A$4+353&gt;$B$4,"",$A$4+353)</f>
        <v>46376</v>
      </c>
      <c r="N35362">
        <f>IF(M35362="","",'Master Barang'!A56)</f>
        <v>0</v>
      </c>
      <c r="O35362">
        <f>IF(N35362="","",'Master Barang'!B56)</f>
        <v>0</v>
      </c>
      <c r="P35362">
        <f>IF(OR(M35362="",N35362=""),"",SUMIFS('Barang Keluar'!$E:$E,'Barang Keluar'!$A:$A,M35362,'Barang Keluar'!$C:$C,N35362))</f>
        <v>0</v>
      </c>
    </row>
    <row r="35363" spans="13:16">
      <c r="M35363" s="49">
        <f>IF($A$4+353&gt;$B$4,"",$A$4+353)</f>
        <v>46376</v>
      </c>
      <c r="N35363">
        <f>IF(M35363="","",'Master Barang'!A57)</f>
        <v>0</v>
      </c>
      <c r="O35363">
        <f>IF(N35363="","",'Master Barang'!B57)</f>
        <v>0</v>
      </c>
      <c r="P35363">
        <f>IF(OR(M35363="",N35363=""),"",SUMIFS('Barang Keluar'!$E:$E,'Barang Keluar'!$A:$A,M35363,'Barang Keluar'!$C:$C,N35363))</f>
        <v>0</v>
      </c>
    </row>
    <row r="35364" spans="13:16">
      <c r="M35364" s="49">
        <f>IF($A$4+353&gt;$B$4,"",$A$4+353)</f>
        <v>46376</v>
      </c>
      <c r="N35364">
        <f>IF(M35364="","",'Master Barang'!A58)</f>
        <v>0</v>
      </c>
      <c r="O35364">
        <f>IF(N35364="","",'Master Barang'!B58)</f>
        <v>0</v>
      </c>
      <c r="P35364">
        <f>IF(OR(M35364="",N35364=""),"",SUMIFS('Barang Keluar'!$E:$E,'Barang Keluar'!$A:$A,M35364,'Barang Keluar'!$C:$C,N35364))</f>
        <v>0</v>
      </c>
    </row>
    <row r="35365" spans="13:16">
      <c r="M35365" s="49">
        <f>IF($A$4+353&gt;$B$4,"",$A$4+353)</f>
        <v>46376</v>
      </c>
      <c r="N35365">
        <f>IF(M35365="","",'Master Barang'!A59)</f>
        <v>0</v>
      </c>
      <c r="O35365">
        <f>IF(N35365="","",'Master Barang'!B59)</f>
        <v>0</v>
      </c>
      <c r="P35365">
        <f>IF(OR(M35365="",N35365=""),"",SUMIFS('Barang Keluar'!$E:$E,'Barang Keluar'!$A:$A,M35365,'Barang Keluar'!$C:$C,N35365))</f>
        <v>0</v>
      </c>
    </row>
    <row r="35366" spans="13:16">
      <c r="M35366" s="49">
        <f>IF($A$4+353&gt;$B$4,"",$A$4+353)</f>
        <v>46376</v>
      </c>
      <c r="N35366">
        <f>IF(M35366="","",'Master Barang'!A60)</f>
        <v>0</v>
      </c>
      <c r="O35366">
        <f>IF(N35366="","",'Master Barang'!B60)</f>
        <v>0</v>
      </c>
      <c r="P35366">
        <f>IF(OR(M35366="",N35366=""),"",SUMIFS('Barang Keluar'!$E:$E,'Barang Keluar'!$A:$A,M35366,'Barang Keluar'!$C:$C,N35366))</f>
        <v>0</v>
      </c>
    </row>
    <row r="35367" spans="13:16">
      <c r="M35367" s="49">
        <f>IF($A$4+353&gt;$B$4,"",$A$4+353)</f>
        <v>46376</v>
      </c>
      <c r="N35367">
        <f>IF(M35367="","",'Master Barang'!A61)</f>
        <v>0</v>
      </c>
      <c r="O35367">
        <f>IF(N35367="","",'Master Barang'!B61)</f>
        <v>0</v>
      </c>
      <c r="P35367">
        <f>IF(OR(M35367="",N35367=""),"",SUMIFS('Barang Keluar'!$E:$E,'Barang Keluar'!$A:$A,M35367,'Barang Keluar'!$C:$C,N35367))</f>
        <v>0</v>
      </c>
    </row>
    <row r="35368" spans="13:16">
      <c r="M35368" s="49">
        <f>IF($A$4+353&gt;$B$4,"",$A$4+353)</f>
        <v>46376</v>
      </c>
      <c r="N35368">
        <f>IF(M35368="","",'Master Barang'!A62)</f>
        <v>0</v>
      </c>
      <c r="O35368">
        <f>IF(N35368="","",'Master Barang'!B62)</f>
        <v>0</v>
      </c>
      <c r="P35368">
        <f>IF(OR(M35368="",N35368=""),"",SUMIFS('Barang Keluar'!$E:$E,'Barang Keluar'!$A:$A,M35368,'Barang Keluar'!$C:$C,N35368))</f>
        <v>0</v>
      </c>
    </row>
    <row r="35369" spans="13:16">
      <c r="M35369" s="49">
        <f>IF($A$4+353&gt;$B$4,"",$A$4+353)</f>
        <v>46376</v>
      </c>
      <c r="N35369">
        <f>IF(M35369="","",'Master Barang'!A63)</f>
        <v>0</v>
      </c>
      <c r="O35369">
        <f>IF(N35369="","",'Master Barang'!B63)</f>
        <v>0</v>
      </c>
      <c r="P35369">
        <f>IF(OR(M35369="",N35369=""),"",SUMIFS('Barang Keluar'!$E:$E,'Barang Keluar'!$A:$A,M35369,'Barang Keluar'!$C:$C,N35369))</f>
        <v>0</v>
      </c>
    </row>
    <row r="35370" spans="13:16">
      <c r="M35370" s="49">
        <f>IF($A$4+353&gt;$B$4,"",$A$4+353)</f>
        <v>46376</v>
      </c>
      <c r="N35370">
        <f>IF(M35370="","",'Master Barang'!A64)</f>
        <v>0</v>
      </c>
      <c r="O35370">
        <f>IF(N35370="","",'Master Barang'!B64)</f>
        <v>0</v>
      </c>
      <c r="P35370">
        <f>IF(OR(M35370="",N35370=""),"",SUMIFS('Barang Keluar'!$E:$E,'Barang Keluar'!$A:$A,M35370,'Barang Keluar'!$C:$C,N35370))</f>
        <v>0</v>
      </c>
    </row>
    <row r="35371" spans="13:16">
      <c r="M35371" s="49">
        <f>IF($A$4+353&gt;$B$4,"",$A$4+353)</f>
        <v>46376</v>
      </c>
      <c r="N35371">
        <f>IF(M35371="","",'Master Barang'!A65)</f>
        <v>0</v>
      </c>
      <c r="O35371">
        <f>IF(N35371="","",'Master Barang'!B65)</f>
        <v>0</v>
      </c>
      <c r="P35371">
        <f>IF(OR(M35371="",N35371=""),"",SUMIFS('Barang Keluar'!$E:$E,'Barang Keluar'!$A:$A,M35371,'Barang Keluar'!$C:$C,N35371))</f>
        <v>0</v>
      </c>
    </row>
    <row r="35372" spans="13:16">
      <c r="M35372" s="49">
        <f>IF($A$4+353&gt;$B$4,"",$A$4+353)</f>
        <v>46376</v>
      </c>
      <c r="N35372">
        <f>IF(M35372="","",'Master Barang'!A66)</f>
        <v>0</v>
      </c>
      <c r="O35372">
        <f>IF(N35372="","",'Master Barang'!B66)</f>
        <v>0</v>
      </c>
      <c r="P35372">
        <f>IF(OR(M35372="",N35372=""),"",SUMIFS('Barang Keluar'!$E:$E,'Barang Keluar'!$A:$A,M35372,'Barang Keluar'!$C:$C,N35372))</f>
        <v>0</v>
      </c>
    </row>
    <row r="35373" spans="13:16">
      <c r="M35373" s="49">
        <f>IF($A$4+353&gt;$B$4,"",$A$4+353)</f>
        <v>46376</v>
      </c>
      <c r="N35373">
        <f>IF(M35373="","",'Master Barang'!A67)</f>
        <v>0</v>
      </c>
      <c r="O35373">
        <f>IF(N35373="","",'Master Barang'!B67)</f>
        <v>0</v>
      </c>
      <c r="P35373">
        <f>IF(OR(M35373="",N35373=""),"",SUMIFS('Barang Keluar'!$E:$E,'Barang Keluar'!$A:$A,M35373,'Barang Keluar'!$C:$C,N35373))</f>
        <v>0</v>
      </c>
    </row>
    <row r="35374" spans="13:16">
      <c r="M35374" s="49">
        <f>IF($A$4+353&gt;$B$4,"",$A$4+353)</f>
        <v>46376</v>
      </c>
      <c r="N35374">
        <f>IF(M35374="","",'Master Barang'!A68)</f>
        <v>0</v>
      </c>
      <c r="O35374">
        <f>IF(N35374="","",'Master Barang'!B68)</f>
        <v>0</v>
      </c>
      <c r="P35374">
        <f>IF(OR(M35374="",N35374=""),"",SUMIFS('Barang Keluar'!$E:$E,'Barang Keluar'!$A:$A,M35374,'Barang Keluar'!$C:$C,N35374))</f>
        <v>0</v>
      </c>
    </row>
    <row r="35375" spans="13:16">
      <c r="M35375" s="49">
        <f>IF($A$4+353&gt;$B$4,"",$A$4+353)</f>
        <v>46376</v>
      </c>
      <c r="N35375">
        <f>IF(M35375="","",'Master Barang'!A69)</f>
        <v>0</v>
      </c>
      <c r="O35375">
        <f>IF(N35375="","",'Master Barang'!B69)</f>
        <v>0</v>
      </c>
      <c r="P35375">
        <f>IF(OR(M35375="",N35375=""),"",SUMIFS('Barang Keluar'!$E:$E,'Barang Keluar'!$A:$A,M35375,'Barang Keluar'!$C:$C,N35375))</f>
        <v>0</v>
      </c>
    </row>
    <row r="35376" spans="13:16">
      <c r="M35376" s="49">
        <f>IF($A$4+353&gt;$B$4,"",$A$4+353)</f>
        <v>46376</v>
      </c>
      <c r="N35376">
        <f>IF(M35376="","",'Master Barang'!A70)</f>
        <v>0</v>
      </c>
      <c r="O35376">
        <f>IF(N35376="","",'Master Barang'!B70)</f>
        <v>0</v>
      </c>
      <c r="P35376">
        <f>IF(OR(M35376="",N35376=""),"",SUMIFS('Barang Keluar'!$E:$E,'Barang Keluar'!$A:$A,M35376,'Barang Keluar'!$C:$C,N35376))</f>
        <v>0</v>
      </c>
    </row>
    <row r="35377" spans="13:16">
      <c r="M35377" s="49">
        <f>IF($A$4+353&gt;$B$4,"",$A$4+353)</f>
        <v>46376</v>
      </c>
      <c r="N35377">
        <f>IF(M35377="","",'Master Barang'!A71)</f>
        <v>0</v>
      </c>
      <c r="O35377">
        <f>IF(N35377="","",'Master Barang'!B71)</f>
        <v>0</v>
      </c>
      <c r="P35377">
        <f>IF(OR(M35377="",N35377=""),"",SUMIFS('Barang Keluar'!$E:$E,'Barang Keluar'!$A:$A,M35377,'Barang Keluar'!$C:$C,N35377))</f>
        <v>0</v>
      </c>
    </row>
    <row r="35378" spans="13:16">
      <c r="M35378" s="49">
        <f>IF($A$4+353&gt;$B$4,"",$A$4+353)</f>
        <v>46376</v>
      </c>
      <c r="N35378">
        <f>IF(M35378="","",'Master Barang'!A72)</f>
        <v>0</v>
      </c>
      <c r="O35378">
        <f>IF(N35378="","",'Master Barang'!B72)</f>
        <v>0</v>
      </c>
      <c r="P35378">
        <f>IF(OR(M35378="",N35378=""),"",SUMIFS('Barang Keluar'!$E:$E,'Barang Keluar'!$A:$A,M35378,'Barang Keluar'!$C:$C,N35378))</f>
        <v>0</v>
      </c>
    </row>
    <row r="35379" spans="13:16">
      <c r="M35379" s="49">
        <f>IF($A$4+353&gt;$B$4,"",$A$4+353)</f>
        <v>46376</v>
      </c>
      <c r="N35379">
        <f>IF(M35379="","",'Master Barang'!A73)</f>
        <v>0</v>
      </c>
      <c r="O35379">
        <f>IF(N35379="","",'Master Barang'!B73)</f>
        <v>0</v>
      </c>
      <c r="P35379">
        <f>IF(OR(M35379="",N35379=""),"",SUMIFS('Barang Keluar'!$E:$E,'Barang Keluar'!$A:$A,M35379,'Barang Keluar'!$C:$C,N35379))</f>
        <v>0</v>
      </c>
    </row>
    <row r="35380" spans="13:16">
      <c r="M35380" s="49">
        <f>IF($A$4+353&gt;$B$4,"",$A$4+353)</f>
        <v>46376</v>
      </c>
      <c r="N35380">
        <f>IF(M35380="","",'Master Barang'!A74)</f>
        <v>0</v>
      </c>
      <c r="O35380">
        <f>IF(N35380="","",'Master Barang'!B74)</f>
        <v>0</v>
      </c>
      <c r="P35380">
        <f>IF(OR(M35380="",N35380=""),"",SUMIFS('Barang Keluar'!$E:$E,'Barang Keluar'!$A:$A,M35380,'Barang Keluar'!$C:$C,N35380))</f>
        <v>0</v>
      </c>
    </row>
    <row r="35381" spans="13:16">
      <c r="M35381" s="49">
        <f>IF($A$4+353&gt;$B$4,"",$A$4+353)</f>
        <v>46376</v>
      </c>
      <c r="N35381">
        <f>IF(M35381="","",'Master Barang'!A75)</f>
        <v>0</v>
      </c>
      <c r="O35381">
        <f>IF(N35381="","",'Master Barang'!B75)</f>
        <v>0</v>
      </c>
      <c r="P35381">
        <f>IF(OR(M35381="",N35381=""),"",SUMIFS('Barang Keluar'!$E:$E,'Barang Keluar'!$A:$A,M35381,'Barang Keluar'!$C:$C,N35381))</f>
        <v>0</v>
      </c>
    </row>
    <row r="35382" spans="13:16">
      <c r="M35382" s="49">
        <f>IF($A$4+353&gt;$B$4,"",$A$4+353)</f>
        <v>46376</v>
      </c>
      <c r="N35382">
        <f>IF(M35382="","",'Master Barang'!A76)</f>
        <v>0</v>
      </c>
      <c r="O35382">
        <f>IF(N35382="","",'Master Barang'!B76)</f>
        <v>0</v>
      </c>
      <c r="P35382">
        <f>IF(OR(M35382="",N35382=""),"",SUMIFS('Barang Keluar'!$E:$E,'Barang Keluar'!$A:$A,M35382,'Barang Keluar'!$C:$C,N35382))</f>
        <v>0</v>
      </c>
    </row>
    <row r="35383" spans="13:16">
      <c r="M35383" s="49">
        <f>IF($A$4+353&gt;$B$4,"",$A$4+353)</f>
        <v>46376</v>
      </c>
      <c r="N35383">
        <f>IF(M35383="","",'Master Barang'!A77)</f>
        <v>0</v>
      </c>
      <c r="O35383">
        <f>IF(N35383="","",'Master Barang'!B77)</f>
        <v>0</v>
      </c>
      <c r="P35383">
        <f>IF(OR(M35383="",N35383=""),"",SUMIFS('Barang Keluar'!$E:$E,'Barang Keluar'!$A:$A,M35383,'Barang Keluar'!$C:$C,N35383))</f>
        <v>0</v>
      </c>
    </row>
    <row r="35384" spans="13:16">
      <c r="M35384" s="49">
        <f>IF($A$4+353&gt;$B$4,"",$A$4+353)</f>
        <v>46376</v>
      </c>
      <c r="N35384">
        <f>IF(M35384="","",'Master Barang'!A78)</f>
        <v>0</v>
      </c>
      <c r="O35384">
        <f>IF(N35384="","",'Master Barang'!B78)</f>
        <v>0</v>
      </c>
      <c r="P35384">
        <f>IF(OR(M35384="",N35384=""),"",SUMIFS('Barang Keluar'!$E:$E,'Barang Keluar'!$A:$A,M35384,'Barang Keluar'!$C:$C,N35384))</f>
        <v>0</v>
      </c>
    </row>
    <row r="35385" spans="13:16">
      <c r="M35385" s="49">
        <f>IF($A$4+353&gt;$B$4,"",$A$4+353)</f>
        <v>46376</v>
      </c>
      <c r="N35385">
        <f>IF(M35385="","",'Master Barang'!A79)</f>
        <v>0</v>
      </c>
      <c r="O35385">
        <f>IF(N35385="","",'Master Barang'!B79)</f>
        <v>0</v>
      </c>
      <c r="P35385">
        <f>IF(OR(M35385="",N35385=""),"",SUMIFS('Barang Keluar'!$E:$E,'Barang Keluar'!$A:$A,M35385,'Barang Keluar'!$C:$C,N35385))</f>
        <v>0</v>
      </c>
    </row>
    <row r="35386" spans="13:16">
      <c r="M35386" s="49">
        <f>IF($A$4+353&gt;$B$4,"",$A$4+353)</f>
        <v>46376</v>
      </c>
      <c r="N35386">
        <f>IF(M35386="","",'Master Barang'!A80)</f>
        <v>0</v>
      </c>
      <c r="O35386">
        <f>IF(N35386="","",'Master Barang'!B80)</f>
        <v>0</v>
      </c>
      <c r="P35386">
        <f>IF(OR(M35386="",N35386=""),"",SUMIFS('Barang Keluar'!$E:$E,'Barang Keluar'!$A:$A,M35386,'Barang Keluar'!$C:$C,N35386))</f>
        <v>0</v>
      </c>
    </row>
    <row r="35387" spans="13:16">
      <c r="M35387" s="49">
        <f>IF($A$4+353&gt;$B$4,"",$A$4+353)</f>
        <v>46376</v>
      </c>
      <c r="N35387">
        <f>IF(M35387="","",'Master Barang'!A81)</f>
        <v>0</v>
      </c>
      <c r="O35387">
        <f>IF(N35387="","",'Master Barang'!B81)</f>
        <v>0</v>
      </c>
      <c r="P35387">
        <f>IF(OR(M35387="",N35387=""),"",SUMIFS('Barang Keluar'!$E:$E,'Barang Keluar'!$A:$A,M35387,'Barang Keluar'!$C:$C,N35387))</f>
        <v>0</v>
      </c>
    </row>
    <row r="35388" spans="13:16">
      <c r="M35388" s="49">
        <f>IF($A$4+353&gt;$B$4,"",$A$4+353)</f>
        <v>46376</v>
      </c>
      <c r="N35388">
        <f>IF(M35388="","",'Master Barang'!A82)</f>
        <v>0</v>
      </c>
      <c r="O35388">
        <f>IF(N35388="","",'Master Barang'!B82)</f>
        <v>0</v>
      </c>
      <c r="P35388">
        <f>IF(OR(M35388="",N35388=""),"",SUMIFS('Barang Keluar'!$E:$E,'Barang Keluar'!$A:$A,M35388,'Barang Keluar'!$C:$C,N35388))</f>
        <v>0</v>
      </c>
    </row>
    <row r="35389" spans="13:16">
      <c r="M35389" s="49">
        <f>IF($A$4+353&gt;$B$4,"",$A$4+353)</f>
        <v>46376</v>
      </c>
      <c r="N35389">
        <f>IF(M35389="","",'Master Barang'!A83)</f>
        <v>0</v>
      </c>
      <c r="O35389">
        <f>IF(N35389="","",'Master Barang'!B83)</f>
        <v>0</v>
      </c>
      <c r="P35389">
        <f>IF(OR(M35389="",N35389=""),"",SUMIFS('Barang Keluar'!$E:$E,'Barang Keluar'!$A:$A,M35389,'Barang Keluar'!$C:$C,N35389))</f>
        <v>0</v>
      </c>
    </row>
    <row r="35390" spans="13:16">
      <c r="M35390" s="49">
        <f>IF($A$4+353&gt;$B$4,"",$A$4+353)</f>
        <v>46376</v>
      </c>
      <c r="N35390">
        <f>IF(M35390="","",'Master Barang'!A84)</f>
        <v>0</v>
      </c>
      <c r="O35390">
        <f>IF(N35390="","",'Master Barang'!B84)</f>
        <v>0</v>
      </c>
      <c r="P35390">
        <f>IF(OR(M35390="",N35390=""),"",SUMIFS('Barang Keluar'!$E:$E,'Barang Keluar'!$A:$A,M35390,'Barang Keluar'!$C:$C,N35390))</f>
        <v>0</v>
      </c>
    </row>
    <row r="35391" spans="13:16">
      <c r="M35391" s="49">
        <f>IF($A$4+353&gt;$B$4,"",$A$4+353)</f>
        <v>46376</v>
      </c>
      <c r="N35391">
        <f>IF(M35391="","",'Master Barang'!A85)</f>
        <v>0</v>
      </c>
      <c r="O35391">
        <f>IF(N35391="","",'Master Barang'!B85)</f>
        <v>0</v>
      </c>
      <c r="P35391">
        <f>IF(OR(M35391="",N35391=""),"",SUMIFS('Barang Keluar'!$E:$E,'Barang Keluar'!$A:$A,M35391,'Barang Keluar'!$C:$C,N35391))</f>
        <v>0</v>
      </c>
    </row>
    <row r="35392" spans="13:16">
      <c r="M35392" s="49">
        <f>IF($A$4+353&gt;$B$4,"",$A$4+353)</f>
        <v>46376</v>
      </c>
      <c r="N35392">
        <f>IF(M35392="","",'Master Barang'!A86)</f>
        <v>0</v>
      </c>
      <c r="O35392">
        <f>IF(N35392="","",'Master Barang'!B86)</f>
        <v>0</v>
      </c>
      <c r="P35392">
        <f>IF(OR(M35392="",N35392=""),"",SUMIFS('Barang Keluar'!$E:$E,'Barang Keluar'!$A:$A,M35392,'Barang Keluar'!$C:$C,N35392))</f>
        <v>0</v>
      </c>
    </row>
    <row r="35393" spans="13:16">
      <c r="M35393" s="49">
        <f>IF($A$4+353&gt;$B$4,"",$A$4+353)</f>
        <v>46376</v>
      </c>
      <c r="N35393">
        <f>IF(M35393="","",'Master Barang'!A87)</f>
        <v>0</v>
      </c>
      <c r="O35393">
        <f>IF(N35393="","",'Master Barang'!B87)</f>
        <v>0</v>
      </c>
      <c r="P35393">
        <f>IF(OR(M35393="",N35393=""),"",SUMIFS('Barang Keluar'!$E:$E,'Barang Keluar'!$A:$A,M35393,'Barang Keluar'!$C:$C,N35393))</f>
        <v>0</v>
      </c>
    </row>
    <row r="35394" spans="13:16">
      <c r="M35394" s="49">
        <f>IF($A$4+353&gt;$B$4,"",$A$4+353)</f>
        <v>46376</v>
      </c>
      <c r="N35394">
        <f>IF(M35394="","",'Master Barang'!A88)</f>
        <v>0</v>
      </c>
      <c r="O35394">
        <f>IF(N35394="","",'Master Barang'!B88)</f>
        <v>0</v>
      </c>
      <c r="P35394">
        <f>IF(OR(M35394="",N35394=""),"",SUMIFS('Barang Keluar'!$E:$E,'Barang Keluar'!$A:$A,M35394,'Barang Keluar'!$C:$C,N35394))</f>
        <v>0</v>
      </c>
    </row>
    <row r="35395" spans="13:16">
      <c r="M35395" s="49">
        <f>IF($A$4+353&gt;$B$4,"",$A$4+353)</f>
        <v>46376</v>
      </c>
      <c r="N35395">
        <f>IF(M35395="","",'Master Barang'!A89)</f>
        <v>0</v>
      </c>
      <c r="O35395">
        <f>IF(N35395="","",'Master Barang'!B89)</f>
        <v>0</v>
      </c>
      <c r="P35395">
        <f>IF(OR(M35395="",N35395=""),"",SUMIFS('Barang Keluar'!$E:$E,'Barang Keluar'!$A:$A,M35395,'Barang Keluar'!$C:$C,N35395))</f>
        <v>0</v>
      </c>
    </row>
    <row r="35396" spans="13:16">
      <c r="M35396" s="49">
        <f>IF($A$4+353&gt;$B$4,"",$A$4+353)</f>
        <v>46376</v>
      </c>
      <c r="N35396">
        <f>IF(M35396="","",'Master Barang'!A90)</f>
        <v>0</v>
      </c>
      <c r="O35396">
        <f>IF(N35396="","",'Master Barang'!B90)</f>
        <v>0</v>
      </c>
      <c r="P35396">
        <f>IF(OR(M35396="",N35396=""),"",SUMIFS('Barang Keluar'!$E:$E,'Barang Keluar'!$A:$A,M35396,'Barang Keluar'!$C:$C,N35396))</f>
        <v>0</v>
      </c>
    </row>
    <row r="35397" spans="13:16">
      <c r="M35397" s="49">
        <f>IF($A$4+353&gt;$B$4,"",$A$4+353)</f>
        <v>46376</v>
      </c>
      <c r="N35397">
        <f>IF(M35397="","",'Master Barang'!A91)</f>
        <v>0</v>
      </c>
      <c r="O35397">
        <f>IF(N35397="","",'Master Barang'!B91)</f>
        <v>0</v>
      </c>
      <c r="P35397">
        <f>IF(OR(M35397="",N35397=""),"",SUMIFS('Barang Keluar'!$E:$E,'Barang Keluar'!$A:$A,M35397,'Barang Keluar'!$C:$C,N35397))</f>
        <v>0</v>
      </c>
    </row>
    <row r="35398" spans="13:16">
      <c r="M35398" s="49">
        <f>IF($A$4+353&gt;$B$4,"",$A$4+353)</f>
        <v>46376</v>
      </c>
      <c r="N35398">
        <f>IF(M35398="","",'Master Barang'!A92)</f>
        <v>0</v>
      </c>
      <c r="O35398">
        <f>IF(N35398="","",'Master Barang'!B92)</f>
        <v>0</v>
      </c>
      <c r="P35398">
        <f>IF(OR(M35398="",N35398=""),"",SUMIFS('Barang Keluar'!$E:$E,'Barang Keluar'!$A:$A,M35398,'Barang Keluar'!$C:$C,N35398))</f>
        <v>0</v>
      </c>
    </row>
    <row r="35399" spans="13:16">
      <c r="M35399" s="49">
        <f>IF($A$4+353&gt;$B$4,"",$A$4+353)</f>
        <v>46376</v>
      </c>
      <c r="N35399">
        <f>IF(M35399="","",'Master Barang'!A93)</f>
        <v>0</v>
      </c>
      <c r="O35399">
        <f>IF(N35399="","",'Master Barang'!B93)</f>
        <v>0</v>
      </c>
      <c r="P35399">
        <f>IF(OR(M35399="",N35399=""),"",SUMIFS('Barang Keluar'!$E:$E,'Barang Keluar'!$A:$A,M35399,'Barang Keluar'!$C:$C,N35399))</f>
        <v>0</v>
      </c>
    </row>
    <row r="35400" spans="13:16">
      <c r="M35400" s="49">
        <f>IF($A$4+353&gt;$B$4,"",$A$4+353)</f>
        <v>46376</v>
      </c>
      <c r="N35400">
        <f>IF(M35400="","",'Master Barang'!A94)</f>
        <v>0</v>
      </c>
      <c r="O35400">
        <f>IF(N35400="","",'Master Barang'!B94)</f>
        <v>0</v>
      </c>
      <c r="P35400">
        <f>IF(OR(M35400="",N35400=""),"",SUMIFS('Barang Keluar'!$E:$E,'Barang Keluar'!$A:$A,M35400,'Barang Keluar'!$C:$C,N35400))</f>
        <v>0</v>
      </c>
    </row>
    <row r="35401" spans="13:16">
      <c r="M35401" s="49">
        <f>IF($A$4+353&gt;$B$4,"",$A$4+353)</f>
        <v>46376</v>
      </c>
      <c r="N35401">
        <f>IF(M35401="","",'Master Barang'!A95)</f>
        <v>0</v>
      </c>
      <c r="O35401">
        <f>IF(N35401="","",'Master Barang'!B95)</f>
        <v>0</v>
      </c>
      <c r="P35401">
        <f>IF(OR(M35401="",N35401=""),"",SUMIFS('Barang Keluar'!$E:$E,'Barang Keluar'!$A:$A,M35401,'Barang Keluar'!$C:$C,N35401))</f>
        <v>0</v>
      </c>
    </row>
    <row r="35402" spans="13:16">
      <c r="M35402" s="49">
        <f>IF($A$4+353&gt;$B$4,"",$A$4+353)</f>
        <v>46376</v>
      </c>
      <c r="N35402">
        <f>IF(M35402="","",'Master Barang'!A96)</f>
        <v>0</v>
      </c>
      <c r="O35402">
        <f>IF(N35402="","",'Master Barang'!B96)</f>
        <v>0</v>
      </c>
      <c r="P35402">
        <f>IF(OR(M35402="",N35402=""),"",SUMIFS('Barang Keluar'!$E:$E,'Barang Keluar'!$A:$A,M35402,'Barang Keluar'!$C:$C,N35402))</f>
        <v>0</v>
      </c>
    </row>
    <row r="35403" spans="13:16">
      <c r="M35403" s="49">
        <f>IF($A$4+353&gt;$B$4,"",$A$4+353)</f>
        <v>46376</v>
      </c>
      <c r="N35403">
        <f>IF(M35403="","",'Master Barang'!A97)</f>
        <v>0</v>
      </c>
      <c r="O35403">
        <f>IF(N35403="","",'Master Barang'!B97)</f>
        <v>0</v>
      </c>
      <c r="P35403">
        <f>IF(OR(M35403="",N35403=""),"",SUMIFS('Barang Keluar'!$E:$E,'Barang Keluar'!$A:$A,M35403,'Barang Keluar'!$C:$C,N35403))</f>
        <v>0</v>
      </c>
    </row>
    <row r="35404" spans="13:16">
      <c r="M35404" s="49">
        <f>IF($A$4+353&gt;$B$4,"",$A$4+353)</f>
        <v>46376</v>
      </c>
      <c r="N35404">
        <f>IF(M35404="","",'Master Barang'!A98)</f>
        <v>0</v>
      </c>
      <c r="O35404">
        <f>IF(N35404="","",'Master Barang'!B98)</f>
        <v>0</v>
      </c>
      <c r="P35404">
        <f>IF(OR(M35404="",N35404=""),"",SUMIFS('Barang Keluar'!$E:$E,'Barang Keluar'!$A:$A,M35404,'Barang Keluar'!$C:$C,N35404))</f>
        <v>0</v>
      </c>
    </row>
    <row r="35405" spans="13:16">
      <c r="M35405" s="49">
        <f>IF($A$4+353&gt;$B$4,"",$A$4+353)</f>
        <v>46376</v>
      </c>
      <c r="N35405">
        <f>IF(M35405="","",'Master Barang'!A99)</f>
        <v>0</v>
      </c>
      <c r="O35405">
        <f>IF(N35405="","",'Master Barang'!B99)</f>
        <v>0</v>
      </c>
      <c r="P35405">
        <f>IF(OR(M35405="",N35405=""),"",SUMIFS('Barang Keluar'!$E:$E,'Barang Keluar'!$A:$A,M35405,'Barang Keluar'!$C:$C,N35405))</f>
        <v>0</v>
      </c>
    </row>
    <row r="35406" spans="13:16">
      <c r="M35406" s="49">
        <f>IF($A$4+353&gt;$B$4,"",$A$4+353)</f>
        <v>46376</v>
      </c>
      <c r="N35406">
        <f>IF(M35406="","",'Master Barang'!A100)</f>
        <v>0</v>
      </c>
      <c r="O35406">
        <f>IF(N35406="","",'Master Barang'!B100)</f>
        <v>0</v>
      </c>
      <c r="P35406">
        <f>IF(OR(M35406="",N35406=""),"",SUMIFS('Barang Keluar'!$E:$E,'Barang Keluar'!$A:$A,M35406,'Barang Keluar'!$C:$C,N35406))</f>
        <v>0</v>
      </c>
    </row>
    <row r="35407" spans="13:16">
      <c r="M35407" s="49">
        <f>IF($A$4+353&gt;$B$4,"",$A$4+353)</f>
        <v>46376</v>
      </c>
      <c r="N35407">
        <f>IF(M35407="","",'Master Barang'!A101)</f>
        <v>0</v>
      </c>
      <c r="O35407">
        <f>IF(N35407="","",'Master Barang'!B101)</f>
        <v>0</v>
      </c>
      <c r="P35407">
        <f>IF(OR(M35407="",N35407=""),"",SUMIFS('Barang Keluar'!$E:$E,'Barang Keluar'!$A:$A,M35407,'Barang Keluar'!$C:$C,N35407))</f>
        <v>0</v>
      </c>
    </row>
    <row r="35408" spans="13:16">
      <c r="M35408" s="49">
        <f>IF($A$4+354&gt;$B$4,"",$A$4+354)</f>
        <v>46377</v>
      </c>
      <c r="N35408" t="str">
        <f>IF(M35408="","",'Master Barang'!A2)</f>
        <v>PRL-001</v>
      </c>
      <c r="O35408" t="str">
        <f>IF(N35408="","",'Master Barang'!B2)</f>
        <v>natura desinfectant food grade 5l</v>
      </c>
      <c r="P35408">
        <f>IF(OR(M35408="",N35408=""),"",SUMIFS('Barang Keluar'!$E:$E,'Barang Keluar'!$A:$A,M35408,'Barang Keluar'!$C:$C,N35408))</f>
        <v>0</v>
      </c>
    </row>
    <row r="35409" spans="13:16">
      <c r="M35409" s="49">
        <f>IF($A$4+354&gt;$B$4,"",$A$4+354)</f>
        <v>46377</v>
      </c>
      <c r="N35409" t="str">
        <f>IF(M35409="","",'Master Barang'!A3)</f>
        <v>PRL-002</v>
      </c>
      <c r="O35409" t="str">
        <f>IF(N35409="","",'Master Barang'!B3)</f>
        <v>sunlight cairan pencuci piring 5l</v>
      </c>
      <c r="P35409">
        <f>IF(OR(M35409="",N35409=""),"",SUMIFS('Barang Keluar'!$E:$E,'Barang Keluar'!$A:$A,M35409,'Barang Keluar'!$C:$C,N35409))</f>
        <v>0</v>
      </c>
    </row>
    <row r="35410" spans="13:16">
      <c r="M35410" s="49">
        <f>IF($A$4+354&gt;$B$4,"",$A$4+354)</f>
        <v>46377</v>
      </c>
      <c r="N35410" t="str">
        <f>IF(M35410="","",'Master Barang'!A4)</f>
        <v>PRL-003</v>
      </c>
      <c r="O35410" t="str">
        <f>IF(N35410="","",'Master Barang'!B4)</f>
        <v>oixs cleaner 1l</v>
      </c>
      <c r="P35410">
        <f>IF(OR(M35410="",N35410=""),"",SUMIFS('Barang Keluar'!$E:$E,'Barang Keluar'!$A:$A,M35410,'Barang Keluar'!$C:$C,N35410))</f>
        <v>0</v>
      </c>
    </row>
    <row r="35411" spans="13:16">
      <c r="M35411" s="49">
        <f>IF($A$4+354&gt;$B$4,"",$A$4+354)</f>
        <v>46377</v>
      </c>
      <c r="N35411" t="str">
        <f>IF(M35411="","",'Master Barang'!A5)</f>
        <v>PRL-004</v>
      </c>
      <c r="O35411" t="str">
        <f>IF(N35411="","",'Master Barang'!B5)</f>
        <v>be clean tissue serbaguna</v>
      </c>
      <c r="P35411">
        <f>IF(OR(M35411="",N35411=""),"",SUMIFS('Barang Keluar'!$E:$E,'Barang Keluar'!$A:$A,M35411,'Barang Keluar'!$C:$C,N35411))</f>
        <v>0</v>
      </c>
    </row>
    <row r="35412" spans="13:16">
      <c r="M35412" s="49">
        <f>IF($A$4+354&gt;$B$4,"",$A$4+354)</f>
        <v>46377</v>
      </c>
      <c r="N35412" t="str">
        <f>IF(M35412="","",'Master Barang'!A6)</f>
        <v>PRL-005</v>
      </c>
      <c r="O35412" t="str">
        <f>IF(N35412="","",'Master Barang'!B6)</f>
        <v>spons cuci hijau</v>
      </c>
      <c r="P35412">
        <f>IF(OR(M35412="",N35412=""),"",SUMIFS('Barang Keluar'!$E:$E,'Barang Keluar'!$A:$A,M35412,'Barang Keluar'!$C:$C,N35412))</f>
        <v>0</v>
      </c>
    </row>
    <row r="35413" spans="13:16">
      <c r="M35413" s="49">
        <f>IF($A$4+354&gt;$B$4,"",$A$4+354)</f>
        <v>46377</v>
      </c>
      <c r="N35413" t="str">
        <f>IF(M35413="","",'Master Barang'!A7)</f>
        <v>PRL-006</v>
      </c>
      <c r="O35413" t="str">
        <f>IF(N35413="","",'Master Barang'!B7)</f>
        <v>sabut cuci stainless</v>
      </c>
      <c r="P35413">
        <f>IF(OR(M35413="",N35413=""),"",SUMIFS('Barang Keluar'!$E:$E,'Barang Keluar'!$A:$A,M35413,'Barang Keluar'!$C:$C,N35413))</f>
        <v>0</v>
      </c>
    </row>
    <row r="35414" spans="13:16">
      <c r="M35414" s="49">
        <f>IF($A$4+354&gt;$B$4,"",$A$4+354)</f>
        <v>46377</v>
      </c>
      <c r="N35414" t="str">
        <f>IF(M35414="","",'Master Barang'!A8)</f>
        <v>PRL-007</v>
      </c>
      <c r="O35414" t="str">
        <f>IF(N35414="","",'Master Barang'!B8)</f>
        <v>plastik kresek besar merah 50pc</v>
      </c>
      <c r="P35414">
        <f>IF(OR(M35414="",N35414=""),"",SUMIFS('Barang Keluar'!$E:$E,'Barang Keluar'!$A:$A,M35414,'Barang Keluar'!$C:$C,N35414))</f>
        <v>0</v>
      </c>
    </row>
    <row r="35415" spans="13:16">
      <c r="M35415" s="49">
        <f>IF($A$4+354&gt;$B$4,"",$A$4+354)</f>
        <v>46377</v>
      </c>
      <c r="N35415" t="str">
        <f>IF(M35415="","",'Master Barang'!A9)</f>
        <v>PRL-008</v>
      </c>
      <c r="O35415" t="str">
        <f>IF(N35415="","",'Master Barang'!B9)</f>
        <v>lap besar</v>
      </c>
      <c r="P35415">
        <f>IF(OR(M35415="",N35415=""),"",SUMIFS('Barang Keluar'!$E:$E,'Barang Keluar'!$A:$A,M35415,'Barang Keluar'!$C:$C,N35415))</f>
        <v>0</v>
      </c>
    </row>
    <row r="35416" spans="13:16">
      <c r="M35416" s="49">
        <f>IF($A$4+354&gt;$B$4,"",$A$4+354)</f>
        <v>46377</v>
      </c>
      <c r="N35416" t="str">
        <f>IF(M35416="","",'Master Barang'!A10)</f>
        <v>PRL-009</v>
      </c>
      <c r="O35416" t="str">
        <f>IF(N35416="","",'Master Barang'!B10)</f>
        <v>lap microfiber</v>
      </c>
      <c r="P35416">
        <f>IF(OR(M35416="",N35416=""),"",SUMIFS('Barang Keluar'!$E:$E,'Barang Keluar'!$A:$A,M35416,'Barang Keluar'!$C:$C,N35416))</f>
        <v>0</v>
      </c>
    </row>
    <row r="35417" spans="13:16">
      <c r="M35417" s="49">
        <f>IF($A$4+354&gt;$B$4,"",$A$4+354)</f>
        <v>46377</v>
      </c>
      <c r="N35417" t="str">
        <f>IF(M35417="","",'Master Barang'!A11)</f>
        <v>PRL-010</v>
      </c>
      <c r="O35417" t="str">
        <f>IF(N35417="","",'Master Barang'!B11)</f>
        <v>lap kecil</v>
      </c>
      <c r="P35417">
        <f>IF(OR(M35417="",N35417=""),"",SUMIFS('Barang Keluar'!$E:$E,'Barang Keluar'!$A:$A,M35417,'Barang Keluar'!$C:$C,N35417))</f>
        <v>0</v>
      </c>
    </row>
    <row r="35418" spans="13:16">
      <c r="M35418" s="49">
        <f>IF($A$4+354&gt;$B$4,"",$A$4+354)</f>
        <v>46377</v>
      </c>
      <c r="N35418" t="str">
        <f>IF(M35418="","",'Master Barang'!A12)</f>
        <v>PRL-011</v>
      </c>
      <c r="O35418" t="str">
        <f>IF(N35418="","",'Master Barang'!B12)</f>
        <v>kanebo kecil</v>
      </c>
      <c r="P35418">
        <f>IF(OR(M35418="",N35418=""),"",SUMIFS('Barang Keluar'!$E:$E,'Barang Keluar'!$A:$A,M35418,'Barang Keluar'!$C:$C,N35418))</f>
        <v>0</v>
      </c>
    </row>
    <row r="35419" spans="13:16">
      <c r="M35419" s="49">
        <f>IF($A$4+354&gt;$B$4,"",$A$4+354)</f>
        <v>46377</v>
      </c>
      <c r="N35419" t="str">
        <f>IF(M35419="","",'Master Barang'!A13)</f>
        <v>PRL-012</v>
      </c>
      <c r="O35419" t="str">
        <f>IF(N35419="","",'Master Barang'!B13)</f>
        <v>plastik 1/4kg joyoboyo 100 lembar</v>
      </c>
      <c r="P35419">
        <f>IF(OR(M35419="",N35419=""),"",SUMIFS('Barang Keluar'!$E:$E,'Barang Keluar'!$A:$A,M35419,'Barang Keluar'!$C:$C,N35419))</f>
        <v>0</v>
      </c>
    </row>
    <row r="35420" spans="13:16">
      <c r="M35420" s="49">
        <f>IF($A$4+354&gt;$B$4,"",$A$4+354)</f>
        <v>46377</v>
      </c>
      <c r="N35420" t="str">
        <f>IF(M35420="","",'Master Barang'!A14)</f>
        <v>PRL-013</v>
      </c>
      <c r="O35420" t="str">
        <f>IF(N35420="","",'Master Barang'!B14)</f>
        <v>sarung tangan plastik kaka 100 pcs</v>
      </c>
      <c r="P35420">
        <f>IF(OR(M35420="",N35420=""),"",SUMIFS('Barang Keluar'!$E:$E,'Barang Keluar'!$A:$A,M35420,'Barang Keluar'!$C:$C,N35420))</f>
        <v>0</v>
      </c>
    </row>
    <row r="35421" spans="13:16">
      <c r="M35421" s="49">
        <f>IF($A$4+354&gt;$B$4,"",$A$4+354)</f>
        <v>46377</v>
      </c>
      <c r="N35421" t="str">
        <f>IF(M35421="","",'Master Barang'!A15)</f>
        <v>PRL-014</v>
      </c>
      <c r="O35421" t="str">
        <f>IF(N35421="","",'Master Barang'!B15)</f>
        <v>optima trashbag 80x100</v>
      </c>
      <c r="P35421">
        <f>IF(OR(M35421="",N35421=""),"",SUMIFS('Barang Keluar'!$E:$E,'Barang Keluar'!$A:$A,M35421,'Barang Keluar'!$C:$C,N35421))</f>
        <v>0</v>
      </c>
    </row>
    <row r="35422" spans="13:16">
      <c r="M35422" s="49">
        <f>IF($A$4+354&gt;$B$4,"",$A$4+354)</f>
        <v>46377</v>
      </c>
      <c r="N35422" t="str">
        <f>IF(M35422="","",'Master Barang'!A16)</f>
        <v>PRL-015</v>
      </c>
      <c r="O35422" t="str">
        <f>IF(N35422="","",'Master Barang'!B16)</f>
        <v>optima trashbag 60x100</v>
      </c>
      <c r="P35422">
        <f>IF(OR(M35422="",N35422=""),"",SUMIFS('Barang Keluar'!$E:$E,'Barang Keluar'!$A:$A,M35422,'Barang Keluar'!$C:$C,N35422))</f>
        <v>0</v>
      </c>
    </row>
    <row r="35423" spans="13:16">
      <c r="M35423" s="49">
        <f>IF($A$4+354&gt;$B$4,"",$A$4+354)</f>
        <v>46377</v>
      </c>
      <c r="N35423" t="str">
        <f>IF(M35423="","",'Master Barang'!A17)</f>
        <v>PRL-016</v>
      </c>
      <c r="O35423" t="str">
        <f>IF(N35423="","",'Master Barang'!B17)</f>
        <v>rajawali trashbag 30x40</v>
      </c>
      <c r="P35423">
        <f>IF(OR(M35423="",N35423=""),"",SUMIFS('Barang Keluar'!$E:$E,'Barang Keluar'!$A:$A,M35423,'Barang Keluar'!$C:$C,N35423))</f>
        <v>0</v>
      </c>
    </row>
    <row r="35424" spans="13:16">
      <c r="M35424" s="49">
        <f>IF($A$4+354&gt;$B$4,"",$A$4+354)</f>
        <v>46377</v>
      </c>
      <c r="N35424" t="str">
        <f>IF(M35424="","",'Master Barang'!A18)</f>
        <v>PRL-017</v>
      </c>
      <c r="O35424" t="str">
        <f>IF(N35424="","",'Master Barang'!B18)</f>
        <v>onemed masker biru 3 play 50 pcs</v>
      </c>
      <c r="P35424">
        <f>IF(OR(M35424="",N35424=""),"",SUMIFS('Barang Keluar'!$E:$E,'Barang Keluar'!$A:$A,M35424,'Barang Keluar'!$C:$C,N35424))</f>
        <v>0</v>
      </c>
    </row>
    <row r="35425" spans="13:16">
      <c r="M35425" s="49">
        <f>IF($A$4+354&gt;$B$4,"",$A$4+354)</f>
        <v>46377</v>
      </c>
      <c r="N35425" t="str">
        <f>IF(M35425="","",'Master Barang'!A19)</f>
        <v>PRL-018</v>
      </c>
      <c r="O35425" t="str">
        <f>IF(N35425="","",'Master Barang'!B19)</f>
        <v>onemed masker biru 3 play hijab 50 pcs</v>
      </c>
      <c r="P35425">
        <f>IF(OR(M35425="",N35425=""),"",SUMIFS('Barang Keluar'!$E:$E,'Barang Keluar'!$A:$A,M35425,'Barang Keluar'!$C:$C,N35425))</f>
        <v>0</v>
      </c>
    </row>
    <row r="35426" spans="13:16">
      <c r="M35426" s="49">
        <f>IF($A$4+354&gt;$B$4,"",$A$4+354)</f>
        <v>46377</v>
      </c>
      <c r="N35426" t="str">
        <f>IF(M35426="","",'Master Barang'!A20)</f>
        <v>PRL-019</v>
      </c>
      <c r="O35426" t="str">
        <f>IF(N35426="","",'Master Barang'!B20)</f>
        <v>neo health masker biru 3 play 50 pcs</v>
      </c>
      <c r="P35426">
        <f>IF(OR(M35426="",N35426=""),"",SUMIFS('Barang Keluar'!$E:$E,'Barang Keluar'!$A:$A,M35426,'Barang Keluar'!$C:$C,N35426))</f>
        <v>0</v>
      </c>
    </row>
    <row r="35427" spans="13:16">
      <c r="M35427" s="49">
        <f>IF($A$4+354&gt;$B$4,"",$A$4+354)</f>
        <v>46377</v>
      </c>
      <c r="N35427" t="str">
        <f>IF(M35427="","",'Master Barang'!A21)</f>
        <v>PRL-020</v>
      </c>
      <c r="O35427" t="str">
        <f>IF(N35427="","",'Master Barang'!B21)</f>
        <v>baymed masker hijau 3 play hijau 50 pcs</v>
      </c>
      <c r="P35427">
        <f>IF(OR(M35427="",N35427=""),"",SUMIFS('Barang Keluar'!$E:$E,'Barang Keluar'!$A:$A,M35427,'Barang Keluar'!$C:$C,N35427))</f>
        <v>0</v>
      </c>
    </row>
    <row r="35428" spans="13:16">
      <c r="M35428" s="49">
        <f>IF($A$4+354&gt;$B$4,"",$A$4+354)</f>
        <v>46377</v>
      </c>
      <c r="N35428" t="str">
        <f>IF(M35428="","",'Master Barang'!A22)</f>
        <v>PRL-021</v>
      </c>
      <c r="O35428" t="str">
        <f>IF(N35428="","",'Master Barang'!B22)</f>
        <v>altamed nurse cap penutup kepala 100 pcs</v>
      </c>
      <c r="P35428">
        <f>IF(OR(M35428="",N35428=""),"",SUMIFS('Barang Keluar'!$E:$E,'Barang Keluar'!$A:$A,M35428,'Barang Keluar'!$C:$C,N35428))</f>
        <v>0</v>
      </c>
    </row>
    <row r="35429" spans="13:16">
      <c r="M35429" s="49">
        <f>IF($A$4+354&gt;$B$4,"",$A$4+354)</f>
        <v>46377</v>
      </c>
      <c r="N35429" t="str">
        <f>IF(M35429="","",'Master Barang'!A23)</f>
        <v>PRL-022</v>
      </c>
      <c r="O35429" t="str">
        <f>IF(N35429="","",'Master Barang'!B23)</f>
        <v>sabun cuci tangan</v>
      </c>
      <c r="P35429">
        <f>IF(OR(M35429="",N35429=""),"",SUMIFS('Barang Keluar'!$E:$E,'Barang Keluar'!$A:$A,M35429,'Barang Keluar'!$C:$C,N35429))</f>
        <v>0</v>
      </c>
    </row>
    <row r="35430" spans="13:16">
      <c r="M35430" s="49">
        <f>IF($A$4+354&gt;$B$4,"",$A$4+354)</f>
        <v>46377</v>
      </c>
      <c r="N35430" t="str">
        <f>IF(M35430="","",'Master Barang'!A24)</f>
        <v>PRL-023</v>
      </c>
      <c r="O35430" t="str">
        <f>IF(N35430="","",'Master Barang'!B24)</f>
        <v>gayung kecil</v>
      </c>
      <c r="P35430">
        <f>IF(OR(M35430="",N35430=""),"",SUMIFS('Barang Keluar'!$E:$E,'Barang Keluar'!$A:$A,M35430,'Barang Keluar'!$C:$C,N35430))</f>
        <v>0</v>
      </c>
    </row>
    <row r="35431" spans="13:16">
      <c r="M35431" s="49">
        <f>IF($A$4+354&gt;$B$4,"",$A$4+354)</f>
        <v>46377</v>
      </c>
      <c r="N35431" t="str">
        <f>IF(M35431="","",'Master Barang'!A25)</f>
        <v>PRL-024</v>
      </c>
      <c r="O35431" t="str">
        <f>IF(N35431="","",'Master Barang'!B25)</f>
        <v>cikrak kecil</v>
      </c>
      <c r="P35431">
        <f>IF(OR(M35431="",N35431=""),"",SUMIFS('Barang Keluar'!$E:$E,'Barang Keluar'!$A:$A,M35431,'Barang Keluar'!$C:$C,N35431))</f>
        <v>0</v>
      </c>
    </row>
    <row r="35432" spans="13:16">
      <c r="M35432" s="49">
        <f>IF($A$4+354&gt;$B$4,"",$A$4+354)</f>
        <v>46377</v>
      </c>
      <c r="N35432" t="str">
        <f>IF(M35432="","",'Master Barang'!A26)</f>
        <v>PRL-025</v>
      </c>
      <c r="O35432" t="str">
        <f>IF(N35432="","",'Master Barang'!B26)</f>
        <v>petromax plastik kecil 12x24 100 lembar</v>
      </c>
      <c r="P35432">
        <f>IF(OR(M35432="",N35432=""),"",SUMIFS('Barang Keluar'!$E:$E,'Barang Keluar'!$A:$A,M35432,'Barang Keluar'!$C:$C,N35432))</f>
        <v>0</v>
      </c>
    </row>
    <row r="35433" spans="13:16">
      <c r="M35433" s="49">
        <f>IF($A$4+354&gt;$B$4,"",$A$4+354)</f>
        <v>46377</v>
      </c>
      <c r="N35433" t="str">
        <f>IF(M35433="","",'Master Barang'!A27)</f>
        <v>PRL-026</v>
      </c>
      <c r="O35433" t="str">
        <f>IF(N35433="","",'Master Barang'!B27)</f>
        <v>lancar kresek kecil bening </v>
      </c>
      <c r="P35433">
        <f>IF(OR(M35433="",N35433=""),"",SUMIFS('Barang Keluar'!$E:$E,'Barang Keluar'!$A:$A,M35433,'Barang Keluar'!$C:$C,N35433))</f>
        <v>0</v>
      </c>
    </row>
    <row r="35434" spans="13:16">
      <c r="M35434" s="49">
        <f>IF($A$4+354&gt;$B$4,"",$A$4+354)</f>
        <v>46377</v>
      </c>
      <c r="N35434" t="str">
        <f>IF(M35434="","",'Master Barang'!A28)</f>
        <v>PRL-027</v>
      </c>
      <c r="O35434" t="str">
        <f>IF(N35434="","",'Master Barang'!B28)</f>
        <v>kresek klin warna warni kecil</v>
      </c>
      <c r="P35434">
        <f>IF(OR(M35434="",N35434=""),"",SUMIFS('Barang Keluar'!$E:$E,'Barang Keluar'!$A:$A,M35434,'Barang Keluar'!$C:$C,N35434))</f>
        <v>0</v>
      </c>
    </row>
    <row r="35435" spans="13:16">
      <c r="M35435" s="49">
        <f>IF($A$4+354&gt;$B$4,"",$A$4+354)</f>
        <v>46377</v>
      </c>
      <c r="N35435" t="str">
        <f>IF(M35435="","",'Master Barang'!A29)</f>
        <v>PRL-028</v>
      </c>
      <c r="O35435" t="str">
        <f>IF(N35435="","",'Master Barang'!B29)</f>
        <v>ctik plastik 7x10 100 pcs</v>
      </c>
      <c r="P35435">
        <f>IF(OR(M35435="",N35435=""),"",SUMIFS('Barang Keluar'!$E:$E,'Barang Keluar'!$A:$A,M35435,'Barang Keluar'!$C:$C,N35435))</f>
        <v>0</v>
      </c>
    </row>
    <row r="35436" spans="13:16">
      <c r="M35436" s="49">
        <f>IF($A$4+354&gt;$B$4,"",$A$4+354)</f>
        <v>46377</v>
      </c>
      <c r="N35436" t="str">
        <f>IF(M35436="","",'Master Barang'!A30)</f>
        <v>PRL-029</v>
      </c>
      <c r="O35436" t="str">
        <f>IF(N35436="","",'Master Barang'!B30)</f>
        <v>ctik plastik 6x10 100 pcs</v>
      </c>
      <c r="P35436">
        <f>IF(OR(M35436="",N35436=""),"",SUMIFS('Barang Keluar'!$E:$E,'Barang Keluar'!$A:$A,M35436,'Barang Keluar'!$C:$C,N35436))</f>
        <v>0</v>
      </c>
    </row>
    <row r="35437" spans="13:16">
      <c r="M35437" s="49">
        <f>IF($A$4+354&gt;$B$4,"",$A$4+354)</f>
        <v>46377</v>
      </c>
      <c r="N35437" t="str">
        <f>IF(M35437="","",'Master Barang'!A31)</f>
        <v>PRL-030</v>
      </c>
      <c r="O35437" t="str">
        <f>IF(N35437="","",'Master Barang'!B31)</f>
        <v>klip plastik 25x16 100 pcs</v>
      </c>
      <c r="P35437">
        <f>IF(OR(M35437="",N35437=""),"",SUMIFS('Barang Keluar'!$E:$E,'Barang Keluar'!$A:$A,M35437,'Barang Keluar'!$C:$C,N35437))</f>
        <v>0</v>
      </c>
    </row>
    <row r="35438" spans="13:16">
      <c r="M35438" s="49">
        <f>IF($A$4+354&gt;$B$4,"",$A$4+354)</f>
        <v>46377</v>
      </c>
      <c r="N35438" t="str">
        <f>IF(M35438="","",'Master Barang'!A32)</f>
        <v>PRL-031</v>
      </c>
      <c r="O35438" t="str">
        <f>IF(N35438="","",'Master Barang'!B32)</f>
        <v>tempat saus 20 ml</v>
      </c>
      <c r="P35438">
        <f>IF(OR(M35438="",N35438=""),"",SUMIFS('Barang Keluar'!$E:$E,'Barang Keluar'!$A:$A,M35438,'Barang Keluar'!$C:$C,N35438))</f>
        <v>0</v>
      </c>
    </row>
    <row r="35439" spans="13:16">
      <c r="M35439" s="49">
        <f>IF($A$4+354&gt;$B$4,"",$A$4+354)</f>
        <v>46377</v>
      </c>
      <c r="N35439" t="str">
        <f>IF(M35439="","",'Master Barang'!A33)</f>
        <v>PRL-032</v>
      </c>
      <c r="O35439" t="str">
        <f>IF(N35439="","",'Master Barang'!B33)</f>
        <v>plastik packaging ag box uk sedang</v>
      </c>
      <c r="P35439">
        <f>IF(OR(M35439="",N35439=""),"",SUMIFS('Barang Keluar'!$E:$E,'Barang Keluar'!$A:$A,M35439,'Barang Keluar'!$C:$C,N35439))</f>
        <v>0</v>
      </c>
    </row>
    <row r="35440" spans="13:16">
      <c r="M35440" s="49">
        <f>IF($A$4+354&gt;$B$4,"",$A$4+354)</f>
        <v>46377</v>
      </c>
      <c r="N35440" t="str">
        <f>IF(M35440="","",'Master Barang'!A34)</f>
        <v>PRL-033</v>
      </c>
      <c r="O35440">
        <f>IF(N35440="","",'Master Barang'!B34)</f>
        <v>0</v>
      </c>
      <c r="P35440">
        <f>IF(OR(M35440="",N35440=""),"",SUMIFS('Barang Keluar'!$E:$E,'Barang Keluar'!$A:$A,M35440,'Barang Keluar'!$C:$C,N35440))</f>
        <v>0</v>
      </c>
    </row>
    <row r="35441" spans="13:16">
      <c r="M35441" s="49">
        <f>IF($A$4+354&gt;$B$4,"",$A$4+354)</f>
        <v>46377</v>
      </c>
      <c r="N35441">
        <f>IF(M35441="","",'Master Barang'!A35)</f>
        <v>0</v>
      </c>
      <c r="O35441">
        <f>IF(N35441="","",'Master Barang'!B35)</f>
        <v>0</v>
      </c>
      <c r="P35441">
        <f>IF(OR(M35441="",N35441=""),"",SUMIFS('Barang Keluar'!$E:$E,'Barang Keluar'!$A:$A,M35441,'Barang Keluar'!$C:$C,N35441))</f>
        <v>0</v>
      </c>
    </row>
    <row r="35442" spans="13:16">
      <c r="M35442" s="49">
        <f>IF($A$4+354&gt;$B$4,"",$A$4+354)</f>
        <v>46377</v>
      </c>
      <c r="N35442">
        <f>IF(M35442="","",'Master Barang'!A36)</f>
        <v>0</v>
      </c>
      <c r="O35442">
        <f>IF(N35442="","",'Master Barang'!B36)</f>
        <v>0</v>
      </c>
      <c r="P35442">
        <f>IF(OR(M35442="",N35442=""),"",SUMIFS('Barang Keluar'!$E:$E,'Barang Keluar'!$A:$A,M35442,'Barang Keluar'!$C:$C,N35442))</f>
        <v>0</v>
      </c>
    </row>
    <row r="35443" spans="13:16">
      <c r="M35443" s="49">
        <f>IF($A$4+354&gt;$B$4,"",$A$4+354)</f>
        <v>46377</v>
      </c>
      <c r="N35443">
        <f>IF(M35443="","",'Master Barang'!A37)</f>
        <v>0</v>
      </c>
      <c r="O35443">
        <f>IF(N35443="","",'Master Barang'!B37)</f>
        <v>0</v>
      </c>
      <c r="P35443">
        <f>IF(OR(M35443="",N35443=""),"",SUMIFS('Barang Keluar'!$E:$E,'Barang Keluar'!$A:$A,M35443,'Barang Keluar'!$C:$C,N35443))</f>
        <v>0</v>
      </c>
    </row>
    <row r="35444" spans="13:16">
      <c r="M35444" s="49">
        <f>IF($A$4+354&gt;$B$4,"",$A$4+354)</f>
        <v>46377</v>
      </c>
      <c r="N35444">
        <f>IF(M35444="","",'Master Barang'!A38)</f>
        <v>0</v>
      </c>
      <c r="O35444">
        <f>IF(N35444="","",'Master Barang'!B38)</f>
        <v>0</v>
      </c>
      <c r="P35444">
        <f>IF(OR(M35444="",N35444=""),"",SUMIFS('Barang Keluar'!$E:$E,'Barang Keluar'!$A:$A,M35444,'Barang Keluar'!$C:$C,N35444))</f>
        <v>0</v>
      </c>
    </row>
    <row r="35445" spans="13:16">
      <c r="M35445" s="49">
        <f>IF($A$4+354&gt;$B$4,"",$A$4+354)</f>
        <v>46377</v>
      </c>
      <c r="N35445">
        <f>IF(M35445="","",'Master Barang'!A39)</f>
        <v>0</v>
      </c>
      <c r="O35445">
        <f>IF(N35445="","",'Master Barang'!B39)</f>
        <v>0</v>
      </c>
      <c r="P35445">
        <f>IF(OR(M35445="",N35445=""),"",SUMIFS('Barang Keluar'!$E:$E,'Barang Keluar'!$A:$A,M35445,'Barang Keluar'!$C:$C,N35445))</f>
        <v>0</v>
      </c>
    </row>
    <row r="35446" spans="13:16">
      <c r="M35446" s="49">
        <f>IF($A$4+354&gt;$B$4,"",$A$4+354)</f>
        <v>46377</v>
      </c>
      <c r="N35446">
        <f>IF(M35446="","",'Master Barang'!A40)</f>
        <v>0</v>
      </c>
      <c r="O35446">
        <f>IF(N35446="","",'Master Barang'!B40)</f>
        <v>0</v>
      </c>
      <c r="P35446">
        <f>IF(OR(M35446="",N35446=""),"",SUMIFS('Barang Keluar'!$E:$E,'Barang Keluar'!$A:$A,M35446,'Barang Keluar'!$C:$C,N35446))</f>
        <v>0</v>
      </c>
    </row>
    <row r="35447" spans="13:16">
      <c r="M35447" s="49">
        <f>IF($A$4+354&gt;$B$4,"",$A$4+354)</f>
        <v>46377</v>
      </c>
      <c r="N35447">
        <f>IF(M35447="","",'Master Barang'!A41)</f>
        <v>0</v>
      </c>
      <c r="O35447">
        <f>IF(N35447="","",'Master Barang'!B41)</f>
        <v>0</v>
      </c>
      <c r="P35447">
        <f>IF(OR(M35447="",N35447=""),"",SUMIFS('Barang Keluar'!$E:$E,'Barang Keluar'!$A:$A,M35447,'Barang Keluar'!$C:$C,N35447))</f>
        <v>0</v>
      </c>
    </row>
    <row r="35448" spans="13:16">
      <c r="M35448" s="49">
        <f>IF($A$4+354&gt;$B$4,"",$A$4+354)</f>
        <v>46377</v>
      </c>
      <c r="N35448">
        <f>IF(M35448="","",'Master Barang'!A42)</f>
        <v>0</v>
      </c>
      <c r="O35448">
        <f>IF(N35448="","",'Master Barang'!B42)</f>
        <v>0</v>
      </c>
      <c r="P35448">
        <f>IF(OR(M35448="",N35448=""),"",SUMIFS('Barang Keluar'!$E:$E,'Barang Keluar'!$A:$A,M35448,'Barang Keluar'!$C:$C,N35448))</f>
        <v>0</v>
      </c>
    </row>
    <row r="35449" spans="13:16">
      <c r="M35449" s="49">
        <f>IF($A$4+354&gt;$B$4,"",$A$4+354)</f>
        <v>46377</v>
      </c>
      <c r="N35449">
        <f>IF(M35449="","",'Master Barang'!A43)</f>
        <v>0</v>
      </c>
      <c r="O35449">
        <f>IF(N35449="","",'Master Barang'!B43)</f>
        <v>0</v>
      </c>
      <c r="P35449">
        <f>IF(OR(M35449="",N35449=""),"",SUMIFS('Barang Keluar'!$E:$E,'Barang Keluar'!$A:$A,M35449,'Barang Keluar'!$C:$C,N35449))</f>
        <v>0</v>
      </c>
    </row>
    <row r="35450" spans="13:16">
      <c r="M35450" s="49">
        <f>IF($A$4+354&gt;$B$4,"",$A$4+354)</f>
        <v>46377</v>
      </c>
      <c r="N35450">
        <f>IF(M35450="","",'Master Barang'!A44)</f>
        <v>0</v>
      </c>
      <c r="O35450">
        <f>IF(N35450="","",'Master Barang'!B44)</f>
        <v>0</v>
      </c>
      <c r="P35450">
        <f>IF(OR(M35450="",N35450=""),"",SUMIFS('Barang Keluar'!$E:$E,'Barang Keluar'!$A:$A,M35450,'Barang Keluar'!$C:$C,N35450))</f>
        <v>0</v>
      </c>
    </row>
    <row r="35451" spans="13:16">
      <c r="M35451" s="49">
        <f>IF($A$4+354&gt;$B$4,"",$A$4+354)</f>
        <v>46377</v>
      </c>
      <c r="N35451">
        <f>IF(M35451="","",'Master Barang'!A45)</f>
        <v>0</v>
      </c>
      <c r="O35451">
        <f>IF(N35451="","",'Master Barang'!B45)</f>
        <v>0</v>
      </c>
      <c r="P35451">
        <f>IF(OR(M35451="",N35451=""),"",SUMIFS('Barang Keluar'!$E:$E,'Barang Keluar'!$A:$A,M35451,'Barang Keluar'!$C:$C,N35451))</f>
        <v>0</v>
      </c>
    </row>
    <row r="35452" spans="13:16">
      <c r="M35452" s="49">
        <f>IF($A$4+354&gt;$B$4,"",$A$4+354)</f>
        <v>46377</v>
      </c>
      <c r="N35452">
        <f>IF(M35452="","",'Master Barang'!A46)</f>
        <v>0</v>
      </c>
      <c r="O35452">
        <f>IF(N35452="","",'Master Barang'!B46)</f>
        <v>0</v>
      </c>
      <c r="P35452">
        <f>IF(OR(M35452="",N35452=""),"",SUMIFS('Barang Keluar'!$E:$E,'Barang Keluar'!$A:$A,M35452,'Barang Keluar'!$C:$C,N35452))</f>
        <v>0</v>
      </c>
    </row>
    <row r="35453" spans="13:16">
      <c r="M35453" s="49">
        <f>IF($A$4+354&gt;$B$4,"",$A$4+354)</f>
        <v>46377</v>
      </c>
      <c r="N35453">
        <f>IF(M35453="","",'Master Barang'!A47)</f>
        <v>0</v>
      </c>
      <c r="O35453">
        <f>IF(N35453="","",'Master Barang'!B47)</f>
        <v>0</v>
      </c>
      <c r="P35453">
        <f>IF(OR(M35453="",N35453=""),"",SUMIFS('Barang Keluar'!$E:$E,'Barang Keluar'!$A:$A,M35453,'Barang Keluar'!$C:$C,N35453))</f>
        <v>0</v>
      </c>
    </row>
    <row r="35454" spans="13:16">
      <c r="M35454" s="49">
        <f>IF($A$4+354&gt;$B$4,"",$A$4+354)</f>
        <v>46377</v>
      </c>
      <c r="N35454">
        <f>IF(M35454="","",'Master Barang'!A48)</f>
        <v>0</v>
      </c>
      <c r="O35454">
        <f>IF(N35454="","",'Master Barang'!B48)</f>
        <v>0</v>
      </c>
      <c r="P35454">
        <f>IF(OR(M35454="",N35454=""),"",SUMIFS('Barang Keluar'!$E:$E,'Barang Keluar'!$A:$A,M35454,'Barang Keluar'!$C:$C,N35454))</f>
        <v>0</v>
      </c>
    </row>
    <row r="35455" spans="13:16">
      <c r="M35455" s="49">
        <f>IF($A$4+354&gt;$B$4,"",$A$4+354)</f>
        <v>46377</v>
      </c>
      <c r="N35455">
        <f>IF(M35455="","",'Master Barang'!A49)</f>
        <v>0</v>
      </c>
      <c r="O35455">
        <f>IF(N35455="","",'Master Barang'!B49)</f>
        <v>0</v>
      </c>
      <c r="P35455">
        <f>IF(OR(M35455="",N35455=""),"",SUMIFS('Barang Keluar'!$E:$E,'Barang Keluar'!$A:$A,M35455,'Barang Keluar'!$C:$C,N35455))</f>
        <v>0</v>
      </c>
    </row>
    <row r="35456" spans="13:16">
      <c r="M35456" s="49">
        <f>IF($A$4+354&gt;$B$4,"",$A$4+354)</f>
        <v>46377</v>
      </c>
      <c r="N35456">
        <f>IF(M35456="","",'Master Barang'!A50)</f>
        <v>0</v>
      </c>
      <c r="O35456">
        <f>IF(N35456="","",'Master Barang'!B50)</f>
        <v>0</v>
      </c>
      <c r="P35456">
        <f>IF(OR(M35456="",N35456=""),"",SUMIFS('Barang Keluar'!$E:$E,'Barang Keluar'!$A:$A,M35456,'Barang Keluar'!$C:$C,N35456))</f>
        <v>0</v>
      </c>
    </row>
    <row r="35457" spans="13:16">
      <c r="M35457" s="49">
        <f>IF($A$4+354&gt;$B$4,"",$A$4+354)</f>
        <v>46377</v>
      </c>
      <c r="N35457">
        <f>IF(M35457="","",'Master Barang'!A51)</f>
        <v>0</v>
      </c>
      <c r="O35457">
        <f>IF(N35457="","",'Master Barang'!B51)</f>
        <v>0</v>
      </c>
      <c r="P35457">
        <f>IF(OR(M35457="",N35457=""),"",SUMIFS('Barang Keluar'!$E:$E,'Barang Keluar'!$A:$A,M35457,'Barang Keluar'!$C:$C,N35457))</f>
        <v>0</v>
      </c>
    </row>
    <row r="35458" spans="13:16">
      <c r="M35458" s="49">
        <f>IF($A$4+354&gt;$B$4,"",$A$4+354)</f>
        <v>46377</v>
      </c>
      <c r="N35458">
        <f>IF(M35458="","",'Master Barang'!A52)</f>
        <v>0</v>
      </c>
      <c r="O35458">
        <f>IF(N35458="","",'Master Barang'!B52)</f>
        <v>0</v>
      </c>
      <c r="P35458">
        <f>IF(OR(M35458="",N35458=""),"",SUMIFS('Barang Keluar'!$E:$E,'Barang Keluar'!$A:$A,M35458,'Barang Keluar'!$C:$C,N35458))</f>
        <v>0</v>
      </c>
    </row>
    <row r="35459" spans="13:16">
      <c r="M35459" s="49">
        <f>IF($A$4+354&gt;$B$4,"",$A$4+354)</f>
        <v>46377</v>
      </c>
      <c r="N35459">
        <f>IF(M35459="","",'Master Barang'!A53)</f>
        <v>0</v>
      </c>
      <c r="O35459">
        <f>IF(N35459="","",'Master Barang'!B53)</f>
        <v>0</v>
      </c>
      <c r="P35459">
        <f>IF(OR(M35459="",N35459=""),"",SUMIFS('Barang Keluar'!$E:$E,'Barang Keluar'!$A:$A,M35459,'Barang Keluar'!$C:$C,N35459))</f>
        <v>0</v>
      </c>
    </row>
    <row r="35460" spans="13:16">
      <c r="M35460" s="49">
        <f>IF($A$4+354&gt;$B$4,"",$A$4+354)</f>
        <v>46377</v>
      </c>
      <c r="N35460">
        <f>IF(M35460="","",'Master Barang'!A54)</f>
        <v>0</v>
      </c>
      <c r="O35460">
        <f>IF(N35460="","",'Master Barang'!B54)</f>
        <v>0</v>
      </c>
      <c r="P35460">
        <f>IF(OR(M35460="",N35460=""),"",SUMIFS('Barang Keluar'!$E:$E,'Barang Keluar'!$A:$A,M35460,'Barang Keluar'!$C:$C,N35460))</f>
        <v>0</v>
      </c>
    </row>
    <row r="35461" spans="13:16">
      <c r="M35461" s="49">
        <f>IF($A$4+354&gt;$B$4,"",$A$4+354)</f>
        <v>46377</v>
      </c>
      <c r="N35461">
        <f>IF(M35461="","",'Master Barang'!A55)</f>
        <v>0</v>
      </c>
      <c r="O35461">
        <f>IF(N35461="","",'Master Barang'!B55)</f>
        <v>0</v>
      </c>
      <c r="P35461">
        <f>IF(OR(M35461="",N35461=""),"",SUMIFS('Barang Keluar'!$E:$E,'Barang Keluar'!$A:$A,M35461,'Barang Keluar'!$C:$C,N35461))</f>
        <v>0</v>
      </c>
    </row>
    <row r="35462" spans="13:16">
      <c r="M35462" s="49">
        <f>IF($A$4+354&gt;$B$4,"",$A$4+354)</f>
        <v>46377</v>
      </c>
      <c r="N35462">
        <f>IF(M35462="","",'Master Barang'!A56)</f>
        <v>0</v>
      </c>
      <c r="O35462">
        <f>IF(N35462="","",'Master Barang'!B56)</f>
        <v>0</v>
      </c>
      <c r="P35462">
        <f>IF(OR(M35462="",N35462=""),"",SUMIFS('Barang Keluar'!$E:$E,'Barang Keluar'!$A:$A,M35462,'Barang Keluar'!$C:$C,N35462))</f>
        <v>0</v>
      </c>
    </row>
    <row r="35463" spans="13:16">
      <c r="M35463" s="49">
        <f>IF($A$4+354&gt;$B$4,"",$A$4+354)</f>
        <v>46377</v>
      </c>
      <c r="N35463">
        <f>IF(M35463="","",'Master Barang'!A57)</f>
        <v>0</v>
      </c>
      <c r="O35463">
        <f>IF(N35463="","",'Master Barang'!B57)</f>
        <v>0</v>
      </c>
      <c r="P35463">
        <f>IF(OR(M35463="",N35463=""),"",SUMIFS('Barang Keluar'!$E:$E,'Barang Keluar'!$A:$A,M35463,'Barang Keluar'!$C:$C,N35463))</f>
        <v>0</v>
      </c>
    </row>
    <row r="35464" spans="13:16">
      <c r="M35464" s="49">
        <f>IF($A$4+354&gt;$B$4,"",$A$4+354)</f>
        <v>46377</v>
      </c>
      <c r="N35464">
        <f>IF(M35464="","",'Master Barang'!A58)</f>
        <v>0</v>
      </c>
      <c r="O35464">
        <f>IF(N35464="","",'Master Barang'!B58)</f>
        <v>0</v>
      </c>
      <c r="P35464">
        <f>IF(OR(M35464="",N35464=""),"",SUMIFS('Barang Keluar'!$E:$E,'Barang Keluar'!$A:$A,M35464,'Barang Keluar'!$C:$C,N35464))</f>
        <v>0</v>
      </c>
    </row>
    <row r="35465" spans="13:16">
      <c r="M35465" s="49">
        <f>IF($A$4+354&gt;$B$4,"",$A$4+354)</f>
        <v>46377</v>
      </c>
      <c r="N35465">
        <f>IF(M35465="","",'Master Barang'!A59)</f>
        <v>0</v>
      </c>
      <c r="O35465">
        <f>IF(N35465="","",'Master Barang'!B59)</f>
        <v>0</v>
      </c>
      <c r="P35465">
        <f>IF(OR(M35465="",N35465=""),"",SUMIFS('Barang Keluar'!$E:$E,'Barang Keluar'!$A:$A,M35465,'Barang Keluar'!$C:$C,N35465))</f>
        <v>0</v>
      </c>
    </row>
    <row r="35466" spans="13:16">
      <c r="M35466" s="49">
        <f>IF($A$4+354&gt;$B$4,"",$A$4+354)</f>
        <v>46377</v>
      </c>
      <c r="N35466">
        <f>IF(M35466="","",'Master Barang'!A60)</f>
        <v>0</v>
      </c>
      <c r="O35466">
        <f>IF(N35466="","",'Master Barang'!B60)</f>
        <v>0</v>
      </c>
      <c r="P35466">
        <f>IF(OR(M35466="",N35466=""),"",SUMIFS('Barang Keluar'!$E:$E,'Barang Keluar'!$A:$A,M35466,'Barang Keluar'!$C:$C,N35466))</f>
        <v>0</v>
      </c>
    </row>
    <row r="35467" spans="13:16">
      <c r="M35467" s="49">
        <f>IF($A$4+354&gt;$B$4,"",$A$4+354)</f>
        <v>46377</v>
      </c>
      <c r="N35467">
        <f>IF(M35467="","",'Master Barang'!A61)</f>
        <v>0</v>
      </c>
      <c r="O35467">
        <f>IF(N35467="","",'Master Barang'!B61)</f>
        <v>0</v>
      </c>
      <c r="P35467">
        <f>IF(OR(M35467="",N35467=""),"",SUMIFS('Barang Keluar'!$E:$E,'Barang Keluar'!$A:$A,M35467,'Barang Keluar'!$C:$C,N35467))</f>
        <v>0</v>
      </c>
    </row>
    <row r="35468" spans="13:16">
      <c r="M35468" s="49">
        <f>IF($A$4+354&gt;$B$4,"",$A$4+354)</f>
        <v>46377</v>
      </c>
      <c r="N35468">
        <f>IF(M35468="","",'Master Barang'!A62)</f>
        <v>0</v>
      </c>
      <c r="O35468">
        <f>IF(N35468="","",'Master Barang'!B62)</f>
        <v>0</v>
      </c>
      <c r="P35468">
        <f>IF(OR(M35468="",N35468=""),"",SUMIFS('Barang Keluar'!$E:$E,'Barang Keluar'!$A:$A,M35468,'Barang Keluar'!$C:$C,N35468))</f>
        <v>0</v>
      </c>
    </row>
    <row r="35469" spans="13:16">
      <c r="M35469" s="49">
        <f>IF($A$4+354&gt;$B$4,"",$A$4+354)</f>
        <v>46377</v>
      </c>
      <c r="N35469">
        <f>IF(M35469="","",'Master Barang'!A63)</f>
        <v>0</v>
      </c>
      <c r="O35469">
        <f>IF(N35469="","",'Master Barang'!B63)</f>
        <v>0</v>
      </c>
      <c r="P35469">
        <f>IF(OR(M35469="",N35469=""),"",SUMIFS('Barang Keluar'!$E:$E,'Barang Keluar'!$A:$A,M35469,'Barang Keluar'!$C:$C,N35469))</f>
        <v>0</v>
      </c>
    </row>
    <row r="35470" spans="13:16">
      <c r="M35470" s="49">
        <f>IF($A$4+354&gt;$B$4,"",$A$4+354)</f>
        <v>46377</v>
      </c>
      <c r="N35470">
        <f>IF(M35470="","",'Master Barang'!A64)</f>
        <v>0</v>
      </c>
      <c r="O35470">
        <f>IF(N35470="","",'Master Barang'!B64)</f>
        <v>0</v>
      </c>
      <c r="P35470">
        <f>IF(OR(M35470="",N35470=""),"",SUMIFS('Barang Keluar'!$E:$E,'Barang Keluar'!$A:$A,M35470,'Barang Keluar'!$C:$C,N35470))</f>
        <v>0</v>
      </c>
    </row>
    <row r="35471" spans="13:16">
      <c r="M35471" s="49">
        <f>IF($A$4+354&gt;$B$4,"",$A$4+354)</f>
        <v>46377</v>
      </c>
      <c r="N35471">
        <f>IF(M35471="","",'Master Barang'!A65)</f>
        <v>0</v>
      </c>
      <c r="O35471">
        <f>IF(N35471="","",'Master Barang'!B65)</f>
        <v>0</v>
      </c>
      <c r="P35471">
        <f>IF(OR(M35471="",N35471=""),"",SUMIFS('Barang Keluar'!$E:$E,'Barang Keluar'!$A:$A,M35471,'Barang Keluar'!$C:$C,N35471))</f>
        <v>0</v>
      </c>
    </row>
    <row r="35472" spans="13:16">
      <c r="M35472" s="49">
        <f>IF($A$4+354&gt;$B$4,"",$A$4+354)</f>
        <v>46377</v>
      </c>
      <c r="N35472">
        <f>IF(M35472="","",'Master Barang'!A66)</f>
        <v>0</v>
      </c>
      <c r="O35472">
        <f>IF(N35472="","",'Master Barang'!B66)</f>
        <v>0</v>
      </c>
      <c r="P35472">
        <f>IF(OR(M35472="",N35472=""),"",SUMIFS('Barang Keluar'!$E:$E,'Barang Keluar'!$A:$A,M35472,'Barang Keluar'!$C:$C,N35472))</f>
        <v>0</v>
      </c>
    </row>
    <row r="35473" spans="13:16">
      <c r="M35473" s="49">
        <f>IF($A$4+354&gt;$B$4,"",$A$4+354)</f>
        <v>46377</v>
      </c>
      <c r="N35473">
        <f>IF(M35473="","",'Master Barang'!A67)</f>
        <v>0</v>
      </c>
      <c r="O35473">
        <f>IF(N35473="","",'Master Barang'!B67)</f>
        <v>0</v>
      </c>
      <c r="P35473">
        <f>IF(OR(M35473="",N35473=""),"",SUMIFS('Barang Keluar'!$E:$E,'Barang Keluar'!$A:$A,M35473,'Barang Keluar'!$C:$C,N35473))</f>
        <v>0</v>
      </c>
    </row>
    <row r="35474" spans="13:16">
      <c r="M35474" s="49">
        <f>IF($A$4+354&gt;$B$4,"",$A$4+354)</f>
        <v>46377</v>
      </c>
      <c r="N35474">
        <f>IF(M35474="","",'Master Barang'!A68)</f>
        <v>0</v>
      </c>
      <c r="O35474">
        <f>IF(N35474="","",'Master Barang'!B68)</f>
        <v>0</v>
      </c>
      <c r="P35474">
        <f>IF(OR(M35474="",N35474=""),"",SUMIFS('Barang Keluar'!$E:$E,'Barang Keluar'!$A:$A,M35474,'Barang Keluar'!$C:$C,N35474))</f>
        <v>0</v>
      </c>
    </row>
    <row r="35475" spans="13:16">
      <c r="M35475" s="49">
        <f>IF($A$4+354&gt;$B$4,"",$A$4+354)</f>
        <v>46377</v>
      </c>
      <c r="N35475">
        <f>IF(M35475="","",'Master Barang'!A69)</f>
        <v>0</v>
      </c>
      <c r="O35475">
        <f>IF(N35475="","",'Master Barang'!B69)</f>
        <v>0</v>
      </c>
      <c r="P35475">
        <f>IF(OR(M35475="",N35475=""),"",SUMIFS('Barang Keluar'!$E:$E,'Barang Keluar'!$A:$A,M35475,'Barang Keluar'!$C:$C,N35475))</f>
        <v>0</v>
      </c>
    </row>
    <row r="35476" spans="13:16">
      <c r="M35476" s="49">
        <f>IF($A$4+354&gt;$B$4,"",$A$4+354)</f>
        <v>46377</v>
      </c>
      <c r="N35476">
        <f>IF(M35476="","",'Master Barang'!A70)</f>
        <v>0</v>
      </c>
      <c r="O35476">
        <f>IF(N35476="","",'Master Barang'!B70)</f>
        <v>0</v>
      </c>
      <c r="P35476">
        <f>IF(OR(M35476="",N35476=""),"",SUMIFS('Barang Keluar'!$E:$E,'Barang Keluar'!$A:$A,M35476,'Barang Keluar'!$C:$C,N35476))</f>
        <v>0</v>
      </c>
    </row>
    <row r="35477" spans="13:16">
      <c r="M35477" s="49">
        <f>IF($A$4+354&gt;$B$4,"",$A$4+354)</f>
        <v>46377</v>
      </c>
      <c r="N35477">
        <f>IF(M35477="","",'Master Barang'!A71)</f>
        <v>0</v>
      </c>
      <c r="O35477">
        <f>IF(N35477="","",'Master Barang'!B71)</f>
        <v>0</v>
      </c>
      <c r="P35477">
        <f>IF(OR(M35477="",N35477=""),"",SUMIFS('Barang Keluar'!$E:$E,'Barang Keluar'!$A:$A,M35477,'Barang Keluar'!$C:$C,N35477))</f>
        <v>0</v>
      </c>
    </row>
    <row r="35478" spans="13:16">
      <c r="M35478" s="49">
        <f>IF($A$4+354&gt;$B$4,"",$A$4+354)</f>
        <v>46377</v>
      </c>
      <c r="N35478">
        <f>IF(M35478="","",'Master Barang'!A72)</f>
        <v>0</v>
      </c>
      <c r="O35478">
        <f>IF(N35478="","",'Master Barang'!B72)</f>
        <v>0</v>
      </c>
      <c r="P35478">
        <f>IF(OR(M35478="",N35478=""),"",SUMIFS('Barang Keluar'!$E:$E,'Barang Keluar'!$A:$A,M35478,'Barang Keluar'!$C:$C,N35478))</f>
        <v>0</v>
      </c>
    </row>
    <row r="35479" spans="13:16">
      <c r="M35479" s="49">
        <f>IF($A$4+354&gt;$B$4,"",$A$4+354)</f>
        <v>46377</v>
      </c>
      <c r="N35479">
        <f>IF(M35479="","",'Master Barang'!A73)</f>
        <v>0</v>
      </c>
      <c r="O35479">
        <f>IF(N35479="","",'Master Barang'!B73)</f>
        <v>0</v>
      </c>
      <c r="P35479">
        <f>IF(OR(M35479="",N35479=""),"",SUMIFS('Barang Keluar'!$E:$E,'Barang Keluar'!$A:$A,M35479,'Barang Keluar'!$C:$C,N35479))</f>
        <v>0</v>
      </c>
    </row>
    <row r="35480" spans="13:16">
      <c r="M35480" s="49">
        <f>IF($A$4+354&gt;$B$4,"",$A$4+354)</f>
        <v>46377</v>
      </c>
      <c r="N35480">
        <f>IF(M35480="","",'Master Barang'!A74)</f>
        <v>0</v>
      </c>
      <c r="O35480">
        <f>IF(N35480="","",'Master Barang'!B74)</f>
        <v>0</v>
      </c>
      <c r="P35480">
        <f>IF(OR(M35480="",N35480=""),"",SUMIFS('Barang Keluar'!$E:$E,'Barang Keluar'!$A:$A,M35480,'Barang Keluar'!$C:$C,N35480))</f>
        <v>0</v>
      </c>
    </row>
    <row r="35481" spans="13:16">
      <c r="M35481" s="49">
        <f>IF($A$4+354&gt;$B$4,"",$A$4+354)</f>
        <v>46377</v>
      </c>
      <c r="N35481">
        <f>IF(M35481="","",'Master Barang'!A75)</f>
        <v>0</v>
      </c>
      <c r="O35481">
        <f>IF(N35481="","",'Master Barang'!B75)</f>
        <v>0</v>
      </c>
      <c r="P35481">
        <f>IF(OR(M35481="",N35481=""),"",SUMIFS('Barang Keluar'!$E:$E,'Barang Keluar'!$A:$A,M35481,'Barang Keluar'!$C:$C,N35481))</f>
        <v>0</v>
      </c>
    </row>
    <row r="35482" spans="13:16">
      <c r="M35482" s="49">
        <f>IF($A$4+354&gt;$B$4,"",$A$4+354)</f>
        <v>46377</v>
      </c>
      <c r="N35482">
        <f>IF(M35482="","",'Master Barang'!A76)</f>
        <v>0</v>
      </c>
      <c r="O35482">
        <f>IF(N35482="","",'Master Barang'!B76)</f>
        <v>0</v>
      </c>
      <c r="P35482">
        <f>IF(OR(M35482="",N35482=""),"",SUMIFS('Barang Keluar'!$E:$E,'Barang Keluar'!$A:$A,M35482,'Barang Keluar'!$C:$C,N35482))</f>
        <v>0</v>
      </c>
    </row>
    <row r="35483" spans="13:16">
      <c r="M35483" s="49">
        <f>IF($A$4+354&gt;$B$4,"",$A$4+354)</f>
        <v>46377</v>
      </c>
      <c r="N35483">
        <f>IF(M35483="","",'Master Barang'!A77)</f>
        <v>0</v>
      </c>
      <c r="O35483">
        <f>IF(N35483="","",'Master Barang'!B77)</f>
        <v>0</v>
      </c>
      <c r="P35483">
        <f>IF(OR(M35483="",N35483=""),"",SUMIFS('Barang Keluar'!$E:$E,'Barang Keluar'!$A:$A,M35483,'Barang Keluar'!$C:$C,N35483))</f>
        <v>0</v>
      </c>
    </row>
    <row r="35484" spans="13:16">
      <c r="M35484" s="49">
        <f>IF($A$4+354&gt;$B$4,"",$A$4+354)</f>
        <v>46377</v>
      </c>
      <c r="N35484">
        <f>IF(M35484="","",'Master Barang'!A78)</f>
        <v>0</v>
      </c>
      <c r="O35484">
        <f>IF(N35484="","",'Master Barang'!B78)</f>
        <v>0</v>
      </c>
      <c r="P35484">
        <f>IF(OR(M35484="",N35484=""),"",SUMIFS('Barang Keluar'!$E:$E,'Barang Keluar'!$A:$A,M35484,'Barang Keluar'!$C:$C,N35484))</f>
        <v>0</v>
      </c>
    </row>
    <row r="35485" spans="13:16">
      <c r="M35485" s="49">
        <f>IF($A$4+354&gt;$B$4,"",$A$4+354)</f>
        <v>46377</v>
      </c>
      <c r="N35485">
        <f>IF(M35485="","",'Master Barang'!A79)</f>
        <v>0</v>
      </c>
      <c r="O35485">
        <f>IF(N35485="","",'Master Barang'!B79)</f>
        <v>0</v>
      </c>
      <c r="P35485">
        <f>IF(OR(M35485="",N35485=""),"",SUMIFS('Barang Keluar'!$E:$E,'Barang Keluar'!$A:$A,M35485,'Barang Keluar'!$C:$C,N35485))</f>
        <v>0</v>
      </c>
    </row>
    <row r="35486" spans="13:16">
      <c r="M35486" s="49">
        <f>IF($A$4+354&gt;$B$4,"",$A$4+354)</f>
        <v>46377</v>
      </c>
      <c r="N35486">
        <f>IF(M35486="","",'Master Barang'!A80)</f>
        <v>0</v>
      </c>
      <c r="O35486">
        <f>IF(N35486="","",'Master Barang'!B80)</f>
        <v>0</v>
      </c>
      <c r="P35486">
        <f>IF(OR(M35486="",N35486=""),"",SUMIFS('Barang Keluar'!$E:$E,'Barang Keluar'!$A:$A,M35486,'Barang Keluar'!$C:$C,N35486))</f>
        <v>0</v>
      </c>
    </row>
    <row r="35487" spans="13:16">
      <c r="M35487" s="49">
        <f>IF($A$4+354&gt;$B$4,"",$A$4+354)</f>
        <v>46377</v>
      </c>
      <c r="N35487">
        <f>IF(M35487="","",'Master Barang'!A81)</f>
        <v>0</v>
      </c>
      <c r="O35487">
        <f>IF(N35487="","",'Master Barang'!B81)</f>
        <v>0</v>
      </c>
      <c r="P35487">
        <f>IF(OR(M35487="",N35487=""),"",SUMIFS('Barang Keluar'!$E:$E,'Barang Keluar'!$A:$A,M35487,'Barang Keluar'!$C:$C,N35487))</f>
        <v>0</v>
      </c>
    </row>
    <row r="35488" spans="13:16">
      <c r="M35488" s="49">
        <f>IF($A$4+354&gt;$B$4,"",$A$4+354)</f>
        <v>46377</v>
      </c>
      <c r="N35488">
        <f>IF(M35488="","",'Master Barang'!A82)</f>
        <v>0</v>
      </c>
      <c r="O35488">
        <f>IF(N35488="","",'Master Barang'!B82)</f>
        <v>0</v>
      </c>
      <c r="P35488">
        <f>IF(OR(M35488="",N35488=""),"",SUMIFS('Barang Keluar'!$E:$E,'Barang Keluar'!$A:$A,M35488,'Barang Keluar'!$C:$C,N35488))</f>
        <v>0</v>
      </c>
    </row>
    <row r="35489" spans="13:16">
      <c r="M35489" s="49">
        <f>IF($A$4+354&gt;$B$4,"",$A$4+354)</f>
        <v>46377</v>
      </c>
      <c r="N35489">
        <f>IF(M35489="","",'Master Barang'!A83)</f>
        <v>0</v>
      </c>
      <c r="O35489">
        <f>IF(N35489="","",'Master Barang'!B83)</f>
        <v>0</v>
      </c>
      <c r="P35489">
        <f>IF(OR(M35489="",N35489=""),"",SUMIFS('Barang Keluar'!$E:$E,'Barang Keluar'!$A:$A,M35489,'Barang Keluar'!$C:$C,N35489))</f>
        <v>0</v>
      </c>
    </row>
    <row r="35490" spans="13:16">
      <c r="M35490" s="49">
        <f>IF($A$4+354&gt;$B$4,"",$A$4+354)</f>
        <v>46377</v>
      </c>
      <c r="N35490">
        <f>IF(M35490="","",'Master Barang'!A84)</f>
        <v>0</v>
      </c>
      <c r="O35490">
        <f>IF(N35490="","",'Master Barang'!B84)</f>
        <v>0</v>
      </c>
      <c r="P35490">
        <f>IF(OR(M35490="",N35490=""),"",SUMIFS('Barang Keluar'!$E:$E,'Barang Keluar'!$A:$A,M35490,'Barang Keluar'!$C:$C,N35490))</f>
        <v>0</v>
      </c>
    </row>
    <row r="35491" spans="13:16">
      <c r="M35491" s="49">
        <f>IF($A$4+354&gt;$B$4,"",$A$4+354)</f>
        <v>46377</v>
      </c>
      <c r="N35491">
        <f>IF(M35491="","",'Master Barang'!A85)</f>
        <v>0</v>
      </c>
      <c r="O35491">
        <f>IF(N35491="","",'Master Barang'!B85)</f>
        <v>0</v>
      </c>
      <c r="P35491">
        <f>IF(OR(M35491="",N35491=""),"",SUMIFS('Barang Keluar'!$E:$E,'Barang Keluar'!$A:$A,M35491,'Barang Keluar'!$C:$C,N35491))</f>
        <v>0</v>
      </c>
    </row>
    <row r="35492" spans="13:16">
      <c r="M35492" s="49">
        <f>IF($A$4+354&gt;$B$4,"",$A$4+354)</f>
        <v>46377</v>
      </c>
      <c r="N35492">
        <f>IF(M35492="","",'Master Barang'!A86)</f>
        <v>0</v>
      </c>
      <c r="O35492">
        <f>IF(N35492="","",'Master Barang'!B86)</f>
        <v>0</v>
      </c>
      <c r="P35492">
        <f>IF(OR(M35492="",N35492=""),"",SUMIFS('Barang Keluar'!$E:$E,'Barang Keluar'!$A:$A,M35492,'Barang Keluar'!$C:$C,N35492))</f>
        <v>0</v>
      </c>
    </row>
    <row r="35493" spans="13:16">
      <c r="M35493" s="49">
        <f>IF($A$4+354&gt;$B$4,"",$A$4+354)</f>
        <v>46377</v>
      </c>
      <c r="N35493">
        <f>IF(M35493="","",'Master Barang'!A87)</f>
        <v>0</v>
      </c>
      <c r="O35493">
        <f>IF(N35493="","",'Master Barang'!B87)</f>
        <v>0</v>
      </c>
      <c r="P35493">
        <f>IF(OR(M35493="",N35493=""),"",SUMIFS('Barang Keluar'!$E:$E,'Barang Keluar'!$A:$A,M35493,'Barang Keluar'!$C:$C,N35493))</f>
        <v>0</v>
      </c>
    </row>
    <row r="35494" spans="13:16">
      <c r="M35494" s="49">
        <f>IF($A$4+354&gt;$B$4,"",$A$4+354)</f>
        <v>46377</v>
      </c>
      <c r="N35494">
        <f>IF(M35494="","",'Master Barang'!A88)</f>
        <v>0</v>
      </c>
      <c r="O35494">
        <f>IF(N35494="","",'Master Barang'!B88)</f>
        <v>0</v>
      </c>
      <c r="P35494">
        <f>IF(OR(M35494="",N35494=""),"",SUMIFS('Barang Keluar'!$E:$E,'Barang Keluar'!$A:$A,M35494,'Barang Keluar'!$C:$C,N35494))</f>
        <v>0</v>
      </c>
    </row>
    <row r="35495" spans="13:16">
      <c r="M35495" s="49">
        <f>IF($A$4+354&gt;$B$4,"",$A$4+354)</f>
        <v>46377</v>
      </c>
      <c r="N35495">
        <f>IF(M35495="","",'Master Barang'!A89)</f>
        <v>0</v>
      </c>
      <c r="O35495">
        <f>IF(N35495="","",'Master Barang'!B89)</f>
        <v>0</v>
      </c>
      <c r="P35495">
        <f>IF(OR(M35495="",N35495=""),"",SUMIFS('Barang Keluar'!$E:$E,'Barang Keluar'!$A:$A,M35495,'Barang Keluar'!$C:$C,N35495))</f>
        <v>0</v>
      </c>
    </row>
    <row r="35496" spans="13:16">
      <c r="M35496" s="49">
        <f>IF($A$4+354&gt;$B$4,"",$A$4+354)</f>
        <v>46377</v>
      </c>
      <c r="N35496">
        <f>IF(M35496="","",'Master Barang'!A90)</f>
        <v>0</v>
      </c>
      <c r="O35496">
        <f>IF(N35496="","",'Master Barang'!B90)</f>
        <v>0</v>
      </c>
      <c r="P35496">
        <f>IF(OR(M35496="",N35496=""),"",SUMIFS('Barang Keluar'!$E:$E,'Barang Keluar'!$A:$A,M35496,'Barang Keluar'!$C:$C,N35496))</f>
        <v>0</v>
      </c>
    </row>
    <row r="35497" spans="13:16">
      <c r="M35497" s="49">
        <f>IF($A$4+354&gt;$B$4,"",$A$4+354)</f>
        <v>46377</v>
      </c>
      <c r="N35497">
        <f>IF(M35497="","",'Master Barang'!A91)</f>
        <v>0</v>
      </c>
      <c r="O35497">
        <f>IF(N35497="","",'Master Barang'!B91)</f>
        <v>0</v>
      </c>
      <c r="P35497">
        <f>IF(OR(M35497="",N35497=""),"",SUMIFS('Barang Keluar'!$E:$E,'Barang Keluar'!$A:$A,M35497,'Barang Keluar'!$C:$C,N35497))</f>
        <v>0</v>
      </c>
    </row>
    <row r="35498" spans="13:16">
      <c r="M35498" s="49">
        <f>IF($A$4+354&gt;$B$4,"",$A$4+354)</f>
        <v>46377</v>
      </c>
      <c r="N35498">
        <f>IF(M35498="","",'Master Barang'!A92)</f>
        <v>0</v>
      </c>
      <c r="O35498">
        <f>IF(N35498="","",'Master Barang'!B92)</f>
        <v>0</v>
      </c>
      <c r="P35498">
        <f>IF(OR(M35498="",N35498=""),"",SUMIFS('Barang Keluar'!$E:$E,'Barang Keluar'!$A:$A,M35498,'Barang Keluar'!$C:$C,N35498))</f>
        <v>0</v>
      </c>
    </row>
    <row r="35499" spans="13:16">
      <c r="M35499" s="49">
        <f>IF($A$4+354&gt;$B$4,"",$A$4+354)</f>
        <v>46377</v>
      </c>
      <c r="N35499">
        <f>IF(M35499="","",'Master Barang'!A93)</f>
        <v>0</v>
      </c>
      <c r="O35499">
        <f>IF(N35499="","",'Master Barang'!B93)</f>
        <v>0</v>
      </c>
      <c r="P35499">
        <f>IF(OR(M35499="",N35499=""),"",SUMIFS('Barang Keluar'!$E:$E,'Barang Keluar'!$A:$A,M35499,'Barang Keluar'!$C:$C,N35499))</f>
        <v>0</v>
      </c>
    </row>
    <row r="35500" spans="13:16">
      <c r="M35500" s="49">
        <f>IF($A$4+354&gt;$B$4,"",$A$4+354)</f>
        <v>46377</v>
      </c>
      <c r="N35500">
        <f>IF(M35500="","",'Master Barang'!A94)</f>
        <v>0</v>
      </c>
      <c r="O35500">
        <f>IF(N35500="","",'Master Barang'!B94)</f>
        <v>0</v>
      </c>
      <c r="P35500">
        <f>IF(OR(M35500="",N35500=""),"",SUMIFS('Barang Keluar'!$E:$E,'Barang Keluar'!$A:$A,M35500,'Barang Keluar'!$C:$C,N35500))</f>
        <v>0</v>
      </c>
    </row>
    <row r="35501" spans="13:16">
      <c r="M35501" s="49">
        <f>IF($A$4+354&gt;$B$4,"",$A$4+354)</f>
        <v>46377</v>
      </c>
      <c r="N35501">
        <f>IF(M35501="","",'Master Barang'!A95)</f>
        <v>0</v>
      </c>
      <c r="O35501">
        <f>IF(N35501="","",'Master Barang'!B95)</f>
        <v>0</v>
      </c>
      <c r="P35501">
        <f>IF(OR(M35501="",N35501=""),"",SUMIFS('Barang Keluar'!$E:$E,'Barang Keluar'!$A:$A,M35501,'Barang Keluar'!$C:$C,N35501))</f>
        <v>0</v>
      </c>
    </row>
    <row r="35502" spans="13:16">
      <c r="M35502" s="49">
        <f>IF($A$4+354&gt;$B$4,"",$A$4+354)</f>
        <v>46377</v>
      </c>
      <c r="N35502">
        <f>IF(M35502="","",'Master Barang'!A96)</f>
        <v>0</v>
      </c>
      <c r="O35502">
        <f>IF(N35502="","",'Master Barang'!B96)</f>
        <v>0</v>
      </c>
      <c r="P35502">
        <f>IF(OR(M35502="",N35502=""),"",SUMIFS('Barang Keluar'!$E:$E,'Barang Keluar'!$A:$A,M35502,'Barang Keluar'!$C:$C,N35502))</f>
        <v>0</v>
      </c>
    </row>
    <row r="35503" spans="13:16">
      <c r="M35503" s="49">
        <f>IF($A$4+354&gt;$B$4,"",$A$4+354)</f>
        <v>46377</v>
      </c>
      <c r="N35503">
        <f>IF(M35503="","",'Master Barang'!A97)</f>
        <v>0</v>
      </c>
      <c r="O35503">
        <f>IF(N35503="","",'Master Barang'!B97)</f>
        <v>0</v>
      </c>
      <c r="P35503">
        <f>IF(OR(M35503="",N35503=""),"",SUMIFS('Barang Keluar'!$E:$E,'Barang Keluar'!$A:$A,M35503,'Barang Keluar'!$C:$C,N35503))</f>
        <v>0</v>
      </c>
    </row>
    <row r="35504" spans="13:16">
      <c r="M35504" s="49">
        <f>IF($A$4+354&gt;$B$4,"",$A$4+354)</f>
        <v>46377</v>
      </c>
      <c r="N35504">
        <f>IF(M35504="","",'Master Barang'!A98)</f>
        <v>0</v>
      </c>
      <c r="O35504">
        <f>IF(N35504="","",'Master Barang'!B98)</f>
        <v>0</v>
      </c>
      <c r="P35504">
        <f>IF(OR(M35504="",N35504=""),"",SUMIFS('Barang Keluar'!$E:$E,'Barang Keluar'!$A:$A,M35504,'Barang Keluar'!$C:$C,N35504))</f>
        <v>0</v>
      </c>
    </row>
    <row r="35505" spans="13:16">
      <c r="M35505" s="49">
        <f>IF($A$4+354&gt;$B$4,"",$A$4+354)</f>
        <v>46377</v>
      </c>
      <c r="N35505">
        <f>IF(M35505="","",'Master Barang'!A99)</f>
        <v>0</v>
      </c>
      <c r="O35505">
        <f>IF(N35505="","",'Master Barang'!B99)</f>
        <v>0</v>
      </c>
      <c r="P35505">
        <f>IF(OR(M35505="",N35505=""),"",SUMIFS('Barang Keluar'!$E:$E,'Barang Keluar'!$A:$A,M35505,'Barang Keluar'!$C:$C,N35505))</f>
        <v>0</v>
      </c>
    </row>
    <row r="35506" spans="13:16">
      <c r="M35506" s="49">
        <f>IF($A$4+354&gt;$B$4,"",$A$4+354)</f>
        <v>46377</v>
      </c>
      <c r="N35506">
        <f>IF(M35506="","",'Master Barang'!A100)</f>
        <v>0</v>
      </c>
      <c r="O35506">
        <f>IF(N35506="","",'Master Barang'!B100)</f>
        <v>0</v>
      </c>
      <c r="P35506">
        <f>IF(OR(M35506="",N35506=""),"",SUMIFS('Barang Keluar'!$E:$E,'Barang Keluar'!$A:$A,M35506,'Barang Keluar'!$C:$C,N35506))</f>
        <v>0</v>
      </c>
    </row>
    <row r="35507" spans="13:16">
      <c r="M35507" s="49">
        <f>IF($A$4+354&gt;$B$4,"",$A$4+354)</f>
        <v>46377</v>
      </c>
      <c r="N35507">
        <f>IF(M35507="","",'Master Barang'!A101)</f>
        <v>0</v>
      </c>
      <c r="O35507">
        <f>IF(N35507="","",'Master Barang'!B101)</f>
        <v>0</v>
      </c>
      <c r="P35507">
        <f>IF(OR(M35507="",N35507=""),"",SUMIFS('Barang Keluar'!$E:$E,'Barang Keluar'!$A:$A,M35507,'Barang Keluar'!$C:$C,N35507))</f>
        <v>0</v>
      </c>
    </row>
    <row r="35508" spans="13:16">
      <c r="M35508" s="49">
        <f>IF($A$4+355&gt;$B$4,"",$A$4+355)</f>
        <v>46378</v>
      </c>
      <c r="N35508" t="str">
        <f>IF(M35508="","",'Master Barang'!A2)</f>
        <v>PRL-001</v>
      </c>
      <c r="O35508" t="str">
        <f>IF(N35508="","",'Master Barang'!B2)</f>
        <v>natura desinfectant food grade 5l</v>
      </c>
      <c r="P35508">
        <f>IF(OR(M35508="",N35508=""),"",SUMIFS('Barang Keluar'!$E:$E,'Barang Keluar'!$A:$A,M35508,'Barang Keluar'!$C:$C,N35508))</f>
        <v>0</v>
      </c>
    </row>
    <row r="35509" spans="13:16">
      <c r="M35509" s="49">
        <f>IF($A$4+355&gt;$B$4,"",$A$4+355)</f>
        <v>46378</v>
      </c>
      <c r="N35509" t="str">
        <f>IF(M35509="","",'Master Barang'!A3)</f>
        <v>PRL-002</v>
      </c>
      <c r="O35509" t="str">
        <f>IF(N35509="","",'Master Barang'!B3)</f>
        <v>sunlight cairan pencuci piring 5l</v>
      </c>
      <c r="P35509">
        <f>IF(OR(M35509="",N35509=""),"",SUMIFS('Barang Keluar'!$E:$E,'Barang Keluar'!$A:$A,M35509,'Barang Keluar'!$C:$C,N35509))</f>
        <v>0</v>
      </c>
    </row>
    <row r="35510" spans="13:16">
      <c r="M35510" s="49">
        <f>IF($A$4+355&gt;$B$4,"",$A$4+355)</f>
        <v>46378</v>
      </c>
      <c r="N35510" t="str">
        <f>IF(M35510="","",'Master Barang'!A4)</f>
        <v>PRL-003</v>
      </c>
      <c r="O35510" t="str">
        <f>IF(N35510="","",'Master Barang'!B4)</f>
        <v>oixs cleaner 1l</v>
      </c>
      <c r="P35510">
        <f>IF(OR(M35510="",N35510=""),"",SUMIFS('Barang Keluar'!$E:$E,'Barang Keluar'!$A:$A,M35510,'Barang Keluar'!$C:$C,N35510))</f>
        <v>0</v>
      </c>
    </row>
    <row r="35511" spans="13:16">
      <c r="M35511" s="49">
        <f>IF($A$4+355&gt;$B$4,"",$A$4+355)</f>
        <v>46378</v>
      </c>
      <c r="N35511" t="str">
        <f>IF(M35511="","",'Master Barang'!A5)</f>
        <v>PRL-004</v>
      </c>
      <c r="O35511" t="str">
        <f>IF(N35511="","",'Master Barang'!B5)</f>
        <v>be clean tissue serbaguna</v>
      </c>
      <c r="P35511">
        <f>IF(OR(M35511="",N35511=""),"",SUMIFS('Barang Keluar'!$E:$E,'Barang Keluar'!$A:$A,M35511,'Barang Keluar'!$C:$C,N35511))</f>
        <v>0</v>
      </c>
    </row>
    <row r="35512" spans="13:16">
      <c r="M35512" s="49">
        <f>IF($A$4+355&gt;$B$4,"",$A$4+355)</f>
        <v>46378</v>
      </c>
      <c r="N35512" t="str">
        <f>IF(M35512="","",'Master Barang'!A6)</f>
        <v>PRL-005</v>
      </c>
      <c r="O35512" t="str">
        <f>IF(N35512="","",'Master Barang'!B6)</f>
        <v>spons cuci hijau</v>
      </c>
      <c r="P35512">
        <f>IF(OR(M35512="",N35512=""),"",SUMIFS('Barang Keluar'!$E:$E,'Barang Keluar'!$A:$A,M35512,'Barang Keluar'!$C:$C,N35512))</f>
        <v>0</v>
      </c>
    </row>
    <row r="35513" spans="13:16">
      <c r="M35513" s="49">
        <f>IF($A$4+355&gt;$B$4,"",$A$4+355)</f>
        <v>46378</v>
      </c>
      <c r="N35513" t="str">
        <f>IF(M35513="","",'Master Barang'!A7)</f>
        <v>PRL-006</v>
      </c>
      <c r="O35513" t="str">
        <f>IF(N35513="","",'Master Barang'!B7)</f>
        <v>sabut cuci stainless</v>
      </c>
      <c r="P35513">
        <f>IF(OR(M35513="",N35513=""),"",SUMIFS('Barang Keluar'!$E:$E,'Barang Keluar'!$A:$A,M35513,'Barang Keluar'!$C:$C,N35513))</f>
        <v>0</v>
      </c>
    </row>
    <row r="35514" spans="13:16">
      <c r="M35514" s="49">
        <f>IF($A$4+355&gt;$B$4,"",$A$4+355)</f>
        <v>46378</v>
      </c>
      <c r="N35514" t="str">
        <f>IF(M35514="","",'Master Barang'!A8)</f>
        <v>PRL-007</v>
      </c>
      <c r="O35514" t="str">
        <f>IF(N35514="","",'Master Barang'!B8)</f>
        <v>plastik kresek besar merah 50pc</v>
      </c>
      <c r="P35514">
        <f>IF(OR(M35514="",N35514=""),"",SUMIFS('Barang Keluar'!$E:$E,'Barang Keluar'!$A:$A,M35514,'Barang Keluar'!$C:$C,N35514))</f>
        <v>0</v>
      </c>
    </row>
    <row r="35515" spans="13:16">
      <c r="M35515" s="49">
        <f>IF($A$4+355&gt;$B$4,"",$A$4+355)</f>
        <v>46378</v>
      </c>
      <c r="N35515" t="str">
        <f>IF(M35515="","",'Master Barang'!A9)</f>
        <v>PRL-008</v>
      </c>
      <c r="O35515" t="str">
        <f>IF(N35515="","",'Master Barang'!B9)</f>
        <v>lap besar</v>
      </c>
      <c r="P35515">
        <f>IF(OR(M35515="",N35515=""),"",SUMIFS('Barang Keluar'!$E:$E,'Barang Keluar'!$A:$A,M35515,'Barang Keluar'!$C:$C,N35515))</f>
        <v>0</v>
      </c>
    </row>
    <row r="35516" spans="13:16">
      <c r="M35516" s="49">
        <f>IF($A$4+355&gt;$B$4,"",$A$4+355)</f>
        <v>46378</v>
      </c>
      <c r="N35516" t="str">
        <f>IF(M35516="","",'Master Barang'!A10)</f>
        <v>PRL-009</v>
      </c>
      <c r="O35516" t="str">
        <f>IF(N35516="","",'Master Barang'!B10)</f>
        <v>lap microfiber</v>
      </c>
      <c r="P35516">
        <f>IF(OR(M35516="",N35516=""),"",SUMIFS('Barang Keluar'!$E:$E,'Barang Keluar'!$A:$A,M35516,'Barang Keluar'!$C:$C,N35516))</f>
        <v>0</v>
      </c>
    </row>
    <row r="35517" spans="13:16">
      <c r="M35517" s="49">
        <f>IF($A$4+355&gt;$B$4,"",$A$4+355)</f>
        <v>46378</v>
      </c>
      <c r="N35517" t="str">
        <f>IF(M35517="","",'Master Barang'!A11)</f>
        <v>PRL-010</v>
      </c>
      <c r="O35517" t="str">
        <f>IF(N35517="","",'Master Barang'!B11)</f>
        <v>lap kecil</v>
      </c>
      <c r="P35517">
        <f>IF(OR(M35517="",N35517=""),"",SUMIFS('Barang Keluar'!$E:$E,'Barang Keluar'!$A:$A,M35517,'Barang Keluar'!$C:$C,N35517))</f>
        <v>0</v>
      </c>
    </row>
    <row r="35518" spans="13:16">
      <c r="M35518" s="49">
        <f>IF($A$4+355&gt;$B$4,"",$A$4+355)</f>
        <v>46378</v>
      </c>
      <c r="N35518" t="str">
        <f>IF(M35518="","",'Master Barang'!A12)</f>
        <v>PRL-011</v>
      </c>
      <c r="O35518" t="str">
        <f>IF(N35518="","",'Master Barang'!B12)</f>
        <v>kanebo kecil</v>
      </c>
      <c r="P35518">
        <f>IF(OR(M35518="",N35518=""),"",SUMIFS('Barang Keluar'!$E:$E,'Barang Keluar'!$A:$A,M35518,'Barang Keluar'!$C:$C,N35518))</f>
        <v>0</v>
      </c>
    </row>
    <row r="35519" spans="13:16">
      <c r="M35519" s="49">
        <f>IF($A$4+355&gt;$B$4,"",$A$4+355)</f>
        <v>46378</v>
      </c>
      <c r="N35519" t="str">
        <f>IF(M35519="","",'Master Barang'!A13)</f>
        <v>PRL-012</v>
      </c>
      <c r="O35519" t="str">
        <f>IF(N35519="","",'Master Barang'!B13)</f>
        <v>plastik 1/4kg joyoboyo 100 lembar</v>
      </c>
      <c r="P35519">
        <f>IF(OR(M35519="",N35519=""),"",SUMIFS('Barang Keluar'!$E:$E,'Barang Keluar'!$A:$A,M35519,'Barang Keluar'!$C:$C,N35519))</f>
        <v>0</v>
      </c>
    </row>
    <row r="35520" spans="13:16">
      <c r="M35520" s="49">
        <f>IF($A$4+355&gt;$B$4,"",$A$4+355)</f>
        <v>46378</v>
      </c>
      <c r="N35520" t="str">
        <f>IF(M35520="","",'Master Barang'!A14)</f>
        <v>PRL-013</v>
      </c>
      <c r="O35520" t="str">
        <f>IF(N35520="","",'Master Barang'!B14)</f>
        <v>sarung tangan plastik kaka 100 pcs</v>
      </c>
      <c r="P35520">
        <f>IF(OR(M35520="",N35520=""),"",SUMIFS('Barang Keluar'!$E:$E,'Barang Keluar'!$A:$A,M35520,'Barang Keluar'!$C:$C,N35520))</f>
        <v>0</v>
      </c>
    </row>
    <row r="35521" spans="13:16">
      <c r="M35521" s="49">
        <f>IF($A$4+355&gt;$B$4,"",$A$4+355)</f>
        <v>46378</v>
      </c>
      <c r="N35521" t="str">
        <f>IF(M35521="","",'Master Barang'!A15)</f>
        <v>PRL-014</v>
      </c>
      <c r="O35521" t="str">
        <f>IF(N35521="","",'Master Barang'!B15)</f>
        <v>optima trashbag 80x100</v>
      </c>
      <c r="P35521">
        <f>IF(OR(M35521="",N35521=""),"",SUMIFS('Barang Keluar'!$E:$E,'Barang Keluar'!$A:$A,M35521,'Barang Keluar'!$C:$C,N35521))</f>
        <v>0</v>
      </c>
    </row>
    <row r="35522" spans="13:16">
      <c r="M35522" s="49">
        <f>IF($A$4+355&gt;$B$4,"",$A$4+355)</f>
        <v>46378</v>
      </c>
      <c r="N35522" t="str">
        <f>IF(M35522="","",'Master Barang'!A16)</f>
        <v>PRL-015</v>
      </c>
      <c r="O35522" t="str">
        <f>IF(N35522="","",'Master Barang'!B16)</f>
        <v>optima trashbag 60x100</v>
      </c>
      <c r="P35522">
        <f>IF(OR(M35522="",N35522=""),"",SUMIFS('Barang Keluar'!$E:$E,'Barang Keluar'!$A:$A,M35522,'Barang Keluar'!$C:$C,N35522))</f>
        <v>0</v>
      </c>
    </row>
    <row r="35523" spans="13:16">
      <c r="M35523" s="49">
        <f>IF($A$4+355&gt;$B$4,"",$A$4+355)</f>
        <v>46378</v>
      </c>
      <c r="N35523" t="str">
        <f>IF(M35523="","",'Master Barang'!A17)</f>
        <v>PRL-016</v>
      </c>
      <c r="O35523" t="str">
        <f>IF(N35523="","",'Master Barang'!B17)</f>
        <v>rajawali trashbag 30x40</v>
      </c>
      <c r="P35523">
        <f>IF(OR(M35523="",N35523=""),"",SUMIFS('Barang Keluar'!$E:$E,'Barang Keluar'!$A:$A,M35523,'Barang Keluar'!$C:$C,N35523))</f>
        <v>0</v>
      </c>
    </row>
    <row r="35524" spans="13:16">
      <c r="M35524" s="49">
        <f>IF($A$4+355&gt;$B$4,"",$A$4+355)</f>
        <v>46378</v>
      </c>
      <c r="N35524" t="str">
        <f>IF(M35524="","",'Master Barang'!A18)</f>
        <v>PRL-017</v>
      </c>
      <c r="O35524" t="str">
        <f>IF(N35524="","",'Master Barang'!B18)</f>
        <v>onemed masker biru 3 play 50 pcs</v>
      </c>
      <c r="P35524">
        <f>IF(OR(M35524="",N35524=""),"",SUMIFS('Barang Keluar'!$E:$E,'Barang Keluar'!$A:$A,M35524,'Barang Keluar'!$C:$C,N35524))</f>
        <v>0</v>
      </c>
    </row>
    <row r="35525" spans="13:16">
      <c r="M35525" s="49">
        <f>IF($A$4+355&gt;$B$4,"",$A$4+355)</f>
        <v>46378</v>
      </c>
      <c r="N35525" t="str">
        <f>IF(M35525="","",'Master Barang'!A19)</f>
        <v>PRL-018</v>
      </c>
      <c r="O35525" t="str">
        <f>IF(N35525="","",'Master Barang'!B19)</f>
        <v>onemed masker biru 3 play hijab 50 pcs</v>
      </c>
      <c r="P35525">
        <f>IF(OR(M35525="",N35525=""),"",SUMIFS('Barang Keluar'!$E:$E,'Barang Keluar'!$A:$A,M35525,'Barang Keluar'!$C:$C,N35525))</f>
        <v>0</v>
      </c>
    </row>
    <row r="35526" spans="13:16">
      <c r="M35526" s="49">
        <f>IF($A$4+355&gt;$B$4,"",$A$4+355)</f>
        <v>46378</v>
      </c>
      <c r="N35526" t="str">
        <f>IF(M35526="","",'Master Barang'!A20)</f>
        <v>PRL-019</v>
      </c>
      <c r="O35526" t="str">
        <f>IF(N35526="","",'Master Barang'!B20)</f>
        <v>neo health masker biru 3 play 50 pcs</v>
      </c>
      <c r="P35526">
        <f>IF(OR(M35526="",N35526=""),"",SUMIFS('Barang Keluar'!$E:$E,'Barang Keluar'!$A:$A,M35526,'Barang Keluar'!$C:$C,N35526))</f>
        <v>0</v>
      </c>
    </row>
    <row r="35527" spans="13:16">
      <c r="M35527" s="49">
        <f>IF($A$4+355&gt;$B$4,"",$A$4+355)</f>
        <v>46378</v>
      </c>
      <c r="N35527" t="str">
        <f>IF(M35527="","",'Master Barang'!A21)</f>
        <v>PRL-020</v>
      </c>
      <c r="O35527" t="str">
        <f>IF(N35527="","",'Master Barang'!B21)</f>
        <v>baymed masker hijau 3 play hijau 50 pcs</v>
      </c>
      <c r="P35527">
        <f>IF(OR(M35527="",N35527=""),"",SUMIFS('Barang Keluar'!$E:$E,'Barang Keluar'!$A:$A,M35527,'Barang Keluar'!$C:$C,N35527))</f>
        <v>0</v>
      </c>
    </row>
    <row r="35528" spans="13:16">
      <c r="M35528" s="49">
        <f>IF($A$4+355&gt;$B$4,"",$A$4+355)</f>
        <v>46378</v>
      </c>
      <c r="N35528" t="str">
        <f>IF(M35528="","",'Master Barang'!A22)</f>
        <v>PRL-021</v>
      </c>
      <c r="O35528" t="str">
        <f>IF(N35528="","",'Master Barang'!B22)</f>
        <v>altamed nurse cap penutup kepala 100 pcs</v>
      </c>
      <c r="P35528">
        <f>IF(OR(M35528="",N35528=""),"",SUMIFS('Barang Keluar'!$E:$E,'Barang Keluar'!$A:$A,M35528,'Barang Keluar'!$C:$C,N35528))</f>
        <v>0</v>
      </c>
    </row>
    <row r="35529" spans="13:16">
      <c r="M35529" s="49">
        <f>IF($A$4+355&gt;$B$4,"",$A$4+355)</f>
        <v>46378</v>
      </c>
      <c r="N35529" t="str">
        <f>IF(M35529="","",'Master Barang'!A23)</f>
        <v>PRL-022</v>
      </c>
      <c r="O35529" t="str">
        <f>IF(N35529="","",'Master Barang'!B23)</f>
        <v>sabun cuci tangan</v>
      </c>
      <c r="P35529">
        <f>IF(OR(M35529="",N35529=""),"",SUMIFS('Barang Keluar'!$E:$E,'Barang Keluar'!$A:$A,M35529,'Barang Keluar'!$C:$C,N35529))</f>
        <v>0</v>
      </c>
    </row>
    <row r="35530" spans="13:16">
      <c r="M35530" s="49">
        <f>IF($A$4+355&gt;$B$4,"",$A$4+355)</f>
        <v>46378</v>
      </c>
      <c r="N35530" t="str">
        <f>IF(M35530="","",'Master Barang'!A24)</f>
        <v>PRL-023</v>
      </c>
      <c r="O35530" t="str">
        <f>IF(N35530="","",'Master Barang'!B24)</f>
        <v>gayung kecil</v>
      </c>
      <c r="P35530">
        <f>IF(OR(M35530="",N35530=""),"",SUMIFS('Barang Keluar'!$E:$E,'Barang Keluar'!$A:$A,M35530,'Barang Keluar'!$C:$C,N35530))</f>
        <v>0</v>
      </c>
    </row>
    <row r="35531" spans="13:16">
      <c r="M35531" s="49">
        <f>IF($A$4+355&gt;$B$4,"",$A$4+355)</f>
        <v>46378</v>
      </c>
      <c r="N35531" t="str">
        <f>IF(M35531="","",'Master Barang'!A25)</f>
        <v>PRL-024</v>
      </c>
      <c r="O35531" t="str">
        <f>IF(N35531="","",'Master Barang'!B25)</f>
        <v>cikrak kecil</v>
      </c>
      <c r="P35531">
        <f>IF(OR(M35531="",N35531=""),"",SUMIFS('Barang Keluar'!$E:$E,'Barang Keluar'!$A:$A,M35531,'Barang Keluar'!$C:$C,N35531))</f>
        <v>0</v>
      </c>
    </row>
    <row r="35532" spans="13:16">
      <c r="M35532" s="49">
        <f>IF($A$4+355&gt;$B$4,"",$A$4+355)</f>
        <v>46378</v>
      </c>
      <c r="N35532" t="str">
        <f>IF(M35532="","",'Master Barang'!A26)</f>
        <v>PRL-025</v>
      </c>
      <c r="O35532" t="str">
        <f>IF(N35532="","",'Master Barang'!B26)</f>
        <v>petromax plastik kecil 12x24 100 lembar</v>
      </c>
      <c r="P35532">
        <f>IF(OR(M35532="",N35532=""),"",SUMIFS('Barang Keluar'!$E:$E,'Barang Keluar'!$A:$A,M35532,'Barang Keluar'!$C:$C,N35532))</f>
        <v>0</v>
      </c>
    </row>
    <row r="35533" spans="13:16">
      <c r="M35533" s="49">
        <f>IF($A$4+355&gt;$B$4,"",$A$4+355)</f>
        <v>46378</v>
      </c>
      <c r="N35533" t="str">
        <f>IF(M35533="","",'Master Barang'!A27)</f>
        <v>PRL-026</v>
      </c>
      <c r="O35533" t="str">
        <f>IF(N35533="","",'Master Barang'!B27)</f>
        <v>lancar kresek kecil bening </v>
      </c>
      <c r="P35533">
        <f>IF(OR(M35533="",N35533=""),"",SUMIFS('Barang Keluar'!$E:$E,'Barang Keluar'!$A:$A,M35533,'Barang Keluar'!$C:$C,N35533))</f>
        <v>0</v>
      </c>
    </row>
    <row r="35534" spans="13:16">
      <c r="M35534" s="49">
        <f>IF($A$4+355&gt;$B$4,"",$A$4+355)</f>
        <v>46378</v>
      </c>
      <c r="N35534" t="str">
        <f>IF(M35534="","",'Master Barang'!A28)</f>
        <v>PRL-027</v>
      </c>
      <c r="O35534" t="str">
        <f>IF(N35534="","",'Master Barang'!B28)</f>
        <v>kresek klin warna warni kecil</v>
      </c>
      <c r="P35534">
        <f>IF(OR(M35534="",N35534=""),"",SUMIFS('Barang Keluar'!$E:$E,'Barang Keluar'!$A:$A,M35534,'Barang Keluar'!$C:$C,N35534))</f>
        <v>0</v>
      </c>
    </row>
    <row r="35535" spans="13:16">
      <c r="M35535" s="49">
        <f>IF($A$4+355&gt;$B$4,"",$A$4+355)</f>
        <v>46378</v>
      </c>
      <c r="N35535" t="str">
        <f>IF(M35535="","",'Master Barang'!A29)</f>
        <v>PRL-028</v>
      </c>
      <c r="O35535" t="str">
        <f>IF(N35535="","",'Master Barang'!B29)</f>
        <v>ctik plastik 7x10 100 pcs</v>
      </c>
      <c r="P35535">
        <f>IF(OR(M35535="",N35535=""),"",SUMIFS('Barang Keluar'!$E:$E,'Barang Keluar'!$A:$A,M35535,'Barang Keluar'!$C:$C,N35535))</f>
        <v>0</v>
      </c>
    </row>
    <row r="35536" spans="13:16">
      <c r="M35536" s="49">
        <f>IF($A$4+355&gt;$B$4,"",$A$4+355)</f>
        <v>46378</v>
      </c>
      <c r="N35536" t="str">
        <f>IF(M35536="","",'Master Barang'!A30)</f>
        <v>PRL-029</v>
      </c>
      <c r="O35536" t="str">
        <f>IF(N35536="","",'Master Barang'!B30)</f>
        <v>ctik plastik 6x10 100 pcs</v>
      </c>
      <c r="P35536">
        <f>IF(OR(M35536="",N35536=""),"",SUMIFS('Barang Keluar'!$E:$E,'Barang Keluar'!$A:$A,M35536,'Barang Keluar'!$C:$C,N35536))</f>
        <v>0</v>
      </c>
    </row>
    <row r="35537" spans="13:16">
      <c r="M35537" s="49">
        <f>IF($A$4+355&gt;$B$4,"",$A$4+355)</f>
        <v>46378</v>
      </c>
      <c r="N35537" t="str">
        <f>IF(M35537="","",'Master Barang'!A31)</f>
        <v>PRL-030</v>
      </c>
      <c r="O35537" t="str">
        <f>IF(N35537="","",'Master Barang'!B31)</f>
        <v>klip plastik 25x16 100 pcs</v>
      </c>
      <c r="P35537">
        <f>IF(OR(M35537="",N35537=""),"",SUMIFS('Barang Keluar'!$E:$E,'Barang Keluar'!$A:$A,M35537,'Barang Keluar'!$C:$C,N35537))</f>
        <v>0</v>
      </c>
    </row>
    <row r="35538" spans="13:16">
      <c r="M35538" s="49">
        <f>IF($A$4+355&gt;$B$4,"",$A$4+355)</f>
        <v>46378</v>
      </c>
      <c r="N35538" t="str">
        <f>IF(M35538="","",'Master Barang'!A32)</f>
        <v>PRL-031</v>
      </c>
      <c r="O35538" t="str">
        <f>IF(N35538="","",'Master Barang'!B32)</f>
        <v>tempat saus 20 ml</v>
      </c>
      <c r="P35538">
        <f>IF(OR(M35538="",N35538=""),"",SUMIFS('Barang Keluar'!$E:$E,'Barang Keluar'!$A:$A,M35538,'Barang Keluar'!$C:$C,N35538))</f>
        <v>0</v>
      </c>
    </row>
    <row r="35539" spans="13:16">
      <c r="M35539" s="49">
        <f>IF($A$4+355&gt;$B$4,"",$A$4+355)</f>
        <v>46378</v>
      </c>
      <c r="N35539" t="str">
        <f>IF(M35539="","",'Master Barang'!A33)</f>
        <v>PRL-032</v>
      </c>
      <c r="O35539" t="str">
        <f>IF(N35539="","",'Master Barang'!B33)</f>
        <v>plastik packaging ag box uk sedang</v>
      </c>
      <c r="P35539">
        <f>IF(OR(M35539="",N35539=""),"",SUMIFS('Barang Keluar'!$E:$E,'Barang Keluar'!$A:$A,M35539,'Barang Keluar'!$C:$C,N35539))</f>
        <v>0</v>
      </c>
    </row>
    <row r="35540" spans="13:16">
      <c r="M35540" s="49">
        <f>IF($A$4+355&gt;$B$4,"",$A$4+355)</f>
        <v>46378</v>
      </c>
      <c r="N35540" t="str">
        <f>IF(M35540="","",'Master Barang'!A34)</f>
        <v>PRL-033</v>
      </c>
      <c r="O35540">
        <f>IF(N35540="","",'Master Barang'!B34)</f>
        <v>0</v>
      </c>
      <c r="P35540">
        <f>IF(OR(M35540="",N35540=""),"",SUMIFS('Barang Keluar'!$E:$E,'Barang Keluar'!$A:$A,M35540,'Barang Keluar'!$C:$C,N35540))</f>
        <v>0</v>
      </c>
    </row>
    <row r="35541" spans="13:16">
      <c r="M35541" s="49">
        <f>IF($A$4+355&gt;$B$4,"",$A$4+355)</f>
        <v>46378</v>
      </c>
      <c r="N35541">
        <f>IF(M35541="","",'Master Barang'!A35)</f>
        <v>0</v>
      </c>
      <c r="O35541">
        <f>IF(N35541="","",'Master Barang'!B35)</f>
        <v>0</v>
      </c>
      <c r="P35541">
        <f>IF(OR(M35541="",N35541=""),"",SUMIFS('Barang Keluar'!$E:$E,'Barang Keluar'!$A:$A,M35541,'Barang Keluar'!$C:$C,N35541))</f>
        <v>0</v>
      </c>
    </row>
    <row r="35542" spans="13:16">
      <c r="M35542" s="49">
        <f>IF($A$4+355&gt;$B$4,"",$A$4+355)</f>
        <v>46378</v>
      </c>
      <c r="N35542">
        <f>IF(M35542="","",'Master Barang'!A36)</f>
        <v>0</v>
      </c>
      <c r="O35542">
        <f>IF(N35542="","",'Master Barang'!B36)</f>
        <v>0</v>
      </c>
      <c r="P35542">
        <f>IF(OR(M35542="",N35542=""),"",SUMIFS('Barang Keluar'!$E:$E,'Barang Keluar'!$A:$A,M35542,'Barang Keluar'!$C:$C,N35542))</f>
        <v>0</v>
      </c>
    </row>
    <row r="35543" spans="13:16">
      <c r="M35543" s="49">
        <f>IF($A$4+355&gt;$B$4,"",$A$4+355)</f>
        <v>46378</v>
      </c>
      <c r="N35543">
        <f>IF(M35543="","",'Master Barang'!A37)</f>
        <v>0</v>
      </c>
      <c r="O35543">
        <f>IF(N35543="","",'Master Barang'!B37)</f>
        <v>0</v>
      </c>
      <c r="P35543">
        <f>IF(OR(M35543="",N35543=""),"",SUMIFS('Barang Keluar'!$E:$E,'Barang Keluar'!$A:$A,M35543,'Barang Keluar'!$C:$C,N35543))</f>
        <v>0</v>
      </c>
    </row>
    <row r="35544" spans="13:16">
      <c r="M35544" s="49">
        <f>IF($A$4+355&gt;$B$4,"",$A$4+355)</f>
        <v>46378</v>
      </c>
      <c r="N35544">
        <f>IF(M35544="","",'Master Barang'!A38)</f>
        <v>0</v>
      </c>
      <c r="O35544">
        <f>IF(N35544="","",'Master Barang'!B38)</f>
        <v>0</v>
      </c>
      <c r="P35544">
        <f>IF(OR(M35544="",N35544=""),"",SUMIFS('Barang Keluar'!$E:$E,'Barang Keluar'!$A:$A,M35544,'Barang Keluar'!$C:$C,N35544))</f>
        <v>0</v>
      </c>
    </row>
    <row r="35545" spans="13:16">
      <c r="M35545" s="49">
        <f>IF($A$4+355&gt;$B$4,"",$A$4+355)</f>
        <v>46378</v>
      </c>
      <c r="N35545">
        <f>IF(M35545="","",'Master Barang'!A39)</f>
        <v>0</v>
      </c>
      <c r="O35545">
        <f>IF(N35545="","",'Master Barang'!B39)</f>
        <v>0</v>
      </c>
      <c r="P35545">
        <f>IF(OR(M35545="",N35545=""),"",SUMIFS('Barang Keluar'!$E:$E,'Barang Keluar'!$A:$A,M35545,'Barang Keluar'!$C:$C,N35545))</f>
        <v>0</v>
      </c>
    </row>
    <row r="35546" spans="13:16">
      <c r="M35546" s="49">
        <f>IF($A$4+355&gt;$B$4,"",$A$4+355)</f>
        <v>46378</v>
      </c>
      <c r="N35546">
        <f>IF(M35546="","",'Master Barang'!A40)</f>
        <v>0</v>
      </c>
      <c r="O35546">
        <f>IF(N35546="","",'Master Barang'!B40)</f>
        <v>0</v>
      </c>
      <c r="P35546">
        <f>IF(OR(M35546="",N35546=""),"",SUMIFS('Barang Keluar'!$E:$E,'Barang Keluar'!$A:$A,M35546,'Barang Keluar'!$C:$C,N35546))</f>
        <v>0</v>
      </c>
    </row>
    <row r="35547" spans="13:16">
      <c r="M35547" s="49">
        <f>IF($A$4+355&gt;$B$4,"",$A$4+355)</f>
        <v>46378</v>
      </c>
      <c r="N35547">
        <f>IF(M35547="","",'Master Barang'!A41)</f>
        <v>0</v>
      </c>
      <c r="O35547">
        <f>IF(N35547="","",'Master Barang'!B41)</f>
        <v>0</v>
      </c>
      <c r="P35547">
        <f>IF(OR(M35547="",N35547=""),"",SUMIFS('Barang Keluar'!$E:$E,'Barang Keluar'!$A:$A,M35547,'Barang Keluar'!$C:$C,N35547))</f>
        <v>0</v>
      </c>
    </row>
    <row r="35548" spans="13:16">
      <c r="M35548" s="49">
        <f>IF($A$4+355&gt;$B$4,"",$A$4+355)</f>
        <v>46378</v>
      </c>
      <c r="N35548">
        <f>IF(M35548="","",'Master Barang'!A42)</f>
        <v>0</v>
      </c>
      <c r="O35548">
        <f>IF(N35548="","",'Master Barang'!B42)</f>
        <v>0</v>
      </c>
      <c r="P35548">
        <f>IF(OR(M35548="",N35548=""),"",SUMIFS('Barang Keluar'!$E:$E,'Barang Keluar'!$A:$A,M35548,'Barang Keluar'!$C:$C,N35548))</f>
        <v>0</v>
      </c>
    </row>
    <row r="35549" spans="13:16">
      <c r="M35549" s="49">
        <f>IF($A$4+355&gt;$B$4,"",$A$4+355)</f>
        <v>46378</v>
      </c>
      <c r="N35549">
        <f>IF(M35549="","",'Master Barang'!A43)</f>
        <v>0</v>
      </c>
      <c r="O35549">
        <f>IF(N35549="","",'Master Barang'!B43)</f>
        <v>0</v>
      </c>
      <c r="P35549">
        <f>IF(OR(M35549="",N35549=""),"",SUMIFS('Barang Keluar'!$E:$E,'Barang Keluar'!$A:$A,M35549,'Barang Keluar'!$C:$C,N35549))</f>
        <v>0</v>
      </c>
    </row>
    <row r="35550" spans="13:16">
      <c r="M35550" s="49">
        <f>IF($A$4+355&gt;$B$4,"",$A$4+355)</f>
        <v>46378</v>
      </c>
      <c r="N35550">
        <f>IF(M35550="","",'Master Barang'!A44)</f>
        <v>0</v>
      </c>
      <c r="O35550">
        <f>IF(N35550="","",'Master Barang'!B44)</f>
        <v>0</v>
      </c>
      <c r="P35550">
        <f>IF(OR(M35550="",N35550=""),"",SUMIFS('Barang Keluar'!$E:$E,'Barang Keluar'!$A:$A,M35550,'Barang Keluar'!$C:$C,N35550))</f>
        <v>0</v>
      </c>
    </row>
    <row r="35551" spans="13:16">
      <c r="M35551" s="49">
        <f>IF($A$4+355&gt;$B$4,"",$A$4+355)</f>
        <v>46378</v>
      </c>
      <c r="N35551">
        <f>IF(M35551="","",'Master Barang'!A45)</f>
        <v>0</v>
      </c>
      <c r="O35551">
        <f>IF(N35551="","",'Master Barang'!B45)</f>
        <v>0</v>
      </c>
      <c r="P35551">
        <f>IF(OR(M35551="",N35551=""),"",SUMIFS('Barang Keluar'!$E:$E,'Barang Keluar'!$A:$A,M35551,'Barang Keluar'!$C:$C,N35551))</f>
        <v>0</v>
      </c>
    </row>
    <row r="35552" spans="13:16">
      <c r="M35552" s="49">
        <f>IF($A$4+355&gt;$B$4,"",$A$4+355)</f>
        <v>46378</v>
      </c>
      <c r="N35552">
        <f>IF(M35552="","",'Master Barang'!A46)</f>
        <v>0</v>
      </c>
      <c r="O35552">
        <f>IF(N35552="","",'Master Barang'!B46)</f>
        <v>0</v>
      </c>
      <c r="P35552">
        <f>IF(OR(M35552="",N35552=""),"",SUMIFS('Barang Keluar'!$E:$E,'Barang Keluar'!$A:$A,M35552,'Barang Keluar'!$C:$C,N35552))</f>
        <v>0</v>
      </c>
    </row>
    <row r="35553" spans="13:16">
      <c r="M35553" s="49">
        <f>IF($A$4+355&gt;$B$4,"",$A$4+355)</f>
        <v>46378</v>
      </c>
      <c r="N35553">
        <f>IF(M35553="","",'Master Barang'!A47)</f>
        <v>0</v>
      </c>
      <c r="O35553">
        <f>IF(N35553="","",'Master Barang'!B47)</f>
        <v>0</v>
      </c>
      <c r="P35553">
        <f>IF(OR(M35553="",N35553=""),"",SUMIFS('Barang Keluar'!$E:$E,'Barang Keluar'!$A:$A,M35553,'Barang Keluar'!$C:$C,N35553))</f>
        <v>0</v>
      </c>
    </row>
    <row r="35554" spans="13:16">
      <c r="M35554" s="49">
        <f>IF($A$4+355&gt;$B$4,"",$A$4+355)</f>
        <v>46378</v>
      </c>
      <c r="N35554">
        <f>IF(M35554="","",'Master Barang'!A48)</f>
        <v>0</v>
      </c>
      <c r="O35554">
        <f>IF(N35554="","",'Master Barang'!B48)</f>
        <v>0</v>
      </c>
      <c r="P35554">
        <f>IF(OR(M35554="",N35554=""),"",SUMIFS('Barang Keluar'!$E:$E,'Barang Keluar'!$A:$A,M35554,'Barang Keluar'!$C:$C,N35554))</f>
        <v>0</v>
      </c>
    </row>
    <row r="35555" spans="13:16">
      <c r="M35555" s="49">
        <f>IF($A$4+355&gt;$B$4,"",$A$4+355)</f>
        <v>46378</v>
      </c>
      <c r="N35555">
        <f>IF(M35555="","",'Master Barang'!A49)</f>
        <v>0</v>
      </c>
      <c r="O35555">
        <f>IF(N35555="","",'Master Barang'!B49)</f>
        <v>0</v>
      </c>
      <c r="P35555">
        <f>IF(OR(M35555="",N35555=""),"",SUMIFS('Barang Keluar'!$E:$E,'Barang Keluar'!$A:$A,M35555,'Barang Keluar'!$C:$C,N35555))</f>
        <v>0</v>
      </c>
    </row>
    <row r="35556" spans="13:16">
      <c r="M35556" s="49">
        <f>IF($A$4+355&gt;$B$4,"",$A$4+355)</f>
        <v>46378</v>
      </c>
      <c r="N35556">
        <f>IF(M35556="","",'Master Barang'!A50)</f>
        <v>0</v>
      </c>
      <c r="O35556">
        <f>IF(N35556="","",'Master Barang'!B50)</f>
        <v>0</v>
      </c>
      <c r="P35556">
        <f>IF(OR(M35556="",N35556=""),"",SUMIFS('Barang Keluar'!$E:$E,'Barang Keluar'!$A:$A,M35556,'Barang Keluar'!$C:$C,N35556))</f>
        <v>0</v>
      </c>
    </row>
    <row r="35557" spans="13:16">
      <c r="M35557" s="49">
        <f>IF($A$4+355&gt;$B$4,"",$A$4+355)</f>
        <v>46378</v>
      </c>
      <c r="N35557">
        <f>IF(M35557="","",'Master Barang'!A51)</f>
        <v>0</v>
      </c>
      <c r="O35557">
        <f>IF(N35557="","",'Master Barang'!B51)</f>
        <v>0</v>
      </c>
      <c r="P35557">
        <f>IF(OR(M35557="",N35557=""),"",SUMIFS('Barang Keluar'!$E:$E,'Barang Keluar'!$A:$A,M35557,'Barang Keluar'!$C:$C,N35557))</f>
        <v>0</v>
      </c>
    </row>
    <row r="35558" spans="13:16">
      <c r="M35558" s="49">
        <f>IF($A$4+355&gt;$B$4,"",$A$4+355)</f>
        <v>46378</v>
      </c>
      <c r="N35558">
        <f>IF(M35558="","",'Master Barang'!A52)</f>
        <v>0</v>
      </c>
      <c r="O35558">
        <f>IF(N35558="","",'Master Barang'!B52)</f>
        <v>0</v>
      </c>
      <c r="P35558">
        <f>IF(OR(M35558="",N35558=""),"",SUMIFS('Barang Keluar'!$E:$E,'Barang Keluar'!$A:$A,M35558,'Barang Keluar'!$C:$C,N35558))</f>
        <v>0</v>
      </c>
    </row>
    <row r="35559" spans="13:16">
      <c r="M35559" s="49">
        <f>IF($A$4+355&gt;$B$4,"",$A$4+355)</f>
        <v>46378</v>
      </c>
      <c r="N35559">
        <f>IF(M35559="","",'Master Barang'!A53)</f>
        <v>0</v>
      </c>
      <c r="O35559">
        <f>IF(N35559="","",'Master Barang'!B53)</f>
        <v>0</v>
      </c>
      <c r="P35559">
        <f>IF(OR(M35559="",N35559=""),"",SUMIFS('Barang Keluar'!$E:$E,'Barang Keluar'!$A:$A,M35559,'Barang Keluar'!$C:$C,N35559))</f>
        <v>0</v>
      </c>
    </row>
    <row r="35560" spans="13:16">
      <c r="M35560" s="49">
        <f>IF($A$4+355&gt;$B$4,"",$A$4+355)</f>
        <v>46378</v>
      </c>
      <c r="N35560">
        <f>IF(M35560="","",'Master Barang'!A54)</f>
        <v>0</v>
      </c>
      <c r="O35560">
        <f>IF(N35560="","",'Master Barang'!B54)</f>
        <v>0</v>
      </c>
      <c r="P35560">
        <f>IF(OR(M35560="",N35560=""),"",SUMIFS('Barang Keluar'!$E:$E,'Barang Keluar'!$A:$A,M35560,'Barang Keluar'!$C:$C,N35560))</f>
        <v>0</v>
      </c>
    </row>
    <row r="35561" spans="13:16">
      <c r="M35561" s="49">
        <f>IF($A$4+355&gt;$B$4,"",$A$4+355)</f>
        <v>46378</v>
      </c>
      <c r="N35561">
        <f>IF(M35561="","",'Master Barang'!A55)</f>
        <v>0</v>
      </c>
      <c r="O35561">
        <f>IF(N35561="","",'Master Barang'!B55)</f>
        <v>0</v>
      </c>
      <c r="P35561">
        <f>IF(OR(M35561="",N35561=""),"",SUMIFS('Barang Keluar'!$E:$E,'Barang Keluar'!$A:$A,M35561,'Barang Keluar'!$C:$C,N35561))</f>
        <v>0</v>
      </c>
    </row>
    <row r="35562" spans="13:16">
      <c r="M35562" s="49">
        <f>IF($A$4+355&gt;$B$4,"",$A$4+355)</f>
        <v>46378</v>
      </c>
      <c r="N35562">
        <f>IF(M35562="","",'Master Barang'!A56)</f>
        <v>0</v>
      </c>
      <c r="O35562">
        <f>IF(N35562="","",'Master Barang'!B56)</f>
        <v>0</v>
      </c>
      <c r="P35562">
        <f>IF(OR(M35562="",N35562=""),"",SUMIFS('Barang Keluar'!$E:$E,'Barang Keluar'!$A:$A,M35562,'Barang Keluar'!$C:$C,N35562))</f>
        <v>0</v>
      </c>
    </row>
    <row r="35563" spans="13:16">
      <c r="M35563" s="49">
        <f>IF($A$4+355&gt;$B$4,"",$A$4+355)</f>
        <v>46378</v>
      </c>
      <c r="N35563">
        <f>IF(M35563="","",'Master Barang'!A57)</f>
        <v>0</v>
      </c>
      <c r="O35563">
        <f>IF(N35563="","",'Master Barang'!B57)</f>
        <v>0</v>
      </c>
      <c r="P35563">
        <f>IF(OR(M35563="",N35563=""),"",SUMIFS('Barang Keluar'!$E:$E,'Barang Keluar'!$A:$A,M35563,'Barang Keluar'!$C:$C,N35563))</f>
        <v>0</v>
      </c>
    </row>
    <row r="35564" spans="13:16">
      <c r="M35564" s="49">
        <f>IF($A$4+355&gt;$B$4,"",$A$4+355)</f>
        <v>46378</v>
      </c>
      <c r="N35564">
        <f>IF(M35564="","",'Master Barang'!A58)</f>
        <v>0</v>
      </c>
      <c r="O35564">
        <f>IF(N35564="","",'Master Barang'!B58)</f>
        <v>0</v>
      </c>
      <c r="P35564">
        <f>IF(OR(M35564="",N35564=""),"",SUMIFS('Barang Keluar'!$E:$E,'Barang Keluar'!$A:$A,M35564,'Barang Keluar'!$C:$C,N35564))</f>
        <v>0</v>
      </c>
    </row>
    <row r="35565" spans="13:16">
      <c r="M35565" s="49">
        <f>IF($A$4+355&gt;$B$4,"",$A$4+355)</f>
        <v>46378</v>
      </c>
      <c r="N35565">
        <f>IF(M35565="","",'Master Barang'!A59)</f>
        <v>0</v>
      </c>
      <c r="O35565">
        <f>IF(N35565="","",'Master Barang'!B59)</f>
        <v>0</v>
      </c>
      <c r="P35565">
        <f>IF(OR(M35565="",N35565=""),"",SUMIFS('Barang Keluar'!$E:$E,'Barang Keluar'!$A:$A,M35565,'Barang Keluar'!$C:$C,N35565))</f>
        <v>0</v>
      </c>
    </row>
    <row r="35566" spans="13:16">
      <c r="M35566" s="49">
        <f>IF($A$4+355&gt;$B$4,"",$A$4+355)</f>
        <v>46378</v>
      </c>
      <c r="N35566">
        <f>IF(M35566="","",'Master Barang'!A60)</f>
        <v>0</v>
      </c>
      <c r="O35566">
        <f>IF(N35566="","",'Master Barang'!B60)</f>
        <v>0</v>
      </c>
      <c r="P35566">
        <f>IF(OR(M35566="",N35566=""),"",SUMIFS('Barang Keluar'!$E:$E,'Barang Keluar'!$A:$A,M35566,'Barang Keluar'!$C:$C,N35566))</f>
        <v>0</v>
      </c>
    </row>
    <row r="35567" spans="13:16">
      <c r="M35567" s="49">
        <f>IF($A$4+355&gt;$B$4,"",$A$4+355)</f>
        <v>46378</v>
      </c>
      <c r="N35567">
        <f>IF(M35567="","",'Master Barang'!A61)</f>
        <v>0</v>
      </c>
      <c r="O35567">
        <f>IF(N35567="","",'Master Barang'!B61)</f>
        <v>0</v>
      </c>
      <c r="P35567">
        <f>IF(OR(M35567="",N35567=""),"",SUMIFS('Barang Keluar'!$E:$E,'Barang Keluar'!$A:$A,M35567,'Barang Keluar'!$C:$C,N35567))</f>
        <v>0</v>
      </c>
    </row>
    <row r="35568" spans="13:16">
      <c r="M35568" s="49">
        <f>IF($A$4+355&gt;$B$4,"",$A$4+355)</f>
        <v>46378</v>
      </c>
      <c r="N35568">
        <f>IF(M35568="","",'Master Barang'!A62)</f>
        <v>0</v>
      </c>
      <c r="O35568">
        <f>IF(N35568="","",'Master Barang'!B62)</f>
        <v>0</v>
      </c>
      <c r="P35568">
        <f>IF(OR(M35568="",N35568=""),"",SUMIFS('Barang Keluar'!$E:$E,'Barang Keluar'!$A:$A,M35568,'Barang Keluar'!$C:$C,N35568))</f>
        <v>0</v>
      </c>
    </row>
    <row r="35569" spans="13:16">
      <c r="M35569" s="49">
        <f>IF($A$4+355&gt;$B$4,"",$A$4+355)</f>
        <v>46378</v>
      </c>
      <c r="N35569">
        <f>IF(M35569="","",'Master Barang'!A63)</f>
        <v>0</v>
      </c>
      <c r="O35569">
        <f>IF(N35569="","",'Master Barang'!B63)</f>
        <v>0</v>
      </c>
      <c r="P35569">
        <f>IF(OR(M35569="",N35569=""),"",SUMIFS('Barang Keluar'!$E:$E,'Barang Keluar'!$A:$A,M35569,'Barang Keluar'!$C:$C,N35569))</f>
        <v>0</v>
      </c>
    </row>
    <row r="35570" spans="13:16">
      <c r="M35570" s="49">
        <f>IF($A$4+355&gt;$B$4,"",$A$4+355)</f>
        <v>46378</v>
      </c>
      <c r="N35570">
        <f>IF(M35570="","",'Master Barang'!A64)</f>
        <v>0</v>
      </c>
      <c r="O35570">
        <f>IF(N35570="","",'Master Barang'!B64)</f>
        <v>0</v>
      </c>
      <c r="P35570">
        <f>IF(OR(M35570="",N35570=""),"",SUMIFS('Barang Keluar'!$E:$E,'Barang Keluar'!$A:$A,M35570,'Barang Keluar'!$C:$C,N35570))</f>
        <v>0</v>
      </c>
    </row>
    <row r="35571" spans="13:16">
      <c r="M35571" s="49">
        <f>IF($A$4+355&gt;$B$4,"",$A$4+355)</f>
        <v>46378</v>
      </c>
      <c r="N35571">
        <f>IF(M35571="","",'Master Barang'!A65)</f>
        <v>0</v>
      </c>
      <c r="O35571">
        <f>IF(N35571="","",'Master Barang'!B65)</f>
        <v>0</v>
      </c>
      <c r="P35571">
        <f>IF(OR(M35571="",N35571=""),"",SUMIFS('Barang Keluar'!$E:$E,'Barang Keluar'!$A:$A,M35571,'Barang Keluar'!$C:$C,N35571))</f>
        <v>0</v>
      </c>
    </row>
    <row r="35572" spans="13:16">
      <c r="M35572" s="49">
        <f>IF($A$4+355&gt;$B$4,"",$A$4+355)</f>
        <v>46378</v>
      </c>
      <c r="N35572">
        <f>IF(M35572="","",'Master Barang'!A66)</f>
        <v>0</v>
      </c>
      <c r="O35572">
        <f>IF(N35572="","",'Master Barang'!B66)</f>
        <v>0</v>
      </c>
      <c r="P35572">
        <f>IF(OR(M35572="",N35572=""),"",SUMIFS('Barang Keluar'!$E:$E,'Barang Keluar'!$A:$A,M35572,'Barang Keluar'!$C:$C,N35572))</f>
        <v>0</v>
      </c>
    </row>
    <row r="35573" spans="13:16">
      <c r="M35573" s="49">
        <f>IF($A$4+355&gt;$B$4,"",$A$4+355)</f>
        <v>46378</v>
      </c>
      <c r="N35573">
        <f>IF(M35573="","",'Master Barang'!A67)</f>
        <v>0</v>
      </c>
      <c r="O35573">
        <f>IF(N35573="","",'Master Barang'!B67)</f>
        <v>0</v>
      </c>
      <c r="P35573">
        <f>IF(OR(M35573="",N35573=""),"",SUMIFS('Barang Keluar'!$E:$E,'Barang Keluar'!$A:$A,M35573,'Barang Keluar'!$C:$C,N35573))</f>
        <v>0</v>
      </c>
    </row>
    <row r="35574" spans="13:16">
      <c r="M35574" s="49">
        <f>IF($A$4+355&gt;$B$4,"",$A$4+355)</f>
        <v>46378</v>
      </c>
      <c r="N35574">
        <f>IF(M35574="","",'Master Barang'!A68)</f>
        <v>0</v>
      </c>
      <c r="O35574">
        <f>IF(N35574="","",'Master Barang'!B68)</f>
        <v>0</v>
      </c>
      <c r="P35574">
        <f>IF(OR(M35574="",N35574=""),"",SUMIFS('Barang Keluar'!$E:$E,'Barang Keluar'!$A:$A,M35574,'Barang Keluar'!$C:$C,N35574))</f>
        <v>0</v>
      </c>
    </row>
    <row r="35575" spans="13:16">
      <c r="M35575" s="49">
        <f>IF($A$4+355&gt;$B$4,"",$A$4+355)</f>
        <v>46378</v>
      </c>
      <c r="N35575">
        <f>IF(M35575="","",'Master Barang'!A69)</f>
        <v>0</v>
      </c>
      <c r="O35575">
        <f>IF(N35575="","",'Master Barang'!B69)</f>
        <v>0</v>
      </c>
      <c r="P35575">
        <f>IF(OR(M35575="",N35575=""),"",SUMIFS('Barang Keluar'!$E:$E,'Barang Keluar'!$A:$A,M35575,'Barang Keluar'!$C:$C,N35575))</f>
        <v>0</v>
      </c>
    </row>
    <row r="35576" spans="13:16">
      <c r="M35576" s="49">
        <f>IF($A$4+355&gt;$B$4,"",$A$4+355)</f>
        <v>46378</v>
      </c>
      <c r="N35576">
        <f>IF(M35576="","",'Master Barang'!A70)</f>
        <v>0</v>
      </c>
      <c r="O35576">
        <f>IF(N35576="","",'Master Barang'!B70)</f>
        <v>0</v>
      </c>
      <c r="P35576">
        <f>IF(OR(M35576="",N35576=""),"",SUMIFS('Barang Keluar'!$E:$E,'Barang Keluar'!$A:$A,M35576,'Barang Keluar'!$C:$C,N35576))</f>
        <v>0</v>
      </c>
    </row>
    <row r="35577" spans="13:16">
      <c r="M35577" s="49">
        <f>IF($A$4+355&gt;$B$4,"",$A$4+355)</f>
        <v>46378</v>
      </c>
      <c r="N35577">
        <f>IF(M35577="","",'Master Barang'!A71)</f>
        <v>0</v>
      </c>
      <c r="O35577">
        <f>IF(N35577="","",'Master Barang'!B71)</f>
        <v>0</v>
      </c>
      <c r="P35577">
        <f>IF(OR(M35577="",N35577=""),"",SUMIFS('Barang Keluar'!$E:$E,'Barang Keluar'!$A:$A,M35577,'Barang Keluar'!$C:$C,N35577))</f>
        <v>0</v>
      </c>
    </row>
    <row r="35578" spans="13:16">
      <c r="M35578" s="49">
        <f>IF($A$4+355&gt;$B$4,"",$A$4+355)</f>
        <v>46378</v>
      </c>
      <c r="N35578">
        <f>IF(M35578="","",'Master Barang'!A72)</f>
        <v>0</v>
      </c>
      <c r="O35578">
        <f>IF(N35578="","",'Master Barang'!B72)</f>
        <v>0</v>
      </c>
      <c r="P35578">
        <f>IF(OR(M35578="",N35578=""),"",SUMIFS('Barang Keluar'!$E:$E,'Barang Keluar'!$A:$A,M35578,'Barang Keluar'!$C:$C,N35578))</f>
        <v>0</v>
      </c>
    </row>
    <row r="35579" spans="13:16">
      <c r="M35579" s="49">
        <f>IF($A$4+355&gt;$B$4,"",$A$4+355)</f>
        <v>46378</v>
      </c>
      <c r="N35579">
        <f>IF(M35579="","",'Master Barang'!A73)</f>
        <v>0</v>
      </c>
      <c r="O35579">
        <f>IF(N35579="","",'Master Barang'!B73)</f>
        <v>0</v>
      </c>
      <c r="P35579">
        <f>IF(OR(M35579="",N35579=""),"",SUMIFS('Barang Keluar'!$E:$E,'Barang Keluar'!$A:$A,M35579,'Barang Keluar'!$C:$C,N35579))</f>
        <v>0</v>
      </c>
    </row>
    <row r="35580" spans="13:16">
      <c r="M35580" s="49">
        <f>IF($A$4+355&gt;$B$4,"",$A$4+355)</f>
        <v>46378</v>
      </c>
      <c r="N35580">
        <f>IF(M35580="","",'Master Barang'!A74)</f>
        <v>0</v>
      </c>
      <c r="O35580">
        <f>IF(N35580="","",'Master Barang'!B74)</f>
        <v>0</v>
      </c>
      <c r="P35580">
        <f>IF(OR(M35580="",N35580=""),"",SUMIFS('Barang Keluar'!$E:$E,'Barang Keluar'!$A:$A,M35580,'Barang Keluar'!$C:$C,N35580))</f>
        <v>0</v>
      </c>
    </row>
    <row r="35581" spans="13:16">
      <c r="M35581" s="49">
        <f>IF($A$4+355&gt;$B$4,"",$A$4+355)</f>
        <v>46378</v>
      </c>
      <c r="N35581">
        <f>IF(M35581="","",'Master Barang'!A75)</f>
        <v>0</v>
      </c>
      <c r="O35581">
        <f>IF(N35581="","",'Master Barang'!B75)</f>
        <v>0</v>
      </c>
      <c r="P35581">
        <f>IF(OR(M35581="",N35581=""),"",SUMIFS('Barang Keluar'!$E:$E,'Barang Keluar'!$A:$A,M35581,'Barang Keluar'!$C:$C,N35581))</f>
        <v>0</v>
      </c>
    </row>
    <row r="35582" spans="13:16">
      <c r="M35582" s="49">
        <f>IF($A$4+355&gt;$B$4,"",$A$4+355)</f>
        <v>46378</v>
      </c>
      <c r="N35582">
        <f>IF(M35582="","",'Master Barang'!A76)</f>
        <v>0</v>
      </c>
      <c r="O35582">
        <f>IF(N35582="","",'Master Barang'!B76)</f>
        <v>0</v>
      </c>
      <c r="P35582">
        <f>IF(OR(M35582="",N35582=""),"",SUMIFS('Barang Keluar'!$E:$E,'Barang Keluar'!$A:$A,M35582,'Barang Keluar'!$C:$C,N35582))</f>
        <v>0</v>
      </c>
    </row>
    <row r="35583" spans="13:16">
      <c r="M35583" s="49">
        <f>IF($A$4+355&gt;$B$4,"",$A$4+355)</f>
        <v>46378</v>
      </c>
      <c r="N35583">
        <f>IF(M35583="","",'Master Barang'!A77)</f>
        <v>0</v>
      </c>
      <c r="O35583">
        <f>IF(N35583="","",'Master Barang'!B77)</f>
        <v>0</v>
      </c>
      <c r="P35583">
        <f>IF(OR(M35583="",N35583=""),"",SUMIFS('Barang Keluar'!$E:$E,'Barang Keluar'!$A:$A,M35583,'Barang Keluar'!$C:$C,N35583))</f>
        <v>0</v>
      </c>
    </row>
    <row r="35584" spans="13:16">
      <c r="M35584" s="49">
        <f>IF($A$4+355&gt;$B$4,"",$A$4+355)</f>
        <v>46378</v>
      </c>
      <c r="N35584">
        <f>IF(M35584="","",'Master Barang'!A78)</f>
        <v>0</v>
      </c>
      <c r="O35584">
        <f>IF(N35584="","",'Master Barang'!B78)</f>
        <v>0</v>
      </c>
      <c r="P35584">
        <f>IF(OR(M35584="",N35584=""),"",SUMIFS('Barang Keluar'!$E:$E,'Barang Keluar'!$A:$A,M35584,'Barang Keluar'!$C:$C,N35584))</f>
        <v>0</v>
      </c>
    </row>
    <row r="35585" spans="13:16">
      <c r="M35585" s="49">
        <f>IF($A$4+355&gt;$B$4,"",$A$4+355)</f>
        <v>46378</v>
      </c>
      <c r="N35585">
        <f>IF(M35585="","",'Master Barang'!A79)</f>
        <v>0</v>
      </c>
      <c r="O35585">
        <f>IF(N35585="","",'Master Barang'!B79)</f>
        <v>0</v>
      </c>
      <c r="P35585">
        <f>IF(OR(M35585="",N35585=""),"",SUMIFS('Barang Keluar'!$E:$E,'Barang Keluar'!$A:$A,M35585,'Barang Keluar'!$C:$C,N35585))</f>
        <v>0</v>
      </c>
    </row>
    <row r="35586" spans="13:16">
      <c r="M35586" s="49">
        <f>IF($A$4+355&gt;$B$4,"",$A$4+355)</f>
        <v>46378</v>
      </c>
      <c r="N35586">
        <f>IF(M35586="","",'Master Barang'!A80)</f>
        <v>0</v>
      </c>
      <c r="O35586">
        <f>IF(N35586="","",'Master Barang'!B80)</f>
        <v>0</v>
      </c>
      <c r="P35586">
        <f>IF(OR(M35586="",N35586=""),"",SUMIFS('Barang Keluar'!$E:$E,'Barang Keluar'!$A:$A,M35586,'Barang Keluar'!$C:$C,N35586))</f>
        <v>0</v>
      </c>
    </row>
    <row r="35587" spans="13:16">
      <c r="M35587" s="49">
        <f>IF($A$4+355&gt;$B$4,"",$A$4+355)</f>
        <v>46378</v>
      </c>
      <c r="N35587">
        <f>IF(M35587="","",'Master Barang'!A81)</f>
        <v>0</v>
      </c>
      <c r="O35587">
        <f>IF(N35587="","",'Master Barang'!B81)</f>
        <v>0</v>
      </c>
      <c r="P35587">
        <f>IF(OR(M35587="",N35587=""),"",SUMIFS('Barang Keluar'!$E:$E,'Barang Keluar'!$A:$A,M35587,'Barang Keluar'!$C:$C,N35587))</f>
        <v>0</v>
      </c>
    </row>
    <row r="35588" spans="13:16">
      <c r="M35588" s="49">
        <f>IF($A$4+355&gt;$B$4,"",$A$4+355)</f>
        <v>46378</v>
      </c>
      <c r="N35588">
        <f>IF(M35588="","",'Master Barang'!A82)</f>
        <v>0</v>
      </c>
      <c r="O35588">
        <f>IF(N35588="","",'Master Barang'!B82)</f>
        <v>0</v>
      </c>
      <c r="P35588">
        <f>IF(OR(M35588="",N35588=""),"",SUMIFS('Barang Keluar'!$E:$E,'Barang Keluar'!$A:$A,M35588,'Barang Keluar'!$C:$C,N35588))</f>
        <v>0</v>
      </c>
    </row>
    <row r="35589" spans="13:16">
      <c r="M35589" s="49">
        <f>IF($A$4+355&gt;$B$4,"",$A$4+355)</f>
        <v>46378</v>
      </c>
      <c r="N35589">
        <f>IF(M35589="","",'Master Barang'!A83)</f>
        <v>0</v>
      </c>
      <c r="O35589">
        <f>IF(N35589="","",'Master Barang'!B83)</f>
        <v>0</v>
      </c>
      <c r="P35589">
        <f>IF(OR(M35589="",N35589=""),"",SUMIFS('Barang Keluar'!$E:$E,'Barang Keluar'!$A:$A,M35589,'Barang Keluar'!$C:$C,N35589))</f>
        <v>0</v>
      </c>
    </row>
    <row r="35590" spans="13:16">
      <c r="M35590" s="49">
        <f>IF($A$4+355&gt;$B$4,"",$A$4+355)</f>
        <v>46378</v>
      </c>
      <c r="N35590">
        <f>IF(M35590="","",'Master Barang'!A84)</f>
        <v>0</v>
      </c>
      <c r="O35590">
        <f>IF(N35590="","",'Master Barang'!B84)</f>
        <v>0</v>
      </c>
      <c r="P35590">
        <f>IF(OR(M35590="",N35590=""),"",SUMIFS('Barang Keluar'!$E:$E,'Barang Keluar'!$A:$A,M35590,'Barang Keluar'!$C:$C,N35590))</f>
        <v>0</v>
      </c>
    </row>
    <row r="35591" spans="13:16">
      <c r="M35591" s="49">
        <f>IF($A$4+355&gt;$B$4,"",$A$4+355)</f>
        <v>46378</v>
      </c>
      <c r="N35591">
        <f>IF(M35591="","",'Master Barang'!A85)</f>
        <v>0</v>
      </c>
      <c r="O35591">
        <f>IF(N35591="","",'Master Barang'!B85)</f>
        <v>0</v>
      </c>
      <c r="P35591">
        <f>IF(OR(M35591="",N35591=""),"",SUMIFS('Barang Keluar'!$E:$E,'Barang Keluar'!$A:$A,M35591,'Barang Keluar'!$C:$C,N35591))</f>
        <v>0</v>
      </c>
    </row>
    <row r="35592" spans="13:16">
      <c r="M35592" s="49">
        <f>IF($A$4+355&gt;$B$4,"",$A$4+355)</f>
        <v>46378</v>
      </c>
      <c r="N35592">
        <f>IF(M35592="","",'Master Barang'!A86)</f>
        <v>0</v>
      </c>
      <c r="O35592">
        <f>IF(N35592="","",'Master Barang'!B86)</f>
        <v>0</v>
      </c>
      <c r="P35592">
        <f>IF(OR(M35592="",N35592=""),"",SUMIFS('Barang Keluar'!$E:$E,'Barang Keluar'!$A:$A,M35592,'Barang Keluar'!$C:$C,N35592))</f>
        <v>0</v>
      </c>
    </row>
    <row r="35593" spans="13:16">
      <c r="M35593" s="49">
        <f>IF($A$4+355&gt;$B$4,"",$A$4+355)</f>
        <v>46378</v>
      </c>
      <c r="N35593">
        <f>IF(M35593="","",'Master Barang'!A87)</f>
        <v>0</v>
      </c>
      <c r="O35593">
        <f>IF(N35593="","",'Master Barang'!B87)</f>
        <v>0</v>
      </c>
      <c r="P35593">
        <f>IF(OR(M35593="",N35593=""),"",SUMIFS('Barang Keluar'!$E:$E,'Barang Keluar'!$A:$A,M35593,'Barang Keluar'!$C:$C,N35593))</f>
        <v>0</v>
      </c>
    </row>
    <row r="35594" spans="13:16">
      <c r="M35594" s="49">
        <f>IF($A$4+355&gt;$B$4,"",$A$4+355)</f>
        <v>46378</v>
      </c>
      <c r="N35594">
        <f>IF(M35594="","",'Master Barang'!A88)</f>
        <v>0</v>
      </c>
      <c r="O35594">
        <f>IF(N35594="","",'Master Barang'!B88)</f>
        <v>0</v>
      </c>
      <c r="P35594">
        <f>IF(OR(M35594="",N35594=""),"",SUMIFS('Barang Keluar'!$E:$E,'Barang Keluar'!$A:$A,M35594,'Barang Keluar'!$C:$C,N35594))</f>
        <v>0</v>
      </c>
    </row>
    <row r="35595" spans="13:16">
      <c r="M35595" s="49">
        <f>IF($A$4+355&gt;$B$4,"",$A$4+355)</f>
        <v>46378</v>
      </c>
      <c r="N35595">
        <f>IF(M35595="","",'Master Barang'!A89)</f>
        <v>0</v>
      </c>
      <c r="O35595">
        <f>IF(N35595="","",'Master Barang'!B89)</f>
        <v>0</v>
      </c>
      <c r="P35595">
        <f>IF(OR(M35595="",N35595=""),"",SUMIFS('Barang Keluar'!$E:$E,'Barang Keluar'!$A:$A,M35595,'Barang Keluar'!$C:$C,N35595))</f>
        <v>0</v>
      </c>
    </row>
    <row r="35596" spans="13:16">
      <c r="M35596" s="49">
        <f>IF($A$4+355&gt;$B$4,"",$A$4+355)</f>
        <v>46378</v>
      </c>
      <c r="N35596">
        <f>IF(M35596="","",'Master Barang'!A90)</f>
        <v>0</v>
      </c>
      <c r="O35596">
        <f>IF(N35596="","",'Master Barang'!B90)</f>
        <v>0</v>
      </c>
      <c r="P35596">
        <f>IF(OR(M35596="",N35596=""),"",SUMIFS('Barang Keluar'!$E:$E,'Barang Keluar'!$A:$A,M35596,'Barang Keluar'!$C:$C,N35596))</f>
        <v>0</v>
      </c>
    </row>
    <row r="35597" spans="13:16">
      <c r="M35597" s="49">
        <f>IF($A$4+355&gt;$B$4,"",$A$4+355)</f>
        <v>46378</v>
      </c>
      <c r="N35597">
        <f>IF(M35597="","",'Master Barang'!A91)</f>
        <v>0</v>
      </c>
      <c r="O35597">
        <f>IF(N35597="","",'Master Barang'!B91)</f>
        <v>0</v>
      </c>
      <c r="P35597">
        <f>IF(OR(M35597="",N35597=""),"",SUMIFS('Barang Keluar'!$E:$E,'Barang Keluar'!$A:$A,M35597,'Barang Keluar'!$C:$C,N35597))</f>
        <v>0</v>
      </c>
    </row>
    <row r="35598" spans="13:16">
      <c r="M35598" s="49">
        <f>IF($A$4+355&gt;$B$4,"",$A$4+355)</f>
        <v>46378</v>
      </c>
      <c r="N35598">
        <f>IF(M35598="","",'Master Barang'!A92)</f>
        <v>0</v>
      </c>
      <c r="O35598">
        <f>IF(N35598="","",'Master Barang'!B92)</f>
        <v>0</v>
      </c>
      <c r="P35598">
        <f>IF(OR(M35598="",N35598=""),"",SUMIFS('Barang Keluar'!$E:$E,'Barang Keluar'!$A:$A,M35598,'Barang Keluar'!$C:$C,N35598))</f>
        <v>0</v>
      </c>
    </row>
    <row r="35599" spans="13:16">
      <c r="M35599" s="49">
        <f>IF($A$4+355&gt;$B$4,"",$A$4+355)</f>
        <v>46378</v>
      </c>
      <c r="N35599">
        <f>IF(M35599="","",'Master Barang'!A93)</f>
        <v>0</v>
      </c>
      <c r="O35599">
        <f>IF(N35599="","",'Master Barang'!B93)</f>
        <v>0</v>
      </c>
      <c r="P35599">
        <f>IF(OR(M35599="",N35599=""),"",SUMIFS('Barang Keluar'!$E:$E,'Barang Keluar'!$A:$A,M35599,'Barang Keluar'!$C:$C,N35599))</f>
        <v>0</v>
      </c>
    </row>
    <row r="35600" spans="13:16">
      <c r="M35600" s="49">
        <f>IF($A$4+355&gt;$B$4,"",$A$4+355)</f>
        <v>46378</v>
      </c>
      <c r="N35600">
        <f>IF(M35600="","",'Master Barang'!A94)</f>
        <v>0</v>
      </c>
      <c r="O35600">
        <f>IF(N35600="","",'Master Barang'!B94)</f>
        <v>0</v>
      </c>
      <c r="P35600">
        <f>IF(OR(M35600="",N35600=""),"",SUMIFS('Barang Keluar'!$E:$E,'Barang Keluar'!$A:$A,M35600,'Barang Keluar'!$C:$C,N35600))</f>
        <v>0</v>
      </c>
    </row>
    <row r="35601" spans="13:16">
      <c r="M35601" s="49">
        <f>IF($A$4+355&gt;$B$4,"",$A$4+355)</f>
        <v>46378</v>
      </c>
      <c r="N35601">
        <f>IF(M35601="","",'Master Barang'!A95)</f>
        <v>0</v>
      </c>
      <c r="O35601">
        <f>IF(N35601="","",'Master Barang'!B95)</f>
        <v>0</v>
      </c>
      <c r="P35601">
        <f>IF(OR(M35601="",N35601=""),"",SUMIFS('Barang Keluar'!$E:$E,'Barang Keluar'!$A:$A,M35601,'Barang Keluar'!$C:$C,N35601))</f>
        <v>0</v>
      </c>
    </row>
    <row r="35602" spans="13:16">
      <c r="M35602" s="49">
        <f>IF($A$4+355&gt;$B$4,"",$A$4+355)</f>
        <v>46378</v>
      </c>
      <c r="N35602">
        <f>IF(M35602="","",'Master Barang'!A96)</f>
        <v>0</v>
      </c>
      <c r="O35602">
        <f>IF(N35602="","",'Master Barang'!B96)</f>
        <v>0</v>
      </c>
      <c r="P35602">
        <f>IF(OR(M35602="",N35602=""),"",SUMIFS('Barang Keluar'!$E:$E,'Barang Keluar'!$A:$A,M35602,'Barang Keluar'!$C:$C,N35602))</f>
        <v>0</v>
      </c>
    </row>
    <row r="35603" spans="13:16">
      <c r="M35603" s="49">
        <f>IF($A$4+355&gt;$B$4,"",$A$4+355)</f>
        <v>46378</v>
      </c>
      <c r="N35603">
        <f>IF(M35603="","",'Master Barang'!A97)</f>
        <v>0</v>
      </c>
      <c r="O35603">
        <f>IF(N35603="","",'Master Barang'!B97)</f>
        <v>0</v>
      </c>
      <c r="P35603">
        <f>IF(OR(M35603="",N35603=""),"",SUMIFS('Barang Keluar'!$E:$E,'Barang Keluar'!$A:$A,M35603,'Barang Keluar'!$C:$C,N35603))</f>
        <v>0</v>
      </c>
    </row>
    <row r="35604" spans="13:16">
      <c r="M35604" s="49">
        <f>IF($A$4+355&gt;$B$4,"",$A$4+355)</f>
        <v>46378</v>
      </c>
      <c r="N35604">
        <f>IF(M35604="","",'Master Barang'!A98)</f>
        <v>0</v>
      </c>
      <c r="O35604">
        <f>IF(N35604="","",'Master Barang'!B98)</f>
        <v>0</v>
      </c>
      <c r="P35604">
        <f>IF(OR(M35604="",N35604=""),"",SUMIFS('Barang Keluar'!$E:$E,'Barang Keluar'!$A:$A,M35604,'Barang Keluar'!$C:$C,N35604))</f>
        <v>0</v>
      </c>
    </row>
    <row r="35605" spans="13:16">
      <c r="M35605" s="49">
        <f>IF($A$4+355&gt;$B$4,"",$A$4+355)</f>
        <v>46378</v>
      </c>
      <c r="N35605">
        <f>IF(M35605="","",'Master Barang'!A99)</f>
        <v>0</v>
      </c>
      <c r="O35605">
        <f>IF(N35605="","",'Master Barang'!B99)</f>
        <v>0</v>
      </c>
      <c r="P35605">
        <f>IF(OR(M35605="",N35605=""),"",SUMIFS('Barang Keluar'!$E:$E,'Barang Keluar'!$A:$A,M35605,'Barang Keluar'!$C:$C,N35605))</f>
        <v>0</v>
      </c>
    </row>
    <row r="35606" spans="13:16">
      <c r="M35606" s="49">
        <f>IF($A$4+355&gt;$B$4,"",$A$4+355)</f>
        <v>46378</v>
      </c>
      <c r="N35606">
        <f>IF(M35606="","",'Master Barang'!A100)</f>
        <v>0</v>
      </c>
      <c r="O35606">
        <f>IF(N35606="","",'Master Barang'!B100)</f>
        <v>0</v>
      </c>
      <c r="P35606">
        <f>IF(OR(M35606="",N35606=""),"",SUMIFS('Barang Keluar'!$E:$E,'Barang Keluar'!$A:$A,M35606,'Barang Keluar'!$C:$C,N35606))</f>
        <v>0</v>
      </c>
    </row>
    <row r="35607" spans="13:16">
      <c r="M35607" s="49">
        <f>IF($A$4+355&gt;$B$4,"",$A$4+355)</f>
        <v>46378</v>
      </c>
      <c r="N35607">
        <f>IF(M35607="","",'Master Barang'!A101)</f>
        <v>0</v>
      </c>
      <c r="O35607">
        <f>IF(N35607="","",'Master Barang'!B101)</f>
        <v>0</v>
      </c>
      <c r="P35607">
        <f>IF(OR(M35607="",N35607=""),"",SUMIFS('Barang Keluar'!$E:$E,'Barang Keluar'!$A:$A,M35607,'Barang Keluar'!$C:$C,N35607))</f>
        <v>0</v>
      </c>
    </row>
    <row r="35608" spans="13:16">
      <c r="M35608" s="49">
        <f>IF($A$4+356&gt;$B$4,"",$A$4+356)</f>
        <v>46379</v>
      </c>
      <c r="N35608" t="str">
        <f>IF(M35608="","",'Master Barang'!A2)</f>
        <v>PRL-001</v>
      </c>
      <c r="O35608" t="str">
        <f>IF(N35608="","",'Master Barang'!B2)</f>
        <v>natura desinfectant food grade 5l</v>
      </c>
      <c r="P35608">
        <f>IF(OR(M35608="",N35608=""),"",SUMIFS('Barang Keluar'!$E:$E,'Barang Keluar'!$A:$A,M35608,'Barang Keluar'!$C:$C,N35608))</f>
        <v>0</v>
      </c>
    </row>
    <row r="35609" spans="13:16">
      <c r="M35609" s="49">
        <f>IF($A$4+356&gt;$B$4,"",$A$4+356)</f>
        <v>46379</v>
      </c>
      <c r="N35609" t="str">
        <f>IF(M35609="","",'Master Barang'!A3)</f>
        <v>PRL-002</v>
      </c>
      <c r="O35609" t="str">
        <f>IF(N35609="","",'Master Barang'!B3)</f>
        <v>sunlight cairan pencuci piring 5l</v>
      </c>
      <c r="P35609">
        <f>IF(OR(M35609="",N35609=""),"",SUMIFS('Barang Keluar'!$E:$E,'Barang Keluar'!$A:$A,M35609,'Barang Keluar'!$C:$C,N35609))</f>
        <v>0</v>
      </c>
    </row>
    <row r="35610" spans="13:16">
      <c r="M35610" s="49">
        <f>IF($A$4+356&gt;$B$4,"",$A$4+356)</f>
        <v>46379</v>
      </c>
      <c r="N35610" t="str">
        <f>IF(M35610="","",'Master Barang'!A4)</f>
        <v>PRL-003</v>
      </c>
      <c r="O35610" t="str">
        <f>IF(N35610="","",'Master Barang'!B4)</f>
        <v>oixs cleaner 1l</v>
      </c>
      <c r="P35610">
        <f>IF(OR(M35610="",N35610=""),"",SUMIFS('Barang Keluar'!$E:$E,'Barang Keluar'!$A:$A,M35610,'Barang Keluar'!$C:$C,N35610))</f>
        <v>0</v>
      </c>
    </row>
    <row r="35611" spans="13:16">
      <c r="M35611" s="49">
        <f>IF($A$4+356&gt;$B$4,"",$A$4+356)</f>
        <v>46379</v>
      </c>
      <c r="N35611" t="str">
        <f>IF(M35611="","",'Master Barang'!A5)</f>
        <v>PRL-004</v>
      </c>
      <c r="O35611" t="str">
        <f>IF(N35611="","",'Master Barang'!B5)</f>
        <v>be clean tissue serbaguna</v>
      </c>
      <c r="P35611">
        <f>IF(OR(M35611="",N35611=""),"",SUMIFS('Barang Keluar'!$E:$E,'Barang Keluar'!$A:$A,M35611,'Barang Keluar'!$C:$C,N35611))</f>
        <v>0</v>
      </c>
    </row>
    <row r="35612" spans="13:16">
      <c r="M35612" s="49">
        <f>IF($A$4+356&gt;$B$4,"",$A$4+356)</f>
        <v>46379</v>
      </c>
      <c r="N35612" t="str">
        <f>IF(M35612="","",'Master Barang'!A6)</f>
        <v>PRL-005</v>
      </c>
      <c r="O35612" t="str">
        <f>IF(N35612="","",'Master Barang'!B6)</f>
        <v>spons cuci hijau</v>
      </c>
      <c r="P35612">
        <f>IF(OR(M35612="",N35612=""),"",SUMIFS('Barang Keluar'!$E:$E,'Barang Keluar'!$A:$A,M35612,'Barang Keluar'!$C:$C,N35612))</f>
        <v>0</v>
      </c>
    </row>
    <row r="35613" spans="13:16">
      <c r="M35613" s="49">
        <f>IF($A$4+356&gt;$B$4,"",$A$4+356)</f>
        <v>46379</v>
      </c>
      <c r="N35613" t="str">
        <f>IF(M35613="","",'Master Barang'!A7)</f>
        <v>PRL-006</v>
      </c>
      <c r="O35613" t="str">
        <f>IF(N35613="","",'Master Barang'!B7)</f>
        <v>sabut cuci stainless</v>
      </c>
      <c r="P35613">
        <f>IF(OR(M35613="",N35613=""),"",SUMIFS('Barang Keluar'!$E:$E,'Barang Keluar'!$A:$A,M35613,'Barang Keluar'!$C:$C,N35613))</f>
        <v>0</v>
      </c>
    </row>
    <row r="35614" spans="13:16">
      <c r="M35614" s="49">
        <f>IF($A$4+356&gt;$B$4,"",$A$4+356)</f>
        <v>46379</v>
      </c>
      <c r="N35614" t="str">
        <f>IF(M35614="","",'Master Barang'!A8)</f>
        <v>PRL-007</v>
      </c>
      <c r="O35614" t="str">
        <f>IF(N35614="","",'Master Barang'!B8)</f>
        <v>plastik kresek besar merah 50pc</v>
      </c>
      <c r="P35614">
        <f>IF(OR(M35614="",N35614=""),"",SUMIFS('Barang Keluar'!$E:$E,'Barang Keluar'!$A:$A,M35614,'Barang Keluar'!$C:$C,N35614))</f>
        <v>0</v>
      </c>
    </row>
    <row r="35615" spans="13:16">
      <c r="M35615" s="49">
        <f>IF($A$4+356&gt;$B$4,"",$A$4+356)</f>
        <v>46379</v>
      </c>
      <c r="N35615" t="str">
        <f>IF(M35615="","",'Master Barang'!A9)</f>
        <v>PRL-008</v>
      </c>
      <c r="O35615" t="str">
        <f>IF(N35615="","",'Master Barang'!B9)</f>
        <v>lap besar</v>
      </c>
      <c r="P35615">
        <f>IF(OR(M35615="",N35615=""),"",SUMIFS('Barang Keluar'!$E:$E,'Barang Keluar'!$A:$A,M35615,'Barang Keluar'!$C:$C,N35615))</f>
        <v>0</v>
      </c>
    </row>
    <row r="35616" spans="13:16">
      <c r="M35616" s="49">
        <f>IF($A$4+356&gt;$B$4,"",$A$4+356)</f>
        <v>46379</v>
      </c>
      <c r="N35616" t="str">
        <f>IF(M35616="","",'Master Barang'!A10)</f>
        <v>PRL-009</v>
      </c>
      <c r="O35616" t="str">
        <f>IF(N35616="","",'Master Barang'!B10)</f>
        <v>lap microfiber</v>
      </c>
      <c r="P35616">
        <f>IF(OR(M35616="",N35616=""),"",SUMIFS('Barang Keluar'!$E:$E,'Barang Keluar'!$A:$A,M35616,'Barang Keluar'!$C:$C,N35616))</f>
        <v>0</v>
      </c>
    </row>
    <row r="35617" spans="13:16">
      <c r="M35617" s="49">
        <f>IF($A$4+356&gt;$B$4,"",$A$4+356)</f>
        <v>46379</v>
      </c>
      <c r="N35617" t="str">
        <f>IF(M35617="","",'Master Barang'!A11)</f>
        <v>PRL-010</v>
      </c>
      <c r="O35617" t="str">
        <f>IF(N35617="","",'Master Barang'!B11)</f>
        <v>lap kecil</v>
      </c>
      <c r="P35617">
        <f>IF(OR(M35617="",N35617=""),"",SUMIFS('Barang Keluar'!$E:$E,'Barang Keluar'!$A:$A,M35617,'Barang Keluar'!$C:$C,N35617))</f>
        <v>0</v>
      </c>
    </row>
    <row r="35618" spans="13:16">
      <c r="M35618" s="49">
        <f>IF($A$4+356&gt;$B$4,"",$A$4+356)</f>
        <v>46379</v>
      </c>
      <c r="N35618" t="str">
        <f>IF(M35618="","",'Master Barang'!A12)</f>
        <v>PRL-011</v>
      </c>
      <c r="O35618" t="str">
        <f>IF(N35618="","",'Master Barang'!B12)</f>
        <v>kanebo kecil</v>
      </c>
      <c r="P35618">
        <f>IF(OR(M35618="",N35618=""),"",SUMIFS('Barang Keluar'!$E:$E,'Barang Keluar'!$A:$A,M35618,'Barang Keluar'!$C:$C,N35618))</f>
        <v>0</v>
      </c>
    </row>
    <row r="35619" spans="13:16">
      <c r="M35619" s="49">
        <f>IF($A$4+356&gt;$B$4,"",$A$4+356)</f>
        <v>46379</v>
      </c>
      <c r="N35619" t="str">
        <f>IF(M35619="","",'Master Barang'!A13)</f>
        <v>PRL-012</v>
      </c>
      <c r="O35619" t="str">
        <f>IF(N35619="","",'Master Barang'!B13)</f>
        <v>plastik 1/4kg joyoboyo 100 lembar</v>
      </c>
      <c r="P35619">
        <f>IF(OR(M35619="",N35619=""),"",SUMIFS('Barang Keluar'!$E:$E,'Barang Keluar'!$A:$A,M35619,'Barang Keluar'!$C:$C,N35619))</f>
        <v>0</v>
      </c>
    </row>
    <row r="35620" spans="13:16">
      <c r="M35620" s="49">
        <f>IF($A$4+356&gt;$B$4,"",$A$4+356)</f>
        <v>46379</v>
      </c>
      <c r="N35620" t="str">
        <f>IF(M35620="","",'Master Barang'!A14)</f>
        <v>PRL-013</v>
      </c>
      <c r="O35620" t="str">
        <f>IF(N35620="","",'Master Barang'!B14)</f>
        <v>sarung tangan plastik kaka 100 pcs</v>
      </c>
      <c r="P35620">
        <f>IF(OR(M35620="",N35620=""),"",SUMIFS('Barang Keluar'!$E:$E,'Barang Keluar'!$A:$A,M35620,'Barang Keluar'!$C:$C,N35620))</f>
        <v>0</v>
      </c>
    </row>
    <row r="35621" spans="13:16">
      <c r="M35621" s="49">
        <f>IF($A$4+356&gt;$B$4,"",$A$4+356)</f>
        <v>46379</v>
      </c>
      <c r="N35621" t="str">
        <f>IF(M35621="","",'Master Barang'!A15)</f>
        <v>PRL-014</v>
      </c>
      <c r="O35621" t="str">
        <f>IF(N35621="","",'Master Barang'!B15)</f>
        <v>optima trashbag 80x100</v>
      </c>
      <c r="P35621">
        <f>IF(OR(M35621="",N35621=""),"",SUMIFS('Barang Keluar'!$E:$E,'Barang Keluar'!$A:$A,M35621,'Barang Keluar'!$C:$C,N35621))</f>
        <v>0</v>
      </c>
    </row>
    <row r="35622" spans="13:16">
      <c r="M35622" s="49">
        <f>IF($A$4+356&gt;$B$4,"",$A$4+356)</f>
        <v>46379</v>
      </c>
      <c r="N35622" t="str">
        <f>IF(M35622="","",'Master Barang'!A16)</f>
        <v>PRL-015</v>
      </c>
      <c r="O35622" t="str">
        <f>IF(N35622="","",'Master Barang'!B16)</f>
        <v>optima trashbag 60x100</v>
      </c>
      <c r="P35622">
        <f>IF(OR(M35622="",N35622=""),"",SUMIFS('Barang Keluar'!$E:$E,'Barang Keluar'!$A:$A,M35622,'Barang Keluar'!$C:$C,N35622))</f>
        <v>0</v>
      </c>
    </row>
    <row r="35623" spans="13:16">
      <c r="M35623" s="49">
        <f>IF($A$4+356&gt;$B$4,"",$A$4+356)</f>
        <v>46379</v>
      </c>
      <c r="N35623" t="str">
        <f>IF(M35623="","",'Master Barang'!A17)</f>
        <v>PRL-016</v>
      </c>
      <c r="O35623" t="str">
        <f>IF(N35623="","",'Master Barang'!B17)</f>
        <v>rajawali trashbag 30x40</v>
      </c>
      <c r="P35623">
        <f>IF(OR(M35623="",N35623=""),"",SUMIFS('Barang Keluar'!$E:$E,'Barang Keluar'!$A:$A,M35623,'Barang Keluar'!$C:$C,N35623))</f>
        <v>0</v>
      </c>
    </row>
    <row r="35624" spans="13:16">
      <c r="M35624" s="49">
        <f>IF($A$4+356&gt;$B$4,"",$A$4+356)</f>
        <v>46379</v>
      </c>
      <c r="N35624" t="str">
        <f>IF(M35624="","",'Master Barang'!A18)</f>
        <v>PRL-017</v>
      </c>
      <c r="O35624" t="str">
        <f>IF(N35624="","",'Master Barang'!B18)</f>
        <v>onemed masker biru 3 play 50 pcs</v>
      </c>
      <c r="P35624">
        <f>IF(OR(M35624="",N35624=""),"",SUMIFS('Barang Keluar'!$E:$E,'Barang Keluar'!$A:$A,M35624,'Barang Keluar'!$C:$C,N35624))</f>
        <v>0</v>
      </c>
    </row>
    <row r="35625" spans="13:16">
      <c r="M35625" s="49">
        <f>IF($A$4+356&gt;$B$4,"",$A$4+356)</f>
        <v>46379</v>
      </c>
      <c r="N35625" t="str">
        <f>IF(M35625="","",'Master Barang'!A19)</f>
        <v>PRL-018</v>
      </c>
      <c r="O35625" t="str">
        <f>IF(N35625="","",'Master Barang'!B19)</f>
        <v>onemed masker biru 3 play hijab 50 pcs</v>
      </c>
      <c r="P35625">
        <f>IF(OR(M35625="",N35625=""),"",SUMIFS('Barang Keluar'!$E:$E,'Barang Keluar'!$A:$A,M35625,'Barang Keluar'!$C:$C,N35625))</f>
        <v>0</v>
      </c>
    </row>
    <row r="35626" spans="13:16">
      <c r="M35626" s="49">
        <f>IF($A$4+356&gt;$B$4,"",$A$4+356)</f>
        <v>46379</v>
      </c>
      <c r="N35626" t="str">
        <f>IF(M35626="","",'Master Barang'!A20)</f>
        <v>PRL-019</v>
      </c>
      <c r="O35626" t="str">
        <f>IF(N35626="","",'Master Barang'!B20)</f>
        <v>neo health masker biru 3 play 50 pcs</v>
      </c>
      <c r="P35626">
        <f>IF(OR(M35626="",N35626=""),"",SUMIFS('Barang Keluar'!$E:$E,'Barang Keluar'!$A:$A,M35626,'Barang Keluar'!$C:$C,N35626))</f>
        <v>0</v>
      </c>
    </row>
    <row r="35627" spans="13:16">
      <c r="M35627" s="49">
        <f>IF($A$4+356&gt;$B$4,"",$A$4+356)</f>
        <v>46379</v>
      </c>
      <c r="N35627" t="str">
        <f>IF(M35627="","",'Master Barang'!A21)</f>
        <v>PRL-020</v>
      </c>
      <c r="O35627" t="str">
        <f>IF(N35627="","",'Master Barang'!B21)</f>
        <v>baymed masker hijau 3 play hijau 50 pcs</v>
      </c>
      <c r="P35627">
        <f>IF(OR(M35627="",N35627=""),"",SUMIFS('Barang Keluar'!$E:$E,'Barang Keluar'!$A:$A,M35627,'Barang Keluar'!$C:$C,N35627))</f>
        <v>0</v>
      </c>
    </row>
    <row r="35628" spans="13:16">
      <c r="M35628" s="49">
        <f>IF($A$4+356&gt;$B$4,"",$A$4+356)</f>
        <v>46379</v>
      </c>
      <c r="N35628" t="str">
        <f>IF(M35628="","",'Master Barang'!A22)</f>
        <v>PRL-021</v>
      </c>
      <c r="O35628" t="str">
        <f>IF(N35628="","",'Master Barang'!B22)</f>
        <v>altamed nurse cap penutup kepala 100 pcs</v>
      </c>
      <c r="P35628">
        <f>IF(OR(M35628="",N35628=""),"",SUMIFS('Barang Keluar'!$E:$E,'Barang Keluar'!$A:$A,M35628,'Barang Keluar'!$C:$C,N35628))</f>
        <v>0</v>
      </c>
    </row>
    <row r="35629" spans="13:16">
      <c r="M35629" s="49">
        <f>IF($A$4+356&gt;$B$4,"",$A$4+356)</f>
        <v>46379</v>
      </c>
      <c r="N35629" t="str">
        <f>IF(M35629="","",'Master Barang'!A23)</f>
        <v>PRL-022</v>
      </c>
      <c r="O35629" t="str">
        <f>IF(N35629="","",'Master Barang'!B23)</f>
        <v>sabun cuci tangan</v>
      </c>
      <c r="P35629">
        <f>IF(OR(M35629="",N35629=""),"",SUMIFS('Barang Keluar'!$E:$E,'Barang Keluar'!$A:$A,M35629,'Barang Keluar'!$C:$C,N35629))</f>
        <v>0</v>
      </c>
    </row>
    <row r="35630" spans="13:16">
      <c r="M35630" s="49">
        <f>IF($A$4+356&gt;$B$4,"",$A$4+356)</f>
        <v>46379</v>
      </c>
      <c r="N35630" t="str">
        <f>IF(M35630="","",'Master Barang'!A24)</f>
        <v>PRL-023</v>
      </c>
      <c r="O35630" t="str">
        <f>IF(N35630="","",'Master Barang'!B24)</f>
        <v>gayung kecil</v>
      </c>
      <c r="P35630">
        <f>IF(OR(M35630="",N35630=""),"",SUMIFS('Barang Keluar'!$E:$E,'Barang Keluar'!$A:$A,M35630,'Barang Keluar'!$C:$C,N35630))</f>
        <v>0</v>
      </c>
    </row>
    <row r="35631" spans="13:16">
      <c r="M35631" s="49">
        <f>IF($A$4+356&gt;$B$4,"",$A$4+356)</f>
        <v>46379</v>
      </c>
      <c r="N35631" t="str">
        <f>IF(M35631="","",'Master Barang'!A25)</f>
        <v>PRL-024</v>
      </c>
      <c r="O35631" t="str">
        <f>IF(N35631="","",'Master Barang'!B25)</f>
        <v>cikrak kecil</v>
      </c>
      <c r="P35631">
        <f>IF(OR(M35631="",N35631=""),"",SUMIFS('Barang Keluar'!$E:$E,'Barang Keluar'!$A:$A,M35631,'Barang Keluar'!$C:$C,N35631))</f>
        <v>0</v>
      </c>
    </row>
    <row r="35632" spans="13:16">
      <c r="M35632" s="49">
        <f>IF($A$4+356&gt;$B$4,"",$A$4+356)</f>
        <v>46379</v>
      </c>
      <c r="N35632" t="str">
        <f>IF(M35632="","",'Master Barang'!A26)</f>
        <v>PRL-025</v>
      </c>
      <c r="O35632" t="str">
        <f>IF(N35632="","",'Master Barang'!B26)</f>
        <v>petromax plastik kecil 12x24 100 lembar</v>
      </c>
      <c r="P35632">
        <f>IF(OR(M35632="",N35632=""),"",SUMIFS('Barang Keluar'!$E:$E,'Barang Keluar'!$A:$A,M35632,'Barang Keluar'!$C:$C,N35632))</f>
        <v>0</v>
      </c>
    </row>
    <row r="35633" spans="13:16">
      <c r="M35633" s="49">
        <f>IF($A$4+356&gt;$B$4,"",$A$4+356)</f>
        <v>46379</v>
      </c>
      <c r="N35633" t="str">
        <f>IF(M35633="","",'Master Barang'!A27)</f>
        <v>PRL-026</v>
      </c>
      <c r="O35633" t="str">
        <f>IF(N35633="","",'Master Barang'!B27)</f>
        <v>lancar kresek kecil bening </v>
      </c>
      <c r="P35633">
        <f>IF(OR(M35633="",N35633=""),"",SUMIFS('Barang Keluar'!$E:$E,'Barang Keluar'!$A:$A,M35633,'Barang Keluar'!$C:$C,N35633))</f>
        <v>0</v>
      </c>
    </row>
    <row r="35634" spans="13:16">
      <c r="M35634" s="49">
        <f>IF($A$4+356&gt;$B$4,"",$A$4+356)</f>
        <v>46379</v>
      </c>
      <c r="N35634" t="str">
        <f>IF(M35634="","",'Master Barang'!A28)</f>
        <v>PRL-027</v>
      </c>
      <c r="O35634" t="str">
        <f>IF(N35634="","",'Master Barang'!B28)</f>
        <v>kresek klin warna warni kecil</v>
      </c>
      <c r="P35634">
        <f>IF(OR(M35634="",N35634=""),"",SUMIFS('Barang Keluar'!$E:$E,'Barang Keluar'!$A:$A,M35634,'Barang Keluar'!$C:$C,N35634))</f>
        <v>0</v>
      </c>
    </row>
    <row r="35635" spans="13:16">
      <c r="M35635" s="49">
        <f>IF($A$4+356&gt;$B$4,"",$A$4+356)</f>
        <v>46379</v>
      </c>
      <c r="N35635" t="str">
        <f>IF(M35635="","",'Master Barang'!A29)</f>
        <v>PRL-028</v>
      </c>
      <c r="O35635" t="str">
        <f>IF(N35635="","",'Master Barang'!B29)</f>
        <v>ctik plastik 7x10 100 pcs</v>
      </c>
      <c r="P35635">
        <f>IF(OR(M35635="",N35635=""),"",SUMIFS('Barang Keluar'!$E:$E,'Barang Keluar'!$A:$A,M35635,'Barang Keluar'!$C:$C,N35635))</f>
        <v>0</v>
      </c>
    </row>
    <row r="35636" spans="13:16">
      <c r="M35636" s="49">
        <f>IF($A$4+356&gt;$B$4,"",$A$4+356)</f>
        <v>46379</v>
      </c>
      <c r="N35636" t="str">
        <f>IF(M35636="","",'Master Barang'!A30)</f>
        <v>PRL-029</v>
      </c>
      <c r="O35636" t="str">
        <f>IF(N35636="","",'Master Barang'!B30)</f>
        <v>ctik plastik 6x10 100 pcs</v>
      </c>
      <c r="P35636">
        <f>IF(OR(M35636="",N35636=""),"",SUMIFS('Barang Keluar'!$E:$E,'Barang Keluar'!$A:$A,M35636,'Barang Keluar'!$C:$C,N35636))</f>
        <v>0</v>
      </c>
    </row>
    <row r="35637" spans="13:16">
      <c r="M35637" s="49">
        <f>IF($A$4+356&gt;$B$4,"",$A$4+356)</f>
        <v>46379</v>
      </c>
      <c r="N35637" t="str">
        <f>IF(M35637="","",'Master Barang'!A31)</f>
        <v>PRL-030</v>
      </c>
      <c r="O35637" t="str">
        <f>IF(N35637="","",'Master Barang'!B31)</f>
        <v>klip plastik 25x16 100 pcs</v>
      </c>
      <c r="P35637">
        <f>IF(OR(M35637="",N35637=""),"",SUMIFS('Barang Keluar'!$E:$E,'Barang Keluar'!$A:$A,M35637,'Barang Keluar'!$C:$C,N35637))</f>
        <v>0</v>
      </c>
    </row>
    <row r="35638" spans="13:16">
      <c r="M35638" s="49">
        <f>IF($A$4+356&gt;$B$4,"",$A$4+356)</f>
        <v>46379</v>
      </c>
      <c r="N35638" t="str">
        <f>IF(M35638="","",'Master Barang'!A32)</f>
        <v>PRL-031</v>
      </c>
      <c r="O35638" t="str">
        <f>IF(N35638="","",'Master Barang'!B32)</f>
        <v>tempat saus 20 ml</v>
      </c>
      <c r="P35638">
        <f>IF(OR(M35638="",N35638=""),"",SUMIFS('Barang Keluar'!$E:$E,'Barang Keluar'!$A:$A,M35638,'Barang Keluar'!$C:$C,N35638))</f>
        <v>0</v>
      </c>
    </row>
    <row r="35639" spans="13:16">
      <c r="M35639" s="49">
        <f>IF($A$4+356&gt;$B$4,"",$A$4+356)</f>
        <v>46379</v>
      </c>
      <c r="N35639" t="str">
        <f>IF(M35639="","",'Master Barang'!A33)</f>
        <v>PRL-032</v>
      </c>
      <c r="O35639" t="str">
        <f>IF(N35639="","",'Master Barang'!B33)</f>
        <v>plastik packaging ag box uk sedang</v>
      </c>
      <c r="P35639">
        <f>IF(OR(M35639="",N35639=""),"",SUMIFS('Barang Keluar'!$E:$E,'Barang Keluar'!$A:$A,M35639,'Barang Keluar'!$C:$C,N35639))</f>
        <v>0</v>
      </c>
    </row>
    <row r="35640" spans="13:16">
      <c r="M35640" s="49">
        <f>IF($A$4+356&gt;$B$4,"",$A$4+356)</f>
        <v>46379</v>
      </c>
      <c r="N35640" t="str">
        <f>IF(M35640="","",'Master Barang'!A34)</f>
        <v>PRL-033</v>
      </c>
      <c r="O35640">
        <f>IF(N35640="","",'Master Barang'!B34)</f>
        <v>0</v>
      </c>
      <c r="P35640">
        <f>IF(OR(M35640="",N35640=""),"",SUMIFS('Barang Keluar'!$E:$E,'Barang Keluar'!$A:$A,M35640,'Barang Keluar'!$C:$C,N35640))</f>
        <v>0</v>
      </c>
    </row>
    <row r="35641" spans="13:16">
      <c r="M35641" s="49">
        <f>IF($A$4+356&gt;$B$4,"",$A$4+356)</f>
        <v>46379</v>
      </c>
      <c r="N35641">
        <f>IF(M35641="","",'Master Barang'!A35)</f>
        <v>0</v>
      </c>
      <c r="O35641">
        <f>IF(N35641="","",'Master Barang'!B35)</f>
        <v>0</v>
      </c>
      <c r="P35641">
        <f>IF(OR(M35641="",N35641=""),"",SUMIFS('Barang Keluar'!$E:$E,'Barang Keluar'!$A:$A,M35641,'Barang Keluar'!$C:$C,N35641))</f>
        <v>0</v>
      </c>
    </row>
    <row r="35642" spans="13:16">
      <c r="M35642" s="49">
        <f>IF($A$4+356&gt;$B$4,"",$A$4+356)</f>
        <v>46379</v>
      </c>
      <c r="N35642">
        <f>IF(M35642="","",'Master Barang'!A36)</f>
        <v>0</v>
      </c>
      <c r="O35642">
        <f>IF(N35642="","",'Master Barang'!B36)</f>
        <v>0</v>
      </c>
      <c r="P35642">
        <f>IF(OR(M35642="",N35642=""),"",SUMIFS('Barang Keluar'!$E:$E,'Barang Keluar'!$A:$A,M35642,'Barang Keluar'!$C:$C,N35642))</f>
        <v>0</v>
      </c>
    </row>
    <row r="35643" spans="13:16">
      <c r="M35643" s="49">
        <f>IF($A$4+356&gt;$B$4,"",$A$4+356)</f>
        <v>46379</v>
      </c>
      <c r="N35643">
        <f>IF(M35643="","",'Master Barang'!A37)</f>
        <v>0</v>
      </c>
      <c r="O35643">
        <f>IF(N35643="","",'Master Barang'!B37)</f>
        <v>0</v>
      </c>
      <c r="P35643">
        <f>IF(OR(M35643="",N35643=""),"",SUMIFS('Barang Keluar'!$E:$E,'Barang Keluar'!$A:$A,M35643,'Barang Keluar'!$C:$C,N35643))</f>
        <v>0</v>
      </c>
    </row>
    <row r="35644" spans="13:16">
      <c r="M35644" s="49">
        <f>IF($A$4+356&gt;$B$4,"",$A$4+356)</f>
        <v>46379</v>
      </c>
      <c r="N35644">
        <f>IF(M35644="","",'Master Barang'!A38)</f>
        <v>0</v>
      </c>
      <c r="O35644">
        <f>IF(N35644="","",'Master Barang'!B38)</f>
        <v>0</v>
      </c>
      <c r="P35644">
        <f>IF(OR(M35644="",N35644=""),"",SUMIFS('Barang Keluar'!$E:$E,'Barang Keluar'!$A:$A,M35644,'Barang Keluar'!$C:$C,N35644))</f>
        <v>0</v>
      </c>
    </row>
    <row r="35645" spans="13:16">
      <c r="M35645" s="49">
        <f>IF($A$4+356&gt;$B$4,"",$A$4+356)</f>
        <v>46379</v>
      </c>
      <c r="N35645">
        <f>IF(M35645="","",'Master Barang'!A39)</f>
        <v>0</v>
      </c>
      <c r="O35645">
        <f>IF(N35645="","",'Master Barang'!B39)</f>
        <v>0</v>
      </c>
      <c r="P35645">
        <f>IF(OR(M35645="",N35645=""),"",SUMIFS('Barang Keluar'!$E:$E,'Barang Keluar'!$A:$A,M35645,'Barang Keluar'!$C:$C,N35645))</f>
        <v>0</v>
      </c>
    </row>
    <row r="35646" spans="13:16">
      <c r="M35646" s="49">
        <f>IF($A$4+356&gt;$B$4,"",$A$4+356)</f>
        <v>46379</v>
      </c>
      <c r="N35646">
        <f>IF(M35646="","",'Master Barang'!A40)</f>
        <v>0</v>
      </c>
      <c r="O35646">
        <f>IF(N35646="","",'Master Barang'!B40)</f>
        <v>0</v>
      </c>
      <c r="P35646">
        <f>IF(OR(M35646="",N35646=""),"",SUMIFS('Barang Keluar'!$E:$E,'Barang Keluar'!$A:$A,M35646,'Barang Keluar'!$C:$C,N35646))</f>
        <v>0</v>
      </c>
    </row>
    <row r="35647" spans="13:16">
      <c r="M35647" s="49">
        <f>IF($A$4+356&gt;$B$4,"",$A$4+356)</f>
        <v>46379</v>
      </c>
      <c r="N35647">
        <f>IF(M35647="","",'Master Barang'!A41)</f>
        <v>0</v>
      </c>
      <c r="O35647">
        <f>IF(N35647="","",'Master Barang'!B41)</f>
        <v>0</v>
      </c>
      <c r="P35647">
        <f>IF(OR(M35647="",N35647=""),"",SUMIFS('Barang Keluar'!$E:$E,'Barang Keluar'!$A:$A,M35647,'Barang Keluar'!$C:$C,N35647))</f>
        <v>0</v>
      </c>
    </row>
    <row r="35648" spans="13:16">
      <c r="M35648" s="49">
        <f>IF($A$4+356&gt;$B$4,"",$A$4+356)</f>
        <v>46379</v>
      </c>
      <c r="N35648">
        <f>IF(M35648="","",'Master Barang'!A42)</f>
        <v>0</v>
      </c>
      <c r="O35648">
        <f>IF(N35648="","",'Master Barang'!B42)</f>
        <v>0</v>
      </c>
      <c r="P35648">
        <f>IF(OR(M35648="",N35648=""),"",SUMIFS('Barang Keluar'!$E:$E,'Barang Keluar'!$A:$A,M35648,'Barang Keluar'!$C:$C,N35648))</f>
        <v>0</v>
      </c>
    </row>
    <row r="35649" spans="13:16">
      <c r="M35649" s="49">
        <f>IF($A$4+356&gt;$B$4,"",$A$4+356)</f>
        <v>46379</v>
      </c>
      <c r="N35649">
        <f>IF(M35649="","",'Master Barang'!A43)</f>
        <v>0</v>
      </c>
      <c r="O35649">
        <f>IF(N35649="","",'Master Barang'!B43)</f>
        <v>0</v>
      </c>
      <c r="P35649">
        <f>IF(OR(M35649="",N35649=""),"",SUMIFS('Barang Keluar'!$E:$E,'Barang Keluar'!$A:$A,M35649,'Barang Keluar'!$C:$C,N35649))</f>
        <v>0</v>
      </c>
    </row>
    <row r="35650" spans="13:16">
      <c r="M35650" s="49">
        <f>IF($A$4+356&gt;$B$4,"",$A$4+356)</f>
        <v>46379</v>
      </c>
      <c r="N35650">
        <f>IF(M35650="","",'Master Barang'!A44)</f>
        <v>0</v>
      </c>
      <c r="O35650">
        <f>IF(N35650="","",'Master Barang'!B44)</f>
        <v>0</v>
      </c>
      <c r="P35650">
        <f>IF(OR(M35650="",N35650=""),"",SUMIFS('Barang Keluar'!$E:$E,'Barang Keluar'!$A:$A,M35650,'Barang Keluar'!$C:$C,N35650))</f>
        <v>0</v>
      </c>
    </row>
    <row r="35651" spans="13:16">
      <c r="M35651" s="49">
        <f>IF($A$4+356&gt;$B$4,"",$A$4+356)</f>
        <v>46379</v>
      </c>
      <c r="N35651">
        <f>IF(M35651="","",'Master Barang'!A45)</f>
        <v>0</v>
      </c>
      <c r="O35651">
        <f>IF(N35651="","",'Master Barang'!B45)</f>
        <v>0</v>
      </c>
      <c r="P35651">
        <f>IF(OR(M35651="",N35651=""),"",SUMIFS('Barang Keluar'!$E:$E,'Barang Keluar'!$A:$A,M35651,'Barang Keluar'!$C:$C,N35651))</f>
        <v>0</v>
      </c>
    </row>
    <row r="35652" spans="13:16">
      <c r="M35652" s="49">
        <f>IF($A$4+356&gt;$B$4,"",$A$4+356)</f>
        <v>46379</v>
      </c>
      <c r="N35652">
        <f>IF(M35652="","",'Master Barang'!A46)</f>
        <v>0</v>
      </c>
      <c r="O35652">
        <f>IF(N35652="","",'Master Barang'!B46)</f>
        <v>0</v>
      </c>
      <c r="P35652">
        <f>IF(OR(M35652="",N35652=""),"",SUMIFS('Barang Keluar'!$E:$E,'Barang Keluar'!$A:$A,M35652,'Barang Keluar'!$C:$C,N35652))</f>
        <v>0</v>
      </c>
    </row>
    <row r="35653" spans="13:16">
      <c r="M35653" s="49">
        <f>IF($A$4+356&gt;$B$4,"",$A$4+356)</f>
        <v>46379</v>
      </c>
      <c r="N35653">
        <f>IF(M35653="","",'Master Barang'!A47)</f>
        <v>0</v>
      </c>
      <c r="O35653">
        <f>IF(N35653="","",'Master Barang'!B47)</f>
        <v>0</v>
      </c>
      <c r="P35653">
        <f>IF(OR(M35653="",N35653=""),"",SUMIFS('Barang Keluar'!$E:$E,'Barang Keluar'!$A:$A,M35653,'Barang Keluar'!$C:$C,N35653))</f>
        <v>0</v>
      </c>
    </row>
    <row r="35654" spans="13:16">
      <c r="M35654" s="49">
        <f>IF($A$4+356&gt;$B$4,"",$A$4+356)</f>
        <v>46379</v>
      </c>
      <c r="N35654">
        <f>IF(M35654="","",'Master Barang'!A48)</f>
        <v>0</v>
      </c>
      <c r="O35654">
        <f>IF(N35654="","",'Master Barang'!B48)</f>
        <v>0</v>
      </c>
      <c r="P35654">
        <f>IF(OR(M35654="",N35654=""),"",SUMIFS('Barang Keluar'!$E:$E,'Barang Keluar'!$A:$A,M35654,'Barang Keluar'!$C:$C,N35654))</f>
        <v>0</v>
      </c>
    </row>
    <row r="35655" spans="13:16">
      <c r="M35655" s="49">
        <f>IF($A$4+356&gt;$B$4,"",$A$4+356)</f>
        <v>46379</v>
      </c>
      <c r="N35655">
        <f>IF(M35655="","",'Master Barang'!A49)</f>
        <v>0</v>
      </c>
      <c r="O35655">
        <f>IF(N35655="","",'Master Barang'!B49)</f>
        <v>0</v>
      </c>
      <c r="P35655">
        <f>IF(OR(M35655="",N35655=""),"",SUMIFS('Barang Keluar'!$E:$E,'Barang Keluar'!$A:$A,M35655,'Barang Keluar'!$C:$C,N35655))</f>
        <v>0</v>
      </c>
    </row>
    <row r="35656" spans="13:16">
      <c r="M35656" s="49">
        <f>IF($A$4+356&gt;$B$4,"",$A$4+356)</f>
        <v>46379</v>
      </c>
      <c r="N35656">
        <f>IF(M35656="","",'Master Barang'!A50)</f>
        <v>0</v>
      </c>
      <c r="O35656">
        <f>IF(N35656="","",'Master Barang'!B50)</f>
        <v>0</v>
      </c>
      <c r="P35656">
        <f>IF(OR(M35656="",N35656=""),"",SUMIFS('Barang Keluar'!$E:$E,'Barang Keluar'!$A:$A,M35656,'Barang Keluar'!$C:$C,N35656))</f>
        <v>0</v>
      </c>
    </row>
    <row r="35657" spans="13:16">
      <c r="M35657" s="49">
        <f>IF($A$4+356&gt;$B$4,"",$A$4+356)</f>
        <v>46379</v>
      </c>
      <c r="N35657">
        <f>IF(M35657="","",'Master Barang'!A51)</f>
        <v>0</v>
      </c>
      <c r="O35657">
        <f>IF(N35657="","",'Master Barang'!B51)</f>
        <v>0</v>
      </c>
      <c r="P35657">
        <f>IF(OR(M35657="",N35657=""),"",SUMIFS('Barang Keluar'!$E:$E,'Barang Keluar'!$A:$A,M35657,'Barang Keluar'!$C:$C,N35657))</f>
        <v>0</v>
      </c>
    </row>
    <row r="35658" spans="13:16">
      <c r="M35658" s="49">
        <f>IF($A$4+356&gt;$B$4,"",$A$4+356)</f>
        <v>46379</v>
      </c>
      <c r="N35658">
        <f>IF(M35658="","",'Master Barang'!A52)</f>
        <v>0</v>
      </c>
      <c r="O35658">
        <f>IF(N35658="","",'Master Barang'!B52)</f>
        <v>0</v>
      </c>
      <c r="P35658">
        <f>IF(OR(M35658="",N35658=""),"",SUMIFS('Barang Keluar'!$E:$E,'Barang Keluar'!$A:$A,M35658,'Barang Keluar'!$C:$C,N35658))</f>
        <v>0</v>
      </c>
    </row>
    <row r="35659" spans="13:16">
      <c r="M35659" s="49">
        <f>IF($A$4+356&gt;$B$4,"",$A$4+356)</f>
        <v>46379</v>
      </c>
      <c r="N35659">
        <f>IF(M35659="","",'Master Barang'!A53)</f>
        <v>0</v>
      </c>
      <c r="O35659">
        <f>IF(N35659="","",'Master Barang'!B53)</f>
        <v>0</v>
      </c>
      <c r="P35659">
        <f>IF(OR(M35659="",N35659=""),"",SUMIFS('Barang Keluar'!$E:$E,'Barang Keluar'!$A:$A,M35659,'Barang Keluar'!$C:$C,N35659))</f>
        <v>0</v>
      </c>
    </row>
    <row r="35660" spans="13:16">
      <c r="M35660" s="49">
        <f>IF($A$4+356&gt;$B$4,"",$A$4+356)</f>
        <v>46379</v>
      </c>
      <c r="N35660">
        <f>IF(M35660="","",'Master Barang'!A54)</f>
        <v>0</v>
      </c>
      <c r="O35660">
        <f>IF(N35660="","",'Master Barang'!B54)</f>
        <v>0</v>
      </c>
      <c r="P35660">
        <f>IF(OR(M35660="",N35660=""),"",SUMIFS('Barang Keluar'!$E:$E,'Barang Keluar'!$A:$A,M35660,'Barang Keluar'!$C:$C,N35660))</f>
        <v>0</v>
      </c>
    </row>
    <row r="35661" spans="13:16">
      <c r="M35661" s="49">
        <f>IF($A$4+356&gt;$B$4,"",$A$4+356)</f>
        <v>46379</v>
      </c>
      <c r="N35661">
        <f>IF(M35661="","",'Master Barang'!A55)</f>
        <v>0</v>
      </c>
      <c r="O35661">
        <f>IF(N35661="","",'Master Barang'!B55)</f>
        <v>0</v>
      </c>
      <c r="P35661">
        <f>IF(OR(M35661="",N35661=""),"",SUMIFS('Barang Keluar'!$E:$E,'Barang Keluar'!$A:$A,M35661,'Barang Keluar'!$C:$C,N35661))</f>
        <v>0</v>
      </c>
    </row>
    <row r="35662" spans="13:16">
      <c r="M35662" s="49">
        <f>IF($A$4+356&gt;$B$4,"",$A$4+356)</f>
        <v>46379</v>
      </c>
      <c r="N35662">
        <f>IF(M35662="","",'Master Barang'!A56)</f>
        <v>0</v>
      </c>
      <c r="O35662">
        <f>IF(N35662="","",'Master Barang'!B56)</f>
        <v>0</v>
      </c>
      <c r="P35662">
        <f>IF(OR(M35662="",N35662=""),"",SUMIFS('Barang Keluar'!$E:$E,'Barang Keluar'!$A:$A,M35662,'Barang Keluar'!$C:$C,N35662))</f>
        <v>0</v>
      </c>
    </row>
    <row r="35663" spans="13:16">
      <c r="M35663" s="49">
        <f>IF($A$4+356&gt;$B$4,"",$A$4+356)</f>
        <v>46379</v>
      </c>
      <c r="N35663">
        <f>IF(M35663="","",'Master Barang'!A57)</f>
        <v>0</v>
      </c>
      <c r="O35663">
        <f>IF(N35663="","",'Master Barang'!B57)</f>
        <v>0</v>
      </c>
      <c r="P35663">
        <f>IF(OR(M35663="",N35663=""),"",SUMIFS('Barang Keluar'!$E:$E,'Barang Keluar'!$A:$A,M35663,'Barang Keluar'!$C:$C,N35663))</f>
        <v>0</v>
      </c>
    </row>
    <row r="35664" spans="13:16">
      <c r="M35664" s="49">
        <f>IF($A$4+356&gt;$B$4,"",$A$4+356)</f>
        <v>46379</v>
      </c>
      <c r="N35664">
        <f>IF(M35664="","",'Master Barang'!A58)</f>
        <v>0</v>
      </c>
      <c r="O35664">
        <f>IF(N35664="","",'Master Barang'!B58)</f>
        <v>0</v>
      </c>
      <c r="P35664">
        <f>IF(OR(M35664="",N35664=""),"",SUMIFS('Barang Keluar'!$E:$E,'Barang Keluar'!$A:$A,M35664,'Barang Keluar'!$C:$C,N35664))</f>
        <v>0</v>
      </c>
    </row>
    <row r="35665" spans="13:16">
      <c r="M35665" s="49">
        <f>IF($A$4+356&gt;$B$4,"",$A$4+356)</f>
        <v>46379</v>
      </c>
      <c r="N35665">
        <f>IF(M35665="","",'Master Barang'!A59)</f>
        <v>0</v>
      </c>
      <c r="O35665">
        <f>IF(N35665="","",'Master Barang'!B59)</f>
        <v>0</v>
      </c>
      <c r="P35665">
        <f>IF(OR(M35665="",N35665=""),"",SUMIFS('Barang Keluar'!$E:$E,'Barang Keluar'!$A:$A,M35665,'Barang Keluar'!$C:$C,N35665))</f>
        <v>0</v>
      </c>
    </row>
    <row r="35666" spans="13:16">
      <c r="M35666" s="49">
        <f>IF($A$4+356&gt;$B$4,"",$A$4+356)</f>
        <v>46379</v>
      </c>
      <c r="N35666">
        <f>IF(M35666="","",'Master Barang'!A60)</f>
        <v>0</v>
      </c>
      <c r="O35666">
        <f>IF(N35666="","",'Master Barang'!B60)</f>
        <v>0</v>
      </c>
      <c r="P35666">
        <f>IF(OR(M35666="",N35666=""),"",SUMIFS('Barang Keluar'!$E:$E,'Barang Keluar'!$A:$A,M35666,'Barang Keluar'!$C:$C,N35666))</f>
        <v>0</v>
      </c>
    </row>
    <row r="35667" spans="13:16">
      <c r="M35667" s="49">
        <f>IF($A$4+356&gt;$B$4,"",$A$4+356)</f>
        <v>46379</v>
      </c>
      <c r="N35667">
        <f>IF(M35667="","",'Master Barang'!A61)</f>
        <v>0</v>
      </c>
      <c r="O35667">
        <f>IF(N35667="","",'Master Barang'!B61)</f>
        <v>0</v>
      </c>
      <c r="P35667">
        <f>IF(OR(M35667="",N35667=""),"",SUMIFS('Barang Keluar'!$E:$E,'Barang Keluar'!$A:$A,M35667,'Barang Keluar'!$C:$C,N35667))</f>
        <v>0</v>
      </c>
    </row>
    <row r="35668" spans="13:16">
      <c r="M35668" s="49">
        <f>IF($A$4+356&gt;$B$4,"",$A$4+356)</f>
        <v>46379</v>
      </c>
      <c r="N35668">
        <f>IF(M35668="","",'Master Barang'!A62)</f>
        <v>0</v>
      </c>
      <c r="O35668">
        <f>IF(N35668="","",'Master Barang'!B62)</f>
        <v>0</v>
      </c>
      <c r="P35668">
        <f>IF(OR(M35668="",N35668=""),"",SUMIFS('Barang Keluar'!$E:$E,'Barang Keluar'!$A:$A,M35668,'Barang Keluar'!$C:$C,N35668))</f>
        <v>0</v>
      </c>
    </row>
    <row r="35669" spans="13:16">
      <c r="M35669" s="49">
        <f>IF($A$4+356&gt;$B$4,"",$A$4+356)</f>
        <v>46379</v>
      </c>
      <c r="N35669">
        <f>IF(M35669="","",'Master Barang'!A63)</f>
        <v>0</v>
      </c>
      <c r="O35669">
        <f>IF(N35669="","",'Master Barang'!B63)</f>
        <v>0</v>
      </c>
      <c r="P35669">
        <f>IF(OR(M35669="",N35669=""),"",SUMIFS('Barang Keluar'!$E:$E,'Barang Keluar'!$A:$A,M35669,'Barang Keluar'!$C:$C,N35669))</f>
        <v>0</v>
      </c>
    </row>
    <row r="35670" spans="13:16">
      <c r="M35670" s="49">
        <f>IF($A$4+356&gt;$B$4,"",$A$4+356)</f>
        <v>46379</v>
      </c>
      <c r="N35670">
        <f>IF(M35670="","",'Master Barang'!A64)</f>
        <v>0</v>
      </c>
      <c r="O35670">
        <f>IF(N35670="","",'Master Barang'!B64)</f>
        <v>0</v>
      </c>
      <c r="P35670">
        <f>IF(OR(M35670="",N35670=""),"",SUMIFS('Barang Keluar'!$E:$E,'Barang Keluar'!$A:$A,M35670,'Barang Keluar'!$C:$C,N35670))</f>
        <v>0</v>
      </c>
    </row>
    <row r="35671" spans="13:16">
      <c r="M35671" s="49">
        <f>IF($A$4+356&gt;$B$4,"",$A$4+356)</f>
        <v>46379</v>
      </c>
      <c r="N35671">
        <f>IF(M35671="","",'Master Barang'!A65)</f>
        <v>0</v>
      </c>
      <c r="O35671">
        <f>IF(N35671="","",'Master Barang'!B65)</f>
        <v>0</v>
      </c>
      <c r="P35671">
        <f>IF(OR(M35671="",N35671=""),"",SUMIFS('Barang Keluar'!$E:$E,'Barang Keluar'!$A:$A,M35671,'Barang Keluar'!$C:$C,N35671))</f>
        <v>0</v>
      </c>
    </row>
    <row r="35672" spans="13:16">
      <c r="M35672" s="49">
        <f>IF($A$4+356&gt;$B$4,"",$A$4+356)</f>
        <v>46379</v>
      </c>
      <c r="N35672">
        <f>IF(M35672="","",'Master Barang'!A66)</f>
        <v>0</v>
      </c>
      <c r="O35672">
        <f>IF(N35672="","",'Master Barang'!B66)</f>
        <v>0</v>
      </c>
      <c r="P35672">
        <f>IF(OR(M35672="",N35672=""),"",SUMIFS('Barang Keluar'!$E:$E,'Barang Keluar'!$A:$A,M35672,'Barang Keluar'!$C:$C,N35672))</f>
        <v>0</v>
      </c>
    </row>
    <row r="35673" spans="13:16">
      <c r="M35673" s="49">
        <f>IF($A$4+356&gt;$B$4,"",$A$4+356)</f>
        <v>46379</v>
      </c>
      <c r="N35673">
        <f>IF(M35673="","",'Master Barang'!A67)</f>
        <v>0</v>
      </c>
      <c r="O35673">
        <f>IF(N35673="","",'Master Barang'!B67)</f>
        <v>0</v>
      </c>
      <c r="P35673">
        <f>IF(OR(M35673="",N35673=""),"",SUMIFS('Barang Keluar'!$E:$E,'Barang Keluar'!$A:$A,M35673,'Barang Keluar'!$C:$C,N35673))</f>
        <v>0</v>
      </c>
    </row>
    <row r="35674" spans="13:16">
      <c r="M35674" s="49">
        <f>IF($A$4+356&gt;$B$4,"",$A$4+356)</f>
        <v>46379</v>
      </c>
      <c r="N35674">
        <f>IF(M35674="","",'Master Barang'!A68)</f>
        <v>0</v>
      </c>
      <c r="O35674">
        <f>IF(N35674="","",'Master Barang'!B68)</f>
        <v>0</v>
      </c>
      <c r="P35674">
        <f>IF(OR(M35674="",N35674=""),"",SUMIFS('Barang Keluar'!$E:$E,'Barang Keluar'!$A:$A,M35674,'Barang Keluar'!$C:$C,N35674))</f>
        <v>0</v>
      </c>
    </row>
    <row r="35675" spans="13:16">
      <c r="M35675" s="49">
        <f>IF($A$4+356&gt;$B$4,"",$A$4+356)</f>
        <v>46379</v>
      </c>
      <c r="N35675">
        <f>IF(M35675="","",'Master Barang'!A69)</f>
        <v>0</v>
      </c>
      <c r="O35675">
        <f>IF(N35675="","",'Master Barang'!B69)</f>
        <v>0</v>
      </c>
      <c r="P35675">
        <f>IF(OR(M35675="",N35675=""),"",SUMIFS('Barang Keluar'!$E:$E,'Barang Keluar'!$A:$A,M35675,'Barang Keluar'!$C:$C,N35675))</f>
        <v>0</v>
      </c>
    </row>
    <row r="35676" spans="13:16">
      <c r="M35676" s="49">
        <f>IF($A$4+356&gt;$B$4,"",$A$4+356)</f>
        <v>46379</v>
      </c>
      <c r="N35676">
        <f>IF(M35676="","",'Master Barang'!A70)</f>
        <v>0</v>
      </c>
      <c r="O35676">
        <f>IF(N35676="","",'Master Barang'!B70)</f>
        <v>0</v>
      </c>
      <c r="P35676">
        <f>IF(OR(M35676="",N35676=""),"",SUMIFS('Barang Keluar'!$E:$E,'Barang Keluar'!$A:$A,M35676,'Barang Keluar'!$C:$C,N35676))</f>
        <v>0</v>
      </c>
    </row>
    <row r="35677" spans="13:16">
      <c r="M35677" s="49">
        <f>IF($A$4+356&gt;$B$4,"",$A$4+356)</f>
        <v>46379</v>
      </c>
      <c r="N35677">
        <f>IF(M35677="","",'Master Barang'!A71)</f>
        <v>0</v>
      </c>
      <c r="O35677">
        <f>IF(N35677="","",'Master Barang'!B71)</f>
        <v>0</v>
      </c>
      <c r="P35677">
        <f>IF(OR(M35677="",N35677=""),"",SUMIFS('Barang Keluar'!$E:$E,'Barang Keluar'!$A:$A,M35677,'Barang Keluar'!$C:$C,N35677))</f>
        <v>0</v>
      </c>
    </row>
    <row r="35678" spans="13:16">
      <c r="M35678" s="49">
        <f>IF($A$4+356&gt;$B$4,"",$A$4+356)</f>
        <v>46379</v>
      </c>
      <c r="N35678">
        <f>IF(M35678="","",'Master Barang'!A72)</f>
        <v>0</v>
      </c>
      <c r="O35678">
        <f>IF(N35678="","",'Master Barang'!B72)</f>
        <v>0</v>
      </c>
      <c r="P35678">
        <f>IF(OR(M35678="",N35678=""),"",SUMIFS('Barang Keluar'!$E:$E,'Barang Keluar'!$A:$A,M35678,'Barang Keluar'!$C:$C,N35678))</f>
        <v>0</v>
      </c>
    </row>
    <row r="35679" spans="13:16">
      <c r="M35679" s="49">
        <f>IF($A$4+356&gt;$B$4,"",$A$4+356)</f>
        <v>46379</v>
      </c>
      <c r="N35679">
        <f>IF(M35679="","",'Master Barang'!A73)</f>
        <v>0</v>
      </c>
      <c r="O35679">
        <f>IF(N35679="","",'Master Barang'!B73)</f>
        <v>0</v>
      </c>
      <c r="P35679">
        <f>IF(OR(M35679="",N35679=""),"",SUMIFS('Barang Keluar'!$E:$E,'Barang Keluar'!$A:$A,M35679,'Barang Keluar'!$C:$C,N35679))</f>
        <v>0</v>
      </c>
    </row>
    <row r="35680" spans="13:16">
      <c r="M35680" s="49">
        <f>IF($A$4+356&gt;$B$4,"",$A$4+356)</f>
        <v>46379</v>
      </c>
      <c r="N35680">
        <f>IF(M35680="","",'Master Barang'!A74)</f>
        <v>0</v>
      </c>
      <c r="O35680">
        <f>IF(N35680="","",'Master Barang'!B74)</f>
        <v>0</v>
      </c>
      <c r="P35680">
        <f>IF(OR(M35680="",N35680=""),"",SUMIFS('Barang Keluar'!$E:$E,'Barang Keluar'!$A:$A,M35680,'Barang Keluar'!$C:$C,N35680))</f>
        <v>0</v>
      </c>
    </row>
    <row r="35681" spans="13:16">
      <c r="M35681" s="49">
        <f>IF($A$4+356&gt;$B$4,"",$A$4+356)</f>
        <v>46379</v>
      </c>
      <c r="N35681">
        <f>IF(M35681="","",'Master Barang'!A75)</f>
        <v>0</v>
      </c>
      <c r="O35681">
        <f>IF(N35681="","",'Master Barang'!B75)</f>
        <v>0</v>
      </c>
      <c r="P35681">
        <f>IF(OR(M35681="",N35681=""),"",SUMIFS('Barang Keluar'!$E:$E,'Barang Keluar'!$A:$A,M35681,'Barang Keluar'!$C:$C,N35681))</f>
        <v>0</v>
      </c>
    </row>
    <row r="35682" spans="13:16">
      <c r="M35682" s="49">
        <f>IF($A$4+356&gt;$B$4,"",$A$4+356)</f>
        <v>46379</v>
      </c>
      <c r="N35682">
        <f>IF(M35682="","",'Master Barang'!A76)</f>
        <v>0</v>
      </c>
      <c r="O35682">
        <f>IF(N35682="","",'Master Barang'!B76)</f>
        <v>0</v>
      </c>
      <c r="P35682">
        <f>IF(OR(M35682="",N35682=""),"",SUMIFS('Barang Keluar'!$E:$E,'Barang Keluar'!$A:$A,M35682,'Barang Keluar'!$C:$C,N35682))</f>
        <v>0</v>
      </c>
    </row>
    <row r="35683" spans="13:16">
      <c r="M35683" s="49">
        <f>IF($A$4+356&gt;$B$4,"",$A$4+356)</f>
        <v>46379</v>
      </c>
      <c r="N35683">
        <f>IF(M35683="","",'Master Barang'!A77)</f>
        <v>0</v>
      </c>
      <c r="O35683">
        <f>IF(N35683="","",'Master Barang'!B77)</f>
        <v>0</v>
      </c>
      <c r="P35683">
        <f>IF(OR(M35683="",N35683=""),"",SUMIFS('Barang Keluar'!$E:$E,'Barang Keluar'!$A:$A,M35683,'Barang Keluar'!$C:$C,N35683))</f>
        <v>0</v>
      </c>
    </row>
    <row r="35684" spans="13:16">
      <c r="M35684" s="49">
        <f>IF($A$4+356&gt;$B$4,"",$A$4+356)</f>
        <v>46379</v>
      </c>
      <c r="N35684">
        <f>IF(M35684="","",'Master Barang'!A78)</f>
        <v>0</v>
      </c>
      <c r="O35684">
        <f>IF(N35684="","",'Master Barang'!B78)</f>
        <v>0</v>
      </c>
      <c r="P35684">
        <f>IF(OR(M35684="",N35684=""),"",SUMIFS('Barang Keluar'!$E:$E,'Barang Keluar'!$A:$A,M35684,'Barang Keluar'!$C:$C,N35684))</f>
        <v>0</v>
      </c>
    </row>
    <row r="35685" spans="13:16">
      <c r="M35685" s="49">
        <f>IF($A$4+356&gt;$B$4,"",$A$4+356)</f>
        <v>46379</v>
      </c>
      <c r="N35685">
        <f>IF(M35685="","",'Master Barang'!A79)</f>
        <v>0</v>
      </c>
      <c r="O35685">
        <f>IF(N35685="","",'Master Barang'!B79)</f>
        <v>0</v>
      </c>
      <c r="P35685">
        <f>IF(OR(M35685="",N35685=""),"",SUMIFS('Barang Keluar'!$E:$E,'Barang Keluar'!$A:$A,M35685,'Barang Keluar'!$C:$C,N35685))</f>
        <v>0</v>
      </c>
    </row>
    <row r="35686" spans="13:16">
      <c r="M35686" s="49">
        <f>IF($A$4+356&gt;$B$4,"",$A$4+356)</f>
        <v>46379</v>
      </c>
      <c r="N35686">
        <f>IF(M35686="","",'Master Barang'!A80)</f>
        <v>0</v>
      </c>
      <c r="O35686">
        <f>IF(N35686="","",'Master Barang'!B80)</f>
        <v>0</v>
      </c>
      <c r="P35686">
        <f>IF(OR(M35686="",N35686=""),"",SUMIFS('Barang Keluar'!$E:$E,'Barang Keluar'!$A:$A,M35686,'Barang Keluar'!$C:$C,N35686))</f>
        <v>0</v>
      </c>
    </row>
    <row r="35687" spans="13:16">
      <c r="M35687" s="49">
        <f>IF($A$4+356&gt;$B$4,"",$A$4+356)</f>
        <v>46379</v>
      </c>
      <c r="N35687">
        <f>IF(M35687="","",'Master Barang'!A81)</f>
        <v>0</v>
      </c>
      <c r="O35687">
        <f>IF(N35687="","",'Master Barang'!B81)</f>
        <v>0</v>
      </c>
      <c r="P35687">
        <f>IF(OR(M35687="",N35687=""),"",SUMIFS('Barang Keluar'!$E:$E,'Barang Keluar'!$A:$A,M35687,'Barang Keluar'!$C:$C,N35687))</f>
        <v>0</v>
      </c>
    </row>
    <row r="35688" spans="13:16">
      <c r="M35688" s="49">
        <f>IF($A$4+356&gt;$B$4,"",$A$4+356)</f>
        <v>46379</v>
      </c>
      <c r="N35688">
        <f>IF(M35688="","",'Master Barang'!A82)</f>
        <v>0</v>
      </c>
      <c r="O35688">
        <f>IF(N35688="","",'Master Barang'!B82)</f>
        <v>0</v>
      </c>
      <c r="P35688">
        <f>IF(OR(M35688="",N35688=""),"",SUMIFS('Barang Keluar'!$E:$E,'Barang Keluar'!$A:$A,M35688,'Barang Keluar'!$C:$C,N35688))</f>
        <v>0</v>
      </c>
    </row>
    <row r="35689" spans="13:16">
      <c r="M35689" s="49">
        <f>IF($A$4+356&gt;$B$4,"",$A$4+356)</f>
        <v>46379</v>
      </c>
      <c r="N35689">
        <f>IF(M35689="","",'Master Barang'!A83)</f>
        <v>0</v>
      </c>
      <c r="O35689">
        <f>IF(N35689="","",'Master Barang'!B83)</f>
        <v>0</v>
      </c>
      <c r="P35689">
        <f>IF(OR(M35689="",N35689=""),"",SUMIFS('Barang Keluar'!$E:$E,'Barang Keluar'!$A:$A,M35689,'Barang Keluar'!$C:$C,N35689))</f>
        <v>0</v>
      </c>
    </row>
    <row r="35690" spans="13:16">
      <c r="M35690" s="49">
        <f>IF($A$4+356&gt;$B$4,"",$A$4+356)</f>
        <v>46379</v>
      </c>
      <c r="N35690">
        <f>IF(M35690="","",'Master Barang'!A84)</f>
        <v>0</v>
      </c>
      <c r="O35690">
        <f>IF(N35690="","",'Master Barang'!B84)</f>
        <v>0</v>
      </c>
      <c r="P35690">
        <f>IF(OR(M35690="",N35690=""),"",SUMIFS('Barang Keluar'!$E:$E,'Barang Keluar'!$A:$A,M35690,'Barang Keluar'!$C:$C,N35690))</f>
        <v>0</v>
      </c>
    </row>
    <row r="35691" spans="13:16">
      <c r="M35691" s="49">
        <f>IF($A$4+356&gt;$B$4,"",$A$4+356)</f>
        <v>46379</v>
      </c>
      <c r="N35691">
        <f>IF(M35691="","",'Master Barang'!A85)</f>
        <v>0</v>
      </c>
      <c r="O35691">
        <f>IF(N35691="","",'Master Barang'!B85)</f>
        <v>0</v>
      </c>
      <c r="P35691">
        <f>IF(OR(M35691="",N35691=""),"",SUMIFS('Barang Keluar'!$E:$E,'Barang Keluar'!$A:$A,M35691,'Barang Keluar'!$C:$C,N35691))</f>
        <v>0</v>
      </c>
    </row>
    <row r="35692" spans="13:16">
      <c r="M35692" s="49">
        <f>IF($A$4+356&gt;$B$4,"",$A$4+356)</f>
        <v>46379</v>
      </c>
      <c r="N35692">
        <f>IF(M35692="","",'Master Barang'!A86)</f>
        <v>0</v>
      </c>
      <c r="O35692">
        <f>IF(N35692="","",'Master Barang'!B86)</f>
        <v>0</v>
      </c>
      <c r="P35692">
        <f>IF(OR(M35692="",N35692=""),"",SUMIFS('Barang Keluar'!$E:$E,'Barang Keluar'!$A:$A,M35692,'Barang Keluar'!$C:$C,N35692))</f>
        <v>0</v>
      </c>
    </row>
    <row r="35693" spans="13:16">
      <c r="M35693" s="49">
        <f>IF($A$4+356&gt;$B$4,"",$A$4+356)</f>
        <v>46379</v>
      </c>
      <c r="N35693">
        <f>IF(M35693="","",'Master Barang'!A87)</f>
        <v>0</v>
      </c>
      <c r="O35693">
        <f>IF(N35693="","",'Master Barang'!B87)</f>
        <v>0</v>
      </c>
      <c r="P35693">
        <f>IF(OR(M35693="",N35693=""),"",SUMIFS('Barang Keluar'!$E:$E,'Barang Keluar'!$A:$A,M35693,'Barang Keluar'!$C:$C,N35693))</f>
        <v>0</v>
      </c>
    </row>
    <row r="35694" spans="13:16">
      <c r="M35694" s="49">
        <f>IF($A$4+356&gt;$B$4,"",$A$4+356)</f>
        <v>46379</v>
      </c>
      <c r="N35694">
        <f>IF(M35694="","",'Master Barang'!A88)</f>
        <v>0</v>
      </c>
      <c r="O35694">
        <f>IF(N35694="","",'Master Barang'!B88)</f>
        <v>0</v>
      </c>
      <c r="P35694">
        <f>IF(OR(M35694="",N35694=""),"",SUMIFS('Barang Keluar'!$E:$E,'Barang Keluar'!$A:$A,M35694,'Barang Keluar'!$C:$C,N35694))</f>
        <v>0</v>
      </c>
    </row>
    <row r="35695" spans="13:16">
      <c r="M35695" s="49">
        <f>IF($A$4+356&gt;$B$4,"",$A$4+356)</f>
        <v>46379</v>
      </c>
      <c r="N35695">
        <f>IF(M35695="","",'Master Barang'!A89)</f>
        <v>0</v>
      </c>
      <c r="O35695">
        <f>IF(N35695="","",'Master Barang'!B89)</f>
        <v>0</v>
      </c>
      <c r="P35695">
        <f>IF(OR(M35695="",N35695=""),"",SUMIFS('Barang Keluar'!$E:$E,'Barang Keluar'!$A:$A,M35695,'Barang Keluar'!$C:$C,N35695))</f>
        <v>0</v>
      </c>
    </row>
    <row r="35696" spans="13:16">
      <c r="M35696" s="49">
        <f>IF($A$4+356&gt;$B$4,"",$A$4+356)</f>
        <v>46379</v>
      </c>
      <c r="N35696">
        <f>IF(M35696="","",'Master Barang'!A90)</f>
        <v>0</v>
      </c>
      <c r="O35696">
        <f>IF(N35696="","",'Master Barang'!B90)</f>
        <v>0</v>
      </c>
      <c r="P35696">
        <f>IF(OR(M35696="",N35696=""),"",SUMIFS('Barang Keluar'!$E:$E,'Barang Keluar'!$A:$A,M35696,'Barang Keluar'!$C:$C,N35696))</f>
        <v>0</v>
      </c>
    </row>
    <row r="35697" spans="13:16">
      <c r="M35697" s="49">
        <f>IF($A$4+356&gt;$B$4,"",$A$4+356)</f>
        <v>46379</v>
      </c>
      <c r="N35697">
        <f>IF(M35697="","",'Master Barang'!A91)</f>
        <v>0</v>
      </c>
      <c r="O35697">
        <f>IF(N35697="","",'Master Barang'!B91)</f>
        <v>0</v>
      </c>
      <c r="P35697">
        <f>IF(OR(M35697="",N35697=""),"",SUMIFS('Barang Keluar'!$E:$E,'Barang Keluar'!$A:$A,M35697,'Barang Keluar'!$C:$C,N35697))</f>
        <v>0</v>
      </c>
    </row>
    <row r="35698" spans="13:16">
      <c r="M35698" s="49">
        <f>IF($A$4+356&gt;$B$4,"",$A$4+356)</f>
        <v>46379</v>
      </c>
      <c r="N35698">
        <f>IF(M35698="","",'Master Barang'!A92)</f>
        <v>0</v>
      </c>
      <c r="O35698">
        <f>IF(N35698="","",'Master Barang'!B92)</f>
        <v>0</v>
      </c>
      <c r="P35698">
        <f>IF(OR(M35698="",N35698=""),"",SUMIFS('Barang Keluar'!$E:$E,'Barang Keluar'!$A:$A,M35698,'Barang Keluar'!$C:$C,N35698))</f>
        <v>0</v>
      </c>
    </row>
    <row r="35699" spans="13:16">
      <c r="M35699" s="49">
        <f>IF($A$4+356&gt;$B$4,"",$A$4+356)</f>
        <v>46379</v>
      </c>
      <c r="N35699">
        <f>IF(M35699="","",'Master Barang'!A93)</f>
        <v>0</v>
      </c>
      <c r="O35699">
        <f>IF(N35699="","",'Master Barang'!B93)</f>
        <v>0</v>
      </c>
      <c r="P35699">
        <f>IF(OR(M35699="",N35699=""),"",SUMIFS('Barang Keluar'!$E:$E,'Barang Keluar'!$A:$A,M35699,'Barang Keluar'!$C:$C,N35699))</f>
        <v>0</v>
      </c>
    </row>
    <row r="35700" spans="13:16">
      <c r="M35700" s="49">
        <f>IF($A$4+356&gt;$B$4,"",$A$4+356)</f>
        <v>46379</v>
      </c>
      <c r="N35700">
        <f>IF(M35700="","",'Master Barang'!A94)</f>
        <v>0</v>
      </c>
      <c r="O35700">
        <f>IF(N35700="","",'Master Barang'!B94)</f>
        <v>0</v>
      </c>
      <c r="P35700">
        <f>IF(OR(M35700="",N35700=""),"",SUMIFS('Barang Keluar'!$E:$E,'Barang Keluar'!$A:$A,M35700,'Barang Keluar'!$C:$C,N35700))</f>
        <v>0</v>
      </c>
    </row>
    <row r="35701" spans="13:16">
      <c r="M35701" s="49">
        <f>IF($A$4+356&gt;$B$4,"",$A$4+356)</f>
        <v>46379</v>
      </c>
      <c r="N35701">
        <f>IF(M35701="","",'Master Barang'!A95)</f>
        <v>0</v>
      </c>
      <c r="O35701">
        <f>IF(N35701="","",'Master Barang'!B95)</f>
        <v>0</v>
      </c>
      <c r="P35701">
        <f>IF(OR(M35701="",N35701=""),"",SUMIFS('Barang Keluar'!$E:$E,'Barang Keluar'!$A:$A,M35701,'Barang Keluar'!$C:$C,N35701))</f>
        <v>0</v>
      </c>
    </row>
    <row r="35702" spans="13:16">
      <c r="M35702" s="49">
        <f>IF($A$4+356&gt;$B$4,"",$A$4+356)</f>
        <v>46379</v>
      </c>
      <c r="N35702">
        <f>IF(M35702="","",'Master Barang'!A96)</f>
        <v>0</v>
      </c>
      <c r="O35702">
        <f>IF(N35702="","",'Master Barang'!B96)</f>
        <v>0</v>
      </c>
      <c r="P35702">
        <f>IF(OR(M35702="",N35702=""),"",SUMIFS('Barang Keluar'!$E:$E,'Barang Keluar'!$A:$A,M35702,'Barang Keluar'!$C:$C,N35702))</f>
        <v>0</v>
      </c>
    </row>
    <row r="35703" spans="13:16">
      <c r="M35703" s="49">
        <f>IF($A$4+356&gt;$B$4,"",$A$4+356)</f>
        <v>46379</v>
      </c>
      <c r="N35703">
        <f>IF(M35703="","",'Master Barang'!A97)</f>
        <v>0</v>
      </c>
      <c r="O35703">
        <f>IF(N35703="","",'Master Barang'!B97)</f>
        <v>0</v>
      </c>
      <c r="P35703">
        <f>IF(OR(M35703="",N35703=""),"",SUMIFS('Barang Keluar'!$E:$E,'Barang Keluar'!$A:$A,M35703,'Barang Keluar'!$C:$C,N35703))</f>
        <v>0</v>
      </c>
    </row>
    <row r="35704" spans="13:16">
      <c r="M35704" s="49">
        <f>IF($A$4+356&gt;$B$4,"",$A$4+356)</f>
        <v>46379</v>
      </c>
      <c r="N35704">
        <f>IF(M35704="","",'Master Barang'!A98)</f>
        <v>0</v>
      </c>
      <c r="O35704">
        <f>IF(N35704="","",'Master Barang'!B98)</f>
        <v>0</v>
      </c>
      <c r="P35704">
        <f>IF(OR(M35704="",N35704=""),"",SUMIFS('Barang Keluar'!$E:$E,'Barang Keluar'!$A:$A,M35704,'Barang Keluar'!$C:$C,N35704))</f>
        <v>0</v>
      </c>
    </row>
    <row r="35705" spans="13:16">
      <c r="M35705" s="49">
        <f>IF($A$4+356&gt;$B$4,"",$A$4+356)</f>
        <v>46379</v>
      </c>
      <c r="N35705">
        <f>IF(M35705="","",'Master Barang'!A99)</f>
        <v>0</v>
      </c>
      <c r="O35705">
        <f>IF(N35705="","",'Master Barang'!B99)</f>
        <v>0</v>
      </c>
      <c r="P35705">
        <f>IF(OR(M35705="",N35705=""),"",SUMIFS('Barang Keluar'!$E:$E,'Barang Keluar'!$A:$A,M35705,'Barang Keluar'!$C:$C,N35705))</f>
        <v>0</v>
      </c>
    </row>
    <row r="35706" spans="13:16">
      <c r="M35706" s="49">
        <f>IF($A$4+356&gt;$B$4,"",$A$4+356)</f>
        <v>46379</v>
      </c>
      <c r="N35706">
        <f>IF(M35706="","",'Master Barang'!A100)</f>
        <v>0</v>
      </c>
      <c r="O35706">
        <f>IF(N35706="","",'Master Barang'!B100)</f>
        <v>0</v>
      </c>
      <c r="P35706">
        <f>IF(OR(M35706="",N35706=""),"",SUMIFS('Barang Keluar'!$E:$E,'Barang Keluar'!$A:$A,M35706,'Barang Keluar'!$C:$C,N35706))</f>
        <v>0</v>
      </c>
    </row>
    <row r="35707" spans="13:16">
      <c r="M35707" s="49">
        <f>IF($A$4+356&gt;$B$4,"",$A$4+356)</f>
        <v>46379</v>
      </c>
      <c r="N35707">
        <f>IF(M35707="","",'Master Barang'!A101)</f>
        <v>0</v>
      </c>
      <c r="O35707">
        <f>IF(N35707="","",'Master Barang'!B101)</f>
        <v>0</v>
      </c>
      <c r="P35707">
        <f>IF(OR(M35707="",N35707=""),"",SUMIFS('Barang Keluar'!$E:$E,'Barang Keluar'!$A:$A,M35707,'Barang Keluar'!$C:$C,N35707))</f>
        <v>0</v>
      </c>
    </row>
    <row r="35708" spans="13:16">
      <c r="M35708" s="49">
        <f>IF($A$4+357&gt;$B$4,"",$A$4+357)</f>
        <v>46380</v>
      </c>
      <c r="N35708" t="str">
        <f>IF(M35708="","",'Master Barang'!A2)</f>
        <v>PRL-001</v>
      </c>
      <c r="O35708" t="str">
        <f>IF(N35708="","",'Master Barang'!B2)</f>
        <v>natura desinfectant food grade 5l</v>
      </c>
      <c r="P35708">
        <f>IF(OR(M35708="",N35708=""),"",SUMIFS('Barang Keluar'!$E:$E,'Barang Keluar'!$A:$A,M35708,'Barang Keluar'!$C:$C,N35708))</f>
        <v>0</v>
      </c>
    </row>
    <row r="35709" spans="13:16">
      <c r="M35709" s="49">
        <f>IF($A$4+357&gt;$B$4,"",$A$4+357)</f>
        <v>46380</v>
      </c>
      <c r="N35709" t="str">
        <f>IF(M35709="","",'Master Barang'!A3)</f>
        <v>PRL-002</v>
      </c>
      <c r="O35709" t="str">
        <f>IF(N35709="","",'Master Barang'!B3)</f>
        <v>sunlight cairan pencuci piring 5l</v>
      </c>
      <c r="P35709">
        <f>IF(OR(M35709="",N35709=""),"",SUMIFS('Barang Keluar'!$E:$E,'Barang Keluar'!$A:$A,M35709,'Barang Keluar'!$C:$C,N35709))</f>
        <v>0</v>
      </c>
    </row>
    <row r="35710" spans="13:16">
      <c r="M35710" s="49">
        <f>IF($A$4+357&gt;$B$4,"",$A$4+357)</f>
        <v>46380</v>
      </c>
      <c r="N35710" t="str">
        <f>IF(M35710="","",'Master Barang'!A4)</f>
        <v>PRL-003</v>
      </c>
      <c r="O35710" t="str">
        <f>IF(N35710="","",'Master Barang'!B4)</f>
        <v>oixs cleaner 1l</v>
      </c>
      <c r="P35710">
        <f>IF(OR(M35710="",N35710=""),"",SUMIFS('Barang Keluar'!$E:$E,'Barang Keluar'!$A:$A,M35710,'Barang Keluar'!$C:$C,N35710))</f>
        <v>0</v>
      </c>
    </row>
    <row r="35711" spans="13:16">
      <c r="M35711" s="49">
        <f>IF($A$4+357&gt;$B$4,"",$A$4+357)</f>
        <v>46380</v>
      </c>
      <c r="N35711" t="str">
        <f>IF(M35711="","",'Master Barang'!A5)</f>
        <v>PRL-004</v>
      </c>
      <c r="O35711" t="str">
        <f>IF(N35711="","",'Master Barang'!B5)</f>
        <v>be clean tissue serbaguna</v>
      </c>
      <c r="P35711">
        <f>IF(OR(M35711="",N35711=""),"",SUMIFS('Barang Keluar'!$E:$E,'Barang Keluar'!$A:$A,M35711,'Barang Keluar'!$C:$C,N35711))</f>
        <v>0</v>
      </c>
    </row>
    <row r="35712" spans="13:16">
      <c r="M35712" s="49">
        <f>IF($A$4+357&gt;$B$4,"",$A$4+357)</f>
        <v>46380</v>
      </c>
      <c r="N35712" t="str">
        <f>IF(M35712="","",'Master Barang'!A6)</f>
        <v>PRL-005</v>
      </c>
      <c r="O35712" t="str">
        <f>IF(N35712="","",'Master Barang'!B6)</f>
        <v>spons cuci hijau</v>
      </c>
      <c r="P35712">
        <f>IF(OR(M35712="",N35712=""),"",SUMIFS('Barang Keluar'!$E:$E,'Barang Keluar'!$A:$A,M35712,'Barang Keluar'!$C:$C,N35712))</f>
        <v>0</v>
      </c>
    </row>
    <row r="35713" spans="13:16">
      <c r="M35713" s="49">
        <f>IF($A$4+357&gt;$B$4,"",$A$4+357)</f>
        <v>46380</v>
      </c>
      <c r="N35713" t="str">
        <f>IF(M35713="","",'Master Barang'!A7)</f>
        <v>PRL-006</v>
      </c>
      <c r="O35713" t="str">
        <f>IF(N35713="","",'Master Barang'!B7)</f>
        <v>sabut cuci stainless</v>
      </c>
      <c r="P35713">
        <f>IF(OR(M35713="",N35713=""),"",SUMIFS('Barang Keluar'!$E:$E,'Barang Keluar'!$A:$A,M35713,'Barang Keluar'!$C:$C,N35713))</f>
        <v>0</v>
      </c>
    </row>
    <row r="35714" spans="13:16">
      <c r="M35714" s="49">
        <f>IF($A$4+357&gt;$B$4,"",$A$4+357)</f>
        <v>46380</v>
      </c>
      <c r="N35714" t="str">
        <f>IF(M35714="","",'Master Barang'!A8)</f>
        <v>PRL-007</v>
      </c>
      <c r="O35714" t="str">
        <f>IF(N35714="","",'Master Barang'!B8)</f>
        <v>plastik kresek besar merah 50pc</v>
      </c>
      <c r="P35714">
        <f>IF(OR(M35714="",N35714=""),"",SUMIFS('Barang Keluar'!$E:$E,'Barang Keluar'!$A:$A,M35714,'Barang Keluar'!$C:$C,N35714))</f>
        <v>0</v>
      </c>
    </row>
    <row r="35715" spans="13:16">
      <c r="M35715" s="49">
        <f>IF($A$4+357&gt;$B$4,"",$A$4+357)</f>
        <v>46380</v>
      </c>
      <c r="N35715" t="str">
        <f>IF(M35715="","",'Master Barang'!A9)</f>
        <v>PRL-008</v>
      </c>
      <c r="O35715" t="str">
        <f>IF(N35715="","",'Master Barang'!B9)</f>
        <v>lap besar</v>
      </c>
      <c r="P35715">
        <f>IF(OR(M35715="",N35715=""),"",SUMIFS('Barang Keluar'!$E:$E,'Barang Keluar'!$A:$A,M35715,'Barang Keluar'!$C:$C,N35715))</f>
        <v>0</v>
      </c>
    </row>
    <row r="35716" spans="13:16">
      <c r="M35716" s="49">
        <f>IF($A$4+357&gt;$B$4,"",$A$4+357)</f>
        <v>46380</v>
      </c>
      <c r="N35716" t="str">
        <f>IF(M35716="","",'Master Barang'!A10)</f>
        <v>PRL-009</v>
      </c>
      <c r="O35716" t="str">
        <f>IF(N35716="","",'Master Barang'!B10)</f>
        <v>lap microfiber</v>
      </c>
      <c r="P35716">
        <f>IF(OR(M35716="",N35716=""),"",SUMIFS('Barang Keluar'!$E:$E,'Barang Keluar'!$A:$A,M35716,'Barang Keluar'!$C:$C,N35716))</f>
        <v>0</v>
      </c>
    </row>
    <row r="35717" spans="13:16">
      <c r="M35717" s="49">
        <f>IF($A$4+357&gt;$B$4,"",$A$4+357)</f>
        <v>46380</v>
      </c>
      <c r="N35717" t="str">
        <f>IF(M35717="","",'Master Barang'!A11)</f>
        <v>PRL-010</v>
      </c>
      <c r="O35717" t="str">
        <f>IF(N35717="","",'Master Barang'!B11)</f>
        <v>lap kecil</v>
      </c>
      <c r="P35717">
        <f>IF(OR(M35717="",N35717=""),"",SUMIFS('Barang Keluar'!$E:$E,'Barang Keluar'!$A:$A,M35717,'Barang Keluar'!$C:$C,N35717))</f>
        <v>0</v>
      </c>
    </row>
    <row r="35718" spans="13:16">
      <c r="M35718" s="49">
        <f>IF($A$4+357&gt;$B$4,"",$A$4+357)</f>
        <v>46380</v>
      </c>
      <c r="N35718" t="str">
        <f>IF(M35718="","",'Master Barang'!A12)</f>
        <v>PRL-011</v>
      </c>
      <c r="O35718" t="str">
        <f>IF(N35718="","",'Master Barang'!B12)</f>
        <v>kanebo kecil</v>
      </c>
      <c r="P35718">
        <f>IF(OR(M35718="",N35718=""),"",SUMIFS('Barang Keluar'!$E:$E,'Barang Keluar'!$A:$A,M35718,'Barang Keluar'!$C:$C,N35718))</f>
        <v>0</v>
      </c>
    </row>
    <row r="35719" spans="13:16">
      <c r="M35719" s="49">
        <f>IF($A$4+357&gt;$B$4,"",$A$4+357)</f>
        <v>46380</v>
      </c>
      <c r="N35719" t="str">
        <f>IF(M35719="","",'Master Barang'!A13)</f>
        <v>PRL-012</v>
      </c>
      <c r="O35719" t="str">
        <f>IF(N35719="","",'Master Barang'!B13)</f>
        <v>plastik 1/4kg joyoboyo 100 lembar</v>
      </c>
      <c r="P35719">
        <f>IF(OR(M35719="",N35719=""),"",SUMIFS('Barang Keluar'!$E:$E,'Barang Keluar'!$A:$A,M35719,'Barang Keluar'!$C:$C,N35719))</f>
        <v>0</v>
      </c>
    </row>
    <row r="35720" spans="13:16">
      <c r="M35720" s="49">
        <f>IF($A$4+357&gt;$B$4,"",$A$4+357)</f>
        <v>46380</v>
      </c>
      <c r="N35720" t="str">
        <f>IF(M35720="","",'Master Barang'!A14)</f>
        <v>PRL-013</v>
      </c>
      <c r="O35720" t="str">
        <f>IF(N35720="","",'Master Barang'!B14)</f>
        <v>sarung tangan plastik kaka 100 pcs</v>
      </c>
      <c r="P35720">
        <f>IF(OR(M35720="",N35720=""),"",SUMIFS('Barang Keluar'!$E:$E,'Barang Keluar'!$A:$A,M35720,'Barang Keluar'!$C:$C,N35720))</f>
        <v>0</v>
      </c>
    </row>
    <row r="35721" spans="13:16">
      <c r="M35721" s="49">
        <f>IF($A$4+357&gt;$B$4,"",$A$4+357)</f>
        <v>46380</v>
      </c>
      <c r="N35721" t="str">
        <f>IF(M35721="","",'Master Barang'!A15)</f>
        <v>PRL-014</v>
      </c>
      <c r="O35721" t="str">
        <f>IF(N35721="","",'Master Barang'!B15)</f>
        <v>optima trashbag 80x100</v>
      </c>
      <c r="P35721">
        <f>IF(OR(M35721="",N35721=""),"",SUMIFS('Barang Keluar'!$E:$E,'Barang Keluar'!$A:$A,M35721,'Barang Keluar'!$C:$C,N35721))</f>
        <v>0</v>
      </c>
    </row>
    <row r="35722" spans="13:16">
      <c r="M35722" s="49">
        <f>IF($A$4+357&gt;$B$4,"",$A$4+357)</f>
        <v>46380</v>
      </c>
      <c r="N35722" t="str">
        <f>IF(M35722="","",'Master Barang'!A16)</f>
        <v>PRL-015</v>
      </c>
      <c r="O35722" t="str">
        <f>IF(N35722="","",'Master Barang'!B16)</f>
        <v>optima trashbag 60x100</v>
      </c>
      <c r="P35722">
        <f>IF(OR(M35722="",N35722=""),"",SUMIFS('Barang Keluar'!$E:$E,'Barang Keluar'!$A:$A,M35722,'Barang Keluar'!$C:$C,N35722))</f>
        <v>0</v>
      </c>
    </row>
    <row r="35723" spans="13:16">
      <c r="M35723" s="49">
        <f>IF($A$4+357&gt;$B$4,"",$A$4+357)</f>
        <v>46380</v>
      </c>
      <c r="N35723" t="str">
        <f>IF(M35723="","",'Master Barang'!A17)</f>
        <v>PRL-016</v>
      </c>
      <c r="O35723" t="str">
        <f>IF(N35723="","",'Master Barang'!B17)</f>
        <v>rajawali trashbag 30x40</v>
      </c>
      <c r="P35723">
        <f>IF(OR(M35723="",N35723=""),"",SUMIFS('Barang Keluar'!$E:$E,'Barang Keluar'!$A:$A,M35723,'Barang Keluar'!$C:$C,N35723))</f>
        <v>0</v>
      </c>
    </row>
    <row r="35724" spans="13:16">
      <c r="M35724" s="49">
        <f>IF($A$4+357&gt;$B$4,"",$A$4+357)</f>
        <v>46380</v>
      </c>
      <c r="N35724" t="str">
        <f>IF(M35724="","",'Master Barang'!A18)</f>
        <v>PRL-017</v>
      </c>
      <c r="O35724" t="str">
        <f>IF(N35724="","",'Master Barang'!B18)</f>
        <v>onemed masker biru 3 play 50 pcs</v>
      </c>
      <c r="P35724">
        <f>IF(OR(M35724="",N35724=""),"",SUMIFS('Barang Keluar'!$E:$E,'Barang Keluar'!$A:$A,M35724,'Barang Keluar'!$C:$C,N35724))</f>
        <v>0</v>
      </c>
    </row>
    <row r="35725" spans="13:16">
      <c r="M35725" s="49">
        <f>IF($A$4+357&gt;$B$4,"",$A$4+357)</f>
        <v>46380</v>
      </c>
      <c r="N35725" t="str">
        <f>IF(M35725="","",'Master Barang'!A19)</f>
        <v>PRL-018</v>
      </c>
      <c r="O35725" t="str">
        <f>IF(N35725="","",'Master Barang'!B19)</f>
        <v>onemed masker biru 3 play hijab 50 pcs</v>
      </c>
      <c r="P35725">
        <f>IF(OR(M35725="",N35725=""),"",SUMIFS('Barang Keluar'!$E:$E,'Barang Keluar'!$A:$A,M35725,'Barang Keluar'!$C:$C,N35725))</f>
        <v>0</v>
      </c>
    </row>
    <row r="35726" spans="13:16">
      <c r="M35726" s="49">
        <f>IF($A$4+357&gt;$B$4,"",$A$4+357)</f>
        <v>46380</v>
      </c>
      <c r="N35726" t="str">
        <f>IF(M35726="","",'Master Barang'!A20)</f>
        <v>PRL-019</v>
      </c>
      <c r="O35726" t="str">
        <f>IF(N35726="","",'Master Barang'!B20)</f>
        <v>neo health masker biru 3 play 50 pcs</v>
      </c>
      <c r="P35726">
        <f>IF(OR(M35726="",N35726=""),"",SUMIFS('Barang Keluar'!$E:$E,'Barang Keluar'!$A:$A,M35726,'Barang Keluar'!$C:$C,N35726))</f>
        <v>0</v>
      </c>
    </row>
    <row r="35727" spans="13:16">
      <c r="M35727" s="49">
        <f>IF($A$4+357&gt;$B$4,"",$A$4+357)</f>
        <v>46380</v>
      </c>
      <c r="N35727" t="str">
        <f>IF(M35727="","",'Master Barang'!A21)</f>
        <v>PRL-020</v>
      </c>
      <c r="O35727" t="str">
        <f>IF(N35727="","",'Master Barang'!B21)</f>
        <v>baymed masker hijau 3 play hijau 50 pcs</v>
      </c>
      <c r="P35727">
        <f>IF(OR(M35727="",N35727=""),"",SUMIFS('Barang Keluar'!$E:$E,'Barang Keluar'!$A:$A,M35727,'Barang Keluar'!$C:$C,N35727))</f>
        <v>0</v>
      </c>
    </row>
    <row r="35728" spans="13:16">
      <c r="M35728" s="49">
        <f>IF($A$4+357&gt;$B$4,"",$A$4+357)</f>
        <v>46380</v>
      </c>
      <c r="N35728" t="str">
        <f>IF(M35728="","",'Master Barang'!A22)</f>
        <v>PRL-021</v>
      </c>
      <c r="O35728" t="str">
        <f>IF(N35728="","",'Master Barang'!B22)</f>
        <v>altamed nurse cap penutup kepala 100 pcs</v>
      </c>
      <c r="P35728">
        <f>IF(OR(M35728="",N35728=""),"",SUMIFS('Barang Keluar'!$E:$E,'Barang Keluar'!$A:$A,M35728,'Barang Keluar'!$C:$C,N35728))</f>
        <v>0</v>
      </c>
    </row>
    <row r="35729" spans="13:16">
      <c r="M35729" s="49">
        <f>IF($A$4+357&gt;$B$4,"",$A$4+357)</f>
        <v>46380</v>
      </c>
      <c r="N35729" t="str">
        <f>IF(M35729="","",'Master Barang'!A23)</f>
        <v>PRL-022</v>
      </c>
      <c r="O35729" t="str">
        <f>IF(N35729="","",'Master Barang'!B23)</f>
        <v>sabun cuci tangan</v>
      </c>
      <c r="P35729">
        <f>IF(OR(M35729="",N35729=""),"",SUMIFS('Barang Keluar'!$E:$E,'Barang Keluar'!$A:$A,M35729,'Barang Keluar'!$C:$C,N35729))</f>
        <v>0</v>
      </c>
    </row>
    <row r="35730" spans="13:16">
      <c r="M35730" s="49">
        <f>IF($A$4+357&gt;$B$4,"",$A$4+357)</f>
        <v>46380</v>
      </c>
      <c r="N35730" t="str">
        <f>IF(M35730="","",'Master Barang'!A24)</f>
        <v>PRL-023</v>
      </c>
      <c r="O35730" t="str">
        <f>IF(N35730="","",'Master Barang'!B24)</f>
        <v>gayung kecil</v>
      </c>
      <c r="P35730">
        <f>IF(OR(M35730="",N35730=""),"",SUMIFS('Barang Keluar'!$E:$E,'Barang Keluar'!$A:$A,M35730,'Barang Keluar'!$C:$C,N35730))</f>
        <v>0</v>
      </c>
    </row>
    <row r="35731" spans="13:16">
      <c r="M35731" s="49">
        <f>IF($A$4+357&gt;$B$4,"",$A$4+357)</f>
        <v>46380</v>
      </c>
      <c r="N35731" t="str">
        <f>IF(M35731="","",'Master Barang'!A25)</f>
        <v>PRL-024</v>
      </c>
      <c r="O35731" t="str">
        <f>IF(N35731="","",'Master Barang'!B25)</f>
        <v>cikrak kecil</v>
      </c>
      <c r="P35731">
        <f>IF(OR(M35731="",N35731=""),"",SUMIFS('Barang Keluar'!$E:$E,'Barang Keluar'!$A:$A,M35731,'Barang Keluar'!$C:$C,N35731))</f>
        <v>0</v>
      </c>
    </row>
    <row r="35732" spans="13:16">
      <c r="M35732" s="49">
        <f>IF($A$4+357&gt;$B$4,"",$A$4+357)</f>
        <v>46380</v>
      </c>
      <c r="N35732" t="str">
        <f>IF(M35732="","",'Master Barang'!A26)</f>
        <v>PRL-025</v>
      </c>
      <c r="O35732" t="str">
        <f>IF(N35732="","",'Master Barang'!B26)</f>
        <v>petromax plastik kecil 12x24 100 lembar</v>
      </c>
      <c r="P35732">
        <f>IF(OR(M35732="",N35732=""),"",SUMIFS('Barang Keluar'!$E:$E,'Barang Keluar'!$A:$A,M35732,'Barang Keluar'!$C:$C,N35732))</f>
        <v>0</v>
      </c>
    </row>
    <row r="35733" spans="13:16">
      <c r="M35733" s="49">
        <f>IF($A$4+357&gt;$B$4,"",$A$4+357)</f>
        <v>46380</v>
      </c>
      <c r="N35733" t="str">
        <f>IF(M35733="","",'Master Barang'!A27)</f>
        <v>PRL-026</v>
      </c>
      <c r="O35733" t="str">
        <f>IF(N35733="","",'Master Barang'!B27)</f>
        <v>lancar kresek kecil bening </v>
      </c>
      <c r="P35733">
        <f>IF(OR(M35733="",N35733=""),"",SUMIFS('Barang Keluar'!$E:$E,'Barang Keluar'!$A:$A,M35733,'Barang Keluar'!$C:$C,N35733))</f>
        <v>0</v>
      </c>
    </row>
    <row r="35734" spans="13:16">
      <c r="M35734" s="49">
        <f>IF($A$4+357&gt;$B$4,"",$A$4+357)</f>
        <v>46380</v>
      </c>
      <c r="N35734" t="str">
        <f>IF(M35734="","",'Master Barang'!A28)</f>
        <v>PRL-027</v>
      </c>
      <c r="O35734" t="str">
        <f>IF(N35734="","",'Master Barang'!B28)</f>
        <v>kresek klin warna warni kecil</v>
      </c>
      <c r="P35734">
        <f>IF(OR(M35734="",N35734=""),"",SUMIFS('Barang Keluar'!$E:$E,'Barang Keluar'!$A:$A,M35734,'Barang Keluar'!$C:$C,N35734))</f>
        <v>0</v>
      </c>
    </row>
    <row r="35735" spans="13:16">
      <c r="M35735" s="49">
        <f>IF($A$4+357&gt;$B$4,"",$A$4+357)</f>
        <v>46380</v>
      </c>
      <c r="N35735" t="str">
        <f>IF(M35735="","",'Master Barang'!A29)</f>
        <v>PRL-028</v>
      </c>
      <c r="O35735" t="str">
        <f>IF(N35735="","",'Master Barang'!B29)</f>
        <v>ctik plastik 7x10 100 pcs</v>
      </c>
      <c r="P35735">
        <f>IF(OR(M35735="",N35735=""),"",SUMIFS('Barang Keluar'!$E:$E,'Barang Keluar'!$A:$A,M35735,'Barang Keluar'!$C:$C,N35735))</f>
        <v>0</v>
      </c>
    </row>
    <row r="35736" spans="13:16">
      <c r="M35736" s="49">
        <f>IF($A$4+357&gt;$B$4,"",$A$4+357)</f>
        <v>46380</v>
      </c>
      <c r="N35736" t="str">
        <f>IF(M35736="","",'Master Barang'!A30)</f>
        <v>PRL-029</v>
      </c>
      <c r="O35736" t="str">
        <f>IF(N35736="","",'Master Barang'!B30)</f>
        <v>ctik plastik 6x10 100 pcs</v>
      </c>
      <c r="P35736">
        <f>IF(OR(M35736="",N35736=""),"",SUMIFS('Barang Keluar'!$E:$E,'Barang Keluar'!$A:$A,M35736,'Barang Keluar'!$C:$C,N35736))</f>
        <v>0</v>
      </c>
    </row>
    <row r="35737" spans="13:16">
      <c r="M35737" s="49">
        <f>IF($A$4+357&gt;$B$4,"",$A$4+357)</f>
        <v>46380</v>
      </c>
      <c r="N35737" t="str">
        <f>IF(M35737="","",'Master Barang'!A31)</f>
        <v>PRL-030</v>
      </c>
      <c r="O35737" t="str">
        <f>IF(N35737="","",'Master Barang'!B31)</f>
        <v>klip plastik 25x16 100 pcs</v>
      </c>
      <c r="P35737">
        <f>IF(OR(M35737="",N35737=""),"",SUMIFS('Barang Keluar'!$E:$E,'Barang Keluar'!$A:$A,M35737,'Barang Keluar'!$C:$C,N35737))</f>
        <v>0</v>
      </c>
    </row>
    <row r="35738" spans="13:16">
      <c r="M35738" s="49">
        <f>IF($A$4+357&gt;$B$4,"",$A$4+357)</f>
        <v>46380</v>
      </c>
      <c r="N35738" t="str">
        <f>IF(M35738="","",'Master Barang'!A32)</f>
        <v>PRL-031</v>
      </c>
      <c r="O35738" t="str">
        <f>IF(N35738="","",'Master Barang'!B32)</f>
        <v>tempat saus 20 ml</v>
      </c>
      <c r="P35738">
        <f>IF(OR(M35738="",N35738=""),"",SUMIFS('Barang Keluar'!$E:$E,'Barang Keluar'!$A:$A,M35738,'Barang Keluar'!$C:$C,N35738))</f>
        <v>0</v>
      </c>
    </row>
    <row r="35739" spans="13:16">
      <c r="M35739" s="49">
        <f>IF($A$4+357&gt;$B$4,"",$A$4+357)</f>
        <v>46380</v>
      </c>
      <c r="N35739" t="str">
        <f>IF(M35739="","",'Master Barang'!A33)</f>
        <v>PRL-032</v>
      </c>
      <c r="O35739" t="str">
        <f>IF(N35739="","",'Master Barang'!B33)</f>
        <v>plastik packaging ag box uk sedang</v>
      </c>
      <c r="P35739">
        <f>IF(OR(M35739="",N35739=""),"",SUMIFS('Barang Keluar'!$E:$E,'Barang Keluar'!$A:$A,M35739,'Barang Keluar'!$C:$C,N35739))</f>
        <v>0</v>
      </c>
    </row>
    <row r="35740" spans="13:16">
      <c r="M35740" s="49">
        <f>IF($A$4+357&gt;$B$4,"",$A$4+357)</f>
        <v>46380</v>
      </c>
      <c r="N35740" t="str">
        <f>IF(M35740="","",'Master Barang'!A34)</f>
        <v>PRL-033</v>
      </c>
      <c r="O35740">
        <f>IF(N35740="","",'Master Barang'!B34)</f>
        <v>0</v>
      </c>
      <c r="P35740">
        <f>IF(OR(M35740="",N35740=""),"",SUMIFS('Barang Keluar'!$E:$E,'Barang Keluar'!$A:$A,M35740,'Barang Keluar'!$C:$C,N35740))</f>
        <v>0</v>
      </c>
    </row>
    <row r="35741" spans="13:16">
      <c r="M35741" s="49">
        <f>IF($A$4+357&gt;$B$4,"",$A$4+357)</f>
        <v>46380</v>
      </c>
      <c r="N35741">
        <f>IF(M35741="","",'Master Barang'!A35)</f>
        <v>0</v>
      </c>
      <c r="O35741">
        <f>IF(N35741="","",'Master Barang'!B35)</f>
        <v>0</v>
      </c>
      <c r="P35741">
        <f>IF(OR(M35741="",N35741=""),"",SUMIFS('Barang Keluar'!$E:$E,'Barang Keluar'!$A:$A,M35741,'Barang Keluar'!$C:$C,N35741))</f>
        <v>0</v>
      </c>
    </row>
    <row r="35742" spans="13:16">
      <c r="M35742" s="49">
        <f>IF($A$4+357&gt;$B$4,"",$A$4+357)</f>
        <v>46380</v>
      </c>
      <c r="N35742">
        <f>IF(M35742="","",'Master Barang'!A36)</f>
        <v>0</v>
      </c>
      <c r="O35742">
        <f>IF(N35742="","",'Master Barang'!B36)</f>
        <v>0</v>
      </c>
      <c r="P35742">
        <f>IF(OR(M35742="",N35742=""),"",SUMIFS('Barang Keluar'!$E:$E,'Barang Keluar'!$A:$A,M35742,'Barang Keluar'!$C:$C,N35742))</f>
        <v>0</v>
      </c>
    </row>
    <row r="35743" spans="13:16">
      <c r="M35743" s="49">
        <f>IF($A$4+357&gt;$B$4,"",$A$4+357)</f>
        <v>46380</v>
      </c>
      <c r="N35743">
        <f>IF(M35743="","",'Master Barang'!A37)</f>
        <v>0</v>
      </c>
      <c r="O35743">
        <f>IF(N35743="","",'Master Barang'!B37)</f>
        <v>0</v>
      </c>
      <c r="P35743">
        <f>IF(OR(M35743="",N35743=""),"",SUMIFS('Barang Keluar'!$E:$E,'Barang Keluar'!$A:$A,M35743,'Barang Keluar'!$C:$C,N35743))</f>
        <v>0</v>
      </c>
    </row>
    <row r="35744" spans="13:16">
      <c r="M35744" s="49">
        <f>IF($A$4+357&gt;$B$4,"",$A$4+357)</f>
        <v>46380</v>
      </c>
      <c r="N35744">
        <f>IF(M35744="","",'Master Barang'!A38)</f>
        <v>0</v>
      </c>
      <c r="O35744">
        <f>IF(N35744="","",'Master Barang'!B38)</f>
        <v>0</v>
      </c>
      <c r="P35744">
        <f>IF(OR(M35744="",N35744=""),"",SUMIFS('Barang Keluar'!$E:$E,'Barang Keluar'!$A:$A,M35744,'Barang Keluar'!$C:$C,N35744))</f>
        <v>0</v>
      </c>
    </row>
    <row r="35745" spans="13:16">
      <c r="M35745" s="49">
        <f>IF($A$4+357&gt;$B$4,"",$A$4+357)</f>
        <v>46380</v>
      </c>
      <c r="N35745">
        <f>IF(M35745="","",'Master Barang'!A39)</f>
        <v>0</v>
      </c>
      <c r="O35745">
        <f>IF(N35745="","",'Master Barang'!B39)</f>
        <v>0</v>
      </c>
      <c r="P35745">
        <f>IF(OR(M35745="",N35745=""),"",SUMIFS('Barang Keluar'!$E:$E,'Barang Keluar'!$A:$A,M35745,'Barang Keluar'!$C:$C,N35745))</f>
        <v>0</v>
      </c>
    </row>
    <row r="35746" spans="13:16">
      <c r="M35746" s="49">
        <f>IF($A$4+357&gt;$B$4,"",$A$4+357)</f>
        <v>46380</v>
      </c>
      <c r="N35746">
        <f>IF(M35746="","",'Master Barang'!A40)</f>
        <v>0</v>
      </c>
      <c r="O35746">
        <f>IF(N35746="","",'Master Barang'!B40)</f>
        <v>0</v>
      </c>
      <c r="P35746">
        <f>IF(OR(M35746="",N35746=""),"",SUMIFS('Barang Keluar'!$E:$E,'Barang Keluar'!$A:$A,M35746,'Barang Keluar'!$C:$C,N35746))</f>
        <v>0</v>
      </c>
    </row>
    <row r="35747" spans="13:16">
      <c r="M35747" s="49">
        <f>IF($A$4+357&gt;$B$4,"",$A$4+357)</f>
        <v>46380</v>
      </c>
      <c r="N35747">
        <f>IF(M35747="","",'Master Barang'!A41)</f>
        <v>0</v>
      </c>
      <c r="O35747">
        <f>IF(N35747="","",'Master Barang'!B41)</f>
        <v>0</v>
      </c>
      <c r="P35747">
        <f>IF(OR(M35747="",N35747=""),"",SUMIFS('Barang Keluar'!$E:$E,'Barang Keluar'!$A:$A,M35747,'Barang Keluar'!$C:$C,N35747))</f>
        <v>0</v>
      </c>
    </row>
    <row r="35748" spans="13:16">
      <c r="M35748" s="49">
        <f>IF($A$4+357&gt;$B$4,"",$A$4+357)</f>
        <v>46380</v>
      </c>
      <c r="N35748">
        <f>IF(M35748="","",'Master Barang'!A42)</f>
        <v>0</v>
      </c>
      <c r="O35748">
        <f>IF(N35748="","",'Master Barang'!B42)</f>
        <v>0</v>
      </c>
      <c r="P35748">
        <f>IF(OR(M35748="",N35748=""),"",SUMIFS('Barang Keluar'!$E:$E,'Barang Keluar'!$A:$A,M35748,'Barang Keluar'!$C:$C,N35748))</f>
        <v>0</v>
      </c>
    </row>
    <row r="35749" spans="13:16">
      <c r="M35749" s="49">
        <f>IF($A$4+357&gt;$B$4,"",$A$4+357)</f>
        <v>46380</v>
      </c>
      <c r="N35749">
        <f>IF(M35749="","",'Master Barang'!A43)</f>
        <v>0</v>
      </c>
      <c r="O35749">
        <f>IF(N35749="","",'Master Barang'!B43)</f>
        <v>0</v>
      </c>
      <c r="P35749">
        <f>IF(OR(M35749="",N35749=""),"",SUMIFS('Barang Keluar'!$E:$E,'Barang Keluar'!$A:$A,M35749,'Barang Keluar'!$C:$C,N35749))</f>
        <v>0</v>
      </c>
    </row>
    <row r="35750" spans="13:16">
      <c r="M35750" s="49">
        <f>IF($A$4+357&gt;$B$4,"",$A$4+357)</f>
        <v>46380</v>
      </c>
      <c r="N35750">
        <f>IF(M35750="","",'Master Barang'!A44)</f>
        <v>0</v>
      </c>
      <c r="O35750">
        <f>IF(N35750="","",'Master Barang'!B44)</f>
        <v>0</v>
      </c>
      <c r="P35750">
        <f>IF(OR(M35750="",N35750=""),"",SUMIFS('Barang Keluar'!$E:$E,'Barang Keluar'!$A:$A,M35750,'Barang Keluar'!$C:$C,N35750))</f>
        <v>0</v>
      </c>
    </row>
    <row r="35751" spans="13:16">
      <c r="M35751" s="49">
        <f>IF($A$4+357&gt;$B$4,"",$A$4+357)</f>
        <v>46380</v>
      </c>
      <c r="N35751">
        <f>IF(M35751="","",'Master Barang'!A45)</f>
        <v>0</v>
      </c>
      <c r="O35751">
        <f>IF(N35751="","",'Master Barang'!B45)</f>
        <v>0</v>
      </c>
      <c r="P35751">
        <f>IF(OR(M35751="",N35751=""),"",SUMIFS('Barang Keluar'!$E:$E,'Barang Keluar'!$A:$A,M35751,'Barang Keluar'!$C:$C,N35751))</f>
        <v>0</v>
      </c>
    </row>
    <row r="35752" spans="13:16">
      <c r="M35752" s="49">
        <f>IF($A$4+357&gt;$B$4,"",$A$4+357)</f>
        <v>46380</v>
      </c>
      <c r="N35752">
        <f>IF(M35752="","",'Master Barang'!A46)</f>
        <v>0</v>
      </c>
      <c r="O35752">
        <f>IF(N35752="","",'Master Barang'!B46)</f>
        <v>0</v>
      </c>
      <c r="P35752">
        <f>IF(OR(M35752="",N35752=""),"",SUMIFS('Barang Keluar'!$E:$E,'Barang Keluar'!$A:$A,M35752,'Barang Keluar'!$C:$C,N35752))</f>
        <v>0</v>
      </c>
    </row>
    <row r="35753" spans="13:16">
      <c r="M35753" s="49">
        <f>IF($A$4+357&gt;$B$4,"",$A$4+357)</f>
        <v>46380</v>
      </c>
      <c r="N35753">
        <f>IF(M35753="","",'Master Barang'!A47)</f>
        <v>0</v>
      </c>
      <c r="O35753">
        <f>IF(N35753="","",'Master Barang'!B47)</f>
        <v>0</v>
      </c>
      <c r="P35753">
        <f>IF(OR(M35753="",N35753=""),"",SUMIFS('Barang Keluar'!$E:$E,'Barang Keluar'!$A:$A,M35753,'Barang Keluar'!$C:$C,N35753))</f>
        <v>0</v>
      </c>
    </row>
    <row r="35754" spans="13:16">
      <c r="M35754" s="49">
        <f>IF($A$4+357&gt;$B$4,"",$A$4+357)</f>
        <v>46380</v>
      </c>
      <c r="N35754">
        <f>IF(M35754="","",'Master Barang'!A48)</f>
        <v>0</v>
      </c>
      <c r="O35754">
        <f>IF(N35754="","",'Master Barang'!B48)</f>
        <v>0</v>
      </c>
      <c r="P35754">
        <f>IF(OR(M35754="",N35754=""),"",SUMIFS('Barang Keluar'!$E:$E,'Barang Keluar'!$A:$A,M35754,'Barang Keluar'!$C:$C,N35754))</f>
        <v>0</v>
      </c>
    </row>
    <row r="35755" spans="13:16">
      <c r="M35755" s="49">
        <f>IF($A$4+357&gt;$B$4,"",$A$4+357)</f>
        <v>46380</v>
      </c>
      <c r="N35755">
        <f>IF(M35755="","",'Master Barang'!A49)</f>
        <v>0</v>
      </c>
      <c r="O35755">
        <f>IF(N35755="","",'Master Barang'!B49)</f>
        <v>0</v>
      </c>
      <c r="P35755">
        <f>IF(OR(M35755="",N35755=""),"",SUMIFS('Barang Keluar'!$E:$E,'Barang Keluar'!$A:$A,M35755,'Barang Keluar'!$C:$C,N35755))</f>
        <v>0</v>
      </c>
    </row>
    <row r="35756" spans="13:16">
      <c r="M35756" s="49">
        <f>IF($A$4+357&gt;$B$4,"",$A$4+357)</f>
        <v>46380</v>
      </c>
      <c r="N35756">
        <f>IF(M35756="","",'Master Barang'!A50)</f>
        <v>0</v>
      </c>
      <c r="O35756">
        <f>IF(N35756="","",'Master Barang'!B50)</f>
        <v>0</v>
      </c>
      <c r="P35756">
        <f>IF(OR(M35756="",N35756=""),"",SUMIFS('Barang Keluar'!$E:$E,'Barang Keluar'!$A:$A,M35756,'Barang Keluar'!$C:$C,N35756))</f>
        <v>0</v>
      </c>
    </row>
    <row r="35757" spans="13:16">
      <c r="M35757" s="49">
        <f>IF($A$4+357&gt;$B$4,"",$A$4+357)</f>
        <v>46380</v>
      </c>
      <c r="N35757">
        <f>IF(M35757="","",'Master Barang'!A51)</f>
        <v>0</v>
      </c>
      <c r="O35757">
        <f>IF(N35757="","",'Master Barang'!B51)</f>
        <v>0</v>
      </c>
      <c r="P35757">
        <f>IF(OR(M35757="",N35757=""),"",SUMIFS('Barang Keluar'!$E:$E,'Barang Keluar'!$A:$A,M35757,'Barang Keluar'!$C:$C,N35757))</f>
        <v>0</v>
      </c>
    </row>
    <row r="35758" spans="13:16">
      <c r="M35758" s="49">
        <f>IF($A$4+357&gt;$B$4,"",$A$4+357)</f>
        <v>46380</v>
      </c>
      <c r="N35758">
        <f>IF(M35758="","",'Master Barang'!A52)</f>
        <v>0</v>
      </c>
      <c r="O35758">
        <f>IF(N35758="","",'Master Barang'!B52)</f>
        <v>0</v>
      </c>
      <c r="P35758">
        <f>IF(OR(M35758="",N35758=""),"",SUMIFS('Barang Keluar'!$E:$E,'Barang Keluar'!$A:$A,M35758,'Barang Keluar'!$C:$C,N35758))</f>
        <v>0</v>
      </c>
    </row>
    <row r="35759" spans="13:16">
      <c r="M35759" s="49">
        <f>IF($A$4+357&gt;$B$4,"",$A$4+357)</f>
        <v>46380</v>
      </c>
      <c r="N35759">
        <f>IF(M35759="","",'Master Barang'!A53)</f>
        <v>0</v>
      </c>
      <c r="O35759">
        <f>IF(N35759="","",'Master Barang'!B53)</f>
        <v>0</v>
      </c>
      <c r="P35759">
        <f>IF(OR(M35759="",N35759=""),"",SUMIFS('Barang Keluar'!$E:$E,'Barang Keluar'!$A:$A,M35759,'Barang Keluar'!$C:$C,N35759))</f>
        <v>0</v>
      </c>
    </row>
    <row r="35760" spans="13:16">
      <c r="M35760" s="49">
        <f>IF($A$4+357&gt;$B$4,"",$A$4+357)</f>
        <v>46380</v>
      </c>
      <c r="N35760">
        <f>IF(M35760="","",'Master Barang'!A54)</f>
        <v>0</v>
      </c>
      <c r="O35760">
        <f>IF(N35760="","",'Master Barang'!B54)</f>
        <v>0</v>
      </c>
      <c r="P35760">
        <f>IF(OR(M35760="",N35760=""),"",SUMIFS('Barang Keluar'!$E:$E,'Barang Keluar'!$A:$A,M35760,'Barang Keluar'!$C:$C,N35760))</f>
        <v>0</v>
      </c>
    </row>
    <row r="35761" spans="13:16">
      <c r="M35761" s="49">
        <f>IF($A$4+357&gt;$B$4,"",$A$4+357)</f>
        <v>46380</v>
      </c>
      <c r="N35761">
        <f>IF(M35761="","",'Master Barang'!A55)</f>
        <v>0</v>
      </c>
      <c r="O35761">
        <f>IF(N35761="","",'Master Barang'!B55)</f>
        <v>0</v>
      </c>
      <c r="P35761">
        <f>IF(OR(M35761="",N35761=""),"",SUMIFS('Barang Keluar'!$E:$E,'Barang Keluar'!$A:$A,M35761,'Barang Keluar'!$C:$C,N35761))</f>
        <v>0</v>
      </c>
    </row>
    <row r="35762" spans="13:16">
      <c r="M35762" s="49">
        <f>IF($A$4+357&gt;$B$4,"",$A$4+357)</f>
        <v>46380</v>
      </c>
      <c r="N35762">
        <f>IF(M35762="","",'Master Barang'!A56)</f>
        <v>0</v>
      </c>
      <c r="O35762">
        <f>IF(N35762="","",'Master Barang'!B56)</f>
        <v>0</v>
      </c>
      <c r="P35762">
        <f>IF(OR(M35762="",N35762=""),"",SUMIFS('Barang Keluar'!$E:$E,'Barang Keluar'!$A:$A,M35762,'Barang Keluar'!$C:$C,N35762))</f>
        <v>0</v>
      </c>
    </row>
    <row r="35763" spans="13:16">
      <c r="M35763" s="49">
        <f>IF($A$4+357&gt;$B$4,"",$A$4+357)</f>
        <v>46380</v>
      </c>
      <c r="N35763">
        <f>IF(M35763="","",'Master Barang'!A57)</f>
        <v>0</v>
      </c>
      <c r="O35763">
        <f>IF(N35763="","",'Master Barang'!B57)</f>
        <v>0</v>
      </c>
      <c r="P35763">
        <f>IF(OR(M35763="",N35763=""),"",SUMIFS('Barang Keluar'!$E:$E,'Barang Keluar'!$A:$A,M35763,'Barang Keluar'!$C:$C,N35763))</f>
        <v>0</v>
      </c>
    </row>
    <row r="35764" spans="13:16">
      <c r="M35764" s="49">
        <f>IF($A$4+357&gt;$B$4,"",$A$4+357)</f>
        <v>46380</v>
      </c>
      <c r="N35764">
        <f>IF(M35764="","",'Master Barang'!A58)</f>
        <v>0</v>
      </c>
      <c r="O35764">
        <f>IF(N35764="","",'Master Barang'!B58)</f>
        <v>0</v>
      </c>
      <c r="P35764">
        <f>IF(OR(M35764="",N35764=""),"",SUMIFS('Barang Keluar'!$E:$E,'Barang Keluar'!$A:$A,M35764,'Barang Keluar'!$C:$C,N35764))</f>
        <v>0</v>
      </c>
    </row>
    <row r="35765" spans="13:16">
      <c r="M35765" s="49">
        <f>IF($A$4+357&gt;$B$4,"",$A$4+357)</f>
        <v>46380</v>
      </c>
      <c r="N35765">
        <f>IF(M35765="","",'Master Barang'!A59)</f>
        <v>0</v>
      </c>
      <c r="O35765">
        <f>IF(N35765="","",'Master Barang'!B59)</f>
        <v>0</v>
      </c>
      <c r="P35765">
        <f>IF(OR(M35765="",N35765=""),"",SUMIFS('Barang Keluar'!$E:$E,'Barang Keluar'!$A:$A,M35765,'Barang Keluar'!$C:$C,N35765))</f>
        <v>0</v>
      </c>
    </row>
    <row r="35766" spans="13:16">
      <c r="M35766" s="49">
        <f>IF($A$4+357&gt;$B$4,"",$A$4+357)</f>
        <v>46380</v>
      </c>
      <c r="N35766">
        <f>IF(M35766="","",'Master Barang'!A60)</f>
        <v>0</v>
      </c>
      <c r="O35766">
        <f>IF(N35766="","",'Master Barang'!B60)</f>
        <v>0</v>
      </c>
      <c r="P35766">
        <f>IF(OR(M35766="",N35766=""),"",SUMIFS('Barang Keluar'!$E:$E,'Barang Keluar'!$A:$A,M35766,'Barang Keluar'!$C:$C,N35766))</f>
        <v>0</v>
      </c>
    </row>
    <row r="35767" spans="13:16">
      <c r="M35767" s="49">
        <f>IF($A$4+357&gt;$B$4,"",$A$4+357)</f>
        <v>46380</v>
      </c>
      <c r="N35767">
        <f>IF(M35767="","",'Master Barang'!A61)</f>
        <v>0</v>
      </c>
      <c r="O35767">
        <f>IF(N35767="","",'Master Barang'!B61)</f>
        <v>0</v>
      </c>
      <c r="P35767">
        <f>IF(OR(M35767="",N35767=""),"",SUMIFS('Barang Keluar'!$E:$E,'Barang Keluar'!$A:$A,M35767,'Barang Keluar'!$C:$C,N35767))</f>
        <v>0</v>
      </c>
    </row>
    <row r="35768" spans="13:16">
      <c r="M35768" s="49">
        <f>IF($A$4+357&gt;$B$4,"",$A$4+357)</f>
        <v>46380</v>
      </c>
      <c r="N35768">
        <f>IF(M35768="","",'Master Barang'!A62)</f>
        <v>0</v>
      </c>
      <c r="O35768">
        <f>IF(N35768="","",'Master Barang'!B62)</f>
        <v>0</v>
      </c>
      <c r="P35768">
        <f>IF(OR(M35768="",N35768=""),"",SUMIFS('Barang Keluar'!$E:$E,'Barang Keluar'!$A:$A,M35768,'Barang Keluar'!$C:$C,N35768))</f>
        <v>0</v>
      </c>
    </row>
    <row r="35769" spans="13:16">
      <c r="M35769" s="49">
        <f>IF($A$4+357&gt;$B$4,"",$A$4+357)</f>
        <v>46380</v>
      </c>
      <c r="N35769">
        <f>IF(M35769="","",'Master Barang'!A63)</f>
        <v>0</v>
      </c>
      <c r="O35769">
        <f>IF(N35769="","",'Master Barang'!B63)</f>
        <v>0</v>
      </c>
      <c r="P35769">
        <f>IF(OR(M35769="",N35769=""),"",SUMIFS('Barang Keluar'!$E:$E,'Barang Keluar'!$A:$A,M35769,'Barang Keluar'!$C:$C,N35769))</f>
        <v>0</v>
      </c>
    </row>
    <row r="35770" spans="13:16">
      <c r="M35770" s="49">
        <f>IF($A$4+357&gt;$B$4,"",$A$4+357)</f>
        <v>46380</v>
      </c>
      <c r="N35770">
        <f>IF(M35770="","",'Master Barang'!A64)</f>
        <v>0</v>
      </c>
      <c r="O35770">
        <f>IF(N35770="","",'Master Barang'!B64)</f>
        <v>0</v>
      </c>
      <c r="P35770">
        <f>IF(OR(M35770="",N35770=""),"",SUMIFS('Barang Keluar'!$E:$E,'Barang Keluar'!$A:$A,M35770,'Barang Keluar'!$C:$C,N35770))</f>
        <v>0</v>
      </c>
    </row>
    <row r="35771" spans="13:16">
      <c r="M35771" s="49">
        <f>IF($A$4+357&gt;$B$4,"",$A$4+357)</f>
        <v>46380</v>
      </c>
      <c r="N35771">
        <f>IF(M35771="","",'Master Barang'!A65)</f>
        <v>0</v>
      </c>
      <c r="O35771">
        <f>IF(N35771="","",'Master Barang'!B65)</f>
        <v>0</v>
      </c>
      <c r="P35771">
        <f>IF(OR(M35771="",N35771=""),"",SUMIFS('Barang Keluar'!$E:$E,'Barang Keluar'!$A:$A,M35771,'Barang Keluar'!$C:$C,N35771))</f>
        <v>0</v>
      </c>
    </row>
    <row r="35772" spans="13:16">
      <c r="M35772" s="49">
        <f>IF($A$4+357&gt;$B$4,"",$A$4+357)</f>
        <v>46380</v>
      </c>
      <c r="N35772">
        <f>IF(M35772="","",'Master Barang'!A66)</f>
        <v>0</v>
      </c>
      <c r="O35772">
        <f>IF(N35772="","",'Master Barang'!B66)</f>
        <v>0</v>
      </c>
      <c r="P35772">
        <f>IF(OR(M35772="",N35772=""),"",SUMIFS('Barang Keluar'!$E:$E,'Barang Keluar'!$A:$A,M35772,'Barang Keluar'!$C:$C,N35772))</f>
        <v>0</v>
      </c>
    </row>
    <row r="35773" spans="13:16">
      <c r="M35773" s="49">
        <f>IF($A$4+357&gt;$B$4,"",$A$4+357)</f>
        <v>46380</v>
      </c>
      <c r="N35773">
        <f>IF(M35773="","",'Master Barang'!A67)</f>
        <v>0</v>
      </c>
      <c r="O35773">
        <f>IF(N35773="","",'Master Barang'!B67)</f>
        <v>0</v>
      </c>
      <c r="P35773">
        <f>IF(OR(M35773="",N35773=""),"",SUMIFS('Barang Keluar'!$E:$E,'Barang Keluar'!$A:$A,M35773,'Barang Keluar'!$C:$C,N35773))</f>
        <v>0</v>
      </c>
    </row>
    <row r="35774" spans="13:16">
      <c r="M35774" s="49">
        <f>IF($A$4+357&gt;$B$4,"",$A$4+357)</f>
        <v>46380</v>
      </c>
      <c r="N35774">
        <f>IF(M35774="","",'Master Barang'!A68)</f>
        <v>0</v>
      </c>
      <c r="O35774">
        <f>IF(N35774="","",'Master Barang'!B68)</f>
        <v>0</v>
      </c>
      <c r="P35774">
        <f>IF(OR(M35774="",N35774=""),"",SUMIFS('Barang Keluar'!$E:$E,'Barang Keluar'!$A:$A,M35774,'Barang Keluar'!$C:$C,N35774))</f>
        <v>0</v>
      </c>
    </row>
    <row r="35775" spans="13:16">
      <c r="M35775" s="49">
        <f>IF($A$4+357&gt;$B$4,"",$A$4+357)</f>
        <v>46380</v>
      </c>
      <c r="N35775">
        <f>IF(M35775="","",'Master Barang'!A69)</f>
        <v>0</v>
      </c>
      <c r="O35775">
        <f>IF(N35775="","",'Master Barang'!B69)</f>
        <v>0</v>
      </c>
      <c r="P35775">
        <f>IF(OR(M35775="",N35775=""),"",SUMIFS('Barang Keluar'!$E:$E,'Barang Keluar'!$A:$A,M35775,'Barang Keluar'!$C:$C,N35775))</f>
        <v>0</v>
      </c>
    </row>
    <row r="35776" spans="13:16">
      <c r="M35776" s="49">
        <f>IF($A$4+357&gt;$B$4,"",$A$4+357)</f>
        <v>46380</v>
      </c>
      <c r="N35776">
        <f>IF(M35776="","",'Master Barang'!A70)</f>
        <v>0</v>
      </c>
      <c r="O35776">
        <f>IF(N35776="","",'Master Barang'!B70)</f>
        <v>0</v>
      </c>
      <c r="P35776">
        <f>IF(OR(M35776="",N35776=""),"",SUMIFS('Barang Keluar'!$E:$E,'Barang Keluar'!$A:$A,M35776,'Barang Keluar'!$C:$C,N35776))</f>
        <v>0</v>
      </c>
    </row>
    <row r="35777" spans="13:16">
      <c r="M35777" s="49">
        <f>IF($A$4+357&gt;$B$4,"",$A$4+357)</f>
        <v>46380</v>
      </c>
      <c r="N35777">
        <f>IF(M35777="","",'Master Barang'!A71)</f>
        <v>0</v>
      </c>
      <c r="O35777">
        <f>IF(N35777="","",'Master Barang'!B71)</f>
        <v>0</v>
      </c>
      <c r="P35777">
        <f>IF(OR(M35777="",N35777=""),"",SUMIFS('Barang Keluar'!$E:$E,'Barang Keluar'!$A:$A,M35777,'Barang Keluar'!$C:$C,N35777))</f>
        <v>0</v>
      </c>
    </row>
    <row r="35778" spans="13:16">
      <c r="M35778" s="49">
        <f>IF($A$4+357&gt;$B$4,"",$A$4+357)</f>
        <v>46380</v>
      </c>
      <c r="N35778">
        <f>IF(M35778="","",'Master Barang'!A72)</f>
        <v>0</v>
      </c>
      <c r="O35778">
        <f>IF(N35778="","",'Master Barang'!B72)</f>
        <v>0</v>
      </c>
      <c r="P35778">
        <f>IF(OR(M35778="",N35778=""),"",SUMIFS('Barang Keluar'!$E:$E,'Barang Keluar'!$A:$A,M35778,'Barang Keluar'!$C:$C,N35778))</f>
        <v>0</v>
      </c>
    </row>
    <row r="35779" spans="13:16">
      <c r="M35779" s="49">
        <f>IF($A$4+357&gt;$B$4,"",$A$4+357)</f>
        <v>46380</v>
      </c>
      <c r="N35779">
        <f>IF(M35779="","",'Master Barang'!A73)</f>
        <v>0</v>
      </c>
      <c r="O35779">
        <f>IF(N35779="","",'Master Barang'!B73)</f>
        <v>0</v>
      </c>
      <c r="P35779">
        <f>IF(OR(M35779="",N35779=""),"",SUMIFS('Barang Keluar'!$E:$E,'Barang Keluar'!$A:$A,M35779,'Barang Keluar'!$C:$C,N35779))</f>
        <v>0</v>
      </c>
    </row>
    <row r="35780" spans="13:16">
      <c r="M35780" s="49">
        <f>IF($A$4+357&gt;$B$4,"",$A$4+357)</f>
        <v>46380</v>
      </c>
      <c r="N35780">
        <f>IF(M35780="","",'Master Barang'!A74)</f>
        <v>0</v>
      </c>
      <c r="O35780">
        <f>IF(N35780="","",'Master Barang'!B74)</f>
        <v>0</v>
      </c>
      <c r="P35780">
        <f>IF(OR(M35780="",N35780=""),"",SUMIFS('Barang Keluar'!$E:$E,'Barang Keluar'!$A:$A,M35780,'Barang Keluar'!$C:$C,N35780))</f>
        <v>0</v>
      </c>
    </row>
    <row r="35781" spans="13:16">
      <c r="M35781" s="49">
        <f>IF($A$4+357&gt;$B$4,"",$A$4+357)</f>
        <v>46380</v>
      </c>
      <c r="N35781">
        <f>IF(M35781="","",'Master Barang'!A75)</f>
        <v>0</v>
      </c>
      <c r="O35781">
        <f>IF(N35781="","",'Master Barang'!B75)</f>
        <v>0</v>
      </c>
      <c r="P35781">
        <f>IF(OR(M35781="",N35781=""),"",SUMIFS('Barang Keluar'!$E:$E,'Barang Keluar'!$A:$A,M35781,'Barang Keluar'!$C:$C,N35781))</f>
        <v>0</v>
      </c>
    </row>
    <row r="35782" spans="13:16">
      <c r="M35782" s="49">
        <f>IF($A$4+357&gt;$B$4,"",$A$4+357)</f>
        <v>46380</v>
      </c>
      <c r="N35782">
        <f>IF(M35782="","",'Master Barang'!A76)</f>
        <v>0</v>
      </c>
      <c r="O35782">
        <f>IF(N35782="","",'Master Barang'!B76)</f>
        <v>0</v>
      </c>
      <c r="P35782">
        <f>IF(OR(M35782="",N35782=""),"",SUMIFS('Barang Keluar'!$E:$E,'Barang Keluar'!$A:$A,M35782,'Barang Keluar'!$C:$C,N35782))</f>
        <v>0</v>
      </c>
    </row>
    <row r="35783" spans="13:16">
      <c r="M35783" s="49">
        <f>IF($A$4+357&gt;$B$4,"",$A$4+357)</f>
        <v>46380</v>
      </c>
      <c r="N35783">
        <f>IF(M35783="","",'Master Barang'!A77)</f>
        <v>0</v>
      </c>
      <c r="O35783">
        <f>IF(N35783="","",'Master Barang'!B77)</f>
        <v>0</v>
      </c>
      <c r="P35783">
        <f>IF(OR(M35783="",N35783=""),"",SUMIFS('Barang Keluar'!$E:$E,'Barang Keluar'!$A:$A,M35783,'Barang Keluar'!$C:$C,N35783))</f>
        <v>0</v>
      </c>
    </row>
    <row r="35784" spans="13:16">
      <c r="M35784" s="49">
        <f>IF($A$4+357&gt;$B$4,"",$A$4+357)</f>
        <v>46380</v>
      </c>
      <c r="N35784">
        <f>IF(M35784="","",'Master Barang'!A78)</f>
        <v>0</v>
      </c>
      <c r="O35784">
        <f>IF(N35784="","",'Master Barang'!B78)</f>
        <v>0</v>
      </c>
      <c r="P35784">
        <f>IF(OR(M35784="",N35784=""),"",SUMIFS('Barang Keluar'!$E:$E,'Barang Keluar'!$A:$A,M35784,'Barang Keluar'!$C:$C,N35784))</f>
        <v>0</v>
      </c>
    </row>
    <row r="35785" spans="13:16">
      <c r="M35785" s="49">
        <f>IF($A$4+357&gt;$B$4,"",$A$4+357)</f>
        <v>46380</v>
      </c>
      <c r="N35785">
        <f>IF(M35785="","",'Master Barang'!A79)</f>
        <v>0</v>
      </c>
      <c r="O35785">
        <f>IF(N35785="","",'Master Barang'!B79)</f>
        <v>0</v>
      </c>
      <c r="P35785">
        <f>IF(OR(M35785="",N35785=""),"",SUMIFS('Barang Keluar'!$E:$E,'Barang Keluar'!$A:$A,M35785,'Barang Keluar'!$C:$C,N35785))</f>
        <v>0</v>
      </c>
    </row>
    <row r="35786" spans="13:16">
      <c r="M35786" s="49">
        <f>IF($A$4+357&gt;$B$4,"",$A$4+357)</f>
        <v>46380</v>
      </c>
      <c r="N35786">
        <f>IF(M35786="","",'Master Barang'!A80)</f>
        <v>0</v>
      </c>
      <c r="O35786">
        <f>IF(N35786="","",'Master Barang'!B80)</f>
        <v>0</v>
      </c>
      <c r="P35786">
        <f>IF(OR(M35786="",N35786=""),"",SUMIFS('Barang Keluar'!$E:$E,'Barang Keluar'!$A:$A,M35786,'Barang Keluar'!$C:$C,N35786))</f>
        <v>0</v>
      </c>
    </row>
    <row r="35787" spans="13:16">
      <c r="M35787" s="49">
        <f>IF($A$4+357&gt;$B$4,"",$A$4+357)</f>
        <v>46380</v>
      </c>
      <c r="N35787">
        <f>IF(M35787="","",'Master Barang'!A81)</f>
        <v>0</v>
      </c>
      <c r="O35787">
        <f>IF(N35787="","",'Master Barang'!B81)</f>
        <v>0</v>
      </c>
      <c r="P35787">
        <f>IF(OR(M35787="",N35787=""),"",SUMIFS('Barang Keluar'!$E:$E,'Barang Keluar'!$A:$A,M35787,'Barang Keluar'!$C:$C,N35787))</f>
        <v>0</v>
      </c>
    </row>
    <row r="35788" spans="13:16">
      <c r="M35788" s="49">
        <f>IF($A$4+357&gt;$B$4,"",$A$4+357)</f>
        <v>46380</v>
      </c>
      <c r="N35788">
        <f>IF(M35788="","",'Master Barang'!A82)</f>
        <v>0</v>
      </c>
      <c r="O35788">
        <f>IF(N35788="","",'Master Barang'!B82)</f>
        <v>0</v>
      </c>
      <c r="P35788">
        <f>IF(OR(M35788="",N35788=""),"",SUMIFS('Barang Keluar'!$E:$E,'Barang Keluar'!$A:$A,M35788,'Barang Keluar'!$C:$C,N35788))</f>
        <v>0</v>
      </c>
    </row>
    <row r="35789" spans="13:16">
      <c r="M35789" s="49">
        <f>IF($A$4+357&gt;$B$4,"",$A$4+357)</f>
        <v>46380</v>
      </c>
      <c r="N35789">
        <f>IF(M35789="","",'Master Barang'!A83)</f>
        <v>0</v>
      </c>
      <c r="O35789">
        <f>IF(N35789="","",'Master Barang'!B83)</f>
        <v>0</v>
      </c>
      <c r="P35789">
        <f>IF(OR(M35789="",N35789=""),"",SUMIFS('Barang Keluar'!$E:$E,'Barang Keluar'!$A:$A,M35789,'Barang Keluar'!$C:$C,N35789))</f>
        <v>0</v>
      </c>
    </row>
    <row r="35790" spans="13:16">
      <c r="M35790" s="49">
        <f>IF($A$4+357&gt;$B$4,"",$A$4+357)</f>
        <v>46380</v>
      </c>
      <c r="N35790">
        <f>IF(M35790="","",'Master Barang'!A84)</f>
        <v>0</v>
      </c>
      <c r="O35790">
        <f>IF(N35790="","",'Master Barang'!B84)</f>
        <v>0</v>
      </c>
      <c r="P35790">
        <f>IF(OR(M35790="",N35790=""),"",SUMIFS('Barang Keluar'!$E:$E,'Barang Keluar'!$A:$A,M35790,'Barang Keluar'!$C:$C,N35790))</f>
        <v>0</v>
      </c>
    </row>
    <row r="35791" spans="13:16">
      <c r="M35791" s="49">
        <f>IF($A$4+357&gt;$B$4,"",$A$4+357)</f>
        <v>46380</v>
      </c>
      <c r="N35791">
        <f>IF(M35791="","",'Master Barang'!A85)</f>
        <v>0</v>
      </c>
      <c r="O35791">
        <f>IF(N35791="","",'Master Barang'!B85)</f>
        <v>0</v>
      </c>
      <c r="P35791">
        <f>IF(OR(M35791="",N35791=""),"",SUMIFS('Barang Keluar'!$E:$E,'Barang Keluar'!$A:$A,M35791,'Barang Keluar'!$C:$C,N35791))</f>
        <v>0</v>
      </c>
    </row>
    <row r="35792" spans="13:16">
      <c r="M35792" s="49">
        <f>IF($A$4+357&gt;$B$4,"",$A$4+357)</f>
        <v>46380</v>
      </c>
      <c r="N35792">
        <f>IF(M35792="","",'Master Barang'!A86)</f>
        <v>0</v>
      </c>
      <c r="O35792">
        <f>IF(N35792="","",'Master Barang'!B86)</f>
        <v>0</v>
      </c>
      <c r="P35792">
        <f>IF(OR(M35792="",N35792=""),"",SUMIFS('Barang Keluar'!$E:$E,'Barang Keluar'!$A:$A,M35792,'Barang Keluar'!$C:$C,N35792))</f>
        <v>0</v>
      </c>
    </row>
    <row r="35793" spans="13:16">
      <c r="M35793" s="49">
        <f>IF($A$4+357&gt;$B$4,"",$A$4+357)</f>
        <v>46380</v>
      </c>
      <c r="N35793">
        <f>IF(M35793="","",'Master Barang'!A87)</f>
        <v>0</v>
      </c>
      <c r="O35793">
        <f>IF(N35793="","",'Master Barang'!B87)</f>
        <v>0</v>
      </c>
      <c r="P35793">
        <f>IF(OR(M35793="",N35793=""),"",SUMIFS('Barang Keluar'!$E:$E,'Barang Keluar'!$A:$A,M35793,'Barang Keluar'!$C:$C,N35793))</f>
        <v>0</v>
      </c>
    </row>
    <row r="35794" spans="13:16">
      <c r="M35794" s="49">
        <f>IF($A$4+357&gt;$B$4,"",$A$4+357)</f>
        <v>46380</v>
      </c>
      <c r="N35794">
        <f>IF(M35794="","",'Master Barang'!A88)</f>
        <v>0</v>
      </c>
      <c r="O35794">
        <f>IF(N35794="","",'Master Barang'!B88)</f>
        <v>0</v>
      </c>
      <c r="P35794">
        <f>IF(OR(M35794="",N35794=""),"",SUMIFS('Barang Keluar'!$E:$E,'Barang Keluar'!$A:$A,M35794,'Barang Keluar'!$C:$C,N35794))</f>
        <v>0</v>
      </c>
    </row>
    <row r="35795" spans="13:16">
      <c r="M35795" s="49">
        <f>IF($A$4+357&gt;$B$4,"",$A$4+357)</f>
        <v>46380</v>
      </c>
      <c r="N35795">
        <f>IF(M35795="","",'Master Barang'!A89)</f>
        <v>0</v>
      </c>
      <c r="O35795">
        <f>IF(N35795="","",'Master Barang'!B89)</f>
        <v>0</v>
      </c>
      <c r="P35795">
        <f>IF(OR(M35795="",N35795=""),"",SUMIFS('Barang Keluar'!$E:$E,'Barang Keluar'!$A:$A,M35795,'Barang Keluar'!$C:$C,N35795))</f>
        <v>0</v>
      </c>
    </row>
    <row r="35796" spans="13:16">
      <c r="M35796" s="49">
        <f>IF($A$4+357&gt;$B$4,"",$A$4+357)</f>
        <v>46380</v>
      </c>
      <c r="N35796">
        <f>IF(M35796="","",'Master Barang'!A90)</f>
        <v>0</v>
      </c>
      <c r="O35796">
        <f>IF(N35796="","",'Master Barang'!B90)</f>
        <v>0</v>
      </c>
      <c r="P35796">
        <f>IF(OR(M35796="",N35796=""),"",SUMIFS('Barang Keluar'!$E:$E,'Barang Keluar'!$A:$A,M35796,'Barang Keluar'!$C:$C,N35796))</f>
        <v>0</v>
      </c>
    </row>
    <row r="35797" spans="13:16">
      <c r="M35797" s="49">
        <f>IF($A$4+357&gt;$B$4,"",$A$4+357)</f>
        <v>46380</v>
      </c>
      <c r="N35797">
        <f>IF(M35797="","",'Master Barang'!A91)</f>
        <v>0</v>
      </c>
      <c r="O35797">
        <f>IF(N35797="","",'Master Barang'!B91)</f>
        <v>0</v>
      </c>
      <c r="P35797">
        <f>IF(OR(M35797="",N35797=""),"",SUMIFS('Barang Keluar'!$E:$E,'Barang Keluar'!$A:$A,M35797,'Barang Keluar'!$C:$C,N35797))</f>
        <v>0</v>
      </c>
    </row>
    <row r="35798" spans="13:16">
      <c r="M35798" s="49">
        <f>IF($A$4+357&gt;$B$4,"",$A$4+357)</f>
        <v>46380</v>
      </c>
      <c r="N35798">
        <f>IF(M35798="","",'Master Barang'!A92)</f>
        <v>0</v>
      </c>
      <c r="O35798">
        <f>IF(N35798="","",'Master Barang'!B92)</f>
        <v>0</v>
      </c>
      <c r="P35798">
        <f>IF(OR(M35798="",N35798=""),"",SUMIFS('Barang Keluar'!$E:$E,'Barang Keluar'!$A:$A,M35798,'Barang Keluar'!$C:$C,N35798))</f>
        <v>0</v>
      </c>
    </row>
    <row r="35799" spans="13:16">
      <c r="M35799" s="49">
        <f>IF($A$4+357&gt;$B$4,"",$A$4+357)</f>
        <v>46380</v>
      </c>
      <c r="N35799">
        <f>IF(M35799="","",'Master Barang'!A93)</f>
        <v>0</v>
      </c>
      <c r="O35799">
        <f>IF(N35799="","",'Master Barang'!B93)</f>
        <v>0</v>
      </c>
      <c r="P35799">
        <f>IF(OR(M35799="",N35799=""),"",SUMIFS('Barang Keluar'!$E:$E,'Barang Keluar'!$A:$A,M35799,'Barang Keluar'!$C:$C,N35799))</f>
        <v>0</v>
      </c>
    </row>
    <row r="35800" spans="13:16">
      <c r="M35800" s="49">
        <f>IF($A$4+357&gt;$B$4,"",$A$4+357)</f>
        <v>46380</v>
      </c>
      <c r="N35800">
        <f>IF(M35800="","",'Master Barang'!A94)</f>
        <v>0</v>
      </c>
      <c r="O35800">
        <f>IF(N35800="","",'Master Barang'!B94)</f>
        <v>0</v>
      </c>
      <c r="P35800">
        <f>IF(OR(M35800="",N35800=""),"",SUMIFS('Barang Keluar'!$E:$E,'Barang Keluar'!$A:$A,M35800,'Barang Keluar'!$C:$C,N35800))</f>
        <v>0</v>
      </c>
    </row>
    <row r="35801" spans="13:16">
      <c r="M35801" s="49">
        <f>IF($A$4+357&gt;$B$4,"",$A$4+357)</f>
        <v>46380</v>
      </c>
      <c r="N35801">
        <f>IF(M35801="","",'Master Barang'!A95)</f>
        <v>0</v>
      </c>
      <c r="O35801">
        <f>IF(N35801="","",'Master Barang'!B95)</f>
        <v>0</v>
      </c>
      <c r="P35801">
        <f>IF(OR(M35801="",N35801=""),"",SUMIFS('Barang Keluar'!$E:$E,'Barang Keluar'!$A:$A,M35801,'Barang Keluar'!$C:$C,N35801))</f>
        <v>0</v>
      </c>
    </row>
    <row r="35802" spans="13:16">
      <c r="M35802" s="49">
        <f>IF($A$4+357&gt;$B$4,"",$A$4+357)</f>
        <v>46380</v>
      </c>
      <c r="N35802">
        <f>IF(M35802="","",'Master Barang'!A96)</f>
        <v>0</v>
      </c>
      <c r="O35802">
        <f>IF(N35802="","",'Master Barang'!B96)</f>
        <v>0</v>
      </c>
      <c r="P35802">
        <f>IF(OR(M35802="",N35802=""),"",SUMIFS('Barang Keluar'!$E:$E,'Barang Keluar'!$A:$A,M35802,'Barang Keluar'!$C:$C,N35802))</f>
        <v>0</v>
      </c>
    </row>
    <row r="35803" spans="13:16">
      <c r="M35803" s="49">
        <f>IF($A$4+357&gt;$B$4,"",$A$4+357)</f>
        <v>46380</v>
      </c>
      <c r="N35803">
        <f>IF(M35803="","",'Master Barang'!A97)</f>
        <v>0</v>
      </c>
      <c r="O35803">
        <f>IF(N35803="","",'Master Barang'!B97)</f>
        <v>0</v>
      </c>
      <c r="P35803">
        <f>IF(OR(M35803="",N35803=""),"",SUMIFS('Barang Keluar'!$E:$E,'Barang Keluar'!$A:$A,M35803,'Barang Keluar'!$C:$C,N35803))</f>
        <v>0</v>
      </c>
    </row>
    <row r="35804" spans="13:16">
      <c r="M35804" s="49">
        <f>IF($A$4+357&gt;$B$4,"",$A$4+357)</f>
        <v>46380</v>
      </c>
      <c r="N35804">
        <f>IF(M35804="","",'Master Barang'!A98)</f>
        <v>0</v>
      </c>
      <c r="O35804">
        <f>IF(N35804="","",'Master Barang'!B98)</f>
        <v>0</v>
      </c>
      <c r="P35804">
        <f>IF(OR(M35804="",N35804=""),"",SUMIFS('Barang Keluar'!$E:$E,'Barang Keluar'!$A:$A,M35804,'Barang Keluar'!$C:$C,N35804))</f>
        <v>0</v>
      </c>
    </row>
    <row r="35805" spans="13:16">
      <c r="M35805" s="49">
        <f>IF($A$4+357&gt;$B$4,"",$A$4+357)</f>
        <v>46380</v>
      </c>
      <c r="N35805">
        <f>IF(M35805="","",'Master Barang'!A99)</f>
        <v>0</v>
      </c>
      <c r="O35805">
        <f>IF(N35805="","",'Master Barang'!B99)</f>
        <v>0</v>
      </c>
      <c r="P35805">
        <f>IF(OR(M35805="",N35805=""),"",SUMIFS('Barang Keluar'!$E:$E,'Barang Keluar'!$A:$A,M35805,'Barang Keluar'!$C:$C,N35805))</f>
        <v>0</v>
      </c>
    </row>
    <row r="35806" spans="13:16">
      <c r="M35806" s="49">
        <f>IF($A$4+357&gt;$B$4,"",$A$4+357)</f>
        <v>46380</v>
      </c>
      <c r="N35806">
        <f>IF(M35806="","",'Master Barang'!A100)</f>
        <v>0</v>
      </c>
      <c r="O35806">
        <f>IF(N35806="","",'Master Barang'!B100)</f>
        <v>0</v>
      </c>
      <c r="P35806">
        <f>IF(OR(M35806="",N35806=""),"",SUMIFS('Barang Keluar'!$E:$E,'Barang Keluar'!$A:$A,M35806,'Barang Keluar'!$C:$C,N35806))</f>
        <v>0</v>
      </c>
    </row>
    <row r="35807" spans="13:16">
      <c r="M35807" s="49">
        <f>IF($A$4+357&gt;$B$4,"",$A$4+357)</f>
        <v>46380</v>
      </c>
      <c r="N35807">
        <f>IF(M35807="","",'Master Barang'!A101)</f>
        <v>0</v>
      </c>
      <c r="O35807">
        <f>IF(N35807="","",'Master Barang'!B101)</f>
        <v>0</v>
      </c>
      <c r="P35807">
        <f>IF(OR(M35807="",N35807=""),"",SUMIFS('Barang Keluar'!$E:$E,'Barang Keluar'!$A:$A,M35807,'Barang Keluar'!$C:$C,N35807))</f>
        <v>0</v>
      </c>
    </row>
    <row r="35808" spans="13:16">
      <c r="M35808" s="49">
        <f>IF($A$4+358&gt;$B$4,"",$A$4+358)</f>
        <v>46381</v>
      </c>
      <c r="N35808" t="str">
        <f>IF(M35808="","",'Master Barang'!A2)</f>
        <v>PRL-001</v>
      </c>
      <c r="O35808" t="str">
        <f>IF(N35808="","",'Master Barang'!B2)</f>
        <v>natura desinfectant food grade 5l</v>
      </c>
      <c r="P35808">
        <f>IF(OR(M35808="",N35808=""),"",SUMIFS('Barang Keluar'!$E:$E,'Barang Keluar'!$A:$A,M35808,'Barang Keluar'!$C:$C,N35808))</f>
        <v>0</v>
      </c>
    </row>
    <row r="35809" spans="13:16">
      <c r="M35809" s="49">
        <f>IF($A$4+358&gt;$B$4,"",$A$4+358)</f>
        <v>46381</v>
      </c>
      <c r="N35809" t="str">
        <f>IF(M35809="","",'Master Barang'!A3)</f>
        <v>PRL-002</v>
      </c>
      <c r="O35809" t="str">
        <f>IF(N35809="","",'Master Barang'!B3)</f>
        <v>sunlight cairan pencuci piring 5l</v>
      </c>
      <c r="P35809">
        <f>IF(OR(M35809="",N35809=""),"",SUMIFS('Barang Keluar'!$E:$E,'Barang Keluar'!$A:$A,M35809,'Barang Keluar'!$C:$C,N35809))</f>
        <v>0</v>
      </c>
    </row>
    <row r="35810" spans="13:16">
      <c r="M35810" s="49">
        <f>IF($A$4+358&gt;$B$4,"",$A$4+358)</f>
        <v>46381</v>
      </c>
      <c r="N35810" t="str">
        <f>IF(M35810="","",'Master Barang'!A4)</f>
        <v>PRL-003</v>
      </c>
      <c r="O35810" t="str">
        <f>IF(N35810="","",'Master Barang'!B4)</f>
        <v>oixs cleaner 1l</v>
      </c>
      <c r="P35810">
        <f>IF(OR(M35810="",N35810=""),"",SUMIFS('Barang Keluar'!$E:$E,'Barang Keluar'!$A:$A,M35810,'Barang Keluar'!$C:$C,N35810))</f>
        <v>0</v>
      </c>
    </row>
    <row r="35811" spans="13:16">
      <c r="M35811" s="49">
        <f>IF($A$4+358&gt;$B$4,"",$A$4+358)</f>
        <v>46381</v>
      </c>
      <c r="N35811" t="str">
        <f>IF(M35811="","",'Master Barang'!A5)</f>
        <v>PRL-004</v>
      </c>
      <c r="O35811" t="str">
        <f>IF(N35811="","",'Master Barang'!B5)</f>
        <v>be clean tissue serbaguna</v>
      </c>
      <c r="P35811">
        <f>IF(OR(M35811="",N35811=""),"",SUMIFS('Barang Keluar'!$E:$E,'Barang Keluar'!$A:$A,M35811,'Barang Keluar'!$C:$C,N35811))</f>
        <v>0</v>
      </c>
    </row>
    <row r="35812" spans="13:16">
      <c r="M35812" s="49">
        <f>IF($A$4+358&gt;$B$4,"",$A$4+358)</f>
        <v>46381</v>
      </c>
      <c r="N35812" t="str">
        <f>IF(M35812="","",'Master Barang'!A6)</f>
        <v>PRL-005</v>
      </c>
      <c r="O35812" t="str">
        <f>IF(N35812="","",'Master Barang'!B6)</f>
        <v>spons cuci hijau</v>
      </c>
      <c r="P35812">
        <f>IF(OR(M35812="",N35812=""),"",SUMIFS('Barang Keluar'!$E:$E,'Barang Keluar'!$A:$A,M35812,'Barang Keluar'!$C:$C,N35812))</f>
        <v>0</v>
      </c>
    </row>
    <row r="35813" spans="13:16">
      <c r="M35813" s="49">
        <f>IF($A$4+358&gt;$B$4,"",$A$4+358)</f>
        <v>46381</v>
      </c>
      <c r="N35813" t="str">
        <f>IF(M35813="","",'Master Barang'!A7)</f>
        <v>PRL-006</v>
      </c>
      <c r="O35813" t="str">
        <f>IF(N35813="","",'Master Barang'!B7)</f>
        <v>sabut cuci stainless</v>
      </c>
      <c r="P35813">
        <f>IF(OR(M35813="",N35813=""),"",SUMIFS('Barang Keluar'!$E:$E,'Barang Keluar'!$A:$A,M35813,'Barang Keluar'!$C:$C,N35813))</f>
        <v>0</v>
      </c>
    </row>
    <row r="35814" spans="13:16">
      <c r="M35814" s="49">
        <f>IF($A$4+358&gt;$B$4,"",$A$4+358)</f>
        <v>46381</v>
      </c>
      <c r="N35814" t="str">
        <f>IF(M35814="","",'Master Barang'!A8)</f>
        <v>PRL-007</v>
      </c>
      <c r="O35814" t="str">
        <f>IF(N35814="","",'Master Barang'!B8)</f>
        <v>plastik kresek besar merah 50pc</v>
      </c>
      <c r="P35814">
        <f>IF(OR(M35814="",N35814=""),"",SUMIFS('Barang Keluar'!$E:$E,'Barang Keluar'!$A:$A,M35814,'Barang Keluar'!$C:$C,N35814))</f>
        <v>0</v>
      </c>
    </row>
    <row r="35815" spans="13:16">
      <c r="M35815" s="49">
        <f>IF($A$4+358&gt;$B$4,"",$A$4+358)</f>
        <v>46381</v>
      </c>
      <c r="N35815" t="str">
        <f>IF(M35815="","",'Master Barang'!A9)</f>
        <v>PRL-008</v>
      </c>
      <c r="O35815" t="str">
        <f>IF(N35815="","",'Master Barang'!B9)</f>
        <v>lap besar</v>
      </c>
      <c r="P35815">
        <f>IF(OR(M35815="",N35815=""),"",SUMIFS('Barang Keluar'!$E:$E,'Barang Keluar'!$A:$A,M35815,'Barang Keluar'!$C:$C,N35815))</f>
        <v>0</v>
      </c>
    </row>
    <row r="35816" spans="13:16">
      <c r="M35816" s="49">
        <f>IF($A$4+358&gt;$B$4,"",$A$4+358)</f>
        <v>46381</v>
      </c>
      <c r="N35816" t="str">
        <f>IF(M35816="","",'Master Barang'!A10)</f>
        <v>PRL-009</v>
      </c>
      <c r="O35816" t="str">
        <f>IF(N35816="","",'Master Barang'!B10)</f>
        <v>lap microfiber</v>
      </c>
      <c r="P35816">
        <f>IF(OR(M35816="",N35816=""),"",SUMIFS('Barang Keluar'!$E:$E,'Barang Keluar'!$A:$A,M35816,'Barang Keluar'!$C:$C,N35816))</f>
        <v>0</v>
      </c>
    </row>
    <row r="35817" spans="13:16">
      <c r="M35817" s="49">
        <f>IF($A$4+358&gt;$B$4,"",$A$4+358)</f>
        <v>46381</v>
      </c>
      <c r="N35817" t="str">
        <f>IF(M35817="","",'Master Barang'!A11)</f>
        <v>PRL-010</v>
      </c>
      <c r="O35817" t="str">
        <f>IF(N35817="","",'Master Barang'!B11)</f>
        <v>lap kecil</v>
      </c>
      <c r="P35817">
        <f>IF(OR(M35817="",N35817=""),"",SUMIFS('Barang Keluar'!$E:$E,'Barang Keluar'!$A:$A,M35817,'Barang Keluar'!$C:$C,N35817))</f>
        <v>0</v>
      </c>
    </row>
    <row r="35818" spans="13:16">
      <c r="M35818" s="49">
        <f>IF($A$4+358&gt;$B$4,"",$A$4+358)</f>
        <v>46381</v>
      </c>
      <c r="N35818" t="str">
        <f>IF(M35818="","",'Master Barang'!A12)</f>
        <v>PRL-011</v>
      </c>
      <c r="O35818" t="str">
        <f>IF(N35818="","",'Master Barang'!B12)</f>
        <v>kanebo kecil</v>
      </c>
      <c r="P35818">
        <f>IF(OR(M35818="",N35818=""),"",SUMIFS('Barang Keluar'!$E:$E,'Barang Keluar'!$A:$A,M35818,'Barang Keluar'!$C:$C,N35818))</f>
        <v>0</v>
      </c>
    </row>
    <row r="35819" spans="13:16">
      <c r="M35819" s="49">
        <f>IF($A$4+358&gt;$B$4,"",$A$4+358)</f>
        <v>46381</v>
      </c>
      <c r="N35819" t="str">
        <f>IF(M35819="","",'Master Barang'!A13)</f>
        <v>PRL-012</v>
      </c>
      <c r="O35819" t="str">
        <f>IF(N35819="","",'Master Barang'!B13)</f>
        <v>plastik 1/4kg joyoboyo 100 lembar</v>
      </c>
      <c r="P35819">
        <f>IF(OR(M35819="",N35819=""),"",SUMIFS('Barang Keluar'!$E:$E,'Barang Keluar'!$A:$A,M35819,'Barang Keluar'!$C:$C,N35819))</f>
        <v>0</v>
      </c>
    </row>
    <row r="35820" spans="13:16">
      <c r="M35820" s="49">
        <f>IF($A$4+358&gt;$B$4,"",$A$4+358)</f>
        <v>46381</v>
      </c>
      <c r="N35820" t="str">
        <f>IF(M35820="","",'Master Barang'!A14)</f>
        <v>PRL-013</v>
      </c>
      <c r="O35820" t="str">
        <f>IF(N35820="","",'Master Barang'!B14)</f>
        <v>sarung tangan plastik kaka 100 pcs</v>
      </c>
      <c r="P35820">
        <f>IF(OR(M35820="",N35820=""),"",SUMIFS('Barang Keluar'!$E:$E,'Barang Keluar'!$A:$A,M35820,'Barang Keluar'!$C:$C,N35820))</f>
        <v>0</v>
      </c>
    </row>
    <row r="35821" spans="13:16">
      <c r="M35821" s="49">
        <f>IF($A$4+358&gt;$B$4,"",$A$4+358)</f>
        <v>46381</v>
      </c>
      <c r="N35821" t="str">
        <f>IF(M35821="","",'Master Barang'!A15)</f>
        <v>PRL-014</v>
      </c>
      <c r="O35821" t="str">
        <f>IF(N35821="","",'Master Barang'!B15)</f>
        <v>optima trashbag 80x100</v>
      </c>
      <c r="P35821">
        <f>IF(OR(M35821="",N35821=""),"",SUMIFS('Barang Keluar'!$E:$E,'Barang Keluar'!$A:$A,M35821,'Barang Keluar'!$C:$C,N35821))</f>
        <v>0</v>
      </c>
    </row>
    <row r="35822" spans="13:16">
      <c r="M35822" s="49">
        <f>IF($A$4+358&gt;$B$4,"",$A$4+358)</f>
        <v>46381</v>
      </c>
      <c r="N35822" t="str">
        <f>IF(M35822="","",'Master Barang'!A16)</f>
        <v>PRL-015</v>
      </c>
      <c r="O35822" t="str">
        <f>IF(N35822="","",'Master Barang'!B16)</f>
        <v>optima trashbag 60x100</v>
      </c>
      <c r="P35822">
        <f>IF(OR(M35822="",N35822=""),"",SUMIFS('Barang Keluar'!$E:$E,'Barang Keluar'!$A:$A,M35822,'Barang Keluar'!$C:$C,N35822))</f>
        <v>0</v>
      </c>
    </row>
    <row r="35823" spans="13:16">
      <c r="M35823" s="49">
        <f>IF($A$4+358&gt;$B$4,"",$A$4+358)</f>
        <v>46381</v>
      </c>
      <c r="N35823" t="str">
        <f>IF(M35823="","",'Master Barang'!A17)</f>
        <v>PRL-016</v>
      </c>
      <c r="O35823" t="str">
        <f>IF(N35823="","",'Master Barang'!B17)</f>
        <v>rajawali trashbag 30x40</v>
      </c>
      <c r="P35823">
        <f>IF(OR(M35823="",N35823=""),"",SUMIFS('Barang Keluar'!$E:$E,'Barang Keluar'!$A:$A,M35823,'Barang Keluar'!$C:$C,N35823))</f>
        <v>0</v>
      </c>
    </row>
    <row r="35824" spans="13:16">
      <c r="M35824" s="49">
        <f>IF($A$4+358&gt;$B$4,"",$A$4+358)</f>
        <v>46381</v>
      </c>
      <c r="N35824" t="str">
        <f>IF(M35824="","",'Master Barang'!A18)</f>
        <v>PRL-017</v>
      </c>
      <c r="O35824" t="str">
        <f>IF(N35824="","",'Master Barang'!B18)</f>
        <v>onemed masker biru 3 play 50 pcs</v>
      </c>
      <c r="P35824">
        <f>IF(OR(M35824="",N35824=""),"",SUMIFS('Barang Keluar'!$E:$E,'Barang Keluar'!$A:$A,M35824,'Barang Keluar'!$C:$C,N35824))</f>
        <v>0</v>
      </c>
    </row>
    <row r="35825" spans="13:16">
      <c r="M35825" s="49">
        <f>IF($A$4+358&gt;$B$4,"",$A$4+358)</f>
        <v>46381</v>
      </c>
      <c r="N35825" t="str">
        <f>IF(M35825="","",'Master Barang'!A19)</f>
        <v>PRL-018</v>
      </c>
      <c r="O35825" t="str">
        <f>IF(N35825="","",'Master Barang'!B19)</f>
        <v>onemed masker biru 3 play hijab 50 pcs</v>
      </c>
      <c r="P35825">
        <f>IF(OR(M35825="",N35825=""),"",SUMIFS('Barang Keluar'!$E:$E,'Barang Keluar'!$A:$A,M35825,'Barang Keluar'!$C:$C,N35825))</f>
        <v>0</v>
      </c>
    </row>
    <row r="35826" spans="13:16">
      <c r="M35826" s="49">
        <f>IF($A$4+358&gt;$B$4,"",$A$4+358)</f>
        <v>46381</v>
      </c>
      <c r="N35826" t="str">
        <f>IF(M35826="","",'Master Barang'!A20)</f>
        <v>PRL-019</v>
      </c>
      <c r="O35826" t="str">
        <f>IF(N35826="","",'Master Barang'!B20)</f>
        <v>neo health masker biru 3 play 50 pcs</v>
      </c>
      <c r="P35826">
        <f>IF(OR(M35826="",N35826=""),"",SUMIFS('Barang Keluar'!$E:$E,'Barang Keluar'!$A:$A,M35826,'Barang Keluar'!$C:$C,N35826))</f>
        <v>0</v>
      </c>
    </row>
    <row r="35827" spans="13:16">
      <c r="M35827" s="49">
        <f>IF($A$4+358&gt;$B$4,"",$A$4+358)</f>
        <v>46381</v>
      </c>
      <c r="N35827" t="str">
        <f>IF(M35827="","",'Master Barang'!A21)</f>
        <v>PRL-020</v>
      </c>
      <c r="O35827" t="str">
        <f>IF(N35827="","",'Master Barang'!B21)</f>
        <v>baymed masker hijau 3 play hijau 50 pcs</v>
      </c>
      <c r="P35827">
        <f>IF(OR(M35827="",N35827=""),"",SUMIFS('Barang Keluar'!$E:$E,'Barang Keluar'!$A:$A,M35827,'Barang Keluar'!$C:$C,N35827))</f>
        <v>0</v>
      </c>
    </row>
    <row r="35828" spans="13:16">
      <c r="M35828" s="49">
        <f>IF($A$4+358&gt;$B$4,"",$A$4+358)</f>
        <v>46381</v>
      </c>
      <c r="N35828" t="str">
        <f>IF(M35828="","",'Master Barang'!A22)</f>
        <v>PRL-021</v>
      </c>
      <c r="O35828" t="str">
        <f>IF(N35828="","",'Master Barang'!B22)</f>
        <v>altamed nurse cap penutup kepala 100 pcs</v>
      </c>
      <c r="P35828">
        <f>IF(OR(M35828="",N35828=""),"",SUMIFS('Barang Keluar'!$E:$E,'Barang Keluar'!$A:$A,M35828,'Barang Keluar'!$C:$C,N35828))</f>
        <v>0</v>
      </c>
    </row>
    <row r="35829" spans="13:16">
      <c r="M35829" s="49">
        <f>IF($A$4+358&gt;$B$4,"",$A$4+358)</f>
        <v>46381</v>
      </c>
      <c r="N35829" t="str">
        <f>IF(M35829="","",'Master Barang'!A23)</f>
        <v>PRL-022</v>
      </c>
      <c r="O35829" t="str">
        <f>IF(N35829="","",'Master Barang'!B23)</f>
        <v>sabun cuci tangan</v>
      </c>
      <c r="P35829">
        <f>IF(OR(M35829="",N35829=""),"",SUMIFS('Barang Keluar'!$E:$E,'Barang Keluar'!$A:$A,M35829,'Barang Keluar'!$C:$C,N35829))</f>
        <v>0</v>
      </c>
    </row>
    <row r="35830" spans="13:16">
      <c r="M35830" s="49">
        <f>IF($A$4+358&gt;$B$4,"",$A$4+358)</f>
        <v>46381</v>
      </c>
      <c r="N35830" t="str">
        <f>IF(M35830="","",'Master Barang'!A24)</f>
        <v>PRL-023</v>
      </c>
      <c r="O35830" t="str">
        <f>IF(N35830="","",'Master Barang'!B24)</f>
        <v>gayung kecil</v>
      </c>
      <c r="P35830">
        <f>IF(OR(M35830="",N35830=""),"",SUMIFS('Barang Keluar'!$E:$E,'Barang Keluar'!$A:$A,M35830,'Barang Keluar'!$C:$C,N35830))</f>
        <v>0</v>
      </c>
    </row>
    <row r="35831" spans="13:16">
      <c r="M35831" s="49">
        <f>IF($A$4+358&gt;$B$4,"",$A$4+358)</f>
        <v>46381</v>
      </c>
      <c r="N35831" t="str">
        <f>IF(M35831="","",'Master Barang'!A25)</f>
        <v>PRL-024</v>
      </c>
      <c r="O35831" t="str">
        <f>IF(N35831="","",'Master Barang'!B25)</f>
        <v>cikrak kecil</v>
      </c>
      <c r="P35831">
        <f>IF(OR(M35831="",N35831=""),"",SUMIFS('Barang Keluar'!$E:$E,'Barang Keluar'!$A:$A,M35831,'Barang Keluar'!$C:$C,N35831))</f>
        <v>0</v>
      </c>
    </row>
    <row r="35832" spans="13:16">
      <c r="M35832" s="49">
        <f>IF($A$4+358&gt;$B$4,"",$A$4+358)</f>
        <v>46381</v>
      </c>
      <c r="N35832" t="str">
        <f>IF(M35832="","",'Master Barang'!A26)</f>
        <v>PRL-025</v>
      </c>
      <c r="O35832" t="str">
        <f>IF(N35832="","",'Master Barang'!B26)</f>
        <v>petromax plastik kecil 12x24 100 lembar</v>
      </c>
      <c r="P35832">
        <f>IF(OR(M35832="",N35832=""),"",SUMIFS('Barang Keluar'!$E:$E,'Barang Keluar'!$A:$A,M35832,'Barang Keluar'!$C:$C,N35832))</f>
        <v>0</v>
      </c>
    </row>
    <row r="35833" spans="13:16">
      <c r="M35833" s="49">
        <f>IF($A$4+358&gt;$B$4,"",$A$4+358)</f>
        <v>46381</v>
      </c>
      <c r="N35833" t="str">
        <f>IF(M35833="","",'Master Barang'!A27)</f>
        <v>PRL-026</v>
      </c>
      <c r="O35833" t="str">
        <f>IF(N35833="","",'Master Barang'!B27)</f>
        <v>lancar kresek kecil bening </v>
      </c>
      <c r="P35833">
        <f>IF(OR(M35833="",N35833=""),"",SUMIFS('Barang Keluar'!$E:$E,'Barang Keluar'!$A:$A,M35833,'Barang Keluar'!$C:$C,N35833))</f>
        <v>0</v>
      </c>
    </row>
    <row r="35834" spans="13:16">
      <c r="M35834" s="49">
        <f>IF($A$4+358&gt;$B$4,"",$A$4+358)</f>
        <v>46381</v>
      </c>
      <c r="N35834" t="str">
        <f>IF(M35834="","",'Master Barang'!A28)</f>
        <v>PRL-027</v>
      </c>
      <c r="O35834" t="str">
        <f>IF(N35834="","",'Master Barang'!B28)</f>
        <v>kresek klin warna warni kecil</v>
      </c>
      <c r="P35834">
        <f>IF(OR(M35834="",N35834=""),"",SUMIFS('Barang Keluar'!$E:$E,'Barang Keluar'!$A:$A,M35834,'Barang Keluar'!$C:$C,N35834))</f>
        <v>0</v>
      </c>
    </row>
    <row r="35835" spans="13:16">
      <c r="M35835" s="49">
        <f>IF($A$4+358&gt;$B$4,"",$A$4+358)</f>
        <v>46381</v>
      </c>
      <c r="N35835" t="str">
        <f>IF(M35835="","",'Master Barang'!A29)</f>
        <v>PRL-028</v>
      </c>
      <c r="O35835" t="str">
        <f>IF(N35835="","",'Master Barang'!B29)</f>
        <v>ctik plastik 7x10 100 pcs</v>
      </c>
      <c r="P35835">
        <f>IF(OR(M35835="",N35835=""),"",SUMIFS('Barang Keluar'!$E:$E,'Barang Keluar'!$A:$A,M35835,'Barang Keluar'!$C:$C,N35835))</f>
        <v>0</v>
      </c>
    </row>
    <row r="35836" spans="13:16">
      <c r="M35836" s="49">
        <f>IF($A$4+358&gt;$B$4,"",$A$4+358)</f>
        <v>46381</v>
      </c>
      <c r="N35836" t="str">
        <f>IF(M35836="","",'Master Barang'!A30)</f>
        <v>PRL-029</v>
      </c>
      <c r="O35836" t="str">
        <f>IF(N35836="","",'Master Barang'!B30)</f>
        <v>ctik plastik 6x10 100 pcs</v>
      </c>
      <c r="P35836">
        <f>IF(OR(M35836="",N35836=""),"",SUMIFS('Barang Keluar'!$E:$E,'Barang Keluar'!$A:$A,M35836,'Barang Keluar'!$C:$C,N35836))</f>
        <v>0</v>
      </c>
    </row>
    <row r="35837" spans="13:16">
      <c r="M35837" s="49">
        <f>IF($A$4+358&gt;$B$4,"",$A$4+358)</f>
        <v>46381</v>
      </c>
      <c r="N35837" t="str">
        <f>IF(M35837="","",'Master Barang'!A31)</f>
        <v>PRL-030</v>
      </c>
      <c r="O35837" t="str">
        <f>IF(N35837="","",'Master Barang'!B31)</f>
        <v>klip plastik 25x16 100 pcs</v>
      </c>
      <c r="P35837">
        <f>IF(OR(M35837="",N35837=""),"",SUMIFS('Barang Keluar'!$E:$E,'Barang Keluar'!$A:$A,M35837,'Barang Keluar'!$C:$C,N35837))</f>
        <v>0</v>
      </c>
    </row>
    <row r="35838" spans="13:16">
      <c r="M35838" s="49">
        <f>IF($A$4+358&gt;$B$4,"",$A$4+358)</f>
        <v>46381</v>
      </c>
      <c r="N35838" t="str">
        <f>IF(M35838="","",'Master Barang'!A32)</f>
        <v>PRL-031</v>
      </c>
      <c r="O35838" t="str">
        <f>IF(N35838="","",'Master Barang'!B32)</f>
        <v>tempat saus 20 ml</v>
      </c>
      <c r="P35838">
        <f>IF(OR(M35838="",N35838=""),"",SUMIFS('Barang Keluar'!$E:$E,'Barang Keluar'!$A:$A,M35838,'Barang Keluar'!$C:$C,N35838))</f>
        <v>0</v>
      </c>
    </row>
    <row r="35839" spans="13:16">
      <c r="M35839" s="49">
        <f>IF($A$4+358&gt;$B$4,"",$A$4+358)</f>
        <v>46381</v>
      </c>
      <c r="N35839" t="str">
        <f>IF(M35839="","",'Master Barang'!A33)</f>
        <v>PRL-032</v>
      </c>
      <c r="O35839" t="str">
        <f>IF(N35839="","",'Master Barang'!B33)</f>
        <v>plastik packaging ag box uk sedang</v>
      </c>
      <c r="P35839">
        <f>IF(OR(M35839="",N35839=""),"",SUMIFS('Barang Keluar'!$E:$E,'Barang Keluar'!$A:$A,M35839,'Barang Keluar'!$C:$C,N35839))</f>
        <v>0</v>
      </c>
    </row>
    <row r="35840" spans="13:16">
      <c r="M35840" s="49">
        <f>IF($A$4+358&gt;$B$4,"",$A$4+358)</f>
        <v>46381</v>
      </c>
      <c r="N35840" t="str">
        <f>IF(M35840="","",'Master Barang'!A34)</f>
        <v>PRL-033</v>
      </c>
      <c r="O35840">
        <f>IF(N35840="","",'Master Barang'!B34)</f>
        <v>0</v>
      </c>
      <c r="P35840">
        <f>IF(OR(M35840="",N35840=""),"",SUMIFS('Barang Keluar'!$E:$E,'Barang Keluar'!$A:$A,M35840,'Barang Keluar'!$C:$C,N35840))</f>
        <v>0</v>
      </c>
    </row>
    <row r="35841" spans="13:16">
      <c r="M35841" s="49">
        <f>IF($A$4+358&gt;$B$4,"",$A$4+358)</f>
        <v>46381</v>
      </c>
      <c r="N35841">
        <f>IF(M35841="","",'Master Barang'!A35)</f>
        <v>0</v>
      </c>
      <c r="O35841">
        <f>IF(N35841="","",'Master Barang'!B35)</f>
        <v>0</v>
      </c>
      <c r="P35841">
        <f>IF(OR(M35841="",N35841=""),"",SUMIFS('Barang Keluar'!$E:$E,'Barang Keluar'!$A:$A,M35841,'Barang Keluar'!$C:$C,N35841))</f>
        <v>0</v>
      </c>
    </row>
    <row r="35842" spans="13:16">
      <c r="M35842" s="49">
        <f>IF($A$4+358&gt;$B$4,"",$A$4+358)</f>
        <v>46381</v>
      </c>
      <c r="N35842">
        <f>IF(M35842="","",'Master Barang'!A36)</f>
        <v>0</v>
      </c>
      <c r="O35842">
        <f>IF(N35842="","",'Master Barang'!B36)</f>
        <v>0</v>
      </c>
      <c r="P35842">
        <f>IF(OR(M35842="",N35842=""),"",SUMIFS('Barang Keluar'!$E:$E,'Barang Keluar'!$A:$A,M35842,'Barang Keluar'!$C:$C,N35842))</f>
        <v>0</v>
      </c>
    </row>
    <row r="35843" spans="13:16">
      <c r="M35843" s="49">
        <f>IF($A$4+358&gt;$B$4,"",$A$4+358)</f>
        <v>46381</v>
      </c>
      <c r="N35843">
        <f>IF(M35843="","",'Master Barang'!A37)</f>
        <v>0</v>
      </c>
      <c r="O35843">
        <f>IF(N35843="","",'Master Barang'!B37)</f>
        <v>0</v>
      </c>
      <c r="P35843">
        <f>IF(OR(M35843="",N35843=""),"",SUMIFS('Barang Keluar'!$E:$E,'Barang Keluar'!$A:$A,M35843,'Barang Keluar'!$C:$C,N35843))</f>
        <v>0</v>
      </c>
    </row>
    <row r="35844" spans="13:16">
      <c r="M35844" s="49">
        <f>IF($A$4+358&gt;$B$4,"",$A$4+358)</f>
        <v>46381</v>
      </c>
      <c r="N35844">
        <f>IF(M35844="","",'Master Barang'!A38)</f>
        <v>0</v>
      </c>
      <c r="O35844">
        <f>IF(N35844="","",'Master Barang'!B38)</f>
        <v>0</v>
      </c>
      <c r="P35844">
        <f>IF(OR(M35844="",N35844=""),"",SUMIFS('Barang Keluar'!$E:$E,'Barang Keluar'!$A:$A,M35844,'Barang Keluar'!$C:$C,N35844))</f>
        <v>0</v>
      </c>
    </row>
    <row r="35845" spans="13:16">
      <c r="M35845" s="49">
        <f>IF($A$4+358&gt;$B$4,"",$A$4+358)</f>
        <v>46381</v>
      </c>
      <c r="N35845">
        <f>IF(M35845="","",'Master Barang'!A39)</f>
        <v>0</v>
      </c>
      <c r="O35845">
        <f>IF(N35845="","",'Master Barang'!B39)</f>
        <v>0</v>
      </c>
      <c r="P35845">
        <f>IF(OR(M35845="",N35845=""),"",SUMIFS('Barang Keluar'!$E:$E,'Barang Keluar'!$A:$A,M35845,'Barang Keluar'!$C:$C,N35845))</f>
        <v>0</v>
      </c>
    </row>
    <row r="35846" spans="13:16">
      <c r="M35846" s="49">
        <f>IF($A$4+358&gt;$B$4,"",$A$4+358)</f>
        <v>46381</v>
      </c>
      <c r="N35846">
        <f>IF(M35846="","",'Master Barang'!A40)</f>
        <v>0</v>
      </c>
      <c r="O35846">
        <f>IF(N35846="","",'Master Barang'!B40)</f>
        <v>0</v>
      </c>
      <c r="P35846">
        <f>IF(OR(M35846="",N35846=""),"",SUMIFS('Barang Keluar'!$E:$E,'Barang Keluar'!$A:$A,M35846,'Barang Keluar'!$C:$C,N35846))</f>
        <v>0</v>
      </c>
    </row>
    <row r="35847" spans="13:16">
      <c r="M35847" s="49">
        <f>IF($A$4+358&gt;$B$4,"",$A$4+358)</f>
        <v>46381</v>
      </c>
      <c r="N35847">
        <f>IF(M35847="","",'Master Barang'!A41)</f>
        <v>0</v>
      </c>
      <c r="O35847">
        <f>IF(N35847="","",'Master Barang'!B41)</f>
        <v>0</v>
      </c>
      <c r="P35847">
        <f>IF(OR(M35847="",N35847=""),"",SUMIFS('Barang Keluar'!$E:$E,'Barang Keluar'!$A:$A,M35847,'Barang Keluar'!$C:$C,N35847))</f>
        <v>0</v>
      </c>
    </row>
    <row r="35848" spans="13:16">
      <c r="M35848" s="49">
        <f>IF($A$4+358&gt;$B$4,"",$A$4+358)</f>
        <v>46381</v>
      </c>
      <c r="N35848">
        <f>IF(M35848="","",'Master Barang'!A42)</f>
        <v>0</v>
      </c>
      <c r="O35848">
        <f>IF(N35848="","",'Master Barang'!B42)</f>
        <v>0</v>
      </c>
      <c r="P35848">
        <f>IF(OR(M35848="",N35848=""),"",SUMIFS('Barang Keluar'!$E:$E,'Barang Keluar'!$A:$A,M35848,'Barang Keluar'!$C:$C,N35848))</f>
        <v>0</v>
      </c>
    </row>
    <row r="35849" spans="13:16">
      <c r="M35849" s="49">
        <f>IF($A$4+358&gt;$B$4,"",$A$4+358)</f>
        <v>46381</v>
      </c>
      <c r="N35849">
        <f>IF(M35849="","",'Master Barang'!A43)</f>
        <v>0</v>
      </c>
      <c r="O35849">
        <f>IF(N35849="","",'Master Barang'!B43)</f>
        <v>0</v>
      </c>
      <c r="P35849">
        <f>IF(OR(M35849="",N35849=""),"",SUMIFS('Barang Keluar'!$E:$E,'Barang Keluar'!$A:$A,M35849,'Barang Keluar'!$C:$C,N35849))</f>
        <v>0</v>
      </c>
    </row>
    <row r="35850" spans="13:16">
      <c r="M35850" s="49">
        <f>IF($A$4+358&gt;$B$4,"",$A$4+358)</f>
        <v>46381</v>
      </c>
      <c r="N35850">
        <f>IF(M35850="","",'Master Barang'!A44)</f>
        <v>0</v>
      </c>
      <c r="O35850">
        <f>IF(N35850="","",'Master Barang'!B44)</f>
        <v>0</v>
      </c>
      <c r="P35850">
        <f>IF(OR(M35850="",N35850=""),"",SUMIFS('Barang Keluar'!$E:$E,'Barang Keluar'!$A:$A,M35850,'Barang Keluar'!$C:$C,N35850))</f>
        <v>0</v>
      </c>
    </row>
    <row r="35851" spans="13:16">
      <c r="M35851" s="49">
        <f>IF($A$4+358&gt;$B$4,"",$A$4+358)</f>
        <v>46381</v>
      </c>
      <c r="N35851">
        <f>IF(M35851="","",'Master Barang'!A45)</f>
        <v>0</v>
      </c>
      <c r="O35851">
        <f>IF(N35851="","",'Master Barang'!B45)</f>
        <v>0</v>
      </c>
      <c r="P35851">
        <f>IF(OR(M35851="",N35851=""),"",SUMIFS('Barang Keluar'!$E:$E,'Barang Keluar'!$A:$A,M35851,'Barang Keluar'!$C:$C,N35851))</f>
        <v>0</v>
      </c>
    </row>
    <row r="35852" spans="13:16">
      <c r="M35852" s="49">
        <f>IF($A$4+358&gt;$B$4,"",$A$4+358)</f>
        <v>46381</v>
      </c>
      <c r="N35852">
        <f>IF(M35852="","",'Master Barang'!A46)</f>
        <v>0</v>
      </c>
      <c r="O35852">
        <f>IF(N35852="","",'Master Barang'!B46)</f>
        <v>0</v>
      </c>
      <c r="P35852">
        <f>IF(OR(M35852="",N35852=""),"",SUMIFS('Barang Keluar'!$E:$E,'Barang Keluar'!$A:$A,M35852,'Barang Keluar'!$C:$C,N35852))</f>
        <v>0</v>
      </c>
    </row>
    <row r="35853" spans="13:16">
      <c r="M35853" s="49">
        <f>IF($A$4+358&gt;$B$4,"",$A$4+358)</f>
        <v>46381</v>
      </c>
      <c r="N35853">
        <f>IF(M35853="","",'Master Barang'!A47)</f>
        <v>0</v>
      </c>
      <c r="O35853">
        <f>IF(N35853="","",'Master Barang'!B47)</f>
        <v>0</v>
      </c>
      <c r="P35853">
        <f>IF(OR(M35853="",N35853=""),"",SUMIFS('Barang Keluar'!$E:$E,'Barang Keluar'!$A:$A,M35853,'Barang Keluar'!$C:$C,N35853))</f>
        <v>0</v>
      </c>
    </row>
    <row r="35854" spans="13:16">
      <c r="M35854" s="49">
        <f>IF($A$4+358&gt;$B$4,"",$A$4+358)</f>
        <v>46381</v>
      </c>
      <c r="N35854">
        <f>IF(M35854="","",'Master Barang'!A48)</f>
        <v>0</v>
      </c>
      <c r="O35854">
        <f>IF(N35854="","",'Master Barang'!B48)</f>
        <v>0</v>
      </c>
      <c r="P35854">
        <f>IF(OR(M35854="",N35854=""),"",SUMIFS('Barang Keluar'!$E:$E,'Barang Keluar'!$A:$A,M35854,'Barang Keluar'!$C:$C,N35854))</f>
        <v>0</v>
      </c>
    </row>
    <row r="35855" spans="13:16">
      <c r="M35855" s="49">
        <f>IF($A$4+358&gt;$B$4,"",$A$4+358)</f>
        <v>46381</v>
      </c>
      <c r="N35855">
        <f>IF(M35855="","",'Master Barang'!A49)</f>
        <v>0</v>
      </c>
      <c r="O35855">
        <f>IF(N35855="","",'Master Barang'!B49)</f>
        <v>0</v>
      </c>
      <c r="P35855">
        <f>IF(OR(M35855="",N35855=""),"",SUMIFS('Barang Keluar'!$E:$E,'Barang Keluar'!$A:$A,M35855,'Barang Keluar'!$C:$C,N35855))</f>
        <v>0</v>
      </c>
    </row>
    <row r="35856" spans="13:16">
      <c r="M35856" s="49">
        <f>IF($A$4+358&gt;$B$4,"",$A$4+358)</f>
        <v>46381</v>
      </c>
      <c r="N35856">
        <f>IF(M35856="","",'Master Barang'!A50)</f>
        <v>0</v>
      </c>
      <c r="O35856">
        <f>IF(N35856="","",'Master Barang'!B50)</f>
        <v>0</v>
      </c>
      <c r="P35856">
        <f>IF(OR(M35856="",N35856=""),"",SUMIFS('Barang Keluar'!$E:$E,'Barang Keluar'!$A:$A,M35856,'Barang Keluar'!$C:$C,N35856))</f>
        <v>0</v>
      </c>
    </row>
    <row r="35857" spans="13:16">
      <c r="M35857" s="49">
        <f>IF($A$4+358&gt;$B$4,"",$A$4+358)</f>
        <v>46381</v>
      </c>
      <c r="N35857">
        <f>IF(M35857="","",'Master Barang'!A51)</f>
        <v>0</v>
      </c>
      <c r="O35857">
        <f>IF(N35857="","",'Master Barang'!B51)</f>
        <v>0</v>
      </c>
      <c r="P35857">
        <f>IF(OR(M35857="",N35857=""),"",SUMIFS('Barang Keluar'!$E:$E,'Barang Keluar'!$A:$A,M35857,'Barang Keluar'!$C:$C,N35857))</f>
        <v>0</v>
      </c>
    </row>
    <row r="35858" spans="13:16">
      <c r="M35858" s="49">
        <f>IF($A$4+358&gt;$B$4,"",$A$4+358)</f>
        <v>46381</v>
      </c>
      <c r="N35858">
        <f>IF(M35858="","",'Master Barang'!A52)</f>
        <v>0</v>
      </c>
      <c r="O35858">
        <f>IF(N35858="","",'Master Barang'!B52)</f>
        <v>0</v>
      </c>
      <c r="P35858">
        <f>IF(OR(M35858="",N35858=""),"",SUMIFS('Barang Keluar'!$E:$E,'Barang Keluar'!$A:$A,M35858,'Barang Keluar'!$C:$C,N35858))</f>
        <v>0</v>
      </c>
    </row>
    <row r="35859" spans="13:16">
      <c r="M35859" s="49">
        <f>IF($A$4+358&gt;$B$4,"",$A$4+358)</f>
        <v>46381</v>
      </c>
      <c r="N35859">
        <f>IF(M35859="","",'Master Barang'!A53)</f>
        <v>0</v>
      </c>
      <c r="O35859">
        <f>IF(N35859="","",'Master Barang'!B53)</f>
        <v>0</v>
      </c>
      <c r="P35859">
        <f>IF(OR(M35859="",N35859=""),"",SUMIFS('Barang Keluar'!$E:$E,'Barang Keluar'!$A:$A,M35859,'Barang Keluar'!$C:$C,N35859))</f>
        <v>0</v>
      </c>
    </row>
    <row r="35860" spans="13:16">
      <c r="M35860" s="49">
        <f>IF($A$4+358&gt;$B$4,"",$A$4+358)</f>
        <v>46381</v>
      </c>
      <c r="N35860">
        <f>IF(M35860="","",'Master Barang'!A54)</f>
        <v>0</v>
      </c>
      <c r="O35860">
        <f>IF(N35860="","",'Master Barang'!B54)</f>
        <v>0</v>
      </c>
      <c r="P35860">
        <f>IF(OR(M35860="",N35860=""),"",SUMIFS('Barang Keluar'!$E:$E,'Barang Keluar'!$A:$A,M35860,'Barang Keluar'!$C:$C,N35860))</f>
        <v>0</v>
      </c>
    </row>
    <row r="35861" spans="13:16">
      <c r="M35861" s="49">
        <f>IF($A$4+358&gt;$B$4,"",$A$4+358)</f>
        <v>46381</v>
      </c>
      <c r="N35861">
        <f>IF(M35861="","",'Master Barang'!A55)</f>
        <v>0</v>
      </c>
      <c r="O35861">
        <f>IF(N35861="","",'Master Barang'!B55)</f>
        <v>0</v>
      </c>
      <c r="P35861">
        <f>IF(OR(M35861="",N35861=""),"",SUMIFS('Barang Keluar'!$E:$E,'Barang Keluar'!$A:$A,M35861,'Barang Keluar'!$C:$C,N35861))</f>
        <v>0</v>
      </c>
    </row>
    <row r="35862" spans="13:16">
      <c r="M35862" s="49">
        <f>IF($A$4+358&gt;$B$4,"",$A$4+358)</f>
        <v>46381</v>
      </c>
      <c r="N35862">
        <f>IF(M35862="","",'Master Barang'!A56)</f>
        <v>0</v>
      </c>
      <c r="O35862">
        <f>IF(N35862="","",'Master Barang'!B56)</f>
        <v>0</v>
      </c>
      <c r="P35862">
        <f>IF(OR(M35862="",N35862=""),"",SUMIFS('Barang Keluar'!$E:$E,'Barang Keluar'!$A:$A,M35862,'Barang Keluar'!$C:$C,N35862))</f>
        <v>0</v>
      </c>
    </row>
    <row r="35863" spans="13:16">
      <c r="M35863" s="49">
        <f>IF($A$4+358&gt;$B$4,"",$A$4+358)</f>
        <v>46381</v>
      </c>
      <c r="N35863">
        <f>IF(M35863="","",'Master Barang'!A57)</f>
        <v>0</v>
      </c>
      <c r="O35863">
        <f>IF(N35863="","",'Master Barang'!B57)</f>
        <v>0</v>
      </c>
      <c r="P35863">
        <f>IF(OR(M35863="",N35863=""),"",SUMIFS('Barang Keluar'!$E:$E,'Barang Keluar'!$A:$A,M35863,'Barang Keluar'!$C:$C,N35863))</f>
        <v>0</v>
      </c>
    </row>
    <row r="35864" spans="13:16">
      <c r="M35864" s="49">
        <f>IF($A$4+358&gt;$B$4,"",$A$4+358)</f>
        <v>46381</v>
      </c>
      <c r="N35864">
        <f>IF(M35864="","",'Master Barang'!A58)</f>
        <v>0</v>
      </c>
      <c r="O35864">
        <f>IF(N35864="","",'Master Barang'!B58)</f>
        <v>0</v>
      </c>
      <c r="P35864">
        <f>IF(OR(M35864="",N35864=""),"",SUMIFS('Barang Keluar'!$E:$E,'Barang Keluar'!$A:$A,M35864,'Barang Keluar'!$C:$C,N35864))</f>
        <v>0</v>
      </c>
    </row>
    <row r="35865" spans="13:16">
      <c r="M35865" s="49">
        <f>IF($A$4+358&gt;$B$4,"",$A$4+358)</f>
        <v>46381</v>
      </c>
      <c r="N35865">
        <f>IF(M35865="","",'Master Barang'!A59)</f>
        <v>0</v>
      </c>
      <c r="O35865">
        <f>IF(N35865="","",'Master Barang'!B59)</f>
        <v>0</v>
      </c>
      <c r="P35865">
        <f>IF(OR(M35865="",N35865=""),"",SUMIFS('Barang Keluar'!$E:$E,'Barang Keluar'!$A:$A,M35865,'Barang Keluar'!$C:$C,N35865))</f>
        <v>0</v>
      </c>
    </row>
    <row r="35866" spans="13:16">
      <c r="M35866" s="49">
        <f>IF($A$4+358&gt;$B$4,"",$A$4+358)</f>
        <v>46381</v>
      </c>
      <c r="N35866">
        <f>IF(M35866="","",'Master Barang'!A60)</f>
        <v>0</v>
      </c>
      <c r="O35866">
        <f>IF(N35866="","",'Master Barang'!B60)</f>
        <v>0</v>
      </c>
      <c r="P35866">
        <f>IF(OR(M35866="",N35866=""),"",SUMIFS('Barang Keluar'!$E:$E,'Barang Keluar'!$A:$A,M35866,'Barang Keluar'!$C:$C,N35866))</f>
        <v>0</v>
      </c>
    </row>
    <row r="35867" spans="13:16">
      <c r="M35867" s="49">
        <f>IF($A$4+358&gt;$B$4,"",$A$4+358)</f>
        <v>46381</v>
      </c>
      <c r="N35867">
        <f>IF(M35867="","",'Master Barang'!A61)</f>
        <v>0</v>
      </c>
      <c r="O35867">
        <f>IF(N35867="","",'Master Barang'!B61)</f>
        <v>0</v>
      </c>
      <c r="P35867">
        <f>IF(OR(M35867="",N35867=""),"",SUMIFS('Barang Keluar'!$E:$E,'Barang Keluar'!$A:$A,M35867,'Barang Keluar'!$C:$C,N35867))</f>
        <v>0</v>
      </c>
    </row>
    <row r="35868" spans="13:16">
      <c r="M35868" s="49">
        <f>IF($A$4+358&gt;$B$4,"",$A$4+358)</f>
        <v>46381</v>
      </c>
      <c r="N35868">
        <f>IF(M35868="","",'Master Barang'!A62)</f>
        <v>0</v>
      </c>
      <c r="O35868">
        <f>IF(N35868="","",'Master Barang'!B62)</f>
        <v>0</v>
      </c>
      <c r="P35868">
        <f>IF(OR(M35868="",N35868=""),"",SUMIFS('Barang Keluar'!$E:$E,'Barang Keluar'!$A:$A,M35868,'Barang Keluar'!$C:$C,N35868))</f>
        <v>0</v>
      </c>
    </row>
    <row r="35869" spans="13:16">
      <c r="M35869" s="49">
        <f>IF($A$4+358&gt;$B$4,"",$A$4+358)</f>
        <v>46381</v>
      </c>
      <c r="N35869">
        <f>IF(M35869="","",'Master Barang'!A63)</f>
        <v>0</v>
      </c>
      <c r="O35869">
        <f>IF(N35869="","",'Master Barang'!B63)</f>
        <v>0</v>
      </c>
      <c r="P35869">
        <f>IF(OR(M35869="",N35869=""),"",SUMIFS('Barang Keluar'!$E:$E,'Barang Keluar'!$A:$A,M35869,'Barang Keluar'!$C:$C,N35869))</f>
        <v>0</v>
      </c>
    </row>
    <row r="35870" spans="13:16">
      <c r="M35870" s="49">
        <f>IF($A$4+358&gt;$B$4,"",$A$4+358)</f>
        <v>46381</v>
      </c>
      <c r="N35870">
        <f>IF(M35870="","",'Master Barang'!A64)</f>
        <v>0</v>
      </c>
      <c r="O35870">
        <f>IF(N35870="","",'Master Barang'!B64)</f>
        <v>0</v>
      </c>
      <c r="P35870">
        <f>IF(OR(M35870="",N35870=""),"",SUMIFS('Barang Keluar'!$E:$E,'Barang Keluar'!$A:$A,M35870,'Barang Keluar'!$C:$C,N35870))</f>
        <v>0</v>
      </c>
    </row>
    <row r="35871" spans="13:16">
      <c r="M35871" s="49">
        <f>IF($A$4+358&gt;$B$4,"",$A$4+358)</f>
        <v>46381</v>
      </c>
      <c r="N35871">
        <f>IF(M35871="","",'Master Barang'!A65)</f>
        <v>0</v>
      </c>
      <c r="O35871">
        <f>IF(N35871="","",'Master Barang'!B65)</f>
        <v>0</v>
      </c>
      <c r="P35871">
        <f>IF(OR(M35871="",N35871=""),"",SUMIFS('Barang Keluar'!$E:$E,'Barang Keluar'!$A:$A,M35871,'Barang Keluar'!$C:$C,N35871))</f>
        <v>0</v>
      </c>
    </row>
    <row r="35872" spans="13:16">
      <c r="M35872" s="49">
        <f>IF($A$4+358&gt;$B$4,"",$A$4+358)</f>
        <v>46381</v>
      </c>
      <c r="N35872">
        <f>IF(M35872="","",'Master Barang'!A66)</f>
        <v>0</v>
      </c>
      <c r="O35872">
        <f>IF(N35872="","",'Master Barang'!B66)</f>
        <v>0</v>
      </c>
      <c r="P35872">
        <f>IF(OR(M35872="",N35872=""),"",SUMIFS('Barang Keluar'!$E:$E,'Barang Keluar'!$A:$A,M35872,'Barang Keluar'!$C:$C,N35872))</f>
        <v>0</v>
      </c>
    </row>
    <row r="35873" spans="13:16">
      <c r="M35873" s="49">
        <f>IF($A$4+358&gt;$B$4,"",$A$4+358)</f>
        <v>46381</v>
      </c>
      <c r="N35873">
        <f>IF(M35873="","",'Master Barang'!A67)</f>
        <v>0</v>
      </c>
      <c r="O35873">
        <f>IF(N35873="","",'Master Barang'!B67)</f>
        <v>0</v>
      </c>
      <c r="P35873">
        <f>IF(OR(M35873="",N35873=""),"",SUMIFS('Barang Keluar'!$E:$E,'Barang Keluar'!$A:$A,M35873,'Barang Keluar'!$C:$C,N35873))</f>
        <v>0</v>
      </c>
    </row>
    <row r="35874" spans="13:16">
      <c r="M35874" s="49">
        <f>IF($A$4+358&gt;$B$4,"",$A$4+358)</f>
        <v>46381</v>
      </c>
      <c r="N35874">
        <f>IF(M35874="","",'Master Barang'!A68)</f>
        <v>0</v>
      </c>
      <c r="O35874">
        <f>IF(N35874="","",'Master Barang'!B68)</f>
        <v>0</v>
      </c>
      <c r="P35874">
        <f>IF(OR(M35874="",N35874=""),"",SUMIFS('Barang Keluar'!$E:$E,'Barang Keluar'!$A:$A,M35874,'Barang Keluar'!$C:$C,N35874))</f>
        <v>0</v>
      </c>
    </row>
    <row r="35875" spans="13:16">
      <c r="M35875" s="49">
        <f>IF($A$4+358&gt;$B$4,"",$A$4+358)</f>
        <v>46381</v>
      </c>
      <c r="N35875">
        <f>IF(M35875="","",'Master Barang'!A69)</f>
        <v>0</v>
      </c>
      <c r="O35875">
        <f>IF(N35875="","",'Master Barang'!B69)</f>
        <v>0</v>
      </c>
      <c r="P35875">
        <f>IF(OR(M35875="",N35875=""),"",SUMIFS('Barang Keluar'!$E:$E,'Barang Keluar'!$A:$A,M35875,'Barang Keluar'!$C:$C,N35875))</f>
        <v>0</v>
      </c>
    </row>
    <row r="35876" spans="13:16">
      <c r="M35876" s="49">
        <f>IF($A$4+358&gt;$B$4,"",$A$4+358)</f>
        <v>46381</v>
      </c>
      <c r="N35876">
        <f>IF(M35876="","",'Master Barang'!A70)</f>
        <v>0</v>
      </c>
      <c r="O35876">
        <f>IF(N35876="","",'Master Barang'!B70)</f>
        <v>0</v>
      </c>
      <c r="P35876">
        <f>IF(OR(M35876="",N35876=""),"",SUMIFS('Barang Keluar'!$E:$E,'Barang Keluar'!$A:$A,M35876,'Barang Keluar'!$C:$C,N35876))</f>
        <v>0</v>
      </c>
    </row>
    <row r="35877" spans="13:16">
      <c r="M35877" s="49">
        <f>IF($A$4+358&gt;$B$4,"",$A$4+358)</f>
        <v>46381</v>
      </c>
      <c r="N35877">
        <f>IF(M35877="","",'Master Barang'!A71)</f>
        <v>0</v>
      </c>
      <c r="O35877">
        <f>IF(N35877="","",'Master Barang'!B71)</f>
        <v>0</v>
      </c>
      <c r="P35877">
        <f>IF(OR(M35877="",N35877=""),"",SUMIFS('Barang Keluar'!$E:$E,'Barang Keluar'!$A:$A,M35877,'Barang Keluar'!$C:$C,N35877))</f>
        <v>0</v>
      </c>
    </row>
    <row r="35878" spans="13:16">
      <c r="M35878" s="49">
        <f>IF($A$4+358&gt;$B$4,"",$A$4+358)</f>
        <v>46381</v>
      </c>
      <c r="N35878">
        <f>IF(M35878="","",'Master Barang'!A72)</f>
        <v>0</v>
      </c>
      <c r="O35878">
        <f>IF(N35878="","",'Master Barang'!B72)</f>
        <v>0</v>
      </c>
      <c r="P35878">
        <f>IF(OR(M35878="",N35878=""),"",SUMIFS('Barang Keluar'!$E:$E,'Barang Keluar'!$A:$A,M35878,'Barang Keluar'!$C:$C,N35878))</f>
        <v>0</v>
      </c>
    </row>
    <row r="35879" spans="13:16">
      <c r="M35879" s="49">
        <f>IF($A$4+358&gt;$B$4,"",$A$4+358)</f>
        <v>46381</v>
      </c>
      <c r="N35879">
        <f>IF(M35879="","",'Master Barang'!A73)</f>
        <v>0</v>
      </c>
      <c r="O35879">
        <f>IF(N35879="","",'Master Barang'!B73)</f>
        <v>0</v>
      </c>
      <c r="P35879">
        <f>IF(OR(M35879="",N35879=""),"",SUMIFS('Barang Keluar'!$E:$E,'Barang Keluar'!$A:$A,M35879,'Barang Keluar'!$C:$C,N35879))</f>
        <v>0</v>
      </c>
    </row>
    <row r="35880" spans="13:16">
      <c r="M35880" s="49">
        <f>IF($A$4+358&gt;$B$4,"",$A$4+358)</f>
        <v>46381</v>
      </c>
      <c r="N35880">
        <f>IF(M35880="","",'Master Barang'!A74)</f>
        <v>0</v>
      </c>
      <c r="O35880">
        <f>IF(N35880="","",'Master Barang'!B74)</f>
        <v>0</v>
      </c>
      <c r="P35880">
        <f>IF(OR(M35880="",N35880=""),"",SUMIFS('Barang Keluar'!$E:$E,'Barang Keluar'!$A:$A,M35880,'Barang Keluar'!$C:$C,N35880))</f>
        <v>0</v>
      </c>
    </row>
    <row r="35881" spans="13:16">
      <c r="M35881" s="49">
        <f>IF($A$4+358&gt;$B$4,"",$A$4+358)</f>
        <v>46381</v>
      </c>
      <c r="N35881">
        <f>IF(M35881="","",'Master Barang'!A75)</f>
        <v>0</v>
      </c>
      <c r="O35881">
        <f>IF(N35881="","",'Master Barang'!B75)</f>
        <v>0</v>
      </c>
      <c r="P35881">
        <f>IF(OR(M35881="",N35881=""),"",SUMIFS('Barang Keluar'!$E:$E,'Barang Keluar'!$A:$A,M35881,'Barang Keluar'!$C:$C,N35881))</f>
        <v>0</v>
      </c>
    </row>
    <row r="35882" spans="13:16">
      <c r="M35882" s="49">
        <f>IF($A$4+358&gt;$B$4,"",$A$4+358)</f>
        <v>46381</v>
      </c>
      <c r="N35882">
        <f>IF(M35882="","",'Master Barang'!A76)</f>
        <v>0</v>
      </c>
      <c r="O35882">
        <f>IF(N35882="","",'Master Barang'!B76)</f>
        <v>0</v>
      </c>
      <c r="P35882">
        <f>IF(OR(M35882="",N35882=""),"",SUMIFS('Barang Keluar'!$E:$E,'Barang Keluar'!$A:$A,M35882,'Barang Keluar'!$C:$C,N35882))</f>
        <v>0</v>
      </c>
    </row>
    <row r="35883" spans="13:16">
      <c r="M35883" s="49">
        <f>IF($A$4+358&gt;$B$4,"",$A$4+358)</f>
        <v>46381</v>
      </c>
      <c r="N35883">
        <f>IF(M35883="","",'Master Barang'!A77)</f>
        <v>0</v>
      </c>
      <c r="O35883">
        <f>IF(N35883="","",'Master Barang'!B77)</f>
        <v>0</v>
      </c>
      <c r="P35883">
        <f>IF(OR(M35883="",N35883=""),"",SUMIFS('Barang Keluar'!$E:$E,'Barang Keluar'!$A:$A,M35883,'Barang Keluar'!$C:$C,N35883))</f>
        <v>0</v>
      </c>
    </row>
    <row r="35884" spans="13:16">
      <c r="M35884" s="49">
        <f>IF($A$4+358&gt;$B$4,"",$A$4+358)</f>
        <v>46381</v>
      </c>
      <c r="N35884">
        <f>IF(M35884="","",'Master Barang'!A78)</f>
        <v>0</v>
      </c>
      <c r="O35884">
        <f>IF(N35884="","",'Master Barang'!B78)</f>
        <v>0</v>
      </c>
      <c r="P35884">
        <f>IF(OR(M35884="",N35884=""),"",SUMIFS('Barang Keluar'!$E:$E,'Barang Keluar'!$A:$A,M35884,'Barang Keluar'!$C:$C,N35884))</f>
        <v>0</v>
      </c>
    </row>
    <row r="35885" spans="13:16">
      <c r="M35885" s="49">
        <f>IF($A$4+358&gt;$B$4,"",$A$4+358)</f>
        <v>46381</v>
      </c>
      <c r="N35885">
        <f>IF(M35885="","",'Master Barang'!A79)</f>
        <v>0</v>
      </c>
      <c r="O35885">
        <f>IF(N35885="","",'Master Barang'!B79)</f>
        <v>0</v>
      </c>
      <c r="P35885">
        <f>IF(OR(M35885="",N35885=""),"",SUMIFS('Barang Keluar'!$E:$E,'Barang Keluar'!$A:$A,M35885,'Barang Keluar'!$C:$C,N35885))</f>
        <v>0</v>
      </c>
    </row>
    <row r="35886" spans="13:16">
      <c r="M35886" s="49">
        <f>IF($A$4+358&gt;$B$4,"",$A$4+358)</f>
        <v>46381</v>
      </c>
      <c r="N35886">
        <f>IF(M35886="","",'Master Barang'!A80)</f>
        <v>0</v>
      </c>
      <c r="O35886">
        <f>IF(N35886="","",'Master Barang'!B80)</f>
        <v>0</v>
      </c>
      <c r="P35886">
        <f>IF(OR(M35886="",N35886=""),"",SUMIFS('Barang Keluar'!$E:$E,'Barang Keluar'!$A:$A,M35886,'Barang Keluar'!$C:$C,N35886))</f>
        <v>0</v>
      </c>
    </row>
    <row r="35887" spans="13:16">
      <c r="M35887" s="49">
        <f>IF($A$4+358&gt;$B$4,"",$A$4+358)</f>
        <v>46381</v>
      </c>
      <c r="N35887">
        <f>IF(M35887="","",'Master Barang'!A81)</f>
        <v>0</v>
      </c>
      <c r="O35887">
        <f>IF(N35887="","",'Master Barang'!B81)</f>
        <v>0</v>
      </c>
      <c r="P35887">
        <f>IF(OR(M35887="",N35887=""),"",SUMIFS('Barang Keluar'!$E:$E,'Barang Keluar'!$A:$A,M35887,'Barang Keluar'!$C:$C,N35887))</f>
        <v>0</v>
      </c>
    </row>
    <row r="35888" spans="13:16">
      <c r="M35888" s="49">
        <f>IF($A$4+358&gt;$B$4,"",$A$4+358)</f>
        <v>46381</v>
      </c>
      <c r="N35888">
        <f>IF(M35888="","",'Master Barang'!A82)</f>
        <v>0</v>
      </c>
      <c r="O35888">
        <f>IF(N35888="","",'Master Barang'!B82)</f>
        <v>0</v>
      </c>
      <c r="P35888">
        <f>IF(OR(M35888="",N35888=""),"",SUMIFS('Barang Keluar'!$E:$E,'Barang Keluar'!$A:$A,M35888,'Barang Keluar'!$C:$C,N35888))</f>
        <v>0</v>
      </c>
    </row>
    <row r="35889" spans="13:16">
      <c r="M35889" s="49">
        <f>IF($A$4+358&gt;$B$4,"",$A$4+358)</f>
        <v>46381</v>
      </c>
      <c r="N35889">
        <f>IF(M35889="","",'Master Barang'!A83)</f>
        <v>0</v>
      </c>
      <c r="O35889">
        <f>IF(N35889="","",'Master Barang'!B83)</f>
        <v>0</v>
      </c>
      <c r="P35889">
        <f>IF(OR(M35889="",N35889=""),"",SUMIFS('Barang Keluar'!$E:$E,'Barang Keluar'!$A:$A,M35889,'Barang Keluar'!$C:$C,N35889))</f>
        <v>0</v>
      </c>
    </row>
    <row r="35890" spans="13:16">
      <c r="M35890" s="49">
        <f>IF($A$4+358&gt;$B$4,"",$A$4+358)</f>
        <v>46381</v>
      </c>
      <c r="N35890">
        <f>IF(M35890="","",'Master Barang'!A84)</f>
        <v>0</v>
      </c>
      <c r="O35890">
        <f>IF(N35890="","",'Master Barang'!B84)</f>
        <v>0</v>
      </c>
      <c r="P35890">
        <f>IF(OR(M35890="",N35890=""),"",SUMIFS('Barang Keluar'!$E:$E,'Barang Keluar'!$A:$A,M35890,'Barang Keluar'!$C:$C,N35890))</f>
        <v>0</v>
      </c>
    </row>
    <row r="35891" spans="13:16">
      <c r="M35891" s="49">
        <f>IF($A$4+358&gt;$B$4,"",$A$4+358)</f>
        <v>46381</v>
      </c>
      <c r="N35891">
        <f>IF(M35891="","",'Master Barang'!A85)</f>
        <v>0</v>
      </c>
      <c r="O35891">
        <f>IF(N35891="","",'Master Barang'!B85)</f>
        <v>0</v>
      </c>
      <c r="P35891">
        <f>IF(OR(M35891="",N35891=""),"",SUMIFS('Barang Keluar'!$E:$E,'Barang Keluar'!$A:$A,M35891,'Barang Keluar'!$C:$C,N35891))</f>
        <v>0</v>
      </c>
    </row>
    <row r="35892" spans="13:16">
      <c r="M35892" s="49">
        <f>IF($A$4+358&gt;$B$4,"",$A$4+358)</f>
        <v>46381</v>
      </c>
      <c r="N35892">
        <f>IF(M35892="","",'Master Barang'!A86)</f>
        <v>0</v>
      </c>
      <c r="O35892">
        <f>IF(N35892="","",'Master Barang'!B86)</f>
        <v>0</v>
      </c>
      <c r="P35892">
        <f>IF(OR(M35892="",N35892=""),"",SUMIFS('Barang Keluar'!$E:$E,'Barang Keluar'!$A:$A,M35892,'Barang Keluar'!$C:$C,N35892))</f>
        <v>0</v>
      </c>
    </row>
    <row r="35893" spans="13:16">
      <c r="M35893" s="49">
        <f>IF($A$4+358&gt;$B$4,"",$A$4+358)</f>
        <v>46381</v>
      </c>
      <c r="N35893">
        <f>IF(M35893="","",'Master Barang'!A87)</f>
        <v>0</v>
      </c>
      <c r="O35893">
        <f>IF(N35893="","",'Master Barang'!B87)</f>
        <v>0</v>
      </c>
      <c r="P35893">
        <f>IF(OR(M35893="",N35893=""),"",SUMIFS('Barang Keluar'!$E:$E,'Barang Keluar'!$A:$A,M35893,'Barang Keluar'!$C:$C,N35893))</f>
        <v>0</v>
      </c>
    </row>
    <row r="35894" spans="13:16">
      <c r="M35894" s="49">
        <f>IF($A$4+358&gt;$B$4,"",$A$4+358)</f>
        <v>46381</v>
      </c>
      <c r="N35894">
        <f>IF(M35894="","",'Master Barang'!A88)</f>
        <v>0</v>
      </c>
      <c r="O35894">
        <f>IF(N35894="","",'Master Barang'!B88)</f>
        <v>0</v>
      </c>
      <c r="P35894">
        <f>IF(OR(M35894="",N35894=""),"",SUMIFS('Barang Keluar'!$E:$E,'Barang Keluar'!$A:$A,M35894,'Barang Keluar'!$C:$C,N35894))</f>
        <v>0</v>
      </c>
    </row>
    <row r="35895" spans="13:16">
      <c r="M35895" s="49">
        <f>IF($A$4+358&gt;$B$4,"",$A$4+358)</f>
        <v>46381</v>
      </c>
      <c r="N35895">
        <f>IF(M35895="","",'Master Barang'!A89)</f>
        <v>0</v>
      </c>
      <c r="O35895">
        <f>IF(N35895="","",'Master Barang'!B89)</f>
        <v>0</v>
      </c>
      <c r="P35895">
        <f>IF(OR(M35895="",N35895=""),"",SUMIFS('Barang Keluar'!$E:$E,'Barang Keluar'!$A:$A,M35895,'Barang Keluar'!$C:$C,N35895))</f>
        <v>0</v>
      </c>
    </row>
    <row r="35896" spans="13:16">
      <c r="M35896" s="49">
        <f>IF($A$4+358&gt;$B$4,"",$A$4+358)</f>
        <v>46381</v>
      </c>
      <c r="N35896">
        <f>IF(M35896="","",'Master Barang'!A90)</f>
        <v>0</v>
      </c>
      <c r="O35896">
        <f>IF(N35896="","",'Master Barang'!B90)</f>
        <v>0</v>
      </c>
      <c r="P35896">
        <f>IF(OR(M35896="",N35896=""),"",SUMIFS('Barang Keluar'!$E:$E,'Barang Keluar'!$A:$A,M35896,'Barang Keluar'!$C:$C,N35896))</f>
        <v>0</v>
      </c>
    </row>
    <row r="35897" spans="13:16">
      <c r="M35897" s="49">
        <f>IF($A$4+358&gt;$B$4,"",$A$4+358)</f>
        <v>46381</v>
      </c>
      <c r="N35897">
        <f>IF(M35897="","",'Master Barang'!A91)</f>
        <v>0</v>
      </c>
      <c r="O35897">
        <f>IF(N35897="","",'Master Barang'!B91)</f>
        <v>0</v>
      </c>
      <c r="P35897">
        <f>IF(OR(M35897="",N35897=""),"",SUMIFS('Barang Keluar'!$E:$E,'Barang Keluar'!$A:$A,M35897,'Barang Keluar'!$C:$C,N35897))</f>
        <v>0</v>
      </c>
    </row>
    <row r="35898" spans="13:16">
      <c r="M35898" s="49">
        <f>IF($A$4+358&gt;$B$4,"",$A$4+358)</f>
        <v>46381</v>
      </c>
      <c r="N35898">
        <f>IF(M35898="","",'Master Barang'!A92)</f>
        <v>0</v>
      </c>
      <c r="O35898">
        <f>IF(N35898="","",'Master Barang'!B92)</f>
        <v>0</v>
      </c>
      <c r="P35898">
        <f>IF(OR(M35898="",N35898=""),"",SUMIFS('Barang Keluar'!$E:$E,'Barang Keluar'!$A:$A,M35898,'Barang Keluar'!$C:$C,N35898))</f>
        <v>0</v>
      </c>
    </row>
    <row r="35899" spans="13:16">
      <c r="M35899" s="49">
        <f>IF($A$4+358&gt;$B$4,"",$A$4+358)</f>
        <v>46381</v>
      </c>
      <c r="N35899">
        <f>IF(M35899="","",'Master Barang'!A93)</f>
        <v>0</v>
      </c>
      <c r="O35899">
        <f>IF(N35899="","",'Master Barang'!B93)</f>
        <v>0</v>
      </c>
      <c r="P35899">
        <f>IF(OR(M35899="",N35899=""),"",SUMIFS('Barang Keluar'!$E:$E,'Barang Keluar'!$A:$A,M35899,'Barang Keluar'!$C:$C,N35899))</f>
        <v>0</v>
      </c>
    </row>
    <row r="35900" spans="13:16">
      <c r="M35900" s="49">
        <f>IF($A$4+358&gt;$B$4,"",$A$4+358)</f>
        <v>46381</v>
      </c>
      <c r="N35900">
        <f>IF(M35900="","",'Master Barang'!A94)</f>
        <v>0</v>
      </c>
      <c r="O35900">
        <f>IF(N35900="","",'Master Barang'!B94)</f>
        <v>0</v>
      </c>
      <c r="P35900">
        <f>IF(OR(M35900="",N35900=""),"",SUMIFS('Barang Keluar'!$E:$E,'Barang Keluar'!$A:$A,M35900,'Barang Keluar'!$C:$C,N35900))</f>
        <v>0</v>
      </c>
    </row>
    <row r="35901" spans="13:16">
      <c r="M35901" s="49">
        <f>IF($A$4+358&gt;$B$4,"",$A$4+358)</f>
        <v>46381</v>
      </c>
      <c r="N35901">
        <f>IF(M35901="","",'Master Barang'!A95)</f>
        <v>0</v>
      </c>
      <c r="O35901">
        <f>IF(N35901="","",'Master Barang'!B95)</f>
        <v>0</v>
      </c>
      <c r="P35901">
        <f>IF(OR(M35901="",N35901=""),"",SUMIFS('Barang Keluar'!$E:$E,'Barang Keluar'!$A:$A,M35901,'Barang Keluar'!$C:$C,N35901))</f>
        <v>0</v>
      </c>
    </row>
    <row r="35902" spans="13:16">
      <c r="M35902" s="49">
        <f>IF($A$4+358&gt;$B$4,"",$A$4+358)</f>
        <v>46381</v>
      </c>
      <c r="N35902">
        <f>IF(M35902="","",'Master Barang'!A96)</f>
        <v>0</v>
      </c>
      <c r="O35902">
        <f>IF(N35902="","",'Master Barang'!B96)</f>
        <v>0</v>
      </c>
      <c r="P35902">
        <f>IF(OR(M35902="",N35902=""),"",SUMIFS('Barang Keluar'!$E:$E,'Barang Keluar'!$A:$A,M35902,'Barang Keluar'!$C:$C,N35902))</f>
        <v>0</v>
      </c>
    </row>
    <row r="35903" spans="13:16">
      <c r="M35903" s="49">
        <f>IF($A$4+358&gt;$B$4,"",$A$4+358)</f>
        <v>46381</v>
      </c>
      <c r="N35903">
        <f>IF(M35903="","",'Master Barang'!A97)</f>
        <v>0</v>
      </c>
      <c r="O35903">
        <f>IF(N35903="","",'Master Barang'!B97)</f>
        <v>0</v>
      </c>
      <c r="P35903">
        <f>IF(OR(M35903="",N35903=""),"",SUMIFS('Barang Keluar'!$E:$E,'Barang Keluar'!$A:$A,M35903,'Barang Keluar'!$C:$C,N35903))</f>
        <v>0</v>
      </c>
    </row>
    <row r="35904" spans="13:16">
      <c r="M35904" s="49">
        <f>IF($A$4+358&gt;$B$4,"",$A$4+358)</f>
        <v>46381</v>
      </c>
      <c r="N35904">
        <f>IF(M35904="","",'Master Barang'!A98)</f>
        <v>0</v>
      </c>
      <c r="O35904">
        <f>IF(N35904="","",'Master Barang'!B98)</f>
        <v>0</v>
      </c>
      <c r="P35904">
        <f>IF(OR(M35904="",N35904=""),"",SUMIFS('Barang Keluar'!$E:$E,'Barang Keluar'!$A:$A,M35904,'Barang Keluar'!$C:$C,N35904))</f>
        <v>0</v>
      </c>
    </row>
    <row r="35905" spans="13:16">
      <c r="M35905" s="49">
        <f>IF($A$4+358&gt;$B$4,"",$A$4+358)</f>
        <v>46381</v>
      </c>
      <c r="N35905">
        <f>IF(M35905="","",'Master Barang'!A99)</f>
        <v>0</v>
      </c>
      <c r="O35905">
        <f>IF(N35905="","",'Master Barang'!B99)</f>
        <v>0</v>
      </c>
      <c r="P35905">
        <f>IF(OR(M35905="",N35905=""),"",SUMIFS('Barang Keluar'!$E:$E,'Barang Keluar'!$A:$A,M35905,'Barang Keluar'!$C:$C,N35905))</f>
        <v>0</v>
      </c>
    </row>
    <row r="35906" spans="13:16">
      <c r="M35906" s="49">
        <f>IF($A$4+358&gt;$B$4,"",$A$4+358)</f>
        <v>46381</v>
      </c>
      <c r="N35906">
        <f>IF(M35906="","",'Master Barang'!A100)</f>
        <v>0</v>
      </c>
      <c r="O35906">
        <f>IF(N35906="","",'Master Barang'!B100)</f>
        <v>0</v>
      </c>
      <c r="P35906">
        <f>IF(OR(M35906="",N35906=""),"",SUMIFS('Barang Keluar'!$E:$E,'Barang Keluar'!$A:$A,M35906,'Barang Keluar'!$C:$C,N35906))</f>
        <v>0</v>
      </c>
    </row>
    <row r="35907" spans="13:16">
      <c r="M35907" s="49">
        <f>IF($A$4+358&gt;$B$4,"",$A$4+358)</f>
        <v>46381</v>
      </c>
      <c r="N35907">
        <f>IF(M35907="","",'Master Barang'!A101)</f>
        <v>0</v>
      </c>
      <c r="O35907">
        <f>IF(N35907="","",'Master Barang'!B101)</f>
        <v>0</v>
      </c>
      <c r="P35907">
        <f>IF(OR(M35907="",N35907=""),"",SUMIFS('Barang Keluar'!$E:$E,'Barang Keluar'!$A:$A,M35907,'Barang Keluar'!$C:$C,N35907))</f>
        <v>0</v>
      </c>
    </row>
    <row r="35908" spans="13:16">
      <c r="M35908" s="49">
        <f>IF($A$4+359&gt;$B$4,"",$A$4+359)</f>
        <v>46382</v>
      </c>
      <c r="N35908" t="str">
        <f>IF(M35908="","",'Master Barang'!A2)</f>
        <v>PRL-001</v>
      </c>
      <c r="O35908" t="str">
        <f>IF(N35908="","",'Master Barang'!B2)</f>
        <v>natura desinfectant food grade 5l</v>
      </c>
      <c r="P35908">
        <f>IF(OR(M35908="",N35908=""),"",SUMIFS('Barang Keluar'!$E:$E,'Barang Keluar'!$A:$A,M35908,'Barang Keluar'!$C:$C,N35908))</f>
        <v>0</v>
      </c>
    </row>
    <row r="35909" spans="13:16">
      <c r="M35909" s="49">
        <f>IF($A$4+359&gt;$B$4,"",$A$4+359)</f>
        <v>46382</v>
      </c>
      <c r="N35909" t="str">
        <f>IF(M35909="","",'Master Barang'!A3)</f>
        <v>PRL-002</v>
      </c>
      <c r="O35909" t="str">
        <f>IF(N35909="","",'Master Barang'!B3)</f>
        <v>sunlight cairan pencuci piring 5l</v>
      </c>
      <c r="P35909">
        <f>IF(OR(M35909="",N35909=""),"",SUMIFS('Barang Keluar'!$E:$E,'Barang Keluar'!$A:$A,M35909,'Barang Keluar'!$C:$C,N35909))</f>
        <v>0</v>
      </c>
    </row>
    <row r="35910" spans="13:16">
      <c r="M35910" s="49">
        <f>IF($A$4+359&gt;$B$4,"",$A$4+359)</f>
        <v>46382</v>
      </c>
      <c r="N35910" t="str">
        <f>IF(M35910="","",'Master Barang'!A4)</f>
        <v>PRL-003</v>
      </c>
      <c r="O35910" t="str">
        <f>IF(N35910="","",'Master Barang'!B4)</f>
        <v>oixs cleaner 1l</v>
      </c>
      <c r="P35910">
        <f>IF(OR(M35910="",N35910=""),"",SUMIFS('Barang Keluar'!$E:$E,'Barang Keluar'!$A:$A,M35910,'Barang Keluar'!$C:$C,N35910))</f>
        <v>0</v>
      </c>
    </row>
    <row r="35911" spans="13:16">
      <c r="M35911" s="49">
        <f>IF($A$4+359&gt;$B$4,"",$A$4+359)</f>
        <v>46382</v>
      </c>
      <c r="N35911" t="str">
        <f>IF(M35911="","",'Master Barang'!A5)</f>
        <v>PRL-004</v>
      </c>
      <c r="O35911" t="str">
        <f>IF(N35911="","",'Master Barang'!B5)</f>
        <v>be clean tissue serbaguna</v>
      </c>
      <c r="P35911">
        <f>IF(OR(M35911="",N35911=""),"",SUMIFS('Barang Keluar'!$E:$E,'Barang Keluar'!$A:$A,M35911,'Barang Keluar'!$C:$C,N35911))</f>
        <v>0</v>
      </c>
    </row>
    <row r="35912" spans="13:16">
      <c r="M35912" s="49">
        <f>IF($A$4+359&gt;$B$4,"",$A$4+359)</f>
        <v>46382</v>
      </c>
      <c r="N35912" t="str">
        <f>IF(M35912="","",'Master Barang'!A6)</f>
        <v>PRL-005</v>
      </c>
      <c r="O35912" t="str">
        <f>IF(N35912="","",'Master Barang'!B6)</f>
        <v>spons cuci hijau</v>
      </c>
      <c r="P35912">
        <f>IF(OR(M35912="",N35912=""),"",SUMIFS('Barang Keluar'!$E:$E,'Barang Keluar'!$A:$A,M35912,'Barang Keluar'!$C:$C,N35912))</f>
        <v>0</v>
      </c>
    </row>
    <row r="35913" spans="13:16">
      <c r="M35913" s="49">
        <f>IF($A$4+359&gt;$B$4,"",$A$4+359)</f>
        <v>46382</v>
      </c>
      <c r="N35913" t="str">
        <f>IF(M35913="","",'Master Barang'!A7)</f>
        <v>PRL-006</v>
      </c>
      <c r="O35913" t="str">
        <f>IF(N35913="","",'Master Barang'!B7)</f>
        <v>sabut cuci stainless</v>
      </c>
      <c r="P35913">
        <f>IF(OR(M35913="",N35913=""),"",SUMIFS('Barang Keluar'!$E:$E,'Barang Keluar'!$A:$A,M35913,'Barang Keluar'!$C:$C,N35913))</f>
        <v>0</v>
      </c>
    </row>
    <row r="35914" spans="13:16">
      <c r="M35914" s="49">
        <f>IF($A$4+359&gt;$B$4,"",$A$4+359)</f>
        <v>46382</v>
      </c>
      <c r="N35914" t="str">
        <f>IF(M35914="","",'Master Barang'!A8)</f>
        <v>PRL-007</v>
      </c>
      <c r="O35914" t="str">
        <f>IF(N35914="","",'Master Barang'!B8)</f>
        <v>plastik kresek besar merah 50pc</v>
      </c>
      <c r="P35914">
        <f>IF(OR(M35914="",N35914=""),"",SUMIFS('Barang Keluar'!$E:$E,'Barang Keluar'!$A:$A,M35914,'Barang Keluar'!$C:$C,N35914))</f>
        <v>0</v>
      </c>
    </row>
    <row r="35915" spans="13:16">
      <c r="M35915" s="49">
        <f>IF($A$4+359&gt;$B$4,"",$A$4+359)</f>
        <v>46382</v>
      </c>
      <c r="N35915" t="str">
        <f>IF(M35915="","",'Master Barang'!A9)</f>
        <v>PRL-008</v>
      </c>
      <c r="O35915" t="str">
        <f>IF(N35915="","",'Master Barang'!B9)</f>
        <v>lap besar</v>
      </c>
      <c r="P35915">
        <f>IF(OR(M35915="",N35915=""),"",SUMIFS('Barang Keluar'!$E:$E,'Barang Keluar'!$A:$A,M35915,'Barang Keluar'!$C:$C,N35915))</f>
        <v>0</v>
      </c>
    </row>
    <row r="35916" spans="13:16">
      <c r="M35916" s="49">
        <f>IF($A$4+359&gt;$B$4,"",$A$4+359)</f>
        <v>46382</v>
      </c>
      <c r="N35916" t="str">
        <f>IF(M35916="","",'Master Barang'!A10)</f>
        <v>PRL-009</v>
      </c>
      <c r="O35916" t="str">
        <f>IF(N35916="","",'Master Barang'!B10)</f>
        <v>lap microfiber</v>
      </c>
      <c r="P35916">
        <f>IF(OR(M35916="",N35916=""),"",SUMIFS('Barang Keluar'!$E:$E,'Barang Keluar'!$A:$A,M35916,'Barang Keluar'!$C:$C,N35916))</f>
        <v>0</v>
      </c>
    </row>
    <row r="35917" spans="13:16">
      <c r="M35917" s="49">
        <f>IF($A$4+359&gt;$B$4,"",$A$4+359)</f>
        <v>46382</v>
      </c>
      <c r="N35917" t="str">
        <f>IF(M35917="","",'Master Barang'!A11)</f>
        <v>PRL-010</v>
      </c>
      <c r="O35917" t="str">
        <f>IF(N35917="","",'Master Barang'!B11)</f>
        <v>lap kecil</v>
      </c>
      <c r="P35917">
        <f>IF(OR(M35917="",N35917=""),"",SUMIFS('Barang Keluar'!$E:$E,'Barang Keluar'!$A:$A,M35917,'Barang Keluar'!$C:$C,N35917))</f>
        <v>0</v>
      </c>
    </row>
    <row r="35918" spans="13:16">
      <c r="M35918" s="49">
        <f>IF($A$4+359&gt;$B$4,"",$A$4+359)</f>
        <v>46382</v>
      </c>
      <c r="N35918" t="str">
        <f>IF(M35918="","",'Master Barang'!A12)</f>
        <v>PRL-011</v>
      </c>
      <c r="O35918" t="str">
        <f>IF(N35918="","",'Master Barang'!B12)</f>
        <v>kanebo kecil</v>
      </c>
      <c r="P35918">
        <f>IF(OR(M35918="",N35918=""),"",SUMIFS('Barang Keluar'!$E:$E,'Barang Keluar'!$A:$A,M35918,'Barang Keluar'!$C:$C,N35918))</f>
        <v>0</v>
      </c>
    </row>
    <row r="35919" spans="13:16">
      <c r="M35919" s="49">
        <f>IF($A$4+359&gt;$B$4,"",$A$4+359)</f>
        <v>46382</v>
      </c>
      <c r="N35919" t="str">
        <f>IF(M35919="","",'Master Barang'!A13)</f>
        <v>PRL-012</v>
      </c>
      <c r="O35919" t="str">
        <f>IF(N35919="","",'Master Barang'!B13)</f>
        <v>plastik 1/4kg joyoboyo 100 lembar</v>
      </c>
      <c r="P35919">
        <f>IF(OR(M35919="",N35919=""),"",SUMIFS('Barang Keluar'!$E:$E,'Barang Keluar'!$A:$A,M35919,'Barang Keluar'!$C:$C,N35919))</f>
        <v>0</v>
      </c>
    </row>
    <row r="35920" spans="13:16">
      <c r="M35920" s="49">
        <f>IF($A$4+359&gt;$B$4,"",$A$4+359)</f>
        <v>46382</v>
      </c>
      <c r="N35920" t="str">
        <f>IF(M35920="","",'Master Barang'!A14)</f>
        <v>PRL-013</v>
      </c>
      <c r="O35920" t="str">
        <f>IF(N35920="","",'Master Barang'!B14)</f>
        <v>sarung tangan plastik kaka 100 pcs</v>
      </c>
      <c r="P35920">
        <f>IF(OR(M35920="",N35920=""),"",SUMIFS('Barang Keluar'!$E:$E,'Barang Keluar'!$A:$A,M35920,'Barang Keluar'!$C:$C,N35920))</f>
        <v>0</v>
      </c>
    </row>
    <row r="35921" spans="13:16">
      <c r="M35921" s="49">
        <f>IF($A$4+359&gt;$B$4,"",$A$4+359)</f>
        <v>46382</v>
      </c>
      <c r="N35921" t="str">
        <f>IF(M35921="","",'Master Barang'!A15)</f>
        <v>PRL-014</v>
      </c>
      <c r="O35921" t="str">
        <f>IF(N35921="","",'Master Barang'!B15)</f>
        <v>optima trashbag 80x100</v>
      </c>
      <c r="P35921">
        <f>IF(OR(M35921="",N35921=""),"",SUMIFS('Barang Keluar'!$E:$E,'Barang Keluar'!$A:$A,M35921,'Barang Keluar'!$C:$C,N35921))</f>
        <v>0</v>
      </c>
    </row>
    <row r="35922" spans="13:16">
      <c r="M35922" s="49">
        <f>IF($A$4+359&gt;$B$4,"",$A$4+359)</f>
        <v>46382</v>
      </c>
      <c r="N35922" t="str">
        <f>IF(M35922="","",'Master Barang'!A16)</f>
        <v>PRL-015</v>
      </c>
      <c r="O35922" t="str">
        <f>IF(N35922="","",'Master Barang'!B16)</f>
        <v>optima trashbag 60x100</v>
      </c>
      <c r="P35922">
        <f>IF(OR(M35922="",N35922=""),"",SUMIFS('Barang Keluar'!$E:$E,'Barang Keluar'!$A:$A,M35922,'Barang Keluar'!$C:$C,N35922))</f>
        <v>0</v>
      </c>
    </row>
    <row r="35923" spans="13:16">
      <c r="M35923" s="49">
        <f>IF($A$4+359&gt;$B$4,"",$A$4+359)</f>
        <v>46382</v>
      </c>
      <c r="N35923" t="str">
        <f>IF(M35923="","",'Master Barang'!A17)</f>
        <v>PRL-016</v>
      </c>
      <c r="O35923" t="str">
        <f>IF(N35923="","",'Master Barang'!B17)</f>
        <v>rajawali trashbag 30x40</v>
      </c>
      <c r="P35923">
        <f>IF(OR(M35923="",N35923=""),"",SUMIFS('Barang Keluar'!$E:$E,'Barang Keluar'!$A:$A,M35923,'Barang Keluar'!$C:$C,N35923))</f>
        <v>0</v>
      </c>
    </row>
    <row r="35924" spans="13:16">
      <c r="M35924" s="49">
        <f>IF($A$4+359&gt;$B$4,"",$A$4+359)</f>
        <v>46382</v>
      </c>
      <c r="N35924" t="str">
        <f>IF(M35924="","",'Master Barang'!A18)</f>
        <v>PRL-017</v>
      </c>
      <c r="O35924" t="str">
        <f>IF(N35924="","",'Master Barang'!B18)</f>
        <v>onemed masker biru 3 play 50 pcs</v>
      </c>
      <c r="P35924">
        <f>IF(OR(M35924="",N35924=""),"",SUMIFS('Barang Keluar'!$E:$E,'Barang Keluar'!$A:$A,M35924,'Barang Keluar'!$C:$C,N35924))</f>
        <v>0</v>
      </c>
    </row>
    <row r="35925" spans="13:16">
      <c r="M35925" s="49">
        <f>IF($A$4+359&gt;$B$4,"",$A$4+359)</f>
        <v>46382</v>
      </c>
      <c r="N35925" t="str">
        <f>IF(M35925="","",'Master Barang'!A19)</f>
        <v>PRL-018</v>
      </c>
      <c r="O35925" t="str">
        <f>IF(N35925="","",'Master Barang'!B19)</f>
        <v>onemed masker biru 3 play hijab 50 pcs</v>
      </c>
      <c r="P35925">
        <f>IF(OR(M35925="",N35925=""),"",SUMIFS('Barang Keluar'!$E:$E,'Barang Keluar'!$A:$A,M35925,'Barang Keluar'!$C:$C,N35925))</f>
        <v>0</v>
      </c>
    </row>
    <row r="35926" spans="13:16">
      <c r="M35926" s="49">
        <f>IF($A$4+359&gt;$B$4,"",$A$4+359)</f>
        <v>46382</v>
      </c>
      <c r="N35926" t="str">
        <f>IF(M35926="","",'Master Barang'!A20)</f>
        <v>PRL-019</v>
      </c>
      <c r="O35926" t="str">
        <f>IF(N35926="","",'Master Barang'!B20)</f>
        <v>neo health masker biru 3 play 50 pcs</v>
      </c>
      <c r="P35926">
        <f>IF(OR(M35926="",N35926=""),"",SUMIFS('Barang Keluar'!$E:$E,'Barang Keluar'!$A:$A,M35926,'Barang Keluar'!$C:$C,N35926))</f>
        <v>0</v>
      </c>
    </row>
    <row r="35927" spans="13:16">
      <c r="M35927" s="49">
        <f>IF($A$4+359&gt;$B$4,"",$A$4+359)</f>
        <v>46382</v>
      </c>
      <c r="N35927" t="str">
        <f>IF(M35927="","",'Master Barang'!A21)</f>
        <v>PRL-020</v>
      </c>
      <c r="O35927" t="str">
        <f>IF(N35927="","",'Master Barang'!B21)</f>
        <v>baymed masker hijau 3 play hijau 50 pcs</v>
      </c>
      <c r="P35927">
        <f>IF(OR(M35927="",N35927=""),"",SUMIFS('Barang Keluar'!$E:$E,'Barang Keluar'!$A:$A,M35927,'Barang Keluar'!$C:$C,N35927))</f>
        <v>0</v>
      </c>
    </row>
    <row r="35928" spans="13:16">
      <c r="M35928" s="49">
        <f>IF($A$4+359&gt;$B$4,"",$A$4+359)</f>
        <v>46382</v>
      </c>
      <c r="N35928" t="str">
        <f>IF(M35928="","",'Master Barang'!A22)</f>
        <v>PRL-021</v>
      </c>
      <c r="O35928" t="str">
        <f>IF(N35928="","",'Master Barang'!B22)</f>
        <v>altamed nurse cap penutup kepala 100 pcs</v>
      </c>
      <c r="P35928">
        <f>IF(OR(M35928="",N35928=""),"",SUMIFS('Barang Keluar'!$E:$E,'Barang Keluar'!$A:$A,M35928,'Barang Keluar'!$C:$C,N35928))</f>
        <v>0</v>
      </c>
    </row>
    <row r="35929" spans="13:16">
      <c r="M35929" s="49">
        <f>IF($A$4+359&gt;$B$4,"",$A$4+359)</f>
        <v>46382</v>
      </c>
      <c r="N35929" t="str">
        <f>IF(M35929="","",'Master Barang'!A23)</f>
        <v>PRL-022</v>
      </c>
      <c r="O35929" t="str">
        <f>IF(N35929="","",'Master Barang'!B23)</f>
        <v>sabun cuci tangan</v>
      </c>
      <c r="P35929">
        <f>IF(OR(M35929="",N35929=""),"",SUMIFS('Barang Keluar'!$E:$E,'Barang Keluar'!$A:$A,M35929,'Barang Keluar'!$C:$C,N35929))</f>
        <v>0</v>
      </c>
    </row>
    <row r="35930" spans="13:16">
      <c r="M35930" s="49">
        <f>IF($A$4+359&gt;$B$4,"",$A$4+359)</f>
        <v>46382</v>
      </c>
      <c r="N35930" t="str">
        <f>IF(M35930="","",'Master Barang'!A24)</f>
        <v>PRL-023</v>
      </c>
      <c r="O35930" t="str">
        <f>IF(N35930="","",'Master Barang'!B24)</f>
        <v>gayung kecil</v>
      </c>
      <c r="P35930">
        <f>IF(OR(M35930="",N35930=""),"",SUMIFS('Barang Keluar'!$E:$E,'Barang Keluar'!$A:$A,M35930,'Barang Keluar'!$C:$C,N35930))</f>
        <v>0</v>
      </c>
    </row>
    <row r="35931" spans="13:16">
      <c r="M35931" s="49">
        <f>IF($A$4+359&gt;$B$4,"",$A$4+359)</f>
        <v>46382</v>
      </c>
      <c r="N35931" t="str">
        <f>IF(M35931="","",'Master Barang'!A25)</f>
        <v>PRL-024</v>
      </c>
      <c r="O35931" t="str">
        <f>IF(N35931="","",'Master Barang'!B25)</f>
        <v>cikrak kecil</v>
      </c>
      <c r="P35931">
        <f>IF(OR(M35931="",N35931=""),"",SUMIFS('Barang Keluar'!$E:$E,'Barang Keluar'!$A:$A,M35931,'Barang Keluar'!$C:$C,N35931))</f>
        <v>0</v>
      </c>
    </row>
    <row r="35932" spans="13:16">
      <c r="M35932" s="49">
        <f>IF($A$4+359&gt;$B$4,"",$A$4+359)</f>
        <v>46382</v>
      </c>
      <c r="N35932" t="str">
        <f>IF(M35932="","",'Master Barang'!A26)</f>
        <v>PRL-025</v>
      </c>
      <c r="O35932" t="str">
        <f>IF(N35932="","",'Master Barang'!B26)</f>
        <v>petromax plastik kecil 12x24 100 lembar</v>
      </c>
      <c r="P35932">
        <f>IF(OR(M35932="",N35932=""),"",SUMIFS('Barang Keluar'!$E:$E,'Barang Keluar'!$A:$A,M35932,'Barang Keluar'!$C:$C,N35932))</f>
        <v>0</v>
      </c>
    </row>
    <row r="35933" spans="13:16">
      <c r="M35933" s="49">
        <f>IF($A$4+359&gt;$B$4,"",$A$4+359)</f>
        <v>46382</v>
      </c>
      <c r="N35933" t="str">
        <f>IF(M35933="","",'Master Barang'!A27)</f>
        <v>PRL-026</v>
      </c>
      <c r="O35933" t="str">
        <f>IF(N35933="","",'Master Barang'!B27)</f>
        <v>lancar kresek kecil bening </v>
      </c>
      <c r="P35933">
        <f>IF(OR(M35933="",N35933=""),"",SUMIFS('Barang Keluar'!$E:$E,'Barang Keluar'!$A:$A,M35933,'Barang Keluar'!$C:$C,N35933))</f>
        <v>0</v>
      </c>
    </row>
    <row r="35934" spans="13:16">
      <c r="M35934" s="49">
        <f>IF($A$4+359&gt;$B$4,"",$A$4+359)</f>
        <v>46382</v>
      </c>
      <c r="N35934" t="str">
        <f>IF(M35934="","",'Master Barang'!A28)</f>
        <v>PRL-027</v>
      </c>
      <c r="O35934" t="str">
        <f>IF(N35934="","",'Master Barang'!B28)</f>
        <v>kresek klin warna warni kecil</v>
      </c>
      <c r="P35934">
        <f>IF(OR(M35934="",N35934=""),"",SUMIFS('Barang Keluar'!$E:$E,'Barang Keluar'!$A:$A,M35934,'Barang Keluar'!$C:$C,N35934))</f>
        <v>0</v>
      </c>
    </row>
    <row r="35935" spans="13:16">
      <c r="M35935" s="49">
        <f>IF($A$4+359&gt;$B$4,"",$A$4+359)</f>
        <v>46382</v>
      </c>
      <c r="N35935" t="str">
        <f>IF(M35935="","",'Master Barang'!A29)</f>
        <v>PRL-028</v>
      </c>
      <c r="O35935" t="str">
        <f>IF(N35935="","",'Master Barang'!B29)</f>
        <v>ctik plastik 7x10 100 pcs</v>
      </c>
      <c r="P35935">
        <f>IF(OR(M35935="",N35935=""),"",SUMIFS('Barang Keluar'!$E:$E,'Barang Keluar'!$A:$A,M35935,'Barang Keluar'!$C:$C,N35935))</f>
        <v>0</v>
      </c>
    </row>
    <row r="35936" spans="13:16">
      <c r="M35936" s="49">
        <f>IF($A$4+359&gt;$B$4,"",$A$4+359)</f>
        <v>46382</v>
      </c>
      <c r="N35936" t="str">
        <f>IF(M35936="","",'Master Barang'!A30)</f>
        <v>PRL-029</v>
      </c>
      <c r="O35936" t="str">
        <f>IF(N35936="","",'Master Barang'!B30)</f>
        <v>ctik plastik 6x10 100 pcs</v>
      </c>
      <c r="P35936">
        <f>IF(OR(M35936="",N35936=""),"",SUMIFS('Barang Keluar'!$E:$E,'Barang Keluar'!$A:$A,M35936,'Barang Keluar'!$C:$C,N35936))</f>
        <v>0</v>
      </c>
    </row>
    <row r="35937" spans="13:16">
      <c r="M35937" s="49">
        <f>IF($A$4+359&gt;$B$4,"",$A$4+359)</f>
        <v>46382</v>
      </c>
      <c r="N35937" t="str">
        <f>IF(M35937="","",'Master Barang'!A31)</f>
        <v>PRL-030</v>
      </c>
      <c r="O35937" t="str">
        <f>IF(N35937="","",'Master Barang'!B31)</f>
        <v>klip plastik 25x16 100 pcs</v>
      </c>
      <c r="P35937">
        <f>IF(OR(M35937="",N35937=""),"",SUMIFS('Barang Keluar'!$E:$E,'Barang Keluar'!$A:$A,M35937,'Barang Keluar'!$C:$C,N35937))</f>
        <v>0</v>
      </c>
    </row>
    <row r="35938" spans="13:16">
      <c r="M35938" s="49">
        <f>IF($A$4+359&gt;$B$4,"",$A$4+359)</f>
        <v>46382</v>
      </c>
      <c r="N35938" t="str">
        <f>IF(M35938="","",'Master Barang'!A32)</f>
        <v>PRL-031</v>
      </c>
      <c r="O35938" t="str">
        <f>IF(N35938="","",'Master Barang'!B32)</f>
        <v>tempat saus 20 ml</v>
      </c>
      <c r="P35938">
        <f>IF(OR(M35938="",N35938=""),"",SUMIFS('Barang Keluar'!$E:$E,'Barang Keluar'!$A:$A,M35938,'Barang Keluar'!$C:$C,N35938))</f>
        <v>0</v>
      </c>
    </row>
    <row r="35939" spans="13:16">
      <c r="M35939" s="49">
        <f>IF($A$4+359&gt;$B$4,"",$A$4+359)</f>
        <v>46382</v>
      </c>
      <c r="N35939" t="str">
        <f>IF(M35939="","",'Master Barang'!A33)</f>
        <v>PRL-032</v>
      </c>
      <c r="O35939" t="str">
        <f>IF(N35939="","",'Master Barang'!B33)</f>
        <v>plastik packaging ag box uk sedang</v>
      </c>
      <c r="P35939">
        <f>IF(OR(M35939="",N35939=""),"",SUMIFS('Barang Keluar'!$E:$E,'Barang Keluar'!$A:$A,M35939,'Barang Keluar'!$C:$C,N35939))</f>
        <v>0</v>
      </c>
    </row>
    <row r="35940" spans="13:16">
      <c r="M35940" s="49">
        <f>IF($A$4+359&gt;$B$4,"",$A$4+359)</f>
        <v>46382</v>
      </c>
      <c r="N35940" t="str">
        <f>IF(M35940="","",'Master Barang'!A34)</f>
        <v>PRL-033</v>
      </c>
      <c r="O35940">
        <f>IF(N35940="","",'Master Barang'!B34)</f>
        <v>0</v>
      </c>
      <c r="P35940">
        <f>IF(OR(M35940="",N35940=""),"",SUMIFS('Barang Keluar'!$E:$E,'Barang Keluar'!$A:$A,M35940,'Barang Keluar'!$C:$C,N35940))</f>
        <v>0</v>
      </c>
    </row>
    <row r="35941" spans="13:16">
      <c r="M35941" s="49">
        <f>IF($A$4+359&gt;$B$4,"",$A$4+359)</f>
        <v>46382</v>
      </c>
      <c r="N35941">
        <f>IF(M35941="","",'Master Barang'!A35)</f>
        <v>0</v>
      </c>
      <c r="O35941">
        <f>IF(N35941="","",'Master Barang'!B35)</f>
        <v>0</v>
      </c>
      <c r="P35941">
        <f>IF(OR(M35941="",N35941=""),"",SUMIFS('Barang Keluar'!$E:$E,'Barang Keluar'!$A:$A,M35941,'Barang Keluar'!$C:$C,N35941))</f>
        <v>0</v>
      </c>
    </row>
    <row r="35942" spans="13:16">
      <c r="M35942" s="49">
        <f>IF($A$4+359&gt;$B$4,"",$A$4+359)</f>
        <v>46382</v>
      </c>
      <c r="N35942">
        <f>IF(M35942="","",'Master Barang'!A36)</f>
        <v>0</v>
      </c>
      <c r="O35942">
        <f>IF(N35942="","",'Master Barang'!B36)</f>
        <v>0</v>
      </c>
      <c r="P35942">
        <f>IF(OR(M35942="",N35942=""),"",SUMIFS('Barang Keluar'!$E:$E,'Barang Keluar'!$A:$A,M35942,'Barang Keluar'!$C:$C,N35942))</f>
        <v>0</v>
      </c>
    </row>
    <row r="35943" spans="13:16">
      <c r="M35943" s="49">
        <f>IF($A$4+359&gt;$B$4,"",$A$4+359)</f>
        <v>46382</v>
      </c>
      <c r="N35943">
        <f>IF(M35943="","",'Master Barang'!A37)</f>
        <v>0</v>
      </c>
      <c r="O35943">
        <f>IF(N35943="","",'Master Barang'!B37)</f>
        <v>0</v>
      </c>
      <c r="P35943">
        <f>IF(OR(M35943="",N35943=""),"",SUMIFS('Barang Keluar'!$E:$E,'Barang Keluar'!$A:$A,M35943,'Barang Keluar'!$C:$C,N35943))</f>
        <v>0</v>
      </c>
    </row>
    <row r="35944" spans="13:16">
      <c r="M35944" s="49">
        <f>IF($A$4+359&gt;$B$4,"",$A$4+359)</f>
        <v>46382</v>
      </c>
      <c r="N35944">
        <f>IF(M35944="","",'Master Barang'!A38)</f>
        <v>0</v>
      </c>
      <c r="O35944">
        <f>IF(N35944="","",'Master Barang'!B38)</f>
        <v>0</v>
      </c>
      <c r="P35944">
        <f>IF(OR(M35944="",N35944=""),"",SUMIFS('Barang Keluar'!$E:$E,'Barang Keluar'!$A:$A,M35944,'Barang Keluar'!$C:$C,N35944))</f>
        <v>0</v>
      </c>
    </row>
    <row r="35945" spans="13:16">
      <c r="M35945" s="49">
        <f>IF($A$4+359&gt;$B$4,"",$A$4+359)</f>
        <v>46382</v>
      </c>
      <c r="N35945">
        <f>IF(M35945="","",'Master Barang'!A39)</f>
        <v>0</v>
      </c>
      <c r="O35945">
        <f>IF(N35945="","",'Master Barang'!B39)</f>
        <v>0</v>
      </c>
      <c r="P35945">
        <f>IF(OR(M35945="",N35945=""),"",SUMIFS('Barang Keluar'!$E:$E,'Barang Keluar'!$A:$A,M35945,'Barang Keluar'!$C:$C,N35945))</f>
        <v>0</v>
      </c>
    </row>
    <row r="35946" spans="13:16">
      <c r="M35946" s="49">
        <f>IF($A$4+359&gt;$B$4,"",$A$4+359)</f>
        <v>46382</v>
      </c>
      <c r="N35946">
        <f>IF(M35946="","",'Master Barang'!A40)</f>
        <v>0</v>
      </c>
      <c r="O35946">
        <f>IF(N35946="","",'Master Barang'!B40)</f>
        <v>0</v>
      </c>
      <c r="P35946">
        <f>IF(OR(M35946="",N35946=""),"",SUMIFS('Barang Keluar'!$E:$E,'Barang Keluar'!$A:$A,M35946,'Barang Keluar'!$C:$C,N35946))</f>
        <v>0</v>
      </c>
    </row>
    <row r="35947" spans="13:16">
      <c r="M35947" s="49">
        <f>IF($A$4+359&gt;$B$4,"",$A$4+359)</f>
        <v>46382</v>
      </c>
      <c r="N35947">
        <f>IF(M35947="","",'Master Barang'!A41)</f>
        <v>0</v>
      </c>
      <c r="O35947">
        <f>IF(N35947="","",'Master Barang'!B41)</f>
        <v>0</v>
      </c>
      <c r="P35947">
        <f>IF(OR(M35947="",N35947=""),"",SUMIFS('Barang Keluar'!$E:$E,'Barang Keluar'!$A:$A,M35947,'Barang Keluar'!$C:$C,N35947))</f>
        <v>0</v>
      </c>
    </row>
    <row r="35948" spans="13:16">
      <c r="M35948" s="49">
        <f>IF($A$4+359&gt;$B$4,"",$A$4+359)</f>
        <v>46382</v>
      </c>
      <c r="N35948">
        <f>IF(M35948="","",'Master Barang'!A42)</f>
        <v>0</v>
      </c>
      <c r="O35948">
        <f>IF(N35948="","",'Master Barang'!B42)</f>
        <v>0</v>
      </c>
      <c r="P35948">
        <f>IF(OR(M35948="",N35948=""),"",SUMIFS('Barang Keluar'!$E:$E,'Barang Keluar'!$A:$A,M35948,'Barang Keluar'!$C:$C,N35948))</f>
        <v>0</v>
      </c>
    </row>
    <row r="35949" spans="13:16">
      <c r="M35949" s="49">
        <f>IF($A$4+359&gt;$B$4,"",$A$4+359)</f>
        <v>46382</v>
      </c>
      <c r="N35949">
        <f>IF(M35949="","",'Master Barang'!A43)</f>
        <v>0</v>
      </c>
      <c r="O35949">
        <f>IF(N35949="","",'Master Barang'!B43)</f>
        <v>0</v>
      </c>
      <c r="P35949">
        <f>IF(OR(M35949="",N35949=""),"",SUMIFS('Barang Keluar'!$E:$E,'Barang Keluar'!$A:$A,M35949,'Barang Keluar'!$C:$C,N35949))</f>
        <v>0</v>
      </c>
    </row>
    <row r="35950" spans="13:16">
      <c r="M35950" s="49">
        <f>IF($A$4+359&gt;$B$4,"",$A$4+359)</f>
        <v>46382</v>
      </c>
      <c r="N35950">
        <f>IF(M35950="","",'Master Barang'!A44)</f>
        <v>0</v>
      </c>
      <c r="O35950">
        <f>IF(N35950="","",'Master Barang'!B44)</f>
        <v>0</v>
      </c>
      <c r="P35950">
        <f>IF(OR(M35950="",N35950=""),"",SUMIFS('Barang Keluar'!$E:$E,'Barang Keluar'!$A:$A,M35950,'Barang Keluar'!$C:$C,N35950))</f>
        <v>0</v>
      </c>
    </row>
    <row r="35951" spans="13:16">
      <c r="M35951" s="49">
        <f>IF($A$4+359&gt;$B$4,"",$A$4+359)</f>
        <v>46382</v>
      </c>
      <c r="N35951">
        <f>IF(M35951="","",'Master Barang'!A45)</f>
        <v>0</v>
      </c>
      <c r="O35951">
        <f>IF(N35951="","",'Master Barang'!B45)</f>
        <v>0</v>
      </c>
      <c r="P35951">
        <f>IF(OR(M35951="",N35951=""),"",SUMIFS('Barang Keluar'!$E:$E,'Barang Keluar'!$A:$A,M35951,'Barang Keluar'!$C:$C,N35951))</f>
        <v>0</v>
      </c>
    </row>
    <row r="35952" spans="13:16">
      <c r="M35952" s="49">
        <f>IF($A$4+359&gt;$B$4,"",$A$4+359)</f>
        <v>46382</v>
      </c>
      <c r="N35952">
        <f>IF(M35952="","",'Master Barang'!A46)</f>
        <v>0</v>
      </c>
      <c r="O35952">
        <f>IF(N35952="","",'Master Barang'!B46)</f>
        <v>0</v>
      </c>
      <c r="P35952">
        <f>IF(OR(M35952="",N35952=""),"",SUMIFS('Barang Keluar'!$E:$E,'Barang Keluar'!$A:$A,M35952,'Barang Keluar'!$C:$C,N35952))</f>
        <v>0</v>
      </c>
    </row>
    <row r="35953" spans="13:16">
      <c r="M35953" s="49">
        <f>IF($A$4+359&gt;$B$4,"",$A$4+359)</f>
        <v>46382</v>
      </c>
      <c r="N35953">
        <f>IF(M35953="","",'Master Barang'!A47)</f>
        <v>0</v>
      </c>
      <c r="O35953">
        <f>IF(N35953="","",'Master Barang'!B47)</f>
        <v>0</v>
      </c>
      <c r="P35953">
        <f>IF(OR(M35953="",N35953=""),"",SUMIFS('Barang Keluar'!$E:$E,'Barang Keluar'!$A:$A,M35953,'Barang Keluar'!$C:$C,N35953))</f>
        <v>0</v>
      </c>
    </row>
    <row r="35954" spans="13:16">
      <c r="M35954" s="49">
        <f>IF($A$4+359&gt;$B$4,"",$A$4+359)</f>
        <v>46382</v>
      </c>
      <c r="N35954">
        <f>IF(M35954="","",'Master Barang'!A48)</f>
        <v>0</v>
      </c>
      <c r="O35954">
        <f>IF(N35954="","",'Master Barang'!B48)</f>
        <v>0</v>
      </c>
      <c r="P35954">
        <f>IF(OR(M35954="",N35954=""),"",SUMIFS('Barang Keluar'!$E:$E,'Barang Keluar'!$A:$A,M35954,'Barang Keluar'!$C:$C,N35954))</f>
        <v>0</v>
      </c>
    </row>
    <row r="35955" spans="13:16">
      <c r="M35955" s="49">
        <f>IF($A$4+359&gt;$B$4,"",$A$4+359)</f>
        <v>46382</v>
      </c>
      <c r="N35955">
        <f>IF(M35955="","",'Master Barang'!A49)</f>
        <v>0</v>
      </c>
      <c r="O35955">
        <f>IF(N35955="","",'Master Barang'!B49)</f>
        <v>0</v>
      </c>
      <c r="P35955">
        <f>IF(OR(M35955="",N35955=""),"",SUMIFS('Barang Keluar'!$E:$E,'Barang Keluar'!$A:$A,M35955,'Barang Keluar'!$C:$C,N35955))</f>
        <v>0</v>
      </c>
    </row>
    <row r="35956" spans="13:16">
      <c r="M35956" s="49">
        <f>IF($A$4+359&gt;$B$4,"",$A$4+359)</f>
        <v>46382</v>
      </c>
      <c r="N35956">
        <f>IF(M35956="","",'Master Barang'!A50)</f>
        <v>0</v>
      </c>
      <c r="O35956">
        <f>IF(N35956="","",'Master Barang'!B50)</f>
        <v>0</v>
      </c>
      <c r="P35956">
        <f>IF(OR(M35956="",N35956=""),"",SUMIFS('Barang Keluar'!$E:$E,'Barang Keluar'!$A:$A,M35956,'Barang Keluar'!$C:$C,N35956))</f>
        <v>0</v>
      </c>
    </row>
    <row r="35957" spans="13:16">
      <c r="M35957" s="49">
        <f>IF($A$4+359&gt;$B$4,"",$A$4+359)</f>
        <v>46382</v>
      </c>
      <c r="N35957">
        <f>IF(M35957="","",'Master Barang'!A51)</f>
        <v>0</v>
      </c>
      <c r="O35957">
        <f>IF(N35957="","",'Master Barang'!B51)</f>
        <v>0</v>
      </c>
      <c r="P35957">
        <f>IF(OR(M35957="",N35957=""),"",SUMIFS('Barang Keluar'!$E:$E,'Barang Keluar'!$A:$A,M35957,'Barang Keluar'!$C:$C,N35957))</f>
        <v>0</v>
      </c>
    </row>
    <row r="35958" spans="13:16">
      <c r="M35958" s="49">
        <f>IF($A$4+359&gt;$B$4,"",$A$4+359)</f>
        <v>46382</v>
      </c>
      <c r="N35958">
        <f>IF(M35958="","",'Master Barang'!A52)</f>
        <v>0</v>
      </c>
      <c r="O35958">
        <f>IF(N35958="","",'Master Barang'!B52)</f>
        <v>0</v>
      </c>
      <c r="P35958">
        <f>IF(OR(M35958="",N35958=""),"",SUMIFS('Barang Keluar'!$E:$E,'Barang Keluar'!$A:$A,M35958,'Barang Keluar'!$C:$C,N35958))</f>
        <v>0</v>
      </c>
    </row>
    <row r="35959" spans="13:16">
      <c r="M35959" s="49">
        <f>IF($A$4+359&gt;$B$4,"",$A$4+359)</f>
        <v>46382</v>
      </c>
      <c r="N35959">
        <f>IF(M35959="","",'Master Barang'!A53)</f>
        <v>0</v>
      </c>
      <c r="O35959">
        <f>IF(N35959="","",'Master Barang'!B53)</f>
        <v>0</v>
      </c>
      <c r="P35959">
        <f>IF(OR(M35959="",N35959=""),"",SUMIFS('Barang Keluar'!$E:$E,'Barang Keluar'!$A:$A,M35959,'Barang Keluar'!$C:$C,N35959))</f>
        <v>0</v>
      </c>
    </row>
    <row r="35960" spans="13:16">
      <c r="M35960" s="49">
        <f>IF($A$4+359&gt;$B$4,"",$A$4+359)</f>
        <v>46382</v>
      </c>
      <c r="N35960">
        <f>IF(M35960="","",'Master Barang'!A54)</f>
        <v>0</v>
      </c>
      <c r="O35960">
        <f>IF(N35960="","",'Master Barang'!B54)</f>
        <v>0</v>
      </c>
      <c r="P35960">
        <f>IF(OR(M35960="",N35960=""),"",SUMIFS('Barang Keluar'!$E:$E,'Barang Keluar'!$A:$A,M35960,'Barang Keluar'!$C:$C,N35960))</f>
        <v>0</v>
      </c>
    </row>
    <row r="35961" spans="13:16">
      <c r="M35961" s="49">
        <f>IF($A$4+359&gt;$B$4,"",$A$4+359)</f>
        <v>46382</v>
      </c>
      <c r="N35961">
        <f>IF(M35961="","",'Master Barang'!A55)</f>
        <v>0</v>
      </c>
      <c r="O35961">
        <f>IF(N35961="","",'Master Barang'!B55)</f>
        <v>0</v>
      </c>
      <c r="P35961">
        <f>IF(OR(M35961="",N35961=""),"",SUMIFS('Barang Keluar'!$E:$E,'Barang Keluar'!$A:$A,M35961,'Barang Keluar'!$C:$C,N35961))</f>
        <v>0</v>
      </c>
    </row>
    <row r="35962" spans="13:16">
      <c r="M35962" s="49">
        <f>IF($A$4+359&gt;$B$4,"",$A$4+359)</f>
        <v>46382</v>
      </c>
      <c r="N35962">
        <f>IF(M35962="","",'Master Barang'!A56)</f>
        <v>0</v>
      </c>
      <c r="O35962">
        <f>IF(N35962="","",'Master Barang'!B56)</f>
        <v>0</v>
      </c>
      <c r="P35962">
        <f>IF(OR(M35962="",N35962=""),"",SUMIFS('Barang Keluar'!$E:$E,'Barang Keluar'!$A:$A,M35962,'Barang Keluar'!$C:$C,N35962))</f>
        <v>0</v>
      </c>
    </row>
    <row r="35963" spans="13:16">
      <c r="M35963" s="49">
        <f>IF($A$4+359&gt;$B$4,"",$A$4+359)</f>
        <v>46382</v>
      </c>
      <c r="N35963">
        <f>IF(M35963="","",'Master Barang'!A57)</f>
        <v>0</v>
      </c>
      <c r="O35963">
        <f>IF(N35963="","",'Master Barang'!B57)</f>
        <v>0</v>
      </c>
      <c r="P35963">
        <f>IF(OR(M35963="",N35963=""),"",SUMIFS('Barang Keluar'!$E:$E,'Barang Keluar'!$A:$A,M35963,'Barang Keluar'!$C:$C,N35963))</f>
        <v>0</v>
      </c>
    </row>
    <row r="35964" spans="13:16">
      <c r="M35964" s="49">
        <f>IF($A$4+359&gt;$B$4,"",$A$4+359)</f>
        <v>46382</v>
      </c>
      <c r="N35964">
        <f>IF(M35964="","",'Master Barang'!A58)</f>
        <v>0</v>
      </c>
      <c r="O35964">
        <f>IF(N35964="","",'Master Barang'!B58)</f>
        <v>0</v>
      </c>
      <c r="P35964">
        <f>IF(OR(M35964="",N35964=""),"",SUMIFS('Barang Keluar'!$E:$E,'Barang Keluar'!$A:$A,M35964,'Barang Keluar'!$C:$C,N35964))</f>
        <v>0</v>
      </c>
    </row>
    <row r="35965" spans="13:16">
      <c r="M35965" s="49">
        <f>IF($A$4+359&gt;$B$4,"",$A$4+359)</f>
        <v>46382</v>
      </c>
      <c r="N35965">
        <f>IF(M35965="","",'Master Barang'!A59)</f>
        <v>0</v>
      </c>
      <c r="O35965">
        <f>IF(N35965="","",'Master Barang'!B59)</f>
        <v>0</v>
      </c>
      <c r="P35965">
        <f>IF(OR(M35965="",N35965=""),"",SUMIFS('Barang Keluar'!$E:$E,'Barang Keluar'!$A:$A,M35965,'Barang Keluar'!$C:$C,N35965))</f>
        <v>0</v>
      </c>
    </row>
    <row r="35966" spans="13:16">
      <c r="M35966" s="49">
        <f>IF($A$4+359&gt;$B$4,"",$A$4+359)</f>
        <v>46382</v>
      </c>
      <c r="N35966">
        <f>IF(M35966="","",'Master Barang'!A60)</f>
        <v>0</v>
      </c>
      <c r="O35966">
        <f>IF(N35966="","",'Master Barang'!B60)</f>
        <v>0</v>
      </c>
      <c r="P35966">
        <f>IF(OR(M35966="",N35966=""),"",SUMIFS('Barang Keluar'!$E:$E,'Barang Keluar'!$A:$A,M35966,'Barang Keluar'!$C:$C,N35966))</f>
        <v>0</v>
      </c>
    </row>
    <row r="35967" spans="13:16">
      <c r="M35967" s="49">
        <f>IF($A$4+359&gt;$B$4,"",$A$4+359)</f>
        <v>46382</v>
      </c>
      <c r="N35967">
        <f>IF(M35967="","",'Master Barang'!A61)</f>
        <v>0</v>
      </c>
      <c r="O35967">
        <f>IF(N35967="","",'Master Barang'!B61)</f>
        <v>0</v>
      </c>
      <c r="P35967">
        <f>IF(OR(M35967="",N35967=""),"",SUMIFS('Barang Keluar'!$E:$E,'Barang Keluar'!$A:$A,M35967,'Barang Keluar'!$C:$C,N35967))</f>
        <v>0</v>
      </c>
    </row>
    <row r="35968" spans="13:16">
      <c r="M35968" s="49">
        <f>IF($A$4+359&gt;$B$4,"",$A$4+359)</f>
        <v>46382</v>
      </c>
      <c r="N35968">
        <f>IF(M35968="","",'Master Barang'!A62)</f>
        <v>0</v>
      </c>
      <c r="O35968">
        <f>IF(N35968="","",'Master Barang'!B62)</f>
        <v>0</v>
      </c>
      <c r="P35968">
        <f>IF(OR(M35968="",N35968=""),"",SUMIFS('Barang Keluar'!$E:$E,'Barang Keluar'!$A:$A,M35968,'Barang Keluar'!$C:$C,N35968))</f>
        <v>0</v>
      </c>
    </row>
    <row r="35969" spans="13:16">
      <c r="M35969" s="49">
        <f>IF($A$4+359&gt;$B$4,"",$A$4+359)</f>
        <v>46382</v>
      </c>
      <c r="N35969">
        <f>IF(M35969="","",'Master Barang'!A63)</f>
        <v>0</v>
      </c>
      <c r="O35969">
        <f>IF(N35969="","",'Master Barang'!B63)</f>
        <v>0</v>
      </c>
      <c r="P35969">
        <f>IF(OR(M35969="",N35969=""),"",SUMIFS('Barang Keluar'!$E:$E,'Barang Keluar'!$A:$A,M35969,'Barang Keluar'!$C:$C,N35969))</f>
        <v>0</v>
      </c>
    </row>
    <row r="35970" spans="13:16">
      <c r="M35970" s="49">
        <f>IF($A$4+359&gt;$B$4,"",$A$4+359)</f>
        <v>46382</v>
      </c>
      <c r="N35970">
        <f>IF(M35970="","",'Master Barang'!A64)</f>
        <v>0</v>
      </c>
      <c r="O35970">
        <f>IF(N35970="","",'Master Barang'!B64)</f>
        <v>0</v>
      </c>
      <c r="P35970">
        <f>IF(OR(M35970="",N35970=""),"",SUMIFS('Barang Keluar'!$E:$E,'Barang Keluar'!$A:$A,M35970,'Barang Keluar'!$C:$C,N35970))</f>
        <v>0</v>
      </c>
    </row>
    <row r="35971" spans="13:16">
      <c r="M35971" s="49">
        <f>IF($A$4+359&gt;$B$4,"",$A$4+359)</f>
        <v>46382</v>
      </c>
      <c r="N35971">
        <f>IF(M35971="","",'Master Barang'!A65)</f>
        <v>0</v>
      </c>
      <c r="O35971">
        <f>IF(N35971="","",'Master Barang'!B65)</f>
        <v>0</v>
      </c>
      <c r="P35971">
        <f>IF(OR(M35971="",N35971=""),"",SUMIFS('Barang Keluar'!$E:$E,'Barang Keluar'!$A:$A,M35971,'Barang Keluar'!$C:$C,N35971))</f>
        <v>0</v>
      </c>
    </row>
    <row r="35972" spans="13:16">
      <c r="M35972" s="49">
        <f>IF($A$4+359&gt;$B$4,"",$A$4+359)</f>
        <v>46382</v>
      </c>
      <c r="N35972">
        <f>IF(M35972="","",'Master Barang'!A66)</f>
        <v>0</v>
      </c>
      <c r="O35972">
        <f>IF(N35972="","",'Master Barang'!B66)</f>
        <v>0</v>
      </c>
      <c r="P35972">
        <f>IF(OR(M35972="",N35972=""),"",SUMIFS('Barang Keluar'!$E:$E,'Barang Keluar'!$A:$A,M35972,'Barang Keluar'!$C:$C,N35972))</f>
        <v>0</v>
      </c>
    </row>
    <row r="35973" spans="13:16">
      <c r="M35973" s="49">
        <f>IF($A$4+359&gt;$B$4,"",$A$4+359)</f>
        <v>46382</v>
      </c>
      <c r="N35973">
        <f>IF(M35973="","",'Master Barang'!A67)</f>
        <v>0</v>
      </c>
      <c r="O35973">
        <f>IF(N35973="","",'Master Barang'!B67)</f>
        <v>0</v>
      </c>
      <c r="P35973">
        <f>IF(OR(M35973="",N35973=""),"",SUMIFS('Barang Keluar'!$E:$E,'Barang Keluar'!$A:$A,M35973,'Barang Keluar'!$C:$C,N35973))</f>
        <v>0</v>
      </c>
    </row>
    <row r="35974" spans="13:16">
      <c r="M35974" s="49">
        <f>IF($A$4+359&gt;$B$4,"",$A$4+359)</f>
        <v>46382</v>
      </c>
      <c r="N35974">
        <f>IF(M35974="","",'Master Barang'!A68)</f>
        <v>0</v>
      </c>
      <c r="O35974">
        <f>IF(N35974="","",'Master Barang'!B68)</f>
        <v>0</v>
      </c>
      <c r="P35974">
        <f>IF(OR(M35974="",N35974=""),"",SUMIFS('Barang Keluar'!$E:$E,'Barang Keluar'!$A:$A,M35974,'Barang Keluar'!$C:$C,N35974))</f>
        <v>0</v>
      </c>
    </row>
    <row r="35975" spans="13:16">
      <c r="M35975" s="49">
        <f>IF($A$4+359&gt;$B$4,"",$A$4+359)</f>
        <v>46382</v>
      </c>
      <c r="N35975">
        <f>IF(M35975="","",'Master Barang'!A69)</f>
        <v>0</v>
      </c>
      <c r="O35975">
        <f>IF(N35975="","",'Master Barang'!B69)</f>
        <v>0</v>
      </c>
      <c r="P35975">
        <f>IF(OR(M35975="",N35975=""),"",SUMIFS('Barang Keluar'!$E:$E,'Barang Keluar'!$A:$A,M35975,'Barang Keluar'!$C:$C,N35975))</f>
        <v>0</v>
      </c>
    </row>
    <row r="35976" spans="13:16">
      <c r="M35976" s="49">
        <f>IF($A$4+359&gt;$B$4,"",$A$4+359)</f>
        <v>46382</v>
      </c>
      <c r="N35976">
        <f>IF(M35976="","",'Master Barang'!A70)</f>
        <v>0</v>
      </c>
      <c r="O35976">
        <f>IF(N35976="","",'Master Barang'!B70)</f>
        <v>0</v>
      </c>
      <c r="P35976">
        <f>IF(OR(M35976="",N35976=""),"",SUMIFS('Barang Keluar'!$E:$E,'Barang Keluar'!$A:$A,M35976,'Barang Keluar'!$C:$C,N35976))</f>
        <v>0</v>
      </c>
    </row>
    <row r="35977" spans="13:16">
      <c r="M35977" s="49">
        <f>IF($A$4+359&gt;$B$4,"",$A$4+359)</f>
        <v>46382</v>
      </c>
      <c r="N35977">
        <f>IF(M35977="","",'Master Barang'!A71)</f>
        <v>0</v>
      </c>
      <c r="O35977">
        <f>IF(N35977="","",'Master Barang'!B71)</f>
        <v>0</v>
      </c>
      <c r="P35977">
        <f>IF(OR(M35977="",N35977=""),"",SUMIFS('Barang Keluar'!$E:$E,'Barang Keluar'!$A:$A,M35977,'Barang Keluar'!$C:$C,N35977))</f>
        <v>0</v>
      </c>
    </row>
    <row r="35978" spans="13:16">
      <c r="M35978" s="49">
        <f>IF($A$4+359&gt;$B$4,"",$A$4+359)</f>
        <v>46382</v>
      </c>
      <c r="N35978">
        <f>IF(M35978="","",'Master Barang'!A72)</f>
        <v>0</v>
      </c>
      <c r="O35978">
        <f>IF(N35978="","",'Master Barang'!B72)</f>
        <v>0</v>
      </c>
      <c r="P35978">
        <f>IF(OR(M35978="",N35978=""),"",SUMIFS('Barang Keluar'!$E:$E,'Barang Keluar'!$A:$A,M35978,'Barang Keluar'!$C:$C,N35978))</f>
        <v>0</v>
      </c>
    </row>
    <row r="35979" spans="13:16">
      <c r="M35979" s="49">
        <f>IF($A$4+359&gt;$B$4,"",$A$4+359)</f>
        <v>46382</v>
      </c>
      <c r="N35979">
        <f>IF(M35979="","",'Master Barang'!A73)</f>
        <v>0</v>
      </c>
      <c r="O35979">
        <f>IF(N35979="","",'Master Barang'!B73)</f>
        <v>0</v>
      </c>
      <c r="P35979">
        <f>IF(OR(M35979="",N35979=""),"",SUMIFS('Barang Keluar'!$E:$E,'Barang Keluar'!$A:$A,M35979,'Barang Keluar'!$C:$C,N35979))</f>
        <v>0</v>
      </c>
    </row>
    <row r="35980" spans="13:16">
      <c r="M35980" s="49">
        <f>IF($A$4+359&gt;$B$4,"",$A$4+359)</f>
        <v>46382</v>
      </c>
      <c r="N35980">
        <f>IF(M35980="","",'Master Barang'!A74)</f>
        <v>0</v>
      </c>
      <c r="O35980">
        <f>IF(N35980="","",'Master Barang'!B74)</f>
        <v>0</v>
      </c>
      <c r="P35980">
        <f>IF(OR(M35980="",N35980=""),"",SUMIFS('Barang Keluar'!$E:$E,'Barang Keluar'!$A:$A,M35980,'Barang Keluar'!$C:$C,N35980))</f>
        <v>0</v>
      </c>
    </row>
    <row r="35981" spans="13:16">
      <c r="M35981" s="49">
        <f>IF($A$4+359&gt;$B$4,"",$A$4+359)</f>
        <v>46382</v>
      </c>
      <c r="N35981">
        <f>IF(M35981="","",'Master Barang'!A75)</f>
        <v>0</v>
      </c>
      <c r="O35981">
        <f>IF(N35981="","",'Master Barang'!B75)</f>
        <v>0</v>
      </c>
      <c r="P35981">
        <f>IF(OR(M35981="",N35981=""),"",SUMIFS('Barang Keluar'!$E:$E,'Barang Keluar'!$A:$A,M35981,'Barang Keluar'!$C:$C,N35981))</f>
        <v>0</v>
      </c>
    </row>
    <row r="35982" spans="13:16">
      <c r="M35982" s="49">
        <f>IF($A$4+359&gt;$B$4,"",$A$4+359)</f>
        <v>46382</v>
      </c>
      <c r="N35982">
        <f>IF(M35982="","",'Master Barang'!A76)</f>
        <v>0</v>
      </c>
      <c r="O35982">
        <f>IF(N35982="","",'Master Barang'!B76)</f>
        <v>0</v>
      </c>
      <c r="P35982">
        <f>IF(OR(M35982="",N35982=""),"",SUMIFS('Barang Keluar'!$E:$E,'Barang Keluar'!$A:$A,M35982,'Barang Keluar'!$C:$C,N35982))</f>
        <v>0</v>
      </c>
    </row>
    <row r="35983" spans="13:16">
      <c r="M35983" s="49">
        <f>IF($A$4+359&gt;$B$4,"",$A$4+359)</f>
        <v>46382</v>
      </c>
      <c r="N35983">
        <f>IF(M35983="","",'Master Barang'!A77)</f>
        <v>0</v>
      </c>
      <c r="O35983">
        <f>IF(N35983="","",'Master Barang'!B77)</f>
        <v>0</v>
      </c>
      <c r="P35983">
        <f>IF(OR(M35983="",N35983=""),"",SUMIFS('Barang Keluar'!$E:$E,'Barang Keluar'!$A:$A,M35983,'Barang Keluar'!$C:$C,N35983))</f>
        <v>0</v>
      </c>
    </row>
    <row r="35984" spans="13:16">
      <c r="M35984" s="49">
        <f>IF($A$4+359&gt;$B$4,"",$A$4+359)</f>
        <v>46382</v>
      </c>
      <c r="N35984">
        <f>IF(M35984="","",'Master Barang'!A78)</f>
        <v>0</v>
      </c>
      <c r="O35984">
        <f>IF(N35984="","",'Master Barang'!B78)</f>
        <v>0</v>
      </c>
      <c r="P35984">
        <f>IF(OR(M35984="",N35984=""),"",SUMIFS('Barang Keluar'!$E:$E,'Barang Keluar'!$A:$A,M35984,'Barang Keluar'!$C:$C,N35984))</f>
        <v>0</v>
      </c>
    </row>
    <row r="35985" spans="13:16">
      <c r="M35985" s="49">
        <f>IF($A$4+359&gt;$B$4,"",$A$4+359)</f>
        <v>46382</v>
      </c>
      <c r="N35985">
        <f>IF(M35985="","",'Master Barang'!A79)</f>
        <v>0</v>
      </c>
      <c r="O35985">
        <f>IF(N35985="","",'Master Barang'!B79)</f>
        <v>0</v>
      </c>
      <c r="P35985">
        <f>IF(OR(M35985="",N35985=""),"",SUMIFS('Barang Keluar'!$E:$E,'Barang Keluar'!$A:$A,M35985,'Barang Keluar'!$C:$C,N35985))</f>
        <v>0</v>
      </c>
    </row>
    <row r="35986" spans="13:16">
      <c r="M35986" s="49">
        <f>IF($A$4+359&gt;$B$4,"",$A$4+359)</f>
        <v>46382</v>
      </c>
      <c r="N35986">
        <f>IF(M35986="","",'Master Barang'!A80)</f>
        <v>0</v>
      </c>
      <c r="O35986">
        <f>IF(N35986="","",'Master Barang'!B80)</f>
        <v>0</v>
      </c>
      <c r="P35986">
        <f>IF(OR(M35986="",N35986=""),"",SUMIFS('Barang Keluar'!$E:$E,'Barang Keluar'!$A:$A,M35986,'Barang Keluar'!$C:$C,N35986))</f>
        <v>0</v>
      </c>
    </row>
    <row r="35987" spans="13:16">
      <c r="M35987" s="49">
        <f>IF($A$4+359&gt;$B$4,"",$A$4+359)</f>
        <v>46382</v>
      </c>
      <c r="N35987">
        <f>IF(M35987="","",'Master Barang'!A81)</f>
        <v>0</v>
      </c>
      <c r="O35987">
        <f>IF(N35987="","",'Master Barang'!B81)</f>
        <v>0</v>
      </c>
      <c r="P35987">
        <f>IF(OR(M35987="",N35987=""),"",SUMIFS('Barang Keluar'!$E:$E,'Barang Keluar'!$A:$A,M35987,'Barang Keluar'!$C:$C,N35987))</f>
        <v>0</v>
      </c>
    </row>
    <row r="35988" spans="13:16">
      <c r="M35988" s="49">
        <f>IF($A$4+359&gt;$B$4,"",$A$4+359)</f>
        <v>46382</v>
      </c>
      <c r="N35988">
        <f>IF(M35988="","",'Master Barang'!A82)</f>
        <v>0</v>
      </c>
      <c r="O35988">
        <f>IF(N35988="","",'Master Barang'!B82)</f>
        <v>0</v>
      </c>
      <c r="P35988">
        <f>IF(OR(M35988="",N35988=""),"",SUMIFS('Barang Keluar'!$E:$E,'Barang Keluar'!$A:$A,M35988,'Barang Keluar'!$C:$C,N35988))</f>
        <v>0</v>
      </c>
    </row>
    <row r="35989" spans="13:16">
      <c r="M35989" s="49">
        <f>IF($A$4+359&gt;$B$4,"",$A$4+359)</f>
        <v>46382</v>
      </c>
      <c r="N35989">
        <f>IF(M35989="","",'Master Barang'!A83)</f>
        <v>0</v>
      </c>
      <c r="O35989">
        <f>IF(N35989="","",'Master Barang'!B83)</f>
        <v>0</v>
      </c>
      <c r="P35989">
        <f>IF(OR(M35989="",N35989=""),"",SUMIFS('Barang Keluar'!$E:$E,'Barang Keluar'!$A:$A,M35989,'Barang Keluar'!$C:$C,N35989))</f>
        <v>0</v>
      </c>
    </row>
    <row r="35990" spans="13:16">
      <c r="M35990" s="49">
        <f>IF($A$4+359&gt;$B$4,"",$A$4+359)</f>
        <v>46382</v>
      </c>
      <c r="N35990">
        <f>IF(M35990="","",'Master Barang'!A84)</f>
        <v>0</v>
      </c>
      <c r="O35990">
        <f>IF(N35990="","",'Master Barang'!B84)</f>
        <v>0</v>
      </c>
      <c r="P35990">
        <f>IF(OR(M35990="",N35990=""),"",SUMIFS('Barang Keluar'!$E:$E,'Barang Keluar'!$A:$A,M35990,'Barang Keluar'!$C:$C,N35990))</f>
        <v>0</v>
      </c>
    </row>
    <row r="35991" spans="13:16">
      <c r="M35991" s="49">
        <f>IF($A$4+359&gt;$B$4,"",$A$4+359)</f>
        <v>46382</v>
      </c>
      <c r="N35991">
        <f>IF(M35991="","",'Master Barang'!A85)</f>
        <v>0</v>
      </c>
      <c r="O35991">
        <f>IF(N35991="","",'Master Barang'!B85)</f>
        <v>0</v>
      </c>
      <c r="P35991">
        <f>IF(OR(M35991="",N35991=""),"",SUMIFS('Barang Keluar'!$E:$E,'Barang Keluar'!$A:$A,M35991,'Barang Keluar'!$C:$C,N35991))</f>
        <v>0</v>
      </c>
    </row>
    <row r="35992" spans="13:16">
      <c r="M35992" s="49">
        <f>IF($A$4+359&gt;$B$4,"",$A$4+359)</f>
        <v>46382</v>
      </c>
      <c r="N35992">
        <f>IF(M35992="","",'Master Barang'!A86)</f>
        <v>0</v>
      </c>
      <c r="O35992">
        <f>IF(N35992="","",'Master Barang'!B86)</f>
        <v>0</v>
      </c>
      <c r="P35992">
        <f>IF(OR(M35992="",N35992=""),"",SUMIFS('Barang Keluar'!$E:$E,'Barang Keluar'!$A:$A,M35992,'Barang Keluar'!$C:$C,N35992))</f>
        <v>0</v>
      </c>
    </row>
    <row r="35993" spans="13:16">
      <c r="M35993" s="49">
        <f>IF($A$4+359&gt;$B$4,"",$A$4+359)</f>
        <v>46382</v>
      </c>
      <c r="N35993">
        <f>IF(M35993="","",'Master Barang'!A87)</f>
        <v>0</v>
      </c>
      <c r="O35993">
        <f>IF(N35993="","",'Master Barang'!B87)</f>
        <v>0</v>
      </c>
      <c r="P35993">
        <f>IF(OR(M35993="",N35993=""),"",SUMIFS('Barang Keluar'!$E:$E,'Barang Keluar'!$A:$A,M35993,'Barang Keluar'!$C:$C,N35993))</f>
        <v>0</v>
      </c>
    </row>
    <row r="35994" spans="13:16">
      <c r="M35994" s="49">
        <f>IF($A$4+359&gt;$B$4,"",$A$4+359)</f>
        <v>46382</v>
      </c>
      <c r="N35994">
        <f>IF(M35994="","",'Master Barang'!A88)</f>
        <v>0</v>
      </c>
      <c r="O35994">
        <f>IF(N35994="","",'Master Barang'!B88)</f>
        <v>0</v>
      </c>
      <c r="P35994">
        <f>IF(OR(M35994="",N35994=""),"",SUMIFS('Barang Keluar'!$E:$E,'Barang Keluar'!$A:$A,M35994,'Barang Keluar'!$C:$C,N35994))</f>
        <v>0</v>
      </c>
    </row>
    <row r="35995" spans="13:16">
      <c r="M35995" s="49">
        <f>IF($A$4+359&gt;$B$4,"",$A$4+359)</f>
        <v>46382</v>
      </c>
      <c r="N35995">
        <f>IF(M35995="","",'Master Barang'!A89)</f>
        <v>0</v>
      </c>
      <c r="O35995">
        <f>IF(N35995="","",'Master Barang'!B89)</f>
        <v>0</v>
      </c>
      <c r="P35995">
        <f>IF(OR(M35995="",N35995=""),"",SUMIFS('Barang Keluar'!$E:$E,'Barang Keluar'!$A:$A,M35995,'Barang Keluar'!$C:$C,N35995))</f>
        <v>0</v>
      </c>
    </row>
    <row r="35996" spans="13:16">
      <c r="M35996" s="49">
        <f>IF($A$4+359&gt;$B$4,"",$A$4+359)</f>
        <v>46382</v>
      </c>
      <c r="N35996">
        <f>IF(M35996="","",'Master Barang'!A90)</f>
        <v>0</v>
      </c>
      <c r="O35996">
        <f>IF(N35996="","",'Master Barang'!B90)</f>
        <v>0</v>
      </c>
      <c r="P35996">
        <f>IF(OR(M35996="",N35996=""),"",SUMIFS('Barang Keluar'!$E:$E,'Barang Keluar'!$A:$A,M35996,'Barang Keluar'!$C:$C,N35996))</f>
        <v>0</v>
      </c>
    </row>
    <row r="35997" spans="13:16">
      <c r="M35997" s="49">
        <f>IF($A$4+359&gt;$B$4,"",$A$4+359)</f>
        <v>46382</v>
      </c>
      <c r="N35997">
        <f>IF(M35997="","",'Master Barang'!A91)</f>
        <v>0</v>
      </c>
      <c r="O35997">
        <f>IF(N35997="","",'Master Barang'!B91)</f>
        <v>0</v>
      </c>
      <c r="P35997">
        <f>IF(OR(M35997="",N35997=""),"",SUMIFS('Barang Keluar'!$E:$E,'Barang Keluar'!$A:$A,M35997,'Barang Keluar'!$C:$C,N35997))</f>
        <v>0</v>
      </c>
    </row>
    <row r="35998" spans="13:16">
      <c r="M35998" s="49">
        <f>IF($A$4+359&gt;$B$4,"",$A$4+359)</f>
        <v>46382</v>
      </c>
      <c r="N35998">
        <f>IF(M35998="","",'Master Barang'!A92)</f>
        <v>0</v>
      </c>
      <c r="O35998">
        <f>IF(N35998="","",'Master Barang'!B92)</f>
        <v>0</v>
      </c>
      <c r="P35998">
        <f>IF(OR(M35998="",N35998=""),"",SUMIFS('Barang Keluar'!$E:$E,'Barang Keluar'!$A:$A,M35998,'Barang Keluar'!$C:$C,N35998))</f>
        <v>0</v>
      </c>
    </row>
    <row r="35999" spans="13:16">
      <c r="M35999" s="49">
        <f>IF($A$4+359&gt;$B$4,"",$A$4+359)</f>
        <v>46382</v>
      </c>
      <c r="N35999">
        <f>IF(M35999="","",'Master Barang'!A93)</f>
        <v>0</v>
      </c>
      <c r="O35999">
        <f>IF(N35999="","",'Master Barang'!B93)</f>
        <v>0</v>
      </c>
      <c r="P35999">
        <f>IF(OR(M35999="",N35999=""),"",SUMIFS('Barang Keluar'!$E:$E,'Barang Keluar'!$A:$A,M35999,'Barang Keluar'!$C:$C,N35999))</f>
        <v>0</v>
      </c>
    </row>
    <row r="36000" spans="13:16">
      <c r="M36000" s="49">
        <f>IF($A$4+359&gt;$B$4,"",$A$4+359)</f>
        <v>46382</v>
      </c>
      <c r="N36000">
        <f>IF(M36000="","",'Master Barang'!A94)</f>
        <v>0</v>
      </c>
      <c r="O36000">
        <f>IF(N36000="","",'Master Barang'!B94)</f>
        <v>0</v>
      </c>
      <c r="P36000">
        <f>IF(OR(M36000="",N36000=""),"",SUMIFS('Barang Keluar'!$E:$E,'Barang Keluar'!$A:$A,M36000,'Barang Keluar'!$C:$C,N36000))</f>
        <v>0</v>
      </c>
    </row>
    <row r="36001" spans="13:16">
      <c r="M36001" s="49">
        <f>IF($A$4+359&gt;$B$4,"",$A$4+359)</f>
        <v>46382</v>
      </c>
      <c r="N36001">
        <f>IF(M36001="","",'Master Barang'!A95)</f>
        <v>0</v>
      </c>
      <c r="O36001">
        <f>IF(N36001="","",'Master Barang'!B95)</f>
        <v>0</v>
      </c>
      <c r="P36001">
        <f>IF(OR(M36001="",N36001=""),"",SUMIFS('Barang Keluar'!$E:$E,'Barang Keluar'!$A:$A,M36001,'Barang Keluar'!$C:$C,N36001))</f>
        <v>0</v>
      </c>
    </row>
    <row r="36002" spans="13:16">
      <c r="M36002" s="49">
        <f>IF($A$4+359&gt;$B$4,"",$A$4+359)</f>
        <v>46382</v>
      </c>
      <c r="N36002">
        <f>IF(M36002="","",'Master Barang'!A96)</f>
        <v>0</v>
      </c>
      <c r="O36002">
        <f>IF(N36002="","",'Master Barang'!B96)</f>
        <v>0</v>
      </c>
      <c r="P36002">
        <f>IF(OR(M36002="",N36002=""),"",SUMIFS('Barang Keluar'!$E:$E,'Barang Keluar'!$A:$A,M36002,'Barang Keluar'!$C:$C,N36002))</f>
        <v>0</v>
      </c>
    </row>
    <row r="36003" spans="13:16">
      <c r="M36003" s="49">
        <f>IF($A$4+359&gt;$B$4,"",$A$4+359)</f>
        <v>46382</v>
      </c>
      <c r="N36003">
        <f>IF(M36003="","",'Master Barang'!A97)</f>
        <v>0</v>
      </c>
      <c r="O36003">
        <f>IF(N36003="","",'Master Barang'!B97)</f>
        <v>0</v>
      </c>
      <c r="P36003">
        <f>IF(OR(M36003="",N36003=""),"",SUMIFS('Barang Keluar'!$E:$E,'Barang Keluar'!$A:$A,M36003,'Barang Keluar'!$C:$C,N36003))</f>
        <v>0</v>
      </c>
    </row>
    <row r="36004" spans="13:16">
      <c r="M36004" s="49">
        <f>IF($A$4+359&gt;$B$4,"",$A$4+359)</f>
        <v>46382</v>
      </c>
      <c r="N36004">
        <f>IF(M36004="","",'Master Barang'!A98)</f>
        <v>0</v>
      </c>
      <c r="O36004">
        <f>IF(N36004="","",'Master Barang'!B98)</f>
        <v>0</v>
      </c>
      <c r="P36004">
        <f>IF(OR(M36004="",N36004=""),"",SUMIFS('Barang Keluar'!$E:$E,'Barang Keluar'!$A:$A,M36004,'Barang Keluar'!$C:$C,N36004))</f>
        <v>0</v>
      </c>
    </row>
    <row r="36005" spans="13:16">
      <c r="M36005" s="49">
        <f>IF($A$4+359&gt;$B$4,"",$A$4+359)</f>
        <v>46382</v>
      </c>
      <c r="N36005">
        <f>IF(M36005="","",'Master Barang'!A99)</f>
        <v>0</v>
      </c>
      <c r="O36005">
        <f>IF(N36005="","",'Master Barang'!B99)</f>
        <v>0</v>
      </c>
      <c r="P36005">
        <f>IF(OR(M36005="",N36005=""),"",SUMIFS('Barang Keluar'!$E:$E,'Barang Keluar'!$A:$A,M36005,'Barang Keluar'!$C:$C,N36005))</f>
        <v>0</v>
      </c>
    </row>
    <row r="36006" spans="13:16">
      <c r="M36006" s="49">
        <f>IF($A$4+359&gt;$B$4,"",$A$4+359)</f>
        <v>46382</v>
      </c>
      <c r="N36006">
        <f>IF(M36006="","",'Master Barang'!A100)</f>
        <v>0</v>
      </c>
      <c r="O36006">
        <f>IF(N36006="","",'Master Barang'!B100)</f>
        <v>0</v>
      </c>
      <c r="P36006">
        <f>IF(OR(M36006="",N36006=""),"",SUMIFS('Barang Keluar'!$E:$E,'Barang Keluar'!$A:$A,M36006,'Barang Keluar'!$C:$C,N36006))</f>
        <v>0</v>
      </c>
    </row>
    <row r="36007" spans="13:16">
      <c r="M36007" s="49">
        <f>IF($A$4+359&gt;$B$4,"",$A$4+359)</f>
        <v>46382</v>
      </c>
      <c r="N36007">
        <f>IF(M36007="","",'Master Barang'!A101)</f>
        <v>0</v>
      </c>
      <c r="O36007">
        <f>IF(N36007="","",'Master Barang'!B101)</f>
        <v>0</v>
      </c>
      <c r="P36007">
        <f>IF(OR(M36007="",N36007=""),"",SUMIFS('Barang Keluar'!$E:$E,'Barang Keluar'!$A:$A,M36007,'Barang Keluar'!$C:$C,N36007))</f>
        <v>0</v>
      </c>
    </row>
    <row r="36008" spans="13:16">
      <c r="M36008" s="49">
        <f>IF($A$4+360&gt;$B$4,"",$A$4+360)</f>
        <v>46383</v>
      </c>
      <c r="N36008" t="str">
        <f>IF(M36008="","",'Master Barang'!A2)</f>
        <v>PRL-001</v>
      </c>
      <c r="O36008" t="str">
        <f>IF(N36008="","",'Master Barang'!B2)</f>
        <v>natura desinfectant food grade 5l</v>
      </c>
      <c r="P36008">
        <f>IF(OR(M36008="",N36008=""),"",SUMIFS('Barang Keluar'!$E:$E,'Barang Keluar'!$A:$A,M36008,'Barang Keluar'!$C:$C,N36008))</f>
        <v>0</v>
      </c>
    </row>
    <row r="36009" spans="13:16">
      <c r="M36009" s="49">
        <f>IF($A$4+360&gt;$B$4,"",$A$4+360)</f>
        <v>46383</v>
      </c>
      <c r="N36009" t="str">
        <f>IF(M36009="","",'Master Barang'!A3)</f>
        <v>PRL-002</v>
      </c>
      <c r="O36009" t="str">
        <f>IF(N36009="","",'Master Barang'!B3)</f>
        <v>sunlight cairan pencuci piring 5l</v>
      </c>
      <c r="P36009">
        <f>IF(OR(M36009="",N36009=""),"",SUMIFS('Barang Keluar'!$E:$E,'Barang Keluar'!$A:$A,M36009,'Barang Keluar'!$C:$C,N36009))</f>
        <v>0</v>
      </c>
    </row>
    <row r="36010" spans="13:16">
      <c r="M36010" s="49">
        <f>IF($A$4+360&gt;$B$4,"",$A$4+360)</f>
        <v>46383</v>
      </c>
      <c r="N36010" t="str">
        <f>IF(M36010="","",'Master Barang'!A4)</f>
        <v>PRL-003</v>
      </c>
      <c r="O36010" t="str">
        <f>IF(N36010="","",'Master Barang'!B4)</f>
        <v>oixs cleaner 1l</v>
      </c>
      <c r="P36010">
        <f>IF(OR(M36010="",N36010=""),"",SUMIFS('Barang Keluar'!$E:$E,'Barang Keluar'!$A:$A,M36010,'Barang Keluar'!$C:$C,N36010))</f>
        <v>0</v>
      </c>
    </row>
    <row r="36011" spans="13:16">
      <c r="M36011" s="49">
        <f>IF($A$4+360&gt;$B$4,"",$A$4+360)</f>
        <v>46383</v>
      </c>
      <c r="N36011" t="str">
        <f>IF(M36011="","",'Master Barang'!A5)</f>
        <v>PRL-004</v>
      </c>
      <c r="O36011" t="str">
        <f>IF(N36011="","",'Master Barang'!B5)</f>
        <v>be clean tissue serbaguna</v>
      </c>
      <c r="P36011">
        <f>IF(OR(M36011="",N36011=""),"",SUMIFS('Barang Keluar'!$E:$E,'Barang Keluar'!$A:$A,M36011,'Barang Keluar'!$C:$C,N36011))</f>
        <v>0</v>
      </c>
    </row>
    <row r="36012" spans="13:16">
      <c r="M36012" s="49">
        <f>IF($A$4+360&gt;$B$4,"",$A$4+360)</f>
        <v>46383</v>
      </c>
      <c r="N36012" t="str">
        <f>IF(M36012="","",'Master Barang'!A6)</f>
        <v>PRL-005</v>
      </c>
      <c r="O36012" t="str">
        <f>IF(N36012="","",'Master Barang'!B6)</f>
        <v>spons cuci hijau</v>
      </c>
      <c r="P36012">
        <f>IF(OR(M36012="",N36012=""),"",SUMIFS('Barang Keluar'!$E:$E,'Barang Keluar'!$A:$A,M36012,'Barang Keluar'!$C:$C,N36012))</f>
        <v>0</v>
      </c>
    </row>
    <row r="36013" spans="13:16">
      <c r="M36013" s="49">
        <f>IF($A$4+360&gt;$B$4,"",$A$4+360)</f>
        <v>46383</v>
      </c>
      <c r="N36013" t="str">
        <f>IF(M36013="","",'Master Barang'!A7)</f>
        <v>PRL-006</v>
      </c>
      <c r="O36013" t="str">
        <f>IF(N36013="","",'Master Barang'!B7)</f>
        <v>sabut cuci stainless</v>
      </c>
      <c r="P36013">
        <f>IF(OR(M36013="",N36013=""),"",SUMIFS('Barang Keluar'!$E:$E,'Barang Keluar'!$A:$A,M36013,'Barang Keluar'!$C:$C,N36013))</f>
        <v>0</v>
      </c>
    </row>
    <row r="36014" spans="13:16">
      <c r="M36014" s="49">
        <f>IF($A$4+360&gt;$B$4,"",$A$4+360)</f>
        <v>46383</v>
      </c>
      <c r="N36014" t="str">
        <f>IF(M36014="","",'Master Barang'!A8)</f>
        <v>PRL-007</v>
      </c>
      <c r="O36014" t="str">
        <f>IF(N36014="","",'Master Barang'!B8)</f>
        <v>plastik kresek besar merah 50pc</v>
      </c>
      <c r="P36014">
        <f>IF(OR(M36014="",N36014=""),"",SUMIFS('Barang Keluar'!$E:$E,'Barang Keluar'!$A:$A,M36014,'Barang Keluar'!$C:$C,N36014))</f>
        <v>0</v>
      </c>
    </row>
    <row r="36015" spans="13:16">
      <c r="M36015" s="49">
        <f>IF($A$4+360&gt;$B$4,"",$A$4+360)</f>
        <v>46383</v>
      </c>
      <c r="N36015" t="str">
        <f>IF(M36015="","",'Master Barang'!A9)</f>
        <v>PRL-008</v>
      </c>
      <c r="O36015" t="str">
        <f>IF(N36015="","",'Master Barang'!B9)</f>
        <v>lap besar</v>
      </c>
      <c r="P36015">
        <f>IF(OR(M36015="",N36015=""),"",SUMIFS('Barang Keluar'!$E:$E,'Barang Keluar'!$A:$A,M36015,'Barang Keluar'!$C:$C,N36015))</f>
        <v>0</v>
      </c>
    </row>
    <row r="36016" spans="13:16">
      <c r="M36016" s="49">
        <f>IF($A$4+360&gt;$B$4,"",$A$4+360)</f>
        <v>46383</v>
      </c>
      <c r="N36016" t="str">
        <f>IF(M36016="","",'Master Barang'!A10)</f>
        <v>PRL-009</v>
      </c>
      <c r="O36016" t="str">
        <f>IF(N36016="","",'Master Barang'!B10)</f>
        <v>lap microfiber</v>
      </c>
      <c r="P36016">
        <f>IF(OR(M36016="",N36016=""),"",SUMIFS('Barang Keluar'!$E:$E,'Barang Keluar'!$A:$A,M36016,'Barang Keluar'!$C:$C,N36016))</f>
        <v>0</v>
      </c>
    </row>
    <row r="36017" spans="13:16">
      <c r="M36017" s="49">
        <f>IF($A$4+360&gt;$B$4,"",$A$4+360)</f>
        <v>46383</v>
      </c>
      <c r="N36017" t="str">
        <f>IF(M36017="","",'Master Barang'!A11)</f>
        <v>PRL-010</v>
      </c>
      <c r="O36017" t="str">
        <f>IF(N36017="","",'Master Barang'!B11)</f>
        <v>lap kecil</v>
      </c>
      <c r="P36017">
        <f>IF(OR(M36017="",N36017=""),"",SUMIFS('Barang Keluar'!$E:$E,'Barang Keluar'!$A:$A,M36017,'Barang Keluar'!$C:$C,N36017))</f>
        <v>0</v>
      </c>
    </row>
    <row r="36018" spans="13:16">
      <c r="M36018" s="49">
        <f>IF($A$4+360&gt;$B$4,"",$A$4+360)</f>
        <v>46383</v>
      </c>
      <c r="N36018" t="str">
        <f>IF(M36018="","",'Master Barang'!A12)</f>
        <v>PRL-011</v>
      </c>
      <c r="O36018" t="str">
        <f>IF(N36018="","",'Master Barang'!B12)</f>
        <v>kanebo kecil</v>
      </c>
      <c r="P36018">
        <f>IF(OR(M36018="",N36018=""),"",SUMIFS('Barang Keluar'!$E:$E,'Barang Keluar'!$A:$A,M36018,'Barang Keluar'!$C:$C,N36018))</f>
        <v>0</v>
      </c>
    </row>
    <row r="36019" spans="13:16">
      <c r="M36019" s="49">
        <f>IF($A$4+360&gt;$B$4,"",$A$4+360)</f>
        <v>46383</v>
      </c>
      <c r="N36019" t="str">
        <f>IF(M36019="","",'Master Barang'!A13)</f>
        <v>PRL-012</v>
      </c>
      <c r="O36019" t="str">
        <f>IF(N36019="","",'Master Barang'!B13)</f>
        <v>plastik 1/4kg joyoboyo 100 lembar</v>
      </c>
      <c r="P36019">
        <f>IF(OR(M36019="",N36019=""),"",SUMIFS('Barang Keluar'!$E:$E,'Barang Keluar'!$A:$A,M36019,'Barang Keluar'!$C:$C,N36019))</f>
        <v>0</v>
      </c>
    </row>
    <row r="36020" spans="13:16">
      <c r="M36020" s="49">
        <f>IF($A$4+360&gt;$B$4,"",$A$4+360)</f>
        <v>46383</v>
      </c>
      <c r="N36020" t="str">
        <f>IF(M36020="","",'Master Barang'!A14)</f>
        <v>PRL-013</v>
      </c>
      <c r="O36020" t="str">
        <f>IF(N36020="","",'Master Barang'!B14)</f>
        <v>sarung tangan plastik kaka 100 pcs</v>
      </c>
      <c r="P36020">
        <f>IF(OR(M36020="",N36020=""),"",SUMIFS('Barang Keluar'!$E:$E,'Barang Keluar'!$A:$A,M36020,'Barang Keluar'!$C:$C,N36020))</f>
        <v>0</v>
      </c>
    </row>
    <row r="36021" spans="13:16">
      <c r="M36021" s="49">
        <f>IF($A$4+360&gt;$B$4,"",$A$4+360)</f>
        <v>46383</v>
      </c>
      <c r="N36021" t="str">
        <f>IF(M36021="","",'Master Barang'!A15)</f>
        <v>PRL-014</v>
      </c>
      <c r="O36021" t="str">
        <f>IF(N36021="","",'Master Barang'!B15)</f>
        <v>optima trashbag 80x100</v>
      </c>
      <c r="P36021">
        <f>IF(OR(M36021="",N36021=""),"",SUMIFS('Barang Keluar'!$E:$E,'Barang Keluar'!$A:$A,M36021,'Barang Keluar'!$C:$C,N36021))</f>
        <v>0</v>
      </c>
    </row>
    <row r="36022" spans="13:16">
      <c r="M36022" s="49">
        <f>IF($A$4+360&gt;$B$4,"",$A$4+360)</f>
        <v>46383</v>
      </c>
      <c r="N36022" t="str">
        <f>IF(M36022="","",'Master Barang'!A16)</f>
        <v>PRL-015</v>
      </c>
      <c r="O36022" t="str">
        <f>IF(N36022="","",'Master Barang'!B16)</f>
        <v>optima trashbag 60x100</v>
      </c>
      <c r="P36022">
        <f>IF(OR(M36022="",N36022=""),"",SUMIFS('Barang Keluar'!$E:$E,'Barang Keluar'!$A:$A,M36022,'Barang Keluar'!$C:$C,N36022))</f>
        <v>0</v>
      </c>
    </row>
    <row r="36023" spans="13:16">
      <c r="M36023" s="49">
        <f>IF($A$4+360&gt;$B$4,"",$A$4+360)</f>
        <v>46383</v>
      </c>
      <c r="N36023" t="str">
        <f>IF(M36023="","",'Master Barang'!A17)</f>
        <v>PRL-016</v>
      </c>
      <c r="O36023" t="str">
        <f>IF(N36023="","",'Master Barang'!B17)</f>
        <v>rajawali trashbag 30x40</v>
      </c>
      <c r="P36023">
        <f>IF(OR(M36023="",N36023=""),"",SUMIFS('Barang Keluar'!$E:$E,'Barang Keluar'!$A:$A,M36023,'Barang Keluar'!$C:$C,N36023))</f>
        <v>0</v>
      </c>
    </row>
    <row r="36024" spans="13:16">
      <c r="M36024" s="49">
        <f>IF($A$4+360&gt;$B$4,"",$A$4+360)</f>
        <v>46383</v>
      </c>
      <c r="N36024" t="str">
        <f>IF(M36024="","",'Master Barang'!A18)</f>
        <v>PRL-017</v>
      </c>
      <c r="O36024" t="str">
        <f>IF(N36024="","",'Master Barang'!B18)</f>
        <v>onemed masker biru 3 play 50 pcs</v>
      </c>
      <c r="P36024">
        <f>IF(OR(M36024="",N36024=""),"",SUMIFS('Barang Keluar'!$E:$E,'Barang Keluar'!$A:$A,M36024,'Barang Keluar'!$C:$C,N36024))</f>
        <v>0</v>
      </c>
    </row>
    <row r="36025" spans="13:16">
      <c r="M36025" s="49">
        <f>IF($A$4+360&gt;$B$4,"",$A$4+360)</f>
        <v>46383</v>
      </c>
      <c r="N36025" t="str">
        <f>IF(M36025="","",'Master Barang'!A19)</f>
        <v>PRL-018</v>
      </c>
      <c r="O36025" t="str">
        <f>IF(N36025="","",'Master Barang'!B19)</f>
        <v>onemed masker biru 3 play hijab 50 pcs</v>
      </c>
      <c r="P36025">
        <f>IF(OR(M36025="",N36025=""),"",SUMIFS('Barang Keluar'!$E:$E,'Barang Keluar'!$A:$A,M36025,'Barang Keluar'!$C:$C,N36025))</f>
        <v>0</v>
      </c>
    </row>
    <row r="36026" spans="13:16">
      <c r="M36026" s="49">
        <f>IF($A$4+360&gt;$B$4,"",$A$4+360)</f>
        <v>46383</v>
      </c>
      <c r="N36026" t="str">
        <f>IF(M36026="","",'Master Barang'!A20)</f>
        <v>PRL-019</v>
      </c>
      <c r="O36026" t="str">
        <f>IF(N36026="","",'Master Barang'!B20)</f>
        <v>neo health masker biru 3 play 50 pcs</v>
      </c>
      <c r="P36026">
        <f>IF(OR(M36026="",N36026=""),"",SUMIFS('Barang Keluar'!$E:$E,'Barang Keluar'!$A:$A,M36026,'Barang Keluar'!$C:$C,N36026))</f>
        <v>0</v>
      </c>
    </row>
    <row r="36027" spans="13:16">
      <c r="M36027" s="49">
        <f>IF($A$4+360&gt;$B$4,"",$A$4+360)</f>
        <v>46383</v>
      </c>
      <c r="N36027" t="str">
        <f>IF(M36027="","",'Master Barang'!A21)</f>
        <v>PRL-020</v>
      </c>
      <c r="O36027" t="str">
        <f>IF(N36027="","",'Master Barang'!B21)</f>
        <v>baymed masker hijau 3 play hijau 50 pcs</v>
      </c>
      <c r="P36027">
        <f>IF(OR(M36027="",N36027=""),"",SUMIFS('Barang Keluar'!$E:$E,'Barang Keluar'!$A:$A,M36027,'Barang Keluar'!$C:$C,N36027))</f>
        <v>0</v>
      </c>
    </row>
    <row r="36028" spans="13:16">
      <c r="M36028" s="49">
        <f>IF($A$4+360&gt;$B$4,"",$A$4+360)</f>
        <v>46383</v>
      </c>
      <c r="N36028" t="str">
        <f>IF(M36028="","",'Master Barang'!A22)</f>
        <v>PRL-021</v>
      </c>
      <c r="O36028" t="str">
        <f>IF(N36028="","",'Master Barang'!B22)</f>
        <v>altamed nurse cap penutup kepala 100 pcs</v>
      </c>
      <c r="P36028">
        <f>IF(OR(M36028="",N36028=""),"",SUMIFS('Barang Keluar'!$E:$E,'Barang Keluar'!$A:$A,M36028,'Barang Keluar'!$C:$C,N36028))</f>
        <v>0</v>
      </c>
    </row>
    <row r="36029" spans="13:16">
      <c r="M36029" s="49">
        <f>IF($A$4+360&gt;$B$4,"",$A$4+360)</f>
        <v>46383</v>
      </c>
      <c r="N36029" t="str">
        <f>IF(M36029="","",'Master Barang'!A23)</f>
        <v>PRL-022</v>
      </c>
      <c r="O36029" t="str">
        <f>IF(N36029="","",'Master Barang'!B23)</f>
        <v>sabun cuci tangan</v>
      </c>
      <c r="P36029">
        <f>IF(OR(M36029="",N36029=""),"",SUMIFS('Barang Keluar'!$E:$E,'Barang Keluar'!$A:$A,M36029,'Barang Keluar'!$C:$C,N36029))</f>
        <v>0</v>
      </c>
    </row>
    <row r="36030" spans="13:16">
      <c r="M36030" s="49">
        <f>IF($A$4+360&gt;$B$4,"",$A$4+360)</f>
        <v>46383</v>
      </c>
      <c r="N36030" t="str">
        <f>IF(M36030="","",'Master Barang'!A24)</f>
        <v>PRL-023</v>
      </c>
      <c r="O36030" t="str">
        <f>IF(N36030="","",'Master Barang'!B24)</f>
        <v>gayung kecil</v>
      </c>
      <c r="P36030">
        <f>IF(OR(M36030="",N36030=""),"",SUMIFS('Barang Keluar'!$E:$E,'Barang Keluar'!$A:$A,M36030,'Barang Keluar'!$C:$C,N36030))</f>
        <v>0</v>
      </c>
    </row>
    <row r="36031" spans="13:16">
      <c r="M36031" s="49">
        <f>IF($A$4+360&gt;$B$4,"",$A$4+360)</f>
        <v>46383</v>
      </c>
      <c r="N36031" t="str">
        <f>IF(M36031="","",'Master Barang'!A25)</f>
        <v>PRL-024</v>
      </c>
      <c r="O36031" t="str">
        <f>IF(N36031="","",'Master Barang'!B25)</f>
        <v>cikrak kecil</v>
      </c>
      <c r="P36031">
        <f>IF(OR(M36031="",N36031=""),"",SUMIFS('Barang Keluar'!$E:$E,'Barang Keluar'!$A:$A,M36031,'Barang Keluar'!$C:$C,N36031))</f>
        <v>0</v>
      </c>
    </row>
    <row r="36032" spans="13:16">
      <c r="M36032" s="49">
        <f>IF($A$4+360&gt;$B$4,"",$A$4+360)</f>
        <v>46383</v>
      </c>
      <c r="N36032" t="str">
        <f>IF(M36032="","",'Master Barang'!A26)</f>
        <v>PRL-025</v>
      </c>
      <c r="O36032" t="str">
        <f>IF(N36032="","",'Master Barang'!B26)</f>
        <v>petromax plastik kecil 12x24 100 lembar</v>
      </c>
      <c r="P36032">
        <f>IF(OR(M36032="",N36032=""),"",SUMIFS('Barang Keluar'!$E:$E,'Barang Keluar'!$A:$A,M36032,'Barang Keluar'!$C:$C,N36032))</f>
        <v>0</v>
      </c>
    </row>
    <row r="36033" spans="13:16">
      <c r="M36033" s="49">
        <f>IF($A$4+360&gt;$B$4,"",$A$4+360)</f>
        <v>46383</v>
      </c>
      <c r="N36033" t="str">
        <f>IF(M36033="","",'Master Barang'!A27)</f>
        <v>PRL-026</v>
      </c>
      <c r="O36033" t="str">
        <f>IF(N36033="","",'Master Barang'!B27)</f>
        <v>lancar kresek kecil bening </v>
      </c>
      <c r="P36033">
        <f>IF(OR(M36033="",N36033=""),"",SUMIFS('Barang Keluar'!$E:$E,'Barang Keluar'!$A:$A,M36033,'Barang Keluar'!$C:$C,N36033))</f>
        <v>0</v>
      </c>
    </row>
    <row r="36034" spans="13:16">
      <c r="M36034" s="49">
        <f>IF($A$4+360&gt;$B$4,"",$A$4+360)</f>
        <v>46383</v>
      </c>
      <c r="N36034" t="str">
        <f>IF(M36034="","",'Master Barang'!A28)</f>
        <v>PRL-027</v>
      </c>
      <c r="O36034" t="str">
        <f>IF(N36034="","",'Master Barang'!B28)</f>
        <v>kresek klin warna warni kecil</v>
      </c>
      <c r="P36034">
        <f>IF(OR(M36034="",N36034=""),"",SUMIFS('Barang Keluar'!$E:$E,'Barang Keluar'!$A:$A,M36034,'Barang Keluar'!$C:$C,N36034))</f>
        <v>0</v>
      </c>
    </row>
    <row r="36035" spans="13:16">
      <c r="M36035" s="49">
        <f>IF($A$4+360&gt;$B$4,"",$A$4+360)</f>
        <v>46383</v>
      </c>
      <c r="N36035" t="str">
        <f>IF(M36035="","",'Master Barang'!A29)</f>
        <v>PRL-028</v>
      </c>
      <c r="O36035" t="str">
        <f>IF(N36035="","",'Master Barang'!B29)</f>
        <v>ctik plastik 7x10 100 pcs</v>
      </c>
      <c r="P36035">
        <f>IF(OR(M36035="",N36035=""),"",SUMIFS('Barang Keluar'!$E:$E,'Barang Keluar'!$A:$A,M36035,'Barang Keluar'!$C:$C,N36035))</f>
        <v>0</v>
      </c>
    </row>
    <row r="36036" spans="13:16">
      <c r="M36036" s="49">
        <f>IF($A$4+360&gt;$B$4,"",$A$4+360)</f>
        <v>46383</v>
      </c>
      <c r="N36036" t="str">
        <f>IF(M36036="","",'Master Barang'!A30)</f>
        <v>PRL-029</v>
      </c>
      <c r="O36036" t="str">
        <f>IF(N36036="","",'Master Barang'!B30)</f>
        <v>ctik plastik 6x10 100 pcs</v>
      </c>
      <c r="P36036">
        <f>IF(OR(M36036="",N36036=""),"",SUMIFS('Barang Keluar'!$E:$E,'Barang Keluar'!$A:$A,M36036,'Barang Keluar'!$C:$C,N36036))</f>
        <v>0</v>
      </c>
    </row>
    <row r="36037" spans="13:16">
      <c r="M36037" s="49">
        <f>IF($A$4+360&gt;$B$4,"",$A$4+360)</f>
        <v>46383</v>
      </c>
      <c r="N36037" t="str">
        <f>IF(M36037="","",'Master Barang'!A31)</f>
        <v>PRL-030</v>
      </c>
      <c r="O36037" t="str">
        <f>IF(N36037="","",'Master Barang'!B31)</f>
        <v>klip plastik 25x16 100 pcs</v>
      </c>
      <c r="P36037">
        <f>IF(OR(M36037="",N36037=""),"",SUMIFS('Barang Keluar'!$E:$E,'Barang Keluar'!$A:$A,M36037,'Barang Keluar'!$C:$C,N36037))</f>
        <v>0</v>
      </c>
    </row>
    <row r="36038" spans="13:16">
      <c r="M36038" s="49">
        <f>IF($A$4+360&gt;$B$4,"",$A$4+360)</f>
        <v>46383</v>
      </c>
      <c r="N36038" t="str">
        <f>IF(M36038="","",'Master Barang'!A32)</f>
        <v>PRL-031</v>
      </c>
      <c r="O36038" t="str">
        <f>IF(N36038="","",'Master Barang'!B32)</f>
        <v>tempat saus 20 ml</v>
      </c>
      <c r="P36038">
        <f>IF(OR(M36038="",N36038=""),"",SUMIFS('Barang Keluar'!$E:$E,'Barang Keluar'!$A:$A,M36038,'Barang Keluar'!$C:$C,N36038))</f>
        <v>0</v>
      </c>
    </row>
    <row r="36039" spans="13:16">
      <c r="M36039" s="49">
        <f>IF($A$4+360&gt;$B$4,"",$A$4+360)</f>
        <v>46383</v>
      </c>
      <c r="N36039" t="str">
        <f>IF(M36039="","",'Master Barang'!A33)</f>
        <v>PRL-032</v>
      </c>
      <c r="O36039" t="str">
        <f>IF(N36039="","",'Master Barang'!B33)</f>
        <v>plastik packaging ag box uk sedang</v>
      </c>
      <c r="P36039">
        <f>IF(OR(M36039="",N36039=""),"",SUMIFS('Barang Keluar'!$E:$E,'Barang Keluar'!$A:$A,M36039,'Barang Keluar'!$C:$C,N36039))</f>
        <v>0</v>
      </c>
    </row>
    <row r="36040" spans="13:16">
      <c r="M36040" s="49">
        <f>IF($A$4+360&gt;$B$4,"",$A$4+360)</f>
        <v>46383</v>
      </c>
      <c r="N36040" t="str">
        <f>IF(M36040="","",'Master Barang'!A34)</f>
        <v>PRL-033</v>
      </c>
      <c r="O36040">
        <f>IF(N36040="","",'Master Barang'!B34)</f>
        <v>0</v>
      </c>
      <c r="P36040">
        <f>IF(OR(M36040="",N36040=""),"",SUMIFS('Barang Keluar'!$E:$E,'Barang Keluar'!$A:$A,M36040,'Barang Keluar'!$C:$C,N36040))</f>
        <v>0</v>
      </c>
    </row>
    <row r="36041" spans="13:16">
      <c r="M36041" s="49">
        <f>IF($A$4+360&gt;$B$4,"",$A$4+360)</f>
        <v>46383</v>
      </c>
      <c r="N36041">
        <f>IF(M36041="","",'Master Barang'!A35)</f>
        <v>0</v>
      </c>
      <c r="O36041">
        <f>IF(N36041="","",'Master Barang'!B35)</f>
        <v>0</v>
      </c>
      <c r="P36041">
        <f>IF(OR(M36041="",N36041=""),"",SUMIFS('Barang Keluar'!$E:$E,'Barang Keluar'!$A:$A,M36041,'Barang Keluar'!$C:$C,N36041))</f>
        <v>0</v>
      </c>
    </row>
    <row r="36042" spans="13:16">
      <c r="M36042" s="49">
        <f>IF($A$4+360&gt;$B$4,"",$A$4+360)</f>
        <v>46383</v>
      </c>
      <c r="N36042">
        <f>IF(M36042="","",'Master Barang'!A36)</f>
        <v>0</v>
      </c>
      <c r="O36042">
        <f>IF(N36042="","",'Master Barang'!B36)</f>
        <v>0</v>
      </c>
      <c r="P36042">
        <f>IF(OR(M36042="",N36042=""),"",SUMIFS('Barang Keluar'!$E:$E,'Barang Keluar'!$A:$A,M36042,'Barang Keluar'!$C:$C,N36042))</f>
        <v>0</v>
      </c>
    </row>
    <row r="36043" spans="13:16">
      <c r="M36043" s="49">
        <f>IF($A$4+360&gt;$B$4,"",$A$4+360)</f>
        <v>46383</v>
      </c>
      <c r="N36043">
        <f>IF(M36043="","",'Master Barang'!A37)</f>
        <v>0</v>
      </c>
      <c r="O36043">
        <f>IF(N36043="","",'Master Barang'!B37)</f>
        <v>0</v>
      </c>
      <c r="P36043">
        <f>IF(OR(M36043="",N36043=""),"",SUMIFS('Barang Keluar'!$E:$E,'Barang Keluar'!$A:$A,M36043,'Barang Keluar'!$C:$C,N36043))</f>
        <v>0</v>
      </c>
    </row>
    <row r="36044" spans="13:16">
      <c r="M36044" s="49">
        <f>IF($A$4+360&gt;$B$4,"",$A$4+360)</f>
        <v>46383</v>
      </c>
      <c r="N36044">
        <f>IF(M36044="","",'Master Barang'!A38)</f>
        <v>0</v>
      </c>
      <c r="O36044">
        <f>IF(N36044="","",'Master Barang'!B38)</f>
        <v>0</v>
      </c>
      <c r="P36044">
        <f>IF(OR(M36044="",N36044=""),"",SUMIFS('Barang Keluar'!$E:$E,'Barang Keluar'!$A:$A,M36044,'Barang Keluar'!$C:$C,N36044))</f>
        <v>0</v>
      </c>
    </row>
    <row r="36045" spans="13:16">
      <c r="M36045" s="49">
        <f>IF($A$4+360&gt;$B$4,"",$A$4+360)</f>
        <v>46383</v>
      </c>
      <c r="N36045">
        <f>IF(M36045="","",'Master Barang'!A39)</f>
        <v>0</v>
      </c>
      <c r="O36045">
        <f>IF(N36045="","",'Master Barang'!B39)</f>
        <v>0</v>
      </c>
      <c r="P36045">
        <f>IF(OR(M36045="",N36045=""),"",SUMIFS('Barang Keluar'!$E:$E,'Barang Keluar'!$A:$A,M36045,'Barang Keluar'!$C:$C,N36045))</f>
        <v>0</v>
      </c>
    </row>
    <row r="36046" spans="13:16">
      <c r="M36046" s="49">
        <f>IF($A$4+360&gt;$B$4,"",$A$4+360)</f>
        <v>46383</v>
      </c>
      <c r="N36046">
        <f>IF(M36046="","",'Master Barang'!A40)</f>
        <v>0</v>
      </c>
      <c r="O36046">
        <f>IF(N36046="","",'Master Barang'!B40)</f>
        <v>0</v>
      </c>
      <c r="P36046">
        <f>IF(OR(M36046="",N36046=""),"",SUMIFS('Barang Keluar'!$E:$E,'Barang Keluar'!$A:$A,M36046,'Barang Keluar'!$C:$C,N36046))</f>
        <v>0</v>
      </c>
    </row>
    <row r="36047" spans="13:16">
      <c r="M36047" s="49">
        <f>IF($A$4+360&gt;$B$4,"",$A$4+360)</f>
        <v>46383</v>
      </c>
      <c r="N36047">
        <f>IF(M36047="","",'Master Barang'!A41)</f>
        <v>0</v>
      </c>
      <c r="O36047">
        <f>IF(N36047="","",'Master Barang'!B41)</f>
        <v>0</v>
      </c>
      <c r="P36047">
        <f>IF(OR(M36047="",N36047=""),"",SUMIFS('Barang Keluar'!$E:$E,'Barang Keluar'!$A:$A,M36047,'Barang Keluar'!$C:$C,N36047))</f>
        <v>0</v>
      </c>
    </row>
    <row r="36048" spans="13:16">
      <c r="M36048" s="49">
        <f>IF($A$4+360&gt;$B$4,"",$A$4+360)</f>
        <v>46383</v>
      </c>
      <c r="N36048">
        <f>IF(M36048="","",'Master Barang'!A42)</f>
        <v>0</v>
      </c>
      <c r="O36048">
        <f>IF(N36048="","",'Master Barang'!B42)</f>
        <v>0</v>
      </c>
      <c r="P36048">
        <f>IF(OR(M36048="",N36048=""),"",SUMIFS('Barang Keluar'!$E:$E,'Barang Keluar'!$A:$A,M36048,'Barang Keluar'!$C:$C,N36048))</f>
        <v>0</v>
      </c>
    </row>
    <row r="36049" spans="13:16">
      <c r="M36049" s="49">
        <f>IF($A$4+360&gt;$B$4,"",$A$4+360)</f>
        <v>46383</v>
      </c>
      <c r="N36049">
        <f>IF(M36049="","",'Master Barang'!A43)</f>
        <v>0</v>
      </c>
      <c r="O36049">
        <f>IF(N36049="","",'Master Barang'!B43)</f>
        <v>0</v>
      </c>
      <c r="P36049">
        <f>IF(OR(M36049="",N36049=""),"",SUMIFS('Barang Keluar'!$E:$E,'Barang Keluar'!$A:$A,M36049,'Barang Keluar'!$C:$C,N36049))</f>
        <v>0</v>
      </c>
    </row>
    <row r="36050" spans="13:16">
      <c r="M36050" s="49">
        <f>IF($A$4+360&gt;$B$4,"",$A$4+360)</f>
        <v>46383</v>
      </c>
      <c r="N36050">
        <f>IF(M36050="","",'Master Barang'!A44)</f>
        <v>0</v>
      </c>
      <c r="O36050">
        <f>IF(N36050="","",'Master Barang'!B44)</f>
        <v>0</v>
      </c>
      <c r="P36050">
        <f>IF(OR(M36050="",N36050=""),"",SUMIFS('Barang Keluar'!$E:$E,'Barang Keluar'!$A:$A,M36050,'Barang Keluar'!$C:$C,N36050))</f>
        <v>0</v>
      </c>
    </row>
    <row r="36051" spans="13:16">
      <c r="M36051" s="49">
        <f>IF($A$4+360&gt;$B$4,"",$A$4+360)</f>
        <v>46383</v>
      </c>
      <c r="N36051">
        <f>IF(M36051="","",'Master Barang'!A45)</f>
        <v>0</v>
      </c>
      <c r="O36051">
        <f>IF(N36051="","",'Master Barang'!B45)</f>
        <v>0</v>
      </c>
      <c r="P36051">
        <f>IF(OR(M36051="",N36051=""),"",SUMIFS('Barang Keluar'!$E:$E,'Barang Keluar'!$A:$A,M36051,'Barang Keluar'!$C:$C,N36051))</f>
        <v>0</v>
      </c>
    </row>
    <row r="36052" spans="13:16">
      <c r="M36052" s="49">
        <f>IF($A$4+360&gt;$B$4,"",$A$4+360)</f>
        <v>46383</v>
      </c>
      <c r="N36052">
        <f>IF(M36052="","",'Master Barang'!A46)</f>
        <v>0</v>
      </c>
      <c r="O36052">
        <f>IF(N36052="","",'Master Barang'!B46)</f>
        <v>0</v>
      </c>
      <c r="P36052">
        <f>IF(OR(M36052="",N36052=""),"",SUMIFS('Barang Keluar'!$E:$E,'Barang Keluar'!$A:$A,M36052,'Barang Keluar'!$C:$C,N36052))</f>
        <v>0</v>
      </c>
    </row>
    <row r="36053" spans="13:16">
      <c r="M36053" s="49">
        <f>IF($A$4+360&gt;$B$4,"",$A$4+360)</f>
        <v>46383</v>
      </c>
      <c r="N36053">
        <f>IF(M36053="","",'Master Barang'!A47)</f>
        <v>0</v>
      </c>
      <c r="O36053">
        <f>IF(N36053="","",'Master Barang'!B47)</f>
        <v>0</v>
      </c>
      <c r="P36053">
        <f>IF(OR(M36053="",N36053=""),"",SUMIFS('Barang Keluar'!$E:$E,'Barang Keluar'!$A:$A,M36053,'Barang Keluar'!$C:$C,N36053))</f>
        <v>0</v>
      </c>
    </row>
    <row r="36054" spans="13:16">
      <c r="M36054" s="49">
        <f>IF($A$4+360&gt;$B$4,"",$A$4+360)</f>
        <v>46383</v>
      </c>
      <c r="N36054">
        <f>IF(M36054="","",'Master Barang'!A48)</f>
        <v>0</v>
      </c>
      <c r="O36054">
        <f>IF(N36054="","",'Master Barang'!B48)</f>
        <v>0</v>
      </c>
      <c r="P36054">
        <f>IF(OR(M36054="",N36054=""),"",SUMIFS('Barang Keluar'!$E:$E,'Barang Keluar'!$A:$A,M36054,'Barang Keluar'!$C:$C,N36054))</f>
        <v>0</v>
      </c>
    </row>
    <row r="36055" spans="13:16">
      <c r="M36055" s="49">
        <f>IF($A$4+360&gt;$B$4,"",$A$4+360)</f>
        <v>46383</v>
      </c>
      <c r="N36055">
        <f>IF(M36055="","",'Master Barang'!A49)</f>
        <v>0</v>
      </c>
      <c r="O36055">
        <f>IF(N36055="","",'Master Barang'!B49)</f>
        <v>0</v>
      </c>
      <c r="P36055">
        <f>IF(OR(M36055="",N36055=""),"",SUMIFS('Barang Keluar'!$E:$E,'Barang Keluar'!$A:$A,M36055,'Barang Keluar'!$C:$C,N36055))</f>
        <v>0</v>
      </c>
    </row>
    <row r="36056" spans="13:16">
      <c r="M36056" s="49">
        <f>IF($A$4+360&gt;$B$4,"",$A$4+360)</f>
        <v>46383</v>
      </c>
      <c r="N36056">
        <f>IF(M36056="","",'Master Barang'!A50)</f>
        <v>0</v>
      </c>
      <c r="O36056">
        <f>IF(N36056="","",'Master Barang'!B50)</f>
        <v>0</v>
      </c>
      <c r="P36056">
        <f>IF(OR(M36056="",N36056=""),"",SUMIFS('Barang Keluar'!$E:$E,'Barang Keluar'!$A:$A,M36056,'Barang Keluar'!$C:$C,N36056))</f>
        <v>0</v>
      </c>
    </row>
    <row r="36057" spans="13:16">
      <c r="M36057" s="49">
        <f>IF($A$4+360&gt;$B$4,"",$A$4+360)</f>
        <v>46383</v>
      </c>
      <c r="N36057">
        <f>IF(M36057="","",'Master Barang'!A51)</f>
        <v>0</v>
      </c>
      <c r="O36057">
        <f>IF(N36057="","",'Master Barang'!B51)</f>
        <v>0</v>
      </c>
      <c r="P36057">
        <f>IF(OR(M36057="",N36057=""),"",SUMIFS('Barang Keluar'!$E:$E,'Barang Keluar'!$A:$A,M36057,'Barang Keluar'!$C:$C,N36057))</f>
        <v>0</v>
      </c>
    </row>
    <row r="36058" spans="13:16">
      <c r="M36058" s="49">
        <f>IF($A$4+360&gt;$B$4,"",$A$4+360)</f>
        <v>46383</v>
      </c>
      <c r="N36058">
        <f>IF(M36058="","",'Master Barang'!A52)</f>
        <v>0</v>
      </c>
      <c r="O36058">
        <f>IF(N36058="","",'Master Barang'!B52)</f>
        <v>0</v>
      </c>
      <c r="P36058">
        <f>IF(OR(M36058="",N36058=""),"",SUMIFS('Barang Keluar'!$E:$E,'Barang Keluar'!$A:$A,M36058,'Barang Keluar'!$C:$C,N36058))</f>
        <v>0</v>
      </c>
    </row>
    <row r="36059" spans="13:16">
      <c r="M36059" s="49">
        <f>IF($A$4+360&gt;$B$4,"",$A$4+360)</f>
        <v>46383</v>
      </c>
      <c r="N36059">
        <f>IF(M36059="","",'Master Barang'!A53)</f>
        <v>0</v>
      </c>
      <c r="O36059">
        <f>IF(N36059="","",'Master Barang'!B53)</f>
        <v>0</v>
      </c>
      <c r="P36059">
        <f>IF(OR(M36059="",N36059=""),"",SUMIFS('Barang Keluar'!$E:$E,'Barang Keluar'!$A:$A,M36059,'Barang Keluar'!$C:$C,N36059))</f>
        <v>0</v>
      </c>
    </row>
    <row r="36060" spans="13:16">
      <c r="M36060" s="49">
        <f>IF($A$4+360&gt;$B$4,"",$A$4+360)</f>
        <v>46383</v>
      </c>
      <c r="N36060">
        <f>IF(M36060="","",'Master Barang'!A54)</f>
        <v>0</v>
      </c>
      <c r="O36060">
        <f>IF(N36060="","",'Master Barang'!B54)</f>
        <v>0</v>
      </c>
      <c r="P36060">
        <f>IF(OR(M36060="",N36060=""),"",SUMIFS('Barang Keluar'!$E:$E,'Barang Keluar'!$A:$A,M36060,'Barang Keluar'!$C:$C,N36060))</f>
        <v>0</v>
      </c>
    </row>
    <row r="36061" spans="13:16">
      <c r="M36061" s="49">
        <f>IF($A$4+360&gt;$B$4,"",$A$4+360)</f>
        <v>46383</v>
      </c>
      <c r="N36061">
        <f>IF(M36061="","",'Master Barang'!A55)</f>
        <v>0</v>
      </c>
      <c r="O36061">
        <f>IF(N36061="","",'Master Barang'!B55)</f>
        <v>0</v>
      </c>
      <c r="P36061">
        <f>IF(OR(M36061="",N36061=""),"",SUMIFS('Barang Keluar'!$E:$E,'Barang Keluar'!$A:$A,M36061,'Barang Keluar'!$C:$C,N36061))</f>
        <v>0</v>
      </c>
    </row>
    <row r="36062" spans="13:16">
      <c r="M36062" s="49">
        <f>IF($A$4+360&gt;$B$4,"",$A$4+360)</f>
        <v>46383</v>
      </c>
      <c r="N36062">
        <f>IF(M36062="","",'Master Barang'!A56)</f>
        <v>0</v>
      </c>
      <c r="O36062">
        <f>IF(N36062="","",'Master Barang'!B56)</f>
        <v>0</v>
      </c>
      <c r="P36062">
        <f>IF(OR(M36062="",N36062=""),"",SUMIFS('Barang Keluar'!$E:$E,'Barang Keluar'!$A:$A,M36062,'Barang Keluar'!$C:$C,N36062))</f>
        <v>0</v>
      </c>
    </row>
    <row r="36063" spans="13:16">
      <c r="M36063" s="49">
        <f>IF($A$4+360&gt;$B$4,"",$A$4+360)</f>
        <v>46383</v>
      </c>
      <c r="N36063">
        <f>IF(M36063="","",'Master Barang'!A57)</f>
        <v>0</v>
      </c>
      <c r="O36063">
        <f>IF(N36063="","",'Master Barang'!B57)</f>
        <v>0</v>
      </c>
      <c r="P36063">
        <f>IF(OR(M36063="",N36063=""),"",SUMIFS('Barang Keluar'!$E:$E,'Barang Keluar'!$A:$A,M36063,'Barang Keluar'!$C:$C,N36063))</f>
        <v>0</v>
      </c>
    </row>
    <row r="36064" spans="13:16">
      <c r="M36064" s="49">
        <f>IF($A$4+360&gt;$B$4,"",$A$4+360)</f>
        <v>46383</v>
      </c>
      <c r="N36064">
        <f>IF(M36064="","",'Master Barang'!A58)</f>
        <v>0</v>
      </c>
      <c r="O36064">
        <f>IF(N36064="","",'Master Barang'!B58)</f>
        <v>0</v>
      </c>
      <c r="P36064">
        <f>IF(OR(M36064="",N36064=""),"",SUMIFS('Barang Keluar'!$E:$E,'Barang Keluar'!$A:$A,M36064,'Barang Keluar'!$C:$C,N36064))</f>
        <v>0</v>
      </c>
    </row>
    <row r="36065" spans="13:16">
      <c r="M36065" s="49">
        <f>IF($A$4+360&gt;$B$4,"",$A$4+360)</f>
        <v>46383</v>
      </c>
      <c r="N36065">
        <f>IF(M36065="","",'Master Barang'!A59)</f>
        <v>0</v>
      </c>
      <c r="O36065">
        <f>IF(N36065="","",'Master Barang'!B59)</f>
        <v>0</v>
      </c>
      <c r="P36065">
        <f>IF(OR(M36065="",N36065=""),"",SUMIFS('Barang Keluar'!$E:$E,'Barang Keluar'!$A:$A,M36065,'Barang Keluar'!$C:$C,N36065))</f>
        <v>0</v>
      </c>
    </row>
    <row r="36066" spans="13:16">
      <c r="M36066" s="49">
        <f>IF($A$4+360&gt;$B$4,"",$A$4+360)</f>
        <v>46383</v>
      </c>
      <c r="N36066">
        <f>IF(M36066="","",'Master Barang'!A60)</f>
        <v>0</v>
      </c>
      <c r="O36066">
        <f>IF(N36066="","",'Master Barang'!B60)</f>
        <v>0</v>
      </c>
      <c r="P36066">
        <f>IF(OR(M36066="",N36066=""),"",SUMIFS('Barang Keluar'!$E:$E,'Barang Keluar'!$A:$A,M36066,'Barang Keluar'!$C:$C,N36066))</f>
        <v>0</v>
      </c>
    </row>
    <row r="36067" spans="13:16">
      <c r="M36067" s="49">
        <f>IF($A$4+360&gt;$B$4,"",$A$4+360)</f>
        <v>46383</v>
      </c>
      <c r="N36067">
        <f>IF(M36067="","",'Master Barang'!A61)</f>
        <v>0</v>
      </c>
      <c r="O36067">
        <f>IF(N36067="","",'Master Barang'!B61)</f>
        <v>0</v>
      </c>
      <c r="P36067">
        <f>IF(OR(M36067="",N36067=""),"",SUMIFS('Barang Keluar'!$E:$E,'Barang Keluar'!$A:$A,M36067,'Barang Keluar'!$C:$C,N36067))</f>
        <v>0</v>
      </c>
    </row>
    <row r="36068" spans="13:16">
      <c r="M36068" s="49">
        <f>IF($A$4+360&gt;$B$4,"",$A$4+360)</f>
        <v>46383</v>
      </c>
      <c r="N36068">
        <f>IF(M36068="","",'Master Barang'!A62)</f>
        <v>0</v>
      </c>
      <c r="O36068">
        <f>IF(N36068="","",'Master Barang'!B62)</f>
        <v>0</v>
      </c>
      <c r="P36068">
        <f>IF(OR(M36068="",N36068=""),"",SUMIFS('Barang Keluar'!$E:$E,'Barang Keluar'!$A:$A,M36068,'Barang Keluar'!$C:$C,N36068))</f>
        <v>0</v>
      </c>
    </row>
    <row r="36069" spans="13:16">
      <c r="M36069" s="49">
        <f>IF($A$4+360&gt;$B$4,"",$A$4+360)</f>
        <v>46383</v>
      </c>
      <c r="N36069">
        <f>IF(M36069="","",'Master Barang'!A63)</f>
        <v>0</v>
      </c>
      <c r="O36069">
        <f>IF(N36069="","",'Master Barang'!B63)</f>
        <v>0</v>
      </c>
      <c r="P36069">
        <f>IF(OR(M36069="",N36069=""),"",SUMIFS('Barang Keluar'!$E:$E,'Barang Keluar'!$A:$A,M36069,'Barang Keluar'!$C:$C,N36069))</f>
        <v>0</v>
      </c>
    </row>
    <row r="36070" spans="13:16">
      <c r="M36070" s="49">
        <f>IF($A$4+360&gt;$B$4,"",$A$4+360)</f>
        <v>46383</v>
      </c>
      <c r="N36070">
        <f>IF(M36070="","",'Master Barang'!A64)</f>
        <v>0</v>
      </c>
      <c r="O36070">
        <f>IF(N36070="","",'Master Barang'!B64)</f>
        <v>0</v>
      </c>
      <c r="P36070">
        <f>IF(OR(M36070="",N36070=""),"",SUMIFS('Barang Keluar'!$E:$E,'Barang Keluar'!$A:$A,M36070,'Barang Keluar'!$C:$C,N36070))</f>
        <v>0</v>
      </c>
    </row>
    <row r="36071" spans="13:16">
      <c r="M36071" s="49">
        <f>IF($A$4+360&gt;$B$4,"",$A$4+360)</f>
        <v>46383</v>
      </c>
      <c r="N36071">
        <f>IF(M36071="","",'Master Barang'!A65)</f>
        <v>0</v>
      </c>
      <c r="O36071">
        <f>IF(N36071="","",'Master Barang'!B65)</f>
        <v>0</v>
      </c>
      <c r="P36071">
        <f>IF(OR(M36071="",N36071=""),"",SUMIFS('Barang Keluar'!$E:$E,'Barang Keluar'!$A:$A,M36071,'Barang Keluar'!$C:$C,N36071))</f>
        <v>0</v>
      </c>
    </row>
    <row r="36072" spans="13:16">
      <c r="M36072" s="49">
        <f>IF($A$4+360&gt;$B$4,"",$A$4+360)</f>
        <v>46383</v>
      </c>
      <c r="N36072">
        <f>IF(M36072="","",'Master Barang'!A66)</f>
        <v>0</v>
      </c>
      <c r="O36072">
        <f>IF(N36072="","",'Master Barang'!B66)</f>
        <v>0</v>
      </c>
      <c r="P36072">
        <f>IF(OR(M36072="",N36072=""),"",SUMIFS('Barang Keluar'!$E:$E,'Barang Keluar'!$A:$A,M36072,'Barang Keluar'!$C:$C,N36072))</f>
        <v>0</v>
      </c>
    </row>
    <row r="36073" spans="13:16">
      <c r="M36073" s="49">
        <f>IF($A$4+360&gt;$B$4,"",$A$4+360)</f>
        <v>46383</v>
      </c>
      <c r="N36073">
        <f>IF(M36073="","",'Master Barang'!A67)</f>
        <v>0</v>
      </c>
      <c r="O36073">
        <f>IF(N36073="","",'Master Barang'!B67)</f>
        <v>0</v>
      </c>
      <c r="P36073">
        <f>IF(OR(M36073="",N36073=""),"",SUMIFS('Barang Keluar'!$E:$E,'Barang Keluar'!$A:$A,M36073,'Barang Keluar'!$C:$C,N36073))</f>
        <v>0</v>
      </c>
    </row>
    <row r="36074" spans="13:16">
      <c r="M36074" s="49">
        <f>IF($A$4+360&gt;$B$4,"",$A$4+360)</f>
        <v>46383</v>
      </c>
      <c r="N36074">
        <f>IF(M36074="","",'Master Barang'!A68)</f>
        <v>0</v>
      </c>
      <c r="O36074">
        <f>IF(N36074="","",'Master Barang'!B68)</f>
        <v>0</v>
      </c>
      <c r="P36074">
        <f>IF(OR(M36074="",N36074=""),"",SUMIFS('Barang Keluar'!$E:$E,'Barang Keluar'!$A:$A,M36074,'Barang Keluar'!$C:$C,N36074))</f>
        <v>0</v>
      </c>
    </row>
    <row r="36075" spans="13:16">
      <c r="M36075" s="49">
        <f>IF($A$4+360&gt;$B$4,"",$A$4+360)</f>
        <v>46383</v>
      </c>
      <c r="N36075">
        <f>IF(M36075="","",'Master Barang'!A69)</f>
        <v>0</v>
      </c>
      <c r="O36075">
        <f>IF(N36075="","",'Master Barang'!B69)</f>
        <v>0</v>
      </c>
      <c r="P36075">
        <f>IF(OR(M36075="",N36075=""),"",SUMIFS('Barang Keluar'!$E:$E,'Barang Keluar'!$A:$A,M36075,'Barang Keluar'!$C:$C,N36075))</f>
        <v>0</v>
      </c>
    </row>
    <row r="36076" spans="13:16">
      <c r="M36076" s="49">
        <f>IF($A$4+360&gt;$B$4,"",$A$4+360)</f>
        <v>46383</v>
      </c>
      <c r="N36076">
        <f>IF(M36076="","",'Master Barang'!A70)</f>
        <v>0</v>
      </c>
      <c r="O36076">
        <f>IF(N36076="","",'Master Barang'!B70)</f>
        <v>0</v>
      </c>
      <c r="P36076">
        <f>IF(OR(M36076="",N36076=""),"",SUMIFS('Barang Keluar'!$E:$E,'Barang Keluar'!$A:$A,M36076,'Barang Keluar'!$C:$C,N36076))</f>
        <v>0</v>
      </c>
    </row>
    <row r="36077" spans="13:16">
      <c r="M36077" s="49">
        <f>IF($A$4+360&gt;$B$4,"",$A$4+360)</f>
        <v>46383</v>
      </c>
      <c r="N36077">
        <f>IF(M36077="","",'Master Barang'!A71)</f>
        <v>0</v>
      </c>
      <c r="O36077">
        <f>IF(N36077="","",'Master Barang'!B71)</f>
        <v>0</v>
      </c>
      <c r="P36077">
        <f>IF(OR(M36077="",N36077=""),"",SUMIFS('Barang Keluar'!$E:$E,'Barang Keluar'!$A:$A,M36077,'Barang Keluar'!$C:$C,N36077))</f>
        <v>0</v>
      </c>
    </row>
    <row r="36078" spans="13:16">
      <c r="M36078" s="49">
        <f>IF($A$4+360&gt;$B$4,"",$A$4+360)</f>
        <v>46383</v>
      </c>
      <c r="N36078">
        <f>IF(M36078="","",'Master Barang'!A72)</f>
        <v>0</v>
      </c>
      <c r="O36078">
        <f>IF(N36078="","",'Master Barang'!B72)</f>
        <v>0</v>
      </c>
      <c r="P36078">
        <f>IF(OR(M36078="",N36078=""),"",SUMIFS('Barang Keluar'!$E:$E,'Barang Keluar'!$A:$A,M36078,'Barang Keluar'!$C:$C,N36078))</f>
        <v>0</v>
      </c>
    </row>
    <row r="36079" spans="13:16">
      <c r="M36079" s="49">
        <f>IF($A$4+360&gt;$B$4,"",$A$4+360)</f>
        <v>46383</v>
      </c>
      <c r="N36079">
        <f>IF(M36079="","",'Master Barang'!A73)</f>
        <v>0</v>
      </c>
      <c r="O36079">
        <f>IF(N36079="","",'Master Barang'!B73)</f>
        <v>0</v>
      </c>
      <c r="P36079">
        <f>IF(OR(M36079="",N36079=""),"",SUMIFS('Barang Keluar'!$E:$E,'Barang Keluar'!$A:$A,M36079,'Barang Keluar'!$C:$C,N36079))</f>
        <v>0</v>
      </c>
    </row>
    <row r="36080" spans="13:16">
      <c r="M36080" s="49">
        <f>IF($A$4+360&gt;$B$4,"",$A$4+360)</f>
        <v>46383</v>
      </c>
      <c r="N36080">
        <f>IF(M36080="","",'Master Barang'!A74)</f>
        <v>0</v>
      </c>
      <c r="O36080">
        <f>IF(N36080="","",'Master Barang'!B74)</f>
        <v>0</v>
      </c>
      <c r="P36080">
        <f>IF(OR(M36080="",N36080=""),"",SUMIFS('Barang Keluar'!$E:$E,'Barang Keluar'!$A:$A,M36080,'Barang Keluar'!$C:$C,N36080))</f>
        <v>0</v>
      </c>
    </row>
    <row r="36081" spans="13:16">
      <c r="M36081" s="49">
        <f>IF($A$4+360&gt;$B$4,"",$A$4+360)</f>
        <v>46383</v>
      </c>
      <c r="N36081">
        <f>IF(M36081="","",'Master Barang'!A75)</f>
        <v>0</v>
      </c>
      <c r="O36081">
        <f>IF(N36081="","",'Master Barang'!B75)</f>
        <v>0</v>
      </c>
      <c r="P36081">
        <f>IF(OR(M36081="",N36081=""),"",SUMIFS('Barang Keluar'!$E:$E,'Barang Keluar'!$A:$A,M36081,'Barang Keluar'!$C:$C,N36081))</f>
        <v>0</v>
      </c>
    </row>
    <row r="36082" spans="13:16">
      <c r="M36082" s="49">
        <f>IF($A$4+360&gt;$B$4,"",$A$4+360)</f>
        <v>46383</v>
      </c>
      <c r="N36082">
        <f>IF(M36082="","",'Master Barang'!A76)</f>
        <v>0</v>
      </c>
      <c r="O36082">
        <f>IF(N36082="","",'Master Barang'!B76)</f>
        <v>0</v>
      </c>
      <c r="P36082">
        <f>IF(OR(M36082="",N36082=""),"",SUMIFS('Barang Keluar'!$E:$E,'Barang Keluar'!$A:$A,M36082,'Barang Keluar'!$C:$C,N36082))</f>
        <v>0</v>
      </c>
    </row>
    <row r="36083" spans="13:16">
      <c r="M36083" s="49">
        <f>IF($A$4+360&gt;$B$4,"",$A$4+360)</f>
        <v>46383</v>
      </c>
      <c r="N36083">
        <f>IF(M36083="","",'Master Barang'!A77)</f>
        <v>0</v>
      </c>
      <c r="O36083">
        <f>IF(N36083="","",'Master Barang'!B77)</f>
        <v>0</v>
      </c>
      <c r="P36083">
        <f>IF(OR(M36083="",N36083=""),"",SUMIFS('Barang Keluar'!$E:$E,'Barang Keluar'!$A:$A,M36083,'Barang Keluar'!$C:$C,N36083))</f>
        <v>0</v>
      </c>
    </row>
    <row r="36084" spans="13:16">
      <c r="M36084" s="49">
        <f>IF($A$4+360&gt;$B$4,"",$A$4+360)</f>
        <v>46383</v>
      </c>
      <c r="N36084">
        <f>IF(M36084="","",'Master Barang'!A78)</f>
        <v>0</v>
      </c>
      <c r="O36084">
        <f>IF(N36084="","",'Master Barang'!B78)</f>
        <v>0</v>
      </c>
      <c r="P36084">
        <f>IF(OR(M36084="",N36084=""),"",SUMIFS('Barang Keluar'!$E:$E,'Barang Keluar'!$A:$A,M36084,'Barang Keluar'!$C:$C,N36084))</f>
        <v>0</v>
      </c>
    </row>
    <row r="36085" spans="13:16">
      <c r="M36085" s="49">
        <f>IF($A$4+360&gt;$B$4,"",$A$4+360)</f>
        <v>46383</v>
      </c>
      <c r="N36085">
        <f>IF(M36085="","",'Master Barang'!A79)</f>
        <v>0</v>
      </c>
      <c r="O36085">
        <f>IF(N36085="","",'Master Barang'!B79)</f>
        <v>0</v>
      </c>
      <c r="P36085">
        <f>IF(OR(M36085="",N36085=""),"",SUMIFS('Barang Keluar'!$E:$E,'Barang Keluar'!$A:$A,M36085,'Barang Keluar'!$C:$C,N36085))</f>
        <v>0</v>
      </c>
    </row>
    <row r="36086" spans="13:16">
      <c r="M36086" s="49">
        <f>IF($A$4+360&gt;$B$4,"",$A$4+360)</f>
        <v>46383</v>
      </c>
      <c r="N36086">
        <f>IF(M36086="","",'Master Barang'!A80)</f>
        <v>0</v>
      </c>
      <c r="O36086">
        <f>IF(N36086="","",'Master Barang'!B80)</f>
        <v>0</v>
      </c>
      <c r="P36086">
        <f>IF(OR(M36086="",N36086=""),"",SUMIFS('Barang Keluar'!$E:$E,'Barang Keluar'!$A:$A,M36086,'Barang Keluar'!$C:$C,N36086))</f>
        <v>0</v>
      </c>
    </row>
    <row r="36087" spans="13:16">
      <c r="M36087" s="49">
        <f>IF($A$4+360&gt;$B$4,"",$A$4+360)</f>
        <v>46383</v>
      </c>
      <c r="N36087">
        <f>IF(M36087="","",'Master Barang'!A81)</f>
        <v>0</v>
      </c>
      <c r="O36087">
        <f>IF(N36087="","",'Master Barang'!B81)</f>
        <v>0</v>
      </c>
      <c r="P36087">
        <f>IF(OR(M36087="",N36087=""),"",SUMIFS('Barang Keluar'!$E:$E,'Barang Keluar'!$A:$A,M36087,'Barang Keluar'!$C:$C,N36087))</f>
        <v>0</v>
      </c>
    </row>
    <row r="36088" spans="13:16">
      <c r="M36088" s="49">
        <f>IF($A$4+360&gt;$B$4,"",$A$4+360)</f>
        <v>46383</v>
      </c>
      <c r="N36088">
        <f>IF(M36088="","",'Master Barang'!A82)</f>
        <v>0</v>
      </c>
      <c r="O36088">
        <f>IF(N36088="","",'Master Barang'!B82)</f>
        <v>0</v>
      </c>
      <c r="P36088">
        <f>IF(OR(M36088="",N36088=""),"",SUMIFS('Barang Keluar'!$E:$E,'Barang Keluar'!$A:$A,M36088,'Barang Keluar'!$C:$C,N36088))</f>
        <v>0</v>
      </c>
    </row>
    <row r="36089" spans="13:16">
      <c r="M36089" s="49">
        <f>IF($A$4+360&gt;$B$4,"",$A$4+360)</f>
        <v>46383</v>
      </c>
      <c r="N36089">
        <f>IF(M36089="","",'Master Barang'!A83)</f>
        <v>0</v>
      </c>
      <c r="O36089">
        <f>IF(N36089="","",'Master Barang'!B83)</f>
        <v>0</v>
      </c>
      <c r="P36089">
        <f>IF(OR(M36089="",N36089=""),"",SUMIFS('Barang Keluar'!$E:$E,'Barang Keluar'!$A:$A,M36089,'Barang Keluar'!$C:$C,N36089))</f>
        <v>0</v>
      </c>
    </row>
    <row r="36090" spans="13:16">
      <c r="M36090" s="49">
        <f>IF($A$4+360&gt;$B$4,"",$A$4+360)</f>
        <v>46383</v>
      </c>
      <c r="N36090">
        <f>IF(M36090="","",'Master Barang'!A84)</f>
        <v>0</v>
      </c>
      <c r="O36090">
        <f>IF(N36090="","",'Master Barang'!B84)</f>
        <v>0</v>
      </c>
      <c r="P36090">
        <f>IF(OR(M36090="",N36090=""),"",SUMIFS('Barang Keluar'!$E:$E,'Barang Keluar'!$A:$A,M36090,'Barang Keluar'!$C:$C,N36090))</f>
        <v>0</v>
      </c>
    </row>
    <row r="36091" spans="13:16">
      <c r="M36091" s="49">
        <f>IF($A$4+360&gt;$B$4,"",$A$4+360)</f>
        <v>46383</v>
      </c>
      <c r="N36091">
        <f>IF(M36091="","",'Master Barang'!A85)</f>
        <v>0</v>
      </c>
      <c r="O36091">
        <f>IF(N36091="","",'Master Barang'!B85)</f>
        <v>0</v>
      </c>
      <c r="P36091">
        <f>IF(OR(M36091="",N36091=""),"",SUMIFS('Barang Keluar'!$E:$E,'Barang Keluar'!$A:$A,M36091,'Barang Keluar'!$C:$C,N36091))</f>
        <v>0</v>
      </c>
    </row>
    <row r="36092" spans="13:16">
      <c r="M36092" s="49">
        <f>IF($A$4+360&gt;$B$4,"",$A$4+360)</f>
        <v>46383</v>
      </c>
      <c r="N36092">
        <f>IF(M36092="","",'Master Barang'!A86)</f>
        <v>0</v>
      </c>
      <c r="O36092">
        <f>IF(N36092="","",'Master Barang'!B86)</f>
        <v>0</v>
      </c>
      <c r="P36092">
        <f>IF(OR(M36092="",N36092=""),"",SUMIFS('Barang Keluar'!$E:$E,'Barang Keluar'!$A:$A,M36092,'Barang Keluar'!$C:$C,N36092))</f>
        <v>0</v>
      </c>
    </row>
    <row r="36093" spans="13:16">
      <c r="M36093" s="49">
        <f>IF($A$4+360&gt;$B$4,"",$A$4+360)</f>
        <v>46383</v>
      </c>
      <c r="N36093">
        <f>IF(M36093="","",'Master Barang'!A87)</f>
        <v>0</v>
      </c>
      <c r="O36093">
        <f>IF(N36093="","",'Master Barang'!B87)</f>
        <v>0</v>
      </c>
      <c r="P36093">
        <f>IF(OR(M36093="",N36093=""),"",SUMIFS('Barang Keluar'!$E:$E,'Barang Keluar'!$A:$A,M36093,'Barang Keluar'!$C:$C,N36093))</f>
        <v>0</v>
      </c>
    </row>
    <row r="36094" spans="13:16">
      <c r="M36094" s="49">
        <f>IF($A$4+360&gt;$B$4,"",$A$4+360)</f>
        <v>46383</v>
      </c>
      <c r="N36094">
        <f>IF(M36094="","",'Master Barang'!A88)</f>
        <v>0</v>
      </c>
      <c r="O36094">
        <f>IF(N36094="","",'Master Barang'!B88)</f>
        <v>0</v>
      </c>
      <c r="P36094">
        <f>IF(OR(M36094="",N36094=""),"",SUMIFS('Barang Keluar'!$E:$E,'Barang Keluar'!$A:$A,M36094,'Barang Keluar'!$C:$C,N36094))</f>
        <v>0</v>
      </c>
    </row>
    <row r="36095" spans="13:16">
      <c r="M36095" s="49">
        <f>IF($A$4+360&gt;$B$4,"",$A$4+360)</f>
        <v>46383</v>
      </c>
      <c r="N36095">
        <f>IF(M36095="","",'Master Barang'!A89)</f>
        <v>0</v>
      </c>
      <c r="O36095">
        <f>IF(N36095="","",'Master Barang'!B89)</f>
        <v>0</v>
      </c>
      <c r="P36095">
        <f>IF(OR(M36095="",N36095=""),"",SUMIFS('Barang Keluar'!$E:$E,'Barang Keluar'!$A:$A,M36095,'Barang Keluar'!$C:$C,N36095))</f>
        <v>0</v>
      </c>
    </row>
    <row r="36096" spans="13:16">
      <c r="M36096" s="49">
        <f>IF($A$4+360&gt;$B$4,"",$A$4+360)</f>
        <v>46383</v>
      </c>
      <c r="N36096">
        <f>IF(M36096="","",'Master Barang'!A90)</f>
        <v>0</v>
      </c>
      <c r="O36096">
        <f>IF(N36096="","",'Master Barang'!B90)</f>
        <v>0</v>
      </c>
      <c r="P36096">
        <f>IF(OR(M36096="",N36096=""),"",SUMIFS('Barang Keluar'!$E:$E,'Barang Keluar'!$A:$A,M36096,'Barang Keluar'!$C:$C,N36096))</f>
        <v>0</v>
      </c>
    </row>
    <row r="36097" spans="13:16">
      <c r="M36097" s="49">
        <f>IF($A$4+360&gt;$B$4,"",$A$4+360)</f>
        <v>46383</v>
      </c>
      <c r="N36097">
        <f>IF(M36097="","",'Master Barang'!A91)</f>
        <v>0</v>
      </c>
      <c r="O36097">
        <f>IF(N36097="","",'Master Barang'!B91)</f>
        <v>0</v>
      </c>
      <c r="P36097">
        <f>IF(OR(M36097="",N36097=""),"",SUMIFS('Barang Keluar'!$E:$E,'Barang Keluar'!$A:$A,M36097,'Barang Keluar'!$C:$C,N36097))</f>
        <v>0</v>
      </c>
    </row>
    <row r="36098" spans="13:16">
      <c r="M36098" s="49">
        <f>IF($A$4+360&gt;$B$4,"",$A$4+360)</f>
        <v>46383</v>
      </c>
      <c r="N36098">
        <f>IF(M36098="","",'Master Barang'!A92)</f>
        <v>0</v>
      </c>
      <c r="O36098">
        <f>IF(N36098="","",'Master Barang'!B92)</f>
        <v>0</v>
      </c>
      <c r="P36098">
        <f>IF(OR(M36098="",N36098=""),"",SUMIFS('Barang Keluar'!$E:$E,'Barang Keluar'!$A:$A,M36098,'Barang Keluar'!$C:$C,N36098))</f>
        <v>0</v>
      </c>
    </row>
    <row r="36099" spans="13:16">
      <c r="M36099" s="49">
        <f>IF($A$4+360&gt;$B$4,"",$A$4+360)</f>
        <v>46383</v>
      </c>
      <c r="N36099">
        <f>IF(M36099="","",'Master Barang'!A93)</f>
        <v>0</v>
      </c>
      <c r="O36099">
        <f>IF(N36099="","",'Master Barang'!B93)</f>
        <v>0</v>
      </c>
      <c r="P36099">
        <f>IF(OR(M36099="",N36099=""),"",SUMIFS('Barang Keluar'!$E:$E,'Barang Keluar'!$A:$A,M36099,'Barang Keluar'!$C:$C,N36099))</f>
        <v>0</v>
      </c>
    </row>
    <row r="36100" spans="13:16">
      <c r="M36100" s="49">
        <f>IF($A$4+360&gt;$B$4,"",$A$4+360)</f>
        <v>46383</v>
      </c>
      <c r="N36100">
        <f>IF(M36100="","",'Master Barang'!A94)</f>
        <v>0</v>
      </c>
      <c r="O36100">
        <f>IF(N36100="","",'Master Barang'!B94)</f>
        <v>0</v>
      </c>
      <c r="P36100">
        <f>IF(OR(M36100="",N36100=""),"",SUMIFS('Barang Keluar'!$E:$E,'Barang Keluar'!$A:$A,M36100,'Barang Keluar'!$C:$C,N36100))</f>
        <v>0</v>
      </c>
    </row>
    <row r="36101" spans="13:16">
      <c r="M36101" s="49">
        <f>IF($A$4+360&gt;$B$4,"",$A$4+360)</f>
        <v>46383</v>
      </c>
      <c r="N36101">
        <f>IF(M36101="","",'Master Barang'!A95)</f>
        <v>0</v>
      </c>
      <c r="O36101">
        <f>IF(N36101="","",'Master Barang'!B95)</f>
        <v>0</v>
      </c>
      <c r="P36101">
        <f>IF(OR(M36101="",N36101=""),"",SUMIFS('Barang Keluar'!$E:$E,'Barang Keluar'!$A:$A,M36101,'Barang Keluar'!$C:$C,N36101))</f>
        <v>0</v>
      </c>
    </row>
    <row r="36102" spans="13:16">
      <c r="M36102" s="49">
        <f>IF($A$4+360&gt;$B$4,"",$A$4+360)</f>
        <v>46383</v>
      </c>
      <c r="N36102">
        <f>IF(M36102="","",'Master Barang'!A96)</f>
        <v>0</v>
      </c>
      <c r="O36102">
        <f>IF(N36102="","",'Master Barang'!B96)</f>
        <v>0</v>
      </c>
      <c r="P36102">
        <f>IF(OR(M36102="",N36102=""),"",SUMIFS('Barang Keluar'!$E:$E,'Barang Keluar'!$A:$A,M36102,'Barang Keluar'!$C:$C,N36102))</f>
        <v>0</v>
      </c>
    </row>
    <row r="36103" spans="13:16">
      <c r="M36103" s="49">
        <f>IF($A$4+360&gt;$B$4,"",$A$4+360)</f>
        <v>46383</v>
      </c>
      <c r="N36103">
        <f>IF(M36103="","",'Master Barang'!A97)</f>
        <v>0</v>
      </c>
      <c r="O36103">
        <f>IF(N36103="","",'Master Barang'!B97)</f>
        <v>0</v>
      </c>
      <c r="P36103">
        <f>IF(OR(M36103="",N36103=""),"",SUMIFS('Barang Keluar'!$E:$E,'Barang Keluar'!$A:$A,M36103,'Barang Keluar'!$C:$C,N36103))</f>
        <v>0</v>
      </c>
    </row>
    <row r="36104" spans="13:16">
      <c r="M36104" s="49">
        <f>IF($A$4+360&gt;$B$4,"",$A$4+360)</f>
        <v>46383</v>
      </c>
      <c r="N36104">
        <f>IF(M36104="","",'Master Barang'!A98)</f>
        <v>0</v>
      </c>
      <c r="O36104">
        <f>IF(N36104="","",'Master Barang'!B98)</f>
        <v>0</v>
      </c>
      <c r="P36104">
        <f>IF(OR(M36104="",N36104=""),"",SUMIFS('Barang Keluar'!$E:$E,'Barang Keluar'!$A:$A,M36104,'Barang Keluar'!$C:$C,N36104))</f>
        <v>0</v>
      </c>
    </row>
    <row r="36105" spans="13:16">
      <c r="M36105" s="49">
        <f>IF($A$4+360&gt;$B$4,"",$A$4+360)</f>
        <v>46383</v>
      </c>
      <c r="N36105">
        <f>IF(M36105="","",'Master Barang'!A99)</f>
        <v>0</v>
      </c>
      <c r="O36105">
        <f>IF(N36105="","",'Master Barang'!B99)</f>
        <v>0</v>
      </c>
      <c r="P36105">
        <f>IF(OR(M36105="",N36105=""),"",SUMIFS('Barang Keluar'!$E:$E,'Barang Keluar'!$A:$A,M36105,'Barang Keluar'!$C:$C,N36105))</f>
        <v>0</v>
      </c>
    </row>
    <row r="36106" spans="13:16">
      <c r="M36106" s="49">
        <f>IF($A$4+360&gt;$B$4,"",$A$4+360)</f>
        <v>46383</v>
      </c>
      <c r="N36106">
        <f>IF(M36106="","",'Master Barang'!A100)</f>
        <v>0</v>
      </c>
      <c r="O36106">
        <f>IF(N36106="","",'Master Barang'!B100)</f>
        <v>0</v>
      </c>
      <c r="P36106">
        <f>IF(OR(M36106="",N36106=""),"",SUMIFS('Barang Keluar'!$E:$E,'Barang Keluar'!$A:$A,M36106,'Barang Keluar'!$C:$C,N36106))</f>
        <v>0</v>
      </c>
    </row>
    <row r="36107" spans="13:16">
      <c r="M36107" s="49">
        <f>IF($A$4+360&gt;$B$4,"",$A$4+360)</f>
        <v>46383</v>
      </c>
      <c r="N36107">
        <f>IF(M36107="","",'Master Barang'!A101)</f>
        <v>0</v>
      </c>
      <c r="O36107">
        <f>IF(N36107="","",'Master Barang'!B101)</f>
        <v>0</v>
      </c>
      <c r="P36107">
        <f>IF(OR(M36107="",N36107=""),"",SUMIFS('Barang Keluar'!$E:$E,'Barang Keluar'!$A:$A,M36107,'Barang Keluar'!$C:$C,N36107))</f>
        <v>0</v>
      </c>
    </row>
    <row r="36108" spans="13:16">
      <c r="M36108" s="49">
        <f>IF($A$4+361&gt;$B$4,"",$A$4+361)</f>
        <v>46384</v>
      </c>
      <c r="N36108" t="str">
        <f>IF(M36108="","",'Master Barang'!A2)</f>
        <v>PRL-001</v>
      </c>
      <c r="O36108" t="str">
        <f>IF(N36108="","",'Master Barang'!B2)</f>
        <v>natura desinfectant food grade 5l</v>
      </c>
      <c r="P36108">
        <f>IF(OR(M36108="",N36108=""),"",SUMIFS('Barang Keluar'!$E:$E,'Barang Keluar'!$A:$A,M36108,'Barang Keluar'!$C:$C,N36108))</f>
        <v>0</v>
      </c>
    </row>
    <row r="36109" spans="13:16">
      <c r="M36109" s="49">
        <f>IF($A$4+361&gt;$B$4,"",$A$4+361)</f>
        <v>46384</v>
      </c>
      <c r="N36109" t="str">
        <f>IF(M36109="","",'Master Barang'!A3)</f>
        <v>PRL-002</v>
      </c>
      <c r="O36109" t="str">
        <f>IF(N36109="","",'Master Barang'!B3)</f>
        <v>sunlight cairan pencuci piring 5l</v>
      </c>
      <c r="P36109">
        <f>IF(OR(M36109="",N36109=""),"",SUMIFS('Barang Keluar'!$E:$E,'Barang Keluar'!$A:$A,M36109,'Barang Keluar'!$C:$C,N36109))</f>
        <v>0</v>
      </c>
    </row>
    <row r="36110" spans="13:16">
      <c r="M36110" s="49">
        <f>IF($A$4+361&gt;$B$4,"",$A$4+361)</f>
        <v>46384</v>
      </c>
      <c r="N36110" t="str">
        <f>IF(M36110="","",'Master Barang'!A4)</f>
        <v>PRL-003</v>
      </c>
      <c r="O36110" t="str">
        <f>IF(N36110="","",'Master Barang'!B4)</f>
        <v>oixs cleaner 1l</v>
      </c>
      <c r="P36110">
        <f>IF(OR(M36110="",N36110=""),"",SUMIFS('Barang Keluar'!$E:$E,'Barang Keluar'!$A:$A,M36110,'Barang Keluar'!$C:$C,N36110))</f>
        <v>0</v>
      </c>
    </row>
    <row r="36111" spans="13:16">
      <c r="M36111" s="49">
        <f>IF($A$4+361&gt;$B$4,"",$A$4+361)</f>
        <v>46384</v>
      </c>
      <c r="N36111" t="str">
        <f>IF(M36111="","",'Master Barang'!A5)</f>
        <v>PRL-004</v>
      </c>
      <c r="O36111" t="str">
        <f>IF(N36111="","",'Master Barang'!B5)</f>
        <v>be clean tissue serbaguna</v>
      </c>
      <c r="P36111">
        <f>IF(OR(M36111="",N36111=""),"",SUMIFS('Barang Keluar'!$E:$E,'Barang Keluar'!$A:$A,M36111,'Barang Keluar'!$C:$C,N36111))</f>
        <v>0</v>
      </c>
    </row>
    <row r="36112" spans="13:16">
      <c r="M36112" s="49">
        <f>IF($A$4+361&gt;$B$4,"",$A$4+361)</f>
        <v>46384</v>
      </c>
      <c r="N36112" t="str">
        <f>IF(M36112="","",'Master Barang'!A6)</f>
        <v>PRL-005</v>
      </c>
      <c r="O36112" t="str">
        <f>IF(N36112="","",'Master Barang'!B6)</f>
        <v>spons cuci hijau</v>
      </c>
      <c r="P36112">
        <f>IF(OR(M36112="",N36112=""),"",SUMIFS('Barang Keluar'!$E:$E,'Barang Keluar'!$A:$A,M36112,'Barang Keluar'!$C:$C,N36112))</f>
        <v>0</v>
      </c>
    </row>
    <row r="36113" spans="13:16">
      <c r="M36113" s="49">
        <f>IF($A$4+361&gt;$B$4,"",$A$4+361)</f>
        <v>46384</v>
      </c>
      <c r="N36113" t="str">
        <f>IF(M36113="","",'Master Barang'!A7)</f>
        <v>PRL-006</v>
      </c>
      <c r="O36113" t="str">
        <f>IF(N36113="","",'Master Barang'!B7)</f>
        <v>sabut cuci stainless</v>
      </c>
      <c r="P36113">
        <f>IF(OR(M36113="",N36113=""),"",SUMIFS('Barang Keluar'!$E:$E,'Barang Keluar'!$A:$A,M36113,'Barang Keluar'!$C:$C,N36113))</f>
        <v>0</v>
      </c>
    </row>
    <row r="36114" spans="13:16">
      <c r="M36114" s="49">
        <f>IF($A$4+361&gt;$B$4,"",$A$4+361)</f>
        <v>46384</v>
      </c>
      <c r="N36114" t="str">
        <f>IF(M36114="","",'Master Barang'!A8)</f>
        <v>PRL-007</v>
      </c>
      <c r="O36114" t="str">
        <f>IF(N36114="","",'Master Barang'!B8)</f>
        <v>plastik kresek besar merah 50pc</v>
      </c>
      <c r="P36114">
        <f>IF(OR(M36114="",N36114=""),"",SUMIFS('Barang Keluar'!$E:$E,'Barang Keluar'!$A:$A,M36114,'Barang Keluar'!$C:$C,N36114))</f>
        <v>0</v>
      </c>
    </row>
    <row r="36115" spans="13:16">
      <c r="M36115" s="49">
        <f>IF($A$4+361&gt;$B$4,"",$A$4+361)</f>
        <v>46384</v>
      </c>
      <c r="N36115" t="str">
        <f>IF(M36115="","",'Master Barang'!A9)</f>
        <v>PRL-008</v>
      </c>
      <c r="O36115" t="str">
        <f>IF(N36115="","",'Master Barang'!B9)</f>
        <v>lap besar</v>
      </c>
      <c r="P36115">
        <f>IF(OR(M36115="",N36115=""),"",SUMIFS('Barang Keluar'!$E:$E,'Barang Keluar'!$A:$A,M36115,'Barang Keluar'!$C:$C,N36115))</f>
        <v>0</v>
      </c>
    </row>
    <row r="36116" spans="13:16">
      <c r="M36116" s="49">
        <f>IF($A$4+361&gt;$B$4,"",$A$4+361)</f>
        <v>46384</v>
      </c>
      <c r="N36116" t="str">
        <f>IF(M36116="","",'Master Barang'!A10)</f>
        <v>PRL-009</v>
      </c>
      <c r="O36116" t="str">
        <f>IF(N36116="","",'Master Barang'!B10)</f>
        <v>lap microfiber</v>
      </c>
      <c r="P36116">
        <f>IF(OR(M36116="",N36116=""),"",SUMIFS('Barang Keluar'!$E:$E,'Barang Keluar'!$A:$A,M36116,'Barang Keluar'!$C:$C,N36116))</f>
        <v>0</v>
      </c>
    </row>
    <row r="36117" spans="13:16">
      <c r="M36117" s="49">
        <f>IF($A$4+361&gt;$B$4,"",$A$4+361)</f>
        <v>46384</v>
      </c>
      <c r="N36117" t="str">
        <f>IF(M36117="","",'Master Barang'!A11)</f>
        <v>PRL-010</v>
      </c>
      <c r="O36117" t="str">
        <f>IF(N36117="","",'Master Barang'!B11)</f>
        <v>lap kecil</v>
      </c>
      <c r="P36117">
        <f>IF(OR(M36117="",N36117=""),"",SUMIFS('Barang Keluar'!$E:$E,'Barang Keluar'!$A:$A,M36117,'Barang Keluar'!$C:$C,N36117))</f>
        <v>0</v>
      </c>
    </row>
    <row r="36118" spans="13:16">
      <c r="M36118" s="49">
        <f>IF($A$4+361&gt;$B$4,"",$A$4+361)</f>
        <v>46384</v>
      </c>
      <c r="N36118" t="str">
        <f>IF(M36118="","",'Master Barang'!A12)</f>
        <v>PRL-011</v>
      </c>
      <c r="O36118" t="str">
        <f>IF(N36118="","",'Master Barang'!B12)</f>
        <v>kanebo kecil</v>
      </c>
      <c r="P36118">
        <f>IF(OR(M36118="",N36118=""),"",SUMIFS('Barang Keluar'!$E:$E,'Barang Keluar'!$A:$A,M36118,'Barang Keluar'!$C:$C,N36118))</f>
        <v>0</v>
      </c>
    </row>
    <row r="36119" spans="13:16">
      <c r="M36119" s="49">
        <f>IF($A$4+361&gt;$B$4,"",$A$4+361)</f>
        <v>46384</v>
      </c>
      <c r="N36119" t="str">
        <f>IF(M36119="","",'Master Barang'!A13)</f>
        <v>PRL-012</v>
      </c>
      <c r="O36119" t="str">
        <f>IF(N36119="","",'Master Barang'!B13)</f>
        <v>plastik 1/4kg joyoboyo 100 lembar</v>
      </c>
      <c r="P36119">
        <f>IF(OR(M36119="",N36119=""),"",SUMIFS('Barang Keluar'!$E:$E,'Barang Keluar'!$A:$A,M36119,'Barang Keluar'!$C:$C,N36119))</f>
        <v>0</v>
      </c>
    </row>
    <row r="36120" spans="13:16">
      <c r="M36120" s="49">
        <f>IF($A$4+361&gt;$B$4,"",$A$4+361)</f>
        <v>46384</v>
      </c>
      <c r="N36120" t="str">
        <f>IF(M36120="","",'Master Barang'!A14)</f>
        <v>PRL-013</v>
      </c>
      <c r="O36120" t="str">
        <f>IF(N36120="","",'Master Barang'!B14)</f>
        <v>sarung tangan plastik kaka 100 pcs</v>
      </c>
      <c r="P36120">
        <f>IF(OR(M36120="",N36120=""),"",SUMIFS('Barang Keluar'!$E:$E,'Barang Keluar'!$A:$A,M36120,'Barang Keluar'!$C:$C,N36120))</f>
        <v>0</v>
      </c>
    </row>
    <row r="36121" spans="13:16">
      <c r="M36121" s="49">
        <f>IF($A$4+361&gt;$B$4,"",$A$4+361)</f>
        <v>46384</v>
      </c>
      <c r="N36121" t="str">
        <f>IF(M36121="","",'Master Barang'!A15)</f>
        <v>PRL-014</v>
      </c>
      <c r="O36121" t="str">
        <f>IF(N36121="","",'Master Barang'!B15)</f>
        <v>optima trashbag 80x100</v>
      </c>
      <c r="P36121">
        <f>IF(OR(M36121="",N36121=""),"",SUMIFS('Barang Keluar'!$E:$E,'Barang Keluar'!$A:$A,M36121,'Barang Keluar'!$C:$C,N36121))</f>
        <v>0</v>
      </c>
    </row>
    <row r="36122" spans="13:16">
      <c r="M36122" s="49">
        <f>IF($A$4+361&gt;$B$4,"",$A$4+361)</f>
        <v>46384</v>
      </c>
      <c r="N36122" t="str">
        <f>IF(M36122="","",'Master Barang'!A16)</f>
        <v>PRL-015</v>
      </c>
      <c r="O36122" t="str">
        <f>IF(N36122="","",'Master Barang'!B16)</f>
        <v>optima trashbag 60x100</v>
      </c>
      <c r="P36122">
        <f>IF(OR(M36122="",N36122=""),"",SUMIFS('Barang Keluar'!$E:$E,'Barang Keluar'!$A:$A,M36122,'Barang Keluar'!$C:$C,N36122))</f>
        <v>0</v>
      </c>
    </row>
    <row r="36123" spans="13:16">
      <c r="M36123" s="49">
        <f>IF($A$4+361&gt;$B$4,"",$A$4+361)</f>
        <v>46384</v>
      </c>
      <c r="N36123" t="str">
        <f>IF(M36123="","",'Master Barang'!A17)</f>
        <v>PRL-016</v>
      </c>
      <c r="O36123" t="str">
        <f>IF(N36123="","",'Master Barang'!B17)</f>
        <v>rajawali trashbag 30x40</v>
      </c>
      <c r="P36123">
        <f>IF(OR(M36123="",N36123=""),"",SUMIFS('Barang Keluar'!$E:$E,'Barang Keluar'!$A:$A,M36123,'Barang Keluar'!$C:$C,N36123))</f>
        <v>0</v>
      </c>
    </row>
    <row r="36124" spans="13:16">
      <c r="M36124" s="49">
        <f>IF($A$4+361&gt;$B$4,"",$A$4+361)</f>
        <v>46384</v>
      </c>
      <c r="N36124" t="str">
        <f>IF(M36124="","",'Master Barang'!A18)</f>
        <v>PRL-017</v>
      </c>
      <c r="O36124" t="str">
        <f>IF(N36124="","",'Master Barang'!B18)</f>
        <v>onemed masker biru 3 play 50 pcs</v>
      </c>
      <c r="P36124">
        <f>IF(OR(M36124="",N36124=""),"",SUMIFS('Barang Keluar'!$E:$E,'Barang Keluar'!$A:$A,M36124,'Barang Keluar'!$C:$C,N36124))</f>
        <v>0</v>
      </c>
    </row>
    <row r="36125" spans="13:16">
      <c r="M36125" s="49">
        <f>IF($A$4+361&gt;$B$4,"",$A$4+361)</f>
        <v>46384</v>
      </c>
      <c r="N36125" t="str">
        <f>IF(M36125="","",'Master Barang'!A19)</f>
        <v>PRL-018</v>
      </c>
      <c r="O36125" t="str">
        <f>IF(N36125="","",'Master Barang'!B19)</f>
        <v>onemed masker biru 3 play hijab 50 pcs</v>
      </c>
      <c r="P36125">
        <f>IF(OR(M36125="",N36125=""),"",SUMIFS('Barang Keluar'!$E:$E,'Barang Keluar'!$A:$A,M36125,'Barang Keluar'!$C:$C,N36125))</f>
        <v>0</v>
      </c>
    </row>
    <row r="36126" spans="13:16">
      <c r="M36126" s="49">
        <f>IF($A$4+361&gt;$B$4,"",$A$4+361)</f>
        <v>46384</v>
      </c>
      <c r="N36126" t="str">
        <f>IF(M36126="","",'Master Barang'!A20)</f>
        <v>PRL-019</v>
      </c>
      <c r="O36126" t="str">
        <f>IF(N36126="","",'Master Barang'!B20)</f>
        <v>neo health masker biru 3 play 50 pcs</v>
      </c>
      <c r="P36126">
        <f>IF(OR(M36126="",N36126=""),"",SUMIFS('Barang Keluar'!$E:$E,'Barang Keluar'!$A:$A,M36126,'Barang Keluar'!$C:$C,N36126))</f>
        <v>0</v>
      </c>
    </row>
    <row r="36127" spans="13:16">
      <c r="M36127" s="49">
        <f>IF($A$4+361&gt;$B$4,"",$A$4+361)</f>
        <v>46384</v>
      </c>
      <c r="N36127" t="str">
        <f>IF(M36127="","",'Master Barang'!A21)</f>
        <v>PRL-020</v>
      </c>
      <c r="O36127" t="str">
        <f>IF(N36127="","",'Master Barang'!B21)</f>
        <v>baymed masker hijau 3 play hijau 50 pcs</v>
      </c>
      <c r="P36127">
        <f>IF(OR(M36127="",N36127=""),"",SUMIFS('Barang Keluar'!$E:$E,'Barang Keluar'!$A:$A,M36127,'Barang Keluar'!$C:$C,N36127))</f>
        <v>0</v>
      </c>
    </row>
    <row r="36128" spans="13:16">
      <c r="M36128" s="49">
        <f>IF($A$4+361&gt;$B$4,"",$A$4+361)</f>
        <v>46384</v>
      </c>
      <c r="N36128" t="str">
        <f>IF(M36128="","",'Master Barang'!A22)</f>
        <v>PRL-021</v>
      </c>
      <c r="O36128" t="str">
        <f>IF(N36128="","",'Master Barang'!B22)</f>
        <v>altamed nurse cap penutup kepala 100 pcs</v>
      </c>
      <c r="P36128">
        <f>IF(OR(M36128="",N36128=""),"",SUMIFS('Barang Keluar'!$E:$E,'Barang Keluar'!$A:$A,M36128,'Barang Keluar'!$C:$C,N36128))</f>
        <v>0</v>
      </c>
    </row>
    <row r="36129" spans="13:16">
      <c r="M36129" s="49">
        <f>IF($A$4+361&gt;$B$4,"",$A$4+361)</f>
        <v>46384</v>
      </c>
      <c r="N36129" t="str">
        <f>IF(M36129="","",'Master Barang'!A23)</f>
        <v>PRL-022</v>
      </c>
      <c r="O36129" t="str">
        <f>IF(N36129="","",'Master Barang'!B23)</f>
        <v>sabun cuci tangan</v>
      </c>
      <c r="P36129">
        <f>IF(OR(M36129="",N36129=""),"",SUMIFS('Barang Keluar'!$E:$E,'Barang Keluar'!$A:$A,M36129,'Barang Keluar'!$C:$C,N36129))</f>
        <v>0</v>
      </c>
    </row>
    <row r="36130" spans="13:16">
      <c r="M36130" s="49">
        <f>IF($A$4+361&gt;$B$4,"",$A$4+361)</f>
        <v>46384</v>
      </c>
      <c r="N36130" t="str">
        <f>IF(M36130="","",'Master Barang'!A24)</f>
        <v>PRL-023</v>
      </c>
      <c r="O36130" t="str">
        <f>IF(N36130="","",'Master Barang'!B24)</f>
        <v>gayung kecil</v>
      </c>
      <c r="P36130">
        <f>IF(OR(M36130="",N36130=""),"",SUMIFS('Barang Keluar'!$E:$E,'Barang Keluar'!$A:$A,M36130,'Barang Keluar'!$C:$C,N36130))</f>
        <v>0</v>
      </c>
    </row>
    <row r="36131" spans="13:16">
      <c r="M36131" s="49">
        <f>IF($A$4+361&gt;$B$4,"",$A$4+361)</f>
        <v>46384</v>
      </c>
      <c r="N36131" t="str">
        <f>IF(M36131="","",'Master Barang'!A25)</f>
        <v>PRL-024</v>
      </c>
      <c r="O36131" t="str">
        <f>IF(N36131="","",'Master Barang'!B25)</f>
        <v>cikrak kecil</v>
      </c>
      <c r="P36131">
        <f>IF(OR(M36131="",N36131=""),"",SUMIFS('Barang Keluar'!$E:$E,'Barang Keluar'!$A:$A,M36131,'Barang Keluar'!$C:$C,N36131))</f>
        <v>0</v>
      </c>
    </row>
    <row r="36132" spans="13:16">
      <c r="M36132" s="49">
        <f>IF($A$4+361&gt;$B$4,"",$A$4+361)</f>
        <v>46384</v>
      </c>
      <c r="N36132" t="str">
        <f>IF(M36132="","",'Master Barang'!A26)</f>
        <v>PRL-025</v>
      </c>
      <c r="O36132" t="str">
        <f>IF(N36132="","",'Master Barang'!B26)</f>
        <v>petromax plastik kecil 12x24 100 lembar</v>
      </c>
      <c r="P36132">
        <f>IF(OR(M36132="",N36132=""),"",SUMIFS('Barang Keluar'!$E:$E,'Barang Keluar'!$A:$A,M36132,'Barang Keluar'!$C:$C,N36132))</f>
        <v>0</v>
      </c>
    </row>
    <row r="36133" spans="13:16">
      <c r="M36133" s="49">
        <f>IF($A$4+361&gt;$B$4,"",$A$4+361)</f>
        <v>46384</v>
      </c>
      <c r="N36133" t="str">
        <f>IF(M36133="","",'Master Barang'!A27)</f>
        <v>PRL-026</v>
      </c>
      <c r="O36133" t="str">
        <f>IF(N36133="","",'Master Barang'!B27)</f>
        <v>lancar kresek kecil bening </v>
      </c>
      <c r="P36133">
        <f>IF(OR(M36133="",N36133=""),"",SUMIFS('Barang Keluar'!$E:$E,'Barang Keluar'!$A:$A,M36133,'Barang Keluar'!$C:$C,N36133))</f>
        <v>0</v>
      </c>
    </row>
    <row r="36134" spans="13:16">
      <c r="M36134" s="49">
        <f>IF($A$4+361&gt;$B$4,"",$A$4+361)</f>
        <v>46384</v>
      </c>
      <c r="N36134" t="str">
        <f>IF(M36134="","",'Master Barang'!A28)</f>
        <v>PRL-027</v>
      </c>
      <c r="O36134" t="str">
        <f>IF(N36134="","",'Master Barang'!B28)</f>
        <v>kresek klin warna warni kecil</v>
      </c>
      <c r="P36134">
        <f>IF(OR(M36134="",N36134=""),"",SUMIFS('Barang Keluar'!$E:$E,'Barang Keluar'!$A:$A,M36134,'Barang Keluar'!$C:$C,N36134))</f>
        <v>0</v>
      </c>
    </row>
    <row r="36135" spans="13:16">
      <c r="M36135" s="49">
        <f>IF($A$4+361&gt;$B$4,"",$A$4+361)</f>
        <v>46384</v>
      </c>
      <c r="N36135" t="str">
        <f>IF(M36135="","",'Master Barang'!A29)</f>
        <v>PRL-028</v>
      </c>
      <c r="O36135" t="str">
        <f>IF(N36135="","",'Master Barang'!B29)</f>
        <v>ctik plastik 7x10 100 pcs</v>
      </c>
      <c r="P36135">
        <f>IF(OR(M36135="",N36135=""),"",SUMIFS('Barang Keluar'!$E:$E,'Barang Keluar'!$A:$A,M36135,'Barang Keluar'!$C:$C,N36135))</f>
        <v>0</v>
      </c>
    </row>
    <row r="36136" spans="13:16">
      <c r="M36136" s="49">
        <f>IF($A$4+361&gt;$B$4,"",$A$4+361)</f>
        <v>46384</v>
      </c>
      <c r="N36136" t="str">
        <f>IF(M36136="","",'Master Barang'!A30)</f>
        <v>PRL-029</v>
      </c>
      <c r="O36136" t="str">
        <f>IF(N36136="","",'Master Barang'!B30)</f>
        <v>ctik plastik 6x10 100 pcs</v>
      </c>
      <c r="P36136">
        <f>IF(OR(M36136="",N36136=""),"",SUMIFS('Barang Keluar'!$E:$E,'Barang Keluar'!$A:$A,M36136,'Barang Keluar'!$C:$C,N36136))</f>
        <v>0</v>
      </c>
    </row>
    <row r="36137" spans="13:16">
      <c r="M36137" s="49">
        <f>IF($A$4+361&gt;$B$4,"",$A$4+361)</f>
        <v>46384</v>
      </c>
      <c r="N36137" t="str">
        <f>IF(M36137="","",'Master Barang'!A31)</f>
        <v>PRL-030</v>
      </c>
      <c r="O36137" t="str">
        <f>IF(N36137="","",'Master Barang'!B31)</f>
        <v>klip plastik 25x16 100 pcs</v>
      </c>
      <c r="P36137">
        <f>IF(OR(M36137="",N36137=""),"",SUMIFS('Barang Keluar'!$E:$E,'Barang Keluar'!$A:$A,M36137,'Barang Keluar'!$C:$C,N36137))</f>
        <v>0</v>
      </c>
    </row>
    <row r="36138" spans="13:16">
      <c r="M36138" s="49">
        <f>IF($A$4+361&gt;$B$4,"",$A$4+361)</f>
        <v>46384</v>
      </c>
      <c r="N36138" t="str">
        <f>IF(M36138="","",'Master Barang'!A32)</f>
        <v>PRL-031</v>
      </c>
      <c r="O36138" t="str">
        <f>IF(N36138="","",'Master Barang'!B32)</f>
        <v>tempat saus 20 ml</v>
      </c>
      <c r="P36138">
        <f>IF(OR(M36138="",N36138=""),"",SUMIFS('Barang Keluar'!$E:$E,'Barang Keluar'!$A:$A,M36138,'Barang Keluar'!$C:$C,N36138))</f>
        <v>0</v>
      </c>
    </row>
    <row r="36139" spans="13:16">
      <c r="M36139" s="49">
        <f>IF($A$4+361&gt;$B$4,"",$A$4+361)</f>
        <v>46384</v>
      </c>
      <c r="N36139" t="str">
        <f>IF(M36139="","",'Master Barang'!A33)</f>
        <v>PRL-032</v>
      </c>
      <c r="O36139" t="str">
        <f>IF(N36139="","",'Master Barang'!B33)</f>
        <v>plastik packaging ag box uk sedang</v>
      </c>
      <c r="P36139">
        <f>IF(OR(M36139="",N36139=""),"",SUMIFS('Barang Keluar'!$E:$E,'Barang Keluar'!$A:$A,M36139,'Barang Keluar'!$C:$C,N36139))</f>
        <v>0</v>
      </c>
    </row>
    <row r="36140" spans="13:16">
      <c r="M36140" s="49">
        <f>IF($A$4+361&gt;$B$4,"",$A$4+361)</f>
        <v>46384</v>
      </c>
      <c r="N36140" t="str">
        <f>IF(M36140="","",'Master Barang'!A34)</f>
        <v>PRL-033</v>
      </c>
      <c r="O36140">
        <f>IF(N36140="","",'Master Barang'!B34)</f>
        <v>0</v>
      </c>
      <c r="P36140">
        <f>IF(OR(M36140="",N36140=""),"",SUMIFS('Barang Keluar'!$E:$E,'Barang Keluar'!$A:$A,M36140,'Barang Keluar'!$C:$C,N36140))</f>
        <v>0</v>
      </c>
    </row>
    <row r="36141" spans="13:16">
      <c r="M36141" s="49">
        <f>IF($A$4+361&gt;$B$4,"",$A$4+361)</f>
        <v>46384</v>
      </c>
      <c r="N36141">
        <f>IF(M36141="","",'Master Barang'!A35)</f>
        <v>0</v>
      </c>
      <c r="O36141">
        <f>IF(N36141="","",'Master Barang'!B35)</f>
        <v>0</v>
      </c>
      <c r="P36141">
        <f>IF(OR(M36141="",N36141=""),"",SUMIFS('Barang Keluar'!$E:$E,'Barang Keluar'!$A:$A,M36141,'Barang Keluar'!$C:$C,N36141))</f>
        <v>0</v>
      </c>
    </row>
    <row r="36142" spans="13:16">
      <c r="M36142" s="49">
        <f>IF($A$4+361&gt;$B$4,"",$A$4+361)</f>
        <v>46384</v>
      </c>
      <c r="N36142">
        <f>IF(M36142="","",'Master Barang'!A36)</f>
        <v>0</v>
      </c>
      <c r="O36142">
        <f>IF(N36142="","",'Master Barang'!B36)</f>
        <v>0</v>
      </c>
      <c r="P36142">
        <f>IF(OR(M36142="",N36142=""),"",SUMIFS('Barang Keluar'!$E:$E,'Barang Keluar'!$A:$A,M36142,'Barang Keluar'!$C:$C,N36142))</f>
        <v>0</v>
      </c>
    </row>
    <row r="36143" spans="13:16">
      <c r="M36143" s="49">
        <f>IF($A$4+361&gt;$B$4,"",$A$4+361)</f>
        <v>46384</v>
      </c>
      <c r="N36143">
        <f>IF(M36143="","",'Master Barang'!A37)</f>
        <v>0</v>
      </c>
      <c r="O36143">
        <f>IF(N36143="","",'Master Barang'!B37)</f>
        <v>0</v>
      </c>
      <c r="P36143">
        <f>IF(OR(M36143="",N36143=""),"",SUMIFS('Barang Keluar'!$E:$E,'Barang Keluar'!$A:$A,M36143,'Barang Keluar'!$C:$C,N36143))</f>
        <v>0</v>
      </c>
    </row>
    <row r="36144" spans="13:16">
      <c r="M36144" s="49">
        <f>IF($A$4+361&gt;$B$4,"",$A$4+361)</f>
        <v>46384</v>
      </c>
      <c r="N36144">
        <f>IF(M36144="","",'Master Barang'!A38)</f>
        <v>0</v>
      </c>
      <c r="O36144">
        <f>IF(N36144="","",'Master Barang'!B38)</f>
        <v>0</v>
      </c>
      <c r="P36144">
        <f>IF(OR(M36144="",N36144=""),"",SUMIFS('Barang Keluar'!$E:$E,'Barang Keluar'!$A:$A,M36144,'Barang Keluar'!$C:$C,N36144))</f>
        <v>0</v>
      </c>
    </row>
    <row r="36145" spans="13:16">
      <c r="M36145" s="49">
        <f>IF($A$4+361&gt;$B$4,"",$A$4+361)</f>
        <v>46384</v>
      </c>
      <c r="N36145">
        <f>IF(M36145="","",'Master Barang'!A39)</f>
        <v>0</v>
      </c>
      <c r="O36145">
        <f>IF(N36145="","",'Master Barang'!B39)</f>
        <v>0</v>
      </c>
      <c r="P36145">
        <f>IF(OR(M36145="",N36145=""),"",SUMIFS('Barang Keluar'!$E:$E,'Barang Keluar'!$A:$A,M36145,'Barang Keluar'!$C:$C,N36145))</f>
        <v>0</v>
      </c>
    </row>
    <row r="36146" spans="13:16">
      <c r="M36146" s="49">
        <f>IF($A$4+361&gt;$B$4,"",$A$4+361)</f>
        <v>46384</v>
      </c>
      <c r="N36146">
        <f>IF(M36146="","",'Master Barang'!A40)</f>
        <v>0</v>
      </c>
      <c r="O36146">
        <f>IF(N36146="","",'Master Barang'!B40)</f>
        <v>0</v>
      </c>
      <c r="P36146">
        <f>IF(OR(M36146="",N36146=""),"",SUMIFS('Barang Keluar'!$E:$E,'Barang Keluar'!$A:$A,M36146,'Barang Keluar'!$C:$C,N36146))</f>
        <v>0</v>
      </c>
    </row>
    <row r="36147" spans="13:16">
      <c r="M36147" s="49">
        <f>IF($A$4+361&gt;$B$4,"",$A$4+361)</f>
        <v>46384</v>
      </c>
      <c r="N36147">
        <f>IF(M36147="","",'Master Barang'!A41)</f>
        <v>0</v>
      </c>
      <c r="O36147">
        <f>IF(N36147="","",'Master Barang'!B41)</f>
        <v>0</v>
      </c>
      <c r="P36147">
        <f>IF(OR(M36147="",N36147=""),"",SUMIFS('Barang Keluar'!$E:$E,'Barang Keluar'!$A:$A,M36147,'Barang Keluar'!$C:$C,N36147))</f>
        <v>0</v>
      </c>
    </row>
    <row r="36148" spans="13:16">
      <c r="M36148" s="49">
        <f>IF($A$4+361&gt;$B$4,"",$A$4+361)</f>
        <v>46384</v>
      </c>
      <c r="N36148">
        <f>IF(M36148="","",'Master Barang'!A42)</f>
        <v>0</v>
      </c>
      <c r="O36148">
        <f>IF(N36148="","",'Master Barang'!B42)</f>
        <v>0</v>
      </c>
      <c r="P36148">
        <f>IF(OR(M36148="",N36148=""),"",SUMIFS('Barang Keluar'!$E:$E,'Barang Keluar'!$A:$A,M36148,'Barang Keluar'!$C:$C,N36148))</f>
        <v>0</v>
      </c>
    </row>
    <row r="36149" spans="13:16">
      <c r="M36149" s="49">
        <f>IF($A$4+361&gt;$B$4,"",$A$4+361)</f>
        <v>46384</v>
      </c>
      <c r="N36149">
        <f>IF(M36149="","",'Master Barang'!A43)</f>
        <v>0</v>
      </c>
      <c r="O36149">
        <f>IF(N36149="","",'Master Barang'!B43)</f>
        <v>0</v>
      </c>
      <c r="P36149">
        <f>IF(OR(M36149="",N36149=""),"",SUMIFS('Barang Keluar'!$E:$E,'Barang Keluar'!$A:$A,M36149,'Barang Keluar'!$C:$C,N36149))</f>
        <v>0</v>
      </c>
    </row>
    <row r="36150" spans="13:16">
      <c r="M36150" s="49">
        <f>IF($A$4+361&gt;$B$4,"",$A$4+361)</f>
        <v>46384</v>
      </c>
      <c r="N36150">
        <f>IF(M36150="","",'Master Barang'!A44)</f>
        <v>0</v>
      </c>
      <c r="O36150">
        <f>IF(N36150="","",'Master Barang'!B44)</f>
        <v>0</v>
      </c>
      <c r="P36150">
        <f>IF(OR(M36150="",N36150=""),"",SUMIFS('Barang Keluar'!$E:$E,'Barang Keluar'!$A:$A,M36150,'Barang Keluar'!$C:$C,N36150))</f>
        <v>0</v>
      </c>
    </row>
    <row r="36151" spans="13:16">
      <c r="M36151" s="49">
        <f>IF($A$4+361&gt;$B$4,"",$A$4+361)</f>
        <v>46384</v>
      </c>
      <c r="N36151">
        <f>IF(M36151="","",'Master Barang'!A45)</f>
        <v>0</v>
      </c>
      <c r="O36151">
        <f>IF(N36151="","",'Master Barang'!B45)</f>
        <v>0</v>
      </c>
      <c r="P36151">
        <f>IF(OR(M36151="",N36151=""),"",SUMIFS('Barang Keluar'!$E:$E,'Barang Keluar'!$A:$A,M36151,'Barang Keluar'!$C:$C,N36151))</f>
        <v>0</v>
      </c>
    </row>
    <row r="36152" spans="13:16">
      <c r="M36152" s="49">
        <f>IF($A$4+361&gt;$B$4,"",$A$4+361)</f>
        <v>46384</v>
      </c>
      <c r="N36152">
        <f>IF(M36152="","",'Master Barang'!A46)</f>
        <v>0</v>
      </c>
      <c r="O36152">
        <f>IF(N36152="","",'Master Barang'!B46)</f>
        <v>0</v>
      </c>
      <c r="P36152">
        <f>IF(OR(M36152="",N36152=""),"",SUMIFS('Barang Keluar'!$E:$E,'Barang Keluar'!$A:$A,M36152,'Barang Keluar'!$C:$C,N36152))</f>
        <v>0</v>
      </c>
    </row>
    <row r="36153" spans="13:16">
      <c r="M36153" s="49">
        <f>IF($A$4+361&gt;$B$4,"",$A$4+361)</f>
        <v>46384</v>
      </c>
      <c r="N36153">
        <f>IF(M36153="","",'Master Barang'!A47)</f>
        <v>0</v>
      </c>
      <c r="O36153">
        <f>IF(N36153="","",'Master Barang'!B47)</f>
        <v>0</v>
      </c>
      <c r="P36153">
        <f>IF(OR(M36153="",N36153=""),"",SUMIFS('Barang Keluar'!$E:$E,'Barang Keluar'!$A:$A,M36153,'Barang Keluar'!$C:$C,N36153))</f>
        <v>0</v>
      </c>
    </row>
    <row r="36154" spans="13:16">
      <c r="M36154" s="49">
        <f>IF($A$4+361&gt;$B$4,"",$A$4+361)</f>
        <v>46384</v>
      </c>
      <c r="N36154">
        <f>IF(M36154="","",'Master Barang'!A48)</f>
        <v>0</v>
      </c>
      <c r="O36154">
        <f>IF(N36154="","",'Master Barang'!B48)</f>
        <v>0</v>
      </c>
      <c r="P36154">
        <f>IF(OR(M36154="",N36154=""),"",SUMIFS('Barang Keluar'!$E:$E,'Barang Keluar'!$A:$A,M36154,'Barang Keluar'!$C:$C,N36154))</f>
        <v>0</v>
      </c>
    </row>
    <row r="36155" spans="13:16">
      <c r="M36155" s="49">
        <f>IF($A$4+361&gt;$B$4,"",$A$4+361)</f>
        <v>46384</v>
      </c>
      <c r="N36155">
        <f>IF(M36155="","",'Master Barang'!A49)</f>
        <v>0</v>
      </c>
      <c r="O36155">
        <f>IF(N36155="","",'Master Barang'!B49)</f>
        <v>0</v>
      </c>
      <c r="P36155">
        <f>IF(OR(M36155="",N36155=""),"",SUMIFS('Barang Keluar'!$E:$E,'Barang Keluar'!$A:$A,M36155,'Barang Keluar'!$C:$C,N36155))</f>
        <v>0</v>
      </c>
    </row>
    <row r="36156" spans="13:16">
      <c r="M36156" s="49">
        <f>IF($A$4+361&gt;$B$4,"",$A$4+361)</f>
        <v>46384</v>
      </c>
      <c r="N36156">
        <f>IF(M36156="","",'Master Barang'!A50)</f>
        <v>0</v>
      </c>
      <c r="O36156">
        <f>IF(N36156="","",'Master Barang'!B50)</f>
        <v>0</v>
      </c>
      <c r="P36156">
        <f>IF(OR(M36156="",N36156=""),"",SUMIFS('Barang Keluar'!$E:$E,'Barang Keluar'!$A:$A,M36156,'Barang Keluar'!$C:$C,N36156))</f>
        <v>0</v>
      </c>
    </row>
    <row r="36157" spans="13:16">
      <c r="M36157" s="49">
        <f>IF($A$4+361&gt;$B$4,"",$A$4+361)</f>
        <v>46384</v>
      </c>
      <c r="N36157">
        <f>IF(M36157="","",'Master Barang'!A51)</f>
        <v>0</v>
      </c>
      <c r="O36157">
        <f>IF(N36157="","",'Master Barang'!B51)</f>
        <v>0</v>
      </c>
      <c r="P36157">
        <f>IF(OR(M36157="",N36157=""),"",SUMIFS('Barang Keluar'!$E:$E,'Barang Keluar'!$A:$A,M36157,'Barang Keluar'!$C:$C,N36157))</f>
        <v>0</v>
      </c>
    </row>
    <row r="36158" spans="13:16">
      <c r="M36158" s="49">
        <f>IF($A$4+361&gt;$B$4,"",$A$4+361)</f>
        <v>46384</v>
      </c>
      <c r="N36158">
        <f>IF(M36158="","",'Master Barang'!A52)</f>
        <v>0</v>
      </c>
      <c r="O36158">
        <f>IF(N36158="","",'Master Barang'!B52)</f>
        <v>0</v>
      </c>
      <c r="P36158">
        <f>IF(OR(M36158="",N36158=""),"",SUMIFS('Barang Keluar'!$E:$E,'Barang Keluar'!$A:$A,M36158,'Barang Keluar'!$C:$C,N36158))</f>
        <v>0</v>
      </c>
    </row>
    <row r="36159" spans="13:16">
      <c r="M36159" s="49">
        <f>IF($A$4+361&gt;$B$4,"",$A$4+361)</f>
        <v>46384</v>
      </c>
      <c r="N36159">
        <f>IF(M36159="","",'Master Barang'!A53)</f>
        <v>0</v>
      </c>
      <c r="O36159">
        <f>IF(N36159="","",'Master Barang'!B53)</f>
        <v>0</v>
      </c>
      <c r="P36159">
        <f>IF(OR(M36159="",N36159=""),"",SUMIFS('Barang Keluar'!$E:$E,'Barang Keluar'!$A:$A,M36159,'Barang Keluar'!$C:$C,N36159))</f>
        <v>0</v>
      </c>
    </row>
    <row r="36160" spans="13:16">
      <c r="M36160" s="49">
        <f>IF($A$4+361&gt;$B$4,"",$A$4+361)</f>
        <v>46384</v>
      </c>
      <c r="N36160">
        <f>IF(M36160="","",'Master Barang'!A54)</f>
        <v>0</v>
      </c>
      <c r="O36160">
        <f>IF(N36160="","",'Master Barang'!B54)</f>
        <v>0</v>
      </c>
      <c r="P36160">
        <f>IF(OR(M36160="",N36160=""),"",SUMIFS('Barang Keluar'!$E:$E,'Barang Keluar'!$A:$A,M36160,'Barang Keluar'!$C:$C,N36160))</f>
        <v>0</v>
      </c>
    </row>
    <row r="36161" spans="13:16">
      <c r="M36161" s="49">
        <f>IF($A$4+361&gt;$B$4,"",$A$4+361)</f>
        <v>46384</v>
      </c>
      <c r="N36161">
        <f>IF(M36161="","",'Master Barang'!A55)</f>
        <v>0</v>
      </c>
      <c r="O36161">
        <f>IF(N36161="","",'Master Barang'!B55)</f>
        <v>0</v>
      </c>
      <c r="P36161">
        <f>IF(OR(M36161="",N36161=""),"",SUMIFS('Barang Keluar'!$E:$E,'Barang Keluar'!$A:$A,M36161,'Barang Keluar'!$C:$C,N36161))</f>
        <v>0</v>
      </c>
    </row>
    <row r="36162" spans="13:16">
      <c r="M36162" s="49">
        <f>IF($A$4+361&gt;$B$4,"",$A$4+361)</f>
        <v>46384</v>
      </c>
      <c r="N36162">
        <f>IF(M36162="","",'Master Barang'!A56)</f>
        <v>0</v>
      </c>
      <c r="O36162">
        <f>IF(N36162="","",'Master Barang'!B56)</f>
        <v>0</v>
      </c>
      <c r="P36162">
        <f>IF(OR(M36162="",N36162=""),"",SUMIFS('Barang Keluar'!$E:$E,'Barang Keluar'!$A:$A,M36162,'Barang Keluar'!$C:$C,N36162))</f>
        <v>0</v>
      </c>
    </row>
    <row r="36163" spans="13:16">
      <c r="M36163" s="49">
        <f>IF($A$4+361&gt;$B$4,"",$A$4+361)</f>
        <v>46384</v>
      </c>
      <c r="N36163">
        <f>IF(M36163="","",'Master Barang'!A57)</f>
        <v>0</v>
      </c>
      <c r="O36163">
        <f>IF(N36163="","",'Master Barang'!B57)</f>
        <v>0</v>
      </c>
      <c r="P36163">
        <f>IF(OR(M36163="",N36163=""),"",SUMIFS('Barang Keluar'!$E:$E,'Barang Keluar'!$A:$A,M36163,'Barang Keluar'!$C:$C,N36163))</f>
        <v>0</v>
      </c>
    </row>
    <row r="36164" spans="13:16">
      <c r="M36164" s="49">
        <f>IF($A$4+361&gt;$B$4,"",$A$4+361)</f>
        <v>46384</v>
      </c>
      <c r="N36164">
        <f>IF(M36164="","",'Master Barang'!A58)</f>
        <v>0</v>
      </c>
      <c r="O36164">
        <f>IF(N36164="","",'Master Barang'!B58)</f>
        <v>0</v>
      </c>
      <c r="P36164">
        <f>IF(OR(M36164="",N36164=""),"",SUMIFS('Barang Keluar'!$E:$E,'Barang Keluar'!$A:$A,M36164,'Barang Keluar'!$C:$C,N36164))</f>
        <v>0</v>
      </c>
    </row>
    <row r="36165" spans="13:16">
      <c r="M36165" s="49">
        <f>IF($A$4+361&gt;$B$4,"",$A$4+361)</f>
        <v>46384</v>
      </c>
      <c r="N36165">
        <f>IF(M36165="","",'Master Barang'!A59)</f>
        <v>0</v>
      </c>
      <c r="O36165">
        <f>IF(N36165="","",'Master Barang'!B59)</f>
        <v>0</v>
      </c>
      <c r="P36165">
        <f>IF(OR(M36165="",N36165=""),"",SUMIFS('Barang Keluar'!$E:$E,'Barang Keluar'!$A:$A,M36165,'Barang Keluar'!$C:$C,N36165))</f>
        <v>0</v>
      </c>
    </row>
    <row r="36166" spans="13:16">
      <c r="M36166" s="49">
        <f>IF($A$4+361&gt;$B$4,"",$A$4+361)</f>
        <v>46384</v>
      </c>
      <c r="N36166">
        <f>IF(M36166="","",'Master Barang'!A60)</f>
        <v>0</v>
      </c>
      <c r="O36166">
        <f>IF(N36166="","",'Master Barang'!B60)</f>
        <v>0</v>
      </c>
      <c r="P36166">
        <f>IF(OR(M36166="",N36166=""),"",SUMIFS('Barang Keluar'!$E:$E,'Barang Keluar'!$A:$A,M36166,'Barang Keluar'!$C:$C,N36166))</f>
        <v>0</v>
      </c>
    </row>
    <row r="36167" spans="13:16">
      <c r="M36167" s="49">
        <f>IF($A$4+361&gt;$B$4,"",$A$4+361)</f>
        <v>46384</v>
      </c>
      <c r="N36167">
        <f>IF(M36167="","",'Master Barang'!A61)</f>
        <v>0</v>
      </c>
      <c r="O36167">
        <f>IF(N36167="","",'Master Barang'!B61)</f>
        <v>0</v>
      </c>
      <c r="P36167">
        <f>IF(OR(M36167="",N36167=""),"",SUMIFS('Barang Keluar'!$E:$E,'Barang Keluar'!$A:$A,M36167,'Barang Keluar'!$C:$C,N36167))</f>
        <v>0</v>
      </c>
    </row>
    <row r="36168" spans="13:16">
      <c r="M36168" s="49">
        <f>IF($A$4+361&gt;$B$4,"",$A$4+361)</f>
        <v>46384</v>
      </c>
      <c r="N36168">
        <f>IF(M36168="","",'Master Barang'!A62)</f>
        <v>0</v>
      </c>
      <c r="O36168">
        <f>IF(N36168="","",'Master Barang'!B62)</f>
        <v>0</v>
      </c>
      <c r="P36168">
        <f>IF(OR(M36168="",N36168=""),"",SUMIFS('Barang Keluar'!$E:$E,'Barang Keluar'!$A:$A,M36168,'Barang Keluar'!$C:$C,N36168))</f>
        <v>0</v>
      </c>
    </row>
    <row r="36169" spans="13:16">
      <c r="M36169" s="49">
        <f>IF($A$4+361&gt;$B$4,"",$A$4+361)</f>
        <v>46384</v>
      </c>
      <c r="N36169">
        <f>IF(M36169="","",'Master Barang'!A63)</f>
        <v>0</v>
      </c>
      <c r="O36169">
        <f>IF(N36169="","",'Master Barang'!B63)</f>
        <v>0</v>
      </c>
      <c r="P36169">
        <f>IF(OR(M36169="",N36169=""),"",SUMIFS('Barang Keluar'!$E:$E,'Barang Keluar'!$A:$A,M36169,'Barang Keluar'!$C:$C,N36169))</f>
        <v>0</v>
      </c>
    </row>
    <row r="36170" spans="13:16">
      <c r="M36170" s="49">
        <f>IF($A$4+361&gt;$B$4,"",$A$4+361)</f>
        <v>46384</v>
      </c>
      <c r="N36170">
        <f>IF(M36170="","",'Master Barang'!A64)</f>
        <v>0</v>
      </c>
      <c r="O36170">
        <f>IF(N36170="","",'Master Barang'!B64)</f>
        <v>0</v>
      </c>
      <c r="P36170">
        <f>IF(OR(M36170="",N36170=""),"",SUMIFS('Barang Keluar'!$E:$E,'Barang Keluar'!$A:$A,M36170,'Barang Keluar'!$C:$C,N36170))</f>
        <v>0</v>
      </c>
    </row>
    <row r="36171" spans="13:16">
      <c r="M36171" s="49">
        <f>IF($A$4+361&gt;$B$4,"",$A$4+361)</f>
        <v>46384</v>
      </c>
      <c r="N36171">
        <f>IF(M36171="","",'Master Barang'!A65)</f>
        <v>0</v>
      </c>
      <c r="O36171">
        <f>IF(N36171="","",'Master Barang'!B65)</f>
        <v>0</v>
      </c>
      <c r="P36171">
        <f>IF(OR(M36171="",N36171=""),"",SUMIFS('Barang Keluar'!$E:$E,'Barang Keluar'!$A:$A,M36171,'Barang Keluar'!$C:$C,N36171))</f>
        <v>0</v>
      </c>
    </row>
    <row r="36172" spans="13:16">
      <c r="M36172" s="49">
        <f>IF($A$4+361&gt;$B$4,"",$A$4+361)</f>
        <v>46384</v>
      </c>
      <c r="N36172">
        <f>IF(M36172="","",'Master Barang'!A66)</f>
        <v>0</v>
      </c>
      <c r="O36172">
        <f>IF(N36172="","",'Master Barang'!B66)</f>
        <v>0</v>
      </c>
      <c r="P36172">
        <f>IF(OR(M36172="",N36172=""),"",SUMIFS('Barang Keluar'!$E:$E,'Barang Keluar'!$A:$A,M36172,'Barang Keluar'!$C:$C,N36172))</f>
        <v>0</v>
      </c>
    </row>
    <row r="36173" spans="13:16">
      <c r="M36173" s="49">
        <f>IF($A$4+361&gt;$B$4,"",$A$4+361)</f>
        <v>46384</v>
      </c>
      <c r="N36173">
        <f>IF(M36173="","",'Master Barang'!A67)</f>
        <v>0</v>
      </c>
      <c r="O36173">
        <f>IF(N36173="","",'Master Barang'!B67)</f>
        <v>0</v>
      </c>
      <c r="P36173">
        <f>IF(OR(M36173="",N36173=""),"",SUMIFS('Barang Keluar'!$E:$E,'Barang Keluar'!$A:$A,M36173,'Barang Keluar'!$C:$C,N36173))</f>
        <v>0</v>
      </c>
    </row>
    <row r="36174" spans="13:16">
      <c r="M36174" s="49">
        <f>IF($A$4+361&gt;$B$4,"",$A$4+361)</f>
        <v>46384</v>
      </c>
      <c r="N36174">
        <f>IF(M36174="","",'Master Barang'!A68)</f>
        <v>0</v>
      </c>
      <c r="O36174">
        <f>IF(N36174="","",'Master Barang'!B68)</f>
        <v>0</v>
      </c>
      <c r="P36174">
        <f>IF(OR(M36174="",N36174=""),"",SUMIFS('Barang Keluar'!$E:$E,'Barang Keluar'!$A:$A,M36174,'Barang Keluar'!$C:$C,N36174))</f>
        <v>0</v>
      </c>
    </row>
    <row r="36175" spans="13:16">
      <c r="M36175" s="49">
        <f>IF($A$4+361&gt;$B$4,"",$A$4+361)</f>
        <v>46384</v>
      </c>
      <c r="N36175">
        <f>IF(M36175="","",'Master Barang'!A69)</f>
        <v>0</v>
      </c>
      <c r="O36175">
        <f>IF(N36175="","",'Master Barang'!B69)</f>
        <v>0</v>
      </c>
      <c r="P36175">
        <f>IF(OR(M36175="",N36175=""),"",SUMIFS('Barang Keluar'!$E:$E,'Barang Keluar'!$A:$A,M36175,'Barang Keluar'!$C:$C,N36175))</f>
        <v>0</v>
      </c>
    </row>
    <row r="36176" spans="13:16">
      <c r="M36176" s="49">
        <f>IF($A$4+361&gt;$B$4,"",$A$4+361)</f>
        <v>46384</v>
      </c>
      <c r="N36176">
        <f>IF(M36176="","",'Master Barang'!A70)</f>
        <v>0</v>
      </c>
      <c r="O36176">
        <f>IF(N36176="","",'Master Barang'!B70)</f>
        <v>0</v>
      </c>
      <c r="P36176">
        <f>IF(OR(M36176="",N36176=""),"",SUMIFS('Barang Keluar'!$E:$E,'Barang Keluar'!$A:$A,M36176,'Barang Keluar'!$C:$C,N36176))</f>
        <v>0</v>
      </c>
    </row>
    <row r="36177" spans="13:16">
      <c r="M36177" s="49">
        <f>IF($A$4+361&gt;$B$4,"",$A$4+361)</f>
        <v>46384</v>
      </c>
      <c r="N36177">
        <f>IF(M36177="","",'Master Barang'!A71)</f>
        <v>0</v>
      </c>
      <c r="O36177">
        <f>IF(N36177="","",'Master Barang'!B71)</f>
        <v>0</v>
      </c>
      <c r="P36177">
        <f>IF(OR(M36177="",N36177=""),"",SUMIFS('Barang Keluar'!$E:$E,'Barang Keluar'!$A:$A,M36177,'Barang Keluar'!$C:$C,N36177))</f>
        <v>0</v>
      </c>
    </row>
    <row r="36178" spans="13:16">
      <c r="M36178" s="49">
        <f>IF($A$4+361&gt;$B$4,"",$A$4+361)</f>
        <v>46384</v>
      </c>
      <c r="N36178">
        <f>IF(M36178="","",'Master Barang'!A72)</f>
        <v>0</v>
      </c>
      <c r="O36178">
        <f>IF(N36178="","",'Master Barang'!B72)</f>
        <v>0</v>
      </c>
      <c r="P36178">
        <f>IF(OR(M36178="",N36178=""),"",SUMIFS('Barang Keluar'!$E:$E,'Barang Keluar'!$A:$A,M36178,'Barang Keluar'!$C:$C,N36178))</f>
        <v>0</v>
      </c>
    </row>
    <row r="36179" spans="13:16">
      <c r="M36179" s="49">
        <f>IF($A$4+361&gt;$B$4,"",$A$4+361)</f>
        <v>46384</v>
      </c>
      <c r="N36179">
        <f>IF(M36179="","",'Master Barang'!A73)</f>
        <v>0</v>
      </c>
      <c r="O36179">
        <f>IF(N36179="","",'Master Barang'!B73)</f>
        <v>0</v>
      </c>
      <c r="P36179">
        <f>IF(OR(M36179="",N36179=""),"",SUMIFS('Barang Keluar'!$E:$E,'Barang Keluar'!$A:$A,M36179,'Barang Keluar'!$C:$C,N36179))</f>
        <v>0</v>
      </c>
    </row>
    <row r="36180" spans="13:16">
      <c r="M36180" s="49">
        <f>IF($A$4+361&gt;$B$4,"",$A$4+361)</f>
        <v>46384</v>
      </c>
      <c r="N36180">
        <f>IF(M36180="","",'Master Barang'!A74)</f>
        <v>0</v>
      </c>
      <c r="O36180">
        <f>IF(N36180="","",'Master Barang'!B74)</f>
        <v>0</v>
      </c>
      <c r="P36180">
        <f>IF(OR(M36180="",N36180=""),"",SUMIFS('Barang Keluar'!$E:$E,'Barang Keluar'!$A:$A,M36180,'Barang Keluar'!$C:$C,N36180))</f>
        <v>0</v>
      </c>
    </row>
    <row r="36181" spans="13:16">
      <c r="M36181" s="49">
        <f>IF($A$4+361&gt;$B$4,"",$A$4+361)</f>
        <v>46384</v>
      </c>
      <c r="N36181">
        <f>IF(M36181="","",'Master Barang'!A75)</f>
        <v>0</v>
      </c>
      <c r="O36181">
        <f>IF(N36181="","",'Master Barang'!B75)</f>
        <v>0</v>
      </c>
      <c r="P36181">
        <f>IF(OR(M36181="",N36181=""),"",SUMIFS('Barang Keluar'!$E:$E,'Barang Keluar'!$A:$A,M36181,'Barang Keluar'!$C:$C,N36181))</f>
        <v>0</v>
      </c>
    </row>
    <row r="36182" spans="13:16">
      <c r="M36182" s="49">
        <f>IF($A$4+361&gt;$B$4,"",$A$4+361)</f>
        <v>46384</v>
      </c>
      <c r="N36182">
        <f>IF(M36182="","",'Master Barang'!A76)</f>
        <v>0</v>
      </c>
      <c r="O36182">
        <f>IF(N36182="","",'Master Barang'!B76)</f>
        <v>0</v>
      </c>
      <c r="P36182">
        <f>IF(OR(M36182="",N36182=""),"",SUMIFS('Barang Keluar'!$E:$E,'Barang Keluar'!$A:$A,M36182,'Barang Keluar'!$C:$C,N36182))</f>
        <v>0</v>
      </c>
    </row>
    <row r="36183" spans="13:16">
      <c r="M36183" s="49">
        <f>IF($A$4+361&gt;$B$4,"",$A$4+361)</f>
        <v>46384</v>
      </c>
      <c r="N36183">
        <f>IF(M36183="","",'Master Barang'!A77)</f>
        <v>0</v>
      </c>
      <c r="O36183">
        <f>IF(N36183="","",'Master Barang'!B77)</f>
        <v>0</v>
      </c>
      <c r="P36183">
        <f>IF(OR(M36183="",N36183=""),"",SUMIFS('Barang Keluar'!$E:$E,'Barang Keluar'!$A:$A,M36183,'Barang Keluar'!$C:$C,N36183))</f>
        <v>0</v>
      </c>
    </row>
    <row r="36184" spans="13:16">
      <c r="M36184" s="49">
        <f>IF($A$4+361&gt;$B$4,"",$A$4+361)</f>
        <v>46384</v>
      </c>
      <c r="N36184">
        <f>IF(M36184="","",'Master Barang'!A78)</f>
        <v>0</v>
      </c>
      <c r="O36184">
        <f>IF(N36184="","",'Master Barang'!B78)</f>
        <v>0</v>
      </c>
      <c r="P36184">
        <f>IF(OR(M36184="",N36184=""),"",SUMIFS('Barang Keluar'!$E:$E,'Barang Keluar'!$A:$A,M36184,'Barang Keluar'!$C:$C,N36184))</f>
        <v>0</v>
      </c>
    </row>
    <row r="36185" spans="13:16">
      <c r="M36185" s="49">
        <f>IF($A$4+361&gt;$B$4,"",$A$4+361)</f>
        <v>46384</v>
      </c>
      <c r="N36185">
        <f>IF(M36185="","",'Master Barang'!A79)</f>
        <v>0</v>
      </c>
      <c r="O36185">
        <f>IF(N36185="","",'Master Barang'!B79)</f>
        <v>0</v>
      </c>
      <c r="P36185">
        <f>IF(OR(M36185="",N36185=""),"",SUMIFS('Barang Keluar'!$E:$E,'Barang Keluar'!$A:$A,M36185,'Barang Keluar'!$C:$C,N36185))</f>
        <v>0</v>
      </c>
    </row>
    <row r="36186" spans="13:16">
      <c r="M36186" s="49">
        <f>IF($A$4+361&gt;$B$4,"",$A$4+361)</f>
        <v>46384</v>
      </c>
      <c r="N36186">
        <f>IF(M36186="","",'Master Barang'!A80)</f>
        <v>0</v>
      </c>
      <c r="O36186">
        <f>IF(N36186="","",'Master Barang'!B80)</f>
        <v>0</v>
      </c>
      <c r="P36186">
        <f>IF(OR(M36186="",N36186=""),"",SUMIFS('Barang Keluar'!$E:$E,'Barang Keluar'!$A:$A,M36186,'Barang Keluar'!$C:$C,N36186))</f>
        <v>0</v>
      </c>
    </row>
    <row r="36187" spans="13:16">
      <c r="M36187" s="49">
        <f>IF($A$4+361&gt;$B$4,"",$A$4+361)</f>
        <v>46384</v>
      </c>
      <c r="N36187">
        <f>IF(M36187="","",'Master Barang'!A81)</f>
        <v>0</v>
      </c>
      <c r="O36187">
        <f>IF(N36187="","",'Master Barang'!B81)</f>
        <v>0</v>
      </c>
      <c r="P36187">
        <f>IF(OR(M36187="",N36187=""),"",SUMIFS('Barang Keluar'!$E:$E,'Barang Keluar'!$A:$A,M36187,'Barang Keluar'!$C:$C,N36187))</f>
        <v>0</v>
      </c>
    </row>
    <row r="36188" spans="13:16">
      <c r="M36188" s="49">
        <f>IF($A$4+361&gt;$B$4,"",$A$4+361)</f>
        <v>46384</v>
      </c>
      <c r="N36188">
        <f>IF(M36188="","",'Master Barang'!A82)</f>
        <v>0</v>
      </c>
      <c r="O36188">
        <f>IF(N36188="","",'Master Barang'!B82)</f>
        <v>0</v>
      </c>
      <c r="P36188">
        <f>IF(OR(M36188="",N36188=""),"",SUMIFS('Barang Keluar'!$E:$E,'Barang Keluar'!$A:$A,M36188,'Barang Keluar'!$C:$C,N36188))</f>
        <v>0</v>
      </c>
    </row>
    <row r="36189" spans="13:16">
      <c r="M36189" s="49">
        <f>IF($A$4+361&gt;$B$4,"",$A$4+361)</f>
        <v>46384</v>
      </c>
      <c r="N36189">
        <f>IF(M36189="","",'Master Barang'!A83)</f>
        <v>0</v>
      </c>
      <c r="O36189">
        <f>IF(N36189="","",'Master Barang'!B83)</f>
        <v>0</v>
      </c>
      <c r="P36189">
        <f>IF(OR(M36189="",N36189=""),"",SUMIFS('Barang Keluar'!$E:$E,'Barang Keluar'!$A:$A,M36189,'Barang Keluar'!$C:$C,N36189))</f>
        <v>0</v>
      </c>
    </row>
    <row r="36190" spans="13:16">
      <c r="M36190" s="49">
        <f>IF($A$4+361&gt;$B$4,"",$A$4+361)</f>
        <v>46384</v>
      </c>
      <c r="N36190">
        <f>IF(M36190="","",'Master Barang'!A84)</f>
        <v>0</v>
      </c>
      <c r="O36190">
        <f>IF(N36190="","",'Master Barang'!B84)</f>
        <v>0</v>
      </c>
      <c r="P36190">
        <f>IF(OR(M36190="",N36190=""),"",SUMIFS('Barang Keluar'!$E:$E,'Barang Keluar'!$A:$A,M36190,'Barang Keluar'!$C:$C,N36190))</f>
        <v>0</v>
      </c>
    </row>
    <row r="36191" spans="13:16">
      <c r="M36191" s="49">
        <f>IF($A$4+361&gt;$B$4,"",$A$4+361)</f>
        <v>46384</v>
      </c>
      <c r="N36191">
        <f>IF(M36191="","",'Master Barang'!A85)</f>
        <v>0</v>
      </c>
      <c r="O36191">
        <f>IF(N36191="","",'Master Barang'!B85)</f>
        <v>0</v>
      </c>
      <c r="P36191">
        <f>IF(OR(M36191="",N36191=""),"",SUMIFS('Barang Keluar'!$E:$E,'Barang Keluar'!$A:$A,M36191,'Barang Keluar'!$C:$C,N36191))</f>
        <v>0</v>
      </c>
    </row>
    <row r="36192" spans="13:16">
      <c r="M36192" s="49">
        <f>IF($A$4+361&gt;$B$4,"",$A$4+361)</f>
        <v>46384</v>
      </c>
      <c r="N36192">
        <f>IF(M36192="","",'Master Barang'!A86)</f>
        <v>0</v>
      </c>
      <c r="O36192">
        <f>IF(N36192="","",'Master Barang'!B86)</f>
        <v>0</v>
      </c>
      <c r="P36192">
        <f>IF(OR(M36192="",N36192=""),"",SUMIFS('Barang Keluar'!$E:$E,'Barang Keluar'!$A:$A,M36192,'Barang Keluar'!$C:$C,N36192))</f>
        <v>0</v>
      </c>
    </row>
    <row r="36193" spans="13:16">
      <c r="M36193" s="49">
        <f>IF($A$4+361&gt;$B$4,"",$A$4+361)</f>
        <v>46384</v>
      </c>
      <c r="N36193">
        <f>IF(M36193="","",'Master Barang'!A87)</f>
        <v>0</v>
      </c>
      <c r="O36193">
        <f>IF(N36193="","",'Master Barang'!B87)</f>
        <v>0</v>
      </c>
      <c r="P36193">
        <f>IF(OR(M36193="",N36193=""),"",SUMIFS('Barang Keluar'!$E:$E,'Barang Keluar'!$A:$A,M36193,'Barang Keluar'!$C:$C,N36193))</f>
        <v>0</v>
      </c>
    </row>
    <row r="36194" spans="13:16">
      <c r="M36194" s="49">
        <f>IF($A$4+361&gt;$B$4,"",$A$4+361)</f>
        <v>46384</v>
      </c>
      <c r="N36194">
        <f>IF(M36194="","",'Master Barang'!A88)</f>
        <v>0</v>
      </c>
      <c r="O36194">
        <f>IF(N36194="","",'Master Barang'!B88)</f>
        <v>0</v>
      </c>
      <c r="P36194">
        <f>IF(OR(M36194="",N36194=""),"",SUMIFS('Barang Keluar'!$E:$E,'Barang Keluar'!$A:$A,M36194,'Barang Keluar'!$C:$C,N36194))</f>
        <v>0</v>
      </c>
    </row>
    <row r="36195" spans="13:16">
      <c r="M36195" s="49">
        <f>IF($A$4+361&gt;$B$4,"",$A$4+361)</f>
        <v>46384</v>
      </c>
      <c r="N36195">
        <f>IF(M36195="","",'Master Barang'!A89)</f>
        <v>0</v>
      </c>
      <c r="O36195">
        <f>IF(N36195="","",'Master Barang'!B89)</f>
        <v>0</v>
      </c>
      <c r="P36195">
        <f>IF(OR(M36195="",N36195=""),"",SUMIFS('Barang Keluar'!$E:$E,'Barang Keluar'!$A:$A,M36195,'Barang Keluar'!$C:$C,N36195))</f>
        <v>0</v>
      </c>
    </row>
    <row r="36196" spans="13:16">
      <c r="M36196" s="49">
        <f>IF($A$4+361&gt;$B$4,"",$A$4+361)</f>
        <v>46384</v>
      </c>
      <c r="N36196">
        <f>IF(M36196="","",'Master Barang'!A90)</f>
        <v>0</v>
      </c>
      <c r="O36196">
        <f>IF(N36196="","",'Master Barang'!B90)</f>
        <v>0</v>
      </c>
      <c r="P36196">
        <f>IF(OR(M36196="",N36196=""),"",SUMIFS('Barang Keluar'!$E:$E,'Barang Keluar'!$A:$A,M36196,'Barang Keluar'!$C:$C,N36196))</f>
        <v>0</v>
      </c>
    </row>
    <row r="36197" spans="13:16">
      <c r="M36197" s="49">
        <f>IF($A$4+361&gt;$B$4,"",$A$4+361)</f>
        <v>46384</v>
      </c>
      <c r="N36197">
        <f>IF(M36197="","",'Master Barang'!A91)</f>
        <v>0</v>
      </c>
      <c r="O36197">
        <f>IF(N36197="","",'Master Barang'!B91)</f>
        <v>0</v>
      </c>
      <c r="P36197">
        <f>IF(OR(M36197="",N36197=""),"",SUMIFS('Barang Keluar'!$E:$E,'Barang Keluar'!$A:$A,M36197,'Barang Keluar'!$C:$C,N36197))</f>
        <v>0</v>
      </c>
    </row>
    <row r="36198" spans="13:16">
      <c r="M36198" s="49">
        <f>IF($A$4+361&gt;$B$4,"",$A$4+361)</f>
        <v>46384</v>
      </c>
      <c r="N36198">
        <f>IF(M36198="","",'Master Barang'!A92)</f>
        <v>0</v>
      </c>
      <c r="O36198">
        <f>IF(N36198="","",'Master Barang'!B92)</f>
        <v>0</v>
      </c>
      <c r="P36198">
        <f>IF(OR(M36198="",N36198=""),"",SUMIFS('Barang Keluar'!$E:$E,'Barang Keluar'!$A:$A,M36198,'Barang Keluar'!$C:$C,N36198))</f>
        <v>0</v>
      </c>
    </row>
    <row r="36199" spans="13:16">
      <c r="M36199" s="49">
        <f>IF($A$4+361&gt;$B$4,"",$A$4+361)</f>
        <v>46384</v>
      </c>
      <c r="N36199">
        <f>IF(M36199="","",'Master Barang'!A93)</f>
        <v>0</v>
      </c>
      <c r="O36199">
        <f>IF(N36199="","",'Master Barang'!B93)</f>
        <v>0</v>
      </c>
      <c r="P36199">
        <f>IF(OR(M36199="",N36199=""),"",SUMIFS('Barang Keluar'!$E:$E,'Barang Keluar'!$A:$A,M36199,'Barang Keluar'!$C:$C,N36199))</f>
        <v>0</v>
      </c>
    </row>
    <row r="36200" spans="13:16">
      <c r="M36200" s="49">
        <f>IF($A$4+361&gt;$B$4,"",$A$4+361)</f>
        <v>46384</v>
      </c>
      <c r="N36200">
        <f>IF(M36200="","",'Master Barang'!A94)</f>
        <v>0</v>
      </c>
      <c r="O36200">
        <f>IF(N36200="","",'Master Barang'!B94)</f>
        <v>0</v>
      </c>
      <c r="P36200">
        <f>IF(OR(M36200="",N36200=""),"",SUMIFS('Barang Keluar'!$E:$E,'Barang Keluar'!$A:$A,M36200,'Barang Keluar'!$C:$C,N36200))</f>
        <v>0</v>
      </c>
    </row>
    <row r="36201" spans="13:16">
      <c r="M36201" s="49">
        <f>IF($A$4+361&gt;$B$4,"",$A$4+361)</f>
        <v>46384</v>
      </c>
      <c r="N36201">
        <f>IF(M36201="","",'Master Barang'!A95)</f>
        <v>0</v>
      </c>
      <c r="O36201">
        <f>IF(N36201="","",'Master Barang'!B95)</f>
        <v>0</v>
      </c>
      <c r="P36201">
        <f>IF(OR(M36201="",N36201=""),"",SUMIFS('Barang Keluar'!$E:$E,'Barang Keluar'!$A:$A,M36201,'Barang Keluar'!$C:$C,N36201))</f>
        <v>0</v>
      </c>
    </row>
    <row r="36202" spans="13:16">
      <c r="M36202" s="49">
        <f>IF($A$4+361&gt;$B$4,"",$A$4+361)</f>
        <v>46384</v>
      </c>
      <c r="N36202">
        <f>IF(M36202="","",'Master Barang'!A96)</f>
        <v>0</v>
      </c>
      <c r="O36202">
        <f>IF(N36202="","",'Master Barang'!B96)</f>
        <v>0</v>
      </c>
      <c r="P36202">
        <f>IF(OR(M36202="",N36202=""),"",SUMIFS('Barang Keluar'!$E:$E,'Barang Keluar'!$A:$A,M36202,'Barang Keluar'!$C:$C,N36202))</f>
        <v>0</v>
      </c>
    </row>
    <row r="36203" spans="13:16">
      <c r="M36203" s="49">
        <f>IF($A$4+361&gt;$B$4,"",$A$4+361)</f>
        <v>46384</v>
      </c>
      <c r="N36203">
        <f>IF(M36203="","",'Master Barang'!A97)</f>
        <v>0</v>
      </c>
      <c r="O36203">
        <f>IF(N36203="","",'Master Barang'!B97)</f>
        <v>0</v>
      </c>
      <c r="P36203">
        <f>IF(OR(M36203="",N36203=""),"",SUMIFS('Barang Keluar'!$E:$E,'Barang Keluar'!$A:$A,M36203,'Barang Keluar'!$C:$C,N36203))</f>
        <v>0</v>
      </c>
    </row>
    <row r="36204" spans="13:16">
      <c r="M36204" s="49">
        <f>IF($A$4+361&gt;$B$4,"",$A$4+361)</f>
        <v>46384</v>
      </c>
      <c r="N36204">
        <f>IF(M36204="","",'Master Barang'!A98)</f>
        <v>0</v>
      </c>
      <c r="O36204">
        <f>IF(N36204="","",'Master Barang'!B98)</f>
        <v>0</v>
      </c>
      <c r="P36204">
        <f>IF(OR(M36204="",N36204=""),"",SUMIFS('Barang Keluar'!$E:$E,'Barang Keluar'!$A:$A,M36204,'Barang Keluar'!$C:$C,N36204))</f>
        <v>0</v>
      </c>
    </row>
    <row r="36205" spans="13:16">
      <c r="M36205" s="49">
        <f>IF($A$4+361&gt;$B$4,"",$A$4+361)</f>
        <v>46384</v>
      </c>
      <c r="N36205">
        <f>IF(M36205="","",'Master Barang'!A99)</f>
        <v>0</v>
      </c>
      <c r="O36205">
        <f>IF(N36205="","",'Master Barang'!B99)</f>
        <v>0</v>
      </c>
      <c r="P36205">
        <f>IF(OR(M36205="",N36205=""),"",SUMIFS('Barang Keluar'!$E:$E,'Barang Keluar'!$A:$A,M36205,'Barang Keluar'!$C:$C,N36205))</f>
        <v>0</v>
      </c>
    </row>
    <row r="36206" spans="13:16">
      <c r="M36206" s="49">
        <f>IF($A$4+361&gt;$B$4,"",$A$4+361)</f>
        <v>46384</v>
      </c>
      <c r="N36206">
        <f>IF(M36206="","",'Master Barang'!A100)</f>
        <v>0</v>
      </c>
      <c r="O36206">
        <f>IF(N36206="","",'Master Barang'!B100)</f>
        <v>0</v>
      </c>
      <c r="P36206">
        <f>IF(OR(M36206="",N36206=""),"",SUMIFS('Barang Keluar'!$E:$E,'Barang Keluar'!$A:$A,M36206,'Barang Keluar'!$C:$C,N36206))</f>
        <v>0</v>
      </c>
    </row>
    <row r="36207" spans="13:16">
      <c r="M36207" s="49">
        <f>IF($A$4+361&gt;$B$4,"",$A$4+361)</f>
        <v>46384</v>
      </c>
      <c r="N36207">
        <f>IF(M36207="","",'Master Barang'!A101)</f>
        <v>0</v>
      </c>
      <c r="O36207">
        <f>IF(N36207="","",'Master Barang'!B101)</f>
        <v>0</v>
      </c>
      <c r="P36207">
        <f>IF(OR(M36207="",N36207=""),"",SUMIFS('Barang Keluar'!$E:$E,'Barang Keluar'!$A:$A,M36207,'Barang Keluar'!$C:$C,N36207))</f>
        <v>0</v>
      </c>
    </row>
    <row r="36208" spans="13:16">
      <c r="M36208" s="49">
        <f>IF($A$4+362&gt;$B$4,"",$A$4+362)</f>
        <v>46385</v>
      </c>
      <c r="N36208" t="str">
        <f>IF(M36208="","",'Master Barang'!A2)</f>
        <v>PRL-001</v>
      </c>
      <c r="O36208" t="str">
        <f>IF(N36208="","",'Master Barang'!B2)</f>
        <v>natura desinfectant food grade 5l</v>
      </c>
      <c r="P36208">
        <f>IF(OR(M36208="",N36208=""),"",SUMIFS('Barang Keluar'!$E:$E,'Barang Keluar'!$A:$A,M36208,'Barang Keluar'!$C:$C,N36208))</f>
        <v>0</v>
      </c>
    </row>
    <row r="36209" spans="13:16">
      <c r="M36209" s="49">
        <f>IF($A$4+362&gt;$B$4,"",$A$4+362)</f>
        <v>46385</v>
      </c>
      <c r="N36209" t="str">
        <f>IF(M36209="","",'Master Barang'!A3)</f>
        <v>PRL-002</v>
      </c>
      <c r="O36209" t="str">
        <f>IF(N36209="","",'Master Barang'!B3)</f>
        <v>sunlight cairan pencuci piring 5l</v>
      </c>
      <c r="P36209">
        <f>IF(OR(M36209="",N36209=""),"",SUMIFS('Barang Keluar'!$E:$E,'Barang Keluar'!$A:$A,M36209,'Barang Keluar'!$C:$C,N36209))</f>
        <v>0</v>
      </c>
    </row>
    <row r="36210" spans="13:16">
      <c r="M36210" s="49">
        <f>IF($A$4+362&gt;$B$4,"",$A$4+362)</f>
        <v>46385</v>
      </c>
      <c r="N36210" t="str">
        <f>IF(M36210="","",'Master Barang'!A4)</f>
        <v>PRL-003</v>
      </c>
      <c r="O36210" t="str">
        <f>IF(N36210="","",'Master Barang'!B4)</f>
        <v>oixs cleaner 1l</v>
      </c>
      <c r="P36210">
        <f>IF(OR(M36210="",N36210=""),"",SUMIFS('Barang Keluar'!$E:$E,'Barang Keluar'!$A:$A,M36210,'Barang Keluar'!$C:$C,N36210))</f>
        <v>0</v>
      </c>
    </row>
    <row r="36211" spans="13:16">
      <c r="M36211" s="49">
        <f>IF($A$4+362&gt;$B$4,"",$A$4+362)</f>
        <v>46385</v>
      </c>
      <c r="N36211" t="str">
        <f>IF(M36211="","",'Master Barang'!A5)</f>
        <v>PRL-004</v>
      </c>
      <c r="O36211" t="str">
        <f>IF(N36211="","",'Master Barang'!B5)</f>
        <v>be clean tissue serbaguna</v>
      </c>
      <c r="P36211">
        <f>IF(OR(M36211="",N36211=""),"",SUMIFS('Barang Keluar'!$E:$E,'Barang Keluar'!$A:$A,M36211,'Barang Keluar'!$C:$C,N36211))</f>
        <v>0</v>
      </c>
    </row>
    <row r="36212" spans="13:16">
      <c r="M36212" s="49">
        <f>IF($A$4+362&gt;$B$4,"",$A$4+362)</f>
        <v>46385</v>
      </c>
      <c r="N36212" t="str">
        <f>IF(M36212="","",'Master Barang'!A6)</f>
        <v>PRL-005</v>
      </c>
      <c r="O36212" t="str">
        <f>IF(N36212="","",'Master Barang'!B6)</f>
        <v>spons cuci hijau</v>
      </c>
      <c r="P36212">
        <f>IF(OR(M36212="",N36212=""),"",SUMIFS('Barang Keluar'!$E:$E,'Barang Keluar'!$A:$A,M36212,'Barang Keluar'!$C:$C,N36212))</f>
        <v>0</v>
      </c>
    </row>
    <row r="36213" spans="13:16">
      <c r="M36213" s="49">
        <f>IF($A$4+362&gt;$B$4,"",$A$4+362)</f>
        <v>46385</v>
      </c>
      <c r="N36213" t="str">
        <f>IF(M36213="","",'Master Barang'!A7)</f>
        <v>PRL-006</v>
      </c>
      <c r="O36213" t="str">
        <f>IF(N36213="","",'Master Barang'!B7)</f>
        <v>sabut cuci stainless</v>
      </c>
      <c r="P36213">
        <f>IF(OR(M36213="",N36213=""),"",SUMIFS('Barang Keluar'!$E:$E,'Barang Keluar'!$A:$A,M36213,'Barang Keluar'!$C:$C,N36213))</f>
        <v>0</v>
      </c>
    </row>
    <row r="36214" spans="13:16">
      <c r="M36214" s="49">
        <f>IF($A$4+362&gt;$B$4,"",$A$4+362)</f>
        <v>46385</v>
      </c>
      <c r="N36214" t="str">
        <f>IF(M36214="","",'Master Barang'!A8)</f>
        <v>PRL-007</v>
      </c>
      <c r="O36214" t="str">
        <f>IF(N36214="","",'Master Barang'!B8)</f>
        <v>plastik kresek besar merah 50pc</v>
      </c>
      <c r="P36214">
        <f>IF(OR(M36214="",N36214=""),"",SUMIFS('Barang Keluar'!$E:$E,'Barang Keluar'!$A:$A,M36214,'Barang Keluar'!$C:$C,N36214))</f>
        <v>0</v>
      </c>
    </row>
    <row r="36215" spans="13:16">
      <c r="M36215" s="49">
        <f>IF($A$4+362&gt;$B$4,"",$A$4+362)</f>
        <v>46385</v>
      </c>
      <c r="N36215" t="str">
        <f>IF(M36215="","",'Master Barang'!A9)</f>
        <v>PRL-008</v>
      </c>
      <c r="O36215" t="str">
        <f>IF(N36215="","",'Master Barang'!B9)</f>
        <v>lap besar</v>
      </c>
      <c r="P36215">
        <f>IF(OR(M36215="",N36215=""),"",SUMIFS('Barang Keluar'!$E:$E,'Barang Keluar'!$A:$A,M36215,'Barang Keluar'!$C:$C,N36215))</f>
        <v>0</v>
      </c>
    </row>
    <row r="36216" spans="13:16">
      <c r="M36216" s="49">
        <f>IF($A$4+362&gt;$B$4,"",$A$4+362)</f>
        <v>46385</v>
      </c>
      <c r="N36216" t="str">
        <f>IF(M36216="","",'Master Barang'!A10)</f>
        <v>PRL-009</v>
      </c>
      <c r="O36216" t="str">
        <f>IF(N36216="","",'Master Barang'!B10)</f>
        <v>lap microfiber</v>
      </c>
      <c r="P36216">
        <f>IF(OR(M36216="",N36216=""),"",SUMIFS('Barang Keluar'!$E:$E,'Barang Keluar'!$A:$A,M36216,'Barang Keluar'!$C:$C,N36216))</f>
        <v>0</v>
      </c>
    </row>
    <row r="36217" spans="13:16">
      <c r="M36217" s="49">
        <f>IF($A$4+362&gt;$B$4,"",$A$4+362)</f>
        <v>46385</v>
      </c>
      <c r="N36217" t="str">
        <f>IF(M36217="","",'Master Barang'!A11)</f>
        <v>PRL-010</v>
      </c>
      <c r="O36217" t="str">
        <f>IF(N36217="","",'Master Barang'!B11)</f>
        <v>lap kecil</v>
      </c>
      <c r="P36217">
        <f>IF(OR(M36217="",N36217=""),"",SUMIFS('Barang Keluar'!$E:$E,'Barang Keluar'!$A:$A,M36217,'Barang Keluar'!$C:$C,N36217))</f>
        <v>0</v>
      </c>
    </row>
    <row r="36218" spans="13:16">
      <c r="M36218" s="49">
        <f>IF($A$4+362&gt;$B$4,"",$A$4+362)</f>
        <v>46385</v>
      </c>
      <c r="N36218" t="str">
        <f>IF(M36218="","",'Master Barang'!A12)</f>
        <v>PRL-011</v>
      </c>
      <c r="O36218" t="str">
        <f>IF(N36218="","",'Master Barang'!B12)</f>
        <v>kanebo kecil</v>
      </c>
      <c r="P36218">
        <f>IF(OR(M36218="",N36218=""),"",SUMIFS('Barang Keluar'!$E:$E,'Barang Keluar'!$A:$A,M36218,'Barang Keluar'!$C:$C,N36218))</f>
        <v>0</v>
      </c>
    </row>
    <row r="36219" spans="13:16">
      <c r="M36219" s="49">
        <f>IF($A$4+362&gt;$B$4,"",$A$4+362)</f>
        <v>46385</v>
      </c>
      <c r="N36219" t="str">
        <f>IF(M36219="","",'Master Barang'!A13)</f>
        <v>PRL-012</v>
      </c>
      <c r="O36219" t="str">
        <f>IF(N36219="","",'Master Barang'!B13)</f>
        <v>plastik 1/4kg joyoboyo 100 lembar</v>
      </c>
      <c r="P36219">
        <f>IF(OR(M36219="",N36219=""),"",SUMIFS('Barang Keluar'!$E:$E,'Barang Keluar'!$A:$A,M36219,'Barang Keluar'!$C:$C,N36219))</f>
        <v>0</v>
      </c>
    </row>
    <row r="36220" spans="13:16">
      <c r="M36220" s="49">
        <f>IF($A$4+362&gt;$B$4,"",$A$4+362)</f>
        <v>46385</v>
      </c>
      <c r="N36220" t="str">
        <f>IF(M36220="","",'Master Barang'!A14)</f>
        <v>PRL-013</v>
      </c>
      <c r="O36220" t="str">
        <f>IF(N36220="","",'Master Barang'!B14)</f>
        <v>sarung tangan plastik kaka 100 pcs</v>
      </c>
      <c r="P36220">
        <f>IF(OR(M36220="",N36220=""),"",SUMIFS('Barang Keluar'!$E:$E,'Barang Keluar'!$A:$A,M36220,'Barang Keluar'!$C:$C,N36220))</f>
        <v>0</v>
      </c>
    </row>
    <row r="36221" spans="13:16">
      <c r="M36221" s="49">
        <f>IF($A$4+362&gt;$B$4,"",$A$4+362)</f>
        <v>46385</v>
      </c>
      <c r="N36221" t="str">
        <f>IF(M36221="","",'Master Barang'!A15)</f>
        <v>PRL-014</v>
      </c>
      <c r="O36221" t="str">
        <f>IF(N36221="","",'Master Barang'!B15)</f>
        <v>optima trashbag 80x100</v>
      </c>
      <c r="P36221">
        <f>IF(OR(M36221="",N36221=""),"",SUMIFS('Barang Keluar'!$E:$E,'Barang Keluar'!$A:$A,M36221,'Barang Keluar'!$C:$C,N36221))</f>
        <v>0</v>
      </c>
    </row>
    <row r="36222" spans="13:16">
      <c r="M36222" s="49">
        <f>IF($A$4+362&gt;$B$4,"",$A$4+362)</f>
        <v>46385</v>
      </c>
      <c r="N36222" t="str">
        <f>IF(M36222="","",'Master Barang'!A16)</f>
        <v>PRL-015</v>
      </c>
      <c r="O36222" t="str">
        <f>IF(N36222="","",'Master Barang'!B16)</f>
        <v>optima trashbag 60x100</v>
      </c>
      <c r="P36222">
        <f>IF(OR(M36222="",N36222=""),"",SUMIFS('Barang Keluar'!$E:$E,'Barang Keluar'!$A:$A,M36222,'Barang Keluar'!$C:$C,N36222))</f>
        <v>0</v>
      </c>
    </row>
    <row r="36223" spans="13:16">
      <c r="M36223" s="49">
        <f>IF($A$4+362&gt;$B$4,"",$A$4+362)</f>
        <v>46385</v>
      </c>
      <c r="N36223" t="str">
        <f>IF(M36223="","",'Master Barang'!A17)</f>
        <v>PRL-016</v>
      </c>
      <c r="O36223" t="str">
        <f>IF(N36223="","",'Master Barang'!B17)</f>
        <v>rajawali trashbag 30x40</v>
      </c>
      <c r="P36223">
        <f>IF(OR(M36223="",N36223=""),"",SUMIFS('Barang Keluar'!$E:$E,'Barang Keluar'!$A:$A,M36223,'Barang Keluar'!$C:$C,N36223))</f>
        <v>0</v>
      </c>
    </row>
    <row r="36224" spans="13:16">
      <c r="M36224" s="49">
        <f>IF($A$4+362&gt;$B$4,"",$A$4+362)</f>
        <v>46385</v>
      </c>
      <c r="N36224" t="str">
        <f>IF(M36224="","",'Master Barang'!A18)</f>
        <v>PRL-017</v>
      </c>
      <c r="O36224" t="str">
        <f>IF(N36224="","",'Master Barang'!B18)</f>
        <v>onemed masker biru 3 play 50 pcs</v>
      </c>
      <c r="P36224">
        <f>IF(OR(M36224="",N36224=""),"",SUMIFS('Barang Keluar'!$E:$E,'Barang Keluar'!$A:$A,M36224,'Barang Keluar'!$C:$C,N36224))</f>
        <v>0</v>
      </c>
    </row>
    <row r="36225" spans="13:16">
      <c r="M36225" s="49">
        <f>IF($A$4+362&gt;$B$4,"",$A$4+362)</f>
        <v>46385</v>
      </c>
      <c r="N36225" t="str">
        <f>IF(M36225="","",'Master Barang'!A19)</f>
        <v>PRL-018</v>
      </c>
      <c r="O36225" t="str">
        <f>IF(N36225="","",'Master Barang'!B19)</f>
        <v>onemed masker biru 3 play hijab 50 pcs</v>
      </c>
      <c r="P36225">
        <f>IF(OR(M36225="",N36225=""),"",SUMIFS('Barang Keluar'!$E:$E,'Barang Keluar'!$A:$A,M36225,'Barang Keluar'!$C:$C,N36225))</f>
        <v>0</v>
      </c>
    </row>
    <row r="36226" spans="13:16">
      <c r="M36226" s="49">
        <f>IF($A$4+362&gt;$B$4,"",$A$4+362)</f>
        <v>46385</v>
      </c>
      <c r="N36226" t="str">
        <f>IF(M36226="","",'Master Barang'!A20)</f>
        <v>PRL-019</v>
      </c>
      <c r="O36226" t="str">
        <f>IF(N36226="","",'Master Barang'!B20)</f>
        <v>neo health masker biru 3 play 50 pcs</v>
      </c>
      <c r="P36226">
        <f>IF(OR(M36226="",N36226=""),"",SUMIFS('Barang Keluar'!$E:$E,'Barang Keluar'!$A:$A,M36226,'Barang Keluar'!$C:$C,N36226))</f>
        <v>0</v>
      </c>
    </row>
    <row r="36227" spans="13:16">
      <c r="M36227" s="49">
        <f>IF($A$4+362&gt;$B$4,"",$A$4+362)</f>
        <v>46385</v>
      </c>
      <c r="N36227" t="str">
        <f>IF(M36227="","",'Master Barang'!A21)</f>
        <v>PRL-020</v>
      </c>
      <c r="O36227" t="str">
        <f>IF(N36227="","",'Master Barang'!B21)</f>
        <v>baymed masker hijau 3 play hijau 50 pcs</v>
      </c>
      <c r="P36227">
        <f>IF(OR(M36227="",N36227=""),"",SUMIFS('Barang Keluar'!$E:$E,'Barang Keluar'!$A:$A,M36227,'Barang Keluar'!$C:$C,N36227))</f>
        <v>0</v>
      </c>
    </row>
    <row r="36228" spans="13:16">
      <c r="M36228" s="49">
        <f>IF($A$4+362&gt;$B$4,"",$A$4+362)</f>
        <v>46385</v>
      </c>
      <c r="N36228" t="str">
        <f>IF(M36228="","",'Master Barang'!A22)</f>
        <v>PRL-021</v>
      </c>
      <c r="O36228" t="str">
        <f>IF(N36228="","",'Master Barang'!B22)</f>
        <v>altamed nurse cap penutup kepala 100 pcs</v>
      </c>
      <c r="P36228">
        <f>IF(OR(M36228="",N36228=""),"",SUMIFS('Barang Keluar'!$E:$E,'Barang Keluar'!$A:$A,M36228,'Barang Keluar'!$C:$C,N36228))</f>
        <v>0</v>
      </c>
    </row>
    <row r="36229" spans="13:16">
      <c r="M36229" s="49">
        <f>IF($A$4+362&gt;$B$4,"",$A$4+362)</f>
        <v>46385</v>
      </c>
      <c r="N36229" t="str">
        <f>IF(M36229="","",'Master Barang'!A23)</f>
        <v>PRL-022</v>
      </c>
      <c r="O36229" t="str">
        <f>IF(N36229="","",'Master Barang'!B23)</f>
        <v>sabun cuci tangan</v>
      </c>
      <c r="P36229">
        <f>IF(OR(M36229="",N36229=""),"",SUMIFS('Barang Keluar'!$E:$E,'Barang Keluar'!$A:$A,M36229,'Barang Keluar'!$C:$C,N36229))</f>
        <v>0</v>
      </c>
    </row>
    <row r="36230" spans="13:16">
      <c r="M36230" s="49">
        <f>IF($A$4+362&gt;$B$4,"",$A$4+362)</f>
        <v>46385</v>
      </c>
      <c r="N36230" t="str">
        <f>IF(M36230="","",'Master Barang'!A24)</f>
        <v>PRL-023</v>
      </c>
      <c r="O36230" t="str">
        <f>IF(N36230="","",'Master Barang'!B24)</f>
        <v>gayung kecil</v>
      </c>
      <c r="P36230">
        <f>IF(OR(M36230="",N36230=""),"",SUMIFS('Barang Keluar'!$E:$E,'Barang Keluar'!$A:$A,M36230,'Barang Keluar'!$C:$C,N36230))</f>
        <v>0</v>
      </c>
    </row>
    <row r="36231" spans="13:16">
      <c r="M36231" s="49">
        <f>IF($A$4+362&gt;$B$4,"",$A$4+362)</f>
        <v>46385</v>
      </c>
      <c r="N36231" t="str">
        <f>IF(M36231="","",'Master Barang'!A25)</f>
        <v>PRL-024</v>
      </c>
      <c r="O36231" t="str">
        <f>IF(N36231="","",'Master Barang'!B25)</f>
        <v>cikrak kecil</v>
      </c>
      <c r="P36231">
        <f>IF(OR(M36231="",N36231=""),"",SUMIFS('Barang Keluar'!$E:$E,'Barang Keluar'!$A:$A,M36231,'Barang Keluar'!$C:$C,N36231))</f>
        <v>0</v>
      </c>
    </row>
    <row r="36232" spans="13:16">
      <c r="M36232" s="49">
        <f>IF($A$4+362&gt;$B$4,"",$A$4+362)</f>
        <v>46385</v>
      </c>
      <c r="N36232" t="str">
        <f>IF(M36232="","",'Master Barang'!A26)</f>
        <v>PRL-025</v>
      </c>
      <c r="O36232" t="str">
        <f>IF(N36232="","",'Master Barang'!B26)</f>
        <v>petromax plastik kecil 12x24 100 lembar</v>
      </c>
      <c r="P36232">
        <f>IF(OR(M36232="",N36232=""),"",SUMIFS('Barang Keluar'!$E:$E,'Barang Keluar'!$A:$A,M36232,'Barang Keluar'!$C:$C,N36232))</f>
        <v>0</v>
      </c>
    </row>
    <row r="36233" spans="13:16">
      <c r="M36233" s="49">
        <f>IF($A$4+362&gt;$B$4,"",$A$4+362)</f>
        <v>46385</v>
      </c>
      <c r="N36233" t="str">
        <f>IF(M36233="","",'Master Barang'!A27)</f>
        <v>PRL-026</v>
      </c>
      <c r="O36233" t="str">
        <f>IF(N36233="","",'Master Barang'!B27)</f>
        <v>lancar kresek kecil bening </v>
      </c>
      <c r="P36233">
        <f>IF(OR(M36233="",N36233=""),"",SUMIFS('Barang Keluar'!$E:$E,'Barang Keluar'!$A:$A,M36233,'Barang Keluar'!$C:$C,N36233))</f>
        <v>0</v>
      </c>
    </row>
    <row r="36234" spans="13:16">
      <c r="M36234" s="49">
        <f>IF($A$4+362&gt;$B$4,"",$A$4+362)</f>
        <v>46385</v>
      </c>
      <c r="N36234" t="str">
        <f>IF(M36234="","",'Master Barang'!A28)</f>
        <v>PRL-027</v>
      </c>
      <c r="O36234" t="str">
        <f>IF(N36234="","",'Master Barang'!B28)</f>
        <v>kresek klin warna warni kecil</v>
      </c>
      <c r="P36234">
        <f>IF(OR(M36234="",N36234=""),"",SUMIFS('Barang Keluar'!$E:$E,'Barang Keluar'!$A:$A,M36234,'Barang Keluar'!$C:$C,N36234))</f>
        <v>0</v>
      </c>
    </row>
    <row r="36235" spans="13:16">
      <c r="M36235" s="49">
        <f>IF($A$4+362&gt;$B$4,"",$A$4+362)</f>
        <v>46385</v>
      </c>
      <c r="N36235" t="str">
        <f>IF(M36235="","",'Master Barang'!A29)</f>
        <v>PRL-028</v>
      </c>
      <c r="O36235" t="str">
        <f>IF(N36235="","",'Master Barang'!B29)</f>
        <v>ctik plastik 7x10 100 pcs</v>
      </c>
      <c r="P36235">
        <f>IF(OR(M36235="",N36235=""),"",SUMIFS('Barang Keluar'!$E:$E,'Barang Keluar'!$A:$A,M36235,'Barang Keluar'!$C:$C,N36235))</f>
        <v>0</v>
      </c>
    </row>
    <row r="36236" spans="13:16">
      <c r="M36236" s="49">
        <f>IF($A$4+362&gt;$B$4,"",$A$4+362)</f>
        <v>46385</v>
      </c>
      <c r="N36236" t="str">
        <f>IF(M36236="","",'Master Barang'!A30)</f>
        <v>PRL-029</v>
      </c>
      <c r="O36236" t="str">
        <f>IF(N36236="","",'Master Barang'!B30)</f>
        <v>ctik plastik 6x10 100 pcs</v>
      </c>
      <c r="P36236">
        <f>IF(OR(M36236="",N36236=""),"",SUMIFS('Barang Keluar'!$E:$E,'Barang Keluar'!$A:$A,M36236,'Barang Keluar'!$C:$C,N36236))</f>
        <v>0</v>
      </c>
    </row>
    <row r="36237" spans="13:16">
      <c r="M36237" s="49">
        <f>IF($A$4+362&gt;$B$4,"",$A$4+362)</f>
        <v>46385</v>
      </c>
      <c r="N36237" t="str">
        <f>IF(M36237="","",'Master Barang'!A31)</f>
        <v>PRL-030</v>
      </c>
      <c r="O36237" t="str">
        <f>IF(N36237="","",'Master Barang'!B31)</f>
        <v>klip plastik 25x16 100 pcs</v>
      </c>
      <c r="P36237">
        <f>IF(OR(M36237="",N36237=""),"",SUMIFS('Barang Keluar'!$E:$E,'Barang Keluar'!$A:$A,M36237,'Barang Keluar'!$C:$C,N36237))</f>
        <v>0</v>
      </c>
    </row>
    <row r="36238" spans="13:16">
      <c r="M36238" s="49">
        <f>IF($A$4+362&gt;$B$4,"",$A$4+362)</f>
        <v>46385</v>
      </c>
      <c r="N36238" t="str">
        <f>IF(M36238="","",'Master Barang'!A32)</f>
        <v>PRL-031</v>
      </c>
      <c r="O36238" t="str">
        <f>IF(N36238="","",'Master Barang'!B32)</f>
        <v>tempat saus 20 ml</v>
      </c>
      <c r="P36238">
        <f>IF(OR(M36238="",N36238=""),"",SUMIFS('Barang Keluar'!$E:$E,'Barang Keluar'!$A:$A,M36238,'Barang Keluar'!$C:$C,N36238))</f>
        <v>0</v>
      </c>
    </row>
    <row r="36239" spans="13:16">
      <c r="M36239" s="49">
        <f>IF($A$4+362&gt;$B$4,"",$A$4+362)</f>
        <v>46385</v>
      </c>
      <c r="N36239" t="str">
        <f>IF(M36239="","",'Master Barang'!A33)</f>
        <v>PRL-032</v>
      </c>
      <c r="O36239" t="str">
        <f>IF(N36239="","",'Master Barang'!B33)</f>
        <v>plastik packaging ag box uk sedang</v>
      </c>
      <c r="P36239">
        <f>IF(OR(M36239="",N36239=""),"",SUMIFS('Barang Keluar'!$E:$E,'Barang Keluar'!$A:$A,M36239,'Barang Keluar'!$C:$C,N36239))</f>
        <v>0</v>
      </c>
    </row>
    <row r="36240" spans="13:16">
      <c r="M36240" s="49">
        <f>IF($A$4+362&gt;$B$4,"",$A$4+362)</f>
        <v>46385</v>
      </c>
      <c r="N36240" t="str">
        <f>IF(M36240="","",'Master Barang'!A34)</f>
        <v>PRL-033</v>
      </c>
      <c r="O36240">
        <f>IF(N36240="","",'Master Barang'!B34)</f>
        <v>0</v>
      </c>
      <c r="P36240">
        <f>IF(OR(M36240="",N36240=""),"",SUMIFS('Barang Keluar'!$E:$E,'Barang Keluar'!$A:$A,M36240,'Barang Keluar'!$C:$C,N36240))</f>
        <v>0</v>
      </c>
    </row>
    <row r="36241" spans="13:16">
      <c r="M36241" s="49">
        <f>IF($A$4+362&gt;$B$4,"",$A$4+362)</f>
        <v>46385</v>
      </c>
      <c r="N36241">
        <f>IF(M36241="","",'Master Barang'!A35)</f>
        <v>0</v>
      </c>
      <c r="O36241">
        <f>IF(N36241="","",'Master Barang'!B35)</f>
        <v>0</v>
      </c>
      <c r="P36241">
        <f>IF(OR(M36241="",N36241=""),"",SUMIFS('Barang Keluar'!$E:$E,'Barang Keluar'!$A:$A,M36241,'Barang Keluar'!$C:$C,N36241))</f>
        <v>0</v>
      </c>
    </row>
    <row r="36242" spans="13:16">
      <c r="M36242" s="49">
        <f>IF($A$4+362&gt;$B$4,"",$A$4+362)</f>
        <v>46385</v>
      </c>
      <c r="N36242">
        <f>IF(M36242="","",'Master Barang'!A36)</f>
        <v>0</v>
      </c>
      <c r="O36242">
        <f>IF(N36242="","",'Master Barang'!B36)</f>
        <v>0</v>
      </c>
      <c r="P36242">
        <f>IF(OR(M36242="",N36242=""),"",SUMIFS('Barang Keluar'!$E:$E,'Barang Keluar'!$A:$A,M36242,'Barang Keluar'!$C:$C,N36242))</f>
        <v>0</v>
      </c>
    </row>
    <row r="36243" spans="13:16">
      <c r="M36243" s="49">
        <f>IF($A$4+362&gt;$B$4,"",$A$4+362)</f>
        <v>46385</v>
      </c>
      <c r="N36243">
        <f>IF(M36243="","",'Master Barang'!A37)</f>
        <v>0</v>
      </c>
      <c r="O36243">
        <f>IF(N36243="","",'Master Barang'!B37)</f>
        <v>0</v>
      </c>
      <c r="P36243">
        <f>IF(OR(M36243="",N36243=""),"",SUMIFS('Barang Keluar'!$E:$E,'Barang Keluar'!$A:$A,M36243,'Barang Keluar'!$C:$C,N36243))</f>
        <v>0</v>
      </c>
    </row>
    <row r="36244" spans="13:16">
      <c r="M36244" s="49">
        <f>IF($A$4+362&gt;$B$4,"",$A$4+362)</f>
        <v>46385</v>
      </c>
      <c r="N36244">
        <f>IF(M36244="","",'Master Barang'!A38)</f>
        <v>0</v>
      </c>
      <c r="O36244">
        <f>IF(N36244="","",'Master Barang'!B38)</f>
        <v>0</v>
      </c>
      <c r="P36244">
        <f>IF(OR(M36244="",N36244=""),"",SUMIFS('Barang Keluar'!$E:$E,'Barang Keluar'!$A:$A,M36244,'Barang Keluar'!$C:$C,N36244))</f>
        <v>0</v>
      </c>
    </row>
    <row r="36245" spans="13:16">
      <c r="M36245" s="49">
        <f>IF($A$4+362&gt;$B$4,"",$A$4+362)</f>
        <v>46385</v>
      </c>
      <c r="N36245">
        <f>IF(M36245="","",'Master Barang'!A39)</f>
        <v>0</v>
      </c>
      <c r="O36245">
        <f>IF(N36245="","",'Master Barang'!B39)</f>
        <v>0</v>
      </c>
      <c r="P36245">
        <f>IF(OR(M36245="",N36245=""),"",SUMIFS('Barang Keluar'!$E:$E,'Barang Keluar'!$A:$A,M36245,'Barang Keluar'!$C:$C,N36245))</f>
        <v>0</v>
      </c>
    </row>
    <row r="36246" spans="13:16">
      <c r="M36246" s="49">
        <f>IF($A$4+362&gt;$B$4,"",$A$4+362)</f>
        <v>46385</v>
      </c>
      <c r="N36246">
        <f>IF(M36246="","",'Master Barang'!A40)</f>
        <v>0</v>
      </c>
      <c r="O36246">
        <f>IF(N36246="","",'Master Barang'!B40)</f>
        <v>0</v>
      </c>
      <c r="P36246">
        <f>IF(OR(M36246="",N36246=""),"",SUMIFS('Barang Keluar'!$E:$E,'Barang Keluar'!$A:$A,M36246,'Barang Keluar'!$C:$C,N36246))</f>
        <v>0</v>
      </c>
    </row>
    <row r="36247" spans="13:16">
      <c r="M36247" s="49">
        <f>IF($A$4+362&gt;$B$4,"",$A$4+362)</f>
        <v>46385</v>
      </c>
      <c r="N36247">
        <f>IF(M36247="","",'Master Barang'!A41)</f>
        <v>0</v>
      </c>
      <c r="O36247">
        <f>IF(N36247="","",'Master Barang'!B41)</f>
        <v>0</v>
      </c>
      <c r="P36247">
        <f>IF(OR(M36247="",N36247=""),"",SUMIFS('Barang Keluar'!$E:$E,'Barang Keluar'!$A:$A,M36247,'Barang Keluar'!$C:$C,N36247))</f>
        <v>0</v>
      </c>
    </row>
    <row r="36248" spans="13:16">
      <c r="M36248" s="49">
        <f>IF($A$4+362&gt;$B$4,"",$A$4+362)</f>
        <v>46385</v>
      </c>
      <c r="N36248">
        <f>IF(M36248="","",'Master Barang'!A42)</f>
        <v>0</v>
      </c>
      <c r="O36248">
        <f>IF(N36248="","",'Master Barang'!B42)</f>
        <v>0</v>
      </c>
      <c r="P36248">
        <f>IF(OR(M36248="",N36248=""),"",SUMIFS('Barang Keluar'!$E:$E,'Barang Keluar'!$A:$A,M36248,'Barang Keluar'!$C:$C,N36248))</f>
        <v>0</v>
      </c>
    </row>
    <row r="36249" spans="13:16">
      <c r="M36249" s="49">
        <f>IF($A$4+362&gt;$B$4,"",$A$4+362)</f>
        <v>46385</v>
      </c>
      <c r="N36249">
        <f>IF(M36249="","",'Master Barang'!A43)</f>
        <v>0</v>
      </c>
      <c r="O36249">
        <f>IF(N36249="","",'Master Barang'!B43)</f>
        <v>0</v>
      </c>
      <c r="P36249">
        <f>IF(OR(M36249="",N36249=""),"",SUMIFS('Barang Keluar'!$E:$E,'Barang Keluar'!$A:$A,M36249,'Barang Keluar'!$C:$C,N36249))</f>
        <v>0</v>
      </c>
    </row>
    <row r="36250" spans="13:16">
      <c r="M36250" s="49">
        <f>IF($A$4+362&gt;$B$4,"",$A$4+362)</f>
        <v>46385</v>
      </c>
      <c r="N36250">
        <f>IF(M36250="","",'Master Barang'!A44)</f>
        <v>0</v>
      </c>
      <c r="O36250">
        <f>IF(N36250="","",'Master Barang'!B44)</f>
        <v>0</v>
      </c>
      <c r="P36250">
        <f>IF(OR(M36250="",N36250=""),"",SUMIFS('Barang Keluar'!$E:$E,'Barang Keluar'!$A:$A,M36250,'Barang Keluar'!$C:$C,N36250))</f>
        <v>0</v>
      </c>
    </row>
    <row r="36251" spans="13:16">
      <c r="M36251" s="49">
        <f>IF($A$4+362&gt;$B$4,"",$A$4+362)</f>
        <v>46385</v>
      </c>
      <c r="N36251">
        <f>IF(M36251="","",'Master Barang'!A45)</f>
        <v>0</v>
      </c>
      <c r="O36251">
        <f>IF(N36251="","",'Master Barang'!B45)</f>
        <v>0</v>
      </c>
      <c r="P36251">
        <f>IF(OR(M36251="",N36251=""),"",SUMIFS('Barang Keluar'!$E:$E,'Barang Keluar'!$A:$A,M36251,'Barang Keluar'!$C:$C,N36251))</f>
        <v>0</v>
      </c>
    </row>
    <row r="36252" spans="13:16">
      <c r="M36252" s="49">
        <f>IF($A$4+362&gt;$B$4,"",$A$4+362)</f>
        <v>46385</v>
      </c>
      <c r="N36252">
        <f>IF(M36252="","",'Master Barang'!A46)</f>
        <v>0</v>
      </c>
      <c r="O36252">
        <f>IF(N36252="","",'Master Barang'!B46)</f>
        <v>0</v>
      </c>
      <c r="P36252">
        <f>IF(OR(M36252="",N36252=""),"",SUMIFS('Barang Keluar'!$E:$E,'Barang Keluar'!$A:$A,M36252,'Barang Keluar'!$C:$C,N36252))</f>
        <v>0</v>
      </c>
    </row>
    <row r="36253" spans="13:16">
      <c r="M36253" s="49">
        <f>IF($A$4+362&gt;$B$4,"",$A$4+362)</f>
        <v>46385</v>
      </c>
      <c r="N36253">
        <f>IF(M36253="","",'Master Barang'!A47)</f>
        <v>0</v>
      </c>
      <c r="O36253">
        <f>IF(N36253="","",'Master Barang'!B47)</f>
        <v>0</v>
      </c>
      <c r="P36253">
        <f>IF(OR(M36253="",N36253=""),"",SUMIFS('Barang Keluar'!$E:$E,'Barang Keluar'!$A:$A,M36253,'Barang Keluar'!$C:$C,N36253))</f>
        <v>0</v>
      </c>
    </row>
    <row r="36254" spans="13:16">
      <c r="M36254" s="49">
        <f>IF($A$4+362&gt;$B$4,"",$A$4+362)</f>
        <v>46385</v>
      </c>
      <c r="N36254">
        <f>IF(M36254="","",'Master Barang'!A48)</f>
        <v>0</v>
      </c>
      <c r="O36254">
        <f>IF(N36254="","",'Master Barang'!B48)</f>
        <v>0</v>
      </c>
      <c r="P36254">
        <f>IF(OR(M36254="",N36254=""),"",SUMIFS('Barang Keluar'!$E:$E,'Barang Keluar'!$A:$A,M36254,'Barang Keluar'!$C:$C,N36254))</f>
        <v>0</v>
      </c>
    </row>
    <row r="36255" spans="13:16">
      <c r="M36255" s="49">
        <f>IF($A$4+362&gt;$B$4,"",$A$4+362)</f>
        <v>46385</v>
      </c>
      <c r="N36255">
        <f>IF(M36255="","",'Master Barang'!A49)</f>
        <v>0</v>
      </c>
      <c r="O36255">
        <f>IF(N36255="","",'Master Barang'!B49)</f>
        <v>0</v>
      </c>
      <c r="P36255">
        <f>IF(OR(M36255="",N36255=""),"",SUMIFS('Barang Keluar'!$E:$E,'Barang Keluar'!$A:$A,M36255,'Barang Keluar'!$C:$C,N36255))</f>
        <v>0</v>
      </c>
    </row>
    <row r="36256" spans="13:16">
      <c r="M36256" s="49">
        <f>IF($A$4+362&gt;$B$4,"",$A$4+362)</f>
        <v>46385</v>
      </c>
      <c r="N36256">
        <f>IF(M36256="","",'Master Barang'!A50)</f>
        <v>0</v>
      </c>
      <c r="O36256">
        <f>IF(N36256="","",'Master Barang'!B50)</f>
        <v>0</v>
      </c>
      <c r="P36256">
        <f>IF(OR(M36256="",N36256=""),"",SUMIFS('Barang Keluar'!$E:$E,'Barang Keluar'!$A:$A,M36256,'Barang Keluar'!$C:$C,N36256))</f>
        <v>0</v>
      </c>
    </row>
    <row r="36257" spans="13:16">
      <c r="M36257" s="49">
        <f>IF($A$4+362&gt;$B$4,"",$A$4+362)</f>
        <v>46385</v>
      </c>
      <c r="N36257">
        <f>IF(M36257="","",'Master Barang'!A51)</f>
        <v>0</v>
      </c>
      <c r="O36257">
        <f>IF(N36257="","",'Master Barang'!B51)</f>
        <v>0</v>
      </c>
      <c r="P36257">
        <f>IF(OR(M36257="",N36257=""),"",SUMIFS('Barang Keluar'!$E:$E,'Barang Keluar'!$A:$A,M36257,'Barang Keluar'!$C:$C,N36257))</f>
        <v>0</v>
      </c>
    </row>
    <row r="36258" spans="13:16">
      <c r="M36258" s="49">
        <f>IF($A$4+362&gt;$B$4,"",$A$4+362)</f>
        <v>46385</v>
      </c>
      <c r="N36258">
        <f>IF(M36258="","",'Master Barang'!A52)</f>
        <v>0</v>
      </c>
      <c r="O36258">
        <f>IF(N36258="","",'Master Barang'!B52)</f>
        <v>0</v>
      </c>
      <c r="P36258">
        <f>IF(OR(M36258="",N36258=""),"",SUMIFS('Barang Keluar'!$E:$E,'Barang Keluar'!$A:$A,M36258,'Barang Keluar'!$C:$C,N36258))</f>
        <v>0</v>
      </c>
    </row>
    <row r="36259" spans="13:16">
      <c r="M36259" s="49">
        <f>IF($A$4+362&gt;$B$4,"",$A$4+362)</f>
        <v>46385</v>
      </c>
      <c r="N36259">
        <f>IF(M36259="","",'Master Barang'!A53)</f>
        <v>0</v>
      </c>
      <c r="O36259">
        <f>IF(N36259="","",'Master Barang'!B53)</f>
        <v>0</v>
      </c>
      <c r="P36259">
        <f>IF(OR(M36259="",N36259=""),"",SUMIFS('Barang Keluar'!$E:$E,'Barang Keluar'!$A:$A,M36259,'Barang Keluar'!$C:$C,N36259))</f>
        <v>0</v>
      </c>
    </row>
    <row r="36260" spans="13:16">
      <c r="M36260" s="49">
        <f>IF($A$4+362&gt;$B$4,"",$A$4+362)</f>
        <v>46385</v>
      </c>
      <c r="N36260">
        <f>IF(M36260="","",'Master Barang'!A54)</f>
        <v>0</v>
      </c>
      <c r="O36260">
        <f>IF(N36260="","",'Master Barang'!B54)</f>
        <v>0</v>
      </c>
      <c r="P36260">
        <f>IF(OR(M36260="",N36260=""),"",SUMIFS('Barang Keluar'!$E:$E,'Barang Keluar'!$A:$A,M36260,'Barang Keluar'!$C:$C,N36260))</f>
        <v>0</v>
      </c>
    </row>
    <row r="36261" spans="13:16">
      <c r="M36261" s="49">
        <f>IF($A$4+362&gt;$B$4,"",$A$4+362)</f>
        <v>46385</v>
      </c>
      <c r="N36261">
        <f>IF(M36261="","",'Master Barang'!A55)</f>
        <v>0</v>
      </c>
      <c r="O36261">
        <f>IF(N36261="","",'Master Barang'!B55)</f>
        <v>0</v>
      </c>
      <c r="P36261">
        <f>IF(OR(M36261="",N36261=""),"",SUMIFS('Barang Keluar'!$E:$E,'Barang Keluar'!$A:$A,M36261,'Barang Keluar'!$C:$C,N36261))</f>
        <v>0</v>
      </c>
    </row>
    <row r="36262" spans="13:16">
      <c r="M36262" s="49">
        <f>IF($A$4+362&gt;$B$4,"",$A$4+362)</f>
        <v>46385</v>
      </c>
      <c r="N36262">
        <f>IF(M36262="","",'Master Barang'!A56)</f>
        <v>0</v>
      </c>
      <c r="O36262">
        <f>IF(N36262="","",'Master Barang'!B56)</f>
        <v>0</v>
      </c>
      <c r="P36262">
        <f>IF(OR(M36262="",N36262=""),"",SUMIFS('Barang Keluar'!$E:$E,'Barang Keluar'!$A:$A,M36262,'Barang Keluar'!$C:$C,N36262))</f>
        <v>0</v>
      </c>
    </row>
    <row r="36263" spans="13:16">
      <c r="M36263" s="49">
        <f>IF($A$4+362&gt;$B$4,"",$A$4+362)</f>
        <v>46385</v>
      </c>
      <c r="N36263">
        <f>IF(M36263="","",'Master Barang'!A57)</f>
        <v>0</v>
      </c>
      <c r="O36263">
        <f>IF(N36263="","",'Master Barang'!B57)</f>
        <v>0</v>
      </c>
      <c r="P36263">
        <f>IF(OR(M36263="",N36263=""),"",SUMIFS('Barang Keluar'!$E:$E,'Barang Keluar'!$A:$A,M36263,'Barang Keluar'!$C:$C,N36263))</f>
        <v>0</v>
      </c>
    </row>
    <row r="36264" spans="13:16">
      <c r="M36264" s="49">
        <f>IF($A$4+362&gt;$B$4,"",$A$4+362)</f>
        <v>46385</v>
      </c>
      <c r="N36264">
        <f>IF(M36264="","",'Master Barang'!A58)</f>
        <v>0</v>
      </c>
      <c r="O36264">
        <f>IF(N36264="","",'Master Barang'!B58)</f>
        <v>0</v>
      </c>
      <c r="P36264">
        <f>IF(OR(M36264="",N36264=""),"",SUMIFS('Barang Keluar'!$E:$E,'Barang Keluar'!$A:$A,M36264,'Barang Keluar'!$C:$C,N36264))</f>
        <v>0</v>
      </c>
    </row>
    <row r="36265" spans="13:16">
      <c r="M36265" s="49">
        <f>IF($A$4+362&gt;$B$4,"",$A$4+362)</f>
        <v>46385</v>
      </c>
      <c r="N36265">
        <f>IF(M36265="","",'Master Barang'!A59)</f>
        <v>0</v>
      </c>
      <c r="O36265">
        <f>IF(N36265="","",'Master Barang'!B59)</f>
        <v>0</v>
      </c>
      <c r="P36265">
        <f>IF(OR(M36265="",N36265=""),"",SUMIFS('Barang Keluar'!$E:$E,'Barang Keluar'!$A:$A,M36265,'Barang Keluar'!$C:$C,N36265))</f>
        <v>0</v>
      </c>
    </row>
    <row r="36266" spans="13:16">
      <c r="M36266" s="49">
        <f>IF($A$4+362&gt;$B$4,"",$A$4+362)</f>
        <v>46385</v>
      </c>
      <c r="N36266">
        <f>IF(M36266="","",'Master Barang'!A60)</f>
        <v>0</v>
      </c>
      <c r="O36266">
        <f>IF(N36266="","",'Master Barang'!B60)</f>
        <v>0</v>
      </c>
      <c r="P36266">
        <f>IF(OR(M36266="",N36266=""),"",SUMIFS('Barang Keluar'!$E:$E,'Barang Keluar'!$A:$A,M36266,'Barang Keluar'!$C:$C,N36266))</f>
        <v>0</v>
      </c>
    </row>
    <row r="36267" spans="13:16">
      <c r="M36267" s="49">
        <f>IF($A$4+362&gt;$B$4,"",$A$4+362)</f>
        <v>46385</v>
      </c>
      <c r="N36267">
        <f>IF(M36267="","",'Master Barang'!A61)</f>
        <v>0</v>
      </c>
      <c r="O36267">
        <f>IF(N36267="","",'Master Barang'!B61)</f>
        <v>0</v>
      </c>
      <c r="P36267">
        <f>IF(OR(M36267="",N36267=""),"",SUMIFS('Barang Keluar'!$E:$E,'Barang Keluar'!$A:$A,M36267,'Barang Keluar'!$C:$C,N36267))</f>
        <v>0</v>
      </c>
    </row>
    <row r="36268" spans="13:16">
      <c r="M36268" s="49">
        <f>IF($A$4+362&gt;$B$4,"",$A$4+362)</f>
        <v>46385</v>
      </c>
      <c r="N36268">
        <f>IF(M36268="","",'Master Barang'!A62)</f>
        <v>0</v>
      </c>
      <c r="O36268">
        <f>IF(N36268="","",'Master Barang'!B62)</f>
        <v>0</v>
      </c>
      <c r="P36268">
        <f>IF(OR(M36268="",N36268=""),"",SUMIFS('Barang Keluar'!$E:$E,'Barang Keluar'!$A:$A,M36268,'Barang Keluar'!$C:$C,N36268))</f>
        <v>0</v>
      </c>
    </row>
    <row r="36269" spans="13:16">
      <c r="M36269" s="49">
        <f>IF($A$4+362&gt;$B$4,"",$A$4+362)</f>
        <v>46385</v>
      </c>
      <c r="N36269">
        <f>IF(M36269="","",'Master Barang'!A63)</f>
        <v>0</v>
      </c>
      <c r="O36269">
        <f>IF(N36269="","",'Master Barang'!B63)</f>
        <v>0</v>
      </c>
      <c r="P36269">
        <f>IF(OR(M36269="",N36269=""),"",SUMIFS('Barang Keluar'!$E:$E,'Barang Keluar'!$A:$A,M36269,'Barang Keluar'!$C:$C,N36269))</f>
        <v>0</v>
      </c>
    </row>
    <row r="36270" spans="13:16">
      <c r="M36270" s="49">
        <f>IF($A$4+362&gt;$B$4,"",$A$4+362)</f>
        <v>46385</v>
      </c>
      <c r="N36270">
        <f>IF(M36270="","",'Master Barang'!A64)</f>
        <v>0</v>
      </c>
      <c r="O36270">
        <f>IF(N36270="","",'Master Barang'!B64)</f>
        <v>0</v>
      </c>
      <c r="P36270">
        <f>IF(OR(M36270="",N36270=""),"",SUMIFS('Barang Keluar'!$E:$E,'Barang Keluar'!$A:$A,M36270,'Barang Keluar'!$C:$C,N36270))</f>
        <v>0</v>
      </c>
    </row>
    <row r="36271" spans="13:16">
      <c r="M36271" s="49">
        <f>IF($A$4+362&gt;$B$4,"",$A$4+362)</f>
        <v>46385</v>
      </c>
      <c r="N36271">
        <f>IF(M36271="","",'Master Barang'!A65)</f>
        <v>0</v>
      </c>
      <c r="O36271">
        <f>IF(N36271="","",'Master Barang'!B65)</f>
        <v>0</v>
      </c>
      <c r="P36271">
        <f>IF(OR(M36271="",N36271=""),"",SUMIFS('Barang Keluar'!$E:$E,'Barang Keluar'!$A:$A,M36271,'Barang Keluar'!$C:$C,N36271))</f>
        <v>0</v>
      </c>
    </row>
    <row r="36272" spans="13:16">
      <c r="M36272" s="49">
        <f>IF($A$4+362&gt;$B$4,"",$A$4+362)</f>
        <v>46385</v>
      </c>
      <c r="N36272">
        <f>IF(M36272="","",'Master Barang'!A66)</f>
        <v>0</v>
      </c>
      <c r="O36272">
        <f>IF(N36272="","",'Master Barang'!B66)</f>
        <v>0</v>
      </c>
      <c r="P36272">
        <f>IF(OR(M36272="",N36272=""),"",SUMIFS('Barang Keluar'!$E:$E,'Barang Keluar'!$A:$A,M36272,'Barang Keluar'!$C:$C,N36272))</f>
        <v>0</v>
      </c>
    </row>
    <row r="36273" spans="13:16">
      <c r="M36273" s="49">
        <f>IF($A$4+362&gt;$B$4,"",$A$4+362)</f>
        <v>46385</v>
      </c>
      <c r="N36273">
        <f>IF(M36273="","",'Master Barang'!A67)</f>
        <v>0</v>
      </c>
      <c r="O36273">
        <f>IF(N36273="","",'Master Barang'!B67)</f>
        <v>0</v>
      </c>
      <c r="P36273">
        <f>IF(OR(M36273="",N36273=""),"",SUMIFS('Barang Keluar'!$E:$E,'Barang Keluar'!$A:$A,M36273,'Barang Keluar'!$C:$C,N36273))</f>
        <v>0</v>
      </c>
    </row>
    <row r="36274" spans="13:16">
      <c r="M36274" s="49">
        <f>IF($A$4+362&gt;$B$4,"",$A$4+362)</f>
        <v>46385</v>
      </c>
      <c r="N36274">
        <f>IF(M36274="","",'Master Barang'!A68)</f>
        <v>0</v>
      </c>
      <c r="O36274">
        <f>IF(N36274="","",'Master Barang'!B68)</f>
        <v>0</v>
      </c>
      <c r="P36274">
        <f>IF(OR(M36274="",N36274=""),"",SUMIFS('Barang Keluar'!$E:$E,'Barang Keluar'!$A:$A,M36274,'Barang Keluar'!$C:$C,N36274))</f>
        <v>0</v>
      </c>
    </row>
    <row r="36275" spans="13:16">
      <c r="M36275" s="49">
        <f>IF($A$4+362&gt;$B$4,"",$A$4+362)</f>
        <v>46385</v>
      </c>
      <c r="N36275">
        <f>IF(M36275="","",'Master Barang'!A69)</f>
        <v>0</v>
      </c>
      <c r="O36275">
        <f>IF(N36275="","",'Master Barang'!B69)</f>
        <v>0</v>
      </c>
      <c r="P36275">
        <f>IF(OR(M36275="",N36275=""),"",SUMIFS('Barang Keluar'!$E:$E,'Barang Keluar'!$A:$A,M36275,'Barang Keluar'!$C:$C,N36275))</f>
        <v>0</v>
      </c>
    </row>
    <row r="36276" spans="13:16">
      <c r="M36276" s="49">
        <f>IF($A$4+362&gt;$B$4,"",$A$4+362)</f>
        <v>46385</v>
      </c>
      <c r="N36276">
        <f>IF(M36276="","",'Master Barang'!A70)</f>
        <v>0</v>
      </c>
      <c r="O36276">
        <f>IF(N36276="","",'Master Barang'!B70)</f>
        <v>0</v>
      </c>
      <c r="P36276">
        <f>IF(OR(M36276="",N36276=""),"",SUMIFS('Barang Keluar'!$E:$E,'Barang Keluar'!$A:$A,M36276,'Barang Keluar'!$C:$C,N36276))</f>
        <v>0</v>
      </c>
    </row>
    <row r="36277" spans="13:16">
      <c r="M36277" s="49">
        <f>IF($A$4+362&gt;$B$4,"",$A$4+362)</f>
        <v>46385</v>
      </c>
      <c r="N36277">
        <f>IF(M36277="","",'Master Barang'!A71)</f>
        <v>0</v>
      </c>
      <c r="O36277">
        <f>IF(N36277="","",'Master Barang'!B71)</f>
        <v>0</v>
      </c>
      <c r="P36277">
        <f>IF(OR(M36277="",N36277=""),"",SUMIFS('Barang Keluar'!$E:$E,'Barang Keluar'!$A:$A,M36277,'Barang Keluar'!$C:$C,N36277))</f>
        <v>0</v>
      </c>
    </row>
    <row r="36278" spans="13:16">
      <c r="M36278" s="49">
        <f>IF($A$4+362&gt;$B$4,"",$A$4+362)</f>
        <v>46385</v>
      </c>
      <c r="N36278">
        <f>IF(M36278="","",'Master Barang'!A72)</f>
        <v>0</v>
      </c>
      <c r="O36278">
        <f>IF(N36278="","",'Master Barang'!B72)</f>
        <v>0</v>
      </c>
      <c r="P36278">
        <f>IF(OR(M36278="",N36278=""),"",SUMIFS('Barang Keluar'!$E:$E,'Barang Keluar'!$A:$A,M36278,'Barang Keluar'!$C:$C,N36278))</f>
        <v>0</v>
      </c>
    </row>
    <row r="36279" spans="13:16">
      <c r="M36279" s="49">
        <f>IF($A$4+362&gt;$B$4,"",$A$4+362)</f>
        <v>46385</v>
      </c>
      <c r="N36279">
        <f>IF(M36279="","",'Master Barang'!A73)</f>
        <v>0</v>
      </c>
      <c r="O36279">
        <f>IF(N36279="","",'Master Barang'!B73)</f>
        <v>0</v>
      </c>
      <c r="P36279">
        <f>IF(OR(M36279="",N36279=""),"",SUMIFS('Barang Keluar'!$E:$E,'Barang Keluar'!$A:$A,M36279,'Barang Keluar'!$C:$C,N36279))</f>
        <v>0</v>
      </c>
    </row>
    <row r="36280" spans="13:16">
      <c r="M36280" s="49">
        <f>IF($A$4+362&gt;$B$4,"",$A$4+362)</f>
        <v>46385</v>
      </c>
      <c r="N36280">
        <f>IF(M36280="","",'Master Barang'!A74)</f>
        <v>0</v>
      </c>
      <c r="O36280">
        <f>IF(N36280="","",'Master Barang'!B74)</f>
        <v>0</v>
      </c>
      <c r="P36280">
        <f>IF(OR(M36280="",N36280=""),"",SUMIFS('Barang Keluar'!$E:$E,'Barang Keluar'!$A:$A,M36280,'Barang Keluar'!$C:$C,N36280))</f>
        <v>0</v>
      </c>
    </row>
    <row r="36281" spans="13:16">
      <c r="M36281" s="49">
        <f>IF($A$4+362&gt;$B$4,"",$A$4+362)</f>
        <v>46385</v>
      </c>
      <c r="N36281">
        <f>IF(M36281="","",'Master Barang'!A75)</f>
        <v>0</v>
      </c>
      <c r="O36281">
        <f>IF(N36281="","",'Master Barang'!B75)</f>
        <v>0</v>
      </c>
      <c r="P36281">
        <f>IF(OR(M36281="",N36281=""),"",SUMIFS('Barang Keluar'!$E:$E,'Barang Keluar'!$A:$A,M36281,'Barang Keluar'!$C:$C,N36281))</f>
        <v>0</v>
      </c>
    </row>
    <row r="36282" spans="13:16">
      <c r="M36282" s="49">
        <f>IF($A$4+362&gt;$B$4,"",$A$4+362)</f>
        <v>46385</v>
      </c>
      <c r="N36282">
        <f>IF(M36282="","",'Master Barang'!A76)</f>
        <v>0</v>
      </c>
      <c r="O36282">
        <f>IF(N36282="","",'Master Barang'!B76)</f>
        <v>0</v>
      </c>
      <c r="P36282">
        <f>IF(OR(M36282="",N36282=""),"",SUMIFS('Barang Keluar'!$E:$E,'Barang Keluar'!$A:$A,M36282,'Barang Keluar'!$C:$C,N36282))</f>
        <v>0</v>
      </c>
    </row>
    <row r="36283" spans="13:16">
      <c r="M36283" s="49">
        <f>IF($A$4+362&gt;$B$4,"",$A$4+362)</f>
        <v>46385</v>
      </c>
      <c r="N36283">
        <f>IF(M36283="","",'Master Barang'!A77)</f>
        <v>0</v>
      </c>
      <c r="O36283">
        <f>IF(N36283="","",'Master Barang'!B77)</f>
        <v>0</v>
      </c>
      <c r="P36283">
        <f>IF(OR(M36283="",N36283=""),"",SUMIFS('Barang Keluar'!$E:$E,'Barang Keluar'!$A:$A,M36283,'Barang Keluar'!$C:$C,N36283))</f>
        <v>0</v>
      </c>
    </row>
    <row r="36284" spans="13:16">
      <c r="M36284" s="49">
        <f>IF($A$4+362&gt;$B$4,"",$A$4+362)</f>
        <v>46385</v>
      </c>
      <c r="N36284">
        <f>IF(M36284="","",'Master Barang'!A78)</f>
        <v>0</v>
      </c>
      <c r="O36284">
        <f>IF(N36284="","",'Master Barang'!B78)</f>
        <v>0</v>
      </c>
      <c r="P36284">
        <f>IF(OR(M36284="",N36284=""),"",SUMIFS('Barang Keluar'!$E:$E,'Barang Keluar'!$A:$A,M36284,'Barang Keluar'!$C:$C,N36284))</f>
        <v>0</v>
      </c>
    </row>
    <row r="36285" spans="13:16">
      <c r="M36285" s="49">
        <f>IF($A$4+362&gt;$B$4,"",$A$4+362)</f>
        <v>46385</v>
      </c>
      <c r="N36285">
        <f>IF(M36285="","",'Master Barang'!A79)</f>
        <v>0</v>
      </c>
      <c r="O36285">
        <f>IF(N36285="","",'Master Barang'!B79)</f>
        <v>0</v>
      </c>
      <c r="P36285">
        <f>IF(OR(M36285="",N36285=""),"",SUMIFS('Barang Keluar'!$E:$E,'Barang Keluar'!$A:$A,M36285,'Barang Keluar'!$C:$C,N36285))</f>
        <v>0</v>
      </c>
    </row>
    <row r="36286" spans="13:16">
      <c r="M36286" s="49">
        <f>IF($A$4+362&gt;$B$4,"",$A$4+362)</f>
        <v>46385</v>
      </c>
      <c r="N36286">
        <f>IF(M36286="","",'Master Barang'!A80)</f>
        <v>0</v>
      </c>
      <c r="O36286">
        <f>IF(N36286="","",'Master Barang'!B80)</f>
        <v>0</v>
      </c>
      <c r="P36286">
        <f>IF(OR(M36286="",N36286=""),"",SUMIFS('Barang Keluar'!$E:$E,'Barang Keluar'!$A:$A,M36286,'Barang Keluar'!$C:$C,N36286))</f>
        <v>0</v>
      </c>
    </row>
    <row r="36287" spans="13:16">
      <c r="M36287" s="49">
        <f>IF($A$4+362&gt;$B$4,"",$A$4+362)</f>
        <v>46385</v>
      </c>
      <c r="N36287">
        <f>IF(M36287="","",'Master Barang'!A81)</f>
        <v>0</v>
      </c>
      <c r="O36287">
        <f>IF(N36287="","",'Master Barang'!B81)</f>
        <v>0</v>
      </c>
      <c r="P36287">
        <f>IF(OR(M36287="",N36287=""),"",SUMIFS('Barang Keluar'!$E:$E,'Barang Keluar'!$A:$A,M36287,'Barang Keluar'!$C:$C,N36287))</f>
        <v>0</v>
      </c>
    </row>
    <row r="36288" spans="13:16">
      <c r="M36288" s="49">
        <f>IF($A$4+362&gt;$B$4,"",$A$4+362)</f>
        <v>46385</v>
      </c>
      <c r="N36288">
        <f>IF(M36288="","",'Master Barang'!A82)</f>
        <v>0</v>
      </c>
      <c r="O36288">
        <f>IF(N36288="","",'Master Barang'!B82)</f>
        <v>0</v>
      </c>
      <c r="P36288">
        <f>IF(OR(M36288="",N36288=""),"",SUMIFS('Barang Keluar'!$E:$E,'Barang Keluar'!$A:$A,M36288,'Barang Keluar'!$C:$C,N36288))</f>
        <v>0</v>
      </c>
    </row>
    <row r="36289" spans="13:16">
      <c r="M36289" s="49">
        <f>IF($A$4+362&gt;$B$4,"",$A$4+362)</f>
        <v>46385</v>
      </c>
      <c r="N36289">
        <f>IF(M36289="","",'Master Barang'!A83)</f>
        <v>0</v>
      </c>
      <c r="O36289">
        <f>IF(N36289="","",'Master Barang'!B83)</f>
        <v>0</v>
      </c>
      <c r="P36289">
        <f>IF(OR(M36289="",N36289=""),"",SUMIFS('Barang Keluar'!$E:$E,'Barang Keluar'!$A:$A,M36289,'Barang Keluar'!$C:$C,N36289))</f>
        <v>0</v>
      </c>
    </row>
    <row r="36290" spans="13:16">
      <c r="M36290" s="49">
        <f>IF($A$4+362&gt;$B$4,"",$A$4+362)</f>
        <v>46385</v>
      </c>
      <c r="N36290">
        <f>IF(M36290="","",'Master Barang'!A84)</f>
        <v>0</v>
      </c>
      <c r="O36290">
        <f>IF(N36290="","",'Master Barang'!B84)</f>
        <v>0</v>
      </c>
      <c r="P36290">
        <f>IF(OR(M36290="",N36290=""),"",SUMIFS('Barang Keluar'!$E:$E,'Barang Keluar'!$A:$A,M36290,'Barang Keluar'!$C:$C,N36290))</f>
        <v>0</v>
      </c>
    </row>
    <row r="36291" spans="13:16">
      <c r="M36291" s="49">
        <f>IF($A$4+362&gt;$B$4,"",$A$4+362)</f>
        <v>46385</v>
      </c>
      <c r="N36291">
        <f>IF(M36291="","",'Master Barang'!A85)</f>
        <v>0</v>
      </c>
      <c r="O36291">
        <f>IF(N36291="","",'Master Barang'!B85)</f>
        <v>0</v>
      </c>
      <c r="P36291">
        <f>IF(OR(M36291="",N36291=""),"",SUMIFS('Barang Keluar'!$E:$E,'Barang Keluar'!$A:$A,M36291,'Barang Keluar'!$C:$C,N36291))</f>
        <v>0</v>
      </c>
    </row>
    <row r="36292" spans="13:16">
      <c r="M36292" s="49">
        <f>IF($A$4+362&gt;$B$4,"",$A$4+362)</f>
        <v>46385</v>
      </c>
      <c r="N36292">
        <f>IF(M36292="","",'Master Barang'!A86)</f>
        <v>0</v>
      </c>
      <c r="O36292">
        <f>IF(N36292="","",'Master Barang'!B86)</f>
        <v>0</v>
      </c>
      <c r="P36292">
        <f>IF(OR(M36292="",N36292=""),"",SUMIFS('Barang Keluar'!$E:$E,'Barang Keluar'!$A:$A,M36292,'Barang Keluar'!$C:$C,N36292))</f>
        <v>0</v>
      </c>
    </row>
    <row r="36293" spans="13:16">
      <c r="M36293" s="49">
        <f>IF($A$4+362&gt;$B$4,"",$A$4+362)</f>
        <v>46385</v>
      </c>
      <c r="N36293">
        <f>IF(M36293="","",'Master Barang'!A87)</f>
        <v>0</v>
      </c>
      <c r="O36293">
        <f>IF(N36293="","",'Master Barang'!B87)</f>
        <v>0</v>
      </c>
      <c r="P36293">
        <f>IF(OR(M36293="",N36293=""),"",SUMIFS('Barang Keluar'!$E:$E,'Barang Keluar'!$A:$A,M36293,'Barang Keluar'!$C:$C,N36293))</f>
        <v>0</v>
      </c>
    </row>
    <row r="36294" spans="13:16">
      <c r="M36294" s="49">
        <f>IF($A$4+362&gt;$B$4,"",$A$4+362)</f>
        <v>46385</v>
      </c>
      <c r="N36294">
        <f>IF(M36294="","",'Master Barang'!A88)</f>
        <v>0</v>
      </c>
      <c r="O36294">
        <f>IF(N36294="","",'Master Barang'!B88)</f>
        <v>0</v>
      </c>
      <c r="P36294">
        <f>IF(OR(M36294="",N36294=""),"",SUMIFS('Barang Keluar'!$E:$E,'Barang Keluar'!$A:$A,M36294,'Barang Keluar'!$C:$C,N36294))</f>
        <v>0</v>
      </c>
    </row>
    <row r="36295" spans="13:16">
      <c r="M36295" s="49">
        <f>IF($A$4+362&gt;$B$4,"",$A$4+362)</f>
        <v>46385</v>
      </c>
      <c r="N36295">
        <f>IF(M36295="","",'Master Barang'!A89)</f>
        <v>0</v>
      </c>
      <c r="O36295">
        <f>IF(N36295="","",'Master Barang'!B89)</f>
        <v>0</v>
      </c>
      <c r="P36295">
        <f>IF(OR(M36295="",N36295=""),"",SUMIFS('Barang Keluar'!$E:$E,'Barang Keluar'!$A:$A,M36295,'Barang Keluar'!$C:$C,N36295))</f>
        <v>0</v>
      </c>
    </row>
    <row r="36296" spans="13:16">
      <c r="M36296" s="49">
        <f>IF($A$4+362&gt;$B$4,"",$A$4+362)</f>
        <v>46385</v>
      </c>
      <c r="N36296">
        <f>IF(M36296="","",'Master Barang'!A90)</f>
        <v>0</v>
      </c>
      <c r="O36296">
        <f>IF(N36296="","",'Master Barang'!B90)</f>
        <v>0</v>
      </c>
      <c r="P36296">
        <f>IF(OR(M36296="",N36296=""),"",SUMIFS('Barang Keluar'!$E:$E,'Barang Keluar'!$A:$A,M36296,'Barang Keluar'!$C:$C,N36296))</f>
        <v>0</v>
      </c>
    </row>
    <row r="36297" spans="13:16">
      <c r="M36297" s="49">
        <f>IF($A$4+362&gt;$B$4,"",$A$4+362)</f>
        <v>46385</v>
      </c>
      <c r="N36297">
        <f>IF(M36297="","",'Master Barang'!A91)</f>
        <v>0</v>
      </c>
      <c r="O36297">
        <f>IF(N36297="","",'Master Barang'!B91)</f>
        <v>0</v>
      </c>
      <c r="P36297">
        <f>IF(OR(M36297="",N36297=""),"",SUMIFS('Barang Keluar'!$E:$E,'Barang Keluar'!$A:$A,M36297,'Barang Keluar'!$C:$C,N36297))</f>
        <v>0</v>
      </c>
    </row>
    <row r="36298" spans="13:16">
      <c r="M36298" s="49">
        <f>IF($A$4+362&gt;$B$4,"",$A$4+362)</f>
        <v>46385</v>
      </c>
      <c r="N36298">
        <f>IF(M36298="","",'Master Barang'!A92)</f>
        <v>0</v>
      </c>
      <c r="O36298">
        <f>IF(N36298="","",'Master Barang'!B92)</f>
        <v>0</v>
      </c>
      <c r="P36298">
        <f>IF(OR(M36298="",N36298=""),"",SUMIFS('Barang Keluar'!$E:$E,'Barang Keluar'!$A:$A,M36298,'Barang Keluar'!$C:$C,N36298))</f>
        <v>0</v>
      </c>
    </row>
    <row r="36299" spans="13:16">
      <c r="M36299" s="49">
        <f>IF($A$4+362&gt;$B$4,"",$A$4+362)</f>
        <v>46385</v>
      </c>
      <c r="N36299">
        <f>IF(M36299="","",'Master Barang'!A93)</f>
        <v>0</v>
      </c>
      <c r="O36299">
        <f>IF(N36299="","",'Master Barang'!B93)</f>
        <v>0</v>
      </c>
      <c r="P36299">
        <f>IF(OR(M36299="",N36299=""),"",SUMIFS('Barang Keluar'!$E:$E,'Barang Keluar'!$A:$A,M36299,'Barang Keluar'!$C:$C,N36299))</f>
        <v>0</v>
      </c>
    </row>
    <row r="36300" spans="13:16">
      <c r="M36300" s="49">
        <f>IF($A$4+362&gt;$B$4,"",$A$4+362)</f>
        <v>46385</v>
      </c>
      <c r="N36300">
        <f>IF(M36300="","",'Master Barang'!A94)</f>
        <v>0</v>
      </c>
      <c r="O36300">
        <f>IF(N36300="","",'Master Barang'!B94)</f>
        <v>0</v>
      </c>
      <c r="P36300">
        <f>IF(OR(M36300="",N36300=""),"",SUMIFS('Barang Keluar'!$E:$E,'Barang Keluar'!$A:$A,M36300,'Barang Keluar'!$C:$C,N36300))</f>
        <v>0</v>
      </c>
    </row>
    <row r="36301" spans="13:16">
      <c r="M36301" s="49">
        <f>IF($A$4+362&gt;$B$4,"",$A$4+362)</f>
        <v>46385</v>
      </c>
      <c r="N36301">
        <f>IF(M36301="","",'Master Barang'!A95)</f>
        <v>0</v>
      </c>
      <c r="O36301">
        <f>IF(N36301="","",'Master Barang'!B95)</f>
        <v>0</v>
      </c>
      <c r="P36301">
        <f>IF(OR(M36301="",N36301=""),"",SUMIFS('Barang Keluar'!$E:$E,'Barang Keluar'!$A:$A,M36301,'Barang Keluar'!$C:$C,N36301))</f>
        <v>0</v>
      </c>
    </row>
    <row r="36302" spans="13:16">
      <c r="M36302" s="49">
        <f>IF($A$4+362&gt;$B$4,"",$A$4+362)</f>
        <v>46385</v>
      </c>
      <c r="N36302">
        <f>IF(M36302="","",'Master Barang'!A96)</f>
        <v>0</v>
      </c>
      <c r="O36302">
        <f>IF(N36302="","",'Master Barang'!B96)</f>
        <v>0</v>
      </c>
      <c r="P36302">
        <f>IF(OR(M36302="",N36302=""),"",SUMIFS('Barang Keluar'!$E:$E,'Barang Keluar'!$A:$A,M36302,'Barang Keluar'!$C:$C,N36302))</f>
        <v>0</v>
      </c>
    </row>
    <row r="36303" spans="13:16">
      <c r="M36303" s="49">
        <f>IF($A$4+362&gt;$B$4,"",$A$4+362)</f>
        <v>46385</v>
      </c>
      <c r="N36303">
        <f>IF(M36303="","",'Master Barang'!A97)</f>
        <v>0</v>
      </c>
      <c r="O36303">
        <f>IF(N36303="","",'Master Barang'!B97)</f>
        <v>0</v>
      </c>
      <c r="P36303">
        <f>IF(OR(M36303="",N36303=""),"",SUMIFS('Barang Keluar'!$E:$E,'Barang Keluar'!$A:$A,M36303,'Barang Keluar'!$C:$C,N36303))</f>
        <v>0</v>
      </c>
    </row>
    <row r="36304" spans="13:16">
      <c r="M36304" s="49">
        <f>IF($A$4+362&gt;$B$4,"",$A$4+362)</f>
        <v>46385</v>
      </c>
      <c r="N36304">
        <f>IF(M36304="","",'Master Barang'!A98)</f>
        <v>0</v>
      </c>
      <c r="O36304">
        <f>IF(N36304="","",'Master Barang'!B98)</f>
        <v>0</v>
      </c>
      <c r="P36304">
        <f>IF(OR(M36304="",N36304=""),"",SUMIFS('Barang Keluar'!$E:$E,'Barang Keluar'!$A:$A,M36304,'Barang Keluar'!$C:$C,N36304))</f>
        <v>0</v>
      </c>
    </row>
    <row r="36305" spans="13:16">
      <c r="M36305" s="49">
        <f>IF($A$4+362&gt;$B$4,"",$A$4+362)</f>
        <v>46385</v>
      </c>
      <c r="N36305">
        <f>IF(M36305="","",'Master Barang'!A99)</f>
        <v>0</v>
      </c>
      <c r="O36305">
        <f>IF(N36305="","",'Master Barang'!B99)</f>
        <v>0</v>
      </c>
      <c r="P36305">
        <f>IF(OR(M36305="",N36305=""),"",SUMIFS('Barang Keluar'!$E:$E,'Barang Keluar'!$A:$A,M36305,'Barang Keluar'!$C:$C,N36305))</f>
        <v>0</v>
      </c>
    </row>
    <row r="36306" spans="13:16">
      <c r="M36306" s="49">
        <f>IF($A$4+362&gt;$B$4,"",$A$4+362)</f>
        <v>46385</v>
      </c>
      <c r="N36306">
        <f>IF(M36306="","",'Master Barang'!A100)</f>
        <v>0</v>
      </c>
      <c r="O36306">
        <f>IF(N36306="","",'Master Barang'!B100)</f>
        <v>0</v>
      </c>
      <c r="P36306">
        <f>IF(OR(M36306="",N36306=""),"",SUMIFS('Barang Keluar'!$E:$E,'Barang Keluar'!$A:$A,M36306,'Barang Keluar'!$C:$C,N36306))</f>
        <v>0</v>
      </c>
    </row>
    <row r="36307" spans="13:16">
      <c r="M36307" s="49">
        <f>IF($A$4+362&gt;$B$4,"",$A$4+362)</f>
        <v>46385</v>
      </c>
      <c r="N36307">
        <f>IF(M36307="","",'Master Barang'!A101)</f>
        <v>0</v>
      </c>
      <c r="O36307">
        <f>IF(N36307="","",'Master Barang'!B101)</f>
        <v>0</v>
      </c>
      <c r="P36307">
        <f>IF(OR(M36307="",N36307=""),"",SUMIFS('Barang Keluar'!$E:$E,'Barang Keluar'!$A:$A,M36307,'Barang Keluar'!$C:$C,N36307))</f>
        <v>0</v>
      </c>
    </row>
    <row r="36308" spans="13:16">
      <c r="M36308" s="49">
        <f>IF($A$4+363&gt;$B$4,"",$A$4+363)</f>
        <v>46386</v>
      </c>
      <c r="N36308" t="str">
        <f>IF(M36308="","",'Master Barang'!A2)</f>
        <v>PRL-001</v>
      </c>
      <c r="O36308" t="str">
        <f>IF(N36308="","",'Master Barang'!B2)</f>
        <v>natura desinfectant food grade 5l</v>
      </c>
      <c r="P36308">
        <f>IF(OR(M36308="",N36308=""),"",SUMIFS('Barang Keluar'!$E:$E,'Barang Keluar'!$A:$A,M36308,'Barang Keluar'!$C:$C,N36308))</f>
        <v>0</v>
      </c>
    </row>
    <row r="36309" spans="13:16">
      <c r="M36309" s="49">
        <f>IF($A$4+363&gt;$B$4,"",$A$4+363)</f>
        <v>46386</v>
      </c>
      <c r="N36309" t="str">
        <f>IF(M36309="","",'Master Barang'!A3)</f>
        <v>PRL-002</v>
      </c>
      <c r="O36309" t="str">
        <f>IF(N36309="","",'Master Barang'!B3)</f>
        <v>sunlight cairan pencuci piring 5l</v>
      </c>
      <c r="P36309">
        <f>IF(OR(M36309="",N36309=""),"",SUMIFS('Barang Keluar'!$E:$E,'Barang Keluar'!$A:$A,M36309,'Barang Keluar'!$C:$C,N36309))</f>
        <v>0</v>
      </c>
    </row>
    <row r="36310" spans="13:16">
      <c r="M36310" s="49">
        <f>IF($A$4+363&gt;$B$4,"",$A$4+363)</f>
        <v>46386</v>
      </c>
      <c r="N36310" t="str">
        <f>IF(M36310="","",'Master Barang'!A4)</f>
        <v>PRL-003</v>
      </c>
      <c r="O36310" t="str">
        <f>IF(N36310="","",'Master Barang'!B4)</f>
        <v>oixs cleaner 1l</v>
      </c>
      <c r="P36310">
        <f>IF(OR(M36310="",N36310=""),"",SUMIFS('Barang Keluar'!$E:$E,'Barang Keluar'!$A:$A,M36310,'Barang Keluar'!$C:$C,N36310))</f>
        <v>0</v>
      </c>
    </row>
    <row r="36311" spans="13:16">
      <c r="M36311" s="49">
        <f>IF($A$4+363&gt;$B$4,"",$A$4+363)</f>
        <v>46386</v>
      </c>
      <c r="N36311" t="str">
        <f>IF(M36311="","",'Master Barang'!A5)</f>
        <v>PRL-004</v>
      </c>
      <c r="O36311" t="str">
        <f>IF(N36311="","",'Master Barang'!B5)</f>
        <v>be clean tissue serbaguna</v>
      </c>
      <c r="P36311">
        <f>IF(OR(M36311="",N36311=""),"",SUMIFS('Barang Keluar'!$E:$E,'Barang Keluar'!$A:$A,M36311,'Barang Keluar'!$C:$C,N36311))</f>
        <v>0</v>
      </c>
    </row>
    <row r="36312" spans="13:16">
      <c r="M36312" s="49">
        <f>IF($A$4+363&gt;$B$4,"",$A$4+363)</f>
        <v>46386</v>
      </c>
      <c r="N36312" t="str">
        <f>IF(M36312="","",'Master Barang'!A6)</f>
        <v>PRL-005</v>
      </c>
      <c r="O36312" t="str">
        <f>IF(N36312="","",'Master Barang'!B6)</f>
        <v>spons cuci hijau</v>
      </c>
      <c r="P36312">
        <f>IF(OR(M36312="",N36312=""),"",SUMIFS('Barang Keluar'!$E:$E,'Barang Keluar'!$A:$A,M36312,'Barang Keluar'!$C:$C,N36312))</f>
        <v>0</v>
      </c>
    </row>
    <row r="36313" spans="13:16">
      <c r="M36313" s="49">
        <f>IF($A$4+363&gt;$B$4,"",$A$4+363)</f>
        <v>46386</v>
      </c>
      <c r="N36313" t="str">
        <f>IF(M36313="","",'Master Barang'!A7)</f>
        <v>PRL-006</v>
      </c>
      <c r="O36313" t="str">
        <f>IF(N36313="","",'Master Barang'!B7)</f>
        <v>sabut cuci stainless</v>
      </c>
      <c r="P36313">
        <f>IF(OR(M36313="",N36313=""),"",SUMIFS('Barang Keluar'!$E:$E,'Barang Keluar'!$A:$A,M36313,'Barang Keluar'!$C:$C,N36313))</f>
        <v>0</v>
      </c>
    </row>
    <row r="36314" spans="13:16">
      <c r="M36314" s="49">
        <f>IF($A$4+363&gt;$B$4,"",$A$4+363)</f>
        <v>46386</v>
      </c>
      <c r="N36314" t="str">
        <f>IF(M36314="","",'Master Barang'!A8)</f>
        <v>PRL-007</v>
      </c>
      <c r="O36314" t="str">
        <f>IF(N36314="","",'Master Barang'!B8)</f>
        <v>plastik kresek besar merah 50pc</v>
      </c>
      <c r="P36314">
        <f>IF(OR(M36314="",N36314=""),"",SUMIFS('Barang Keluar'!$E:$E,'Barang Keluar'!$A:$A,M36314,'Barang Keluar'!$C:$C,N36314))</f>
        <v>0</v>
      </c>
    </row>
    <row r="36315" spans="13:16">
      <c r="M36315" s="49">
        <f>IF($A$4+363&gt;$B$4,"",$A$4+363)</f>
        <v>46386</v>
      </c>
      <c r="N36315" t="str">
        <f>IF(M36315="","",'Master Barang'!A9)</f>
        <v>PRL-008</v>
      </c>
      <c r="O36315" t="str">
        <f>IF(N36315="","",'Master Barang'!B9)</f>
        <v>lap besar</v>
      </c>
      <c r="P36315">
        <f>IF(OR(M36315="",N36315=""),"",SUMIFS('Barang Keluar'!$E:$E,'Barang Keluar'!$A:$A,M36315,'Barang Keluar'!$C:$C,N36315))</f>
        <v>0</v>
      </c>
    </row>
    <row r="36316" spans="13:16">
      <c r="M36316" s="49">
        <f>IF($A$4+363&gt;$B$4,"",$A$4+363)</f>
        <v>46386</v>
      </c>
      <c r="N36316" t="str">
        <f>IF(M36316="","",'Master Barang'!A10)</f>
        <v>PRL-009</v>
      </c>
      <c r="O36316" t="str">
        <f>IF(N36316="","",'Master Barang'!B10)</f>
        <v>lap microfiber</v>
      </c>
      <c r="P36316">
        <f>IF(OR(M36316="",N36316=""),"",SUMIFS('Barang Keluar'!$E:$E,'Barang Keluar'!$A:$A,M36316,'Barang Keluar'!$C:$C,N36316))</f>
        <v>0</v>
      </c>
    </row>
    <row r="36317" spans="13:16">
      <c r="M36317" s="49">
        <f>IF($A$4+363&gt;$B$4,"",$A$4+363)</f>
        <v>46386</v>
      </c>
      <c r="N36317" t="str">
        <f>IF(M36317="","",'Master Barang'!A11)</f>
        <v>PRL-010</v>
      </c>
      <c r="O36317" t="str">
        <f>IF(N36317="","",'Master Barang'!B11)</f>
        <v>lap kecil</v>
      </c>
      <c r="P36317">
        <f>IF(OR(M36317="",N36317=""),"",SUMIFS('Barang Keluar'!$E:$E,'Barang Keluar'!$A:$A,M36317,'Barang Keluar'!$C:$C,N36317))</f>
        <v>0</v>
      </c>
    </row>
    <row r="36318" spans="13:16">
      <c r="M36318" s="49">
        <f>IF($A$4+363&gt;$B$4,"",$A$4+363)</f>
        <v>46386</v>
      </c>
      <c r="N36318" t="str">
        <f>IF(M36318="","",'Master Barang'!A12)</f>
        <v>PRL-011</v>
      </c>
      <c r="O36318" t="str">
        <f>IF(N36318="","",'Master Barang'!B12)</f>
        <v>kanebo kecil</v>
      </c>
      <c r="P36318">
        <f>IF(OR(M36318="",N36318=""),"",SUMIFS('Barang Keluar'!$E:$E,'Barang Keluar'!$A:$A,M36318,'Barang Keluar'!$C:$C,N36318))</f>
        <v>0</v>
      </c>
    </row>
    <row r="36319" spans="13:16">
      <c r="M36319" s="49">
        <f>IF($A$4+363&gt;$B$4,"",$A$4+363)</f>
        <v>46386</v>
      </c>
      <c r="N36319" t="str">
        <f>IF(M36319="","",'Master Barang'!A13)</f>
        <v>PRL-012</v>
      </c>
      <c r="O36319" t="str">
        <f>IF(N36319="","",'Master Barang'!B13)</f>
        <v>plastik 1/4kg joyoboyo 100 lembar</v>
      </c>
      <c r="P36319">
        <f>IF(OR(M36319="",N36319=""),"",SUMIFS('Barang Keluar'!$E:$E,'Barang Keluar'!$A:$A,M36319,'Barang Keluar'!$C:$C,N36319))</f>
        <v>0</v>
      </c>
    </row>
    <row r="36320" spans="13:16">
      <c r="M36320" s="49">
        <f>IF($A$4+363&gt;$B$4,"",$A$4+363)</f>
        <v>46386</v>
      </c>
      <c r="N36320" t="str">
        <f>IF(M36320="","",'Master Barang'!A14)</f>
        <v>PRL-013</v>
      </c>
      <c r="O36320" t="str">
        <f>IF(N36320="","",'Master Barang'!B14)</f>
        <v>sarung tangan plastik kaka 100 pcs</v>
      </c>
      <c r="P36320">
        <f>IF(OR(M36320="",N36320=""),"",SUMIFS('Barang Keluar'!$E:$E,'Barang Keluar'!$A:$A,M36320,'Barang Keluar'!$C:$C,N36320))</f>
        <v>0</v>
      </c>
    </row>
    <row r="36321" spans="13:16">
      <c r="M36321" s="49">
        <f>IF($A$4+363&gt;$B$4,"",$A$4+363)</f>
        <v>46386</v>
      </c>
      <c r="N36321" t="str">
        <f>IF(M36321="","",'Master Barang'!A15)</f>
        <v>PRL-014</v>
      </c>
      <c r="O36321" t="str">
        <f>IF(N36321="","",'Master Barang'!B15)</f>
        <v>optima trashbag 80x100</v>
      </c>
      <c r="P36321">
        <f>IF(OR(M36321="",N36321=""),"",SUMIFS('Barang Keluar'!$E:$E,'Barang Keluar'!$A:$A,M36321,'Barang Keluar'!$C:$C,N36321))</f>
        <v>0</v>
      </c>
    </row>
    <row r="36322" spans="13:16">
      <c r="M36322" s="49">
        <f>IF($A$4+363&gt;$B$4,"",$A$4+363)</f>
        <v>46386</v>
      </c>
      <c r="N36322" t="str">
        <f>IF(M36322="","",'Master Barang'!A16)</f>
        <v>PRL-015</v>
      </c>
      <c r="O36322" t="str">
        <f>IF(N36322="","",'Master Barang'!B16)</f>
        <v>optima trashbag 60x100</v>
      </c>
      <c r="P36322">
        <f>IF(OR(M36322="",N36322=""),"",SUMIFS('Barang Keluar'!$E:$E,'Barang Keluar'!$A:$A,M36322,'Barang Keluar'!$C:$C,N36322))</f>
        <v>0</v>
      </c>
    </row>
    <row r="36323" spans="13:16">
      <c r="M36323" s="49">
        <f>IF($A$4+363&gt;$B$4,"",$A$4+363)</f>
        <v>46386</v>
      </c>
      <c r="N36323" t="str">
        <f>IF(M36323="","",'Master Barang'!A17)</f>
        <v>PRL-016</v>
      </c>
      <c r="O36323" t="str">
        <f>IF(N36323="","",'Master Barang'!B17)</f>
        <v>rajawali trashbag 30x40</v>
      </c>
      <c r="P36323">
        <f>IF(OR(M36323="",N36323=""),"",SUMIFS('Barang Keluar'!$E:$E,'Barang Keluar'!$A:$A,M36323,'Barang Keluar'!$C:$C,N36323))</f>
        <v>0</v>
      </c>
    </row>
    <row r="36324" spans="13:16">
      <c r="M36324" s="49">
        <f>IF($A$4+363&gt;$B$4,"",$A$4+363)</f>
        <v>46386</v>
      </c>
      <c r="N36324" t="str">
        <f>IF(M36324="","",'Master Barang'!A18)</f>
        <v>PRL-017</v>
      </c>
      <c r="O36324" t="str">
        <f>IF(N36324="","",'Master Barang'!B18)</f>
        <v>onemed masker biru 3 play 50 pcs</v>
      </c>
      <c r="P36324">
        <f>IF(OR(M36324="",N36324=""),"",SUMIFS('Barang Keluar'!$E:$E,'Barang Keluar'!$A:$A,M36324,'Barang Keluar'!$C:$C,N36324))</f>
        <v>0</v>
      </c>
    </row>
    <row r="36325" spans="13:16">
      <c r="M36325" s="49">
        <f>IF($A$4+363&gt;$B$4,"",$A$4+363)</f>
        <v>46386</v>
      </c>
      <c r="N36325" t="str">
        <f>IF(M36325="","",'Master Barang'!A19)</f>
        <v>PRL-018</v>
      </c>
      <c r="O36325" t="str">
        <f>IF(N36325="","",'Master Barang'!B19)</f>
        <v>onemed masker biru 3 play hijab 50 pcs</v>
      </c>
      <c r="P36325">
        <f>IF(OR(M36325="",N36325=""),"",SUMIFS('Barang Keluar'!$E:$E,'Barang Keluar'!$A:$A,M36325,'Barang Keluar'!$C:$C,N36325))</f>
        <v>0</v>
      </c>
    </row>
    <row r="36326" spans="13:16">
      <c r="M36326" s="49">
        <f>IF($A$4+363&gt;$B$4,"",$A$4+363)</f>
        <v>46386</v>
      </c>
      <c r="N36326" t="str">
        <f>IF(M36326="","",'Master Barang'!A20)</f>
        <v>PRL-019</v>
      </c>
      <c r="O36326" t="str">
        <f>IF(N36326="","",'Master Barang'!B20)</f>
        <v>neo health masker biru 3 play 50 pcs</v>
      </c>
      <c r="P36326">
        <f>IF(OR(M36326="",N36326=""),"",SUMIFS('Barang Keluar'!$E:$E,'Barang Keluar'!$A:$A,M36326,'Barang Keluar'!$C:$C,N36326))</f>
        <v>0</v>
      </c>
    </row>
    <row r="36327" spans="13:16">
      <c r="M36327" s="49">
        <f>IF($A$4+363&gt;$B$4,"",$A$4+363)</f>
        <v>46386</v>
      </c>
      <c r="N36327" t="str">
        <f>IF(M36327="","",'Master Barang'!A21)</f>
        <v>PRL-020</v>
      </c>
      <c r="O36327" t="str">
        <f>IF(N36327="","",'Master Barang'!B21)</f>
        <v>baymed masker hijau 3 play hijau 50 pcs</v>
      </c>
      <c r="P36327">
        <f>IF(OR(M36327="",N36327=""),"",SUMIFS('Barang Keluar'!$E:$E,'Barang Keluar'!$A:$A,M36327,'Barang Keluar'!$C:$C,N36327))</f>
        <v>0</v>
      </c>
    </row>
    <row r="36328" spans="13:16">
      <c r="M36328" s="49">
        <f>IF($A$4+363&gt;$B$4,"",$A$4+363)</f>
        <v>46386</v>
      </c>
      <c r="N36328" t="str">
        <f>IF(M36328="","",'Master Barang'!A22)</f>
        <v>PRL-021</v>
      </c>
      <c r="O36328" t="str">
        <f>IF(N36328="","",'Master Barang'!B22)</f>
        <v>altamed nurse cap penutup kepala 100 pcs</v>
      </c>
      <c r="P36328">
        <f>IF(OR(M36328="",N36328=""),"",SUMIFS('Barang Keluar'!$E:$E,'Barang Keluar'!$A:$A,M36328,'Barang Keluar'!$C:$C,N36328))</f>
        <v>0</v>
      </c>
    </row>
    <row r="36329" spans="13:16">
      <c r="M36329" s="49">
        <f>IF($A$4+363&gt;$B$4,"",$A$4+363)</f>
        <v>46386</v>
      </c>
      <c r="N36329" t="str">
        <f>IF(M36329="","",'Master Barang'!A23)</f>
        <v>PRL-022</v>
      </c>
      <c r="O36329" t="str">
        <f>IF(N36329="","",'Master Barang'!B23)</f>
        <v>sabun cuci tangan</v>
      </c>
      <c r="P36329">
        <f>IF(OR(M36329="",N36329=""),"",SUMIFS('Barang Keluar'!$E:$E,'Barang Keluar'!$A:$A,M36329,'Barang Keluar'!$C:$C,N36329))</f>
        <v>0</v>
      </c>
    </row>
    <row r="36330" spans="13:16">
      <c r="M36330" s="49">
        <f>IF($A$4+363&gt;$B$4,"",$A$4+363)</f>
        <v>46386</v>
      </c>
      <c r="N36330" t="str">
        <f>IF(M36330="","",'Master Barang'!A24)</f>
        <v>PRL-023</v>
      </c>
      <c r="O36330" t="str">
        <f>IF(N36330="","",'Master Barang'!B24)</f>
        <v>gayung kecil</v>
      </c>
      <c r="P36330">
        <f>IF(OR(M36330="",N36330=""),"",SUMIFS('Barang Keluar'!$E:$E,'Barang Keluar'!$A:$A,M36330,'Barang Keluar'!$C:$C,N36330))</f>
        <v>0</v>
      </c>
    </row>
    <row r="36331" spans="13:16">
      <c r="M36331" s="49">
        <f>IF($A$4+363&gt;$B$4,"",$A$4+363)</f>
        <v>46386</v>
      </c>
      <c r="N36331" t="str">
        <f>IF(M36331="","",'Master Barang'!A25)</f>
        <v>PRL-024</v>
      </c>
      <c r="O36331" t="str">
        <f>IF(N36331="","",'Master Barang'!B25)</f>
        <v>cikrak kecil</v>
      </c>
      <c r="P36331">
        <f>IF(OR(M36331="",N36331=""),"",SUMIFS('Barang Keluar'!$E:$E,'Barang Keluar'!$A:$A,M36331,'Barang Keluar'!$C:$C,N36331))</f>
        <v>0</v>
      </c>
    </row>
    <row r="36332" spans="13:16">
      <c r="M36332" s="49">
        <f>IF($A$4+363&gt;$B$4,"",$A$4+363)</f>
        <v>46386</v>
      </c>
      <c r="N36332" t="str">
        <f>IF(M36332="","",'Master Barang'!A26)</f>
        <v>PRL-025</v>
      </c>
      <c r="O36332" t="str">
        <f>IF(N36332="","",'Master Barang'!B26)</f>
        <v>petromax plastik kecil 12x24 100 lembar</v>
      </c>
      <c r="P36332">
        <f>IF(OR(M36332="",N36332=""),"",SUMIFS('Barang Keluar'!$E:$E,'Barang Keluar'!$A:$A,M36332,'Barang Keluar'!$C:$C,N36332))</f>
        <v>0</v>
      </c>
    </row>
    <row r="36333" spans="13:16">
      <c r="M36333" s="49">
        <f>IF($A$4+363&gt;$B$4,"",$A$4+363)</f>
        <v>46386</v>
      </c>
      <c r="N36333" t="str">
        <f>IF(M36333="","",'Master Barang'!A27)</f>
        <v>PRL-026</v>
      </c>
      <c r="O36333" t="str">
        <f>IF(N36333="","",'Master Barang'!B27)</f>
        <v>lancar kresek kecil bening </v>
      </c>
      <c r="P36333">
        <f>IF(OR(M36333="",N36333=""),"",SUMIFS('Barang Keluar'!$E:$E,'Barang Keluar'!$A:$A,M36333,'Barang Keluar'!$C:$C,N36333))</f>
        <v>0</v>
      </c>
    </row>
    <row r="36334" spans="13:16">
      <c r="M36334" s="49">
        <f>IF($A$4+363&gt;$B$4,"",$A$4+363)</f>
        <v>46386</v>
      </c>
      <c r="N36334" t="str">
        <f>IF(M36334="","",'Master Barang'!A28)</f>
        <v>PRL-027</v>
      </c>
      <c r="O36334" t="str">
        <f>IF(N36334="","",'Master Barang'!B28)</f>
        <v>kresek klin warna warni kecil</v>
      </c>
      <c r="P36334">
        <f>IF(OR(M36334="",N36334=""),"",SUMIFS('Barang Keluar'!$E:$E,'Barang Keluar'!$A:$A,M36334,'Barang Keluar'!$C:$C,N36334))</f>
        <v>0</v>
      </c>
    </row>
    <row r="36335" spans="13:16">
      <c r="M36335" s="49">
        <f>IF($A$4+363&gt;$B$4,"",$A$4+363)</f>
        <v>46386</v>
      </c>
      <c r="N36335" t="str">
        <f>IF(M36335="","",'Master Barang'!A29)</f>
        <v>PRL-028</v>
      </c>
      <c r="O36335" t="str">
        <f>IF(N36335="","",'Master Barang'!B29)</f>
        <v>ctik plastik 7x10 100 pcs</v>
      </c>
      <c r="P36335">
        <f>IF(OR(M36335="",N36335=""),"",SUMIFS('Barang Keluar'!$E:$E,'Barang Keluar'!$A:$A,M36335,'Barang Keluar'!$C:$C,N36335))</f>
        <v>0</v>
      </c>
    </row>
    <row r="36336" spans="13:16">
      <c r="M36336" s="49">
        <f>IF($A$4+363&gt;$B$4,"",$A$4+363)</f>
        <v>46386</v>
      </c>
      <c r="N36336" t="str">
        <f>IF(M36336="","",'Master Barang'!A30)</f>
        <v>PRL-029</v>
      </c>
      <c r="O36336" t="str">
        <f>IF(N36336="","",'Master Barang'!B30)</f>
        <v>ctik plastik 6x10 100 pcs</v>
      </c>
      <c r="P36336">
        <f>IF(OR(M36336="",N36336=""),"",SUMIFS('Barang Keluar'!$E:$E,'Barang Keluar'!$A:$A,M36336,'Barang Keluar'!$C:$C,N36336))</f>
        <v>0</v>
      </c>
    </row>
    <row r="36337" spans="13:16">
      <c r="M36337" s="49">
        <f>IF($A$4+363&gt;$B$4,"",$A$4+363)</f>
        <v>46386</v>
      </c>
      <c r="N36337" t="str">
        <f>IF(M36337="","",'Master Barang'!A31)</f>
        <v>PRL-030</v>
      </c>
      <c r="O36337" t="str">
        <f>IF(N36337="","",'Master Barang'!B31)</f>
        <v>klip plastik 25x16 100 pcs</v>
      </c>
      <c r="P36337">
        <f>IF(OR(M36337="",N36337=""),"",SUMIFS('Barang Keluar'!$E:$E,'Barang Keluar'!$A:$A,M36337,'Barang Keluar'!$C:$C,N36337))</f>
        <v>0</v>
      </c>
    </row>
    <row r="36338" spans="13:16">
      <c r="M36338" s="49">
        <f>IF($A$4+363&gt;$B$4,"",$A$4+363)</f>
        <v>46386</v>
      </c>
      <c r="N36338" t="str">
        <f>IF(M36338="","",'Master Barang'!A32)</f>
        <v>PRL-031</v>
      </c>
      <c r="O36338" t="str">
        <f>IF(N36338="","",'Master Barang'!B32)</f>
        <v>tempat saus 20 ml</v>
      </c>
      <c r="P36338">
        <f>IF(OR(M36338="",N36338=""),"",SUMIFS('Barang Keluar'!$E:$E,'Barang Keluar'!$A:$A,M36338,'Barang Keluar'!$C:$C,N36338))</f>
        <v>0</v>
      </c>
    </row>
    <row r="36339" spans="13:16">
      <c r="M36339" s="49">
        <f>IF($A$4+363&gt;$B$4,"",$A$4+363)</f>
        <v>46386</v>
      </c>
      <c r="N36339" t="str">
        <f>IF(M36339="","",'Master Barang'!A33)</f>
        <v>PRL-032</v>
      </c>
      <c r="O36339" t="str">
        <f>IF(N36339="","",'Master Barang'!B33)</f>
        <v>plastik packaging ag box uk sedang</v>
      </c>
      <c r="P36339">
        <f>IF(OR(M36339="",N36339=""),"",SUMIFS('Barang Keluar'!$E:$E,'Barang Keluar'!$A:$A,M36339,'Barang Keluar'!$C:$C,N36339))</f>
        <v>0</v>
      </c>
    </row>
    <row r="36340" spans="13:16">
      <c r="M36340" s="49">
        <f>IF($A$4+363&gt;$B$4,"",$A$4+363)</f>
        <v>46386</v>
      </c>
      <c r="N36340" t="str">
        <f>IF(M36340="","",'Master Barang'!A34)</f>
        <v>PRL-033</v>
      </c>
      <c r="O36340">
        <f>IF(N36340="","",'Master Barang'!B34)</f>
        <v>0</v>
      </c>
      <c r="P36340">
        <f>IF(OR(M36340="",N36340=""),"",SUMIFS('Barang Keluar'!$E:$E,'Barang Keluar'!$A:$A,M36340,'Barang Keluar'!$C:$C,N36340))</f>
        <v>0</v>
      </c>
    </row>
    <row r="36341" spans="13:16">
      <c r="M36341" s="49">
        <f>IF($A$4+363&gt;$B$4,"",$A$4+363)</f>
        <v>46386</v>
      </c>
      <c r="N36341">
        <f>IF(M36341="","",'Master Barang'!A35)</f>
        <v>0</v>
      </c>
      <c r="O36341">
        <f>IF(N36341="","",'Master Barang'!B35)</f>
        <v>0</v>
      </c>
      <c r="P36341">
        <f>IF(OR(M36341="",N36341=""),"",SUMIFS('Barang Keluar'!$E:$E,'Barang Keluar'!$A:$A,M36341,'Barang Keluar'!$C:$C,N36341))</f>
        <v>0</v>
      </c>
    </row>
    <row r="36342" spans="13:16">
      <c r="M36342" s="49">
        <f>IF($A$4+363&gt;$B$4,"",$A$4+363)</f>
        <v>46386</v>
      </c>
      <c r="N36342">
        <f>IF(M36342="","",'Master Barang'!A36)</f>
        <v>0</v>
      </c>
      <c r="O36342">
        <f>IF(N36342="","",'Master Barang'!B36)</f>
        <v>0</v>
      </c>
      <c r="P36342">
        <f>IF(OR(M36342="",N36342=""),"",SUMIFS('Barang Keluar'!$E:$E,'Barang Keluar'!$A:$A,M36342,'Barang Keluar'!$C:$C,N36342))</f>
        <v>0</v>
      </c>
    </row>
    <row r="36343" spans="13:16">
      <c r="M36343" s="49">
        <f>IF($A$4+363&gt;$B$4,"",$A$4+363)</f>
        <v>46386</v>
      </c>
      <c r="N36343">
        <f>IF(M36343="","",'Master Barang'!A37)</f>
        <v>0</v>
      </c>
      <c r="O36343">
        <f>IF(N36343="","",'Master Barang'!B37)</f>
        <v>0</v>
      </c>
      <c r="P36343">
        <f>IF(OR(M36343="",N36343=""),"",SUMIFS('Barang Keluar'!$E:$E,'Barang Keluar'!$A:$A,M36343,'Barang Keluar'!$C:$C,N36343))</f>
        <v>0</v>
      </c>
    </row>
    <row r="36344" spans="13:16">
      <c r="M36344" s="49">
        <f>IF($A$4+363&gt;$B$4,"",$A$4+363)</f>
        <v>46386</v>
      </c>
      <c r="N36344">
        <f>IF(M36344="","",'Master Barang'!A38)</f>
        <v>0</v>
      </c>
      <c r="O36344">
        <f>IF(N36344="","",'Master Barang'!B38)</f>
        <v>0</v>
      </c>
      <c r="P36344">
        <f>IF(OR(M36344="",N36344=""),"",SUMIFS('Barang Keluar'!$E:$E,'Barang Keluar'!$A:$A,M36344,'Barang Keluar'!$C:$C,N36344))</f>
        <v>0</v>
      </c>
    </row>
    <row r="36345" spans="13:16">
      <c r="M36345" s="49">
        <f>IF($A$4+363&gt;$B$4,"",$A$4+363)</f>
        <v>46386</v>
      </c>
      <c r="N36345">
        <f>IF(M36345="","",'Master Barang'!A39)</f>
        <v>0</v>
      </c>
      <c r="O36345">
        <f>IF(N36345="","",'Master Barang'!B39)</f>
        <v>0</v>
      </c>
      <c r="P36345">
        <f>IF(OR(M36345="",N36345=""),"",SUMIFS('Barang Keluar'!$E:$E,'Barang Keluar'!$A:$A,M36345,'Barang Keluar'!$C:$C,N36345))</f>
        <v>0</v>
      </c>
    </row>
    <row r="36346" spans="13:16">
      <c r="M36346" s="49">
        <f>IF($A$4+363&gt;$B$4,"",$A$4+363)</f>
        <v>46386</v>
      </c>
      <c r="N36346">
        <f>IF(M36346="","",'Master Barang'!A40)</f>
        <v>0</v>
      </c>
      <c r="O36346">
        <f>IF(N36346="","",'Master Barang'!B40)</f>
        <v>0</v>
      </c>
      <c r="P36346">
        <f>IF(OR(M36346="",N36346=""),"",SUMIFS('Barang Keluar'!$E:$E,'Barang Keluar'!$A:$A,M36346,'Barang Keluar'!$C:$C,N36346))</f>
        <v>0</v>
      </c>
    </row>
    <row r="36347" spans="13:16">
      <c r="M36347" s="49">
        <f>IF($A$4+363&gt;$B$4,"",$A$4+363)</f>
        <v>46386</v>
      </c>
      <c r="N36347">
        <f>IF(M36347="","",'Master Barang'!A41)</f>
        <v>0</v>
      </c>
      <c r="O36347">
        <f>IF(N36347="","",'Master Barang'!B41)</f>
        <v>0</v>
      </c>
      <c r="P36347">
        <f>IF(OR(M36347="",N36347=""),"",SUMIFS('Barang Keluar'!$E:$E,'Barang Keluar'!$A:$A,M36347,'Barang Keluar'!$C:$C,N36347))</f>
        <v>0</v>
      </c>
    </row>
    <row r="36348" spans="13:16">
      <c r="M36348" s="49">
        <f>IF($A$4+363&gt;$B$4,"",$A$4+363)</f>
        <v>46386</v>
      </c>
      <c r="N36348">
        <f>IF(M36348="","",'Master Barang'!A42)</f>
        <v>0</v>
      </c>
      <c r="O36348">
        <f>IF(N36348="","",'Master Barang'!B42)</f>
        <v>0</v>
      </c>
      <c r="P36348">
        <f>IF(OR(M36348="",N36348=""),"",SUMIFS('Barang Keluar'!$E:$E,'Barang Keluar'!$A:$A,M36348,'Barang Keluar'!$C:$C,N36348))</f>
        <v>0</v>
      </c>
    </row>
    <row r="36349" spans="13:16">
      <c r="M36349" s="49">
        <f>IF($A$4+363&gt;$B$4,"",$A$4+363)</f>
        <v>46386</v>
      </c>
      <c r="N36349">
        <f>IF(M36349="","",'Master Barang'!A43)</f>
        <v>0</v>
      </c>
      <c r="O36349">
        <f>IF(N36349="","",'Master Barang'!B43)</f>
        <v>0</v>
      </c>
      <c r="P36349">
        <f>IF(OR(M36349="",N36349=""),"",SUMIFS('Barang Keluar'!$E:$E,'Barang Keluar'!$A:$A,M36349,'Barang Keluar'!$C:$C,N36349))</f>
        <v>0</v>
      </c>
    </row>
    <row r="36350" spans="13:16">
      <c r="M36350" s="49">
        <f>IF($A$4+363&gt;$B$4,"",$A$4+363)</f>
        <v>46386</v>
      </c>
      <c r="N36350">
        <f>IF(M36350="","",'Master Barang'!A44)</f>
        <v>0</v>
      </c>
      <c r="O36350">
        <f>IF(N36350="","",'Master Barang'!B44)</f>
        <v>0</v>
      </c>
      <c r="P36350">
        <f>IF(OR(M36350="",N36350=""),"",SUMIFS('Barang Keluar'!$E:$E,'Barang Keluar'!$A:$A,M36350,'Barang Keluar'!$C:$C,N36350))</f>
        <v>0</v>
      </c>
    </row>
    <row r="36351" spans="13:16">
      <c r="M36351" s="49">
        <f>IF($A$4+363&gt;$B$4,"",$A$4+363)</f>
        <v>46386</v>
      </c>
      <c r="N36351">
        <f>IF(M36351="","",'Master Barang'!A45)</f>
        <v>0</v>
      </c>
      <c r="O36351">
        <f>IF(N36351="","",'Master Barang'!B45)</f>
        <v>0</v>
      </c>
      <c r="P36351">
        <f>IF(OR(M36351="",N36351=""),"",SUMIFS('Barang Keluar'!$E:$E,'Barang Keluar'!$A:$A,M36351,'Barang Keluar'!$C:$C,N36351))</f>
        <v>0</v>
      </c>
    </row>
    <row r="36352" spans="13:16">
      <c r="M36352" s="49">
        <f>IF($A$4+363&gt;$B$4,"",$A$4+363)</f>
        <v>46386</v>
      </c>
      <c r="N36352">
        <f>IF(M36352="","",'Master Barang'!A46)</f>
        <v>0</v>
      </c>
      <c r="O36352">
        <f>IF(N36352="","",'Master Barang'!B46)</f>
        <v>0</v>
      </c>
      <c r="P36352">
        <f>IF(OR(M36352="",N36352=""),"",SUMIFS('Barang Keluar'!$E:$E,'Barang Keluar'!$A:$A,M36352,'Barang Keluar'!$C:$C,N36352))</f>
        <v>0</v>
      </c>
    </row>
    <row r="36353" spans="13:16">
      <c r="M36353" s="49">
        <f>IF($A$4+363&gt;$B$4,"",$A$4+363)</f>
        <v>46386</v>
      </c>
      <c r="N36353">
        <f>IF(M36353="","",'Master Barang'!A47)</f>
        <v>0</v>
      </c>
      <c r="O36353">
        <f>IF(N36353="","",'Master Barang'!B47)</f>
        <v>0</v>
      </c>
      <c r="P36353">
        <f>IF(OR(M36353="",N36353=""),"",SUMIFS('Barang Keluar'!$E:$E,'Barang Keluar'!$A:$A,M36353,'Barang Keluar'!$C:$C,N36353))</f>
        <v>0</v>
      </c>
    </row>
    <row r="36354" spans="13:16">
      <c r="M36354" s="49">
        <f>IF($A$4+363&gt;$B$4,"",$A$4+363)</f>
        <v>46386</v>
      </c>
      <c r="N36354">
        <f>IF(M36354="","",'Master Barang'!A48)</f>
        <v>0</v>
      </c>
      <c r="O36354">
        <f>IF(N36354="","",'Master Barang'!B48)</f>
        <v>0</v>
      </c>
      <c r="P36354">
        <f>IF(OR(M36354="",N36354=""),"",SUMIFS('Barang Keluar'!$E:$E,'Barang Keluar'!$A:$A,M36354,'Barang Keluar'!$C:$C,N36354))</f>
        <v>0</v>
      </c>
    </row>
    <row r="36355" spans="13:16">
      <c r="M36355" s="49">
        <f>IF($A$4+363&gt;$B$4,"",$A$4+363)</f>
        <v>46386</v>
      </c>
      <c r="N36355">
        <f>IF(M36355="","",'Master Barang'!A49)</f>
        <v>0</v>
      </c>
      <c r="O36355">
        <f>IF(N36355="","",'Master Barang'!B49)</f>
        <v>0</v>
      </c>
      <c r="P36355">
        <f>IF(OR(M36355="",N36355=""),"",SUMIFS('Barang Keluar'!$E:$E,'Barang Keluar'!$A:$A,M36355,'Barang Keluar'!$C:$C,N36355))</f>
        <v>0</v>
      </c>
    </row>
    <row r="36356" spans="13:16">
      <c r="M36356" s="49">
        <f>IF($A$4+363&gt;$B$4,"",$A$4+363)</f>
        <v>46386</v>
      </c>
      <c r="N36356">
        <f>IF(M36356="","",'Master Barang'!A50)</f>
        <v>0</v>
      </c>
      <c r="O36356">
        <f>IF(N36356="","",'Master Barang'!B50)</f>
        <v>0</v>
      </c>
      <c r="P36356">
        <f>IF(OR(M36356="",N36356=""),"",SUMIFS('Barang Keluar'!$E:$E,'Barang Keluar'!$A:$A,M36356,'Barang Keluar'!$C:$C,N36356))</f>
        <v>0</v>
      </c>
    </row>
    <row r="36357" spans="13:16">
      <c r="M36357" s="49">
        <f>IF($A$4+363&gt;$B$4,"",$A$4+363)</f>
        <v>46386</v>
      </c>
      <c r="N36357">
        <f>IF(M36357="","",'Master Barang'!A51)</f>
        <v>0</v>
      </c>
      <c r="O36357">
        <f>IF(N36357="","",'Master Barang'!B51)</f>
        <v>0</v>
      </c>
      <c r="P36357">
        <f>IF(OR(M36357="",N36357=""),"",SUMIFS('Barang Keluar'!$E:$E,'Barang Keluar'!$A:$A,M36357,'Barang Keluar'!$C:$C,N36357))</f>
        <v>0</v>
      </c>
    </row>
    <row r="36358" spans="13:16">
      <c r="M36358" s="49">
        <f>IF($A$4+363&gt;$B$4,"",$A$4+363)</f>
        <v>46386</v>
      </c>
      <c r="N36358">
        <f>IF(M36358="","",'Master Barang'!A52)</f>
        <v>0</v>
      </c>
      <c r="O36358">
        <f>IF(N36358="","",'Master Barang'!B52)</f>
        <v>0</v>
      </c>
      <c r="P36358">
        <f>IF(OR(M36358="",N36358=""),"",SUMIFS('Barang Keluar'!$E:$E,'Barang Keluar'!$A:$A,M36358,'Barang Keluar'!$C:$C,N36358))</f>
        <v>0</v>
      </c>
    </row>
    <row r="36359" spans="13:16">
      <c r="M36359" s="49">
        <f>IF($A$4+363&gt;$B$4,"",$A$4+363)</f>
        <v>46386</v>
      </c>
      <c r="N36359">
        <f>IF(M36359="","",'Master Barang'!A53)</f>
        <v>0</v>
      </c>
      <c r="O36359">
        <f>IF(N36359="","",'Master Barang'!B53)</f>
        <v>0</v>
      </c>
      <c r="P36359">
        <f>IF(OR(M36359="",N36359=""),"",SUMIFS('Barang Keluar'!$E:$E,'Barang Keluar'!$A:$A,M36359,'Barang Keluar'!$C:$C,N36359))</f>
        <v>0</v>
      </c>
    </row>
    <row r="36360" spans="13:16">
      <c r="M36360" s="49">
        <f>IF($A$4+363&gt;$B$4,"",$A$4+363)</f>
        <v>46386</v>
      </c>
      <c r="N36360">
        <f>IF(M36360="","",'Master Barang'!A54)</f>
        <v>0</v>
      </c>
      <c r="O36360">
        <f>IF(N36360="","",'Master Barang'!B54)</f>
        <v>0</v>
      </c>
      <c r="P36360">
        <f>IF(OR(M36360="",N36360=""),"",SUMIFS('Barang Keluar'!$E:$E,'Barang Keluar'!$A:$A,M36360,'Barang Keluar'!$C:$C,N36360))</f>
        <v>0</v>
      </c>
    </row>
    <row r="36361" spans="13:16">
      <c r="M36361" s="49">
        <f>IF($A$4+363&gt;$B$4,"",$A$4+363)</f>
        <v>46386</v>
      </c>
      <c r="N36361">
        <f>IF(M36361="","",'Master Barang'!A55)</f>
        <v>0</v>
      </c>
      <c r="O36361">
        <f>IF(N36361="","",'Master Barang'!B55)</f>
        <v>0</v>
      </c>
      <c r="P36361">
        <f>IF(OR(M36361="",N36361=""),"",SUMIFS('Barang Keluar'!$E:$E,'Barang Keluar'!$A:$A,M36361,'Barang Keluar'!$C:$C,N36361))</f>
        <v>0</v>
      </c>
    </row>
    <row r="36362" spans="13:16">
      <c r="M36362" s="49">
        <f>IF($A$4+363&gt;$B$4,"",$A$4+363)</f>
        <v>46386</v>
      </c>
      <c r="N36362">
        <f>IF(M36362="","",'Master Barang'!A56)</f>
        <v>0</v>
      </c>
      <c r="O36362">
        <f>IF(N36362="","",'Master Barang'!B56)</f>
        <v>0</v>
      </c>
      <c r="P36362">
        <f>IF(OR(M36362="",N36362=""),"",SUMIFS('Barang Keluar'!$E:$E,'Barang Keluar'!$A:$A,M36362,'Barang Keluar'!$C:$C,N36362))</f>
        <v>0</v>
      </c>
    </row>
    <row r="36363" spans="13:16">
      <c r="M36363" s="49">
        <f>IF($A$4+363&gt;$B$4,"",$A$4+363)</f>
        <v>46386</v>
      </c>
      <c r="N36363">
        <f>IF(M36363="","",'Master Barang'!A57)</f>
        <v>0</v>
      </c>
      <c r="O36363">
        <f>IF(N36363="","",'Master Barang'!B57)</f>
        <v>0</v>
      </c>
      <c r="P36363">
        <f>IF(OR(M36363="",N36363=""),"",SUMIFS('Barang Keluar'!$E:$E,'Barang Keluar'!$A:$A,M36363,'Barang Keluar'!$C:$C,N36363))</f>
        <v>0</v>
      </c>
    </row>
    <row r="36364" spans="13:16">
      <c r="M36364" s="49">
        <f>IF($A$4+363&gt;$B$4,"",$A$4+363)</f>
        <v>46386</v>
      </c>
      <c r="N36364">
        <f>IF(M36364="","",'Master Barang'!A58)</f>
        <v>0</v>
      </c>
      <c r="O36364">
        <f>IF(N36364="","",'Master Barang'!B58)</f>
        <v>0</v>
      </c>
      <c r="P36364">
        <f>IF(OR(M36364="",N36364=""),"",SUMIFS('Barang Keluar'!$E:$E,'Barang Keluar'!$A:$A,M36364,'Barang Keluar'!$C:$C,N36364))</f>
        <v>0</v>
      </c>
    </row>
    <row r="36365" spans="13:16">
      <c r="M36365" s="49">
        <f>IF($A$4+363&gt;$B$4,"",$A$4+363)</f>
        <v>46386</v>
      </c>
      <c r="N36365">
        <f>IF(M36365="","",'Master Barang'!A59)</f>
        <v>0</v>
      </c>
      <c r="O36365">
        <f>IF(N36365="","",'Master Barang'!B59)</f>
        <v>0</v>
      </c>
      <c r="P36365">
        <f>IF(OR(M36365="",N36365=""),"",SUMIFS('Barang Keluar'!$E:$E,'Barang Keluar'!$A:$A,M36365,'Barang Keluar'!$C:$C,N36365))</f>
        <v>0</v>
      </c>
    </row>
    <row r="36366" spans="13:16">
      <c r="M36366" s="49">
        <f>IF($A$4+363&gt;$B$4,"",$A$4+363)</f>
        <v>46386</v>
      </c>
      <c r="N36366">
        <f>IF(M36366="","",'Master Barang'!A60)</f>
        <v>0</v>
      </c>
      <c r="O36366">
        <f>IF(N36366="","",'Master Barang'!B60)</f>
        <v>0</v>
      </c>
      <c r="P36366">
        <f>IF(OR(M36366="",N36366=""),"",SUMIFS('Barang Keluar'!$E:$E,'Barang Keluar'!$A:$A,M36366,'Barang Keluar'!$C:$C,N36366))</f>
        <v>0</v>
      </c>
    </row>
    <row r="36367" spans="13:16">
      <c r="M36367" s="49">
        <f>IF($A$4+363&gt;$B$4,"",$A$4+363)</f>
        <v>46386</v>
      </c>
      <c r="N36367">
        <f>IF(M36367="","",'Master Barang'!A61)</f>
        <v>0</v>
      </c>
      <c r="O36367">
        <f>IF(N36367="","",'Master Barang'!B61)</f>
        <v>0</v>
      </c>
      <c r="P36367">
        <f>IF(OR(M36367="",N36367=""),"",SUMIFS('Barang Keluar'!$E:$E,'Barang Keluar'!$A:$A,M36367,'Barang Keluar'!$C:$C,N36367))</f>
        <v>0</v>
      </c>
    </row>
    <row r="36368" spans="13:16">
      <c r="M36368" s="49">
        <f>IF($A$4+363&gt;$B$4,"",$A$4+363)</f>
        <v>46386</v>
      </c>
      <c r="N36368">
        <f>IF(M36368="","",'Master Barang'!A62)</f>
        <v>0</v>
      </c>
      <c r="O36368">
        <f>IF(N36368="","",'Master Barang'!B62)</f>
        <v>0</v>
      </c>
      <c r="P36368">
        <f>IF(OR(M36368="",N36368=""),"",SUMIFS('Barang Keluar'!$E:$E,'Barang Keluar'!$A:$A,M36368,'Barang Keluar'!$C:$C,N36368))</f>
        <v>0</v>
      </c>
    </row>
    <row r="36369" spans="13:16">
      <c r="M36369" s="49">
        <f>IF($A$4+363&gt;$B$4,"",$A$4+363)</f>
        <v>46386</v>
      </c>
      <c r="N36369">
        <f>IF(M36369="","",'Master Barang'!A63)</f>
        <v>0</v>
      </c>
      <c r="O36369">
        <f>IF(N36369="","",'Master Barang'!B63)</f>
        <v>0</v>
      </c>
      <c r="P36369">
        <f>IF(OR(M36369="",N36369=""),"",SUMIFS('Barang Keluar'!$E:$E,'Barang Keluar'!$A:$A,M36369,'Barang Keluar'!$C:$C,N36369))</f>
        <v>0</v>
      </c>
    </row>
    <row r="36370" spans="13:16">
      <c r="M36370" s="49">
        <f>IF($A$4+363&gt;$B$4,"",$A$4+363)</f>
        <v>46386</v>
      </c>
      <c r="N36370">
        <f>IF(M36370="","",'Master Barang'!A64)</f>
        <v>0</v>
      </c>
      <c r="O36370">
        <f>IF(N36370="","",'Master Barang'!B64)</f>
        <v>0</v>
      </c>
      <c r="P36370">
        <f>IF(OR(M36370="",N36370=""),"",SUMIFS('Barang Keluar'!$E:$E,'Barang Keluar'!$A:$A,M36370,'Barang Keluar'!$C:$C,N36370))</f>
        <v>0</v>
      </c>
    </row>
    <row r="36371" spans="13:16">
      <c r="M36371" s="49">
        <f>IF($A$4+363&gt;$B$4,"",$A$4+363)</f>
        <v>46386</v>
      </c>
      <c r="N36371">
        <f>IF(M36371="","",'Master Barang'!A65)</f>
        <v>0</v>
      </c>
      <c r="O36371">
        <f>IF(N36371="","",'Master Barang'!B65)</f>
        <v>0</v>
      </c>
      <c r="P36371">
        <f>IF(OR(M36371="",N36371=""),"",SUMIFS('Barang Keluar'!$E:$E,'Barang Keluar'!$A:$A,M36371,'Barang Keluar'!$C:$C,N36371))</f>
        <v>0</v>
      </c>
    </row>
    <row r="36372" spans="13:16">
      <c r="M36372" s="49">
        <f>IF($A$4+363&gt;$B$4,"",$A$4+363)</f>
        <v>46386</v>
      </c>
      <c r="N36372">
        <f>IF(M36372="","",'Master Barang'!A66)</f>
        <v>0</v>
      </c>
      <c r="O36372">
        <f>IF(N36372="","",'Master Barang'!B66)</f>
        <v>0</v>
      </c>
      <c r="P36372">
        <f>IF(OR(M36372="",N36372=""),"",SUMIFS('Barang Keluar'!$E:$E,'Barang Keluar'!$A:$A,M36372,'Barang Keluar'!$C:$C,N36372))</f>
        <v>0</v>
      </c>
    </row>
    <row r="36373" spans="13:16">
      <c r="M36373" s="49">
        <f>IF($A$4+363&gt;$B$4,"",$A$4+363)</f>
        <v>46386</v>
      </c>
      <c r="N36373">
        <f>IF(M36373="","",'Master Barang'!A67)</f>
        <v>0</v>
      </c>
      <c r="O36373">
        <f>IF(N36373="","",'Master Barang'!B67)</f>
        <v>0</v>
      </c>
      <c r="P36373">
        <f>IF(OR(M36373="",N36373=""),"",SUMIFS('Barang Keluar'!$E:$E,'Barang Keluar'!$A:$A,M36373,'Barang Keluar'!$C:$C,N36373))</f>
        <v>0</v>
      </c>
    </row>
    <row r="36374" spans="13:16">
      <c r="M36374" s="49">
        <f>IF($A$4+363&gt;$B$4,"",$A$4+363)</f>
        <v>46386</v>
      </c>
      <c r="N36374">
        <f>IF(M36374="","",'Master Barang'!A68)</f>
        <v>0</v>
      </c>
      <c r="O36374">
        <f>IF(N36374="","",'Master Barang'!B68)</f>
        <v>0</v>
      </c>
      <c r="P36374">
        <f>IF(OR(M36374="",N36374=""),"",SUMIFS('Barang Keluar'!$E:$E,'Barang Keluar'!$A:$A,M36374,'Barang Keluar'!$C:$C,N36374))</f>
        <v>0</v>
      </c>
    </row>
    <row r="36375" spans="13:16">
      <c r="M36375" s="49">
        <f>IF($A$4+363&gt;$B$4,"",$A$4+363)</f>
        <v>46386</v>
      </c>
      <c r="N36375">
        <f>IF(M36375="","",'Master Barang'!A69)</f>
        <v>0</v>
      </c>
      <c r="O36375">
        <f>IF(N36375="","",'Master Barang'!B69)</f>
        <v>0</v>
      </c>
      <c r="P36375">
        <f>IF(OR(M36375="",N36375=""),"",SUMIFS('Barang Keluar'!$E:$E,'Barang Keluar'!$A:$A,M36375,'Barang Keluar'!$C:$C,N36375))</f>
        <v>0</v>
      </c>
    </row>
    <row r="36376" spans="13:16">
      <c r="M36376" s="49">
        <f>IF($A$4+363&gt;$B$4,"",$A$4+363)</f>
        <v>46386</v>
      </c>
      <c r="N36376">
        <f>IF(M36376="","",'Master Barang'!A70)</f>
        <v>0</v>
      </c>
      <c r="O36376">
        <f>IF(N36376="","",'Master Barang'!B70)</f>
        <v>0</v>
      </c>
      <c r="P36376">
        <f>IF(OR(M36376="",N36376=""),"",SUMIFS('Barang Keluar'!$E:$E,'Barang Keluar'!$A:$A,M36376,'Barang Keluar'!$C:$C,N36376))</f>
        <v>0</v>
      </c>
    </row>
    <row r="36377" spans="13:16">
      <c r="M36377" s="49">
        <f>IF($A$4+363&gt;$B$4,"",$A$4+363)</f>
        <v>46386</v>
      </c>
      <c r="N36377">
        <f>IF(M36377="","",'Master Barang'!A71)</f>
        <v>0</v>
      </c>
      <c r="O36377">
        <f>IF(N36377="","",'Master Barang'!B71)</f>
        <v>0</v>
      </c>
      <c r="P36377">
        <f>IF(OR(M36377="",N36377=""),"",SUMIFS('Barang Keluar'!$E:$E,'Barang Keluar'!$A:$A,M36377,'Barang Keluar'!$C:$C,N36377))</f>
        <v>0</v>
      </c>
    </row>
    <row r="36378" spans="13:16">
      <c r="M36378" s="49">
        <f>IF($A$4+363&gt;$B$4,"",$A$4+363)</f>
        <v>46386</v>
      </c>
      <c r="N36378">
        <f>IF(M36378="","",'Master Barang'!A72)</f>
        <v>0</v>
      </c>
      <c r="O36378">
        <f>IF(N36378="","",'Master Barang'!B72)</f>
        <v>0</v>
      </c>
      <c r="P36378">
        <f>IF(OR(M36378="",N36378=""),"",SUMIFS('Barang Keluar'!$E:$E,'Barang Keluar'!$A:$A,M36378,'Barang Keluar'!$C:$C,N36378))</f>
        <v>0</v>
      </c>
    </row>
    <row r="36379" spans="13:16">
      <c r="M36379" s="49">
        <f>IF($A$4+363&gt;$B$4,"",$A$4+363)</f>
        <v>46386</v>
      </c>
      <c r="N36379">
        <f>IF(M36379="","",'Master Barang'!A73)</f>
        <v>0</v>
      </c>
      <c r="O36379">
        <f>IF(N36379="","",'Master Barang'!B73)</f>
        <v>0</v>
      </c>
      <c r="P36379">
        <f>IF(OR(M36379="",N36379=""),"",SUMIFS('Barang Keluar'!$E:$E,'Barang Keluar'!$A:$A,M36379,'Barang Keluar'!$C:$C,N36379))</f>
        <v>0</v>
      </c>
    </row>
    <row r="36380" spans="13:16">
      <c r="M36380" s="49">
        <f>IF($A$4+363&gt;$B$4,"",$A$4+363)</f>
        <v>46386</v>
      </c>
      <c r="N36380">
        <f>IF(M36380="","",'Master Barang'!A74)</f>
        <v>0</v>
      </c>
      <c r="O36380">
        <f>IF(N36380="","",'Master Barang'!B74)</f>
        <v>0</v>
      </c>
      <c r="P36380">
        <f>IF(OR(M36380="",N36380=""),"",SUMIFS('Barang Keluar'!$E:$E,'Barang Keluar'!$A:$A,M36380,'Barang Keluar'!$C:$C,N36380))</f>
        <v>0</v>
      </c>
    </row>
    <row r="36381" spans="13:16">
      <c r="M36381" s="49">
        <f>IF($A$4+363&gt;$B$4,"",$A$4+363)</f>
        <v>46386</v>
      </c>
      <c r="N36381">
        <f>IF(M36381="","",'Master Barang'!A75)</f>
        <v>0</v>
      </c>
      <c r="O36381">
        <f>IF(N36381="","",'Master Barang'!B75)</f>
        <v>0</v>
      </c>
      <c r="P36381">
        <f>IF(OR(M36381="",N36381=""),"",SUMIFS('Barang Keluar'!$E:$E,'Barang Keluar'!$A:$A,M36381,'Barang Keluar'!$C:$C,N36381))</f>
        <v>0</v>
      </c>
    </row>
    <row r="36382" spans="13:16">
      <c r="M36382" s="49">
        <f>IF($A$4+363&gt;$B$4,"",$A$4+363)</f>
        <v>46386</v>
      </c>
      <c r="N36382">
        <f>IF(M36382="","",'Master Barang'!A76)</f>
        <v>0</v>
      </c>
      <c r="O36382">
        <f>IF(N36382="","",'Master Barang'!B76)</f>
        <v>0</v>
      </c>
      <c r="P36382">
        <f>IF(OR(M36382="",N36382=""),"",SUMIFS('Barang Keluar'!$E:$E,'Barang Keluar'!$A:$A,M36382,'Barang Keluar'!$C:$C,N36382))</f>
        <v>0</v>
      </c>
    </row>
    <row r="36383" spans="13:16">
      <c r="M36383" s="49">
        <f>IF($A$4+363&gt;$B$4,"",$A$4+363)</f>
        <v>46386</v>
      </c>
      <c r="N36383">
        <f>IF(M36383="","",'Master Barang'!A77)</f>
        <v>0</v>
      </c>
      <c r="O36383">
        <f>IF(N36383="","",'Master Barang'!B77)</f>
        <v>0</v>
      </c>
      <c r="P36383">
        <f>IF(OR(M36383="",N36383=""),"",SUMIFS('Barang Keluar'!$E:$E,'Barang Keluar'!$A:$A,M36383,'Barang Keluar'!$C:$C,N36383))</f>
        <v>0</v>
      </c>
    </row>
    <row r="36384" spans="13:16">
      <c r="M36384" s="49">
        <f>IF($A$4+363&gt;$B$4,"",$A$4+363)</f>
        <v>46386</v>
      </c>
      <c r="N36384">
        <f>IF(M36384="","",'Master Barang'!A78)</f>
        <v>0</v>
      </c>
      <c r="O36384">
        <f>IF(N36384="","",'Master Barang'!B78)</f>
        <v>0</v>
      </c>
      <c r="P36384">
        <f>IF(OR(M36384="",N36384=""),"",SUMIFS('Barang Keluar'!$E:$E,'Barang Keluar'!$A:$A,M36384,'Barang Keluar'!$C:$C,N36384))</f>
        <v>0</v>
      </c>
    </row>
    <row r="36385" spans="13:16">
      <c r="M36385" s="49">
        <f>IF($A$4+363&gt;$B$4,"",$A$4+363)</f>
        <v>46386</v>
      </c>
      <c r="N36385">
        <f>IF(M36385="","",'Master Barang'!A79)</f>
        <v>0</v>
      </c>
      <c r="O36385">
        <f>IF(N36385="","",'Master Barang'!B79)</f>
        <v>0</v>
      </c>
      <c r="P36385">
        <f>IF(OR(M36385="",N36385=""),"",SUMIFS('Barang Keluar'!$E:$E,'Barang Keluar'!$A:$A,M36385,'Barang Keluar'!$C:$C,N36385))</f>
        <v>0</v>
      </c>
    </row>
    <row r="36386" spans="13:16">
      <c r="M36386" s="49">
        <f>IF($A$4+363&gt;$B$4,"",$A$4+363)</f>
        <v>46386</v>
      </c>
      <c r="N36386">
        <f>IF(M36386="","",'Master Barang'!A80)</f>
        <v>0</v>
      </c>
      <c r="O36386">
        <f>IF(N36386="","",'Master Barang'!B80)</f>
        <v>0</v>
      </c>
      <c r="P36386">
        <f>IF(OR(M36386="",N36386=""),"",SUMIFS('Barang Keluar'!$E:$E,'Barang Keluar'!$A:$A,M36386,'Barang Keluar'!$C:$C,N36386))</f>
        <v>0</v>
      </c>
    </row>
    <row r="36387" spans="13:16">
      <c r="M36387" s="49">
        <f>IF($A$4+363&gt;$B$4,"",$A$4+363)</f>
        <v>46386</v>
      </c>
      <c r="N36387">
        <f>IF(M36387="","",'Master Barang'!A81)</f>
        <v>0</v>
      </c>
      <c r="O36387">
        <f>IF(N36387="","",'Master Barang'!B81)</f>
        <v>0</v>
      </c>
      <c r="P36387">
        <f>IF(OR(M36387="",N36387=""),"",SUMIFS('Barang Keluar'!$E:$E,'Barang Keluar'!$A:$A,M36387,'Barang Keluar'!$C:$C,N36387))</f>
        <v>0</v>
      </c>
    </row>
    <row r="36388" spans="13:16">
      <c r="M36388" s="49">
        <f>IF($A$4+363&gt;$B$4,"",$A$4+363)</f>
        <v>46386</v>
      </c>
      <c r="N36388">
        <f>IF(M36388="","",'Master Barang'!A82)</f>
        <v>0</v>
      </c>
      <c r="O36388">
        <f>IF(N36388="","",'Master Barang'!B82)</f>
        <v>0</v>
      </c>
      <c r="P36388">
        <f>IF(OR(M36388="",N36388=""),"",SUMIFS('Barang Keluar'!$E:$E,'Barang Keluar'!$A:$A,M36388,'Barang Keluar'!$C:$C,N36388))</f>
        <v>0</v>
      </c>
    </row>
    <row r="36389" spans="13:16">
      <c r="M36389" s="49">
        <f>IF($A$4+363&gt;$B$4,"",$A$4+363)</f>
        <v>46386</v>
      </c>
      <c r="N36389">
        <f>IF(M36389="","",'Master Barang'!A83)</f>
        <v>0</v>
      </c>
      <c r="O36389">
        <f>IF(N36389="","",'Master Barang'!B83)</f>
        <v>0</v>
      </c>
      <c r="P36389">
        <f>IF(OR(M36389="",N36389=""),"",SUMIFS('Barang Keluar'!$E:$E,'Barang Keluar'!$A:$A,M36389,'Barang Keluar'!$C:$C,N36389))</f>
        <v>0</v>
      </c>
    </row>
    <row r="36390" spans="13:16">
      <c r="M36390" s="49">
        <f>IF($A$4+363&gt;$B$4,"",$A$4+363)</f>
        <v>46386</v>
      </c>
      <c r="N36390">
        <f>IF(M36390="","",'Master Barang'!A84)</f>
        <v>0</v>
      </c>
      <c r="O36390">
        <f>IF(N36390="","",'Master Barang'!B84)</f>
        <v>0</v>
      </c>
      <c r="P36390">
        <f>IF(OR(M36390="",N36390=""),"",SUMIFS('Barang Keluar'!$E:$E,'Barang Keluar'!$A:$A,M36390,'Barang Keluar'!$C:$C,N36390))</f>
        <v>0</v>
      </c>
    </row>
    <row r="36391" spans="13:16">
      <c r="M36391" s="49">
        <f>IF($A$4+363&gt;$B$4,"",$A$4+363)</f>
        <v>46386</v>
      </c>
      <c r="N36391">
        <f>IF(M36391="","",'Master Barang'!A85)</f>
        <v>0</v>
      </c>
      <c r="O36391">
        <f>IF(N36391="","",'Master Barang'!B85)</f>
        <v>0</v>
      </c>
      <c r="P36391">
        <f>IF(OR(M36391="",N36391=""),"",SUMIFS('Barang Keluar'!$E:$E,'Barang Keluar'!$A:$A,M36391,'Barang Keluar'!$C:$C,N36391))</f>
        <v>0</v>
      </c>
    </row>
    <row r="36392" spans="13:16">
      <c r="M36392" s="49">
        <f>IF($A$4+363&gt;$B$4,"",$A$4+363)</f>
        <v>46386</v>
      </c>
      <c r="N36392">
        <f>IF(M36392="","",'Master Barang'!A86)</f>
        <v>0</v>
      </c>
      <c r="O36392">
        <f>IF(N36392="","",'Master Barang'!B86)</f>
        <v>0</v>
      </c>
      <c r="P36392">
        <f>IF(OR(M36392="",N36392=""),"",SUMIFS('Barang Keluar'!$E:$E,'Barang Keluar'!$A:$A,M36392,'Barang Keluar'!$C:$C,N36392))</f>
        <v>0</v>
      </c>
    </row>
    <row r="36393" spans="13:16">
      <c r="M36393" s="49">
        <f>IF($A$4+363&gt;$B$4,"",$A$4+363)</f>
        <v>46386</v>
      </c>
      <c r="N36393">
        <f>IF(M36393="","",'Master Barang'!A87)</f>
        <v>0</v>
      </c>
      <c r="O36393">
        <f>IF(N36393="","",'Master Barang'!B87)</f>
        <v>0</v>
      </c>
      <c r="P36393">
        <f>IF(OR(M36393="",N36393=""),"",SUMIFS('Barang Keluar'!$E:$E,'Barang Keluar'!$A:$A,M36393,'Barang Keluar'!$C:$C,N36393))</f>
        <v>0</v>
      </c>
    </row>
    <row r="36394" spans="13:16">
      <c r="M36394" s="49">
        <f>IF($A$4+363&gt;$B$4,"",$A$4+363)</f>
        <v>46386</v>
      </c>
      <c r="N36394">
        <f>IF(M36394="","",'Master Barang'!A88)</f>
        <v>0</v>
      </c>
      <c r="O36394">
        <f>IF(N36394="","",'Master Barang'!B88)</f>
        <v>0</v>
      </c>
      <c r="P36394">
        <f>IF(OR(M36394="",N36394=""),"",SUMIFS('Barang Keluar'!$E:$E,'Barang Keluar'!$A:$A,M36394,'Barang Keluar'!$C:$C,N36394))</f>
        <v>0</v>
      </c>
    </row>
    <row r="36395" spans="13:16">
      <c r="M36395" s="49">
        <f>IF($A$4+363&gt;$B$4,"",$A$4+363)</f>
        <v>46386</v>
      </c>
      <c r="N36395">
        <f>IF(M36395="","",'Master Barang'!A89)</f>
        <v>0</v>
      </c>
      <c r="O36395">
        <f>IF(N36395="","",'Master Barang'!B89)</f>
        <v>0</v>
      </c>
      <c r="P36395">
        <f>IF(OR(M36395="",N36395=""),"",SUMIFS('Barang Keluar'!$E:$E,'Barang Keluar'!$A:$A,M36395,'Barang Keluar'!$C:$C,N36395))</f>
        <v>0</v>
      </c>
    </row>
    <row r="36396" spans="13:16">
      <c r="M36396" s="49">
        <f>IF($A$4+363&gt;$B$4,"",$A$4+363)</f>
        <v>46386</v>
      </c>
      <c r="N36396">
        <f>IF(M36396="","",'Master Barang'!A90)</f>
        <v>0</v>
      </c>
      <c r="O36396">
        <f>IF(N36396="","",'Master Barang'!B90)</f>
        <v>0</v>
      </c>
      <c r="P36396">
        <f>IF(OR(M36396="",N36396=""),"",SUMIFS('Barang Keluar'!$E:$E,'Barang Keluar'!$A:$A,M36396,'Barang Keluar'!$C:$C,N36396))</f>
        <v>0</v>
      </c>
    </row>
    <row r="36397" spans="13:16">
      <c r="M36397" s="49">
        <f>IF($A$4+363&gt;$B$4,"",$A$4+363)</f>
        <v>46386</v>
      </c>
      <c r="N36397">
        <f>IF(M36397="","",'Master Barang'!A91)</f>
        <v>0</v>
      </c>
      <c r="O36397">
        <f>IF(N36397="","",'Master Barang'!B91)</f>
        <v>0</v>
      </c>
      <c r="P36397">
        <f>IF(OR(M36397="",N36397=""),"",SUMIFS('Barang Keluar'!$E:$E,'Barang Keluar'!$A:$A,M36397,'Barang Keluar'!$C:$C,N36397))</f>
        <v>0</v>
      </c>
    </row>
    <row r="36398" spans="13:16">
      <c r="M36398" s="49">
        <f>IF($A$4+363&gt;$B$4,"",$A$4+363)</f>
        <v>46386</v>
      </c>
      <c r="N36398">
        <f>IF(M36398="","",'Master Barang'!A92)</f>
        <v>0</v>
      </c>
      <c r="O36398">
        <f>IF(N36398="","",'Master Barang'!B92)</f>
        <v>0</v>
      </c>
      <c r="P36398">
        <f>IF(OR(M36398="",N36398=""),"",SUMIFS('Barang Keluar'!$E:$E,'Barang Keluar'!$A:$A,M36398,'Barang Keluar'!$C:$C,N36398))</f>
        <v>0</v>
      </c>
    </row>
    <row r="36399" spans="13:16">
      <c r="M36399" s="49">
        <f>IF($A$4+363&gt;$B$4,"",$A$4+363)</f>
        <v>46386</v>
      </c>
      <c r="N36399">
        <f>IF(M36399="","",'Master Barang'!A93)</f>
        <v>0</v>
      </c>
      <c r="O36399">
        <f>IF(N36399="","",'Master Barang'!B93)</f>
        <v>0</v>
      </c>
      <c r="P36399">
        <f>IF(OR(M36399="",N36399=""),"",SUMIFS('Barang Keluar'!$E:$E,'Barang Keluar'!$A:$A,M36399,'Barang Keluar'!$C:$C,N36399))</f>
        <v>0</v>
      </c>
    </row>
    <row r="36400" spans="13:16">
      <c r="M36400" s="49">
        <f>IF($A$4+363&gt;$B$4,"",$A$4+363)</f>
        <v>46386</v>
      </c>
      <c r="N36400">
        <f>IF(M36400="","",'Master Barang'!A94)</f>
        <v>0</v>
      </c>
      <c r="O36400">
        <f>IF(N36400="","",'Master Barang'!B94)</f>
        <v>0</v>
      </c>
      <c r="P36400">
        <f>IF(OR(M36400="",N36400=""),"",SUMIFS('Barang Keluar'!$E:$E,'Barang Keluar'!$A:$A,M36400,'Barang Keluar'!$C:$C,N36400))</f>
        <v>0</v>
      </c>
    </row>
    <row r="36401" spans="13:16">
      <c r="M36401" s="49">
        <f>IF($A$4+363&gt;$B$4,"",$A$4+363)</f>
        <v>46386</v>
      </c>
      <c r="N36401">
        <f>IF(M36401="","",'Master Barang'!A95)</f>
        <v>0</v>
      </c>
      <c r="O36401">
        <f>IF(N36401="","",'Master Barang'!B95)</f>
        <v>0</v>
      </c>
      <c r="P36401">
        <f>IF(OR(M36401="",N36401=""),"",SUMIFS('Barang Keluar'!$E:$E,'Barang Keluar'!$A:$A,M36401,'Barang Keluar'!$C:$C,N36401))</f>
        <v>0</v>
      </c>
    </row>
    <row r="36402" spans="13:16">
      <c r="M36402" s="49">
        <f>IF($A$4+363&gt;$B$4,"",$A$4+363)</f>
        <v>46386</v>
      </c>
      <c r="N36402">
        <f>IF(M36402="","",'Master Barang'!A96)</f>
        <v>0</v>
      </c>
      <c r="O36402">
        <f>IF(N36402="","",'Master Barang'!B96)</f>
        <v>0</v>
      </c>
      <c r="P36402">
        <f>IF(OR(M36402="",N36402=""),"",SUMIFS('Barang Keluar'!$E:$E,'Barang Keluar'!$A:$A,M36402,'Barang Keluar'!$C:$C,N36402))</f>
        <v>0</v>
      </c>
    </row>
    <row r="36403" spans="13:16">
      <c r="M36403" s="49">
        <f>IF($A$4+363&gt;$B$4,"",$A$4+363)</f>
        <v>46386</v>
      </c>
      <c r="N36403">
        <f>IF(M36403="","",'Master Barang'!A97)</f>
        <v>0</v>
      </c>
      <c r="O36403">
        <f>IF(N36403="","",'Master Barang'!B97)</f>
        <v>0</v>
      </c>
      <c r="P36403">
        <f>IF(OR(M36403="",N36403=""),"",SUMIFS('Barang Keluar'!$E:$E,'Barang Keluar'!$A:$A,M36403,'Barang Keluar'!$C:$C,N36403))</f>
        <v>0</v>
      </c>
    </row>
    <row r="36404" spans="13:16">
      <c r="M36404" s="49">
        <f>IF($A$4+363&gt;$B$4,"",$A$4+363)</f>
        <v>46386</v>
      </c>
      <c r="N36404">
        <f>IF(M36404="","",'Master Barang'!A98)</f>
        <v>0</v>
      </c>
      <c r="O36404">
        <f>IF(N36404="","",'Master Barang'!B98)</f>
        <v>0</v>
      </c>
      <c r="P36404">
        <f>IF(OR(M36404="",N36404=""),"",SUMIFS('Barang Keluar'!$E:$E,'Barang Keluar'!$A:$A,M36404,'Barang Keluar'!$C:$C,N36404))</f>
        <v>0</v>
      </c>
    </row>
    <row r="36405" spans="13:16">
      <c r="M36405" s="49">
        <f>IF($A$4+363&gt;$B$4,"",$A$4+363)</f>
        <v>46386</v>
      </c>
      <c r="N36405">
        <f>IF(M36405="","",'Master Barang'!A99)</f>
        <v>0</v>
      </c>
      <c r="O36405">
        <f>IF(N36405="","",'Master Barang'!B99)</f>
        <v>0</v>
      </c>
      <c r="P36405">
        <f>IF(OR(M36405="",N36405=""),"",SUMIFS('Barang Keluar'!$E:$E,'Barang Keluar'!$A:$A,M36405,'Barang Keluar'!$C:$C,N36405))</f>
        <v>0</v>
      </c>
    </row>
    <row r="36406" spans="13:16">
      <c r="M36406" s="49">
        <f>IF($A$4+363&gt;$B$4,"",$A$4+363)</f>
        <v>46386</v>
      </c>
      <c r="N36406">
        <f>IF(M36406="","",'Master Barang'!A100)</f>
        <v>0</v>
      </c>
      <c r="O36406">
        <f>IF(N36406="","",'Master Barang'!B100)</f>
        <v>0</v>
      </c>
      <c r="P36406">
        <f>IF(OR(M36406="",N36406=""),"",SUMIFS('Barang Keluar'!$E:$E,'Barang Keluar'!$A:$A,M36406,'Barang Keluar'!$C:$C,N36406))</f>
        <v>0</v>
      </c>
    </row>
    <row r="36407" spans="13:16">
      <c r="M36407" s="49">
        <f>IF($A$4+363&gt;$B$4,"",$A$4+363)</f>
        <v>46386</v>
      </c>
      <c r="N36407">
        <f>IF(M36407="","",'Master Barang'!A101)</f>
        <v>0</v>
      </c>
      <c r="O36407">
        <f>IF(N36407="","",'Master Barang'!B101)</f>
        <v>0</v>
      </c>
      <c r="P36407">
        <f>IF(OR(M36407="",N36407=""),"",SUMIFS('Barang Keluar'!$E:$E,'Barang Keluar'!$A:$A,M36407,'Barang Keluar'!$C:$C,N36407))</f>
        <v>0</v>
      </c>
    </row>
    <row r="36408" spans="13:16">
      <c r="M36408" s="49">
        <f>IF($A$4+364&gt;$B$4,"",$A$4+364)</f>
        <v>46387</v>
      </c>
      <c r="N36408" t="str">
        <f>IF(M36408="","",'Master Barang'!A2)</f>
        <v>PRL-001</v>
      </c>
      <c r="O36408" t="str">
        <f>IF(N36408="","",'Master Barang'!B2)</f>
        <v>natura desinfectant food grade 5l</v>
      </c>
      <c r="P36408">
        <f>IF(OR(M36408="",N36408=""),"",SUMIFS('Barang Keluar'!$E:$E,'Barang Keluar'!$A:$A,M36408,'Barang Keluar'!$C:$C,N36408))</f>
        <v>0</v>
      </c>
    </row>
    <row r="36409" spans="13:16">
      <c r="M36409" s="49">
        <f>IF($A$4+364&gt;$B$4,"",$A$4+364)</f>
        <v>46387</v>
      </c>
      <c r="N36409" t="str">
        <f>IF(M36409="","",'Master Barang'!A3)</f>
        <v>PRL-002</v>
      </c>
      <c r="O36409" t="str">
        <f>IF(N36409="","",'Master Barang'!B3)</f>
        <v>sunlight cairan pencuci piring 5l</v>
      </c>
      <c r="P36409">
        <f>IF(OR(M36409="",N36409=""),"",SUMIFS('Barang Keluar'!$E:$E,'Barang Keluar'!$A:$A,M36409,'Barang Keluar'!$C:$C,N36409))</f>
        <v>0</v>
      </c>
    </row>
    <row r="36410" spans="13:16">
      <c r="M36410" s="49">
        <f>IF($A$4+364&gt;$B$4,"",$A$4+364)</f>
        <v>46387</v>
      </c>
      <c r="N36410" t="str">
        <f>IF(M36410="","",'Master Barang'!A4)</f>
        <v>PRL-003</v>
      </c>
      <c r="O36410" t="str">
        <f>IF(N36410="","",'Master Barang'!B4)</f>
        <v>oixs cleaner 1l</v>
      </c>
      <c r="P36410">
        <f>IF(OR(M36410="",N36410=""),"",SUMIFS('Barang Keluar'!$E:$E,'Barang Keluar'!$A:$A,M36410,'Barang Keluar'!$C:$C,N36410))</f>
        <v>0</v>
      </c>
    </row>
    <row r="36411" spans="13:16">
      <c r="M36411" s="49">
        <f>IF($A$4+364&gt;$B$4,"",$A$4+364)</f>
        <v>46387</v>
      </c>
      <c r="N36411" t="str">
        <f>IF(M36411="","",'Master Barang'!A5)</f>
        <v>PRL-004</v>
      </c>
      <c r="O36411" t="str">
        <f>IF(N36411="","",'Master Barang'!B5)</f>
        <v>be clean tissue serbaguna</v>
      </c>
      <c r="P36411">
        <f>IF(OR(M36411="",N36411=""),"",SUMIFS('Barang Keluar'!$E:$E,'Barang Keluar'!$A:$A,M36411,'Barang Keluar'!$C:$C,N36411))</f>
        <v>0</v>
      </c>
    </row>
    <row r="36412" spans="13:16">
      <c r="M36412" s="49">
        <f>IF($A$4+364&gt;$B$4,"",$A$4+364)</f>
        <v>46387</v>
      </c>
      <c r="N36412" t="str">
        <f>IF(M36412="","",'Master Barang'!A6)</f>
        <v>PRL-005</v>
      </c>
      <c r="O36412" t="str">
        <f>IF(N36412="","",'Master Barang'!B6)</f>
        <v>spons cuci hijau</v>
      </c>
      <c r="P36412">
        <f>IF(OR(M36412="",N36412=""),"",SUMIFS('Barang Keluar'!$E:$E,'Barang Keluar'!$A:$A,M36412,'Barang Keluar'!$C:$C,N36412))</f>
        <v>0</v>
      </c>
    </row>
    <row r="36413" spans="13:16">
      <c r="M36413" s="49">
        <f>IF($A$4+364&gt;$B$4,"",$A$4+364)</f>
        <v>46387</v>
      </c>
      <c r="N36413" t="str">
        <f>IF(M36413="","",'Master Barang'!A7)</f>
        <v>PRL-006</v>
      </c>
      <c r="O36413" t="str">
        <f>IF(N36413="","",'Master Barang'!B7)</f>
        <v>sabut cuci stainless</v>
      </c>
      <c r="P36413">
        <f>IF(OR(M36413="",N36413=""),"",SUMIFS('Barang Keluar'!$E:$E,'Barang Keluar'!$A:$A,M36413,'Barang Keluar'!$C:$C,N36413))</f>
        <v>0</v>
      </c>
    </row>
    <row r="36414" spans="13:16">
      <c r="M36414" s="49">
        <f>IF($A$4+364&gt;$B$4,"",$A$4+364)</f>
        <v>46387</v>
      </c>
      <c r="N36414" t="str">
        <f>IF(M36414="","",'Master Barang'!A8)</f>
        <v>PRL-007</v>
      </c>
      <c r="O36414" t="str">
        <f>IF(N36414="","",'Master Barang'!B8)</f>
        <v>plastik kresek besar merah 50pc</v>
      </c>
      <c r="P36414">
        <f>IF(OR(M36414="",N36414=""),"",SUMIFS('Barang Keluar'!$E:$E,'Barang Keluar'!$A:$A,M36414,'Barang Keluar'!$C:$C,N36414))</f>
        <v>0</v>
      </c>
    </row>
    <row r="36415" spans="13:16">
      <c r="M36415" s="49">
        <f>IF($A$4+364&gt;$B$4,"",$A$4+364)</f>
        <v>46387</v>
      </c>
      <c r="N36415" t="str">
        <f>IF(M36415="","",'Master Barang'!A9)</f>
        <v>PRL-008</v>
      </c>
      <c r="O36415" t="str">
        <f>IF(N36415="","",'Master Barang'!B9)</f>
        <v>lap besar</v>
      </c>
      <c r="P36415">
        <f>IF(OR(M36415="",N36415=""),"",SUMIFS('Barang Keluar'!$E:$E,'Barang Keluar'!$A:$A,M36415,'Barang Keluar'!$C:$C,N36415))</f>
        <v>0</v>
      </c>
    </row>
    <row r="36416" spans="13:16">
      <c r="M36416" s="49">
        <f>IF($A$4+364&gt;$B$4,"",$A$4+364)</f>
        <v>46387</v>
      </c>
      <c r="N36416" t="str">
        <f>IF(M36416="","",'Master Barang'!A10)</f>
        <v>PRL-009</v>
      </c>
      <c r="O36416" t="str">
        <f>IF(N36416="","",'Master Barang'!B10)</f>
        <v>lap microfiber</v>
      </c>
      <c r="P36416">
        <f>IF(OR(M36416="",N36416=""),"",SUMIFS('Barang Keluar'!$E:$E,'Barang Keluar'!$A:$A,M36416,'Barang Keluar'!$C:$C,N36416))</f>
        <v>0</v>
      </c>
    </row>
    <row r="36417" spans="13:16">
      <c r="M36417" s="49">
        <f>IF($A$4+364&gt;$B$4,"",$A$4+364)</f>
        <v>46387</v>
      </c>
      <c r="N36417" t="str">
        <f>IF(M36417="","",'Master Barang'!A11)</f>
        <v>PRL-010</v>
      </c>
      <c r="O36417" t="str">
        <f>IF(N36417="","",'Master Barang'!B11)</f>
        <v>lap kecil</v>
      </c>
      <c r="P36417">
        <f>IF(OR(M36417="",N36417=""),"",SUMIFS('Barang Keluar'!$E:$E,'Barang Keluar'!$A:$A,M36417,'Barang Keluar'!$C:$C,N36417))</f>
        <v>0</v>
      </c>
    </row>
    <row r="36418" spans="13:16">
      <c r="M36418" s="49">
        <f>IF($A$4+364&gt;$B$4,"",$A$4+364)</f>
        <v>46387</v>
      </c>
      <c r="N36418" t="str">
        <f>IF(M36418="","",'Master Barang'!A12)</f>
        <v>PRL-011</v>
      </c>
      <c r="O36418" t="str">
        <f>IF(N36418="","",'Master Barang'!B12)</f>
        <v>kanebo kecil</v>
      </c>
      <c r="P36418">
        <f>IF(OR(M36418="",N36418=""),"",SUMIFS('Barang Keluar'!$E:$E,'Barang Keluar'!$A:$A,M36418,'Barang Keluar'!$C:$C,N36418))</f>
        <v>0</v>
      </c>
    </row>
    <row r="36419" spans="13:16">
      <c r="M36419" s="49">
        <f>IF($A$4+364&gt;$B$4,"",$A$4+364)</f>
        <v>46387</v>
      </c>
      <c r="N36419" t="str">
        <f>IF(M36419="","",'Master Barang'!A13)</f>
        <v>PRL-012</v>
      </c>
      <c r="O36419" t="str">
        <f>IF(N36419="","",'Master Barang'!B13)</f>
        <v>plastik 1/4kg joyoboyo 100 lembar</v>
      </c>
      <c r="P36419">
        <f>IF(OR(M36419="",N36419=""),"",SUMIFS('Barang Keluar'!$E:$E,'Barang Keluar'!$A:$A,M36419,'Barang Keluar'!$C:$C,N36419))</f>
        <v>0</v>
      </c>
    </row>
    <row r="36420" spans="13:16">
      <c r="M36420" s="49">
        <f>IF($A$4+364&gt;$B$4,"",$A$4+364)</f>
        <v>46387</v>
      </c>
      <c r="N36420" t="str">
        <f>IF(M36420="","",'Master Barang'!A14)</f>
        <v>PRL-013</v>
      </c>
      <c r="O36420" t="str">
        <f>IF(N36420="","",'Master Barang'!B14)</f>
        <v>sarung tangan plastik kaka 100 pcs</v>
      </c>
      <c r="P36420">
        <f>IF(OR(M36420="",N36420=""),"",SUMIFS('Barang Keluar'!$E:$E,'Barang Keluar'!$A:$A,M36420,'Barang Keluar'!$C:$C,N36420))</f>
        <v>0</v>
      </c>
    </row>
    <row r="36421" spans="13:16">
      <c r="M36421" s="49">
        <f>IF($A$4+364&gt;$B$4,"",$A$4+364)</f>
        <v>46387</v>
      </c>
      <c r="N36421" t="str">
        <f>IF(M36421="","",'Master Barang'!A15)</f>
        <v>PRL-014</v>
      </c>
      <c r="O36421" t="str">
        <f>IF(N36421="","",'Master Barang'!B15)</f>
        <v>optima trashbag 80x100</v>
      </c>
      <c r="P36421">
        <f>IF(OR(M36421="",N36421=""),"",SUMIFS('Barang Keluar'!$E:$E,'Barang Keluar'!$A:$A,M36421,'Barang Keluar'!$C:$C,N36421))</f>
        <v>0</v>
      </c>
    </row>
    <row r="36422" spans="13:16">
      <c r="M36422" s="49">
        <f>IF($A$4+364&gt;$B$4,"",$A$4+364)</f>
        <v>46387</v>
      </c>
      <c r="N36422" t="str">
        <f>IF(M36422="","",'Master Barang'!A16)</f>
        <v>PRL-015</v>
      </c>
      <c r="O36422" t="str">
        <f>IF(N36422="","",'Master Barang'!B16)</f>
        <v>optima trashbag 60x100</v>
      </c>
      <c r="P36422">
        <f>IF(OR(M36422="",N36422=""),"",SUMIFS('Barang Keluar'!$E:$E,'Barang Keluar'!$A:$A,M36422,'Barang Keluar'!$C:$C,N36422))</f>
        <v>0</v>
      </c>
    </row>
    <row r="36423" spans="13:16">
      <c r="M36423" s="49">
        <f>IF($A$4+364&gt;$B$4,"",$A$4+364)</f>
        <v>46387</v>
      </c>
      <c r="N36423" t="str">
        <f>IF(M36423="","",'Master Barang'!A17)</f>
        <v>PRL-016</v>
      </c>
      <c r="O36423" t="str">
        <f>IF(N36423="","",'Master Barang'!B17)</f>
        <v>rajawali trashbag 30x40</v>
      </c>
      <c r="P36423">
        <f>IF(OR(M36423="",N36423=""),"",SUMIFS('Barang Keluar'!$E:$E,'Barang Keluar'!$A:$A,M36423,'Barang Keluar'!$C:$C,N36423))</f>
        <v>0</v>
      </c>
    </row>
    <row r="36424" spans="13:16">
      <c r="M36424" s="49">
        <f>IF($A$4+364&gt;$B$4,"",$A$4+364)</f>
        <v>46387</v>
      </c>
      <c r="N36424" t="str">
        <f>IF(M36424="","",'Master Barang'!A18)</f>
        <v>PRL-017</v>
      </c>
      <c r="O36424" t="str">
        <f>IF(N36424="","",'Master Barang'!B18)</f>
        <v>onemed masker biru 3 play 50 pcs</v>
      </c>
      <c r="P36424">
        <f>IF(OR(M36424="",N36424=""),"",SUMIFS('Barang Keluar'!$E:$E,'Barang Keluar'!$A:$A,M36424,'Barang Keluar'!$C:$C,N36424))</f>
        <v>0</v>
      </c>
    </row>
    <row r="36425" spans="13:16">
      <c r="M36425" s="49">
        <f>IF($A$4+364&gt;$B$4,"",$A$4+364)</f>
        <v>46387</v>
      </c>
      <c r="N36425" t="str">
        <f>IF(M36425="","",'Master Barang'!A19)</f>
        <v>PRL-018</v>
      </c>
      <c r="O36425" t="str">
        <f>IF(N36425="","",'Master Barang'!B19)</f>
        <v>onemed masker biru 3 play hijab 50 pcs</v>
      </c>
      <c r="P36425">
        <f>IF(OR(M36425="",N36425=""),"",SUMIFS('Barang Keluar'!$E:$E,'Barang Keluar'!$A:$A,M36425,'Barang Keluar'!$C:$C,N36425))</f>
        <v>0</v>
      </c>
    </row>
    <row r="36426" spans="13:16">
      <c r="M36426" s="49">
        <f>IF($A$4+364&gt;$B$4,"",$A$4+364)</f>
        <v>46387</v>
      </c>
      <c r="N36426" t="str">
        <f>IF(M36426="","",'Master Barang'!A20)</f>
        <v>PRL-019</v>
      </c>
      <c r="O36426" t="str">
        <f>IF(N36426="","",'Master Barang'!B20)</f>
        <v>neo health masker biru 3 play 50 pcs</v>
      </c>
      <c r="P36426">
        <f>IF(OR(M36426="",N36426=""),"",SUMIFS('Barang Keluar'!$E:$E,'Barang Keluar'!$A:$A,M36426,'Barang Keluar'!$C:$C,N36426))</f>
        <v>0</v>
      </c>
    </row>
    <row r="36427" spans="13:16">
      <c r="M36427" s="49">
        <f>IF($A$4+364&gt;$B$4,"",$A$4+364)</f>
        <v>46387</v>
      </c>
      <c r="N36427" t="str">
        <f>IF(M36427="","",'Master Barang'!A21)</f>
        <v>PRL-020</v>
      </c>
      <c r="O36427" t="str">
        <f>IF(N36427="","",'Master Barang'!B21)</f>
        <v>baymed masker hijau 3 play hijau 50 pcs</v>
      </c>
      <c r="P36427">
        <f>IF(OR(M36427="",N36427=""),"",SUMIFS('Barang Keluar'!$E:$E,'Barang Keluar'!$A:$A,M36427,'Barang Keluar'!$C:$C,N36427))</f>
        <v>0</v>
      </c>
    </row>
    <row r="36428" spans="13:16">
      <c r="M36428" s="49">
        <f>IF($A$4+364&gt;$B$4,"",$A$4+364)</f>
        <v>46387</v>
      </c>
      <c r="N36428" t="str">
        <f>IF(M36428="","",'Master Barang'!A22)</f>
        <v>PRL-021</v>
      </c>
      <c r="O36428" t="str">
        <f>IF(N36428="","",'Master Barang'!B22)</f>
        <v>altamed nurse cap penutup kepala 100 pcs</v>
      </c>
      <c r="P36428">
        <f>IF(OR(M36428="",N36428=""),"",SUMIFS('Barang Keluar'!$E:$E,'Barang Keluar'!$A:$A,M36428,'Barang Keluar'!$C:$C,N36428))</f>
        <v>0</v>
      </c>
    </row>
    <row r="36429" spans="13:16">
      <c r="M36429" s="49">
        <f>IF($A$4+364&gt;$B$4,"",$A$4+364)</f>
        <v>46387</v>
      </c>
      <c r="N36429" t="str">
        <f>IF(M36429="","",'Master Barang'!A23)</f>
        <v>PRL-022</v>
      </c>
      <c r="O36429" t="str">
        <f>IF(N36429="","",'Master Barang'!B23)</f>
        <v>sabun cuci tangan</v>
      </c>
      <c r="P36429">
        <f>IF(OR(M36429="",N36429=""),"",SUMIFS('Barang Keluar'!$E:$E,'Barang Keluar'!$A:$A,M36429,'Barang Keluar'!$C:$C,N36429))</f>
        <v>0</v>
      </c>
    </row>
    <row r="36430" spans="13:16">
      <c r="M36430" s="49">
        <f>IF($A$4+364&gt;$B$4,"",$A$4+364)</f>
        <v>46387</v>
      </c>
      <c r="N36430" t="str">
        <f>IF(M36430="","",'Master Barang'!A24)</f>
        <v>PRL-023</v>
      </c>
      <c r="O36430" t="str">
        <f>IF(N36430="","",'Master Barang'!B24)</f>
        <v>gayung kecil</v>
      </c>
      <c r="P36430">
        <f>IF(OR(M36430="",N36430=""),"",SUMIFS('Barang Keluar'!$E:$E,'Barang Keluar'!$A:$A,M36430,'Barang Keluar'!$C:$C,N36430))</f>
        <v>0</v>
      </c>
    </row>
    <row r="36431" spans="13:16">
      <c r="M36431" s="49">
        <f>IF($A$4+364&gt;$B$4,"",$A$4+364)</f>
        <v>46387</v>
      </c>
      <c r="N36431" t="str">
        <f>IF(M36431="","",'Master Barang'!A25)</f>
        <v>PRL-024</v>
      </c>
      <c r="O36431" t="str">
        <f>IF(N36431="","",'Master Barang'!B25)</f>
        <v>cikrak kecil</v>
      </c>
      <c r="P36431">
        <f>IF(OR(M36431="",N36431=""),"",SUMIFS('Barang Keluar'!$E:$E,'Barang Keluar'!$A:$A,M36431,'Barang Keluar'!$C:$C,N36431))</f>
        <v>0</v>
      </c>
    </row>
    <row r="36432" spans="13:16">
      <c r="M36432" s="49">
        <f>IF($A$4+364&gt;$B$4,"",$A$4+364)</f>
        <v>46387</v>
      </c>
      <c r="N36432" t="str">
        <f>IF(M36432="","",'Master Barang'!A26)</f>
        <v>PRL-025</v>
      </c>
      <c r="O36432" t="str">
        <f>IF(N36432="","",'Master Barang'!B26)</f>
        <v>petromax plastik kecil 12x24 100 lembar</v>
      </c>
      <c r="P36432">
        <f>IF(OR(M36432="",N36432=""),"",SUMIFS('Barang Keluar'!$E:$E,'Barang Keluar'!$A:$A,M36432,'Barang Keluar'!$C:$C,N36432))</f>
        <v>0</v>
      </c>
    </row>
    <row r="36433" spans="13:16">
      <c r="M36433" s="49">
        <f>IF($A$4+364&gt;$B$4,"",$A$4+364)</f>
        <v>46387</v>
      </c>
      <c r="N36433" t="str">
        <f>IF(M36433="","",'Master Barang'!A27)</f>
        <v>PRL-026</v>
      </c>
      <c r="O36433" t="str">
        <f>IF(N36433="","",'Master Barang'!B27)</f>
        <v>lancar kresek kecil bening </v>
      </c>
      <c r="P36433">
        <f>IF(OR(M36433="",N36433=""),"",SUMIFS('Barang Keluar'!$E:$E,'Barang Keluar'!$A:$A,M36433,'Barang Keluar'!$C:$C,N36433))</f>
        <v>0</v>
      </c>
    </row>
    <row r="36434" spans="13:16">
      <c r="M36434" s="49">
        <f>IF($A$4+364&gt;$B$4,"",$A$4+364)</f>
        <v>46387</v>
      </c>
      <c r="N36434" t="str">
        <f>IF(M36434="","",'Master Barang'!A28)</f>
        <v>PRL-027</v>
      </c>
      <c r="O36434" t="str">
        <f>IF(N36434="","",'Master Barang'!B28)</f>
        <v>kresek klin warna warni kecil</v>
      </c>
      <c r="P36434">
        <f>IF(OR(M36434="",N36434=""),"",SUMIFS('Barang Keluar'!$E:$E,'Barang Keluar'!$A:$A,M36434,'Barang Keluar'!$C:$C,N36434))</f>
        <v>0</v>
      </c>
    </row>
    <row r="36435" spans="13:16">
      <c r="M36435" s="49">
        <f>IF($A$4+364&gt;$B$4,"",$A$4+364)</f>
        <v>46387</v>
      </c>
      <c r="N36435" t="str">
        <f>IF(M36435="","",'Master Barang'!A29)</f>
        <v>PRL-028</v>
      </c>
      <c r="O36435" t="str">
        <f>IF(N36435="","",'Master Barang'!B29)</f>
        <v>ctik plastik 7x10 100 pcs</v>
      </c>
      <c r="P36435">
        <f>IF(OR(M36435="",N36435=""),"",SUMIFS('Barang Keluar'!$E:$E,'Barang Keluar'!$A:$A,M36435,'Barang Keluar'!$C:$C,N36435))</f>
        <v>0</v>
      </c>
    </row>
    <row r="36436" spans="13:16">
      <c r="M36436" s="49">
        <f>IF($A$4+364&gt;$B$4,"",$A$4+364)</f>
        <v>46387</v>
      </c>
      <c r="N36436" t="str">
        <f>IF(M36436="","",'Master Barang'!A30)</f>
        <v>PRL-029</v>
      </c>
      <c r="O36436" t="str">
        <f>IF(N36436="","",'Master Barang'!B30)</f>
        <v>ctik plastik 6x10 100 pcs</v>
      </c>
      <c r="P36436">
        <f>IF(OR(M36436="",N36436=""),"",SUMIFS('Barang Keluar'!$E:$E,'Barang Keluar'!$A:$A,M36436,'Barang Keluar'!$C:$C,N36436))</f>
        <v>0</v>
      </c>
    </row>
    <row r="36437" spans="13:16">
      <c r="M36437" s="49">
        <f>IF($A$4+364&gt;$B$4,"",$A$4+364)</f>
        <v>46387</v>
      </c>
      <c r="N36437" t="str">
        <f>IF(M36437="","",'Master Barang'!A31)</f>
        <v>PRL-030</v>
      </c>
      <c r="O36437" t="str">
        <f>IF(N36437="","",'Master Barang'!B31)</f>
        <v>klip plastik 25x16 100 pcs</v>
      </c>
      <c r="P36437">
        <f>IF(OR(M36437="",N36437=""),"",SUMIFS('Barang Keluar'!$E:$E,'Barang Keluar'!$A:$A,M36437,'Barang Keluar'!$C:$C,N36437))</f>
        <v>0</v>
      </c>
    </row>
    <row r="36438" spans="13:16">
      <c r="M36438" s="49">
        <f>IF($A$4+364&gt;$B$4,"",$A$4+364)</f>
        <v>46387</v>
      </c>
      <c r="N36438" t="str">
        <f>IF(M36438="","",'Master Barang'!A32)</f>
        <v>PRL-031</v>
      </c>
      <c r="O36438" t="str">
        <f>IF(N36438="","",'Master Barang'!B32)</f>
        <v>tempat saus 20 ml</v>
      </c>
      <c r="P36438">
        <f>IF(OR(M36438="",N36438=""),"",SUMIFS('Barang Keluar'!$E:$E,'Barang Keluar'!$A:$A,M36438,'Barang Keluar'!$C:$C,N36438))</f>
        <v>0</v>
      </c>
    </row>
    <row r="36439" spans="13:16">
      <c r="M36439" s="49">
        <f>IF($A$4+364&gt;$B$4,"",$A$4+364)</f>
        <v>46387</v>
      </c>
      <c r="N36439" t="str">
        <f>IF(M36439="","",'Master Barang'!A33)</f>
        <v>PRL-032</v>
      </c>
      <c r="O36439" t="str">
        <f>IF(N36439="","",'Master Barang'!B33)</f>
        <v>plastik packaging ag box uk sedang</v>
      </c>
      <c r="P36439">
        <f>IF(OR(M36439="",N36439=""),"",SUMIFS('Barang Keluar'!$E:$E,'Barang Keluar'!$A:$A,M36439,'Barang Keluar'!$C:$C,N36439))</f>
        <v>0</v>
      </c>
    </row>
    <row r="36440" spans="13:16">
      <c r="M36440" s="49">
        <f>IF($A$4+364&gt;$B$4,"",$A$4+364)</f>
        <v>46387</v>
      </c>
      <c r="N36440" t="str">
        <f>IF(M36440="","",'Master Barang'!A34)</f>
        <v>PRL-033</v>
      </c>
      <c r="O36440">
        <f>IF(N36440="","",'Master Barang'!B34)</f>
        <v>0</v>
      </c>
      <c r="P36440">
        <f>IF(OR(M36440="",N36440=""),"",SUMIFS('Barang Keluar'!$E:$E,'Barang Keluar'!$A:$A,M36440,'Barang Keluar'!$C:$C,N36440))</f>
        <v>0</v>
      </c>
    </row>
    <row r="36441" spans="13:16">
      <c r="M36441" s="49">
        <f>IF($A$4+364&gt;$B$4,"",$A$4+364)</f>
        <v>46387</v>
      </c>
      <c r="N36441">
        <f>IF(M36441="","",'Master Barang'!A35)</f>
        <v>0</v>
      </c>
      <c r="O36441">
        <f>IF(N36441="","",'Master Barang'!B35)</f>
        <v>0</v>
      </c>
      <c r="P36441">
        <f>IF(OR(M36441="",N36441=""),"",SUMIFS('Barang Keluar'!$E:$E,'Barang Keluar'!$A:$A,M36441,'Barang Keluar'!$C:$C,N36441))</f>
        <v>0</v>
      </c>
    </row>
    <row r="36442" spans="13:16">
      <c r="M36442" s="49">
        <f>IF($A$4+364&gt;$B$4,"",$A$4+364)</f>
        <v>46387</v>
      </c>
      <c r="N36442">
        <f>IF(M36442="","",'Master Barang'!A36)</f>
        <v>0</v>
      </c>
      <c r="O36442">
        <f>IF(N36442="","",'Master Barang'!B36)</f>
        <v>0</v>
      </c>
      <c r="P36442">
        <f>IF(OR(M36442="",N36442=""),"",SUMIFS('Barang Keluar'!$E:$E,'Barang Keluar'!$A:$A,M36442,'Barang Keluar'!$C:$C,N36442))</f>
        <v>0</v>
      </c>
    </row>
    <row r="36443" spans="13:16">
      <c r="M36443" s="49">
        <f>IF($A$4+364&gt;$B$4,"",$A$4+364)</f>
        <v>46387</v>
      </c>
      <c r="N36443">
        <f>IF(M36443="","",'Master Barang'!A37)</f>
        <v>0</v>
      </c>
      <c r="O36443">
        <f>IF(N36443="","",'Master Barang'!B37)</f>
        <v>0</v>
      </c>
      <c r="P36443">
        <f>IF(OR(M36443="",N36443=""),"",SUMIFS('Barang Keluar'!$E:$E,'Barang Keluar'!$A:$A,M36443,'Barang Keluar'!$C:$C,N36443))</f>
        <v>0</v>
      </c>
    </row>
    <row r="36444" spans="13:16">
      <c r="M36444" s="49">
        <f>IF($A$4+364&gt;$B$4,"",$A$4+364)</f>
        <v>46387</v>
      </c>
      <c r="N36444">
        <f>IF(M36444="","",'Master Barang'!A38)</f>
        <v>0</v>
      </c>
      <c r="O36444">
        <f>IF(N36444="","",'Master Barang'!B38)</f>
        <v>0</v>
      </c>
      <c r="P36444">
        <f>IF(OR(M36444="",N36444=""),"",SUMIFS('Barang Keluar'!$E:$E,'Barang Keluar'!$A:$A,M36444,'Barang Keluar'!$C:$C,N36444))</f>
        <v>0</v>
      </c>
    </row>
    <row r="36445" spans="13:16">
      <c r="M36445" s="49">
        <f>IF($A$4+364&gt;$B$4,"",$A$4+364)</f>
        <v>46387</v>
      </c>
      <c r="N36445">
        <f>IF(M36445="","",'Master Barang'!A39)</f>
        <v>0</v>
      </c>
      <c r="O36445">
        <f>IF(N36445="","",'Master Barang'!B39)</f>
        <v>0</v>
      </c>
      <c r="P36445">
        <f>IF(OR(M36445="",N36445=""),"",SUMIFS('Barang Keluar'!$E:$E,'Barang Keluar'!$A:$A,M36445,'Barang Keluar'!$C:$C,N36445))</f>
        <v>0</v>
      </c>
    </row>
    <row r="36446" spans="13:16">
      <c r="M36446" s="49">
        <f>IF($A$4+364&gt;$B$4,"",$A$4+364)</f>
        <v>46387</v>
      </c>
      <c r="N36446">
        <f>IF(M36446="","",'Master Barang'!A40)</f>
        <v>0</v>
      </c>
      <c r="O36446">
        <f>IF(N36446="","",'Master Barang'!B40)</f>
        <v>0</v>
      </c>
      <c r="P36446">
        <f>IF(OR(M36446="",N36446=""),"",SUMIFS('Barang Keluar'!$E:$E,'Barang Keluar'!$A:$A,M36446,'Barang Keluar'!$C:$C,N36446))</f>
        <v>0</v>
      </c>
    </row>
    <row r="36447" spans="13:16">
      <c r="M36447" s="49">
        <f>IF($A$4+364&gt;$B$4,"",$A$4+364)</f>
        <v>46387</v>
      </c>
      <c r="N36447">
        <f>IF(M36447="","",'Master Barang'!A41)</f>
        <v>0</v>
      </c>
      <c r="O36447">
        <f>IF(N36447="","",'Master Barang'!B41)</f>
        <v>0</v>
      </c>
      <c r="P36447">
        <f>IF(OR(M36447="",N36447=""),"",SUMIFS('Barang Keluar'!$E:$E,'Barang Keluar'!$A:$A,M36447,'Barang Keluar'!$C:$C,N36447))</f>
        <v>0</v>
      </c>
    </row>
    <row r="36448" spans="13:16">
      <c r="M36448" s="49">
        <f>IF($A$4+364&gt;$B$4,"",$A$4+364)</f>
        <v>46387</v>
      </c>
      <c r="N36448">
        <f>IF(M36448="","",'Master Barang'!A42)</f>
        <v>0</v>
      </c>
      <c r="O36448">
        <f>IF(N36448="","",'Master Barang'!B42)</f>
        <v>0</v>
      </c>
      <c r="P36448">
        <f>IF(OR(M36448="",N36448=""),"",SUMIFS('Barang Keluar'!$E:$E,'Barang Keluar'!$A:$A,M36448,'Barang Keluar'!$C:$C,N36448))</f>
        <v>0</v>
      </c>
    </row>
    <row r="36449" spans="13:16">
      <c r="M36449" s="49">
        <f>IF($A$4+364&gt;$B$4,"",$A$4+364)</f>
        <v>46387</v>
      </c>
      <c r="N36449">
        <f>IF(M36449="","",'Master Barang'!A43)</f>
        <v>0</v>
      </c>
      <c r="O36449">
        <f>IF(N36449="","",'Master Barang'!B43)</f>
        <v>0</v>
      </c>
      <c r="P36449">
        <f>IF(OR(M36449="",N36449=""),"",SUMIFS('Barang Keluar'!$E:$E,'Barang Keluar'!$A:$A,M36449,'Barang Keluar'!$C:$C,N36449))</f>
        <v>0</v>
      </c>
    </row>
    <row r="36450" spans="13:16">
      <c r="M36450" s="49">
        <f>IF($A$4+364&gt;$B$4,"",$A$4+364)</f>
        <v>46387</v>
      </c>
      <c r="N36450">
        <f>IF(M36450="","",'Master Barang'!A44)</f>
        <v>0</v>
      </c>
      <c r="O36450">
        <f>IF(N36450="","",'Master Barang'!B44)</f>
        <v>0</v>
      </c>
      <c r="P36450">
        <f>IF(OR(M36450="",N36450=""),"",SUMIFS('Barang Keluar'!$E:$E,'Barang Keluar'!$A:$A,M36450,'Barang Keluar'!$C:$C,N36450))</f>
        <v>0</v>
      </c>
    </row>
    <row r="36451" spans="13:16">
      <c r="M36451" s="49">
        <f>IF($A$4+364&gt;$B$4,"",$A$4+364)</f>
        <v>46387</v>
      </c>
      <c r="N36451">
        <f>IF(M36451="","",'Master Barang'!A45)</f>
        <v>0</v>
      </c>
      <c r="O36451">
        <f>IF(N36451="","",'Master Barang'!B45)</f>
        <v>0</v>
      </c>
      <c r="P36451">
        <f>IF(OR(M36451="",N36451=""),"",SUMIFS('Barang Keluar'!$E:$E,'Barang Keluar'!$A:$A,M36451,'Barang Keluar'!$C:$C,N36451))</f>
        <v>0</v>
      </c>
    </row>
    <row r="36452" spans="13:16">
      <c r="M36452" s="49">
        <f>IF($A$4+364&gt;$B$4,"",$A$4+364)</f>
        <v>46387</v>
      </c>
      <c r="N36452">
        <f>IF(M36452="","",'Master Barang'!A46)</f>
        <v>0</v>
      </c>
      <c r="O36452">
        <f>IF(N36452="","",'Master Barang'!B46)</f>
        <v>0</v>
      </c>
      <c r="P36452">
        <f>IF(OR(M36452="",N36452=""),"",SUMIFS('Barang Keluar'!$E:$E,'Barang Keluar'!$A:$A,M36452,'Barang Keluar'!$C:$C,N36452))</f>
        <v>0</v>
      </c>
    </row>
    <row r="36453" spans="13:16">
      <c r="M36453" s="49">
        <f>IF($A$4+364&gt;$B$4,"",$A$4+364)</f>
        <v>46387</v>
      </c>
      <c r="N36453">
        <f>IF(M36453="","",'Master Barang'!A47)</f>
        <v>0</v>
      </c>
      <c r="O36453">
        <f>IF(N36453="","",'Master Barang'!B47)</f>
        <v>0</v>
      </c>
      <c r="P36453">
        <f>IF(OR(M36453="",N36453=""),"",SUMIFS('Barang Keluar'!$E:$E,'Barang Keluar'!$A:$A,M36453,'Barang Keluar'!$C:$C,N36453))</f>
        <v>0</v>
      </c>
    </row>
    <row r="36454" spans="13:16">
      <c r="M36454" s="49">
        <f>IF($A$4+364&gt;$B$4,"",$A$4+364)</f>
        <v>46387</v>
      </c>
      <c r="N36454">
        <f>IF(M36454="","",'Master Barang'!A48)</f>
        <v>0</v>
      </c>
      <c r="O36454">
        <f>IF(N36454="","",'Master Barang'!B48)</f>
        <v>0</v>
      </c>
      <c r="P36454">
        <f>IF(OR(M36454="",N36454=""),"",SUMIFS('Barang Keluar'!$E:$E,'Barang Keluar'!$A:$A,M36454,'Barang Keluar'!$C:$C,N36454))</f>
        <v>0</v>
      </c>
    </row>
    <row r="36455" spans="13:16">
      <c r="M36455" s="49">
        <f>IF($A$4+364&gt;$B$4,"",$A$4+364)</f>
        <v>46387</v>
      </c>
      <c r="N36455">
        <f>IF(M36455="","",'Master Barang'!A49)</f>
        <v>0</v>
      </c>
      <c r="O36455">
        <f>IF(N36455="","",'Master Barang'!B49)</f>
        <v>0</v>
      </c>
      <c r="P36455">
        <f>IF(OR(M36455="",N36455=""),"",SUMIFS('Barang Keluar'!$E:$E,'Barang Keluar'!$A:$A,M36455,'Barang Keluar'!$C:$C,N36455))</f>
        <v>0</v>
      </c>
    </row>
    <row r="36456" spans="13:16">
      <c r="M36456" s="49">
        <f>IF($A$4+364&gt;$B$4,"",$A$4+364)</f>
        <v>46387</v>
      </c>
      <c r="N36456">
        <f>IF(M36456="","",'Master Barang'!A50)</f>
        <v>0</v>
      </c>
      <c r="O36456">
        <f>IF(N36456="","",'Master Barang'!B50)</f>
        <v>0</v>
      </c>
      <c r="P36456">
        <f>IF(OR(M36456="",N36456=""),"",SUMIFS('Barang Keluar'!$E:$E,'Barang Keluar'!$A:$A,M36456,'Barang Keluar'!$C:$C,N36456))</f>
        <v>0</v>
      </c>
    </row>
    <row r="36457" spans="13:16">
      <c r="M36457" s="49">
        <f>IF($A$4+364&gt;$B$4,"",$A$4+364)</f>
        <v>46387</v>
      </c>
      <c r="N36457">
        <f>IF(M36457="","",'Master Barang'!A51)</f>
        <v>0</v>
      </c>
      <c r="O36457">
        <f>IF(N36457="","",'Master Barang'!B51)</f>
        <v>0</v>
      </c>
      <c r="P36457">
        <f>IF(OR(M36457="",N36457=""),"",SUMIFS('Barang Keluar'!$E:$E,'Barang Keluar'!$A:$A,M36457,'Barang Keluar'!$C:$C,N36457))</f>
        <v>0</v>
      </c>
    </row>
    <row r="36458" spans="13:16">
      <c r="M36458" s="49">
        <f>IF($A$4+364&gt;$B$4,"",$A$4+364)</f>
        <v>46387</v>
      </c>
      <c r="N36458">
        <f>IF(M36458="","",'Master Barang'!A52)</f>
        <v>0</v>
      </c>
      <c r="O36458">
        <f>IF(N36458="","",'Master Barang'!B52)</f>
        <v>0</v>
      </c>
      <c r="P36458">
        <f>IF(OR(M36458="",N36458=""),"",SUMIFS('Barang Keluar'!$E:$E,'Barang Keluar'!$A:$A,M36458,'Barang Keluar'!$C:$C,N36458))</f>
        <v>0</v>
      </c>
    </row>
    <row r="36459" spans="13:16">
      <c r="M36459" s="49">
        <f>IF($A$4+364&gt;$B$4,"",$A$4+364)</f>
        <v>46387</v>
      </c>
      <c r="N36459">
        <f>IF(M36459="","",'Master Barang'!A53)</f>
        <v>0</v>
      </c>
      <c r="O36459">
        <f>IF(N36459="","",'Master Barang'!B53)</f>
        <v>0</v>
      </c>
      <c r="P36459">
        <f>IF(OR(M36459="",N36459=""),"",SUMIFS('Barang Keluar'!$E:$E,'Barang Keluar'!$A:$A,M36459,'Barang Keluar'!$C:$C,N36459))</f>
        <v>0</v>
      </c>
    </row>
    <row r="36460" spans="13:16">
      <c r="M36460" s="49">
        <f>IF($A$4+364&gt;$B$4,"",$A$4+364)</f>
        <v>46387</v>
      </c>
      <c r="N36460">
        <f>IF(M36460="","",'Master Barang'!A54)</f>
        <v>0</v>
      </c>
      <c r="O36460">
        <f>IF(N36460="","",'Master Barang'!B54)</f>
        <v>0</v>
      </c>
      <c r="P36460">
        <f>IF(OR(M36460="",N36460=""),"",SUMIFS('Barang Keluar'!$E:$E,'Barang Keluar'!$A:$A,M36460,'Barang Keluar'!$C:$C,N36460))</f>
        <v>0</v>
      </c>
    </row>
    <row r="36461" spans="13:16">
      <c r="M36461" s="49">
        <f>IF($A$4+364&gt;$B$4,"",$A$4+364)</f>
        <v>46387</v>
      </c>
      <c r="N36461">
        <f>IF(M36461="","",'Master Barang'!A55)</f>
        <v>0</v>
      </c>
      <c r="O36461">
        <f>IF(N36461="","",'Master Barang'!B55)</f>
        <v>0</v>
      </c>
      <c r="P36461">
        <f>IF(OR(M36461="",N36461=""),"",SUMIFS('Barang Keluar'!$E:$E,'Barang Keluar'!$A:$A,M36461,'Barang Keluar'!$C:$C,N36461))</f>
        <v>0</v>
      </c>
    </row>
    <row r="36462" spans="13:16">
      <c r="M36462" s="49">
        <f>IF($A$4+364&gt;$B$4,"",$A$4+364)</f>
        <v>46387</v>
      </c>
      <c r="N36462">
        <f>IF(M36462="","",'Master Barang'!A56)</f>
        <v>0</v>
      </c>
      <c r="O36462">
        <f>IF(N36462="","",'Master Barang'!B56)</f>
        <v>0</v>
      </c>
      <c r="P36462">
        <f>IF(OR(M36462="",N36462=""),"",SUMIFS('Barang Keluar'!$E:$E,'Barang Keluar'!$A:$A,M36462,'Barang Keluar'!$C:$C,N36462))</f>
        <v>0</v>
      </c>
    </row>
    <row r="36463" spans="13:16">
      <c r="M36463" s="49">
        <f>IF($A$4+364&gt;$B$4,"",$A$4+364)</f>
        <v>46387</v>
      </c>
      <c r="N36463">
        <f>IF(M36463="","",'Master Barang'!A57)</f>
        <v>0</v>
      </c>
      <c r="O36463">
        <f>IF(N36463="","",'Master Barang'!B57)</f>
        <v>0</v>
      </c>
      <c r="P36463">
        <f>IF(OR(M36463="",N36463=""),"",SUMIFS('Barang Keluar'!$E:$E,'Barang Keluar'!$A:$A,M36463,'Barang Keluar'!$C:$C,N36463))</f>
        <v>0</v>
      </c>
    </row>
    <row r="36464" spans="13:16">
      <c r="M36464" s="49">
        <f>IF($A$4+364&gt;$B$4,"",$A$4+364)</f>
        <v>46387</v>
      </c>
      <c r="N36464">
        <f>IF(M36464="","",'Master Barang'!A58)</f>
        <v>0</v>
      </c>
      <c r="O36464">
        <f>IF(N36464="","",'Master Barang'!B58)</f>
        <v>0</v>
      </c>
      <c r="P36464">
        <f>IF(OR(M36464="",N36464=""),"",SUMIFS('Barang Keluar'!$E:$E,'Barang Keluar'!$A:$A,M36464,'Barang Keluar'!$C:$C,N36464))</f>
        <v>0</v>
      </c>
    </row>
    <row r="36465" spans="13:16">
      <c r="M36465" s="49">
        <f>IF($A$4+364&gt;$B$4,"",$A$4+364)</f>
        <v>46387</v>
      </c>
      <c r="N36465">
        <f>IF(M36465="","",'Master Barang'!A59)</f>
        <v>0</v>
      </c>
      <c r="O36465">
        <f>IF(N36465="","",'Master Barang'!B59)</f>
        <v>0</v>
      </c>
      <c r="P36465">
        <f>IF(OR(M36465="",N36465=""),"",SUMIFS('Barang Keluar'!$E:$E,'Barang Keluar'!$A:$A,M36465,'Barang Keluar'!$C:$C,N36465))</f>
        <v>0</v>
      </c>
    </row>
    <row r="36466" spans="13:16">
      <c r="M36466" s="49">
        <f>IF($A$4+364&gt;$B$4,"",$A$4+364)</f>
        <v>46387</v>
      </c>
      <c r="N36466">
        <f>IF(M36466="","",'Master Barang'!A60)</f>
        <v>0</v>
      </c>
      <c r="O36466">
        <f>IF(N36466="","",'Master Barang'!B60)</f>
        <v>0</v>
      </c>
      <c r="P36466">
        <f>IF(OR(M36466="",N36466=""),"",SUMIFS('Barang Keluar'!$E:$E,'Barang Keluar'!$A:$A,M36466,'Barang Keluar'!$C:$C,N36466))</f>
        <v>0</v>
      </c>
    </row>
    <row r="36467" spans="13:16">
      <c r="M36467" s="49">
        <f>IF($A$4+364&gt;$B$4,"",$A$4+364)</f>
        <v>46387</v>
      </c>
      <c r="N36467">
        <f>IF(M36467="","",'Master Barang'!A61)</f>
        <v>0</v>
      </c>
      <c r="O36467">
        <f>IF(N36467="","",'Master Barang'!B61)</f>
        <v>0</v>
      </c>
      <c r="P36467">
        <f>IF(OR(M36467="",N36467=""),"",SUMIFS('Barang Keluar'!$E:$E,'Barang Keluar'!$A:$A,M36467,'Barang Keluar'!$C:$C,N36467))</f>
        <v>0</v>
      </c>
    </row>
    <row r="36468" spans="13:16">
      <c r="M36468" s="49">
        <f>IF($A$4+364&gt;$B$4,"",$A$4+364)</f>
        <v>46387</v>
      </c>
      <c r="N36468">
        <f>IF(M36468="","",'Master Barang'!A62)</f>
        <v>0</v>
      </c>
      <c r="O36468">
        <f>IF(N36468="","",'Master Barang'!B62)</f>
        <v>0</v>
      </c>
      <c r="P36468">
        <f>IF(OR(M36468="",N36468=""),"",SUMIFS('Barang Keluar'!$E:$E,'Barang Keluar'!$A:$A,M36468,'Barang Keluar'!$C:$C,N36468))</f>
        <v>0</v>
      </c>
    </row>
    <row r="36469" spans="13:16">
      <c r="M36469" s="49">
        <f>IF($A$4+364&gt;$B$4,"",$A$4+364)</f>
        <v>46387</v>
      </c>
      <c r="N36469">
        <f>IF(M36469="","",'Master Barang'!A63)</f>
        <v>0</v>
      </c>
      <c r="O36469">
        <f>IF(N36469="","",'Master Barang'!B63)</f>
        <v>0</v>
      </c>
      <c r="P36469">
        <f>IF(OR(M36469="",N36469=""),"",SUMIFS('Barang Keluar'!$E:$E,'Barang Keluar'!$A:$A,M36469,'Barang Keluar'!$C:$C,N36469))</f>
        <v>0</v>
      </c>
    </row>
    <row r="36470" spans="13:16">
      <c r="M36470" s="49">
        <f>IF($A$4+364&gt;$B$4,"",$A$4+364)</f>
        <v>46387</v>
      </c>
      <c r="N36470">
        <f>IF(M36470="","",'Master Barang'!A64)</f>
        <v>0</v>
      </c>
      <c r="O36470">
        <f>IF(N36470="","",'Master Barang'!B64)</f>
        <v>0</v>
      </c>
      <c r="P36470">
        <f>IF(OR(M36470="",N36470=""),"",SUMIFS('Barang Keluar'!$E:$E,'Barang Keluar'!$A:$A,M36470,'Barang Keluar'!$C:$C,N36470))</f>
        <v>0</v>
      </c>
    </row>
    <row r="36471" spans="13:16">
      <c r="M36471" s="49">
        <f>IF($A$4+364&gt;$B$4,"",$A$4+364)</f>
        <v>46387</v>
      </c>
      <c r="N36471">
        <f>IF(M36471="","",'Master Barang'!A65)</f>
        <v>0</v>
      </c>
      <c r="O36471">
        <f>IF(N36471="","",'Master Barang'!B65)</f>
        <v>0</v>
      </c>
      <c r="P36471">
        <f>IF(OR(M36471="",N36471=""),"",SUMIFS('Barang Keluar'!$E:$E,'Barang Keluar'!$A:$A,M36471,'Barang Keluar'!$C:$C,N36471))</f>
        <v>0</v>
      </c>
    </row>
    <row r="36472" spans="13:16">
      <c r="M36472" s="49">
        <f>IF($A$4+364&gt;$B$4,"",$A$4+364)</f>
        <v>46387</v>
      </c>
      <c r="N36472">
        <f>IF(M36472="","",'Master Barang'!A66)</f>
        <v>0</v>
      </c>
      <c r="O36472">
        <f>IF(N36472="","",'Master Barang'!B66)</f>
        <v>0</v>
      </c>
      <c r="P36472">
        <f>IF(OR(M36472="",N36472=""),"",SUMIFS('Barang Keluar'!$E:$E,'Barang Keluar'!$A:$A,M36472,'Barang Keluar'!$C:$C,N36472))</f>
        <v>0</v>
      </c>
    </row>
    <row r="36473" spans="13:16">
      <c r="M36473" s="49">
        <f>IF($A$4+364&gt;$B$4,"",$A$4+364)</f>
        <v>46387</v>
      </c>
      <c r="N36473">
        <f>IF(M36473="","",'Master Barang'!A67)</f>
        <v>0</v>
      </c>
      <c r="O36473">
        <f>IF(N36473="","",'Master Barang'!B67)</f>
        <v>0</v>
      </c>
      <c r="P36473">
        <f>IF(OR(M36473="",N36473=""),"",SUMIFS('Barang Keluar'!$E:$E,'Barang Keluar'!$A:$A,M36473,'Barang Keluar'!$C:$C,N36473))</f>
        <v>0</v>
      </c>
    </row>
    <row r="36474" spans="13:16">
      <c r="M36474" s="49">
        <f>IF($A$4+364&gt;$B$4,"",$A$4+364)</f>
        <v>46387</v>
      </c>
      <c r="N36474">
        <f>IF(M36474="","",'Master Barang'!A68)</f>
        <v>0</v>
      </c>
      <c r="O36474">
        <f>IF(N36474="","",'Master Barang'!B68)</f>
        <v>0</v>
      </c>
      <c r="P36474">
        <f>IF(OR(M36474="",N36474=""),"",SUMIFS('Barang Keluar'!$E:$E,'Barang Keluar'!$A:$A,M36474,'Barang Keluar'!$C:$C,N36474))</f>
        <v>0</v>
      </c>
    </row>
    <row r="36475" spans="13:16">
      <c r="M36475" s="49">
        <f>IF($A$4+364&gt;$B$4,"",$A$4+364)</f>
        <v>46387</v>
      </c>
      <c r="N36475">
        <f>IF(M36475="","",'Master Barang'!A69)</f>
        <v>0</v>
      </c>
      <c r="O36475">
        <f>IF(N36475="","",'Master Barang'!B69)</f>
        <v>0</v>
      </c>
      <c r="P36475">
        <f>IF(OR(M36475="",N36475=""),"",SUMIFS('Barang Keluar'!$E:$E,'Barang Keluar'!$A:$A,M36475,'Barang Keluar'!$C:$C,N36475))</f>
        <v>0</v>
      </c>
    </row>
    <row r="36476" spans="13:16">
      <c r="M36476" s="49">
        <f>IF($A$4+364&gt;$B$4,"",$A$4+364)</f>
        <v>46387</v>
      </c>
      <c r="N36476">
        <f>IF(M36476="","",'Master Barang'!A70)</f>
        <v>0</v>
      </c>
      <c r="O36476">
        <f>IF(N36476="","",'Master Barang'!B70)</f>
        <v>0</v>
      </c>
      <c r="P36476">
        <f>IF(OR(M36476="",N36476=""),"",SUMIFS('Barang Keluar'!$E:$E,'Barang Keluar'!$A:$A,M36476,'Barang Keluar'!$C:$C,N36476))</f>
        <v>0</v>
      </c>
    </row>
    <row r="36477" spans="13:16">
      <c r="M36477" s="49">
        <f>IF($A$4+364&gt;$B$4,"",$A$4+364)</f>
        <v>46387</v>
      </c>
      <c r="N36477">
        <f>IF(M36477="","",'Master Barang'!A71)</f>
        <v>0</v>
      </c>
      <c r="O36477">
        <f>IF(N36477="","",'Master Barang'!B71)</f>
        <v>0</v>
      </c>
      <c r="P36477">
        <f>IF(OR(M36477="",N36477=""),"",SUMIFS('Barang Keluar'!$E:$E,'Barang Keluar'!$A:$A,M36477,'Barang Keluar'!$C:$C,N36477))</f>
        <v>0</v>
      </c>
    </row>
    <row r="36478" spans="13:16">
      <c r="M36478" s="49">
        <f>IF($A$4+364&gt;$B$4,"",$A$4+364)</f>
        <v>46387</v>
      </c>
      <c r="N36478">
        <f>IF(M36478="","",'Master Barang'!A72)</f>
        <v>0</v>
      </c>
      <c r="O36478">
        <f>IF(N36478="","",'Master Barang'!B72)</f>
        <v>0</v>
      </c>
      <c r="P36478">
        <f>IF(OR(M36478="",N36478=""),"",SUMIFS('Barang Keluar'!$E:$E,'Barang Keluar'!$A:$A,M36478,'Barang Keluar'!$C:$C,N36478))</f>
        <v>0</v>
      </c>
    </row>
    <row r="36479" spans="13:16">
      <c r="M36479" s="49">
        <f>IF($A$4+364&gt;$B$4,"",$A$4+364)</f>
        <v>46387</v>
      </c>
      <c r="N36479">
        <f>IF(M36479="","",'Master Barang'!A73)</f>
        <v>0</v>
      </c>
      <c r="O36479">
        <f>IF(N36479="","",'Master Barang'!B73)</f>
        <v>0</v>
      </c>
      <c r="P36479">
        <f>IF(OR(M36479="",N36479=""),"",SUMIFS('Barang Keluar'!$E:$E,'Barang Keluar'!$A:$A,M36479,'Barang Keluar'!$C:$C,N36479))</f>
        <v>0</v>
      </c>
    </row>
    <row r="36480" spans="13:16">
      <c r="M36480" s="49">
        <f>IF($A$4+364&gt;$B$4,"",$A$4+364)</f>
        <v>46387</v>
      </c>
      <c r="N36480">
        <f>IF(M36480="","",'Master Barang'!A74)</f>
        <v>0</v>
      </c>
      <c r="O36480">
        <f>IF(N36480="","",'Master Barang'!B74)</f>
        <v>0</v>
      </c>
      <c r="P36480">
        <f>IF(OR(M36480="",N36480=""),"",SUMIFS('Barang Keluar'!$E:$E,'Barang Keluar'!$A:$A,M36480,'Barang Keluar'!$C:$C,N36480))</f>
        <v>0</v>
      </c>
    </row>
    <row r="36481" spans="13:16">
      <c r="M36481" s="49">
        <f>IF($A$4+364&gt;$B$4,"",$A$4+364)</f>
        <v>46387</v>
      </c>
      <c r="N36481">
        <f>IF(M36481="","",'Master Barang'!A75)</f>
        <v>0</v>
      </c>
      <c r="O36481">
        <f>IF(N36481="","",'Master Barang'!B75)</f>
        <v>0</v>
      </c>
      <c r="P36481">
        <f>IF(OR(M36481="",N36481=""),"",SUMIFS('Barang Keluar'!$E:$E,'Barang Keluar'!$A:$A,M36481,'Barang Keluar'!$C:$C,N36481))</f>
        <v>0</v>
      </c>
    </row>
    <row r="36482" spans="13:16">
      <c r="M36482" s="49">
        <f>IF($A$4+364&gt;$B$4,"",$A$4+364)</f>
        <v>46387</v>
      </c>
      <c r="N36482">
        <f>IF(M36482="","",'Master Barang'!A76)</f>
        <v>0</v>
      </c>
      <c r="O36482">
        <f>IF(N36482="","",'Master Barang'!B76)</f>
        <v>0</v>
      </c>
      <c r="P36482">
        <f>IF(OR(M36482="",N36482=""),"",SUMIFS('Barang Keluar'!$E:$E,'Barang Keluar'!$A:$A,M36482,'Barang Keluar'!$C:$C,N36482))</f>
        <v>0</v>
      </c>
    </row>
    <row r="36483" spans="13:16">
      <c r="M36483" s="49">
        <f>IF($A$4+364&gt;$B$4,"",$A$4+364)</f>
        <v>46387</v>
      </c>
      <c r="N36483">
        <f>IF(M36483="","",'Master Barang'!A77)</f>
        <v>0</v>
      </c>
      <c r="O36483">
        <f>IF(N36483="","",'Master Barang'!B77)</f>
        <v>0</v>
      </c>
      <c r="P36483">
        <f>IF(OR(M36483="",N36483=""),"",SUMIFS('Barang Keluar'!$E:$E,'Barang Keluar'!$A:$A,M36483,'Barang Keluar'!$C:$C,N36483))</f>
        <v>0</v>
      </c>
    </row>
    <row r="36484" spans="13:16">
      <c r="M36484" s="49">
        <f>IF($A$4+364&gt;$B$4,"",$A$4+364)</f>
        <v>46387</v>
      </c>
      <c r="N36484">
        <f>IF(M36484="","",'Master Barang'!A78)</f>
        <v>0</v>
      </c>
      <c r="O36484">
        <f>IF(N36484="","",'Master Barang'!B78)</f>
        <v>0</v>
      </c>
      <c r="P36484">
        <f>IF(OR(M36484="",N36484=""),"",SUMIFS('Barang Keluar'!$E:$E,'Barang Keluar'!$A:$A,M36484,'Barang Keluar'!$C:$C,N36484))</f>
        <v>0</v>
      </c>
    </row>
    <row r="36485" spans="13:16">
      <c r="M36485" s="49">
        <f>IF($A$4+364&gt;$B$4,"",$A$4+364)</f>
        <v>46387</v>
      </c>
      <c r="N36485">
        <f>IF(M36485="","",'Master Barang'!A79)</f>
        <v>0</v>
      </c>
      <c r="O36485">
        <f>IF(N36485="","",'Master Barang'!B79)</f>
        <v>0</v>
      </c>
      <c r="P36485">
        <f>IF(OR(M36485="",N36485=""),"",SUMIFS('Barang Keluar'!$E:$E,'Barang Keluar'!$A:$A,M36485,'Barang Keluar'!$C:$C,N36485))</f>
        <v>0</v>
      </c>
    </row>
    <row r="36486" spans="13:16">
      <c r="M36486" s="49">
        <f>IF($A$4+364&gt;$B$4,"",$A$4+364)</f>
        <v>46387</v>
      </c>
      <c r="N36486">
        <f>IF(M36486="","",'Master Barang'!A80)</f>
        <v>0</v>
      </c>
      <c r="O36486">
        <f>IF(N36486="","",'Master Barang'!B80)</f>
        <v>0</v>
      </c>
      <c r="P36486">
        <f>IF(OR(M36486="",N36486=""),"",SUMIFS('Barang Keluar'!$E:$E,'Barang Keluar'!$A:$A,M36486,'Barang Keluar'!$C:$C,N36486))</f>
        <v>0</v>
      </c>
    </row>
    <row r="36487" spans="13:16">
      <c r="M36487" s="49">
        <f>IF($A$4+364&gt;$B$4,"",$A$4+364)</f>
        <v>46387</v>
      </c>
      <c r="N36487">
        <f>IF(M36487="","",'Master Barang'!A81)</f>
        <v>0</v>
      </c>
      <c r="O36487">
        <f>IF(N36487="","",'Master Barang'!B81)</f>
        <v>0</v>
      </c>
      <c r="P36487">
        <f>IF(OR(M36487="",N36487=""),"",SUMIFS('Barang Keluar'!$E:$E,'Barang Keluar'!$A:$A,M36487,'Barang Keluar'!$C:$C,N36487))</f>
        <v>0</v>
      </c>
    </row>
    <row r="36488" spans="13:16">
      <c r="M36488" s="49">
        <f>IF($A$4+364&gt;$B$4,"",$A$4+364)</f>
        <v>46387</v>
      </c>
      <c r="N36488">
        <f>IF(M36488="","",'Master Barang'!A82)</f>
        <v>0</v>
      </c>
      <c r="O36488">
        <f>IF(N36488="","",'Master Barang'!B82)</f>
        <v>0</v>
      </c>
      <c r="P36488">
        <f>IF(OR(M36488="",N36488=""),"",SUMIFS('Barang Keluar'!$E:$E,'Barang Keluar'!$A:$A,M36488,'Barang Keluar'!$C:$C,N36488))</f>
        <v>0</v>
      </c>
    </row>
    <row r="36489" spans="13:16">
      <c r="M36489" s="49">
        <f>IF($A$4+364&gt;$B$4,"",$A$4+364)</f>
        <v>46387</v>
      </c>
      <c r="N36489">
        <f>IF(M36489="","",'Master Barang'!A83)</f>
        <v>0</v>
      </c>
      <c r="O36489">
        <f>IF(N36489="","",'Master Barang'!B83)</f>
        <v>0</v>
      </c>
      <c r="P36489">
        <f>IF(OR(M36489="",N36489=""),"",SUMIFS('Barang Keluar'!$E:$E,'Barang Keluar'!$A:$A,M36489,'Barang Keluar'!$C:$C,N36489))</f>
        <v>0</v>
      </c>
    </row>
    <row r="36490" spans="13:16">
      <c r="M36490" s="49">
        <f>IF($A$4+364&gt;$B$4,"",$A$4+364)</f>
        <v>46387</v>
      </c>
      <c r="N36490">
        <f>IF(M36490="","",'Master Barang'!A84)</f>
        <v>0</v>
      </c>
      <c r="O36490">
        <f>IF(N36490="","",'Master Barang'!B84)</f>
        <v>0</v>
      </c>
      <c r="P36490">
        <f>IF(OR(M36490="",N36490=""),"",SUMIFS('Barang Keluar'!$E:$E,'Barang Keluar'!$A:$A,M36490,'Barang Keluar'!$C:$C,N36490))</f>
        <v>0</v>
      </c>
    </row>
    <row r="36491" spans="13:16">
      <c r="M36491" s="49">
        <f>IF($A$4+364&gt;$B$4,"",$A$4+364)</f>
        <v>46387</v>
      </c>
      <c r="N36491">
        <f>IF(M36491="","",'Master Barang'!A85)</f>
        <v>0</v>
      </c>
      <c r="O36491">
        <f>IF(N36491="","",'Master Barang'!B85)</f>
        <v>0</v>
      </c>
      <c r="P36491">
        <f>IF(OR(M36491="",N36491=""),"",SUMIFS('Barang Keluar'!$E:$E,'Barang Keluar'!$A:$A,M36491,'Barang Keluar'!$C:$C,N36491))</f>
        <v>0</v>
      </c>
    </row>
    <row r="36492" spans="13:16">
      <c r="M36492" s="49">
        <f>IF($A$4+364&gt;$B$4,"",$A$4+364)</f>
        <v>46387</v>
      </c>
      <c r="N36492">
        <f>IF(M36492="","",'Master Barang'!A86)</f>
        <v>0</v>
      </c>
      <c r="O36492">
        <f>IF(N36492="","",'Master Barang'!B86)</f>
        <v>0</v>
      </c>
      <c r="P36492">
        <f>IF(OR(M36492="",N36492=""),"",SUMIFS('Barang Keluar'!$E:$E,'Barang Keluar'!$A:$A,M36492,'Barang Keluar'!$C:$C,N36492))</f>
        <v>0</v>
      </c>
    </row>
    <row r="36493" spans="13:16">
      <c r="M36493" s="49">
        <f>IF($A$4+364&gt;$B$4,"",$A$4+364)</f>
        <v>46387</v>
      </c>
      <c r="N36493">
        <f>IF(M36493="","",'Master Barang'!A87)</f>
        <v>0</v>
      </c>
      <c r="O36493">
        <f>IF(N36493="","",'Master Barang'!B87)</f>
        <v>0</v>
      </c>
      <c r="P36493">
        <f>IF(OR(M36493="",N36493=""),"",SUMIFS('Barang Keluar'!$E:$E,'Barang Keluar'!$A:$A,M36493,'Barang Keluar'!$C:$C,N36493))</f>
        <v>0</v>
      </c>
    </row>
    <row r="36494" spans="13:16">
      <c r="M36494" s="49">
        <f>IF($A$4+364&gt;$B$4,"",$A$4+364)</f>
        <v>46387</v>
      </c>
      <c r="N36494">
        <f>IF(M36494="","",'Master Barang'!A88)</f>
        <v>0</v>
      </c>
      <c r="O36494">
        <f>IF(N36494="","",'Master Barang'!B88)</f>
        <v>0</v>
      </c>
      <c r="P36494">
        <f>IF(OR(M36494="",N36494=""),"",SUMIFS('Barang Keluar'!$E:$E,'Barang Keluar'!$A:$A,M36494,'Barang Keluar'!$C:$C,N36494))</f>
        <v>0</v>
      </c>
    </row>
    <row r="36495" spans="13:16">
      <c r="M36495" s="49">
        <f>IF($A$4+364&gt;$B$4,"",$A$4+364)</f>
        <v>46387</v>
      </c>
      <c r="N36495">
        <f>IF(M36495="","",'Master Barang'!A89)</f>
        <v>0</v>
      </c>
      <c r="O36495">
        <f>IF(N36495="","",'Master Barang'!B89)</f>
        <v>0</v>
      </c>
      <c r="P36495">
        <f>IF(OR(M36495="",N36495=""),"",SUMIFS('Barang Keluar'!$E:$E,'Barang Keluar'!$A:$A,M36495,'Barang Keluar'!$C:$C,N36495))</f>
        <v>0</v>
      </c>
    </row>
    <row r="36496" spans="13:16">
      <c r="M36496" s="49">
        <f>IF($A$4+364&gt;$B$4,"",$A$4+364)</f>
        <v>46387</v>
      </c>
      <c r="N36496">
        <f>IF(M36496="","",'Master Barang'!A90)</f>
        <v>0</v>
      </c>
      <c r="O36496">
        <f>IF(N36496="","",'Master Barang'!B90)</f>
        <v>0</v>
      </c>
      <c r="P36496">
        <f>IF(OR(M36496="",N36496=""),"",SUMIFS('Barang Keluar'!$E:$E,'Barang Keluar'!$A:$A,M36496,'Barang Keluar'!$C:$C,N36496))</f>
        <v>0</v>
      </c>
    </row>
    <row r="36497" spans="13:16">
      <c r="M36497" s="49">
        <f>IF($A$4+364&gt;$B$4,"",$A$4+364)</f>
        <v>46387</v>
      </c>
      <c r="N36497">
        <f>IF(M36497="","",'Master Barang'!A91)</f>
        <v>0</v>
      </c>
      <c r="O36497">
        <f>IF(N36497="","",'Master Barang'!B91)</f>
        <v>0</v>
      </c>
      <c r="P36497">
        <f>IF(OR(M36497="",N36497=""),"",SUMIFS('Barang Keluar'!$E:$E,'Barang Keluar'!$A:$A,M36497,'Barang Keluar'!$C:$C,N36497))</f>
        <v>0</v>
      </c>
    </row>
    <row r="36498" spans="13:16">
      <c r="M36498" s="49">
        <f>IF($A$4+364&gt;$B$4,"",$A$4+364)</f>
        <v>46387</v>
      </c>
      <c r="N36498">
        <f>IF(M36498="","",'Master Barang'!A92)</f>
        <v>0</v>
      </c>
      <c r="O36498">
        <f>IF(N36498="","",'Master Barang'!B92)</f>
        <v>0</v>
      </c>
      <c r="P36498">
        <f>IF(OR(M36498="",N36498=""),"",SUMIFS('Barang Keluar'!$E:$E,'Barang Keluar'!$A:$A,M36498,'Barang Keluar'!$C:$C,N36498))</f>
        <v>0</v>
      </c>
    </row>
    <row r="36499" spans="13:16">
      <c r="M36499" s="49">
        <f>IF($A$4+364&gt;$B$4,"",$A$4+364)</f>
        <v>46387</v>
      </c>
      <c r="N36499">
        <f>IF(M36499="","",'Master Barang'!A93)</f>
        <v>0</v>
      </c>
      <c r="O36499">
        <f>IF(N36499="","",'Master Barang'!B93)</f>
        <v>0</v>
      </c>
      <c r="P36499">
        <f>IF(OR(M36499="",N36499=""),"",SUMIFS('Barang Keluar'!$E:$E,'Barang Keluar'!$A:$A,M36499,'Barang Keluar'!$C:$C,N36499))</f>
        <v>0</v>
      </c>
    </row>
    <row r="36500" spans="13:16">
      <c r="M36500" s="49">
        <f>IF($A$4+364&gt;$B$4,"",$A$4+364)</f>
        <v>46387</v>
      </c>
      <c r="N36500">
        <f>IF(M36500="","",'Master Barang'!A94)</f>
        <v>0</v>
      </c>
      <c r="O36500">
        <f>IF(N36500="","",'Master Barang'!B94)</f>
        <v>0</v>
      </c>
      <c r="P36500">
        <f>IF(OR(M36500="",N36500=""),"",SUMIFS('Barang Keluar'!$E:$E,'Barang Keluar'!$A:$A,M36500,'Barang Keluar'!$C:$C,N36500))</f>
        <v>0</v>
      </c>
    </row>
    <row r="36501" spans="13:16">
      <c r="M36501" s="49">
        <f>IF($A$4+364&gt;$B$4,"",$A$4+364)</f>
        <v>46387</v>
      </c>
      <c r="N36501">
        <f>IF(M36501="","",'Master Barang'!A95)</f>
        <v>0</v>
      </c>
      <c r="O36501">
        <f>IF(N36501="","",'Master Barang'!B95)</f>
        <v>0</v>
      </c>
      <c r="P36501">
        <f>IF(OR(M36501="",N36501=""),"",SUMIFS('Barang Keluar'!$E:$E,'Barang Keluar'!$A:$A,M36501,'Barang Keluar'!$C:$C,N36501))</f>
        <v>0</v>
      </c>
    </row>
    <row r="36502" spans="13:16">
      <c r="M36502" s="49">
        <f>IF($A$4+364&gt;$B$4,"",$A$4+364)</f>
        <v>46387</v>
      </c>
      <c r="N36502">
        <f>IF(M36502="","",'Master Barang'!A96)</f>
        <v>0</v>
      </c>
      <c r="O36502">
        <f>IF(N36502="","",'Master Barang'!B96)</f>
        <v>0</v>
      </c>
      <c r="P36502">
        <f>IF(OR(M36502="",N36502=""),"",SUMIFS('Barang Keluar'!$E:$E,'Barang Keluar'!$A:$A,M36502,'Barang Keluar'!$C:$C,N36502))</f>
        <v>0</v>
      </c>
    </row>
    <row r="36503" spans="13:16">
      <c r="M36503" s="49">
        <f>IF($A$4+364&gt;$B$4,"",$A$4+364)</f>
        <v>46387</v>
      </c>
      <c r="N36503">
        <f>IF(M36503="","",'Master Barang'!A97)</f>
        <v>0</v>
      </c>
      <c r="O36503">
        <f>IF(N36503="","",'Master Barang'!B97)</f>
        <v>0</v>
      </c>
      <c r="P36503">
        <f>IF(OR(M36503="",N36503=""),"",SUMIFS('Barang Keluar'!$E:$E,'Barang Keluar'!$A:$A,M36503,'Barang Keluar'!$C:$C,N36503))</f>
        <v>0</v>
      </c>
    </row>
    <row r="36504" spans="13:16">
      <c r="M36504" s="49">
        <f>IF($A$4+364&gt;$B$4,"",$A$4+364)</f>
        <v>46387</v>
      </c>
      <c r="N36504">
        <f>IF(M36504="","",'Master Barang'!A98)</f>
        <v>0</v>
      </c>
      <c r="O36504">
        <f>IF(N36504="","",'Master Barang'!B98)</f>
        <v>0</v>
      </c>
      <c r="P36504">
        <f>IF(OR(M36504="",N36504=""),"",SUMIFS('Barang Keluar'!$E:$E,'Barang Keluar'!$A:$A,M36504,'Barang Keluar'!$C:$C,N36504))</f>
        <v>0</v>
      </c>
    </row>
    <row r="36505" spans="13:16">
      <c r="M36505" s="49">
        <f>IF($A$4+364&gt;$B$4,"",$A$4+364)</f>
        <v>46387</v>
      </c>
      <c r="N36505">
        <f>IF(M36505="","",'Master Barang'!A99)</f>
        <v>0</v>
      </c>
      <c r="O36505">
        <f>IF(N36505="","",'Master Barang'!B99)</f>
        <v>0</v>
      </c>
      <c r="P36505">
        <f>IF(OR(M36505="",N36505=""),"",SUMIFS('Barang Keluar'!$E:$E,'Barang Keluar'!$A:$A,M36505,'Barang Keluar'!$C:$C,N36505))</f>
        <v>0</v>
      </c>
    </row>
    <row r="36506" spans="13:16">
      <c r="M36506" s="49">
        <f>IF($A$4+364&gt;$B$4,"",$A$4+364)</f>
        <v>46387</v>
      </c>
      <c r="N36506">
        <f>IF(M36506="","",'Master Barang'!A100)</f>
        <v>0</v>
      </c>
      <c r="O36506">
        <f>IF(N36506="","",'Master Barang'!B100)</f>
        <v>0</v>
      </c>
      <c r="P36506">
        <f>IF(OR(M36506="",N36506=""),"",SUMIFS('Barang Keluar'!$E:$E,'Barang Keluar'!$A:$A,M36506,'Barang Keluar'!$C:$C,N36506))</f>
        <v>0</v>
      </c>
    </row>
    <row r="36507" spans="13:16">
      <c r="M36507" s="49">
        <f>IF($A$4+364&gt;$B$4,"",$A$4+364)</f>
        <v>46387</v>
      </c>
      <c r="N36507">
        <f>IF(M36507="","",'Master Barang'!A101)</f>
        <v>0</v>
      </c>
      <c r="O36507">
        <f>IF(N36507="","",'Master Barang'!B101)</f>
        <v>0</v>
      </c>
      <c r="P36507">
        <f>IF(OR(M36507="",N36507=""),"",SUMIFS('Barang Keluar'!$E:$E,'Barang Keluar'!$A:$A,M36507,'Barang Keluar'!$C:$C,N36507))</f>
        <v>0</v>
      </c>
    </row>
    <row r="36508" spans="13:16">
      <c r="M36508" s="49">
        <f>IF($A$4+365&gt;$B$4,"",$A$4+365)</f>
        <v>46388</v>
      </c>
      <c r="N36508" t="str">
        <f>IF(M36508="","",'Master Barang'!A2)</f>
        <v>PRL-001</v>
      </c>
      <c r="O36508" t="str">
        <f>IF(N36508="","",'Master Barang'!B2)</f>
        <v>natura desinfectant food grade 5l</v>
      </c>
      <c r="P36508">
        <f>IF(OR(M36508="",N36508=""),"",SUMIFS('Barang Keluar'!$E:$E,'Barang Keluar'!$A:$A,M36508,'Barang Keluar'!$C:$C,N36508))</f>
        <v>0</v>
      </c>
    </row>
    <row r="36509" spans="13:16">
      <c r="M36509" s="49">
        <f>IF($A$4+365&gt;$B$4,"",$A$4+365)</f>
        <v>46388</v>
      </c>
      <c r="N36509" t="str">
        <f>IF(M36509="","",'Master Barang'!A3)</f>
        <v>PRL-002</v>
      </c>
      <c r="O36509" t="str">
        <f>IF(N36509="","",'Master Barang'!B3)</f>
        <v>sunlight cairan pencuci piring 5l</v>
      </c>
      <c r="P36509">
        <f>IF(OR(M36509="",N36509=""),"",SUMIFS('Barang Keluar'!$E:$E,'Barang Keluar'!$A:$A,M36509,'Barang Keluar'!$C:$C,N36509))</f>
        <v>0</v>
      </c>
    </row>
    <row r="36510" spans="13:16">
      <c r="M36510" s="49">
        <f>IF($A$4+365&gt;$B$4,"",$A$4+365)</f>
        <v>46388</v>
      </c>
      <c r="N36510" t="str">
        <f>IF(M36510="","",'Master Barang'!A4)</f>
        <v>PRL-003</v>
      </c>
      <c r="O36510" t="str">
        <f>IF(N36510="","",'Master Barang'!B4)</f>
        <v>oixs cleaner 1l</v>
      </c>
      <c r="P36510">
        <f>IF(OR(M36510="",N36510=""),"",SUMIFS('Barang Keluar'!$E:$E,'Barang Keluar'!$A:$A,M36510,'Barang Keluar'!$C:$C,N36510))</f>
        <v>0</v>
      </c>
    </row>
    <row r="36511" spans="13:16">
      <c r="M36511" s="49">
        <f>IF($A$4+365&gt;$B$4,"",$A$4+365)</f>
        <v>46388</v>
      </c>
      <c r="N36511" t="str">
        <f>IF(M36511="","",'Master Barang'!A5)</f>
        <v>PRL-004</v>
      </c>
      <c r="O36511" t="str">
        <f>IF(N36511="","",'Master Barang'!B5)</f>
        <v>be clean tissue serbaguna</v>
      </c>
      <c r="P36511">
        <f>IF(OR(M36511="",N36511=""),"",SUMIFS('Barang Keluar'!$E:$E,'Barang Keluar'!$A:$A,M36511,'Barang Keluar'!$C:$C,N36511))</f>
        <v>0</v>
      </c>
    </row>
    <row r="36512" spans="13:16">
      <c r="M36512" s="49">
        <f>IF($A$4+365&gt;$B$4,"",$A$4+365)</f>
        <v>46388</v>
      </c>
      <c r="N36512" t="str">
        <f>IF(M36512="","",'Master Barang'!A6)</f>
        <v>PRL-005</v>
      </c>
      <c r="O36512" t="str">
        <f>IF(N36512="","",'Master Barang'!B6)</f>
        <v>spons cuci hijau</v>
      </c>
      <c r="P36512">
        <f>IF(OR(M36512="",N36512=""),"",SUMIFS('Barang Keluar'!$E:$E,'Barang Keluar'!$A:$A,M36512,'Barang Keluar'!$C:$C,N36512))</f>
        <v>0</v>
      </c>
    </row>
    <row r="36513" spans="13:16">
      <c r="M36513" s="49">
        <f>IF($A$4+365&gt;$B$4,"",$A$4+365)</f>
        <v>46388</v>
      </c>
      <c r="N36513" t="str">
        <f>IF(M36513="","",'Master Barang'!A7)</f>
        <v>PRL-006</v>
      </c>
      <c r="O36513" t="str">
        <f>IF(N36513="","",'Master Barang'!B7)</f>
        <v>sabut cuci stainless</v>
      </c>
      <c r="P36513">
        <f>IF(OR(M36513="",N36513=""),"",SUMIFS('Barang Keluar'!$E:$E,'Barang Keluar'!$A:$A,M36513,'Barang Keluar'!$C:$C,N36513))</f>
        <v>0</v>
      </c>
    </row>
    <row r="36514" spans="13:16">
      <c r="M36514" s="49">
        <f>IF($A$4+365&gt;$B$4,"",$A$4+365)</f>
        <v>46388</v>
      </c>
      <c r="N36514" t="str">
        <f>IF(M36514="","",'Master Barang'!A8)</f>
        <v>PRL-007</v>
      </c>
      <c r="O36514" t="str">
        <f>IF(N36514="","",'Master Barang'!B8)</f>
        <v>plastik kresek besar merah 50pc</v>
      </c>
      <c r="P36514">
        <f>IF(OR(M36514="",N36514=""),"",SUMIFS('Barang Keluar'!$E:$E,'Barang Keluar'!$A:$A,M36514,'Barang Keluar'!$C:$C,N36514))</f>
        <v>0</v>
      </c>
    </row>
    <row r="36515" spans="13:16">
      <c r="M36515" s="49">
        <f>IF($A$4+365&gt;$B$4,"",$A$4+365)</f>
        <v>46388</v>
      </c>
      <c r="N36515" t="str">
        <f>IF(M36515="","",'Master Barang'!A9)</f>
        <v>PRL-008</v>
      </c>
      <c r="O36515" t="str">
        <f>IF(N36515="","",'Master Barang'!B9)</f>
        <v>lap besar</v>
      </c>
      <c r="P36515">
        <f>IF(OR(M36515="",N36515=""),"",SUMIFS('Barang Keluar'!$E:$E,'Barang Keluar'!$A:$A,M36515,'Barang Keluar'!$C:$C,N36515))</f>
        <v>0</v>
      </c>
    </row>
    <row r="36516" spans="13:16">
      <c r="M36516" s="49">
        <f>IF($A$4+365&gt;$B$4,"",$A$4+365)</f>
        <v>46388</v>
      </c>
      <c r="N36516" t="str">
        <f>IF(M36516="","",'Master Barang'!A10)</f>
        <v>PRL-009</v>
      </c>
      <c r="O36516" t="str">
        <f>IF(N36516="","",'Master Barang'!B10)</f>
        <v>lap microfiber</v>
      </c>
      <c r="P36516">
        <f>IF(OR(M36516="",N36516=""),"",SUMIFS('Barang Keluar'!$E:$E,'Barang Keluar'!$A:$A,M36516,'Barang Keluar'!$C:$C,N36516))</f>
        <v>0</v>
      </c>
    </row>
    <row r="36517" spans="13:16">
      <c r="M36517" s="49">
        <f>IF($A$4+365&gt;$B$4,"",$A$4+365)</f>
        <v>46388</v>
      </c>
      <c r="N36517" t="str">
        <f>IF(M36517="","",'Master Barang'!A11)</f>
        <v>PRL-010</v>
      </c>
      <c r="O36517" t="str">
        <f>IF(N36517="","",'Master Barang'!B11)</f>
        <v>lap kecil</v>
      </c>
      <c r="P36517">
        <f>IF(OR(M36517="",N36517=""),"",SUMIFS('Barang Keluar'!$E:$E,'Barang Keluar'!$A:$A,M36517,'Barang Keluar'!$C:$C,N36517))</f>
        <v>0</v>
      </c>
    </row>
    <row r="36518" spans="13:16">
      <c r="M36518" s="49">
        <f>IF($A$4+365&gt;$B$4,"",$A$4+365)</f>
        <v>46388</v>
      </c>
      <c r="N36518" t="str">
        <f>IF(M36518="","",'Master Barang'!A12)</f>
        <v>PRL-011</v>
      </c>
      <c r="O36518" t="str">
        <f>IF(N36518="","",'Master Barang'!B12)</f>
        <v>kanebo kecil</v>
      </c>
      <c r="P36518">
        <f>IF(OR(M36518="",N36518=""),"",SUMIFS('Barang Keluar'!$E:$E,'Barang Keluar'!$A:$A,M36518,'Barang Keluar'!$C:$C,N36518))</f>
        <v>0</v>
      </c>
    </row>
    <row r="36519" spans="13:16">
      <c r="M36519" s="49">
        <f>IF($A$4+365&gt;$B$4,"",$A$4+365)</f>
        <v>46388</v>
      </c>
      <c r="N36519" t="str">
        <f>IF(M36519="","",'Master Barang'!A13)</f>
        <v>PRL-012</v>
      </c>
      <c r="O36519" t="str">
        <f>IF(N36519="","",'Master Barang'!B13)</f>
        <v>plastik 1/4kg joyoboyo 100 lembar</v>
      </c>
      <c r="P36519">
        <f>IF(OR(M36519="",N36519=""),"",SUMIFS('Barang Keluar'!$E:$E,'Barang Keluar'!$A:$A,M36519,'Barang Keluar'!$C:$C,N36519))</f>
        <v>0</v>
      </c>
    </row>
    <row r="36520" spans="13:16">
      <c r="M36520" s="49">
        <f>IF($A$4+365&gt;$B$4,"",$A$4+365)</f>
        <v>46388</v>
      </c>
      <c r="N36520" t="str">
        <f>IF(M36520="","",'Master Barang'!A14)</f>
        <v>PRL-013</v>
      </c>
      <c r="O36520" t="str">
        <f>IF(N36520="","",'Master Barang'!B14)</f>
        <v>sarung tangan plastik kaka 100 pcs</v>
      </c>
      <c r="P36520">
        <f>IF(OR(M36520="",N36520=""),"",SUMIFS('Barang Keluar'!$E:$E,'Barang Keluar'!$A:$A,M36520,'Barang Keluar'!$C:$C,N36520))</f>
        <v>0</v>
      </c>
    </row>
    <row r="36521" spans="13:16">
      <c r="M36521" s="49">
        <f>IF($A$4+365&gt;$B$4,"",$A$4+365)</f>
        <v>46388</v>
      </c>
      <c r="N36521" t="str">
        <f>IF(M36521="","",'Master Barang'!A15)</f>
        <v>PRL-014</v>
      </c>
      <c r="O36521" t="str">
        <f>IF(N36521="","",'Master Barang'!B15)</f>
        <v>optima trashbag 80x100</v>
      </c>
      <c r="P36521">
        <f>IF(OR(M36521="",N36521=""),"",SUMIFS('Barang Keluar'!$E:$E,'Barang Keluar'!$A:$A,M36521,'Barang Keluar'!$C:$C,N36521))</f>
        <v>0</v>
      </c>
    </row>
    <row r="36522" spans="13:16">
      <c r="M36522" s="49">
        <f>IF($A$4+365&gt;$B$4,"",$A$4+365)</f>
        <v>46388</v>
      </c>
      <c r="N36522" t="str">
        <f>IF(M36522="","",'Master Barang'!A16)</f>
        <v>PRL-015</v>
      </c>
      <c r="O36522" t="str">
        <f>IF(N36522="","",'Master Barang'!B16)</f>
        <v>optima trashbag 60x100</v>
      </c>
      <c r="P36522">
        <f>IF(OR(M36522="",N36522=""),"",SUMIFS('Barang Keluar'!$E:$E,'Barang Keluar'!$A:$A,M36522,'Barang Keluar'!$C:$C,N36522))</f>
        <v>0</v>
      </c>
    </row>
    <row r="36523" spans="13:16">
      <c r="M36523" s="49">
        <f>IF($A$4+365&gt;$B$4,"",$A$4+365)</f>
        <v>46388</v>
      </c>
      <c r="N36523" t="str">
        <f>IF(M36523="","",'Master Barang'!A17)</f>
        <v>PRL-016</v>
      </c>
      <c r="O36523" t="str">
        <f>IF(N36523="","",'Master Barang'!B17)</f>
        <v>rajawali trashbag 30x40</v>
      </c>
      <c r="P36523">
        <f>IF(OR(M36523="",N36523=""),"",SUMIFS('Barang Keluar'!$E:$E,'Barang Keluar'!$A:$A,M36523,'Barang Keluar'!$C:$C,N36523))</f>
        <v>0</v>
      </c>
    </row>
    <row r="36524" spans="13:16">
      <c r="M36524" s="49">
        <f>IF($A$4+365&gt;$B$4,"",$A$4+365)</f>
        <v>46388</v>
      </c>
      <c r="N36524" t="str">
        <f>IF(M36524="","",'Master Barang'!A18)</f>
        <v>PRL-017</v>
      </c>
      <c r="O36524" t="str">
        <f>IF(N36524="","",'Master Barang'!B18)</f>
        <v>onemed masker biru 3 play 50 pcs</v>
      </c>
      <c r="P36524">
        <f>IF(OR(M36524="",N36524=""),"",SUMIFS('Barang Keluar'!$E:$E,'Barang Keluar'!$A:$A,M36524,'Barang Keluar'!$C:$C,N36524))</f>
        <v>0</v>
      </c>
    </row>
    <row r="36525" spans="13:16">
      <c r="M36525" s="49">
        <f>IF($A$4+365&gt;$B$4,"",$A$4+365)</f>
        <v>46388</v>
      </c>
      <c r="N36525" t="str">
        <f>IF(M36525="","",'Master Barang'!A19)</f>
        <v>PRL-018</v>
      </c>
      <c r="O36525" t="str">
        <f>IF(N36525="","",'Master Barang'!B19)</f>
        <v>onemed masker biru 3 play hijab 50 pcs</v>
      </c>
      <c r="P36525">
        <f>IF(OR(M36525="",N36525=""),"",SUMIFS('Barang Keluar'!$E:$E,'Barang Keluar'!$A:$A,M36525,'Barang Keluar'!$C:$C,N36525))</f>
        <v>0</v>
      </c>
    </row>
    <row r="36526" spans="13:16">
      <c r="M36526" s="49">
        <f>IF($A$4+365&gt;$B$4,"",$A$4+365)</f>
        <v>46388</v>
      </c>
      <c r="N36526" t="str">
        <f>IF(M36526="","",'Master Barang'!A20)</f>
        <v>PRL-019</v>
      </c>
      <c r="O36526" t="str">
        <f>IF(N36526="","",'Master Barang'!B20)</f>
        <v>neo health masker biru 3 play 50 pcs</v>
      </c>
      <c r="P36526">
        <f>IF(OR(M36526="",N36526=""),"",SUMIFS('Barang Keluar'!$E:$E,'Barang Keluar'!$A:$A,M36526,'Barang Keluar'!$C:$C,N36526))</f>
        <v>0</v>
      </c>
    </row>
    <row r="36527" spans="13:16">
      <c r="M36527" s="49">
        <f>IF($A$4+365&gt;$B$4,"",$A$4+365)</f>
        <v>46388</v>
      </c>
      <c r="N36527" t="str">
        <f>IF(M36527="","",'Master Barang'!A21)</f>
        <v>PRL-020</v>
      </c>
      <c r="O36527" t="str">
        <f>IF(N36527="","",'Master Barang'!B21)</f>
        <v>baymed masker hijau 3 play hijau 50 pcs</v>
      </c>
      <c r="P36527">
        <f>IF(OR(M36527="",N36527=""),"",SUMIFS('Barang Keluar'!$E:$E,'Barang Keluar'!$A:$A,M36527,'Barang Keluar'!$C:$C,N36527))</f>
        <v>0</v>
      </c>
    </row>
    <row r="36528" spans="13:16">
      <c r="M36528" s="49">
        <f>IF($A$4+365&gt;$B$4,"",$A$4+365)</f>
        <v>46388</v>
      </c>
      <c r="N36528" t="str">
        <f>IF(M36528="","",'Master Barang'!A22)</f>
        <v>PRL-021</v>
      </c>
      <c r="O36528" t="str">
        <f>IF(N36528="","",'Master Barang'!B22)</f>
        <v>altamed nurse cap penutup kepala 100 pcs</v>
      </c>
      <c r="P36528">
        <f>IF(OR(M36528="",N36528=""),"",SUMIFS('Barang Keluar'!$E:$E,'Barang Keluar'!$A:$A,M36528,'Barang Keluar'!$C:$C,N36528))</f>
        <v>0</v>
      </c>
    </row>
    <row r="36529" spans="13:16">
      <c r="M36529" s="49">
        <f>IF($A$4+365&gt;$B$4,"",$A$4+365)</f>
        <v>46388</v>
      </c>
      <c r="N36529" t="str">
        <f>IF(M36529="","",'Master Barang'!A23)</f>
        <v>PRL-022</v>
      </c>
      <c r="O36529" t="str">
        <f>IF(N36529="","",'Master Barang'!B23)</f>
        <v>sabun cuci tangan</v>
      </c>
      <c r="P36529">
        <f>IF(OR(M36529="",N36529=""),"",SUMIFS('Barang Keluar'!$E:$E,'Barang Keluar'!$A:$A,M36529,'Barang Keluar'!$C:$C,N36529))</f>
        <v>0</v>
      </c>
    </row>
    <row r="36530" spans="13:16">
      <c r="M36530" s="49">
        <f>IF($A$4+365&gt;$B$4,"",$A$4+365)</f>
        <v>46388</v>
      </c>
      <c r="N36530" t="str">
        <f>IF(M36530="","",'Master Barang'!A24)</f>
        <v>PRL-023</v>
      </c>
      <c r="O36530" t="str">
        <f>IF(N36530="","",'Master Barang'!B24)</f>
        <v>gayung kecil</v>
      </c>
      <c r="P36530">
        <f>IF(OR(M36530="",N36530=""),"",SUMIFS('Barang Keluar'!$E:$E,'Barang Keluar'!$A:$A,M36530,'Barang Keluar'!$C:$C,N36530))</f>
        <v>0</v>
      </c>
    </row>
    <row r="36531" spans="13:16">
      <c r="M36531" s="49">
        <f>IF($A$4+365&gt;$B$4,"",$A$4+365)</f>
        <v>46388</v>
      </c>
      <c r="N36531" t="str">
        <f>IF(M36531="","",'Master Barang'!A25)</f>
        <v>PRL-024</v>
      </c>
      <c r="O36531" t="str">
        <f>IF(N36531="","",'Master Barang'!B25)</f>
        <v>cikrak kecil</v>
      </c>
      <c r="P36531">
        <f>IF(OR(M36531="",N36531=""),"",SUMIFS('Barang Keluar'!$E:$E,'Barang Keluar'!$A:$A,M36531,'Barang Keluar'!$C:$C,N36531))</f>
        <v>0</v>
      </c>
    </row>
    <row r="36532" spans="13:16">
      <c r="M36532" s="49">
        <f>IF($A$4+365&gt;$B$4,"",$A$4+365)</f>
        <v>46388</v>
      </c>
      <c r="N36532" t="str">
        <f>IF(M36532="","",'Master Barang'!A26)</f>
        <v>PRL-025</v>
      </c>
      <c r="O36532" t="str">
        <f>IF(N36532="","",'Master Barang'!B26)</f>
        <v>petromax plastik kecil 12x24 100 lembar</v>
      </c>
      <c r="P36532">
        <f>IF(OR(M36532="",N36532=""),"",SUMIFS('Barang Keluar'!$E:$E,'Barang Keluar'!$A:$A,M36532,'Barang Keluar'!$C:$C,N36532))</f>
        <v>0</v>
      </c>
    </row>
    <row r="36533" spans="13:16">
      <c r="M36533" s="49">
        <f>IF($A$4+365&gt;$B$4,"",$A$4+365)</f>
        <v>46388</v>
      </c>
      <c r="N36533" t="str">
        <f>IF(M36533="","",'Master Barang'!A27)</f>
        <v>PRL-026</v>
      </c>
      <c r="O36533" t="str">
        <f>IF(N36533="","",'Master Barang'!B27)</f>
        <v>lancar kresek kecil bening </v>
      </c>
      <c r="P36533">
        <f>IF(OR(M36533="",N36533=""),"",SUMIFS('Barang Keluar'!$E:$E,'Barang Keluar'!$A:$A,M36533,'Barang Keluar'!$C:$C,N36533))</f>
        <v>0</v>
      </c>
    </row>
    <row r="36534" spans="13:16">
      <c r="M36534" s="49">
        <f>IF($A$4+365&gt;$B$4,"",$A$4+365)</f>
        <v>46388</v>
      </c>
      <c r="N36534" t="str">
        <f>IF(M36534="","",'Master Barang'!A28)</f>
        <v>PRL-027</v>
      </c>
      <c r="O36534" t="str">
        <f>IF(N36534="","",'Master Barang'!B28)</f>
        <v>kresek klin warna warni kecil</v>
      </c>
      <c r="P36534">
        <f>IF(OR(M36534="",N36534=""),"",SUMIFS('Barang Keluar'!$E:$E,'Barang Keluar'!$A:$A,M36534,'Barang Keluar'!$C:$C,N36534))</f>
        <v>0</v>
      </c>
    </row>
    <row r="36535" spans="13:16">
      <c r="M36535" s="49">
        <f>IF($A$4+365&gt;$B$4,"",$A$4+365)</f>
        <v>46388</v>
      </c>
      <c r="N36535" t="str">
        <f>IF(M36535="","",'Master Barang'!A29)</f>
        <v>PRL-028</v>
      </c>
      <c r="O36535" t="str">
        <f>IF(N36535="","",'Master Barang'!B29)</f>
        <v>ctik plastik 7x10 100 pcs</v>
      </c>
      <c r="P36535">
        <f>IF(OR(M36535="",N36535=""),"",SUMIFS('Barang Keluar'!$E:$E,'Barang Keluar'!$A:$A,M36535,'Barang Keluar'!$C:$C,N36535))</f>
        <v>0</v>
      </c>
    </row>
    <row r="36536" spans="13:16">
      <c r="M36536" s="49">
        <f>IF($A$4+365&gt;$B$4,"",$A$4+365)</f>
        <v>46388</v>
      </c>
      <c r="N36536" t="str">
        <f>IF(M36536="","",'Master Barang'!A30)</f>
        <v>PRL-029</v>
      </c>
      <c r="O36536" t="str">
        <f>IF(N36536="","",'Master Barang'!B30)</f>
        <v>ctik plastik 6x10 100 pcs</v>
      </c>
      <c r="P36536">
        <f>IF(OR(M36536="",N36536=""),"",SUMIFS('Barang Keluar'!$E:$E,'Barang Keluar'!$A:$A,M36536,'Barang Keluar'!$C:$C,N36536))</f>
        <v>0</v>
      </c>
    </row>
    <row r="36537" spans="13:16">
      <c r="M36537" s="49">
        <f>IF($A$4+365&gt;$B$4,"",$A$4+365)</f>
        <v>46388</v>
      </c>
      <c r="N36537" t="str">
        <f>IF(M36537="","",'Master Barang'!A31)</f>
        <v>PRL-030</v>
      </c>
      <c r="O36537" t="str">
        <f>IF(N36537="","",'Master Barang'!B31)</f>
        <v>klip plastik 25x16 100 pcs</v>
      </c>
      <c r="P36537">
        <f>IF(OR(M36537="",N36537=""),"",SUMIFS('Barang Keluar'!$E:$E,'Barang Keluar'!$A:$A,M36537,'Barang Keluar'!$C:$C,N36537))</f>
        <v>0</v>
      </c>
    </row>
    <row r="36538" spans="13:16">
      <c r="M36538" s="49">
        <f>IF($A$4+365&gt;$B$4,"",$A$4+365)</f>
        <v>46388</v>
      </c>
      <c r="N36538" t="str">
        <f>IF(M36538="","",'Master Barang'!A32)</f>
        <v>PRL-031</v>
      </c>
      <c r="O36538" t="str">
        <f>IF(N36538="","",'Master Barang'!B32)</f>
        <v>tempat saus 20 ml</v>
      </c>
      <c r="P36538">
        <f>IF(OR(M36538="",N36538=""),"",SUMIFS('Barang Keluar'!$E:$E,'Barang Keluar'!$A:$A,M36538,'Barang Keluar'!$C:$C,N36538))</f>
        <v>0</v>
      </c>
    </row>
    <row r="36539" spans="13:16">
      <c r="M36539" s="49">
        <f>IF($A$4+365&gt;$B$4,"",$A$4+365)</f>
        <v>46388</v>
      </c>
      <c r="N36539" t="str">
        <f>IF(M36539="","",'Master Barang'!A33)</f>
        <v>PRL-032</v>
      </c>
      <c r="O36539" t="str">
        <f>IF(N36539="","",'Master Barang'!B33)</f>
        <v>plastik packaging ag box uk sedang</v>
      </c>
      <c r="P36539">
        <f>IF(OR(M36539="",N36539=""),"",SUMIFS('Barang Keluar'!$E:$E,'Barang Keluar'!$A:$A,M36539,'Barang Keluar'!$C:$C,N36539))</f>
        <v>0</v>
      </c>
    </row>
    <row r="36540" spans="13:16">
      <c r="M36540" s="49">
        <f>IF($A$4+365&gt;$B$4,"",$A$4+365)</f>
        <v>46388</v>
      </c>
      <c r="N36540" t="str">
        <f>IF(M36540="","",'Master Barang'!A34)</f>
        <v>PRL-033</v>
      </c>
      <c r="O36540">
        <f>IF(N36540="","",'Master Barang'!B34)</f>
        <v>0</v>
      </c>
      <c r="P36540">
        <f>IF(OR(M36540="",N36540=""),"",SUMIFS('Barang Keluar'!$E:$E,'Barang Keluar'!$A:$A,M36540,'Barang Keluar'!$C:$C,N36540))</f>
        <v>0</v>
      </c>
    </row>
    <row r="36541" spans="13:16">
      <c r="M36541" s="49">
        <f>IF($A$4+365&gt;$B$4,"",$A$4+365)</f>
        <v>46388</v>
      </c>
      <c r="N36541">
        <f>IF(M36541="","",'Master Barang'!A35)</f>
        <v>0</v>
      </c>
      <c r="O36541">
        <f>IF(N36541="","",'Master Barang'!B35)</f>
        <v>0</v>
      </c>
      <c r="P36541">
        <f>IF(OR(M36541="",N36541=""),"",SUMIFS('Barang Keluar'!$E:$E,'Barang Keluar'!$A:$A,M36541,'Barang Keluar'!$C:$C,N36541))</f>
        <v>0</v>
      </c>
    </row>
    <row r="36542" spans="13:16">
      <c r="M36542" s="49">
        <f>IF($A$4+365&gt;$B$4,"",$A$4+365)</f>
        <v>46388</v>
      </c>
      <c r="N36542">
        <f>IF(M36542="","",'Master Barang'!A36)</f>
        <v>0</v>
      </c>
      <c r="O36542">
        <f>IF(N36542="","",'Master Barang'!B36)</f>
        <v>0</v>
      </c>
      <c r="P36542">
        <f>IF(OR(M36542="",N36542=""),"",SUMIFS('Barang Keluar'!$E:$E,'Barang Keluar'!$A:$A,M36542,'Barang Keluar'!$C:$C,N36542))</f>
        <v>0</v>
      </c>
    </row>
    <row r="36543" spans="13:16">
      <c r="M36543" s="49">
        <f>IF($A$4+365&gt;$B$4,"",$A$4+365)</f>
        <v>46388</v>
      </c>
      <c r="N36543">
        <f>IF(M36543="","",'Master Barang'!A37)</f>
        <v>0</v>
      </c>
      <c r="O36543">
        <f>IF(N36543="","",'Master Barang'!B37)</f>
        <v>0</v>
      </c>
      <c r="P36543">
        <f>IF(OR(M36543="",N36543=""),"",SUMIFS('Barang Keluar'!$E:$E,'Barang Keluar'!$A:$A,M36543,'Barang Keluar'!$C:$C,N36543))</f>
        <v>0</v>
      </c>
    </row>
    <row r="36544" spans="13:16">
      <c r="M36544" s="49">
        <f>IF($A$4+365&gt;$B$4,"",$A$4+365)</f>
        <v>46388</v>
      </c>
      <c r="N36544">
        <f>IF(M36544="","",'Master Barang'!A38)</f>
        <v>0</v>
      </c>
      <c r="O36544">
        <f>IF(N36544="","",'Master Barang'!B38)</f>
        <v>0</v>
      </c>
      <c r="P36544">
        <f>IF(OR(M36544="",N36544=""),"",SUMIFS('Barang Keluar'!$E:$E,'Barang Keluar'!$A:$A,M36544,'Barang Keluar'!$C:$C,N36544))</f>
        <v>0</v>
      </c>
    </row>
    <row r="36545" spans="13:16">
      <c r="M36545" s="49">
        <f>IF($A$4+365&gt;$B$4,"",$A$4+365)</f>
        <v>46388</v>
      </c>
      <c r="N36545">
        <f>IF(M36545="","",'Master Barang'!A39)</f>
        <v>0</v>
      </c>
      <c r="O36545">
        <f>IF(N36545="","",'Master Barang'!B39)</f>
        <v>0</v>
      </c>
      <c r="P36545">
        <f>IF(OR(M36545="",N36545=""),"",SUMIFS('Barang Keluar'!$E:$E,'Barang Keluar'!$A:$A,M36545,'Barang Keluar'!$C:$C,N36545))</f>
        <v>0</v>
      </c>
    </row>
    <row r="36546" spans="13:16">
      <c r="M36546" s="49">
        <f>IF($A$4+365&gt;$B$4,"",$A$4+365)</f>
        <v>46388</v>
      </c>
      <c r="N36546">
        <f>IF(M36546="","",'Master Barang'!A40)</f>
        <v>0</v>
      </c>
      <c r="O36546">
        <f>IF(N36546="","",'Master Barang'!B40)</f>
        <v>0</v>
      </c>
      <c r="P36546">
        <f>IF(OR(M36546="",N36546=""),"",SUMIFS('Barang Keluar'!$E:$E,'Barang Keluar'!$A:$A,M36546,'Barang Keluar'!$C:$C,N36546))</f>
        <v>0</v>
      </c>
    </row>
    <row r="36547" spans="13:16">
      <c r="M36547" s="49">
        <f>IF($A$4+365&gt;$B$4,"",$A$4+365)</f>
        <v>46388</v>
      </c>
      <c r="N36547">
        <f>IF(M36547="","",'Master Barang'!A41)</f>
        <v>0</v>
      </c>
      <c r="O36547">
        <f>IF(N36547="","",'Master Barang'!B41)</f>
        <v>0</v>
      </c>
      <c r="P36547">
        <f>IF(OR(M36547="",N36547=""),"",SUMIFS('Barang Keluar'!$E:$E,'Barang Keluar'!$A:$A,M36547,'Barang Keluar'!$C:$C,N36547))</f>
        <v>0</v>
      </c>
    </row>
    <row r="36548" spans="13:16">
      <c r="M36548" s="49">
        <f>IF($A$4+365&gt;$B$4,"",$A$4+365)</f>
        <v>46388</v>
      </c>
      <c r="N36548">
        <f>IF(M36548="","",'Master Barang'!A42)</f>
        <v>0</v>
      </c>
      <c r="O36548">
        <f>IF(N36548="","",'Master Barang'!B42)</f>
        <v>0</v>
      </c>
      <c r="P36548">
        <f>IF(OR(M36548="",N36548=""),"",SUMIFS('Barang Keluar'!$E:$E,'Barang Keluar'!$A:$A,M36548,'Barang Keluar'!$C:$C,N36548))</f>
        <v>0</v>
      </c>
    </row>
    <row r="36549" spans="13:16">
      <c r="M36549" s="49">
        <f>IF($A$4+365&gt;$B$4,"",$A$4+365)</f>
        <v>46388</v>
      </c>
      <c r="N36549">
        <f>IF(M36549="","",'Master Barang'!A43)</f>
        <v>0</v>
      </c>
      <c r="O36549">
        <f>IF(N36549="","",'Master Barang'!B43)</f>
        <v>0</v>
      </c>
      <c r="P36549">
        <f>IF(OR(M36549="",N36549=""),"",SUMIFS('Barang Keluar'!$E:$E,'Barang Keluar'!$A:$A,M36549,'Barang Keluar'!$C:$C,N36549))</f>
        <v>0</v>
      </c>
    </row>
    <row r="36550" spans="13:16">
      <c r="M36550" s="49">
        <f>IF($A$4+365&gt;$B$4,"",$A$4+365)</f>
        <v>46388</v>
      </c>
      <c r="N36550">
        <f>IF(M36550="","",'Master Barang'!A44)</f>
        <v>0</v>
      </c>
      <c r="O36550">
        <f>IF(N36550="","",'Master Barang'!B44)</f>
        <v>0</v>
      </c>
      <c r="P36550">
        <f>IF(OR(M36550="",N36550=""),"",SUMIFS('Barang Keluar'!$E:$E,'Barang Keluar'!$A:$A,M36550,'Barang Keluar'!$C:$C,N36550))</f>
        <v>0</v>
      </c>
    </row>
    <row r="36551" spans="13:16">
      <c r="M36551" s="49">
        <f>IF($A$4+365&gt;$B$4,"",$A$4+365)</f>
        <v>46388</v>
      </c>
      <c r="N36551">
        <f>IF(M36551="","",'Master Barang'!A45)</f>
        <v>0</v>
      </c>
      <c r="O36551">
        <f>IF(N36551="","",'Master Barang'!B45)</f>
        <v>0</v>
      </c>
      <c r="P36551">
        <f>IF(OR(M36551="",N36551=""),"",SUMIFS('Barang Keluar'!$E:$E,'Barang Keluar'!$A:$A,M36551,'Barang Keluar'!$C:$C,N36551))</f>
        <v>0</v>
      </c>
    </row>
    <row r="36552" spans="13:16">
      <c r="M36552" s="49">
        <f>IF($A$4+365&gt;$B$4,"",$A$4+365)</f>
        <v>46388</v>
      </c>
      <c r="N36552">
        <f>IF(M36552="","",'Master Barang'!A46)</f>
        <v>0</v>
      </c>
      <c r="O36552">
        <f>IF(N36552="","",'Master Barang'!B46)</f>
        <v>0</v>
      </c>
      <c r="P36552">
        <f>IF(OR(M36552="",N36552=""),"",SUMIFS('Barang Keluar'!$E:$E,'Barang Keluar'!$A:$A,M36552,'Barang Keluar'!$C:$C,N36552))</f>
        <v>0</v>
      </c>
    </row>
    <row r="36553" spans="13:16">
      <c r="M36553" s="49">
        <f>IF($A$4+365&gt;$B$4,"",$A$4+365)</f>
        <v>46388</v>
      </c>
      <c r="N36553">
        <f>IF(M36553="","",'Master Barang'!A47)</f>
        <v>0</v>
      </c>
      <c r="O36553">
        <f>IF(N36553="","",'Master Barang'!B47)</f>
        <v>0</v>
      </c>
      <c r="P36553">
        <f>IF(OR(M36553="",N36553=""),"",SUMIFS('Barang Keluar'!$E:$E,'Barang Keluar'!$A:$A,M36553,'Barang Keluar'!$C:$C,N36553))</f>
        <v>0</v>
      </c>
    </row>
    <row r="36554" spans="13:16">
      <c r="M36554" s="49">
        <f>IF($A$4+365&gt;$B$4,"",$A$4+365)</f>
        <v>46388</v>
      </c>
      <c r="N36554">
        <f>IF(M36554="","",'Master Barang'!A48)</f>
        <v>0</v>
      </c>
      <c r="O36554">
        <f>IF(N36554="","",'Master Barang'!B48)</f>
        <v>0</v>
      </c>
      <c r="P36554">
        <f>IF(OR(M36554="",N36554=""),"",SUMIFS('Barang Keluar'!$E:$E,'Barang Keluar'!$A:$A,M36554,'Barang Keluar'!$C:$C,N36554))</f>
        <v>0</v>
      </c>
    </row>
    <row r="36555" spans="13:16">
      <c r="M36555" s="49">
        <f>IF($A$4+365&gt;$B$4,"",$A$4+365)</f>
        <v>46388</v>
      </c>
      <c r="N36555">
        <f>IF(M36555="","",'Master Barang'!A49)</f>
        <v>0</v>
      </c>
      <c r="O36555">
        <f>IF(N36555="","",'Master Barang'!B49)</f>
        <v>0</v>
      </c>
      <c r="P36555">
        <f>IF(OR(M36555="",N36555=""),"",SUMIFS('Barang Keluar'!$E:$E,'Barang Keluar'!$A:$A,M36555,'Barang Keluar'!$C:$C,N36555))</f>
        <v>0</v>
      </c>
    </row>
    <row r="36556" spans="13:16">
      <c r="M36556" s="49">
        <f>IF($A$4+365&gt;$B$4,"",$A$4+365)</f>
        <v>46388</v>
      </c>
      <c r="N36556">
        <f>IF(M36556="","",'Master Barang'!A50)</f>
        <v>0</v>
      </c>
      <c r="O36556">
        <f>IF(N36556="","",'Master Barang'!B50)</f>
        <v>0</v>
      </c>
      <c r="P36556">
        <f>IF(OR(M36556="",N36556=""),"",SUMIFS('Barang Keluar'!$E:$E,'Barang Keluar'!$A:$A,M36556,'Barang Keluar'!$C:$C,N36556))</f>
        <v>0</v>
      </c>
    </row>
    <row r="36557" spans="13:16">
      <c r="M36557" s="49">
        <f>IF($A$4+365&gt;$B$4,"",$A$4+365)</f>
        <v>46388</v>
      </c>
      <c r="N36557">
        <f>IF(M36557="","",'Master Barang'!A51)</f>
        <v>0</v>
      </c>
      <c r="O36557">
        <f>IF(N36557="","",'Master Barang'!B51)</f>
        <v>0</v>
      </c>
      <c r="P36557">
        <f>IF(OR(M36557="",N36557=""),"",SUMIFS('Barang Keluar'!$E:$E,'Barang Keluar'!$A:$A,M36557,'Barang Keluar'!$C:$C,N36557))</f>
        <v>0</v>
      </c>
    </row>
    <row r="36558" spans="13:16">
      <c r="M36558" s="49">
        <f>IF($A$4+365&gt;$B$4,"",$A$4+365)</f>
        <v>46388</v>
      </c>
      <c r="N36558">
        <f>IF(M36558="","",'Master Barang'!A52)</f>
        <v>0</v>
      </c>
      <c r="O36558">
        <f>IF(N36558="","",'Master Barang'!B52)</f>
        <v>0</v>
      </c>
      <c r="P36558">
        <f>IF(OR(M36558="",N36558=""),"",SUMIFS('Barang Keluar'!$E:$E,'Barang Keluar'!$A:$A,M36558,'Barang Keluar'!$C:$C,N36558))</f>
        <v>0</v>
      </c>
    </row>
    <row r="36559" spans="13:16">
      <c r="M36559" s="49">
        <f>IF($A$4+365&gt;$B$4,"",$A$4+365)</f>
        <v>46388</v>
      </c>
      <c r="N36559">
        <f>IF(M36559="","",'Master Barang'!A53)</f>
        <v>0</v>
      </c>
      <c r="O36559">
        <f>IF(N36559="","",'Master Barang'!B53)</f>
        <v>0</v>
      </c>
      <c r="P36559">
        <f>IF(OR(M36559="",N36559=""),"",SUMIFS('Barang Keluar'!$E:$E,'Barang Keluar'!$A:$A,M36559,'Barang Keluar'!$C:$C,N36559))</f>
        <v>0</v>
      </c>
    </row>
    <row r="36560" spans="13:16">
      <c r="M36560" s="49">
        <f>IF($A$4+365&gt;$B$4,"",$A$4+365)</f>
        <v>46388</v>
      </c>
      <c r="N36560">
        <f>IF(M36560="","",'Master Barang'!A54)</f>
        <v>0</v>
      </c>
      <c r="O36560">
        <f>IF(N36560="","",'Master Barang'!B54)</f>
        <v>0</v>
      </c>
      <c r="P36560">
        <f>IF(OR(M36560="",N36560=""),"",SUMIFS('Barang Keluar'!$E:$E,'Barang Keluar'!$A:$A,M36560,'Barang Keluar'!$C:$C,N36560))</f>
        <v>0</v>
      </c>
    </row>
    <row r="36561" spans="13:16">
      <c r="M36561" s="49">
        <f>IF($A$4+365&gt;$B$4,"",$A$4+365)</f>
        <v>46388</v>
      </c>
      <c r="N36561">
        <f>IF(M36561="","",'Master Barang'!A55)</f>
        <v>0</v>
      </c>
      <c r="O36561">
        <f>IF(N36561="","",'Master Barang'!B55)</f>
        <v>0</v>
      </c>
      <c r="P36561">
        <f>IF(OR(M36561="",N36561=""),"",SUMIFS('Barang Keluar'!$E:$E,'Barang Keluar'!$A:$A,M36561,'Barang Keluar'!$C:$C,N36561))</f>
        <v>0</v>
      </c>
    </row>
    <row r="36562" spans="13:16">
      <c r="M36562" s="49">
        <f>IF($A$4+365&gt;$B$4,"",$A$4+365)</f>
        <v>46388</v>
      </c>
      <c r="N36562">
        <f>IF(M36562="","",'Master Barang'!A56)</f>
        <v>0</v>
      </c>
      <c r="O36562">
        <f>IF(N36562="","",'Master Barang'!B56)</f>
        <v>0</v>
      </c>
      <c r="P36562">
        <f>IF(OR(M36562="",N36562=""),"",SUMIFS('Barang Keluar'!$E:$E,'Barang Keluar'!$A:$A,M36562,'Barang Keluar'!$C:$C,N36562))</f>
        <v>0</v>
      </c>
    </row>
    <row r="36563" spans="13:16">
      <c r="M36563" s="49">
        <f>IF($A$4+365&gt;$B$4,"",$A$4+365)</f>
        <v>46388</v>
      </c>
      <c r="N36563">
        <f>IF(M36563="","",'Master Barang'!A57)</f>
        <v>0</v>
      </c>
      <c r="O36563">
        <f>IF(N36563="","",'Master Barang'!B57)</f>
        <v>0</v>
      </c>
      <c r="P36563">
        <f>IF(OR(M36563="",N36563=""),"",SUMIFS('Barang Keluar'!$E:$E,'Barang Keluar'!$A:$A,M36563,'Barang Keluar'!$C:$C,N36563))</f>
        <v>0</v>
      </c>
    </row>
    <row r="36564" spans="13:16">
      <c r="M36564" s="49">
        <f>IF($A$4+365&gt;$B$4,"",$A$4+365)</f>
        <v>46388</v>
      </c>
      <c r="N36564">
        <f>IF(M36564="","",'Master Barang'!A58)</f>
        <v>0</v>
      </c>
      <c r="O36564">
        <f>IF(N36564="","",'Master Barang'!B58)</f>
        <v>0</v>
      </c>
      <c r="P36564">
        <f>IF(OR(M36564="",N36564=""),"",SUMIFS('Barang Keluar'!$E:$E,'Barang Keluar'!$A:$A,M36564,'Barang Keluar'!$C:$C,N36564))</f>
        <v>0</v>
      </c>
    </row>
    <row r="36565" spans="13:16">
      <c r="M36565" s="49">
        <f>IF($A$4+365&gt;$B$4,"",$A$4+365)</f>
        <v>46388</v>
      </c>
      <c r="N36565">
        <f>IF(M36565="","",'Master Barang'!A59)</f>
        <v>0</v>
      </c>
      <c r="O36565">
        <f>IF(N36565="","",'Master Barang'!B59)</f>
        <v>0</v>
      </c>
      <c r="P36565">
        <f>IF(OR(M36565="",N36565=""),"",SUMIFS('Barang Keluar'!$E:$E,'Barang Keluar'!$A:$A,M36565,'Barang Keluar'!$C:$C,N36565))</f>
        <v>0</v>
      </c>
    </row>
    <row r="36566" spans="13:16">
      <c r="M36566" s="49">
        <f>IF($A$4+365&gt;$B$4,"",$A$4+365)</f>
        <v>46388</v>
      </c>
      <c r="N36566">
        <f>IF(M36566="","",'Master Barang'!A60)</f>
        <v>0</v>
      </c>
      <c r="O36566">
        <f>IF(N36566="","",'Master Barang'!B60)</f>
        <v>0</v>
      </c>
      <c r="P36566">
        <f>IF(OR(M36566="",N36566=""),"",SUMIFS('Barang Keluar'!$E:$E,'Barang Keluar'!$A:$A,M36566,'Barang Keluar'!$C:$C,N36566))</f>
        <v>0</v>
      </c>
    </row>
    <row r="36567" spans="13:16">
      <c r="M36567" s="49">
        <f>IF($A$4+365&gt;$B$4,"",$A$4+365)</f>
        <v>46388</v>
      </c>
      <c r="N36567">
        <f>IF(M36567="","",'Master Barang'!A61)</f>
        <v>0</v>
      </c>
      <c r="O36567">
        <f>IF(N36567="","",'Master Barang'!B61)</f>
        <v>0</v>
      </c>
      <c r="P36567">
        <f>IF(OR(M36567="",N36567=""),"",SUMIFS('Barang Keluar'!$E:$E,'Barang Keluar'!$A:$A,M36567,'Barang Keluar'!$C:$C,N36567))</f>
        <v>0</v>
      </c>
    </row>
    <row r="36568" spans="13:16">
      <c r="M36568" s="49">
        <f>IF($A$4+365&gt;$B$4,"",$A$4+365)</f>
        <v>46388</v>
      </c>
      <c r="N36568">
        <f>IF(M36568="","",'Master Barang'!A62)</f>
        <v>0</v>
      </c>
      <c r="O36568">
        <f>IF(N36568="","",'Master Barang'!B62)</f>
        <v>0</v>
      </c>
      <c r="P36568">
        <f>IF(OR(M36568="",N36568=""),"",SUMIFS('Barang Keluar'!$E:$E,'Barang Keluar'!$A:$A,M36568,'Barang Keluar'!$C:$C,N36568))</f>
        <v>0</v>
      </c>
    </row>
    <row r="36569" spans="13:16">
      <c r="M36569" s="49">
        <f>IF($A$4+365&gt;$B$4,"",$A$4+365)</f>
        <v>46388</v>
      </c>
      <c r="N36569">
        <f>IF(M36569="","",'Master Barang'!A63)</f>
        <v>0</v>
      </c>
      <c r="O36569">
        <f>IF(N36569="","",'Master Barang'!B63)</f>
        <v>0</v>
      </c>
      <c r="P36569">
        <f>IF(OR(M36569="",N36569=""),"",SUMIFS('Barang Keluar'!$E:$E,'Barang Keluar'!$A:$A,M36569,'Barang Keluar'!$C:$C,N36569))</f>
        <v>0</v>
      </c>
    </row>
    <row r="36570" spans="13:16">
      <c r="M36570" s="49">
        <f>IF($A$4+365&gt;$B$4,"",$A$4+365)</f>
        <v>46388</v>
      </c>
      <c r="N36570">
        <f>IF(M36570="","",'Master Barang'!A64)</f>
        <v>0</v>
      </c>
      <c r="O36570">
        <f>IF(N36570="","",'Master Barang'!B64)</f>
        <v>0</v>
      </c>
      <c r="P36570">
        <f>IF(OR(M36570="",N36570=""),"",SUMIFS('Barang Keluar'!$E:$E,'Barang Keluar'!$A:$A,M36570,'Barang Keluar'!$C:$C,N36570))</f>
        <v>0</v>
      </c>
    </row>
    <row r="36571" spans="13:16">
      <c r="M36571" s="49">
        <f>IF($A$4+365&gt;$B$4,"",$A$4+365)</f>
        <v>46388</v>
      </c>
      <c r="N36571">
        <f>IF(M36571="","",'Master Barang'!A65)</f>
        <v>0</v>
      </c>
      <c r="O36571">
        <f>IF(N36571="","",'Master Barang'!B65)</f>
        <v>0</v>
      </c>
      <c r="P36571">
        <f>IF(OR(M36571="",N36571=""),"",SUMIFS('Barang Keluar'!$E:$E,'Barang Keluar'!$A:$A,M36571,'Barang Keluar'!$C:$C,N36571))</f>
        <v>0</v>
      </c>
    </row>
    <row r="36572" spans="13:16">
      <c r="M36572" s="49">
        <f>IF($A$4+365&gt;$B$4,"",$A$4+365)</f>
        <v>46388</v>
      </c>
      <c r="N36572">
        <f>IF(M36572="","",'Master Barang'!A66)</f>
        <v>0</v>
      </c>
      <c r="O36572">
        <f>IF(N36572="","",'Master Barang'!B66)</f>
        <v>0</v>
      </c>
      <c r="P36572">
        <f>IF(OR(M36572="",N36572=""),"",SUMIFS('Barang Keluar'!$E:$E,'Barang Keluar'!$A:$A,M36572,'Barang Keluar'!$C:$C,N36572))</f>
        <v>0</v>
      </c>
    </row>
    <row r="36573" spans="13:16">
      <c r="M36573" s="49">
        <f>IF($A$4+365&gt;$B$4,"",$A$4+365)</f>
        <v>46388</v>
      </c>
      <c r="N36573">
        <f>IF(M36573="","",'Master Barang'!A67)</f>
        <v>0</v>
      </c>
      <c r="O36573">
        <f>IF(N36573="","",'Master Barang'!B67)</f>
        <v>0</v>
      </c>
      <c r="P36573">
        <f>IF(OR(M36573="",N36573=""),"",SUMIFS('Barang Keluar'!$E:$E,'Barang Keluar'!$A:$A,M36573,'Barang Keluar'!$C:$C,N36573))</f>
        <v>0</v>
      </c>
    </row>
    <row r="36574" spans="13:16">
      <c r="M36574" s="49">
        <f>IF($A$4+365&gt;$B$4,"",$A$4+365)</f>
        <v>46388</v>
      </c>
      <c r="N36574">
        <f>IF(M36574="","",'Master Barang'!A68)</f>
        <v>0</v>
      </c>
      <c r="O36574">
        <f>IF(N36574="","",'Master Barang'!B68)</f>
        <v>0</v>
      </c>
      <c r="P36574">
        <f>IF(OR(M36574="",N36574=""),"",SUMIFS('Barang Keluar'!$E:$E,'Barang Keluar'!$A:$A,M36574,'Barang Keluar'!$C:$C,N36574))</f>
        <v>0</v>
      </c>
    </row>
    <row r="36575" spans="13:16">
      <c r="M36575" s="49">
        <f>IF($A$4+365&gt;$B$4,"",$A$4+365)</f>
        <v>46388</v>
      </c>
      <c r="N36575">
        <f>IF(M36575="","",'Master Barang'!A69)</f>
        <v>0</v>
      </c>
      <c r="O36575">
        <f>IF(N36575="","",'Master Barang'!B69)</f>
        <v>0</v>
      </c>
      <c r="P36575">
        <f>IF(OR(M36575="",N36575=""),"",SUMIFS('Barang Keluar'!$E:$E,'Barang Keluar'!$A:$A,M36575,'Barang Keluar'!$C:$C,N36575))</f>
        <v>0</v>
      </c>
    </row>
    <row r="36576" spans="13:16">
      <c r="M36576" s="49">
        <f>IF($A$4+365&gt;$B$4,"",$A$4+365)</f>
        <v>46388</v>
      </c>
      <c r="N36576">
        <f>IF(M36576="","",'Master Barang'!A70)</f>
        <v>0</v>
      </c>
      <c r="O36576">
        <f>IF(N36576="","",'Master Barang'!B70)</f>
        <v>0</v>
      </c>
      <c r="P36576">
        <f>IF(OR(M36576="",N36576=""),"",SUMIFS('Barang Keluar'!$E:$E,'Barang Keluar'!$A:$A,M36576,'Barang Keluar'!$C:$C,N36576))</f>
        <v>0</v>
      </c>
    </row>
    <row r="36577" spans="13:16">
      <c r="M36577" s="49">
        <f>IF($A$4+365&gt;$B$4,"",$A$4+365)</f>
        <v>46388</v>
      </c>
      <c r="N36577">
        <f>IF(M36577="","",'Master Barang'!A71)</f>
        <v>0</v>
      </c>
      <c r="O36577">
        <f>IF(N36577="","",'Master Barang'!B71)</f>
        <v>0</v>
      </c>
      <c r="P36577">
        <f>IF(OR(M36577="",N36577=""),"",SUMIFS('Barang Keluar'!$E:$E,'Barang Keluar'!$A:$A,M36577,'Barang Keluar'!$C:$C,N36577))</f>
        <v>0</v>
      </c>
    </row>
    <row r="36578" spans="13:16">
      <c r="M36578" s="49">
        <f>IF($A$4+365&gt;$B$4,"",$A$4+365)</f>
        <v>46388</v>
      </c>
      <c r="N36578">
        <f>IF(M36578="","",'Master Barang'!A72)</f>
        <v>0</v>
      </c>
      <c r="O36578">
        <f>IF(N36578="","",'Master Barang'!B72)</f>
        <v>0</v>
      </c>
      <c r="P36578">
        <f>IF(OR(M36578="",N36578=""),"",SUMIFS('Barang Keluar'!$E:$E,'Barang Keluar'!$A:$A,M36578,'Barang Keluar'!$C:$C,N36578))</f>
        <v>0</v>
      </c>
    </row>
    <row r="36579" spans="13:16">
      <c r="M36579" s="49">
        <f>IF($A$4+365&gt;$B$4,"",$A$4+365)</f>
        <v>46388</v>
      </c>
      <c r="N36579">
        <f>IF(M36579="","",'Master Barang'!A73)</f>
        <v>0</v>
      </c>
      <c r="O36579">
        <f>IF(N36579="","",'Master Barang'!B73)</f>
        <v>0</v>
      </c>
      <c r="P36579">
        <f>IF(OR(M36579="",N36579=""),"",SUMIFS('Barang Keluar'!$E:$E,'Barang Keluar'!$A:$A,M36579,'Barang Keluar'!$C:$C,N36579))</f>
        <v>0</v>
      </c>
    </row>
    <row r="36580" spans="13:16">
      <c r="M36580" s="49">
        <f>IF($A$4+365&gt;$B$4,"",$A$4+365)</f>
        <v>46388</v>
      </c>
      <c r="N36580">
        <f>IF(M36580="","",'Master Barang'!A74)</f>
        <v>0</v>
      </c>
      <c r="O36580">
        <f>IF(N36580="","",'Master Barang'!B74)</f>
        <v>0</v>
      </c>
      <c r="P36580">
        <f>IF(OR(M36580="",N36580=""),"",SUMIFS('Barang Keluar'!$E:$E,'Barang Keluar'!$A:$A,M36580,'Barang Keluar'!$C:$C,N36580))</f>
        <v>0</v>
      </c>
    </row>
    <row r="36581" spans="13:16">
      <c r="M36581" s="49">
        <f>IF($A$4+365&gt;$B$4,"",$A$4+365)</f>
        <v>46388</v>
      </c>
      <c r="N36581">
        <f>IF(M36581="","",'Master Barang'!A75)</f>
        <v>0</v>
      </c>
      <c r="O36581">
        <f>IF(N36581="","",'Master Barang'!B75)</f>
        <v>0</v>
      </c>
      <c r="P36581">
        <f>IF(OR(M36581="",N36581=""),"",SUMIFS('Barang Keluar'!$E:$E,'Barang Keluar'!$A:$A,M36581,'Barang Keluar'!$C:$C,N36581))</f>
        <v>0</v>
      </c>
    </row>
    <row r="36582" spans="13:16">
      <c r="M36582" s="49">
        <f>IF($A$4+365&gt;$B$4,"",$A$4+365)</f>
        <v>46388</v>
      </c>
      <c r="N36582">
        <f>IF(M36582="","",'Master Barang'!A76)</f>
        <v>0</v>
      </c>
      <c r="O36582">
        <f>IF(N36582="","",'Master Barang'!B76)</f>
        <v>0</v>
      </c>
      <c r="P36582">
        <f>IF(OR(M36582="",N36582=""),"",SUMIFS('Barang Keluar'!$E:$E,'Barang Keluar'!$A:$A,M36582,'Barang Keluar'!$C:$C,N36582))</f>
        <v>0</v>
      </c>
    </row>
    <row r="36583" spans="13:16">
      <c r="M36583" s="49">
        <f>IF($A$4+365&gt;$B$4,"",$A$4+365)</f>
        <v>46388</v>
      </c>
      <c r="N36583">
        <f>IF(M36583="","",'Master Barang'!A77)</f>
        <v>0</v>
      </c>
      <c r="O36583">
        <f>IF(N36583="","",'Master Barang'!B77)</f>
        <v>0</v>
      </c>
      <c r="P36583">
        <f>IF(OR(M36583="",N36583=""),"",SUMIFS('Barang Keluar'!$E:$E,'Barang Keluar'!$A:$A,M36583,'Barang Keluar'!$C:$C,N36583))</f>
        <v>0</v>
      </c>
    </row>
    <row r="36584" spans="13:16">
      <c r="M36584" s="49">
        <f>IF($A$4+365&gt;$B$4,"",$A$4+365)</f>
        <v>46388</v>
      </c>
      <c r="N36584">
        <f>IF(M36584="","",'Master Barang'!A78)</f>
        <v>0</v>
      </c>
      <c r="O36584">
        <f>IF(N36584="","",'Master Barang'!B78)</f>
        <v>0</v>
      </c>
      <c r="P36584">
        <f>IF(OR(M36584="",N36584=""),"",SUMIFS('Barang Keluar'!$E:$E,'Barang Keluar'!$A:$A,M36584,'Barang Keluar'!$C:$C,N36584))</f>
        <v>0</v>
      </c>
    </row>
    <row r="36585" spans="13:16">
      <c r="M36585" s="49">
        <f>IF($A$4+365&gt;$B$4,"",$A$4+365)</f>
        <v>46388</v>
      </c>
      <c r="N36585">
        <f>IF(M36585="","",'Master Barang'!A79)</f>
        <v>0</v>
      </c>
      <c r="O36585">
        <f>IF(N36585="","",'Master Barang'!B79)</f>
        <v>0</v>
      </c>
      <c r="P36585">
        <f>IF(OR(M36585="",N36585=""),"",SUMIFS('Barang Keluar'!$E:$E,'Barang Keluar'!$A:$A,M36585,'Barang Keluar'!$C:$C,N36585))</f>
        <v>0</v>
      </c>
    </row>
    <row r="36586" spans="13:16">
      <c r="M36586" s="49">
        <f>IF($A$4+365&gt;$B$4,"",$A$4+365)</f>
        <v>46388</v>
      </c>
      <c r="N36586">
        <f>IF(M36586="","",'Master Barang'!A80)</f>
        <v>0</v>
      </c>
      <c r="O36586">
        <f>IF(N36586="","",'Master Barang'!B80)</f>
        <v>0</v>
      </c>
      <c r="P36586">
        <f>IF(OR(M36586="",N36586=""),"",SUMIFS('Barang Keluar'!$E:$E,'Barang Keluar'!$A:$A,M36586,'Barang Keluar'!$C:$C,N36586))</f>
        <v>0</v>
      </c>
    </row>
    <row r="36587" spans="13:16">
      <c r="M36587" s="49">
        <f>IF($A$4+365&gt;$B$4,"",$A$4+365)</f>
        <v>46388</v>
      </c>
      <c r="N36587">
        <f>IF(M36587="","",'Master Barang'!A81)</f>
        <v>0</v>
      </c>
      <c r="O36587">
        <f>IF(N36587="","",'Master Barang'!B81)</f>
        <v>0</v>
      </c>
      <c r="P36587">
        <f>IF(OR(M36587="",N36587=""),"",SUMIFS('Barang Keluar'!$E:$E,'Barang Keluar'!$A:$A,M36587,'Barang Keluar'!$C:$C,N36587))</f>
        <v>0</v>
      </c>
    </row>
    <row r="36588" spans="13:16">
      <c r="M36588" s="49">
        <f>IF($A$4+365&gt;$B$4,"",$A$4+365)</f>
        <v>46388</v>
      </c>
      <c r="N36588">
        <f>IF(M36588="","",'Master Barang'!A82)</f>
        <v>0</v>
      </c>
      <c r="O36588">
        <f>IF(N36588="","",'Master Barang'!B82)</f>
        <v>0</v>
      </c>
      <c r="P36588">
        <f>IF(OR(M36588="",N36588=""),"",SUMIFS('Barang Keluar'!$E:$E,'Barang Keluar'!$A:$A,M36588,'Barang Keluar'!$C:$C,N36588))</f>
        <v>0</v>
      </c>
    </row>
    <row r="36589" spans="13:16">
      <c r="M36589" s="49">
        <f>IF($A$4+365&gt;$B$4,"",$A$4+365)</f>
        <v>46388</v>
      </c>
      <c r="N36589">
        <f>IF(M36589="","",'Master Barang'!A83)</f>
        <v>0</v>
      </c>
      <c r="O36589">
        <f>IF(N36589="","",'Master Barang'!B83)</f>
        <v>0</v>
      </c>
      <c r="P36589">
        <f>IF(OR(M36589="",N36589=""),"",SUMIFS('Barang Keluar'!$E:$E,'Barang Keluar'!$A:$A,M36589,'Barang Keluar'!$C:$C,N36589))</f>
        <v>0</v>
      </c>
    </row>
    <row r="36590" spans="13:16">
      <c r="M36590" s="49">
        <f>IF($A$4+365&gt;$B$4,"",$A$4+365)</f>
        <v>46388</v>
      </c>
      <c r="N36590">
        <f>IF(M36590="","",'Master Barang'!A84)</f>
        <v>0</v>
      </c>
      <c r="O36590">
        <f>IF(N36590="","",'Master Barang'!B84)</f>
        <v>0</v>
      </c>
      <c r="P36590">
        <f>IF(OR(M36590="",N36590=""),"",SUMIFS('Barang Keluar'!$E:$E,'Barang Keluar'!$A:$A,M36590,'Barang Keluar'!$C:$C,N36590))</f>
        <v>0</v>
      </c>
    </row>
    <row r="36591" spans="13:16">
      <c r="M36591" s="49">
        <f>IF($A$4+365&gt;$B$4,"",$A$4+365)</f>
        <v>46388</v>
      </c>
      <c r="N36591">
        <f>IF(M36591="","",'Master Barang'!A85)</f>
        <v>0</v>
      </c>
      <c r="O36591">
        <f>IF(N36591="","",'Master Barang'!B85)</f>
        <v>0</v>
      </c>
      <c r="P36591">
        <f>IF(OR(M36591="",N36591=""),"",SUMIFS('Barang Keluar'!$E:$E,'Barang Keluar'!$A:$A,M36591,'Barang Keluar'!$C:$C,N36591))</f>
        <v>0</v>
      </c>
    </row>
    <row r="36592" spans="13:16">
      <c r="M36592" s="49">
        <f>IF($A$4+365&gt;$B$4,"",$A$4+365)</f>
        <v>46388</v>
      </c>
      <c r="N36592">
        <f>IF(M36592="","",'Master Barang'!A86)</f>
        <v>0</v>
      </c>
      <c r="O36592">
        <f>IF(N36592="","",'Master Barang'!B86)</f>
        <v>0</v>
      </c>
      <c r="P36592">
        <f>IF(OR(M36592="",N36592=""),"",SUMIFS('Barang Keluar'!$E:$E,'Barang Keluar'!$A:$A,M36592,'Barang Keluar'!$C:$C,N36592))</f>
        <v>0</v>
      </c>
    </row>
    <row r="36593" spans="13:16">
      <c r="M36593" s="49">
        <f>IF($A$4+365&gt;$B$4,"",$A$4+365)</f>
        <v>46388</v>
      </c>
      <c r="N36593">
        <f>IF(M36593="","",'Master Barang'!A87)</f>
        <v>0</v>
      </c>
      <c r="O36593">
        <f>IF(N36593="","",'Master Barang'!B87)</f>
        <v>0</v>
      </c>
      <c r="P36593">
        <f>IF(OR(M36593="",N36593=""),"",SUMIFS('Barang Keluar'!$E:$E,'Barang Keluar'!$A:$A,M36593,'Barang Keluar'!$C:$C,N36593))</f>
        <v>0</v>
      </c>
    </row>
    <row r="36594" spans="13:16">
      <c r="M36594" s="49">
        <f>IF($A$4+365&gt;$B$4,"",$A$4+365)</f>
        <v>46388</v>
      </c>
      <c r="N36594">
        <f>IF(M36594="","",'Master Barang'!A88)</f>
        <v>0</v>
      </c>
      <c r="O36594">
        <f>IF(N36594="","",'Master Barang'!B88)</f>
        <v>0</v>
      </c>
      <c r="P36594">
        <f>IF(OR(M36594="",N36594=""),"",SUMIFS('Barang Keluar'!$E:$E,'Barang Keluar'!$A:$A,M36594,'Barang Keluar'!$C:$C,N36594))</f>
        <v>0</v>
      </c>
    </row>
    <row r="36595" spans="13:16">
      <c r="M36595" s="49">
        <f>IF($A$4+365&gt;$B$4,"",$A$4+365)</f>
        <v>46388</v>
      </c>
      <c r="N36595">
        <f>IF(M36595="","",'Master Barang'!A89)</f>
        <v>0</v>
      </c>
      <c r="O36595">
        <f>IF(N36595="","",'Master Barang'!B89)</f>
        <v>0</v>
      </c>
      <c r="P36595">
        <f>IF(OR(M36595="",N36595=""),"",SUMIFS('Barang Keluar'!$E:$E,'Barang Keluar'!$A:$A,M36595,'Barang Keluar'!$C:$C,N36595))</f>
        <v>0</v>
      </c>
    </row>
    <row r="36596" spans="13:16">
      <c r="M36596" s="49">
        <f>IF($A$4+365&gt;$B$4,"",$A$4+365)</f>
        <v>46388</v>
      </c>
      <c r="N36596">
        <f>IF(M36596="","",'Master Barang'!A90)</f>
        <v>0</v>
      </c>
      <c r="O36596">
        <f>IF(N36596="","",'Master Barang'!B90)</f>
        <v>0</v>
      </c>
      <c r="P36596">
        <f>IF(OR(M36596="",N36596=""),"",SUMIFS('Barang Keluar'!$E:$E,'Barang Keluar'!$A:$A,M36596,'Barang Keluar'!$C:$C,N36596))</f>
        <v>0</v>
      </c>
    </row>
    <row r="36597" spans="13:16">
      <c r="M36597" s="49">
        <f>IF($A$4+365&gt;$B$4,"",$A$4+365)</f>
        <v>46388</v>
      </c>
      <c r="N36597">
        <f>IF(M36597="","",'Master Barang'!A91)</f>
        <v>0</v>
      </c>
      <c r="O36597">
        <f>IF(N36597="","",'Master Barang'!B91)</f>
        <v>0</v>
      </c>
      <c r="P36597">
        <f>IF(OR(M36597="",N36597=""),"",SUMIFS('Barang Keluar'!$E:$E,'Barang Keluar'!$A:$A,M36597,'Barang Keluar'!$C:$C,N36597))</f>
        <v>0</v>
      </c>
    </row>
    <row r="36598" spans="13:16">
      <c r="M36598" s="49">
        <f>IF($A$4+365&gt;$B$4,"",$A$4+365)</f>
        <v>46388</v>
      </c>
      <c r="N36598">
        <f>IF(M36598="","",'Master Barang'!A92)</f>
        <v>0</v>
      </c>
      <c r="O36598">
        <f>IF(N36598="","",'Master Barang'!B92)</f>
        <v>0</v>
      </c>
      <c r="P36598">
        <f>IF(OR(M36598="",N36598=""),"",SUMIFS('Barang Keluar'!$E:$E,'Barang Keluar'!$A:$A,M36598,'Barang Keluar'!$C:$C,N36598))</f>
        <v>0</v>
      </c>
    </row>
    <row r="36599" spans="13:16">
      <c r="M36599" s="49">
        <f>IF($A$4+365&gt;$B$4,"",$A$4+365)</f>
        <v>46388</v>
      </c>
      <c r="N36599">
        <f>IF(M36599="","",'Master Barang'!A93)</f>
        <v>0</v>
      </c>
      <c r="O36599">
        <f>IF(N36599="","",'Master Barang'!B93)</f>
        <v>0</v>
      </c>
      <c r="P36599">
        <f>IF(OR(M36599="",N36599=""),"",SUMIFS('Barang Keluar'!$E:$E,'Barang Keluar'!$A:$A,M36599,'Barang Keluar'!$C:$C,N36599))</f>
        <v>0</v>
      </c>
    </row>
    <row r="36600" spans="13:16">
      <c r="M36600" s="49">
        <f>IF($A$4+365&gt;$B$4,"",$A$4+365)</f>
        <v>46388</v>
      </c>
      <c r="N36600">
        <f>IF(M36600="","",'Master Barang'!A94)</f>
        <v>0</v>
      </c>
      <c r="O36600">
        <f>IF(N36600="","",'Master Barang'!B94)</f>
        <v>0</v>
      </c>
      <c r="P36600">
        <f>IF(OR(M36600="",N36600=""),"",SUMIFS('Barang Keluar'!$E:$E,'Barang Keluar'!$A:$A,M36600,'Barang Keluar'!$C:$C,N36600))</f>
        <v>0</v>
      </c>
    </row>
    <row r="36601" spans="13:16">
      <c r="M36601" s="49">
        <f>IF($A$4+365&gt;$B$4,"",$A$4+365)</f>
        <v>46388</v>
      </c>
      <c r="N36601">
        <f>IF(M36601="","",'Master Barang'!A95)</f>
        <v>0</v>
      </c>
      <c r="O36601">
        <f>IF(N36601="","",'Master Barang'!B95)</f>
        <v>0</v>
      </c>
      <c r="P36601">
        <f>IF(OR(M36601="",N36601=""),"",SUMIFS('Barang Keluar'!$E:$E,'Barang Keluar'!$A:$A,M36601,'Barang Keluar'!$C:$C,N36601))</f>
        <v>0</v>
      </c>
    </row>
    <row r="36602" spans="13:16">
      <c r="M36602" s="49">
        <f>IF($A$4+365&gt;$B$4,"",$A$4+365)</f>
        <v>46388</v>
      </c>
      <c r="N36602">
        <f>IF(M36602="","",'Master Barang'!A96)</f>
        <v>0</v>
      </c>
      <c r="O36602">
        <f>IF(N36602="","",'Master Barang'!B96)</f>
        <v>0</v>
      </c>
      <c r="P36602">
        <f>IF(OR(M36602="",N36602=""),"",SUMIFS('Barang Keluar'!$E:$E,'Barang Keluar'!$A:$A,M36602,'Barang Keluar'!$C:$C,N36602))</f>
        <v>0</v>
      </c>
    </row>
    <row r="36603" spans="13:16">
      <c r="M36603" s="49">
        <f>IF($A$4+365&gt;$B$4,"",$A$4+365)</f>
        <v>46388</v>
      </c>
      <c r="N36603">
        <f>IF(M36603="","",'Master Barang'!A97)</f>
        <v>0</v>
      </c>
      <c r="O36603">
        <f>IF(N36603="","",'Master Barang'!B97)</f>
        <v>0</v>
      </c>
      <c r="P36603">
        <f>IF(OR(M36603="",N36603=""),"",SUMIFS('Barang Keluar'!$E:$E,'Barang Keluar'!$A:$A,M36603,'Barang Keluar'!$C:$C,N36603))</f>
        <v>0</v>
      </c>
    </row>
    <row r="36604" spans="13:16">
      <c r="M36604" s="49">
        <f>IF($A$4+365&gt;$B$4,"",$A$4+365)</f>
        <v>46388</v>
      </c>
      <c r="N36604">
        <f>IF(M36604="","",'Master Barang'!A98)</f>
        <v>0</v>
      </c>
      <c r="O36604">
        <f>IF(N36604="","",'Master Barang'!B98)</f>
        <v>0</v>
      </c>
      <c r="P36604">
        <f>IF(OR(M36604="",N36604=""),"",SUMIFS('Barang Keluar'!$E:$E,'Barang Keluar'!$A:$A,M36604,'Barang Keluar'!$C:$C,N36604))</f>
        <v>0</v>
      </c>
    </row>
    <row r="36605" spans="13:16">
      <c r="M36605" s="49">
        <f>IF($A$4+365&gt;$B$4,"",$A$4+365)</f>
        <v>46388</v>
      </c>
      <c r="N36605">
        <f>IF(M36605="","",'Master Barang'!A99)</f>
        <v>0</v>
      </c>
      <c r="O36605">
        <f>IF(N36605="","",'Master Barang'!B99)</f>
        <v>0</v>
      </c>
      <c r="P36605">
        <f>IF(OR(M36605="",N36605=""),"",SUMIFS('Barang Keluar'!$E:$E,'Barang Keluar'!$A:$A,M36605,'Barang Keluar'!$C:$C,N36605))</f>
        <v>0</v>
      </c>
    </row>
    <row r="36606" spans="13:16">
      <c r="M36606" s="49">
        <f>IF($A$4+365&gt;$B$4,"",$A$4+365)</f>
        <v>46388</v>
      </c>
      <c r="N36606">
        <f>IF(M36606="","",'Master Barang'!A100)</f>
        <v>0</v>
      </c>
      <c r="O36606">
        <f>IF(N36606="","",'Master Barang'!B100)</f>
        <v>0</v>
      </c>
      <c r="P36606">
        <f>IF(OR(M36606="",N36606=""),"",SUMIFS('Barang Keluar'!$E:$E,'Barang Keluar'!$A:$A,M36606,'Barang Keluar'!$C:$C,N36606))</f>
        <v>0</v>
      </c>
    </row>
    <row r="36607" spans="13:16">
      <c r="M36607" s="49">
        <f>IF($A$4+365&gt;$B$4,"",$A$4+365)</f>
        <v>46388</v>
      </c>
      <c r="N36607">
        <f>IF(M36607="","",'Master Barang'!A101)</f>
        <v>0</v>
      </c>
      <c r="O36607">
        <f>IF(N36607="","",'Master Barang'!B101)</f>
        <v>0</v>
      </c>
      <c r="P36607">
        <f>IF(OR(M36607="",N36607=""),"",SUMIFS('Barang Keluar'!$E:$E,'Barang Keluar'!$A:$A,M36607,'Barang Keluar'!$C:$C,N36607))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4"/>
  <sheetViews>
    <sheetView workbookViewId="0">
      <pane ySplit="1" topLeftCell="A17" activePane="bottomLeft" state="frozen"/>
      <selection/>
      <selection pane="bottomLeft" activeCell="B2" sqref="B2:B33"/>
    </sheetView>
  </sheetViews>
  <sheetFormatPr defaultColWidth="9" defaultRowHeight="14"/>
  <cols>
    <col min="1" max="1" width="13" customWidth="1"/>
    <col min="2" max="2" width="30" customWidth="1"/>
    <col min="3" max="5" width="12" customWidth="1"/>
    <col min="6" max="6" width="14" customWidth="1"/>
    <col min="7" max="7" width="18" customWidth="1"/>
    <col min="8" max="8" width="12" customWidth="1"/>
  </cols>
  <sheetData>
    <row r="1" spans="1:9">
      <c r="A1" s="47" t="s">
        <v>25</v>
      </c>
      <c r="B1" s="47" t="s">
        <v>10</v>
      </c>
      <c r="C1" s="47" t="s">
        <v>41</v>
      </c>
      <c r="D1" s="47" t="s">
        <v>27</v>
      </c>
      <c r="E1" s="47" t="s">
        <v>42</v>
      </c>
      <c r="F1" s="47" t="s">
        <v>14</v>
      </c>
      <c r="G1" s="47" t="s">
        <v>43</v>
      </c>
      <c r="H1" s="47" t="s">
        <v>29</v>
      </c>
      <c r="I1" t="s">
        <v>44</v>
      </c>
    </row>
    <row r="2" spans="1:9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 t="s">
        <v>49</v>
      </c>
      <c r="I2" t="s">
        <v>50</v>
      </c>
    </row>
    <row r="3" spans="1:7">
      <c r="A3" t="s">
        <v>30</v>
      </c>
      <c r="B3" t="s">
        <v>51</v>
      </c>
      <c r="C3" t="s">
        <v>47</v>
      </c>
      <c r="D3" t="s">
        <v>48</v>
      </c>
      <c r="E3">
        <v>4</v>
      </c>
      <c r="F3">
        <v>5</v>
      </c>
      <c r="G3" t="s">
        <v>49</v>
      </c>
    </row>
    <row r="4" spans="1:7">
      <c r="A4" t="s">
        <v>52</v>
      </c>
      <c r="B4" t="s">
        <v>53</v>
      </c>
      <c r="C4" t="s">
        <v>47</v>
      </c>
      <c r="D4" t="s">
        <v>48</v>
      </c>
      <c r="E4">
        <v>1</v>
      </c>
      <c r="F4">
        <v>5</v>
      </c>
      <c r="G4" t="s">
        <v>49</v>
      </c>
    </row>
    <row r="5" spans="1:7">
      <c r="A5" t="s">
        <v>54</v>
      </c>
      <c r="B5" t="s">
        <v>55</v>
      </c>
      <c r="C5" t="s">
        <v>47</v>
      </c>
      <c r="D5" t="s">
        <v>48</v>
      </c>
      <c r="E5">
        <v>3</v>
      </c>
      <c r="F5">
        <v>5</v>
      </c>
      <c r="G5" t="s">
        <v>49</v>
      </c>
    </row>
    <row r="6" spans="1:7">
      <c r="A6" t="s">
        <v>56</v>
      </c>
      <c r="B6" t="s">
        <v>57</v>
      </c>
      <c r="C6" t="s">
        <v>47</v>
      </c>
      <c r="D6" t="s">
        <v>48</v>
      </c>
      <c r="E6">
        <v>37</v>
      </c>
      <c r="F6">
        <v>10</v>
      </c>
      <c r="G6" t="s">
        <v>49</v>
      </c>
    </row>
    <row r="7" spans="1:7">
      <c r="A7" t="s">
        <v>58</v>
      </c>
      <c r="B7" t="s">
        <v>59</v>
      </c>
      <c r="C7" t="s">
        <v>47</v>
      </c>
      <c r="D7" t="s">
        <v>48</v>
      </c>
      <c r="E7">
        <v>22</v>
      </c>
      <c r="F7">
        <v>5</v>
      </c>
      <c r="G7" t="s">
        <v>49</v>
      </c>
    </row>
    <row r="8" spans="1:7">
      <c r="A8" t="s">
        <v>60</v>
      </c>
      <c r="B8" t="s">
        <v>61</v>
      </c>
      <c r="C8" t="s">
        <v>47</v>
      </c>
      <c r="D8" t="s">
        <v>62</v>
      </c>
      <c r="E8">
        <v>8</v>
      </c>
      <c r="F8">
        <v>5</v>
      </c>
      <c r="G8" t="s">
        <v>49</v>
      </c>
    </row>
    <row r="9" spans="1:7">
      <c r="A9" t="s">
        <v>63</v>
      </c>
      <c r="B9" t="s">
        <v>64</v>
      </c>
      <c r="C9" t="s">
        <v>47</v>
      </c>
      <c r="D9" t="s">
        <v>48</v>
      </c>
      <c r="E9">
        <v>4</v>
      </c>
      <c r="F9">
        <v>5</v>
      </c>
      <c r="G9" t="s">
        <v>49</v>
      </c>
    </row>
    <row r="10" spans="1:7">
      <c r="A10" t="s">
        <v>65</v>
      </c>
      <c r="B10" t="s">
        <v>66</v>
      </c>
      <c r="C10" t="s">
        <v>47</v>
      </c>
      <c r="D10" t="s">
        <v>48</v>
      </c>
      <c r="E10">
        <v>67</v>
      </c>
      <c r="F10">
        <v>5</v>
      </c>
      <c r="G10" t="s">
        <v>49</v>
      </c>
    </row>
    <row r="11" spans="1:7">
      <c r="A11" t="s">
        <v>67</v>
      </c>
      <c r="B11" t="s">
        <v>68</v>
      </c>
      <c r="C11" t="s">
        <v>47</v>
      </c>
      <c r="D11" t="s">
        <v>48</v>
      </c>
      <c r="E11">
        <v>7</v>
      </c>
      <c r="F11">
        <v>5</v>
      </c>
      <c r="G11" t="s">
        <v>49</v>
      </c>
    </row>
    <row r="12" spans="1:7">
      <c r="A12" t="s">
        <v>69</v>
      </c>
      <c r="B12" t="s">
        <v>70</v>
      </c>
      <c r="C12" t="s">
        <v>47</v>
      </c>
      <c r="D12" t="s">
        <v>48</v>
      </c>
      <c r="E12">
        <v>6</v>
      </c>
      <c r="F12">
        <v>5</v>
      </c>
      <c r="G12" t="s">
        <v>49</v>
      </c>
    </row>
    <row r="13" spans="1:7">
      <c r="A13" t="s">
        <v>71</v>
      </c>
      <c r="B13" t="s">
        <v>72</v>
      </c>
      <c r="C13" t="s">
        <v>47</v>
      </c>
      <c r="D13" t="s">
        <v>62</v>
      </c>
      <c r="E13">
        <v>28</v>
      </c>
      <c r="F13">
        <v>5</v>
      </c>
      <c r="G13" t="s">
        <v>49</v>
      </c>
    </row>
    <row r="14" spans="1:7">
      <c r="A14" t="s">
        <v>73</v>
      </c>
      <c r="B14" t="s">
        <v>74</v>
      </c>
      <c r="C14" t="s">
        <v>47</v>
      </c>
      <c r="D14" t="s">
        <v>62</v>
      </c>
      <c r="E14">
        <v>21</v>
      </c>
      <c r="F14">
        <v>5</v>
      </c>
      <c r="G14" t="s">
        <v>49</v>
      </c>
    </row>
    <row r="15" spans="1:7">
      <c r="A15" t="s">
        <v>75</v>
      </c>
      <c r="B15" t="s">
        <v>76</v>
      </c>
      <c r="C15" t="s">
        <v>47</v>
      </c>
      <c r="D15" t="s">
        <v>62</v>
      </c>
      <c r="E15">
        <v>7</v>
      </c>
      <c r="F15">
        <v>5</v>
      </c>
      <c r="G15" t="s">
        <v>49</v>
      </c>
    </row>
    <row r="16" spans="1:7">
      <c r="A16" t="s">
        <v>77</v>
      </c>
      <c r="B16" t="s">
        <v>78</v>
      </c>
      <c r="C16" t="s">
        <v>47</v>
      </c>
      <c r="D16" t="s">
        <v>62</v>
      </c>
      <c r="E16">
        <v>1</v>
      </c>
      <c r="F16">
        <v>5</v>
      </c>
      <c r="G16" t="s">
        <v>49</v>
      </c>
    </row>
    <row r="17" spans="1:7">
      <c r="A17" t="s">
        <v>79</v>
      </c>
      <c r="B17" t="s">
        <v>80</v>
      </c>
      <c r="C17" t="s">
        <v>47</v>
      </c>
      <c r="D17" t="s">
        <v>62</v>
      </c>
      <c r="E17">
        <v>1.5</v>
      </c>
      <c r="F17">
        <v>5</v>
      </c>
      <c r="G17" t="s">
        <v>49</v>
      </c>
    </row>
    <row r="18" spans="1:7">
      <c r="A18" t="s">
        <v>81</v>
      </c>
      <c r="B18" t="s">
        <v>82</v>
      </c>
      <c r="C18" t="s">
        <v>47</v>
      </c>
      <c r="D18" t="s">
        <v>62</v>
      </c>
      <c r="E18">
        <v>6</v>
      </c>
      <c r="F18">
        <v>2</v>
      </c>
      <c r="G18" t="s">
        <v>49</v>
      </c>
    </row>
    <row r="19" spans="1:7">
      <c r="A19" t="s">
        <v>83</v>
      </c>
      <c r="B19" t="s">
        <v>84</v>
      </c>
      <c r="C19" t="s">
        <v>47</v>
      </c>
      <c r="D19" t="s">
        <v>62</v>
      </c>
      <c r="E19">
        <v>1</v>
      </c>
      <c r="F19">
        <v>2</v>
      </c>
      <c r="G19" t="s">
        <v>49</v>
      </c>
    </row>
    <row r="20" spans="1:7">
      <c r="A20" t="s">
        <v>85</v>
      </c>
      <c r="B20" t="s">
        <v>86</v>
      </c>
      <c r="C20" t="s">
        <v>47</v>
      </c>
      <c r="D20" t="s">
        <v>62</v>
      </c>
      <c r="E20">
        <v>9</v>
      </c>
      <c r="F20">
        <v>2</v>
      </c>
      <c r="G20" t="s">
        <v>49</v>
      </c>
    </row>
    <row r="21" spans="1:7">
      <c r="A21" t="s">
        <v>87</v>
      </c>
      <c r="B21" t="s">
        <v>88</v>
      </c>
      <c r="C21" t="s">
        <v>47</v>
      </c>
      <c r="D21" t="s">
        <v>62</v>
      </c>
      <c r="E21">
        <v>2</v>
      </c>
      <c r="F21">
        <v>2</v>
      </c>
      <c r="G21" t="s">
        <v>49</v>
      </c>
    </row>
    <row r="22" spans="1:7">
      <c r="A22" t="s">
        <v>89</v>
      </c>
      <c r="B22" t="s">
        <v>90</v>
      </c>
      <c r="C22" t="s">
        <v>47</v>
      </c>
      <c r="D22" t="s">
        <v>62</v>
      </c>
      <c r="E22">
        <v>5</v>
      </c>
      <c r="F22">
        <v>2</v>
      </c>
      <c r="G22" t="s">
        <v>49</v>
      </c>
    </row>
    <row r="23" spans="1:7">
      <c r="A23" t="s">
        <v>91</v>
      </c>
      <c r="B23" t="s">
        <v>92</v>
      </c>
      <c r="C23" t="s">
        <v>47</v>
      </c>
      <c r="D23" t="s">
        <v>48</v>
      </c>
      <c r="E23">
        <v>1</v>
      </c>
      <c r="F23">
        <v>2</v>
      </c>
      <c r="G23" t="s">
        <v>49</v>
      </c>
    </row>
    <row r="24" spans="1:7">
      <c r="A24" t="s">
        <v>93</v>
      </c>
      <c r="B24" t="s">
        <v>94</v>
      </c>
      <c r="C24" t="s">
        <v>47</v>
      </c>
      <c r="D24" t="s">
        <v>48</v>
      </c>
      <c r="E24">
        <v>1</v>
      </c>
      <c r="F24">
        <v>2</v>
      </c>
      <c r="G24" t="s">
        <v>49</v>
      </c>
    </row>
    <row r="25" spans="1:7">
      <c r="A25" t="s">
        <v>95</v>
      </c>
      <c r="B25" t="s">
        <v>96</v>
      </c>
      <c r="C25" t="s">
        <v>47</v>
      </c>
      <c r="D25" t="s">
        <v>48</v>
      </c>
      <c r="E25">
        <v>1</v>
      </c>
      <c r="F25">
        <v>2</v>
      </c>
      <c r="G25" t="s">
        <v>49</v>
      </c>
    </row>
    <row r="26" spans="1:7">
      <c r="A26" t="s">
        <v>97</v>
      </c>
      <c r="B26" t="s">
        <v>98</v>
      </c>
      <c r="C26" t="s">
        <v>47</v>
      </c>
      <c r="D26" t="s">
        <v>62</v>
      </c>
      <c r="E26">
        <v>1</v>
      </c>
      <c r="F26">
        <v>2</v>
      </c>
      <c r="G26" t="s">
        <v>49</v>
      </c>
    </row>
    <row r="27" spans="1:7">
      <c r="A27" t="s">
        <v>99</v>
      </c>
      <c r="B27" t="s">
        <v>100</v>
      </c>
      <c r="C27" t="s">
        <v>47</v>
      </c>
      <c r="D27" t="s">
        <v>62</v>
      </c>
      <c r="E27">
        <v>2.5</v>
      </c>
      <c r="F27">
        <v>2</v>
      </c>
      <c r="G27" t="s">
        <v>49</v>
      </c>
    </row>
    <row r="28" spans="1:7">
      <c r="A28" t="s">
        <v>101</v>
      </c>
      <c r="B28" t="s">
        <v>102</v>
      </c>
      <c r="C28" t="s">
        <v>47</v>
      </c>
      <c r="D28" t="s">
        <v>62</v>
      </c>
      <c r="E28">
        <v>2</v>
      </c>
      <c r="F28">
        <v>2</v>
      </c>
      <c r="G28" t="s">
        <v>49</v>
      </c>
    </row>
    <row r="29" spans="1:7">
      <c r="A29" t="s">
        <v>103</v>
      </c>
      <c r="B29" t="s">
        <v>104</v>
      </c>
      <c r="C29" t="s">
        <v>47</v>
      </c>
      <c r="D29" t="s">
        <v>62</v>
      </c>
      <c r="E29">
        <v>81</v>
      </c>
      <c r="F29">
        <v>2</v>
      </c>
      <c r="G29" t="s">
        <v>49</v>
      </c>
    </row>
    <row r="30" spans="1:7">
      <c r="A30" t="s">
        <v>105</v>
      </c>
      <c r="B30" t="s">
        <v>106</v>
      </c>
      <c r="C30" t="s">
        <v>47</v>
      </c>
      <c r="D30" t="s">
        <v>62</v>
      </c>
      <c r="E30">
        <v>13</v>
      </c>
      <c r="F30">
        <v>2</v>
      </c>
      <c r="G30" t="s">
        <v>49</v>
      </c>
    </row>
    <row r="31" spans="1:7">
      <c r="A31" t="s">
        <v>107</v>
      </c>
      <c r="B31" t="s">
        <v>108</v>
      </c>
      <c r="C31" t="s">
        <v>47</v>
      </c>
      <c r="D31" t="s">
        <v>62</v>
      </c>
      <c r="E31">
        <v>1</v>
      </c>
      <c r="F31">
        <v>2</v>
      </c>
      <c r="G31" t="s">
        <v>49</v>
      </c>
    </row>
    <row r="32" spans="1:7">
      <c r="A32" t="s">
        <v>109</v>
      </c>
      <c r="B32" t="s">
        <v>110</v>
      </c>
      <c r="C32" t="s">
        <v>47</v>
      </c>
      <c r="D32" t="s">
        <v>48</v>
      </c>
      <c r="E32">
        <v>20</v>
      </c>
      <c r="F32">
        <v>2</v>
      </c>
      <c r="G32" t="s">
        <v>49</v>
      </c>
    </row>
    <row r="33" spans="1:7">
      <c r="A33" t="s">
        <v>111</v>
      </c>
      <c r="B33" t="s">
        <v>112</v>
      </c>
      <c r="C33" t="s">
        <v>47</v>
      </c>
      <c r="D33" t="s">
        <v>48</v>
      </c>
      <c r="E33">
        <v>2000</v>
      </c>
      <c r="F33">
        <v>100</v>
      </c>
      <c r="G33" t="s">
        <v>49</v>
      </c>
    </row>
    <row r="34" spans="1:1">
      <c r="A34" t="s">
        <v>113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63"/>
  <sheetViews>
    <sheetView tabSelected="1" workbookViewId="0">
      <selection activeCell="E36" sqref="E36"/>
    </sheetView>
  </sheetViews>
  <sheetFormatPr defaultColWidth="9" defaultRowHeight="14"/>
  <cols>
    <col min="1" max="1" width="12.625" customWidth="1"/>
    <col min="2" max="2" width="23.0390625" customWidth="1"/>
    <col min="4" max="5" width="12.890625" customWidth="1"/>
    <col min="6" max="6" width="11.5859375" customWidth="1"/>
    <col min="9" max="9" width="35.15625" customWidth="1"/>
  </cols>
  <sheetData>
    <row r="1" spans="6:6">
      <c r="F1" s="19" t="s">
        <v>114</v>
      </c>
    </row>
    <row r="3" spans="1:10">
      <c r="A3" s="43" t="s">
        <v>115</v>
      </c>
      <c r="B3" s="43" t="s">
        <v>116</v>
      </c>
      <c r="C3" s="43" t="s">
        <v>117</v>
      </c>
      <c r="D3" s="43" t="s">
        <v>118</v>
      </c>
      <c r="E3" s="43" t="s">
        <v>119</v>
      </c>
      <c r="F3" s="43" t="s">
        <v>120</v>
      </c>
      <c r="I3" t="s">
        <v>121</v>
      </c>
      <c r="J3" t="s">
        <v>122</v>
      </c>
    </row>
    <row r="4" spans="1:9">
      <c r="A4" s="13" t="s">
        <v>123</v>
      </c>
      <c r="B4" s="13" t="s">
        <v>124</v>
      </c>
      <c r="C4" s="13" t="s">
        <v>125</v>
      </c>
      <c r="D4" s="13" t="s">
        <v>126</v>
      </c>
      <c r="E4" s="13" t="s">
        <v>127</v>
      </c>
      <c r="F4" s="13" t="s">
        <v>128</v>
      </c>
      <c r="I4" s="45" t="s">
        <v>46</v>
      </c>
    </row>
    <row r="5" spans="1:9">
      <c r="A5" s="13" t="s">
        <v>123</v>
      </c>
      <c r="B5" s="13" t="s">
        <v>129</v>
      </c>
      <c r="C5" s="13" t="s">
        <v>125</v>
      </c>
      <c r="D5" s="13" t="s">
        <v>130</v>
      </c>
      <c r="E5" s="13" t="s">
        <v>131</v>
      </c>
      <c r="F5" s="13" t="s">
        <v>132</v>
      </c>
      <c r="I5" s="46" t="s">
        <v>51</v>
      </c>
    </row>
    <row r="6" spans="1:9">
      <c r="A6" s="13" t="s">
        <v>123</v>
      </c>
      <c r="B6" s="13" t="s">
        <v>133</v>
      </c>
      <c r="C6" s="13" t="s">
        <v>134</v>
      </c>
      <c r="D6" s="13" t="s">
        <v>135</v>
      </c>
      <c r="E6" s="13" t="s">
        <v>136</v>
      </c>
      <c r="F6" s="13" t="s">
        <v>132</v>
      </c>
      <c r="I6" s="45" t="s">
        <v>53</v>
      </c>
    </row>
    <row r="7" spans="1:9">
      <c r="A7" s="13" t="s">
        <v>123</v>
      </c>
      <c r="B7" s="13" t="s">
        <v>137</v>
      </c>
      <c r="C7" s="13" t="s">
        <v>138</v>
      </c>
      <c r="D7" s="13" t="s">
        <v>139</v>
      </c>
      <c r="E7" s="13" t="s">
        <v>140</v>
      </c>
      <c r="F7" s="13" t="s">
        <v>132</v>
      </c>
      <c r="I7" s="46" t="s">
        <v>55</v>
      </c>
    </row>
    <row r="8" spans="1:9">
      <c r="A8" s="13" t="s">
        <v>123</v>
      </c>
      <c r="B8" s="13" t="s">
        <v>137</v>
      </c>
      <c r="C8" s="13" t="s">
        <v>138</v>
      </c>
      <c r="D8" s="13" t="s">
        <v>141</v>
      </c>
      <c r="E8" s="13" t="s">
        <v>142</v>
      </c>
      <c r="F8" s="13" t="s">
        <v>132</v>
      </c>
      <c r="I8" s="45" t="s">
        <v>57</v>
      </c>
    </row>
    <row r="9" spans="1:9">
      <c r="A9" s="13" t="s">
        <v>123</v>
      </c>
      <c r="B9" s="13" t="s">
        <v>143</v>
      </c>
      <c r="C9" s="13" t="s">
        <v>125</v>
      </c>
      <c r="D9" s="13" t="s">
        <v>141</v>
      </c>
      <c r="E9" s="13" t="s">
        <v>144</v>
      </c>
      <c r="F9" s="13" t="s">
        <v>132</v>
      </c>
      <c r="I9" s="46" t="s">
        <v>59</v>
      </c>
    </row>
    <row r="10" spans="1:9">
      <c r="A10" s="13" t="s">
        <v>145</v>
      </c>
      <c r="B10" s="13" t="s">
        <v>146</v>
      </c>
      <c r="C10" s="13" t="s">
        <v>147</v>
      </c>
      <c r="D10" s="13" t="s">
        <v>141</v>
      </c>
      <c r="E10" s="13" t="s">
        <v>144</v>
      </c>
      <c r="F10" s="13" t="s">
        <v>132</v>
      </c>
      <c r="I10" s="45" t="s">
        <v>61</v>
      </c>
    </row>
    <row r="11" spans="1:9">
      <c r="A11" s="13" t="s">
        <v>145</v>
      </c>
      <c r="B11" s="13" t="s">
        <v>148</v>
      </c>
      <c r="C11" s="13" t="s">
        <v>125</v>
      </c>
      <c r="D11" s="13" t="s">
        <v>149</v>
      </c>
      <c r="E11" s="13" t="s">
        <v>136</v>
      </c>
      <c r="F11" s="13" t="s">
        <v>132</v>
      </c>
      <c r="I11" s="46" t="s">
        <v>64</v>
      </c>
    </row>
    <row r="12" spans="1:9">
      <c r="A12" s="13" t="s">
        <v>145</v>
      </c>
      <c r="B12" s="13" t="s">
        <v>150</v>
      </c>
      <c r="C12" s="13" t="s">
        <v>125</v>
      </c>
      <c r="D12" s="13" t="s">
        <v>151</v>
      </c>
      <c r="E12" s="13" t="s">
        <v>152</v>
      </c>
      <c r="F12" s="13" t="s">
        <v>153</v>
      </c>
      <c r="I12" s="45" t="s">
        <v>66</v>
      </c>
    </row>
    <row r="13" spans="1:9">
      <c r="A13" s="13" t="s">
        <v>145</v>
      </c>
      <c r="B13" s="13" t="s">
        <v>154</v>
      </c>
      <c r="C13" s="13" t="s">
        <v>155</v>
      </c>
      <c r="D13" s="13" t="s">
        <v>151</v>
      </c>
      <c r="E13" s="13" t="s">
        <v>152</v>
      </c>
      <c r="F13" s="13" t="s">
        <v>153</v>
      </c>
      <c r="I13" s="46" t="s">
        <v>68</v>
      </c>
    </row>
    <row r="14" spans="1:9">
      <c r="A14" s="13" t="s">
        <v>145</v>
      </c>
      <c r="B14" s="13" t="s">
        <v>146</v>
      </c>
      <c r="C14" s="13" t="s">
        <v>125</v>
      </c>
      <c r="D14" s="13" t="s">
        <v>151</v>
      </c>
      <c r="E14" s="13" t="s">
        <v>152</v>
      </c>
      <c r="F14" s="13" t="s">
        <v>153</v>
      </c>
      <c r="I14" s="45" t="s">
        <v>70</v>
      </c>
    </row>
    <row r="15" spans="1:9">
      <c r="A15" s="13" t="s">
        <v>145</v>
      </c>
      <c r="B15" s="13" t="s">
        <v>156</v>
      </c>
      <c r="C15" s="13" t="s">
        <v>125</v>
      </c>
      <c r="D15" s="13" t="s">
        <v>157</v>
      </c>
      <c r="E15" s="13" t="s">
        <v>136</v>
      </c>
      <c r="F15" s="13" t="s">
        <v>132</v>
      </c>
      <c r="I15" s="46" t="s">
        <v>72</v>
      </c>
    </row>
    <row r="16" spans="1:9">
      <c r="A16" s="13" t="s">
        <v>145</v>
      </c>
      <c r="B16" s="13" t="s">
        <v>146</v>
      </c>
      <c r="C16" s="13" t="s">
        <v>125</v>
      </c>
      <c r="D16" s="13" t="s">
        <v>158</v>
      </c>
      <c r="E16" s="13" t="s">
        <v>159</v>
      </c>
      <c r="F16" s="13" t="s">
        <v>132</v>
      </c>
      <c r="I16" s="45" t="s">
        <v>74</v>
      </c>
    </row>
    <row r="17" spans="1:9">
      <c r="A17" s="13" t="s">
        <v>145</v>
      </c>
      <c r="B17" s="13" t="s">
        <v>124</v>
      </c>
      <c r="C17" s="13" t="s">
        <v>125</v>
      </c>
      <c r="D17" s="13" t="s">
        <v>160</v>
      </c>
      <c r="E17" s="13" t="s">
        <v>161</v>
      </c>
      <c r="F17" s="13" t="s">
        <v>128</v>
      </c>
      <c r="I17" s="46" t="s">
        <v>76</v>
      </c>
    </row>
    <row r="18" spans="1:9">
      <c r="A18" s="13" t="s">
        <v>145</v>
      </c>
      <c r="B18" s="13" t="s">
        <v>162</v>
      </c>
      <c r="C18" s="13" t="s">
        <v>125</v>
      </c>
      <c r="D18" s="13" t="s">
        <v>163</v>
      </c>
      <c r="E18" s="13" t="s">
        <v>161</v>
      </c>
      <c r="F18" s="13" t="s">
        <v>164</v>
      </c>
      <c r="I18" s="45" t="s">
        <v>78</v>
      </c>
    </row>
    <row r="19" spans="1:9">
      <c r="A19" s="13" t="s">
        <v>145</v>
      </c>
      <c r="B19" s="13" t="s">
        <v>129</v>
      </c>
      <c r="C19" s="13" t="s">
        <v>125</v>
      </c>
      <c r="D19" s="13" t="s">
        <v>165</v>
      </c>
      <c r="E19" s="13" t="s">
        <v>166</v>
      </c>
      <c r="F19" s="13" t="s">
        <v>164</v>
      </c>
      <c r="I19" s="46" t="s">
        <v>80</v>
      </c>
    </row>
    <row r="20" spans="1:9">
      <c r="A20" s="13" t="s">
        <v>145</v>
      </c>
      <c r="B20" s="13" t="s">
        <v>167</v>
      </c>
      <c r="C20" s="13" t="s">
        <v>168</v>
      </c>
      <c r="D20" s="13" t="s">
        <v>169</v>
      </c>
      <c r="E20" s="13" t="s">
        <v>170</v>
      </c>
      <c r="F20" s="13" t="s">
        <v>164</v>
      </c>
      <c r="I20" s="45" t="s">
        <v>82</v>
      </c>
    </row>
    <row r="21" spans="1:9">
      <c r="A21" s="13" t="s">
        <v>145</v>
      </c>
      <c r="B21" s="13" t="s">
        <v>171</v>
      </c>
      <c r="C21" s="13" t="s">
        <v>168</v>
      </c>
      <c r="D21" s="13" t="s">
        <v>172</v>
      </c>
      <c r="E21" s="13" t="s">
        <v>161</v>
      </c>
      <c r="F21" s="13" t="s">
        <v>164</v>
      </c>
      <c r="I21" s="46" t="s">
        <v>84</v>
      </c>
    </row>
    <row r="22" spans="1:9">
      <c r="A22" s="13" t="s">
        <v>145</v>
      </c>
      <c r="B22" s="13" t="s">
        <v>146</v>
      </c>
      <c r="C22" s="13" t="s">
        <v>125</v>
      </c>
      <c r="D22" s="13" t="s">
        <v>173</v>
      </c>
      <c r="E22" s="13" t="s">
        <v>174</v>
      </c>
      <c r="F22" s="13" t="s">
        <v>128</v>
      </c>
      <c r="I22" s="45" t="s">
        <v>86</v>
      </c>
    </row>
    <row r="23" spans="1:9">
      <c r="A23" s="13" t="s">
        <v>145</v>
      </c>
      <c r="B23" s="13" t="s">
        <v>175</v>
      </c>
      <c r="C23" s="13" t="s">
        <v>125</v>
      </c>
      <c r="D23" s="13" t="s">
        <v>173</v>
      </c>
      <c r="E23" s="13" t="s">
        <v>176</v>
      </c>
      <c r="F23" s="13" t="s">
        <v>128</v>
      </c>
      <c r="I23" s="46" t="s">
        <v>88</v>
      </c>
    </row>
    <row r="24" spans="1:9">
      <c r="A24" s="13" t="s">
        <v>145</v>
      </c>
      <c r="B24" s="13" t="s">
        <v>143</v>
      </c>
      <c r="C24" s="13" t="s">
        <v>177</v>
      </c>
      <c r="D24" s="13" t="s">
        <v>178</v>
      </c>
      <c r="E24" s="13" t="s">
        <v>140</v>
      </c>
      <c r="F24" s="13" t="s">
        <v>132</v>
      </c>
      <c r="I24" s="45" t="s">
        <v>90</v>
      </c>
    </row>
    <row r="25" spans="1:9">
      <c r="A25" s="13" t="s">
        <v>145</v>
      </c>
      <c r="B25" s="13" t="s">
        <v>179</v>
      </c>
      <c r="C25" s="13" t="s">
        <v>180</v>
      </c>
      <c r="D25" s="13" t="s">
        <v>178</v>
      </c>
      <c r="E25" s="13" t="s">
        <v>159</v>
      </c>
      <c r="F25" s="13" t="s">
        <v>132</v>
      </c>
      <c r="I25" s="46" t="s">
        <v>92</v>
      </c>
    </row>
    <row r="26" spans="1:9">
      <c r="A26" s="13" t="s">
        <v>145</v>
      </c>
      <c r="B26" s="13" t="s">
        <v>181</v>
      </c>
      <c r="C26" s="13" t="s">
        <v>182</v>
      </c>
      <c r="D26" s="13" t="s">
        <v>178</v>
      </c>
      <c r="E26" s="13" t="s">
        <v>183</v>
      </c>
      <c r="F26" s="13" t="s">
        <v>132</v>
      </c>
      <c r="I26" s="45" t="s">
        <v>94</v>
      </c>
    </row>
    <row r="27" spans="1:9">
      <c r="A27" s="13" t="s">
        <v>145</v>
      </c>
      <c r="B27" s="13" t="s">
        <v>184</v>
      </c>
      <c r="C27" s="13" t="s">
        <v>138</v>
      </c>
      <c r="D27" s="13" t="s">
        <v>178</v>
      </c>
      <c r="E27" s="13" t="s">
        <v>159</v>
      </c>
      <c r="F27" s="13" t="s">
        <v>132</v>
      </c>
      <c r="I27" s="46" t="s">
        <v>96</v>
      </c>
    </row>
    <row r="28" spans="1:9">
      <c r="A28" s="13" t="s">
        <v>185</v>
      </c>
      <c r="B28" s="13" t="s">
        <v>156</v>
      </c>
      <c r="C28" s="13" t="s">
        <v>125</v>
      </c>
      <c r="D28" s="13" t="s">
        <v>186</v>
      </c>
      <c r="E28" s="13" t="s">
        <v>136</v>
      </c>
      <c r="F28" s="13" t="s">
        <v>132</v>
      </c>
      <c r="I28" s="45" t="s">
        <v>98</v>
      </c>
    </row>
    <row r="29" spans="1:9">
      <c r="A29" s="13" t="s">
        <v>185</v>
      </c>
      <c r="B29" s="13" t="s">
        <v>137</v>
      </c>
      <c r="C29" s="13" t="s">
        <v>138</v>
      </c>
      <c r="D29" s="13" t="s">
        <v>187</v>
      </c>
      <c r="E29" s="13" t="s">
        <v>188</v>
      </c>
      <c r="F29" s="13" t="s">
        <v>132</v>
      </c>
      <c r="I29" s="46" t="s">
        <v>100</v>
      </c>
    </row>
    <row r="30" spans="1:9">
      <c r="A30" s="13" t="s">
        <v>185</v>
      </c>
      <c r="B30" s="13" t="s">
        <v>189</v>
      </c>
      <c r="C30" s="13" t="s">
        <v>190</v>
      </c>
      <c r="D30" s="13" t="s">
        <v>191</v>
      </c>
      <c r="E30" s="13" t="s">
        <v>192</v>
      </c>
      <c r="F30" s="13" t="s">
        <v>164</v>
      </c>
      <c r="I30" s="45" t="s">
        <v>102</v>
      </c>
    </row>
    <row r="31" spans="1:9">
      <c r="A31" s="13" t="s">
        <v>185</v>
      </c>
      <c r="B31" s="13" t="s">
        <v>193</v>
      </c>
      <c r="C31" s="13" t="s">
        <v>190</v>
      </c>
      <c r="D31" s="13" t="s">
        <v>194</v>
      </c>
      <c r="E31" s="13" t="s">
        <v>161</v>
      </c>
      <c r="F31" s="13" t="s">
        <v>164</v>
      </c>
      <c r="I31" s="46" t="s">
        <v>104</v>
      </c>
    </row>
    <row r="32" spans="1:9">
      <c r="A32" s="13" t="s">
        <v>185</v>
      </c>
      <c r="B32" s="13" t="s">
        <v>148</v>
      </c>
      <c r="C32" s="13" t="s">
        <v>125</v>
      </c>
      <c r="D32" s="13" t="s">
        <v>169</v>
      </c>
      <c r="E32" s="13" t="s">
        <v>195</v>
      </c>
      <c r="F32" s="13" t="s">
        <v>164</v>
      </c>
      <c r="I32" s="45" t="s">
        <v>106</v>
      </c>
    </row>
    <row r="33" spans="1:9">
      <c r="A33" s="13" t="s">
        <v>185</v>
      </c>
      <c r="B33" s="13" t="s">
        <v>196</v>
      </c>
      <c r="C33" s="13" t="s">
        <v>190</v>
      </c>
      <c r="D33" s="13" t="s">
        <v>197</v>
      </c>
      <c r="E33" s="13" t="s">
        <v>166</v>
      </c>
      <c r="F33" s="13" t="s">
        <v>164</v>
      </c>
      <c r="I33" s="46" t="s">
        <v>108</v>
      </c>
    </row>
    <row r="34" spans="1:9">
      <c r="A34" s="13" t="s">
        <v>185</v>
      </c>
      <c r="B34" s="13" t="s">
        <v>193</v>
      </c>
      <c r="C34" s="13" t="s">
        <v>125</v>
      </c>
      <c r="D34" s="13" t="s">
        <v>198</v>
      </c>
      <c r="E34" s="13" t="s">
        <v>159</v>
      </c>
      <c r="F34" s="13" t="s">
        <v>132</v>
      </c>
      <c r="I34" s="45" t="s">
        <v>110</v>
      </c>
    </row>
    <row r="35" spans="1:9">
      <c r="A35" s="13" t="s">
        <v>185</v>
      </c>
      <c r="B35" s="13" t="s">
        <v>148</v>
      </c>
      <c r="C35" s="13" t="s">
        <v>125</v>
      </c>
      <c r="D35" s="13" t="s">
        <v>199</v>
      </c>
      <c r="E35" s="13" t="s">
        <v>200</v>
      </c>
      <c r="F35" s="13" t="s">
        <v>132</v>
      </c>
      <c r="I35" s="46" t="s">
        <v>112</v>
      </c>
    </row>
    <row r="36" spans="1:6">
      <c r="A36" s="13" t="s">
        <v>185</v>
      </c>
      <c r="B36" s="13" t="s">
        <v>201</v>
      </c>
      <c r="C36" s="13" t="s">
        <v>125</v>
      </c>
      <c r="D36" s="13" t="s">
        <v>198</v>
      </c>
      <c r="E36" s="13" t="s">
        <v>159</v>
      </c>
      <c r="F36" s="13" t="s">
        <v>132</v>
      </c>
    </row>
    <row r="37" spans="1:6">
      <c r="A37" s="13" t="s">
        <v>185</v>
      </c>
      <c r="B37" s="13" t="s">
        <v>202</v>
      </c>
      <c r="C37" s="13" t="s">
        <v>125</v>
      </c>
      <c r="D37" s="13" t="s">
        <v>198</v>
      </c>
      <c r="E37" s="13" t="s">
        <v>159</v>
      </c>
      <c r="F37" s="13" t="s">
        <v>132</v>
      </c>
    </row>
    <row r="38" spans="1:6">
      <c r="A38" s="13" t="s">
        <v>203</v>
      </c>
      <c r="B38" s="13" t="s">
        <v>204</v>
      </c>
      <c r="C38" s="13" t="s">
        <v>138</v>
      </c>
      <c r="D38" s="13" t="s">
        <v>205</v>
      </c>
      <c r="E38" s="13" t="s">
        <v>206</v>
      </c>
      <c r="F38" s="13" t="s">
        <v>132</v>
      </c>
    </row>
    <row r="39" spans="1:6">
      <c r="A39" s="13" t="s">
        <v>203</v>
      </c>
      <c r="B39" s="13" t="s">
        <v>207</v>
      </c>
      <c r="C39" s="13" t="s">
        <v>168</v>
      </c>
      <c r="D39" s="13" t="s">
        <v>208</v>
      </c>
      <c r="E39" s="13" t="s">
        <v>200</v>
      </c>
      <c r="F39" s="13" t="s">
        <v>132</v>
      </c>
    </row>
    <row r="40" spans="1:6">
      <c r="A40" s="13" t="s">
        <v>203</v>
      </c>
      <c r="B40" s="13" t="s">
        <v>193</v>
      </c>
      <c r="C40" s="13" t="s">
        <v>125</v>
      </c>
      <c r="D40" s="13" t="s">
        <v>209</v>
      </c>
      <c r="E40" s="13" t="s">
        <v>210</v>
      </c>
      <c r="F40" s="13" t="s">
        <v>164</v>
      </c>
    </row>
    <row r="41" spans="1:6">
      <c r="A41" s="13" t="s">
        <v>203</v>
      </c>
      <c r="B41" s="13" t="s">
        <v>207</v>
      </c>
      <c r="C41" s="13" t="s">
        <v>168</v>
      </c>
      <c r="D41" s="13" t="s">
        <v>211</v>
      </c>
      <c r="E41" s="13" t="s">
        <v>212</v>
      </c>
      <c r="F41" s="13" t="s">
        <v>164</v>
      </c>
    </row>
    <row r="42" spans="1:6">
      <c r="A42" s="13" t="s">
        <v>203</v>
      </c>
      <c r="B42" s="13" t="s">
        <v>202</v>
      </c>
      <c r="C42" s="13" t="s">
        <v>125</v>
      </c>
      <c r="D42" s="13" t="s">
        <v>213</v>
      </c>
      <c r="E42" s="13" t="s">
        <v>127</v>
      </c>
      <c r="F42" s="13" t="s">
        <v>128</v>
      </c>
    </row>
    <row r="43" spans="1:6">
      <c r="A43" s="13" t="s">
        <v>203</v>
      </c>
      <c r="B43" s="13" t="s">
        <v>201</v>
      </c>
      <c r="C43" s="13" t="s">
        <v>125</v>
      </c>
      <c r="D43" s="13" t="s">
        <v>214</v>
      </c>
      <c r="E43" s="13" t="s">
        <v>159</v>
      </c>
      <c r="F43" s="13" t="s">
        <v>132</v>
      </c>
    </row>
    <row r="44" spans="1:6">
      <c r="A44" s="13" t="s">
        <v>203</v>
      </c>
      <c r="B44" s="13" t="s">
        <v>193</v>
      </c>
      <c r="C44" s="13" t="s">
        <v>125</v>
      </c>
      <c r="D44" s="13" t="s">
        <v>214</v>
      </c>
      <c r="E44" s="13" t="s">
        <v>159</v>
      </c>
      <c r="F44" s="13" t="s">
        <v>132</v>
      </c>
    </row>
    <row r="45" spans="1:6">
      <c r="A45" s="13" t="s">
        <v>203</v>
      </c>
      <c r="B45" s="13" t="s">
        <v>148</v>
      </c>
      <c r="C45" s="13" t="s">
        <v>125</v>
      </c>
      <c r="D45" s="13" t="s">
        <v>214</v>
      </c>
      <c r="E45" s="13" t="s">
        <v>159</v>
      </c>
      <c r="F45" s="13" t="s">
        <v>132</v>
      </c>
    </row>
    <row r="46" spans="1:6">
      <c r="A46" s="44" t="s">
        <v>215</v>
      </c>
      <c r="B46" s="44" t="s">
        <v>216</v>
      </c>
      <c r="C46" s="44" t="s">
        <v>217</v>
      </c>
      <c r="D46" s="44" t="s">
        <v>218</v>
      </c>
      <c r="E46" s="44" t="s">
        <v>219</v>
      </c>
      <c r="F46" s="44" t="s">
        <v>132</v>
      </c>
    </row>
    <row r="47" spans="1:6">
      <c r="A47" s="44" t="s">
        <v>215</v>
      </c>
      <c r="B47" s="44" t="s">
        <v>220</v>
      </c>
      <c r="C47" s="44" t="s">
        <v>221</v>
      </c>
      <c r="D47" s="44" t="s">
        <v>222</v>
      </c>
      <c r="E47" s="44" t="s">
        <v>161</v>
      </c>
      <c r="F47" s="44" t="s">
        <v>128</v>
      </c>
    </row>
    <row r="48" spans="1:6">
      <c r="A48" s="44" t="s">
        <v>215</v>
      </c>
      <c r="B48" s="44" t="s">
        <v>223</v>
      </c>
      <c r="C48" s="44" t="s">
        <v>190</v>
      </c>
      <c r="D48" s="44" t="s">
        <v>209</v>
      </c>
      <c r="E48" s="44" t="s">
        <v>224</v>
      </c>
      <c r="F48" s="44" t="s">
        <v>164</v>
      </c>
    </row>
    <row r="49" spans="1:6">
      <c r="A49" s="44" t="s">
        <v>215</v>
      </c>
      <c r="B49" s="44" t="s">
        <v>202</v>
      </c>
      <c r="C49" s="44" t="s">
        <v>225</v>
      </c>
      <c r="D49" s="44" t="s">
        <v>226</v>
      </c>
      <c r="E49" s="44" t="s">
        <v>161</v>
      </c>
      <c r="F49" s="44" t="s">
        <v>164</v>
      </c>
    </row>
    <row r="50" spans="1:6">
      <c r="A50" s="44" t="s">
        <v>215</v>
      </c>
      <c r="B50" s="44" t="s">
        <v>202</v>
      </c>
      <c r="C50" s="44" t="s">
        <v>221</v>
      </c>
      <c r="D50" s="44" t="s">
        <v>227</v>
      </c>
      <c r="E50" s="44" t="s">
        <v>161</v>
      </c>
      <c r="F50" s="44" t="s">
        <v>164</v>
      </c>
    </row>
    <row r="51" spans="1:6">
      <c r="A51" s="44" t="s">
        <v>215</v>
      </c>
      <c r="B51" s="44" t="s">
        <v>228</v>
      </c>
      <c r="C51" s="44" t="s">
        <v>221</v>
      </c>
      <c r="D51" s="44" t="s">
        <v>229</v>
      </c>
      <c r="E51" s="44" t="s">
        <v>161</v>
      </c>
      <c r="F51" s="44" t="s">
        <v>164</v>
      </c>
    </row>
    <row r="52" spans="1:6">
      <c r="A52" s="44" t="s">
        <v>215</v>
      </c>
      <c r="B52" s="44" t="s">
        <v>193</v>
      </c>
      <c r="C52" s="44" t="s">
        <v>221</v>
      </c>
      <c r="D52" s="44" t="s">
        <v>230</v>
      </c>
      <c r="E52" s="44" t="s">
        <v>174</v>
      </c>
      <c r="F52" s="44" t="s">
        <v>164</v>
      </c>
    </row>
    <row r="53" spans="1:6">
      <c r="A53" s="44" t="s">
        <v>215</v>
      </c>
      <c r="B53" s="44" t="s">
        <v>231</v>
      </c>
      <c r="C53" s="44" t="s">
        <v>221</v>
      </c>
      <c r="D53" s="44" t="s">
        <v>232</v>
      </c>
      <c r="E53" s="44" t="s">
        <v>161</v>
      </c>
      <c r="F53" s="44" t="s">
        <v>164</v>
      </c>
    </row>
    <row r="54" spans="1:6">
      <c r="A54" s="44" t="s">
        <v>215</v>
      </c>
      <c r="B54" s="44" t="s">
        <v>189</v>
      </c>
      <c r="C54" s="44" t="s">
        <v>221</v>
      </c>
      <c r="D54" s="44" t="s">
        <v>233</v>
      </c>
      <c r="E54" s="44" t="s">
        <v>128</v>
      </c>
      <c r="F54" s="44" t="s">
        <v>164</v>
      </c>
    </row>
    <row r="55" spans="1:6">
      <c r="A55" s="44" t="s">
        <v>215</v>
      </c>
      <c r="B55" s="44" t="s">
        <v>124</v>
      </c>
      <c r="C55" s="44" t="s">
        <v>221</v>
      </c>
      <c r="D55" s="44" t="s">
        <v>234</v>
      </c>
      <c r="E55" s="44" t="s">
        <v>128</v>
      </c>
      <c r="F55" s="44" t="s">
        <v>164</v>
      </c>
    </row>
    <row r="56" spans="1:6">
      <c r="A56" s="44" t="s">
        <v>215</v>
      </c>
      <c r="B56" s="44" t="s">
        <v>201</v>
      </c>
      <c r="C56" s="44" t="s">
        <v>221</v>
      </c>
      <c r="D56" s="44" t="s">
        <v>235</v>
      </c>
      <c r="E56" s="44" t="s">
        <v>159</v>
      </c>
      <c r="F56" s="44" t="s">
        <v>132</v>
      </c>
    </row>
    <row r="57" spans="1:6">
      <c r="A57" s="44" t="s">
        <v>215</v>
      </c>
      <c r="B57" s="44" t="s">
        <v>236</v>
      </c>
      <c r="C57" s="44" t="s">
        <v>190</v>
      </c>
      <c r="D57" s="44" t="s">
        <v>235</v>
      </c>
      <c r="E57" s="44" t="s">
        <v>200</v>
      </c>
      <c r="F57" s="44" t="s">
        <v>132</v>
      </c>
    </row>
    <row r="58" spans="1:6">
      <c r="A58" s="44" t="s">
        <v>215</v>
      </c>
      <c r="B58" s="44" t="s">
        <v>150</v>
      </c>
      <c r="C58" s="44" t="s">
        <v>221</v>
      </c>
      <c r="D58" s="44" t="s">
        <v>237</v>
      </c>
      <c r="E58" s="44" t="s">
        <v>159</v>
      </c>
      <c r="F58" s="44" t="s">
        <v>153</v>
      </c>
    </row>
    <row r="59" spans="1:6">
      <c r="A59" s="44" t="s">
        <v>215</v>
      </c>
      <c r="B59" s="44" t="s">
        <v>238</v>
      </c>
      <c r="C59" s="44" t="s">
        <v>239</v>
      </c>
      <c r="D59" s="44" t="s">
        <v>240</v>
      </c>
      <c r="E59" s="44" t="s">
        <v>241</v>
      </c>
      <c r="F59" s="44" t="s">
        <v>132</v>
      </c>
    </row>
    <row r="60" spans="1:6">
      <c r="A60" s="44" t="s">
        <v>215</v>
      </c>
      <c r="B60" s="44" t="s">
        <v>242</v>
      </c>
      <c r="C60" s="44" t="s">
        <v>138</v>
      </c>
      <c r="D60" s="44" t="s">
        <v>240</v>
      </c>
      <c r="E60" s="44" t="s">
        <v>243</v>
      </c>
      <c r="F60" s="44" t="s">
        <v>132</v>
      </c>
    </row>
    <row r="61" spans="1:6">
      <c r="A61" s="44" t="s">
        <v>215</v>
      </c>
      <c r="B61" s="44" t="s">
        <v>193</v>
      </c>
      <c r="C61" s="44" t="s">
        <v>221</v>
      </c>
      <c r="D61" s="44" t="s">
        <v>244</v>
      </c>
      <c r="E61" s="44" t="s">
        <v>161</v>
      </c>
      <c r="F61" s="44" t="s">
        <v>128</v>
      </c>
    </row>
    <row r="62" spans="1:6">
      <c r="A62" s="44" t="s">
        <v>215</v>
      </c>
      <c r="B62" s="44" t="s">
        <v>223</v>
      </c>
      <c r="C62" s="44" t="s">
        <v>168</v>
      </c>
      <c r="D62" s="44" t="s">
        <v>245</v>
      </c>
      <c r="E62" s="44" t="s">
        <v>246</v>
      </c>
      <c r="F62" s="44" t="s">
        <v>128</v>
      </c>
    </row>
    <row r="63" spans="1:6">
      <c r="A63" s="44" t="s">
        <v>215</v>
      </c>
      <c r="B63" s="44" t="s">
        <v>148</v>
      </c>
      <c r="C63" s="44" t="s">
        <v>221</v>
      </c>
      <c r="D63" s="44" t="s">
        <v>247</v>
      </c>
      <c r="E63" s="44" t="s">
        <v>161</v>
      </c>
      <c r="F63" s="44" t="s">
        <v>128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112"/>
  <sheetViews>
    <sheetView topLeftCell="E18" workbookViewId="0">
      <selection activeCell="G26" sqref="G26"/>
    </sheetView>
  </sheetViews>
  <sheetFormatPr defaultColWidth="9" defaultRowHeight="14"/>
  <cols>
    <col min="1" max="1" width="9" style="14"/>
    <col min="2" max="2" width="20.625" style="14" customWidth="1"/>
    <col min="3" max="3" width="37.2421875" style="14" customWidth="1"/>
    <col min="4" max="5" width="21.4765625" style="14" customWidth="1"/>
    <col min="6" max="6" width="14.453125" style="14" customWidth="1"/>
    <col min="7" max="7" width="29.421875" style="14" customWidth="1"/>
    <col min="8" max="8" width="11.0703125" style="14" customWidth="1"/>
    <col min="9" max="9" width="27.2109375" style="14" customWidth="1"/>
    <col min="10" max="10" width="23.171875" style="14" customWidth="1"/>
    <col min="11" max="11" width="10.9296875" style="14" customWidth="1"/>
    <col min="12" max="12" width="11.8515625" style="14" customWidth="1"/>
    <col min="13" max="13" width="12.6328125" style="14" customWidth="1"/>
    <col min="16" max="16" width="17.3125" customWidth="1"/>
    <col min="17" max="17" width="24.6015625" customWidth="1"/>
    <col min="18" max="22" width="10.0625"/>
    <col min="26" max="26" width="14.84375" customWidth="1"/>
    <col min="27" max="27" width="26.5625" customWidth="1"/>
  </cols>
  <sheetData>
    <row r="1" spans="1:1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ht="15.2" spans="1:13">
      <c r="A2" s="30"/>
      <c r="B2" s="30"/>
      <c r="C2" s="30"/>
      <c r="D2" s="32"/>
      <c r="E2" s="36" t="s">
        <v>248</v>
      </c>
      <c r="F2" s="37"/>
      <c r="G2" s="30"/>
      <c r="H2" s="30"/>
      <c r="I2" s="30"/>
      <c r="J2" s="30"/>
      <c r="K2" s="30"/>
      <c r="L2" s="30"/>
      <c r="M2" s="30"/>
    </row>
    <row r="3" ht="15.2" spans="1:13">
      <c r="A3" s="30"/>
      <c r="B3" s="30"/>
      <c r="C3" s="30"/>
      <c r="D3" s="32"/>
      <c r="E3" s="36" t="s">
        <v>249</v>
      </c>
      <c r="F3" s="37"/>
      <c r="G3" s="30"/>
      <c r="H3" s="30"/>
      <c r="I3" s="30"/>
      <c r="J3" s="30"/>
      <c r="K3" s="30"/>
      <c r="L3" s="30"/>
      <c r="M3" s="30"/>
    </row>
    <row r="4" spans="1:1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="30" customFormat="1" spans="17:27">
      <c r="Q5" s="38" t="s">
        <v>250</v>
      </c>
      <c r="R5" s="38"/>
      <c r="AA5" s="30" t="s">
        <v>251</v>
      </c>
    </row>
    <row r="6" s="31" customFormat="1" ht="21" customHeight="1" spans="1:24">
      <c r="A6" s="33" t="s">
        <v>252</v>
      </c>
      <c r="B6" s="34" t="s">
        <v>253</v>
      </c>
      <c r="C6" s="34" t="s">
        <v>254</v>
      </c>
      <c r="D6" s="34" t="s">
        <v>115</v>
      </c>
      <c r="E6" s="34" t="s">
        <v>255</v>
      </c>
      <c r="F6" s="34" t="s">
        <v>256</v>
      </c>
      <c r="G6" s="34" t="s">
        <v>257</v>
      </c>
      <c r="H6" s="34" t="s">
        <v>122</v>
      </c>
      <c r="I6" s="34" t="s">
        <v>258</v>
      </c>
      <c r="J6" s="34" t="s">
        <v>259</v>
      </c>
      <c r="K6" s="34" t="s">
        <v>260</v>
      </c>
      <c r="L6" s="34" t="s">
        <v>261</v>
      </c>
      <c r="M6" s="34" t="s">
        <v>120</v>
      </c>
      <c r="O6" s="2" t="s">
        <v>262</v>
      </c>
      <c r="P6" s="2" t="s">
        <v>256</v>
      </c>
      <c r="Q6" s="2" t="s">
        <v>257</v>
      </c>
      <c r="R6" s="26">
        <v>46285</v>
      </c>
      <c r="S6" s="26">
        <v>46286</v>
      </c>
      <c r="T6" s="26">
        <v>46287</v>
      </c>
      <c r="U6" s="26">
        <v>46288</v>
      </c>
      <c r="V6" s="26">
        <v>46289</v>
      </c>
      <c r="W6" s="2" t="s">
        <v>263</v>
      </c>
      <c r="X6" s="2" t="s">
        <v>264</v>
      </c>
    </row>
    <row r="7" spans="1:24">
      <c r="A7" s="20">
        <v>1</v>
      </c>
      <c r="B7" s="12">
        <v>3044</v>
      </c>
      <c r="C7" s="12" t="s">
        <v>265</v>
      </c>
      <c r="D7" s="12" t="s">
        <v>266</v>
      </c>
      <c r="E7" s="12" t="s">
        <v>267</v>
      </c>
      <c r="F7" s="12" t="s">
        <v>268</v>
      </c>
      <c r="G7" s="12" t="s">
        <v>269</v>
      </c>
      <c r="H7" s="12" t="s">
        <v>270</v>
      </c>
      <c r="I7" s="12" t="s">
        <v>271</v>
      </c>
      <c r="J7" s="12" t="s">
        <v>272</v>
      </c>
      <c r="K7" s="12" t="s">
        <v>273</v>
      </c>
      <c r="L7" s="12"/>
      <c r="M7" s="12" t="s">
        <v>164</v>
      </c>
      <c r="O7" s="20">
        <v>1</v>
      </c>
      <c r="P7" s="12" t="s">
        <v>274</v>
      </c>
      <c r="Q7" s="12" t="s">
        <v>269</v>
      </c>
      <c r="R7" s="12">
        <v>264</v>
      </c>
      <c r="S7" s="12"/>
      <c r="T7" s="12"/>
      <c r="U7" s="12"/>
      <c r="V7" s="12">
        <v>310</v>
      </c>
      <c r="W7" s="12">
        <f>SUM(R7:V7)</f>
        <v>574</v>
      </c>
      <c r="X7" s="12" t="s">
        <v>275</v>
      </c>
    </row>
    <row r="8" spans="1:24">
      <c r="A8" s="21"/>
      <c r="B8" s="13"/>
      <c r="C8" s="13" t="s">
        <v>276</v>
      </c>
      <c r="D8" s="13"/>
      <c r="E8" s="13"/>
      <c r="F8" s="13"/>
      <c r="G8" s="13" t="s">
        <v>277</v>
      </c>
      <c r="H8" s="13" t="s">
        <v>278</v>
      </c>
      <c r="I8" s="13" t="s">
        <v>279</v>
      </c>
      <c r="J8" s="13" t="s">
        <v>280</v>
      </c>
      <c r="K8" s="13" t="s">
        <v>281</v>
      </c>
      <c r="L8" s="13"/>
      <c r="M8" s="13" t="s">
        <v>164</v>
      </c>
      <c r="O8" s="21"/>
      <c r="P8" s="13"/>
      <c r="Q8" s="13" t="s">
        <v>282</v>
      </c>
      <c r="R8" s="13"/>
      <c r="S8" s="13">
        <v>21</v>
      </c>
      <c r="T8" s="13">
        <v>1</v>
      </c>
      <c r="U8" s="13">
        <v>21</v>
      </c>
      <c r="V8" s="13"/>
      <c r="W8" s="13">
        <f>SUM(R8:V8)</f>
        <v>43</v>
      </c>
      <c r="X8" s="13" t="s">
        <v>283</v>
      </c>
    </row>
    <row r="9" spans="1:24">
      <c r="A9" s="21"/>
      <c r="B9" s="13"/>
      <c r="C9" s="13" t="s">
        <v>284</v>
      </c>
      <c r="D9" s="13"/>
      <c r="E9" s="13"/>
      <c r="F9" s="13"/>
      <c r="G9" s="13"/>
      <c r="H9" s="13"/>
      <c r="I9" s="13"/>
      <c r="J9" s="13"/>
      <c r="K9" s="13"/>
      <c r="L9" s="13"/>
      <c r="M9" s="13"/>
      <c r="O9" s="21"/>
      <c r="P9" s="13"/>
      <c r="Q9" s="13" t="s">
        <v>285</v>
      </c>
      <c r="R9" s="13"/>
      <c r="S9" s="13"/>
      <c r="T9" s="13">
        <v>145</v>
      </c>
      <c r="U9" s="13"/>
      <c r="V9" s="13"/>
      <c r="W9" s="13">
        <f>SUM(R9:V9)</f>
        <v>145</v>
      </c>
      <c r="X9" s="13" t="s">
        <v>275</v>
      </c>
    </row>
    <row r="10" spans="1:24">
      <c r="A10" s="21"/>
      <c r="B10" s="13"/>
      <c r="C10" s="13" t="s">
        <v>286</v>
      </c>
      <c r="D10" s="13"/>
      <c r="E10" s="13"/>
      <c r="F10" s="13" t="s">
        <v>287</v>
      </c>
      <c r="G10" s="13" t="s">
        <v>288</v>
      </c>
      <c r="H10" s="13" t="s">
        <v>289</v>
      </c>
      <c r="I10" s="13" t="s">
        <v>290</v>
      </c>
      <c r="J10" s="13"/>
      <c r="K10" s="13"/>
      <c r="L10" s="13"/>
      <c r="M10" s="13"/>
      <c r="O10" s="21"/>
      <c r="P10" s="13" t="s">
        <v>291</v>
      </c>
      <c r="Q10" s="13" t="s">
        <v>292</v>
      </c>
      <c r="R10" s="13"/>
      <c r="S10" s="13"/>
      <c r="T10" s="13"/>
      <c r="U10" s="13">
        <v>3060</v>
      </c>
      <c r="V10" s="13"/>
      <c r="W10" s="13">
        <f>SUM(R10:V10)</f>
        <v>3060</v>
      </c>
      <c r="X10" s="13" t="s">
        <v>48</v>
      </c>
    </row>
    <row r="11" spans="1:24">
      <c r="A11" s="21"/>
      <c r="B11" s="13"/>
      <c r="C11" s="13"/>
      <c r="D11" s="13"/>
      <c r="E11" s="13"/>
      <c r="F11" s="13"/>
      <c r="G11" s="13" t="s">
        <v>293</v>
      </c>
      <c r="H11" s="13" t="s">
        <v>294</v>
      </c>
      <c r="I11" s="13" t="s">
        <v>295</v>
      </c>
      <c r="J11" s="13"/>
      <c r="K11" s="13"/>
      <c r="L11" s="13"/>
      <c r="M11" s="13"/>
      <c r="O11" s="21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21"/>
      <c r="B12" s="13"/>
      <c r="C12" s="13" t="s">
        <v>296</v>
      </c>
      <c r="D12" s="13"/>
      <c r="E12" s="13"/>
      <c r="F12" s="13"/>
      <c r="G12" s="13" t="s">
        <v>297</v>
      </c>
      <c r="H12" s="13" t="s">
        <v>298</v>
      </c>
      <c r="I12" s="13" t="s">
        <v>298</v>
      </c>
      <c r="J12" s="13" t="s">
        <v>299</v>
      </c>
      <c r="K12" s="13" t="s">
        <v>300</v>
      </c>
      <c r="L12" s="13"/>
      <c r="M12" s="13" t="s">
        <v>164</v>
      </c>
      <c r="O12" s="21">
        <v>2</v>
      </c>
      <c r="P12" s="13" t="s">
        <v>301</v>
      </c>
      <c r="Q12" s="13" t="s">
        <v>302</v>
      </c>
      <c r="R12" s="13">
        <v>520</v>
      </c>
      <c r="S12" s="13"/>
      <c r="T12" s="13">
        <v>527</v>
      </c>
      <c r="U12" s="13">
        <v>510</v>
      </c>
      <c r="V12" s="13"/>
      <c r="W12" s="13">
        <f>SUM(R12:V12)</f>
        <v>1557</v>
      </c>
      <c r="X12" s="13" t="s">
        <v>48</v>
      </c>
    </row>
    <row r="13" spans="1:24">
      <c r="A13" s="21"/>
      <c r="B13" s="13"/>
      <c r="C13" s="13" t="s">
        <v>265</v>
      </c>
      <c r="D13" s="13"/>
      <c r="E13" s="13"/>
      <c r="F13" s="13"/>
      <c r="G13" s="13" t="s">
        <v>303</v>
      </c>
      <c r="H13" s="13" t="s">
        <v>304</v>
      </c>
      <c r="I13" s="13" t="s">
        <v>305</v>
      </c>
      <c r="J13" s="13"/>
      <c r="K13" s="13"/>
      <c r="L13" s="13"/>
      <c r="M13" s="13"/>
      <c r="O13" s="21"/>
      <c r="P13" s="13"/>
      <c r="Q13" s="13" t="s">
        <v>306</v>
      </c>
      <c r="R13" s="13"/>
      <c r="S13" s="13"/>
      <c r="T13" s="13"/>
      <c r="U13" s="13">
        <v>77</v>
      </c>
      <c r="V13" s="13">
        <v>78</v>
      </c>
      <c r="W13" s="13">
        <f>SUM(R13:V13)</f>
        <v>155</v>
      </c>
      <c r="X13" s="13" t="s">
        <v>307</v>
      </c>
    </row>
    <row r="14" spans="1:24">
      <c r="A14" s="21"/>
      <c r="B14" s="13"/>
      <c r="C14" s="13" t="s">
        <v>308</v>
      </c>
      <c r="D14" s="13"/>
      <c r="E14" s="13"/>
      <c r="F14" s="13"/>
      <c r="G14" s="13" t="s">
        <v>309</v>
      </c>
      <c r="H14" s="13" t="s">
        <v>310</v>
      </c>
      <c r="I14" s="13" t="s">
        <v>311</v>
      </c>
      <c r="J14" s="13"/>
      <c r="K14" s="13"/>
      <c r="L14" s="13"/>
      <c r="M14" s="13"/>
      <c r="O14" s="21"/>
      <c r="P14" s="13"/>
      <c r="Q14" s="13" t="s">
        <v>312</v>
      </c>
      <c r="R14" s="13"/>
      <c r="S14" s="13">
        <v>470</v>
      </c>
      <c r="T14" s="13"/>
      <c r="U14" s="13"/>
      <c r="V14" s="13"/>
      <c r="W14" s="13">
        <f>SUM(R14:V14)</f>
        <v>470</v>
      </c>
      <c r="X14" s="13" t="s">
        <v>62</v>
      </c>
    </row>
    <row r="15" spans="1:24">
      <c r="A15" s="21"/>
      <c r="B15" s="13"/>
      <c r="C15" s="13" t="s">
        <v>313</v>
      </c>
      <c r="D15" s="13"/>
      <c r="E15" s="13"/>
      <c r="F15" s="13"/>
      <c r="G15" s="13" t="s">
        <v>314</v>
      </c>
      <c r="H15" s="13" t="s">
        <v>315</v>
      </c>
      <c r="I15" s="13" t="s">
        <v>316</v>
      </c>
      <c r="J15" s="13"/>
      <c r="K15" s="13"/>
      <c r="L15" s="13"/>
      <c r="M15" s="13"/>
      <c r="O15" s="21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21"/>
      <c r="B16" s="13"/>
      <c r="C16" s="13" t="s">
        <v>286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O16" s="21">
        <v>3</v>
      </c>
      <c r="P16" s="13" t="s">
        <v>287</v>
      </c>
      <c r="Q16" s="13" t="s">
        <v>314</v>
      </c>
      <c r="R16" s="13">
        <v>7</v>
      </c>
      <c r="S16" s="13">
        <v>7</v>
      </c>
      <c r="T16" s="13">
        <v>7</v>
      </c>
      <c r="U16" s="13"/>
      <c r="V16" s="13">
        <v>7</v>
      </c>
      <c r="W16" s="13">
        <f>SUM(R16:V16)</f>
        <v>28</v>
      </c>
      <c r="X16" s="13" t="s">
        <v>317</v>
      </c>
    </row>
    <row r="17" spans="1:24">
      <c r="A17" s="21"/>
      <c r="B17" s="13"/>
      <c r="C17" s="13"/>
      <c r="D17" s="13"/>
      <c r="E17" s="13"/>
      <c r="F17" s="13" t="s">
        <v>318</v>
      </c>
      <c r="G17" s="13" t="s">
        <v>319</v>
      </c>
      <c r="H17" s="13" t="s">
        <v>320</v>
      </c>
      <c r="I17" s="13" t="s">
        <v>321</v>
      </c>
      <c r="J17" s="13"/>
      <c r="K17" s="13"/>
      <c r="L17" s="13"/>
      <c r="M17" s="13"/>
      <c r="O17" s="21"/>
      <c r="P17" s="13"/>
      <c r="Q17" s="13" t="s">
        <v>322</v>
      </c>
      <c r="R17" s="13">
        <v>9</v>
      </c>
      <c r="S17" s="13"/>
      <c r="T17" s="13">
        <v>6</v>
      </c>
      <c r="U17" s="13">
        <v>5</v>
      </c>
      <c r="V17" s="13">
        <v>5</v>
      </c>
      <c r="W17" s="13">
        <f t="shared" ref="W17:W35" si="0">SUM(R17:V17)</f>
        <v>25</v>
      </c>
      <c r="X17" s="13" t="s">
        <v>323</v>
      </c>
    </row>
    <row r="18" spans="1:24">
      <c r="A18" s="21"/>
      <c r="B18" s="13"/>
      <c r="C18" s="13"/>
      <c r="D18" s="13"/>
      <c r="E18" s="13"/>
      <c r="F18" s="13"/>
      <c r="G18" s="13" t="s">
        <v>324</v>
      </c>
      <c r="H18" s="13" t="s">
        <v>320</v>
      </c>
      <c r="I18" s="13" t="s">
        <v>321</v>
      </c>
      <c r="J18" s="13"/>
      <c r="K18" s="13"/>
      <c r="L18" s="13"/>
      <c r="M18" s="13"/>
      <c r="O18" s="21"/>
      <c r="P18" s="13"/>
      <c r="Q18" s="13" t="s">
        <v>293</v>
      </c>
      <c r="R18" s="13">
        <v>2</v>
      </c>
      <c r="S18" s="13"/>
      <c r="T18" s="13"/>
      <c r="U18" s="13">
        <v>1</v>
      </c>
      <c r="V18" s="13"/>
      <c r="W18" s="13">
        <f t="shared" si="0"/>
        <v>3</v>
      </c>
      <c r="X18" s="13" t="s">
        <v>323</v>
      </c>
    </row>
    <row r="19" spans="1:24">
      <c r="A19" s="21"/>
      <c r="B19" s="13"/>
      <c r="C19" s="13"/>
      <c r="D19" s="13"/>
      <c r="E19" s="13"/>
      <c r="F19" s="13"/>
      <c r="G19" s="13" t="s">
        <v>325</v>
      </c>
      <c r="H19" s="13" t="s">
        <v>326</v>
      </c>
      <c r="I19" s="13" t="s">
        <v>327</v>
      </c>
      <c r="J19" s="13"/>
      <c r="K19" s="13"/>
      <c r="L19" s="13"/>
      <c r="M19" s="13"/>
      <c r="O19" s="21"/>
      <c r="P19" s="13"/>
      <c r="Q19" s="13" t="s">
        <v>328</v>
      </c>
      <c r="R19" s="13">
        <v>3</v>
      </c>
      <c r="S19" s="13"/>
      <c r="T19" s="13"/>
      <c r="U19" s="13"/>
      <c r="V19" s="13"/>
      <c r="W19" s="13">
        <f t="shared" si="0"/>
        <v>3</v>
      </c>
      <c r="X19" s="13" t="s">
        <v>317</v>
      </c>
    </row>
    <row r="20" spans="1:24">
      <c r="A20" s="21"/>
      <c r="B20" s="13"/>
      <c r="C20" s="13"/>
      <c r="D20" s="13"/>
      <c r="E20" s="13"/>
      <c r="F20" s="13"/>
      <c r="G20" s="13" t="s">
        <v>329</v>
      </c>
      <c r="H20" s="13" t="s">
        <v>330</v>
      </c>
      <c r="I20" s="13" t="s">
        <v>330</v>
      </c>
      <c r="J20" s="13" t="s">
        <v>331</v>
      </c>
      <c r="K20" s="13" t="s">
        <v>332</v>
      </c>
      <c r="L20" s="13"/>
      <c r="M20" s="13" t="s">
        <v>164</v>
      </c>
      <c r="O20" s="21"/>
      <c r="P20" s="13"/>
      <c r="Q20" s="13" t="s">
        <v>333</v>
      </c>
      <c r="R20" s="13">
        <v>10</v>
      </c>
      <c r="S20" s="13">
        <v>5</v>
      </c>
      <c r="T20" s="13"/>
      <c r="U20" s="13"/>
      <c r="V20" s="13"/>
      <c r="W20" s="13">
        <f t="shared" si="0"/>
        <v>15</v>
      </c>
      <c r="X20" s="13" t="s">
        <v>275</v>
      </c>
    </row>
    <row r="21" spans="1:24">
      <c r="A21" s="21"/>
      <c r="B21" s="13"/>
      <c r="C21" s="13"/>
      <c r="D21" s="13"/>
      <c r="E21" s="13"/>
      <c r="F21" s="13"/>
      <c r="G21" s="13" t="s">
        <v>334</v>
      </c>
      <c r="H21" s="13" t="s">
        <v>298</v>
      </c>
      <c r="I21" s="13" t="s">
        <v>298</v>
      </c>
      <c r="J21" s="13"/>
      <c r="K21" s="13"/>
      <c r="L21" s="13"/>
      <c r="M21" s="13"/>
      <c r="O21" s="21"/>
      <c r="P21" s="13"/>
      <c r="Q21" s="13" t="s">
        <v>335</v>
      </c>
      <c r="R21" s="13">
        <v>1</v>
      </c>
      <c r="S21" s="13"/>
      <c r="T21" s="13"/>
      <c r="U21" s="13"/>
      <c r="V21" s="13"/>
      <c r="W21" s="13">
        <f t="shared" si="0"/>
        <v>1</v>
      </c>
      <c r="X21" s="13" t="s">
        <v>275</v>
      </c>
    </row>
    <row r="22" spans="1:24">
      <c r="A22" s="21"/>
      <c r="B22" s="13"/>
      <c r="C22" s="13"/>
      <c r="D22" s="13"/>
      <c r="E22" s="13"/>
      <c r="F22" s="13"/>
      <c r="G22" s="13" t="s">
        <v>336</v>
      </c>
      <c r="H22" s="13" t="s">
        <v>330</v>
      </c>
      <c r="I22" s="13" t="s">
        <v>330</v>
      </c>
      <c r="J22" s="13"/>
      <c r="K22" s="13"/>
      <c r="L22" s="13"/>
      <c r="M22" s="13"/>
      <c r="O22" s="21"/>
      <c r="P22" s="13"/>
      <c r="Q22" s="13" t="s">
        <v>337</v>
      </c>
      <c r="R22" s="13">
        <v>8</v>
      </c>
      <c r="S22" s="13"/>
      <c r="T22" s="13"/>
      <c r="U22" s="13"/>
      <c r="V22" s="13"/>
      <c r="W22" s="13">
        <f t="shared" si="0"/>
        <v>8</v>
      </c>
      <c r="X22" s="13" t="s">
        <v>275</v>
      </c>
    </row>
    <row r="23" spans="1:24">
      <c r="A23" s="21"/>
      <c r="B23" s="13"/>
      <c r="C23" s="13"/>
      <c r="D23" s="13"/>
      <c r="E23" s="13"/>
      <c r="F23" s="13"/>
      <c r="G23" s="13" t="s">
        <v>338</v>
      </c>
      <c r="H23" s="13" t="s">
        <v>339</v>
      </c>
      <c r="I23" s="13" t="s">
        <v>339</v>
      </c>
      <c r="J23" s="13"/>
      <c r="K23" s="13"/>
      <c r="L23" s="13"/>
      <c r="M23" s="13"/>
      <c r="O23" s="21"/>
      <c r="P23" s="13"/>
      <c r="Q23" s="13" t="s">
        <v>340</v>
      </c>
      <c r="R23" s="13"/>
      <c r="S23" s="13">
        <v>9</v>
      </c>
      <c r="T23" s="13"/>
      <c r="U23" s="13"/>
      <c r="V23" s="13"/>
      <c r="W23" s="13">
        <f t="shared" si="0"/>
        <v>9</v>
      </c>
      <c r="X23" s="13" t="s">
        <v>62</v>
      </c>
    </row>
    <row r="24" spans="1:24">
      <c r="A24" s="21"/>
      <c r="B24" s="13"/>
      <c r="C24" s="13"/>
      <c r="D24" s="13"/>
      <c r="E24" s="13"/>
      <c r="F24" s="13"/>
      <c r="G24" s="13" t="s">
        <v>341</v>
      </c>
      <c r="H24" s="13" t="s">
        <v>339</v>
      </c>
      <c r="I24" s="13" t="s">
        <v>339</v>
      </c>
      <c r="J24" s="13"/>
      <c r="K24" s="13"/>
      <c r="L24" s="13"/>
      <c r="M24" s="13"/>
      <c r="O24" s="21"/>
      <c r="P24" s="13"/>
      <c r="Q24" s="13" t="s">
        <v>342</v>
      </c>
      <c r="R24" s="13"/>
      <c r="S24" s="13">
        <v>4</v>
      </c>
      <c r="T24" s="13"/>
      <c r="U24" s="13"/>
      <c r="V24" s="13"/>
      <c r="W24" s="13">
        <f t="shared" si="0"/>
        <v>4</v>
      </c>
      <c r="X24" s="13" t="s">
        <v>323</v>
      </c>
    </row>
    <row r="25" spans="1:24">
      <c r="A25" s="21"/>
      <c r="B25" s="13"/>
      <c r="C25" s="13"/>
      <c r="D25" s="13"/>
      <c r="E25" s="13"/>
      <c r="F25" s="13"/>
      <c r="G25" s="13" t="s">
        <v>343</v>
      </c>
      <c r="H25" s="13" t="s">
        <v>344</v>
      </c>
      <c r="I25" s="13" t="s">
        <v>344</v>
      </c>
      <c r="J25" s="13"/>
      <c r="K25" s="13"/>
      <c r="L25" s="13"/>
      <c r="M25" s="13"/>
      <c r="O25" s="21"/>
      <c r="P25" s="13"/>
      <c r="Q25" s="13" t="s">
        <v>345</v>
      </c>
      <c r="R25" s="13"/>
      <c r="S25" s="13">
        <v>2</v>
      </c>
      <c r="T25" s="13"/>
      <c r="U25" s="13"/>
      <c r="V25" s="13"/>
      <c r="W25" s="13">
        <f t="shared" si="0"/>
        <v>2</v>
      </c>
      <c r="X25" s="13" t="s">
        <v>323</v>
      </c>
    </row>
    <row r="26" spans="1:24">
      <c r="A26" s="21"/>
      <c r="B26" s="13"/>
      <c r="C26" s="13"/>
      <c r="D26" s="13"/>
      <c r="E26" s="13"/>
      <c r="F26" s="13"/>
      <c r="G26" s="13" t="s">
        <v>346</v>
      </c>
      <c r="H26" s="13" t="s">
        <v>339</v>
      </c>
      <c r="I26" s="13" t="s">
        <v>339</v>
      </c>
      <c r="J26" s="13"/>
      <c r="K26" s="13"/>
      <c r="L26" s="13"/>
      <c r="M26" s="13"/>
      <c r="O26" s="21"/>
      <c r="P26" s="13"/>
      <c r="Q26" s="13" t="s">
        <v>347</v>
      </c>
      <c r="R26" s="13"/>
      <c r="S26" s="13">
        <v>3060</v>
      </c>
      <c r="T26" s="13"/>
      <c r="U26" s="13"/>
      <c r="V26" s="13"/>
      <c r="W26" s="13">
        <f t="shared" si="0"/>
        <v>3060</v>
      </c>
      <c r="X26" s="13" t="s">
        <v>48</v>
      </c>
    </row>
    <row r="27" spans="1:24">
      <c r="A27" s="21"/>
      <c r="B27" s="13"/>
      <c r="C27" s="13"/>
      <c r="D27" s="13"/>
      <c r="E27" s="13"/>
      <c r="F27" s="13"/>
      <c r="G27" s="13" t="s">
        <v>348</v>
      </c>
      <c r="H27" s="13" t="s">
        <v>349</v>
      </c>
      <c r="I27" s="13" t="s">
        <v>350</v>
      </c>
      <c r="J27" s="13"/>
      <c r="K27" s="13"/>
      <c r="L27" s="13"/>
      <c r="M27" s="13"/>
      <c r="O27" s="21"/>
      <c r="P27" s="13"/>
      <c r="Q27" s="13" t="s">
        <v>351</v>
      </c>
      <c r="R27" s="13"/>
      <c r="S27" s="13"/>
      <c r="T27" s="13">
        <v>1</v>
      </c>
      <c r="U27" s="13"/>
      <c r="V27" s="13"/>
      <c r="W27" s="13">
        <f t="shared" si="0"/>
        <v>1</v>
      </c>
      <c r="X27" s="13" t="s">
        <v>317</v>
      </c>
    </row>
    <row r="28" spans="1:24">
      <c r="A28" s="21"/>
      <c r="B28" s="13"/>
      <c r="C28" s="13"/>
      <c r="D28" s="13"/>
      <c r="E28" s="13"/>
      <c r="F28" s="13"/>
      <c r="G28" s="13" t="s">
        <v>352</v>
      </c>
      <c r="H28" s="13" t="s">
        <v>330</v>
      </c>
      <c r="I28" s="13" t="s">
        <v>330</v>
      </c>
      <c r="J28" s="13"/>
      <c r="K28" s="13"/>
      <c r="L28" s="13"/>
      <c r="M28" s="13"/>
      <c r="O28" s="21"/>
      <c r="P28" s="13"/>
      <c r="Q28" s="13" t="s">
        <v>353</v>
      </c>
      <c r="R28" s="13"/>
      <c r="S28" s="13"/>
      <c r="T28" s="13">
        <v>2</v>
      </c>
      <c r="U28" s="13"/>
      <c r="V28" s="13"/>
      <c r="W28" s="13">
        <f t="shared" si="0"/>
        <v>2</v>
      </c>
      <c r="X28" s="13" t="s">
        <v>354</v>
      </c>
    </row>
    <row r="29" spans="1:24">
      <c r="A29" s="2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O29" s="21"/>
      <c r="P29" s="13"/>
      <c r="Q29" s="13" t="s">
        <v>355</v>
      </c>
      <c r="R29" s="13"/>
      <c r="S29" s="13"/>
      <c r="T29" s="13">
        <v>250</v>
      </c>
      <c r="U29" s="13"/>
      <c r="V29" s="13"/>
      <c r="W29" s="13">
        <f t="shared" si="0"/>
        <v>250</v>
      </c>
      <c r="X29" s="13" t="s">
        <v>48</v>
      </c>
    </row>
    <row r="30" spans="1:24">
      <c r="A30" s="3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O30" s="21"/>
      <c r="P30" s="13"/>
      <c r="Q30" s="13" t="s">
        <v>356</v>
      </c>
      <c r="R30" s="13"/>
      <c r="S30" s="13"/>
      <c r="T30" s="13">
        <v>2</v>
      </c>
      <c r="U30" s="13"/>
      <c r="V30" s="13"/>
      <c r="W30" s="13">
        <f t="shared" si="0"/>
        <v>2</v>
      </c>
      <c r="X30" s="13" t="s">
        <v>354</v>
      </c>
    </row>
    <row r="31" spans="1:24">
      <c r="A31" s="20">
        <v>2</v>
      </c>
      <c r="B31" s="12">
        <v>2571</v>
      </c>
      <c r="C31" s="12" t="s">
        <v>265</v>
      </c>
      <c r="D31" s="12" t="s">
        <v>357</v>
      </c>
      <c r="E31" s="12" t="s">
        <v>266</v>
      </c>
      <c r="F31" s="12" t="s">
        <v>268</v>
      </c>
      <c r="G31" s="12" t="s">
        <v>282</v>
      </c>
      <c r="H31" s="12" t="s">
        <v>358</v>
      </c>
      <c r="I31" s="12" t="s">
        <v>358</v>
      </c>
      <c r="J31" s="12" t="s">
        <v>359</v>
      </c>
      <c r="K31" s="12" t="s">
        <v>360</v>
      </c>
      <c r="L31" s="12"/>
      <c r="M31" s="12" t="s">
        <v>164</v>
      </c>
      <c r="O31" s="21"/>
      <c r="P31" s="13"/>
      <c r="Q31" s="13" t="s">
        <v>361</v>
      </c>
      <c r="R31" s="13"/>
      <c r="S31" s="13"/>
      <c r="T31" s="13">
        <v>20</v>
      </c>
      <c r="U31" s="13"/>
      <c r="V31" s="13"/>
      <c r="W31" s="13">
        <f t="shared" si="0"/>
        <v>20</v>
      </c>
      <c r="X31" s="13" t="s">
        <v>62</v>
      </c>
    </row>
    <row r="32" spans="1:24">
      <c r="A32" s="21"/>
      <c r="B32" s="13"/>
      <c r="C32" s="13" t="s">
        <v>362</v>
      </c>
      <c r="D32" s="13"/>
      <c r="E32" s="13"/>
      <c r="F32" s="13"/>
      <c r="G32" s="13" t="s">
        <v>312</v>
      </c>
      <c r="H32" s="13" t="s">
        <v>363</v>
      </c>
      <c r="I32" s="13" t="s">
        <v>363</v>
      </c>
      <c r="J32" s="13"/>
      <c r="K32" s="13" t="s">
        <v>364</v>
      </c>
      <c r="L32" s="13"/>
      <c r="M32" s="13" t="s">
        <v>164</v>
      </c>
      <c r="O32" s="21"/>
      <c r="P32" s="13"/>
      <c r="Q32" s="13" t="s">
        <v>365</v>
      </c>
      <c r="R32" s="13"/>
      <c r="S32" s="13"/>
      <c r="T32" s="13"/>
      <c r="U32" s="13">
        <v>1</v>
      </c>
      <c r="V32" s="13"/>
      <c r="W32" s="13">
        <f t="shared" si="0"/>
        <v>1</v>
      </c>
      <c r="X32" s="13" t="s">
        <v>323</v>
      </c>
    </row>
    <row r="33" spans="1:24">
      <c r="A33" s="21"/>
      <c r="B33" s="13"/>
      <c r="C33" s="13" t="s">
        <v>366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O33" s="21"/>
      <c r="P33" s="13"/>
      <c r="Q33" s="13" t="s">
        <v>367</v>
      </c>
      <c r="R33" s="13"/>
      <c r="S33" s="13"/>
      <c r="T33" s="13"/>
      <c r="U33" s="13">
        <v>2</v>
      </c>
      <c r="V33" s="13"/>
      <c r="W33" s="13">
        <f t="shared" si="0"/>
        <v>2</v>
      </c>
      <c r="X33" s="13" t="s">
        <v>275</v>
      </c>
    </row>
    <row r="34" spans="1:24">
      <c r="A34" s="21"/>
      <c r="B34" s="13"/>
      <c r="C34" s="13" t="s">
        <v>368</v>
      </c>
      <c r="D34" s="13"/>
      <c r="E34" s="13"/>
      <c r="F34" s="13" t="s">
        <v>287</v>
      </c>
      <c r="G34" s="13" t="s">
        <v>314</v>
      </c>
      <c r="H34" s="13" t="s">
        <v>316</v>
      </c>
      <c r="I34" s="13" t="s">
        <v>316</v>
      </c>
      <c r="J34" s="13"/>
      <c r="K34" s="13"/>
      <c r="L34" s="13"/>
      <c r="M34" s="13"/>
      <c r="O34" s="21"/>
      <c r="P34" s="13"/>
      <c r="Q34" s="13" t="s">
        <v>369</v>
      </c>
      <c r="R34" s="13"/>
      <c r="S34" s="13"/>
      <c r="T34" s="13"/>
      <c r="U34" s="13">
        <v>10</v>
      </c>
      <c r="V34" s="13"/>
      <c r="W34" s="13">
        <f t="shared" si="0"/>
        <v>10</v>
      </c>
      <c r="X34" s="13" t="s">
        <v>48</v>
      </c>
    </row>
    <row r="35" spans="1:24">
      <c r="A35" s="21"/>
      <c r="B35" s="13"/>
      <c r="C35" s="13" t="s">
        <v>370</v>
      </c>
      <c r="D35" s="13"/>
      <c r="E35" s="13"/>
      <c r="F35" s="13"/>
      <c r="G35" s="13" t="s">
        <v>371</v>
      </c>
      <c r="H35" s="13" t="s">
        <v>372</v>
      </c>
      <c r="I35" s="13" t="s">
        <v>372</v>
      </c>
      <c r="J35" s="13" t="s">
        <v>299</v>
      </c>
      <c r="K35" s="13" t="s">
        <v>373</v>
      </c>
      <c r="L35" s="13"/>
      <c r="M35" s="13" t="s">
        <v>164</v>
      </c>
      <c r="O35" s="21"/>
      <c r="P35" s="13"/>
      <c r="Q35" s="13" t="s">
        <v>374</v>
      </c>
      <c r="R35" s="13"/>
      <c r="S35" s="13"/>
      <c r="T35" s="13"/>
      <c r="U35" s="13"/>
      <c r="V35" s="13"/>
      <c r="W35" s="13">
        <f t="shared" si="0"/>
        <v>0</v>
      </c>
      <c r="X35" s="13"/>
    </row>
    <row r="36" spans="1:24">
      <c r="A36" s="21"/>
      <c r="B36" s="13"/>
      <c r="C36" s="13"/>
      <c r="D36" s="13"/>
      <c r="E36" s="13"/>
      <c r="F36" s="13"/>
      <c r="G36" s="13" t="s">
        <v>288</v>
      </c>
      <c r="H36" s="13" t="s">
        <v>339</v>
      </c>
      <c r="I36" s="13" t="s">
        <v>339</v>
      </c>
      <c r="J36" s="13"/>
      <c r="K36" s="13"/>
      <c r="L36" s="13"/>
      <c r="M36" s="13"/>
      <c r="O36" s="21"/>
      <c r="P36" s="13"/>
      <c r="Q36" s="13"/>
      <c r="R36" s="13"/>
      <c r="S36" s="13"/>
      <c r="T36" s="13"/>
      <c r="U36" s="13"/>
      <c r="V36" s="13"/>
      <c r="W36" s="13"/>
      <c r="X36" s="13"/>
    </row>
    <row r="37" spans="1:24">
      <c r="A37" s="21"/>
      <c r="B37" s="13"/>
      <c r="C37" s="13" t="s">
        <v>296</v>
      </c>
      <c r="D37" s="13"/>
      <c r="E37" s="13"/>
      <c r="F37" s="13"/>
      <c r="G37" s="13" t="s">
        <v>375</v>
      </c>
      <c r="H37" s="13" t="s">
        <v>376</v>
      </c>
      <c r="I37" s="13" t="s">
        <v>376</v>
      </c>
      <c r="J37" s="13"/>
      <c r="K37" s="13"/>
      <c r="L37" s="13"/>
      <c r="M37" s="13"/>
      <c r="O37" s="21">
        <v>4</v>
      </c>
      <c r="P37" s="13" t="s">
        <v>377</v>
      </c>
      <c r="Q37" s="13" t="s">
        <v>319</v>
      </c>
      <c r="R37" s="13">
        <v>65</v>
      </c>
      <c r="S37" s="13"/>
      <c r="T37" s="13"/>
      <c r="U37" s="13"/>
      <c r="V37" s="13"/>
      <c r="W37" s="13">
        <f>SUM(R37:V37)</f>
        <v>65</v>
      </c>
      <c r="X37" s="13" t="s">
        <v>275</v>
      </c>
    </row>
    <row r="38" spans="1:24">
      <c r="A38" s="21"/>
      <c r="B38" s="13"/>
      <c r="C38" s="13" t="s">
        <v>265</v>
      </c>
      <c r="D38" s="13"/>
      <c r="E38" s="13"/>
      <c r="F38" s="13"/>
      <c r="G38" s="13" t="s">
        <v>378</v>
      </c>
      <c r="H38" s="13" t="s">
        <v>294</v>
      </c>
      <c r="I38" s="13" t="s">
        <v>294</v>
      </c>
      <c r="J38" s="13"/>
      <c r="K38" s="13"/>
      <c r="L38" s="13"/>
      <c r="M38" s="13"/>
      <c r="O38" s="21"/>
      <c r="P38" s="13"/>
      <c r="Q38" s="13" t="s">
        <v>324</v>
      </c>
      <c r="R38" s="13">
        <v>65</v>
      </c>
      <c r="S38" s="13"/>
      <c r="T38" s="13">
        <v>50</v>
      </c>
      <c r="U38" s="13">
        <v>35</v>
      </c>
      <c r="V38" s="13"/>
      <c r="W38" s="13">
        <f t="shared" ref="W38:W60" si="1">SUM(R38:V38)</f>
        <v>150</v>
      </c>
      <c r="X38" s="13" t="s">
        <v>275</v>
      </c>
    </row>
    <row r="39" spans="1:24">
      <c r="A39" s="21"/>
      <c r="B39" s="13"/>
      <c r="C39" s="13" t="s">
        <v>379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O39" s="21"/>
      <c r="P39" s="13"/>
      <c r="Q39" s="13" t="s">
        <v>325</v>
      </c>
      <c r="R39" s="13">
        <v>25</v>
      </c>
      <c r="S39" s="13"/>
      <c r="T39" s="13"/>
      <c r="U39" s="13"/>
      <c r="V39" s="13"/>
      <c r="W39" s="13">
        <f t="shared" si="1"/>
        <v>25</v>
      </c>
      <c r="X39" s="13" t="s">
        <v>275</v>
      </c>
    </row>
    <row r="40" spans="1:24">
      <c r="A40" s="21"/>
      <c r="B40" s="13"/>
      <c r="C40" s="13" t="s">
        <v>366</v>
      </c>
      <c r="D40" s="13"/>
      <c r="E40" s="13"/>
      <c r="F40" s="13" t="s">
        <v>318</v>
      </c>
      <c r="G40" s="13"/>
      <c r="H40" s="13"/>
      <c r="I40" s="13"/>
      <c r="J40" s="13"/>
      <c r="K40" s="13"/>
      <c r="L40" s="13"/>
      <c r="M40" s="13"/>
      <c r="O40" s="21"/>
      <c r="P40" s="13"/>
      <c r="Q40" s="13" t="s">
        <v>380</v>
      </c>
      <c r="R40" s="13">
        <v>8</v>
      </c>
      <c r="S40" s="13"/>
      <c r="T40" s="13"/>
      <c r="U40" s="13"/>
      <c r="V40" s="13"/>
      <c r="W40" s="13">
        <f t="shared" si="1"/>
        <v>8</v>
      </c>
      <c r="X40" s="13" t="s">
        <v>275</v>
      </c>
    </row>
    <row r="41" spans="1:24">
      <c r="A41" s="21"/>
      <c r="B41" s="13"/>
      <c r="C41" s="13" t="s">
        <v>381</v>
      </c>
      <c r="D41" s="13"/>
      <c r="E41" s="13"/>
      <c r="F41" s="13"/>
      <c r="G41" s="13" t="s">
        <v>382</v>
      </c>
      <c r="H41" s="13" t="s">
        <v>383</v>
      </c>
      <c r="I41" s="13" t="s">
        <v>384</v>
      </c>
      <c r="J41" s="13"/>
      <c r="K41" s="13"/>
      <c r="L41" s="13"/>
      <c r="M41" s="13"/>
      <c r="O41" s="21"/>
      <c r="P41" s="13"/>
      <c r="Q41" s="13" t="s">
        <v>334</v>
      </c>
      <c r="R41" s="13">
        <v>1</v>
      </c>
      <c r="S41" s="13"/>
      <c r="T41" s="13"/>
      <c r="U41" s="13"/>
      <c r="V41" s="13"/>
      <c r="W41" s="13">
        <f t="shared" si="1"/>
        <v>1</v>
      </c>
      <c r="X41" s="13" t="s">
        <v>275</v>
      </c>
    </row>
    <row r="42" spans="1:24">
      <c r="A42" s="21"/>
      <c r="B42" s="13"/>
      <c r="C42" s="13" t="s">
        <v>370</v>
      </c>
      <c r="D42" s="13"/>
      <c r="E42" s="13"/>
      <c r="F42" s="13"/>
      <c r="G42" s="13" t="s">
        <v>385</v>
      </c>
      <c r="H42" s="13" t="s">
        <v>386</v>
      </c>
      <c r="I42" s="13" t="s">
        <v>387</v>
      </c>
      <c r="J42" s="13" t="s">
        <v>388</v>
      </c>
      <c r="K42" s="13" t="s">
        <v>389</v>
      </c>
      <c r="L42" s="13"/>
      <c r="M42" s="13" t="s">
        <v>164</v>
      </c>
      <c r="O42" s="21"/>
      <c r="P42" s="13"/>
      <c r="Q42" s="13" t="s">
        <v>336</v>
      </c>
      <c r="R42" s="13">
        <v>8</v>
      </c>
      <c r="S42" s="13">
        <v>2</v>
      </c>
      <c r="T42" s="13">
        <v>5</v>
      </c>
      <c r="U42" s="13"/>
      <c r="V42" s="13"/>
      <c r="W42" s="13">
        <f t="shared" si="1"/>
        <v>15</v>
      </c>
      <c r="X42" s="13" t="s">
        <v>275</v>
      </c>
    </row>
    <row r="43" spans="1:24">
      <c r="A43" s="21"/>
      <c r="B43" s="13"/>
      <c r="C43" s="13"/>
      <c r="D43" s="13"/>
      <c r="E43" s="13"/>
      <c r="F43" s="13"/>
      <c r="G43" s="13" t="s">
        <v>336</v>
      </c>
      <c r="H43" s="13" t="s">
        <v>390</v>
      </c>
      <c r="I43" s="13" t="s">
        <v>390</v>
      </c>
      <c r="J43" s="13"/>
      <c r="K43" s="13"/>
      <c r="L43" s="13"/>
      <c r="M43" s="13"/>
      <c r="O43" s="21"/>
      <c r="P43" s="13"/>
      <c r="Q43" s="13" t="s">
        <v>338</v>
      </c>
      <c r="R43" s="13">
        <v>5</v>
      </c>
      <c r="S43" s="13"/>
      <c r="T43" s="13"/>
      <c r="U43" s="13">
        <v>6</v>
      </c>
      <c r="V43" s="13"/>
      <c r="W43" s="13">
        <f t="shared" si="1"/>
        <v>11</v>
      </c>
      <c r="X43" s="13" t="s">
        <v>275</v>
      </c>
    </row>
    <row r="44" spans="1:24">
      <c r="A44" s="21"/>
      <c r="B44" s="13"/>
      <c r="C44" s="13"/>
      <c r="D44" s="13"/>
      <c r="E44" s="13"/>
      <c r="F44" s="13"/>
      <c r="G44" s="13" t="s">
        <v>391</v>
      </c>
      <c r="H44" s="13" t="s">
        <v>392</v>
      </c>
      <c r="I44" s="13" t="s">
        <v>392</v>
      </c>
      <c r="J44" s="13"/>
      <c r="K44" s="13"/>
      <c r="L44" s="13"/>
      <c r="M44" s="13"/>
      <c r="O44" s="21"/>
      <c r="P44" s="13"/>
      <c r="Q44" s="13" t="s">
        <v>341</v>
      </c>
      <c r="R44" s="13">
        <v>5</v>
      </c>
      <c r="S44" s="13"/>
      <c r="T44" s="13">
        <v>5</v>
      </c>
      <c r="U44" s="13"/>
      <c r="V44" s="13"/>
      <c r="W44" s="13">
        <f t="shared" si="1"/>
        <v>10</v>
      </c>
      <c r="X44" s="13" t="s">
        <v>275</v>
      </c>
    </row>
    <row r="45" spans="1:24">
      <c r="A45" s="21"/>
      <c r="B45" s="13"/>
      <c r="C45" s="13"/>
      <c r="D45" s="13"/>
      <c r="E45" s="13"/>
      <c r="F45" s="13"/>
      <c r="G45" s="13" t="s">
        <v>393</v>
      </c>
      <c r="H45" s="13" t="s">
        <v>394</v>
      </c>
      <c r="I45" s="13" t="s">
        <v>395</v>
      </c>
      <c r="J45" s="13"/>
      <c r="K45" s="13"/>
      <c r="L45" s="13"/>
      <c r="M45" s="13"/>
      <c r="O45" s="21"/>
      <c r="P45" s="13"/>
      <c r="Q45" s="13" t="s">
        <v>343</v>
      </c>
      <c r="R45" s="39">
        <v>0.5</v>
      </c>
      <c r="S45" s="13"/>
      <c r="T45" s="13"/>
      <c r="U45" s="13"/>
      <c r="V45" s="13"/>
      <c r="W45" s="13">
        <f t="shared" si="1"/>
        <v>0.5</v>
      </c>
      <c r="X45" s="13" t="s">
        <v>275</v>
      </c>
    </row>
    <row r="46" spans="1:24">
      <c r="A46" s="21"/>
      <c r="B46" s="13"/>
      <c r="C46" s="13"/>
      <c r="D46" s="13"/>
      <c r="E46" s="13"/>
      <c r="F46" s="13"/>
      <c r="G46" s="13" t="s">
        <v>396</v>
      </c>
      <c r="H46" s="13" t="s">
        <v>327</v>
      </c>
      <c r="I46" s="13" t="s">
        <v>327</v>
      </c>
      <c r="J46" s="13"/>
      <c r="K46" s="13"/>
      <c r="L46" s="13"/>
      <c r="M46" s="13"/>
      <c r="O46" s="21"/>
      <c r="P46" s="13"/>
      <c r="Q46" s="13" t="s">
        <v>397</v>
      </c>
      <c r="R46" s="13">
        <v>5</v>
      </c>
      <c r="S46" s="13"/>
      <c r="T46" s="13"/>
      <c r="U46" s="13">
        <v>3</v>
      </c>
      <c r="V46" s="13"/>
      <c r="W46" s="13">
        <f t="shared" si="1"/>
        <v>8</v>
      </c>
      <c r="X46" s="13" t="s">
        <v>275</v>
      </c>
    </row>
    <row r="47" spans="1:24">
      <c r="A47" s="35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1"/>
      <c r="P47" s="13"/>
      <c r="Q47" s="13" t="s">
        <v>398</v>
      </c>
      <c r="R47" s="13"/>
      <c r="S47" s="13">
        <v>220</v>
      </c>
      <c r="T47" s="13"/>
      <c r="U47" s="13"/>
      <c r="V47" s="13"/>
      <c r="W47" s="13">
        <f t="shared" si="1"/>
        <v>220</v>
      </c>
      <c r="X47" s="13" t="s">
        <v>275</v>
      </c>
    </row>
    <row r="48" spans="1:24">
      <c r="A48" s="20">
        <v>3</v>
      </c>
      <c r="B48" s="12">
        <v>3044</v>
      </c>
      <c r="C48" s="12" t="s">
        <v>265</v>
      </c>
      <c r="D48" s="12" t="s">
        <v>399</v>
      </c>
      <c r="E48" s="12" t="s">
        <v>357</v>
      </c>
      <c r="F48" s="12" t="s">
        <v>268</v>
      </c>
      <c r="G48" s="12" t="s">
        <v>285</v>
      </c>
      <c r="H48" s="12" t="s">
        <v>400</v>
      </c>
      <c r="I48" s="12" t="s">
        <v>401</v>
      </c>
      <c r="J48" s="12" t="s">
        <v>359</v>
      </c>
      <c r="K48" s="12" t="s">
        <v>402</v>
      </c>
      <c r="L48" s="12"/>
      <c r="M48" s="12" t="s">
        <v>164</v>
      </c>
      <c r="O48" s="21"/>
      <c r="P48" s="13"/>
      <c r="Q48" s="13" t="s">
        <v>403</v>
      </c>
      <c r="R48" s="13"/>
      <c r="S48" s="13">
        <v>30</v>
      </c>
      <c r="T48" s="13"/>
      <c r="U48" s="13"/>
      <c r="V48" s="13"/>
      <c r="W48" s="13">
        <f t="shared" si="1"/>
        <v>30</v>
      </c>
      <c r="X48" s="13" t="s">
        <v>275</v>
      </c>
    </row>
    <row r="49" spans="1:24">
      <c r="A49" s="21"/>
      <c r="B49" s="13"/>
      <c r="C49" s="13" t="s">
        <v>404</v>
      </c>
      <c r="D49" s="13"/>
      <c r="E49" s="13"/>
      <c r="F49" s="13"/>
      <c r="G49" s="13" t="s">
        <v>277</v>
      </c>
      <c r="H49" s="13" t="s">
        <v>405</v>
      </c>
      <c r="I49" s="13" t="s">
        <v>405</v>
      </c>
      <c r="J49" s="13" t="s">
        <v>280</v>
      </c>
      <c r="K49" s="13" t="s">
        <v>373</v>
      </c>
      <c r="L49" s="13"/>
      <c r="M49" s="13" t="s">
        <v>164</v>
      </c>
      <c r="O49" s="21"/>
      <c r="P49" s="13"/>
      <c r="Q49" s="13" t="s">
        <v>396</v>
      </c>
      <c r="R49" s="13"/>
      <c r="S49" s="13">
        <v>25</v>
      </c>
      <c r="T49" s="13"/>
      <c r="U49" s="13"/>
      <c r="V49" s="13"/>
      <c r="W49" s="13">
        <f t="shared" si="1"/>
        <v>25</v>
      </c>
      <c r="X49" s="13" t="s">
        <v>275</v>
      </c>
    </row>
    <row r="50" spans="1:24">
      <c r="A50" s="21"/>
      <c r="B50" s="13"/>
      <c r="C50" s="13" t="s">
        <v>406</v>
      </c>
      <c r="D50" s="13"/>
      <c r="E50" s="13"/>
      <c r="F50" s="13"/>
      <c r="G50" s="13" t="s">
        <v>282</v>
      </c>
      <c r="H50" s="13" t="s">
        <v>407</v>
      </c>
      <c r="I50" s="13" t="s">
        <v>407</v>
      </c>
      <c r="J50" s="13" t="s">
        <v>408</v>
      </c>
      <c r="K50" s="13" t="s">
        <v>409</v>
      </c>
      <c r="L50" s="13"/>
      <c r="M50" s="13" t="s">
        <v>164</v>
      </c>
      <c r="O50" s="21"/>
      <c r="P50" s="13"/>
      <c r="Q50" s="13" t="s">
        <v>410</v>
      </c>
      <c r="R50" s="13"/>
      <c r="S50" s="13"/>
      <c r="T50" s="13">
        <v>5</v>
      </c>
      <c r="U50" s="13"/>
      <c r="V50" s="13"/>
      <c r="W50" s="13">
        <f t="shared" si="1"/>
        <v>5</v>
      </c>
      <c r="X50" s="13" t="s">
        <v>275</v>
      </c>
    </row>
    <row r="51" spans="1:24">
      <c r="A51" s="21"/>
      <c r="B51" s="13"/>
      <c r="C51" s="13" t="s">
        <v>411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O51" s="21"/>
      <c r="P51" s="13"/>
      <c r="Q51" s="13" t="s">
        <v>412</v>
      </c>
      <c r="R51" s="13"/>
      <c r="S51" s="13"/>
      <c r="T51" s="13"/>
      <c r="U51" s="13">
        <v>40</v>
      </c>
      <c r="V51" s="13"/>
      <c r="W51" s="13">
        <f t="shared" si="1"/>
        <v>40</v>
      </c>
      <c r="X51" s="13" t="s">
        <v>275</v>
      </c>
    </row>
    <row r="52" spans="1:24">
      <c r="A52" s="21"/>
      <c r="B52" s="13"/>
      <c r="C52" s="13"/>
      <c r="D52" s="13"/>
      <c r="E52" s="13"/>
      <c r="F52" s="13" t="s">
        <v>287</v>
      </c>
      <c r="G52" s="13" t="s">
        <v>314</v>
      </c>
      <c r="H52" s="13" t="s">
        <v>315</v>
      </c>
      <c r="I52" s="13" t="s">
        <v>315</v>
      </c>
      <c r="J52" s="13"/>
      <c r="K52" s="13"/>
      <c r="L52" s="13"/>
      <c r="M52" s="13"/>
      <c r="O52" s="21"/>
      <c r="P52" s="13"/>
      <c r="Q52" s="13" t="s">
        <v>413</v>
      </c>
      <c r="R52" s="13"/>
      <c r="S52" s="13"/>
      <c r="T52" s="13"/>
      <c r="U52" s="13">
        <v>35</v>
      </c>
      <c r="V52" s="13"/>
      <c r="W52" s="13">
        <f t="shared" si="1"/>
        <v>35</v>
      </c>
      <c r="X52" s="13" t="s">
        <v>275</v>
      </c>
    </row>
    <row r="53" spans="1:24">
      <c r="A53" s="21"/>
      <c r="B53" s="13"/>
      <c r="C53" s="13" t="s">
        <v>296</v>
      </c>
      <c r="D53" s="13"/>
      <c r="E53" s="13"/>
      <c r="F53" s="13"/>
      <c r="G53" s="13" t="s">
        <v>351</v>
      </c>
      <c r="H53" s="13" t="s">
        <v>414</v>
      </c>
      <c r="I53" s="13" t="s">
        <v>414</v>
      </c>
      <c r="J53" s="13" t="s">
        <v>299</v>
      </c>
      <c r="K53" s="13" t="s">
        <v>415</v>
      </c>
      <c r="L53" s="13"/>
      <c r="M53" s="13" t="s">
        <v>164</v>
      </c>
      <c r="O53" s="21"/>
      <c r="P53" s="13"/>
      <c r="Q53" s="13" t="s">
        <v>416</v>
      </c>
      <c r="R53" s="13"/>
      <c r="S53" s="13"/>
      <c r="T53" s="13"/>
      <c r="U53" s="13">
        <v>35</v>
      </c>
      <c r="V53" s="13"/>
      <c r="W53" s="13">
        <f t="shared" si="1"/>
        <v>35</v>
      </c>
      <c r="X53" s="13" t="s">
        <v>275</v>
      </c>
    </row>
    <row r="54" spans="1:24">
      <c r="A54" s="21"/>
      <c r="B54" s="13"/>
      <c r="C54" s="13" t="s">
        <v>404</v>
      </c>
      <c r="D54" s="13"/>
      <c r="E54" s="13"/>
      <c r="F54" s="13"/>
      <c r="G54" s="13" t="s">
        <v>417</v>
      </c>
      <c r="H54" s="13" t="s">
        <v>418</v>
      </c>
      <c r="I54" s="13" t="s">
        <v>418</v>
      </c>
      <c r="J54" s="13"/>
      <c r="K54" s="13"/>
      <c r="L54" s="13"/>
      <c r="M54" s="13"/>
      <c r="O54" s="21"/>
      <c r="P54" s="13"/>
      <c r="Q54" s="13" t="s">
        <v>419</v>
      </c>
      <c r="R54" s="13"/>
      <c r="S54" s="13"/>
      <c r="T54" s="13"/>
      <c r="U54" s="13">
        <v>15</v>
      </c>
      <c r="V54" s="13"/>
      <c r="W54" s="13">
        <f t="shared" si="1"/>
        <v>15</v>
      </c>
      <c r="X54" s="13" t="s">
        <v>275</v>
      </c>
    </row>
    <row r="55" spans="1:24">
      <c r="A55" s="21"/>
      <c r="B55" s="13"/>
      <c r="C55" s="13" t="s">
        <v>406</v>
      </c>
      <c r="D55" s="13"/>
      <c r="E55" s="13"/>
      <c r="F55" s="13"/>
      <c r="G55" s="13" t="s">
        <v>353</v>
      </c>
      <c r="H55" s="13" t="s">
        <v>420</v>
      </c>
      <c r="I55" s="13" t="s">
        <v>420</v>
      </c>
      <c r="J55" s="13"/>
      <c r="K55" s="13"/>
      <c r="L55" s="13"/>
      <c r="M55" s="13"/>
      <c r="O55" s="21"/>
      <c r="P55" s="13"/>
      <c r="Q55" s="13" t="s">
        <v>421</v>
      </c>
      <c r="R55" s="13"/>
      <c r="S55" s="13"/>
      <c r="T55" s="13">
        <v>50</v>
      </c>
      <c r="U55" s="13">
        <v>3</v>
      </c>
      <c r="V55" s="13"/>
      <c r="W55" s="13">
        <f t="shared" si="1"/>
        <v>53</v>
      </c>
      <c r="X55" s="13" t="s">
        <v>275</v>
      </c>
    </row>
    <row r="56" spans="1:24">
      <c r="A56" s="21"/>
      <c r="B56" s="13"/>
      <c r="C56" s="13" t="s">
        <v>422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O56" s="21"/>
      <c r="P56" s="13"/>
      <c r="Q56" s="13" t="s">
        <v>423</v>
      </c>
      <c r="R56" s="13"/>
      <c r="S56" s="13"/>
      <c r="T56" s="13"/>
      <c r="U56" s="13"/>
      <c r="V56" s="13"/>
      <c r="W56" s="13">
        <f t="shared" si="1"/>
        <v>0</v>
      </c>
      <c r="X56" s="13"/>
    </row>
    <row r="57" spans="1:24">
      <c r="A57" s="21"/>
      <c r="B57" s="13"/>
      <c r="C57" s="13"/>
      <c r="D57" s="13"/>
      <c r="E57" s="13"/>
      <c r="F57" s="13" t="s">
        <v>318</v>
      </c>
      <c r="G57" s="13" t="s">
        <v>324</v>
      </c>
      <c r="H57" s="13" t="s">
        <v>424</v>
      </c>
      <c r="I57" s="13" t="s">
        <v>424</v>
      </c>
      <c r="J57" s="13"/>
      <c r="K57" s="13"/>
      <c r="L57" s="13"/>
      <c r="M57" s="13"/>
      <c r="O57" s="21"/>
      <c r="P57" s="13"/>
      <c r="Q57" s="13" t="s">
        <v>425</v>
      </c>
      <c r="R57" s="13"/>
      <c r="S57" s="13"/>
      <c r="T57" s="13"/>
      <c r="U57" s="13"/>
      <c r="V57" s="13"/>
      <c r="W57" s="13">
        <f t="shared" si="1"/>
        <v>0</v>
      </c>
      <c r="X57" s="13"/>
    </row>
    <row r="58" spans="1:24">
      <c r="A58" s="21"/>
      <c r="B58" s="13"/>
      <c r="C58" s="13"/>
      <c r="D58" s="13"/>
      <c r="E58" s="13"/>
      <c r="F58" s="13"/>
      <c r="G58" s="13" t="s">
        <v>421</v>
      </c>
      <c r="H58" s="13" t="s">
        <v>424</v>
      </c>
      <c r="I58" s="13" t="s">
        <v>424</v>
      </c>
      <c r="J58" s="13"/>
      <c r="K58" s="13"/>
      <c r="L58" s="13"/>
      <c r="M58" s="13"/>
      <c r="O58" s="21"/>
      <c r="P58" s="13"/>
      <c r="Q58" s="13" t="s">
        <v>426</v>
      </c>
      <c r="R58" s="13"/>
      <c r="S58" s="13"/>
      <c r="T58" s="13"/>
      <c r="U58" s="13"/>
      <c r="V58" s="13"/>
      <c r="W58" s="13">
        <f t="shared" si="1"/>
        <v>0</v>
      </c>
      <c r="X58" s="13"/>
    </row>
    <row r="59" spans="1:24">
      <c r="A59" s="21"/>
      <c r="B59" s="13"/>
      <c r="C59" s="13"/>
      <c r="D59" s="13"/>
      <c r="E59" s="13"/>
      <c r="F59" s="13"/>
      <c r="G59" s="13" t="s">
        <v>410</v>
      </c>
      <c r="H59" s="13" t="s">
        <v>339</v>
      </c>
      <c r="I59" s="13" t="s">
        <v>339</v>
      </c>
      <c r="J59" s="13" t="s">
        <v>388</v>
      </c>
      <c r="K59" s="13" t="s">
        <v>427</v>
      </c>
      <c r="L59" s="13"/>
      <c r="M59" s="13" t="s">
        <v>164</v>
      </c>
      <c r="O59" s="21"/>
      <c r="P59" s="13"/>
      <c r="Q59" s="13" t="s">
        <v>428</v>
      </c>
      <c r="R59" s="13"/>
      <c r="S59" s="13"/>
      <c r="T59" s="13"/>
      <c r="U59" s="13"/>
      <c r="V59" s="13"/>
      <c r="W59" s="13">
        <f t="shared" si="1"/>
        <v>0</v>
      </c>
      <c r="X59" s="13"/>
    </row>
    <row r="60" spans="1:24">
      <c r="A60" s="21"/>
      <c r="B60" s="13"/>
      <c r="C60" s="13"/>
      <c r="D60" s="13"/>
      <c r="E60" s="13"/>
      <c r="F60" s="13"/>
      <c r="G60" s="13" t="s">
        <v>341</v>
      </c>
      <c r="H60" s="13" t="s">
        <v>339</v>
      </c>
      <c r="I60" s="13" t="s">
        <v>339</v>
      </c>
      <c r="J60" s="13"/>
      <c r="K60" s="13"/>
      <c r="L60" s="13"/>
      <c r="M60" s="13"/>
      <c r="O60" s="21"/>
      <c r="P60" s="13"/>
      <c r="Q60" s="13" t="s">
        <v>429</v>
      </c>
      <c r="R60" s="13"/>
      <c r="S60" s="13"/>
      <c r="T60" s="13"/>
      <c r="U60" s="13"/>
      <c r="V60" s="13"/>
      <c r="W60" s="13">
        <f t="shared" si="1"/>
        <v>0</v>
      </c>
      <c r="X60" s="13"/>
    </row>
    <row r="61" spans="1:24">
      <c r="A61" s="21"/>
      <c r="B61" s="13"/>
      <c r="C61" s="13"/>
      <c r="D61" s="13"/>
      <c r="E61" s="13"/>
      <c r="F61" s="13"/>
      <c r="G61" s="13" t="s">
        <v>336</v>
      </c>
      <c r="H61" s="13" t="s">
        <v>339</v>
      </c>
      <c r="I61" s="13" t="s">
        <v>339</v>
      </c>
      <c r="J61" s="13"/>
      <c r="K61" s="13"/>
      <c r="L61" s="13"/>
      <c r="M61" s="13"/>
      <c r="O61" s="21"/>
      <c r="P61" s="13"/>
      <c r="Q61" s="13"/>
      <c r="R61" s="13"/>
      <c r="S61" s="13"/>
      <c r="T61" s="13"/>
      <c r="U61" s="13"/>
      <c r="V61" s="13"/>
      <c r="W61" s="13"/>
      <c r="X61" s="13"/>
    </row>
    <row r="62" spans="1:24">
      <c r="A62" s="21"/>
      <c r="B62" s="13"/>
      <c r="C62" s="13"/>
      <c r="D62" s="13"/>
      <c r="E62" s="13"/>
      <c r="F62" s="13"/>
      <c r="G62" s="13" t="s">
        <v>430</v>
      </c>
      <c r="H62" s="13" t="s">
        <v>431</v>
      </c>
      <c r="I62" s="13" t="s">
        <v>432</v>
      </c>
      <c r="J62" s="13"/>
      <c r="K62" s="13"/>
      <c r="L62" s="13"/>
      <c r="M62" s="13"/>
      <c r="O62" s="21">
        <v>5</v>
      </c>
      <c r="P62" s="13" t="s">
        <v>433</v>
      </c>
      <c r="Q62" s="13" t="s">
        <v>348</v>
      </c>
      <c r="R62" s="13">
        <v>207</v>
      </c>
      <c r="S62" s="13"/>
      <c r="T62" s="13"/>
      <c r="U62" s="13"/>
      <c r="V62" s="13"/>
      <c r="W62" s="13">
        <f>SUM(R62:V62)</f>
        <v>207</v>
      </c>
      <c r="X62" s="13" t="s">
        <v>275</v>
      </c>
    </row>
    <row r="63" spans="1:24">
      <c r="A63" s="21"/>
      <c r="B63" s="13"/>
      <c r="C63" s="13"/>
      <c r="D63" s="13"/>
      <c r="E63" s="13"/>
      <c r="F63" s="13"/>
      <c r="G63" s="13" t="s">
        <v>356</v>
      </c>
      <c r="H63" s="13" t="s">
        <v>420</v>
      </c>
      <c r="I63" s="13" t="s">
        <v>434</v>
      </c>
      <c r="J63" s="13"/>
      <c r="K63" s="13"/>
      <c r="L63" s="13"/>
      <c r="M63" s="13"/>
      <c r="O63" s="21"/>
      <c r="P63" s="13"/>
      <c r="Q63" s="13" t="s">
        <v>435</v>
      </c>
      <c r="R63" s="13"/>
      <c r="S63" s="13">
        <v>2</v>
      </c>
      <c r="T63" s="13"/>
      <c r="U63" s="13"/>
      <c r="V63" s="13"/>
      <c r="W63" s="13">
        <f>SUM(R63:V63)</f>
        <v>2</v>
      </c>
      <c r="X63" s="13" t="s">
        <v>283</v>
      </c>
    </row>
    <row r="64" spans="1:24">
      <c r="A64" s="21"/>
      <c r="B64" s="13"/>
      <c r="C64" s="13"/>
      <c r="D64" s="13"/>
      <c r="E64" s="13"/>
      <c r="F64" s="13"/>
      <c r="G64" s="13" t="s">
        <v>436</v>
      </c>
      <c r="H64" s="13" t="s">
        <v>437</v>
      </c>
      <c r="I64" s="13" t="s">
        <v>438</v>
      </c>
      <c r="J64" s="13"/>
      <c r="K64" s="13"/>
      <c r="L64" s="13"/>
      <c r="M64" s="13"/>
      <c r="O64" s="21"/>
      <c r="P64" s="13"/>
      <c r="Q64" s="13" t="s">
        <v>430</v>
      </c>
      <c r="R64" s="13"/>
      <c r="S64" s="13"/>
      <c r="T64" s="13">
        <v>12</v>
      </c>
      <c r="U64" s="13"/>
      <c r="V64" s="13"/>
      <c r="W64" s="13">
        <f>SUM(R64:V64)</f>
        <v>12</v>
      </c>
      <c r="X64" s="13" t="s">
        <v>283</v>
      </c>
    </row>
    <row r="65" spans="1:24">
      <c r="A65" s="21"/>
      <c r="B65" s="13"/>
      <c r="C65" s="13"/>
      <c r="D65" s="13"/>
      <c r="E65" s="13"/>
      <c r="F65" s="13"/>
      <c r="G65" s="13" t="s">
        <v>439</v>
      </c>
      <c r="H65" s="13" t="s">
        <v>440</v>
      </c>
      <c r="I65" s="13" t="s">
        <v>441</v>
      </c>
      <c r="J65" s="13"/>
      <c r="K65" s="13"/>
      <c r="L65" s="13"/>
      <c r="M65" s="13"/>
      <c r="O65" s="21"/>
      <c r="P65" s="13"/>
      <c r="Q65" s="13" t="s">
        <v>442</v>
      </c>
      <c r="R65" s="13"/>
      <c r="S65" s="13"/>
      <c r="T65" s="13"/>
      <c r="U65" s="13">
        <v>353</v>
      </c>
      <c r="V65" s="13"/>
      <c r="W65" s="13">
        <f>SUM(R65:V65)</f>
        <v>353</v>
      </c>
      <c r="X65" s="13" t="s">
        <v>275</v>
      </c>
    </row>
    <row r="66" spans="1:24">
      <c r="A66" s="3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O66" s="21"/>
      <c r="P66" s="13"/>
      <c r="Q66" s="13"/>
      <c r="R66" s="13"/>
      <c r="S66" s="13"/>
      <c r="T66" s="13"/>
      <c r="U66" s="13"/>
      <c r="V66" s="13"/>
      <c r="W66" s="13"/>
      <c r="X66" s="13"/>
    </row>
    <row r="67" spans="1:24">
      <c r="A67" s="20">
        <v>4</v>
      </c>
      <c r="B67" s="12">
        <v>3030</v>
      </c>
      <c r="C67" s="12" t="s">
        <v>443</v>
      </c>
      <c r="D67" s="12" t="s">
        <v>444</v>
      </c>
      <c r="E67" s="12" t="s">
        <v>399</v>
      </c>
      <c r="F67" s="12" t="s">
        <v>268</v>
      </c>
      <c r="G67" s="12" t="s">
        <v>282</v>
      </c>
      <c r="H67" s="12" t="s">
        <v>445</v>
      </c>
      <c r="I67" s="12" t="s">
        <v>445</v>
      </c>
      <c r="J67" s="12"/>
      <c r="K67" s="12"/>
      <c r="L67" s="12"/>
      <c r="M67" s="12" t="s">
        <v>164</v>
      </c>
      <c r="O67" s="35">
        <v>6</v>
      </c>
      <c r="P67" s="24" t="s">
        <v>291</v>
      </c>
      <c r="Q67" s="24" t="s">
        <v>446</v>
      </c>
      <c r="R67" s="24"/>
      <c r="S67" s="24"/>
      <c r="T67" s="24"/>
      <c r="U67" s="24">
        <v>0.25</v>
      </c>
      <c r="V67" s="24"/>
      <c r="W67" s="24">
        <f>SUM(R67:V67)</f>
        <v>0.25</v>
      </c>
      <c r="X67" s="24" t="s">
        <v>275</v>
      </c>
    </row>
    <row r="68" spans="1:17">
      <c r="A68" s="21"/>
      <c r="B68" s="13"/>
      <c r="C68" s="13" t="s">
        <v>292</v>
      </c>
      <c r="D68" s="13"/>
      <c r="E68" s="13"/>
      <c r="F68" s="13"/>
      <c r="G68" s="13" t="s">
        <v>306</v>
      </c>
      <c r="H68" s="13" t="s">
        <v>447</v>
      </c>
      <c r="I68" s="13" t="s">
        <v>447</v>
      </c>
      <c r="J68" s="13"/>
      <c r="K68" s="13"/>
      <c r="L68" s="13"/>
      <c r="M68" s="13"/>
      <c r="Q68" t="s">
        <v>374</v>
      </c>
    </row>
    <row r="69" spans="1:13">
      <c r="A69" s="21"/>
      <c r="B69" s="13"/>
      <c r="C69" s="13" t="s">
        <v>448</v>
      </c>
      <c r="D69" s="13"/>
      <c r="E69" s="13"/>
      <c r="F69" s="13"/>
      <c r="G69" s="13" t="s">
        <v>449</v>
      </c>
      <c r="H69" s="13" t="s">
        <v>450</v>
      </c>
      <c r="I69" s="13" t="s">
        <v>450</v>
      </c>
      <c r="J69" s="13"/>
      <c r="K69" s="13"/>
      <c r="L69" s="13"/>
      <c r="M69" s="13"/>
    </row>
    <row r="70" spans="1:13">
      <c r="A70" s="21"/>
      <c r="B70" s="13"/>
      <c r="C70" s="13" t="s">
        <v>451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>
      <c r="A71" s="21"/>
      <c r="B71" s="13"/>
      <c r="C71" s="13" t="s">
        <v>452</v>
      </c>
      <c r="D71" s="13"/>
      <c r="E71" s="13"/>
      <c r="F71" s="13" t="s">
        <v>287</v>
      </c>
      <c r="G71" s="13" t="s">
        <v>453</v>
      </c>
      <c r="H71" s="13" t="s">
        <v>454</v>
      </c>
      <c r="I71" s="13" t="s">
        <v>454</v>
      </c>
      <c r="J71" s="13"/>
      <c r="K71" s="13"/>
      <c r="L71" s="13"/>
      <c r="M71" s="13" t="s">
        <v>164</v>
      </c>
    </row>
    <row r="72" spans="1:13">
      <c r="A72" s="21"/>
      <c r="B72" s="13"/>
      <c r="C72" s="13"/>
      <c r="D72" s="13"/>
      <c r="E72" s="13"/>
      <c r="F72" s="13"/>
      <c r="G72" s="13" t="s">
        <v>293</v>
      </c>
      <c r="H72" s="13" t="s">
        <v>455</v>
      </c>
      <c r="I72" s="13" t="s">
        <v>455</v>
      </c>
      <c r="J72" s="13"/>
      <c r="K72" s="13"/>
      <c r="L72" s="13"/>
      <c r="M72" s="13"/>
    </row>
    <row r="73" spans="1:13">
      <c r="A73" s="21"/>
      <c r="B73" s="13"/>
      <c r="C73" s="13"/>
      <c r="D73" s="13"/>
      <c r="E73" s="13"/>
      <c r="F73" s="13"/>
      <c r="G73" s="13" t="s">
        <v>456</v>
      </c>
      <c r="H73" s="13" t="s">
        <v>455</v>
      </c>
      <c r="I73" s="13" t="s">
        <v>455</v>
      </c>
      <c r="J73" s="13"/>
      <c r="K73" s="13"/>
      <c r="L73" s="13"/>
      <c r="M73" s="13"/>
    </row>
    <row r="74" spans="1:13">
      <c r="A74" s="21"/>
      <c r="B74" s="13"/>
      <c r="C74" s="13"/>
      <c r="D74" s="13"/>
      <c r="E74" s="13"/>
      <c r="F74" s="13"/>
      <c r="G74" s="13" t="s">
        <v>457</v>
      </c>
      <c r="H74" s="13" t="s">
        <v>289</v>
      </c>
      <c r="I74" s="13" t="s">
        <v>289</v>
      </c>
      <c r="J74" s="13"/>
      <c r="K74" s="13"/>
      <c r="L74" s="13"/>
      <c r="M74" s="13"/>
    </row>
    <row r="75" spans="1:13">
      <c r="A75" s="21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3">
      <c r="A76" s="21"/>
      <c r="B76" s="13"/>
      <c r="C76" s="13"/>
      <c r="D76" s="13"/>
      <c r="E76" s="13"/>
      <c r="F76" s="13" t="s">
        <v>318</v>
      </c>
      <c r="G76" s="13" t="s">
        <v>292</v>
      </c>
      <c r="H76" s="13" t="s">
        <v>458</v>
      </c>
      <c r="I76" s="13" t="s">
        <v>459</v>
      </c>
      <c r="J76" s="13"/>
      <c r="K76" s="13"/>
      <c r="L76" s="13"/>
      <c r="M76" s="13" t="s">
        <v>164</v>
      </c>
    </row>
    <row r="77" spans="1:13">
      <c r="A77" s="21"/>
      <c r="B77" s="13"/>
      <c r="C77" s="13"/>
      <c r="D77" s="13"/>
      <c r="E77" s="13"/>
      <c r="F77" s="13"/>
      <c r="G77" s="13" t="s">
        <v>412</v>
      </c>
      <c r="H77" s="13" t="s">
        <v>460</v>
      </c>
      <c r="I77" s="13" t="s">
        <v>460</v>
      </c>
      <c r="J77" s="13"/>
      <c r="K77" s="13"/>
      <c r="L77" s="13"/>
      <c r="M77" s="13"/>
    </row>
    <row r="78" spans="1:13">
      <c r="A78" s="21"/>
      <c r="B78" s="13"/>
      <c r="C78" s="13"/>
      <c r="D78" s="13"/>
      <c r="E78" s="13"/>
      <c r="F78" s="13"/>
      <c r="G78" s="13" t="s">
        <v>324</v>
      </c>
      <c r="H78" s="13" t="s">
        <v>461</v>
      </c>
      <c r="I78" s="13" t="s">
        <v>461</v>
      </c>
      <c r="J78" s="13"/>
      <c r="K78" s="13"/>
      <c r="L78" s="13"/>
      <c r="M78" s="13"/>
    </row>
    <row r="79" spans="1:13">
      <c r="A79" s="21"/>
      <c r="B79" s="13"/>
      <c r="C79" s="13"/>
      <c r="D79" s="13"/>
      <c r="E79" s="13"/>
      <c r="F79" s="13"/>
      <c r="G79" s="13" t="s">
        <v>413</v>
      </c>
      <c r="H79" s="13" t="s">
        <v>461</v>
      </c>
      <c r="I79" s="13" t="s">
        <v>461</v>
      </c>
      <c r="J79" s="13"/>
      <c r="K79" s="13"/>
      <c r="L79" s="13"/>
      <c r="M79" s="13"/>
    </row>
    <row r="80" spans="1:13">
      <c r="A80" s="21"/>
      <c r="B80" s="13"/>
      <c r="C80" s="13"/>
      <c r="D80" s="13"/>
      <c r="E80" s="13"/>
      <c r="F80" s="13"/>
      <c r="G80" s="13" t="s">
        <v>416</v>
      </c>
      <c r="H80" s="13" t="s">
        <v>461</v>
      </c>
      <c r="I80" s="13" t="s">
        <v>462</v>
      </c>
      <c r="J80" s="13"/>
      <c r="K80" s="13"/>
      <c r="L80" s="13"/>
      <c r="M80" s="13"/>
    </row>
    <row r="81" spans="1:13">
      <c r="A81" s="21"/>
      <c r="B81" s="13"/>
      <c r="C81" s="13"/>
      <c r="D81" s="13"/>
      <c r="E81" s="13"/>
      <c r="F81" s="13"/>
      <c r="G81" s="13" t="s">
        <v>463</v>
      </c>
      <c r="H81" s="13" t="s">
        <v>464</v>
      </c>
      <c r="I81" s="13" t="s">
        <v>464</v>
      </c>
      <c r="J81" s="13"/>
      <c r="K81" s="13"/>
      <c r="L81" s="13"/>
      <c r="M81" s="13" t="s">
        <v>164</v>
      </c>
    </row>
    <row r="82" spans="1:13">
      <c r="A82" s="21"/>
      <c r="B82" s="13"/>
      <c r="C82" s="13"/>
      <c r="D82" s="13"/>
      <c r="E82" s="13"/>
      <c r="F82" s="13"/>
      <c r="G82" s="13" t="s">
        <v>465</v>
      </c>
      <c r="H82" s="13" t="s">
        <v>466</v>
      </c>
      <c r="I82" s="13" t="s">
        <v>466</v>
      </c>
      <c r="J82" s="13"/>
      <c r="K82" s="13"/>
      <c r="L82" s="13"/>
      <c r="M82" s="13"/>
    </row>
    <row r="83" spans="1:13">
      <c r="A83" s="21"/>
      <c r="B83" s="13"/>
      <c r="C83" s="13"/>
      <c r="D83" s="13"/>
      <c r="E83" s="13"/>
      <c r="F83" s="13"/>
      <c r="G83" s="13" t="s">
        <v>467</v>
      </c>
      <c r="H83" s="13" t="s">
        <v>390</v>
      </c>
      <c r="I83" s="13" t="s">
        <v>390</v>
      </c>
      <c r="J83" s="13"/>
      <c r="K83" s="13"/>
      <c r="L83" s="13"/>
      <c r="M83" s="13"/>
    </row>
    <row r="84" spans="1:13">
      <c r="A84" s="21"/>
      <c r="B84" s="13"/>
      <c r="C84" s="13"/>
      <c r="D84" s="13"/>
      <c r="E84" s="13"/>
      <c r="F84" s="13"/>
      <c r="G84" s="13" t="s">
        <v>446</v>
      </c>
      <c r="H84" s="13" t="s">
        <v>468</v>
      </c>
      <c r="I84" s="13" t="s">
        <v>468</v>
      </c>
      <c r="J84" s="13"/>
      <c r="K84" s="13"/>
      <c r="L84" s="13"/>
      <c r="M84" s="13"/>
    </row>
    <row r="85" spans="1:13">
      <c r="A85" s="21"/>
      <c r="B85" s="13"/>
      <c r="C85" s="13"/>
      <c r="D85" s="13"/>
      <c r="E85" s="13"/>
      <c r="F85" s="13"/>
      <c r="G85" s="13" t="s">
        <v>421</v>
      </c>
      <c r="H85" s="13" t="s">
        <v>466</v>
      </c>
      <c r="I85" s="13" t="s">
        <v>339</v>
      </c>
      <c r="J85" s="13"/>
      <c r="K85" s="13"/>
      <c r="L85" s="13"/>
      <c r="M85" s="13"/>
    </row>
    <row r="86" spans="1:13">
      <c r="A86" s="21"/>
      <c r="B86" s="13"/>
      <c r="C86" s="13"/>
      <c r="D86" s="13"/>
      <c r="E86" s="13"/>
      <c r="F86" s="13"/>
      <c r="G86" s="13" t="s">
        <v>338</v>
      </c>
      <c r="H86" s="13" t="s">
        <v>469</v>
      </c>
      <c r="I86" s="13" t="s">
        <v>469</v>
      </c>
      <c r="J86" s="13"/>
      <c r="K86" s="13"/>
      <c r="L86" s="13"/>
      <c r="M86" s="13"/>
    </row>
    <row r="87" spans="1:13">
      <c r="A87" s="21"/>
      <c r="B87" s="13"/>
      <c r="C87" s="13"/>
      <c r="D87" s="13"/>
      <c r="E87" s="13"/>
      <c r="F87" s="13"/>
      <c r="G87" s="13" t="s">
        <v>442</v>
      </c>
      <c r="H87" s="13" t="s">
        <v>470</v>
      </c>
      <c r="I87" s="13" t="s">
        <v>471</v>
      </c>
      <c r="J87" s="13"/>
      <c r="K87" s="13"/>
      <c r="L87" s="13"/>
      <c r="M87" s="13"/>
    </row>
    <row r="88" spans="1:13">
      <c r="A88" s="3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>
      <c r="A89" s="20">
        <v>5</v>
      </c>
      <c r="B89" s="12">
        <v>3008</v>
      </c>
      <c r="C89" s="12" t="s">
        <v>472</v>
      </c>
      <c r="D89" s="12" t="s">
        <v>473</v>
      </c>
      <c r="E89" s="12" t="s">
        <v>444</v>
      </c>
      <c r="F89" s="12" t="s">
        <v>268</v>
      </c>
      <c r="G89" s="12" t="s">
        <v>474</v>
      </c>
      <c r="H89" s="12" t="s">
        <v>475</v>
      </c>
      <c r="I89" s="12" t="s">
        <v>475</v>
      </c>
      <c r="J89" s="12" t="s">
        <v>476</v>
      </c>
      <c r="K89" s="12" t="s">
        <v>209</v>
      </c>
      <c r="L89" s="12"/>
      <c r="M89" s="12" t="s">
        <v>164</v>
      </c>
    </row>
    <row r="90" spans="1:13">
      <c r="A90" s="21"/>
      <c r="B90" s="13"/>
      <c r="C90" s="13" t="s">
        <v>477</v>
      </c>
      <c r="D90" s="13"/>
      <c r="E90" s="13"/>
      <c r="F90" s="13"/>
      <c r="G90" s="13" t="s">
        <v>478</v>
      </c>
      <c r="H90" s="13" t="s">
        <v>479</v>
      </c>
      <c r="I90" s="13"/>
      <c r="J90" s="13"/>
      <c r="K90" s="13"/>
      <c r="L90" s="13"/>
      <c r="M90" s="13"/>
    </row>
    <row r="91" spans="1:13">
      <c r="A91" s="21"/>
      <c r="B91" s="13"/>
      <c r="C91" s="13" t="s">
        <v>480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>
      <c r="A92" s="21"/>
      <c r="B92" s="13"/>
      <c r="C92" s="13"/>
      <c r="D92" s="13"/>
      <c r="E92" s="13"/>
      <c r="F92" s="13" t="s">
        <v>287</v>
      </c>
      <c r="G92" s="13" t="s">
        <v>314</v>
      </c>
      <c r="H92" s="13" t="s">
        <v>316</v>
      </c>
      <c r="I92" s="13" t="s">
        <v>316</v>
      </c>
      <c r="J92" s="13"/>
      <c r="K92" s="13"/>
      <c r="L92" s="13"/>
      <c r="M92" s="13"/>
    </row>
    <row r="93" spans="1:13">
      <c r="A93" s="21"/>
      <c r="B93" s="13"/>
      <c r="C93" s="13" t="s">
        <v>296</v>
      </c>
      <c r="D93" s="13"/>
      <c r="E93" s="13"/>
      <c r="F93" s="13"/>
      <c r="G93" s="13" t="s">
        <v>453</v>
      </c>
      <c r="H93" s="13" t="s">
        <v>481</v>
      </c>
      <c r="I93" s="13" t="s">
        <v>481</v>
      </c>
      <c r="J93" s="13" t="s">
        <v>299</v>
      </c>
      <c r="K93" s="13" t="s">
        <v>172</v>
      </c>
      <c r="L93" s="13"/>
      <c r="M93" s="13" t="s">
        <v>164</v>
      </c>
    </row>
    <row r="94" spans="1:13">
      <c r="A94" s="21"/>
      <c r="B94" s="13"/>
      <c r="C94" s="13" t="s">
        <v>265</v>
      </c>
      <c r="D94" s="13"/>
      <c r="E94" s="13"/>
      <c r="F94" s="13"/>
      <c r="G94" s="13" t="s">
        <v>482</v>
      </c>
      <c r="H94" s="13" t="s">
        <v>483</v>
      </c>
      <c r="I94" s="13" t="s">
        <v>483</v>
      </c>
      <c r="J94" s="13"/>
      <c r="K94" s="13"/>
      <c r="L94" s="13"/>
      <c r="M94" s="13"/>
    </row>
    <row r="95" spans="1:13">
      <c r="A95" s="21"/>
      <c r="B95" s="13"/>
      <c r="C95" s="13" t="s">
        <v>484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13">
      <c r="A96" s="21"/>
      <c r="B96" s="13"/>
      <c r="C96" s="13" t="s">
        <v>477</v>
      </c>
      <c r="D96" s="13"/>
      <c r="E96" s="13"/>
      <c r="F96" s="13" t="s">
        <v>318</v>
      </c>
      <c r="G96" s="13" t="s">
        <v>334</v>
      </c>
      <c r="H96" s="13" t="s">
        <v>344</v>
      </c>
      <c r="I96" s="13" t="s">
        <v>344</v>
      </c>
      <c r="J96" s="13"/>
      <c r="K96" s="13"/>
      <c r="L96" s="13"/>
      <c r="M96" s="13"/>
    </row>
    <row r="97" spans="1:13">
      <c r="A97" s="21"/>
      <c r="B97" s="13"/>
      <c r="C97" s="13" t="s">
        <v>480</v>
      </c>
      <c r="D97" s="13"/>
      <c r="E97" s="13"/>
      <c r="F97" s="13"/>
      <c r="G97" s="13" t="s">
        <v>423</v>
      </c>
      <c r="H97" s="13" t="s">
        <v>485</v>
      </c>
      <c r="I97" s="13" t="s">
        <v>485</v>
      </c>
      <c r="J97" s="13"/>
      <c r="K97" s="13"/>
      <c r="L97" s="13"/>
      <c r="M97" s="13"/>
    </row>
    <row r="98" spans="1:13">
      <c r="A98" s="21"/>
      <c r="B98" s="13"/>
      <c r="C98" s="13" t="s">
        <v>406</v>
      </c>
      <c r="D98" s="13"/>
      <c r="E98" s="13"/>
      <c r="F98" s="13"/>
      <c r="G98" s="13" t="s">
        <v>425</v>
      </c>
      <c r="H98" s="13" t="s">
        <v>298</v>
      </c>
      <c r="I98" s="13" t="s">
        <v>486</v>
      </c>
      <c r="J98" s="13"/>
      <c r="K98" s="13"/>
      <c r="L98" s="13"/>
      <c r="M98" s="13"/>
    </row>
    <row r="99" spans="1:13">
      <c r="A99" s="21"/>
      <c r="B99" s="13"/>
      <c r="C99" s="13" t="s">
        <v>411</v>
      </c>
      <c r="D99" s="13"/>
      <c r="E99" s="13"/>
      <c r="F99" s="13"/>
      <c r="G99" s="13" t="s">
        <v>341</v>
      </c>
      <c r="H99" s="13" t="s">
        <v>339</v>
      </c>
      <c r="I99" s="13" t="s">
        <v>339</v>
      </c>
      <c r="J99" s="13"/>
      <c r="K99" s="13"/>
      <c r="L99" s="13"/>
      <c r="M99" s="13"/>
    </row>
    <row r="100" spans="1:13">
      <c r="A100" s="21"/>
      <c r="B100" s="13"/>
      <c r="C100" s="13"/>
      <c r="D100" s="13"/>
      <c r="E100" s="13"/>
      <c r="F100" s="13"/>
      <c r="G100" s="13" t="s">
        <v>325</v>
      </c>
      <c r="H100" s="13" t="s">
        <v>290</v>
      </c>
      <c r="I100" s="13" t="s">
        <v>487</v>
      </c>
      <c r="J100" s="13"/>
      <c r="K100" s="13"/>
      <c r="L100" s="13"/>
      <c r="M100" s="13"/>
    </row>
    <row r="101" spans="1:13">
      <c r="A101" s="21"/>
      <c r="B101" s="13"/>
      <c r="C101" s="13" t="s">
        <v>296</v>
      </c>
      <c r="D101" s="13"/>
      <c r="E101" s="13"/>
      <c r="F101" s="13"/>
      <c r="G101" s="13" t="s">
        <v>329</v>
      </c>
      <c r="H101" s="13" t="s">
        <v>390</v>
      </c>
      <c r="I101" s="13" t="s">
        <v>390</v>
      </c>
      <c r="J101" s="13"/>
      <c r="K101" s="13"/>
      <c r="L101" s="13"/>
      <c r="M101" s="13"/>
    </row>
    <row r="102" spans="1:13">
      <c r="A102" s="40"/>
      <c r="C102" s="13" t="s">
        <v>404</v>
      </c>
      <c r="D102" s="13"/>
      <c r="E102" s="13"/>
      <c r="F102" s="13"/>
      <c r="G102" s="13" t="s">
        <v>465</v>
      </c>
      <c r="H102" s="13" t="s">
        <v>290</v>
      </c>
      <c r="I102" s="13" t="s">
        <v>290</v>
      </c>
      <c r="J102" s="13" t="s">
        <v>388</v>
      </c>
      <c r="K102" s="13" t="s">
        <v>488</v>
      </c>
      <c r="M102" s="13" t="s">
        <v>164</v>
      </c>
    </row>
    <row r="103" spans="1:9">
      <c r="A103" s="40"/>
      <c r="C103" s="13" t="s">
        <v>406</v>
      </c>
      <c r="D103" s="13"/>
      <c r="E103" s="13"/>
      <c r="F103" s="13"/>
      <c r="G103" s="13" t="s">
        <v>336</v>
      </c>
      <c r="H103" s="13" t="s">
        <v>469</v>
      </c>
      <c r="I103" s="13" t="s">
        <v>469</v>
      </c>
    </row>
    <row r="104" spans="1:9">
      <c r="A104" s="40"/>
      <c r="C104" s="13" t="s">
        <v>422</v>
      </c>
      <c r="D104" s="13"/>
      <c r="E104" s="13"/>
      <c r="F104" s="13"/>
      <c r="G104" s="13" t="s">
        <v>338</v>
      </c>
      <c r="H104" s="13" t="s">
        <v>290</v>
      </c>
      <c r="I104" s="13" t="s">
        <v>290</v>
      </c>
    </row>
    <row r="105" spans="1:9">
      <c r="A105" s="40"/>
      <c r="C105" s="13"/>
      <c r="D105" s="13"/>
      <c r="E105" s="13"/>
      <c r="F105" s="13"/>
      <c r="G105" s="13" t="s">
        <v>489</v>
      </c>
      <c r="H105" s="13" t="s">
        <v>298</v>
      </c>
      <c r="I105" s="13" t="s">
        <v>466</v>
      </c>
    </row>
    <row r="106" spans="1:9">
      <c r="A106" s="40"/>
      <c r="C106" s="13" t="s">
        <v>430</v>
      </c>
      <c r="D106" s="13"/>
      <c r="E106" s="13"/>
      <c r="F106" s="13"/>
      <c r="G106" s="13" t="s">
        <v>429</v>
      </c>
      <c r="H106" s="13" t="s">
        <v>490</v>
      </c>
      <c r="I106" s="13" t="s">
        <v>490</v>
      </c>
    </row>
    <row r="107" spans="1:9">
      <c r="A107" s="40"/>
      <c r="C107" s="13"/>
      <c r="D107" s="13"/>
      <c r="E107" s="13"/>
      <c r="F107" s="13"/>
      <c r="G107" s="13" t="s">
        <v>413</v>
      </c>
      <c r="H107" s="13" t="s">
        <v>390</v>
      </c>
      <c r="I107" s="13" t="s">
        <v>390</v>
      </c>
    </row>
    <row r="108" spans="1:9">
      <c r="A108" s="40"/>
      <c r="C108" s="13"/>
      <c r="D108" s="13"/>
      <c r="E108" s="13"/>
      <c r="F108" s="13"/>
      <c r="G108" s="13" t="s">
        <v>428</v>
      </c>
      <c r="H108" s="13" t="s">
        <v>491</v>
      </c>
      <c r="I108" s="13" t="s">
        <v>492</v>
      </c>
    </row>
    <row r="109" spans="1:9">
      <c r="A109" s="40"/>
      <c r="C109" s="13"/>
      <c r="D109" s="13"/>
      <c r="E109" s="13"/>
      <c r="F109" s="13"/>
      <c r="G109" s="13" t="s">
        <v>319</v>
      </c>
      <c r="H109" s="13" t="s">
        <v>424</v>
      </c>
      <c r="I109" s="13" t="s">
        <v>493</v>
      </c>
    </row>
    <row r="110" spans="1:9">
      <c r="A110" s="40"/>
      <c r="C110" s="13"/>
      <c r="D110" s="13"/>
      <c r="E110" s="13"/>
      <c r="F110" s="13"/>
      <c r="G110" s="13" t="s">
        <v>324</v>
      </c>
      <c r="H110" s="13" t="s">
        <v>424</v>
      </c>
      <c r="I110" s="13" t="s">
        <v>494</v>
      </c>
    </row>
    <row r="111" spans="1:9">
      <c r="A111" s="40"/>
      <c r="C111" s="13"/>
      <c r="D111" s="13"/>
      <c r="E111" s="13"/>
      <c r="F111" s="13"/>
      <c r="G111" s="13" t="s">
        <v>430</v>
      </c>
      <c r="H111" s="13" t="s">
        <v>431</v>
      </c>
      <c r="I111" s="13" t="s">
        <v>432</v>
      </c>
    </row>
    <row r="112" spans="1:13">
      <c r="A112" s="41"/>
      <c r="B112" s="42"/>
      <c r="C112" s="24"/>
      <c r="D112" s="24"/>
      <c r="E112" s="24"/>
      <c r="F112" s="24"/>
      <c r="G112" s="24"/>
      <c r="H112" s="24"/>
      <c r="I112" s="24"/>
      <c r="J112" s="42"/>
      <c r="K112" s="42"/>
      <c r="L112" s="42"/>
      <c r="M112" s="42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48"/>
  <sheetViews>
    <sheetView topLeftCell="A21" workbookViewId="0">
      <selection activeCell="N36" sqref="N36"/>
    </sheetView>
  </sheetViews>
  <sheetFormatPr defaultColWidth="9" defaultRowHeight="14"/>
  <cols>
    <col min="1" max="2" width="10"/>
    <col min="3" max="3" width="19.6640625" customWidth="1"/>
    <col min="7" max="7" width="13.671875" customWidth="1"/>
    <col min="8" max="8" width="15.75" customWidth="1"/>
    <col min="9" max="10" width="10.0625"/>
    <col min="11" max="11" width="10.1484375" customWidth="1"/>
    <col min="12" max="12" width="13.9296875" customWidth="1"/>
    <col min="13" max="13" width="10.0625"/>
    <col min="14" max="14" width="12.109375" customWidth="1"/>
  </cols>
  <sheetData>
    <row r="1" spans="6:7">
      <c r="F1" s="11" t="s">
        <v>495</v>
      </c>
      <c r="G1" s="11"/>
    </row>
    <row r="2" spans="6:7">
      <c r="F2" s="11" t="s">
        <v>496</v>
      </c>
      <c r="G2" s="11"/>
    </row>
    <row r="6" ht="22" customHeight="1" spans="1:5">
      <c r="A6" s="2" t="s">
        <v>497</v>
      </c>
      <c r="B6" s="2" t="s">
        <v>115</v>
      </c>
      <c r="C6" s="2" t="s">
        <v>498</v>
      </c>
      <c r="D6" s="2" t="s">
        <v>499</v>
      </c>
      <c r="E6" s="2" t="s">
        <v>264</v>
      </c>
    </row>
    <row r="7" spans="1:5">
      <c r="A7" s="3" t="s">
        <v>500</v>
      </c>
      <c r="B7" s="4">
        <v>46283</v>
      </c>
      <c r="C7" s="5" t="s">
        <v>501</v>
      </c>
      <c r="D7" s="5">
        <v>64.16</v>
      </c>
      <c r="E7" s="12" t="s">
        <v>275</v>
      </c>
    </row>
    <row r="8" spans="1:5">
      <c r="A8" s="6"/>
      <c r="B8" s="7"/>
      <c r="C8" s="7" t="s">
        <v>377</v>
      </c>
      <c r="D8" s="7">
        <v>48.12</v>
      </c>
      <c r="E8" s="13" t="s">
        <v>275</v>
      </c>
    </row>
    <row r="9" spans="1:5">
      <c r="A9" s="6"/>
      <c r="B9" s="7"/>
      <c r="C9" s="7" t="s">
        <v>502</v>
      </c>
      <c r="D9" s="7">
        <v>16.4</v>
      </c>
      <c r="E9" s="13" t="s">
        <v>275</v>
      </c>
    </row>
    <row r="10" spans="1:5">
      <c r="A10" s="6"/>
      <c r="B10" s="7"/>
      <c r="C10" s="7" t="s">
        <v>503</v>
      </c>
      <c r="D10" s="7">
        <v>24.6</v>
      </c>
      <c r="E10" s="13" t="s">
        <v>275</v>
      </c>
    </row>
    <row r="11" spans="1:5">
      <c r="A11" s="6"/>
      <c r="B11" s="7"/>
      <c r="C11" s="7" t="s">
        <v>504</v>
      </c>
      <c r="D11" s="7">
        <v>8.02</v>
      </c>
      <c r="E11" s="13" t="s">
        <v>275</v>
      </c>
    </row>
    <row r="12" spans="5:5">
      <c r="E12" s="14"/>
    </row>
    <row r="13" spans="1:8">
      <c r="A13" s="6" t="s">
        <v>263</v>
      </c>
      <c r="B13" s="7"/>
      <c r="C13" s="7"/>
      <c r="D13" s="7">
        <f>SUM(D7:D11)</f>
        <v>161.3</v>
      </c>
      <c r="E13" s="13" t="s">
        <v>275</v>
      </c>
      <c r="G13" s="15" t="s">
        <v>505</v>
      </c>
      <c r="H13" s="15"/>
    </row>
    <row r="14" spans="1:9">
      <c r="A14" s="8" t="s">
        <v>506</v>
      </c>
      <c r="B14" s="4">
        <v>46286</v>
      </c>
      <c r="C14" s="5" t="s">
        <v>501</v>
      </c>
      <c r="D14" s="5">
        <v>62.92</v>
      </c>
      <c r="E14" s="12" t="s">
        <v>275</v>
      </c>
      <c r="G14" s="16" t="s">
        <v>501</v>
      </c>
      <c r="H14" s="17"/>
      <c r="I14" s="25">
        <f>I19*0.4</f>
        <v>0</v>
      </c>
    </row>
    <row r="15" spans="1:9">
      <c r="A15" s="6"/>
      <c r="B15" s="7"/>
      <c r="C15" s="7" t="s">
        <v>377</v>
      </c>
      <c r="D15" s="7">
        <v>47.19</v>
      </c>
      <c r="E15" s="13" t="s">
        <v>275</v>
      </c>
      <c r="G15" s="16" t="s">
        <v>377</v>
      </c>
      <c r="H15" s="17"/>
      <c r="I15" s="25">
        <f>I19*0.3</f>
        <v>0</v>
      </c>
    </row>
    <row r="16" spans="1:9">
      <c r="A16" s="6"/>
      <c r="B16" s="7"/>
      <c r="C16" s="7" t="s">
        <v>502</v>
      </c>
      <c r="D16" s="7">
        <v>15.73</v>
      </c>
      <c r="E16" s="13" t="s">
        <v>275</v>
      </c>
      <c r="G16" s="16" t="s">
        <v>274</v>
      </c>
      <c r="H16" s="17"/>
      <c r="I16" s="25">
        <f>I19*0.1</f>
        <v>0</v>
      </c>
    </row>
    <row r="17" spans="1:9">
      <c r="A17" s="6"/>
      <c r="B17" s="7"/>
      <c r="C17" s="7" t="s">
        <v>503</v>
      </c>
      <c r="D17" s="7">
        <v>23.6</v>
      </c>
      <c r="E17" s="13" t="s">
        <v>275</v>
      </c>
      <c r="G17" s="16" t="s">
        <v>301</v>
      </c>
      <c r="H17" s="17"/>
      <c r="I17" s="25">
        <f>I19*0.15</f>
        <v>0</v>
      </c>
    </row>
    <row r="18" spans="1:9">
      <c r="A18" s="6"/>
      <c r="B18" s="7"/>
      <c r="C18" s="7" t="s">
        <v>504</v>
      </c>
      <c r="D18" s="7">
        <v>7.86</v>
      </c>
      <c r="E18" s="13" t="s">
        <v>275</v>
      </c>
      <c r="G18" s="16" t="s">
        <v>433</v>
      </c>
      <c r="H18" s="17"/>
      <c r="I18" s="25">
        <f>I19*0.05</f>
        <v>0</v>
      </c>
    </row>
    <row r="19" spans="1:9">
      <c r="A19" s="6"/>
      <c r="B19" s="7"/>
      <c r="C19" s="7"/>
      <c r="D19" s="7"/>
      <c r="E19" s="13"/>
      <c r="G19" s="18" t="s">
        <v>263</v>
      </c>
      <c r="H19" s="18"/>
      <c r="I19" s="25"/>
    </row>
    <row r="20" spans="1:5">
      <c r="A20" s="6" t="s">
        <v>263</v>
      </c>
      <c r="B20" s="7"/>
      <c r="C20" s="7"/>
      <c r="D20" s="7">
        <f>SUM(D14:D19)</f>
        <v>157.3</v>
      </c>
      <c r="E20" s="13" t="s">
        <v>275</v>
      </c>
    </row>
    <row r="21" spans="1:5">
      <c r="A21" s="8" t="s">
        <v>507</v>
      </c>
      <c r="B21" s="4">
        <v>46287</v>
      </c>
      <c r="C21" s="5" t="s">
        <v>501</v>
      </c>
      <c r="D21" s="5">
        <v>59.48</v>
      </c>
      <c r="E21" s="12" t="s">
        <v>275</v>
      </c>
    </row>
    <row r="22" spans="1:5">
      <c r="A22" s="6"/>
      <c r="B22" s="7"/>
      <c r="C22" s="7" t="s">
        <v>377</v>
      </c>
      <c r="D22" s="7">
        <v>44.61</v>
      </c>
      <c r="E22" s="13" t="s">
        <v>275</v>
      </c>
    </row>
    <row r="23" spans="1:5">
      <c r="A23" s="6"/>
      <c r="B23" s="7"/>
      <c r="C23" s="7" t="s">
        <v>502</v>
      </c>
      <c r="D23" s="7">
        <v>14.87</v>
      </c>
      <c r="E23" s="13" t="s">
        <v>275</v>
      </c>
    </row>
    <row r="24" spans="1:5">
      <c r="A24" s="6"/>
      <c r="B24" s="7"/>
      <c r="C24" s="7" t="s">
        <v>503</v>
      </c>
      <c r="D24" s="7">
        <v>29.74</v>
      </c>
      <c r="E24" s="13" t="s">
        <v>275</v>
      </c>
    </row>
    <row r="25" spans="1:5">
      <c r="A25" s="6"/>
      <c r="B25" s="7"/>
      <c r="C25" s="7" t="s">
        <v>504</v>
      </c>
      <c r="D25" s="7">
        <v>0</v>
      </c>
      <c r="E25" s="13" t="s">
        <v>275</v>
      </c>
    </row>
    <row r="26" spans="1:5">
      <c r="A26" s="6"/>
      <c r="B26" s="7"/>
      <c r="C26" s="7"/>
      <c r="D26" s="7"/>
      <c r="E26" s="13"/>
    </row>
    <row r="27" spans="1:5">
      <c r="A27" s="6" t="s">
        <v>263</v>
      </c>
      <c r="B27" s="7"/>
      <c r="C27" s="7"/>
      <c r="D27" s="7">
        <f>SUM(D21:D26)</f>
        <v>148.7</v>
      </c>
      <c r="E27" s="13" t="s">
        <v>275</v>
      </c>
    </row>
    <row r="28" spans="1:5">
      <c r="A28" s="8" t="s">
        <v>508</v>
      </c>
      <c r="B28" s="4">
        <v>46288</v>
      </c>
      <c r="C28" s="5" t="s">
        <v>501</v>
      </c>
      <c r="D28" s="5">
        <v>69.36</v>
      </c>
      <c r="E28" s="12" t="s">
        <v>275</v>
      </c>
    </row>
    <row r="29" spans="1:7">
      <c r="A29" s="6"/>
      <c r="B29" s="7"/>
      <c r="C29" s="7" t="s">
        <v>377</v>
      </c>
      <c r="D29" s="7">
        <v>52.02</v>
      </c>
      <c r="E29" s="13" t="s">
        <v>275</v>
      </c>
      <c r="G29" s="19" t="s">
        <v>509</v>
      </c>
    </row>
    <row r="30" ht="19" customHeight="1" spans="1:15">
      <c r="A30" s="6"/>
      <c r="B30" s="7"/>
      <c r="C30" s="7" t="s">
        <v>502</v>
      </c>
      <c r="D30" s="7">
        <v>17.34</v>
      </c>
      <c r="E30" s="13" t="s">
        <v>275</v>
      </c>
      <c r="G30" s="2" t="s">
        <v>262</v>
      </c>
      <c r="H30" s="2" t="s">
        <v>510</v>
      </c>
      <c r="I30" s="26">
        <v>46283</v>
      </c>
      <c r="J30" s="26">
        <v>46286</v>
      </c>
      <c r="K30" s="26">
        <v>46287</v>
      </c>
      <c r="L30" s="26">
        <v>46288</v>
      </c>
      <c r="M30" s="26">
        <v>46289</v>
      </c>
      <c r="N30" s="2" t="s">
        <v>263</v>
      </c>
      <c r="O30" s="2" t="s">
        <v>264</v>
      </c>
    </row>
    <row r="31" spans="1:15">
      <c r="A31" s="6"/>
      <c r="B31" s="7"/>
      <c r="C31" s="7" t="s">
        <v>503</v>
      </c>
      <c r="D31" s="7">
        <v>26.01</v>
      </c>
      <c r="E31" s="13" t="s">
        <v>275</v>
      </c>
      <c r="G31" s="20">
        <v>1</v>
      </c>
      <c r="H31" s="12" t="s">
        <v>501</v>
      </c>
      <c r="I31" s="12">
        <v>64.16</v>
      </c>
      <c r="J31" s="12">
        <v>62.92</v>
      </c>
      <c r="K31" s="12">
        <v>59.48</v>
      </c>
      <c r="L31" s="12">
        <v>69.36</v>
      </c>
      <c r="M31" s="12">
        <v>55.72</v>
      </c>
      <c r="N31" s="12">
        <f>SUM(I31:M31)</f>
        <v>311.64</v>
      </c>
      <c r="O31" s="12" t="s">
        <v>275</v>
      </c>
    </row>
    <row r="32" spans="1:15">
      <c r="A32" s="6"/>
      <c r="B32" s="7"/>
      <c r="C32" s="7" t="s">
        <v>504</v>
      </c>
      <c r="D32" s="7">
        <v>8.67</v>
      </c>
      <c r="E32" s="13" t="s">
        <v>275</v>
      </c>
      <c r="G32" s="21">
        <v>2</v>
      </c>
      <c r="H32" s="13" t="s">
        <v>377</v>
      </c>
      <c r="I32" s="13">
        <v>48.12</v>
      </c>
      <c r="J32" s="13">
        <v>47.19</v>
      </c>
      <c r="K32" s="13">
        <v>44.61</v>
      </c>
      <c r="L32" s="13">
        <v>52.02</v>
      </c>
      <c r="M32" s="13">
        <v>41.79</v>
      </c>
      <c r="N32" s="13">
        <f>SUM(I32:M32)</f>
        <v>233.73</v>
      </c>
      <c r="O32" s="13" t="s">
        <v>275</v>
      </c>
    </row>
    <row r="33" spans="1:15">
      <c r="A33" s="6"/>
      <c r="B33" s="7"/>
      <c r="C33" s="7"/>
      <c r="D33" s="7"/>
      <c r="E33" s="13"/>
      <c r="G33" s="21">
        <v>3</v>
      </c>
      <c r="H33" s="13" t="s">
        <v>274</v>
      </c>
      <c r="I33" s="13">
        <v>16.4</v>
      </c>
      <c r="J33" s="13">
        <v>15.73</v>
      </c>
      <c r="K33" s="13">
        <v>14.87</v>
      </c>
      <c r="L33" s="13">
        <v>17.34</v>
      </c>
      <c r="M33" s="13">
        <v>13.93</v>
      </c>
      <c r="N33" s="13">
        <f>SUM(I33:M33)</f>
        <v>78.27</v>
      </c>
      <c r="O33" s="13" t="s">
        <v>275</v>
      </c>
    </row>
    <row r="34" spans="1:15">
      <c r="A34" s="6" t="s">
        <v>263</v>
      </c>
      <c r="B34" s="7"/>
      <c r="C34" s="7"/>
      <c r="D34" s="7">
        <f>SUM(D28:D33)</f>
        <v>173.4</v>
      </c>
      <c r="E34" s="13" t="s">
        <v>275</v>
      </c>
      <c r="G34" s="21">
        <v>4</v>
      </c>
      <c r="H34" s="13" t="s">
        <v>301</v>
      </c>
      <c r="I34" s="13">
        <v>24.6</v>
      </c>
      <c r="J34" s="13">
        <v>23.6</v>
      </c>
      <c r="K34" s="13">
        <v>29.74</v>
      </c>
      <c r="L34" s="13">
        <v>26.01</v>
      </c>
      <c r="M34" s="13">
        <v>20.89</v>
      </c>
      <c r="N34" s="13">
        <f>SUM(I34:M34)</f>
        <v>124.84</v>
      </c>
      <c r="O34" s="13" t="s">
        <v>275</v>
      </c>
    </row>
    <row r="35" spans="1:15">
      <c r="A35" s="8" t="s">
        <v>511</v>
      </c>
      <c r="B35" s="4">
        <v>46289</v>
      </c>
      <c r="C35" s="5" t="s">
        <v>501</v>
      </c>
      <c r="D35" s="5">
        <v>55.72</v>
      </c>
      <c r="E35" s="12" t="s">
        <v>275</v>
      </c>
      <c r="G35" s="21">
        <v>5</v>
      </c>
      <c r="H35" s="13" t="s">
        <v>433</v>
      </c>
      <c r="I35" s="13">
        <v>8.02</v>
      </c>
      <c r="J35" s="13">
        <v>7.86</v>
      </c>
      <c r="K35" s="13">
        <v>0</v>
      </c>
      <c r="L35" s="13">
        <v>8.67</v>
      </c>
      <c r="M35" s="13">
        <v>6.96</v>
      </c>
      <c r="N35" s="13">
        <f>SUM(I35:M35)</f>
        <v>31.51</v>
      </c>
      <c r="O35" s="13" t="s">
        <v>275</v>
      </c>
    </row>
    <row r="36" ht="21" customHeight="1" spans="1:15">
      <c r="A36" s="6"/>
      <c r="B36" s="7"/>
      <c r="C36" s="7" t="s">
        <v>377</v>
      </c>
      <c r="D36" s="7">
        <v>41.79</v>
      </c>
      <c r="E36" s="13" t="s">
        <v>275</v>
      </c>
      <c r="G36" s="22"/>
      <c r="H36" s="23"/>
      <c r="I36" s="23"/>
      <c r="J36" s="23"/>
      <c r="K36" s="23"/>
      <c r="L36" s="27" t="s">
        <v>512</v>
      </c>
      <c r="M36" s="28"/>
      <c r="N36" s="29">
        <f>SUM(N31:N35)</f>
        <v>779.99</v>
      </c>
      <c r="O36" s="29" t="s">
        <v>275</v>
      </c>
    </row>
    <row r="37" spans="1:5">
      <c r="A37" s="6"/>
      <c r="B37" s="7"/>
      <c r="C37" s="7" t="s">
        <v>502</v>
      </c>
      <c r="D37" s="7">
        <v>13.93</v>
      </c>
      <c r="E37" s="13" t="s">
        <v>275</v>
      </c>
    </row>
    <row r="38" spans="1:5">
      <c r="A38" s="6"/>
      <c r="B38" s="7"/>
      <c r="C38" s="7" t="s">
        <v>503</v>
      </c>
      <c r="D38" s="7">
        <v>20.89</v>
      </c>
      <c r="E38" s="13" t="s">
        <v>275</v>
      </c>
    </row>
    <row r="39" spans="1:5">
      <c r="A39" s="6"/>
      <c r="B39" s="7"/>
      <c r="C39" s="7" t="s">
        <v>504</v>
      </c>
      <c r="D39" s="7">
        <v>6.96</v>
      </c>
      <c r="E39" s="13" t="s">
        <v>275</v>
      </c>
    </row>
    <row r="40" spans="1:5">
      <c r="A40" s="6"/>
      <c r="B40" s="7"/>
      <c r="C40" s="7"/>
      <c r="D40" s="7"/>
      <c r="E40" s="13"/>
    </row>
    <row r="41" spans="1:5">
      <c r="A41" s="6" t="s">
        <v>263</v>
      </c>
      <c r="B41" s="7"/>
      <c r="C41" s="7"/>
      <c r="D41" s="7">
        <f>SUM(D35:D40)</f>
        <v>139.29</v>
      </c>
      <c r="E41" s="13" t="s">
        <v>275</v>
      </c>
    </row>
    <row r="42" spans="1:5">
      <c r="A42" s="8" t="s">
        <v>500</v>
      </c>
      <c r="B42" s="4">
        <v>46290</v>
      </c>
      <c r="C42" s="5" t="s">
        <v>501</v>
      </c>
      <c r="D42" s="5"/>
      <c r="E42" s="12" t="s">
        <v>275</v>
      </c>
    </row>
    <row r="43" spans="1:5">
      <c r="A43" s="6"/>
      <c r="B43" s="7"/>
      <c r="C43" s="7" t="s">
        <v>377</v>
      </c>
      <c r="D43" s="7"/>
      <c r="E43" s="13" t="s">
        <v>275</v>
      </c>
    </row>
    <row r="44" spans="1:5">
      <c r="A44" s="6"/>
      <c r="B44" s="7"/>
      <c r="C44" s="7" t="s">
        <v>502</v>
      </c>
      <c r="D44" s="7"/>
      <c r="E44" s="13" t="s">
        <v>275</v>
      </c>
    </row>
    <row r="45" spans="1:5">
      <c r="A45" s="6"/>
      <c r="B45" s="7"/>
      <c r="C45" s="7" t="s">
        <v>503</v>
      </c>
      <c r="D45" s="7"/>
      <c r="E45" s="13" t="s">
        <v>275</v>
      </c>
    </row>
    <row r="46" spans="1:5">
      <c r="A46" s="6"/>
      <c r="B46" s="7"/>
      <c r="C46" s="7" t="s">
        <v>504</v>
      </c>
      <c r="D46" s="7"/>
      <c r="E46" s="13" t="s">
        <v>275</v>
      </c>
    </row>
    <row r="47" spans="1:5">
      <c r="A47" s="6"/>
      <c r="B47" s="7"/>
      <c r="C47" s="7"/>
      <c r="D47" s="7"/>
      <c r="E47" s="13"/>
    </row>
    <row r="48" spans="1:5">
      <c r="A48" s="9" t="s">
        <v>263</v>
      </c>
      <c r="B48" s="10"/>
      <c r="C48" s="10"/>
      <c r="D48" s="10">
        <f>SUM(D42:D47)</f>
        <v>0</v>
      </c>
      <c r="E48" s="24"/>
    </row>
  </sheetData>
  <mergeCells count="8">
    <mergeCell ref="G13:H13"/>
    <mergeCell ref="G14:H14"/>
    <mergeCell ref="G15:H15"/>
    <mergeCell ref="G16:H16"/>
    <mergeCell ref="G17:H17"/>
    <mergeCell ref="G18:H18"/>
    <mergeCell ref="G19:H19"/>
    <mergeCell ref="L36:M36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2"/>
  <sheetViews>
    <sheetView workbookViewId="0">
      <selection activeCell="B17" sqref="B17"/>
    </sheetView>
  </sheetViews>
  <sheetFormatPr defaultColWidth="9" defaultRowHeight="14" outlineLevelCol="5"/>
  <cols>
    <col min="1" max="1" width="32.5546875" customWidth="1"/>
    <col min="3" max="3" width="14.7109375" customWidth="1"/>
    <col min="4" max="4" width="30.203125" customWidth="1"/>
    <col min="5" max="5" width="12.109375" customWidth="1"/>
    <col min="6" max="6" width="33.984375" customWidth="1"/>
  </cols>
  <sheetData>
    <row r="1" spans="4:4">
      <c r="D1" t="s">
        <v>513</v>
      </c>
    </row>
    <row r="2" spans="1:6">
      <c r="A2" t="s">
        <v>116</v>
      </c>
      <c r="B2" t="s">
        <v>122</v>
      </c>
      <c r="C2" t="s">
        <v>514</v>
      </c>
      <c r="D2" t="s">
        <v>515</v>
      </c>
      <c r="E2" t="s">
        <v>516</v>
      </c>
      <c r="F2" t="s">
        <v>517</v>
      </c>
    </row>
    <row r="3" spans="1:5">
      <c r="A3" t="s">
        <v>518</v>
      </c>
      <c r="B3" t="s">
        <v>519</v>
      </c>
      <c r="C3" s="1">
        <v>46286</v>
      </c>
      <c r="D3" t="s">
        <v>520</v>
      </c>
      <c r="E3" t="s">
        <v>521</v>
      </c>
    </row>
    <row r="4" spans="1:5">
      <c r="A4" t="s">
        <v>522</v>
      </c>
      <c r="B4" t="s">
        <v>523</v>
      </c>
      <c r="C4" s="1">
        <v>46286</v>
      </c>
      <c r="E4" t="s">
        <v>521</v>
      </c>
    </row>
    <row r="5" spans="1:5">
      <c r="A5" t="s">
        <v>524</v>
      </c>
      <c r="B5" t="s">
        <v>525</v>
      </c>
      <c r="C5" s="1">
        <v>46287</v>
      </c>
      <c r="E5" t="s">
        <v>521</v>
      </c>
    </row>
    <row r="6" spans="1:5">
      <c r="A6" t="s">
        <v>526</v>
      </c>
      <c r="B6" t="s">
        <v>527</v>
      </c>
      <c r="C6" s="1">
        <v>46287</v>
      </c>
      <c r="E6" t="s">
        <v>521</v>
      </c>
    </row>
    <row r="7" spans="1:5">
      <c r="A7" t="s">
        <v>196</v>
      </c>
      <c r="B7" t="s">
        <v>528</v>
      </c>
      <c r="C7" s="1">
        <v>46289</v>
      </c>
      <c r="D7" t="s">
        <v>529</v>
      </c>
      <c r="E7" t="s">
        <v>521</v>
      </c>
    </row>
    <row r="8" spans="1:5">
      <c r="A8" t="s">
        <v>530</v>
      </c>
      <c r="B8" t="s">
        <v>531</v>
      </c>
      <c r="C8" s="1">
        <v>46289</v>
      </c>
      <c r="E8" t="s">
        <v>521</v>
      </c>
    </row>
    <row r="9" spans="1:5">
      <c r="A9" t="s">
        <v>532</v>
      </c>
      <c r="B9" t="s">
        <v>533</v>
      </c>
      <c r="C9" s="1">
        <v>46292</v>
      </c>
      <c r="E9" t="s">
        <v>521</v>
      </c>
    </row>
    <row r="10" spans="1:5">
      <c r="A10" t="s">
        <v>534</v>
      </c>
      <c r="B10" t="s">
        <v>535</v>
      </c>
      <c r="C10" s="1">
        <v>46292</v>
      </c>
      <c r="E10" t="s">
        <v>521</v>
      </c>
    </row>
    <row r="11" spans="1:5">
      <c r="A11" t="s">
        <v>196</v>
      </c>
      <c r="B11" t="s">
        <v>310</v>
      </c>
      <c r="C11" s="1">
        <v>46292</v>
      </c>
      <c r="E11" t="s">
        <v>521</v>
      </c>
    </row>
    <row r="12" spans="1:6">
      <c r="A12" t="s">
        <v>536</v>
      </c>
      <c r="B12" t="s">
        <v>537</v>
      </c>
      <c r="C12" s="1">
        <v>46292</v>
      </c>
      <c r="E12" t="s">
        <v>521</v>
      </c>
      <c r="F12" t="s">
        <v>538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Barang Masuk</vt:lpstr>
      <vt:lpstr>Barang Keluar</vt:lpstr>
      <vt:lpstr>Laporan Pengeluaran</vt:lpstr>
      <vt:lpstr>Master Barang</vt:lpstr>
      <vt:lpstr>rekap pengeluaran peraltan</vt:lpstr>
      <vt:lpstr>rekap order dan menu</vt:lpstr>
      <vt:lpstr>rekap limbah tercatat</vt:lpstr>
      <vt:lpstr>rekap stock peralatan datang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2026-09-25T00:30:00Z</dcterms:created>
  <dcterms:modified xsi:type="dcterms:W3CDTF">2026-09-27T13:03:28Z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